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9.xml" ContentType="application/vnd.openxmlformats-officedocument.drawing+xml"/>
  <Override PartName="/xl/comments9.xml" ContentType="application/vnd.openxmlformats-officedocument.spreadsheetml.comment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0.xml" ContentType="application/vnd.openxmlformats-officedocument.drawing+xml"/>
  <Override PartName="/xl/comments10.xml" ContentType="application/vnd.openxmlformats-officedocument.spreadsheetml.comment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codeName="ThisWorkbook"/>
  <mc:AlternateContent xmlns:mc="http://schemas.openxmlformats.org/markup-compatibility/2006">
    <mc:Choice Requires="x15">
      <x15ac:absPath xmlns:x15ac="http://schemas.microsoft.com/office/spreadsheetml/2010/11/ac" url="C:\Users\mpkra\Dropbox\RHSC Innovation Fund\E - Resources\"/>
    </mc:Choice>
  </mc:AlternateContent>
  <xr:revisionPtr revIDLastSave="0" documentId="13_ncr:1_{514AFCA7-D998-406A-BA80-93F7EE14C216}" xr6:coauthVersionLast="45" xr6:coauthVersionMax="45" xr10:uidLastSave="{00000000-0000-0000-0000-000000000000}"/>
  <bookViews>
    <workbookView xWindow="-103" yWindow="-103" windowWidth="27634" windowHeight="15034" tabRatio="780" firstSheet="12" activeTab="21" xr2:uid="{00000000-000D-0000-FFFF-FFFF00000000}"/>
  </bookViews>
  <sheets>
    <sheet name="Cover" sheetId="135" r:id="rId1"/>
    <sheet name="User Guide--&gt;" sheetId="45" state="hidden" r:id="rId2"/>
    <sheet name="Table of Contents" sheetId="129" r:id="rId3"/>
    <sheet name="Introduction" sheetId="48" r:id="rId4"/>
    <sheet name="Instructions &amp; Workflow" sheetId="149" r:id="rId5"/>
    <sheet name="Details - Inputs" sheetId="125" r:id="rId6"/>
    <sheet name="Details - Outputs" sheetId="126" r:id="rId7"/>
    <sheet name="Main Tool Worksheets--&gt;" sheetId="6" state="hidden" r:id="rId8"/>
    <sheet name="Scenario Manager" sheetId="130" r:id="rId9"/>
    <sheet name="1_Inputs" sheetId="113" r:id="rId10"/>
    <sheet name="2_Inputs" sheetId="160" r:id="rId11"/>
    <sheet name="3_Inputs" sheetId="161" r:id="rId12"/>
    <sheet name="4_Inputs" sheetId="162" r:id="rId13"/>
    <sheet name="1_Outputs" sheetId="115" r:id="rId14"/>
    <sheet name="Baseline_Results_NOINDIRECT" sheetId="91" state="hidden" r:id="rId15"/>
    <sheet name="MacroText" sheetId="68" state="hidden" r:id="rId16"/>
    <sheet name="Supporting Worksheets --&gt;" sheetId="85" state="hidden" r:id="rId17"/>
    <sheet name="Example Inputs" sheetId="159" state="hidden" r:id="rId18"/>
    <sheet name="2_Outputs" sheetId="163" r:id="rId19"/>
    <sheet name="3_Outputs" sheetId="164" r:id="rId20"/>
    <sheet name="4_Outputs" sheetId="165" r:id="rId21"/>
    <sheet name="Vaccine Demand Volume &amp; Value" sheetId="99" r:id="rId22"/>
    <sheet name="RH Demand Volume &amp; Value" sheetId="98" r:id="rId23"/>
    <sheet name="General Demand Volume" sheetId="127" r:id="rId24"/>
    <sheet name="Storage Capacity Estimator" sheetId="136" r:id="rId25"/>
    <sheet name="Circuity Factor Benchmarks" sheetId="80" r:id="rId26"/>
    <sheet name="Warehouse-Vehicle-CCE Costs" sheetId="81" r:id="rId27"/>
    <sheet name="Data Templates --&gt; " sheetId="43" r:id="rId28"/>
    <sheet name="Blank Data Template" sheetId="134" r:id="rId29"/>
    <sheet name="Guatemala_Quiche" sheetId="106" r:id="rId30"/>
    <sheet name="Guatemala_AltaVerapaz" sheetId="105" r:id="rId31"/>
    <sheet name="Bolivia_Tarija" sheetId="104" r:id="rId32"/>
    <sheet name="DRC_EquateurS1" sheetId="82" r:id="rId33"/>
    <sheet name="DRC_EquateurS2" sheetId="90" r:id="rId34"/>
    <sheet name="Mozambique_ManicaS1" sheetId="133" r:id="rId35"/>
    <sheet name="Mozambique_ManicaS2" sheetId="132" r:id="rId36"/>
    <sheet name="WestAfricaCountry_TransportONLY" sheetId="97" r:id="rId37"/>
    <sheet name="SouthernAfricaProvince1" sheetId="31" r:id="rId38"/>
    <sheet name="DRC_Scratch" sheetId="66" state="hidden" r:id="rId39"/>
    <sheet name="Other Parameters --&gt;" sheetId="3" state="hidden" r:id="rId40"/>
    <sheet name="List Values" sheetId="40" state="hidden" r:id="rId41"/>
  </sheets>
  <externalReferences>
    <externalReference r:id="rId42"/>
    <externalReference r:id="rId43"/>
    <externalReference r:id="rId44"/>
    <externalReference r:id="rId45"/>
    <externalReference r:id="rId46"/>
    <externalReference r:id="rId47"/>
  </externalReferences>
  <definedNames>
    <definedName name="_xlnm._FilterDatabase" localSheetId="23" hidden="1">'General Demand Volume'!$AY$18:$BI$1364</definedName>
    <definedName name="AÑO">'[1]Macros y listas'!$B$2:$B$4</definedName>
    <definedName name="BERMEJO1">OFFSET([2]DropDown!$O$5,0,0,COUNTA([2]DropDown!$O:$O),1)</definedName>
    <definedName name="CustomCat1">OFFSET([3]DropDown!$C$71,0,0,COUNTA([3]DropDown!$C:$C),1)</definedName>
    <definedName name="CustomCat2">[3]DropDown!$D$23:$D$27</definedName>
    <definedName name="CustomCat3">[3]DropDown!$D$28:$D$32</definedName>
    <definedName name="CustomCat4">[3]DropDown!$D$33:$D$37</definedName>
    <definedName name="CustomCat5">[3]DropDown!$D$38:$D$42</definedName>
    <definedName name="exchange_rate">[4]Assumptions!$B$5</definedName>
    <definedName name="FacilityTypeCat">OFFSET([3]DropDown!$C$71,0,0,COUNTA([3]DropDown!$C$71:$C$91),1)</definedName>
    <definedName name="FormatoCommMRG">OFFSET([5]DropDown!$C$71,0,0,COUNTA([5]DropDown!$C$71:$C$91),1)</definedName>
    <definedName name="InputWorksheets">[6]!Table1[Worksheet Name]</definedName>
    <definedName name="ListCommodity">OFFSET([3]DropDown!$O$5,0,0,COUNTA([3]DropDown!$O:$O),1)</definedName>
    <definedName name="ListCurrency">[3]DropDown!$C$48:$C$57</definedName>
    <definedName name="ListFacility">OFFSET([3]DropDown!$I$5,0,0,COUNTA([3]DropDown!$I:$I),1)</definedName>
    <definedName name="MES">'[1]Macros y listas'!$C$2:$C$13</definedName>
    <definedName name="resumen">'[4]Detailed SC Function costs'!$B$4:$K$54</definedName>
    <definedName name="resumen_ME">'[4]Detailed SC Function costs'!$B$408:$K$458</definedName>
    <definedName name="resumen_PNI">'[4]Detailed SC Function costs'!$B$206:$K$256</definedName>
    <definedName name="resumen_PROSAN">'[4]Detailed SC Function costs'!$B$307:$K$357</definedName>
    <definedName name="resumen_Salud_Reproductiva">'[4]Detailed SC Function costs'!$B$105:$K$180</definedName>
    <definedName name="Salaries" localSheetId="14">#REF!</definedName>
    <definedName name="Salaries" localSheetId="17">#REF!</definedName>
    <definedName name="Salaries">#REF!</definedName>
    <definedName name="SJ">OFFSET([3]DropDown!$O$5,0,0,COUNTA([3]DropDown!$O:$O),1)</definedName>
    <definedName name="Vehicle_Type">[3]DropDown!$T$4:$T$33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131" i="165" l="1"/>
  <c r="AG68" i="165"/>
  <c r="AF68" i="165"/>
  <c r="AG67" i="165"/>
  <c r="AF67" i="165"/>
  <c r="AG66" i="165"/>
  <c r="AF66" i="165"/>
  <c r="AG65" i="165"/>
  <c r="AF65" i="165"/>
  <c r="AG64" i="165"/>
  <c r="AF64" i="165"/>
  <c r="AG63" i="165"/>
  <c r="AF63" i="165"/>
  <c r="AG62" i="165"/>
  <c r="AF62" i="165"/>
  <c r="AG61" i="165"/>
  <c r="AF61" i="165"/>
  <c r="AG60" i="165"/>
  <c r="AF60" i="165"/>
  <c r="AG59" i="165"/>
  <c r="AF59" i="165"/>
  <c r="AG58" i="165"/>
  <c r="AF58" i="165"/>
  <c r="AG57" i="165"/>
  <c r="AF57" i="165"/>
  <c r="AG56" i="165"/>
  <c r="AF56" i="165"/>
  <c r="H45" i="165"/>
  <c r="H44" i="165"/>
  <c r="H43" i="165"/>
  <c r="H42" i="165"/>
  <c r="H41" i="165"/>
  <c r="H40" i="165"/>
  <c r="H39" i="165"/>
  <c r="H38" i="165"/>
  <c r="H37" i="165"/>
  <c r="H36" i="165"/>
  <c r="H35" i="165"/>
  <c r="H34" i="165"/>
  <c r="H4" i="165"/>
  <c r="Y131" i="164"/>
  <c r="AG68" i="164"/>
  <c r="AF68" i="164"/>
  <c r="AG67" i="164"/>
  <c r="AF67" i="164"/>
  <c r="AG66" i="164"/>
  <c r="AF66" i="164"/>
  <c r="AG65" i="164"/>
  <c r="AF65" i="164"/>
  <c r="AG64" i="164"/>
  <c r="AF64" i="164"/>
  <c r="AG63" i="164"/>
  <c r="AF63" i="164"/>
  <c r="AG62" i="164"/>
  <c r="AF62" i="164"/>
  <c r="AG61" i="164"/>
  <c r="AF61" i="164"/>
  <c r="AG60" i="164"/>
  <c r="AF60" i="164"/>
  <c r="AG59" i="164"/>
  <c r="AF59" i="164"/>
  <c r="AG58" i="164"/>
  <c r="AF58" i="164"/>
  <c r="AG57" i="164"/>
  <c r="AF57" i="164"/>
  <c r="AG56" i="164"/>
  <c r="AF56" i="164"/>
  <c r="H45" i="164"/>
  <c r="H44" i="164"/>
  <c r="H43" i="164"/>
  <c r="H42" i="164"/>
  <c r="H41" i="164"/>
  <c r="H40" i="164"/>
  <c r="H39" i="164"/>
  <c r="H38" i="164"/>
  <c r="H37" i="164"/>
  <c r="H36" i="164"/>
  <c r="H35" i="164"/>
  <c r="H34" i="164"/>
  <c r="H4" i="164"/>
  <c r="Y131" i="163"/>
  <c r="AG68" i="163"/>
  <c r="AF68" i="163"/>
  <c r="AG67" i="163"/>
  <c r="AF67" i="163"/>
  <c r="AG66" i="163"/>
  <c r="AF66" i="163"/>
  <c r="AG65" i="163"/>
  <c r="AF65" i="163"/>
  <c r="AG64" i="163"/>
  <c r="AF64" i="163"/>
  <c r="AG63" i="163"/>
  <c r="AF63" i="163"/>
  <c r="AG62" i="163"/>
  <c r="AF62" i="163"/>
  <c r="AG61" i="163"/>
  <c r="AF61" i="163"/>
  <c r="AG60" i="163"/>
  <c r="AF60" i="163"/>
  <c r="AG59" i="163"/>
  <c r="AF59" i="163"/>
  <c r="AG58" i="163"/>
  <c r="AF58" i="163"/>
  <c r="AG57" i="163"/>
  <c r="AF57" i="163"/>
  <c r="AG56" i="163"/>
  <c r="AF56" i="163"/>
  <c r="H45" i="163"/>
  <c r="H44" i="163"/>
  <c r="H43" i="163"/>
  <c r="H42" i="163"/>
  <c r="H41" i="163"/>
  <c r="H40" i="163"/>
  <c r="H39" i="163"/>
  <c r="H38" i="163"/>
  <c r="H37" i="163"/>
  <c r="H36" i="163"/>
  <c r="H35" i="163"/>
  <c r="H34" i="163"/>
  <c r="H46" i="163" s="1"/>
  <c r="AC57" i="163" s="1"/>
  <c r="AD57" i="163" s="1"/>
  <c r="H4" i="163"/>
  <c r="R95" i="162"/>
  <c r="F78" i="162"/>
  <c r="F77" i="162"/>
  <c r="F76" i="162"/>
  <c r="F75" i="162"/>
  <c r="F74" i="162"/>
  <c r="F73" i="162"/>
  <c r="F72" i="162"/>
  <c r="F71" i="162"/>
  <c r="F70" i="162"/>
  <c r="F69" i="162"/>
  <c r="F68" i="162"/>
  <c r="F67" i="162"/>
  <c r="F66" i="162"/>
  <c r="F65" i="162"/>
  <c r="F64" i="162"/>
  <c r="F63" i="162"/>
  <c r="F62" i="162"/>
  <c r="F61" i="162"/>
  <c r="F60" i="162"/>
  <c r="F59" i="162"/>
  <c r="F58" i="162"/>
  <c r="F57" i="162"/>
  <c r="F56" i="162"/>
  <c r="F55" i="162"/>
  <c r="F54" i="162"/>
  <c r="F53" i="162"/>
  <c r="F52" i="162"/>
  <c r="F51" i="162"/>
  <c r="F50" i="162"/>
  <c r="F49" i="162"/>
  <c r="F48" i="162"/>
  <c r="F47" i="162"/>
  <c r="F46" i="162"/>
  <c r="F45" i="162"/>
  <c r="F44" i="162"/>
  <c r="F43" i="162"/>
  <c r="P18" i="162"/>
  <c r="R95" i="161"/>
  <c r="F78" i="161"/>
  <c r="F77" i="161"/>
  <c r="F76" i="161"/>
  <c r="F75" i="161"/>
  <c r="F74" i="161"/>
  <c r="F73" i="161"/>
  <c r="F72" i="161"/>
  <c r="F71" i="161"/>
  <c r="F70" i="161"/>
  <c r="F69" i="161"/>
  <c r="F68" i="161"/>
  <c r="F67" i="161"/>
  <c r="F66" i="161"/>
  <c r="F65" i="161"/>
  <c r="F64" i="161"/>
  <c r="F63" i="161"/>
  <c r="F62" i="161"/>
  <c r="F61" i="161"/>
  <c r="F60" i="161"/>
  <c r="F59" i="161"/>
  <c r="F58" i="161"/>
  <c r="F57" i="161"/>
  <c r="F56" i="161"/>
  <c r="F55" i="161"/>
  <c r="F54" i="161"/>
  <c r="F53" i="161"/>
  <c r="F52" i="161"/>
  <c r="F51" i="161"/>
  <c r="F50" i="161"/>
  <c r="F49" i="161"/>
  <c r="F48" i="161"/>
  <c r="F47" i="161"/>
  <c r="F46" i="161"/>
  <c r="F45" i="161"/>
  <c r="F44" i="161"/>
  <c r="F43" i="161"/>
  <c r="P18" i="161"/>
  <c r="R95" i="160"/>
  <c r="F78" i="160"/>
  <c r="F77" i="160"/>
  <c r="F76" i="160"/>
  <c r="F75" i="160"/>
  <c r="F74" i="160"/>
  <c r="F73" i="160"/>
  <c r="F72" i="160"/>
  <c r="F71" i="160"/>
  <c r="F70" i="160"/>
  <c r="F69" i="160"/>
  <c r="F68" i="160"/>
  <c r="F67" i="160"/>
  <c r="F66" i="160"/>
  <c r="F65" i="160"/>
  <c r="F64" i="160"/>
  <c r="F63" i="160"/>
  <c r="F62" i="160"/>
  <c r="F61" i="160"/>
  <c r="F60" i="160"/>
  <c r="F59" i="160"/>
  <c r="F58" i="160"/>
  <c r="F57" i="160"/>
  <c r="F56" i="160"/>
  <c r="F55" i="160"/>
  <c r="F54" i="160"/>
  <c r="F53" i="160"/>
  <c r="F52" i="160"/>
  <c r="F51" i="160"/>
  <c r="F50" i="160"/>
  <c r="F49" i="160"/>
  <c r="F48" i="160"/>
  <c r="F47" i="160"/>
  <c r="F46" i="160"/>
  <c r="F45" i="160"/>
  <c r="F44" i="160"/>
  <c r="F43" i="160"/>
  <c r="P18" i="160"/>
  <c r="H108" i="162"/>
  <c r="H106" i="162"/>
  <c r="H17" i="162"/>
  <c r="H21" i="162"/>
  <c r="H108" i="161"/>
  <c r="H106" i="161"/>
  <c r="H104" i="161"/>
  <c r="H17" i="161"/>
  <c r="H66" i="162"/>
  <c r="H96" i="161"/>
  <c r="H17" i="160"/>
  <c r="H21" i="160"/>
  <c r="H21" i="161"/>
  <c r="H120" i="164"/>
  <c r="H125" i="164"/>
  <c r="H76" i="162"/>
  <c r="H73" i="161"/>
  <c r="H121" i="160"/>
  <c r="H127" i="165"/>
  <c r="H93" i="162"/>
  <c r="H105" i="163"/>
  <c r="H52" i="161"/>
  <c r="H76" i="160"/>
  <c r="H53" i="162"/>
  <c r="H36" i="161"/>
  <c r="H110" i="163"/>
  <c r="H9" i="161"/>
  <c r="H78" i="161"/>
  <c r="H119" i="165"/>
  <c r="H45" i="160"/>
  <c r="H106" i="164"/>
  <c r="H109" i="165"/>
  <c r="H67" i="162"/>
  <c r="H37" i="161"/>
  <c r="H96" i="160"/>
  <c r="K36" i="162"/>
  <c r="H69" i="160"/>
  <c r="H112" i="163"/>
  <c r="H119" i="163"/>
  <c r="H88" i="161"/>
  <c r="H49" i="160"/>
  <c r="H76" i="161"/>
  <c r="H77" i="160"/>
  <c r="H66" i="160"/>
  <c r="H104" i="160"/>
  <c r="H114" i="163"/>
  <c r="H113" i="162"/>
  <c r="H107" i="163"/>
  <c r="K37" i="161"/>
  <c r="H12" i="160"/>
  <c r="H33" i="165"/>
  <c r="H125" i="165"/>
  <c r="H31" i="163"/>
  <c r="H44" i="161"/>
  <c r="H60" i="160"/>
  <c r="H104" i="162"/>
  <c r="H96" i="162"/>
  <c r="H10" i="161"/>
  <c r="H33" i="164"/>
  <c r="H120" i="165"/>
  <c r="H48" i="161"/>
  <c r="H36" i="160"/>
  <c r="H110" i="165"/>
  <c r="H78" i="162"/>
  <c r="H99" i="161"/>
  <c r="H105" i="164"/>
  <c r="H67" i="161"/>
  <c r="H53" i="161"/>
  <c r="H53" i="160"/>
  <c r="H97" i="162"/>
  <c r="H33" i="163"/>
  <c r="H77" i="162"/>
  <c r="H124" i="165"/>
  <c r="H99" i="160"/>
  <c r="H127" i="164"/>
  <c r="H105" i="160"/>
  <c r="H95" i="161"/>
  <c r="H124" i="163"/>
  <c r="H51" i="161"/>
  <c r="H6" i="161"/>
  <c r="H114" i="162"/>
  <c r="H70" i="161"/>
  <c r="H112" i="161"/>
  <c r="H122" i="163"/>
  <c r="H32" i="164"/>
  <c r="H65" i="162"/>
  <c r="H93" i="161"/>
  <c r="H37" i="160"/>
  <c r="H36" i="162"/>
  <c r="H92" i="162"/>
  <c r="H115" i="164"/>
  <c r="H99" i="165"/>
  <c r="H51" i="162"/>
  <c r="H18" i="161"/>
  <c r="H65" i="160"/>
  <c r="H44" i="160"/>
  <c r="H47" i="160"/>
  <c r="H31" i="165"/>
  <c r="H109" i="161"/>
  <c r="H45" i="161"/>
  <c r="H125" i="163"/>
  <c r="H95" i="162"/>
  <c r="H18" i="162"/>
  <c r="H31" i="164"/>
  <c r="H122" i="164"/>
  <c r="H60" i="162"/>
  <c r="H49" i="161"/>
  <c r="H50" i="161" s="1"/>
  <c r="H45" i="162"/>
  <c r="H92" i="161"/>
  <c r="H107" i="165"/>
  <c r="H105" i="165"/>
  <c r="H100" i="163"/>
  <c r="H11" i="161"/>
  <c r="H11" i="160"/>
  <c r="H88" i="162"/>
  <c r="H70" i="162"/>
  <c r="H104" i="164"/>
  <c r="H88" i="160"/>
  <c r="H97" i="160"/>
  <c r="H119" i="164"/>
  <c r="H114" i="165"/>
  <c r="H10" i="162"/>
  <c r="H7" i="161"/>
  <c r="H73" i="160"/>
  <c r="H19" i="160"/>
  <c r="H126" i="163"/>
  <c r="H107" i="164"/>
  <c r="H121" i="162"/>
  <c r="H10" i="160"/>
  <c r="H116" i="161"/>
  <c r="H8" i="161"/>
  <c r="H116" i="163"/>
  <c r="H47" i="161"/>
  <c r="H51" i="160"/>
  <c r="H75" i="162"/>
  <c r="H18" i="160"/>
  <c r="H74" i="161"/>
  <c r="K31" i="161"/>
  <c r="K32" i="161"/>
  <c r="H34" i="161"/>
  <c r="H58" i="161"/>
  <c r="H31" i="161"/>
  <c r="K35" i="161"/>
  <c r="H102" i="165"/>
  <c r="H93" i="160"/>
  <c r="H92" i="160"/>
  <c r="H109" i="162"/>
  <c r="H54" i="162"/>
  <c r="H106" i="165"/>
  <c r="H109" i="164"/>
  <c r="H59" i="161"/>
  <c r="H115" i="163"/>
  <c r="H52" i="160"/>
  <c r="H52" i="162"/>
  <c r="H48" i="160"/>
  <c r="H113" i="161"/>
  <c r="H122" i="165"/>
  <c r="H117" i="162"/>
  <c r="H59" i="160"/>
  <c r="H104" i="165"/>
  <c r="H32" i="163"/>
  <c r="H117" i="161"/>
  <c r="H104" i="163"/>
  <c r="H105" i="162"/>
  <c r="H35" i="161"/>
  <c r="H29" i="161"/>
  <c r="K28" i="161"/>
  <c r="H117" i="165"/>
  <c r="H71" i="162"/>
  <c r="H106" i="163"/>
  <c r="H11" i="162"/>
  <c r="H114" i="160"/>
  <c r="H6" i="162"/>
  <c r="H60" i="161"/>
  <c r="H95" i="160"/>
  <c r="H114" i="164"/>
  <c r="H112" i="164"/>
  <c r="H73" i="162"/>
  <c r="H74" i="162" s="1"/>
  <c r="H7" i="162"/>
  <c r="H75" i="160"/>
  <c r="H54" i="161"/>
  <c r="H117" i="160"/>
  <c r="H113" i="160"/>
  <c r="H109" i="163"/>
  <c r="H54" i="160"/>
  <c r="H99" i="162"/>
  <c r="H72" i="160"/>
  <c r="H102" i="163"/>
  <c r="H110" i="164"/>
  <c r="H49" i="162"/>
  <c r="H50" i="162" s="1"/>
  <c r="H97" i="161"/>
  <c r="H7" i="160"/>
  <c r="K37" i="162"/>
  <c r="H66" i="161"/>
  <c r="H116" i="164"/>
  <c r="H100" i="165"/>
  <c r="H19" i="161"/>
  <c r="H71" i="161"/>
  <c r="H48" i="162"/>
  <c r="H109" i="160"/>
  <c r="H29" i="162"/>
  <c r="H99" i="164"/>
  <c r="K36" i="160"/>
  <c r="H75" i="161"/>
  <c r="H19" i="162"/>
  <c r="H69" i="162"/>
  <c r="H116" i="162"/>
  <c r="H117" i="163"/>
  <c r="H102" i="164"/>
  <c r="H44" i="162"/>
  <c r="H12" i="161"/>
  <c r="H70" i="160"/>
  <c r="H20" i="162"/>
  <c r="H69" i="161"/>
  <c r="H115" i="165"/>
  <c r="H120" i="163"/>
  <c r="H99" i="163"/>
  <c r="H37" i="162"/>
  <c r="H65" i="161"/>
  <c r="H78" i="160"/>
  <c r="K32" i="162"/>
  <c r="H77" i="161"/>
  <c r="H64" i="161"/>
  <c r="H117" i="164"/>
  <c r="K37" i="160"/>
  <c r="H32" i="165"/>
  <c r="H12" i="162"/>
  <c r="H46" i="161"/>
  <c r="H20" i="160"/>
  <c r="K29" i="161"/>
  <c r="H33" i="161"/>
  <c r="K34" i="161"/>
  <c r="H115" i="161"/>
  <c r="H57" i="161"/>
  <c r="H43" i="161"/>
  <c r="H126" i="164"/>
  <c r="H105" i="161"/>
  <c r="H20" i="161"/>
  <c r="H124" i="164"/>
  <c r="H121" i="161"/>
  <c r="H9" i="160"/>
  <c r="H9" i="162"/>
  <c r="H47" i="162"/>
  <c r="H72" i="161"/>
  <c r="K36" i="161"/>
  <c r="H100" i="164"/>
  <c r="K34" i="162"/>
  <c r="H67" i="160"/>
  <c r="H59" i="162"/>
  <c r="H116" i="165"/>
  <c r="H126" i="165"/>
  <c r="H127" i="163"/>
  <c r="H114" i="161"/>
  <c r="H112" i="165"/>
  <c r="H43" i="162"/>
  <c r="H6" i="160"/>
  <c r="K30" i="160"/>
  <c r="H72" i="162"/>
  <c r="H71" i="160"/>
  <c r="K33" i="160"/>
  <c r="H74" i="160"/>
  <c r="H31" i="160"/>
  <c r="H28" i="161"/>
  <c r="K33" i="161"/>
  <c r="H61" i="161"/>
  <c r="H55" i="161"/>
  <c r="K38" i="161"/>
  <c r="H32" i="161"/>
  <c r="K30" i="161"/>
  <c r="H63" i="161"/>
  <c r="H33" i="162"/>
  <c r="H112" i="162"/>
  <c r="H46" i="162"/>
  <c r="H34" i="162"/>
  <c r="H35" i="162"/>
  <c r="H58" i="162"/>
  <c r="K28" i="162"/>
  <c r="K35" i="162"/>
  <c r="K31" i="162"/>
  <c r="K38" i="162"/>
  <c r="K33" i="162"/>
  <c r="H8" i="162"/>
  <c r="H28" i="162"/>
  <c r="H32" i="162"/>
  <c r="H55" i="162"/>
  <c r="H64" i="162"/>
  <c r="H31" i="162"/>
  <c r="K29" i="162"/>
  <c r="H57" i="162"/>
  <c r="H115" i="162"/>
  <c r="H63" i="162"/>
  <c r="K30" i="162"/>
  <c r="H61" i="162"/>
  <c r="H116" i="160"/>
  <c r="K28" i="160"/>
  <c r="H61" i="160"/>
  <c r="H115" i="160"/>
  <c r="H8" i="160"/>
  <c r="H112" i="160"/>
  <c r="H46" i="160"/>
  <c r="K34" i="160"/>
  <c r="K32" i="160"/>
  <c r="H35" i="160"/>
  <c r="H63" i="160"/>
  <c r="H34" i="160"/>
  <c r="H55" i="160"/>
  <c r="H28" i="160"/>
  <c r="H29" i="160"/>
  <c r="K38" i="160"/>
  <c r="H64" i="160"/>
  <c r="H33" i="160"/>
  <c r="H50" i="160"/>
  <c r="H43" i="160"/>
  <c r="H32" i="160"/>
  <c r="K35" i="160"/>
  <c r="H57" i="160"/>
  <c r="H58" i="160"/>
  <c r="K31" i="160"/>
  <c r="K29" i="160"/>
  <c r="H46" i="165" l="1"/>
  <c r="AC57" i="165" s="1"/>
  <c r="AD57" i="165" s="1"/>
  <c r="H90" i="164"/>
  <c r="H89" i="164"/>
  <c r="H90" i="165"/>
  <c r="H89" i="165"/>
  <c r="H46" i="164"/>
  <c r="AB57" i="165"/>
  <c r="H90" i="163"/>
  <c r="H89" i="163"/>
  <c r="AB57" i="163"/>
  <c r="G120" i="161"/>
  <c r="G102" i="161"/>
  <c r="G91" i="161"/>
  <c r="Q261" i="162"/>
  <c r="T260" i="162"/>
  <c r="T319" i="162" s="1"/>
  <c r="Q260" i="162"/>
  <c r="Q316" i="162" s="1"/>
  <c r="W260" i="162"/>
  <c r="W306" i="162" s="1"/>
  <c r="W261" i="162"/>
  <c r="T197" i="162"/>
  <c r="T253" i="162" s="1"/>
  <c r="Q133" i="162"/>
  <c r="Q192" i="162" s="1"/>
  <c r="Q197" i="162"/>
  <c r="Q214" i="162" s="1"/>
  <c r="T261" i="162"/>
  <c r="Q123" i="162"/>
  <c r="W122" i="162"/>
  <c r="Q121" i="162"/>
  <c r="Q117" i="162"/>
  <c r="W116" i="162"/>
  <c r="Q115" i="162"/>
  <c r="W114" i="162"/>
  <c r="Q113" i="162"/>
  <c r="W112" i="162"/>
  <c r="Q111" i="162"/>
  <c r="W110" i="162"/>
  <c r="Q109" i="162"/>
  <c r="W108" i="162"/>
  <c r="Q107" i="162"/>
  <c r="W106" i="162"/>
  <c r="Q105" i="162"/>
  <c r="W104" i="162"/>
  <c r="W99" i="162"/>
  <c r="Q98" i="162"/>
  <c r="T97" i="162"/>
  <c r="T95" i="162"/>
  <c r="Q94" i="162"/>
  <c r="T93" i="162"/>
  <c r="W133" i="162"/>
  <c r="W182" i="162" s="1"/>
  <c r="T122" i="162"/>
  <c r="T116" i="162"/>
  <c r="T114" i="162"/>
  <c r="T112" i="162"/>
  <c r="T110" i="162"/>
  <c r="T108" i="162"/>
  <c r="T106" i="162"/>
  <c r="T104" i="162"/>
  <c r="T99" i="162"/>
  <c r="Q97" i="162"/>
  <c r="W96" i="162"/>
  <c r="Q93" i="162"/>
  <c r="W92" i="162"/>
  <c r="W88" i="162"/>
  <c r="W121" i="162"/>
  <c r="W115" i="162"/>
  <c r="Q114" i="162"/>
  <c r="W111" i="162"/>
  <c r="Q110" i="162"/>
  <c r="W107" i="162"/>
  <c r="Q106" i="162"/>
  <c r="Q324" i="162" s="1"/>
  <c r="Q99" i="162"/>
  <c r="T96" i="162"/>
  <c r="T94" i="162"/>
  <c r="Q88" i="162"/>
  <c r="T121" i="162"/>
  <c r="T115" i="162"/>
  <c r="T111" i="162"/>
  <c r="T107" i="162"/>
  <c r="W97" i="162"/>
  <c r="Q96" i="162"/>
  <c r="Q95" i="162"/>
  <c r="T92" i="162"/>
  <c r="W123" i="162"/>
  <c r="Q116" i="162"/>
  <c r="W113" i="162"/>
  <c r="Q108" i="162"/>
  <c r="W105" i="162"/>
  <c r="T88" i="162"/>
  <c r="T133" i="162"/>
  <c r="T176" i="162" s="1"/>
  <c r="W117" i="162"/>
  <c r="Q112" i="162"/>
  <c r="Q104" i="162"/>
  <c r="N133" i="162"/>
  <c r="N182" i="162" s="1"/>
  <c r="T117" i="162"/>
  <c r="T109" i="162"/>
  <c r="T98" i="162"/>
  <c r="W95" i="162"/>
  <c r="W93" i="162"/>
  <c r="W197" i="162"/>
  <c r="T123" i="162"/>
  <c r="T113" i="162"/>
  <c r="T105" i="162"/>
  <c r="Q92" i="162"/>
  <c r="Q122" i="162"/>
  <c r="W109" i="162"/>
  <c r="W98" i="162"/>
  <c r="W94" i="162"/>
  <c r="W261" i="161"/>
  <c r="W197" i="161"/>
  <c r="W252" i="161" s="1"/>
  <c r="T133" i="161"/>
  <c r="T192" i="161" s="1"/>
  <c r="T122" i="161"/>
  <c r="T116" i="161"/>
  <c r="T261" i="161"/>
  <c r="W260" i="161"/>
  <c r="W284" i="161" s="1"/>
  <c r="Q261" i="161"/>
  <c r="N133" i="161"/>
  <c r="N158" i="161" s="1"/>
  <c r="Q121" i="161"/>
  <c r="T117" i="161"/>
  <c r="W116" i="161"/>
  <c r="T114" i="161"/>
  <c r="T112" i="161"/>
  <c r="T110" i="161"/>
  <c r="T108" i="161"/>
  <c r="T106" i="161"/>
  <c r="T104" i="161"/>
  <c r="T99" i="161"/>
  <c r="Q97" i="161"/>
  <c r="W96" i="161"/>
  <c r="Q93" i="161"/>
  <c r="W92" i="161"/>
  <c r="W88" i="161"/>
  <c r="T260" i="161"/>
  <c r="T320" i="161" s="1"/>
  <c r="W205" i="161"/>
  <c r="T149" i="161"/>
  <c r="W121" i="161"/>
  <c r="T115" i="161"/>
  <c r="T111" i="161"/>
  <c r="T107" i="161"/>
  <c r="W93" i="161"/>
  <c r="Q92" i="161"/>
  <c r="W245" i="161"/>
  <c r="T197" i="161"/>
  <c r="T249" i="161" s="1"/>
  <c r="W123" i="161"/>
  <c r="Q117" i="161"/>
  <c r="Q116" i="161"/>
  <c r="W115" i="161"/>
  <c r="Q114" i="161"/>
  <c r="W113" i="161"/>
  <c r="Q112" i="161"/>
  <c r="W111" i="161"/>
  <c r="Q110" i="161"/>
  <c r="W109" i="161"/>
  <c r="Q108" i="161"/>
  <c r="W107" i="161"/>
  <c r="Q106" i="161"/>
  <c r="Q324" i="161" s="1"/>
  <c r="W105" i="161"/>
  <c r="Q104" i="161"/>
  <c r="Q99" i="161"/>
  <c r="W98" i="161"/>
  <c r="T96" i="161"/>
  <c r="Q95" i="161"/>
  <c r="W94" i="161"/>
  <c r="T92" i="161"/>
  <c r="T88" i="161"/>
  <c r="Q197" i="161"/>
  <c r="W133" i="161"/>
  <c r="W179" i="161" s="1"/>
  <c r="T123" i="161"/>
  <c r="W122" i="161"/>
  <c r="T113" i="161"/>
  <c r="T109" i="161"/>
  <c r="T105" i="161"/>
  <c r="T98" i="161"/>
  <c r="W97" i="161"/>
  <c r="Q96" i="161"/>
  <c r="W95" i="161"/>
  <c r="T94" i="161"/>
  <c r="Q88" i="161"/>
  <c r="T152" i="161"/>
  <c r="Q122" i="161"/>
  <c r="Q111" i="161"/>
  <c r="W108" i="161"/>
  <c r="T97" i="161"/>
  <c r="Q133" i="161"/>
  <c r="Q173" i="161" s="1"/>
  <c r="T121" i="161"/>
  <c r="Q113" i="161"/>
  <c r="W110" i="161"/>
  <c r="Q105" i="161"/>
  <c r="W99" i="161"/>
  <c r="Q260" i="161"/>
  <c r="Q269" i="161" s="1"/>
  <c r="Q115" i="161"/>
  <c r="W112" i="161"/>
  <c r="Q107" i="161"/>
  <c r="W104" i="161"/>
  <c r="Q94" i="161"/>
  <c r="W117" i="161"/>
  <c r="W106" i="161"/>
  <c r="T95" i="161"/>
  <c r="Q123" i="161"/>
  <c r="W114" i="161"/>
  <c r="Q109" i="161"/>
  <c r="Q98" i="161"/>
  <c r="T93" i="161"/>
  <c r="G91" i="162"/>
  <c r="G120" i="162"/>
  <c r="G102" i="162"/>
  <c r="Q261" i="160"/>
  <c r="T260" i="160"/>
  <c r="T311" i="160" s="1"/>
  <c r="Q260" i="160"/>
  <c r="Q308" i="160" s="1"/>
  <c r="W261" i="160"/>
  <c r="W260" i="160"/>
  <c r="W265" i="160" s="1"/>
  <c r="W197" i="160"/>
  <c r="W225" i="160" s="1"/>
  <c r="W133" i="160"/>
  <c r="W192" i="160" s="1"/>
  <c r="Q123" i="160"/>
  <c r="W122" i="160"/>
  <c r="Q121" i="160"/>
  <c r="T261" i="160"/>
  <c r="T197" i="160"/>
  <c r="T221" i="160" s="1"/>
  <c r="Q133" i="160"/>
  <c r="Q186" i="160" s="1"/>
  <c r="W123" i="160"/>
  <c r="N133" i="160"/>
  <c r="N183" i="160" s="1"/>
  <c r="T123" i="160"/>
  <c r="Q122" i="160"/>
  <c r="T121" i="160"/>
  <c r="T116" i="160"/>
  <c r="T114" i="160"/>
  <c r="T112" i="160"/>
  <c r="T110" i="160"/>
  <c r="T108" i="160"/>
  <c r="T106" i="160"/>
  <c r="T104" i="160"/>
  <c r="T99" i="160"/>
  <c r="Q97" i="160"/>
  <c r="W96" i="160"/>
  <c r="Q93" i="160"/>
  <c r="W92" i="160"/>
  <c r="W88" i="160"/>
  <c r="T133" i="160"/>
  <c r="T189" i="160" s="1"/>
  <c r="T122" i="160"/>
  <c r="W116" i="160"/>
  <c r="Q115" i="160"/>
  <c r="W112" i="160"/>
  <c r="W110" i="160"/>
  <c r="Q109" i="160"/>
  <c r="W108" i="160"/>
  <c r="Q107" i="160"/>
  <c r="W104" i="160"/>
  <c r="W99" i="160"/>
  <c r="T97" i="160"/>
  <c r="T95" i="160"/>
  <c r="T93" i="160"/>
  <c r="W117" i="160"/>
  <c r="Q116" i="160"/>
  <c r="W115" i="160"/>
  <c r="Q114" i="160"/>
  <c r="W113" i="160"/>
  <c r="Q112" i="160"/>
  <c r="W111" i="160"/>
  <c r="Q110" i="160"/>
  <c r="W109" i="160"/>
  <c r="Q108" i="160"/>
  <c r="W107" i="160"/>
  <c r="Q106" i="160"/>
  <c r="Q324" i="160" s="1"/>
  <c r="W105" i="160"/>
  <c r="Q104" i="160"/>
  <c r="Q99" i="160"/>
  <c r="W98" i="160"/>
  <c r="T96" i="160"/>
  <c r="Q95" i="160"/>
  <c r="W94" i="160"/>
  <c r="T92" i="160"/>
  <c r="T88" i="160"/>
  <c r="Q94" i="160"/>
  <c r="Q197" i="160"/>
  <c r="Q241" i="160" s="1"/>
  <c r="T117" i="160"/>
  <c r="T115" i="160"/>
  <c r="T113" i="160"/>
  <c r="T111" i="160"/>
  <c r="T109" i="160"/>
  <c r="T107" i="160"/>
  <c r="T105" i="160"/>
  <c r="T98" i="160"/>
  <c r="W97" i="160"/>
  <c r="Q96" i="160"/>
  <c r="W95" i="160"/>
  <c r="T94" i="160"/>
  <c r="W93" i="160"/>
  <c r="Q92" i="160"/>
  <c r="Q88" i="160"/>
  <c r="W121" i="160"/>
  <c r="Q117" i="160"/>
  <c r="W114" i="160"/>
  <c r="Q113" i="160"/>
  <c r="Q111" i="160"/>
  <c r="W106" i="160"/>
  <c r="Q105" i="160"/>
  <c r="Q98" i="160"/>
  <c r="G120" i="160"/>
  <c r="G91" i="160"/>
  <c r="G102" i="160"/>
  <c r="K108" i="162"/>
  <c r="K108" i="161"/>
  <c r="K104" i="161"/>
  <c r="N106" i="162"/>
  <c r="N108" i="162"/>
  <c r="K96" i="161"/>
  <c r="N104" i="161"/>
  <c r="K106" i="161"/>
  <c r="N96" i="161"/>
  <c r="K106" i="162"/>
  <c r="N106" i="161"/>
  <c r="H68" i="162"/>
  <c r="N88" i="162"/>
  <c r="N94" i="162"/>
  <c r="N143" i="160"/>
  <c r="K112" i="162"/>
  <c r="K260" i="160"/>
  <c r="K95" i="161"/>
  <c r="N104" i="160"/>
  <c r="N115" i="162"/>
  <c r="H68" i="160"/>
  <c r="K105" i="162"/>
  <c r="N197" i="160"/>
  <c r="H68" i="161"/>
  <c r="K94" i="161"/>
  <c r="K197" i="160"/>
  <c r="N109" i="162"/>
  <c r="N117" i="161"/>
  <c r="K92" i="160"/>
  <c r="N105" i="162"/>
  <c r="N139" i="162"/>
  <c r="K93" i="160"/>
  <c r="K116" i="162"/>
  <c r="N260" i="162"/>
  <c r="K98" i="162"/>
  <c r="K115" i="161"/>
  <c r="N135" i="160"/>
  <c r="N97" i="162"/>
  <c r="K93" i="162"/>
  <c r="N117" i="162"/>
  <c r="N94" i="161"/>
  <c r="K95" i="160"/>
  <c r="N113" i="162"/>
  <c r="K197" i="162"/>
  <c r="K117" i="161"/>
  <c r="N92" i="160"/>
  <c r="K88" i="160"/>
  <c r="K115" i="160"/>
  <c r="K104" i="160"/>
  <c r="N95" i="160"/>
  <c r="K105" i="161"/>
  <c r="K116" i="161"/>
  <c r="K133" i="160"/>
  <c r="N105" i="161"/>
  <c r="N105" i="160"/>
  <c r="K121" i="162"/>
  <c r="N113" i="160"/>
  <c r="K261" i="160"/>
  <c r="N108" i="161"/>
  <c r="K109" i="161"/>
  <c r="K121" i="161"/>
  <c r="K96" i="160"/>
  <c r="K94" i="162"/>
  <c r="N115" i="160"/>
  <c r="N92" i="162"/>
  <c r="N95" i="162"/>
  <c r="N197" i="161"/>
  <c r="N114" i="160"/>
  <c r="N153" i="160"/>
  <c r="N121" i="162"/>
  <c r="N114" i="162"/>
  <c r="N136" i="160"/>
  <c r="N138" i="161"/>
  <c r="N88" i="161"/>
  <c r="N150" i="162"/>
  <c r="K116" i="160"/>
  <c r="K133" i="162"/>
  <c r="N121" i="160"/>
  <c r="K117" i="162"/>
  <c r="K109" i="162"/>
  <c r="N137" i="160"/>
  <c r="K114" i="161"/>
  <c r="N142" i="160"/>
  <c r="N146" i="160"/>
  <c r="N197" i="162"/>
  <c r="N96" i="162"/>
  <c r="K112" i="160"/>
  <c r="K97" i="162"/>
  <c r="N138" i="160"/>
  <c r="N93" i="162"/>
  <c r="N144" i="162"/>
  <c r="K113" i="160"/>
  <c r="K121" i="160"/>
  <c r="K88" i="162"/>
  <c r="K115" i="162"/>
  <c r="N116" i="160"/>
  <c r="N112" i="160"/>
  <c r="N140" i="160"/>
  <c r="K92" i="162"/>
  <c r="N260" i="160"/>
  <c r="K97" i="160"/>
  <c r="K109" i="160"/>
  <c r="N121" i="161"/>
  <c r="K112" i="161"/>
  <c r="K197" i="161"/>
  <c r="K96" i="162"/>
  <c r="N111" i="162"/>
  <c r="K113" i="162"/>
  <c r="N149" i="162"/>
  <c r="N88" i="160"/>
  <c r="N92" i="161"/>
  <c r="K114" i="162"/>
  <c r="K95" i="162"/>
  <c r="N142" i="161"/>
  <c r="N104" i="162"/>
  <c r="N145" i="162"/>
  <c r="K98" i="160"/>
  <c r="N113" i="161"/>
  <c r="N93" i="160"/>
  <c r="N115" i="161"/>
  <c r="N114" i="161"/>
  <c r="N151" i="160"/>
  <c r="N116" i="161"/>
  <c r="N145" i="161"/>
  <c r="N152" i="160"/>
  <c r="N144" i="160"/>
  <c r="K260" i="161"/>
  <c r="N116" i="162"/>
  <c r="K98" i="161"/>
  <c r="K88" i="161"/>
  <c r="N97" i="160"/>
  <c r="K92" i="161"/>
  <c r="N95" i="161"/>
  <c r="N94" i="160"/>
  <c r="K113" i="161"/>
  <c r="N117" i="160"/>
  <c r="K94" i="160"/>
  <c r="N112" i="162"/>
  <c r="N109" i="161"/>
  <c r="K117" i="160"/>
  <c r="K93" i="161"/>
  <c r="K133" i="161"/>
  <c r="N108" i="160"/>
  <c r="N151" i="161"/>
  <c r="N97" i="161"/>
  <c r="N93" i="161"/>
  <c r="N260" i="161"/>
  <c r="N111" i="161"/>
  <c r="N112" i="161"/>
  <c r="N109" i="160"/>
  <c r="N111" i="160"/>
  <c r="K97" i="161"/>
  <c r="N96" i="160"/>
  <c r="K104" i="162"/>
  <c r="K114" i="160"/>
  <c r="K105" i="160"/>
  <c r="K260" i="162"/>
  <c r="Q279" i="160" l="1"/>
  <c r="W318" i="161"/>
  <c r="T136" i="161"/>
  <c r="N171" i="160"/>
  <c r="W139" i="160"/>
  <c r="T137" i="161"/>
  <c r="T151" i="161"/>
  <c r="Q209" i="162"/>
  <c r="W190" i="161"/>
  <c r="T160" i="161"/>
  <c r="W185" i="160"/>
  <c r="W156" i="160"/>
  <c r="T254" i="161"/>
  <c r="W278" i="161"/>
  <c r="N187" i="161"/>
  <c r="W155" i="161"/>
  <c r="T166" i="161"/>
  <c r="Q143" i="162"/>
  <c r="Q292" i="162"/>
  <c r="W151" i="160"/>
  <c r="N163" i="160"/>
  <c r="W160" i="160"/>
  <c r="W136" i="160"/>
  <c r="W168" i="160"/>
  <c r="Q187" i="160"/>
  <c r="W186" i="160"/>
  <c r="W137" i="160"/>
  <c r="N176" i="160"/>
  <c r="W215" i="161"/>
  <c r="W193" i="160"/>
  <c r="W152" i="160"/>
  <c r="W149" i="160"/>
  <c r="W183" i="162"/>
  <c r="Q239" i="162"/>
  <c r="W169" i="160"/>
  <c r="W175" i="160"/>
  <c r="T193" i="161"/>
  <c r="T157" i="161"/>
  <c r="W162" i="162"/>
  <c r="T199" i="162"/>
  <c r="N188" i="160"/>
  <c r="T187" i="161"/>
  <c r="W263" i="161"/>
  <c r="Q208" i="162"/>
  <c r="T205" i="162"/>
  <c r="AB57" i="164"/>
  <c r="AC57" i="164"/>
  <c r="AD57" i="164" s="1"/>
  <c r="N180" i="160"/>
  <c r="T185" i="161"/>
  <c r="T296" i="161"/>
  <c r="T143" i="161"/>
  <c r="W312" i="161"/>
  <c r="T246" i="162"/>
  <c r="W232" i="161"/>
  <c r="W139" i="161"/>
  <c r="W213" i="161"/>
  <c r="N190" i="162"/>
  <c r="W315" i="162"/>
  <c r="T274" i="162"/>
  <c r="Q305" i="160"/>
  <c r="W204" i="161"/>
  <c r="Q177" i="162"/>
  <c r="Q152" i="162"/>
  <c r="Q182" i="162"/>
  <c r="W290" i="162"/>
  <c r="W265" i="162"/>
  <c r="W307" i="162"/>
  <c r="Q321" i="162"/>
  <c r="Q201" i="162"/>
  <c r="Q162" i="162"/>
  <c r="Q284" i="160"/>
  <c r="T267" i="160"/>
  <c r="T153" i="161"/>
  <c r="T168" i="161"/>
  <c r="W156" i="161"/>
  <c r="T170" i="161"/>
  <c r="T183" i="161"/>
  <c r="T162" i="161"/>
  <c r="W246" i="161"/>
  <c r="W208" i="161"/>
  <c r="W230" i="161"/>
  <c r="Q245" i="162"/>
  <c r="Q276" i="162"/>
  <c r="T295" i="160"/>
  <c r="T313" i="160"/>
  <c r="Q167" i="161"/>
  <c r="T186" i="161"/>
  <c r="T169" i="161"/>
  <c r="T135" i="161"/>
  <c r="N180" i="161"/>
  <c r="T178" i="161"/>
  <c r="W211" i="161"/>
  <c r="W242" i="161"/>
  <c r="W247" i="161"/>
  <c r="T296" i="162"/>
  <c r="W207" i="161"/>
  <c r="W199" i="161"/>
  <c r="W212" i="161"/>
  <c r="W250" i="161"/>
  <c r="W234" i="161"/>
  <c r="Q168" i="162"/>
  <c r="Q175" i="162"/>
  <c r="T205" i="161"/>
  <c r="W224" i="161"/>
  <c r="T206" i="161"/>
  <c r="T221" i="161"/>
  <c r="W249" i="161"/>
  <c r="W254" i="161"/>
  <c r="W200" i="161"/>
  <c r="W228" i="161"/>
  <c r="W221" i="161"/>
  <c r="W225" i="161"/>
  <c r="W222" i="161"/>
  <c r="W239" i="161"/>
  <c r="W255" i="161"/>
  <c r="Q156" i="162"/>
  <c r="T203" i="162"/>
  <c r="T207" i="162"/>
  <c r="Q161" i="162"/>
  <c r="T208" i="162"/>
  <c r="Q141" i="162"/>
  <c r="Q187" i="162"/>
  <c r="T206" i="162"/>
  <c r="W278" i="162"/>
  <c r="T246" i="161"/>
  <c r="T229" i="161"/>
  <c r="W229" i="161"/>
  <c r="W220" i="161"/>
  <c r="W253" i="161"/>
  <c r="W216" i="161"/>
  <c r="W217" i="161"/>
  <c r="W251" i="161"/>
  <c r="T203" i="161"/>
  <c r="Q172" i="162"/>
  <c r="Q181" i="162"/>
  <c r="N155" i="160"/>
  <c r="N159" i="160"/>
  <c r="N192" i="160"/>
  <c r="Q292" i="160"/>
  <c r="Q276" i="160"/>
  <c r="W257" i="161"/>
  <c r="T237" i="161"/>
  <c r="T212" i="161"/>
  <c r="W241" i="161"/>
  <c r="T204" i="161"/>
  <c r="T280" i="161"/>
  <c r="T200" i="161"/>
  <c r="W201" i="161"/>
  <c r="W236" i="161"/>
  <c r="T313" i="161"/>
  <c r="W203" i="161"/>
  <c r="W237" i="161"/>
  <c r="W233" i="161"/>
  <c r="W209" i="161"/>
  <c r="W226" i="161"/>
  <c r="W243" i="161"/>
  <c r="Q193" i="162"/>
  <c r="Q136" i="162"/>
  <c r="T225" i="162"/>
  <c r="T242" i="162"/>
  <c r="Q169" i="162"/>
  <c r="Q153" i="162"/>
  <c r="W298" i="162"/>
  <c r="W273" i="162"/>
  <c r="W295" i="162"/>
  <c r="W147" i="160"/>
  <c r="W181" i="160"/>
  <c r="T148" i="160"/>
  <c r="W189" i="160"/>
  <c r="N167" i="160"/>
  <c r="W211" i="160"/>
  <c r="W140" i="160"/>
  <c r="W157" i="160"/>
  <c r="W173" i="160"/>
  <c r="W190" i="160"/>
  <c r="W153" i="160"/>
  <c r="W179" i="160"/>
  <c r="Q140" i="160"/>
  <c r="T316" i="160"/>
  <c r="T314" i="161"/>
  <c r="T298" i="161"/>
  <c r="T181" i="161"/>
  <c r="T310" i="161"/>
  <c r="T145" i="161"/>
  <c r="T177" i="161"/>
  <c r="T242" i="161"/>
  <c r="T279" i="161"/>
  <c r="T315" i="161"/>
  <c r="T165" i="161"/>
  <c r="T210" i="161"/>
  <c r="T236" i="161"/>
  <c r="Q157" i="162"/>
  <c r="Q140" i="162"/>
  <c r="Q148" i="162"/>
  <c r="Q160" i="162"/>
  <c r="Q164" i="162"/>
  <c r="Q135" i="162"/>
  <c r="Q185" i="162"/>
  <c r="Q178" i="162"/>
  <c r="Q137" i="162"/>
  <c r="Q158" i="162"/>
  <c r="Q179" i="162"/>
  <c r="Q142" i="162"/>
  <c r="T309" i="162"/>
  <c r="T291" i="162"/>
  <c r="T169" i="160"/>
  <c r="W162" i="160"/>
  <c r="W183" i="160"/>
  <c r="W163" i="160"/>
  <c r="T288" i="160"/>
  <c r="T280" i="160"/>
  <c r="Q146" i="161"/>
  <c r="T281" i="161"/>
  <c r="T265" i="161"/>
  <c r="Q150" i="162"/>
  <c r="T276" i="162"/>
  <c r="W135" i="160"/>
  <c r="W177" i="160"/>
  <c r="W144" i="160"/>
  <c r="W161" i="160"/>
  <c r="W178" i="160"/>
  <c r="W164" i="160"/>
  <c r="T242" i="160"/>
  <c r="T136" i="160"/>
  <c r="W141" i="160"/>
  <c r="W172" i="160"/>
  <c r="W143" i="160"/>
  <c r="W148" i="160"/>
  <c r="W165" i="160"/>
  <c r="W182" i="160"/>
  <c r="W145" i="160"/>
  <c r="W166" i="160"/>
  <c r="W187" i="160"/>
  <c r="T304" i="160"/>
  <c r="T296" i="160"/>
  <c r="T310" i="160"/>
  <c r="Q278" i="161"/>
  <c r="T264" i="161"/>
  <c r="T148" i="161"/>
  <c r="T161" i="161"/>
  <c r="T297" i="161"/>
  <c r="T309" i="161"/>
  <c r="T288" i="161"/>
  <c r="Q147" i="162"/>
  <c r="Q189" i="162"/>
  <c r="Q139" i="162"/>
  <c r="Q144" i="162"/>
  <c r="Q151" i="162"/>
  <c r="Q165" i="162"/>
  <c r="Q186" i="162"/>
  <c r="Q145" i="162"/>
  <c r="Q170" i="162"/>
  <c r="Q159" i="162"/>
  <c r="T292" i="162"/>
  <c r="T293" i="162"/>
  <c r="Q184" i="162"/>
  <c r="W165" i="161"/>
  <c r="W178" i="161"/>
  <c r="W149" i="162"/>
  <c r="Q320" i="162"/>
  <c r="T144" i="160"/>
  <c r="T161" i="160"/>
  <c r="Q143" i="160"/>
  <c r="Q137" i="160"/>
  <c r="Q188" i="160"/>
  <c r="Q148" i="160"/>
  <c r="Q306" i="160"/>
  <c r="T301" i="160"/>
  <c r="W140" i="161"/>
  <c r="W188" i="161"/>
  <c r="W136" i="161"/>
  <c r="W168" i="161"/>
  <c r="W184" i="161"/>
  <c r="T202" i="161"/>
  <c r="T251" i="161"/>
  <c r="W296" i="161"/>
  <c r="T225" i="161"/>
  <c r="W299" i="161"/>
  <c r="W317" i="161"/>
  <c r="W185" i="161"/>
  <c r="T209" i="161"/>
  <c r="T243" i="161"/>
  <c r="T139" i="161"/>
  <c r="W160" i="161"/>
  <c r="Q187" i="161"/>
  <c r="T222" i="161"/>
  <c r="Q291" i="161"/>
  <c r="T227" i="161"/>
  <c r="T240" i="161"/>
  <c r="T180" i="161"/>
  <c r="W206" i="161"/>
  <c r="W240" i="161"/>
  <c r="W287" i="161"/>
  <c r="W155" i="162"/>
  <c r="T295" i="162"/>
  <c r="T304" i="162"/>
  <c r="Q300" i="162"/>
  <c r="Q264" i="162"/>
  <c r="Q280" i="162"/>
  <c r="Q314" i="162"/>
  <c r="Q279" i="162"/>
  <c r="Q296" i="162"/>
  <c r="T211" i="162"/>
  <c r="T279" i="162"/>
  <c r="Q310" i="162"/>
  <c r="T264" i="162"/>
  <c r="T285" i="162"/>
  <c r="T297" i="162"/>
  <c r="W147" i="161"/>
  <c r="W149" i="161"/>
  <c r="Q146" i="160"/>
  <c r="T167" i="160"/>
  <c r="W283" i="161"/>
  <c r="W171" i="161"/>
  <c r="W172" i="161"/>
  <c r="W267" i="161"/>
  <c r="W138" i="161"/>
  <c r="W173" i="161"/>
  <c r="W157" i="161"/>
  <c r="W169" i="161"/>
  <c r="N191" i="161"/>
  <c r="T250" i="161"/>
  <c r="W301" i="161"/>
  <c r="T201" i="161"/>
  <c r="W142" i="161"/>
  <c r="W161" i="161"/>
  <c r="W192" i="161"/>
  <c r="T255" i="161"/>
  <c r="W183" i="161"/>
  <c r="T220" i="161"/>
  <c r="T253" i="161"/>
  <c r="T318" i="161"/>
  <c r="Q275" i="162"/>
  <c r="W145" i="162"/>
  <c r="W142" i="162"/>
  <c r="Q309" i="162"/>
  <c r="Q317" i="162"/>
  <c r="T312" i="162"/>
  <c r="T267" i="162"/>
  <c r="T284" i="162"/>
  <c r="T300" i="162"/>
  <c r="T317" i="162"/>
  <c r="Q263" i="162"/>
  <c r="T283" i="162"/>
  <c r="T308" i="162"/>
  <c r="T263" i="162"/>
  <c r="T288" i="162"/>
  <c r="T313" i="162"/>
  <c r="T268" i="162"/>
  <c r="Q286" i="162"/>
  <c r="T301" i="162"/>
  <c r="W276" i="162"/>
  <c r="W135" i="161"/>
  <c r="W167" i="161"/>
  <c r="T182" i="160"/>
  <c r="Q205" i="160"/>
  <c r="T138" i="160"/>
  <c r="T159" i="160"/>
  <c r="T177" i="160"/>
  <c r="W300" i="161"/>
  <c r="W189" i="161"/>
  <c r="W285" i="161"/>
  <c r="T226" i="161"/>
  <c r="Q266" i="161"/>
  <c r="W146" i="161"/>
  <c r="W182" i="161"/>
  <c r="T216" i="161"/>
  <c r="W143" i="161"/>
  <c r="T175" i="161"/>
  <c r="T244" i="161"/>
  <c r="T256" i="161"/>
  <c r="T306" i="161"/>
  <c r="T146" i="161"/>
  <c r="W223" i="161"/>
  <c r="W256" i="161"/>
  <c r="T308" i="161"/>
  <c r="W146" i="162"/>
  <c r="W153" i="162"/>
  <c r="W137" i="162"/>
  <c r="W138" i="162"/>
  <c r="W179" i="162"/>
  <c r="T270" i="162"/>
  <c r="Q176" i="162"/>
  <c r="Q267" i="162"/>
  <c r="T320" i="162"/>
  <c r="Q272" i="162"/>
  <c r="Q289" i="162"/>
  <c r="Q306" i="162"/>
  <c r="W320" i="162"/>
  <c r="T266" i="162"/>
  <c r="Q288" i="162"/>
  <c r="Q313" i="162"/>
  <c r="T271" i="162"/>
  <c r="Q293" i="162"/>
  <c r="W316" i="162"/>
  <c r="T272" i="162"/>
  <c r="T289" i="162"/>
  <c r="T310" i="162"/>
  <c r="W293" i="162"/>
  <c r="Q295" i="160"/>
  <c r="Q246" i="161"/>
  <c r="Q220" i="161"/>
  <c r="Q235" i="161"/>
  <c r="Q205" i="161"/>
  <c r="Q250" i="161"/>
  <c r="Q233" i="161"/>
  <c r="Q216" i="161"/>
  <c r="Q200" i="161"/>
  <c r="Q236" i="161"/>
  <c r="Q253" i="161"/>
  <c r="Q210" i="161"/>
  <c r="Q256" i="161"/>
  <c r="Q222" i="161"/>
  <c r="Q202" i="161"/>
  <c r="Q214" i="161"/>
  <c r="T178" i="160"/>
  <c r="T165" i="160"/>
  <c r="T186" i="160"/>
  <c r="Q309" i="160"/>
  <c r="N161" i="160"/>
  <c r="Q172" i="160"/>
  <c r="N186" i="160"/>
  <c r="Q275" i="160"/>
  <c r="W155" i="160"/>
  <c r="W188" i="160"/>
  <c r="W208" i="160"/>
  <c r="T283" i="160"/>
  <c r="Q207" i="160"/>
  <c r="Q300" i="160"/>
  <c r="Q254" i="160"/>
  <c r="Q268" i="160"/>
  <c r="Q280" i="160"/>
  <c r="Q297" i="160"/>
  <c r="Q310" i="160"/>
  <c r="T268" i="160"/>
  <c r="T289" i="160"/>
  <c r="T255" i="160"/>
  <c r="T315" i="160"/>
  <c r="Q312" i="161"/>
  <c r="Q234" i="161"/>
  <c r="Q223" i="161"/>
  <c r="Q248" i="161"/>
  <c r="Q230" i="161"/>
  <c r="Q265" i="161"/>
  <c r="T141" i="160"/>
  <c r="T175" i="160"/>
  <c r="T183" i="160"/>
  <c r="T150" i="160"/>
  <c r="Q244" i="160"/>
  <c r="Q296" i="160"/>
  <c r="Q267" i="160"/>
  <c r="Q271" i="160"/>
  <c r="Q272" i="160"/>
  <c r="Q301" i="160"/>
  <c r="Q269" i="160"/>
  <c r="Q217" i="161"/>
  <c r="Q317" i="161"/>
  <c r="Q305" i="161"/>
  <c r="Q314" i="161"/>
  <c r="Q283" i="161"/>
  <c r="Q318" i="161"/>
  <c r="Q287" i="161"/>
  <c r="Q308" i="161"/>
  <c r="Q321" i="161"/>
  <c r="Q290" i="161"/>
  <c r="Q271" i="161"/>
  <c r="Q273" i="161"/>
  <c r="Q311" i="161"/>
  <c r="Q293" i="161"/>
  <c r="Q276" i="161"/>
  <c r="Q310" i="161"/>
  <c r="Q203" i="161"/>
  <c r="Q272" i="161"/>
  <c r="N189" i="162"/>
  <c r="N159" i="162"/>
  <c r="N186" i="162"/>
  <c r="N172" i="162"/>
  <c r="N183" i="162"/>
  <c r="N175" i="162"/>
  <c r="N157" i="162"/>
  <c r="N155" i="162"/>
  <c r="N179" i="162"/>
  <c r="Q240" i="161"/>
  <c r="T142" i="160"/>
  <c r="T152" i="160"/>
  <c r="Q199" i="160"/>
  <c r="Q155" i="160"/>
  <c r="N168" i="160"/>
  <c r="N177" i="160"/>
  <c r="T312" i="160"/>
  <c r="W203" i="160"/>
  <c r="W142" i="160"/>
  <c r="Q173" i="160"/>
  <c r="T278" i="160"/>
  <c r="Q263" i="160"/>
  <c r="Q313" i="160"/>
  <c r="T270" i="160"/>
  <c r="Q317" i="160"/>
  <c r="T291" i="160"/>
  <c r="Q264" i="160"/>
  <c r="T275" i="160"/>
  <c r="Q289" i="160"/>
  <c r="T305" i="160"/>
  <c r="T321" i="160"/>
  <c r="T276" i="160"/>
  <c r="Q303" i="160"/>
  <c r="Q251" i="161"/>
  <c r="Q201" i="161"/>
  <c r="Q226" i="161"/>
  <c r="Q209" i="161"/>
  <c r="Q306" i="161"/>
  <c r="Q255" i="161"/>
  <c r="Q199" i="161"/>
  <c r="N176" i="161"/>
  <c r="N156" i="161"/>
  <c r="N175" i="161"/>
  <c r="N162" i="161"/>
  <c r="N181" i="161"/>
  <c r="W307" i="161"/>
  <c r="W277" i="161"/>
  <c r="W297" i="161"/>
  <c r="W279" i="161"/>
  <c r="W264" i="161"/>
  <c r="W294" i="161"/>
  <c r="W305" i="161"/>
  <c r="W310" i="161"/>
  <c r="W292" i="161"/>
  <c r="W274" i="161"/>
  <c r="W265" i="161"/>
  <c r="W313" i="161"/>
  <c r="W295" i="161"/>
  <c r="W311" i="161"/>
  <c r="W309" i="161"/>
  <c r="W291" i="161"/>
  <c r="W280" i="161"/>
  <c r="W268" i="161"/>
  <c r="W314" i="161"/>
  <c r="W316" i="161"/>
  <c r="Q288" i="161"/>
  <c r="Q256" i="162"/>
  <c r="Q203" i="162"/>
  <c r="Q257" i="162"/>
  <c r="Q210" i="162"/>
  <c r="Q222" i="162"/>
  <c r="Q242" i="162"/>
  <c r="Q228" i="162"/>
  <c r="Q235" i="162"/>
  <c r="Q217" i="162"/>
  <c r="Q247" i="162"/>
  <c r="Q243" i="162"/>
  <c r="Q205" i="162"/>
  <c r="Q204" i="162"/>
  <c r="Q225" i="162"/>
  <c r="Q253" i="162"/>
  <c r="Q219" i="162"/>
  <c r="Q211" i="162"/>
  <c r="Q202" i="162"/>
  <c r="Q200" i="162"/>
  <c r="Q254" i="162"/>
  <c r="W150" i="161"/>
  <c r="W186" i="161"/>
  <c r="T292" i="161"/>
  <c r="T144" i="161"/>
  <c r="W164" i="161"/>
  <c r="T179" i="161"/>
  <c r="T208" i="161"/>
  <c r="W151" i="161"/>
  <c r="Q138" i="161"/>
  <c r="T156" i="161"/>
  <c r="T173" i="161"/>
  <c r="T191" i="161"/>
  <c r="T230" i="161"/>
  <c r="T293" i="161"/>
  <c r="T311" i="161"/>
  <c r="T223" i="161"/>
  <c r="T273" i="161"/>
  <c r="T163" i="161"/>
  <c r="W210" i="161"/>
  <c r="W227" i="161"/>
  <c r="W244" i="161"/>
  <c r="T300" i="161"/>
  <c r="T291" i="161"/>
  <c r="W166" i="162"/>
  <c r="W281" i="162"/>
  <c r="T204" i="162"/>
  <c r="T229" i="162"/>
  <c r="Q284" i="162"/>
  <c r="W181" i="162"/>
  <c r="T233" i="162"/>
  <c r="T278" i="162"/>
  <c r="W165" i="162"/>
  <c r="T287" i="162"/>
  <c r="T275" i="162"/>
  <c r="W287" i="162"/>
  <c r="Q297" i="162"/>
  <c r="W312" i="162"/>
  <c r="T214" i="162"/>
  <c r="W269" i="162"/>
  <c r="W286" i="162"/>
  <c r="T299" i="162"/>
  <c r="T316" i="162"/>
  <c r="Q268" i="162"/>
  <c r="W283" i="162"/>
  <c r="T305" i="162"/>
  <c r="T321" i="162"/>
  <c r="Q269" i="162"/>
  <c r="T280" i="162"/>
  <c r="W292" i="162"/>
  <c r="Q303" i="162"/>
  <c r="T314" i="162"/>
  <c r="T265" i="162"/>
  <c r="T281" i="162"/>
  <c r="T298" i="162"/>
  <c r="T275" i="161"/>
  <c r="W166" i="161"/>
  <c r="T269" i="161"/>
  <c r="T274" i="161"/>
  <c r="W303" i="162"/>
  <c r="W319" i="162"/>
  <c r="T306" i="162"/>
  <c r="Q319" i="162"/>
  <c r="Q270" i="162"/>
  <c r="Q287" i="162"/>
  <c r="Q304" i="162"/>
  <c r="T266" i="161"/>
  <c r="T305" i="161"/>
  <c r="W177" i="162"/>
  <c r="W193" i="162"/>
  <c r="T239" i="162"/>
  <c r="T231" i="162"/>
  <c r="W275" i="162"/>
  <c r="W309" i="162"/>
  <c r="T273" i="162"/>
  <c r="T290" i="162"/>
  <c r="T307" i="162"/>
  <c r="K183" i="161"/>
  <c r="K166" i="161"/>
  <c r="K182" i="161"/>
  <c r="K164" i="161"/>
  <c r="K173" i="161"/>
  <c r="K156" i="161"/>
  <c r="K186" i="161"/>
  <c r="K168" i="161"/>
  <c r="K189" i="161"/>
  <c r="K172" i="161"/>
  <c r="K193" i="161"/>
  <c r="K176" i="161"/>
  <c r="K159" i="161"/>
  <c r="K179" i="161"/>
  <c r="K162" i="161"/>
  <c r="K181" i="161"/>
  <c r="K163" i="161"/>
  <c r="K190" i="161"/>
  <c r="K171" i="161"/>
  <c r="K155" i="161"/>
  <c r="K185" i="161"/>
  <c r="K167" i="161"/>
  <c r="K161" i="161"/>
  <c r="K191" i="161"/>
  <c r="K175" i="161"/>
  <c r="K158" i="161"/>
  <c r="K180" i="161"/>
  <c r="K188" i="161"/>
  <c r="K184" i="161"/>
  <c r="K192" i="161"/>
  <c r="K178" i="161"/>
  <c r="K160" i="161"/>
  <c r="K177" i="161"/>
  <c r="K187" i="161"/>
  <c r="K170" i="161"/>
  <c r="K157" i="161"/>
  <c r="K165" i="161"/>
  <c r="K169" i="161"/>
  <c r="M195" i="161"/>
  <c r="M259" i="161"/>
  <c r="M130" i="161"/>
  <c r="J120" i="161"/>
  <c r="J91" i="161"/>
  <c r="J102" i="161"/>
  <c r="J130" i="161"/>
  <c r="J195" i="161"/>
  <c r="J259" i="161"/>
  <c r="K253" i="162"/>
  <c r="K252" i="162"/>
  <c r="K248" i="162"/>
  <c r="K231" i="162"/>
  <c r="K214" i="162"/>
  <c r="K234" i="162"/>
  <c r="K217" i="162"/>
  <c r="K242" i="162"/>
  <c r="K225" i="162"/>
  <c r="K228" i="162"/>
  <c r="K215" i="162"/>
  <c r="K201" i="162"/>
  <c r="K208" i="162"/>
  <c r="K244" i="162"/>
  <c r="K227" i="162"/>
  <c r="K247" i="162"/>
  <c r="K230" i="162"/>
  <c r="K237" i="162"/>
  <c r="K221" i="162"/>
  <c r="K240" i="162"/>
  <c r="K223" i="162"/>
  <c r="K255" i="162"/>
  <c r="K243" i="162"/>
  <c r="K226" i="162"/>
  <c r="K256" i="162"/>
  <c r="K250" i="162"/>
  <c r="K233" i="162"/>
  <c r="K216" i="162"/>
  <c r="K209" i="162"/>
  <c r="K251" i="162"/>
  <c r="K224" i="162"/>
  <c r="K200" i="162"/>
  <c r="K207" i="162"/>
  <c r="K254" i="162"/>
  <c r="K257" i="162"/>
  <c r="K235" i="162"/>
  <c r="K229" i="162"/>
  <c r="K241" i="162"/>
  <c r="K212" i="162"/>
  <c r="K203" i="162"/>
  <c r="K199" i="162"/>
  <c r="K210" i="162"/>
  <c r="K232" i="162"/>
  <c r="K219" i="162"/>
  <c r="K239" i="162"/>
  <c r="K236" i="162"/>
  <c r="K220" i="162"/>
  <c r="K211" i="162"/>
  <c r="K202" i="162"/>
  <c r="K222" i="162"/>
  <c r="K205" i="162"/>
  <c r="K204" i="162"/>
  <c r="K249" i="162"/>
  <c r="K246" i="162"/>
  <c r="K245" i="162"/>
  <c r="K213" i="162"/>
  <c r="K206" i="162"/>
  <c r="N243" i="161"/>
  <c r="N226" i="161"/>
  <c r="N246" i="161"/>
  <c r="N229" i="161"/>
  <c r="N241" i="161"/>
  <c r="N227" i="161"/>
  <c r="N245" i="161"/>
  <c r="N220" i="161"/>
  <c r="N233" i="161"/>
  <c r="N255" i="161"/>
  <c r="N239" i="161"/>
  <c r="N222" i="161"/>
  <c r="N242" i="161"/>
  <c r="N225" i="161"/>
  <c r="N232" i="161"/>
  <c r="N252" i="161"/>
  <c r="N219" i="161"/>
  <c r="N248" i="161"/>
  <c r="N251" i="161"/>
  <c r="N234" i="161"/>
  <c r="N254" i="161"/>
  <c r="N237" i="161"/>
  <c r="N221" i="161"/>
  <c r="N257" i="161"/>
  <c r="N224" i="161"/>
  <c r="N228" i="161"/>
  <c r="N244" i="161"/>
  <c r="N256" i="161"/>
  <c r="N231" i="161"/>
  <c r="N247" i="161"/>
  <c r="N230" i="161"/>
  <c r="N250" i="161"/>
  <c r="N249" i="161"/>
  <c r="N235" i="161"/>
  <c r="N253" i="161"/>
  <c r="N236" i="161"/>
  <c r="N223" i="161"/>
  <c r="N240" i="161"/>
  <c r="K256" i="161"/>
  <c r="K240" i="161"/>
  <c r="K223" i="161"/>
  <c r="K206" i="161"/>
  <c r="K243" i="161"/>
  <c r="K226" i="161"/>
  <c r="K209" i="161"/>
  <c r="K254" i="161"/>
  <c r="K221" i="161"/>
  <c r="K199" i="161"/>
  <c r="K250" i="161"/>
  <c r="K241" i="161"/>
  <c r="K203" i="161"/>
  <c r="K233" i="161"/>
  <c r="K208" i="161"/>
  <c r="K228" i="161"/>
  <c r="K211" i="161"/>
  <c r="K213" i="161"/>
  <c r="K229" i="161"/>
  <c r="K252" i="161"/>
  <c r="K235" i="161"/>
  <c r="K219" i="161"/>
  <c r="K202" i="161"/>
  <c r="K255" i="161"/>
  <c r="K239" i="161"/>
  <c r="K222" i="161"/>
  <c r="K246" i="161"/>
  <c r="K212" i="161"/>
  <c r="K232" i="161"/>
  <c r="K242" i="161"/>
  <c r="K216" i="161"/>
  <c r="K207" i="161"/>
  <c r="K236" i="161"/>
  <c r="K253" i="161"/>
  <c r="K245" i="161"/>
  <c r="K248" i="161"/>
  <c r="K231" i="161"/>
  <c r="K214" i="161"/>
  <c r="K251" i="161"/>
  <c r="K234" i="161"/>
  <c r="K217" i="161"/>
  <c r="K237" i="161"/>
  <c r="K201" i="161"/>
  <c r="K257" i="161"/>
  <c r="K224" i="161"/>
  <c r="K205" i="161"/>
  <c r="K220" i="161"/>
  <c r="K247" i="161"/>
  <c r="K244" i="161"/>
  <c r="K227" i="161"/>
  <c r="K210" i="161"/>
  <c r="K230" i="161"/>
  <c r="K200" i="161"/>
  <c r="K249" i="161"/>
  <c r="K215" i="161"/>
  <c r="K204" i="161"/>
  <c r="K225" i="161"/>
  <c r="K311" i="161"/>
  <c r="K294" i="161"/>
  <c r="K277" i="161"/>
  <c r="K309" i="161"/>
  <c r="K291" i="161"/>
  <c r="K313" i="161"/>
  <c r="K295" i="161"/>
  <c r="K265" i="161"/>
  <c r="K316" i="161"/>
  <c r="K264" i="161"/>
  <c r="K299" i="161"/>
  <c r="K289" i="161"/>
  <c r="K271" i="161"/>
  <c r="K272" i="161"/>
  <c r="K288" i="161"/>
  <c r="K307" i="161"/>
  <c r="K290" i="161"/>
  <c r="K273" i="161"/>
  <c r="K308" i="161"/>
  <c r="K276" i="161"/>
  <c r="K312" i="161"/>
  <c r="K280" i="161"/>
  <c r="K305" i="161"/>
  <c r="K287" i="161"/>
  <c r="K321" i="161"/>
  <c r="K278" i="161"/>
  <c r="K318" i="161"/>
  <c r="K319" i="161"/>
  <c r="K303" i="161"/>
  <c r="K286" i="161"/>
  <c r="K269" i="161"/>
  <c r="K293" i="161"/>
  <c r="K275" i="161"/>
  <c r="K297" i="161"/>
  <c r="K279" i="161"/>
  <c r="K285" i="161"/>
  <c r="K320" i="161"/>
  <c r="K267" i="161"/>
  <c r="K306" i="161"/>
  <c r="K270" i="161"/>
  <c r="K314" i="161"/>
  <c r="K315" i="161"/>
  <c r="K298" i="161"/>
  <c r="K281" i="161"/>
  <c r="K310" i="161"/>
  <c r="K292" i="161"/>
  <c r="K274" i="161"/>
  <c r="K266" i="161"/>
  <c r="K296" i="161"/>
  <c r="K300" i="161"/>
  <c r="K283" i="161"/>
  <c r="K304" i="161"/>
  <c r="K317" i="161"/>
  <c r="K284" i="161"/>
  <c r="K268" i="161"/>
  <c r="K301" i="161"/>
  <c r="K263" i="161"/>
  <c r="N314" i="161"/>
  <c r="N297" i="161"/>
  <c r="N280" i="161"/>
  <c r="N313" i="161"/>
  <c r="N295" i="161"/>
  <c r="N277" i="161"/>
  <c r="N265" i="161"/>
  <c r="N317" i="161"/>
  <c r="N299" i="161"/>
  <c r="N281" i="161"/>
  <c r="N271" i="161"/>
  <c r="N319" i="161"/>
  <c r="N307" i="161"/>
  <c r="N263" i="161"/>
  <c r="N308" i="161"/>
  <c r="N292" i="161"/>
  <c r="N274" i="161"/>
  <c r="N310" i="161"/>
  <c r="N293" i="161"/>
  <c r="N276" i="161"/>
  <c r="N312" i="161"/>
  <c r="N294" i="161"/>
  <c r="N316" i="161"/>
  <c r="N298" i="161"/>
  <c r="N264" i="161"/>
  <c r="N305" i="161"/>
  <c r="N287" i="161"/>
  <c r="N269" i="161"/>
  <c r="N300" i="161"/>
  <c r="N283" i="161"/>
  <c r="N306" i="161"/>
  <c r="N289" i="161"/>
  <c r="N272" i="161"/>
  <c r="N311" i="161"/>
  <c r="N279" i="161"/>
  <c r="N315" i="161"/>
  <c r="N284" i="161"/>
  <c r="N320" i="161"/>
  <c r="N303" i="161"/>
  <c r="N267" i="161"/>
  <c r="N275" i="161"/>
  <c r="N321" i="161"/>
  <c r="N288" i="161"/>
  <c r="N270" i="161"/>
  <c r="N290" i="161"/>
  <c r="N318" i="161"/>
  <c r="N301" i="161"/>
  <c r="N285" i="161"/>
  <c r="N268" i="161"/>
  <c r="N296" i="161"/>
  <c r="N278" i="161"/>
  <c r="N286" i="161"/>
  <c r="N309" i="161"/>
  <c r="N291" i="161"/>
  <c r="N273" i="161"/>
  <c r="N304" i="161"/>
  <c r="N266" i="161"/>
  <c r="P259" i="162"/>
  <c r="P195" i="162"/>
  <c r="M102" i="162"/>
  <c r="P130" i="162"/>
  <c r="M120" i="162"/>
  <c r="M91" i="162"/>
  <c r="K190" i="162"/>
  <c r="K173" i="162"/>
  <c r="K157" i="162"/>
  <c r="K185" i="162"/>
  <c r="K182" i="162"/>
  <c r="K165" i="162"/>
  <c r="K193" i="162"/>
  <c r="K177" i="162"/>
  <c r="K160" i="162"/>
  <c r="K184" i="162"/>
  <c r="K167" i="162"/>
  <c r="K178" i="162"/>
  <c r="K181" i="162"/>
  <c r="K179" i="162"/>
  <c r="K191" i="162"/>
  <c r="K155" i="162"/>
  <c r="K170" i="162"/>
  <c r="K183" i="162"/>
  <c r="K169" i="162"/>
  <c r="K163" i="162"/>
  <c r="K159" i="162"/>
  <c r="K162" i="162"/>
  <c r="K175" i="162"/>
  <c r="K158" i="162"/>
  <c r="K161" i="162"/>
  <c r="K189" i="162"/>
  <c r="K156" i="162"/>
  <c r="K180" i="162"/>
  <c r="K176" i="162"/>
  <c r="K171" i="162"/>
  <c r="K166" i="162"/>
  <c r="K186" i="162"/>
  <c r="K172" i="162"/>
  <c r="K168" i="162"/>
  <c r="K164" i="162"/>
  <c r="K192" i="162"/>
  <c r="K188" i="162"/>
  <c r="K187" i="162"/>
  <c r="N253" i="162"/>
  <c r="N256" i="162"/>
  <c r="N234" i="162"/>
  <c r="N237" i="162"/>
  <c r="N221" i="162"/>
  <c r="N245" i="162"/>
  <c r="N228" i="162"/>
  <c r="N244" i="162"/>
  <c r="N252" i="162"/>
  <c r="N247" i="162"/>
  <c r="N230" i="162"/>
  <c r="N250" i="162"/>
  <c r="N233" i="162"/>
  <c r="N251" i="162"/>
  <c r="N241" i="162"/>
  <c r="N224" i="162"/>
  <c r="N255" i="162"/>
  <c r="N243" i="162"/>
  <c r="N226" i="162"/>
  <c r="N246" i="162"/>
  <c r="N229" i="162"/>
  <c r="N236" i="162"/>
  <c r="N220" i="162"/>
  <c r="N248" i="162"/>
  <c r="N240" i="162"/>
  <c r="N257" i="162"/>
  <c r="N222" i="162"/>
  <c r="N242" i="162"/>
  <c r="N231" i="162"/>
  <c r="N223" i="162"/>
  <c r="N254" i="162"/>
  <c r="N225" i="162"/>
  <c r="N249" i="162"/>
  <c r="N227" i="162"/>
  <c r="N235" i="162"/>
  <c r="N239" i="162"/>
  <c r="N232" i="162"/>
  <c r="N219" i="162"/>
  <c r="P259" i="161"/>
  <c r="M102" i="161"/>
  <c r="P195" i="161"/>
  <c r="M120" i="161"/>
  <c r="M91" i="161"/>
  <c r="P130" i="161"/>
  <c r="M259" i="162"/>
  <c r="M130" i="162"/>
  <c r="J120" i="162"/>
  <c r="M195" i="162"/>
  <c r="J102" i="162"/>
  <c r="J91" i="162"/>
  <c r="J259" i="162"/>
  <c r="J195" i="162"/>
  <c r="J130" i="162"/>
  <c r="K310" i="162"/>
  <c r="K293" i="162"/>
  <c r="K276" i="162"/>
  <c r="K309" i="162"/>
  <c r="K292" i="162"/>
  <c r="K275" i="162"/>
  <c r="K295" i="162"/>
  <c r="K315" i="162"/>
  <c r="K281" i="162"/>
  <c r="K308" i="162"/>
  <c r="K274" i="162"/>
  <c r="K319" i="162"/>
  <c r="K306" i="162"/>
  <c r="K289" i="162"/>
  <c r="K272" i="162"/>
  <c r="K321" i="162"/>
  <c r="K305" i="162"/>
  <c r="K288" i="162"/>
  <c r="K271" i="162"/>
  <c r="K320" i="162"/>
  <c r="K287" i="162"/>
  <c r="K307" i="162"/>
  <c r="K273" i="162"/>
  <c r="K299" i="162"/>
  <c r="K266" i="162"/>
  <c r="K318" i="162"/>
  <c r="K301" i="162"/>
  <c r="K285" i="162"/>
  <c r="K268" i="162"/>
  <c r="K317" i="162"/>
  <c r="K300" i="162"/>
  <c r="K284" i="162"/>
  <c r="K267" i="162"/>
  <c r="K312" i="162"/>
  <c r="K278" i="162"/>
  <c r="K298" i="162"/>
  <c r="K265" i="162"/>
  <c r="K291" i="162"/>
  <c r="K311" i="162"/>
  <c r="K314" i="162"/>
  <c r="K297" i="162"/>
  <c r="K280" i="162"/>
  <c r="K264" i="162"/>
  <c r="K313" i="162"/>
  <c r="K296" i="162"/>
  <c r="K279" i="162"/>
  <c r="K263" i="162"/>
  <c r="K270" i="162"/>
  <c r="K283" i="162"/>
  <c r="K303" i="162"/>
  <c r="K269" i="162"/>
  <c r="K290" i="162"/>
  <c r="K286" i="162"/>
  <c r="K304" i="162"/>
  <c r="K316" i="162"/>
  <c r="K294" i="162"/>
  <c r="K277" i="162"/>
  <c r="N313" i="162"/>
  <c r="N296" i="162"/>
  <c r="N279" i="162"/>
  <c r="N263" i="162"/>
  <c r="N312" i="162"/>
  <c r="N295" i="162"/>
  <c r="N278" i="162"/>
  <c r="N315" i="162"/>
  <c r="N281" i="162"/>
  <c r="N301" i="162"/>
  <c r="N268" i="162"/>
  <c r="N294" i="162"/>
  <c r="N314" i="162"/>
  <c r="N309" i="162"/>
  <c r="N292" i="162"/>
  <c r="N275" i="162"/>
  <c r="N308" i="162"/>
  <c r="N291" i="162"/>
  <c r="N274" i="162"/>
  <c r="N307" i="162"/>
  <c r="N273" i="162"/>
  <c r="N293" i="162"/>
  <c r="N319" i="162"/>
  <c r="N286" i="162"/>
  <c r="N280" i="162"/>
  <c r="N321" i="162"/>
  <c r="N305" i="162"/>
  <c r="N288" i="162"/>
  <c r="N271" i="162"/>
  <c r="N320" i="162"/>
  <c r="N304" i="162"/>
  <c r="N287" i="162"/>
  <c r="N270" i="162"/>
  <c r="N298" i="162"/>
  <c r="N265" i="162"/>
  <c r="N318" i="162"/>
  <c r="N285" i="162"/>
  <c r="N311" i="162"/>
  <c r="N277" i="162"/>
  <c r="N306" i="162"/>
  <c r="N289" i="162"/>
  <c r="N317" i="162"/>
  <c r="N300" i="162"/>
  <c r="N284" i="162"/>
  <c r="N267" i="162"/>
  <c r="N316" i="162"/>
  <c r="N299" i="162"/>
  <c r="N283" i="162"/>
  <c r="N266" i="162"/>
  <c r="N310" i="162"/>
  <c r="N303" i="162"/>
  <c r="N272" i="162"/>
  <c r="N297" i="162"/>
  <c r="N269" i="162"/>
  <c r="N264" i="162"/>
  <c r="N290" i="162"/>
  <c r="N276" i="162"/>
  <c r="W250" i="160"/>
  <c r="W309" i="160"/>
  <c r="W275" i="160"/>
  <c r="W290" i="160"/>
  <c r="W298" i="160"/>
  <c r="W292" i="160"/>
  <c r="W283" i="160"/>
  <c r="W301" i="160"/>
  <c r="W299" i="160"/>
  <c r="W319" i="160"/>
  <c r="W281" i="160"/>
  <c r="W318" i="160"/>
  <c r="T253" i="160"/>
  <c r="T250" i="160"/>
  <c r="T220" i="160"/>
  <c r="T205" i="160"/>
  <c r="T200" i="160"/>
  <c r="T203" i="160"/>
  <c r="T216" i="160"/>
  <c r="T225" i="160"/>
  <c r="T213" i="160"/>
  <c r="T208" i="160"/>
  <c r="T257" i="160"/>
  <c r="T210" i="160"/>
  <c r="T247" i="160"/>
  <c r="T230" i="160"/>
  <c r="T236" i="160"/>
  <c r="T227" i="160"/>
  <c r="W254" i="160"/>
  <c r="W222" i="160"/>
  <c r="W205" i="160"/>
  <c r="W242" i="160"/>
  <c r="W216" i="160"/>
  <c r="W251" i="160"/>
  <c r="W207" i="160"/>
  <c r="W236" i="160"/>
  <c r="W215" i="160"/>
  <c r="W228" i="160"/>
  <c r="W253" i="160"/>
  <c r="W247" i="160"/>
  <c r="W230" i="160"/>
  <c r="W212" i="160"/>
  <c r="W224" i="160"/>
  <c r="W199" i="160"/>
  <c r="W240" i="160"/>
  <c r="W206" i="160"/>
  <c r="W255" i="160"/>
  <c r="W239" i="160"/>
  <c r="W213" i="160"/>
  <c r="W233" i="160"/>
  <c r="W241" i="160"/>
  <c r="W220" i="160"/>
  <c r="W249" i="160"/>
  <c r="W200" i="160"/>
  <c r="W232" i="160"/>
  <c r="W245" i="160"/>
  <c r="T229" i="160"/>
  <c r="T244" i="160"/>
  <c r="W223" i="160"/>
  <c r="W268" i="160"/>
  <c r="Q189" i="161"/>
  <c r="Q172" i="161"/>
  <c r="Q156" i="161"/>
  <c r="Q139" i="161"/>
  <c r="Q186" i="161"/>
  <c r="Q155" i="161"/>
  <c r="Q137" i="161"/>
  <c r="Q190" i="161"/>
  <c r="Q159" i="161"/>
  <c r="Q141" i="161"/>
  <c r="Q163" i="161"/>
  <c r="Q183" i="161"/>
  <c r="Q165" i="161"/>
  <c r="Q150" i="161"/>
  <c r="Q185" i="161"/>
  <c r="Q168" i="161"/>
  <c r="Q151" i="161"/>
  <c r="Q135" i="161"/>
  <c r="Q171" i="161"/>
  <c r="Q153" i="161"/>
  <c r="Q136" i="161"/>
  <c r="Q180" i="161"/>
  <c r="Q162" i="161"/>
  <c r="Q145" i="161"/>
  <c r="Q176" i="161"/>
  <c r="Q158" i="161"/>
  <c r="Q140" i="161"/>
  <c r="Q179" i="161"/>
  <c r="Q161" i="161"/>
  <c r="Q182" i="161"/>
  <c r="Q149" i="161"/>
  <c r="Q160" i="161"/>
  <c r="Q181" i="161"/>
  <c r="Q164" i="161"/>
  <c r="Q147" i="161"/>
  <c r="Q188" i="161"/>
  <c r="Q170" i="161"/>
  <c r="Q152" i="161"/>
  <c r="Q178" i="161"/>
  <c r="Q144" i="161"/>
  <c r="Q192" i="161"/>
  <c r="Q175" i="161"/>
  <c r="Q157" i="161"/>
  <c r="Q184" i="161"/>
  <c r="Q166" i="161"/>
  <c r="Q148" i="161"/>
  <c r="Q193" i="161"/>
  <c r="Q177" i="161"/>
  <c r="Q143" i="161"/>
  <c r="Q142" i="161"/>
  <c r="Q191" i="161"/>
  <c r="N186" i="161"/>
  <c r="N169" i="161"/>
  <c r="N168" i="161"/>
  <c r="N192" i="161"/>
  <c r="N172" i="161"/>
  <c r="N155" i="161"/>
  <c r="N157" i="161"/>
  <c r="N182" i="161"/>
  <c r="N165" i="161"/>
  <c r="N185" i="161"/>
  <c r="N167" i="161"/>
  <c r="N189" i="161"/>
  <c r="N171" i="161"/>
  <c r="N179" i="161"/>
  <c r="N164" i="161"/>
  <c r="N163" i="161"/>
  <c r="N178" i="161"/>
  <c r="N161" i="161"/>
  <c r="N184" i="161"/>
  <c r="N166" i="161"/>
  <c r="N160" i="161"/>
  <c r="N188" i="161"/>
  <c r="N170" i="161"/>
  <c r="N193" i="161"/>
  <c r="N177" i="161"/>
  <c r="N159" i="161"/>
  <c r="N190" i="161"/>
  <c r="N173" i="161"/>
  <c r="Q169" i="161"/>
  <c r="N183" i="161"/>
  <c r="W244" i="162"/>
  <c r="W227" i="162"/>
  <c r="W251" i="162"/>
  <c r="W247" i="162"/>
  <c r="W230" i="162"/>
  <c r="W252" i="162"/>
  <c r="W237" i="162"/>
  <c r="W221" i="162"/>
  <c r="W241" i="162"/>
  <c r="W204" i="162"/>
  <c r="W256" i="162"/>
  <c r="W240" i="162"/>
  <c r="W223" i="162"/>
  <c r="W243" i="162"/>
  <c r="W226" i="162"/>
  <c r="W233" i="162"/>
  <c r="W216" i="162"/>
  <c r="W224" i="162"/>
  <c r="W254" i="162"/>
  <c r="W257" i="162"/>
  <c r="W235" i="162"/>
  <c r="W219" i="162"/>
  <c r="W239" i="162"/>
  <c r="W222" i="162"/>
  <c r="W246" i="162"/>
  <c r="W229" i="162"/>
  <c r="W205" i="162"/>
  <c r="W236" i="162"/>
  <c r="W255" i="162"/>
  <c r="W203" i="162"/>
  <c r="W250" i="162"/>
  <c r="W253" i="162"/>
  <c r="T183" i="162"/>
  <c r="T166" i="162"/>
  <c r="T149" i="162"/>
  <c r="T191" i="162"/>
  <c r="T175" i="162"/>
  <c r="T158" i="162"/>
  <c r="T141" i="162"/>
  <c r="T186" i="162"/>
  <c r="T169" i="162"/>
  <c r="T152" i="162"/>
  <c r="T136" i="162"/>
  <c r="T193" i="162"/>
  <c r="T177" i="162"/>
  <c r="T160" i="162"/>
  <c r="T159" i="162"/>
  <c r="V120" i="162"/>
  <c r="V102" i="162"/>
  <c r="V91" i="162"/>
  <c r="T156" i="162"/>
  <c r="T167" i="162"/>
  <c r="W213" i="162"/>
  <c r="W210" i="162"/>
  <c r="W199" i="162"/>
  <c r="W208" i="162"/>
  <c r="W220" i="162"/>
  <c r="T145" i="162"/>
  <c r="T179" i="162"/>
  <c r="W209" i="162"/>
  <c r="W217" i="162"/>
  <c r="Q190" i="160"/>
  <c r="P120" i="161"/>
  <c r="P91" i="161"/>
  <c r="S130" i="161"/>
  <c r="S259" i="161"/>
  <c r="S195" i="161"/>
  <c r="P102" i="161"/>
  <c r="V102" i="161"/>
  <c r="V91" i="161"/>
  <c r="V120" i="161"/>
  <c r="Q244" i="161"/>
  <c r="Q224" i="161"/>
  <c r="Q241" i="161"/>
  <c r="Q257" i="161"/>
  <c r="Q263" i="161"/>
  <c r="Q270" i="161"/>
  <c r="Q301" i="161"/>
  <c r="Q319" i="161"/>
  <c r="W137" i="161"/>
  <c r="T150" i="161"/>
  <c r="W153" i="161"/>
  <c r="T167" i="161"/>
  <c r="W170" i="161"/>
  <c r="T184" i="161"/>
  <c r="W187" i="161"/>
  <c r="Q204" i="161"/>
  <c r="T207" i="161"/>
  <c r="Q221" i="161"/>
  <c r="T224" i="161"/>
  <c r="Q237" i="161"/>
  <c r="T241" i="161"/>
  <c r="Q254" i="161"/>
  <c r="T257" i="161"/>
  <c r="T263" i="161"/>
  <c r="W266" i="161"/>
  <c r="W270" i="161"/>
  <c r="T284" i="161"/>
  <c r="W288" i="161"/>
  <c r="Q297" i="161"/>
  <c r="T301" i="161"/>
  <c r="W306" i="161"/>
  <c r="Q315" i="161"/>
  <c r="T319" i="161"/>
  <c r="Q275" i="161"/>
  <c r="T278" i="161"/>
  <c r="W281" i="161"/>
  <c r="Q292" i="161"/>
  <c r="T295" i="161"/>
  <c r="W298" i="161"/>
  <c r="Q309" i="161"/>
  <c r="T312" i="161"/>
  <c r="W315" i="161"/>
  <c r="W211" i="162"/>
  <c r="V259" i="162"/>
  <c r="V195" i="162"/>
  <c r="S91" i="162"/>
  <c r="V130" i="162"/>
  <c r="S120" i="162"/>
  <c r="S102" i="162"/>
  <c r="T150" i="162"/>
  <c r="T135" i="162"/>
  <c r="T192" i="162"/>
  <c r="W245" i="162"/>
  <c r="W150" i="162"/>
  <c r="N158" i="162"/>
  <c r="W170" i="162"/>
  <c r="T184" i="162"/>
  <c r="T138" i="162"/>
  <c r="W158" i="162"/>
  <c r="T171" i="162"/>
  <c r="N162" i="162"/>
  <c r="N166" i="162"/>
  <c r="W184" i="162"/>
  <c r="W188" i="162"/>
  <c r="W192" i="162"/>
  <c r="W215" i="162"/>
  <c r="W232" i="162"/>
  <c r="W249" i="162"/>
  <c r="W160" i="162"/>
  <c r="W164" i="162"/>
  <c r="W168" i="162"/>
  <c r="T173" i="162"/>
  <c r="T178" i="162"/>
  <c r="T182" i="162"/>
  <c r="Q180" i="162"/>
  <c r="Q163" i="162"/>
  <c r="Q146" i="162"/>
  <c r="Q191" i="162"/>
  <c r="Q188" i="162"/>
  <c r="Q171" i="162"/>
  <c r="Q155" i="162"/>
  <c r="Q138" i="162"/>
  <c r="Q183" i="162"/>
  <c r="Q166" i="162"/>
  <c r="Q149" i="162"/>
  <c r="Q190" i="162"/>
  <c r="Q173" i="162"/>
  <c r="W140" i="162"/>
  <c r="T153" i="162"/>
  <c r="Q167" i="162"/>
  <c r="W173" i="162"/>
  <c r="N181" i="162"/>
  <c r="T187" i="162"/>
  <c r="T241" i="162"/>
  <c r="T224" i="162"/>
  <c r="T244" i="162"/>
  <c r="T227" i="162"/>
  <c r="T234" i="162"/>
  <c r="T217" i="162"/>
  <c r="T210" i="162"/>
  <c r="T216" i="162"/>
  <c r="T201" i="162"/>
  <c r="T255" i="162"/>
  <c r="T236" i="162"/>
  <c r="T220" i="162"/>
  <c r="T256" i="162"/>
  <c r="T240" i="162"/>
  <c r="T223" i="162"/>
  <c r="T257" i="162"/>
  <c r="T247" i="162"/>
  <c r="T230" i="162"/>
  <c r="T252" i="162"/>
  <c r="T237" i="162"/>
  <c r="T213" i="162"/>
  <c r="T251" i="162"/>
  <c r="T254" i="162"/>
  <c r="T249" i="162"/>
  <c r="T232" i="162"/>
  <c r="T215" i="162"/>
  <c r="T235" i="162"/>
  <c r="T219" i="162"/>
  <c r="T243" i="162"/>
  <c r="T226" i="162"/>
  <c r="T221" i="162"/>
  <c r="T212" i="162"/>
  <c r="T202" i="162"/>
  <c r="T209" i="162"/>
  <c r="T200" i="162"/>
  <c r="T250" i="162"/>
  <c r="T222" i="162"/>
  <c r="W234" i="162"/>
  <c r="T248" i="162"/>
  <c r="W214" i="162"/>
  <c r="T228" i="162"/>
  <c r="Q181" i="160"/>
  <c r="Q165" i="160"/>
  <c r="T269" i="160"/>
  <c r="Q139" i="160"/>
  <c r="Q175" i="160"/>
  <c r="Q191" i="160"/>
  <c r="Q141" i="160"/>
  <c r="Q135" i="160"/>
  <c r="Q149" i="160"/>
  <c r="Q166" i="160"/>
  <c r="Q183" i="160"/>
  <c r="Q170" i="160"/>
  <c r="Q239" i="160"/>
  <c r="Q142" i="160"/>
  <c r="T149" i="160"/>
  <c r="T158" i="160"/>
  <c r="Q171" i="160"/>
  <c r="N185" i="160"/>
  <c r="T191" i="160"/>
  <c r="Q147" i="160"/>
  <c r="Q156" i="160"/>
  <c r="N169" i="160"/>
  <c r="T176" i="160"/>
  <c r="Q189" i="160"/>
  <c r="T143" i="160"/>
  <c r="Q157" i="160"/>
  <c r="N170" i="160"/>
  <c r="W180" i="160"/>
  <c r="T193" i="160"/>
  <c r="T287" i="160"/>
  <c r="T274" i="160"/>
  <c r="T308" i="160"/>
  <c r="T284" i="160"/>
  <c r="T292" i="160"/>
  <c r="T317" i="160"/>
  <c r="T272" i="160"/>
  <c r="T285" i="160"/>
  <c r="T293" i="160"/>
  <c r="T306" i="160"/>
  <c r="T318" i="160"/>
  <c r="Q278" i="160"/>
  <c r="Q274" i="161"/>
  <c r="V130" i="161"/>
  <c r="S120" i="161"/>
  <c r="V259" i="161"/>
  <c r="V195" i="161"/>
  <c r="S102" i="161"/>
  <c r="S91" i="161"/>
  <c r="W148" i="161"/>
  <c r="W180" i="161"/>
  <c r="Q239" i="161"/>
  <c r="Q277" i="161"/>
  <c r="Q295" i="161"/>
  <c r="T217" i="161"/>
  <c r="Q231" i="161"/>
  <c r="T276" i="161"/>
  <c r="T294" i="161"/>
  <c r="T140" i="161"/>
  <c r="W144" i="161"/>
  <c r="T158" i="161"/>
  <c r="W176" i="161"/>
  <c r="T189" i="161"/>
  <c r="W193" i="161"/>
  <c r="Q206" i="161"/>
  <c r="Q219" i="161"/>
  <c r="T239" i="161"/>
  <c r="Q252" i="161"/>
  <c r="T277" i="161"/>
  <c r="Q211" i="161"/>
  <c r="T214" i="161"/>
  <c r="Q228" i="161"/>
  <c r="T231" i="161"/>
  <c r="Q245" i="161"/>
  <c r="T248" i="161"/>
  <c r="Q267" i="161"/>
  <c r="T271" i="161"/>
  <c r="W275" i="161"/>
  <c r="Q285" i="161"/>
  <c r="T289" i="161"/>
  <c r="W293" i="161"/>
  <c r="Q303" i="161"/>
  <c r="T307" i="161"/>
  <c r="Q320" i="161"/>
  <c r="T138" i="161"/>
  <c r="W141" i="161"/>
  <c r="T155" i="161"/>
  <c r="W158" i="161"/>
  <c r="T171" i="161"/>
  <c r="W175" i="161"/>
  <c r="T188" i="161"/>
  <c r="W191" i="161"/>
  <c r="Q208" i="161"/>
  <c r="T211" i="161"/>
  <c r="W214" i="161"/>
  <c r="Q225" i="161"/>
  <c r="T228" i="161"/>
  <c r="W231" i="161"/>
  <c r="Q242" i="161"/>
  <c r="T245" i="161"/>
  <c r="W248" i="161"/>
  <c r="Q264" i="161"/>
  <c r="T267" i="161"/>
  <c r="W271" i="161"/>
  <c r="Q280" i="161"/>
  <c r="T285" i="161"/>
  <c r="W289" i="161"/>
  <c r="Q298" i="161"/>
  <c r="T303" i="161"/>
  <c r="Q316" i="161"/>
  <c r="W320" i="161"/>
  <c r="W269" i="161"/>
  <c r="Q279" i="161"/>
  <c r="T283" i="161"/>
  <c r="W286" i="161"/>
  <c r="Q296" i="161"/>
  <c r="T299" i="161"/>
  <c r="W303" i="161"/>
  <c r="Q313" i="161"/>
  <c r="T316" i="161"/>
  <c r="W319" i="161"/>
  <c r="N169" i="162"/>
  <c r="W212" i="162"/>
  <c r="T151" i="162"/>
  <c r="N173" i="162"/>
  <c r="W202" i="162"/>
  <c r="T139" i="162"/>
  <c r="N161" i="162"/>
  <c r="W187" i="162"/>
  <c r="W206" i="162"/>
  <c r="T146" i="162"/>
  <c r="W175" i="162"/>
  <c r="T188" i="162"/>
  <c r="W228" i="162"/>
  <c r="W167" i="162"/>
  <c r="W171" i="162"/>
  <c r="W176" i="162"/>
  <c r="T181" i="162"/>
  <c r="T185" i="162"/>
  <c r="T189" i="162"/>
  <c r="W143" i="162"/>
  <c r="W147" i="162"/>
  <c r="W151" i="162"/>
  <c r="T157" i="162"/>
  <c r="T161" i="162"/>
  <c r="T165" i="162"/>
  <c r="N184" i="162"/>
  <c r="T190" i="162"/>
  <c r="W148" i="162"/>
  <c r="N156" i="162"/>
  <c r="T162" i="162"/>
  <c r="W225" i="162"/>
  <c r="W231" i="162"/>
  <c r="T245" i="162"/>
  <c r="Q163" i="160"/>
  <c r="T314" i="160"/>
  <c r="T298" i="160"/>
  <c r="Q158" i="160"/>
  <c r="Q145" i="160"/>
  <c r="Q162" i="160"/>
  <c r="Q179" i="160"/>
  <c r="Q222" i="160"/>
  <c r="Q153" i="160"/>
  <c r="T173" i="160"/>
  <c r="Q138" i="160"/>
  <c r="N160" i="160"/>
  <c r="T166" i="160"/>
  <c r="Q180" i="160"/>
  <c r="N193" i="160"/>
  <c r="W158" i="160"/>
  <c r="Q164" i="160"/>
  <c r="W170" i="160"/>
  <c r="N178" i="160"/>
  <c r="T184" i="160"/>
  <c r="W191" i="160"/>
  <c r="W138" i="160"/>
  <c r="W146" i="160"/>
  <c r="T160" i="160"/>
  <c r="W171" i="160"/>
  <c r="N187" i="160"/>
  <c r="T266" i="160"/>
  <c r="T299" i="160"/>
  <c r="T320" i="160"/>
  <c r="Q288" i="160"/>
  <c r="Q321" i="160"/>
  <c r="T263" i="160"/>
  <c r="T271" i="160"/>
  <c r="T279" i="160"/>
  <c r="Q285" i="160"/>
  <c r="Q293" i="160"/>
  <c r="T300" i="160"/>
  <c r="T309" i="160"/>
  <c r="Q318" i="160"/>
  <c r="T264" i="160"/>
  <c r="Q286" i="160"/>
  <c r="T297" i="160"/>
  <c r="Q319" i="160"/>
  <c r="T265" i="160"/>
  <c r="T281" i="160"/>
  <c r="Q312" i="160"/>
  <c r="Q294" i="161"/>
  <c r="Q243" i="161"/>
  <c r="W152" i="161"/>
  <c r="W163" i="161"/>
  <c r="W181" i="161"/>
  <c r="Q213" i="161"/>
  <c r="T233" i="161"/>
  <c r="Q247" i="161"/>
  <c r="T147" i="161"/>
  <c r="T164" i="161"/>
  <c r="T182" i="161"/>
  <c r="T234" i="161"/>
  <c r="T141" i="161"/>
  <c r="W159" i="161"/>
  <c r="T172" i="161"/>
  <c r="W177" i="161"/>
  <c r="T190" i="161"/>
  <c r="Q207" i="161"/>
  <c r="T213" i="161"/>
  <c r="Q227" i="161"/>
  <c r="T247" i="161"/>
  <c r="Q289" i="161"/>
  <c r="Q307" i="161"/>
  <c r="Q215" i="161"/>
  <c r="T219" i="161"/>
  <c r="Q232" i="161"/>
  <c r="T235" i="161"/>
  <c r="Q249" i="161"/>
  <c r="T252" i="161"/>
  <c r="Q268" i="161"/>
  <c r="T272" i="161"/>
  <c r="W276" i="161"/>
  <c r="Q286" i="161"/>
  <c r="T290" i="161"/>
  <c r="Q304" i="161"/>
  <c r="W308" i="161"/>
  <c r="T321" i="161"/>
  <c r="T142" i="161"/>
  <c r="W145" i="161"/>
  <c r="T159" i="161"/>
  <c r="W162" i="161"/>
  <c r="T176" i="161"/>
  <c r="T199" i="161"/>
  <c r="W202" i="161"/>
  <c r="Q212" i="161"/>
  <c r="T215" i="161"/>
  <c r="W219" i="161"/>
  <c r="Q229" i="161"/>
  <c r="T232" i="161"/>
  <c r="W235" i="161"/>
  <c r="T268" i="161"/>
  <c r="W272" i="161"/>
  <c r="Q281" i="161"/>
  <c r="T286" i="161"/>
  <c r="Q299" i="161"/>
  <c r="W304" i="161"/>
  <c r="T317" i="161"/>
  <c r="W321" i="161"/>
  <c r="T270" i="161"/>
  <c r="W273" i="161"/>
  <c r="Q284" i="161"/>
  <c r="T287" i="161"/>
  <c r="W290" i="161"/>
  <c r="Q300" i="161"/>
  <c r="T304" i="161"/>
  <c r="T163" i="162"/>
  <c r="T143" i="162"/>
  <c r="N193" i="162"/>
  <c r="N177" i="162"/>
  <c r="N160" i="162"/>
  <c r="N188" i="162"/>
  <c r="N185" i="162"/>
  <c r="N168" i="162"/>
  <c r="N180" i="162"/>
  <c r="N163" i="162"/>
  <c r="N187" i="162"/>
  <c r="N170" i="162"/>
  <c r="S259" i="162"/>
  <c r="S195" i="162"/>
  <c r="P102" i="162"/>
  <c r="P91" i="162"/>
  <c r="S130" i="162"/>
  <c r="P120" i="162"/>
  <c r="T142" i="162"/>
  <c r="T180" i="162"/>
  <c r="W186" i="162"/>
  <c r="W169" i="162"/>
  <c r="W152" i="162"/>
  <c r="W136" i="162"/>
  <c r="W178" i="162"/>
  <c r="W161" i="162"/>
  <c r="W144" i="162"/>
  <c r="W189" i="162"/>
  <c r="W172" i="162"/>
  <c r="W156" i="162"/>
  <c r="W139" i="162"/>
  <c r="W180" i="162"/>
  <c r="W163" i="162"/>
  <c r="T147" i="162"/>
  <c r="N178" i="162"/>
  <c r="W141" i="162"/>
  <c r="T155" i="162"/>
  <c r="N165" i="162"/>
  <c r="W191" i="162"/>
  <c r="W159" i="162"/>
  <c r="T164" i="162"/>
  <c r="T168" i="162"/>
  <c r="T172" i="162"/>
  <c r="N191" i="162"/>
  <c r="W207" i="162"/>
  <c r="W135" i="162"/>
  <c r="T140" i="162"/>
  <c r="T144" i="162"/>
  <c r="T148" i="162"/>
  <c r="N167" i="162"/>
  <c r="N171" i="162"/>
  <c r="N176" i="162"/>
  <c r="W185" i="162"/>
  <c r="N192" i="162"/>
  <c r="W200" i="162"/>
  <c r="T137" i="162"/>
  <c r="W157" i="162"/>
  <c r="N164" i="162"/>
  <c r="T170" i="162"/>
  <c r="W190" i="162"/>
  <c r="W201" i="162"/>
  <c r="W242" i="162"/>
  <c r="W248" i="162"/>
  <c r="W310" i="162"/>
  <c r="Q226" i="162"/>
  <c r="Q206" i="162"/>
  <c r="Q213" i="162"/>
  <c r="Q199" i="162"/>
  <c r="Q234" i="162"/>
  <c r="Q223" i="162"/>
  <c r="Q240" i="162"/>
  <c r="W270" i="162"/>
  <c r="W304" i="162"/>
  <c r="Q215" i="162"/>
  <c r="Q232" i="162"/>
  <c r="Q249" i="162"/>
  <c r="Q271" i="162"/>
  <c r="W277" i="162"/>
  <c r="Q305" i="162"/>
  <c r="W311" i="162"/>
  <c r="Q212" i="162"/>
  <c r="Q229" i="162"/>
  <c r="Q246" i="162"/>
  <c r="Q285" i="162"/>
  <c r="W291" i="162"/>
  <c r="Q318" i="162"/>
  <c r="Q251" i="162"/>
  <c r="W263" i="162"/>
  <c r="Q273" i="162"/>
  <c r="W279" i="162"/>
  <c r="Q290" i="162"/>
  <c r="W296" i="162"/>
  <c r="Q307" i="162"/>
  <c r="W313" i="162"/>
  <c r="W264" i="162"/>
  <c r="Q274" i="162"/>
  <c r="T277" i="162"/>
  <c r="W280" i="162"/>
  <c r="Q291" i="162"/>
  <c r="T294" i="162"/>
  <c r="W297" i="162"/>
  <c r="Q308" i="162"/>
  <c r="T311" i="162"/>
  <c r="W314" i="162"/>
  <c r="Q227" i="162"/>
  <c r="Q244" i="162"/>
  <c r="Q220" i="162"/>
  <c r="Q236" i="162"/>
  <c r="Q216" i="162"/>
  <c r="Q233" i="162"/>
  <c r="Q250" i="162"/>
  <c r="W266" i="162"/>
  <c r="W299" i="162"/>
  <c r="Q255" i="162"/>
  <c r="W267" i="162"/>
  <c r="Q277" i="162"/>
  <c r="W284" i="162"/>
  <c r="Q294" i="162"/>
  <c r="W300" i="162"/>
  <c r="Q311" i="162"/>
  <c r="W317" i="162"/>
  <c r="Q252" i="162"/>
  <c r="W268" i="162"/>
  <c r="Q278" i="162"/>
  <c r="W285" i="162"/>
  <c r="Q295" i="162"/>
  <c r="W301" i="162"/>
  <c r="Q312" i="162"/>
  <c r="T315" i="162"/>
  <c r="W318" i="162"/>
  <c r="Q230" i="162"/>
  <c r="Q207" i="162"/>
  <c r="Q231" i="162"/>
  <c r="Q248" i="162"/>
  <c r="Q224" i="162"/>
  <c r="Q241" i="162"/>
  <c r="W294" i="162"/>
  <c r="Q221" i="162"/>
  <c r="Q237" i="162"/>
  <c r="W274" i="162"/>
  <c r="Q301" i="162"/>
  <c r="W308" i="162"/>
  <c r="Q265" i="162"/>
  <c r="W271" i="162"/>
  <c r="Q281" i="162"/>
  <c r="W288" i="162"/>
  <c r="Q298" i="162"/>
  <c r="W305" i="162"/>
  <c r="Q315" i="162"/>
  <c r="T318" i="162"/>
  <c r="W321" i="162"/>
  <c r="Q266" i="162"/>
  <c r="T269" i="162"/>
  <c r="W272" i="162"/>
  <c r="Q283" i="162"/>
  <c r="T286" i="162"/>
  <c r="W289" i="162"/>
  <c r="Q299" i="162"/>
  <c r="T303" i="162"/>
  <c r="K180" i="160"/>
  <c r="K163" i="160"/>
  <c r="K187" i="160"/>
  <c r="K170" i="160"/>
  <c r="K186" i="160"/>
  <c r="K169" i="160"/>
  <c r="K164" i="160"/>
  <c r="K192" i="160"/>
  <c r="K176" i="160"/>
  <c r="K159" i="160"/>
  <c r="K183" i="160"/>
  <c r="K166" i="160"/>
  <c r="K188" i="160"/>
  <c r="K171" i="160"/>
  <c r="K155" i="160"/>
  <c r="K179" i="160"/>
  <c r="K162" i="160"/>
  <c r="K178" i="160"/>
  <c r="K161" i="160"/>
  <c r="K158" i="160"/>
  <c r="K190" i="160"/>
  <c r="K173" i="160"/>
  <c r="K157" i="160"/>
  <c r="K160" i="160"/>
  <c r="K189" i="160"/>
  <c r="K184" i="160"/>
  <c r="K175" i="160"/>
  <c r="K172" i="160"/>
  <c r="K168" i="160"/>
  <c r="K191" i="160"/>
  <c r="K182" i="160"/>
  <c r="K165" i="160"/>
  <c r="K181" i="160"/>
  <c r="K193" i="160"/>
  <c r="K156" i="160"/>
  <c r="K185" i="160"/>
  <c r="K167" i="160"/>
  <c r="K177" i="160"/>
  <c r="P259" i="160"/>
  <c r="P195" i="160"/>
  <c r="M102" i="160"/>
  <c r="M91" i="160"/>
  <c r="P130" i="160"/>
  <c r="M120" i="160"/>
  <c r="K253" i="160"/>
  <c r="K240" i="160"/>
  <c r="K223" i="160"/>
  <c r="K206" i="160"/>
  <c r="K247" i="160"/>
  <c r="K230" i="160"/>
  <c r="K213" i="160"/>
  <c r="K250" i="160"/>
  <c r="K233" i="160"/>
  <c r="K216" i="160"/>
  <c r="K211" i="160"/>
  <c r="K241" i="160"/>
  <c r="K201" i="160"/>
  <c r="K254" i="160"/>
  <c r="K256" i="160"/>
  <c r="K235" i="160"/>
  <c r="K219" i="160"/>
  <c r="K202" i="160"/>
  <c r="K243" i="160"/>
  <c r="K226" i="160"/>
  <c r="K209" i="160"/>
  <c r="K255" i="160"/>
  <c r="K246" i="160"/>
  <c r="K229" i="160"/>
  <c r="K212" i="160"/>
  <c r="K224" i="160"/>
  <c r="K200" i="160"/>
  <c r="K252" i="160"/>
  <c r="K248" i="160"/>
  <c r="K231" i="160"/>
  <c r="K214" i="160"/>
  <c r="K239" i="160"/>
  <c r="K222" i="160"/>
  <c r="K205" i="160"/>
  <c r="K242" i="160"/>
  <c r="K225" i="160"/>
  <c r="K208" i="160"/>
  <c r="K245" i="160"/>
  <c r="K207" i="160"/>
  <c r="K199" i="160"/>
  <c r="K220" i="160"/>
  <c r="K257" i="160"/>
  <c r="K217" i="160"/>
  <c r="K221" i="160"/>
  <c r="K204" i="160"/>
  <c r="K244" i="160"/>
  <c r="K251" i="160"/>
  <c r="K203" i="160"/>
  <c r="K236" i="160"/>
  <c r="K227" i="160"/>
  <c r="K234" i="160"/>
  <c r="K237" i="160"/>
  <c r="K249" i="160"/>
  <c r="K215" i="160"/>
  <c r="K210" i="160"/>
  <c r="K228" i="160"/>
  <c r="K232" i="160"/>
  <c r="N256" i="160"/>
  <c r="N243" i="160"/>
  <c r="N226" i="160"/>
  <c r="N250" i="160"/>
  <c r="N233" i="160"/>
  <c r="N236" i="160"/>
  <c r="N220" i="160"/>
  <c r="N227" i="160"/>
  <c r="N240" i="160"/>
  <c r="N257" i="160"/>
  <c r="N239" i="160"/>
  <c r="N222" i="160"/>
  <c r="N246" i="160"/>
  <c r="N229" i="160"/>
  <c r="N249" i="160"/>
  <c r="N232" i="160"/>
  <c r="N248" i="160"/>
  <c r="N253" i="160"/>
  <c r="N255" i="160"/>
  <c r="N234" i="160"/>
  <c r="N242" i="160"/>
  <c r="N225" i="160"/>
  <c r="N252" i="160"/>
  <c r="N245" i="160"/>
  <c r="N228" i="160"/>
  <c r="N231" i="160"/>
  <c r="N254" i="160"/>
  <c r="N235" i="160"/>
  <c r="N251" i="160"/>
  <c r="N247" i="160"/>
  <c r="N219" i="160"/>
  <c r="N230" i="160"/>
  <c r="N237" i="160"/>
  <c r="N241" i="160"/>
  <c r="N244" i="160"/>
  <c r="N223" i="160"/>
  <c r="N221" i="160"/>
  <c r="N224" i="160"/>
  <c r="N321" i="160"/>
  <c r="N305" i="160"/>
  <c r="N288" i="160"/>
  <c r="N271" i="160"/>
  <c r="N312" i="160"/>
  <c r="N295" i="160"/>
  <c r="N278" i="160"/>
  <c r="N319" i="160"/>
  <c r="N303" i="160"/>
  <c r="N286" i="160"/>
  <c r="N269" i="160"/>
  <c r="N285" i="160"/>
  <c r="N314" i="160"/>
  <c r="N276" i="160"/>
  <c r="N306" i="160"/>
  <c r="N317" i="160"/>
  <c r="N300" i="160"/>
  <c r="N284" i="160"/>
  <c r="N267" i="160"/>
  <c r="N308" i="160"/>
  <c r="N291" i="160"/>
  <c r="N274" i="160"/>
  <c r="N315" i="160"/>
  <c r="N298" i="160"/>
  <c r="N281" i="160"/>
  <c r="N265" i="160"/>
  <c r="N268" i="160"/>
  <c r="N297" i="160"/>
  <c r="N313" i="160"/>
  <c r="N296" i="160"/>
  <c r="N279" i="160"/>
  <c r="N263" i="160"/>
  <c r="N320" i="160"/>
  <c r="N304" i="160"/>
  <c r="N287" i="160"/>
  <c r="N270" i="160"/>
  <c r="N311" i="160"/>
  <c r="N294" i="160"/>
  <c r="N277" i="160"/>
  <c r="N318" i="160"/>
  <c r="N280" i="160"/>
  <c r="N310" i="160"/>
  <c r="N289" i="160"/>
  <c r="N292" i="160"/>
  <c r="N316" i="160"/>
  <c r="N299" i="160"/>
  <c r="N283" i="160"/>
  <c r="N266" i="160"/>
  <c r="N273" i="160"/>
  <c r="N293" i="160"/>
  <c r="N272" i="160"/>
  <c r="N275" i="160"/>
  <c r="N290" i="160"/>
  <c r="N301" i="160"/>
  <c r="N307" i="160"/>
  <c r="N264" i="160"/>
  <c r="N309" i="160"/>
  <c r="M259" i="160"/>
  <c r="M130" i="160"/>
  <c r="M195" i="160"/>
  <c r="J120" i="160"/>
  <c r="J102" i="160"/>
  <c r="J91" i="160"/>
  <c r="J259" i="160"/>
  <c r="J195" i="160"/>
  <c r="J130" i="160"/>
  <c r="K318" i="160"/>
  <c r="K301" i="160"/>
  <c r="K285" i="160"/>
  <c r="K268" i="160"/>
  <c r="K309" i="160"/>
  <c r="K292" i="160"/>
  <c r="K275" i="160"/>
  <c r="K316" i="160"/>
  <c r="K299" i="160"/>
  <c r="K283" i="160"/>
  <c r="K266" i="160"/>
  <c r="K298" i="160"/>
  <c r="K290" i="160"/>
  <c r="K314" i="160"/>
  <c r="K297" i="160"/>
  <c r="K280" i="160"/>
  <c r="K264" i="160"/>
  <c r="K321" i="160"/>
  <c r="K305" i="160"/>
  <c r="K288" i="160"/>
  <c r="K271" i="160"/>
  <c r="K312" i="160"/>
  <c r="K295" i="160"/>
  <c r="K278" i="160"/>
  <c r="K281" i="160"/>
  <c r="K311" i="160"/>
  <c r="K273" i="160"/>
  <c r="K303" i="160"/>
  <c r="K310" i="160"/>
  <c r="K293" i="160"/>
  <c r="K276" i="160"/>
  <c r="K317" i="160"/>
  <c r="K300" i="160"/>
  <c r="K284" i="160"/>
  <c r="K267" i="160"/>
  <c r="K308" i="160"/>
  <c r="K291" i="160"/>
  <c r="K274" i="160"/>
  <c r="K265" i="160"/>
  <c r="K294" i="160"/>
  <c r="K286" i="160"/>
  <c r="K306" i="160"/>
  <c r="K287" i="160"/>
  <c r="K289" i="160"/>
  <c r="K304" i="160"/>
  <c r="K307" i="160"/>
  <c r="K319" i="160"/>
  <c r="K272" i="160"/>
  <c r="K313" i="160"/>
  <c r="K296" i="160"/>
  <c r="K279" i="160"/>
  <c r="K263" i="160"/>
  <c r="K315" i="160"/>
  <c r="K320" i="160"/>
  <c r="K270" i="160"/>
  <c r="K277" i="160"/>
  <c r="K269" i="160"/>
  <c r="S259" i="160"/>
  <c r="S130" i="160"/>
  <c r="P91" i="160"/>
  <c r="P102" i="160"/>
  <c r="P120" i="160"/>
  <c r="S195" i="160"/>
  <c r="Q250" i="160"/>
  <c r="Q246" i="160"/>
  <c r="Q229" i="160"/>
  <c r="Q212" i="160"/>
  <c r="Q236" i="160"/>
  <c r="Q220" i="160"/>
  <c r="Q203" i="160"/>
  <c r="Q240" i="160"/>
  <c r="Q223" i="160"/>
  <c r="Q206" i="160"/>
  <c r="Q213" i="160"/>
  <c r="Q257" i="160"/>
  <c r="Q226" i="160"/>
  <c r="Q255" i="160"/>
  <c r="Q253" i="160"/>
  <c r="Q242" i="160"/>
  <c r="Q225" i="160"/>
  <c r="Q208" i="160"/>
  <c r="Q249" i="160"/>
  <c r="Q232" i="160"/>
  <c r="Q215" i="160"/>
  <c r="Q235" i="160"/>
  <c r="Q219" i="160"/>
  <c r="Q202" i="160"/>
  <c r="Q234" i="160"/>
  <c r="Q256" i="160"/>
  <c r="Q237" i="160"/>
  <c r="Q221" i="160"/>
  <c r="Q204" i="160"/>
  <c r="Q245" i="160"/>
  <c r="Q228" i="160"/>
  <c r="Q211" i="160"/>
  <c r="Q248" i="160"/>
  <c r="Q231" i="160"/>
  <c r="Q214" i="160"/>
  <c r="Q217" i="160"/>
  <c r="Q247" i="160"/>
  <c r="Q243" i="160"/>
  <c r="Q200" i="160"/>
  <c r="W314" i="160"/>
  <c r="W297" i="160"/>
  <c r="W280" i="160"/>
  <c r="W264" i="160"/>
  <c r="W321" i="160"/>
  <c r="W305" i="160"/>
  <c r="W288" i="160"/>
  <c r="W271" i="160"/>
  <c r="W312" i="160"/>
  <c r="W295" i="160"/>
  <c r="W278" i="160"/>
  <c r="W311" i="160"/>
  <c r="W273" i="160"/>
  <c r="W303" i="160"/>
  <c r="W315" i="160"/>
  <c r="W310" i="160"/>
  <c r="W293" i="160"/>
  <c r="W276" i="160"/>
  <c r="W317" i="160"/>
  <c r="W300" i="160"/>
  <c r="W284" i="160"/>
  <c r="W267" i="160"/>
  <c r="W308" i="160"/>
  <c r="W291" i="160"/>
  <c r="W274" i="160"/>
  <c r="W294" i="160"/>
  <c r="W286" i="160"/>
  <c r="W306" i="160"/>
  <c r="W289" i="160"/>
  <c r="W272" i="160"/>
  <c r="W313" i="160"/>
  <c r="W296" i="160"/>
  <c r="W279" i="160"/>
  <c r="W263" i="160"/>
  <c r="W320" i="160"/>
  <c r="W304" i="160"/>
  <c r="W287" i="160"/>
  <c r="W270" i="160"/>
  <c r="W277" i="160"/>
  <c r="W307" i="160"/>
  <c r="W269" i="160"/>
  <c r="W266" i="160"/>
  <c r="W316" i="160"/>
  <c r="W285" i="160"/>
  <c r="V259" i="160"/>
  <c r="V195" i="160"/>
  <c r="S120" i="160"/>
  <c r="V130" i="160"/>
  <c r="S91" i="160"/>
  <c r="S102" i="160"/>
  <c r="V120" i="160"/>
  <c r="V102" i="160"/>
  <c r="V91" i="160"/>
  <c r="Q227" i="160"/>
  <c r="Q224" i="160"/>
  <c r="Q216" i="160"/>
  <c r="Q252" i="160"/>
  <c r="Q209" i="160"/>
  <c r="Q230" i="160"/>
  <c r="Q201" i="160"/>
  <c r="Q210" i="160"/>
  <c r="Q251" i="160"/>
  <c r="Q233" i="160"/>
  <c r="T157" i="160"/>
  <c r="N184" i="160"/>
  <c r="T137" i="160"/>
  <c r="Q150" i="160"/>
  <c r="T153" i="160"/>
  <c r="N164" i="160"/>
  <c r="Q167" i="160"/>
  <c r="T170" i="160"/>
  <c r="N181" i="160"/>
  <c r="Q184" i="160"/>
  <c r="T187" i="160"/>
  <c r="T246" i="160"/>
  <c r="Q151" i="160"/>
  <c r="T155" i="160"/>
  <c r="N165" i="160"/>
  <c r="Q168" i="160"/>
  <c r="T171" i="160"/>
  <c r="N182" i="160"/>
  <c r="Q185" i="160"/>
  <c r="T188" i="160"/>
  <c r="T233" i="160"/>
  <c r="Q144" i="160"/>
  <c r="T147" i="160"/>
  <c r="W150" i="160"/>
  <c r="N158" i="160"/>
  <c r="Q161" i="160"/>
  <c r="T164" i="160"/>
  <c r="W167" i="160"/>
  <c r="N175" i="160"/>
  <c r="Q178" i="160"/>
  <c r="T181" i="160"/>
  <c r="W184" i="160"/>
  <c r="N191" i="160"/>
  <c r="T204" i="160"/>
  <c r="T201" i="160"/>
  <c r="W204" i="160"/>
  <c r="T217" i="160"/>
  <c r="W221" i="160"/>
  <c r="T234" i="160"/>
  <c r="W237" i="160"/>
  <c r="W201" i="160"/>
  <c r="T214" i="160"/>
  <c r="W217" i="160"/>
  <c r="T231" i="160"/>
  <c r="W234" i="160"/>
  <c r="T248" i="160"/>
  <c r="T252" i="160"/>
  <c r="T207" i="160"/>
  <c r="W210" i="160"/>
  <c r="T224" i="160"/>
  <c r="W227" i="160"/>
  <c r="T241" i="160"/>
  <c r="W244" i="160"/>
  <c r="T251" i="160"/>
  <c r="Q314" i="160"/>
  <c r="T254" i="160"/>
  <c r="W257" i="160"/>
  <c r="Q273" i="160"/>
  <c r="Q290" i="160"/>
  <c r="Q307" i="160"/>
  <c r="Q266" i="160"/>
  <c r="Q283" i="160"/>
  <c r="T286" i="160"/>
  <c r="Q299" i="160"/>
  <c r="T303" i="160"/>
  <c r="Q316" i="160"/>
  <c r="T319" i="160"/>
  <c r="T192" i="160"/>
  <c r="T135" i="160"/>
  <c r="T151" i="160"/>
  <c r="N162" i="160"/>
  <c r="T168" i="160"/>
  <c r="N179" i="160"/>
  <c r="Q182" i="160"/>
  <c r="T185" i="160"/>
  <c r="T222" i="160"/>
  <c r="T239" i="160"/>
  <c r="T202" i="160"/>
  <c r="T219" i="160"/>
  <c r="T235" i="160"/>
  <c r="T211" i="160"/>
  <c r="W214" i="160"/>
  <c r="T228" i="160"/>
  <c r="W231" i="160"/>
  <c r="T245" i="160"/>
  <c r="W248" i="160"/>
  <c r="W252" i="160"/>
  <c r="Q277" i="160"/>
  <c r="Q294" i="160"/>
  <c r="Q311" i="160"/>
  <c r="Q270" i="160"/>
  <c r="T273" i="160"/>
  <c r="Q287" i="160"/>
  <c r="T290" i="160"/>
  <c r="Q304" i="160"/>
  <c r="T307" i="160"/>
  <c r="Q320" i="160"/>
  <c r="T140" i="160"/>
  <c r="T190" i="160"/>
  <c r="T145" i="160"/>
  <c r="N156" i="160"/>
  <c r="Q159" i="160"/>
  <c r="T162" i="160"/>
  <c r="N172" i="160"/>
  <c r="Q176" i="160"/>
  <c r="T179" i="160"/>
  <c r="N189" i="160"/>
  <c r="Q192" i="160"/>
  <c r="T212" i="160"/>
  <c r="T146" i="160"/>
  <c r="N157" i="160"/>
  <c r="Q160" i="160"/>
  <c r="T163" i="160"/>
  <c r="N173" i="160"/>
  <c r="Q177" i="160"/>
  <c r="T180" i="160"/>
  <c r="N190" i="160"/>
  <c r="Q193" i="160"/>
  <c r="Q136" i="160"/>
  <c r="T139" i="160"/>
  <c r="Q152" i="160"/>
  <c r="T156" i="160"/>
  <c r="W159" i="160"/>
  <c r="N166" i="160"/>
  <c r="Q169" i="160"/>
  <c r="T172" i="160"/>
  <c r="W176" i="160"/>
  <c r="T237" i="160"/>
  <c r="T209" i="160"/>
  <c r="T226" i="160"/>
  <c r="W229" i="160"/>
  <c r="T243" i="160"/>
  <c r="W246" i="160"/>
  <c r="T206" i="160"/>
  <c r="W209" i="160"/>
  <c r="T223" i="160"/>
  <c r="W226" i="160"/>
  <c r="T240" i="160"/>
  <c r="W243" i="160"/>
  <c r="T199" i="160"/>
  <c r="W202" i="160"/>
  <c r="T215" i="160"/>
  <c r="W219" i="160"/>
  <c r="T232" i="160"/>
  <c r="W235" i="160"/>
  <c r="T249" i="160"/>
  <c r="T256" i="160"/>
  <c r="W256" i="160"/>
  <c r="Q265" i="160"/>
  <c r="Q281" i="160"/>
  <c r="Q298" i="160"/>
  <c r="Q315" i="160"/>
  <c r="Q274" i="160"/>
  <c r="T277" i="160"/>
  <c r="Q291" i="160"/>
  <c r="T294" i="160"/>
  <c r="AH61" i="99"/>
  <c r="Y61" i="99" a="1"/>
  <c r="Y61" i="99" s="1"/>
  <c r="W61" i="99"/>
  <c r="O61" i="99" a="1"/>
  <c r="O61" i="99" s="1"/>
  <c r="N61" i="99" a="1"/>
  <c r="N61" i="99" s="1"/>
  <c r="J61" i="99" a="1"/>
  <c r="J61" i="99" s="1"/>
  <c r="I61" i="99" a="1"/>
  <c r="I61" i="99" s="1"/>
  <c r="H61" i="99" a="1"/>
  <c r="H61" i="99" s="1"/>
  <c r="AH60" i="99"/>
  <c r="Y60" i="99" a="1"/>
  <c r="Y60" i="99" s="1"/>
  <c r="W60" i="99"/>
  <c r="O60" i="99" a="1"/>
  <c r="O60" i="99" s="1"/>
  <c r="N60" i="99" a="1"/>
  <c r="N60" i="99" s="1"/>
  <c r="J60" i="99" a="1"/>
  <c r="J60" i="99" s="1"/>
  <c r="I60" i="99" a="1"/>
  <c r="I60" i="99" s="1"/>
  <c r="H60" i="99" a="1"/>
  <c r="H60" i="99" s="1"/>
  <c r="H59" i="99" a="1"/>
  <c r="H59" i="99" s="1"/>
  <c r="H58" i="99" a="1"/>
  <c r="H58" i="99" s="1"/>
  <c r="H57" i="99" a="1"/>
  <c r="H57" i="99" s="1"/>
  <c r="H56" i="99" a="1"/>
  <c r="H56" i="99" s="1"/>
  <c r="H55" i="99" a="1"/>
  <c r="H55" i="99" s="1"/>
  <c r="H54" i="99" a="1"/>
  <c r="H54" i="99" s="1"/>
  <c r="H53" i="99" a="1"/>
  <c r="H53" i="99" s="1"/>
  <c r="H52" i="99" a="1"/>
  <c r="H52" i="99" s="1"/>
  <c r="L49" i="99"/>
  <c r="N213" i="161"/>
  <c r="N140" i="161"/>
  <c r="N216" i="161"/>
  <c r="N204" i="161"/>
  <c r="K261" i="161"/>
  <c r="N212" i="160"/>
  <c r="N201" i="161"/>
  <c r="N205" i="162"/>
  <c r="N138" i="162"/>
  <c r="K143" i="160"/>
  <c r="N148" i="161"/>
  <c r="N204" i="160"/>
  <c r="N203" i="161"/>
  <c r="K145" i="161"/>
  <c r="K149" i="161"/>
  <c r="N210" i="161"/>
  <c r="N215" i="161"/>
  <c r="N205" i="161"/>
  <c r="K149" i="162"/>
  <c r="N209" i="162"/>
  <c r="N153" i="161"/>
  <c r="K146" i="161"/>
  <c r="K152" i="162"/>
  <c r="N208" i="161"/>
  <c r="K141" i="160"/>
  <c r="K148" i="162"/>
  <c r="N206" i="162"/>
  <c r="K137" i="162"/>
  <c r="K144" i="162"/>
  <c r="N145" i="160"/>
  <c r="K137" i="161"/>
  <c r="K145" i="160"/>
  <c r="K150" i="162"/>
  <c r="K140" i="162"/>
  <c r="N143" i="162"/>
  <c r="N215" i="160"/>
  <c r="N144" i="161"/>
  <c r="K147" i="161"/>
  <c r="K147" i="162"/>
  <c r="K152" i="161"/>
  <c r="N202" i="162"/>
  <c r="N213" i="160"/>
  <c r="N209" i="161"/>
  <c r="N149" i="160"/>
  <c r="K149" i="160"/>
  <c r="K140" i="161"/>
  <c r="N217" i="162"/>
  <c r="K138" i="162"/>
  <c r="N141" i="162"/>
  <c r="K153" i="162"/>
  <c r="N203" i="162"/>
  <c r="N212" i="161"/>
  <c r="K148" i="161"/>
  <c r="N212" i="162"/>
  <c r="K142" i="160"/>
  <c r="N211" i="162"/>
  <c r="N151" i="162"/>
  <c r="N201" i="160"/>
  <c r="N141" i="161"/>
  <c r="K136" i="162"/>
  <c r="N202" i="160"/>
  <c r="N148" i="160"/>
  <c r="K151" i="161"/>
  <c r="K151" i="160"/>
  <c r="N150" i="161"/>
  <c r="N209" i="160"/>
  <c r="N136" i="162"/>
  <c r="N150" i="160"/>
  <c r="N147" i="162"/>
  <c r="N210" i="162"/>
  <c r="N200" i="160"/>
  <c r="K146" i="160"/>
  <c r="K139" i="162"/>
  <c r="N206" i="161"/>
  <c r="N199" i="161"/>
  <c r="N137" i="162"/>
  <c r="K150" i="160"/>
  <c r="N142" i="162"/>
  <c r="N153" i="162"/>
  <c r="K142" i="161"/>
  <c r="N217" i="161"/>
  <c r="N203" i="160"/>
  <c r="N215" i="162"/>
  <c r="N139" i="160"/>
  <c r="N147" i="161"/>
  <c r="K141" i="161"/>
  <c r="K150" i="161"/>
  <c r="N136" i="161"/>
  <c r="K135" i="160"/>
  <c r="N214" i="162"/>
  <c r="N199" i="160"/>
  <c r="N147" i="160"/>
  <c r="K143" i="161"/>
  <c r="K153" i="160"/>
  <c r="K137" i="160"/>
  <c r="K143" i="162"/>
  <c r="N146" i="162"/>
  <c r="N152" i="162"/>
  <c r="N208" i="162"/>
  <c r="K138" i="161"/>
  <c r="N199" i="162"/>
  <c r="N204" i="162"/>
  <c r="K140" i="160"/>
  <c r="N148" i="162"/>
  <c r="N200" i="162"/>
  <c r="N210" i="160"/>
  <c r="N149" i="161"/>
  <c r="N211" i="161"/>
  <c r="N200" i="161"/>
  <c r="N139" i="161"/>
  <c r="K145" i="162"/>
  <c r="N143" i="161"/>
  <c r="N214" i="160"/>
  <c r="N207" i="160"/>
  <c r="K144" i="161"/>
  <c r="N201" i="162"/>
  <c r="N140" i="162"/>
  <c r="N146" i="161"/>
  <c r="K135" i="162"/>
  <c r="K152" i="160"/>
  <c r="K151" i="162"/>
  <c r="N207" i="162"/>
  <c r="N216" i="162"/>
  <c r="K261" i="162"/>
  <c r="N214" i="161"/>
  <c r="N261" i="162"/>
  <c r="N208" i="160"/>
  <c r="N202" i="161"/>
  <c r="K144" i="160"/>
  <c r="K139" i="161"/>
  <c r="K147" i="160"/>
  <c r="K148" i="160"/>
  <c r="K136" i="161"/>
  <c r="N261" i="160"/>
  <c r="K139" i="160"/>
  <c r="K146" i="162"/>
  <c r="N261" i="161"/>
  <c r="N141" i="160"/>
  <c r="N206" i="160"/>
  <c r="N211" i="160"/>
  <c r="N137" i="161"/>
  <c r="N205" i="160"/>
  <c r="K138" i="160"/>
  <c r="K135" i="161"/>
  <c r="N217" i="160"/>
  <c r="N216" i="160"/>
  <c r="K141" i="162"/>
  <c r="K136" i="160"/>
  <c r="N152" i="161"/>
  <c r="N135" i="161"/>
  <c r="N213" i="162"/>
  <c r="K153" i="161"/>
  <c r="N135" i="162"/>
  <c r="N207" i="161"/>
  <c r="K142" i="162"/>
  <c r="V60" i="99" l="1"/>
  <c r="AG60" i="99"/>
  <c r="V61" i="99"/>
  <c r="AG61" i="99"/>
  <c r="F27" i="162"/>
  <c r="F37" i="162"/>
  <c r="F33" i="162"/>
  <c r="F29" i="162"/>
  <c r="F32" i="162"/>
  <c r="F38" i="162"/>
  <c r="F30" i="162"/>
  <c r="F28" i="162"/>
  <c r="F34" i="162"/>
  <c r="F36" i="162"/>
  <c r="F31" i="162"/>
  <c r="F35" i="162"/>
  <c r="F30" i="161"/>
  <c r="F29" i="161"/>
  <c r="F27" i="161"/>
  <c r="F38" i="161"/>
  <c r="F33" i="161"/>
  <c r="F35" i="161"/>
  <c r="F32" i="161"/>
  <c r="F34" i="161"/>
  <c r="F36" i="161"/>
  <c r="F37" i="161"/>
  <c r="F28" i="161"/>
  <c r="F31" i="161"/>
  <c r="E77" i="162"/>
  <c r="E73" i="162"/>
  <c r="E69" i="162"/>
  <c r="E65" i="162"/>
  <c r="E61" i="162"/>
  <c r="E57" i="162"/>
  <c r="E53" i="162"/>
  <c r="E49" i="162"/>
  <c r="E45" i="162"/>
  <c r="E78" i="162"/>
  <c r="E74" i="162"/>
  <c r="E70" i="162"/>
  <c r="E66" i="162"/>
  <c r="E62" i="162"/>
  <c r="E58" i="162"/>
  <c r="E54" i="162"/>
  <c r="E50" i="162"/>
  <c r="E46" i="162"/>
  <c r="E75" i="162"/>
  <c r="E71" i="162"/>
  <c r="E67" i="162"/>
  <c r="E63" i="162"/>
  <c r="E59" i="162"/>
  <c r="E55" i="162"/>
  <c r="E51" i="162"/>
  <c r="E47" i="162"/>
  <c r="E43" i="162"/>
  <c r="E72" i="162"/>
  <c r="E64" i="162"/>
  <c r="E76" i="162"/>
  <c r="E68" i="162"/>
  <c r="E60" i="162"/>
  <c r="E52" i="162"/>
  <c r="E44" i="162"/>
  <c r="E56" i="162"/>
  <c r="E48" i="162"/>
  <c r="E78" i="161"/>
  <c r="E74" i="161"/>
  <c r="E70" i="161"/>
  <c r="E66" i="161"/>
  <c r="E62" i="161"/>
  <c r="E58" i="161"/>
  <c r="E54" i="161"/>
  <c r="E50" i="161"/>
  <c r="E46" i="161"/>
  <c r="E72" i="161"/>
  <c r="E68" i="161"/>
  <c r="E64" i="161"/>
  <c r="E56" i="161"/>
  <c r="E52" i="161"/>
  <c r="E48" i="161"/>
  <c r="E44" i="161"/>
  <c r="E75" i="161"/>
  <c r="E71" i="161"/>
  <c r="E67" i="161"/>
  <c r="E63" i="161"/>
  <c r="E59" i="161"/>
  <c r="E55" i="161"/>
  <c r="E51" i="161"/>
  <c r="E47" i="161"/>
  <c r="E43" i="161"/>
  <c r="E76" i="161"/>
  <c r="E60" i="161"/>
  <c r="E73" i="161"/>
  <c r="E65" i="161"/>
  <c r="E57" i="161"/>
  <c r="E49" i="161"/>
  <c r="E77" i="161"/>
  <c r="E69" i="161"/>
  <c r="E61" i="161"/>
  <c r="E53" i="161"/>
  <c r="E45" i="161"/>
  <c r="F38" i="160"/>
  <c r="F28" i="160"/>
  <c r="F29" i="160"/>
  <c r="F30" i="160"/>
  <c r="F37" i="160"/>
  <c r="F35" i="160"/>
  <c r="F34" i="160"/>
  <c r="F27" i="160"/>
  <c r="F36" i="160"/>
  <c r="F31" i="160"/>
  <c r="F33" i="160"/>
  <c r="F32" i="160"/>
  <c r="E78" i="160"/>
  <c r="E74" i="160"/>
  <c r="E70" i="160"/>
  <c r="E66" i="160"/>
  <c r="E62" i="160"/>
  <c r="E58" i="160"/>
  <c r="E54" i="160"/>
  <c r="E50" i="160"/>
  <c r="E46" i="160"/>
  <c r="E65" i="160"/>
  <c r="E53" i="160"/>
  <c r="E45" i="160"/>
  <c r="E75" i="160"/>
  <c r="E71" i="160"/>
  <c r="E67" i="160"/>
  <c r="E63" i="160"/>
  <c r="E59" i="160"/>
  <c r="E55" i="160"/>
  <c r="E51" i="160"/>
  <c r="E47" i="160"/>
  <c r="E43" i="160"/>
  <c r="E73" i="160"/>
  <c r="E76" i="160"/>
  <c r="E72" i="160"/>
  <c r="E68" i="160"/>
  <c r="E64" i="160"/>
  <c r="E60" i="160"/>
  <c r="E56" i="160"/>
  <c r="E52" i="160"/>
  <c r="E48" i="160"/>
  <c r="E44" i="160"/>
  <c r="E77" i="160"/>
  <c r="E69" i="160"/>
  <c r="E61" i="160"/>
  <c r="E57" i="160"/>
  <c r="E49" i="160"/>
  <c r="AF61" i="99"/>
  <c r="T61" i="99"/>
  <c r="N53" i="99" a="1"/>
  <c r="N53" i="99" s="1"/>
  <c r="I53" i="99" a="1"/>
  <c r="I53" i="99" s="1"/>
  <c r="T53" i="99"/>
  <c r="O53" i="99" a="1"/>
  <c r="O53" i="99" s="1"/>
  <c r="AF53" i="99"/>
  <c r="J53" i="99" a="1"/>
  <c r="J53" i="99" s="1"/>
  <c r="N57" i="99" a="1"/>
  <c r="N57" i="99" s="1"/>
  <c r="I57" i="99" a="1"/>
  <c r="I57" i="99" s="1"/>
  <c r="O57" i="99" a="1"/>
  <c r="O57" i="99" s="1"/>
  <c r="J57" i="99" a="1"/>
  <c r="J57" i="99" s="1"/>
  <c r="J54" i="99" a="1"/>
  <c r="J54" i="99" s="1"/>
  <c r="N54" i="99" a="1"/>
  <c r="N54" i="99" s="1"/>
  <c r="I54" i="99" a="1"/>
  <c r="I54" i="99" s="1"/>
  <c r="O54" i="99" a="1"/>
  <c r="O54" i="99" s="1"/>
  <c r="N58" i="99" a="1"/>
  <c r="N58" i="99" s="1"/>
  <c r="I58" i="99" a="1"/>
  <c r="I58" i="99" s="1"/>
  <c r="AF58" i="99"/>
  <c r="T58" i="99"/>
  <c r="O58" i="99" a="1"/>
  <c r="O58" i="99" s="1"/>
  <c r="J58" i="99" a="1"/>
  <c r="J58" i="99" s="1"/>
  <c r="N59" i="99" a="1"/>
  <c r="N59" i="99" s="1"/>
  <c r="I59" i="99" a="1"/>
  <c r="I59" i="99" s="1"/>
  <c r="O59" i="99" a="1"/>
  <c r="O59" i="99" s="1"/>
  <c r="J59" i="99" a="1"/>
  <c r="J59" i="99" s="1"/>
  <c r="AF60" i="99"/>
  <c r="T60" i="99"/>
  <c r="O55" i="99" a="1"/>
  <c r="O55" i="99" s="1"/>
  <c r="N55" i="99" a="1"/>
  <c r="N55" i="99" s="1"/>
  <c r="I55" i="99" a="1"/>
  <c r="I55" i="99" s="1"/>
  <c r="J55" i="99" a="1"/>
  <c r="J55" i="99" s="1"/>
  <c r="I52" i="99" a="1"/>
  <c r="I52" i="99" s="1"/>
  <c r="O52" i="99" a="1"/>
  <c r="O52" i="99" s="1"/>
  <c r="N52" i="99" a="1"/>
  <c r="N52" i="99" s="1"/>
  <c r="G76" i="99" s="1"/>
  <c r="J52" i="99" a="1"/>
  <c r="J52" i="99" s="1"/>
  <c r="O56" i="99" a="1"/>
  <c r="O56" i="99" s="1"/>
  <c r="N56" i="99" a="1"/>
  <c r="N56" i="99" s="1"/>
  <c r="I56" i="99" a="1"/>
  <c r="I56" i="99" s="1"/>
  <c r="J56" i="99" a="1"/>
  <c r="J56" i="99" s="1"/>
  <c r="R95" i="159"/>
  <c r="F78" i="159"/>
  <c r="F77" i="159"/>
  <c r="F76" i="159"/>
  <c r="F75" i="159"/>
  <c r="F74" i="159"/>
  <c r="F73" i="159"/>
  <c r="F72" i="159"/>
  <c r="F71" i="159"/>
  <c r="F70" i="159"/>
  <c r="F69" i="159"/>
  <c r="F68" i="159"/>
  <c r="F67" i="159"/>
  <c r="F66" i="159"/>
  <c r="F65" i="159"/>
  <c r="F64" i="159"/>
  <c r="F63" i="159"/>
  <c r="F62" i="159"/>
  <c r="F61" i="159"/>
  <c r="F60" i="159"/>
  <c r="F59" i="159"/>
  <c r="F58" i="159"/>
  <c r="F57" i="159"/>
  <c r="F56" i="159"/>
  <c r="F55" i="159"/>
  <c r="F54" i="159"/>
  <c r="F53" i="159"/>
  <c r="F52" i="159"/>
  <c r="F51" i="159"/>
  <c r="F50" i="159"/>
  <c r="F49" i="159"/>
  <c r="F48" i="159"/>
  <c r="F47" i="159"/>
  <c r="F46" i="159"/>
  <c r="F45" i="159"/>
  <c r="F44" i="159"/>
  <c r="F43" i="159"/>
  <c r="P18" i="159"/>
  <c r="H52" i="159"/>
  <c r="H71" i="159"/>
  <c r="H70" i="159"/>
  <c r="H7" i="159"/>
  <c r="H75" i="159"/>
  <c r="H117" i="159"/>
  <c r="H54" i="159"/>
  <c r="H6" i="159"/>
  <c r="K36" i="159"/>
  <c r="H44" i="159"/>
  <c r="H9" i="159"/>
  <c r="K33" i="159"/>
  <c r="H8" i="159"/>
  <c r="H45" i="159"/>
  <c r="K35" i="159"/>
  <c r="H93" i="159"/>
  <c r="H37" i="159"/>
  <c r="H51" i="159"/>
  <c r="H12" i="159"/>
  <c r="H32" i="159"/>
  <c r="H76" i="159"/>
  <c r="H61" i="159"/>
  <c r="H19" i="159"/>
  <c r="H18" i="159"/>
  <c r="H105" i="159"/>
  <c r="H63" i="159"/>
  <c r="H58" i="159"/>
  <c r="H49" i="159"/>
  <c r="H28" i="159"/>
  <c r="K32" i="159"/>
  <c r="H64" i="159"/>
  <c r="H48" i="159"/>
  <c r="H20" i="159"/>
  <c r="H109" i="159"/>
  <c r="H60" i="159"/>
  <c r="H92" i="159"/>
  <c r="H47" i="159"/>
  <c r="H104" i="159"/>
  <c r="H113" i="159"/>
  <c r="H114" i="159"/>
  <c r="H115" i="159"/>
  <c r="H97" i="159"/>
  <c r="H88" i="159"/>
  <c r="H73" i="159"/>
  <c r="H66" i="159"/>
  <c r="K38" i="159"/>
  <c r="H57" i="159"/>
  <c r="H10" i="159"/>
  <c r="K31" i="159"/>
  <c r="H95" i="159"/>
  <c r="H72" i="159"/>
  <c r="H46" i="159"/>
  <c r="H121" i="159"/>
  <c r="K30" i="159"/>
  <c r="H36" i="159"/>
  <c r="H17" i="159"/>
  <c r="H34" i="159"/>
  <c r="H96" i="159"/>
  <c r="H53" i="159"/>
  <c r="H31" i="159"/>
  <c r="H43" i="159"/>
  <c r="H55" i="159"/>
  <c r="H78" i="159"/>
  <c r="H59" i="159"/>
  <c r="H67" i="159"/>
  <c r="K37" i="159"/>
  <c r="H99" i="159"/>
  <c r="H35" i="159"/>
  <c r="H69" i="159"/>
  <c r="H65" i="159"/>
  <c r="H11" i="159"/>
  <c r="K34" i="159"/>
  <c r="H77" i="159"/>
  <c r="K28" i="159"/>
  <c r="H21" i="159"/>
  <c r="K29" i="159"/>
  <c r="H29" i="159"/>
  <c r="H112" i="159"/>
  <c r="H33" i="159"/>
  <c r="V56" i="99" l="1"/>
  <c r="AG56" i="99"/>
  <c r="AG55" i="99"/>
  <c r="V55" i="99"/>
  <c r="AG54" i="99"/>
  <c r="V54" i="99"/>
  <c r="AG59" i="99"/>
  <c r="V59" i="99"/>
  <c r="V53" i="99"/>
  <c r="AG53" i="99"/>
  <c r="AG58" i="99"/>
  <c r="V58" i="99"/>
  <c r="AG57" i="99"/>
  <c r="V57" i="99"/>
  <c r="AG52" i="99"/>
  <c r="V52" i="99"/>
  <c r="G102" i="159"/>
  <c r="G91" i="159"/>
  <c r="G120" i="159"/>
  <c r="T260" i="159"/>
  <c r="T313" i="159" s="1"/>
  <c r="W260" i="159"/>
  <c r="W310" i="159" s="1"/>
  <c r="T197" i="159"/>
  <c r="T208" i="159" s="1"/>
  <c r="Q197" i="159"/>
  <c r="Q240" i="159" s="1"/>
  <c r="Q260" i="159"/>
  <c r="Q280" i="159" s="1"/>
  <c r="Q133" i="159"/>
  <c r="Q176" i="159" s="1"/>
  <c r="W133" i="159"/>
  <c r="W173" i="159" s="1"/>
  <c r="W197" i="159"/>
  <c r="W202" i="159" s="1"/>
  <c r="T133" i="159"/>
  <c r="T178" i="159" s="1"/>
  <c r="E57" i="81"/>
  <c r="E56" i="81"/>
  <c r="E55" i="81"/>
  <c r="E54" i="81"/>
  <c r="Q261" i="159"/>
  <c r="W261" i="159"/>
  <c r="T261" i="159"/>
  <c r="T117" i="159"/>
  <c r="T113" i="159"/>
  <c r="T109" i="159"/>
  <c r="T105" i="159"/>
  <c r="W97" i="159"/>
  <c r="Q92" i="159"/>
  <c r="Q112" i="159"/>
  <c r="Q104" i="159"/>
  <c r="W122" i="159"/>
  <c r="W116" i="159"/>
  <c r="Q111" i="159"/>
  <c r="W108" i="159"/>
  <c r="W99" i="159"/>
  <c r="T93" i="159"/>
  <c r="W115" i="159"/>
  <c r="W107" i="159"/>
  <c r="Q95" i="159"/>
  <c r="Q97" i="159"/>
  <c r="Q93" i="159"/>
  <c r="Q114" i="159"/>
  <c r="W94" i="159"/>
  <c r="T112" i="159"/>
  <c r="T104" i="159"/>
  <c r="W92" i="159"/>
  <c r="Q122" i="159"/>
  <c r="T98" i="159"/>
  <c r="Q106" i="159"/>
  <c r="T123" i="159"/>
  <c r="T94" i="159"/>
  <c r="Q88" i="159"/>
  <c r="W109" i="159"/>
  <c r="Q113" i="159"/>
  <c r="W110" i="159"/>
  <c r="Q105" i="159"/>
  <c r="T95" i="159"/>
  <c r="W123" i="159"/>
  <c r="W113" i="159"/>
  <c r="W105" i="159"/>
  <c r="T116" i="159"/>
  <c r="T108" i="159"/>
  <c r="W96" i="159"/>
  <c r="W98" i="159"/>
  <c r="W95" i="159"/>
  <c r="T115" i="159"/>
  <c r="T111" i="159"/>
  <c r="T107" i="159"/>
  <c r="Q96" i="159"/>
  <c r="W93" i="159"/>
  <c r="Q108" i="159"/>
  <c r="Q121" i="159"/>
  <c r="Q115" i="159"/>
  <c r="W112" i="159"/>
  <c r="Q107" i="159"/>
  <c r="W104" i="159"/>
  <c r="Q98" i="159"/>
  <c r="W121" i="159"/>
  <c r="W111" i="159"/>
  <c r="Q99" i="159"/>
  <c r="T92" i="159"/>
  <c r="T122" i="159"/>
  <c r="T99" i="159"/>
  <c r="T121" i="159"/>
  <c r="W114" i="159"/>
  <c r="W117" i="159"/>
  <c r="T106" i="159"/>
  <c r="T97" i="159"/>
  <c r="Q110" i="159"/>
  <c r="T96" i="159"/>
  <c r="Q117" i="159"/>
  <c r="T88" i="159"/>
  <c r="T110" i="159"/>
  <c r="Q116" i="159"/>
  <c r="Q123" i="159"/>
  <c r="Q109" i="159"/>
  <c r="Q94" i="159"/>
  <c r="T114" i="159"/>
  <c r="W106" i="159"/>
  <c r="W88" i="159"/>
  <c r="N133" i="159"/>
  <c r="K105" i="159"/>
  <c r="N95" i="159"/>
  <c r="N88" i="159"/>
  <c r="K96" i="159"/>
  <c r="N260" i="159"/>
  <c r="N94" i="159"/>
  <c r="K104" i="159"/>
  <c r="K98" i="159"/>
  <c r="N116" i="159"/>
  <c r="N117" i="159"/>
  <c r="K113" i="159"/>
  <c r="K117" i="159"/>
  <c r="K112" i="159"/>
  <c r="H50" i="159"/>
  <c r="N109" i="159"/>
  <c r="N104" i="159"/>
  <c r="N111" i="159"/>
  <c r="N92" i="159"/>
  <c r="K109" i="159"/>
  <c r="K115" i="159"/>
  <c r="N197" i="159"/>
  <c r="K197" i="159"/>
  <c r="K88" i="159"/>
  <c r="K121" i="159"/>
  <c r="N113" i="159"/>
  <c r="N121" i="159"/>
  <c r="N97" i="159"/>
  <c r="N112" i="159"/>
  <c r="K260" i="159"/>
  <c r="N115" i="159"/>
  <c r="N93" i="159"/>
  <c r="K92" i="159"/>
  <c r="K95" i="159"/>
  <c r="K97" i="159"/>
  <c r="H116" i="159"/>
  <c r="H74" i="159"/>
  <c r="K133" i="159"/>
  <c r="N96" i="159"/>
  <c r="K116" i="159"/>
  <c r="N105" i="159"/>
  <c r="K114" i="159"/>
  <c r="H68" i="159"/>
  <c r="N114" i="159"/>
  <c r="K93" i="159"/>
  <c r="K94" i="159"/>
  <c r="N108" i="159"/>
  <c r="T233" i="159" l="1"/>
  <c r="W145" i="159"/>
  <c r="W315" i="159"/>
  <c r="W298" i="159"/>
  <c r="Q245" i="159"/>
  <c r="Q242" i="159"/>
  <c r="Q234" i="159"/>
  <c r="Q223" i="159"/>
  <c r="Q205" i="159"/>
  <c r="Q135" i="159"/>
  <c r="Q136" i="159"/>
  <c r="W182" i="159"/>
  <c r="W165" i="159"/>
  <c r="T201" i="159"/>
  <c r="W159" i="159"/>
  <c r="W162" i="159"/>
  <c r="W176" i="159"/>
  <c r="W170" i="159"/>
  <c r="W168" i="159"/>
  <c r="W164" i="159"/>
  <c r="T209" i="159"/>
  <c r="T199" i="159"/>
  <c r="W191" i="159"/>
  <c r="T221" i="159"/>
  <c r="W209" i="159"/>
  <c r="W139" i="159"/>
  <c r="Q208" i="159"/>
  <c r="W183" i="159"/>
  <c r="W178" i="159"/>
  <c r="Q220" i="159"/>
  <c r="T216" i="159"/>
  <c r="T137" i="159"/>
  <c r="W248" i="159"/>
  <c r="T276" i="159"/>
  <c r="W250" i="159"/>
  <c r="T288" i="159"/>
  <c r="W166" i="159"/>
  <c r="Q193" i="159"/>
  <c r="T252" i="159"/>
  <c r="W160" i="159"/>
  <c r="T243" i="159"/>
  <c r="W142" i="159"/>
  <c r="T200" i="159"/>
  <c r="T316" i="159"/>
  <c r="T289" i="159"/>
  <c r="T156" i="159"/>
  <c r="T268" i="159"/>
  <c r="T191" i="159"/>
  <c r="T285" i="159"/>
  <c r="T317" i="159"/>
  <c r="T265" i="159"/>
  <c r="T162" i="159"/>
  <c r="T320" i="159"/>
  <c r="T263" i="159"/>
  <c r="T159" i="159"/>
  <c r="T176" i="159"/>
  <c r="T304" i="159"/>
  <c r="T319" i="159"/>
  <c r="T187" i="159"/>
  <c r="T305" i="159"/>
  <c r="T306" i="159"/>
  <c r="T275" i="159"/>
  <c r="T293" i="159"/>
  <c r="T299" i="159"/>
  <c r="T279" i="159"/>
  <c r="T138" i="159"/>
  <c r="T267" i="159"/>
  <c r="T139" i="159"/>
  <c r="W236" i="159"/>
  <c r="Q213" i="159"/>
  <c r="Q230" i="159"/>
  <c r="Q222" i="159"/>
  <c r="T291" i="159"/>
  <c r="T182" i="159"/>
  <c r="Q252" i="159"/>
  <c r="Q206" i="159"/>
  <c r="T273" i="159"/>
  <c r="W229" i="159"/>
  <c r="Q320" i="159"/>
  <c r="Q200" i="159"/>
  <c r="Q201" i="159"/>
  <c r="T290" i="159"/>
  <c r="T308" i="159"/>
  <c r="T321" i="159"/>
  <c r="T270" i="159"/>
  <c r="T292" i="159"/>
  <c r="T310" i="159"/>
  <c r="T287" i="159"/>
  <c r="T296" i="159"/>
  <c r="T312" i="159"/>
  <c r="Q275" i="159"/>
  <c r="T318" i="159"/>
  <c r="T301" i="159"/>
  <c r="W220" i="159"/>
  <c r="Q287" i="159"/>
  <c r="T180" i="159"/>
  <c r="W203" i="159"/>
  <c r="Q309" i="159"/>
  <c r="T173" i="159"/>
  <c r="T307" i="159"/>
  <c r="T140" i="159"/>
  <c r="T295" i="159"/>
  <c r="Q217" i="159"/>
  <c r="T264" i="159"/>
  <c r="T284" i="159"/>
  <c r="T172" i="159"/>
  <c r="Q247" i="159"/>
  <c r="T300" i="159"/>
  <c r="T184" i="159"/>
  <c r="T283" i="159"/>
  <c r="T278" i="159"/>
  <c r="T266" i="159"/>
  <c r="T271" i="159"/>
  <c r="T272" i="159"/>
  <c r="T309" i="159"/>
  <c r="T274" i="159"/>
  <c r="V91" i="159"/>
  <c r="V120" i="159"/>
  <c r="V102" i="159"/>
  <c r="V259" i="159"/>
  <c r="V195" i="159"/>
  <c r="S102" i="159"/>
  <c r="S91" i="159"/>
  <c r="V130" i="159"/>
  <c r="S120" i="159"/>
  <c r="P259" i="159"/>
  <c r="P195" i="159"/>
  <c r="P130" i="159"/>
  <c r="M120" i="159"/>
  <c r="M91" i="159"/>
  <c r="M102" i="159"/>
  <c r="K190" i="159"/>
  <c r="K173" i="159"/>
  <c r="K157" i="159"/>
  <c r="K193" i="159"/>
  <c r="K177" i="159"/>
  <c r="K160" i="159"/>
  <c r="K186" i="159"/>
  <c r="K182" i="159"/>
  <c r="K178" i="159"/>
  <c r="K172" i="159"/>
  <c r="K168" i="159"/>
  <c r="K164" i="159"/>
  <c r="K176" i="159"/>
  <c r="K159" i="159"/>
  <c r="K162" i="159"/>
  <c r="K187" i="159"/>
  <c r="K183" i="159"/>
  <c r="K189" i="159"/>
  <c r="K185" i="159"/>
  <c r="K181" i="159"/>
  <c r="K192" i="159"/>
  <c r="K188" i="159"/>
  <c r="K171" i="159"/>
  <c r="K155" i="159"/>
  <c r="K191" i="159"/>
  <c r="K156" i="159"/>
  <c r="K184" i="159"/>
  <c r="K167" i="159"/>
  <c r="K175" i="159"/>
  <c r="K166" i="159"/>
  <c r="K170" i="159"/>
  <c r="K169" i="159"/>
  <c r="K165" i="159"/>
  <c r="K161" i="159"/>
  <c r="K180" i="159"/>
  <c r="K163" i="159"/>
  <c r="K179" i="159"/>
  <c r="K158" i="159"/>
  <c r="K248" i="159"/>
  <c r="K231" i="159"/>
  <c r="K214" i="159"/>
  <c r="K234" i="159"/>
  <c r="K217" i="159"/>
  <c r="K251" i="159"/>
  <c r="K237" i="159"/>
  <c r="K221" i="159"/>
  <c r="K201" i="159"/>
  <c r="K253" i="159"/>
  <c r="K200" i="159"/>
  <c r="K211" i="159"/>
  <c r="K203" i="159"/>
  <c r="K244" i="159"/>
  <c r="K227" i="159"/>
  <c r="K210" i="159"/>
  <c r="K247" i="159"/>
  <c r="K230" i="159"/>
  <c r="K256" i="159"/>
  <c r="K240" i="159"/>
  <c r="K223" i="159"/>
  <c r="K206" i="159"/>
  <c r="K243" i="159"/>
  <c r="K226" i="159"/>
  <c r="K209" i="159"/>
  <c r="K246" i="159"/>
  <c r="K229" i="159"/>
  <c r="K212" i="159"/>
  <c r="K219" i="159"/>
  <c r="K222" i="159"/>
  <c r="K242" i="159"/>
  <c r="K208" i="159"/>
  <c r="K236" i="159"/>
  <c r="K220" i="159"/>
  <c r="K249" i="159"/>
  <c r="K232" i="159"/>
  <c r="K215" i="159"/>
  <c r="K245" i="159"/>
  <c r="K228" i="159"/>
  <c r="K205" i="159"/>
  <c r="K241" i="159"/>
  <c r="K252" i="159"/>
  <c r="K239" i="159"/>
  <c r="K257" i="159"/>
  <c r="K213" i="159"/>
  <c r="K233" i="159"/>
  <c r="K254" i="159"/>
  <c r="K207" i="159"/>
  <c r="K250" i="159"/>
  <c r="K225" i="159"/>
  <c r="K204" i="159"/>
  <c r="K199" i="159"/>
  <c r="K235" i="159"/>
  <c r="K216" i="159"/>
  <c r="K255" i="159"/>
  <c r="K224" i="159"/>
  <c r="K202" i="159"/>
  <c r="S259" i="159"/>
  <c r="S195" i="159"/>
  <c r="P102" i="159"/>
  <c r="P91" i="159"/>
  <c r="S130" i="159"/>
  <c r="P120" i="159"/>
  <c r="N313" i="159"/>
  <c r="N296" i="159"/>
  <c r="N279" i="159"/>
  <c r="N263" i="159"/>
  <c r="N308" i="159"/>
  <c r="N291" i="159"/>
  <c r="N274" i="159"/>
  <c r="N307" i="159"/>
  <c r="N290" i="159"/>
  <c r="N273" i="159"/>
  <c r="N301" i="159"/>
  <c r="N264" i="159"/>
  <c r="N314" i="159"/>
  <c r="N266" i="159"/>
  <c r="N289" i="159"/>
  <c r="N309" i="159"/>
  <c r="N292" i="159"/>
  <c r="N275" i="159"/>
  <c r="N320" i="159"/>
  <c r="N304" i="159"/>
  <c r="N287" i="159"/>
  <c r="N270" i="159"/>
  <c r="N319" i="159"/>
  <c r="N303" i="159"/>
  <c r="N286" i="159"/>
  <c r="N269" i="159"/>
  <c r="N285" i="159"/>
  <c r="N297" i="159"/>
  <c r="N321" i="159"/>
  <c r="N305" i="159"/>
  <c r="N288" i="159"/>
  <c r="N271" i="159"/>
  <c r="N316" i="159"/>
  <c r="N299" i="159"/>
  <c r="N283" i="159"/>
  <c r="N315" i="159"/>
  <c r="N298" i="159"/>
  <c r="N281" i="159"/>
  <c r="N265" i="159"/>
  <c r="N268" i="159"/>
  <c r="N280" i="159"/>
  <c r="N293" i="159"/>
  <c r="N317" i="159"/>
  <c r="N277" i="159"/>
  <c r="N318" i="159"/>
  <c r="N276" i="159"/>
  <c r="N272" i="159"/>
  <c r="N310" i="159"/>
  <c r="N306" i="159"/>
  <c r="N300" i="159"/>
  <c r="N312" i="159"/>
  <c r="N278" i="159"/>
  <c r="N284" i="159"/>
  <c r="N295" i="159"/>
  <c r="N311" i="159"/>
  <c r="N267" i="159"/>
  <c r="N294" i="159"/>
  <c r="Q324" i="159"/>
  <c r="N251" i="159"/>
  <c r="N234" i="159"/>
  <c r="N237" i="159"/>
  <c r="N221" i="159"/>
  <c r="N241" i="159"/>
  <c r="N224" i="159"/>
  <c r="N247" i="159"/>
  <c r="N230" i="159"/>
  <c r="N250" i="159"/>
  <c r="N233" i="159"/>
  <c r="N243" i="159"/>
  <c r="N226" i="159"/>
  <c r="N246" i="159"/>
  <c r="N229" i="159"/>
  <c r="N253" i="159"/>
  <c r="N249" i="159"/>
  <c r="N232" i="159"/>
  <c r="N228" i="159"/>
  <c r="N225" i="159"/>
  <c r="N223" i="159"/>
  <c r="N257" i="159"/>
  <c r="N219" i="159"/>
  <c r="N231" i="159"/>
  <c r="N254" i="159"/>
  <c r="N220" i="159"/>
  <c r="N244" i="159"/>
  <c r="N227" i="159"/>
  <c r="N222" i="159"/>
  <c r="N236" i="159"/>
  <c r="N240" i="159"/>
  <c r="N235" i="159"/>
  <c r="N255" i="159"/>
  <c r="N239" i="159"/>
  <c r="N242" i="159"/>
  <c r="N252" i="159"/>
  <c r="N245" i="159"/>
  <c r="N256" i="159"/>
  <c r="N248" i="159"/>
  <c r="M259" i="159"/>
  <c r="J91" i="159"/>
  <c r="J102" i="159"/>
  <c r="M195" i="159"/>
  <c r="M130" i="159"/>
  <c r="J120" i="159"/>
  <c r="J259" i="159"/>
  <c r="J130" i="159"/>
  <c r="J195" i="159"/>
  <c r="N193" i="159"/>
  <c r="N177" i="159"/>
  <c r="N160" i="159"/>
  <c r="N180" i="159"/>
  <c r="N163" i="159"/>
  <c r="N172" i="159"/>
  <c r="N168" i="159"/>
  <c r="N164" i="159"/>
  <c r="N159" i="159"/>
  <c r="N155" i="159"/>
  <c r="N179" i="159"/>
  <c r="N162" i="159"/>
  <c r="N190" i="159"/>
  <c r="N173" i="159"/>
  <c r="N166" i="159"/>
  <c r="N189" i="159"/>
  <c r="N185" i="159"/>
  <c r="N181" i="159"/>
  <c r="N176" i="159"/>
  <c r="N171" i="159"/>
  <c r="N167" i="159"/>
  <c r="N175" i="159"/>
  <c r="N158" i="159"/>
  <c r="N178" i="159"/>
  <c r="N192" i="159"/>
  <c r="N188" i="159"/>
  <c r="N184" i="159"/>
  <c r="N191" i="159"/>
  <c r="N187" i="159"/>
  <c r="N170" i="159"/>
  <c r="N182" i="159"/>
  <c r="N161" i="159"/>
  <c r="N157" i="159"/>
  <c r="N156" i="159"/>
  <c r="N183" i="159"/>
  <c r="N165" i="159"/>
  <c r="N186" i="159"/>
  <c r="N169" i="159"/>
  <c r="K310" i="159"/>
  <c r="K293" i="159"/>
  <c r="K276" i="159"/>
  <c r="K321" i="159"/>
  <c r="K305" i="159"/>
  <c r="K288" i="159"/>
  <c r="K271" i="159"/>
  <c r="K320" i="159"/>
  <c r="K304" i="159"/>
  <c r="K287" i="159"/>
  <c r="K270" i="159"/>
  <c r="K315" i="159"/>
  <c r="K273" i="159"/>
  <c r="K319" i="159"/>
  <c r="K286" i="159"/>
  <c r="K306" i="159"/>
  <c r="K289" i="159"/>
  <c r="K272" i="159"/>
  <c r="K317" i="159"/>
  <c r="K300" i="159"/>
  <c r="K284" i="159"/>
  <c r="K267" i="159"/>
  <c r="K316" i="159"/>
  <c r="K299" i="159"/>
  <c r="K283" i="159"/>
  <c r="K266" i="159"/>
  <c r="K298" i="159"/>
  <c r="K311" i="159"/>
  <c r="K318" i="159"/>
  <c r="K301" i="159"/>
  <c r="K285" i="159"/>
  <c r="K268" i="159"/>
  <c r="K313" i="159"/>
  <c r="K296" i="159"/>
  <c r="K279" i="159"/>
  <c r="K312" i="159"/>
  <c r="K295" i="159"/>
  <c r="K278" i="159"/>
  <c r="K281" i="159"/>
  <c r="K294" i="159"/>
  <c r="K307" i="159"/>
  <c r="K264" i="159"/>
  <c r="K275" i="159"/>
  <c r="K291" i="159"/>
  <c r="K277" i="159"/>
  <c r="K303" i="159"/>
  <c r="K280" i="159"/>
  <c r="K314" i="159"/>
  <c r="K274" i="159"/>
  <c r="K263" i="159"/>
  <c r="K308" i="159"/>
  <c r="K297" i="159"/>
  <c r="K309" i="159"/>
  <c r="K290" i="159"/>
  <c r="K265" i="159"/>
  <c r="K292" i="159"/>
  <c r="K269" i="159"/>
  <c r="E43" i="81"/>
  <c r="E42" i="81"/>
  <c r="E41" i="81"/>
  <c r="E40" i="81"/>
  <c r="E39" i="81"/>
  <c r="E38" i="81"/>
  <c r="E37" i="81"/>
  <c r="E36" i="81"/>
  <c r="E35" i="81"/>
  <c r="E34" i="81"/>
  <c r="E33" i="81"/>
  <c r="E32" i="81"/>
  <c r="E31" i="81"/>
  <c r="E30" i="81"/>
  <c r="E29" i="81"/>
  <c r="E28" i="81"/>
  <c r="E27" i="81"/>
  <c r="E26" i="81"/>
  <c r="E25" i="81"/>
  <c r="E24" i="81"/>
  <c r="E23" i="81"/>
  <c r="F15" i="81"/>
  <c r="F14" i="81"/>
  <c r="F13" i="81"/>
  <c r="C12" i="81"/>
  <c r="D12" i="81" s="1"/>
  <c r="T19" i="81"/>
  <c r="F12" i="81" s="1"/>
  <c r="S18" i="81"/>
  <c r="S17" i="81"/>
  <c r="R29" i="81"/>
  <c r="S29" i="81" s="1"/>
  <c r="R28" i="81"/>
  <c r="S28" i="81" s="1"/>
  <c r="R27" i="81"/>
  <c r="S27" i="81" s="1"/>
  <c r="R26" i="81"/>
  <c r="S26" i="81" s="1"/>
  <c r="R25" i="81"/>
  <c r="S25" i="81" s="1"/>
  <c r="R24" i="81"/>
  <c r="R23" i="81"/>
  <c r="R22" i="81"/>
  <c r="S22" i="81" s="1"/>
  <c r="I19" i="136"/>
  <c r="C17" i="136"/>
  <c r="C22" i="136" s="1"/>
  <c r="W320" i="159"/>
  <c r="W210" i="159"/>
  <c r="W233" i="159"/>
  <c r="W251" i="159"/>
  <c r="W254" i="159"/>
  <c r="W243" i="159"/>
  <c r="W235" i="159"/>
  <c r="W222" i="159"/>
  <c r="W249" i="159"/>
  <c r="W136" i="159"/>
  <c r="Q168" i="159"/>
  <c r="Q157" i="159"/>
  <c r="T177" i="159"/>
  <c r="T161" i="159"/>
  <c r="Q179" i="159"/>
  <c r="W157" i="159"/>
  <c r="T179" i="159"/>
  <c r="W201" i="159"/>
  <c r="W204" i="159"/>
  <c r="Q211" i="159"/>
  <c r="T211" i="159"/>
  <c r="Q281" i="159"/>
  <c r="Q191" i="159"/>
  <c r="W272" i="159"/>
  <c r="W267" i="159"/>
  <c r="W266" i="159"/>
  <c r="W318" i="159"/>
  <c r="W313" i="159"/>
  <c r="W295" i="159"/>
  <c r="W297" i="159"/>
  <c r="W292" i="159"/>
  <c r="W274" i="159"/>
  <c r="W290" i="159"/>
  <c r="Q172" i="159"/>
  <c r="W189" i="159"/>
  <c r="T150" i="159"/>
  <c r="T146" i="159"/>
  <c r="Q144" i="159"/>
  <c r="T164" i="159"/>
  <c r="W184" i="159"/>
  <c r="Q158" i="159"/>
  <c r="W245" i="159"/>
  <c r="T153" i="159"/>
  <c r="T257" i="159"/>
  <c r="T207" i="159"/>
  <c r="T210" i="159"/>
  <c r="T229" i="159"/>
  <c r="T253" i="159"/>
  <c r="T203" i="159"/>
  <c r="T249" i="159"/>
  <c r="T219" i="159"/>
  <c r="T202" i="159"/>
  <c r="T226" i="159"/>
  <c r="T206" i="159"/>
  <c r="W214" i="159"/>
  <c r="Q314" i="159"/>
  <c r="Q163" i="159"/>
  <c r="Q149" i="159"/>
  <c r="Q187" i="159"/>
  <c r="Q138" i="159"/>
  <c r="T149" i="159"/>
  <c r="T189" i="159"/>
  <c r="T163" i="159"/>
  <c r="T135" i="159"/>
  <c r="T167" i="159"/>
  <c r="W141" i="159"/>
  <c r="Q299" i="159"/>
  <c r="Q294" i="159"/>
  <c r="Q276" i="159"/>
  <c r="Q263" i="159"/>
  <c r="Q307" i="159"/>
  <c r="Q289" i="159"/>
  <c r="Q308" i="159"/>
  <c r="Q303" i="159"/>
  <c r="Q301" i="159"/>
  <c r="Q267" i="159"/>
  <c r="T151" i="159"/>
  <c r="W171" i="159"/>
  <c r="T193" i="159"/>
  <c r="W185" i="159"/>
  <c r="Q221" i="159"/>
  <c r="Q224" i="159"/>
  <c r="Q227" i="159"/>
  <c r="Q250" i="159"/>
  <c r="Q246" i="159"/>
  <c r="Q249" i="159"/>
  <c r="Q235" i="159"/>
  <c r="T145" i="159"/>
  <c r="W190" i="159"/>
  <c r="W221" i="159"/>
  <c r="W303" i="159"/>
  <c r="W231" i="159"/>
  <c r="W304" i="159"/>
  <c r="Q304" i="159"/>
  <c r="T281" i="159"/>
  <c r="T297" i="159"/>
  <c r="T303" i="159"/>
  <c r="Q232" i="159"/>
  <c r="Q150" i="159"/>
  <c r="T234" i="159"/>
  <c r="T245" i="159"/>
  <c r="W288" i="159"/>
  <c r="T298" i="159"/>
  <c r="Q190" i="159"/>
  <c r="W211" i="159"/>
  <c r="W253" i="159"/>
  <c r="W187" i="159"/>
  <c r="Q173" i="159"/>
  <c r="T242" i="159"/>
  <c r="T246" i="159"/>
  <c r="Q297" i="159"/>
  <c r="W284" i="159"/>
  <c r="W268" i="159"/>
  <c r="W309" i="159"/>
  <c r="Q145" i="159"/>
  <c r="T136" i="159"/>
  <c r="Q153" i="159"/>
  <c r="Q171" i="159"/>
  <c r="T227" i="159"/>
  <c r="T220" i="159"/>
  <c r="T205" i="159"/>
  <c r="Q296" i="159"/>
  <c r="Q166" i="159"/>
  <c r="T166" i="159"/>
  <c r="W149" i="159"/>
  <c r="Q316" i="159"/>
  <c r="Q313" i="159"/>
  <c r="Q284" i="159"/>
  <c r="Q321" i="159"/>
  <c r="W188" i="159"/>
  <c r="Q237" i="159"/>
  <c r="Q236" i="159"/>
  <c r="T141" i="159"/>
  <c r="Q256" i="159"/>
  <c r="Q264" i="159"/>
  <c r="T280" i="159"/>
  <c r="Q151" i="159"/>
  <c r="W255" i="159"/>
  <c r="W247" i="159"/>
  <c r="W216" i="159"/>
  <c r="W224" i="159"/>
  <c r="W240" i="159"/>
  <c r="W226" i="159"/>
  <c r="W219" i="159"/>
  <c r="W242" i="159"/>
  <c r="Q141" i="159"/>
  <c r="T192" i="159"/>
  <c r="Q140" i="159"/>
  <c r="T160" i="159"/>
  <c r="W180" i="159"/>
  <c r="T165" i="159"/>
  <c r="W200" i="159"/>
  <c r="W161" i="159"/>
  <c r="Q184" i="159"/>
  <c r="Q209" i="159"/>
  <c r="T217" i="159"/>
  <c r="W217" i="159"/>
  <c r="Q225" i="159"/>
  <c r="W321" i="159"/>
  <c r="Q142" i="159"/>
  <c r="W317" i="159"/>
  <c r="W316" i="159"/>
  <c r="W273" i="159"/>
  <c r="W301" i="159"/>
  <c r="W296" i="159"/>
  <c r="W278" i="159"/>
  <c r="W280" i="159"/>
  <c r="W275" i="159"/>
  <c r="W294" i="159"/>
  <c r="W305" i="159"/>
  <c r="W186" i="159"/>
  <c r="W172" i="159"/>
  <c r="Q164" i="159"/>
  <c r="W158" i="159"/>
  <c r="T147" i="159"/>
  <c r="W167" i="159"/>
  <c r="W241" i="159"/>
  <c r="Q162" i="159"/>
  <c r="W140" i="159"/>
  <c r="T158" i="159"/>
  <c r="T251" i="159"/>
  <c r="T255" i="159"/>
  <c r="T247" i="159"/>
  <c r="T204" i="159"/>
  <c r="T250" i="159"/>
  <c r="T254" i="159"/>
  <c r="T232" i="159"/>
  <c r="T239" i="159"/>
  <c r="T212" i="159"/>
  <c r="W246" i="159"/>
  <c r="T231" i="159"/>
  <c r="T228" i="159"/>
  <c r="W271" i="159"/>
  <c r="Q146" i="159"/>
  <c r="Q156" i="159"/>
  <c r="W277" i="159"/>
  <c r="Q189" i="159"/>
  <c r="T186" i="159"/>
  <c r="W137" i="159"/>
  <c r="Q177" i="159"/>
  <c r="W138" i="159"/>
  <c r="Q181" i="159"/>
  <c r="W175" i="159"/>
  <c r="Q283" i="159"/>
  <c r="Q277" i="159"/>
  <c r="Q288" i="159"/>
  <c r="Q312" i="159"/>
  <c r="Q290" i="159"/>
  <c r="Q272" i="159"/>
  <c r="Q291" i="159"/>
  <c r="Q286" i="159"/>
  <c r="Q285" i="159"/>
  <c r="Q279" i="159"/>
  <c r="W155" i="159"/>
  <c r="Q182" i="159"/>
  <c r="W207" i="159"/>
  <c r="T190" i="159"/>
  <c r="Q204" i="159"/>
  <c r="Q207" i="159"/>
  <c r="Q210" i="159"/>
  <c r="Q233" i="159"/>
  <c r="Q229" i="159"/>
  <c r="Q219" i="159"/>
  <c r="Q199" i="159"/>
  <c r="T214" i="159"/>
  <c r="T277" i="159"/>
  <c r="T314" i="159"/>
  <c r="W227" i="159"/>
  <c r="W256" i="159"/>
  <c r="W208" i="159"/>
  <c r="W146" i="159"/>
  <c r="Q175" i="159"/>
  <c r="Q192" i="159"/>
  <c r="T256" i="159"/>
  <c r="W289" i="159"/>
  <c r="W286" i="159"/>
  <c r="W314" i="159"/>
  <c r="W319" i="159"/>
  <c r="W192" i="159"/>
  <c r="Q161" i="159"/>
  <c r="W148" i="159"/>
  <c r="T213" i="159"/>
  <c r="T223" i="159"/>
  <c r="W212" i="159"/>
  <c r="W287" i="159"/>
  <c r="Q169" i="159"/>
  <c r="T152" i="159"/>
  <c r="W153" i="159"/>
  <c r="Q311" i="159"/>
  <c r="Q278" i="159"/>
  <c r="Q319" i="159"/>
  <c r="Q148" i="159"/>
  <c r="W181" i="159"/>
  <c r="Q244" i="159"/>
  <c r="Q253" i="159"/>
  <c r="Q159" i="159"/>
  <c r="W276" i="159"/>
  <c r="T286" i="159"/>
  <c r="Q186" i="159"/>
  <c r="W244" i="159"/>
  <c r="W230" i="159"/>
  <c r="W215" i="159"/>
  <c r="W199" i="159"/>
  <c r="W223" i="159"/>
  <c r="W252" i="159"/>
  <c r="W257" i="159"/>
  <c r="W225" i="159"/>
  <c r="W147" i="159"/>
  <c r="W135" i="159"/>
  <c r="T143" i="159"/>
  <c r="W163" i="159"/>
  <c r="W151" i="159"/>
  <c r="Q170" i="159"/>
  <c r="W205" i="159"/>
  <c r="T170" i="159"/>
  <c r="Q188" i="159"/>
  <c r="Q226" i="159"/>
  <c r="Q231" i="159"/>
  <c r="Q228" i="159"/>
  <c r="W270" i="159"/>
  <c r="Q270" i="159"/>
  <c r="W306" i="159"/>
  <c r="W300" i="159"/>
  <c r="W299" i="159"/>
  <c r="W263" i="159"/>
  <c r="W285" i="159"/>
  <c r="W279" i="159"/>
  <c r="W311" i="159"/>
  <c r="W264" i="159"/>
  <c r="W308" i="159"/>
  <c r="W307" i="159"/>
  <c r="W293" i="159"/>
  <c r="W169" i="159"/>
  <c r="W156" i="159"/>
  <c r="Q139" i="159"/>
  <c r="T171" i="159"/>
  <c r="W150" i="159"/>
  <c r="Q178" i="159"/>
  <c r="T148" i="159"/>
  <c r="W193" i="159"/>
  <c r="W144" i="159"/>
  <c r="Q167" i="159"/>
  <c r="T241" i="159"/>
  <c r="T244" i="159"/>
  <c r="T230" i="159"/>
  <c r="T225" i="159"/>
  <c r="T236" i="159"/>
  <c r="T240" i="159"/>
  <c r="T215" i="159"/>
  <c r="T222" i="159"/>
  <c r="W232" i="159"/>
  <c r="W269" i="159"/>
  <c r="Q265" i="159"/>
  <c r="Q305" i="159"/>
  <c r="Q298" i="159"/>
  <c r="Q183" i="159"/>
  <c r="Q143" i="159"/>
  <c r="Q147" i="159"/>
  <c r="T183" i="159"/>
  <c r="T169" i="159"/>
  <c r="T142" i="159"/>
  <c r="W281" i="159"/>
  <c r="T144" i="159"/>
  <c r="W143" i="159"/>
  <c r="T188" i="159"/>
  <c r="Q266" i="159"/>
  <c r="Q310" i="159"/>
  <c r="Q300" i="159"/>
  <c r="Q295" i="159"/>
  <c r="Q273" i="159"/>
  <c r="Q271" i="159"/>
  <c r="Q274" i="159"/>
  <c r="Q269" i="159"/>
  <c r="Q268" i="159"/>
  <c r="Q292" i="159"/>
  <c r="Q165" i="159"/>
  <c r="T185" i="159"/>
  <c r="W177" i="159"/>
  <c r="Q254" i="159"/>
  <c r="Q251" i="159"/>
  <c r="Q255" i="159"/>
  <c r="Q243" i="159"/>
  <c r="Q216" i="159"/>
  <c r="Q212" i="159"/>
  <c r="Q215" i="159"/>
  <c r="Q202" i="159"/>
  <c r="Q155" i="159"/>
  <c r="Q203" i="159"/>
  <c r="Q248" i="159"/>
  <c r="W234" i="159"/>
  <c r="W265" i="159"/>
  <c r="Q315" i="159"/>
  <c r="T294" i="159"/>
  <c r="T315" i="159"/>
  <c r="T269" i="159"/>
  <c r="W213" i="159"/>
  <c r="W206" i="159"/>
  <c r="W239" i="159"/>
  <c r="T155" i="159"/>
  <c r="T157" i="159"/>
  <c r="T175" i="159"/>
  <c r="W237" i="159"/>
  <c r="Q152" i="159"/>
  <c r="W283" i="159"/>
  <c r="W312" i="159"/>
  <c r="W291" i="159"/>
  <c r="W152" i="159"/>
  <c r="Q185" i="159"/>
  <c r="T181" i="159"/>
  <c r="W228" i="159"/>
  <c r="T224" i="159"/>
  <c r="T237" i="159"/>
  <c r="T235" i="159"/>
  <c r="Q317" i="159"/>
  <c r="Q180" i="159"/>
  <c r="Q160" i="159"/>
  <c r="W179" i="159"/>
  <c r="Q137" i="159"/>
  <c r="Q293" i="159"/>
  <c r="Q306" i="159"/>
  <c r="Q318" i="159"/>
  <c r="T168" i="159"/>
  <c r="Q241" i="159"/>
  <c r="Q239" i="159"/>
  <c r="Q257" i="159"/>
  <c r="Q214" i="159"/>
  <c r="T248" i="159"/>
  <c r="T311" i="159"/>
  <c r="N199" i="159"/>
  <c r="N139" i="159"/>
  <c r="K136" i="159"/>
  <c r="N153" i="159"/>
  <c r="N143" i="159"/>
  <c r="K144" i="159"/>
  <c r="K137" i="159"/>
  <c r="N207" i="159"/>
  <c r="K140" i="159"/>
  <c r="K261" i="159"/>
  <c r="N209" i="159"/>
  <c r="N213" i="159"/>
  <c r="N140" i="159"/>
  <c r="N202" i="159"/>
  <c r="K151" i="159"/>
  <c r="K153" i="159"/>
  <c r="N136" i="159"/>
  <c r="N144" i="159"/>
  <c r="N200" i="159"/>
  <c r="K146" i="159"/>
  <c r="N214" i="159"/>
  <c r="N142" i="159"/>
  <c r="N201" i="159"/>
  <c r="K143" i="159"/>
  <c r="K135" i="159"/>
  <c r="K145" i="159"/>
  <c r="N141" i="159"/>
  <c r="N206" i="159"/>
  <c r="N208" i="159"/>
  <c r="N135" i="159"/>
  <c r="N204" i="159"/>
  <c r="K147" i="159"/>
  <c r="K142" i="159"/>
  <c r="N150" i="159"/>
  <c r="K141" i="159"/>
  <c r="N203" i="159"/>
  <c r="N216" i="159"/>
  <c r="K150" i="159"/>
  <c r="N217" i="159"/>
  <c r="N146" i="159"/>
  <c r="N211" i="159"/>
  <c r="K148" i="159"/>
  <c r="N145" i="159"/>
  <c r="N212" i="159"/>
  <c r="N151" i="159"/>
  <c r="N137" i="159"/>
  <c r="N138" i="159"/>
  <c r="K139" i="159"/>
  <c r="K138" i="159"/>
  <c r="N210" i="159"/>
  <c r="N152" i="159"/>
  <c r="N148" i="159"/>
  <c r="N149" i="159"/>
  <c r="K152" i="159"/>
  <c r="N205" i="159"/>
  <c r="N215" i="159"/>
  <c r="K149" i="159"/>
  <c r="N147" i="159"/>
  <c r="N261" i="159"/>
  <c r="F30" i="159" l="1"/>
  <c r="F36" i="159"/>
  <c r="F33" i="159"/>
  <c r="F31" i="159"/>
  <c r="F37" i="159"/>
  <c r="F32" i="159"/>
  <c r="F34" i="159"/>
  <c r="F28" i="159"/>
  <c r="F27" i="159"/>
  <c r="F38" i="159"/>
  <c r="F29" i="159"/>
  <c r="F35" i="159"/>
  <c r="E76" i="159"/>
  <c r="E72" i="159"/>
  <c r="E68" i="159"/>
  <c r="E64" i="159"/>
  <c r="E60" i="159"/>
  <c r="E56" i="159"/>
  <c r="E52" i="159"/>
  <c r="E48" i="159"/>
  <c r="E44" i="159"/>
  <c r="E67" i="159"/>
  <c r="E59" i="159"/>
  <c r="E77" i="159"/>
  <c r="E73" i="159"/>
  <c r="E69" i="159"/>
  <c r="E65" i="159"/>
  <c r="E61" i="159"/>
  <c r="E57" i="159"/>
  <c r="E53" i="159"/>
  <c r="E49" i="159"/>
  <c r="E45" i="159"/>
  <c r="E71" i="159"/>
  <c r="E63" i="159"/>
  <c r="E51" i="159"/>
  <c r="E43" i="159"/>
  <c r="E78" i="159"/>
  <c r="E74" i="159"/>
  <c r="E70" i="159"/>
  <c r="E66" i="159"/>
  <c r="E62" i="159"/>
  <c r="E58" i="159"/>
  <c r="E54" i="159"/>
  <c r="E50" i="159"/>
  <c r="E46" i="159"/>
  <c r="E75" i="159"/>
  <c r="E55" i="159"/>
  <c r="E47" i="159"/>
  <c r="E12" i="81"/>
  <c r="C14" i="81"/>
  <c r="C15" i="81"/>
  <c r="S23" i="81"/>
  <c r="S24" i="81"/>
  <c r="C13" i="81"/>
  <c r="L85" i="80"/>
  <c r="K85" i="80"/>
  <c r="G98" i="80"/>
  <c r="G97" i="80"/>
  <c r="G95" i="80"/>
  <c r="G94" i="80"/>
  <c r="G93" i="80"/>
  <c r="G92" i="80"/>
  <c r="G90" i="80"/>
  <c r="G88" i="80"/>
  <c r="G87" i="80"/>
  <c r="G86" i="80"/>
  <c r="H74" i="97"/>
  <c r="H73" i="97"/>
  <c r="H62" i="97"/>
  <c r="H61" i="97"/>
  <c r="H59" i="97"/>
  <c r="H56" i="97"/>
  <c r="H55" i="97"/>
  <c r="H38" i="97"/>
  <c r="H37" i="97"/>
  <c r="H36" i="97"/>
  <c r="K38" i="97"/>
  <c r="K37" i="97"/>
  <c r="K36" i="97"/>
  <c r="H31" i="97"/>
  <c r="K31" i="97"/>
  <c r="K30" i="97"/>
  <c r="K29" i="97"/>
  <c r="K28" i="97"/>
  <c r="H30" i="97"/>
  <c r="H29" i="97"/>
  <c r="H28" i="97"/>
  <c r="H8" i="97"/>
  <c r="BT6" i="97"/>
  <c r="BT7" i="97"/>
  <c r="BT8" i="97"/>
  <c r="BT10" i="97"/>
  <c r="BT12" i="97"/>
  <c r="BT13" i="97"/>
  <c r="BT14" i="97"/>
  <c r="BT15" i="97"/>
  <c r="BT17" i="97"/>
  <c r="BT18" i="97"/>
  <c r="E15" i="81" l="1"/>
  <c r="D15" i="81"/>
  <c r="E13" i="81"/>
  <c r="D13" i="81"/>
  <c r="D14" i="81"/>
  <c r="E14" i="81"/>
  <c r="M85" i="80"/>
  <c r="DU12" i="98" l="1"/>
  <c r="H55" i="105" l="1"/>
  <c r="H73" i="105"/>
  <c r="H61" i="106" l="1"/>
  <c r="H73" i="106" l="1"/>
  <c r="H55" i="106"/>
  <c r="H49" i="106"/>
  <c r="K160" i="106"/>
  <c r="K140" i="106"/>
  <c r="H21" i="106"/>
  <c r="N111" i="106"/>
  <c r="N110" i="106"/>
  <c r="K111" i="106"/>
  <c r="K110" i="106"/>
  <c r="H111" i="106"/>
  <c r="H110" i="106"/>
  <c r="H76" i="106"/>
  <c r="H64" i="106"/>
  <c r="H58" i="106"/>
  <c r="H52" i="106"/>
  <c r="H43" i="106"/>
  <c r="H36" i="106"/>
  <c r="H34" i="106"/>
  <c r="H33" i="106"/>
  <c r="H32" i="106"/>
  <c r="H31" i="106"/>
  <c r="H29" i="106"/>
  <c r="H28" i="106"/>
  <c r="H8" i="106"/>
  <c r="K160" i="105" l="1"/>
  <c r="K140" i="105"/>
  <c r="H21" i="105"/>
  <c r="N111" i="105"/>
  <c r="N110" i="105"/>
  <c r="K111" i="105"/>
  <c r="K110" i="105"/>
  <c r="H111" i="105"/>
  <c r="H110" i="105"/>
  <c r="H76" i="105"/>
  <c r="H64" i="105"/>
  <c r="H61" i="105"/>
  <c r="H58" i="105"/>
  <c r="H43" i="105"/>
  <c r="H36" i="105"/>
  <c r="H34" i="105"/>
  <c r="H33" i="105"/>
  <c r="H32" i="105"/>
  <c r="H31" i="105"/>
  <c r="H29" i="105"/>
  <c r="H28" i="105"/>
  <c r="H8" i="105"/>
  <c r="H55" i="104" l="1"/>
  <c r="H50" i="104"/>
  <c r="H49" i="104"/>
  <c r="AQ90" i="104"/>
  <c r="AP90" i="104"/>
  <c r="AR89" i="104"/>
  <c r="AR88" i="104"/>
  <c r="AR90" i="104" l="1"/>
  <c r="H21" i="104"/>
  <c r="K140" i="104" l="1"/>
  <c r="K160" i="104"/>
  <c r="H111" i="104"/>
  <c r="K111" i="104"/>
  <c r="K110" i="104"/>
  <c r="H110" i="104"/>
  <c r="H56" i="104"/>
  <c r="H58" i="104"/>
  <c r="H52" i="104"/>
  <c r="H43" i="104"/>
  <c r="H38" i="104"/>
  <c r="H37" i="104"/>
  <c r="H36" i="104"/>
  <c r="H34" i="104"/>
  <c r="H33" i="104"/>
  <c r="H32" i="104"/>
  <c r="H31" i="104"/>
  <c r="H30" i="104"/>
  <c r="H29" i="104"/>
  <c r="H28" i="104"/>
  <c r="H8" i="104"/>
  <c r="P18" i="113" l="1"/>
  <c r="AX136" i="134" l="1"/>
  <c r="AV136" i="134"/>
  <c r="AR99" i="134"/>
  <c r="F66" i="134"/>
  <c r="F65" i="134"/>
  <c r="F64" i="134"/>
  <c r="F63" i="134"/>
  <c r="G62" i="134"/>
  <c r="F62" i="134"/>
  <c r="F61" i="134"/>
  <c r="F60" i="134"/>
  <c r="F59" i="134"/>
  <c r="F58" i="134"/>
  <c r="F57" i="134"/>
  <c r="G56" i="134"/>
  <c r="F56" i="134"/>
  <c r="F55" i="134"/>
  <c r="F54" i="134"/>
  <c r="F53" i="134"/>
  <c r="F52" i="134"/>
  <c r="F51" i="134"/>
  <c r="G50" i="134"/>
  <c r="F50" i="134"/>
  <c r="F49" i="134"/>
  <c r="N122" i="31"/>
  <c r="K122" i="31"/>
  <c r="H122" i="31"/>
  <c r="N122" i="161"/>
  <c r="N122" i="162"/>
  <c r="N122" i="160"/>
  <c r="H109" i="115"/>
  <c r="K122" i="161"/>
  <c r="K122" i="160"/>
  <c r="K122" i="162"/>
  <c r="H122" i="159"/>
  <c r="H122" i="162"/>
  <c r="H122" i="161"/>
  <c r="H122" i="160"/>
  <c r="N122" i="159"/>
  <c r="K122" i="159"/>
  <c r="H4" i="115" l="1"/>
  <c r="R59" i="163"/>
  <c r="R59" i="164"/>
  <c r="P59" i="165"/>
  <c r="I59" i="164"/>
  <c r="H113" i="113"/>
  <c r="H114" i="115"/>
  <c r="H114" i="113"/>
  <c r="J59" i="164"/>
  <c r="I59" i="165"/>
  <c r="M59" i="165"/>
  <c r="O59" i="165"/>
  <c r="H97" i="113"/>
  <c r="H71" i="113"/>
  <c r="H20" i="113"/>
  <c r="V59" i="165"/>
  <c r="H104" i="115"/>
  <c r="H124" i="115"/>
  <c r="H72" i="113"/>
  <c r="H92" i="113"/>
  <c r="M59" i="163"/>
  <c r="L59" i="163"/>
  <c r="M59" i="164"/>
  <c r="R59" i="165"/>
  <c r="H106" i="115"/>
  <c r="H88" i="113"/>
  <c r="H109" i="113"/>
  <c r="L59" i="165"/>
  <c r="H105" i="115"/>
  <c r="H117" i="113"/>
  <c r="H95" i="113"/>
  <c r="H104" i="113"/>
  <c r="H126" i="115"/>
  <c r="I59" i="163"/>
  <c r="V59" i="164"/>
  <c r="P59" i="164"/>
  <c r="O59" i="164"/>
  <c r="H116" i="115"/>
  <c r="S59" i="163"/>
  <c r="H115" i="115"/>
  <c r="H78" i="113"/>
  <c r="P59" i="163"/>
  <c r="U59" i="164"/>
  <c r="H105" i="113"/>
  <c r="H77" i="113"/>
  <c r="H66" i="113"/>
  <c r="J59" i="163"/>
  <c r="L59" i="164"/>
  <c r="H96" i="113"/>
  <c r="S59" i="165"/>
  <c r="H121" i="113"/>
  <c r="H125" i="115"/>
  <c r="V59" i="163"/>
  <c r="U59" i="163"/>
  <c r="S59" i="164"/>
  <c r="U59" i="165"/>
  <c r="H93" i="113"/>
  <c r="O59" i="163"/>
  <c r="J59" i="165"/>
  <c r="F66" i="133" l="1"/>
  <c r="F65" i="133"/>
  <c r="F64" i="133"/>
  <c r="F63" i="133"/>
  <c r="G62" i="133"/>
  <c r="F62" i="133"/>
  <c r="F61" i="133"/>
  <c r="F60" i="133"/>
  <c r="F59" i="133"/>
  <c r="F58" i="133"/>
  <c r="F57" i="133"/>
  <c r="G56" i="133"/>
  <c r="F56" i="133"/>
  <c r="F55" i="133"/>
  <c r="F54" i="133"/>
  <c r="F53" i="133"/>
  <c r="F52" i="133"/>
  <c r="F51" i="133"/>
  <c r="G50" i="133"/>
  <c r="F50" i="133"/>
  <c r="F49" i="133"/>
  <c r="F66" i="132"/>
  <c r="F65" i="132"/>
  <c r="F64" i="132"/>
  <c r="F63" i="132"/>
  <c r="G62" i="132"/>
  <c r="F62" i="132"/>
  <c r="F61" i="132"/>
  <c r="F60" i="132"/>
  <c r="F59" i="132"/>
  <c r="F58" i="132"/>
  <c r="F57" i="132"/>
  <c r="G56" i="132"/>
  <c r="F56" i="132"/>
  <c r="F55" i="132"/>
  <c r="F54" i="132"/>
  <c r="F53" i="132"/>
  <c r="F52" i="132"/>
  <c r="F51" i="132"/>
  <c r="G50" i="132"/>
  <c r="F50" i="132"/>
  <c r="F49" i="132"/>
  <c r="Q57" i="164"/>
  <c r="H70" i="113"/>
  <c r="H10" i="113"/>
  <c r="T57" i="164"/>
  <c r="T64" i="165"/>
  <c r="H101" i="163"/>
  <c r="Q64" i="165"/>
  <c r="H9" i="163"/>
  <c r="H9" i="113"/>
  <c r="H48" i="113"/>
  <c r="H101" i="165"/>
  <c r="H75" i="113"/>
  <c r="W64" i="164"/>
  <c r="H37" i="113"/>
  <c r="H65" i="113"/>
  <c r="H53" i="113"/>
  <c r="H99" i="113"/>
  <c r="H6" i="113"/>
  <c r="K31" i="113"/>
  <c r="W64" i="165"/>
  <c r="H49" i="113"/>
  <c r="H61" i="113"/>
  <c r="H7" i="113"/>
  <c r="H111" i="163"/>
  <c r="K29" i="113"/>
  <c r="H121" i="165"/>
  <c r="H36" i="113"/>
  <c r="H28" i="113"/>
  <c r="H111" i="165"/>
  <c r="K37" i="113"/>
  <c r="H135" i="164"/>
  <c r="H60" i="113"/>
  <c r="H55" i="113"/>
  <c r="H135" i="165"/>
  <c r="T57" i="163"/>
  <c r="T64" i="164"/>
  <c r="H12" i="113"/>
  <c r="K36" i="113"/>
  <c r="W57" i="165"/>
  <c r="H69" i="113"/>
  <c r="H135" i="163"/>
  <c r="K28" i="113"/>
  <c r="W64" i="163"/>
  <c r="H47" i="113"/>
  <c r="H59" i="113"/>
  <c r="H64" i="113"/>
  <c r="H43" i="113"/>
  <c r="K30" i="113"/>
  <c r="H121" i="164"/>
  <c r="H45" i="113"/>
  <c r="W57" i="163"/>
  <c r="K35" i="113"/>
  <c r="H46" i="113"/>
  <c r="H33" i="113"/>
  <c r="H76" i="113"/>
  <c r="Q57" i="165"/>
  <c r="Q64" i="163"/>
  <c r="H67" i="113"/>
  <c r="H101" i="164"/>
  <c r="H29" i="113"/>
  <c r="Q57" i="163"/>
  <c r="K38" i="113"/>
  <c r="H51" i="113"/>
  <c r="W57" i="164"/>
  <c r="H111" i="164"/>
  <c r="H34" i="113"/>
  <c r="H11" i="113"/>
  <c r="Q64" i="164"/>
  <c r="H73" i="113"/>
  <c r="H9" i="165"/>
  <c r="H52" i="113"/>
  <c r="K32" i="113"/>
  <c r="H54" i="113"/>
  <c r="H9" i="164"/>
  <c r="T57" i="165"/>
  <c r="T64" i="163"/>
  <c r="H35" i="113"/>
  <c r="H121" i="163"/>
  <c r="H57" i="113"/>
  <c r="H58" i="113"/>
  <c r="H31" i="113"/>
  <c r="K33" i="113"/>
  <c r="H112" i="113"/>
  <c r="K34" i="113"/>
  <c r="H32" i="113"/>
  <c r="H88" i="165" l="1"/>
  <c r="H88" i="164"/>
  <c r="W52" i="165"/>
  <c r="T52" i="165"/>
  <c r="Q52" i="165"/>
  <c r="U411" i="165"/>
  <c r="Q411" i="165"/>
  <c r="M411" i="165"/>
  <c r="T382" i="165"/>
  <c r="P382" i="165"/>
  <c r="L382" i="165"/>
  <c r="W353" i="165"/>
  <c r="S353" i="165"/>
  <c r="O353" i="165"/>
  <c r="T411" i="165"/>
  <c r="P411" i="165"/>
  <c r="L411" i="165"/>
  <c r="W382" i="165"/>
  <c r="S382" i="165"/>
  <c r="O382" i="165"/>
  <c r="V353" i="165"/>
  <c r="R353" i="165"/>
  <c r="W411" i="165"/>
  <c r="S411" i="165"/>
  <c r="O411" i="165"/>
  <c r="V382" i="165"/>
  <c r="R382" i="165"/>
  <c r="U353" i="165"/>
  <c r="Q353" i="165"/>
  <c r="M353" i="165"/>
  <c r="R411" i="165"/>
  <c r="M382" i="165"/>
  <c r="T322" i="165"/>
  <c r="P322" i="165"/>
  <c r="L322" i="165"/>
  <c r="T353" i="165"/>
  <c r="W322" i="165"/>
  <c r="S322" i="165"/>
  <c r="O322" i="165"/>
  <c r="V293" i="165"/>
  <c r="R293" i="165"/>
  <c r="U382" i="165"/>
  <c r="P353" i="165"/>
  <c r="V322" i="165"/>
  <c r="R322" i="165"/>
  <c r="U293" i="165"/>
  <c r="Q293" i="165"/>
  <c r="M293" i="165"/>
  <c r="P293" i="165"/>
  <c r="U264" i="165"/>
  <c r="Q264" i="165"/>
  <c r="M264" i="165"/>
  <c r="T224" i="165"/>
  <c r="P224" i="165"/>
  <c r="L224" i="165"/>
  <c r="U322" i="165"/>
  <c r="W293" i="165"/>
  <c r="O293" i="165"/>
  <c r="T264" i="165"/>
  <c r="P264" i="165"/>
  <c r="L264" i="165"/>
  <c r="W224" i="165"/>
  <c r="S224" i="165"/>
  <c r="O224" i="165"/>
  <c r="V411" i="165"/>
  <c r="Q382" i="165"/>
  <c r="L353" i="165"/>
  <c r="Q322" i="165"/>
  <c r="T293" i="165"/>
  <c r="L293" i="165"/>
  <c r="W264" i="165"/>
  <c r="S264" i="165"/>
  <c r="O264" i="165"/>
  <c r="M322" i="165"/>
  <c r="S293" i="165"/>
  <c r="V264" i="165"/>
  <c r="Q224" i="165"/>
  <c r="V186" i="165"/>
  <c r="R186" i="165"/>
  <c r="V148" i="165"/>
  <c r="R148" i="165"/>
  <c r="W129" i="165"/>
  <c r="S129" i="165"/>
  <c r="O129" i="165"/>
  <c r="R264" i="165"/>
  <c r="V224" i="165"/>
  <c r="U186" i="165"/>
  <c r="Q186" i="165"/>
  <c r="M186" i="165"/>
  <c r="U148" i="165"/>
  <c r="Q148" i="165"/>
  <c r="M148" i="165"/>
  <c r="W139" i="165"/>
  <c r="W80" i="165" s="1"/>
  <c r="V129" i="165"/>
  <c r="R129" i="165"/>
  <c r="J129" i="165"/>
  <c r="V97" i="165"/>
  <c r="R97" i="165"/>
  <c r="J97" i="165"/>
  <c r="V76" i="165"/>
  <c r="R76" i="165"/>
  <c r="U224" i="165"/>
  <c r="M224" i="165"/>
  <c r="T186" i="165"/>
  <c r="P186" i="165"/>
  <c r="L186" i="165"/>
  <c r="T148" i="165"/>
  <c r="P148" i="165"/>
  <c r="L148" i="165"/>
  <c r="T139" i="165"/>
  <c r="T80" i="165" s="1"/>
  <c r="U129" i="165"/>
  <c r="Q129" i="165"/>
  <c r="M129" i="165"/>
  <c r="I129" i="165"/>
  <c r="U97" i="165"/>
  <c r="Q97" i="165"/>
  <c r="M97" i="165"/>
  <c r="I97" i="165"/>
  <c r="U76" i="165"/>
  <c r="Q76" i="165"/>
  <c r="S186" i="165"/>
  <c r="W148" i="165"/>
  <c r="Q139" i="165"/>
  <c r="Q80" i="165" s="1"/>
  <c r="L129" i="165"/>
  <c r="P97" i="165"/>
  <c r="T76" i="165"/>
  <c r="J76" i="165"/>
  <c r="W50" i="165"/>
  <c r="W49" i="165" s="1"/>
  <c r="S50" i="165"/>
  <c r="O50" i="165"/>
  <c r="U23" i="165"/>
  <c r="Q23" i="165"/>
  <c r="M23" i="165"/>
  <c r="I23" i="165"/>
  <c r="O186" i="165"/>
  <c r="S148" i="165"/>
  <c r="W97" i="165"/>
  <c r="O97" i="165"/>
  <c r="S76" i="165"/>
  <c r="M76" i="165"/>
  <c r="I76" i="165"/>
  <c r="V50" i="165"/>
  <c r="R50" i="165"/>
  <c r="J50" i="165"/>
  <c r="T23" i="165"/>
  <c r="P23" i="165"/>
  <c r="L23" i="165"/>
  <c r="O148" i="165"/>
  <c r="T129" i="165"/>
  <c r="T97" i="165"/>
  <c r="L97" i="165"/>
  <c r="P76" i="165"/>
  <c r="L76" i="165"/>
  <c r="U50" i="165"/>
  <c r="Q50" i="165"/>
  <c r="Q49" i="165" s="1"/>
  <c r="M50" i="165"/>
  <c r="I50" i="165"/>
  <c r="W23" i="165"/>
  <c r="S23" i="165"/>
  <c r="O23" i="165"/>
  <c r="S97" i="165"/>
  <c r="O76" i="165"/>
  <c r="P50" i="165"/>
  <c r="J23" i="165"/>
  <c r="R224" i="165"/>
  <c r="L50" i="165"/>
  <c r="V23" i="165"/>
  <c r="W186" i="165"/>
  <c r="P129" i="165"/>
  <c r="R23" i="165"/>
  <c r="T50" i="165"/>
  <c r="T49" i="165" s="1"/>
  <c r="W76" i="165"/>
  <c r="W52" i="164"/>
  <c r="Q52" i="164"/>
  <c r="T52" i="164"/>
  <c r="T411" i="164"/>
  <c r="P411" i="164"/>
  <c r="L411" i="164"/>
  <c r="W411" i="164"/>
  <c r="S411" i="164"/>
  <c r="O411" i="164"/>
  <c r="Q411" i="164"/>
  <c r="U382" i="164"/>
  <c r="Q382" i="164"/>
  <c r="M382" i="164"/>
  <c r="T353" i="164"/>
  <c r="P353" i="164"/>
  <c r="L353" i="164"/>
  <c r="W322" i="164"/>
  <c r="S322" i="164"/>
  <c r="O322" i="164"/>
  <c r="V293" i="164"/>
  <c r="R293" i="164"/>
  <c r="U264" i="164"/>
  <c r="V411" i="164"/>
  <c r="T382" i="164"/>
  <c r="P382" i="164"/>
  <c r="L382" i="164"/>
  <c r="W353" i="164"/>
  <c r="S353" i="164"/>
  <c r="O353" i="164"/>
  <c r="V322" i="164"/>
  <c r="R322" i="164"/>
  <c r="U293" i="164"/>
  <c r="Q293" i="164"/>
  <c r="M293" i="164"/>
  <c r="T264" i="164"/>
  <c r="P264" i="164"/>
  <c r="U411" i="164"/>
  <c r="M411" i="164"/>
  <c r="W382" i="164"/>
  <c r="S382" i="164"/>
  <c r="O382" i="164"/>
  <c r="V353" i="164"/>
  <c r="R353" i="164"/>
  <c r="U322" i="164"/>
  <c r="Q322" i="164"/>
  <c r="M322" i="164"/>
  <c r="T293" i="164"/>
  <c r="P293" i="164"/>
  <c r="L293" i="164"/>
  <c r="W264" i="164"/>
  <c r="S264" i="164"/>
  <c r="O264" i="164"/>
  <c r="U353" i="164"/>
  <c r="P322" i="164"/>
  <c r="V264" i="164"/>
  <c r="M264" i="164"/>
  <c r="W224" i="164"/>
  <c r="S224" i="164"/>
  <c r="O224" i="164"/>
  <c r="V186" i="164"/>
  <c r="R186" i="164"/>
  <c r="V148" i="164"/>
  <c r="R148" i="164"/>
  <c r="W129" i="164"/>
  <c r="S129" i="164"/>
  <c r="O129" i="164"/>
  <c r="W97" i="164"/>
  <c r="S97" i="164"/>
  <c r="O97" i="164"/>
  <c r="W76" i="164"/>
  <c r="S76" i="164"/>
  <c r="O76" i="164"/>
  <c r="T50" i="164"/>
  <c r="T49" i="164" s="1"/>
  <c r="P50" i="164"/>
  <c r="L50" i="164"/>
  <c r="V23" i="164"/>
  <c r="R23" i="164"/>
  <c r="J23" i="164"/>
  <c r="R382" i="164"/>
  <c r="M353" i="164"/>
  <c r="S293" i="164"/>
  <c r="R411" i="164"/>
  <c r="V382" i="164"/>
  <c r="Q353" i="164"/>
  <c r="L322" i="164"/>
  <c r="W293" i="164"/>
  <c r="R264" i="164"/>
  <c r="L264" i="164"/>
  <c r="V224" i="164"/>
  <c r="R224" i="164"/>
  <c r="U186" i="164"/>
  <c r="Q186" i="164"/>
  <c r="M186" i="164"/>
  <c r="U148" i="164"/>
  <c r="Q148" i="164"/>
  <c r="M148" i="164"/>
  <c r="W139" i="164"/>
  <c r="W80" i="164" s="1"/>
  <c r="V129" i="164"/>
  <c r="R129" i="164"/>
  <c r="J129" i="164"/>
  <c r="V97" i="164"/>
  <c r="R97" i="164"/>
  <c r="J97" i="164"/>
  <c r="V76" i="164"/>
  <c r="R76" i="164"/>
  <c r="J76" i="164"/>
  <c r="W50" i="164"/>
  <c r="W49" i="164" s="1"/>
  <c r="S50" i="164"/>
  <c r="O50" i="164"/>
  <c r="U23" i="164"/>
  <c r="Q23" i="164"/>
  <c r="M23" i="164"/>
  <c r="I23" i="164"/>
  <c r="Q264" i="164"/>
  <c r="Q224" i="164"/>
  <c r="T186" i="164"/>
  <c r="L186" i="164"/>
  <c r="P148" i="164"/>
  <c r="T139" i="164"/>
  <c r="T80" i="164" s="1"/>
  <c r="Q129" i="164"/>
  <c r="I129" i="164"/>
  <c r="Q97" i="164"/>
  <c r="I97" i="164"/>
  <c r="U76" i="164"/>
  <c r="M76" i="164"/>
  <c r="V50" i="164"/>
  <c r="S23" i="164"/>
  <c r="L224" i="164"/>
  <c r="T97" i="164"/>
  <c r="L97" i="164"/>
  <c r="I50" i="164"/>
  <c r="P224" i="164"/>
  <c r="S186" i="164"/>
  <c r="W148" i="164"/>
  <c r="O148" i="164"/>
  <c r="Q139" i="164"/>
  <c r="Q80" i="164" s="1"/>
  <c r="P129" i="164"/>
  <c r="P97" i="164"/>
  <c r="T76" i="164"/>
  <c r="L76" i="164"/>
  <c r="U50" i="164"/>
  <c r="M50" i="164"/>
  <c r="P23" i="164"/>
  <c r="W23" i="164"/>
  <c r="O23" i="164"/>
  <c r="O293" i="164"/>
  <c r="T224" i="164"/>
  <c r="S148" i="164"/>
  <c r="T129" i="164"/>
  <c r="Q50" i="164"/>
  <c r="Q49" i="164" s="1"/>
  <c r="T23" i="164"/>
  <c r="L23" i="164"/>
  <c r="U224" i="164"/>
  <c r="M224" i="164"/>
  <c r="P186" i="164"/>
  <c r="T148" i="164"/>
  <c r="L148" i="164"/>
  <c r="U129" i="164"/>
  <c r="M129" i="164"/>
  <c r="U97" i="164"/>
  <c r="M97" i="164"/>
  <c r="Q76" i="164"/>
  <c r="I76" i="164"/>
  <c r="R50" i="164"/>
  <c r="J50" i="164"/>
  <c r="T322" i="164"/>
  <c r="W186" i="164"/>
  <c r="O186" i="164"/>
  <c r="L129" i="164"/>
  <c r="P76" i="164"/>
  <c r="H88" i="163"/>
  <c r="W52" i="163"/>
  <c r="T52" i="163"/>
  <c r="Q52" i="163"/>
  <c r="W411" i="163"/>
  <c r="S411" i="163"/>
  <c r="O411" i="163"/>
  <c r="V382" i="163"/>
  <c r="R382" i="163"/>
  <c r="U353" i="163"/>
  <c r="Q353" i="163"/>
  <c r="M353" i="163"/>
  <c r="U411" i="163"/>
  <c r="P411" i="163"/>
  <c r="U382" i="163"/>
  <c r="P382" i="163"/>
  <c r="V353" i="163"/>
  <c r="P353" i="163"/>
  <c r="T322" i="163"/>
  <c r="P322" i="163"/>
  <c r="L322" i="163"/>
  <c r="T411" i="163"/>
  <c r="T382" i="163"/>
  <c r="O382" i="163"/>
  <c r="T353" i="163"/>
  <c r="O353" i="163"/>
  <c r="R411" i="163"/>
  <c r="M411" i="163"/>
  <c r="S382" i="163"/>
  <c r="M382" i="163"/>
  <c r="S353" i="163"/>
  <c r="W382" i="163"/>
  <c r="R353" i="163"/>
  <c r="S322" i="163"/>
  <c r="W293" i="163"/>
  <c r="S293" i="163"/>
  <c r="O293" i="163"/>
  <c r="V411" i="163"/>
  <c r="Q382" i="163"/>
  <c r="L353" i="163"/>
  <c r="W322" i="163"/>
  <c r="R322" i="163"/>
  <c r="M322" i="163"/>
  <c r="V293" i="163"/>
  <c r="R293" i="163"/>
  <c r="U264" i="163"/>
  <c r="V322" i="163"/>
  <c r="U293" i="163"/>
  <c r="M293" i="163"/>
  <c r="S264" i="163"/>
  <c r="O264" i="163"/>
  <c r="V224" i="163"/>
  <c r="R224" i="163"/>
  <c r="U186" i="163"/>
  <c r="Q186" i="163"/>
  <c r="M186" i="163"/>
  <c r="U148" i="163"/>
  <c r="Q148" i="163"/>
  <c r="M148" i="163"/>
  <c r="W139" i="163"/>
  <c r="W80" i="163" s="1"/>
  <c r="V129" i="163"/>
  <c r="R129" i="163"/>
  <c r="J129" i="163"/>
  <c r="W353" i="163"/>
  <c r="U322" i="163"/>
  <c r="T293" i="163"/>
  <c r="L293" i="163"/>
  <c r="W264" i="163"/>
  <c r="R264" i="163"/>
  <c r="U224" i="163"/>
  <c r="Q224" i="163"/>
  <c r="M224" i="163"/>
  <c r="T186" i="163"/>
  <c r="P186" i="163"/>
  <c r="L186" i="163"/>
  <c r="T148" i="163"/>
  <c r="P148" i="163"/>
  <c r="L148" i="163"/>
  <c r="T139" i="163"/>
  <c r="T80" i="163" s="1"/>
  <c r="U129" i="163"/>
  <c r="Q129" i="163"/>
  <c r="M129" i="163"/>
  <c r="I129" i="163"/>
  <c r="L382" i="163"/>
  <c r="Q322" i="163"/>
  <c r="V264" i="163"/>
  <c r="M264" i="163"/>
  <c r="P224" i="163"/>
  <c r="S186" i="163"/>
  <c r="W148" i="163"/>
  <c r="O148" i="163"/>
  <c r="Q139" i="163"/>
  <c r="Q80" i="163" s="1"/>
  <c r="S129" i="163"/>
  <c r="O322" i="163"/>
  <c r="T264" i="163"/>
  <c r="L264" i="163"/>
  <c r="W224" i="163"/>
  <c r="O224" i="163"/>
  <c r="R186" i="163"/>
  <c r="V148" i="163"/>
  <c r="P129" i="163"/>
  <c r="Q411" i="163"/>
  <c r="Q293" i="163"/>
  <c r="Q264" i="163"/>
  <c r="T224" i="163"/>
  <c r="L224" i="163"/>
  <c r="W186" i="163"/>
  <c r="O186" i="163"/>
  <c r="S148" i="163"/>
  <c r="W129" i="163"/>
  <c r="O129" i="163"/>
  <c r="U97" i="163"/>
  <c r="Q97" i="163"/>
  <c r="M97" i="163"/>
  <c r="I97" i="163"/>
  <c r="U76" i="163"/>
  <c r="Q76" i="163"/>
  <c r="M76" i="163"/>
  <c r="I76" i="163"/>
  <c r="L411" i="163"/>
  <c r="R148" i="163"/>
  <c r="T97" i="163"/>
  <c r="O97" i="163"/>
  <c r="J97" i="163"/>
  <c r="V76" i="163"/>
  <c r="P76" i="163"/>
  <c r="W50" i="163"/>
  <c r="W49" i="163" s="1"/>
  <c r="S50" i="163"/>
  <c r="O50" i="163"/>
  <c r="U23" i="163"/>
  <c r="Q23" i="163"/>
  <c r="M23" i="163"/>
  <c r="I23" i="163"/>
  <c r="V186" i="163"/>
  <c r="T129" i="163"/>
  <c r="S97" i="163"/>
  <c r="T76" i="163"/>
  <c r="O76" i="163"/>
  <c r="J76" i="163"/>
  <c r="V50" i="163"/>
  <c r="R50" i="163"/>
  <c r="J50" i="163"/>
  <c r="T23" i="163"/>
  <c r="P23" i="163"/>
  <c r="L23" i="163"/>
  <c r="V97" i="163"/>
  <c r="P97" i="163"/>
  <c r="L129" i="163"/>
  <c r="W97" i="163"/>
  <c r="R97" i="163"/>
  <c r="L97" i="163"/>
  <c r="S76" i="163"/>
  <c r="U50" i="163"/>
  <c r="Q50" i="163"/>
  <c r="Q49" i="163" s="1"/>
  <c r="M50" i="163"/>
  <c r="I50" i="163"/>
  <c r="W23" i="163"/>
  <c r="S23" i="163"/>
  <c r="O23" i="163"/>
  <c r="P293" i="163"/>
  <c r="P264" i="163"/>
  <c r="S224" i="163"/>
  <c r="R76" i="163"/>
  <c r="P50" i="163"/>
  <c r="J23" i="163"/>
  <c r="T50" i="163"/>
  <c r="T49" i="163" s="1"/>
  <c r="L76" i="163"/>
  <c r="L50" i="163"/>
  <c r="V23" i="163"/>
  <c r="R23" i="163"/>
  <c r="W76" i="163"/>
  <c r="T104" i="130"/>
  <c r="S104" i="130"/>
  <c r="R104" i="130"/>
  <c r="Q104" i="130"/>
  <c r="P104" i="130"/>
  <c r="O104" i="130"/>
  <c r="N104" i="130"/>
  <c r="T103" i="130"/>
  <c r="S103" i="130"/>
  <c r="R103" i="130"/>
  <c r="Q103" i="130"/>
  <c r="P103" i="130"/>
  <c r="O103" i="130"/>
  <c r="N103" i="130"/>
  <c r="T83" i="130"/>
  <c r="S83" i="130"/>
  <c r="R83" i="130"/>
  <c r="Q83" i="130"/>
  <c r="P83" i="130"/>
  <c r="O83" i="130"/>
  <c r="N83" i="130"/>
  <c r="T82" i="130"/>
  <c r="S82" i="130"/>
  <c r="R82" i="130"/>
  <c r="Q82" i="130"/>
  <c r="P82" i="130"/>
  <c r="O82" i="130"/>
  <c r="N82" i="130"/>
  <c r="T63" i="130"/>
  <c r="S63" i="130"/>
  <c r="R63" i="130"/>
  <c r="Q63" i="130"/>
  <c r="P63" i="130"/>
  <c r="O63" i="130"/>
  <c r="N63" i="130"/>
  <c r="T62" i="130"/>
  <c r="S62" i="130"/>
  <c r="R62" i="130"/>
  <c r="Q62" i="130"/>
  <c r="P62" i="130"/>
  <c r="O62" i="130"/>
  <c r="N62" i="130"/>
  <c r="N37" i="130"/>
  <c r="T24" i="130"/>
  <c r="T23" i="130"/>
  <c r="T22" i="130"/>
  <c r="O20" i="130"/>
  <c r="J18" i="130"/>
  <c r="I18" i="130"/>
  <c r="H18" i="130"/>
  <c r="G18" i="130"/>
  <c r="F18" i="130"/>
  <c r="E18" i="130"/>
  <c r="BJ1364" i="127"/>
  <c r="BH1364" i="127"/>
  <c r="BI1364" i="127" s="1"/>
  <c r="BJ1363" i="127"/>
  <c r="BH1363" i="127"/>
  <c r="BI1363" i="127" s="1"/>
  <c r="BJ1362" i="127"/>
  <c r="BH1362" i="127"/>
  <c r="BI1362" i="127" s="1"/>
  <c r="BJ1361" i="127"/>
  <c r="BH1361" i="127"/>
  <c r="BI1361" i="127" s="1"/>
  <c r="BJ1360" i="127"/>
  <c r="BH1360" i="127"/>
  <c r="BI1360" i="127" s="1"/>
  <c r="BJ1359" i="127"/>
  <c r="BH1359" i="127"/>
  <c r="BI1359" i="127" s="1"/>
  <c r="BJ1358" i="127"/>
  <c r="BH1358" i="127"/>
  <c r="BI1358" i="127" s="1"/>
  <c r="BJ1357" i="127"/>
  <c r="BH1357" i="127"/>
  <c r="BI1357" i="127" s="1"/>
  <c r="BJ1356" i="127"/>
  <c r="BH1356" i="127"/>
  <c r="BI1356" i="127" s="1"/>
  <c r="BJ1355" i="127"/>
  <c r="BH1355" i="127"/>
  <c r="BI1355" i="127" s="1"/>
  <c r="BJ1354" i="127"/>
  <c r="BH1354" i="127"/>
  <c r="BI1354" i="127" s="1"/>
  <c r="BJ1353" i="127"/>
  <c r="BH1353" i="127"/>
  <c r="BI1353" i="127" s="1"/>
  <c r="BJ1352" i="127"/>
  <c r="BH1352" i="127"/>
  <c r="BI1352" i="127" s="1"/>
  <c r="BJ1351" i="127"/>
  <c r="BH1351" i="127"/>
  <c r="BI1351" i="127" s="1"/>
  <c r="BJ1350" i="127"/>
  <c r="BH1350" i="127"/>
  <c r="BI1350" i="127" s="1"/>
  <c r="BJ1349" i="127"/>
  <c r="BH1349" i="127"/>
  <c r="BI1349" i="127" s="1"/>
  <c r="BJ1348" i="127"/>
  <c r="BH1348" i="127"/>
  <c r="BI1348" i="127" s="1"/>
  <c r="BJ1347" i="127"/>
  <c r="BH1347" i="127"/>
  <c r="BI1347" i="127" s="1"/>
  <c r="BJ1346" i="127"/>
  <c r="BH1346" i="127"/>
  <c r="BI1346" i="127" s="1"/>
  <c r="BJ1345" i="127"/>
  <c r="BH1345" i="127"/>
  <c r="BI1345" i="127" s="1"/>
  <c r="BJ1344" i="127"/>
  <c r="BH1344" i="127"/>
  <c r="BI1344" i="127" s="1"/>
  <c r="BJ1343" i="127"/>
  <c r="BH1343" i="127"/>
  <c r="BI1343" i="127" s="1"/>
  <c r="BJ1342" i="127"/>
  <c r="BH1342" i="127"/>
  <c r="BI1342" i="127" s="1"/>
  <c r="BJ1341" i="127"/>
  <c r="BH1341" i="127"/>
  <c r="BI1341" i="127" s="1"/>
  <c r="BJ1340" i="127"/>
  <c r="BH1340" i="127"/>
  <c r="BI1340" i="127" s="1"/>
  <c r="BJ1339" i="127"/>
  <c r="BH1339" i="127"/>
  <c r="BI1339" i="127" s="1"/>
  <c r="BJ1338" i="127"/>
  <c r="BH1338" i="127"/>
  <c r="BI1338" i="127" s="1"/>
  <c r="BJ1337" i="127"/>
  <c r="BH1337" i="127"/>
  <c r="BI1337" i="127" s="1"/>
  <c r="BJ1336" i="127"/>
  <c r="BH1336" i="127"/>
  <c r="BI1336" i="127" s="1"/>
  <c r="BJ1335" i="127"/>
  <c r="BH1335" i="127"/>
  <c r="BI1335" i="127" s="1"/>
  <c r="BJ1334" i="127"/>
  <c r="BH1334" i="127"/>
  <c r="BI1334" i="127" s="1"/>
  <c r="BJ1333" i="127"/>
  <c r="BH1333" i="127"/>
  <c r="BI1333" i="127" s="1"/>
  <c r="BJ1332" i="127"/>
  <c r="BH1332" i="127"/>
  <c r="BI1332" i="127" s="1"/>
  <c r="BJ1331" i="127"/>
  <c r="BH1331" i="127"/>
  <c r="BI1331" i="127" s="1"/>
  <c r="BJ1330" i="127"/>
  <c r="BH1330" i="127"/>
  <c r="BI1330" i="127" s="1"/>
  <c r="BJ1329" i="127"/>
  <c r="BH1329" i="127"/>
  <c r="BI1329" i="127" s="1"/>
  <c r="BJ1328" i="127"/>
  <c r="BH1328" i="127"/>
  <c r="BI1328" i="127" s="1"/>
  <c r="BJ1327" i="127"/>
  <c r="BH1327" i="127"/>
  <c r="BI1327" i="127" s="1"/>
  <c r="BJ1326" i="127"/>
  <c r="BH1326" i="127"/>
  <c r="BI1326" i="127" s="1"/>
  <c r="BJ1325" i="127"/>
  <c r="BH1325" i="127"/>
  <c r="BI1325" i="127" s="1"/>
  <c r="BJ1324" i="127"/>
  <c r="BH1324" i="127"/>
  <c r="BI1324" i="127" s="1"/>
  <c r="BJ1323" i="127"/>
  <c r="BH1323" i="127"/>
  <c r="BI1323" i="127" s="1"/>
  <c r="BJ1322" i="127"/>
  <c r="BH1322" i="127"/>
  <c r="BI1322" i="127" s="1"/>
  <c r="BJ1321" i="127"/>
  <c r="BH1321" i="127"/>
  <c r="BI1321" i="127" s="1"/>
  <c r="BJ1320" i="127"/>
  <c r="BH1320" i="127"/>
  <c r="BI1320" i="127" s="1"/>
  <c r="BJ1319" i="127"/>
  <c r="BH1319" i="127"/>
  <c r="BI1319" i="127" s="1"/>
  <c r="BJ1318" i="127"/>
  <c r="BH1318" i="127"/>
  <c r="BI1318" i="127" s="1"/>
  <c r="BJ1317" i="127"/>
  <c r="BH1317" i="127"/>
  <c r="BI1317" i="127" s="1"/>
  <c r="BJ1316" i="127"/>
  <c r="BH1316" i="127"/>
  <c r="BI1316" i="127" s="1"/>
  <c r="BJ1315" i="127"/>
  <c r="BH1315" i="127"/>
  <c r="BI1315" i="127" s="1"/>
  <c r="BJ1314" i="127"/>
  <c r="BH1314" i="127"/>
  <c r="BI1314" i="127" s="1"/>
  <c r="BJ1313" i="127"/>
  <c r="BH1313" i="127"/>
  <c r="BI1313" i="127" s="1"/>
  <c r="BJ1312" i="127"/>
  <c r="BH1312" i="127"/>
  <c r="BI1312" i="127" s="1"/>
  <c r="BJ1311" i="127"/>
  <c r="BH1311" i="127"/>
  <c r="BI1311" i="127" s="1"/>
  <c r="BJ1310" i="127"/>
  <c r="BH1310" i="127"/>
  <c r="BI1310" i="127" s="1"/>
  <c r="BJ1309" i="127"/>
  <c r="BH1309" i="127"/>
  <c r="BI1309" i="127" s="1"/>
  <c r="BJ1308" i="127"/>
  <c r="BH1308" i="127"/>
  <c r="BI1308" i="127" s="1"/>
  <c r="BJ1307" i="127"/>
  <c r="BH1307" i="127"/>
  <c r="BI1307" i="127" s="1"/>
  <c r="BJ1306" i="127"/>
  <c r="BH1306" i="127"/>
  <c r="BI1306" i="127" s="1"/>
  <c r="BJ1305" i="127"/>
  <c r="BH1305" i="127"/>
  <c r="BI1305" i="127" s="1"/>
  <c r="BJ1304" i="127"/>
  <c r="BH1304" i="127"/>
  <c r="BI1304" i="127" s="1"/>
  <c r="BJ1303" i="127"/>
  <c r="BH1303" i="127"/>
  <c r="BI1303" i="127" s="1"/>
  <c r="BJ1302" i="127"/>
  <c r="BH1302" i="127"/>
  <c r="BI1302" i="127" s="1"/>
  <c r="BJ1301" i="127"/>
  <c r="BH1301" i="127"/>
  <c r="BI1301" i="127" s="1"/>
  <c r="BJ1300" i="127"/>
  <c r="BH1300" i="127"/>
  <c r="BI1300" i="127" s="1"/>
  <c r="BJ1299" i="127"/>
  <c r="BH1299" i="127"/>
  <c r="BI1299" i="127" s="1"/>
  <c r="BJ1298" i="127"/>
  <c r="BH1298" i="127"/>
  <c r="BI1298" i="127" s="1"/>
  <c r="BJ1297" i="127"/>
  <c r="BH1297" i="127"/>
  <c r="BI1297" i="127" s="1"/>
  <c r="BJ1296" i="127"/>
  <c r="BH1296" i="127"/>
  <c r="BI1296" i="127" s="1"/>
  <c r="BJ1295" i="127"/>
  <c r="BH1295" i="127"/>
  <c r="BI1295" i="127" s="1"/>
  <c r="BJ1294" i="127"/>
  <c r="BH1294" i="127"/>
  <c r="BI1294" i="127" s="1"/>
  <c r="BJ1293" i="127"/>
  <c r="BH1293" i="127"/>
  <c r="BI1293" i="127" s="1"/>
  <c r="BJ1292" i="127"/>
  <c r="BH1292" i="127"/>
  <c r="BI1292" i="127" s="1"/>
  <c r="BJ1291" i="127"/>
  <c r="BH1291" i="127"/>
  <c r="BI1291" i="127" s="1"/>
  <c r="BJ1290" i="127"/>
  <c r="BH1290" i="127"/>
  <c r="BI1290" i="127" s="1"/>
  <c r="BJ1289" i="127"/>
  <c r="BH1289" i="127"/>
  <c r="BI1289" i="127" s="1"/>
  <c r="BJ1288" i="127"/>
  <c r="BH1288" i="127"/>
  <c r="BI1288" i="127" s="1"/>
  <c r="BJ1287" i="127"/>
  <c r="BH1287" i="127"/>
  <c r="BI1287" i="127" s="1"/>
  <c r="BJ1286" i="127"/>
  <c r="BH1286" i="127"/>
  <c r="BI1286" i="127" s="1"/>
  <c r="BJ1285" i="127"/>
  <c r="BH1285" i="127"/>
  <c r="BI1285" i="127" s="1"/>
  <c r="BJ1284" i="127"/>
  <c r="BH1284" i="127"/>
  <c r="BI1284" i="127" s="1"/>
  <c r="BJ1283" i="127"/>
  <c r="BH1283" i="127"/>
  <c r="BI1283" i="127" s="1"/>
  <c r="BJ1282" i="127"/>
  <c r="BH1282" i="127"/>
  <c r="BI1282" i="127" s="1"/>
  <c r="BJ1281" i="127"/>
  <c r="BH1281" i="127"/>
  <c r="BI1281" i="127" s="1"/>
  <c r="BJ1280" i="127"/>
  <c r="BH1280" i="127"/>
  <c r="BI1280" i="127" s="1"/>
  <c r="BJ1279" i="127"/>
  <c r="BH1279" i="127"/>
  <c r="BI1279" i="127" s="1"/>
  <c r="BJ1278" i="127"/>
  <c r="BH1278" i="127"/>
  <c r="BI1278" i="127" s="1"/>
  <c r="BJ1277" i="127"/>
  <c r="BH1277" i="127"/>
  <c r="BI1277" i="127" s="1"/>
  <c r="BJ1276" i="127"/>
  <c r="BH1276" i="127"/>
  <c r="BI1276" i="127" s="1"/>
  <c r="BJ1275" i="127"/>
  <c r="BH1275" i="127"/>
  <c r="BI1275" i="127" s="1"/>
  <c r="BJ1274" i="127"/>
  <c r="BH1274" i="127"/>
  <c r="BI1274" i="127" s="1"/>
  <c r="BJ1273" i="127"/>
  <c r="BH1273" i="127"/>
  <c r="BI1273" i="127" s="1"/>
  <c r="BJ1272" i="127"/>
  <c r="BH1272" i="127"/>
  <c r="BI1272" i="127" s="1"/>
  <c r="BJ1271" i="127"/>
  <c r="BH1271" i="127"/>
  <c r="BI1271" i="127" s="1"/>
  <c r="BJ1270" i="127"/>
  <c r="BH1270" i="127"/>
  <c r="BI1270" i="127" s="1"/>
  <c r="BJ1269" i="127"/>
  <c r="BH1269" i="127"/>
  <c r="BI1269" i="127" s="1"/>
  <c r="BJ1268" i="127"/>
  <c r="BH1268" i="127"/>
  <c r="BI1268" i="127" s="1"/>
  <c r="BJ1267" i="127"/>
  <c r="BH1267" i="127"/>
  <c r="BI1267" i="127" s="1"/>
  <c r="BJ1266" i="127"/>
  <c r="BH1266" i="127"/>
  <c r="BI1266" i="127" s="1"/>
  <c r="BJ1265" i="127"/>
  <c r="BH1265" i="127"/>
  <c r="BI1265" i="127" s="1"/>
  <c r="BJ1264" i="127"/>
  <c r="BH1264" i="127"/>
  <c r="BI1264" i="127" s="1"/>
  <c r="BJ1263" i="127"/>
  <c r="BH1263" i="127"/>
  <c r="BI1263" i="127" s="1"/>
  <c r="BJ1262" i="127"/>
  <c r="BH1262" i="127"/>
  <c r="BI1262" i="127" s="1"/>
  <c r="BJ1261" i="127"/>
  <c r="BH1261" i="127"/>
  <c r="BI1261" i="127" s="1"/>
  <c r="BJ1260" i="127"/>
  <c r="BH1260" i="127"/>
  <c r="BI1260" i="127" s="1"/>
  <c r="BJ1259" i="127"/>
  <c r="BH1259" i="127"/>
  <c r="BI1259" i="127" s="1"/>
  <c r="BJ1258" i="127"/>
  <c r="BH1258" i="127"/>
  <c r="BI1258" i="127" s="1"/>
  <c r="BJ1257" i="127"/>
  <c r="BH1257" i="127"/>
  <c r="BI1257" i="127" s="1"/>
  <c r="BJ1256" i="127"/>
  <c r="BH1256" i="127"/>
  <c r="BI1256" i="127" s="1"/>
  <c r="BJ1255" i="127"/>
  <c r="BH1255" i="127"/>
  <c r="BI1255" i="127" s="1"/>
  <c r="BJ1254" i="127"/>
  <c r="BH1254" i="127"/>
  <c r="BI1254" i="127" s="1"/>
  <c r="BJ1253" i="127"/>
  <c r="BH1253" i="127"/>
  <c r="BI1253" i="127" s="1"/>
  <c r="BJ1252" i="127"/>
  <c r="BH1252" i="127"/>
  <c r="BI1252" i="127" s="1"/>
  <c r="BJ1251" i="127"/>
  <c r="BH1251" i="127"/>
  <c r="BI1251" i="127" s="1"/>
  <c r="BJ1250" i="127"/>
  <c r="BH1250" i="127"/>
  <c r="BI1250" i="127" s="1"/>
  <c r="BJ1249" i="127"/>
  <c r="BH1249" i="127"/>
  <c r="BI1249" i="127" s="1"/>
  <c r="BJ1248" i="127"/>
  <c r="BH1248" i="127"/>
  <c r="BI1248" i="127" s="1"/>
  <c r="BJ1247" i="127"/>
  <c r="BH1247" i="127"/>
  <c r="BI1247" i="127" s="1"/>
  <c r="BJ1246" i="127"/>
  <c r="BH1246" i="127"/>
  <c r="BI1246" i="127" s="1"/>
  <c r="BJ1245" i="127"/>
  <c r="BH1245" i="127"/>
  <c r="BI1245" i="127" s="1"/>
  <c r="BJ1244" i="127"/>
  <c r="BH1244" i="127"/>
  <c r="BI1244" i="127" s="1"/>
  <c r="BJ1243" i="127"/>
  <c r="BH1243" i="127"/>
  <c r="BI1243" i="127" s="1"/>
  <c r="BJ1242" i="127"/>
  <c r="BH1242" i="127"/>
  <c r="BI1242" i="127" s="1"/>
  <c r="BJ1241" i="127"/>
  <c r="BH1241" i="127"/>
  <c r="BI1241" i="127" s="1"/>
  <c r="BJ1240" i="127"/>
  <c r="BH1240" i="127"/>
  <c r="BI1240" i="127" s="1"/>
  <c r="BJ1239" i="127"/>
  <c r="BH1239" i="127"/>
  <c r="BI1239" i="127" s="1"/>
  <c r="BJ1238" i="127"/>
  <c r="BH1238" i="127"/>
  <c r="BI1238" i="127" s="1"/>
  <c r="BJ1237" i="127"/>
  <c r="BH1237" i="127"/>
  <c r="BI1237" i="127" s="1"/>
  <c r="BJ1236" i="127"/>
  <c r="BH1236" i="127"/>
  <c r="BI1236" i="127" s="1"/>
  <c r="BJ1235" i="127"/>
  <c r="BH1235" i="127"/>
  <c r="BI1235" i="127" s="1"/>
  <c r="BJ1234" i="127"/>
  <c r="BH1234" i="127"/>
  <c r="BI1234" i="127" s="1"/>
  <c r="BJ1233" i="127"/>
  <c r="BH1233" i="127"/>
  <c r="BI1233" i="127" s="1"/>
  <c r="BJ1232" i="127"/>
  <c r="BH1232" i="127"/>
  <c r="BI1232" i="127" s="1"/>
  <c r="BJ1231" i="127"/>
  <c r="BH1231" i="127"/>
  <c r="BI1231" i="127" s="1"/>
  <c r="BJ1230" i="127"/>
  <c r="BH1230" i="127"/>
  <c r="BI1230" i="127" s="1"/>
  <c r="BJ1229" i="127"/>
  <c r="BH1229" i="127"/>
  <c r="BI1229" i="127" s="1"/>
  <c r="BJ1228" i="127"/>
  <c r="BH1228" i="127"/>
  <c r="BI1228" i="127" s="1"/>
  <c r="BJ1227" i="127"/>
  <c r="BH1227" i="127"/>
  <c r="BI1227" i="127" s="1"/>
  <c r="BJ1226" i="127"/>
  <c r="BH1226" i="127"/>
  <c r="BI1226" i="127" s="1"/>
  <c r="BJ1225" i="127"/>
  <c r="BH1225" i="127"/>
  <c r="BI1225" i="127" s="1"/>
  <c r="BJ1224" i="127"/>
  <c r="BH1224" i="127"/>
  <c r="BI1224" i="127" s="1"/>
  <c r="BJ1223" i="127"/>
  <c r="BH1223" i="127"/>
  <c r="BI1223" i="127" s="1"/>
  <c r="BJ1222" i="127"/>
  <c r="BH1222" i="127"/>
  <c r="BI1222" i="127" s="1"/>
  <c r="BJ1221" i="127"/>
  <c r="BH1221" i="127"/>
  <c r="BI1221" i="127" s="1"/>
  <c r="BJ1220" i="127"/>
  <c r="BH1220" i="127"/>
  <c r="BI1220" i="127" s="1"/>
  <c r="BJ1219" i="127"/>
  <c r="BH1219" i="127"/>
  <c r="BI1219" i="127" s="1"/>
  <c r="BJ1218" i="127"/>
  <c r="BH1218" i="127"/>
  <c r="BI1218" i="127" s="1"/>
  <c r="BJ1217" i="127"/>
  <c r="BH1217" i="127"/>
  <c r="BI1217" i="127" s="1"/>
  <c r="BJ1216" i="127"/>
  <c r="BH1216" i="127"/>
  <c r="BI1216" i="127" s="1"/>
  <c r="BJ1215" i="127"/>
  <c r="BH1215" i="127"/>
  <c r="BI1215" i="127" s="1"/>
  <c r="BJ1214" i="127"/>
  <c r="BH1214" i="127"/>
  <c r="BI1214" i="127" s="1"/>
  <c r="BJ1213" i="127"/>
  <c r="BH1213" i="127"/>
  <c r="BI1213" i="127" s="1"/>
  <c r="BJ1212" i="127"/>
  <c r="BH1212" i="127"/>
  <c r="BI1212" i="127" s="1"/>
  <c r="BJ1211" i="127"/>
  <c r="BH1211" i="127"/>
  <c r="BI1211" i="127" s="1"/>
  <c r="BJ1210" i="127"/>
  <c r="BH1210" i="127"/>
  <c r="BI1210" i="127" s="1"/>
  <c r="BJ1209" i="127"/>
  <c r="BH1209" i="127"/>
  <c r="BI1209" i="127" s="1"/>
  <c r="BJ1208" i="127"/>
  <c r="BH1208" i="127"/>
  <c r="BI1208" i="127" s="1"/>
  <c r="BJ1207" i="127"/>
  <c r="BH1207" i="127"/>
  <c r="BI1207" i="127" s="1"/>
  <c r="BJ1206" i="127"/>
  <c r="BH1206" i="127"/>
  <c r="BI1206" i="127" s="1"/>
  <c r="BJ1205" i="127"/>
  <c r="BH1205" i="127"/>
  <c r="BI1205" i="127" s="1"/>
  <c r="BJ1204" i="127"/>
  <c r="BH1204" i="127"/>
  <c r="BI1204" i="127" s="1"/>
  <c r="BJ1203" i="127"/>
  <c r="BH1203" i="127"/>
  <c r="BI1203" i="127" s="1"/>
  <c r="BJ1202" i="127"/>
  <c r="BH1202" i="127"/>
  <c r="BI1202" i="127" s="1"/>
  <c r="BJ1201" i="127"/>
  <c r="BH1201" i="127"/>
  <c r="BI1201" i="127" s="1"/>
  <c r="BJ1200" i="127"/>
  <c r="BH1200" i="127"/>
  <c r="BI1200" i="127" s="1"/>
  <c r="BJ1199" i="127"/>
  <c r="BH1199" i="127"/>
  <c r="BI1199" i="127" s="1"/>
  <c r="BJ1198" i="127"/>
  <c r="BH1198" i="127"/>
  <c r="BI1198" i="127" s="1"/>
  <c r="BJ1197" i="127"/>
  <c r="BH1197" i="127"/>
  <c r="BI1197" i="127" s="1"/>
  <c r="BJ1196" i="127"/>
  <c r="BH1196" i="127"/>
  <c r="BI1196" i="127" s="1"/>
  <c r="BJ1195" i="127"/>
  <c r="BH1195" i="127"/>
  <c r="BI1195" i="127" s="1"/>
  <c r="BJ1194" i="127"/>
  <c r="BH1194" i="127"/>
  <c r="BI1194" i="127" s="1"/>
  <c r="BJ1193" i="127"/>
  <c r="BH1193" i="127"/>
  <c r="BI1193" i="127" s="1"/>
  <c r="BJ1192" i="127"/>
  <c r="BH1192" i="127"/>
  <c r="BI1192" i="127" s="1"/>
  <c r="BJ1191" i="127"/>
  <c r="BH1191" i="127"/>
  <c r="BI1191" i="127" s="1"/>
  <c r="BJ1190" i="127"/>
  <c r="BH1190" i="127"/>
  <c r="BI1190" i="127" s="1"/>
  <c r="BJ1189" i="127"/>
  <c r="BH1189" i="127"/>
  <c r="BI1189" i="127" s="1"/>
  <c r="BJ1188" i="127"/>
  <c r="BH1188" i="127"/>
  <c r="BI1188" i="127" s="1"/>
  <c r="BJ1187" i="127"/>
  <c r="BH1187" i="127"/>
  <c r="BI1187" i="127" s="1"/>
  <c r="BJ1186" i="127"/>
  <c r="BH1186" i="127"/>
  <c r="BI1186" i="127" s="1"/>
  <c r="BJ1185" i="127"/>
  <c r="BH1185" i="127"/>
  <c r="BI1185" i="127" s="1"/>
  <c r="BJ1184" i="127"/>
  <c r="BH1184" i="127"/>
  <c r="BI1184" i="127" s="1"/>
  <c r="BJ1183" i="127"/>
  <c r="BH1183" i="127"/>
  <c r="BI1183" i="127" s="1"/>
  <c r="BJ1182" i="127"/>
  <c r="BH1182" i="127"/>
  <c r="BI1182" i="127" s="1"/>
  <c r="BJ1181" i="127"/>
  <c r="BH1181" i="127"/>
  <c r="BI1181" i="127" s="1"/>
  <c r="BJ1180" i="127"/>
  <c r="BH1180" i="127"/>
  <c r="BI1180" i="127" s="1"/>
  <c r="BJ1179" i="127"/>
  <c r="BH1179" i="127"/>
  <c r="BI1179" i="127" s="1"/>
  <c r="BJ1178" i="127"/>
  <c r="BH1178" i="127"/>
  <c r="BI1178" i="127" s="1"/>
  <c r="BJ1177" i="127"/>
  <c r="BH1177" i="127"/>
  <c r="BI1177" i="127" s="1"/>
  <c r="BJ1176" i="127"/>
  <c r="BH1176" i="127"/>
  <c r="BI1176" i="127" s="1"/>
  <c r="BJ1175" i="127"/>
  <c r="BH1175" i="127"/>
  <c r="BI1175" i="127" s="1"/>
  <c r="BJ1174" i="127"/>
  <c r="BH1174" i="127"/>
  <c r="BI1174" i="127" s="1"/>
  <c r="BJ1173" i="127"/>
  <c r="BH1173" i="127"/>
  <c r="BI1173" i="127" s="1"/>
  <c r="BJ1172" i="127"/>
  <c r="BH1172" i="127"/>
  <c r="BI1172" i="127" s="1"/>
  <c r="BJ1171" i="127"/>
  <c r="BH1171" i="127"/>
  <c r="BI1171" i="127" s="1"/>
  <c r="BJ1170" i="127"/>
  <c r="BH1170" i="127"/>
  <c r="BI1170" i="127" s="1"/>
  <c r="BJ1169" i="127"/>
  <c r="BH1169" i="127"/>
  <c r="BI1169" i="127" s="1"/>
  <c r="BJ1168" i="127"/>
  <c r="BH1168" i="127"/>
  <c r="BI1168" i="127" s="1"/>
  <c r="BJ1167" i="127"/>
  <c r="BH1167" i="127"/>
  <c r="BI1167" i="127" s="1"/>
  <c r="BJ1166" i="127"/>
  <c r="BH1166" i="127"/>
  <c r="BI1166" i="127" s="1"/>
  <c r="BJ1165" i="127"/>
  <c r="BH1165" i="127"/>
  <c r="BI1165" i="127" s="1"/>
  <c r="BJ1164" i="127"/>
  <c r="BH1164" i="127"/>
  <c r="BI1164" i="127" s="1"/>
  <c r="BJ1163" i="127"/>
  <c r="BH1163" i="127"/>
  <c r="BI1163" i="127" s="1"/>
  <c r="BJ1162" i="127"/>
  <c r="BH1162" i="127"/>
  <c r="BI1162" i="127" s="1"/>
  <c r="BJ1161" i="127"/>
  <c r="BH1161" i="127"/>
  <c r="BI1161" i="127" s="1"/>
  <c r="BJ1160" i="127"/>
  <c r="BH1160" i="127"/>
  <c r="BI1160" i="127" s="1"/>
  <c r="BJ1159" i="127"/>
  <c r="BH1159" i="127"/>
  <c r="BI1159" i="127" s="1"/>
  <c r="BJ1158" i="127"/>
  <c r="BH1158" i="127"/>
  <c r="BI1158" i="127" s="1"/>
  <c r="BJ1157" i="127"/>
  <c r="BH1157" i="127"/>
  <c r="BI1157" i="127" s="1"/>
  <c r="BJ1156" i="127"/>
  <c r="BH1156" i="127"/>
  <c r="BI1156" i="127" s="1"/>
  <c r="BJ1155" i="127"/>
  <c r="BH1155" i="127"/>
  <c r="BI1155" i="127" s="1"/>
  <c r="BJ1154" i="127"/>
  <c r="BH1154" i="127"/>
  <c r="BI1154" i="127" s="1"/>
  <c r="BJ1153" i="127"/>
  <c r="BH1153" i="127"/>
  <c r="BI1153" i="127" s="1"/>
  <c r="BJ1152" i="127"/>
  <c r="BH1152" i="127"/>
  <c r="BI1152" i="127" s="1"/>
  <c r="BJ1151" i="127"/>
  <c r="BH1151" i="127"/>
  <c r="BI1151" i="127" s="1"/>
  <c r="BJ1150" i="127"/>
  <c r="BH1150" i="127"/>
  <c r="BI1150" i="127" s="1"/>
  <c r="BJ1149" i="127"/>
  <c r="BH1149" i="127"/>
  <c r="BI1149" i="127" s="1"/>
  <c r="BJ1148" i="127"/>
  <c r="BH1148" i="127"/>
  <c r="BI1148" i="127" s="1"/>
  <c r="BJ1147" i="127"/>
  <c r="BH1147" i="127"/>
  <c r="BI1147" i="127" s="1"/>
  <c r="BJ1146" i="127"/>
  <c r="BH1146" i="127"/>
  <c r="BI1146" i="127" s="1"/>
  <c r="BJ1145" i="127"/>
  <c r="BH1145" i="127"/>
  <c r="BI1145" i="127" s="1"/>
  <c r="BJ1144" i="127"/>
  <c r="BH1144" i="127"/>
  <c r="BI1144" i="127" s="1"/>
  <c r="BJ1143" i="127"/>
  <c r="BH1143" i="127"/>
  <c r="BI1143" i="127" s="1"/>
  <c r="BJ1142" i="127"/>
  <c r="BH1142" i="127"/>
  <c r="BI1142" i="127" s="1"/>
  <c r="BJ1141" i="127"/>
  <c r="BH1141" i="127"/>
  <c r="BI1141" i="127" s="1"/>
  <c r="BJ1140" i="127"/>
  <c r="BH1140" i="127"/>
  <c r="BI1140" i="127" s="1"/>
  <c r="BJ1139" i="127"/>
  <c r="BH1139" i="127"/>
  <c r="BI1139" i="127" s="1"/>
  <c r="BJ1138" i="127"/>
  <c r="BH1138" i="127"/>
  <c r="BI1138" i="127" s="1"/>
  <c r="BJ1137" i="127"/>
  <c r="BH1137" i="127"/>
  <c r="BI1137" i="127" s="1"/>
  <c r="BJ1136" i="127"/>
  <c r="BH1136" i="127"/>
  <c r="BI1136" i="127" s="1"/>
  <c r="BJ1135" i="127"/>
  <c r="BH1135" i="127"/>
  <c r="BI1135" i="127" s="1"/>
  <c r="BJ1134" i="127"/>
  <c r="BH1134" i="127"/>
  <c r="BI1134" i="127" s="1"/>
  <c r="BJ1133" i="127"/>
  <c r="BH1133" i="127"/>
  <c r="BI1133" i="127" s="1"/>
  <c r="BJ1132" i="127"/>
  <c r="BH1132" i="127"/>
  <c r="BI1132" i="127" s="1"/>
  <c r="BJ1131" i="127"/>
  <c r="BH1131" i="127"/>
  <c r="BI1131" i="127" s="1"/>
  <c r="BJ1130" i="127"/>
  <c r="BH1130" i="127"/>
  <c r="BI1130" i="127" s="1"/>
  <c r="BJ1129" i="127"/>
  <c r="BH1129" i="127"/>
  <c r="BI1129" i="127" s="1"/>
  <c r="BJ1128" i="127"/>
  <c r="BH1128" i="127"/>
  <c r="BI1128" i="127" s="1"/>
  <c r="BJ1127" i="127"/>
  <c r="BH1127" i="127"/>
  <c r="BI1127" i="127" s="1"/>
  <c r="BJ1126" i="127"/>
  <c r="BH1126" i="127"/>
  <c r="BI1126" i="127" s="1"/>
  <c r="BJ1125" i="127"/>
  <c r="BH1125" i="127"/>
  <c r="BI1125" i="127" s="1"/>
  <c r="BJ1124" i="127"/>
  <c r="BH1124" i="127"/>
  <c r="BI1124" i="127" s="1"/>
  <c r="BJ1123" i="127"/>
  <c r="BH1123" i="127"/>
  <c r="BI1123" i="127" s="1"/>
  <c r="BJ1122" i="127"/>
  <c r="BH1122" i="127"/>
  <c r="BI1122" i="127" s="1"/>
  <c r="BJ1121" i="127"/>
  <c r="BH1121" i="127"/>
  <c r="BI1121" i="127" s="1"/>
  <c r="BJ1120" i="127"/>
  <c r="BH1120" i="127"/>
  <c r="BI1120" i="127" s="1"/>
  <c r="BJ1119" i="127"/>
  <c r="BH1119" i="127"/>
  <c r="BI1119" i="127" s="1"/>
  <c r="BJ1118" i="127"/>
  <c r="BH1118" i="127"/>
  <c r="BI1118" i="127" s="1"/>
  <c r="BJ1117" i="127"/>
  <c r="BH1117" i="127"/>
  <c r="BI1117" i="127" s="1"/>
  <c r="BJ1116" i="127"/>
  <c r="BH1116" i="127"/>
  <c r="BI1116" i="127" s="1"/>
  <c r="BJ1115" i="127"/>
  <c r="BH1115" i="127"/>
  <c r="BI1115" i="127" s="1"/>
  <c r="BJ1114" i="127"/>
  <c r="BH1114" i="127"/>
  <c r="BI1114" i="127" s="1"/>
  <c r="BJ1113" i="127"/>
  <c r="BH1113" i="127"/>
  <c r="BI1113" i="127" s="1"/>
  <c r="BJ1112" i="127"/>
  <c r="BH1112" i="127"/>
  <c r="BI1112" i="127" s="1"/>
  <c r="BJ1111" i="127"/>
  <c r="BH1111" i="127"/>
  <c r="BI1111" i="127" s="1"/>
  <c r="BJ1110" i="127"/>
  <c r="BH1110" i="127"/>
  <c r="BI1110" i="127" s="1"/>
  <c r="BJ1109" i="127"/>
  <c r="BH1109" i="127"/>
  <c r="BI1109" i="127" s="1"/>
  <c r="BJ1108" i="127"/>
  <c r="BH1108" i="127"/>
  <c r="BI1108" i="127" s="1"/>
  <c r="BJ1107" i="127"/>
  <c r="BH1107" i="127"/>
  <c r="BI1107" i="127" s="1"/>
  <c r="BJ1106" i="127"/>
  <c r="BH1106" i="127"/>
  <c r="BI1106" i="127" s="1"/>
  <c r="BJ1105" i="127"/>
  <c r="BH1105" i="127"/>
  <c r="BI1105" i="127" s="1"/>
  <c r="BJ1104" i="127"/>
  <c r="BH1104" i="127"/>
  <c r="BI1104" i="127" s="1"/>
  <c r="BJ1103" i="127"/>
  <c r="BH1103" i="127"/>
  <c r="BI1103" i="127" s="1"/>
  <c r="BJ1102" i="127"/>
  <c r="BH1102" i="127"/>
  <c r="BI1102" i="127" s="1"/>
  <c r="BJ1101" i="127"/>
  <c r="BH1101" i="127"/>
  <c r="BI1101" i="127" s="1"/>
  <c r="BJ1100" i="127"/>
  <c r="BH1100" i="127"/>
  <c r="BI1100" i="127" s="1"/>
  <c r="BJ1099" i="127"/>
  <c r="BH1099" i="127"/>
  <c r="BI1099" i="127" s="1"/>
  <c r="BJ1098" i="127"/>
  <c r="BH1098" i="127"/>
  <c r="BI1098" i="127" s="1"/>
  <c r="BJ1097" i="127"/>
  <c r="BH1097" i="127"/>
  <c r="BI1097" i="127" s="1"/>
  <c r="BJ1096" i="127"/>
  <c r="BH1096" i="127"/>
  <c r="BI1096" i="127" s="1"/>
  <c r="BJ1095" i="127"/>
  <c r="BH1095" i="127"/>
  <c r="BI1095" i="127" s="1"/>
  <c r="BJ1094" i="127"/>
  <c r="BH1094" i="127"/>
  <c r="BI1094" i="127" s="1"/>
  <c r="BJ1093" i="127"/>
  <c r="BH1093" i="127"/>
  <c r="BI1093" i="127" s="1"/>
  <c r="BJ1092" i="127"/>
  <c r="BH1092" i="127"/>
  <c r="BI1092" i="127" s="1"/>
  <c r="BJ1091" i="127"/>
  <c r="BH1091" i="127"/>
  <c r="BI1091" i="127" s="1"/>
  <c r="BJ1090" i="127"/>
  <c r="BH1090" i="127"/>
  <c r="BI1090" i="127" s="1"/>
  <c r="BJ1089" i="127"/>
  <c r="BH1089" i="127"/>
  <c r="BI1089" i="127" s="1"/>
  <c r="BJ1088" i="127"/>
  <c r="BH1088" i="127"/>
  <c r="BI1088" i="127" s="1"/>
  <c r="BJ1087" i="127"/>
  <c r="BH1087" i="127"/>
  <c r="BI1087" i="127" s="1"/>
  <c r="BJ1086" i="127"/>
  <c r="BH1086" i="127"/>
  <c r="BI1086" i="127" s="1"/>
  <c r="BJ1085" i="127"/>
  <c r="BH1085" i="127"/>
  <c r="BI1085" i="127" s="1"/>
  <c r="BJ1084" i="127"/>
  <c r="BH1084" i="127"/>
  <c r="BI1084" i="127" s="1"/>
  <c r="BJ1083" i="127"/>
  <c r="BH1083" i="127"/>
  <c r="BI1083" i="127" s="1"/>
  <c r="BJ1082" i="127"/>
  <c r="BH1082" i="127"/>
  <c r="BI1082" i="127" s="1"/>
  <c r="BJ1081" i="127"/>
  <c r="BI1081" i="127"/>
  <c r="BH1081" i="127"/>
  <c r="BJ1080" i="127"/>
  <c r="BH1080" i="127"/>
  <c r="BI1080" i="127" s="1"/>
  <c r="BJ1079" i="127"/>
  <c r="BH1079" i="127"/>
  <c r="BI1079" i="127" s="1"/>
  <c r="BJ1078" i="127"/>
  <c r="BH1078" i="127"/>
  <c r="BI1078" i="127" s="1"/>
  <c r="BJ1077" i="127"/>
  <c r="BH1077" i="127"/>
  <c r="BI1077" i="127" s="1"/>
  <c r="BJ1076" i="127"/>
  <c r="BH1076" i="127"/>
  <c r="BI1076" i="127" s="1"/>
  <c r="BJ1075" i="127"/>
  <c r="BH1075" i="127"/>
  <c r="BI1075" i="127" s="1"/>
  <c r="BJ1074" i="127"/>
  <c r="BH1074" i="127"/>
  <c r="BI1074" i="127" s="1"/>
  <c r="BJ1073" i="127"/>
  <c r="BH1073" i="127"/>
  <c r="BI1073" i="127" s="1"/>
  <c r="BJ1072" i="127"/>
  <c r="BH1072" i="127"/>
  <c r="BI1072" i="127" s="1"/>
  <c r="BJ1071" i="127"/>
  <c r="BH1071" i="127"/>
  <c r="BI1071" i="127" s="1"/>
  <c r="BJ1070" i="127"/>
  <c r="BH1070" i="127"/>
  <c r="BI1070" i="127" s="1"/>
  <c r="BJ1069" i="127"/>
  <c r="BH1069" i="127"/>
  <c r="BI1069" i="127" s="1"/>
  <c r="BJ1068" i="127"/>
  <c r="BH1068" i="127"/>
  <c r="BI1068" i="127" s="1"/>
  <c r="BJ1067" i="127"/>
  <c r="BH1067" i="127"/>
  <c r="BI1067" i="127" s="1"/>
  <c r="BJ1066" i="127"/>
  <c r="BH1066" i="127"/>
  <c r="BI1066" i="127" s="1"/>
  <c r="BJ1065" i="127"/>
  <c r="BH1065" i="127"/>
  <c r="BI1065" i="127" s="1"/>
  <c r="BJ1064" i="127"/>
  <c r="BH1064" i="127"/>
  <c r="BI1064" i="127" s="1"/>
  <c r="BJ1063" i="127"/>
  <c r="BH1063" i="127"/>
  <c r="BI1063" i="127" s="1"/>
  <c r="BJ1062" i="127"/>
  <c r="BH1062" i="127"/>
  <c r="BI1062" i="127" s="1"/>
  <c r="BJ1061" i="127"/>
  <c r="BH1061" i="127"/>
  <c r="BI1061" i="127" s="1"/>
  <c r="BJ1060" i="127"/>
  <c r="BH1060" i="127"/>
  <c r="BI1060" i="127" s="1"/>
  <c r="BJ1059" i="127"/>
  <c r="BH1059" i="127"/>
  <c r="BI1059" i="127" s="1"/>
  <c r="BJ1058" i="127"/>
  <c r="BH1058" i="127"/>
  <c r="BI1058" i="127" s="1"/>
  <c r="BJ1057" i="127"/>
  <c r="BH1057" i="127"/>
  <c r="BI1057" i="127" s="1"/>
  <c r="BJ1056" i="127"/>
  <c r="BH1056" i="127"/>
  <c r="BI1056" i="127" s="1"/>
  <c r="BJ1055" i="127"/>
  <c r="BH1055" i="127"/>
  <c r="BI1055" i="127" s="1"/>
  <c r="BJ1054" i="127"/>
  <c r="BH1054" i="127"/>
  <c r="BI1054" i="127" s="1"/>
  <c r="BJ1053" i="127"/>
  <c r="BH1053" i="127"/>
  <c r="BI1053" i="127" s="1"/>
  <c r="BJ1052" i="127"/>
  <c r="BH1052" i="127"/>
  <c r="BI1052" i="127" s="1"/>
  <c r="BJ1051" i="127"/>
  <c r="BH1051" i="127"/>
  <c r="BI1051" i="127" s="1"/>
  <c r="BJ1050" i="127"/>
  <c r="BH1050" i="127"/>
  <c r="BI1050" i="127" s="1"/>
  <c r="BJ1049" i="127"/>
  <c r="BH1049" i="127"/>
  <c r="BI1049" i="127" s="1"/>
  <c r="BJ1048" i="127"/>
  <c r="BH1048" i="127"/>
  <c r="BI1048" i="127" s="1"/>
  <c r="BJ1047" i="127"/>
  <c r="BH1047" i="127"/>
  <c r="BI1047" i="127" s="1"/>
  <c r="BJ1046" i="127"/>
  <c r="BH1046" i="127"/>
  <c r="BI1046" i="127" s="1"/>
  <c r="BJ1045" i="127"/>
  <c r="BH1045" i="127"/>
  <c r="BI1045" i="127" s="1"/>
  <c r="BJ1044" i="127"/>
  <c r="BH1044" i="127"/>
  <c r="BI1044" i="127" s="1"/>
  <c r="BJ1043" i="127"/>
  <c r="BH1043" i="127"/>
  <c r="BI1043" i="127" s="1"/>
  <c r="BJ1042" i="127"/>
  <c r="BH1042" i="127"/>
  <c r="BI1042" i="127" s="1"/>
  <c r="BJ1041" i="127"/>
  <c r="BH1041" i="127"/>
  <c r="BI1041" i="127" s="1"/>
  <c r="BJ1040" i="127"/>
  <c r="BH1040" i="127"/>
  <c r="BI1040" i="127" s="1"/>
  <c r="BJ1039" i="127"/>
  <c r="BH1039" i="127"/>
  <c r="BI1039" i="127" s="1"/>
  <c r="BJ1038" i="127"/>
  <c r="BH1038" i="127"/>
  <c r="BI1038" i="127" s="1"/>
  <c r="BJ1037" i="127"/>
  <c r="BH1037" i="127"/>
  <c r="BI1037" i="127" s="1"/>
  <c r="BJ1036" i="127"/>
  <c r="BH1036" i="127"/>
  <c r="BI1036" i="127" s="1"/>
  <c r="BJ1035" i="127"/>
  <c r="BH1035" i="127"/>
  <c r="BI1035" i="127" s="1"/>
  <c r="BJ1034" i="127"/>
  <c r="BH1034" i="127"/>
  <c r="BI1034" i="127" s="1"/>
  <c r="BJ1033" i="127"/>
  <c r="BH1033" i="127"/>
  <c r="BI1033" i="127" s="1"/>
  <c r="BJ1032" i="127"/>
  <c r="BH1032" i="127"/>
  <c r="BI1032" i="127" s="1"/>
  <c r="BJ1031" i="127"/>
  <c r="BH1031" i="127"/>
  <c r="BI1031" i="127" s="1"/>
  <c r="BJ1030" i="127"/>
  <c r="BH1030" i="127"/>
  <c r="BI1030" i="127" s="1"/>
  <c r="BJ1029" i="127"/>
  <c r="BH1029" i="127"/>
  <c r="BI1029" i="127" s="1"/>
  <c r="BJ1028" i="127"/>
  <c r="BH1028" i="127"/>
  <c r="BI1028" i="127" s="1"/>
  <c r="BJ1027" i="127"/>
  <c r="BH1027" i="127"/>
  <c r="BI1027" i="127" s="1"/>
  <c r="BJ1026" i="127"/>
  <c r="BH1026" i="127"/>
  <c r="BI1026" i="127" s="1"/>
  <c r="BJ1025" i="127"/>
  <c r="BH1025" i="127"/>
  <c r="BI1025" i="127" s="1"/>
  <c r="BJ1024" i="127"/>
  <c r="BH1024" i="127"/>
  <c r="BI1024" i="127" s="1"/>
  <c r="BJ1023" i="127"/>
  <c r="BH1023" i="127"/>
  <c r="BI1023" i="127" s="1"/>
  <c r="BJ1022" i="127"/>
  <c r="BH1022" i="127"/>
  <c r="BI1022" i="127" s="1"/>
  <c r="BJ1021" i="127"/>
  <c r="BH1021" i="127"/>
  <c r="BI1021" i="127" s="1"/>
  <c r="BJ1020" i="127"/>
  <c r="BH1020" i="127"/>
  <c r="BI1020" i="127" s="1"/>
  <c r="BJ1019" i="127"/>
  <c r="BH1019" i="127"/>
  <c r="BI1019" i="127" s="1"/>
  <c r="BJ1018" i="127"/>
  <c r="BH1018" i="127"/>
  <c r="BI1018" i="127" s="1"/>
  <c r="BJ1017" i="127"/>
  <c r="BH1017" i="127"/>
  <c r="BI1017" i="127" s="1"/>
  <c r="BJ1016" i="127"/>
  <c r="BH1016" i="127"/>
  <c r="BI1016" i="127" s="1"/>
  <c r="BJ1015" i="127"/>
  <c r="BH1015" i="127"/>
  <c r="BI1015" i="127" s="1"/>
  <c r="BJ1014" i="127"/>
  <c r="BH1014" i="127"/>
  <c r="BI1014" i="127" s="1"/>
  <c r="BJ1013" i="127"/>
  <c r="BH1013" i="127"/>
  <c r="BI1013" i="127" s="1"/>
  <c r="BJ1012" i="127"/>
  <c r="BH1012" i="127"/>
  <c r="BI1012" i="127" s="1"/>
  <c r="BJ1011" i="127"/>
  <c r="BH1011" i="127"/>
  <c r="BI1011" i="127" s="1"/>
  <c r="BJ1010" i="127"/>
  <c r="BH1010" i="127"/>
  <c r="BI1010" i="127" s="1"/>
  <c r="BJ1009" i="127"/>
  <c r="BH1009" i="127"/>
  <c r="BI1009" i="127" s="1"/>
  <c r="BJ1008" i="127"/>
  <c r="BH1008" i="127"/>
  <c r="BI1008" i="127" s="1"/>
  <c r="BJ1007" i="127"/>
  <c r="BH1007" i="127"/>
  <c r="BI1007" i="127" s="1"/>
  <c r="BJ1006" i="127"/>
  <c r="BH1006" i="127"/>
  <c r="BI1006" i="127" s="1"/>
  <c r="BJ1005" i="127"/>
  <c r="BH1005" i="127"/>
  <c r="BI1005" i="127" s="1"/>
  <c r="BJ1004" i="127"/>
  <c r="BH1004" i="127"/>
  <c r="BI1004" i="127" s="1"/>
  <c r="BJ1003" i="127"/>
  <c r="BH1003" i="127"/>
  <c r="BI1003" i="127" s="1"/>
  <c r="BJ1002" i="127"/>
  <c r="BH1002" i="127"/>
  <c r="BI1002" i="127" s="1"/>
  <c r="BJ1001" i="127"/>
  <c r="BH1001" i="127"/>
  <c r="BI1001" i="127" s="1"/>
  <c r="BJ1000" i="127"/>
  <c r="BH1000" i="127"/>
  <c r="BI1000" i="127" s="1"/>
  <c r="BJ999" i="127"/>
  <c r="BH999" i="127"/>
  <c r="BI999" i="127" s="1"/>
  <c r="BJ998" i="127"/>
  <c r="BH998" i="127"/>
  <c r="BI998" i="127" s="1"/>
  <c r="BJ997" i="127"/>
  <c r="BH997" i="127"/>
  <c r="BI997" i="127" s="1"/>
  <c r="BJ996" i="127"/>
  <c r="BH996" i="127"/>
  <c r="BI996" i="127" s="1"/>
  <c r="BJ995" i="127"/>
  <c r="BH995" i="127"/>
  <c r="BI995" i="127" s="1"/>
  <c r="BJ994" i="127"/>
  <c r="BH994" i="127"/>
  <c r="BI994" i="127" s="1"/>
  <c r="BJ993" i="127"/>
  <c r="BH993" i="127"/>
  <c r="BI993" i="127" s="1"/>
  <c r="BJ992" i="127"/>
  <c r="BH992" i="127"/>
  <c r="BI992" i="127" s="1"/>
  <c r="BJ991" i="127"/>
  <c r="BH991" i="127"/>
  <c r="BI991" i="127" s="1"/>
  <c r="BJ990" i="127"/>
  <c r="BH990" i="127"/>
  <c r="BI990" i="127" s="1"/>
  <c r="BJ989" i="127"/>
  <c r="BH989" i="127"/>
  <c r="BI989" i="127" s="1"/>
  <c r="BJ988" i="127"/>
  <c r="BH988" i="127"/>
  <c r="BI988" i="127" s="1"/>
  <c r="BJ987" i="127"/>
  <c r="BH987" i="127"/>
  <c r="BI987" i="127" s="1"/>
  <c r="BJ986" i="127"/>
  <c r="BH986" i="127"/>
  <c r="BI986" i="127" s="1"/>
  <c r="BJ985" i="127"/>
  <c r="BH985" i="127"/>
  <c r="BI985" i="127" s="1"/>
  <c r="BJ984" i="127"/>
  <c r="BH984" i="127"/>
  <c r="BI984" i="127" s="1"/>
  <c r="BJ983" i="127"/>
  <c r="BH983" i="127"/>
  <c r="BI983" i="127" s="1"/>
  <c r="BJ982" i="127"/>
  <c r="BH982" i="127"/>
  <c r="BI982" i="127" s="1"/>
  <c r="BJ981" i="127"/>
  <c r="BH981" i="127"/>
  <c r="BI981" i="127" s="1"/>
  <c r="BJ980" i="127"/>
  <c r="BH980" i="127"/>
  <c r="BI980" i="127" s="1"/>
  <c r="BJ979" i="127"/>
  <c r="BH979" i="127"/>
  <c r="BI979" i="127" s="1"/>
  <c r="BJ978" i="127"/>
  <c r="BH978" i="127"/>
  <c r="BI978" i="127" s="1"/>
  <c r="BJ977" i="127"/>
  <c r="BH977" i="127"/>
  <c r="BI977" i="127" s="1"/>
  <c r="BJ976" i="127"/>
  <c r="BH976" i="127"/>
  <c r="BI976" i="127" s="1"/>
  <c r="BJ975" i="127"/>
  <c r="BH975" i="127"/>
  <c r="BI975" i="127" s="1"/>
  <c r="BJ974" i="127"/>
  <c r="BH974" i="127"/>
  <c r="BI974" i="127" s="1"/>
  <c r="BJ973" i="127"/>
  <c r="BH973" i="127"/>
  <c r="BI973" i="127" s="1"/>
  <c r="BJ972" i="127"/>
  <c r="BH972" i="127"/>
  <c r="BI972" i="127" s="1"/>
  <c r="BJ971" i="127"/>
  <c r="BH971" i="127"/>
  <c r="BI971" i="127" s="1"/>
  <c r="BJ970" i="127"/>
  <c r="BH970" i="127"/>
  <c r="BI970" i="127" s="1"/>
  <c r="BJ969" i="127"/>
  <c r="BH969" i="127"/>
  <c r="BI969" i="127" s="1"/>
  <c r="BJ968" i="127"/>
  <c r="BH968" i="127"/>
  <c r="BI968" i="127" s="1"/>
  <c r="BJ967" i="127"/>
  <c r="BH967" i="127"/>
  <c r="BI967" i="127" s="1"/>
  <c r="BJ966" i="127"/>
  <c r="BH966" i="127"/>
  <c r="BI966" i="127" s="1"/>
  <c r="BJ965" i="127"/>
  <c r="BH965" i="127"/>
  <c r="BI965" i="127" s="1"/>
  <c r="BJ964" i="127"/>
  <c r="BH964" i="127"/>
  <c r="BI964" i="127" s="1"/>
  <c r="BJ963" i="127"/>
  <c r="BH963" i="127"/>
  <c r="BI963" i="127" s="1"/>
  <c r="BJ962" i="127"/>
  <c r="BH962" i="127"/>
  <c r="BI962" i="127" s="1"/>
  <c r="BJ961" i="127"/>
  <c r="BH961" i="127"/>
  <c r="BI961" i="127" s="1"/>
  <c r="BJ960" i="127"/>
  <c r="BH960" i="127"/>
  <c r="BI960" i="127" s="1"/>
  <c r="BJ959" i="127"/>
  <c r="BH959" i="127"/>
  <c r="BI959" i="127" s="1"/>
  <c r="BJ958" i="127"/>
  <c r="BH958" i="127"/>
  <c r="BI958" i="127" s="1"/>
  <c r="BJ957" i="127"/>
  <c r="BH957" i="127"/>
  <c r="BI957" i="127" s="1"/>
  <c r="BJ956" i="127"/>
  <c r="BH956" i="127"/>
  <c r="BI956" i="127" s="1"/>
  <c r="BJ955" i="127"/>
  <c r="BH955" i="127"/>
  <c r="BI955" i="127" s="1"/>
  <c r="BJ954" i="127"/>
  <c r="BH954" i="127"/>
  <c r="BI954" i="127" s="1"/>
  <c r="BJ953" i="127"/>
  <c r="BH953" i="127"/>
  <c r="BI953" i="127" s="1"/>
  <c r="BJ952" i="127"/>
  <c r="BH952" i="127"/>
  <c r="BI952" i="127" s="1"/>
  <c r="BJ951" i="127"/>
  <c r="BH951" i="127"/>
  <c r="BI951" i="127" s="1"/>
  <c r="BJ950" i="127"/>
  <c r="BH950" i="127"/>
  <c r="BI950" i="127" s="1"/>
  <c r="BJ949" i="127"/>
  <c r="BH949" i="127"/>
  <c r="BI949" i="127" s="1"/>
  <c r="BJ948" i="127"/>
  <c r="BH948" i="127"/>
  <c r="BI948" i="127" s="1"/>
  <c r="BJ947" i="127"/>
  <c r="BH947" i="127"/>
  <c r="BI947" i="127" s="1"/>
  <c r="BJ946" i="127"/>
  <c r="BH946" i="127"/>
  <c r="BI946" i="127" s="1"/>
  <c r="BJ945" i="127"/>
  <c r="BH945" i="127"/>
  <c r="BI945" i="127" s="1"/>
  <c r="BJ944" i="127"/>
  <c r="BH944" i="127"/>
  <c r="BI944" i="127" s="1"/>
  <c r="BJ943" i="127"/>
  <c r="BH943" i="127"/>
  <c r="BI943" i="127" s="1"/>
  <c r="BJ942" i="127"/>
  <c r="BH942" i="127"/>
  <c r="BI942" i="127" s="1"/>
  <c r="BJ941" i="127"/>
  <c r="BH941" i="127"/>
  <c r="BI941" i="127" s="1"/>
  <c r="BJ940" i="127"/>
  <c r="BH940" i="127"/>
  <c r="BI940" i="127" s="1"/>
  <c r="BJ939" i="127"/>
  <c r="BH939" i="127"/>
  <c r="BI939" i="127" s="1"/>
  <c r="BJ938" i="127"/>
  <c r="BH938" i="127"/>
  <c r="BI938" i="127" s="1"/>
  <c r="BJ937" i="127"/>
  <c r="BH937" i="127"/>
  <c r="BI937" i="127" s="1"/>
  <c r="BJ936" i="127"/>
  <c r="BH936" i="127"/>
  <c r="BI936" i="127" s="1"/>
  <c r="BJ935" i="127"/>
  <c r="BH935" i="127"/>
  <c r="BI935" i="127" s="1"/>
  <c r="BJ934" i="127"/>
  <c r="BH934" i="127"/>
  <c r="BI934" i="127" s="1"/>
  <c r="BJ933" i="127"/>
  <c r="BH933" i="127"/>
  <c r="BI933" i="127" s="1"/>
  <c r="BJ932" i="127"/>
  <c r="BH932" i="127"/>
  <c r="BI932" i="127" s="1"/>
  <c r="BJ931" i="127"/>
  <c r="BH931" i="127"/>
  <c r="BI931" i="127" s="1"/>
  <c r="BJ930" i="127"/>
  <c r="BH930" i="127"/>
  <c r="BI930" i="127" s="1"/>
  <c r="BJ929" i="127"/>
  <c r="BH929" i="127"/>
  <c r="BI929" i="127" s="1"/>
  <c r="BJ928" i="127"/>
  <c r="BH928" i="127"/>
  <c r="BI928" i="127" s="1"/>
  <c r="BJ927" i="127"/>
  <c r="BH927" i="127"/>
  <c r="BI927" i="127" s="1"/>
  <c r="BJ926" i="127"/>
  <c r="BH926" i="127"/>
  <c r="BI926" i="127" s="1"/>
  <c r="BJ925" i="127"/>
  <c r="BH925" i="127"/>
  <c r="BI925" i="127" s="1"/>
  <c r="BJ924" i="127"/>
  <c r="BH924" i="127"/>
  <c r="BI924" i="127" s="1"/>
  <c r="BJ923" i="127"/>
  <c r="BH923" i="127"/>
  <c r="BI923" i="127" s="1"/>
  <c r="BJ922" i="127"/>
  <c r="BH922" i="127"/>
  <c r="BI922" i="127" s="1"/>
  <c r="BJ921" i="127"/>
  <c r="BH921" i="127"/>
  <c r="BI921" i="127" s="1"/>
  <c r="BJ920" i="127"/>
  <c r="BH920" i="127"/>
  <c r="BI920" i="127" s="1"/>
  <c r="BJ919" i="127"/>
  <c r="BH919" i="127"/>
  <c r="BI919" i="127" s="1"/>
  <c r="BJ918" i="127"/>
  <c r="BH918" i="127"/>
  <c r="BI918" i="127" s="1"/>
  <c r="BJ917" i="127"/>
  <c r="BH917" i="127"/>
  <c r="BI917" i="127" s="1"/>
  <c r="BJ916" i="127"/>
  <c r="BH916" i="127"/>
  <c r="BI916" i="127" s="1"/>
  <c r="BJ915" i="127"/>
  <c r="BH915" i="127"/>
  <c r="BI915" i="127" s="1"/>
  <c r="BJ914" i="127"/>
  <c r="BH914" i="127"/>
  <c r="BI914" i="127" s="1"/>
  <c r="BJ913" i="127"/>
  <c r="BH913" i="127"/>
  <c r="BI913" i="127" s="1"/>
  <c r="BJ912" i="127"/>
  <c r="BH912" i="127"/>
  <c r="BI912" i="127" s="1"/>
  <c r="BJ911" i="127"/>
  <c r="BH911" i="127"/>
  <c r="BI911" i="127" s="1"/>
  <c r="BJ910" i="127"/>
  <c r="BH910" i="127"/>
  <c r="BI910" i="127" s="1"/>
  <c r="BJ909" i="127"/>
  <c r="BH909" i="127"/>
  <c r="BI909" i="127" s="1"/>
  <c r="BJ908" i="127"/>
  <c r="BH908" i="127"/>
  <c r="BI908" i="127" s="1"/>
  <c r="BJ907" i="127"/>
  <c r="BH907" i="127"/>
  <c r="BI907" i="127" s="1"/>
  <c r="BJ906" i="127"/>
  <c r="BH906" i="127"/>
  <c r="BI906" i="127" s="1"/>
  <c r="BJ905" i="127"/>
  <c r="BH905" i="127"/>
  <c r="BI905" i="127" s="1"/>
  <c r="BJ904" i="127"/>
  <c r="BH904" i="127"/>
  <c r="BI904" i="127" s="1"/>
  <c r="BJ903" i="127"/>
  <c r="BH903" i="127"/>
  <c r="BI903" i="127" s="1"/>
  <c r="BJ902" i="127"/>
  <c r="BH902" i="127"/>
  <c r="BI902" i="127" s="1"/>
  <c r="BJ901" i="127"/>
  <c r="BH901" i="127"/>
  <c r="BI901" i="127" s="1"/>
  <c r="BJ900" i="127"/>
  <c r="BH900" i="127"/>
  <c r="BI900" i="127" s="1"/>
  <c r="BJ899" i="127"/>
  <c r="BH899" i="127"/>
  <c r="BI899" i="127" s="1"/>
  <c r="BJ898" i="127"/>
  <c r="BH898" i="127"/>
  <c r="BI898" i="127" s="1"/>
  <c r="BJ897" i="127"/>
  <c r="BH897" i="127"/>
  <c r="BI897" i="127" s="1"/>
  <c r="BJ896" i="127"/>
  <c r="BH896" i="127"/>
  <c r="BI896" i="127" s="1"/>
  <c r="BJ895" i="127"/>
  <c r="BH895" i="127"/>
  <c r="BI895" i="127" s="1"/>
  <c r="BJ894" i="127"/>
  <c r="BH894" i="127"/>
  <c r="BI894" i="127" s="1"/>
  <c r="BJ893" i="127"/>
  <c r="BH893" i="127"/>
  <c r="BI893" i="127" s="1"/>
  <c r="BJ892" i="127"/>
  <c r="BH892" i="127"/>
  <c r="BI892" i="127" s="1"/>
  <c r="BJ891" i="127"/>
  <c r="BH891" i="127"/>
  <c r="BI891" i="127" s="1"/>
  <c r="BJ890" i="127"/>
  <c r="BH890" i="127"/>
  <c r="BI890" i="127" s="1"/>
  <c r="BJ889" i="127"/>
  <c r="BH889" i="127"/>
  <c r="BI889" i="127" s="1"/>
  <c r="BJ888" i="127"/>
  <c r="BH888" i="127"/>
  <c r="BI888" i="127" s="1"/>
  <c r="BJ887" i="127"/>
  <c r="BH887" i="127"/>
  <c r="BI887" i="127" s="1"/>
  <c r="BJ886" i="127"/>
  <c r="BH886" i="127"/>
  <c r="BI886" i="127" s="1"/>
  <c r="BJ885" i="127"/>
  <c r="BH885" i="127"/>
  <c r="BI885" i="127" s="1"/>
  <c r="BJ884" i="127"/>
  <c r="BH884" i="127"/>
  <c r="BI884" i="127" s="1"/>
  <c r="BJ883" i="127"/>
  <c r="BH883" i="127"/>
  <c r="BI883" i="127" s="1"/>
  <c r="BJ882" i="127"/>
  <c r="BH882" i="127"/>
  <c r="BI882" i="127" s="1"/>
  <c r="BJ881" i="127"/>
  <c r="BH881" i="127"/>
  <c r="BI881" i="127" s="1"/>
  <c r="BJ880" i="127"/>
  <c r="BH880" i="127"/>
  <c r="BI880" i="127" s="1"/>
  <c r="BJ879" i="127"/>
  <c r="BH879" i="127"/>
  <c r="BI879" i="127" s="1"/>
  <c r="BJ878" i="127"/>
  <c r="BH878" i="127"/>
  <c r="BI878" i="127" s="1"/>
  <c r="BJ877" i="127"/>
  <c r="BH877" i="127"/>
  <c r="BI877" i="127" s="1"/>
  <c r="BJ876" i="127"/>
  <c r="BH876" i="127"/>
  <c r="BI876" i="127" s="1"/>
  <c r="BJ875" i="127"/>
  <c r="BH875" i="127"/>
  <c r="BI875" i="127" s="1"/>
  <c r="BJ874" i="127"/>
  <c r="BH874" i="127"/>
  <c r="BI874" i="127" s="1"/>
  <c r="BJ873" i="127"/>
  <c r="BH873" i="127"/>
  <c r="BI873" i="127" s="1"/>
  <c r="BJ872" i="127"/>
  <c r="BH872" i="127"/>
  <c r="BI872" i="127" s="1"/>
  <c r="BJ871" i="127"/>
  <c r="BH871" i="127"/>
  <c r="BI871" i="127" s="1"/>
  <c r="BJ870" i="127"/>
  <c r="BH870" i="127"/>
  <c r="BI870" i="127" s="1"/>
  <c r="BJ869" i="127"/>
  <c r="BH869" i="127"/>
  <c r="BI869" i="127" s="1"/>
  <c r="BJ868" i="127"/>
  <c r="BH868" i="127"/>
  <c r="BI868" i="127" s="1"/>
  <c r="BJ867" i="127"/>
  <c r="BH867" i="127"/>
  <c r="BI867" i="127" s="1"/>
  <c r="BJ866" i="127"/>
  <c r="BH866" i="127"/>
  <c r="BI866" i="127" s="1"/>
  <c r="BJ865" i="127"/>
  <c r="BH865" i="127"/>
  <c r="BI865" i="127" s="1"/>
  <c r="BJ864" i="127"/>
  <c r="BH864" i="127"/>
  <c r="BI864" i="127" s="1"/>
  <c r="BJ863" i="127"/>
  <c r="BH863" i="127"/>
  <c r="BI863" i="127" s="1"/>
  <c r="BJ862" i="127"/>
  <c r="BH862" i="127"/>
  <c r="BI862" i="127" s="1"/>
  <c r="BJ861" i="127"/>
  <c r="BH861" i="127"/>
  <c r="BI861" i="127" s="1"/>
  <c r="BJ860" i="127"/>
  <c r="BH860" i="127"/>
  <c r="BI860" i="127" s="1"/>
  <c r="BJ859" i="127"/>
  <c r="BH859" i="127"/>
  <c r="BI859" i="127" s="1"/>
  <c r="BJ858" i="127"/>
  <c r="BH858" i="127"/>
  <c r="BI858" i="127" s="1"/>
  <c r="BJ857" i="127"/>
  <c r="BH857" i="127"/>
  <c r="BI857" i="127" s="1"/>
  <c r="BJ856" i="127"/>
  <c r="BH856" i="127"/>
  <c r="BI856" i="127" s="1"/>
  <c r="BJ855" i="127"/>
  <c r="BH855" i="127"/>
  <c r="BI855" i="127" s="1"/>
  <c r="BJ854" i="127"/>
  <c r="BH854" i="127"/>
  <c r="BI854" i="127" s="1"/>
  <c r="BJ853" i="127"/>
  <c r="BH853" i="127"/>
  <c r="BI853" i="127" s="1"/>
  <c r="BJ852" i="127"/>
  <c r="BH852" i="127"/>
  <c r="BI852" i="127" s="1"/>
  <c r="BJ851" i="127"/>
  <c r="BH851" i="127"/>
  <c r="BI851" i="127" s="1"/>
  <c r="BJ850" i="127"/>
  <c r="BH850" i="127"/>
  <c r="BI850" i="127" s="1"/>
  <c r="BJ849" i="127"/>
  <c r="BH849" i="127"/>
  <c r="BI849" i="127" s="1"/>
  <c r="BJ848" i="127"/>
  <c r="BH848" i="127"/>
  <c r="BI848" i="127" s="1"/>
  <c r="BJ847" i="127"/>
  <c r="BH847" i="127"/>
  <c r="BI847" i="127" s="1"/>
  <c r="BJ846" i="127"/>
  <c r="BH846" i="127"/>
  <c r="BI846" i="127" s="1"/>
  <c r="BJ845" i="127"/>
  <c r="BH845" i="127"/>
  <c r="BI845" i="127" s="1"/>
  <c r="BJ844" i="127"/>
  <c r="BH844" i="127"/>
  <c r="BI844" i="127" s="1"/>
  <c r="BJ843" i="127"/>
  <c r="BH843" i="127"/>
  <c r="BI843" i="127" s="1"/>
  <c r="BJ842" i="127"/>
  <c r="BH842" i="127"/>
  <c r="BI842" i="127" s="1"/>
  <c r="BJ841" i="127"/>
  <c r="BH841" i="127"/>
  <c r="BI841" i="127" s="1"/>
  <c r="BJ840" i="127"/>
  <c r="BH840" i="127"/>
  <c r="BI840" i="127" s="1"/>
  <c r="BJ839" i="127"/>
  <c r="BH839" i="127"/>
  <c r="BI839" i="127" s="1"/>
  <c r="BJ838" i="127"/>
  <c r="BH838" i="127"/>
  <c r="BI838" i="127" s="1"/>
  <c r="BJ837" i="127"/>
  <c r="BH837" i="127"/>
  <c r="BI837" i="127" s="1"/>
  <c r="BJ836" i="127"/>
  <c r="BH836" i="127"/>
  <c r="BI836" i="127" s="1"/>
  <c r="BJ835" i="127"/>
  <c r="BH835" i="127"/>
  <c r="BI835" i="127" s="1"/>
  <c r="BJ834" i="127"/>
  <c r="BH834" i="127"/>
  <c r="BI834" i="127" s="1"/>
  <c r="BJ833" i="127"/>
  <c r="BH833" i="127"/>
  <c r="BI833" i="127" s="1"/>
  <c r="BJ832" i="127"/>
  <c r="BH832" i="127"/>
  <c r="BI832" i="127" s="1"/>
  <c r="BJ831" i="127"/>
  <c r="BH831" i="127"/>
  <c r="BI831" i="127" s="1"/>
  <c r="BJ830" i="127"/>
  <c r="BH830" i="127"/>
  <c r="BI830" i="127" s="1"/>
  <c r="BJ829" i="127"/>
  <c r="BH829" i="127"/>
  <c r="BI829" i="127" s="1"/>
  <c r="BJ828" i="127"/>
  <c r="BH828" i="127"/>
  <c r="BI828" i="127" s="1"/>
  <c r="BJ827" i="127"/>
  <c r="BH827" i="127"/>
  <c r="BI827" i="127" s="1"/>
  <c r="BJ826" i="127"/>
  <c r="BH826" i="127"/>
  <c r="BI826" i="127" s="1"/>
  <c r="BJ825" i="127"/>
  <c r="BH825" i="127"/>
  <c r="BI825" i="127" s="1"/>
  <c r="BJ824" i="127"/>
  <c r="BH824" i="127"/>
  <c r="BI824" i="127" s="1"/>
  <c r="BJ823" i="127"/>
  <c r="BH823" i="127"/>
  <c r="BI823" i="127" s="1"/>
  <c r="BJ822" i="127"/>
  <c r="BH822" i="127"/>
  <c r="BI822" i="127" s="1"/>
  <c r="BJ821" i="127"/>
  <c r="BH821" i="127"/>
  <c r="BI821" i="127" s="1"/>
  <c r="BJ820" i="127"/>
  <c r="BH820" i="127"/>
  <c r="BI820" i="127" s="1"/>
  <c r="BJ819" i="127"/>
  <c r="BH819" i="127"/>
  <c r="BI819" i="127" s="1"/>
  <c r="BJ818" i="127"/>
  <c r="BH818" i="127"/>
  <c r="BI818" i="127" s="1"/>
  <c r="BJ817" i="127"/>
  <c r="BH817" i="127"/>
  <c r="BI817" i="127" s="1"/>
  <c r="BJ816" i="127"/>
  <c r="BH816" i="127"/>
  <c r="BI816" i="127" s="1"/>
  <c r="BJ815" i="127"/>
  <c r="BH815" i="127"/>
  <c r="BI815" i="127" s="1"/>
  <c r="BJ814" i="127"/>
  <c r="BH814" i="127"/>
  <c r="BI814" i="127" s="1"/>
  <c r="BJ813" i="127"/>
  <c r="BH813" i="127"/>
  <c r="BI813" i="127" s="1"/>
  <c r="BJ812" i="127"/>
  <c r="BH812" i="127"/>
  <c r="BI812" i="127" s="1"/>
  <c r="BJ811" i="127"/>
  <c r="BH811" i="127"/>
  <c r="BI811" i="127" s="1"/>
  <c r="BJ810" i="127"/>
  <c r="BH810" i="127"/>
  <c r="BI810" i="127" s="1"/>
  <c r="BJ809" i="127"/>
  <c r="BH809" i="127"/>
  <c r="BI809" i="127" s="1"/>
  <c r="BJ808" i="127"/>
  <c r="BH808" i="127"/>
  <c r="BI808" i="127" s="1"/>
  <c r="BJ807" i="127"/>
  <c r="BH807" i="127"/>
  <c r="BI807" i="127" s="1"/>
  <c r="BJ806" i="127"/>
  <c r="BH806" i="127"/>
  <c r="BI806" i="127" s="1"/>
  <c r="BJ805" i="127"/>
  <c r="BH805" i="127"/>
  <c r="BI805" i="127" s="1"/>
  <c r="BJ804" i="127"/>
  <c r="BH804" i="127"/>
  <c r="BI804" i="127" s="1"/>
  <c r="BJ803" i="127"/>
  <c r="BH803" i="127"/>
  <c r="BI803" i="127" s="1"/>
  <c r="BJ802" i="127"/>
  <c r="BH802" i="127"/>
  <c r="BI802" i="127" s="1"/>
  <c r="BJ801" i="127"/>
  <c r="BH801" i="127"/>
  <c r="BI801" i="127" s="1"/>
  <c r="BJ800" i="127"/>
  <c r="BH800" i="127"/>
  <c r="BI800" i="127" s="1"/>
  <c r="BJ799" i="127"/>
  <c r="BH799" i="127"/>
  <c r="BI799" i="127" s="1"/>
  <c r="BJ798" i="127"/>
  <c r="BH798" i="127"/>
  <c r="BI798" i="127" s="1"/>
  <c r="BJ797" i="127"/>
  <c r="BH797" i="127"/>
  <c r="BI797" i="127" s="1"/>
  <c r="BJ796" i="127"/>
  <c r="BH796" i="127"/>
  <c r="BI796" i="127" s="1"/>
  <c r="BJ795" i="127"/>
  <c r="BH795" i="127"/>
  <c r="BI795" i="127" s="1"/>
  <c r="BJ794" i="127"/>
  <c r="BH794" i="127"/>
  <c r="BI794" i="127" s="1"/>
  <c r="BJ793" i="127"/>
  <c r="BH793" i="127"/>
  <c r="BI793" i="127" s="1"/>
  <c r="BJ792" i="127"/>
  <c r="BH792" i="127"/>
  <c r="BI792" i="127" s="1"/>
  <c r="BJ791" i="127"/>
  <c r="BH791" i="127"/>
  <c r="BI791" i="127" s="1"/>
  <c r="BJ790" i="127"/>
  <c r="BH790" i="127"/>
  <c r="BI790" i="127" s="1"/>
  <c r="BJ789" i="127"/>
  <c r="BH789" i="127"/>
  <c r="BI789" i="127" s="1"/>
  <c r="BJ788" i="127"/>
  <c r="BH788" i="127"/>
  <c r="BI788" i="127" s="1"/>
  <c r="BJ787" i="127"/>
  <c r="BH787" i="127"/>
  <c r="BI787" i="127" s="1"/>
  <c r="BJ786" i="127"/>
  <c r="BH786" i="127"/>
  <c r="BI786" i="127" s="1"/>
  <c r="BJ785" i="127"/>
  <c r="BH785" i="127"/>
  <c r="BI785" i="127" s="1"/>
  <c r="BJ784" i="127"/>
  <c r="BH784" i="127"/>
  <c r="BI784" i="127" s="1"/>
  <c r="BJ783" i="127"/>
  <c r="BH783" i="127"/>
  <c r="BI783" i="127" s="1"/>
  <c r="BJ782" i="127"/>
  <c r="BH782" i="127"/>
  <c r="BI782" i="127" s="1"/>
  <c r="BJ781" i="127"/>
  <c r="BH781" i="127"/>
  <c r="BI781" i="127" s="1"/>
  <c r="BJ780" i="127"/>
  <c r="BH780" i="127"/>
  <c r="BI780" i="127" s="1"/>
  <c r="BJ779" i="127"/>
  <c r="BH779" i="127"/>
  <c r="BI779" i="127" s="1"/>
  <c r="BJ778" i="127"/>
  <c r="BH778" i="127"/>
  <c r="BI778" i="127" s="1"/>
  <c r="BJ777" i="127"/>
  <c r="BH777" i="127"/>
  <c r="BI777" i="127" s="1"/>
  <c r="BJ776" i="127"/>
  <c r="BH776" i="127"/>
  <c r="BI776" i="127" s="1"/>
  <c r="BJ775" i="127"/>
  <c r="BH775" i="127"/>
  <c r="BI775" i="127" s="1"/>
  <c r="BJ774" i="127"/>
  <c r="BH774" i="127"/>
  <c r="BI774" i="127" s="1"/>
  <c r="BJ773" i="127"/>
  <c r="BH773" i="127"/>
  <c r="BI773" i="127" s="1"/>
  <c r="BJ772" i="127"/>
  <c r="BH772" i="127"/>
  <c r="BI772" i="127" s="1"/>
  <c r="BJ771" i="127"/>
  <c r="BH771" i="127"/>
  <c r="BI771" i="127" s="1"/>
  <c r="BJ770" i="127"/>
  <c r="BH770" i="127"/>
  <c r="BI770" i="127" s="1"/>
  <c r="BJ769" i="127"/>
  <c r="BH769" i="127"/>
  <c r="BI769" i="127" s="1"/>
  <c r="BJ768" i="127"/>
  <c r="BH768" i="127"/>
  <c r="BI768" i="127" s="1"/>
  <c r="BJ767" i="127"/>
  <c r="BH767" i="127"/>
  <c r="BI767" i="127" s="1"/>
  <c r="BJ766" i="127"/>
  <c r="BH766" i="127"/>
  <c r="BI766" i="127" s="1"/>
  <c r="BJ765" i="127"/>
  <c r="BH765" i="127"/>
  <c r="BI765" i="127" s="1"/>
  <c r="BJ764" i="127"/>
  <c r="BH764" i="127"/>
  <c r="BI764" i="127" s="1"/>
  <c r="BJ763" i="127"/>
  <c r="BH763" i="127"/>
  <c r="BI763" i="127" s="1"/>
  <c r="BJ762" i="127"/>
  <c r="BH762" i="127"/>
  <c r="BI762" i="127" s="1"/>
  <c r="BJ761" i="127"/>
  <c r="BH761" i="127"/>
  <c r="BI761" i="127" s="1"/>
  <c r="BJ760" i="127"/>
  <c r="BH760" i="127"/>
  <c r="BI760" i="127" s="1"/>
  <c r="BJ759" i="127"/>
  <c r="BH759" i="127"/>
  <c r="BI759" i="127" s="1"/>
  <c r="BJ758" i="127"/>
  <c r="BH758" i="127"/>
  <c r="BI758" i="127" s="1"/>
  <c r="BJ757" i="127"/>
  <c r="BH757" i="127"/>
  <c r="BI757" i="127" s="1"/>
  <c r="BJ756" i="127"/>
  <c r="BH756" i="127"/>
  <c r="BI756" i="127" s="1"/>
  <c r="BJ755" i="127"/>
  <c r="BH755" i="127"/>
  <c r="BI755" i="127" s="1"/>
  <c r="BJ754" i="127"/>
  <c r="BH754" i="127"/>
  <c r="BI754" i="127" s="1"/>
  <c r="BJ753" i="127"/>
  <c r="BH753" i="127"/>
  <c r="BI753" i="127" s="1"/>
  <c r="BJ752" i="127"/>
  <c r="BH752" i="127"/>
  <c r="BI752" i="127" s="1"/>
  <c r="BJ751" i="127"/>
  <c r="BH751" i="127"/>
  <c r="BI751" i="127" s="1"/>
  <c r="BJ750" i="127"/>
  <c r="BH750" i="127"/>
  <c r="BI750" i="127" s="1"/>
  <c r="BJ749" i="127"/>
  <c r="BH749" i="127"/>
  <c r="BI749" i="127" s="1"/>
  <c r="BJ748" i="127"/>
  <c r="BH748" i="127"/>
  <c r="BI748" i="127" s="1"/>
  <c r="BJ747" i="127"/>
  <c r="BH747" i="127"/>
  <c r="BI747" i="127" s="1"/>
  <c r="BJ746" i="127"/>
  <c r="BH746" i="127"/>
  <c r="BI746" i="127" s="1"/>
  <c r="BJ745" i="127"/>
  <c r="BH745" i="127"/>
  <c r="BI745" i="127" s="1"/>
  <c r="BJ744" i="127"/>
  <c r="BH744" i="127"/>
  <c r="BI744" i="127" s="1"/>
  <c r="BJ743" i="127"/>
  <c r="BH743" i="127"/>
  <c r="BI743" i="127" s="1"/>
  <c r="BJ742" i="127"/>
  <c r="BH742" i="127"/>
  <c r="BI742" i="127" s="1"/>
  <c r="BJ741" i="127"/>
  <c r="BH741" i="127"/>
  <c r="BI741" i="127" s="1"/>
  <c r="BJ740" i="127"/>
  <c r="BH740" i="127"/>
  <c r="BI740" i="127" s="1"/>
  <c r="BJ739" i="127"/>
  <c r="BH739" i="127"/>
  <c r="BI739" i="127" s="1"/>
  <c r="BJ738" i="127"/>
  <c r="BH738" i="127"/>
  <c r="BI738" i="127" s="1"/>
  <c r="BJ737" i="127"/>
  <c r="BH737" i="127"/>
  <c r="BI737" i="127" s="1"/>
  <c r="BJ736" i="127"/>
  <c r="BH736" i="127"/>
  <c r="BI736" i="127" s="1"/>
  <c r="BJ735" i="127"/>
  <c r="BH735" i="127"/>
  <c r="BI735" i="127" s="1"/>
  <c r="BJ734" i="127"/>
  <c r="BH734" i="127"/>
  <c r="BI734" i="127" s="1"/>
  <c r="BJ733" i="127"/>
  <c r="BH733" i="127"/>
  <c r="BI733" i="127" s="1"/>
  <c r="BJ732" i="127"/>
  <c r="BH732" i="127"/>
  <c r="BI732" i="127" s="1"/>
  <c r="BJ731" i="127"/>
  <c r="BH731" i="127"/>
  <c r="BI731" i="127" s="1"/>
  <c r="BJ730" i="127"/>
  <c r="BH730" i="127"/>
  <c r="BI730" i="127" s="1"/>
  <c r="BJ729" i="127"/>
  <c r="BH729" i="127"/>
  <c r="BI729" i="127" s="1"/>
  <c r="BJ728" i="127"/>
  <c r="BH728" i="127"/>
  <c r="BI728" i="127" s="1"/>
  <c r="BJ727" i="127"/>
  <c r="BH727" i="127"/>
  <c r="BI727" i="127" s="1"/>
  <c r="BJ726" i="127"/>
  <c r="BH726" i="127"/>
  <c r="BI726" i="127" s="1"/>
  <c r="BJ725" i="127"/>
  <c r="BH725" i="127"/>
  <c r="BI725" i="127" s="1"/>
  <c r="BJ724" i="127"/>
  <c r="BH724" i="127"/>
  <c r="BI724" i="127" s="1"/>
  <c r="BJ723" i="127"/>
  <c r="BH723" i="127"/>
  <c r="BI723" i="127" s="1"/>
  <c r="BJ722" i="127"/>
  <c r="BH722" i="127"/>
  <c r="BI722" i="127" s="1"/>
  <c r="BJ721" i="127"/>
  <c r="BH721" i="127"/>
  <c r="BI721" i="127" s="1"/>
  <c r="BJ720" i="127"/>
  <c r="BH720" i="127"/>
  <c r="BI720" i="127" s="1"/>
  <c r="BJ719" i="127"/>
  <c r="BH719" i="127"/>
  <c r="BI719" i="127" s="1"/>
  <c r="BJ718" i="127"/>
  <c r="BH718" i="127"/>
  <c r="BI718" i="127" s="1"/>
  <c r="BJ717" i="127"/>
  <c r="BH717" i="127"/>
  <c r="BI717" i="127" s="1"/>
  <c r="BJ716" i="127"/>
  <c r="BH716" i="127"/>
  <c r="BI716" i="127" s="1"/>
  <c r="BJ715" i="127"/>
  <c r="BH715" i="127"/>
  <c r="BI715" i="127" s="1"/>
  <c r="BJ714" i="127"/>
  <c r="BH714" i="127"/>
  <c r="BI714" i="127" s="1"/>
  <c r="BJ713" i="127"/>
  <c r="BH713" i="127"/>
  <c r="BI713" i="127" s="1"/>
  <c r="BJ712" i="127"/>
  <c r="BH712" i="127"/>
  <c r="BI712" i="127" s="1"/>
  <c r="BJ711" i="127"/>
  <c r="BH711" i="127"/>
  <c r="BI711" i="127" s="1"/>
  <c r="BJ710" i="127"/>
  <c r="BH710" i="127"/>
  <c r="BI710" i="127" s="1"/>
  <c r="BJ709" i="127"/>
  <c r="BH709" i="127"/>
  <c r="BI709" i="127" s="1"/>
  <c r="BJ708" i="127"/>
  <c r="BH708" i="127"/>
  <c r="BI708" i="127" s="1"/>
  <c r="BJ707" i="127"/>
  <c r="BH707" i="127"/>
  <c r="BI707" i="127" s="1"/>
  <c r="BJ706" i="127"/>
  <c r="BH706" i="127"/>
  <c r="BI706" i="127" s="1"/>
  <c r="BJ705" i="127"/>
  <c r="BH705" i="127"/>
  <c r="BI705" i="127" s="1"/>
  <c r="BJ704" i="127"/>
  <c r="BH704" i="127"/>
  <c r="BI704" i="127" s="1"/>
  <c r="BJ703" i="127"/>
  <c r="BH703" i="127"/>
  <c r="BI703" i="127" s="1"/>
  <c r="BJ702" i="127"/>
  <c r="BH702" i="127"/>
  <c r="BI702" i="127" s="1"/>
  <c r="BJ701" i="127"/>
  <c r="BH701" i="127"/>
  <c r="BI701" i="127" s="1"/>
  <c r="BJ700" i="127"/>
  <c r="BH700" i="127"/>
  <c r="BI700" i="127" s="1"/>
  <c r="BJ699" i="127"/>
  <c r="BH699" i="127"/>
  <c r="BI699" i="127" s="1"/>
  <c r="BJ698" i="127"/>
  <c r="BH698" i="127"/>
  <c r="BI698" i="127" s="1"/>
  <c r="BJ697" i="127"/>
  <c r="BH697" i="127"/>
  <c r="BI697" i="127" s="1"/>
  <c r="BJ696" i="127"/>
  <c r="BH696" i="127"/>
  <c r="BI696" i="127" s="1"/>
  <c r="BJ695" i="127"/>
  <c r="BH695" i="127"/>
  <c r="BI695" i="127" s="1"/>
  <c r="BJ694" i="127"/>
  <c r="BH694" i="127"/>
  <c r="BI694" i="127" s="1"/>
  <c r="BJ693" i="127"/>
  <c r="BH693" i="127"/>
  <c r="BI693" i="127" s="1"/>
  <c r="BJ692" i="127"/>
  <c r="BH692" i="127"/>
  <c r="BI692" i="127" s="1"/>
  <c r="BJ691" i="127"/>
  <c r="BH691" i="127"/>
  <c r="BI691" i="127" s="1"/>
  <c r="BJ690" i="127"/>
  <c r="BH690" i="127"/>
  <c r="BI690" i="127" s="1"/>
  <c r="BJ689" i="127"/>
  <c r="BH689" i="127"/>
  <c r="BI689" i="127" s="1"/>
  <c r="BJ688" i="127"/>
  <c r="BH688" i="127"/>
  <c r="BI688" i="127" s="1"/>
  <c r="BJ687" i="127"/>
  <c r="BH687" i="127"/>
  <c r="BI687" i="127" s="1"/>
  <c r="BJ686" i="127"/>
  <c r="BH686" i="127"/>
  <c r="BI686" i="127" s="1"/>
  <c r="BJ685" i="127"/>
  <c r="BH685" i="127"/>
  <c r="BI685" i="127" s="1"/>
  <c r="BJ684" i="127"/>
  <c r="BH684" i="127"/>
  <c r="BI684" i="127" s="1"/>
  <c r="BJ683" i="127"/>
  <c r="BH683" i="127"/>
  <c r="BI683" i="127" s="1"/>
  <c r="BJ682" i="127"/>
  <c r="BH682" i="127"/>
  <c r="BI682" i="127" s="1"/>
  <c r="BJ681" i="127"/>
  <c r="BH681" i="127"/>
  <c r="BI681" i="127" s="1"/>
  <c r="BJ680" i="127"/>
  <c r="BH680" i="127"/>
  <c r="BI680" i="127" s="1"/>
  <c r="BJ679" i="127"/>
  <c r="BH679" i="127"/>
  <c r="BI679" i="127" s="1"/>
  <c r="BJ678" i="127"/>
  <c r="BH678" i="127"/>
  <c r="BI678" i="127" s="1"/>
  <c r="BJ677" i="127"/>
  <c r="BH677" i="127"/>
  <c r="BI677" i="127" s="1"/>
  <c r="BJ676" i="127"/>
  <c r="BH676" i="127"/>
  <c r="BI676" i="127" s="1"/>
  <c r="BJ675" i="127"/>
  <c r="BH675" i="127"/>
  <c r="BI675" i="127" s="1"/>
  <c r="BJ674" i="127"/>
  <c r="BH674" i="127"/>
  <c r="BI674" i="127" s="1"/>
  <c r="BJ673" i="127"/>
  <c r="BH673" i="127"/>
  <c r="BI673" i="127" s="1"/>
  <c r="BJ672" i="127"/>
  <c r="BH672" i="127"/>
  <c r="BI672" i="127" s="1"/>
  <c r="BJ671" i="127"/>
  <c r="BH671" i="127"/>
  <c r="BI671" i="127" s="1"/>
  <c r="BJ670" i="127"/>
  <c r="BH670" i="127"/>
  <c r="BI670" i="127" s="1"/>
  <c r="BJ669" i="127"/>
  <c r="BH669" i="127"/>
  <c r="BI669" i="127" s="1"/>
  <c r="BJ668" i="127"/>
  <c r="BH668" i="127"/>
  <c r="BI668" i="127" s="1"/>
  <c r="BJ667" i="127"/>
  <c r="BH667" i="127"/>
  <c r="BI667" i="127" s="1"/>
  <c r="BJ666" i="127"/>
  <c r="BH666" i="127"/>
  <c r="BI666" i="127" s="1"/>
  <c r="BJ665" i="127"/>
  <c r="BH665" i="127"/>
  <c r="BI665" i="127" s="1"/>
  <c r="BJ664" i="127"/>
  <c r="BH664" i="127"/>
  <c r="BI664" i="127" s="1"/>
  <c r="BJ663" i="127"/>
  <c r="BH663" i="127"/>
  <c r="BI663" i="127" s="1"/>
  <c r="BJ662" i="127"/>
  <c r="BH662" i="127"/>
  <c r="BI662" i="127" s="1"/>
  <c r="BJ661" i="127"/>
  <c r="BH661" i="127"/>
  <c r="BI661" i="127" s="1"/>
  <c r="BJ660" i="127"/>
  <c r="BH660" i="127"/>
  <c r="BI660" i="127" s="1"/>
  <c r="BJ659" i="127"/>
  <c r="BH659" i="127"/>
  <c r="BI659" i="127" s="1"/>
  <c r="BJ658" i="127"/>
  <c r="BH658" i="127"/>
  <c r="BI658" i="127" s="1"/>
  <c r="BJ657" i="127"/>
  <c r="BH657" i="127"/>
  <c r="BI657" i="127" s="1"/>
  <c r="BJ656" i="127"/>
  <c r="BH656" i="127"/>
  <c r="BI656" i="127" s="1"/>
  <c r="BJ655" i="127"/>
  <c r="BH655" i="127"/>
  <c r="BI655" i="127" s="1"/>
  <c r="BJ654" i="127"/>
  <c r="BH654" i="127"/>
  <c r="BI654" i="127" s="1"/>
  <c r="BJ653" i="127"/>
  <c r="BH653" i="127"/>
  <c r="BI653" i="127" s="1"/>
  <c r="BJ652" i="127"/>
  <c r="BH652" i="127"/>
  <c r="BI652" i="127" s="1"/>
  <c r="BJ651" i="127"/>
  <c r="BH651" i="127"/>
  <c r="BI651" i="127" s="1"/>
  <c r="BJ650" i="127"/>
  <c r="BH650" i="127"/>
  <c r="BI650" i="127" s="1"/>
  <c r="BJ649" i="127"/>
  <c r="BH649" i="127"/>
  <c r="BI649" i="127" s="1"/>
  <c r="BJ648" i="127"/>
  <c r="BH648" i="127"/>
  <c r="BI648" i="127" s="1"/>
  <c r="BJ647" i="127"/>
  <c r="BH647" i="127"/>
  <c r="BI647" i="127" s="1"/>
  <c r="BJ646" i="127"/>
  <c r="BH646" i="127"/>
  <c r="BI646" i="127" s="1"/>
  <c r="BJ645" i="127"/>
  <c r="BH645" i="127"/>
  <c r="BI645" i="127" s="1"/>
  <c r="BJ644" i="127"/>
  <c r="BH644" i="127"/>
  <c r="BI644" i="127" s="1"/>
  <c r="BJ643" i="127"/>
  <c r="BH643" i="127"/>
  <c r="BI643" i="127" s="1"/>
  <c r="BJ642" i="127"/>
  <c r="BH642" i="127"/>
  <c r="BI642" i="127" s="1"/>
  <c r="BJ641" i="127"/>
  <c r="BH641" i="127"/>
  <c r="BI641" i="127" s="1"/>
  <c r="BJ640" i="127"/>
  <c r="BH640" i="127"/>
  <c r="BI640" i="127" s="1"/>
  <c r="BJ639" i="127"/>
  <c r="BH639" i="127"/>
  <c r="BI639" i="127" s="1"/>
  <c r="BJ638" i="127"/>
  <c r="BH638" i="127"/>
  <c r="BI638" i="127" s="1"/>
  <c r="BJ637" i="127"/>
  <c r="BH637" i="127"/>
  <c r="BI637" i="127" s="1"/>
  <c r="BJ636" i="127"/>
  <c r="BH636" i="127"/>
  <c r="BI636" i="127" s="1"/>
  <c r="BJ635" i="127"/>
  <c r="BH635" i="127"/>
  <c r="BI635" i="127" s="1"/>
  <c r="BJ634" i="127"/>
  <c r="BH634" i="127"/>
  <c r="BI634" i="127" s="1"/>
  <c r="BJ633" i="127"/>
  <c r="BH633" i="127"/>
  <c r="BI633" i="127" s="1"/>
  <c r="BJ632" i="127"/>
  <c r="BH632" i="127"/>
  <c r="BI632" i="127" s="1"/>
  <c r="BJ631" i="127"/>
  <c r="BH631" i="127"/>
  <c r="BI631" i="127" s="1"/>
  <c r="BJ630" i="127"/>
  <c r="BH630" i="127"/>
  <c r="BI630" i="127" s="1"/>
  <c r="BJ629" i="127"/>
  <c r="BH629" i="127"/>
  <c r="BI629" i="127" s="1"/>
  <c r="BJ628" i="127"/>
  <c r="BH628" i="127"/>
  <c r="BI628" i="127" s="1"/>
  <c r="BJ627" i="127"/>
  <c r="BH627" i="127"/>
  <c r="BI627" i="127" s="1"/>
  <c r="BJ626" i="127"/>
  <c r="BH626" i="127"/>
  <c r="BI626" i="127" s="1"/>
  <c r="BJ625" i="127"/>
  <c r="BH625" i="127"/>
  <c r="BI625" i="127" s="1"/>
  <c r="BJ624" i="127"/>
  <c r="BH624" i="127"/>
  <c r="BI624" i="127" s="1"/>
  <c r="BJ623" i="127"/>
  <c r="BH623" i="127"/>
  <c r="BI623" i="127" s="1"/>
  <c r="BJ622" i="127"/>
  <c r="BH622" i="127"/>
  <c r="BI622" i="127" s="1"/>
  <c r="BJ621" i="127"/>
  <c r="BH621" i="127"/>
  <c r="BI621" i="127" s="1"/>
  <c r="BJ620" i="127"/>
  <c r="BH620" i="127"/>
  <c r="BI620" i="127" s="1"/>
  <c r="BJ619" i="127"/>
  <c r="BH619" i="127"/>
  <c r="BI619" i="127" s="1"/>
  <c r="BJ618" i="127"/>
  <c r="BH618" i="127"/>
  <c r="BI618" i="127" s="1"/>
  <c r="BJ617" i="127"/>
  <c r="BH617" i="127"/>
  <c r="BI617" i="127" s="1"/>
  <c r="BJ616" i="127"/>
  <c r="BH616" i="127"/>
  <c r="BI616" i="127" s="1"/>
  <c r="BJ615" i="127"/>
  <c r="BH615" i="127"/>
  <c r="BI615" i="127" s="1"/>
  <c r="BJ614" i="127"/>
  <c r="BH614" i="127"/>
  <c r="BI614" i="127" s="1"/>
  <c r="BJ613" i="127"/>
  <c r="BH613" i="127"/>
  <c r="BI613" i="127" s="1"/>
  <c r="BJ612" i="127"/>
  <c r="BH612" i="127"/>
  <c r="BI612" i="127" s="1"/>
  <c r="BJ611" i="127"/>
  <c r="BH611" i="127"/>
  <c r="BI611" i="127" s="1"/>
  <c r="BJ610" i="127"/>
  <c r="BH610" i="127"/>
  <c r="BI610" i="127" s="1"/>
  <c r="BJ609" i="127"/>
  <c r="BH609" i="127"/>
  <c r="BI609" i="127" s="1"/>
  <c r="BJ608" i="127"/>
  <c r="BH608" i="127"/>
  <c r="BI608" i="127" s="1"/>
  <c r="BJ607" i="127"/>
  <c r="BH607" i="127"/>
  <c r="BI607" i="127" s="1"/>
  <c r="BJ606" i="127"/>
  <c r="BH606" i="127"/>
  <c r="BI606" i="127" s="1"/>
  <c r="BJ605" i="127"/>
  <c r="BH605" i="127"/>
  <c r="BI605" i="127" s="1"/>
  <c r="BJ604" i="127"/>
  <c r="BH604" i="127"/>
  <c r="BI604" i="127" s="1"/>
  <c r="BJ603" i="127"/>
  <c r="BH603" i="127"/>
  <c r="BI603" i="127" s="1"/>
  <c r="BJ602" i="127"/>
  <c r="BH602" i="127"/>
  <c r="BI602" i="127" s="1"/>
  <c r="BJ601" i="127"/>
  <c r="BH601" i="127"/>
  <c r="BI601" i="127" s="1"/>
  <c r="BJ600" i="127"/>
  <c r="BH600" i="127"/>
  <c r="BI600" i="127" s="1"/>
  <c r="BJ599" i="127"/>
  <c r="BH599" i="127"/>
  <c r="BI599" i="127" s="1"/>
  <c r="BJ598" i="127"/>
  <c r="BH598" i="127"/>
  <c r="BI598" i="127" s="1"/>
  <c r="BJ597" i="127"/>
  <c r="BH597" i="127"/>
  <c r="BI597" i="127" s="1"/>
  <c r="BJ596" i="127"/>
  <c r="BH596" i="127"/>
  <c r="BI596" i="127" s="1"/>
  <c r="BJ595" i="127"/>
  <c r="BH595" i="127"/>
  <c r="BI595" i="127" s="1"/>
  <c r="BJ594" i="127"/>
  <c r="BH594" i="127"/>
  <c r="BI594" i="127" s="1"/>
  <c r="BJ593" i="127"/>
  <c r="BH593" i="127"/>
  <c r="BI593" i="127" s="1"/>
  <c r="BJ592" i="127"/>
  <c r="BH592" i="127"/>
  <c r="BI592" i="127" s="1"/>
  <c r="BJ591" i="127"/>
  <c r="BH591" i="127"/>
  <c r="BI591" i="127" s="1"/>
  <c r="BJ590" i="127"/>
  <c r="BH590" i="127"/>
  <c r="BI590" i="127" s="1"/>
  <c r="BJ589" i="127"/>
  <c r="BH589" i="127"/>
  <c r="BI589" i="127" s="1"/>
  <c r="BJ588" i="127"/>
  <c r="BH588" i="127"/>
  <c r="BI588" i="127" s="1"/>
  <c r="BJ587" i="127"/>
  <c r="BH587" i="127"/>
  <c r="BI587" i="127" s="1"/>
  <c r="BJ586" i="127"/>
  <c r="BH586" i="127"/>
  <c r="BI586" i="127" s="1"/>
  <c r="BJ585" i="127"/>
  <c r="BH585" i="127"/>
  <c r="BI585" i="127" s="1"/>
  <c r="BJ584" i="127"/>
  <c r="BH584" i="127"/>
  <c r="BI584" i="127" s="1"/>
  <c r="BJ583" i="127"/>
  <c r="BH583" i="127"/>
  <c r="BI583" i="127" s="1"/>
  <c r="BJ582" i="127"/>
  <c r="BH582" i="127"/>
  <c r="BI582" i="127" s="1"/>
  <c r="BJ581" i="127"/>
  <c r="BH581" i="127"/>
  <c r="BI581" i="127" s="1"/>
  <c r="BJ580" i="127"/>
  <c r="BH580" i="127"/>
  <c r="BI580" i="127" s="1"/>
  <c r="BJ579" i="127"/>
  <c r="BH579" i="127"/>
  <c r="BI579" i="127" s="1"/>
  <c r="BJ578" i="127"/>
  <c r="BH578" i="127"/>
  <c r="BI578" i="127" s="1"/>
  <c r="BJ577" i="127"/>
  <c r="BH577" i="127"/>
  <c r="BI577" i="127" s="1"/>
  <c r="BJ576" i="127"/>
  <c r="BH576" i="127"/>
  <c r="BI576" i="127" s="1"/>
  <c r="BJ575" i="127"/>
  <c r="BH575" i="127"/>
  <c r="BI575" i="127" s="1"/>
  <c r="BJ574" i="127"/>
  <c r="BH574" i="127"/>
  <c r="BI574" i="127" s="1"/>
  <c r="BJ573" i="127"/>
  <c r="BH573" i="127"/>
  <c r="BI573" i="127" s="1"/>
  <c r="BJ572" i="127"/>
  <c r="BH572" i="127"/>
  <c r="BI572" i="127" s="1"/>
  <c r="BJ571" i="127"/>
  <c r="BH571" i="127"/>
  <c r="BI571" i="127" s="1"/>
  <c r="BJ570" i="127"/>
  <c r="BH570" i="127"/>
  <c r="BI570" i="127" s="1"/>
  <c r="BJ569" i="127"/>
  <c r="BH569" i="127"/>
  <c r="BI569" i="127" s="1"/>
  <c r="BJ568" i="127"/>
  <c r="BH568" i="127"/>
  <c r="BI568" i="127" s="1"/>
  <c r="BJ567" i="127"/>
  <c r="BH567" i="127"/>
  <c r="BI567" i="127" s="1"/>
  <c r="BJ566" i="127"/>
  <c r="BH566" i="127"/>
  <c r="BI566" i="127" s="1"/>
  <c r="BJ565" i="127"/>
  <c r="BH565" i="127"/>
  <c r="BI565" i="127" s="1"/>
  <c r="BJ564" i="127"/>
  <c r="BH564" i="127"/>
  <c r="BI564" i="127" s="1"/>
  <c r="BJ563" i="127"/>
  <c r="BH563" i="127"/>
  <c r="BI563" i="127" s="1"/>
  <c r="BJ562" i="127"/>
  <c r="BH562" i="127"/>
  <c r="BI562" i="127" s="1"/>
  <c r="BJ561" i="127"/>
  <c r="BH561" i="127"/>
  <c r="BI561" i="127" s="1"/>
  <c r="BJ560" i="127"/>
  <c r="BH560" i="127"/>
  <c r="BI560" i="127" s="1"/>
  <c r="BJ559" i="127"/>
  <c r="BH559" i="127"/>
  <c r="BI559" i="127" s="1"/>
  <c r="BJ558" i="127"/>
  <c r="BH558" i="127"/>
  <c r="BI558" i="127" s="1"/>
  <c r="BJ557" i="127"/>
  <c r="BH557" i="127"/>
  <c r="BI557" i="127" s="1"/>
  <c r="BJ556" i="127"/>
  <c r="BH556" i="127"/>
  <c r="BI556" i="127" s="1"/>
  <c r="BJ555" i="127"/>
  <c r="BH555" i="127"/>
  <c r="BI555" i="127" s="1"/>
  <c r="BJ554" i="127"/>
  <c r="BH554" i="127"/>
  <c r="BI554" i="127" s="1"/>
  <c r="BJ553" i="127"/>
  <c r="BH553" i="127"/>
  <c r="BI553" i="127" s="1"/>
  <c r="BJ552" i="127"/>
  <c r="BH552" i="127"/>
  <c r="BI552" i="127" s="1"/>
  <c r="BJ551" i="127"/>
  <c r="BH551" i="127"/>
  <c r="BI551" i="127" s="1"/>
  <c r="BJ550" i="127"/>
  <c r="BH550" i="127"/>
  <c r="BI550" i="127" s="1"/>
  <c r="BJ549" i="127"/>
  <c r="BH549" i="127"/>
  <c r="BI549" i="127" s="1"/>
  <c r="BJ548" i="127"/>
  <c r="BH548" i="127"/>
  <c r="BI548" i="127" s="1"/>
  <c r="BJ547" i="127"/>
  <c r="BH547" i="127"/>
  <c r="BI547" i="127" s="1"/>
  <c r="BJ546" i="127"/>
  <c r="BH546" i="127"/>
  <c r="BI546" i="127" s="1"/>
  <c r="BJ545" i="127"/>
  <c r="BH545" i="127"/>
  <c r="BI545" i="127" s="1"/>
  <c r="BJ544" i="127"/>
  <c r="BH544" i="127"/>
  <c r="BI544" i="127" s="1"/>
  <c r="BJ543" i="127"/>
  <c r="BH543" i="127"/>
  <c r="BI543" i="127" s="1"/>
  <c r="BJ542" i="127"/>
  <c r="BH542" i="127"/>
  <c r="BI542" i="127" s="1"/>
  <c r="BJ541" i="127"/>
  <c r="BH541" i="127"/>
  <c r="BI541" i="127" s="1"/>
  <c r="BJ540" i="127"/>
  <c r="BH540" i="127"/>
  <c r="BI540" i="127" s="1"/>
  <c r="BJ539" i="127"/>
  <c r="BH539" i="127"/>
  <c r="BI539" i="127" s="1"/>
  <c r="BJ538" i="127"/>
  <c r="BH538" i="127"/>
  <c r="BI538" i="127" s="1"/>
  <c r="BJ537" i="127"/>
  <c r="BH537" i="127"/>
  <c r="BI537" i="127" s="1"/>
  <c r="BJ536" i="127"/>
  <c r="BH536" i="127"/>
  <c r="BI536" i="127" s="1"/>
  <c r="BJ535" i="127"/>
  <c r="BH535" i="127"/>
  <c r="BI535" i="127" s="1"/>
  <c r="BJ534" i="127"/>
  <c r="BH534" i="127"/>
  <c r="BI534" i="127" s="1"/>
  <c r="BJ533" i="127"/>
  <c r="BH533" i="127"/>
  <c r="BI533" i="127" s="1"/>
  <c r="BJ532" i="127"/>
  <c r="BH532" i="127"/>
  <c r="BI532" i="127" s="1"/>
  <c r="BJ531" i="127"/>
  <c r="BH531" i="127"/>
  <c r="BI531" i="127" s="1"/>
  <c r="BJ530" i="127"/>
  <c r="BH530" i="127"/>
  <c r="BI530" i="127" s="1"/>
  <c r="BJ529" i="127"/>
  <c r="BH529" i="127"/>
  <c r="BI529" i="127" s="1"/>
  <c r="BJ528" i="127"/>
  <c r="BH528" i="127"/>
  <c r="BI528" i="127" s="1"/>
  <c r="BJ527" i="127"/>
  <c r="BH527" i="127"/>
  <c r="BI527" i="127" s="1"/>
  <c r="BJ526" i="127"/>
  <c r="BH526" i="127"/>
  <c r="BI526" i="127" s="1"/>
  <c r="BJ525" i="127"/>
  <c r="BH525" i="127"/>
  <c r="BI525" i="127" s="1"/>
  <c r="BJ524" i="127"/>
  <c r="BH524" i="127"/>
  <c r="BI524" i="127" s="1"/>
  <c r="BJ523" i="127"/>
  <c r="BH523" i="127"/>
  <c r="BI523" i="127" s="1"/>
  <c r="BJ522" i="127"/>
  <c r="BH522" i="127"/>
  <c r="BI522" i="127" s="1"/>
  <c r="BJ521" i="127"/>
  <c r="BH521" i="127"/>
  <c r="BI521" i="127" s="1"/>
  <c r="BJ520" i="127"/>
  <c r="BH520" i="127"/>
  <c r="BI520" i="127" s="1"/>
  <c r="BJ519" i="127"/>
  <c r="BH519" i="127"/>
  <c r="BI519" i="127" s="1"/>
  <c r="BJ518" i="127"/>
  <c r="BH518" i="127"/>
  <c r="BI518" i="127" s="1"/>
  <c r="BJ517" i="127"/>
  <c r="BH517" i="127"/>
  <c r="BI517" i="127" s="1"/>
  <c r="BJ516" i="127"/>
  <c r="BH516" i="127"/>
  <c r="BI516" i="127" s="1"/>
  <c r="BJ515" i="127"/>
  <c r="BH515" i="127"/>
  <c r="BI515" i="127" s="1"/>
  <c r="BJ514" i="127"/>
  <c r="BH514" i="127"/>
  <c r="BI514" i="127" s="1"/>
  <c r="BJ513" i="127"/>
  <c r="BH513" i="127"/>
  <c r="BI513" i="127" s="1"/>
  <c r="BJ512" i="127"/>
  <c r="BH512" i="127"/>
  <c r="BI512" i="127" s="1"/>
  <c r="BJ511" i="127"/>
  <c r="BH511" i="127"/>
  <c r="BI511" i="127" s="1"/>
  <c r="BJ510" i="127"/>
  <c r="BH510" i="127"/>
  <c r="BI510" i="127" s="1"/>
  <c r="BJ509" i="127"/>
  <c r="BH509" i="127"/>
  <c r="BI509" i="127" s="1"/>
  <c r="BJ508" i="127"/>
  <c r="BH508" i="127"/>
  <c r="BI508" i="127" s="1"/>
  <c r="BJ507" i="127"/>
  <c r="BH507" i="127"/>
  <c r="BI507" i="127" s="1"/>
  <c r="BJ506" i="127"/>
  <c r="BH506" i="127"/>
  <c r="BI506" i="127" s="1"/>
  <c r="BJ505" i="127"/>
  <c r="BH505" i="127"/>
  <c r="BI505" i="127" s="1"/>
  <c r="BJ504" i="127"/>
  <c r="BH504" i="127"/>
  <c r="BI504" i="127" s="1"/>
  <c r="BJ503" i="127"/>
  <c r="BH503" i="127"/>
  <c r="BI503" i="127" s="1"/>
  <c r="BJ502" i="127"/>
  <c r="BH502" i="127"/>
  <c r="BI502" i="127" s="1"/>
  <c r="BJ501" i="127"/>
  <c r="BH501" i="127"/>
  <c r="BI501" i="127" s="1"/>
  <c r="BJ500" i="127"/>
  <c r="BH500" i="127"/>
  <c r="BI500" i="127" s="1"/>
  <c r="BJ499" i="127"/>
  <c r="BH499" i="127"/>
  <c r="BI499" i="127" s="1"/>
  <c r="BJ498" i="127"/>
  <c r="BH498" i="127"/>
  <c r="BI498" i="127" s="1"/>
  <c r="BJ497" i="127"/>
  <c r="BH497" i="127"/>
  <c r="BI497" i="127" s="1"/>
  <c r="BJ496" i="127"/>
  <c r="BH496" i="127"/>
  <c r="BI496" i="127" s="1"/>
  <c r="BJ495" i="127"/>
  <c r="BH495" i="127"/>
  <c r="BI495" i="127" s="1"/>
  <c r="BJ494" i="127"/>
  <c r="BH494" i="127"/>
  <c r="BI494" i="127" s="1"/>
  <c r="BJ493" i="127"/>
  <c r="BH493" i="127"/>
  <c r="BI493" i="127" s="1"/>
  <c r="BJ492" i="127"/>
  <c r="BH492" i="127"/>
  <c r="BI492" i="127" s="1"/>
  <c r="BJ491" i="127"/>
  <c r="BH491" i="127"/>
  <c r="BI491" i="127" s="1"/>
  <c r="BJ490" i="127"/>
  <c r="BH490" i="127"/>
  <c r="BI490" i="127" s="1"/>
  <c r="BJ489" i="127"/>
  <c r="BH489" i="127"/>
  <c r="BI489" i="127" s="1"/>
  <c r="BJ488" i="127"/>
  <c r="BH488" i="127"/>
  <c r="BI488" i="127" s="1"/>
  <c r="BJ487" i="127"/>
  <c r="BH487" i="127"/>
  <c r="BI487" i="127" s="1"/>
  <c r="BJ486" i="127"/>
  <c r="BH486" i="127"/>
  <c r="BI486" i="127" s="1"/>
  <c r="BJ485" i="127"/>
  <c r="BH485" i="127"/>
  <c r="BI485" i="127" s="1"/>
  <c r="BJ484" i="127"/>
  <c r="BH484" i="127"/>
  <c r="BI484" i="127" s="1"/>
  <c r="BJ483" i="127"/>
  <c r="BH483" i="127"/>
  <c r="BI483" i="127" s="1"/>
  <c r="BJ482" i="127"/>
  <c r="BH482" i="127"/>
  <c r="BI482" i="127" s="1"/>
  <c r="BJ481" i="127"/>
  <c r="BH481" i="127"/>
  <c r="BI481" i="127" s="1"/>
  <c r="BJ480" i="127"/>
  <c r="BH480" i="127"/>
  <c r="BI480" i="127" s="1"/>
  <c r="BJ479" i="127"/>
  <c r="BH479" i="127"/>
  <c r="BI479" i="127" s="1"/>
  <c r="BJ478" i="127"/>
  <c r="BH478" i="127"/>
  <c r="BI478" i="127" s="1"/>
  <c r="BJ477" i="127"/>
  <c r="BH477" i="127"/>
  <c r="BI477" i="127" s="1"/>
  <c r="BJ476" i="127"/>
  <c r="BH476" i="127"/>
  <c r="BI476" i="127" s="1"/>
  <c r="BJ475" i="127"/>
  <c r="BH475" i="127"/>
  <c r="BI475" i="127" s="1"/>
  <c r="BJ474" i="127"/>
  <c r="BH474" i="127"/>
  <c r="BI474" i="127" s="1"/>
  <c r="BJ473" i="127"/>
  <c r="BH473" i="127"/>
  <c r="BI473" i="127" s="1"/>
  <c r="BJ472" i="127"/>
  <c r="BH472" i="127"/>
  <c r="BI472" i="127" s="1"/>
  <c r="BJ471" i="127"/>
  <c r="BH471" i="127"/>
  <c r="BI471" i="127" s="1"/>
  <c r="BJ470" i="127"/>
  <c r="BH470" i="127"/>
  <c r="BI470" i="127" s="1"/>
  <c r="BJ469" i="127"/>
  <c r="BH469" i="127"/>
  <c r="BI469" i="127" s="1"/>
  <c r="BJ468" i="127"/>
  <c r="BH468" i="127"/>
  <c r="BI468" i="127" s="1"/>
  <c r="BJ467" i="127"/>
  <c r="BH467" i="127"/>
  <c r="BI467" i="127" s="1"/>
  <c r="BJ466" i="127"/>
  <c r="BH466" i="127"/>
  <c r="BI466" i="127" s="1"/>
  <c r="BJ465" i="127"/>
  <c r="BH465" i="127"/>
  <c r="BI465" i="127" s="1"/>
  <c r="BJ464" i="127"/>
  <c r="BH464" i="127"/>
  <c r="BI464" i="127" s="1"/>
  <c r="BJ463" i="127"/>
  <c r="BH463" i="127"/>
  <c r="BI463" i="127" s="1"/>
  <c r="BJ462" i="127"/>
  <c r="BH462" i="127"/>
  <c r="BI462" i="127" s="1"/>
  <c r="BJ461" i="127"/>
  <c r="BH461" i="127"/>
  <c r="BI461" i="127" s="1"/>
  <c r="BJ460" i="127"/>
  <c r="BH460" i="127"/>
  <c r="BI460" i="127" s="1"/>
  <c r="BJ459" i="127"/>
  <c r="BH459" i="127"/>
  <c r="BI459" i="127" s="1"/>
  <c r="BJ458" i="127"/>
  <c r="BH458" i="127"/>
  <c r="BI458" i="127" s="1"/>
  <c r="BJ457" i="127"/>
  <c r="BH457" i="127"/>
  <c r="BI457" i="127" s="1"/>
  <c r="BJ456" i="127"/>
  <c r="BH456" i="127"/>
  <c r="BI456" i="127" s="1"/>
  <c r="BJ455" i="127"/>
  <c r="BH455" i="127"/>
  <c r="BI455" i="127" s="1"/>
  <c r="BJ454" i="127"/>
  <c r="BH454" i="127"/>
  <c r="BI454" i="127" s="1"/>
  <c r="BJ453" i="127"/>
  <c r="BH453" i="127"/>
  <c r="BI453" i="127" s="1"/>
  <c r="BJ452" i="127"/>
  <c r="BH452" i="127"/>
  <c r="BI452" i="127" s="1"/>
  <c r="BJ451" i="127"/>
  <c r="BH451" i="127"/>
  <c r="BI451" i="127" s="1"/>
  <c r="BJ450" i="127"/>
  <c r="BH450" i="127"/>
  <c r="BI450" i="127" s="1"/>
  <c r="BJ449" i="127"/>
  <c r="BH449" i="127"/>
  <c r="BI449" i="127" s="1"/>
  <c r="BJ448" i="127"/>
  <c r="BH448" i="127"/>
  <c r="BI448" i="127" s="1"/>
  <c r="BJ447" i="127"/>
  <c r="BH447" i="127"/>
  <c r="BI447" i="127" s="1"/>
  <c r="BJ446" i="127"/>
  <c r="BH446" i="127"/>
  <c r="BI446" i="127" s="1"/>
  <c r="BJ445" i="127"/>
  <c r="BH445" i="127"/>
  <c r="BI445" i="127" s="1"/>
  <c r="BJ444" i="127"/>
  <c r="BH444" i="127"/>
  <c r="BI444" i="127" s="1"/>
  <c r="BJ443" i="127"/>
  <c r="BH443" i="127"/>
  <c r="BI443" i="127" s="1"/>
  <c r="BJ442" i="127"/>
  <c r="BH442" i="127"/>
  <c r="BI442" i="127" s="1"/>
  <c r="BJ441" i="127"/>
  <c r="BH441" i="127"/>
  <c r="BI441" i="127" s="1"/>
  <c r="BJ440" i="127"/>
  <c r="BH440" i="127"/>
  <c r="BI440" i="127" s="1"/>
  <c r="BJ439" i="127"/>
  <c r="BH439" i="127"/>
  <c r="BI439" i="127" s="1"/>
  <c r="BJ438" i="127"/>
  <c r="BH438" i="127"/>
  <c r="BI438" i="127" s="1"/>
  <c r="BJ437" i="127"/>
  <c r="BH437" i="127"/>
  <c r="BI437" i="127" s="1"/>
  <c r="BJ436" i="127"/>
  <c r="BH436" i="127"/>
  <c r="BI436" i="127" s="1"/>
  <c r="BJ435" i="127"/>
  <c r="BH435" i="127"/>
  <c r="BI435" i="127" s="1"/>
  <c r="BJ434" i="127"/>
  <c r="BH434" i="127"/>
  <c r="BI434" i="127" s="1"/>
  <c r="BJ433" i="127"/>
  <c r="BH433" i="127"/>
  <c r="BI433" i="127" s="1"/>
  <c r="BJ432" i="127"/>
  <c r="BH432" i="127"/>
  <c r="BI432" i="127" s="1"/>
  <c r="BJ431" i="127"/>
  <c r="BH431" i="127"/>
  <c r="BI431" i="127" s="1"/>
  <c r="BJ430" i="127"/>
  <c r="BH430" i="127"/>
  <c r="BI430" i="127" s="1"/>
  <c r="BJ429" i="127"/>
  <c r="BH429" i="127"/>
  <c r="BI429" i="127" s="1"/>
  <c r="BJ428" i="127"/>
  <c r="BH428" i="127"/>
  <c r="BI428" i="127" s="1"/>
  <c r="BJ427" i="127"/>
  <c r="BH427" i="127"/>
  <c r="BI427" i="127" s="1"/>
  <c r="BJ426" i="127"/>
  <c r="BH426" i="127"/>
  <c r="BI426" i="127" s="1"/>
  <c r="BJ425" i="127"/>
  <c r="BH425" i="127"/>
  <c r="BI425" i="127" s="1"/>
  <c r="BJ424" i="127"/>
  <c r="BH424" i="127"/>
  <c r="BI424" i="127" s="1"/>
  <c r="BJ423" i="127"/>
  <c r="BH423" i="127"/>
  <c r="BI423" i="127" s="1"/>
  <c r="BJ422" i="127"/>
  <c r="BH422" i="127"/>
  <c r="BI422" i="127" s="1"/>
  <c r="BJ421" i="127"/>
  <c r="BH421" i="127"/>
  <c r="BI421" i="127" s="1"/>
  <c r="BJ420" i="127"/>
  <c r="BH420" i="127"/>
  <c r="BI420" i="127" s="1"/>
  <c r="BJ419" i="127"/>
  <c r="BH419" i="127"/>
  <c r="BI419" i="127" s="1"/>
  <c r="BJ418" i="127"/>
  <c r="BH418" i="127"/>
  <c r="BI418" i="127" s="1"/>
  <c r="BJ417" i="127"/>
  <c r="BH417" i="127"/>
  <c r="BI417" i="127" s="1"/>
  <c r="BJ416" i="127"/>
  <c r="BH416" i="127"/>
  <c r="BI416" i="127" s="1"/>
  <c r="BJ415" i="127"/>
  <c r="BH415" i="127"/>
  <c r="BI415" i="127" s="1"/>
  <c r="BJ414" i="127"/>
  <c r="BH414" i="127"/>
  <c r="BI414" i="127" s="1"/>
  <c r="BJ413" i="127"/>
  <c r="BH413" i="127"/>
  <c r="BI413" i="127" s="1"/>
  <c r="BJ412" i="127"/>
  <c r="BH412" i="127"/>
  <c r="BI412" i="127" s="1"/>
  <c r="BJ411" i="127"/>
  <c r="BH411" i="127"/>
  <c r="BI411" i="127" s="1"/>
  <c r="BJ410" i="127"/>
  <c r="BH410" i="127"/>
  <c r="BI410" i="127" s="1"/>
  <c r="BJ409" i="127"/>
  <c r="BH409" i="127"/>
  <c r="BI409" i="127" s="1"/>
  <c r="BJ408" i="127"/>
  <c r="BH408" i="127"/>
  <c r="BI408" i="127" s="1"/>
  <c r="BJ407" i="127"/>
  <c r="BH407" i="127"/>
  <c r="BI407" i="127" s="1"/>
  <c r="BJ406" i="127"/>
  <c r="BH406" i="127"/>
  <c r="BI406" i="127" s="1"/>
  <c r="BJ405" i="127"/>
  <c r="BH405" i="127"/>
  <c r="BI405" i="127" s="1"/>
  <c r="BJ404" i="127"/>
  <c r="BH404" i="127"/>
  <c r="BI404" i="127" s="1"/>
  <c r="BJ403" i="127"/>
  <c r="BH403" i="127"/>
  <c r="BI403" i="127" s="1"/>
  <c r="BJ402" i="127"/>
  <c r="BH402" i="127"/>
  <c r="BI402" i="127" s="1"/>
  <c r="BJ401" i="127"/>
  <c r="BH401" i="127"/>
  <c r="BI401" i="127" s="1"/>
  <c r="BJ400" i="127"/>
  <c r="BH400" i="127"/>
  <c r="BI400" i="127" s="1"/>
  <c r="BJ399" i="127"/>
  <c r="BH399" i="127"/>
  <c r="BI399" i="127" s="1"/>
  <c r="BJ398" i="127"/>
  <c r="BH398" i="127"/>
  <c r="BI398" i="127" s="1"/>
  <c r="BJ397" i="127"/>
  <c r="BH397" i="127"/>
  <c r="BI397" i="127" s="1"/>
  <c r="BJ396" i="127"/>
  <c r="BH396" i="127"/>
  <c r="BI396" i="127" s="1"/>
  <c r="BJ395" i="127"/>
  <c r="BH395" i="127"/>
  <c r="BI395" i="127" s="1"/>
  <c r="BJ394" i="127"/>
  <c r="BH394" i="127"/>
  <c r="BI394" i="127" s="1"/>
  <c r="BJ393" i="127"/>
  <c r="BH393" i="127"/>
  <c r="BI393" i="127" s="1"/>
  <c r="BJ392" i="127"/>
  <c r="BH392" i="127"/>
  <c r="BI392" i="127" s="1"/>
  <c r="BJ391" i="127"/>
  <c r="BH391" i="127"/>
  <c r="BI391" i="127" s="1"/>
  <c r="BJ390" i="127"/>
  <c r="BH390" i="127"/>
  <c r="BI390" i="127" s="1"/>
  <c r="BJ389" i="127"/>
  <c r="BH389" i="127"/>
  <c r="BI389" i="127" s="1"/>
  <c r="BJ388" i="127"/>
  <c r="BH388" i="127"/>
  <c r="BI388" i="127" s="1"/>
  <c r="BJ387" i="127"/>
  <c r="BH387" i="127"/>
  <c r="BI387" i="127" s="1"/>
  <c r="BJ386" i="127"/>
  <c r="BH386" i="127"/>
  <c r="BI386" i="127" s="1"/>
  <c r="BJ385" i="127"/>
  <c r="BH385" i="127"/>
  <c r="BI385" i="127" s="1"/>
  <c r="BJ384" i="127"/>
  <c r="BH384" i="127"/>
  <c r="BI384" i="127" s="1"/>
  <c r="BJ383" i="127"/>
  <c r="BH383" i="127"/>
  <c r="BI383" i="127" s="1"/>
  <c r="BJ382" i="127"/>
  <c r="BH382" i="127"/>
  <c r="BI382" i="127" s="1"/>
  <c r="BJ381" i="127"/>
  <c r="BH381" i="127"/>
  <c r="BI381" i="127" s="1"/>
  <c r="BJ380" i="127"/>
  <c r="BH380" i="127"/>
  <c r="BI380" i="127" s="1"/>
  <c r="BJ379" i="127"/>
  <c r="BH379" i="127"/>
  <c r="BI379" i="127" s="1"/>
  <c r="BJ378" i="127"/>
  <c r="BH378" i="127"/>
  <c r="BI378" i="127" s="1"/>
  <c r="BJ377" i="127"/>
  <c r="BH377" i="127"/>
  <c r="BI377" i="127" s="1"/>
  <c r="BJ376" i="127"/>
  <c r="BH376" i="127"/>
  <c r="BI376" i="127" s="1"/>
  <c r="BJ375" i="127"/>
  <c r="BH375" i="127"/>
  <c r="BI375" i="127" s="1"/>
  <c r="BJ374" i="127"/>
  <c r="BH374" i="127"/>
  <c r="BI374" i="127" s="1"/>
  <c r="BJ373" i="127"/>
  <c r="BH373" i="127"/>
  <c r="BI373" i="127" s="1"/>
  <c r="BJ372" i="127"/>
  <c r="BH372" i="127"/>
  <c r="BI372" i="127" s="1"/>
  <c r="BJ371" i="127"/>
  <c r="BH371" i="127"/>
  <c r="BI371" i="127" s="1"/>
  <c r="BJ370" i="127"/>
  <c r="BH370" i="127"/>
  <c r="BI370" i="127" s="1"/>
  <c r="BJ369" i="127"/>
  <c r="BH369" i="127"/>
  <c r="BI369" i="127" s="1"/>
  <c r="BJ368" i="127"/>
  <c r="BH368" i="127"/>
  <c r="BI368" i="127" s="1"/>
  <c r="BJ367" i="127"/>
  <c r="BH367" i="127"/>
  <c r="BI367" i="127" s="1"/>
  <c r="BJ366" i="127"/>
  <c r="BH366" i="127"/>
  <c r="BI366" i="127" s="1"/>
  <c r="BJ365" i="127"/>
  <c r="BH365" i="127"/>
  <c r="BI365" i="127" s="1"/>
  <c r="BJ364" i="127"/>
  <c r="BH364" i="127"/>
  <c r="BI364" i="127" s="1"/>
  <c r="BJ363" i="127"/>
  <c r="BH363" i="127"/>
  <c r="BI363" i="127" s="1"/>
  <c r="BJ362" i="127"/>
  <c r="BH362" i="127"/>
  <c r="BI362" i="127" s="1"/>
  <c r="BJ361" i="127"/>
  <c r="BH361" i="127"/>
  <c r="BI361" i="127" s="1"/>
  <c r="BJ360" i="127"/>
  <c r="BH360" i="127"/>
  <c r="BI360" i="127" s="1"/>
  <c r="BJ359" i="127"/>
  <c r="BH359" i="127"/>
  <c r="BI359" i="127" s="1"/>
  <c r="BJ358" i="127"/>
  <c r="BH358" i="127"/>
  <c r="BI358" i="127" s="1"/>
  <c r="BJ357" i="127"/>
  <c r="BH357" i="127"/>
  <c r="BI357" i="127" s="1"/>
  <c r="BJ356" i="127"/>
  <c r="BH356" i="127"/>
  <c r="BI356" i="127" s="1"/>
  <c r="T356" i="127"/>
  <c r="BJ355" i="127"/>
  <c r="BH355" i="127"/>
  <c r="BI355" i="127" s="1"/>
  <c r="T355" i="127"/>
  <c r="BJ354" i="127"/>
  <c r="BH354" i="127"/>
  <c r="BI354" i="127" s="1"/>
  <c r="T354" i="127"/>
  <c r="BJ353" i="127"/>
  <c r="BH353" i="127"/>
  <c r="BI353" i="127" s="1"/>
  <c r="T353" i="127"/>
  <c r="BJ352" i="127"/>
  <c r="BH352" i="127"/>
  <c r="BI352" i="127" s="1"/>
  <c r="T352" i="127"/>
  <c r="BJ351" i="127"/>
  <c r="BH351" i="127"/>
  <c r="BI351" i="127" s="1"/>
  <c r="T351" i="127"/>
  <c r="BJ350" i="127"/>
  <c r="BH350" i="127"/>
  <c r="BI350" i="127" s="1"/>
  <c r="T350" i="127"/>
  <c r="BJ349" i="127"/>
  <c r="BH349" i="127"/>
  <c r="BI349" i="127" s="1"/>
  <c r="T349" i="127"/>
  <c r="BJ348" i="127"/>
  <c r="BH348" i="127"/>
  <c r="BI348" i="127" s="1"/>
  <c r="T348" i="127"/>
  <c r="BJ347" i="127"/>
  <c r="BH347" i="127"/>
  <c r="BI347" i="127" s="1"/>
  <c r="T347" i="127"/>
  <c r="BJ346" i="127"/>
  <c r="BH346" i="127"/>
  <c r="BI346" i="127" s="1"/>
  <c r="T346" i="127"/>
  <c r="BJ345" i="127"/>
  <c r="BH345" i="127"/>
  <c r="BI345" i="127" s="1"/>
  <c r="T345" i="127"/>
  <c r="BJ344" i="127"/>
  <c r="BH344" i="127"/>
  <c r="BI344" i="127" s="1"/>
  <c r="T344" i="127"/>
  <c r="BJ343" i="127"/>
  <c r="BH343" i="127"/>
  <c r="BI343" i="127" s="1"/>
  <c r="T343" i="127"/>
  <c r="BJ342" i="127"/>
  <c r="BH342" i="127"/>
  <c r="BI342" i="127" s="1"/>
  <c r="T342" i="127"/>
  <c r="BJ341" i="127"/>
  <c r="BH341" i="127"/>
  <c r="BI341" i="127" s="1"/>
  <c r="T341" i="127"/>
  <c r="BJ340" i="127"/>
  <c r="BH340" i="127"/>
  <c r="BI340" i="127" s="1"/>
  <c r="T340" i="127"/>
  <c r="BJ339" i="127"/>
  <c r="BH339" i="127"/>
  <c r="BI339" i="127" s="1"/>
  <c r="T339" i="127"/>
  <c r="BJ338" i="127"/>
  <c r="BH338" i="127"/>
  <c r="BI338" i="127" s="1"/>
  <c r="T338" i="127"/>
  <c r="BJ337" i="127"/>
  <c r="BH337" i="127"/>
  <c r="BI337" i="127" s="1"/>
  <c r="T337" i="127"/>
  <c r="BJ336" i="127"/>
  <c r="BH336" i="127"/>
  <c r="BI336" i="127" s="1"/>
  <c r="T336" i="127"/>
  <c r="BJ335" i="127"/>
  <c r="BH335" i="127"/>
  <c r="BI335" i="127" s="1"/>
  <c r="T335" i="127"/>
  <c r="BJ334" i="127"/>
  <c r="BH334" i="127"/>
  <c r="BI334" i="127" s="1"/>
  <c r="T334" i="127"/>
  <c r="BJ333" i="127"/>
  <c r="BH333" i="127"/>
  <c r="BI333" i="127" s="1"/>
  <c r="T333" i="127"/>
  <c r="BJ332" i="127"/>
  <c r="BH332" i="127"/>
  <c r="BI332" i="127" s="1"/>
  <c r="T332" i="127"/>
  <c r="BJ331" i="127"/>
  <c r="BH331" i="127"/>
  <c r="BI331" i="127" s="1"/>
  <c r="T331" i="127"/>
  <c r="BJ330" i="127"/>
  <c r="BH330" i="127"/>
  <c r="BI330" i="127" s="1"/>
  <c r="T330" i="127"/>
  <c r="BJ329" i="127"/>
  <c r="BH329" i="127"/>
  <c r="BI329" i="127" s="1"/>
  <c r="T329" i="127"/>
  <c r="BJ328" i="127"/>
  <c r="BH328" i="127"/>
  <c r="BI328" i="127" s="1"/>
  <c r="T328" i="127"/>
  <c r="BJ327" i="127"/>
  <c r="BH327" i="127"/>
  <c r="BI327" i="127" s="1"/>
  <c r="T327" i="127"/>
  <c r="BJ326" i="127"/>
  <c r="BH326" i="127"/>
  <c r="BI326" i="127" s="1"/>
  <c r="T326" i="127"/>
  <c r="BJ325" i="127"/>
  <c r="BH325" i="127"/>
  <c r="BI325" i="127" s="1"/>
  <c r="T325" i="127"/>
  <c r="BJ324" i="127"/>
  <c r="BH324" i="127"/>
  <c r="BI324" i="127" s="1"/>
  <c r="T324" i="127"/>
  <c r="BJ323" i="127"/>
  <c r="BH323" i="127"/>
  <c r="BI323" i="127" s="1"/>
  <c r="T323" i="127"/>
  <c r="BJ322" i="127"/>
  <c r="BH322" i="127"/>
  <c r="BI322" i="127" s="1"/>
  <c r="T322" i="127"/>
  <c r="BJ321" i="127"/>
  <c r="BH321" i="127"/>
  <c r="BI321" i="127" s="1"/>
  <c r="T321" i="127"/>
  <c r="BJ320" i="127"/>
  <c r="BH320" i="127"/>
  <c r="BI320" i="127" s="1"/>
  <c r="T320" i="127"/>
  <c r="BJ319" i="127"/>
  <c r="BH319" i="127"/>
  <c r="BI319" i="127" s="1"/>
  <c r="T319" i="127"/>
  <c r="BJ318" i="127"/>
  <c r="BH318" i="127"/>
  <c r="BI318" i="127" s="1"/>
  <c r="T318" i="127"/>
  <c r="BJ317" i="127"/>
  <c r="BH317" i="127"/>
  <c r="BI317" i="127" s="1"/>
  <c r="T317" i="127"/>
  <c r="BJ316" i="127"/>
  <c r="BH316" i="127"/>
  <c r="BI316" i="127" s="1"/>
  <c r="T316" i="127"/>
  <c r="BJ315" i="127"/>
  <c r="BH315" i="127"/>
  <c r="BI315" i="127" s="1"/>
  <c r="T315" i="127"/>
  <c r="BJ314" i="127"/>
  <c r="BH314" i="127"/>
  <c r="BI314" i="127" s="1"/>
  <c r="T314" i="127"/>
  <c r="BJ313" i="127"/>
  <c r="BH313" i="127"/>
  <c r="BI313" i="127" s="1"/>
  <c r="T313" i="127"/>
  <c r="BJ312" i="127"/>
  <c r="BH312" i="127"/>
  <c r="BI312" i="127" s="1"/>
  <c r="T312" i="127"/>
  <c r="BJ311" i="127"/>
  <c r="BH311" i="127"/>
  <c r="BI311" i="127" s="1"/>
  <c r="T311" i="127"/>
  <c r="BJ310" i="127"/>
  <c r="BH310" i="127"/>
  <c r="BI310" i="127" s="1"/>
  <c r="T310" i="127"/>
  <c r="BJ309" i="127"/>
  <c r="BH309" i="127"/>
  <c r="BI309" i="127" s="1"/>
  <c r="T309" i="127"/>
  <c r="BJ308" i="127"/>
  <c r="BH308" i="127"/>
  <c r="BI308" i="127" s="1"/>
  <c r="T308" i="127"/>
  <c r="BJ307" i="127"/>
  <c r="BH307" i="127"/>
  <c r="BI307" i="127" s="1"/>
  <c r="T307" i="127"/>
  <c r="BJ306" i="127"/>
  <c r="BH306" i="127"/>
  <c r="BI306" i="127" s="1"/>
  <c r="T306" i="127"/>
  <c r="BJ305" i="127"/>
  <c r="BH305" i="127"/>
  <c r="BI305" i="127" s="1"/>
  <c r="T305" i="127"/>
  <c r="BJ304" i="127"/>
  <c r="BH304" i="127"/>
  <c r="BI304" i="127" s="1"/>
  <c r="T304" i="127"/>
  <c r="BJ303" i="127"/>
  <c r="BH303" i="127"/>
  <c r="BI303" i="127" s="1"/>
  <c r="T303" i="127"/>
  <c r="BJ302" i="127"/>
  <c r="BH302" i="127"/>
  <c r="BI302" i="127" s="1"/>
  <c r="T302" i="127"/>
  <c r="BJ301" i="127"/>
  <c r="BH301" i="127"/>
  <c r="BI301" i="127" s="1"/>
  <c r="T301" i="127"/>
  <c r="BJ300" i="127"/>
  <c r="BH300" i="127"/>
  <c r="BI300" i="127" s="1"/>
  <c r="T300" i="127"/>
  <c r="BJ299" i="127"/>
  <c r="BH299" i="127"/>
  <c r="BI299" i="127" s="1"/>
  <c r="T299" i="127"/>
  <c r="BJ298" i="127"/>
  <c r="BH298" i="127"/>
  <c r="BI298" i="127" s="1"/>
  <c r="T298" i="127"/>
  <c r="CG297" i="127"/>
  <c r="CH297" i="127" s="1"/>
  <c r="BJ297" i="127"/>
  <c r="BH297" i="127"/>
  <c r="BI297" i="127" s="1"/>
  <c r="T297" i="127"/>
  <c r="CG296" i="127"/>
  <c r="CH296" i="127" s="1"/>
  <c r="BJ296" i="127"/>
  <c r="BH296" i="127"/>
  <c r="BI296" i="127" s="1"/>
  <c r="T296" i="127"/>
  <c r="CG295" i="127"/>
  <c r="CH295" i="127" s="1"/>
  <c r="BJ295" i="127"/>
  <c r="BH295" i="127"/>
  <c r="BI295" i="127" s="1"/>
  <c r="T295" i="127"/>
  <c r="CG294" i="127"/>
  <c r="CH294" i="127" s="1"/>
  <c r="BJ294" i="127"/>
  <c r="BH294" i="127"/>
  <c r="BI294" i="127" s="1"/>
  <c r="T294" i="127"/>
  <c r="CG293" i="127"/>
  <c r="CH293" i="127" s="1"/>
  <c r="BJ293" i="127"/>
  <c r="BH293" i="127"/>
  <c r="BI293" i="127" s="1"/>
  <c r="T293" i="127"/>
  <c r="CG292" i="127"/>
  <c r="CH292" i="127" s="1"/>
  <c r="BJ292" i="127"/>
  <c r="BH292" i="127"/>
  <c r="BI292" i="127" s="1"/>
  <c r="T292" i="127"/>
  <c r="CG291" i="127"/>
  <c r="CH291" i="127" s="1"/>
  <c r="BJ291" i="127"/>
  <c r="BH291" i="127"/>
  <c r="BI291" i="127" s="1"/>
  <c r="T291" i="127"/>
  <c r="CG290" i="127"/>
  <c r="CH290" i="127" s="1"/>
  <c r="BJ290" i="127"/>
  <c r="BH290" i="127"/>
  <c r="BI290" i="127" s="1"/>
  <c r="T290" i="127"/>
  <c r="CG289" i="127"/>
  <c r="CH289" i="127" s="1"/>
  <c r="BJ289" i="127"/>
  <c r="BH289" i="127"/>
  <c r="BI289" i="127" s="1"/>
  <c r="T289" i="127"/>
  <c r="CG288" i="127"/>
  <c r="CH288" i="127" s="1"/>
  <c r="BJ288" i="127"/>
  <c r="BH288" i="127"/>
  <c r="BI288" i="127" s="1"/>
  <c r="T288" i="127"/>
  <c r="CG287" i="127"/>
  <c r="CH287" i="127" s="1"/>
  <c r="BJ287" i="127"/>
  <c r="BH287" i="127"/>
  <c r="BI287" i="127" s="1"/>
  <c r="T287" i="127"/>
  <c r="CG286" i="127"/>
  <c r="CH286" i="127" s="1"/>
  <c r="BJ286" i="127"/>
  <c r="BH286" i="127"/>
  <c r="BI286" i="127" s="1"/>
  <c r="T286" i="127"/>
  <c r="CH285" i="127"/>
  <c r="BJ285" i="127"/>
  <c r="BH285" i="127"/>
  <c r="BI285" i="127" s="1"/>
  <c r="T285" i="127"/>
  <c r="CH284" i="127"/>
  <c r="BJ284" i="127"/>
  <c r="BH284" i="127"/>
  <c r="BI284" i="127" s="1"/>
  <c r="T284" i="127"/>
  <c r="CH283" i="127"/>
  <c r="BJ283" i="127"/>
  <c r="BH283" i="127"/>
  <c r="BI283" i="127" s="1"/>
  <c r="T283" i="127"/>
  <c r="CH282" i="127"/>
  <c r="BJ282" i="127"/>
  <c r="BH282" i="127"/>
  <c r="BI282" i="127" s="1"/>
  <c r="T282" i="127"/>
  <c r="CG281" i="127"/>
  <c r="CH281" i="127" s="1"/>
  <c r="BJ281" i="127"/>
  <c r="BH281" i="127"/>
  <c r="BI281" i="127" s="1"/>
  <c r="T281" i="127"/>
  <c r="CG280" i="127"/>
  <c r="CH280" i="127" s="1"/>
  <c r="BJ280" i="127"/>
  <c r="BH280" i="127"/>
  <c r="BI280" i="127" s="1"/>
  <c r="T280" i="127"/>
  <c r="CG279" i="127"/>
  <c r="CH279" i="127" s="1"/>
  <c r="BJ279" i="127"/>
  <c r="BH279" i="127"/>
  <c r="BI279" i="127" s="1"/>
  <c r="T279" i="127"/>
  <c r="CG278" i="127"/>
  <c r="CH278" i="127" s="1"/>
  <c r="BJ278" i="127"/>
  <c r="BH278" i="127"/>
  <c r="BI278" i="127" s="1"/>
  <c r="T278" i="127"/>
  <c r="CG277" i="127"/>
  <c r="CH277" i="127" s="1"/>
  <c r="BJ277" i="127"/>
  <c r="BH277" i="127"/>
  <c r="BI277" i="127" s="1"/>
  <c r="T277" i="127"/>
  <c r="CG276" i="127"/>
  <c r="CH276" i="127" s="1"/>
  <c r="BJ276" i="127"/>
  <c r="BH276" i="127"/>
  <c r="BI276" i="127" s="1"/>
  <c r="T276" i="127"/>
  <c r="CG275" i="127"/>
  <c r="CH275" i="127" s="1"/>
  <c r="BJ275" i="127"/>
  <c r="BH275" i="127"/>
  <c r="BI275" i="127" s="1"/>
  <c r="T275" i="127"/>
  <c r="CG274" i="127"/>
  <c r="CH274" i="127" s="1"/>
  <c r="BJ274" i="127"/>
  <c r="BH274" i="127"/>
  <c r="BI274" i="127" s="1"/>
  <c r="T274" i="127"/>
  <c r="CG273" i="127"/>
  <c r="CH273" i="127" s="1"/>
  <c r="BJ273" i="127"/>
  <c r="BH273" i="127"/>
  <c r="BI273" i="127" s="1"/>
  <c r="T273" i="127"/>
  <c r="CG272" i="127"/>
  <c r="CH272" i="127" s="1"/>
  <c r="BJ272" i="127"/>
  <c r="BH272" i="127"/>
  <c r="BI272" i="127" s="1"/>
  <c r="T272" i="127"/>
  <c r="CG271" i="127"/>
  <c r="CH271" i="127" s="1"/>
  <c r="BJ271" i="127"/>
  <c r="BH271" i="127"/>
  <c r="BI271" i="127" s="1"/>
  <c r="T271" i="127"/>
  <c r="CG270" i="127"/>
  <c r="CH270" i="127" s="1"/>
  <c r="BJ270" i="127"/>
  <c r="BH270" i="127"/>
  <c r="BI270" i="127" s="1"/>
  <c r="T270" i="127"/>
  <c r="CG269" i="127"/>
  <c r="CH269" i="127" s="1"/>
  <c r="BJ269" i="127"/>
  <c r="BH269" i="127"/>
  <c r="BI269" i="127" s="1"/>
  <c r="T269" i="127"/>
  <c r="CG268" i="127"/>
  <c r="CH268" i="127" s="1"/>
  <c r="BJ268" i="127"/>
  <c r="BH268" i="127"/>
  <c r="BI268" i="127" s="1"/>
  <c r="T268" i="127"/>
  <c r="CG267" i="127"/>
  <c r="CH267" i="127" s="1"/>
  <c r="BJ267" i="127"/>
  <c r="BH267" i="127"/>
  <c r="BI267" i="127" s="1"/>
  <c r="T267" i="127"/>
  <c r="CG266" i="127"/>
  <c r="CH266" i="127" s="1"/>
  <c r="BJ266" i="127"/>
  <c r="BH266" i="127"/>
  <c r="BI266" i="127" s="1"/>
  <c r="T266" i="127"/>
  <c r="CG265" i="127"/>
  <c r="CH265" i="127" s="1"/>
  <c r="BJ265" i="127"/>
  <c r="BH265" i="127"/>
  <c r="BI265" i="127" s="1"/>
  <c r="T265" i="127"/>
  <c r="CG264" i="127"/>
  <c r="CH264" i="127" s="1"/>
  <c r="BJ264" i="127"/>
  <c r="BH264" i="127"/>
  <c r="BI264" i="127" s="1"/>
  <c r="T264" i="127"/>
  <c r="CG263" i="127"/>
  <c r="CH263" i="127" s="1"/>
  <c r="BJ263" i="127"/>
  <c r="BH263" i="127"/>
  <c r="BI263" i="127" s="1"/>
  <c r="T263" i="127"/>
  <c r="CG262" i="127"/>
  <c r="CH262" i="127" s="1"/>
  <c r="BJ262" i="127"/>
  <c r="BH262" i="127"/>
  <c r="BI262" i="127" s="1"/>
  <c r="T262" i="127"/>
  <c r="CG261" i="127"/>
  <c r="CH261" i="127" s="1"/>
  <c r="BJ261" i="127"/>
  <c r="BH261" i="127"/>
  <c r="BI261" i="127" s="1"/>
  <c r="T261" i="127"/>
  <c r="CG260" i="127"/>
  <c r="CH260" i="127" s="1"/>
  <c r="BJ260" i="127"/>
  <c r="BH260" i="127"/>
  <c r="BI260" i="127" s="1"/>
  <c r="T260" i="127"/>
  <c r="CG259" i="127"/>
  <c r="CH259" i="127" s="1"/>
  <c r="BJ259" i="127"/>
  <c r="BH259" i="127"/>
  <c r="BI259" i="127" s="1"/>
  <c r="T259" i="127"/>
  <c r="CG258" i="127"/>
  <c r="CH258" i="127" s="1"/>
  <c r="BJ258" i="127"/>
  <c r="BH258" i="127"/>
  <c r="BI258" i="127" s="1"/>
  <c r="T258" i="127"/>
  <c r="CG257" i="127"/>
  <c r="CH257" i="127" s="1"/>
  <c r="BJ257" i="127"/>
  <c r="BH257" i="127"/>
  <c r="BI257" i="127" s="1"/>
  <c r="T257" i="127"/>
  <c r="CG256" i="127"/>
  <c r="CH256" i="127" s="1"/>
  <c r="BJ256" i="127"/>
  <c r="BH256" i="127"/>
  <c r="BI256" i="127" s="1"/>
  <c r="T256" i="127"/>
  <c r="CG255" i="127"/>
  <c r="CH255" i="127" s="1"/>
  <c r="BJ255" i="127"/>
  <c r="BH255" i="127"/>
  <c r="BI255" i="127" s="1"/>
  <c r="T255" i="127"/>
  <c r="CG254" i="127"/>
  <c r="CH254" i="127" s="1"/>
  <c r="BJ254" i="127"/>
  <c r="BH254" i="127"/>
  <c r="BI254" i="127" s="1"/>
  <c r="T254" i="127"/>
  <c r="CG253" i="127"/>
  <c r="CH253" i="127" s="1"/>
  <c r="BJ253" i="127"/>
  <c r="BH253" i="127"/>
  <c r="BI253" i="127" s="1"/>
  <c r="T253" i="127"/>
  <c r="CG252" i="127"/>
  <c r="CH252" i="127" s="1"/>
  <c r="BJ252" i="127"/>
  <c r="BH252" i="127"/>
  <c r="BI252" i="127" s="1"/>
  <c r="T252" i="127"/>
  <c r="CG251" i="127"/>
  <c r="CH251" i="127" s="1"/>
  <c r="BJ251" i="127"/>
  <c r="BH251" i="127"/>
  <c r="BI251" i="127" s="1"/>
  <c r="T251" i="127"/>
  <c r="CG250" i="127"/>
  <c r="CH250" i="127" s="1"/>
  <c r="BJ250" i="127"/>
  <c r="BH250" i="127"/>
  <c r="BI250" i="127" s="1"/>
  <c r="T250" i="127"/>
  <c r="CG249" i="127"/>
  <c r="CH249" i="127" s="1"/>
  <c r="BJ249" i="127"/>
  <c r="BH249" i="127"/>
  <c r="BI249" i="127" s="1"/>
  <c r="T249" i="127"/>
  <c r="CG248" i="127"/>
  <c r="CH248" i="127" s="1"/>
  <c r="BJ248" i="127"/>
  <c r="BH248" i="127"/>
  <c r="BI248" i="127" s="1"/>
  <c r="T248" i="127"/>
  <c r="CG247" i="127"/>
  <c r="CH247" i="127" s="1"/>
  <c r="BJ247" i="127"/>
  <c r="BH247" i="127"/>
  <c r="BI247" i="127" s="1"/>
  <c r="T247" i="127"/>
  <c r="CG246" i="127"/>
  <c r="CH246" i="127" s="1"/>
  <c r="BJ246" i="127"/>
  <c r="BH246" i="127"/>
  <c r="BI246" i="127" s="1"/>
  <c r="T246" i="127"/>
  <c r="CG245" i="127"/>
  <c r="CH245" i="127" s="1"/>
  <c r="BJ245" i="127"/>
  <c r="BH245" i="127"/>
  <c r="BI245" i="127" s="1"/>
  <c r="T245" i="127"/>
  <c r="CG244" i="127"/>
  <c r="CH244" i="127" s="1"/>
  <c r="BJ244" i="127"/>
  <c r="BH244" i="127"/>
  <c r="BI244" i="127" s="1"/>
  <c r="T244" i="127"/>
  <c r="CG243" i="127"/>
  <c r="CH243" i="127" s="1"/>
  <c r="BJ243" i="127"/>
  <c r="BH243" i="127"/>
  <c r="BI243" i="127" s="1"/>
  <c r="T243" i="127"/>
  <c r="CG242" i="127"/>
  <c r="CH242" i="127" s="1"/>
  <c r="BJ242" i="127"/>
  <c r="BH242" i="127"/>
  <c r="BI242" i="127" s="1"/>
  <c r="T242" i="127"/>
  <c r="CG241" i="127"/>
  <c r="CH241" i="127" s="1"/>
  <c r="BJ241" i="127"/>
  <c r="BH241" i="127"/>
  <c r="BI241" i="127" s="1"/>
  <c r="T241" i="127"/>
  <c r="CG240" i="127"/>
  <c r="CH240" i="127" s="1"/>
  <c r="BJ240" i="127"/>
  <c r="BH240" i="127"/>
  <c r="BI240" i="127" s="1"/>
  <c r="T240" i="127"/>
  <c r="CG239" i="127"/>
  <c r="CH239" i="127" s="1"/>
  <c r="BJ239" i="127"/>
  <c r="BH239" i="127"/>
  <c r="BI239" i="127" s="1"/>
  <c r="T239" i="127"/>
  <c r="CG238" i="127"/>
  <c r="CH238" i="127" s="1"/>
  <c r="BJ238" i="127"/>
  <c r="BH238" i="127"/>
  <c r="BI238" i="127" s="1"/>
  <c r="T238" i="127"/>
  <c r="CG237" i="127"/>
  <c r="CH237" i="127" s="1"/>
  <c r="BJ237" i="127"/>
  <c r="BH237" i="127"/>
  <c r="BI237" i="127" s="1"/>
  <c r="T237" i="127"/>
  <c r="CG236" i="127"/>
  <c r="CH236" i="127" s="1"/>
  <c r="BJ236" i="127"/>
  <c r="BH236" i="127"/>
  <c r="BI236" i="127" s="1"/>
  <c r="T236" i="127"/>
  <c r="CG235" i="127"/>
  <c r="CH235" i="127" s="1"/>
  <c r="BJ235" i="127"/>
  <c r="BH235" i="127"/>
  <c r="BI235" i="127" s="1"/>
  <c r="T235" i="127"/>
  <c r="CG234" i="127"/>
  <c r="CH234" i="127" s="1"/>
  <c r="BJ234" i="127"/>
  <c r="BH234" i="127"/>
  <c r="BI234" i="127" s="1"/>
  <c r="T234" i="127"/>
  <c r="CG233" i="127"/>
  <c r="CH233" i="127" s="1"/>
  <c r="BJ233" i="127"/>
  <c r="BH233" i="127"/>
  <c r="BI233" i="127" s="1"/>
  <c r="T233" i="127"/>
  <c r="CG232" i="127"/>
  <c r="CH232" i="127" s="1"/>
  <c r="BJ232" i="127"/>
  <c r="BH232" i="127"/>
  <c r="BI232" i="127" s="1"/>
  <c r="T232" i="127"/>
  <c r="CG231" i="127"/>
  <c r="CH231" i="127" s="1"/>
  <c r="BJ231" i="127"/>
  <c r="BH231" i="127"/>
  <c r="BI231" i="127" s="1"/>
  <c r="T231" i="127"/>
  <c r="CG230" i="127"/>
  <c r="CH230" i="127" s="1"/>
  <c r="BJ230" i="127"/>
  <c r="BH230" i="127"/>
  <c r="BI230" i="127" s="1"/>
  <c r="T230" i="127"/>
  <c r="CG229" i="127"/>
  <c r="CH229" i="127" s="1"/>
  <c r="BJ229" i="127"/>
  <c r="BH229" i="127"/>
  <c r="BI229" i="127" s="1"/>
  <c r="T229" i="127"/>
  <c r="CG228" i="127"/>
  <c r="CH228" i="127" s="1"/>
  <c r="BJ228" i="127"/>
  <c r="BH228" i="127"/>
  <c r="BI228" i="127" s="1"/>
  <c r="T228" i="127"/>
  <c r="CG227" i="127"/>
  <c r="CH227" i="127" s="1"/>
  <c r="BJ227" i="127"/>
  <c r="BH227" i="127"/>
  <c r="BI227" i="127" s="1"/>
  <c r="T227" i="127"/>
  <c r="CG226" i="127"/>
  <c r="CH226" i="127" s="1"/>
  <c r="BJ226" i="127"/>
  <c r="BH226" i="127"/>
  <c r="BI226" i="127" s="1"/>
  <c r="T226" i="127"/>
  <c r="CG225" i="127"/>
  <c r="CH225" i="127" s="1"/>
  <c r="BJ225" i="127"/>
  <c r="BH225" i="127"/>
  <c r="BI225" i="127" s="1"/>
  <c r="T225" i="127"/>
  <c r="CG224" i="127"/>
  <c r="CH224" i="127" s="1"/>
  <c r="BJ224" i="127"/>
  <c r="BH224" i="127"/>
  <c r="BI224" i="127" s="1"/>
  <c r="T224" i="127"/>
  <c r="CG223" i="127"/>
  <c r="CH223" i="127" s="1"/>
  <c r="BJ223" i="127"/>
  <c r="BH223" i="127"/>
  <c r="BI223" i="127" s="1"/>
  <c r="T223" i="127"/>
  <c r="CG222" i="127"/>
  <c r="CH222" i="127" s="1"/>
  <c r="BJ222" i="127"/>
  <c r="BH222" i="127"/>
  <c r="BI222" i="127" s="1"/>
  <c r="T222" i="127"/>
  <c r="CG221" i="127"/>
  <c r="CH221" i="127" s="1"/>
  <c r="BJ221" i="127"/>
  <c r="BH221" i="127"/>
  <c r="BI221" i="127" s="1"/>
  <c r="T221" i="127"/>
  <c r="CG220" i="127"/>
  <c r="CH220" i="127" s="1"/>
  <c r="BJ220" i="127"/>
  <c r="BH220" i="127"/>
  <c r="BI220" i="127" s="1"/>
  <c r="T220" i="127"/>
  <c r="CG219" i="127"/>
  <c r="CH219" i="127" s="1"/>
  <c r="BJ219" i="127"/>
  <c r="BH219" i="127"/>
  <c r="BI219" i="127" s="1"/>
  <c r="T219" i="127"/>
  <c r="CG218" i="127"/>
  <c r="CH218" i="127" s="1"/>
  <c r="BJ218" i="127"/>
  <c r="BH218" i="127"/>
  <c r="BI218" i="127" s="1"/>
  <c r="T218" i="127"/>
  <c r="CG217" i="127"/>
  <c r="CH217" i="127" s="1"/>
  <c r="BJ217" i="127"/>
  <c r="BH217" i="127"/>
  <c r="BI217" i="127" s="1"/>
  <c r="T217" i="127"/>
  <c r="CG216" i="127"/>
  <c r="CH216" i="127" s="1"/>
  <c r="BJ216" i="127"/>
  <c r="BH216" i="127"/>
  <c r="BI216" i="127" s="1"/>
  <c r="T216" i="127"/>
  <c r="CG215" i="127"/>
  <c r="CH215" i="127" s="1"/>
  <c r="BJ215" i="127"/>
  <c r="BH215" i="127"/>
  <c r="BI215" i="127" s="1"/>
  <c r="T215" i="127"/>
  <c r="CG214" i="127"/>
  <c r="CH214" i="127" s="1"/>
  <c r="BJ214" i="127"/>
  <c r="BH214" i="127"/>
  <c r="BI214" i="127" s="1"/>
  <c r="T214" i="127"/>
  <c r="CG213" i="127"/>
  <c r="CH213" i="127" s="1"/>
  <c r="BJ213" i="127"/>
  <c r="BH213" i="127"/>
  <c r="BI213" i="127" s="1"/>
  <c r="T213" i="127"/>
  <c r="CG212" i="127"/>
  <c r="CH212" i="127" s="1"/>
  <c r="BJ212" i="127"/>
  <c r="BH212" i="127"/>
  <c r="BI212" i="127" s="1"/>
  <c r="T212" i="127"/>
  <c r="CG211" i="127"/>
  <c r="CH211" i="127" s="1"/>
  <c r="BJ211" i="127"/>
  <c r="BH211" i="127"/>
  <c r="BI211" i="127" s="1"/>
  <c r="T211" i="127"/>
  <c r="CG210" i="127"/>
  <c r="CH210" i="127" s="1"/>
  <c r="BJ210" i="127"/>
  <c r="BH210" i="127"/>
  <c r="BI210" i="127" s="1"/>
  <c r="T210" i="127"/>
  <c r="CG209" i="127"/>
  <c r="CH209" i="127" s="1"/>
  <c r="BJ209" i="127"/>
  <c r="BH209" i="127"/>
  <c r="BI209" i="127" s="1"/>
  <c r="T209" i="127"/>
  <c r="CG208" i="127"/>
  <c r="CH208" i="127" s="1"/>
  <c r="BJ208" i="127"/>
  <c r="BH208" i="127"/>
  <c r="BI208" i="127" s="1"/>
  <c r="T208" i="127"/>
  <c r="CG207" i="127"/>
  <c r="CH207" i="127" s="1"/>
  <c r="BJ207" i="127"/>
  <c r="BH207" i="127"/>
  <c r="BI207" i="127" s="1"/>
  <c r="T207" i="127"/>
  <c r="CG206" i="127"/>
  <c r="CH206" i="127" s="1"/>
  <c r="BJ206" i="127"/>
  <c r="BH206" i="127"/>
  <c r="BI206" i="127" s="1"/>
  <c r="T206" i="127"/>
  <c r="CG205" i="127"/>
  <c r="CH205" i="127" s="1"/>
  <c r="BJ205" i="127"/>
  <c r="BH205" i="127"/>
  <c r="BI205" i="127" s="1"/>
  <c r="T205" i="127"/>
  <c r="CG204" i="127"/>
  <c r="CH204" i="127" s="1"/>
  <c r="BJ204" i="127"/>
  <c r="BH204" i="127"/>
  <c r="BI204" i="127" s="1"/>
  <c r="T204" i="127"/>
  <c r="CG203" i="127"/>
  <c r="CH203" i="127" s="1"/>
  <c r="BJ203" i="127"/>
  <c r="BH203" i="127"/>
  <c r="BI203" i="127" s="1"/>
  <c r="T203" i="127"/>
  <c r="CG202" i="127"/>
  <c r="CH202" i="127" s="1"/>
  <c r="BJ202" i="127"/>
  <c r="BH202" i="127"/>
  <c r="BI202" i="127" s="1"/>
  <c r="T202" i="127"/>
  <c r="CG201" i="127"/>
  <c r="CH201" i="127" s="1"/>
  <c r="BJ201" i="127"/>
  <c r="BH201" i="127"/>
  <c r="BI201" i="127" s="1"/>
  <c r="T201" i="127"/>
  <c r="CG200" i="127"/>
  <c r="CH200" i="127" s="1"/>
  <c r="BJ200" i="127"/>
  <c r="BH200" i="127"/>
  <c r="BI200" i="127" s="1"/>
  <c r="T200" i="127"/>
  <c r="CG199" i="127"/>
  <c r="CH199" i="127" s="1"/>
  <c r="BJ199" i="127"/>
  <c r="BH199" i="127"/>
  <c r="BI199" i="127" s="1"/>
  <c r="T199" i="127"/>
  <c r="CG198" i="127"/>
  <c r="CH198" i="127" s="1"/>
  <c r="BJ198" i="127"/>
  <c r="BH198" i="127"/>
  <c r="BI198" i="127" s="1"/>
  <c r="T198" i="127"/>
  <c r="CH197" i="127"/>
  <c r="BJ197" i="127"/>
  <c r="BH197" i="127"/>
  <c r="BI197" i="127" s="1"/>
  <c r="T197" i="127"/>
  <c r="CH196" i="127"/>
  <c r="BJ196" i="127"/>
  <c r="BH196" i="127"/>
  <c r="BI196" i="127" s="1"/>
  <c r="T196" i="127"/>
  <c r="CG195" i="127"/>
  <c r="CH195" i="127" s="1"/>
  <c r="BJ195" i="127"/>
  <c r="BH195" i="127"/>
  <c r="BI195" i="127" s="1"/>
  <c r="T195" i="127"/>
  <c r="CG194" i="127"/>
  <c r="CH194" i="127" s="1"/>
  <c r="BJ194" i="127"/>
  <c r="BH194" i="127"/>
  <c r="BI194" i="127" s="1"/>
  <c r="T194" i="127"/>
  <c r="CG193" i="127"/>
  <c r="CH193" i="127" s="1"/>
  <c r="BJ193" i="127"/>
  <c r="BH193" i="127"/>
  <c r="BI193" i="127" s="1"/>
  <c r="T193" i="127"/>
  <c r="CG192" i="127"/>
  <c r="CH192" i="127" s="1"/>
  <c r="BJ192" i="127"/>
  <c r="BH192" i="127"/>
  <c r="BI192" i="127" s="1"/>
  <c r="T192" i="127"/>
  <c r="CG191" i="127"/>
  <c r="CH191" i="127" s="1"/>
  <c r="BJ191" i="127"/>
  <c r="BH191" i="127"/>
  <c r="BI191" i="127" s="1"/>
  <c r="T191" i="127"/>
  <c r="CG190" i="127"/>
  <c r="CH190" i="127" s="1"/>
  <c r="BJ190" i="127"/>
  <c r="BH190" i="127"/>
  <c r="BI190" i="127" s="1"/>
  <c r="T190" i="127"/>
  <c r="CG189" i="127"/>
  <c r="CH189" i="127" s="1"/>
  <c r="BJ189" i="127"/>
  <c r="BH189" i="127"/>
  <c r="BI189" i="127" s="1"/>
  <c r="T189" i="127"/>
  <c r="CG188" i="127"/>
  <c r="CH188" i="127" s="1"/>
  <c r="BJ188" i="127"/>
  <c r="BH188" i="127"/>
  <c r="BI188" i="127" s="1"/>
  <c r="T188" i="127"/>
  <c r="CG187" i="127"/>
  <c r="CH187" i="127" s="1"/>
  <c r="BJ187" i="127"/>
  <c r="BH187" i="127"/>
  <c r="BI187" i="127" s="1"/>
  <c r="T187" i="127"/>
  <c r="CG186" i="127"/>
  <c r="CH186" i="127" s="1"/>
  <c r="BJ186" i="127"/>
  <c r="BH186" i="127"/>
  <c r="BI186" i="127" s="1"/>
  <c r="T186" i="127"/>
  <c r="CG185" i="127"/>
  <c r="CH185" i="127" s="1"/>
  <c r="BJ185" i="127"/>
  <c r="BH185" i="127"/>
  <c r="BI185" i="127" s="1"/>
  <c r="T185" i="127"/>
  <c r="CG184" i="127"/>
  <c r="CH184" i="127" s="1"/>
  <c r="BJ184" i="127"/>
  <c r="BH184" i="127"/>
  <c r="BI184" i="127" s="1"/>
  <c r="T184" i="127"/>
  <c r="CG183" i="127"/>
  <c r="CH183" i="127" s="1"/>
  <c r="BJ183" i="127"/>
  <c r="BH183" i="127"/>
  <c r="BI183" i="127" s="1"/>
  <c r="T183" i="127"/>
  <c r="CG182" i="127"/>
  <c r="CH182" i="127" s="1"/>
  <c r="BJ182" i="127"/>
  <c r="BH182" i="127"/>
  <c r="BI182" i="127" s="1"/>
  <c r="T182" i="127"/>
  <c r="CG181" i="127"/>
  <c r="CH181" i="127" s="1"/>
  <c r="BJ181" i="127"/>
  <c r="BH181" i="127"/>
  <c r="BI181" i="127" s="1"/>
  <c r="T181" i="127"/>
  <c r="CG180" i="127"/>
  <c r="CH180" i="127" s="1"/>
  <c r="BJ180" i="127"/>
  <c r="BH180" i="127"/>
  <c r="BI180" i="127" s="1"/>
  <c r="T180" i="127"/>
  <c r="CG179" i="127"/>
  <c r="CH179" i="127" s="1"/>
  <c r="BJ179" i="127"/>
  <c r="BH179" i="127"/>
  <c r="BI179" i="127" s="1"/>
  <c r="T179" i="127"/>
  <c r="CG178" i="127"/>
  <c r="CH178" i="127" s="1"/>
  <c r="BJ178" i="127"/>
  <c r="BH178" i="127"/>
  <c r="BI178" i="127" s="1"/>
  <c r="T178" i="127"/>
  <c r="CH177" i="127"/>
  <c r="BJ177" i="127"/>
  <c r="BH177" i="127"/>
  <c r="BI177" i="127" s="1"/>
  <c r="T177" i="127"/>
  <c r="CG176" i="127"/>
  <c r="CH176" i="127" s="1"/>
  <c r="BJ176" i="127"/>
  <c r="BH176" i="127"/>
  <c r="BI176" i="127" s="1"/>
  <c r="T176" i="127"/>
  <c r="CG175" i="127"/>
  <c r="CH175" i="127" s="1"/>
  <c r="BJ175" i="127"/>
  <c r="BH175" i="127"/>
  <c r="BI175" i="127" s="1"/>
  <c r="T175" i="127"/>
  <c r="CG174" i="127"/>
  <c r="CH174" i="127" s="1"/>
  <c r="BJ174" i="127"/>
  <c r="BH174" i="127"/>
  <c r="BI174" i="127" s="1"/>
  <c r="T174" i="127"/>
  <c r="CG173" i="127"/>
  <c r="CH173" i="127" s="1"/>
  <c r="BJ173" i="127"/>
  <c r="BH173" i="127"/>
  <c r="BI173" i="127" s="1"/>
  <c r="T173" i="127"/>
  <c r="CG172" i="127"/>
  <c r="CH172" i="127" s="1"/>
  <c r="BJ172" i="127"/>
  <c r="BH172" i="127"/>
  <c r="BI172" i="127" s="1"/>
  <c r="T172" i="127"/>
  <c r="CG171" i="127"/>
  <c r="CH171" i="127" s="1"/>
  <c r="BJ171" i="127"/>
  <c r="BH171" i="127"/>
  <c r="BI171" i="127" s="1"/>
  <c r="T171" i="127"/>
  <c r="CG170" i="127"/>
  <c r="CH170" i="127" s="1"/>
  <c r="BJ170" i="127"/>
  <c r="BH170" i="127"/>
  <c r="BI170" i="127" s="1"/>
  <c r="T170" i="127"/>
  <c r="CG169" i="127"/>
  <c r="CH169" i="127" s="1"/>
  <c r="BJ169" i="127"/>
  <c r="BH169" i="127"/>
  <c r="BI169" i="127" s="1"/>
  <c r="T169" i="127"/>
  <c r="CG168" i="127"/>
  <c r="CH168" i="127" s="1"/>
  <c r="BJ168" i="127"/>
  <c r="BH168" i="127"/>
  <c r="BI168" i="127" s="1"/>
  <c r="T168" i="127"/>
  <c r="CG167" i="127"/>
  <c r="CH167" i="127" s="1"/>
  <c r="BJ167" i="127"/>
  <c r="BH167" i="127"/>
  <c r="BI167" i="127" s="1"/>
  <c r="T167" i="127"/>
  <c r="CG166" i="127"/>
  <c r="CH166" i="127" s="1"/>
  <c r="BJ166" i="127"/>
  <c r="BH166" i="127"/>
  <c r="BI166" i="127" s="1"/>
  <c r="T166" i="127"/>
  <c r="CG165" i="127"/>
  <c r="CH165" i="127" s="1"/>
  <c r="BJ165" i="127"/>
  <c r="BH165" i="127"/>
  <c r="BI165" i="127" s="1"/>
  <c r="T165" i="127"/>
  <c r="CG164" i="127"/>
  <c r="CH164" i="127" s="1"/>
  <c r="BJ164" i="127"/>
  <c r="BH164" i="127"/>
  <c r="BI164" i="127" s="1"/>
  <c r="T164" i="127"/>
  <c r="CG163" i="127"/>
  <c r="CH163" i="127" s="1"/>
  <c r="BJ163" i="127"/>
  <c r="BH163" i="127"/>
  <c r="BI163" i="127" s="1"/>
  <c r="T163" i="127"/>
  <c r="CG162" i="127"/>
  <c r="CH162" i="127" s="1"/>
  <c r="BJ162" i="127"/>
  <c r="BH162" i="127"/>
  <c r="BI162" i="127" s="1"/>
  <c r="T162" i="127"/>
  <c r="CG161" i="127"/>
  <c r="CH161" i="127" s="1"/>
  <c r="BJ161" i="127"/>
  <c r="BH161" i="127"/>
  <c r="BI161" i="127" s="1"/>
  <c r="T161" i="127"/>
  <c r="CG160" i="127"/>
  <c r="CH160" i="127" s="1"/>
  <c r="BJ160" i="127"/>
  <c r="BH160" i="127"/>
  <c r="BI160" i="127" s="1"/>
  <c r="T160" i="127"/>
  <c r="CG159" i="127"/>
  <c r="CH159" i="127" s="1"/>
  <c r="BJ159" i="127"/>
  <c r="BH159" i="127"/>
  <c r="BI159" i="127" s="1"/>
  <c r="T159" i="127"/>
  <c r="CG158" i="127"/>
  <c r="CH158" i="127" s="1"/>
  <c r="BJ158" i="127"/>
  <c r="BH158" i="127"/>
  <c r="BI158" i="127" s="1"/>
  <c r="T158" i="127"/>
  <c r="CG157" i="127"/>
  <c r="CH157" i="127" s="1"/>
  <c r="BJ157" i="127"/>
  <c r="BH157" i="127"/>
  <c r="BI157" i="127" s="1"/>
  <c r="T157" i="127"/>
  <c r="CG156" i="127"/>
  <c r="CH156" i="127" s="1"/>
  <c r="BJ156" i="127"/>
  <c r="BH156" i="127"/>
  <c r="BI156" i="127" s="1"/>
  <c r="T156" i="127"/>
  <c r="CG155" i="127"/>
  <c r="CH155" i="127" s="1"/>
  <c r="BJ155" i="127"/>
  <c r="BH155" i="127"/>
  <c r="BI155" i="127" s="1"/>
  <c r="T155" i="127"/>
  <c r="CG154" i="127"/>
  <c r="CH154" i="127" s="1"/>
  <c r="BJ154" i="127"/>
  <c r="BH154" i="127"/>
  <c r="BI154" i="127" s="1"/>
  <c r="T154" i="127"/>
  <c r="CG153" i="127"/>
  <c r="CH153" i="127" s="1"/>
  <c r="BJ153" i="127"/>
  <c r="BH153" i="127"/>
  <c r="BI153" i="127" s="1"/>
  <c r="T153" i="127"/>
  <c r="CG152" i="127"/>
  <c r="CH152" i="127" s="1"/>
  <c r="BJ152" i="127"/>
  <c r="BH152" i="127"/>
  <c r="BI152" i="127" s="1"/>
  <c r="T152" i="127"/>
  <c r="CG151" i="127"/>
  <c r="CH151" i="127" s="1"/>
  <c r="BJ151" i="127"/>
  <c r="BH151" i="127"/>
  <c r="BI151" i="127" s="1"/>
  <c r="T151" i="127"/>
  <c r="CG150" i="127"/>
  <c r="CH150" i="127" s="1"/>
  <c r="BJ150" i="127"/>
  <c r="BH150" i="127"/>
  <c r="BI150" i="127" s="1"/>
  <c r="T150" i="127"/>
  <c r="CG149" i="127"/>
  <c r="CH149" i="127" s="1"/>
  <c r="BJ149" i="127"/>
  <c r="BH149" i="127"/>
  <c r="BI149" i="127" s="1"/>
  <c r="T149" i="127"/>
  <c r="CG148" i="127"/>
  <c r="CH148" i="127" s="1"/>
  <c r="BJ148" i="127"/>
  <c r="BH148" i="127"/>
  <c r="BI148" i="127" s="1"/>
  <c r="T148" i="127"/>
  <c r="CG147" i="127"/>
  <c r="CH147" i="127" s="1"/>
  <c r="BJ147" i="127"/>
  <c r="BH147" i="127"/>
  <c r="BI147" i="127" s="1"/>
  <c r="T147" i="127"/>
  <c r="CG146" i="127"/>
  <c r="CH146" i="127" s="1"/>
  <c r="BJ146" i="127"/>
  <c r="BH146" i="127"/>
  <c r="BI146" i="127" s="1"/>
  <c r="T146" i="127"/>
  <c r="CG145" i="127"/>
  <c r="CH145" i="127" s="1"/>
  <c r="BJ145" i="127"/>
  <c r="BH145" i="127"/>
  <c r="BI145" i="127" s="1"/>
  <c r="T145" i="127"/>
  <c r="CH144" i="127"/>
  <c r="BJ144" i="127"/>
  <c r="BH144" i="127"/>
  <c r="BI144" i="127" s="1"/>
  <c r="T144" i="127"/>
  <c r="CH143" i="127"/>
  <c r="BJ143" i="127"/>
  <c r="BH143" i="127"/>
  <c r="BI143" i="127" s="1"/>
  <c r="T143" i="127"/>
  <c r="CH142" i="127"/>
  <c r="BJ142" i="127"/>
  <c r="BH142" i="127"/>
  <c r="BI142" i="127" s="1"/>
  <c r="T142" i="127"/>
  <c r="CG141" i="127"/>
  <c r="CH141" i="127" s="1"/>
  <c r="BJ141" i="127"/>
  <c r="BH141" i="127"/>
  <c r="BI141" i="127" s="1"/>
  <c r="T141" i="127"/>
  <c r="CG140" i="127"/>
  <c r="CH140" i="127" s="1"/>
  <c r="BJ140" i="127"/>
  <c r="BH140" i="127"/>
  <c r="BI140" i="127" s="1"/>
  <c r="T140" i="127"/>
  <c r="CG139" i="127"/>
  <c r="CH139" i="127" s="1"/>
  <c r="BJ139" i="127"/>
  <c r="BH139" i="127"/>
  <c r="BI139" i="127" s="1"/>
  <c r="T139" i="127"/>
  <c r="CG138" i="127"/>
  <c r="CH138" i="127" s="1"/>
  <c r="BJ138" i="127"/>
  <c r="BH138" i="127"/>
  <c r="BI138" i="127" s="1"/>
  <c r="T138" i="127"/>
  <c r="CH137" i="127"/>
  <c r="BJ137" i="127"/>
  <c r="BH137" i="127"/>
  <c r="BI137" i="127" s="1"/>
  <c r="T137" i="127"/>
  <c r="CH136" i="127"/>
  <c r="BJ136" i="127"/>
  <c r="BH136" i="127"/>
  <c r="BI136" i="127" s="1"/>
  <c r="T136" i="127"/>
  <c r="CG135" i="127"/>
  <c r="CH135" i="127" s="1"/>
  <c r="BJ135" i="127"/>
  <c r="BH135" i="127"/>
  <c r="BI135" i="127" s="1"/>
  <c r="T135" i="127"/>
  <c r="CG134" i="127"/>
  <c r="CH134" i="127" s="1"/>
  <c r="BJ134" i="127"/>
  <c r="BH134" i="127"/>
  <c r="BI134" i="127" s="1"/>
  <c r="T134" i="127"/>
  <c r="CG133" i="127"/>
  <c r="CH133" i="127" s="1"/>
  <c r="BJ133" i="127"/>
  <c r="BH133" i="127"/>
  <c r="BI133" i="127" s="1"/>
  <c r="T133" i="127"/>
  <c r="CG132" i="127"/>
  <c r="CH132" i="127" s="1"/>
  <c r="BJ132" i="127"/>
  <c r="BH132" i="127"/>
  <c r="BI132" i="127" s="1"/>
  <c r="T132" i="127"/>
  <c r="CG131" i="127"/>
  <c r="CH131" i="127" s="1"/>
  <c r="BJ131" i="127"/>
  <c r="BH131" i="127"/>
  <c r="BI131" i="127" s="1"/>
  <c r="T131" i="127"/>
  <c r="CG130" i="127"/>
  <c r="CH130" i="127" s="1"/>
  <c r="BJ130" i="127"/>
  <c r="BH130" i="127"/>
  <c r="BI130" i="127" s="1"/>
  <c r="T130" i="127"/>
  <c r="CG129" i="127"/>
  <c r="CH129" i="127" s="1"/>
  <c r="BJ129" i="127"/>
  <c r="BH129" i="127"/>
  <c r="BI129" i="127" s="1"/>
  <c r="T129" i="127"/>
  <c r="CG128" i="127"/>
  <c r="CH128" i="127" s="1"/>
  <c r="BJ128" i="127"/>
  <c r="BH128" i="127"/>
  <c r="BI128" i="127" s="1"/>
  <c r="T128" i="127"/>
  <c r="CG127" i="127"/>
  <c r="CH127" i="127" s="1"/>
  <c r="BJ127" i="127"/>
  <c r="BH127" i="127"/>
  <c r="BI127" i="127" s="1"/>
  <c r="T127" i="127"/>
  <c r="CG126" i="127"/>
  <c r="CH126" i="127" s="1"/>
  <c r="BJ126" i="127"/>
  <c r="BH126" i="127"/>
  <c r="BI126" i="127" s="1"/>
  <c r="T126" i="127"/>
  <c r="CG125" i="127"/>
  <c r="CH125" i="127" s="1"/>
  <c r="BJ125" i="127"/>
  <c r="BH125" i="127"/>
  <c r="BI125" i="127" s="1"/>
  <c r="T125" i="127"/>
  <c r="CG124" i="127"/>
  <c r="CH124" i="127" s="1"/>
  <c r="BJ124" i="127"/>
  <c r="BH124" i="127"/>
  <c r="BI124" i="127" s="1"/>
  <c r="T124" i="127"/>
  <c r="CG123" i="127"/>
  <c r="CH123" i="127" s="1"/>
  <c r="BJ123" i="127"/>
  <c r="BH123" i="127"/>
  <c r="BI123" i="127" s="1"/>
  <c r="T123" i="127"/>
  <c r="CG122" i="127"/>
  <c r="CH122" i="127" s="1"/>
  <c r="BJ122" i="127"/>
  <c r="BH122" i="127"/>
  <c r="BI122" i="127" s="1"/>
  <c r="T122" i="127"/>
  <c r="CG121" i="127"/>
  <c r="CH121" i="127" s="1"/>
  <c r="BJ121" i="127"/>
  <c r="BH121" i="127"/>
  <c r="BI121" i="127" s="1"/>
  <c r="T121" i="127"/>
  <c r="CG120" i="127"/>
  <c r="CH120" i="127" s="1"/>
  <c r="BJ120" i="127"/>
  <c r="BH120" i="127"/>
  <c r="BI120" i="127" s="1"/>
  <c r="T120" i="127"/>
  <c r="CG119" i="127"/>
  <c r="CH119" i="127" s="1"/>
  <c r="BJ119" i="127"/>
  <c r="BH119" i="127"/>
  <c r="BI119" i="127" s="1"/>
  <c r="T119" i="127"/>
  <c r="CG118" i="127"/>
  <c r="CH118" i="127" s="1"/>
  <c r="BJ118" i="127"/>
  <c r="BH118" i="127"/>
  <c r="BI118" i="127" s="1"/>
  <c r="T118" i="127"/>
  <c r="CG117" i="127"/>
  <c r="CH117" i="127" s="1"/>
  <c r="BJ117" i="127"/>
  <c r="BH117" i="127"/>
  <c r="BI117" i="127" s="1"/>
  <c r="T117" i="127"/>
  <c r="CG116" i="127"/>
  <c r="CH116" i="127" s="1"/>
  <c r="BJ116" i="127"/>
  <c r="BH116" i="127"/>
  <c r="BI116" i="127" s="1"/>
  <c r="T116" i="127"/>
  <c r="CG115" i="127"/>
  <c r="CH115" i="127" s="1"/>
  <c r="BJ115" i="127"/>
  <c r="BH115" i="127"/>
  <c r="BI115" i="127" s="1"/>
  <c r="T115" i="127"/>
  <c r="CH114" i="127"/>
  <c r="BJ114" i="127"/>
  <c r="BH114" i="127"/>
  <c r="BI114" i="127" s="1"/>
  <c r="T114" i="127"/>
  <c r="CH113" i="127"/>
  <c r="BJ113" i="127"/>
  <c r="BH113" i="127"/>
  <c r="BI113" i="127" s="1"/>
  <c r="T113" i="127"/>
  <c r="CH112" i="127"/>
  <c r="BJ112" i="127"/>
  <c r="BH112" i="127"/>
  <c r="BI112" i="127" s="1"/>
  <c r="T112" i="127"/>
  <c r="CG111" i="127"/>
  <c r="CH111" i="127" s="1"/>
  <c r="BJ111" i="127"/>
  <c r="BH111" i="127"/>
  <c r="BI111" i="127" s="1"/>
  <c r="T111" i="127"/>
  <c r="CG110" i="127"/>
  <c r="CH110" i="127" s="1"/>
  <c r="BJ110" i="127"/>
  <c r="BH110" i="127"/>
  <c r="BI110" i="127" s="1"/>
  <c r="T110" i="127"/>
  <c r="CG109" i="127"/>
  <c r="CH109" i="127" s="1"/>
  <c r="BJ109" i="127"/>
  <c r="BH109" i="127"/>
  <c r="BI109" i="127" s="1"/>
  <c r="T109" i="127"/>
  <c r="CG108" i="127"/>
  <c r="CH108" i="127" s="1"/>
  <c r="BJ108" i="127"/>
  <c r="BH108" i="127"/>
  <c r="BI108" i="127" s="1"/>
  <c r="T108" i="127"/>
  <c r="CG107" i="127"/>
  <c r="CH107" i="127" s="1"/>
  <c r="BJ107" i="127"/>
  <c r="BH107" i="127"/>
  <c r="BI107" i="127" s="1"/>
  <c r="T107" i="127"/>
  <c r="CG106" i="127"/>
  <c r="CH106" i="127" s="1"/>
  <c r="BJ106" i="127"/>
  <c r="BH106" i="127"/>
  <c r="BI106" i="127" s="1"/>
  <c r="T106" i="127"/>
  <c r="CG105" i="127"/>
  <c r="CH105" i="127" s="1"/>
  <c r="BJ105" i="127"/>
  <c r="BH105" i="127"/>
  <c r="BI105" i="127" s="1"/>
  <c r="T105" i="127"/>
  <c r="CG104" i="127"/>
  <c r="CH104" i="127" s="1"/>
  <c r="BJ104" i="127"/>
  <c r="BH104" i="127"/>
  <c r="BI104" i="127" s="1"/>
  <c r="T104" i="127"/>
  <c r="CG103" i="127"/>
  <c r="CH103" i="127" s="1"/>
  <c r="BJ103" i="127"/>
  <c r="BH103" i="127"/>
  <c r="BI103" i="127" s="1"/>
  <c r="T103" i="127"/>
  <c r="CG102" i="127"/>
  <c r="CH102" i="127" s="1"/>
  <c r="BJ102" i="127"/>
  <c r="BH102" i="127"/>
  <c r="BI102" i="127" s="1"/>
  <c r="T102" i="127"/>
  <c r="CG101" i="127"/>
  <c r="CH101" i="127" s="1"/>
  <c r="BJ101" i="127"/>
  <c r="BH101" i="127"/>
  <c r="BI101" i="127" s="1"/>
  <c r="T101" i="127"/>
  <c r="CG100" i="127"/>
  <c r="CH100" i="127" s="1"/>
  <c r="BJ100" i="127"/>
  <c r="BH100" i="127"/>
  <c r="BI100" i="127" s="1"/>
  <c r="T100" i="127"/>
  <c r="CG99" i="127"/>
  <c r="CH99" i="127" s="1"/>
  <c r="BJ99" i="127"/>
  <c r="BH99" i="127"/>
  <c r="BI99" i="127" s="1"/>
  <c r="T99" i="127"/>
  <c r="CG98" i="127"/>
  <c r="CH98" i="127" s="1"/>
  <c r="BJ98" i="127"/>
  <c r="BH98" i="127"/>
  <c r="BI98" i="127" s="1"/>
  <c r="T98" i="127"/>
  <c r="CG97" i="127"/>
  <c r="CH97" i="127" s="1"/>
  <c r="BJ97" i="127"/>
  <c r="BH97" i="127"/>
  <c r="BI97" i="127" s="1"/>
  <c r="T97" i="127"/>
  <c r="CG96" i="127"/>
  <c r="CH96" i="127" s="1"/>
  <c r="BJ96" i="127"/>
  <c r="BH96" i="127"/>
  <c r="BI96" i="127" s="1"/>
  <c r="T96" i="127"/>
  <c r="CG95" i="127"/>
  <c r="CH95" i="127" s="1"/>
  <c r="BJ95" i="127"/>
  <c r="BH95" i="127"/>
  <c r="BI95" i="127" s="1"/>
  <c r="T95" i="127"/>
  <c r="CG94" i="127"/>
  <c r="CH94" i="127" s="1"/>
  <c r="BJ94" i="127"/>
  <c r="BH94" i="127"/>
  <c r="BI94" i="127" s="1"/>
  <c r="T94" i="127"/>
  <c r="CG93" i="127"/>
  <c r="CH93" i="127" s="1"/>
  <c r="BJ93" i="127"/>
  <c r="BH93" i="127"/>
  <c r="BI93" i="127" s="1"/>
  <c r="T93" i="127"/>
  <c r="CG92" i="127"/>
  <c r="CH92" i="127" s="1"/>
  <c r="BJ92" i="127"/>
  <c r="BH92" i="127"/>
  <c r="BI92" i="127" s="1"/>
  <c r="T92" i="127"/>
  <c r="CG91" i="127"/>
  <c r="CH91" i="127" s="1"/>
  <c r="BJ91" i="127"/>
  <c r="BH91" i="127"/>
  <c r="BI91" i="127" s="1"/>
  <c r="T91" i="127"/>
  <c r="CG90" i="127"/>
  <c r="CH90" i="127" s="1"/>
  <c r="BJ90" i="127"/>
  <c r="BH90" i="127"/>
  <c r="BI90" i="127" s="1"/>
  <c r="T90" i="127"/>
  <c r="CG89" i="127"/>
  <c r="CH89" i="127" s="1"/>
  <c r="BJ89" i="127"/>
  <c r="BH89" i="127"/>
  <c r="BI89" i="127" s="1"/>
  <c r="T89" i="127"/>
  <c r="CG88" i="127"/>
  <c r="CH88" i="127" s="1"/>
  <c r="BJ88" i="127"/>
  <c r="BH88" i="127"/>
  <c r="BI88" i="127" s="1"/>
  <c r="T88" i="127"/>
  <c r="CG87" i="127"/>
  <c r="CH87" i="127" s="1"/>
  <c r="BJ87" i="127"/>
  <c r="BH87" i="127"/>
  <c r="BI87" i="127" s="1"/>
  <c r="T87" i="127"/>
  <c r="CG86" i="127"/>
  <c r="CH86" i="127" s="1"/>
  <c r="BJ86" i="127"/>
  <c r="BH86" i="127"/>
  <c r="BI86" i="127" s="1"/>
  <c r="T86" i="127"/>
  <c r="CG85" i="127"/>
  <c r="CH85" i="127" s="1"/>
  <c r="BJ85" i="127"/>
  <c r="BH85" i="127"/>
  <c r="BI85" i="127" s="1"/>
  <c r="T85" i="127"/>
  <c r="CG84" i="127"/>
  <c r="CH84" i="127" s="1"/>
  <c r="BJ84" i="127"/>
  <c r="BH84" i="127"/>
  <c r="BI84" i="127" s="1"/>
  <c r="T84" i="127"/>
  <c r="CG83" i="127"/>
  <c r="CH83" i="127" s="1"/>
  <c r="BJ83" i="127"/>
  <c r="BH83" i="127"/>
  <c r="BI83" i="127" s="1"/>
  <c r="T83" i="127"/>
  <c r="CG82" i="127"/>
  <c r="CH82" i="127" s="1"/>
  <c r="BJ82" i="127"/>
  <c r="BH82" i="127"/>
  <c r="BI82" i="127" s="1"/>
  <c r="T82" i="127"/>
  <c r="CG81" i="127"/>
  <c r="CH81" i="127" s="1"/>
  <c r="BJ81" i="127"/>
  <c r="BH81" i="127"/>
  <c r="BI81" i="127" s="1"/>
  <c r="T81" i="127"/>
  <c r="CG80" i="127"/>
  <c r="CH80" i="127" s="1"/>
  <c r="BJ80" i="127"/>
  <c r="BH80" i="127"/>
  <c r="BI80" i="127" s="1"/>
  <c r="T80" i="127"/>
  <c r="CG79" i="127"/>
  <c r="CH79" i="127" s="1"/>
  <c r="BJ79" i="127"/>
  <c r="BH79" i="127"/>
  <c r="BI79" i="127" s="1"/>
  <c r="T79" i="127"/>
  <c r="CG78" i="127"/>
  <c r="CH78" i="127" s="1"/>
  <c r="BJ78" i="127"/>
  <c r="BH78" i="127"/>
  <c r="BI78" i="127" s="1"/>
  <c r="T78" i="127"/>
  <c r="CG77" i="127"/>
  <c r="CH77" i="127" s="1"/>
  <c r="BJ77" i="127"/>
  <c r="BH77" i="127"/>
  <c r="BI77" i="127" s="1"/>
  <c r="T77" i="127"/>
  <c r="CG76" i="127"/>
  <c r="CH76" i="127" s="1"/>
  <c r="BJ76" i="127"/>
  <c r="BH76" i="127"/>
  <c r="BI76" i="127" s="1"/>
  <c r="T76" i="127"/>
  <c r="CG75" i="127"/>
  <c r="CH75" i="127" s="1"/>
  <c r="BJ75" i="127"/>
  <c r="BH75" i="127"/>
  <c r="BI75" i="127" s="1"/>
  <c r="T75" i="127"/>
  <c r="CG74" i="127"/>
  <c r="CH74" i="127" s="1"/>
  <c r="BJ74" i="127"/>
  <c r="BH74" i="127"/>
  <c r="BI74" i="127" s="1"/>
  <c r="T74" i="127"/>
  <c r="CG73" i="127"/>
  <c r="CH73" i="127" s="1"/>
  <c r="BJ73" i="127"/>
  <c r="BH73" i="127"/>
  <c r="BI73" i="127" s="1"/>
  <c r="T73" i="127"/>
  <c r="CH72" i="127"/>
  <c r="BJ72" i="127"/>
  <c r="BH72" i="127"/>
  <c r="BI72" i="127" s="1"/>
  <c r="T72" i="127"/>
  <c r="CH71" i="127"/>
  <c r="BJ71" i="127"/>
  <c r="BH71" i="127"/>
  <c r="BI71" i="127" s="1"/>
  <c r="T71" i="127"/>
  <c r="CG70" i="127"/>
  <c r="CH70" i="127" s="1"/>
  <c r="BJ70" i="127"/>
  <c r="BH70" i="127"/>
  <c r="BI70" i="127" s="1"/>
  <c r="T70" i="127"/>
  <c r="CG69" i="127"/>
  <c r="CH69" i="127" s="1"/>
  <c r="BJ69" i="127"/>
  <c r="BH69" i="127"/>
  <c r="BI69" i="127" s="1"/>
  <c r="T69" i="127"/>
  <c r="CG68" i="127"/>
  <c r="CH68" i="127" s="1"/>
  <c r="BJ68" i="127"/>
  <c r="BH68" i="127"/>
  <c r="BI68" i="127" s="1"/>
  <c r="T68" i="127"/>
  <c r="CG67" i="127"/>
  <c r="CH67" i="127" s="1"/>
  <c r="BJ67" i="127"/>
  <c r="BH67" i="127"/>
  <c r="BI67" i="127" s="1"/>
  <c r="T67" i="127"/>
  <c r="CG66" i="127"/>
  <c r="CH66" i="127" s="1"/>
  <c r="BJ66" i="127"/>
  <c r="BH66" i="127"/>
  <c r="BI66" i="127" s="1"/>
  <c r="T66" i="127"/>
  <c r="CG65" i="127"/>
  <c r="CH65" i="127" s="1"/>
  <c r="BJ65" i="127"/>
  <c r="BH65" i="127"/>
  <c r="BI65" i="127" s="1"/>
  <c r="T65" i="127"/>
  <c r="CG64" i="127"/>
  <c r="CH64" i="127" s="1"/>
  <c r="BJ64" i="127"/>
  <c r="BH64" i="127"/>
  <c r="BI64" i="127" s="1"/>
  <c r="T64" i="127"/>
  <c r="CG63" i="127"/>
  <c r="CH63" i="127" s="1"/>
  <c r="BJ63" i="127"/>
  <c r="BH63" i="127"/>
  <c r="BI63" i="127" s="1"/>
  <c r="T63" i="127"/>
  <c r="CG62" i="127"/>
  <c r="CH62" i="127" s="1"/>
  <c r="BJ62" i="127"/>
  <c r="BH62" i="127"/>
  <c r="BI62" i="127" s="1"/>
  <c r="T62" i="127"/>
  <c r="CH61" i="127"/>
  <c r="BJ61" i="127"/>
  <c r="BH61" i="127"/>
  <c r="BI61" i="127" s="1"/>
  <c r="T61" i="127"/>
  <c r="CH60" i="127"/>
  <c r="BJ60" i="127"/>
  <c r="BH60" i="127"/>
  <c r="BI60" i="127" s="1"/>
  <c r="T60" i="127"/>
  <c r="CG59" i="127"/>
  <c r="CH59" i="127" s="1"/>
  <c r="BJ59" i="127"/>
  <c r="BH59" i="127"/>
  <c r="BI59" i="127" s="1"/>
  <c r="T59" i="127"/>
  <c r="CG58" i="127"/>
  <c r="CH58" i="127" s="1"/>
  <c r="BJ58" i="127"/>
  <c r="BH58" i="127"/>
  <c r="BI58" i="127" s="1"/>
  <c r="T58" i="127"/>
  <c r="CG57" i="127"/>
  <c r="CH57" i="127" s="1"/>
  <c r="BJ57" i="127"/>
  <c r="BH57" i="127"/>
  <c r="BI57" i="127" s="1"/>
  <c r="T57" i="127"/>
  <c r="CH56" i="127"/>
  <c r="BJ56" i="127"/>
  <c r="BH56" i="127"/>
  <c r="BI56" i="127" s="1"/>
  <c r="T56" i="127"/>
  <c r="CH55" i="127"/>
  <c r="BJ55" i="127"/>
  <c r="BH55" i="127"/>
  <c r="BI55" i="127" s="1"/>
  <c r="T55" i="127"/>
  <c r="CH54" i="127"/>
  <c r="BJ54" i="127"/>
  <c r="BH54" i="127"/>
  <c r="BI54" i="127" s="1"/>
  <c r="T54" i="127"/>
  <c r="CG53" i="127"/>
  <c r="CH53" i="127" s="1"/>
  <c r="BJ53" i="127"/>
  <c r="BH53" i="127"/>
  <c r="BI53" i="127" s="1"/>
  <c r="T53" i="127"/>
  <c r="CG52" i="127"/>
  <c r="CH52" i="127" s="1"/>
  <c r="BJ52" i="127"/>
  <c r="BH52" i="127"/>
  <c r="BI52" i="127" s="1"/>
  <c r="T52" i="127"/>
  <c r="CG51" i="127"/>
  <c r="CH51" i="127" s="1"/>
  <c r="BJ51" i="127"/>
  <c r="BH51" i="127"/>
  <c r="BI51" i="127" s="1"/>
  <c r="T51" i="127"/>
  <c r="CG50" i="127"/>
  <c r="CH50" i="127" s="1"/>
  <c r="BJ50" i="127"/>
  <c r="BH50" i="127"/>
  <c r="BI50" i="127" s="1"/>
  <c r="T50" i="127"/>
  <c r="CG49" i="127"/>
  <c r="CH49" i="127" s="1"/>
  <c r="BJ49" i="127"/>
  <c r="BH49" i="127"/>
  <c r="BI49" i="127" s="1"/>
  <c r="T49" i="127"/>
  <c r="CG48" i="127"/>
  <c r="CH48" i="127" s="1"/>
  <c r="BJ48" i="127"/>
  <c r="BH48" i="127"/>
  <c r="BI48" i="127" s="1"/>
  <c r="T48" i="127"/>
  <c r="CG47" i="127"/>
  <c r="CH47" i="127" s="1"/>
  <c r="BJ47" i="127"/>
  <c r="BH47" i="127"/>
  <c r="BI47" i="127" s="1"/>
  <c r="T47" i="127"/>
  <c r="CG46" i="127"/>
  <c r="CH46" i="127" s="1"/>
  <c r="BJ46" i="127"/>
  <c r="BH46" i="127"/>
  <c r="BI46" i="127" s="1"/>
  <c r="T46" i="127"/>
  <c r="CG45" i="127"/>
  <c r="CH45" i="127" s="1"/>
  <c r="BJ45" i="127"/>
  <c r="BH45" i="127"/>
  <c r="BI45" i="127" s="1"/>
  <c r="T45" i="127"/>
  <c r="CG44" i="127"/>
  <c r="CH44" i="127" s="1"/>
  <c r="BJ44" i="127"/>
  <c r="BH44" i="127"/>
  <c r="BI44" i="127" s="1"/>
  <c r="T44" i="127"/>
  <c r="CG43" i="127"/>
  <c r="CH43" i="127" s="1"/>
  <c r="BJ43" i="127"/>
  <c r="BH43" i="127"/>
  <c r="BI43" i="127" s="1"/>
  <c r="T43" i="127"/>
  <c r="CG42" i="127"/>
  <c r="CH42" i="127" s="1"/>
  <c r="BJ42" i="127"/>
  <c r="BH42" i="127"/>
  <c r="BI42" i="127" s="1"/>
  <c r="T42" i="127"/>
  <c r="O42" i="127"/>
  <c r="CG41" i="127"/>
  <c r="CH41" i="127" s="1"/>
  <c r="BJ41" i="127"/>
  <c r="BH41" i="127"/>
  <c r="BI41" i="127" s="1"/>
  <c r="T41" i="127"/>
  <c r="O41" i="127"/>
  <c r="CG40" i="127"/>
  <c r="CH40" i="127" s="1"/>
  <c r="BJ40" i="127"/>
  <c r="BH40" i="127"/>
  <c r="BI40" i="127" s="1"/>
  <c r="T40" i="127"/>
  <c r="O40" i="127"/>
  <c r="CH39" i="127"/>
  <c r="BJ39" i="127"/>
  <c r="BH39" i="127"/>
  <c r="BI39" i="127" s="1"/>
  <c r="T39" i="127"/>
  <c r="O39" i="127"/>
  <c r="CG38" i="127"/>
  <c r="CH38" i="127" s="1"/>
  <c r="BJ38" i="127"/>
  <c r="BH38" i="127"/>
  <c r="BI38" i="127" s="1"/>
  <c r="T38" i="127"/>
  <c r="O38" i="127"/>
  <c r="CG37" i="127"/>
  <c r="CH37" i="127" s="1"/>
  <c r="BJ37" i="127"/>
  <c r="BH37" i="127"/>
  <c r="BI37" i="127" s="1"/>
  <c r="T37" i="127"/>
  <c r="K37" i="127"/>
  <c r="CG36" i="127"/>
  <c r="CH36" i="127" s="1"/>
  <c r="BJ36" i="127"/>
  <c r="BH36" i="127"/>
  <c r="BI36" i="127" s="1"/>
  <c r="T36" i="127"/>
  <c r="K36" i="127"/>
  <c r="CG35" i="127"/>
  <c r="CH35" i="127" s="1"/>
  <c r="BJ35" i="127"/>
  <c r="BH35" i="127"/>
  <c r="BI35" i="127" s="1"/>
  <c r="T35" i="127"/>
  <c r="K35" i="127"/>
  <c r="CG34" i="127"/>
  <c r="CH34" i="127" s="1"/>
  <c r="BJ34" i="127"/>
  <c r="BH34" i="127"/>
  <c r="BI34" i="127" s="1"/>
  <c r="T34" i="127"/>
  <c r="K34" i="127"/>
  <c r="CG33" i="127"/>
  <c r="CH33" i="127" s="1"/>
  <c r="BJ33" i="127"/>
  <c r="BH33" i="127"/>
  <c r="BI33" i="127" s="1"/>
  <c r="T33" i="127"/>
  <c r="K33" i="127"/>
  <c r="CG32" i="127"/>
  <c r="CH32" i="127" s="1"/>
  <c r="BJ32" i="127"/>
  <c r="BH32" i="127"/>
  <c r="BI32" i="127" s="1"/>
  <c r="T32" i="127"/>
  <c r="K32" i="127"/>
  <c r="CH31" i="127"/>
  <c r="BJ31" i="127"/>
  <c r="BH31" i="127"/>
  <c r="BI31" i="127" s="1"/>
  <c r="T31" i="127"/>
  <c r="K31" i="127"/>
  <c r="CG30" i="127"/>
  <c r="CH30" i="127" s="1"/>
  <c r="BJ30" i="127"/>
  <c r="BH30" i="127"/>
  <c r="BI30" i="127" s="1"/>
  <c r="T30" i="127"/>
  <c r="K30" i="127"/>
  <c r="CG29" i="127"/>
  <c r="CH29" i="127" s="1"/>
  <c r="BJ29" i="127"/>
  <c r="BH29" i="127"/>
  <c r="BI29" i="127" s="1"/>
  <c r="T29" i="127"/>
  <c r="K29" i="127"/>
  <c r="CG28" i="127"/>
  <c r="CH28" i="127" s="1"/>
  <c r="BJ28" i="127"/>
  <c r="BH28" i="127"/>
  <c r="BI28" i="127" s="1"/>
  <c r="T28" i="127"/>
  <c r="K28" i="127"/>
  <c r="CG27" i="127"/>
  <c r="CH27" i="127" s="1"/>
  <c r="BJ27" i="127"/>
  <c r="BH27" i="127"/>
  <c r="BI27" i="127" s="1"/>
  <c r="T27" i="127"/>
  <c r="K27" i="127"/>
  <c r="CG26" i="127"/>
  <c r="CH26" i="127" s="1"/>
  <c r="BJ26" i="127"/>
  <c r="BH26" i="127"/>
  <c r="BI26" i="127" s="1"/>
  <c r="T26" i="127"/>
  <c r="K26" i="127"/>
  <c r="CG25" i="127"/>
  <c r="CH25" i="127" s="1"/>
  <c r="BJ25" i="127"/>
  <c r="BH25" i="127"/>
  <c r="BI25" i="127" s="1"/>
  <c r="T25" i="127"/>
  <c r="K25" i="127"/>
  <c r="CG24" i="127"/>
  <c r="CH24" i="127" s="1"/>
  <c r="BJ24" i="127"/>
  <c r="BH24" i="127"/>
  <c r="BI24" i="127" s="1"/>
  <c r="T24" i="127"/>
  <c r="K24" i="127"/>
  <c r="CG23" i="127"/>
  <c r="CH23" i="127" s="1"/>
  <c r="BJ23" i="127"/>
  <c r="BH23" i="127"/>
  <c r="BI23" i="127" s="1"/>
  <c r="T23" i="127"/>
  <c r="K23" i="127"/>
  <c r="CG22" i="127"/>
  <c r="CH22" i="127" s="1"/>
  <c r="BJ22" i="127"/>
  <c r="BH22" i="127"/>
  <c r="BI22" i="127" s="1"/>
  <c r="T22" i="127"/>
  <c r="K22" i="127"/>
  <c r="CG21" i="127"/>
  <c r="CH21" i="127" s="1"/>
  <c r="BJ21" i="127"/>
  <c r="BH21" i="127"/>
  <c r="BI21" i="127" s="1"/>
  <c r="T21" i="127"/>
  <c r="K21" i="127"/>
  <c r="CG20" i="127"/>
  <c r="CH20" i="127" s="1"/>
  <c r="BJ20" i="127"/>
  <c r="BH20" i="127"/>
  <c r="BI20" i="127" s="1"/>
  <c r="T20" i="127"/>
  <c r="K20" i="127"/>
  <c r="L20" i="127" s="1"/>
  <c r="CG19" i="127"/>
  <c r="CH19" i="127" s="1"/>
  <c r="BJ19" i="127"/>
  <c r="BH19" i="127"/>
  <c r="BI19" i="127" s="1"/>
  <c r="T19" i="127"/>
  <c r="K19" i="127"/>
  <c r="T18" i="127"/>
  <c r="K18" i="127"/>
  <c r="T17" i="127"/>
  <c r="K17" i="127"/>
  <c r="T16" i="127"/>
  <c r="K16" i="127"/>
  <c r="T15" i="127"/>
  <c r="K15" i="127"/>
  <c r="AB17" i="127"/>
  <c r="T14" i="127"/>
  <c r="K14" i="127"/>
  <c r="T13" i="127"/>
  <c r="K13" i="127"/>
  <c r="T12" i="127"/>
  <c r="K12" i="127"/>
  <c r="AB14" i="127"/>
  <c r="T11" i="127"/>
  <c r="K11" i="127"/>
  <c r="N133" i="113"/>
  <c r="W260" i="113"/>
  <c r="Q93" i="113"/>
  <c r="W117" i="113"/>
  <c r="T93" i="113"/>
  <c r="Q116" i="113"/>
  <c r="Q94" i="113"/>
  <c r="W116" i="113"/>
  <c r="Q260" i="113"/>
  <c r="Q111" i="113"/>
  <c r="Q117" i="113"/>
  <c r="Q97" i="113"/>
  <c r="T108" i="113"/>
  <c r="T261" i="113"/>
  <c r="Q107" i="113"/>
  <c r="Q110" i="113"/>
  <c r="Q108" i="113"/>
  <c r="W92" i="113"/>
  <c r="Q113" i="113"/>
  <c r="Q106" i="113"/>
  <c r="T107" i="113"/>
  <c r="W109" i="113"/>
  <c r="T114" i="113"/>
  <c r="W121" i="113"/>
  <c r="T111" i="113"/>
  <c r="Q133" i="113"/>
  <c r="Q98" i="113"/>
  <c r="W107" i="113"/>
  <c r="T112" i="113"/>
  <c r="T197" i="113"/>
  <c r="W93" i="113"/>
  <c r="T88" i="113"/>
  <c r="Q96" i="113"/>
  <c r="W261" i="113"/>
  <c r="Q122" i="113"/>
  <c r="T121" i="113"/>
  <c r="W108" i="113"/>
  <c r="T106" i="113"/>
  <c r="Q88" i="113"/>
  <c r="T110" i="113"/>
  <c r="T109" i="113"/>
  <c r="W97" i="113"/>
  <c r="W105" i="113"/>
  <c r="W115" i="113"/>
  <c r="Q123" i="113"/>
  <c r="T97" i="113"/>
  <c r="T98" i="113"/>
  <c r="T92" i="113"/>
  <c r="Q121" i="113"/>
  <c r="W114" i="113"/>
  <c r="Q115" i="113"/>
  <c r="T123" i="113"/>
  <c r="T96" i="113"/>
  <c r="Q114" i="113"/>
  <c r="Q112" i="113"/>
  <c r="W133" i="113"/>
  <c r="W110" i="113"/>
  <c r="T122" i="113"/>
  <c r="W113" i="113"/>
  <c r="T260" i="113"/>
  <c r="W88" i="113"/>
  <c r="W95" i="113"/>
  <c r="T105" i="113"/>
  <c r="W111" i="113"/>
  <c r="W104" i="113"/>
  <c r="W98" i="113"/>
  <c r="Q95" i="113"/>
  <c r="Q109" i="113"/>
  <c r="T99" i="113"/>
  <c r="W112" i="113"/>
  <c r="T117" i="113"/>
  <c r="T115" i="113"/>
  <c r="W94" i="113"/>
  <c r="T113" i="113"/>
  <c r="Q105" i="113"/>
  <c r="W96" i="113"/>
  <c r="Q92" i="113"/>
  <c r="Q104" i="113"/>
  <c r="T104" i="113"/>
  <c r="W106" i="113"/>
  <c r="W197" i="113"/>
  <c r="T94" i="113"/>
  <c r="T133" i="113"/>
  <c r="W122" i="113"/>
  <c r="W99" i="113"/>
  <c r="W123" i="113"/>
  <c r="T116" i="113"/>
  <c r="T95" i="113"/>
  <c r="Q197" i="113"/>
  <c r="Q99" i="113"/>
  <c r="H115" i="113"/>
  <c r="Q132" i="163"/>
  <c r="W136" i="164"/>
  <c r="N121" i="113"/>
  <c r="T133" i="164"/>
  <c r="W132" i="163"/>
  <c r="N104" i="113"/>
  <c r="W135" i="165"/>
  <c r="N134" i="164"/>
  <c r="K93" i="113"/>
  <c r="Q132" i="164"/>
  <c r="K137" i="164"/>
  <c r="W149" i="164"/>
  <c r="W137" i="164"/>
  <c r="Q65" i="163"/>
  <c r="N96" i="113"/>
  <c r="T133" i="165"/>
  <c r="T225" i="164"/>
  <c r="K121" i="113"/>
  <c r="Q187" i="164"/>
  <c r="H113" i="164"/>
  <c r="Q187" i="163"/>
  <c r="T65" i="163"/>
  <c r="H136" i="163"/>
  <c r="Q71" i="163"/>
  <c r="T135" i="165"/>
  <c r="Q225" i="163"/>
  <c r="N136" i="164"/>
  <c r="K116" i="113"/>
  <c r="K113" i="113"/>
  <c r="T132" i="163"/>
  <c r="T71" i="164"/>
  <c r="N97" i="113"/>
  <c r="Q137" i="165"/>
  <c r="H137" i="164"/>
  <c r="K115" i="113"/>
  <c r="Q65" i="165"/>
  <c r="N137" i="165"/>
  <c r="Q133" i="165"/>
  <c r="W65" i="163"/>
  <c r="H10" i="165"/>
  <c r="W187" i="163"/>
  <c r="W225" i="165"/>
  <c r="N108" i="113"/>
  <c r="H113" i="163"/>
  <c r="W65" i="165"/>
  <c r="N113" i="113"/>
  <c r="T132" i="165"/>
  <c r="W136" i="165"/>
  <c r="W71" i="164"/>
  <c r="W71" i="163"/>
  <c r="N137" i="164"/>
  <c r="T65" i="164"/>
  <c r="K97" i="113"/>
  <c r="T187" i="165"/>
  <c r="T134" i="165"/>
  <c r="Q149" i="165"/>
  <c r="Q71" i="164"/>
  <c r="H113" i="165"/>
  <c r="K88" i="113"/>
  <c r="K197" i="113"/>
  <c r="K94" i="113"/>
  <c r="K96" i="113"/>
  <c r="N88" i="113"/>
  <c r="W225" i="164"/>
  <c r="K104" i="113"/>
  <c r="H123" i="163"/>
  <c r="W137" i="163"/>
  <c r="N92" i="113"/>
  <c r="N136" i="163"/>
  <c r="W132" i="165"/>
  <c r="N114" i="113"/>
  <c r="W135" i="164"/>
  <c r="K136" i="165"/>
  <c r="Q137" i="163"/>
  <c r="T135" i="164"/>
  <c r="K135" i="165"/>
  <c r="T133" i="163"/>
  <c r="W133" i="165"/>
  <c r="N135" i="165"/>
  <c r="H103" i="165"/>
  <c r="K137" i="165"/>
  <c r="T136" i="165"/>
  <c r="N109" i="113"/>
  <c r="Q149" i="164"/>
  <c r="H103" i="164"/>
  <c r="Q149" i="163"/>
  <c r="T65" i="165"/>
  <c r="N95" i="113"/>
  <c r="T187" i="163"/>
  <c r="T137" i="165"/>
  <c r="K112" i="113"/>
  <c r="T136" i="163"/>
  <c r="Q135" i="164"/>
  <c r="T135" i="163"/>
  <c r="N93" i="113"/>
  <c r="N134" i="163"/>
  <c r="N117" i="113"/>
  <c r="Q134" i="165"/>
  <c r="H137" i="165"/>
  <c r="K109" i="113"/>
  <c r="Q65" i="164"/>
  <c r="H123" i="165"/>
  <c r="W225" i="163"/>
  <c r="W149" i="165"/>
  <c r="N135" i="163"/>
  <c r="T225" i="165"/>
  <c r="N136" i="165"/>
  <c r="N197" i="113"/>
  <c r="H103" i="163"/>
  <c r="W65" i="164"/>
  <c r="K260" i="113"/>
  <c r="Q71" i="165"/>
  <c r="H10" i="163"/>
  <c r="Q132" i="165"/>
  <c r="Q133" i="163"/>
  <c r="T71" i="163"/>
  <c r="W135" i="163"/>
  <c r="W136" i="163"/>
  <c r="N134" i="165"/>
  <c r="K92" i="113"/>
  <c r="T149" i="163"/>
  <c r="N105" i="113"/>
  <c r="T187" i="164"/>
  <c r="W134" i="165"/>
  <c r="N116" i="113"/>
  <c r="W187" i="164"/>
  <c r="K136" i="163"/>
  <c r="K95" i="113"/>
  <c r="H68" i="113"/>
  <c r="K135" i="164"/>
  <c r="Q135" i="165"/>
  <c r="T149" i="165"/>
  <c r="Q225" i="165"/>
  <c r="Q225" i="164"/>
  <c r="K135" i="163"/>
  <c r="T137" i="164"/>
  <c r="W134" i="163"/>
  <c r="T136" i="164"/>
  <c r="Q137" i="164"/>
  <c r="K105" i="113"/>
  <c r="W134" i="164"/>
  <c r="W137" i="165"/>
  <c r="K136" i="164"/>
  <c r="N111" i="113"/>
  <c r="Q136" i="163"/>
  <c r="Q135" i="163"/>
  <c r="Q134" i="164"/>
  <c r="N112" i="113"/>
  <c r="Q187" i="165"/>
  <c r="W133" i="163"/>
  <c r="T71" i="165"/>
  <c r="T134" i="163"/>
  <c r="Q136" i="164"/>
  <c r="H10" i="164"/>
  <c r="W133" i="164"/>
  <c r="T225" i="163"/>
  <c r="Q133" i="164"/>
  <c r="H123" i="164"/>
  <c r="H136" i="165"/>
  <c r="K133" i="113"/>
  <c r="W187" i="165"/>
  <c r="H136" i="164"/>
  <c r="N260" i="113"/>
  <c r="Q134" i="163"/>
  <c r="T132" i="164"/>
  <c r="K117" i="113"/>
  <c r="T137" i="163"/>
  <c r="W71" i="165"/>
  <c r="N94" i="113"/>
  <c r="T134" i="164"/>
  <c r="T149" i="164"/>
  <c r="H8" i="113"/>
  <c r="N137" i="163"/>
  <c r="W132" i="164"/>
  <c r="N115" i="113"/>
  <c r="Q136" i="165"/>
  <c r="W149" i="163"/>
  <c r="K114" i="113"/>
  <c r="H63" i="113"/>
  <c r="N135" i="164"/>
  <c r="K137" i="163"/>
  <c r="H137" i="163"/>
  <c r="H116" i="113"/>
  <c r="Y136" i="164" l="1"/>
  <c r="Y136" i="165"/>
  <c r="Y135" i="165"/>
  <c r="Y135" i="164"/>
  <c r="H91" i="165"/>
  <c r="H79" i="165"/>
  <c r="H91" i="164"/>
  <c r="H79" i="164"/>
  <c r="N85" i="165"/>
  <c r="N85" i="164"/>
  <c r="Y137" i="164"/>
  <c r="Y137" i="165"/>
  <c r="W84" i="165"/>
  <c r="W78" i="165"/>
  <c r="W78" i="164"/>
  <c r="W84" i="164"/>
  <c r="T78" i="165"/>
  <c r="T84" i="165"/>
  <c r="T78" i="164"/>
  <c r="T84" i="164"/>
  <c r="W86" i="165"/>
  <c r="W85" i="165"/>
  <c r="W86" i="164"/>
  <c r="W85" i="164"/>
  <c r="Q78" i="165"/>
  <c r="Q84" i="165"/>
  <c r="Q84" i="164"/>
  <c r="Q78" i="164"/>
  <c r="Q85" i="165"/>
  <c r="Q86" i="165"/>
  <c r="Q85" i="164"/>
  <c r="Q86" i="164"/>
  <c r="T86" i="165"/>
  <c r="T85" i="165"/>
  <c r="T85" i="164"/>
  <c r="T86" i="164"/>
  <c r="H91" i="163"/>
  <c r="H79" i="163"/>
  <c r="N85" i="163"/>
  <c r="T84" i="163"/>
  <c r="T78" i="163"/>
  <c r="Q78" i="163"/>
  <c r="Q84" i="163"/>
  <c r="W86" i="163"/>
  <c r="W85" i="163"/>
  <c r="Q86" i="163"/>
  <c r="Q85" i="163"/>
  <c r="T86" i="163"/>
  <c r="T85" i="163"/>
  <c r="Y136" i="163"/>
  <c r="Y135" i="163"/>
  <c r="Y137" i="163"/>
  <c r="W84" i="163"/>
  <c r="W78" i="163"/>
  <c r="U356" i="127"/>
  <c r="W356" i="127" s="1"/>
  <c r="U352" i="127"/>
  <c r="W352" i="127" s="1"/>
  <c r="U348" i="127"/>
  <c r="W348" i="127" s="1"/>
  <c r="U344" i="127"/>
  <c r="W344" i="127" s="1"/>
  <c r="U340" i="127"/>
  <c r="W340" i="127" s="1"/>
  <c r="U336" i="127"/>
  <c r="W336" i="127" s="1"/>
  <c r="U332" i="127"/>
  <c r="W332" i="127" s="1"/>
  <c r="U328" i="127"/>
  <c r="W328" i="127" s="1"/>
  <c r="U324" i="127"/>
  <c r="W324" i="127" s="1"/>
  <c r="U320" i="127"/>
  <c r="W320" i="127" s="1"/>
  <c r="U316" i="127"/>
  <c r="W316" i="127" s="1"/>
  <c r="U312" i="127"/>
  <c r="W312" i="127" s="1"/>
  <c r="U308" i="127"/>
  <c r="W308" i="127" s="1"/>
  <c r="U304" i="127"/>
  <c r="W304" i="127" s="1"/>
  <c r="U300" i="127"/>
  <c r="W300" i="127" s="1"/>
  <c r="U296" i="127"/>
  <c r="W296" i="127" s="1"/>
  <c r="U292" i="127"/>
  <c r="W292" i="127" s="1"/>
  <c r="U288" i="127"/>
  <c r="W288" i="127" s="1"/>
  <c r="U284" i="127"/>
  <c r="W284" i="127" s="1"/>
  <c r="U280" i="127"/>
  <c r="W280" i="127" s="1"/>
  <c r="U276" i="127"/>
  <c r="W276" i="127" s="1"/>
  <c r="U272" i="127"/>
  <c r="W272" i="127" s="1"/>
  <c r="U268" i="127"/>
  <c r="W268" i="127" s="1"/>
  <c r="U264" i="127"/>
  <c r="W264" i="127" s="1"/>
  <c r="U260" i="127"/>
  <c r="W260" i="127" s="1"/>
  <c r="U256" i="127"/>
  <c r="W256" i="127" s="1"/>
  <c r="U252" i="127"/>
  <c r="W252" i="127" s="1"/>
  <c r="U248" i="127"/>
  <c r="W248" i="127" s="1"/>
  <c r="U244" i="127"/>
  <c r="W244" i="127" s="1"/>
  <c r="U240" i="127"/>
  <c r="W240" i="127" s="1"/>
  <c r="U236" i="127"/>
  <c r="W236" i="127" s="1"/>
  <c r="U232" i="127"/>
  <c r="W232" i="127" s="1"/>
  <c r="U228" i="127"/>
  <c r="W228" i="127" s="1"/>
  <c r="U224" i="127"/>
  <c r="W224" i="127" s="1"/>
  <c r="U220" i="127"/>
  <c r="W220" i="127" s="1"/>
  <c r="U216" i="127"/>
  <c r="W216" i="127" s="1"/>
  <c r="U212" i="127"/>
  <c r="W212" i="127" s="1"/>
  <c r="U208" i="127"/>
  <c r="W208" i="127" s="1"/>
  <c r="U204" i="127"/>
  <c r="W204" i="127" s="1"/>
  <c r="U200" i="127"/>
  <c r="W200" i="127" s="1"/>
  <c r="U196" i="127"/>
  <c r="W196" i="127" s="1"/>
  <c r="U192" i="127"/>
  <c r="W192" i="127" s="1"/>
  <c r="U188" i="127"/>
  <c r="W188" i="127" s="1"/>
  <c r="U184" i="127"/>
  <c r="W184" i="127" s="1"/>
  <c r="U180" i="127"/>
  <c r="W180" i="127" s="1"/>
  <c r="U176" i="127"/>
  <c r="W176" i="127" s="1"/>
  <c r="U172" i="127"/>
  <c r="W172" i="127" s="1"/>
  <c r="U168" i="127"/>
  <c r="W168" i="127" s="1"/>
  <c r="U164" i="127"/>
  <c r="W164" i="127" s="1"/>
  <c r="U160" i="127"/>
  <c r="W160" i="127" s="1"/>
  <c r="U156" i="127"/>
  <c r="W156" i="127" s="1"/>
  <c r="U152" i="127"/>
  <c r="W152" i="127" s="1"/>
  <c r="U148" i="127"/>
  <c r="W148" i="127" s="1"/>
  <c r="U144" i="127"/>
  <c r="W144" i="127" s="1"/>
  <c r="U140" i="127"/>
  <c r="W140" i="127" s="1"/>
  <c r="U136" i="127"/>
  <c r="W136" i="127" s="1"/>
  <c r="U132" i="127"/>
  <c r="W132" i="127" s="1"/>
  <c r="U128" i="127"/>
  <c r="W128" i="127" s="1"/>
  <c r="U124" i="127"/>
  <c r="W124" i="127" s="1"/>
  <c r="U120" i="127"/>
  <c r="W120" i="127" s="1"/>
  <c r="U116" i="127"/>
  <c r="W116" i="127" s="1"/>
  <c r="U112" i="127"/>
  <c r="W112" i="127" s="1"/>
  <c r="U108" i="127"/>
  <c r="W108" i="127" s="1"/>
  <c r="U104" i="127"/>
  <c r="W104" i="127" s="1"/>
  <c r="U100" i="127"/>
  <c r="W100" i="127" s="1"/>
  <c r="U96" i="127"/>
  <c r="W96" i="127" s="1"/>
  <c r="U92" i="127"/>
  <c r="W92" i="127" s="1"/>
  <c r="U88" i="127"/>
  <c r="W88" i="127" s="1"/>
  <c r="U84" i="127"/>
  <c r="W84" i="127" s="1"/>
  <c r="U80" i="127"/>
  <c r="W80" i="127" s="1"/>
  <c r="U76" i="127"/>
  <c r="W76" i="127" s="1"/>
  <c r="U72" i="127"/>
  <c r="W72" i="127" s="1"/>
  <c r="U68" i="127"/>
  <c r="W68" i="127" s="1"/>
  <c r="U64" i="127"/>
  <c r="W64" i="127" s="1"/>
  <c r="U60" i="127"/>
  <c r="W60" i="127" s="1"/>
  <c r="U56" i="127"/>
  <c r="W56" i="127" s="1"/>
  <c r="U52" i="127"/>
  <c r="W52" i="127" s="1"/>
  <c r="U48" i="127"/>
  <c r="W48" i="127" s="1"/>
  <c r="U44" i="127"/>
  <c r="W44" i="127" s="1"/>
  <c r="U40" i="127"/>
  <c r="W40" i="127" s="1"/>
  <c r="U36" i="127"/>
  <c r="W36" i="127" s="1"/>
  <c r="U32" i="127"/>
  <c r="W32" i="127" s="1"/>
  <c r="U28" i="127"/>
  <c r="W28" i="127" s="1"/>
  <c r="U24" i="127"/>
  <c r="W24" i="127" s="1"/>
  <c r="U22" i="127"/>
  <c r="W22" i="127" s="1"/>
  <c r="U355" i="127"/>
  <c r="W355" i="127" s="1"/>
  <c r="U351" i="127"/>
  <c r="W351" i="127" s="1"/>
  <c r="U347" i="127"/>
  <c r="W347" i="127" s="1"/>
  <c r="U343" i="127"/>
  <c r="W343" i="127" s="1"/>
  <c r="U339" i="127"/>
  <c r="W339" i="127" s="1"/>
  <c r="U335" i="127"/>
  <c r="W335" i="127" s="1"/>
  <c r="U331" i="127"/>
  <c r="W331" i="127" s="1"/>
  <c r="U327" i="127"/>
  <c r="W327" i="127" s="1"/>
  <c r="U323" i="127"/>
  <c r="W323" i="127" s="1"/>
  <c r="U319" i="127"/>
  <c r="W319" i="127" s="1"/>
  <c r="U315" i="127"/>
  <c r="W315" i="127" s="1"/>
  <c r="U311" i="127"/>
  <c r="W311" i="127" s="1"/>
  <c r="U307" i="127"/>
  <c r="W307" i="127" s="1"/>
  <c r="U303" i="127"/>
  <c r="W303" i="127" s="1"/>
  <c r="U299" i="127"/>
  <c r="W299" i="127" s="1"/>
  <c r="U295" i="127"/>
  <c r="W295" i="127" s="1"/>
  <c r="U291" i="127"/>
  <c r="W291" i="127" s="1"/>
  <c r="U287" i="127"/>
  <c r="W287" i="127" s="1"/>
  <c r="U283" i="127"/>
  <c r="W283" i="127" s="1"/>
  <c r="U279" i="127"/>
  <c r="W279" i="127" s="1"/>
  <c r="U275" i="127"/>
  <c r="W275" i="127" s="1"/>
  <c r="U271" i="127"/>
  <c r="W271" i="127" s="1"/>
  <c r="U267" i="127"/>
  <c r="W267" i="127" s="1"/>
  <c r="U263" i="127"/>
  <c r="W263" i="127" s="1"/>
  <c r="U259" i="127"/>
  <c r="W259" i="127" s="1"/>
  <c r="U255" i="127"/>
  <c r="W255" i="127" s="1"/>
  <c r="U251" i="127"/>
  <c r="W251" i="127" s="1"/>
  <c r="U247" i="127"/>
  <c r="W247" i="127" s="1"/>
  <c r="U243" i="127"/>
  <c r="W243" i="127" s="1"/>
  <c r="U239" i="127"/>
  <c r="W239" i="127" s="1"/>
  <c r="U235" i="127"/>
  <c r="W235" i="127" s="1"/>
  <c r="U231" i="127"/>
  <c r="W231" i="127" s="1"/>
  <c r="U227" i="127"/>
  <c r="W227" i="127" s="1"/>
  <c r="U223" i="127"/>
  <c r="W223" i="127" s="1"/>
  <c r="U219" i="127"/>
  <c r="W219" i="127" s="1"/>
  <c r="U215" i="127"/>
  <c r="W215" i="127" s="1"/>
  <c r="U211" i="127"/>
  <c r="W211" i="127" s="1"/>
  <c r="U207" i="127"/>
  <c r="W207" i="127" s="1"/>
  <c r="U203" i="127"/>
  <c r="W203" i="127" s="1"/>
  <c r="U199" i="127"/>
  <c r="W199" i="127" s="1"/>
  <c r="U195" i="127"/>
  <c r="W195" i="127" s="1"/>
  <c r="U191" i="127"/>
  <c r="W191" i="127" s="1"/>
  <c r="U187" i="127"/>
  <c r="W187" i="127" s="1"/>
  <c r="U183" i="127"/>
  <c r="W183" i="127" s="1"/>
  <c r="U179" i="127"/>
  <c r="W179" i="127" s="1"/>
  <c r="U175" i="127"/>
  <c r="W175" i="127" s="1"/>
  <c r="U171" i="127"/>
  <c r="W171" i="127" s="1"/>
  <c r="U167" i="127"/>
  <c r="W167" i="127" s="1"/>
  <c r="U163" i="127"/>
  <c r="W163" i="127" s="1"/>
  <c r="U159" i="127"/>
  <c r="W159" i="127" s="1"/>
  <c r="U155" i="127"/>
  <c r="W155" i="127" s="1"/>
  <c r="U151" i="127"/>
  <c r="W151" i="127" s="1"/>
  <c r="U147" i="127"/>
  <c r="W147" i="127" s="1"/>
  <c r="U143" i="127"/>
  <c r="W143" i="127" s="1"/>
  <c r="U139" i="127"/>
  <c r="W139" i="127" s="1"/>
  <c r="U135" i="127"/>
  <c r="W135" i="127" s="1"/>
  <c r="U131" i="127"/>
  <c r="W131" i="127" s="1"/>
  <c r="U127" i="127"/>
  <c r="W127" i="127" s="1"/>
  <c r="U123" i="127"/>
  <c r="W123" i="127" s="1"/>
  <c r="U119" i="127"/>
  <c r="W119" i="127" s="1"/>
  <c r="U115" i="127"/>
  <c r="W115" i="127" s="1"/>
  <c r="U111" i="127"/>
  <c r="W111" i="127" s="1"/>
  <c r="U107" i="127"/>
  <c r="W107" i="127" s="1"/>
  <c r="U103" i="127"/>
  <c r="W103" i="127" s="1"/>
  <c r="U99" i="127"/>
  <c r="W99" i="127" s="1"/>
  <c r="U95" i="127"/>
  <c r="W95" i="127" s="1"/>
  <c r="U91" i="127"/>
  <c r="W91" i="127" s="1"/>
  <c r="U87" i="127"/>
  <c r="W87" i="127" s="1"/>
  <c r="U83" i="127"/>
  <c r="W83" i="127" s="1"/>
  <c r="U79" i="127"/>
  <c r="W79" i="127" s="1"/>
  <c r="U75" i="127"/>
  <c r="W75" i="127" s="1"/>
  <c r="U71" i="127"/>
  <c r="W71" i="127" s="1"/>
  <c r="U67" i="127"/>
  <c r="W67" i="127" s="1"/>
  <c r="U63" i="127"/>
  <c r="W63" i="127" s="1"/>
  <c r="U59" i="127"/>
  <c r="W59" i="127" s="1"/>
  <c r="U55" i="127"/>
  <c r="W55" i="127" s="1"/>
  <c r="U51" i="127"/>
  <c r="W51" i="127" s="1"/>
  <c r="U47" i="127"/>
  <c r="W47" i="127" s="1"/>
  <c r="U43" i="127"/>
  <c r="W43" i="127" s="1"/>
  <c r="U39" i="127"/>
  <c r="W39" i="127" s="1"/>
  <c r="U35" i="127"/>
  <c r="W35" i="127" s="1"/>
  <c r="U31" i="127"/>
  <c r="W31" i="127" s="1"/>
  <c r="U27" i="127"/>
  <c r="W27" i="127" s="1"/>
  <c r="U23" i="127"/>
  <c r="W23" i="127" s="1"/>
  <c r="U26" i="127"/>
  <c r="W26" i="127" s="1"/>
  <c r="U354" i="127"/>
  <c r="W354" i="127" s="1"/>
  <c r="U350" i="127"/>
  <c r="W350" i="127" s="1"/>
  <c r="U346" i="127"/>
  <c r="W346" i="127" s="1"/>
  <c r="U342" i="127"/>
  <c r="W342" i="127" s="1"/>
  <c r="U338" i="127"/>
  <c r="W338" i="127" s="1"/>
  <c r="U334" i="127"/>
  <c r="W334" i="127" s="1"/>
  <c r="U330" i="127"/>
  <c r="W330" i="127" s="1"/>
  <c r="U326" i="127"/>
  <c r="W326" i="127" s="1"/>
  <c r="U322" i="127"/>
  <c r="W322" i="127" s="1"/>
  <c r="U318" i="127"/>
  <c r="W318" i="127" s="1"/>
  <c r="U314" i="127"/>
  <c r="W314" i="127" s="1"/>
  <c r="U310" i="127"/>
  <c r="W310" i="127" s="1"/>
  <c r="U306" i="127"/>
  <c r="W306" i="127" s="1"/>
  <c r="U302" i="127"/>
  <c r="W302" i="127" s="1"/>
  <c r="U298" i="127"/>
  <c r="W298" i="127" s="1"/>
  <c r="U294" i="127"/>
  <c r="W294" i="127" s="1"/>
  <c r="U290" i="127"/>
  <c r="W290" i="127" s="1"/>
  <c r="U286" i="127"/>
  <c r="W286" i="127" s="1"/>
  <c r="U282" i="127"/>
  <c r="W282" i="127" s="1"/>
  <c r="U278" i="127"/>
  <c r="W278" i="127" s="1"/>
  <c r="U274" i="127"/>
  <c r="W274" i="127" s="1"/>
  <c r="U270" i="127"/>
  <c r="W270" i="127" s="1"/>
  <c r="U266" i="127"/>
  <c r="W266" i="127" s="1"/>
  <c r="U262" i="127"/>
  <c r="W262" i="127" s="1"/>
  <c r="U258" i="127"/>
  <c r="W258" i="127" s="1"/>
  <c r="U254" i="127"/>
  <c r="W254" i="127" s="1"/>
  <c r="U250" i="127"/>
  <c r="W250" i="127" s="1"/>
  <c r="U246" i="127"/>
  <c r="W246" i="127" s="1"/>
  <c r="U242" i="127"/>
  <c r="W242" i="127" s="1"/>
  <c r="U238" i="127"/>
  <c r="W238" i="127" s="1"/>
  <c r="U234" i="127"/>
  <c r="W234" i="127" s="1"/>
  <c r="U230" i="127"/>
  <c r="W230" i="127" s="1"/>
  <c r="U226" i="127"/>
  <c r="W226" i="127" s="1"/>
  <c r="U222" i="127"/>
  <c r="W222" i="127" s="1"/>
  <c r="U218" i="127"/>
  <c r="W218" i="127" s="1"/>
  <c r="U214" i="127"/>
  <c r="W214" i="127" s="1"/>
  <c r="U210" i="127"/>
  <c r="W210" i="127" s="1"/>
  <c r="U206" i="127"/>
  <c r="W206" i="127" s="1"/>
  <c r="U202" i="127"/>
  <c r="W202" i="127" s="1"/>
  <c r="U198" i="127"/>
  <c r="W198" i="127" s="1"/>
  <c r="U194" i="127"/>
  <c r="W194" i="127" s="1"/>
  <c r="U190" i="127"/>
  <c r="W190" i="127" s="1"/>
  <c r="U186" i="127"/>
  <c r="W186" i="127" s="1"/>
  <c r="U182" i="127"/>
  <c r="W182" i="127" s="1"/>
  <c r="U178" i="127"/>
  <c r="W178" i="127" s="1"/>
  <c r="U174" i="127"/>
  <c r="W174" i="127" s="1"/>
  <c r="U170" i="127"/>
  <c r="W170" i="127" s="1"/>
  <c r="U166" i="127"/>
  <c r="W166" i="127" s="1"/>
  <c r="U162" i="127"/>
  <c r="W162" i="127" s="1"/>
  <c r="U158" i="127"/>
  <c r="W158" i="127" s="1"/>
  <c r="U154" i="127"/>
  <c r="W154" i="127" s="1"/>
  <c r="U150" i="127"/>
  <c r="W150" i="127" s="1"/>
  <c r="U146" i="127"/>
  <c r="W146" i="127" s="1"/>
  <c r="U142" i="127"/>
  <c r="W142" i="127" s="1"/>
  <c r="U138" i="127"/>
  <c r="W138" i="127" s="1"/>
  <c r="U134" i="127"/>
  <c r="W134" i="127" s="1"/>
  <c r="U130" i="127"/>
  <c r="W130" i="127" s="1"/>
  <c r="U126" i="127"/>
  <c r="W126" i="127" s="1"/>
  <c r="U122" i="127"/>
  <c r="W122" i="127" s="1"/>
  <c r="U118" i="127"/>
  <c r="W118" i="127" s="1"/>
  <c r="U114" i="127"/>
  <c r="W114" i="127" s="1"/>
  <c r="U110" i="127"/>
  <c r="W110" i="127" s="1"/>
  <c r="U106" i="127"/>
  <c r="W106" i="127" s="1"/>
  <c r="U102" i="127"/>
  <c r="W102" i="127" s="1"/>
  <c r="U98" i="127"/>
  <c r="W98" i="127" s="1"/>
  <c r="U94" i="127"/>
  <c r="W94" i="127" s="1"/>
  <c r="U90" i="127"/>
  <c r="W90" i="127" s="1"/>
  <c r="U86" i="127"/>
  <c r="W86" i="127" s="1"/>
  <c r="U82" i="127"/>
  <c r="W82" i="127" s="1"/>
  <c r="U78" i="127"/>
  <c r="W78" i="127" s="1"/>
  <c r="U74" i="127"/>
  <c r="W74" i="127" s="1"/>
  <c r="U70" i="127"/>
  <c r="W70" i="127" s="1"/>
  <c r="U66" i="127"/>
  <c r="W66" i="127" s="1"/>
  <c r="U62" i="127"/>
  <c r="W62" i="127" s="1"/>
  <c r="U58" i="127"/>
  <c r="W58" i="127" s="1"/>
  <c r="U54" i="127"/>
  <c r="W54" i="127" s="1"/>
  <c r="U50" i="127"/>
  <c r="W50" i="127" s="1"/>
  <c r="U46" i="127"/>
  <c r="W46" i="127" s="1"/>
  <c r="U42" i="127"/>
  <c r="W42" i="127" s="1"/>
  <c r="U38" i="127"/>
  <c r="W38" i="127" s="1"/>
  <c r="U34" i="127"/>
  <c r="W34" i="127" s="1"/>
  <c r="U30" i="127"/>
  <c r="W30" i="127" s="1"/>
  <c r="U101" i="127"/>
  <c r="W101" i="127" s="1"/>
  <c r="U353" i="127"/>
  <c r="W353" i="127" s="1"/>
  <c r="U349" i="127"/>
  <c r="W349" i="127" s="1"/>
  <c r="U345" i="127"/>
  <c r="W345" i="127" s="1"/>
  <c r="U341" i="127"/>
  <c r="W341" i="127" s="1"/>
  <c r="U337" i="127"/>
  <c r="W337" i="127" s="1"/>
  <c r="U333" i="127"/>
  <c r="W333" i="127" s="1"/>
  <c r="U329" i="127"/>
  <c r="W329" i="127" s="1"/>
  <c r="U325" i="127"/>
  <c r="W325" i="127" s="1"/>
  <c r="U321" i="127"/>
  <c r="W321" i="127" s="1"/>
  <c r="U317" i="127"/>
  <c r="W317" i="127" s="1"/>
  <c r="U313" i="127"/>
  <c r="W313" i="127" s="1"/>
  <c r="U309" i="127"/>
  <c r="W309" i="127" s="1"/>
  <c r="U305" i="127"/>
  <c r="W305" i="127" s="1"/>
  <c r="U301" i="127"/>
  <c r="W301" i="127" s="1"/>
  <c r="U297" i="127"/>
  <c r="W297" i="127" s="1"/>
  <c r="U293" i="127"/>
  <c r="W293" i="127" s="1"/>
  <c r="U289" i="127"/>
  <c r="W289" i="127" s="1"/>
  <c r="U285" i="127"/>
  <c r="W285" i="127" s="1"/>
  <c r="U281" i="127"/>
  <c r="W281" i="127" s="1"/>
  <c r="U277" i="127"/>
  <c r="W277" i="127" s="1"/>
  <c r="U273" i="127"/>
  <c r="W273" i="127" s="1"/>
  <c r="U269" i="127"/>
  <c r="W269" i="127" s="1"/>
  <c r="U265" i="127"/>
  <c r="W265" i="127" s="1"/>
  <c r="U261" i="127"/>
  <c r="W261" i="127" s="1"/>
  <c r="U257" i="127"/>
  <c r="W257" i="127" s="1"/>
  <c r="U253" i="127"/>
  <c r="W253" i="127" s="1"/>
  <c r="U249" i="127"/>
  <c r="W249" i="127" s="1"/>
  <c r="U245" i="127"/>
  <c r="W245" i="127" s="1"/>
  <c r="U241" i="127"/>
  <c r="W241" i="127" s="1"/>
  <c r="U237" i="127"/>
  <c r="W237" i="127" s="1"/>
  <c r="U233" i="127"/>
  <c r="W233" i="127" s="1"/>
  <c r="U229" i="127"/>
  <c r="W229" i="127" s="1"/>
  <c r="U225" i="127"/>
  <c r="W225" i="127" s="1"/>
  <c r="U221" i="127"/>
  <c r="W221" i="127" s="1"/>
  <c r="U217" i="127"/>
  <c r="W217" i="127" s="1"/>
  <c r="U213" i="127"/>
  <c r="W213" i="127" s="1"/>
  <c r="U209" i="127"/>
  <c r="W209" i="127" s="1"/>
  <c r="U205" i="127"/>
  <c r="W205" i="127" s="1"/>
  <c r="U201" i="127"/>
  <c r="W201" i="127" s="1"/>
  <c r="U197" i="127"/>
  <c r="W197" i="127" s="1"/>
  <c r="U193" i="127"/>
  <c r="W193" i="127" s="1"/>
  <c r="U189" i="127"/>
  <c r="W189" i="127" s="1"/>
  <c r="U185" i="127"/>
  <c r="W185" i="127" s="1"/>
  <c r="U181" i="127"/>
  <c r="W181" i="127" s="1"/>
  <c r="U177" i="127"/>
  <c r="W177" i="127" s="1"/>
  <c r="U173" i="127"/>
  <c r="W173" i="127" s="1"/>
  <c r="U169" i="127"/>
  <c r="W169" i="127" s="1"/>
  <c r="U165" i="127"/>
  <c r="W165" i="127" s="1"/>
  <c r="U161" i="127"/>
  <c r="W161" i="127" s="1"/>
  <c r="U157" i="127"/>
  <c r="W157" i="127" s="1"/>
  <c r="U153" i="127"/>
  <c r="W153" i="127" s="1"/>
  <c r="U149" i="127"/>
  <c r="W149" i="127" s="1"/>
  <c r="U145" i="127"/>
  <c r="W145" i="127" s="1"/>
  <c r="U141" i="127"/>
  <c r="W141" i="127" s="1"/>
  <c r="U137" i="127"/>
  <c r="W137" i="127" s="1"/>
  <c r="U133" i="127"/>
  <c r="W133" i="127" s="1"/>
  <c r="U129" i="127"/>
  <c r="W129" i="127" s="1"/>
  <c r="U125" i="127"/>
  <c r="W125" i="127" s="1"/>
  <c r="U121" i="127"/>
  <c r="W121" i="127" s="1"/>
  <c r="U117" i="127"/>
  <c r="W117" i="127" s="1"/>
  <c r="U113" i="127"/>
  <c r="W113" i="127" s="1"/>
  <c r="U109" i="127"/>
  <c r="W109" i="127" s="1"/>
  <c r="U105" i="127"/>
  <c r="W105" i="127" s="1"/>
  <c r="U97" i="127"/>
  <c r="W97" i="127" s="1"/>
  <c r="U93" i="127"/>
  <c r="W93" i="127" s="1"/>
  <c r="U77" i="127"/>
  <c r="W77" i="127" s="1"/>
  <c r="U61" i="127"/>
  <c r="W61" i="127" s="1"/>
  <c r="U45" i="127"/>
  <c r="W45" i="127" s="1"/>
  <c r="U29" i="127"/>
  <c r="W29" i="127" s="1"/>
  <c r="U89" i="127"/>
  <c r="W89" i="127" s="1"/>
  <c r="U73" i="127"/>
  <c r="W73" i="127" s="1"/>
  <c r="U57" i="127"/>
  <c r="W57" i="127" s="1"/>
  <c r="U41" i="127"/>
  <c r="W41" i="127" s="1"/>
  <c r="U25" i="127"/>
  <c r="W25" i="127" s="1"/>
  <c r="U85" i="127"/>
  <c r="W85" i="127" s="1"/>
  <c r="U69" i="127"/>
  <c r="W69" i="127" s="1"/>
  <c r="U53" i="127"/>
  <c r="W53" i="127" s="1"/>
  <c r="U37" i="127"/>
  <c r="W37" i="127" s="1"/>
  <c r="U21" i="127"/>
  <c r="W21" i="127" s="1"/>
  <c r="U81" i="127"/>
  <c r="W81" i="127" s="1"/>
  <c r="U65" i="127"/>
  <c r="W65" i="127" s="1"/>
  <c r="U49" i="127"/>
  <c r="W49" i="127" s="1"/>
  <c r="U33" i="127"/>
  <c r="W33" i="127" s="1"/>
  <c r="K201" i="113"/>
  <c r="M20" i="127"/>
  <c r="O20" i="127"/>
  <c r="BS43" i="127"/>
  <c r="L36" i="127" s="1"/>
  <c r="BS42" i="127"/>
  <c r="L35" i="127" s="1"/>
  <c r="BN18" i="127" a="1"/>
  <c r="BN18" i="127" s="1"/>
  <c r="BK908" i="127" s="1"/>
  <c r="BS44" i="127"/>
  <c r="L37" i="127" s="1"/>
  <c r="N167" i="113"/>
  <c r="N177" i="113"/>
  <c r="N171" i="113"/>
  <c r="N185" i="113"/>
  <c r="N176" i="113"/>
  <c r="N191" i="113"/>
  <c r="N163" i="113"/>
  <c r="N183" i="113"/>
  <c r="N190" i="113"/>
  <c r="N172" i="113"/>
  <c r="N159" i="113"/>
  <c r="N162" i="113"/>
  <c r="N169" i="113"/>
  <c r="N158" i="113"/>
  <c r="N168" i="113"/>
  <c r="N184" i="113"/>
  <c r="N157" i="113"/>
  <c r="N166" i="113"/>
  <c r="N186" i="113"/>
  <c r="N188" i="113"/>
  <c r="N155" i="113"/>
  <c r="N161" i="113"/>
  <c r="N175" i="113"/>
  <c r="N173" i="113"/>
  <c r="N181" i="113"/>
  <c r="N187" i="113"/>
  <c r="N180" i="113"/>
  <c r="N193" i="113"/>
  <c r="N156" i="113"/>
  <c r="N189" i="113"/>
  <c r="N192" i="113"/>
  <c r="N164" i="113"/>
  <c r="N170" i="113"/>
  <c r="N179" i="113"/>
  <c r="N160" i="113"/>
  <c r="N165" i="113"/>
  <c r="N182" i="113"/>
  <c r="N178" i="113"/>
  <c r="T153" i="113"/>
  <c r="W162" i="113"/>
  <c r="W193" i="113"/>
  <c r="W173" i="113"/>
  <c r="T150" i="113"/>
  <c r="T172" i="113"/>
  <c r="T144" i="113"/>
  <c r="Q143" i="113"/>
  <c r="Q152" i="113"/>
  <c r="Q149" i="113"/>
  <c r="T170" i="113"/>
  <c r="W137" i="113"/>
  <c r="W186" i="113"/>
  <c r="W138" i="113"/>
  <c r="W192" i="113"/>
  <c r="T152" i="113"/>
  <c r="T168" i="113"/>
  <c r="Q135" i="113"/>
  <c r="Q141" i="113"/>
  <c r="Q180" i="113"/>
  <c r="Q178" i="113"/>
  <c r="W158" i="113"/>
  <c r="W149" i="113"/>
  <c r="W160" i="113"/>
  <c r="W140" i="113"/>
  <c r="W161" i="113"/>
  <c r="T139" i="113"/>
  <c r="T171" i="113"/>
  <c r="Q147" i="113"/>
  <c r="Q158" i="113"/>
  <c r="Q148" i="113"/>
  <c r="Q192" i="113"/>
  <c r="T158" i="113"/>
  <c r="T187" i="113"/>
  <c r="T193" i="113"/>
  <c r="W184" i="113"/>
  <c r="W156" i="113"/>
  <c r="T186" i="113"/>
  <c r="T159" i="113"/>
  <c r="Q165" i="113"/>
  <c r="Q168" i="113"/>
  <c r="Q162" i="113"/>
  <c r="T213" i="113"/>
  <c r="T239" i="113"/>
  <c r="W247" i="113"/>
  <c r="Q226" i="113"/>
  <c r="T230" i="113"/>
  <c r="T251" i="113"/>
  <c r="T209" i="113"/>
  <c r="W207" i="113"/>
  <c r="W225" i="113"/>
  <c r="W239" i="113"/>
  <c r="W219" i="113"/>
  <c r="T235" i="113"/>
  <c r="Q251" i="113"/>
  <c r="Q232" i="113"/>
  <c r="Q211" i="113"/>
  <c r="Q210" i="113"/>
  <c r="T243" i="113"/>
  <c r="W229" i="113"/>
  <c r="T240" i="113"/>
  <c r="Q249" i="113"/>
  <c r="Q220" i="113"/>
  <c r="Q230" i="113"/>
  <c r="W221" i="113"/>
  <c r="Q225" i="113"/>
  <c r="W252" i="113"/>
  <c r="T201" i="113"/>
  <c r="T204" i="113"/>
  <c r="W237" i="113"/>
  <c r="W236" i="113"/>
  <c r="W257" i="113"/>
  <c r="W248" i="113"/>
  <c r="Q222" i="113"/>
  <c r="Q242" i="113"/>
  <c r="Q228" i="113"/>
  <c r="Q202" i="113"/>
  <c r="T222" i="113"/>
  <c r="W224" i="113"/>
  <c r="W210" i="113"/>
  <c r="W222" i="113"/>
  <c r="Q229" i="113"/>
  <c r="T252" i="113"/>
  <c r="T250" i="113"/>
  <c r="Q205" i="113"/>
  <c r="W308" i="113"/>
  <c r="W275" i="113"/>
  <c r="W274" i="113"/>
  <c r="W303" i="113"/>
  <c r="W305" i="113"/>
  <c r="W268" i="113"/>
  <c r="W284" i="113"/>
  <c r="W316" i="113"/>
  <c r="W277" i="113"/>
  <c r="W281" i="113"/>
  <c r="W291" i="113"/>
  <c r="W273" i="113"/>
  <c r="W314" i="113"/>
  <c r="W271" i="113"/>
  <c r="W292" i="113"/>
  <c r="T276" i="113"/>
  <c r="T290" i="113"/>
  <c r="T288" i="113"/>
  <c r="T308" i="113"/>
  <c r="T297" i="113"/>
  <c r="T293" i="113"/>
  <c r="T278" i="113"/>
  <c r="T315" i="113"/>
  <c r="T275" i="113"/>
  <c r="T295" i="113"/>
  <c r="T311" i="113"/>
  <c r="T299" i="113"/>
  <c r="T296" i="113"/>
  <c r="T300" i="113"/>
  <c r="Q293" i="113"/>
  <c r="Q312" i="113"/>
  <c r="Q281" i="113"/>
  <c r="Q277" i="113"/>
  <c r="Q283" i="113"/>
  <c r="Q305" i="113"/>
  <c r="Q286" i="113"/>
  <c r="Q319" i="113"/>
  <c r="Q263" i="113"/>
  <c r="Q280" i="113"/>
  <c r="Q308" i="113"/>
  <c r="Q289" i="113"/>
  <c r="Q290" i="113"/>
  <c r="T183" i="113"/>
  <c r="W179" i="113"/>
  <c r="W169" i="113"/>
  <c r="T164" i="113"/>
  <c r="W167" i="113"/>
  <c r="T136" i="113"/>
  <c r="T151" i="113"/>
  <c r="Q145" i="113"/>
  <c r="Q176" i="113"/>
  <c r="Q138" i="113"/>
  <c r="Q164" i="113"/>
  <c r="T191" i="113"/>
  <c r="T147" i="113"/>
  <c r="W180" i="113"/>
  <c r="W151" i="113"/>
  <c r="W189" i="113"/>
  <c r="T184" i="113"/>
  <c r="T192" i="113"/>
  <c r="Q156" i="113"/>
  <c r="Q183" i="113"/>
  <c r="Q137" i="113"/>
  <c r="Q155" i="113"/>
  <c r="T166" i="113"/>
  <c r="W191" i="113"/>
  <c r="W136" i="113"/>
  <c r="T138" i="113"/>
  <c r="T177" i="113"/>
  <c r="T163" i="113"/>
  <c r="T178" i="113"/>
  <c r="Q182" i="113"/>
  <c r="Q188" i="113"/>
  <c r="Q151" i="113"/>
  <c r="W182" i="113"/>
  <c r="T155" i="113"/>
  <c r="W150" i="113"/>
  <c r="W164" i="113"/>
  <c r="W185" i="113"/>
  <c r="W148" i="113"/>
  <c r="T157" i="113"/>
  <c r="T165" i="113"/>
  <c r="Q184" i="113"/>
  <c r="Q150" i="113"/>
  <c r="Q170" i="113"/>
  <c r="Q185" i="113"/>
  <c r="T234" i="113"/>
  <c r="T246" i="113"/>
  <c r="W249" i="113"/>
  <c r="Q254" i="113"/>
  <c r="T212" i="113"/>
  <c r="T249" i="113"/>
  <c r="T229" i="113"/>
  <c r="W246" i="113"/>
  <c r="W234" i="113"/>
  <c r="W240" i="113"/>
  <c r="T206" i="113"/>
  <c r="Q235" i="113"/>
  <c r="Q256" i="113"/>
  <c r="Q236" i="113"/>
  <c r="Q213" i="113"/>
  <c r="Q212" i="113"/>
  <c r="W209" i="113"/>
  <c r="W205" i="113"/>
  <c r="T210" i="113"/>
  <c r="Q241" i="113"/>
  <c r="Q234" i="113"/>
  <c r="Q216" i="113"/>
  <c r="W200" i="113"/>
  <c r="Q255" i="113"/>
  <c r="T215" i="113"/>
  <c r="T200" i="113"/>
  <c r="T241" i="113"/>
  <c r="W204" i="113"/>
  <c r="W241" i="113"/>
  <c r="W233" i="113"/>
  <c r="W235" i="113"/>
  <c r="Q250" i="113"/>
  <c r="Q231" i="113"/>
  <c r="Q221" i="113"/>
  <c r="T236" i="113"/>
  <c r="T245" i="113"/>
  <c r="W201" i="113"/>
  <c r="W226" i="113"/>
  <c r="W223" i="113"/>
  <c r="Q239" i="113"/>
  <c r="T203" i="113"/>
  <c r="T231" i="113"/>
  <c r="Q199" i="113"/>
  <c r="W307" i="113"/>
  <c r="W286" i="113"/>
  <c r="W278" i="113"/>
  <c r="W313" i="113"/>
  <c r="W279" i="113"/>
  <c r="W289" i="113"/>
  <c r="W272" i="113"/>
  <c r="W309" i="113"/>
  <c r="W288" i="113"/>
  <c r="W287" i="113"/>
  <c r="W294" i="113"/>
  <c r="W264" i="113"/>
  <c r="W320" i="113"/>
  <c r="W276" i="113"/>
  <c r="T314" i="113"/>
  <c r="T298" i="113"/>
  <c r="T274" i="113"/>
  <c r="T318" i="113"/>
  <c r="T307" i="113"/>
  <c r="T270" i="113"/>
  <c r="T291" i="113"/>
  <c r="T272" i="113"/>
  <c r="T310" i="113"/>
  <c r="T294" i="113"/>
  <c r="T286" i="113"/>
  <c r="T304" i="113"/>
  <c r="T265" i="113"/>
  <c r="T289" i="113"/>
  <c r="T269" i="113"/>
  <c r="Q307" i="113"/>
  <c r="Q309" i="113"/>
  <c r="Q271" i="113"/>
  <c r="Q287" i="113"/>
  <c r="Q303" i="113"/>
  <c r="Q272" i="113"/>
  <c r="Q291" i="113"/>
  <c r="Q313" i="113"/>
  <c r="Q275" i="113"/>
  <c r="Q276" i="113"/>
  <c r="Q316" i="113"/>
  <c r="T141" i="113"/>
  <c r="T162" i="113"/>
  <c r="W155" i="113"/>
  <c r="W135" i="113"/>
  <c r="W172" i="113"/>
  <c r="T167" i="113"/>
  <c r="T176" i="113"/>
  <c r="Q140" i="113"/>
  <c r="Q166" i="113"/>
  <c r="Q160" i="113"/>
  <c r="W170" i="113"/>
  <c r="W175" i="113"/>
  <c r="W143" i="113"/>
  <c r="W159" i="113"/>
  <c r="W144" i="113"/>
  <c r="T179" i="113"/>
  <c r="T190" i="113"/>
  <c r="Q173" i="113"/>
  <c r="Q172" i="113"/>
  <c r="Q142" i="113"/>
  <c r="Q181" i="113"/>
  <c r="T146" i="113"/>
  <c r="W141" i="113"/>
  <c r="T160" i="113"/>
  <c r="W163" i="113"/>
  <c r="W139" i="113"/>
  <c r="T169" i="113"/>
  <c r="T185" i="113"/>
  <c r="Q169" i="113"/>
  <c r="Q167" i="113"/>
  <c r="Q189" i="113"/>
  <c r="Q193" i="113"/>
  <c r="T137" i="113"/>
  <c r="W187" i="113"/>
  <c r="W177" i="113"/>
  <c r="W157" i="113"/>
  <c r="W178" i="113"/>
  <c r="T156" i="113"/>
  <c r="T188" i="113"/>
  <c r="Q171" i="113"/>
  <c r="Q177" i="113"/>
  <c r="Q186" i="113"/>
  <c r="Q179" i="113"/>
  <c r="T242" i="113"/>
  <c r="T199" i="113"/>
  <c r="W202" i="113"/>
  <c r="Q207" i="113"/>
  <c r="T237" i="113"/>
  <c r="T255" i="113"/>
  <c r="W212" i="113"/>
  <c r="W216" i="113"/>
  <c r="W199" i="113"/>
  <c r="W244" i="113"/>
  <c r="T244" i="113"/>
  <c r="Q224" i="113"/>
  <c r="Q246" i="113"/>
  <c r="Q243" i="113"/>
  <c r="Q200" i="113"/>
  <c r="T221" i="113"/>
  <c r="W230" i="113"/>
  <c r="W206" i="113"/>
  <c r="T214" i="113"/>
  <c r="Q257" i="113"/>
  <c r="Q240" i="113"/>
  <c r="Q206" i="113"/>
  <c r="W245" i="113"/>
  <c r="Q223" i="113"/>
  <c r="T253" i="113"/>
  <c r="T207" i="113"/>
  <c r="T226" i="113"/>
  <c r="W220" i="113"/>
  <c r="W254" i="113"/>
  <c r="W255" i="113"/>
  <c r="T216" i="113"/>
  <c r="Q219" i="113"/>
  <c r="Q253" i="113"/>
  <c r="Q208" i="113"/>
  <c r="T217" i="113"/>
  <c r="W250" i="113"/>
  <c r="W228" i="113"/>
  <c r="W211" i="113"/>
  <c r="T256" i="113"/>
  <c r="Q203" i="113"/>
  <c r="T247" i="113"/>
  <c r="Q248" i="113"/>
  <c r="W266" i="113"/>
  <c r="W270" i="113"/>
  <c r="W296" i="113"/>
  <c r="W317" i="113"/>
  <c r="W269" i="113"/>
  <c r="W298" i="113"/>
  <c r="W321" i="113"/>
  <c r="W304" i="113"/>
  <c r="W301" i="113"/>
  <c r="W267" i="113"/>
  <c r="W285" i="113"/>
  <c r="W306" i="113"/>
  <c r="W315" i="113"/>
  <c r="W293" i="113"/>
  <c r="T319" i="113"/>
  <c r="T292" i="113"/>
  <c r="T273" i="113"/>
  <c r="T316" i="113"/>
  <c r="T268" i="113"/>
  <c r="T284" i="113"/>
  <c r="T266" i="113"/>
  <c r="T303" i="113"/>
  <c r="T312" i="113"/>
  <c r="T301" i="113"/>
  <c r="T321" i="113"/>
  <c r="T313" i="113"/>
  <c r="T271" i="113"/>
  <c r="T264" i="113"/>
  <c r="Q321" i="113"/>
  <c r="Q318" i="113"/>
  <c r="Q311" i="113"/>
  <c r="Q279" i="113"/>
  <c r="Q314" i="113"/>
  <c r="Q296" i="113"/>
  <c r="Q268" i="113"/>
  <c r="Q306" i="113"/>
  <c r="Q300" i="113"/>
  <c r="Q267" i="113"/>
  <c r="Q301" i="113"/>
  <c r="Q320" i="113"/>
  <c r="W153" i="113"/>
  <c r="W145" i="113"/>
  <c r="W176" i="113"/>
  <c r="W181" i="113"/>
  <c r="W171" i="113"/>
  <c r="W165" i="113"/>
  <c r="T173" i="113"/>
  <c r="Q159" i="113"/>
  <c r="Q157" i="113"/>
  <c r="Q190" i="113"/>
  <c r="T175" i="113"/>
  <c r="W166" i="113"/>
  <c r="W142" i="113"/>
  <c r="W190" i="113"/>
  <c r="T143" i="113"/>
  <c r="T189" i="113"/>
  <c r="T161" i="113"/>
  <c r="Q146" i="113"/>
  <c r="Q161" i="113"/>
  <c r="Q163" i="113"/>
  <c r="T182" i="113"/>
  <c r="T145" i="113"/>
  <c r="T181" i="113"/>
  <c r="W147" i="113"/>
  <c r="W168" i="113"/>
  <c r="W188" i="113"/>
  <c r="T140" i="113"/>
  <c r="T148" i="113"/>
  <c r="Q144" i="113"/>
  <c r="Q187" i="113"/>
  <c r="Q139" i="113"/>
  <c r="Q175" i="113"/>
  <c r="T149" i="113"/>
  <c r="W183" i="113"/>
  <c r="W152" i="113"/>
  <c r="T142" i="113"/>
  <c r="W146" i="113"/>
  <c r="T180" i="113"/>
  <c r="T135" i="113"/>
  <c r="Q136" i="113"/>
  <c r="Q191" i="113"/>
  <c r="Q153" i="113"/>
  <c r="T257" i="113"/>
  <c r="T224" i="113"/>
  <c r="T208" i="113"/>
  <c r="T227" i="113"/>
  <c r="Q204" i="113"/>
  <c r="T232" i="113"/>
  <c r="T220" i="113"/>
  <c r="W243" i="113"/>
  <c r="W253" i="113"/>
  <c r="W208" i="113"/>
  <c r="W231" i="113"/>
  <c r="T248" i="113"/>
  <c r="Q245" i="113"/>
  <c r="Q247" i="113"/>
  <c r="Q209" i="113"/>
  <c r="Q201" i="113"/>
  <c r="T225" i="113"/>
  <c r="W232" i="113"/>
  <c r="T233" i="113"/>
  <c r="T202" i="113"/>
  <c r="Q244" i="113"/>
  <c r="Q233" i="113"/>
  <c r="W203" i="113"/>
  <c r="W227" i="113"/>
  <c r="Q215" i="113"/>
  <c r="T211" i="113"/>
  <c r="T205" i="113"/>
  <c r="T254" i="113"/>
  <c r="W213" i="113"/>
  <c r="W251" i="113"/>
  <c r="W256" i="113"/>
  <c r="T223" i="113"/>
  <c r="Q237" i="113"/>
  <c r="Q252" i="113"/>
  <c r="Q217" i="113"/>
  <c r="T228" i="113"/>
  <c r="W215" i="113"/>
  <c r="W242" i="113"/>
  <c r="W217" i="113"/>
  <c r="T219" i="113"/>
  <c r="Q214" i="113"/>
  <c r="W214" i="113"/>
  <c r="Q227" i="113"/>
  <c r="W300" i="113"/>
  <c r="W280" i="113"/>
  <c r="W319" i="113"/>
  <c r="W312" i="113"/>
  <c r="W297" i="113"/>
  <c r="W295" i="113"/>
  <c r="W318" i="113"/>
  <c r="W311" i="113"/>
  <c r="W290" i="113"/>
  <c r="W265" i="113"/>
  <c r="W299" i="113"/>
  <c r="W310" i="113"/>
  <c r="W283" i="113"/>
  <c r="W263" i="113"/>
  <c r="T317" i="113"/>
  <c r="T287" i="113"/>
  <c r="T283" i="113"/>
  <c r="T309" i="113"/>
  <c r="T277" i="113"/>
  <c r="T285" i="113"/>
  <c r="T279" i="113"/>
  <c r="T306" i="113"/>
  <c r="T267" i="113"/>
  <c r="T281" i="113"/>
  <c r="T320" i="113"/>
  <c r="T305" i="113"/>
  <c r="T280" i="113"/>
  <c r="T263" i="113"/>
  <c r="Q285" i="113"/>
  <c r="Q298" i="113"/>
  <c r="Q288" i="113"/>
  <c r="Q270" i="113"/>
  <c r="Q299" i="113"/>
  <c r="Q284" i="113"/>
  <c r="Q310" i="113"/>
  <c r="Q304" i="113"/>
  <c r="Q278" i="113"/>
  <c r="Q273" i="113"/>
  <c r="Q294" i="113"/>
  <c r="Q297" i="113"/>
  <c r="Q292" i="113"/>
  <c r="Q315" i="113"/>
  <c r="Q274" i="113"/>
  <c r="Q295" i="113"/>
  <c r="Q269" i="113"/>
  <c r="Q317" i="113"/>
  <c r="Q266" i="113"/>
  <c r="Q264" i="113"/>
  <c r="Q265" i="113"/>
  <c r="N316" i="113"/>
  <c r="N233" i="113"/>
  <c r="N287" i="113"/>
  <c r="N305" i="113"/>
  <c r="N267" i="113"/>
  <c r="N244" i="113"/>
  <c r="N224" i="113"/>
  <c r="N300" i="113"/>
  <c r="N277" i="113"/>
  <c r="N229" i="113"/>
  <c r="N320" i="113"/>
  <c r="N221" i="113"/>
  <c r="N226" i="113"/>
  <c r="N289" i="113"/>
  <c r="N245" i="113"/>
  <c r="N276" i="113"/>
  <c r="N290" i="113"/>
  <c r="N250" i="113"/>
  <c r="N291" i="113"/>
  <c r="N286" i="113"/>
  <c r="N235" i="113"/>
  <c r="N304" i="113"/>
  <c r="N295" i="113"/>
  <c r="N285" i="113"/>
  <c r="N264" i="113"/>
  <c r="N253" i="113"/>
  <c r="N275" i="113"/>
  <c r="N296" i="113"/>
  <c r="N230" i="113"/>
  <c r="N271" i="113"/>
  <c r="N219" i="113"/>
  <c r="N307" i="113"/>
  <c r="N227" i="113"/>
  <c r="N278" i="113"/>
  <c r="N222" i="113"/>
  <c r="N292" i="113"/>
  <c r="N265" i="113"/>
  <c r="N240" i="113"/>
  <c r="N314" i="113"/>
  <c r="N283" i="113"/>
  <c r="N310" i="113"/>
  <c r="N319" i="113"/>
  <c r="N241" i="113"/>
  <c r="N303" i="113"/>
  <c r="N272" i="113"/>
  <c r="N279" i="113"/>
  <c r="N232" i="113"/>
  <c r="N280" i="113"/>
  <c r="N284" i="113"/>
  <c r="N288" i="113"/>
  <c r="N255" i="113"/>
  <c r="N234" i="113"/>
  <c r="N248" i="113"/>
  <c r="N254" i="113"/>
  <c r="N321" i="113"/>
  <c r="N270" i="113"/>
  <c r="N273" i="113"/>
  <c r="N311" i="113"/>
  <c r="N251" i="113"/>
  <c r="N257" i="113"/>
  <c r="N231" i="113"/>
  <c r="N318" i="113"/>
  <c r="N299" i="113"/>
  <c r="N313" i="113"/>
  <c r="N236" i="113"/>
  <c r="N266" i="113"/>
  <c r="N309" i="113"/>
  <c r="N249" i="113"/>
  <c r="N239" i="113"/>
  <c r="N228" i="113"/>
  <c r="N256" i="113"/>
  <c r="N281" i="113"/>
  <c r="N308" i="113"/>
  <c r="N297" i="113"/>
  <c r="N269" i="113"/>
  <c r="N243" i="113"/>
  <c r="N306" i="113"/>
  <c r="N274" i="113"/>
  <c r="N294" i="113"/>
  <c r="N242" i="113"/>
  <c r="N247" i="113"/>
  <c r="N246" i="113"/>
  <c r="N312" i="113"/>
  <c r="N220" i="113"/>
  <c r="N301" i="113"/>
  <c r="N237" i="113"/>
  <c r="N268" i="113"/>
  <c r="N315" i="113"/>
  <c r="N252" i="113"/>
  <c r="N293" i="113"/>
  <c r="N225" i="113"/>
  <c r="N298" i="113"/>
  <c r="N317" i="113"/>
  <c r="N223" i="113"/>
  <c r="N263" i="113"/>
  <c r="K200" i="113"/>
  <c r="K245" i="113"/>
  <c r="K263" i="113"/>
  <c r="K264" i="113"/>
  <c r="K188" i="113"/>
  <c r="K319" i="113"/>
  <c r="K292" i="113"/>
  <c r="K297" i="113"/>
  <c r="K300" i="113"/>
  <c r="K189" i="113"/>
  <c r="K185" i="113"/>
  <c r="K224" i="113"/>
  <c r="K273" i="113"/>
  <c r="K270" i="113"/>
  <c r="K248" i="113"/>
  <c r="K179" i="113"/>
  <c r="K284" i="113"/>
  <c r="K277" i="113"/>
  <c r="K288" i="113"/>
  <c r="K309" i="113"/>
  <c r="K290" i="113"/>
  <c r="K313" i="113"/>
  <c r="K234" i="113"/>
  <c r="K295" i="113"/>
  <c r="K307" i="113"/>
  <c r="K250" i="113"/>
  <c r="K287" i="113"/>
  <c r="K207" i="113"/>
  <c r="K241" i="113"/>
  <c r="K210" i="113"/>
  <c r="K299" i="113"/>
  <c r="K205" i="113"/>
  <c r="K206" i="113"/>
  <c r="K311" i="113"/>
  <c r="K242" i="113"/>
  <c r="K305" i="113"/>
  <c r="K281" i="113"/>
  <c r="K230" i="113"/>
  <c r="K271" i="113"/>
  <c r="K269" i="113"/>
  <c r="K236" i="113"/>
  <c r="K211" i="113"/>
  <c r="K176" i="113"/>
  <c r="K220" i="113"/>
  <c r="K267" i="113"/>
  <c r="K272" i="113"/>
  <c r="K252" i="113"/>
  <c r="K191" i="113"/>
  <c r="K254" i="113"/>
  <c r="K192" i="113"/>
  <c r="K291" i="113"/>
  <c r="K239" i="113"/>
  <c r="K232" i="113"/>
  <c r="K204" i="113"/>
  <c r="K237" i="113"/>
  <c r="K177" i="113"/>
  <c r="K283" i="113"/>
  <c r="K233" i="113"/>
  <c r="K285" i="113"/>
  <c r="K183" i="113"/>
  <c r="K253" i="113"/>
  <c r="K214" i="113"/>
  <c r="K312" i="113"/>
  <c r="K209" i="113"/>
  <c r="K199" i="113"/>
  <c r="K251" i="113"/>
  <c r="K184" i="113"/>
  <c r="K310" i="113"/>
  <c r="K317" i="113"/>
  <c r="K215" i="113"/>
  <c r="K256" i="113"/>
  <c r="K289" i="113"/>
  <c r="K279" i="113"/>
  <c r="K257" i="113"/>
  <c r="K315" i="113"/>
  <c r="K190" i="113"/>
  <c r="K187" i="113"/>
  <c r="K286" i="113"/>
  <c r="K228" i="113"/>
  <c r="K268" i="113"/>
  <c r="K276" i="113"/>
  <c r="K217" i="113"/>
  <c r="K320" i="113"/>
  <c r="K246" i="113"/>
  <c r="K231" i="113"/>
  <c r="K193" i="113"/>
  <c r="K247" i="113"/>
  <c r="K321" i="113"/>
  <c r="K243" i="113"/>
  <c r="K318" i="113"/>
  <c r="K274" i="113"/>
  <c r="K175" i="113"/>
  <c r="K181" i="113"/>
  <c r="K294" i="113"/>
  <c r="K298" i="113"/>
  <c r="K212" i="113"/>
  <c r="K303" i="113"/>
  <c r="K308" i="113"/>
  <c r="K221" i="113"/>
  <c r="K280" i="113"/>
  <c r="K255" i="113"/>
  <c r="K266" i="113"/>
  <c r="K182" i="113"/>
  <c r="K293" i="113"/>
  <c r="K223" i="113"/>
  <c r="K226" i="113"/>
  <c r="K202" i="113"/>
  <c r="K208" i="113"/>
  <c r="K301" i="113"/>
  <c r="K178" i="113"/>
  <c r="K213" i="113"/>
  <c r="K227" i="113"/>
  <c r="K219" i="113"/>
  <c r="K186" i="113"/>
  <c r="K229" i="113"/>
  <c r="K225" i="113"/>
  <c r="K235" i="113"/>
  <c r="K222" i="113"/>
  <c r="K249" i="113"/>
  <c r="K304" i="113"/>
  <c r="K316" i="113"/>
  <c r="K296" i="113"/>
  <c r="K244" i="113"/>
  <c r="K314" i="113"/>
  <c r="K265" i="113"/>
  <c r="K216" i="113"/>
  <c r="K275" i="113"/>
  <c r="K180" i="113"/>
  <c r="K240" i="113"/>
  <c r="K306" i="113"/>
  <c r="K203" i="113"/>
  <c r="K278" i="113"/>
  <c r="Q261" i="113"/>
  <c r="BK911" i="127" l="1"/>
  <c r="BK1350" i="127"/>
  <c r="BK1351" i="127"/>
  <c r="BK1089" i="127"/>
  <c r="BK1348" i="127"/>
  <c r="BK1347" i="127"/>
  <c r="BK1357" i="127"/>
  <c r="BK1356" i="127"/>
  <c r="BK1353" i="127"/>
  <c r="O35" i="127"/>
  <c r="M35" i="127"/>
  <c r="BK459" i="127"/>
  <c r="O36" i="127"/>
  <c r="M36" i="127"/>
  <c r="BK26" i="127"/>
  <c r="BK25" i="127"/>
  <c r="O37" i="127"/>
  <c r="M37" i="127"/>
  <c r="BK19" i="127"/>
  <c r="BK906" i="127"/>
  <c r="BK905" i="127"/>
  <c r="BK904" i="127"/>
  <c r="BK765" i="127"/>
  <c r="BK763" i="127"/>
  <c r="BK470" i="127"/>
  <c r="BK467" i="127"/>
  <c r="BK741" i="127"/>
  <c r="BK740" i="127"/>
  <c r="BN19" i="127" a="1"/>
  <c r="BN19" i="127" s="1"/>
  <c r="BK20" i="127"/>
  <c r="BK457" i="127"/>
  <c r="BK24" i="127"/>
  <c r="L43" i="98"/>
  <c r="K160" i="113"/>
  <c r="K158" i="113"/>
  <c r="K162" i="113"/>
  <c r="K169" i="113"/>
  <c r="K172" i="113"/>
  <c r="K161" i="113"/>
  <c r="K166" i="113"/>
  <c r="K173" i="113"/>
  <c r="K170" i="113"/>
  <c r="K164" i="113"/>
  <c r="K163" i="113"/>
  <c r="K159" i="113"/>
  <c r="K168" i="113"/>
  <c r="K167" i="113"/>
  <c r="K157" i="113"/>
  <c r="K155" i="113"/>
  <c r="K156" i="113"/>
  <c r="K165" i="113"/>
  <c r="K171" i="113"/>
  <c r="N245" i="164"/>
  <c r="W311" i="164"/>
  <c r="Q244" i="165"/>
  <c r="Q308" i="165"/>
  <c r="Q267" i="164"/>
  <c r="W384" i="164"/>
  <c r="Q66" i="165"/>
  <c r="T156" i="165"/>
  <c r="W268" i="164"/>
  <c r="T155" i="164"/>
  <c r="T282" i="165"/>
  <c r="Q175" i="164"/>
  <c r="Q326" i="165"/>
  <c r="Q244" i="164"/>
  <c r="N192" i="165"/>
  <c r="Q106" i="165"/>
  <c r="Q156" i="164"/>
  <c r="T308" i="164"/>
  <c r="W194" i="164"/>
  <c r="W357" i="165"/>
  <c r="Q104" i="164"/>
  <c r="T297" i="164"/>
  <c r="Q371" i="165"/>
  <c r="Q400" i="164"/>
  <c r="W231" i="163"/>
  <c r="W53" i="163"/>
  <c r="W100" i="164"/>
  <c r="W193" i="164"/>
  <c r="W109" i="164"/>
  <c r="Q369" i="165"/>
  <c r="Q398" i="165"/>
  <c r="Q248" i="164"/>
  <c r="Q192" i="165"/>
  <c r="W244" i="164"/>
  <c r="T281" i="164"/>
  <c r="T193" i="164"/>
  <c r="W413" i="165"/>
  <c r="T245" i="165"/>
  <c r="T106" i="165"/>
  <c r="W230" i="165"/>
  <c r="T281" i="165"/>
  <c r="T209" i="165"/>
  <c r="T399" i="164"/>
  <c r="W156" i="164"/>
  <c r="Q368" i="165"/>
  <c r="T157" i="164"/>
  <c r="Q115" i="164"/>
  <c r="Q170" i="165"/>
  <c r="N244" i="164"/>
  <c r="Q206" i="165"/>
  <c r="W232" i="164"/>
  <c r="T280" i="164"/>
  <c r="Q245" i="165"/>
  <c r="W415" i="164"/>
  <c r="Q429" i="164"/>
  <c r="T53" i="165"/>
  <c r="T154" i="164"/>
  <c r="T415" i="165"/>
  <c r="T357" i="165"/>
  <c r="W66" i="164"/>
  <c r="W297" i="164"/>
  <c r="W194" i="163"/>
  <c r="T106" i="163"/>
  <c r="W427" i="163"/>
  <c r="Q172" i="164"/>
  <c r="T398" i="165"/>
  <c r="Q357" i="165"/>
  <c r="W308" i="164"/>
  <c r="Q120" i="164"/>
  <c r="T99" i="164"/>
  <c r="Q114" i="165"/>
  <c r="Q124" i="165"/>
  <c r="Q119" i="165"/>
  <c r="W53" i="165"/>
  <c r="T125" i="164"/>
  <c r="Q231" i="164"/>
  <c r="W397" i="165"/>
  <c r="W339" i="165"/>
  <c r="T384" i="164"/>
  <c r="Q105" i="165"/>
  <c r="Q194" i="163"/>
  <c r="T170" i="164"/>
  <c r="Q126" i="164"/>
  <c r="W268" i="165"/>
  <c r="Q154" i="164"/>
  <c r="W192" i="165"/>
  <c r="W208" i="164"/>
  <c r="T168" i="163"/>
  <c r="Q119" i="163"/>
  <c r="T119" i="165"/>
  <c r="Q325" i="165"/>
  <c r="T53" i="164"/>
  <c r="W114" i="165"/>
  <c r="T325" i="163"/>
  <c r="W58" i="163"/>
  <c r="W386" i="163"/>
  <c r="W172" i="163"/>
  <c r="T171" i="163"/>
  <c r="T355" i="163"/>
  <c r="I24" i="130"/>
  <c r="N124" i="163"/>
  <c r="W105" i="165"/>
  <c r="Q339" i="165"/>
  <c r="T156" i="164"/>
  <c r="W232" i="165"/>
  <c r="Q213" i="165"/>
  <c r="W385" i="165"/>
  <c r="W104" i="165"/>
  <c r="W110" i="165"/>
  <c r="T104" i="164"/>
  <c r="T370" i="165"/>
  <c r="T310" i="165"/>
  <c r="Q386" i="163"/>
  <c r="W155" i="164"/>
  <c r="Q369" i="164"/>
  <c r="Q116" i="164"/>
  <c r="W168" i="164"/>
  <c r="W369" i="164"/>
  <c r="T296" i="164"/>
  <c r="Q105" i="163"/>
  <c r="W230" i="163"/>
  <c r="W414" i="165"/>
  <c r="T109" i="165"/>
  <c r="N209" i="165"/>
  <c r="W124" i="165"/>
  <c r="W339" i="163"/>
  <c r="W357" i="163"/>
  <c r="Q194" i="164"/>
  <c r="T120" i="165"/>
  <c r="Q266" i="165"/>
  <c r="Q208" i="165"/>
  <c r="W426" i="164"/>
  <c r="T245" i="164"/>
  <c r="Q311" i="165"/>
  <c r="W371" i="164"/>
  <c r="T126" i="165"/>
  <c r="Q171" i="164"/>
  <c r="W157" i="164"/>
  <c r="W99" i="164"/>
  <c r="T414" i="165"/>
  <c r="T206" i="165"/>
  <c r="W120" i="165"/>
  <c r="Q338" i="164"/>
  <c r="W386" i="164"/>
  <c r="W175" i="164"/>
  <c r="W338" i="164"/>
  <c r="Q397" i="164"/>
  <c r="T400" i="164"/>
  <c r="Q310" i="165"/>
  <c r="Q105" i="164"/>
  <c r="Q195" i="163"/>
  <c r="N247" i="163"/>
  <c r="Q427" i="163"/>
  <c r="T427" i="165"/>
  <c r="Q325" i="164"/>
  <c r="Q296" i="164"/>
  <c r="Q100" i="164"/>
  <c r="W100" i="165"/>
  <c r="W207" i="164"/>
  <c r="W355" i="165"/>
  <c r="Q386" i="164"/>
  <c r="T213" i="165"/>
  <c r="W169" i="165"/>
  <c r="T357" i="164"/>
  <c r="T356" i="165"/>
  <c r="T126" i="164"/>
  <c r="Q397" i="165"/>
  <c r="W157" i="165"/>
  <c r="W172" i="165"/>
  <c r="T355" i="165"/>
  <c r="W115" i="164"/>
  <c r="N193" i="164"/>
  <c r="N247" i="164"/>
  <c r="W296" i="165"/>
  <c r="T426" i="164"/>
  <c r="Q308" i="164"/>
  <c r="W355" i="164"/>
  <c r="Q384" i="164"/>
  <c r="T233" i="165"/>
  <c r="W170" i="164"/>
  <c r="T386" i="164"/>
  <c r="W154" i="164"/>
  <c r="Q368" i="164"/>
  <c r="T279" i="165"/>
  <c r="Q297" i="165"/>
  <c r="W282" i="165"/>
  <c r="W340" i="164"/>
  <c r="W248" i="165"/>
  <c r="T279" i="163"/>
  <c r="Q324" i="163"/>
  <c r="W66" i="163"/>
  <c r="W233" i="164"/>
  <c r="Q168" i="164"/>
  <c r="T337" i="165"/>
  <c r="W245" i="165"/>
  <c r="Q170" i="164"/>
  <c r="T58" i="164"/>
  <c r="T100" i="165"/>
  <c r="W339" i="164"/>
  <c r="T120" i="164"/>
  <c r="Q245" i="164"/>
  <c r="Q172" i="165"/>
  <c r="W209" i="164"/>
  <c r="T371" i="165"/>
  <c r="W195" i="164"/>
  <c r="T247" i="165"/>
  <c r="T246" i="165"/>
  <c r="T120" i="163"/>
  <c r="Q247" i="165"/>
  <c r="W324" i="165"/>
  <c r="W428" i="164"/>
  <c r="T208" i="165"/>
  <c r="T266" i="164"/>
  <c r="T340" i="165"/>
  <c r="T244" i="163"/>
  <c r="T429" i="163"/>
  <c r="Q268" i="165"/>
  <c r="Q209" i="165"/>
  <c r="T58" i="165"/>
  <c r="W297" i="165"/>
  <c r="T337" i="163"/>
  <c r="W279" i="163"/>
  <c r="W414" i="163"/>
  <c r="Q282" i="163"/>
  <c r="Q368" i="163"/>
  <c r="W267" i="163"/>
  <c r="H20" i="130"/>
  <c r="K357" i="163"/>
  <c r="T429" i="165"/>
  <c r="Q427" i="165"/>
  <c r="T66" i="165"/>
  <c r="W398" i="164"/>
  <c r="T104" i="165"/>
  <c r="T280" i="165"/>
  <c r="W426" i="165"/>
  <c r="Q309" i="164"/>
  <c r="T267" i="164"/>
  <c r="N210" i="164"/>
  <c r="W325" i="163"/>
  <c r="Q415" i="163"/>
  <c r="T397" i="165"/>
  <c r="W124" i="164"/>
  <c r="Q280" i="164"/>
  <c r="W66" i="165"/>
  <c r="T171" i="165"/>
  <c r="W169" i="164"/>
  <c r="T370" i="164"/>
  <c r="Q213" i="164"/>
  <c r="W399" i="165"/>
  <c r="W266" i="164"/>
  <c r="W414" i="164"/>
  <c r="T398" i="164"/>
  <c r="Q296" i="165"/>
  <c r="T175" i="165"/>
  <c r="W192" i="164"/>
  <c r="T154" i="163"/>
  <c r="Q357" i="163"/>
  <c r="Q209" i="164"/>
  <c r="W231" i="164"/>
  <c r="W195" i="165"/>
  <c r="W399" i="164"/>
  <c r="W106" i="165"/>
  <c r="Q175" i="165"/>
  <c r="W400" i="165"/>
  <c r="Q104" i="165"/>
  <c r="Q426" i="165"/>
  <c r="Q194" i="165"/>
  <c r="Q279" i="165"/>
  <c r="Q110" i="164"/>
  <c r="N232" i="165"/>
  <c r="Q207" i="165"/>
  <c r="N207" i="164"/>
  <c r="W170" i="165"/>
  <c r="W371" i="165"/>
  <c r="Q100" i="163"/>
  <c r="Q248" i="163"/>
  <c r="T231" i="164"/>
  <c r="T311" i="165"/>
  <c r="Q337" i="165"/>
  <c r="W370" i="165"/>
  <c r="Q206" i="164"/>
  <c r="Q338" i="165"/>
  <c r="W385" i="164"/>
  <c r="N207" i="163"/>
  <c r="W413" i="164"/>
  <c r="W106" i="164"/>
  <c r="T232" i="164"/>
  <c r="W247" i="163"/>
  <c r="Q247" i="164"/>
  <c r="W356" i="163"/>
  <c r="Q175" i="163"/>
  <c r="Q247" i="163"/>
  <c r="I28" i="130"/>
  <c r="T192" i="165"/>
  <c r="T106" i="164"/>
  <c r="Q326" i="164"/>
  <c r="T115" i="164"/>
  <c r="W193" i="165"/>
  <c r="W308" i="163"/>
  <c r="T356" i="164"/>
  <c r="T384" i="165"/>
  <c r="T228" i="165"/>
  <c r="W206" i="163"/>
  <c r="Q109" i="163"/>
  <c r="T210" i="164"/>
  <c r="T295" i="164"/>
  <c r="Q99" i="164"/>
  <c r="Q371" i="163"/>
  <c r="Q397" i="163"/>
  <c r="W120" i="163"/>
  <c r="N245" i="163"/>
  <c r="Q280" i="163"/>
  <c r="T281" i="163"/>
  <c r="W156" i="165"/>
  <c r="Q230" i="165"/>
  <c r="W427" i="165"/>
  <c r="Q126" i="165"/>
  <c r="T326" i="164"/>
  <c r="T310" i="163"/>
  <c r="W245" i="164"/>
  <c r="Q251" i="165"/>
  <c r="T339" i="163"/>
  <c r="T233" i="164"/>
  <c r="T231" i="165"/>
  <c r="T246" i="164"/>
  <c r="T125" i="163"/>
  <c r="W340" i="163"/>
  <c r="T192" i="163"/>
  <c r="N427" i="163"/>
  <c r="Q228" i="165"/>
  <c r="N310" i="164"/>
  <c r="K99" i="164"/>
  <c r="K281" i="164"/>
  <c r="N338" i="165"/>
  <c r="K326" i="164"/>
  <c r="N326" i="165"/>
  <c r="K415" i="164"/>
  <c r="Q231" i="163"/>
  <c r="W154" i="163"/>
  <c r="J22" i="130"/>
  <c r="K338" i="163"/>
  <c r="N413" i="164"/>
  <c r="Q155" i="164"/>
  <c r="N247" i="165"/>
  <c r="T124" i="164"/>
  <c r="T368" i="164"/>
  <c r="Q231" i="165"/>
  <c r="W371" i="163"/>
  <c r="W267" i="164"/>
  <c r="W415" i="165"/>
  <c r="Q103" i="164"/>
  <c r="N231" i="163"/>
  <c r="W155" i="165"/>
  <c r="W356" i="165"/>
  <c r="Q99" i="163"/>
  <c r="Q114" i="163"/>
  <c r="W193" i="163"/>
  <c r="W133" i="115"/>
  <c r="K427" i="163"/>
  <c r="N337" i="165"/>
  <c r="K400" i="164"/>
  <c r="K231" i="164"/>
  <c r="N398" i="165"/>
  <c r="K414" i="165"/>
  <c r="I70" i="130"/>
  <c r="T157" i="165"/>
  <c r="Q169" i="165"/>
  <c r="W210" i="165"/>
  <c r="T295" i="165"/>
  <c r="W105" i="164"/>
  <c r="T194" i="165"/>
  <c r="Q119" i="164"/>
  <c r="T66" i="164"/>
  <c r="T368" i="165"/>
  <c r="W213" i="164"/>
  <c r="T207" i="164"/>
  <c r="W337" i="164"/>
  <c r="Q369" i="163"/>
  <c r="N194" i="163"/>
  <c r="W397" i="164"/>
  <c r="T325" i="165"/>
  <c r="N231" i="165"/>
  <c r="T413" i="165"/>
  <c r="Q267" i="165"/>
  <c r="N245" i="165"/>
  <c r="T206" i="164"/>
  <c r="Q339" i="164"/>
  <c r="W58" i="165"/>
  <c r="W368" i="164"/>
  <c r="W429" i="165"/>
  <c r="W311" i="165"/>
  <c r="Q295" i="164"/>
  <c r="W280" i="164"/>
  <c r="T337" i="164"/>
  <c r="Q280" i="165"/>
  <c r="T232" i="165"/>
  <c r="W233" i="163"/>
  <c r="T124" i="165"/>
  <c r="T251" i="164"/>
  <c r="T338" i="163"/>
  <c r="Q230" i="164"/>
  <c r="W99" i="165"/>
  <c r="Q125" i="165"/>
  <c r="Q207" i="164"/>
  <c r="T116" i="165"/>
  <c r="W116" i="163"/>
  <c r="Q428" i="165"/>
  <c r="T399" i="165"/>
  <c r="Q100" i="165"/>
  <c r="W105" i="163"/>
  <c r="W207" i="165"/>
  <c r="Q356" i="164"/>
  <c r="W297" i="163"/>
  <c r="Q295" i="163"/>
  <c r="T105" i="163"/>
  <c r="N385" i="163"/>
  <c r="Q208" i="164"/>
  <c r="Q110" i="165"/>
  <c r="W244" i="165"/>
  <c r="Q429" i="165"/>
  <c r="Q210" i="165"/>
  <c r="W246" i="163"/>
  <c r="Q157" i="165"/>
  <c r="W282" i="164"/>
  <c r="Q246" i="165"/>
  <c r="T266" i="163"/>
  <c r="Q155" i="163"/>
  <c r="Q106" i="164"/>
  <c r="Q309" i="165"/>
  <c r="T338" i="165"/>
  <c r="W245" i="163"/>
  <c r="W399" i="163"/>
  <c r="W171" i="163"/>
  <c r="W384" i="163"/>
  <c r="Q209" i="163"/>
  <c r="J65" i="130"/>
  <c r="W53" i="164"/>
  <c r="Q114" i="164"/>
  <c r="T114" i="164"/>
  <c r="T268" i="164"/>
  <c r="W248" i="164"/>
  <c r="T267" i="165"/>
  <c r="T169" i="164"/>
  <c r="W338" i="165"/>
  <c r="W370" i="163"/>
  <c r="Q155" i="165"/>
  <c r="Q355" i="164"/>
  <c r="N210" i="163"/>
  <c r="Q429" i="163"/>
  <c r="Q414" i="163"/>
  <c r="I22" i="130"/>
  <c r="K339" i="163"/>
  <c r="N368" i="165"/>
  <c r="N308" i="164"/>
  <c r="K230" i="164"/>
  <c r="K326" i="165"/>
  <c r="K266" i="164"/>
  <c r="Q413" i="163"/>
  <c r="N414" i="163"/>
  <c r="N429" i="164"/>
  <c r="W208" i="163"/>
  <c r="T100" i="163"/>
  <c r="W115" i="163"/>
  <c r="N368" i="163"/>
  <c r="K232" i="163"/>
  <c r="N120" i="165"/>
  <c r="W210" i="164"/>
  <c r="T428" i="164"/>
  <c r="Q386" i="165"/>
  <c r="W154" i="165"/>
  <c r="Q414" i="164"/>
  <c r="W310" i="163"/>
  <c r="W325" i="165"/>
  <c r="Q414" i="165"/>
  <c r="T339" i="164"/>
  <c r="W309" i="163"/>
  <c r="T355" i="164"/>
  <c r="W295" i="164"/>
  <c r="T104" i="163"/>
  <c r="Q106" i="163"/>
  <c r="Q168" i="163"/>
  <c r="N370" i="163"/>
  <c r="K324" i="163"/>
  <c r="N339" i="164"/>
  <c r="K325" i="165"/>
  <c r="K309" i="164"/>
  <c r="N311" i="164"/>
  <c r="Q246" i="163"/>
  <c r="N426" i="163"/>
  <c r="N297" i="165"/>
  <c r="T400" i="165"/>
  <c r="T170" i="165"/>
  <c r="Q232" i="165"/>
  <c r="Q413" i="164"/>
  <c r="Q413" i="165"/>
  <c r="Q172" i="163"/>
  <c r="W246" i="165"/>
  <c r="W428" i="165"/>
  <c r="T386" i="165"/>
  <c r="Q66" i="164"/>
  <c r="Q324" i="165"/>
  <c r="N206" i="165"/>
  <c r="T171" i="164"/>
  <c r="T152" i="164" s="1"/>
  <c r="T193" i="165"/>
  <c r="T247" i="164"/>
  <c r="W326" i="165"/>
  <c r="T115" i="165"/>
  <c r="W126" i="165"/>
  <c r="T124" i="163"/>
  <c r="T192" i="164"/>
  <c r="N209" i="164"/>
  <c r="T119" i="164"/>
  <c r="Q109" i="165"/>
  <c r="N206" i="164"/>
  <c r="T110" i="165"/>
  <c r="Q337" i="164"/>
  <c r="N194" i="165"/>
  <c r="W281" i="164"/>
  <c r="W340" i="165"/>
  <c r="T125" i="165"/>
  <c r="W251" i="165"/>
  <c r="W400" i="164"/>
  <c r="W209" i="165"/>
  <c r="W110" i="164"/>
  <c r="N208" i="165"/>
  <c r="W168" i="165"/>
  <c r="T309" i="164"/>
  <c r="T155" i="163"/>
  <c r="T210" i="165"/>
  <c r="W356" i="164"/>
  <c r="Q53" i="164"/>
  <c r="W281" i="165"/>
  <c r="Q171" i="165"/>
  <c r="Q279" i="164"/>
  <c r="Q157" i="164"/>
  <c r="Q357" i="164"/>
  <c r="T297" i="163"/>
  <c r="Q246" i="164"/>
  <c r="T308" i="165"/>
  <c r="Q399" i="165"/>
  <c r="T66" i="163"/>
  <c r="Q428" i="164"/>
  <c r="T340" i="164"/>
  <c r="W296" i="163"/>
  <c r="T384" i="163"/>
  <c r="W168" i="163"/>
  <c r="K99" i="163"/>
  <c r="W213" i="165"/>
  <c r="T282" i="164"/>
  <c r="N192" i="164"/>
  <c r="N207" i="165"/>
  <c r="Q371" i="164"/>
  <c r="Q233" i="165"/>
  <c r="Q385" i="164"/>
  <c r="Q355" i="165"/>
  <c r="W208" i="165"/>
  <c r="T251" i="163"/>
  <c r="W357" i="164"/>
  <c r="T385" i="164"/>
  <c r="W326" i="164"/>
  <c r="Q399" i="164"/>
  <c r="N208" i="163"/>
  <c r="Q426" i="163"/>
  <c r="Q340" i="163"/>
  <c r="Q213" i="163"/>
  <c r="Q310" i="163"/>
  <c r="T172" i="164"/>
  <c r="W58" i="164"/>
  <c r="W246" i="164"/>
  <c r="T385" i="165"/>
  <c r="N244" i="165"/>
  <c r="W337" i="163"/>
  <c r="T109" i="164"/>
  <c r="Q340" i="164"/>
  <c r="W116" i="164"/>
  <c r="Q157" i="163"/>
  <c r="T114" i="165"/>
  <c r="T266" i="165"/>
  <c r="T230" i="163"/>
  <c r="N206" i="163"/>
  <c r="W155" i="163"/>
  <c r="H21" i="130"/>
  <c r="K208" i="163"/>
  <c r="N326" i="164"/>
  <c r="K355" i="164"/>
  <c r="K371" i="165"/>
  <c r="T189" i="165"/>
  <c r="K105" i="164"/>
  <c r="T386" i="163"/>
  <c r="K231" i="163"/>
  <c r="K126" i="165"/>
  <c r="Q384" i="163"/>
  <c r="T357" i="163"/>
  <c r="I23" i="130"/>
  <c r="N386" i="163"/>
  <c r="K428" i="163"/>
  <c r="N370" i="164"/>
  <c r="W109" i="165"/>
  <c r="T426" i="165"/>
  <c r="T175" i="164"/>
  <c r="T251" i="165"/>
  <c r="T168" i="164"/>
  <c r="N244" i="163"/>
  <c r="T338" i="164"/>
  <c r="Q311" i="164"/>
  <c r="T233" i="163"/>
  <c r="N208" i="164"/>
  <c r="T311" i="164"/>
  <c r="W232" i="163"/>
  <c r="Q356" i="163"/>
  <c r="Q279" i="163"/>
  <c r="N308" i="163"/>
  <c r="Q190" i="165"/>
  <c r="N310" i="165"/>
  <c r="K104" i="164"/>
  <c r="K281" i="165"/>
  <c r="K399" i="164"/>
  <c r="N230" i="163"/>
  <c r="K279" i="163"/>
  <c r="K99" i="165"/>
  <c r="Q233" i="164"/>
  <c r="W429" i="164"/>
  <c r="Q193" i="165"/>
  <c r="Q169" i="164"/>
  <c r="T208" i="164"/>
  <c r="T152" i="165"/>
  <c r="W384" i="165"/>
  <c r="W337" i="165"/>
  <c r="Q281" i="164"/>
  <c r="Q251" i="163"/>
  <c r="T207" i="165"/>
  <c r="Q53" i="165"/>
  <c r="Q124" i="164"/>
  <c r="T309" i="165"/>
  <c r="K356" i="163"/>
  <c r="T154" i="165"/>
  <c r="T326" i="165"/>
  <c r="T248" i="164"/>
  <c r="N228" i="163"/>
  <c r="T116" i="164"/>
  <c r="Q154" i="165"/>
  <c r="W231" i="165"/>
  <c r="W100" i="163"/>
  <c r="K415" i="163"/>
  <c r="N120" i="164"/>
  <c r="K356" i="164"/>
  <c r="N428" i="163"/>
  <c r="Q295" i="165"/>
  <c r="N194" i="164"/>
  <c r="T415" i="164"/>
  <c r="T295" i="163"/>
  <c r="N308" i="165"/>
  <c r="Q193" i="163"/>
  <c r="W427" i="164"/>
  <c r="W296" i="164"/>
  <c r="W194" i="165"/>
  <c r="Q400" i="165"/>
  <c r="T297" i="165"/>
  <c r="Q210" i="164"/>
  <c r="W295" i="165"/>
  <c r="W268" i="163"/>
  <c r="T99" i="165"/>
  <c r="T244" i="164"/>
  <c r="W248" i="163"/>
  <c r="Q245" i="163"/>
  <c r="Q339" i="163"/>
  <c r="N357" i="163"/>
  <c r="K310" i="163"/>
  <c r="N369" i="164"/>
  <c r="K400" i="165"/>
  <c r="K208" i="165"/>
  <c r="K308" i="164"/>
  <c r="W281" i="163"/>
  <c r="Q189" i="164"/>
  <c r="K244" i="164"/>
  <c r="T426" i="163"/>
  <c r="T109" i="163"/>
  <c r="I21" i="130"/>
  <c r="N126" i="163"/>
  <c r="K267" i="163"/>
  <c r="N400" i="165"/>
  <c r="K266" i="165"/>
  <c r="Q310" i="164"/>
  <c r="T213" i="164"/>
  <c r="W120" i="164"/>
  <c r="T324" i="165"/>
  <c r="W400" i="163"/>
  <c r="T172" i="163"/>
  <c r="T399" i="163"/>
  <c r="N371" i="165"/>
  <c r="K370" i="165"/>
  <c r="T232" i="163"/>
  <c r="Q268" i="163"/>
  <c r="K119" i="163"/>
  <c r="N296" i="164"/>
  <c r="K120" i="164"/>
  <c r="K413" i="164"/>
  <c r="K357" i="164"/>
  <c r="Q428" i="163"/>
  <c r="N399" i="163"/>
  <c r="N371" i="164"/>
  <c r="K280" i="165"/>
  <c r="W125" i="163"/>
  <c r="Q244" i="163"/>
  <c r="I65" i="130"/>
  <c r="K386" i="163"/>
  <c r="T231" i="163"/>
  <c r="N309" i="164"/>
  <c r="I67" i="130"/>
  <c r="N397" i="165"/>
  <c r="W116" i="165"/>
  <c r="W338" i="163"/>
  <c r="Q171" i="163"/>
  <c r="N190" i="165"/>
  <c r="N384" i="164"/>
  <c r="K247" i="165"/>
  <c r="Q296" i="163"/>
  <c r="K266" i="163"/>
  <c r="N369" i="165"/>
  <c r="K384" i="165"/>
  <c r="K246" i="165"/>
  <c r="N119" i="165"/>
  <c r="K296" i="164"/>
  <c r="T356" i="163"/>
  <c r="K413" i="163"/>
  <c r="K106" i="165"/>
  <c r="Q170" i="163"/>
  <c r="I71" i="130"/>
  <c r="N415" i="163"/>
  <c r="Q282" i="164"/>
  <c r="Q297" i="164"/>
  <c r="Q308" i="163"/>
  <c r="N414" i="165"/>
  <c r="Q169" i="163"/>
  <c r="T428" i="163"/>
  <c r="Q399" i="163"/>
  <c r="K247" i="163"/>
  <c r="N427" i="164"/>
  <c r="K232" i="165"/>
  <c r="K337" i="165"/>
  <c r="N428" i="165"/>
  <c r="W266" i="163"/>
  <c r="I66" i="130"/>
  <c r="N399" i="165"/>
  <c r="K311" i="164"/>
  <c r="T53" i="163"/>
  <c r="Q311" i="163"/>
  <c r="T324" i="164"/>
  <c r="W171" i="165"/>
  <c r="W152" i="165" s="1"/>
  <c r="T339" i="165"/>
  <c r="Q266" i="164"/>
  <c r="T429" i="164"/>
  <c r="T169" i="165"/>
  <c r="Q415" i="165"/>
  <c r="W397" i="163"/>
  <c r="Q415" i="164"/>
  <c r="T268" i="165"/>
  <c r="N209" i="163"/>
  <c r="T169" i="163"/>
  <c r="T195" i="165"/>
  <c r="W308" i="165"/>
  <c r="W195" i="163"/>
  <c r="Q356" i="165"/>
  <c r="T157" i="163"/>
  <c r="W310" i="164"/>
  <c r="Q120" i="163"/>
  <c r="Q337" i="163"/>
  <c r="W209" i="163"/>
  <c r="W190" i="163" s="1"/>
  <c r="N384" i="165"/>
  <c r="K245" i="164"/>
  <c r="T296" i="163"/>
  <c r="Q151" i="164"/>
  <c r="W172" i="164"/>
  <c r="Q232" i="164"/>
  <c r="T195" i="164"/>
  <c r="J28" i="130"/>
  <c r="K295" i="164"/>
  <c r="K281" i="163"/>
  <c r="W324" i="164"/>
  <c r="Q116" i="165"/>
  <c r="Q115" i="165"/>
  <c r="T213" i="163"/>
  <c r="T228" i="164"/>
  <c r="T371" i="164"/>
  <c r="T296" i="165"/>
  <c r="T170" i="163"/>
  <c r="Q168" i="165"/>
  <c r="W247" i="164"/>
  <c r="Q125" i="163"/>
  <c r="W415" i="163"/>
  <c r="T208" i="163"/>
  <c r="N340" i="163"/>
  <c r="Q189" i="165"/>
  <c r="N325" i="165"/>
  <c r="K386" i="164"/>
  <c r="K310" i="165"/>
  <c r="N356" i="164"/>
  <c r="K311" i="165"/>
  <c r="F21" i="130"/>
  <c r="N355" i="164"/>
  <c r="K429" i="164"/>
  <c r="N190" i="163"/>
  <c r="T247" i="163"/>
  <c r="J30" i="130"/>
  <c r="K355" i="163"/>
  <c r="T189" i="164"/>
  <c r="N386" i="164"/>
  <c r="Q125" i="164"/>
  <c r="T279" i="164"/>
  <c r="N248" i="165"/>
  <c r="Q281" i="165"/>
  <c r="W230" i="164"/>
  <c r="W114" i="164"/>
  <c r="W267" i="165"/>
  <c r="Q232" i="163"/>
  <c r="K124" i="164"/>
  <c r="T245" i="163"/>
  <c r="W428" i="163"/>
  <c r="J24" i="130"/>
  <c r="K426" i="163"/>
  <c r="N246" i="164"/>
  <c r="K308" i="165"/>
  <c r="K369" i="163"/>
  <c r="K232" i="164"/>
  <c r="Q267" i="163"/>
  <c r="K385" i="163"/>
  <c r="K279" i="165"/>
  <c r="W114" i="163"/>
  <c r="W104" i="163"/>
  <c r="Q266" i="163"/>
  <c r="N398" i="163"/>
  <c r="K357" i="165"/>
  <c r="T133" i="115"/>
  <c r="T311" i="163"/>
  <c r="N309" i="163"/>
  <c r="T151" i="163"/>
  <c r="Q325" i="163"/>
  <c r="Q324" i="164"/>
  <c r="W310" i="165"/>
  <c r="W311" i="163"/>
  <c r="N124" i="164"/>
  <c r="K282" i="165"/>
  <c r="W99" i="163"/>
  <c r="T267" i="163"/>
  <c r="K308" i="163"/>
  <c r="N296" i="165"/>
  <c r="K119" i="165"/>
  <c r="K324" i="164"/>
  <c r="N124" i="165"/>
  <c r="T324" i="163"/>
  <c r="J66" i="130"/>
  <c r="N357" i="165"/>
  <c r="K231" i="165"/>
  <c r="T207" i="163"/>
  <c r="N337" i="163"/>
  <c r="N429" i="163"/>
  <c r="W171" i="164"/>
  <c r="W325" i="164"/>
  <c r="J72" i="130"/>
  <c r="K120" i="165"/>
  <c r="N397" i="163"/>
  <c r="W119" i="163"/>
  <c r="I29" i="130"/>
  <c r="Q120" i="165"/>
  <c r="T428" i="165"/>
  <c r="T369" i="164"/>
  <c r="T427" i="163"/>
  <c r="W309" i="165"/>
  <c r="W119" i="165"/>
  <c r="N248" i="164"/>
  <c r="T427" i="164"/>
  <c r="T100" i="164"/>
  <c r="Q268" i="164"/>
  <c r="Q116" i="163"/>
  <c r="Q192" i="164"/>
  <c r="W124" i="163"/>
  <c r="N230" i="165"/>
  <c r="W398" i="165"/>
  <c r="Q192" i="163"/>
  <c r="W157" i="163"/>
  <c r="T210" i="163"/>
  <c r="T155" i="165"/>
  <c r="W206" i="164"/>
  <c r="T397" i="164"/>
  <c r="T110" i="163"/>
  <c r="K339" i="164"/>
  <c r="W156" i="163"/>
  <c r="W282" i="163"/>
  <c r="N325" i="164"/>
  <c r="W370" i="164"/>
  <c r="T168" i="165"/>
  <c r="W192" i="163"/>
  <c r="K104" i="163"/>
  <c r="K100" i="163"/>
  <c r="N397" i="164"/>
  <c r="W266" i="165"/>
  <c r="T105" i="164"/>
  <c r="T105" i="165"/>
  <c r="W279" i="164"/>
  <c r="T195" i="163"/>
  <c r="Q195" i="164"/>
  <c r="T326" i="163"/>
  <c r="Q109" i="164"/>
  <c r="Q426" i="164"/>
  <c r="Q385" i="165"/>
  <c r="T58" i="163"/>
  <c r="W355" i="163"/>
  <c r="Q126" i="163"/>
  <c r="K398" i="163"/>
  <c r="N415" i="165"/>
  <c r="N414" i="164"/>
  <c r="K125" i="164"/>
  <c r="K426" i="164"/>
  <c r="N311" i="165"/>
  <c r="Q233" i="163"/>
  <c r="N119" i="163"/>
  <c r="N339" i="165"/>
  <c r="T156" i="163"/>
  <c r="W170" i="163"/>
  <c r="W151" i="163" s="1"/>
  <c r="T194" i="163"/>
  <c r="Q190" i="163"/>
  <c r="K105" i="163"/>
  <c r="W189" i="164"/>
  <c r="N126" i="165"/>
  <c r="Q251" i="164"/>
  <c r="W368" i="165"/>
  <c r="T414" i="164"/>
  <c r="W280" i="165"/>
  <c r="Q340" i="165"/>
  <c r="W115" i="165"/>
  <c r="W247" i="165"/>
  <c r="N296" i="163"/>
  <c r="K414" i="164"/>
  <c r="Q190" i="164"/>
  <c r="W106" i="163"/>
  <c r="N413" i="163"/>
  <c r="T227" i="164"/>
  <c r="K385" i="165"/>
  <c r="K248" i="165"/>
  <c r="N355" i="165"/>
  <c r="K428" i="164"/>
  <c r="Q230" i="163"/>
  <c r="K311" i="163"/>
  <c r="K386" i="165"/>
  <c r="T119" i="163"/>
  <c r="T397" i="163"/>
  <c r="G20" i="130"/>
  <c r="N325" i="163"/>
  <c r="K282" i="164"/>
  <c r="K340" i="163"/>
  <c r="T99" i="163"/>
  <c r="N400" i="164"/>
  <c r="N371" i="163"/>
  <c r="K414" i="163"/>
  <c r="Q58" i="165"/>
  <c r="W175" i="165"/>
  <c r="Q400" i="163"/>
  <c r="K397" i="165"/>
  <c r="J67" i="130"/>
  <c r="Q53" i="163"/>
  <c r="F20" i="130"/>
  <c r="W227" i="164"/>
  <c r="K268" i="164"/>
  <c r="K370" i="164"/>
  <c r="K245" i="163"/>
  <c r="K398" i="165"/>
  <c r="W213" i="163"/>
  <c r="W125" i="165"/>
  <c r="Q427" i="164"/>
  <c r="N230" i="164"/>
  <c r="T209" i="164"/>
  <c r="T190" i="164" s="1"/>
  <c r="T370" i="163"/>
  <c r="N326" i="163"/>
  <c r="N193" i="165"/>
  <c r="N125" i="165"/>
  <c r="Q156" i="165"/>
  <c r="Q370" i="164"/>
  <c r="W326" i="163"/>
  <c r="K230" i="163"/>
  <c r="K248" i="163"/>
  <c r="N246" i="163"/>
  <c r="N400" i="163"/>
  <c r="Q193" i="164"/>
  <c r="Q58" i="164"/>
  <c r="N413" i="165"/>
  <c r="N337" i="164"/>
  <c r="K324" i="165"/>
  <c r="W429" i="163"/>
  <c r="Q297" i="163"/>
  <c r="K400" i="163"/>
  <c r="K126" i="163"/>
  <c r="N125" i="163"/>
  <c r="T190" i="165"/>
  <c r="K397" i="163"/>
  <c r="T175" i="163"/>
  <c r="T151" i="164"/>
  <c r="W126" i="163"/>
  <c r="N357" i="164"/>
  <c r="K309" i="165"/>
  <c r="K399" i="163"/>
  <c r="K325" i="164"/>
  <c r="K267" i="164"/>
  <c r="K124" i="165"/>
  <c r="T115" i="163"/>
  <c r="Q227" i="164"/>
  <c r="N193" i="163"/>
  <c r="Q338" i="163"/>
  <c r="J70" i="130"/>
  <c r="N248" i="163"/>
  <c r="W368" i="163"/>
  <c r="T209" i="163"/>
  <c r="N385" i="165"/>
  <c r="K397" i="164"/>
  <c r="Q66" i="163"/>
  <c r="T371" i="163"/>
  <c r="K384" i="163"/>
  <c r="N340" i="165"/>
  <c r="K106" i="164"/>
  <c r="K267" i="165"/>
  <c r="N370" i="165"/>
  <c r="K426" i="165"/>
  <c r="Q124" i="163"/>
  <c r="K295" i="165"/>
  <c r="T415" i="163"/>
  <c r="Q156" i="163"/>
  <c r="I27" i="130"/>
  <c r="N384" i="163"/>
  <c r="N428" i="164"/>
  <c r="G21" i="130"/>
  <c r="K338" i="164"/>
  <c r="W110" i="163"/>
  <c r="W369" i="163"/>
  <c r="K356" i="165"/>
  <c r="K368" i="164"/>
  <c r="K210" i="165"/>
  <c r="T123" i="164"/>
  <c r="K209" i="163"/>
  <c r="K194" i="164"/>
  <c r="T103" i="164"/>
  <c r="Q123" i="165"/>
  <c r="K192" i="163"/>
  <c r="Q151" i="165"/>
  <c r="K228" i="163"/>
  <c r="K415" i="165"/>
  <c r="J21" i="130"/>
  <c r="W113" i="164"/>
  <c r="K193" i="164"/>
  <c r="Q113" i="165"/>
  <c r="K206" i="164"/>
  <c r="K123" i="163"/>
  <c r="K194" i="163"/>
  <c r="K206" i="163"/>
  <c r="W113" i="165"/>
  <c r="N427" i="165"/>
  <c r="N123" i="165" s="1"/>
  <c r="N311" i="163"/>
  <c r="K247" i="164"/>
  <c r="W207" i="163"/>
  <c r="Q281" i="163"/>
  <c r="K427" i="164"/>
  <c r="K125" i="163"/>
  <c r="K355" i="165"/>
  <c r="Q208" i="163"/>
  <c r="K125" i="165"/>
  <c r="T280" i="163"/>
  <c r="W126" i="164"/>
  <c r="K398" i="164"/>
  <c r="N398" i="164"/>
  <c r="K310" i="164"/>
  <c r="Q309" i="163"/>
  <c r="K339" i="165"/>
  <c r="Q398" i="163"/>
  <c r="Q123" i="163" s="1"/>
  <c r="W227" i="165"/>
  <c r="Q58" i="163"/>
  <c r="N324" i="163"/>
  <c r="K210" i="164"/>
  <c r="T103" i="165"/>
  <c r="K192" i="165"/>
  <c r="K194" i="165"/>
  <c r="T151" i="165"/>
  <c r="W369" i="165"/>
  <c r="T413" i="164"/>
  <c r="T310" i="164"/>
  <c r="W309" i="164"/>
  <c r="W103" i="164" s="1"/>
  <c r="T248" i="165"/>
  <c r="K427" i="165"/>
  <c r="T325" i="164"/>
  <c r="K119" i="164"/>
  <c r="T230" i="164"/>
  <c r="W295" i="163"/>
  <c r="Q355" i="163"/>
  <c r="N399" i="164"/>
  <c r="K340" i="164"/>
  <c r="T126" i="163"/>
  <c r="K371" i="163"/>
  <c r="Q384" i="165"/>
  <c r="Q398" i="164"/>
  <c r="Q123" i="164" s="1"/>
  <c r="K230" i="165"/>
  <c r="K384" i="164"/>
  <c r="J20" i="130"/>
  <c r="W280" i="163"/>
  <c r="Q228" i="164"/>
  <c r="K429" i="165"/>
  <c r="K246" i="164"/>
  <c r="N426" i="165"/>
  <c r="K244" i="165"/>
  <c r="N338" i="164"/>
  <c r="T368" i="163"/>
  <c r="K104" i="165"/>
  <c r="T268" i="163"/>
  <c r="K413" i="165"/>
  <c r="T398" i="163"/>
  <c r="N125" i="164"/>
  <c r="K105" i="165"/>
  <c r="K309" i="163"/>
  <c r="K371" i="164"/>
  <c r="T282" i="163"/>
  <c r="N126" i="164"/>
  <c r="Q206" i="163"/>
  <c r="Q207" i="163"/>
  <c r="K429" i="163"/>
  <c r="Q195" i="165"/>
  <c r="Q282" i="165"/>
  <c r="T385" i="163"/>
  <c r="K268" i="165"/>
  <c r="Q104" i="163"/>
  <c r="W385" i="163"/>
  <c r="J27" i="130"/>
  <c r="K296" i="163"/>
  <c r="N295" i="164"/>
  <c r="K297" i="164"/>
  <c r="K244" i="163"/>
  <c r="N246" i="165"/>
  <c r="W244" i="163"/>
  <c r="J23" i="130"/>
  <c r="N324" i="164"/>
  <c r="K280" i="164"/>
  <c r="N192" i="163"/>
  <c r="T248" i="163"/>
  <c r="Q133" i="115"/>
  <c r="N295" i="163"/>
  <c r="K245" i="165"/>
  <c r="N310" i="163"/>
  <c r="T206" i="163"/>
  <c r="J71" i="130"/>
  <c r="T113" i="163"/>
  <c r="T113" i="164"/>
  <c r="K193" i="163"/>
  <c r="W228" i="164"/>
  <c r="K124" i="163"/>
  <c r="K337" i="164"/>
  <c r="N309" i="165"/>
  <c r="N324" i="165"/>
  <c r="T116" i="163"/>
  <c r="K280" i="163"/>
  <c r="N339" i="163"/>
  <c r="N415" i="164"/>
  <c r="Q115" i="163"/>
  <c r="K338" i="165"/>
  <c r="K209" i="164"/>
  <c r="W123" i="165"/>
  <c r="W119" i="164"/>
  <c r="W251" i="164"/>
  <c r="T369" i="165"/>
  <c r="T172" i="165"/>
  <c r="W386" i="165"/>
  <c r="N190" i="164"/>
  <c r="Q370" i="163"/>
  <c r="W279" i="165"/>
  <c r="W104" i="164"/>
  <c r="N228" i="164"/>
  <c r="N232" i="163"/>
  <c r="K279" i="164"/>
  <c r="T193" i="163"/>
  <c r="W413" i="163"/>
  <c r="N368" i="164"/>
  <c r="T194" i="164"/>
  <c r="Q110" i="163"/>
  <c r="Q154" i="163"/>
  <c r="K296" i="165"/>
  <c r="N426" i="164"/>
  <c r="J29" i="130"/>
  <c r="I72" i="130"/>
  <c r="N210" i="165"/>
  <c r="N119" i="164"/>
  <c r="K126" i="164"/>
  <c r="T400" i="163"/>
  <c r="K368" i="165"/>
  <c r="W152" i="163"/>
  <c r="T340" i="163"/>
  <c r="T309" i="163"/>
  <c r="N295" i="165"/>
  <c r="Q228" i="163"/>
  <c r="N386" i="165"/>
  <c r="K369" i="165"/>
  <c r="K123" i="165" s="1"/>
  <c r="W151" i="165"/>
  <c r="K246" i="163"/>
  <c r="N338" i="163"/>
  <c r="K399" i="165"/>
  <c r="W398" i="163"/>
  <c r="T369" i="163"/>
  <c r="Q385" i="163"/>
  <c r="T110" i="164"/>
  <c r="T244" i="165"/>
  <c r="T227" i="165" s="1"/>
  <c r="N120" i="163"/>
  <c r="K369" i="164"/>
  <c r="K123" i="164" s="1"/>
  <c r="K120" i="163"/>
  <c r="T114" i="163"/>
  <c r="W189" i="163"/>
  <c r="W151" i="164"/>
  <c r="K385" i="164"/>
  <c r="K248" i="164"/>
  <c r="K282" i="163"/>
  <c r="K100" i="165"/>
  <c r="W169" i="163"/>
  <c r="N297" i="163"/>
  <c r="N429" i="165"/>
  <c r="W324" i="163"/>
  <c r="W210" i="163"/>
  <c r="T190" i="163"/>
  <c r="T152" i="163"/>
  <c r="K325" i="163"/>
  <c r="T308" i="163"/>
  <c r="K326" i="163"/>
  <c r="K100" i="164"/>
  <c r="K368" i="163"/>
  <c r="K295" i="163"/>
  <c r="Q326" i="163"/>
  <c r="N123" i="164"/>
  <c r="K210" i="163"/>
  <c r="T113" i="165"/>
  <c r="K207" i="163"/>
  <c r="K207" i="165"/>
  <c r="K207" i="164"/>
  <c r="K193" i="165"/>
  <c r="K209" i="165"/>
  <c r="K190" i="165" s="1"/>
  <c r="K206" i="165"/>
  <c r="T123" i="165"/>
  <c r="K192" i="164"/>
  <c r="Q113" i="163"/>
  <c r="W103" i="165"/>
  <c r="N232" i="164"/>
  <c r="W125" i="164"/>
  <c r="T230" i="165"/>
  <c r="W109" i="163"/>
  <c r="T414" i="163"/>
  <c r="Q99" i="165"/>
  <c r="I30" i="130"/>
  <c r="T413" i="163"/>
  <c r="N231" i="164"/>
  <c r="Q248" i="165"/>
  <c r="W206" i="165"/>
  <c r="W189" i="165" s="1"/>
  <c r="I20" i="130"/>
  <c r="K297" i="165"/>
  <c r="T246" i="163"/>
  <c r="W233" i="165"/>
  <c r="Q227" i="165"/>
  <c r="N340" i="164"/>
  <c r="K268" i="163"/>
  <c r="W251" i="163"/>
  <c r="N369" i="163"/>
  <c r="N123" i="163" s="1"/>
  <c r="Q370" i="165"/>
  <c r="K297" i="163"/>
  <c r="N356" i="163"/>
  <c r="K428" i="165"/>
  <c r="K106" i="163"/>
  <c r="N385" i="164"/>
  <c r="W175" i="163"/>
  <c r="K337" i="163"/>
  <c r="Q210" i="163"/>
  <c r="K340" i="165"/>
  <c r="K208" i="164"/>
  <c r="K370" i="163"/>
  <c r="W426" i="163"/>
  <c r="N355" i="163"/>
  <c r="Q152" i="163"/>
  <c r="N356" i="165"/>
  <c r="N297" i="164"/>
  <c r="Q113" i="164"/>
  <c r="W123" i="164"/>
  <c r="T123" i="163"/>
  <c r="W228" i="165"/>
  <c r="K42" i="164" l="1"/>
  <c r="K380" i="164"/>
  <c r="K375" i="164"/>
  <c r="Q334" i="163"/>
  <c r="N305" i="164"/>
  <c r="T217" i="163"/>
  <c r="T222" i="163"/>
  <c r="K42" i="163"/>
  <c r="K375" i="163"/>
  <c r="K380" i="163"/>
  <c r="K423" i="165"/>
  <c r="K334" i="163"/>
  <c r="T320" i="163"/>
  <c r="T315" i="163"/>
  <c r="Q165" i="163"/>
  <c r="W438" i="163"/>
  <c r="W433" i="163"/>
  <c r="T423" i="163"/>
  <c r="N45" i="165"/>
  <c r="N305" i="163"/>
  <c r="W255" i="163"/>
  <c r="W260" i="163"/>
  <c r="K433" i="165"/>
  <c r="K438" i="165"/>
  <c r="N423" i="164"/>
  <c r="K39" i="163"/>
  <c r="K255" i="163"/>
  <c r="K260" i="163"/>
  <c r="K305" i="164"/>
  <c r="K41" i="165"/>
  <c r="N41" i="165"/>
  <c r="T43" i="163"/>
  <c r="Q68" i="163"/>
  <c r="Y120" i="163"/>
  <c r="K404" i="164"/>
  <c r="K409" i="164"/>
  <c r="K344" i="163"/>
  <c r="K349" i="163"/>
  <c r="K276" i="165"/>
  <c r="T260" i="165"/>
  <c r="T255" i="165"/>
  <c r="Q39" i="165"/>
  <c r="W380" i="163"/>
  <c r="W375" i="163"/>
  <c r="W42" i="163"/>
  <c r="K45" i="163"/>
  <c r="Q40" i="163"/>
  <c r="Q217" i="163"/>
  <c r="Q222" i="163"/>
  <c r="K40" i="164"/>
  <c r="Y125" i="165"/>
  <c r="T39" i="163"/>
  <c r="K43" i="164"/>
  <c r="Y124" i="165"/>
  <c r="K349" i="165"/>
  <c r="K344" i="165"/>
  <c r="N394" i="165"/>
  <c r="N404" i="163"/>
  <c r="N409" i="163"/>
  <c r="Y120" i="165"/>
  <c r="N365" i="164"/>
  <c r="K305" i="163"/>
  <c r="Q315" i="163"/>
  <c r="Q320" i="163"/>
  <c r="T276" i="163"/>
  <c r="Q305" i="164"/>
  <c r="Q39" i="164"/>
  <c r="T41" i="163"/>
  <c r="N45" i="163"/>
  <c r="N423" i="163"/>
  <c r="Y125" i="163"/>
  <c r="N344" i="163"/>
  <c r="N349" i="163"/>
  <c r="T375" i="163"/>
  <c r="T380" i="163"/>
  <c r="T42" i="163"/>
  <c r="K349" i="164"/>
  <c r="K344" i="164"/>
  <c r="K42" i="165"/>
  <c r="K375" i="165"/>
  <c r="K380" i="165"/>
  <c r="N365" i="165"/>
  <c r="K409" i="163"/>
  <c r="K404" i="163"/>
  <c r="T44" i="163"/>
  <c r="K260" i="165"/>
  <c r="K255" i="165"/>
  <c r="Y119" i="165"/>
  <c r="Y126" i="164"/>
  <c r="K276" i="164"/>
  <c r="N438" i="165"/>
  <c r="N433" i="165"/>
  <c r="K315" i="163"/>
  <c r="K320" i="163"/>
  <c r="F54" i="130"/>
  <c r="F37" i="130"/>
  <c r="F87" i="130"/>
  <c r="F94" i="130"/>
  <c r="F62" i="130"/>
  <c r="F44" i="130"/>
  <c r="F96" i="130"/>
  <c r="F45" i="130"/>
  <c r="F46" i="130"/>
  <c r="F38" i="130"/>
  <c r="F80" i="130"/>
  <c r="F60" i="130"/>
  <c r="F61" i="130"/>
  <c r="F52" i="130"/>
  <c r="F79" i="130"/>
  <c r="F86" i="130"/>
  <c r="F88" i="130"/>
  <c r="F95" i="130"/>
  <c r="F36" i="130"/>
  <c r="F53" i="130"/>
  <c r="F78" i="130"/>
  <c r="K39" i="165"/>
  <c r="K409" i="165"/>
  <c r="K404" i="165"/>
  <c r="Y126" i="163"/>
  <c r="Q44" i="163"/>
  <c r="W40" i="163"/>
  <c r="K45" i="165"/>
  <c r="N409" i="165"/>
  <c r="N404" i="165"/>
  <c r="K44" i="163"/>
  <c r="N43" i="163"/>
  <c r="N44" i="164"/>
  <c r="T40" i="163"/>
  <c r="K41" i="163"/>
  <c r="Q305" i="163"/>
  <c r="K39" i="164"/>
  <c r="K365" i="165"/>
  <c r="K394" i="163"/>
  <c r="K276" i="163"/>
  <c r="G44" i="130"/>
  <c r="G88" i="130"/>
  <c r="G62" i="130"/>
  <c r="G80" i="130"/>
  <c r="G87" i="130"/>
  <c r="G36" i="130"/>
  <c r="G52" i="130"/>
  <c r="G53" i="130"/>
  <c r="G86" i="130"/>
  <c r="G94" i="130"/>
  <c r="G96" i="130"/>
  <c r="G54" i="130"/>
  <c r="G79" i="130"/>
  <c r="G46" i="130"/>
  <c r="G37" i="130"/>
  <c r="G78" i="130"/>
  <c r="G45" i="130"/>
  <c r="G60" i="130"/>
  <c r="G38" i="130"/>
  <c r="G95" i="130"/>
  <c r="G61" i="130"/>
  <c r="Q260" i="163"/>
  <c r="Q255" i="163"/>
  <c r="T404" i="163"/>
  <c r="T409" i="163"/>
  <c r="W45" i="163"/>
  <c r="K394" i="165"/>
  <c r="K286" i="165"/>
  <c r="K38" i="165"/>
  <c r="K291" i="165"/>
  <c r="N43" i="164"/>
  <c r="N438" i="164"/>
  <c r="N433" i="164"/>
  <c r="K40" i="163"/>
  <c r="K365" i="164"/>
  <c r="N41" i="164"/>
  <c r="K320" i="165"/>
  <c r="K315" i="165"/>
  <c r="Y120" i="164"/>
  <c r="N349" i="164"/>
  <c r="N344" i="164"/>
  <c r="K438" i="163"/>
  <c r="K433" i="163"/>
  <c r="Y119" i="163"/>
  <c r="N40" i="163"/>
  <c r="Q276" i="163"/>
  <c r="W89" i="163"/>
  <c r="T241" i="163"/>
  <c r="Y124" i="164"/>
  <c r="N43" i="165"/>
  <c r="Q241" i="163"/>
  <c r="W44" i="163"/>
  <c r="Q41" i="165"/>
  <c r="T203" i="164"/>
  <c r="W380" i="165"/>
  <c r="W375" i="165"/>
  <c r="W42" i="165"/>
  <c r="T38" i="164"/>
  <c r="T291" i="164"/>
  <c r="T286" i="164"/>
  <c r="N394" i="164"/>
  <c r="N44" i="165"/>
  <c r="N375" i="164"/>
  <c r="N380" i="164"/>
  <c r="N42" i="164"/>
  <c r="K43" i="163"/>
  <c r="N44" i="163"/>
  <c r="T203" i="163"/>
  <c r="T438" i="163"/>
  <c r="T433" i="163"/>
  <c r="T165" i="163"/>
  <c r="K45" i="164"/>
  <c r="K255" i="164"/>
  <c r="K260" i="164"/>
  <c r="Y124" i="163"/>
  <c r="K40" i="165"/>
  <c r="K315" i="164"/>
  <c r="K320" i="164"/>
  <c r="K41" i="164"/>
  <c r="N40" i="165"/>
  <c r="K438" i="164"/>
  <c r="K433" i="164"/>
  <c r="K305" i="165"/>
  <c r="Y125" i="164"/>
  <c r="K394" i="164"/>
  <c r="K44" i="165"/>
  <c r="K286" i="164"/>
  <c r="K38" i="164"/>
  <c r="K291" i="164"/>
  <c r="N423" i="165"/>
  <c r="N41" i="163"/>
  <c r="N365" i="163"/>
  <c r="W423" i="163"/>
  <c r="W334" i="163"/>
  <c r="T260" i="164"/>
  <c r="T255" i="164"/>
  <c r="W222" i="165"/>
  <c r="W217" i="165"/>
  <c r="Q438" i="164"/>
  <c r="Q433" i="164"/>
  <c r="Q184" i="165"/>
  <c r="Q179" i="165"/>
  <c r="W276" i="163"/>
  <c r="T334" i="163"/>
  <c r="T43" i="164"/>
  <c r="T305" i="165"/>
  <c r="W38" i="164"/>
  <c r="W291" i="164"/>
  <c r="W286" i="164"/>
  <c r="Q44" i="165"/>
  <c r="W203" i="165"/>
  <c r="Q165" i="165"/>
  <c r="Q241" i="165"/>
  <c r="W45" i="164"/>
  <c r="T44" i="165"/>
  <c r="W38" i="165"/>
  <c r="W291" i="165"/>
  <c r="W286" i="165"/>
  <c r="N305" i="165"/>
  <c r="N404" i="164"/>
  <c r="N409" i="164"/>
  <c r="K38" i="163"/>
  <c r="K286" i="163"/>
  <c r="K291" i="163"/>
  <c r="N438" i="163"/>
  <c r="N433" i="163"/>
  <c r="Y119" i="164"/>
  <c r="N40" i="164"/>
  <c r="K44" i="164"/>
  <c r="N320" i="165"/>
  <c r="N315" i="165"/>
  <c r="N344" i="165"/>
  <c r="N349" i="165"/>
  <c r="N320" i="163"/>
  <c r="N315" i="163"/>
  <c r="Q38" i="163"/>
  <c r="Q291" i="163"/>
  <c r="Q286" i="163"/>
  <c r="Q184" i="163"/>
  <c r="Q179" i="163"/>
  <c r="Q89" i="163"/>
  <c r="W241" i="163"/>
  <c r="T40" i="164"/>
  <c r="T423" i="164"/>
  <c r="T184" i="165"/>
  <c r="T179" i="165"/>
  <c r="Q40" i="164"/>
  <c r="W423" i="165"/>
  <c r="Q241" i="164"/>
  <c r="N260" i="163"/>
  <c r="N255" i="163"/>
  <c r="W43" i="163"/>
  <c r="T179" i="164"/>
  <c r="T184" i="164"/>
  <c r="T375" i="164"/>
  <c r="T42" i="164"/>
  <c r="T380" i="164"/>
  <c r="Q394" i="165"/>
  <c r="T438" i="165"/>
  <c r="T433" i="165"/>
  <c r="N394" i="163"/>
  <c r="N380" i="163"/>
  <c r="N375" i="163"/>
  <c r="N42" i="163"/>
  <c r="W39" i="163"/>
  <c r="T365" i="163"/>
  <c r="K423" i="164"/>
  <c r="Y126" i="165"/>
  <c r="N45" i="164"/>
  <c r="N334" i="165"/>
  <c r="W165" i="163"/>
  <c r="T394" i="163"/>
  <c r="K334" i="164"/>
  <c r="K334" i="165"/>
  <c r="K43" i="165"/>
  <c r="N320" i="164"/>
  <c r="N315" i="164"/>
  <c r="N334" i="164"/>
  <c r="N42" i="165"/>
  <c r="N380" i="165"/>
  <c r="N375" i="165"/>
  <c r="K423" i="163"/>
  <c r="N334" i="163"/>
  <c r="W41" i="163"/>
  <c r="N222" i="163"/>
  <c r="N217" i="163"/>
  <c r="Q45" i="163"/>
  <c r="T409" i="164"/>
  <c r="T404" i="164"/>
  <c r="Q349" i="163"/>
  <c r="Q344" i="163"/>
  <c r="W394" i="165"/>
  <c r="Q41" i="164"/>
  <c r="W217" i="164"/>
  <c r="W222" i="164"/>
  <c r="W344" i="163"/>
  <c r="W349" i="163"/>
  <c r="T334" i="164"/>
  <c r="N260" i="165"/>
  <c r="N255" i="165"/>
  <c r="T276" i="164"/>
  <c r="W165" i="165"/>
  <c r="Q41" i="163"/>
  <c r="Q438" i="163"/>
  <c r="Q433" i="163"/>
  <c r="Q409" i="163"/>
  <c r="Q404" i="163"/>
  <c r="W365" i="163"/>
  <c r="Q43" i="163"/>
  <c r="W334" i="164"/>
  <c r="Q89" i="164"/>
  <c r="W365" i="164"/>
  <c r="W222" i="163"/>
  <c r="W217" i="163"/>
  <c r="T334" i="165"/>
  <c r="W68" i="165"/>
  <c r="W67" i="165" s="1"/>
  <c r="W179" i="164"/>
  <c r="W184" i="164"/>
  <c r="W39" i="164"/>
  <c r="T409" i="165"/>
  <c r="T404" i="165"/>
  <c r="Q423" i="163"/>
  <c r="Q394" i="163"/>
  <c r="W320" i="163"/>
  <c r="W315" i="163"/>
  <c r="W320" i="165"/>
  <c r="W315" i="165"/>
  <c r="Q43" i="164"/>
  <c r="Q45" i="165"/>
  <c r="W438" i="165"/>
  <c r="W433" i="165"/>
  <c r="W260" i="165"/>
  <c r="W255" i="165"/>
  <c r="Q334" i="164"/>
  <c r="T39" i="164"/>
  <c r="W241" i="165"/>
  <c r="T89" i="164"/>
  <c r="T68" i="165"/>
  <c r="T67" i="165" s="1"/>
  <c r="T165" i="164"/>
  <c r="T45" i="165"/>
  <c r="K365" i="163"/>
  <c r="H94" i="130"/>
  <c r="H60" i="130"/>
  <c r="H44" i="130"/>
  <c r="H38" i="130"/>
  <c r="H46" i="130"/>
  <c r="H37" i="130"/>
  <c r="H62" i="130"/>
  <c r="H96" i="130"/>
  <c r="H54" i="130"/>
  <c r="H78" i="130"/>
  <c r="H52" i="130"/>
  <c r="H45" i="130"/>
  <c r="H53" i="130"/>
  <c r="H86" i="130"/>
  <c r="H36" i="130"/>
  <c r="H95" i="130"/>
  <c r="H87" i="130"/>
  <c r="H79" i="130"/>
  <c r="H80" i="130"/>
  <c r="H88" i="130"/>
  <c r="H61" i="130"/>
  <c r="W184" i="163"/>
  <c r="W179" i="163"/>
  <c r="Q375" i="163"/>
  <c r="Q380" i="163"/>
  <c r="Q42" i="163"/>
  <c r="Q39" i="163"/>
  <c r="W394" i="163"/>
  <c r="W286" i="163"/>
  <c r="W38" i="163"/>
  <c r="W291" i="163"/>
  <c r="W305" i="163"/>
  <c r="T349" i="163"/>
  <c r="T344" i="163"/>
  <c r="T41" i="164"/>
  <c r="W305" i="165"/>
  <c r="Q276" i="165"/>
  <c r="T68" i="163"/>
  <c r="T67" i="163" s="1"/>
  <c r="T45" i="163"/>
  <c r="T260" i="163"/>
  <c r="T255" i="163"/>
  <c r="T184" i="163"/>
  <c r="T179" i="163"/>
  <c r="T41" i="165"/>
  <c r="T241" i="164"/>
  <c r="T320" i="165"/>
  <c r="T315" i="165"/>
  <c r="W89" i="164"/>
  <c r="W276" i="165"/>
  <c r="T305" i="163"/>
  <c r="Q203" i="163"/>
  <c r="T276" i="165"/>
  <c r="Q365" i="164"/>
  <c r="T43" i="165"/>
  <c r="W409" i="165"/>
  <c r="W404" i="165"/>
  <c r="Q286" i="164"/>
  <c r="Q38" i="164"/>
  <c r="Q291" i="164"/>
  <c r="Q217" i="164"/>
  <c r="Q222" i="164"/>
  <c r="Q276" i="164"/>
  <c r="Q423" i="164"/>
  <c r="Q344" i="165"/>
  <c r="Q349" i="165"/>
  <c r="T40" i="165"/>
  <c r="W320" i="164"/>
  <c r="W315" i="164"/>
  <c r="T349" i="165"/>
  <c r="T344" i="165"/>
  <c r="Q365" i="165"/>
  <c r="Q184" i="164"/>
  <c r="Q179" i="164"/>
  <c r="W68" i="163"/>
  <c r="W67" i="163" s="1"/>
  <c r="W409" i="163"/>
  <c r="W404" i="163"/>
  <c r="T89" i="163"/>
  <c r="T38" i="163"/>
  <c r="T286" i="163"/>
  <c r="T291" i="163"/>
  <c r="W203" i="163"/>
  <c r="W305" i="164"/>
  <c r="T241" i="165"/>
  <c r="W43" i="165"/>
  <c r="W41" i="164"/>
  <c r="W68" i="164"/>
  <c r="W67" i="164" s="1"/>
  <c r="W184" i="165"/>
  <c r="W179" i="165"/>
  <c r="W39" i="165"/>
  <c r="T365" i="165"/>
  <c r="Q305" i="165"/>
  <c r="T423" i="165"/>
  <c r="T38" i="165"/>
  <c r="T286" i="165"/>
  <c r="T291" i="165"/>
  <c r="T344" i="164"/>
  <c r="T349" i="164"/>
  <c r="Q42" i="164"/>
  <c r="Q380" i="164"/>
  <c r="Q375" i="164"/>
  <c r="Q423" i="165"/>
  <c r="Q45" i="164"/>
  <c r="T394" i="164"/>
  <c r="W423" i="164"/>
  <c r="W44" i="164"/>
  <c r="W241" i="164"/>
  <c r="W40" i="165"/>
  <c r="Q217" i="165"/>
  <c r="Q222" i="165"/>
  <c r="Q315" i="164"/>
  <c r="Q320" i="164"/>
  <c r="N260" i="164"/>
  <c r="N255" i="164"/>
  <c r="W45" i="165"/>
  <c r="Q291" i="165"/>
  <c r="Q38" i="165"/>
  <c r="Q286" i="165"/>
  <c r="T438" i="164"/>
  <c r="T433" i="164"/>
  <c r="W380" i="164"/>
  <c r="W375" i="164"/>
  <c r="W42" i="164"/>
  <c r="Q203" i="165"/>
  <c r="W349" i="165"/>
  <c r="W344" i="165"/>
  <c r="W41" i="165"/>
  <c r="Q375" i="165"/>
  <c r="Q42" i="165"/>
  <c r="Q380" i="165"/>
  <c r="Q438" i="165"/>
  <c r="Q433" i="165"/>
  <c r="W165" i="164"/>
  <c r="T217" i="164"/>
  <c r="T222" i="164"/>
  <c r="W44" i="165"/>
  <c r="Q404" i="165"/>
  <c r="Q409" i="165"/>
  <c r="T45" i="164"/>
  <c r="Q349" i="164"/>
  <c r="Q344" i="164"/>
  <c r="T89" i="165"/>
  <c r="T365" i="164"/>
  <c r="W89" i="165"/>
  <c r="N222" i="164"/>
  <c r="N217" i="164"/>
  <c r="Q394" i="164"/>
  <c r="W255" i="164"/>
  <c r="W260" i="164"/>
  <c r="W409" i="164"/>
  <c r="W404" i="164"/>
  <c r="Q365" i="163"/>
  <c r="Q44" i="164"/>
  <c r="Q43" i="165"/>
  <c r="W349" i="164"/>
  <c r="W344" i="164"/>
  <c r="T305" i="164"/>
  <c r="T44" i="164"/>
  <c r="Q409" i="164"/>
  <c r="Q404" i="164"/>
  <c r="W365" i="165"/>
  <c r="W334" i="165"/>
  <c r="W203" i="164"/>
  <c r="T320" i="164"/>
  <c r="T315" i="164"/>
  <c r="W394" i="164"/>
  <c r="Q165" i="164"/>
  <c r="T42" i="165"/>
  <c r="T380" i="165"/>
  <c r="T375" i="165"/>
  <c r="Q89" i="165"/>
  <c r="T68" i="164"/>
  <c r="T67" i="164" s="1"/>
  <c r="T217" i="165"/>
  <c r="T222" i="165"/>
  <c r="Q255" i="164"/>
  <c r="Q260" i="164"/>
  <c r="Q334" i="165"/>
  <c r="N217" i="165"/>
  <c r="N222" i="165"/>
  <c r="T39" i="165"/>
  <c r="T203" i="165"/>
  <c r="W276" i="164"/>
  <c r="W43" i="164"/>
  <c r="T165" i="165"/>
  <c r="Q68" i="164"/>
  <c r="Q67" i="164" s="1"/>
  <c r="Q40" i="165"/>
  <c r="Q68" i="165"/>
  <c r="Q67" i="165" s="1"/>
  <c r="T394" i="165"/>
  <c r="W438" i="164"/>
  <c r="W433" i="164"/>
  <c r="Q320" i="165"/>
  <c r="Q315" i="165"/>
  <c r="Q255" i="165"/>
  <c r="Q260" i="165"/>
  <c r="W40" i="164"/>
  <c r="Q203" i="164"/>
  <c r="Q67" i="163"/>
  <c r="Y123" i="165"/>
  <c r="Y123" i="164"/>
  <c r="K222" i="165"/>
  <c r="K217" i="165"/>
  <c r="K222" i="164"/>
  <c r="K217" i="164"/>
  <c r="K222" i="163"/>
  <c r="K217" i="163"/>
  <c r="U18" i="127"/>
  <c r="W18" i="127" s="1"/>
  <c r="BK21" i="127"/>
  <c r="BK136" i="127"/>
  <c r="BK863" i="127"/>
  <c r="BK156" i="127"/>
  <c r="BK868" i="127"/>
  <c r="BK137" i="127"/>
  <c r="BK326" i="127"/>
  <c r="BK226" i="127"/>
  <c r="BK1251" i="127"/>
  <c r="BK1238" i="127"/>
  <c r="BN20" i="127" a="1"/>
  <c r="BN20" i="127" s="1"/>
  <c r="BK553" i="127" s="1"/>
  <c r="BK354" i="127"/>
  <c r="BK1255" i="127"/>
  <c r="BK325" i="127"/>
  <c r="BK1216" i="127"/>
  <c r="BK1236" i="127"/>
  <c r="BK1252" i="127"/>
  <c r="BK869" i="127"/>
  <c r="BK862" i="127"/>
  <c r="K190" i="164"/>
  <c r="K103" i="165"/>
  <c r="W437" i="163"/>
  <c r="T28" i="163"/>
  <c r="K319" i="163"/>
  <c r="G83" i="130"/>
  <c r="J83" i="130"/>
  <c r="J94" i="130"/>
  <c r="J60" i="130"/>
  <c r="T227" i="163"/>
  <c r="I92" i="130"/>
  <c r="I76" i="130"/>
  <c r="I93" i="130"/>
  <c r="Q290" i="163"/>
  <c r="K122" i="164"/>
  <c r="Q348" i="163"/>
  <c r="Q408" i="163"/>
  <c r="W221" i="163"/>
  <c r="K121" i="163"/>
  <c r="Q211" i="165"/>
  <c r="W408" i="165"/>
  <c r="T117" i="164"/>
  <c r="W379" i="164"/>
  <c r="Q348" i="164"/>
  <c r="T249" i="164"/>
  <c r="Q173" i="164"/>
  <c r="W107" i="164"/>
  <c r="K121" i="165"/>
  <c r="T211" i="163"/>
  <c r="Q319" i="163"/>
  <c r="K107" i="163"/>
  <c r="J51" i="130"/>
  <c r="J37" i="130"/>
  <c r="J62" i="130"/>
  <c r="W249" i="165"/>
  <c r="I38" i="130"/>
  <c r="I42" i="130"/>
  <c r="I33" i="130"/>
  <c r="K290" i="163"/>
  <c r="Q112" i="164"/>
  <c r="W221" i="164"/>
  <c r="Q122" i="165"/>
  <c r="T101" i="164"/>
  <c r="T173" i="163"/>
  <c r="T259" i="163"/>
  <c r="T59" i="164"/>
  <c r="Q28" i="165"/>
  <c r="T211" i="165"/>
  <c r="T112" i="164"/>
  <c r="T69" i="165"/>
  <c r="W121" i="164"/>
  <c r="K103" i="164"/>
  <c r="K127" i="165"/>
  <c r="T379" i="163"/>
  <c r="Q259" i="163"/>
  <c r="J96" i="130"/>
  <c r="J35" i="130"/>
  <c r="Q101" i="163"/>
  <c r="T228" i="163"/>
  <c r="I36" i="130"/>
  <c r="I46" i="130"/>
  <c r="I34" i="130"/>
  <c r="N348" i="165"/>
  <c r="T183" i="165"/>
  <c r="T437" i="165"/>
  <c r="W59" i="164"/>
  <c r="T121" i="164"/>
  <c r="W102" i="163"/>
  <c r="Q121" i="164"/>
  <c r="Q102" i="164"/>
  <c r="J49" i="130"/>
  <c r="I51" i="130"/>
  <c r="W101" i="164"/>
  <c r="W437" i="165"/>
  <c r="W122" i="164"/>
  <c r="K103" i="163"/>
  <c r="Q59" i="163"/>
  <c r="W259" i="163"/>
  <c r="K102" i="164"/>
  <c r="K249" i="165"/>
  <c r="W28" i="163"/>
  <c r="J45" i="130"/>
  <c r="J53" i="130"/>
  <c r="W379" i="165"/>
  <c r="K319" i="164"/>
  <c r="I85" i="130"/>
  <c r="I60" i="130"/>
  <c r="W127" i="163"/>
  <c r="Q183" i="163"/>
  <c r="W111" i="163"/>
  <c r="Q117" i="165"/>
  <c r="Q121" i="165"/>
  <c r="Q28" i="164"/>
  <c r="H83" i="130"/>
  <c r="T107" i="164"/>
  <c r="Q173" i="165"/>
  <c r="T28" i="164"/>
  <c r="T127" i="165"/>
  <c r="N211" i="164"/>
  <c r="W173" i="165"/>
  <c r="W437" i="164"/>
  <c r="Q107" i="165"/>
  <c r="T221" i="163"/>
  <c r="W379" i="163"/>
  <c r="W152" i="164"/>
  <c r="T101" i="163"/>
  <c r="J77" i="130"/>
  <c r="J87" i="130"/>
  <c r="J76" i="130"/>
  <c r="Q59" i="164"/>
  <c r="I83" i="130"/>
  <c r="I78" i="130"/>
  <c r="W249" i="164"/>
  <c r="Q121" i="163"/>
  <c r="N319" i="164"/>
  <c r="W348" i="163"/>
  <c r="T107" i="163"/>
  <c r="T28" i="165"/>
  <c r="Q122" i="164"/>
  <c r="N211" i="163"/>
  <c r="W319" i="164"/>
  <c r="W117" i="164"/>
  <c r="Q102" i="165"/>
  <c r="Q101" i="164"/>
  <c r="W121" i="163"/>
  <c r="Q437" i="165"/>
  <c r="Q103" i="163"/>
  <c r="N121" i="163"/>
  <c r="T102" i="163"/>
  <c r="K249" i="164"/>
  <c r="J91" i="130"/>
  <c r="J34" i="130"/>
  <c r="N127" i="165"/>
  <c r="T437" i="163"/>
  <c r="I45" i="130"/>
  <c r="I58" i="130"/>
  <c r="I41" i="130"/>
  <c r="Q122" i="163"/>
  <c r="W102" i="164"/>
  <c r="Q111" i="164"/>
  <c r="Q437" i="163"/>
  <c r="W112" i="164"/>
  <c r="Q379" i="163"/>
  <c r="T183" i="163"/>
  <c r="Q319" i="164"/>
  <c r="T189" i="163"/>
  <c r="K348" i="163"/>
  <c r="F57" i="130"/>
  <c r="Q227" i="163"/>
  <c r="J93" i="130"/>
  <c r="J84" i="130"/>
  <c r="J46" i="130"/>
  <c r="W101" i="165"/>
  <c r="N127" i="164"/>
  <c r="I91" i="130"/>
  <c r="I44" i="130"/>
  <c r="I43" i="130"/>
  <c r="N319" i="165"/>
  <c r="N228" i="165"/>
  <c r="W211" i="163"/>
  <c r="W173" i="163"/>
  <c r="W319" i="163"/>
  <c r="H57" i="130"/>
  <c r="T319" i="165"/>
  <c r="T111" i="163"/>
  <c r="W28" i="164"/>
  <c r="T122" i="165"/>
  <c r="T319" i="164"/>
  <c r="K211" i="165"/>
  <c r="T121" i="165"/>
  <c r="Q69" i="164"/>
  <c r="N121" i="165"/>
  <c r="K102" i="165"/>
  <c r="K249" i="163"/>
  <c r="Q59" i="165"/>
  <c r="J44" i="130"/>
  <c r="J88" i="130"/>
  <c r="J52" i="130"/>
  <c r="T290" i="164"/>
  <c r="N122" i="164"/>
  <c r="I57" i="130"/>
  <c r="I84" i="130"/>
  <c r="T259" i="164"/>
  <c r="T127" i="164"/>
  <c r="Q127" i="164"/>
  <c r="T112" i="165"/>
  <c r="Q103" i="165"/>
  <c r="T211" i="164"/>
  <c r="Q249" i="163"/>
  <c r="Q117" i="164"/>
  <c r="Q348" i="165"/>
  <c r="W127" i="164"/>
  <c r="T221" i="164"/>
  <c r="Q211" i="164"/>
  <c r="T221" i="165"/>
  <c r="N249" i="163"/>
  <c r="N127" i="163"/>
  <c r="K101" i="164"/>
  <c r="K348" i="164"/>
  <c r="K228" i="164"/>
  <c r="J95" i="130"/>
  <c r="J61" i="130"/>
  <c r="K319" i="165"/>
  <c r="K107" i="165"/>
  <c r="I88" i="130"/>
  <c r="I95" i="130"/>
  <c r="Q183" i="165"/>
  <c r="W111" i="165"/>
  <c r="W112" i="163"/>
  <c r="T111" i="165"/>
  <c r="T122" i="164"/>
  <c r="K122" i="163"/>
  <c r="Q249" i="164"/>
  <c r="W190" i="164"/>
  <c r="W408" i="163"/>
  <c r="Q290" i="165"/>
  <c r="W259" i="164"/>
  <c r="Q319" i="165"/>
  <c r="W249" i="163"/>
  <c r="Q101" i="165"/>
  <c r="Q221" i="163"/>
  <c r="W173" i="164"/>
  <c r="W113" i="163"/>
  <c r="J85" i="130"/>
  <c r="J41" i="130"/>
  <c r="J57" i="130"/>
  <c r="W102" i="165"/>
  <c r="K290" i="164"/>
  <c r="I50" i="130"/>
  <c r="I94" i="130"/>
  <c r="Q127" i="163"/>
  <c r="W121" i="165"/>
  <c r="W117" i="165"/>
  <c r="K127" i="164"/>
  <c r="Q127" i="165"/>
  <c r="T102" i="164"/>
  <c r="W290" i="163"/>
  <c r="Q290" i="164"/>
  <c r="N249" i="164"/>
  <c r="W123" i="163"/>
  <c r="T103" i="163"/>
  <c r="F83" i="130"/>
  <c r="W103" i="163"/>
  <c r="J54" i="130"/>
  <c r="J38" i="130"/>
  <c r="J92" i="130"/>
  <c r="W28" i="165"/>
  <c r="N121" i="164"/>
  <c r="I61" i="130"/>
  <c r="I53" i="130"/>
  <c r="T59" i="163"/>
  <c r="N319" i="163"/>
  <c r="W117" i="163"/>
  <c r="T107" i="165"/>
  <c r="N211" i="165"/>
  <c r="W319" i="165"/>
  <c r="T127" i="163"/>
  <c r="Q249" i="165"/>
  <c r="T290" i="165"/>
  <c r="W211" i="165"/>
  <c r="Q107" i="164"/>
  <c r="Q259" i="164"/>
  <c r="W69" i="165"/>
  <c r="W183" i="165"/>
  <c r="T111" i="164"/>
  <c r="T319" i="163"/>
  <c r="T259" i="165"/>
  <c r="G57" i="130"/>
  <c r="J43" i="130"/>
  <c r="J78" i="130"/>
  <c r="I80" i="130"/>
  <c r="I87" i="130"/>
  <c r="Q111" i="165"/>
  <c r="W259" i="165"/>
  <c r="W59" i="163"/>
  <c r="T112" i="163"/>
  <c r="T379" i="165"/>
  <c r="K211" i="164"/>
  <c r="N122" i="163"/>
  <c r="J75" i="130"/>
  <c r="N348" i="164"/>
  <c r="I77" i="130"/>
  <c r="I79" i="130"/>
  <c r="Q112" i="165"/>
  <c r="T408" i="165"/>
  <c r="W228" i="163"/>
  <c r="Q221" i="164"/>
  <c r="T290" i="163"/>
  <c r="W348" i="165"/>
  <c r="Q259" i="165"/>
  <c r="T173" i="165"/>
  <c r="N348" i="163"/>
  <c r="Q107" i="163"/>
  <c r="J79" i="130"/>
  <c r="K127" i="163"/>
  <c r="I96" i="130"/>
  <c r="Q437" i="164"/>
  <c r="W112" i="165"/>
  <c r="W183" i="164"/>
  <c r="W183" i="163"/>
  <c r="T348" i="165"/>
  <c r="N122" i="165"/>
  <c r="T408" i="163"/>
  <c r="J42" i="130"/>
  <c r="K101" i="163"/>
  <c r="I54" i="130"/>
  <c r="W221" i="165"/>
  <c r="W122" i="165"/>
  <c r="T408" i="164"/>
  <c r="Q111" i="163"/>
  <c r="Q152" i="165"/>
  <c r="T348" i="164"/>
  <c r="Q221" i="165"/>
  <c r="Q152" i="164"/>
  <c r="W190" i="165"/>
  <c r="Q183" i="164"/>
  <c r="K348" i="165"/>
  <c r="Q173" i="163"/>
  <c r="K290" i="165"/>
  <c r="Q117" i="163"/>
  <c r="T249" i="163"/>
  <c r="I86" i="130"/>
  <c r="K107" i="164"/>
  <c r="W111" i="164"/>
  <c r="W59" i="165"/>
  <c r="W69" i="164"/>
  <c r="Q69" i="163"/>
  <c r="K190" i="163"/>
  <c r="Q151" i="163"/>
  <c r="K122" i="165"/>
  <c r="T121" i="163"/>
  <c r="J50" i="130"/>
  <c r="K102" i="163"/>
  <c r="I59" i="130"/>
  <c r="W290" i="165"/>
  <c r="N249" i="165"/>
  <c r="Q211" i="163"/>
  <c r="Q112" i="163"/>
  <c r="T249" i="165"/>
  <c r="T437" i="164"/>
  <c r="Q408" i="165"/>
  <c r="W348" i="164"/>
  <c r="T173" i="164"/>
  <c r="W227" i="163"/>
  <c r="T122" i="163"/>
  <c r="J80" i="130"/>
  <c r="J36" i="130"/>
  <c r="I52" i="130"/>
  <c r="W290" i="164"/>
  <c r="T183" i="164"/>
  <c r="Q28" i="163"/>
  <c r="W101" i="163"/>
  <c r="Q408" i="164"/>
  <c r="W211" i="164"/>
  <c r="W107" i="163"/>
  <c r="J59" i="130"/>
  <c r="J58" i="130"/>
  <c r="I75" i="130"/>
  <c r="I62" i="130"/>
  <c r="T379" i="164"/>
  <c r="T101" i="165"/>
  <c r="T348" i="163"/>
  <c r="W127" i="165"/>
  <c r="Q189" i="163"/>
  <c r="K228" i="165"/>
  <c r="J86" i="130"/>
  <c r="Q102" i="163"/>
  <c r="I49" i="130"/>
  <c r="I35" i="130"/>
  <c r="K121" i="164"/>
  <c r="T117" i="165"/>
  <c r="W122" i="163"/>
  <c r="W408" i="164"/>
  <c r="T69" i="164"/>
  <c r="W69" i="163"/>
  <c r="K101" i="165"/>
  <c r="J33" i="130"/>
  <c r="I37" i="130"/>
  <c r="W107" i="165"/>
  <c r="T102" i="165"/>
  <c r="T59" i="165"/>
  <c r="Q379" i="164"/>
  <c r="T117" i="163"/>
  <c r="Q379" i="165"/>
  <c r="K211" i="163"/>
  <c r="Y42" i="163" l="1"/>
  <c r="Y42" i="165"/>
  <c r="Z42" i="163"/>
  <c r="Z42" i="165"/>
  <c r="Y42" i="164"/>
  <c r="Z42" i="164"/>
  <c r="Q91" i="164"/>
  <c r="W61" i="165"/>
  <c r="W60" i="165" s="1"/>
  <c r="W36" i="165"/>
  <c r="Q37" i="165"/>
  <c r="T61" i="165"/>
  <c r="T60" i="165" s="1"/>
  <c r="N36" i="165"/>
  <c r="W35" i="163"/>
  <c r="W34" i="163"/>
  <c r="W46" i="163" s="1"/>
  <c r="AC62" i="163" s="1"/>
  <c r="T90" i="165"/>
  <c r="T91" i="165"/>
  <c r="W36" i="163"/>
  <c r="Y121" i="164"/>
  <c r="W79" i="164"/>
  <c r="W81" i="164" s="1"/>
  <c r="W88" i="164"/>
  <c r="W91" i="165"/>
  <c r="T61" i="163"/>
  <c r="T60" i="163" s="1"/>
  <c r="T37" i="163"/>
  <c r="W79" i="165"/>
  <c r="W81" i="165" s="1"/>
  <c r="W88" i="165"/>
  <c r="Q90" i="163"/>
  <c r="W91" i="163"/>
  <c r="Q34" i="163"/>
  <c r="Q46" i="163" s="1"/>
  <c r="AB60" i="163" s="1"/>
  <c r="Q35" i="163"/>
  <c r="T91" i="163"/>
  <c r="Y123" i="163"/>
  <c r="Q90" i="164"/>
  <c r="N37" i="164"/>
  <c r="W90" i="163"/>
  <c r="T90" i="164"/>
  <c r="W61" i="164"/>
  <c r="W60" i="164" s="1"/>
  <c r="T79" i="165"/>
  <c r="T81" i="165" s="1"/>
  <c r="T88" i="165"/>
  <c r="Y127" i="164"/>
  <c r="W90" i="164"/>
  <c r="Y127" i="163"/>
  <c r="W90" i="165"/>
  <c r="Q79" i="163"/>
  <c r="Q81" i="163" s="1"/>
  <c r="Q88" i="163"/>
  <c r="K37" i="164"/>
  <c r="T90" i="163"/>
  <c r="W35" i="164"/>
  <c r="W34" i="164"/>
  <c r="W46" i="164" s="1"/>
  <c r="AC62" i="164" s="1"/>
  <c r="Y127" i="165"/>
  <c r="Q91" i="163"/>
  <c r="T34" i="165"/>
  <c r="T46" i="165" s="1"/>
  <c r="AB61" i="165" s="1"/>
  <c r="T35" i="165"/>
  <c r="Q88" i="165"/>
  <c r="Q79" i="165"/>
  <c r="Q81" i="165" s="1"/>
  <c r="W36" i="164"/>
  <c r="W37" i="163"/>
  <c r="Q88" i="164"/>
  <c r="Q79" i="164"/>
  <c r="Q81" i="164" s="1"/>
  <c r="Q90" i="165"/>
  <c r="T36" i="165"/>
  <c r="T61" i="164"/>
  <c r="T60" i="164" s="1"/>
  <c r="N36" i="163"/>
  <c r="Q37" i="164"/>
  <c r="T34" i="163"/>
  <c r="T46" i="163" s="1"/>
  <c r="AC61" i="163" s="1"/>
  <c r="T35" i="163"/>
  <c r="W79" i="163"/>
  <c r="W81" i="163" s="1"/>
  <c r="W88" i="163"/>
  <c r="Y122" i="163"/>
  <c r="T88" i="164"/>
  <c r="T79" i="164"/>
  <c r="T81" i="164" s="1"/>
  <c r="W37" i="164"/>
  <c r="Q61" i="164"/>
  <c r="Q60" i="164" s="1"/>
  <c r="W37" i="165"/>
  <c r="T88" i="163"/>
  <c r="T79" i="163"/>
  <c r="T81" i="163" s="1"/>
  <c r="T36" i="163"/>
  <c r="Y121" i="165"/>
  <c r="W91" i="164"/>
  <c r="N37" i="163"/>
  <c r="Q34" i="164"/>
  <c r="Q46" i="164" s="1"/>
  <c r="AC60" i="164" s="1"/>
  <c r="Q35" i="164"/>
  <c r="T35" i="164"/>
  <c r="T34" i="164"/>
  <c r="T46" i="164" s="1"/>
  <c r="AB61" i="164" s="1"/>
  <c r="W34" i="165"/>
  <c r="W46" i="165" s="1"/>
  <c r="AC62" i="165" s="1"/>
  <c r="W35" i="165"/>
  <c r="T37" i="164"/>
  <c r="Q36" i="164"/>
  <c r="N36" i="164"/>
  <c r="Q34" i="165"/>
  <c r="Q46" i="165" s="1"/>
  <c r="AB60" i="165" s="1"/>
  <c r="Q35" i="165"/>
  <c r="T37" i="165"/>
  <c r="T91" i="164"/>
  <c r="Q36" i="165"/>
  <c r="W61" i="163"/>
  <c r="W60" i="163" s="1"/>
  <c r="Q37" i="163"/>
  <c r="Y121" i="163"/>
  <c r="T36" i="164"/>
  <c r="Q91" i="165"/>
  <c r="Q36" i="163"/>
  <c r="Y122" i="164"/>
  <c r="N37" i="165"/>
  <c r="Q61" i="165"/>
  <c r="Q60" i="165" s="1"/>
  <c r="K37" i="165"/>
  <c r="K37" i="163"/>
  <c r="Q61" i="163"/>
  <c r="Q60" i="163" s="1"/>
  <c r="Y122" i="165"/>
  <c r="K36" i="164"/>
  <c r="K36" i="165"/>
  <c r="K36" i="163"/>
  <c r="BN21" i="127" a="1"/>
  <c r="BN21" i="127" s="1"/>
  <c r="BK486" i="127" s="1"/>
  <c r="BK850" i="127"/>
  <c r="BK238" i="127"/>
  <c r="BK1358" i="127"/>
  <c r="BK568" i="127"/>
  <c r="BK139" i="127"/>
  <c r="BK343" i="127"/>
  <c r="BK1355" i="127"/>
  <c r="BK1155" i="127"/>
  <c r="BK535" i="127"/>
  <c r="BK624" i="127"/>
  <c r="BK341" i="127"/>
  <c r="BK736" i="127"/>
  <c r="BK576" i="127"/>
  <c r="BK534" i="127"/>
  <c r="BK536" i="127"/>
  <c r="BK149" i="127"/>
  <c r="BK239" i="127"/>
  <c r="BK249" i="127"/>
  <c r="BK854" i="127"/>
  <c r="BK660" i="127"/>
  <c r="BK103" i="127"/>
  <c r="BK43" i="127"/>
  <c r="BK849" i="127"/>
  <c r="BK468" i="127"/>
  <c r="BK735" i="127"/>
  <c r="BK1217" i="127"/>
  <c r="BK404" i="127"/>
  <c r="BK300" i="127"/>
  <c r="BK78" i="127"/>
  <c r="BK853" i="127"/>
  <c r="BK753" i="127"/>
  <c r="BK532" i="127"/>
  <c r="BK611" i="127"/>
  <c r="BK303" i="127"/>
  <c r="BK345" i="127"/>
  <c r="BK342" i="127"/>
  <c r="BK130" i="127"/>
  <c r="BK86" i="127"/>
  <c r="BK344" i="127"/>
  <c r="BK460" i="127"/>
  <c r="BK469" i="127"/>
  <c r="BK22" i="127"/>
  <c r="BK737" i="127"/>
  <c r="BK555" i="127"/>
  <c r="BK910" i="127"/>
  <c r="BK301" i="127"/>
  <c r="BK82" i="127"/>
  <c r="BK123" i="127"/>
  <c r="BK542" i="127"/>
  <c r="BK155" i="127"/>
  <c r="BK1354" i="127"/>
  <c r="BK124" i="127"/>
  <c r="BK738" i="127"/>
  <c r="BK554" i="127"/>
  <c r="BK493" i="127"/>
  <c r="BK577" i="127"/>
  <c r="BK302" i="127"/>
  <c r="BK492" i="127"/>
  <c r="BK129" i="127"/>
  <c r="Q152" i="97"/>
  <c r="Q151" i="97"/>
  <c r="N151" i="97"/>
  <c r="N152" i="97" s="1"/>
  <c r="BH27" i="97"/>
  <c r="BH25" i="97"/>
  <c r="Q69" i="165"/>
  <c r="F67" i="130"/>
  <c r="K136" i="113"/>
  <c r="Q340" i="115"/>
  <c r="N154" i="163"/>
  <c r="K152" i="113"/>
  <c r="N126" i="115"/>
  <c r="K110" i="165"/>
  <c r="K437" i="164"/>
  <c r="K137" i="113"/>
  <c r="N150" i="113"/>
  <c r="K109" i="165"/>
  <c r="N203" i="113"/>
  <c r="N340" i="115"/>
  <c r="N437" i="164"/>
  <c r="K145" i="113"/>
  <c r="W62" i="165"/>
  <c r="N153" i="113"/>
  <c r="Q125" i="115"/>
  <c r="K141" i="113"/>
  <c r="W371" i="115"/>
  <c r="N266" i="163"/>
  <c r="K156" i="165"/>
  <c r="N146" i="113"/>
  <c r="N136" i="113"/>
  <c r="K154" i="165"/>
  <c r="N266" i="164"/>
  <c r="K261" i="113"/>
  <c r="N140" i="113"/>
  <c r="Q311" i="115"/>
  <c r="K311" i="115"/>
  <c r="T429" i="115"/>
  <c r="N214" i="113"/>
  <c r="N379" i="165"/>
  <c r="W116" i="115"/>
  <c r="K154" i="163"/>
  <c r="N64" i="163"/>
  <c r="Z175" i="164"/>
  <c r="W114" i="115"/>
  <c r="K156" i="163"/>
  <c r="N168" i="164"/>
  <c r="K151" i="113"/>
  <c r="K104" i="115"/>
  <c r="N154" i="165"/>
  <c r="Z175" i="163"/>
  <c r="Q126" i="115"/>
  <c r="N141" i="113"/>
  <c r="Q62" i="165"/>
  <c r="N217" i="113"/>
  <c r="W126" i="115"/>
  <c r="N204" i="113"/>
  <c r="K408" i="163"/>
  <c r="N209" i="113"/>
  <c r="N168" i="165"/>
  <c r="K64" i="163"/>
  <c r="N104" i="165"/>
  <c r="T62" i="165"/>
  <c r="N137" i="113"/>
  <c r="K437" i="165"/>
  <c r="T115" i="115"/>
  <c r="N110" i="163"/>
  <c r="K109" i="164"/>
  <c r="N124" i="115"/>
  <c r="T340" i="115"/>
  <c r="K143" i="113"/>
  <c r="N143" i="113"/>
  <c r="Q62" i="163"/>
  <c r="N139" i="113"/>
  <c r="Q282" i="115"/>
  <c r="N279" i="164"/>
  <c r="N144" i="113"/>
  <c r="Z175" i="165"/>
  <c r="K138" i="113"/>
  <c r="N437" i="165"/>
  <c r="K408" i="164"/>
  <c r="N199" i="113"/>
  <c r="T69" i="163"/>
  <c r="H67" i="130"/>
  <c r="Q371" i="115"/>
  <c r="N138" i="113"/>
  <c r="N207" i="113"/>
  <c r="N400" i="115"/>
  <c r="N408" i="163"/>
  <c r="N156" i="165"/>
  <c r="N201" i="113"/>
  <c r="T124" i="115"/>
  <c r="N437" i="163"/>
  <c r="N104" i="164"/>
  <c r="Q104" i="115"/>
  <c r="K400" i="115"/>
  <c r="N379" i="164"/>
  <c r="N266" i="165"/>
  <c r="W62" i="164"/>
  <c r="Q400" i="115"/>
  <c r="K429" i="115"/>
  <c r="K371" i="115"/>
  <c r="N145" i="113"/>
  <c r="K168" i="164"/>
  <c r="N154" i="164"/>
  <c r="W400" i="115"/>
  <c r="N147" i="113"/>
  <c r="N408" i="165"/>
  <c r="N114" i="165"/>
  <c r="K149" i="113"/>
  <c r="N64" i="165"/>
  <c r="N104" i="163"/>
  <c r="N100" i="164"/>
  <c r="N149" i="113"/>
  <c r="N212" i="113"/>
  <c r="W124" i="115"/>
  <c r="W340" i="115"/>
  <c r="N109" i="163"/>
  <c r="T114" i="115"/>
  <c r="N125" i="115"/>
  <c r="Q114" i="115"/>
  <c r="N156" i="163"/>
  <c r="N279" i="163"/>
  <c r="W429" i="115"/>
  <c r="N311" i="115"/>
  <c r="N279" i="165"/>
  <c r="N211" i="113"/>
  <c r="K154" i="164"/>
  <c r="N205" i="113"/>
  <c r="H18" i="113"/>
  <c r="N379" i="163"/>
  <c r="N200" i="113"/>
  <c r="K379" i="164"/>
  <c r="N202" i="113"/>
  <c r="N156" i="164"/>
  <c r="K379" i="163"/>
  <c r="K150" i="113"/>
  <c r="K110" i="164"/>
  <c r="K379" i="165"/>
  <c r="N148" i="113"/>
  <c r="W125" i="115"/>
  <c r="K142" i="113"/>
  <c r="K109" i="163"/>
  <c r="T105" i="115"/>
  <c r="T116" i="115"/>
  <c r="K125" i="115"/>
  <c r="N268" i="164"/>
  <c r="Q124" i="115"/>
  <c r="Q106" i="115"/>
  <c r="K139" i="113"/>
  <c r="N216" i="113"/>
  <c r="G67" i="130"/>
  <c r="N261" i="113"/>
  <c r="Q429" i="115"/>
  <c r="N429" i="115"/>
  <c r="W311" i="115"/>
  <c r="N99" i="164"/>
  <c r="K110" i="163"/>
  <c r="W282" i="115"/>
  <c r="N371" i="115"/>
  <c r="N100" i="165"/>
  <c r="N114" i="164"/>
  <c r="K147" i="113"/>
  <c r="K144" i="113"/>
  <c r="K114" i="163"/>
  <c r="Q105" i="115"/>
  <c r="Q62" i="164"/>
  <c r="N142" i="113"/>
  <c r="K168" i="163"/>
  <c r="T371" i="115"/>
  <c r="N135" i="113"/>
  <c r="N408" i="164"/>
  <c r="N268" i="165"/>
  <c r="T282" i="115"/>
  <c r="N99" i="163"/>
  <c r="N109" i="165"/>
  <c r="K135" i="113"/>
  <c r="W104" i="115"/>
  <c r="H12" i="165"/>
  <c r="N99" i="165"/>
  <c r="T62" i="164"/>
  <c r="N210" i="113"/>
  <c r="T126" i="115"/>
  <c r="K126" i="115"/>
  <c r="W106" i="115"/>
  <c r="K114" i="164"/>
  <c r="K408" i="165"/>
  <c r="T311" i="115"/>
  <c r="N206" i="113"/>
  <c r="K114" i="165"/>
  <c r="N110" i="164"/>
  <c r="T400" i="115"/>
  <c r="T125" i="115"/>
  <c r="T106" i="115"/>
  <c r="K437" i="163"/>
  <c r="N215" i="113"/>
  <c r="T62" i="163"/>
  <c r="N151" i="113"/>
  <c r="K124" i="115"/>
  <c r="N109" i="164"/>
  <c r="K146" i="113"/>
  <c r="K340" i="115"/>
  <c r="K140" i="113"/>
  <c r="K153" i="113"/>
  <c r="K148" i="113"/>
  <c r="N208" i="113"/>
  <c r="N213" i="113"/>
  <c r="K168" i="165"/>
  <c r="N110" i="165"/>
  <c r="W105" i="115"/>
  <c r="N100" i="163"/>
  <c r="W115" i="115"/>
  <c r="T104" i="115"/>
  <c r="N114" i="163"/>
  <c r="N268" i="163"/>
  <c r="N64" i="164"/>
  <c r="N168" i="163"/>
  <c r="K156" i="164"/>
  <c r="W62" i="163"/>
  <c r="N152" i="113"/>
  <c r="K64" i="164"/>
  <c r="AC60" i="165" l="1"/>
  <c r="AC60" i="163"/>
  <c r="AB60" i="164"/>
  <c r="AB61" i="163"/>
  <c r="AB62" i="164"/>
  <c r="AC61" i="165"/>
  <c r="Y118" i="165"/>
  <c r="AB62" i="165"/>
  <c r="AC61" i="164"/>
  <c r="AB62" i="163"/>
  <c r="Y118" i="163"/>
  <c r="Y118" i="164"/>
  <c r="Q54" i="165"/>
  <c r="AB66" i="165" s="1"/>
  <c r="Q55" i="165"/>
  <c r="AE66" i="165" s="1"/>
  <c r="W55" i="163"/>
  <c r="AE68" i="163" s="1"/>
  <c r="W54" i="163"/>
  <c r="AB68" i="163" s="1"/>
  <c r="T54" i="163"/>
  <c r="AB67" i="163" s="1"/>
  <c r="T55" i="163"/>
  <c r="AE67" i="163" s="1"/>
  <c r="Q54" i="163"/>
  <c r="AB66" i="163" s="1"/>
  <c r="Q55" i="163"/>
  <c r="AE66" i="163" s="1"/>
  <c r="T54" i="164"/>
  <c r="AB67" i="164" s="1"/>
  <c r="T55" i="164"/>
  <c r="AE67" i="164" s="1"/>
  <c r="Q54" i="164"/>
  <c r="AB66" i="164" s="1"/>
  <c r="Q55" i="164"/>
  <c r="AE66" i="164" s="1"/>
  <c r="W55" i="164"/>
  <c r="AE68" i="164" s="1"/>
  <c r="W54" i="164"/>
  <c r="AB68" i="164" s="1"/>
  <c r="W55" i="165"/>
  <c r="AE68" i="165" s="1"/>
  <c r="W54" i="165"/>
  <c r="AC68" i="165" s="1"/>
  <c r="AD68" i="165" s="1"/>
  <c r="T54" i="165"/>
  <c r="AB67" i="165" s="1"/>
  <c r="T55" i="165"/>
  <c r="AE67" i="165" s="1"/>
  <c r="Y104" i="165"/>
  <c r="Y104" i="164"/>
  <c r="Y109" i="165"/>
  <c r="Y110" i="165"/>
  <c r="Y109" i="164"/>
  <c r="Y110" i="164"/>
  <c r="N276" i="165"/>
  <c r="N276" i="164"/>
  <c r="Y114" i="165"/>
  <c r="Y114" i="164"/>
  <c r="Y100" i="165"/>
  <c r="Y99" i="164"/>
  <c r="Y100" i="164"/>
  <c r="Y99" i="165"/>
  <c r="AC67" i="164"/>
  <c r="AD67" i="164" s="1"/>
  <c r="Y104" i="163"/>
  <c r="Y110" i="163"/>
  <c r="Y109" i="163"/>
  <c r="N276" i="163"/>
  <c r="Y114" i="163"/>
  <c r="Y100" i="163"/>
  <c r="Y99" i="163"/>
  <c r="S67" i="130"/>
  <c r="S73" i="130" s="1"/>
  <c r="S68" i="130"/>
  <c r="S74" i="130" s="1"/>
  <c r="S86" i="130"/>
  <c r="S92" i="130" s="1"/>
  <c r="S89" i="130"/>
  <c r="S95" i="130" s="1"/>
  <c r="S109" i="130"/>
  <c r="S115" i="130" s="1"/>
  <c r="S44" i="130"/>
  <c r="S110" i="130"/>
  <c r="S116" i="130" s="1"/>
  <c r="S85" i="130"/>
  <c r="S91" i="130" s="1"/>
  <c r="S107" i="130"/>
  <c r="S113" i="130" s="1"/>
  <c r="S64" i="130"/>
  <c r="S70" i="130" s="1"/>
  <c r="R44" i="130"/>
  <c r="S88" i="130"/>
  <c r="S94" i="130" s="1"/>
  <c r="S87" i="130"/>
  <c r="S93" i="130" s="1"/>
  <c r="S66" i="130"/>
  <c r="S72" i="130" s="1"/>
  <c r="S69" i="130"/>
  <c r="S75" i="130" s="1"/>
  <c r="S106" i="130"/>
  <c r="S112" i="130" s="1"/>
  <c r="S84" i="130"/>
  <c r="S90" i="130" s="1"/>
  <c r="S108" i="130"/>
  <c r="S114" i="130" s="1"/>
  <c r="S105" i="130"/>
  <c r="S65" i="130"/>
  <c r="S71" i="130" s="1"/>
  <c r="BK501" i="127"/>
  <c r="BK1275" i="127"/>
  <c r="BK1091" i="127"/>
  <c r="BK621" i="127"/>
  <c r="BK478" i="127"/>
  <c r="BK678" i="127"/>
  <c r="BK312" i="127"/>
  <c r="BK40" i="127"/>
  <c r="BK898" i="127"/>
  <c r="BK564" i="127"/>
  <c r="BK539" i="127"/>
  <c r="BK28" i="127"/>
  <c r="BK1262" i="127"/>
  <c r="BK181" i="127"/>
  <c r="BK958" i="127"/>
  <c r="BK1249" i="127"/>
  <c r="BK33" i="127"/>
  <c r="BK690" i="127"/>
  <c r="BK496" i="127"/>
  <c r="BK637" i="127"/>
  <c r="BK127" i="127"/>
  <c r="BK374" i="127"/>
  <c r="BK133" i="127"/>
  <c r="BK91" i="127"/>
  <c r="BK705" i="127"/>
  <c r="BK864" i="127"/>
  <c r="BK314" i="127"/>
  <c r="BK410" i="127"/>
  <c r="BK723" i="127"/>
  <c r="BK821" i="127"/>
  <c r="BK680" i="127"/>
  <c r="BK1296" i="127"/>
  <c r="BK529" i="127"/>
  <c r="BK502" i="127"/>
  <c r="BK1280" i="127"/>
  <c r="BK639" i="127"/>
  <c r="BK481" i="127"/>
  <c r="BK23" i="127"/>
  <c r="BK32" i="127"/>
  <c r="BK475" i="127"/>
  <c r="BK756" i="127"/>
  <c r="BK98" i="127"/>
  <c r="BK757" i="127"/>
  <c r="BK752" i="127"/>
  <c r="BK957" i="127"/>
  <c r="BK135" i="127"/>
  <c r="BK1271" i="127"/>
  <c r="BK677" i="127"/>
  <c r="BK47" i="127"/>
  <c r="BK1295" i="127"/>
  <c r="BK248" i="127"/>
  <c r="BK1276" i="127"/>
  <c r="BK631" i="127"/>
  <c r="BK706" i="127"/>
  <c r="BK1090" i="127"/>
  <c r="BK30" i="127"/>
  <c r="BK77" i="127"/>
  <c r="BK37" i="127"/>
  <c r="BK108" i="127"/>
  <c r="BK952" i="127"/>
  <c r="BK409" i="127"/>
  <c r="BK728" i="127"/>
  <c r="BK623" i="127"/>
  <c r="BK628" i="127"/>
  <c r="BK1265" i="127"/>
  <c r="BK497" i="127"/>
  <c r="BK720" i="127"/>
  <c r="BK81" i="127"/>
  <c r="BK656" i="127"/>
  <c r="BN22" i="127" a="1"/>
  <c r="BN22" i="127" s="1"/>
  <c r="BK755" i="127" s="1"/>
  <c r="BK109" i="127"/>
  <c r="BK562" i="127"/>
  <c r="BK232" i="127"/>
  <c r="BK675" i="127"/>
  <c r="BK687" i="127"/>
  <c r="BK458" i="127"/>
  <c r="BK1297" i="127"/>
  <c r="BK724" i="127"/>
  <c r="BK719" i="127"/>
  <c r="BK466" i="127"/>
  <c r="BK375" i="127"/>
  <c r="BK84" i="127"/>
  <c r="BK234" i="127"/>
  <c r="BK1137" i="127"/>
  <c r="BK722" i="127"/>
  <c r="BK482" i="127"/>
  <c r="BK574" i="127"/>
  <c r="BK662" i="127"/>
  <c r="BK407" i="127"/>
  <c r="BK571" i="127"/>
  <c r="BK49" i="127"/>
  <c r="BK102" i="127"/>
  <c r="BK90" i="127"/>
  <c r="BK132" i="127"/>
  <c r="BK476" i="127"/>
  <c r="BK474" i="127"/>
  <c r="BK250" i="127"/>
  <c r="BK1352" i="127"/>
  <c r="BS22" i="127"/>
  <c r="L15" i="127" s="1"/>
  <c r="K152" i="97"/>
  <c r="K151" i="97"/>
  <c r="Y131" i="115"/>
  <c r="AG68" i="115"/>
  <c r="AF68" i="115"/>
  <c r="AG67" i="115"/>
  <c r="AF67" i="115"/>
  <c r="AG66" i="115"/>
  <c r="AF66" i="115"/>
  <c r="AG65" i="115"/>
  <c r="AF65" i="115"/>
  <c r="AG64" i="115"/>
  <c r="AF64" i="115"/>
  <c r="AG63" i="115"/>
  <c r="AF63" i="115"/>
  <c r="AG62" i="115"/>
  <c r="AF62" i="115"/>
  <c r="AG61" i="115"/>
  <c r="AF61" i="115"/>
  <c r="AG60" i="115"/>
  <c r="AF60" i="115"/>
  <c r="AG59" i="115"/>
  <c r="AF59" i="115"/>
  <c r="AG58" i="115"/>
  <c r="AF58" i="115"/>
  <c r="AG57" i="115"/>
  <c r="AF57" i="115"/>
  <c r="AG56" i="115"/>
  <c r="AF56" i="115"/>
  <c r="H45" i="115"/>
  <c r="H44" i="115"/>
  <c r="H43" i="115"/>
  <c r="H42" i="115"/>
  <c r="H41" i="115"/>
  <c r="H40" i="115"/>
  <c r="H39" i="115"/>
  <c r="H38" i="115"/>
  <c r="H37" i="115"/>
  <c r="H36" i="115"/>
  <c r="H35" i="115"/>
  <c r="H34" i="115"/>
  <c r="R95" i="113"/>
  <c r="F78" i="113"/>
  <c r="F77" i="113"/>
  <c r="F76" i="113"/>
  <c r="F75" i="113"/>
  <c r="F74" i="113"/>
  <c r="F73" i="113"/>
  <c r="F72" i="113"/>
  <c r="F71" i="113"/>
  <c r="F70" i="113"/>
  <c r="F69" i="113"/>
  <c r="F68" i="113"/>
  <c r="F67" i="113"/>
  <c r="F66" i="113"/>
  <c r="F65" i="113"/>
  <c r="F64" i="113"/>
  <c r="F63" i="113"/>
  <c r="F62" i="113"/>
  <c r="F61" i="113"/>
  <c r="F60" i="113"/>
  <c r="F59" i="113"/>
  <c r="F58" i="113"/>
  <c r="F57" i="113"/>
  <c r="F56" i="113"/>
  <c r="F55" i="113"/>
  <c r="F54" i="113"/>
  <c r="F53" i="113"/>
  <c r="F52" i="113"/>
  <c r="F51" i="113"/>
  <c r="F50" i="113"/>
  <c r="F49" i="113"/>
  <c r="F48" i="113"/>
  <c r="F47" i="113"/>
  <c r="F46" i="113"/>
  <c r="F45" i="113"/>
  <c r="F44" i="113"/>
  <c r="F43" i="113"/>
  <c r="H12" i="164"/>
  <c r="K227" i="164"/>
  <c r="K117" i="163"/>
  <c r="H23" i="130"/>
  <c r="K189" i="164"/>
  <c r="N117" i="164"/>
  <c r="H64" i="163"/>
  <c r="H12" i="163"/>
  <c r="N107" i="165"/>
  <c r="K64" i="165"/>
  <c r="K65" i="163"/>
  <c r="N107" i="164"/>
  <c r="N65" i="165"/>
  <c r="N114" i="115"/>
  <c r="N227" i="163"/>
  <c r="N189" i="165"/>
  <c r="N290" i="164"/>
  <c r="N65" i="164"/>
  <c r="N117" i="163"/>
  <c r="N104" i="115"/>
  <c r="N189" i="163"/>
  <c r="K189" i="163"/>
  <c r="K117" i="164"/>
  <c r="K65" i="164"/>
  <c r="N117" i="165"/>
  <c r="N290" i="165"/>
  <c r="K114" i="115"/>
  <c r="H64" i="165"/>
  <c r="K117" i="165"/>
  <c r="G23" i="130"/>
  <c r="H64" i="164"/>
  <c r="N227" i="164"/>
  <c r="N290" i="163"/>
  <c r="N107" i="163"/>
  <c r="N227" i="165"/>
  <c r="K227" i="163"/>
  <c r="N189" i="164"/>
  <c r="N65" i="163"/>
  <c r="AC66" i="163" l="1"/>
  <c r="AD66" i="163" s="1"/>
  <c r="AC67" i="163"/>
  <c r="AD67" i="163" s="1"/>
  <c r="AC66" i="164"/>
  <c r="AD66" i="164" s="1"/>
  <c r="AC68" i="163"/>
  <c r="AD68" i="163" s="1"/>
  <c r="AC66" i="165"/>
  <c r="AD66" i="165" s="1"/>
  <c r="AC67" i="165"/>
  <c r="AD67" i="165" s="1"/>
  <c r="AC68" i="164"/>
  <c r="AD68" i="164" s="1"/>
  <c r="AB68" i="165"/>
  <c r="Y117" i="164"/>
  <c r="Y117" i="165"/>
  <c r="Y107" i="164"/>
  <c r="Y107" i="165"/>
  <c r="Y107" i="163"/>
  <c r="Y117" i="163"/>
  <c r="T68" i="130"/>
  <c r="T74" i="130" s="1"/>
  <c r="T107" i="130"/>
  <c r="T113" i="130" s="1"/>
  <c r="T88" i="130"/>
  <c r="T94" i="130" s="1"/>
  <c r="T84" i="130"/>
  <c r="T90" i="130" s="1"/>
  <c r="T86" i="130"/>
  <c r="T92" i="130" s="1"/>
  <c r="T108" i="130"/>
  <c r="T114" i="130" s="1"/>
  <c r="T89" i="130"/>
  <c r="T95" i="130" s="1"/>
  <c r="T66" i="130"/>
  <c r="T72" i="130" s="1"/>
  <c r="T85" i="130"/>
  <c r="T91" i="130" s="1"/>
  <c r="T64" i="130"/>
  <c r="T70" i="130" s="1"/>
  <c r="T69" i="130"/>
  <c r="T75" i="130" s="1"/>
  <c r="T106" i="130"/>
  <c r="T112" i="130" s="1"/>
  <c r="T109" i="130"/>
  <c r="T115" i="130" s="1"/>
  <c r="T87" i="130"/>
  <c r="T93" i="130" s="1"/>
  <c r="T105" i="130"/>
  <c r="T67" i="130"/>
  <c r="T73" i="130" s="1"/>
  <c r="T65" i="130"/>
  <c r="T71" i="130" s="1"/>
  <c r="T110" i="130"/>
  <c r="T116" i="130" s="1"/>
  <c r="H46" i="115"/>
  <c r="AB57" i="115" s="1"/>
  <c r="BN23" i="127" a="1"/>
  <c r="BN23" i="127" s="1"/>
  <c r="BN24" i="127" s="1" a="1"/>
  <c r="BN24" i="127" s="1"/>
  <c r="BK233" i="127"/>
  <c r="BK538" i="127"/>
  <c r="BK689" i="127"/>
  <c r="BK1274" i="127"/>
  <c r="BK692" i="127"/>
  <c r="BK1248" i="127"/>
  <c r="BK477" i="127"/>
  <c r="BK1157" i="127"/>
  <c r="BK480" i="127"/>
  <c r="BK541" i="127"/>
  <c r="BK956" i="127"/>
  <c r="BK673" i="127"/>
  <c r="BK479" i="127"/>
  <c r="BK247" i="127"/>
  <c r="BK630" i="127"/>
  <c r="BK313" i="127"/>
  <c r="BK528" i="127"/>
  <c r="BK112" i="127"/>
  <c r="BK1281" i="127"/>
  <c r="BK1261" i="127"/>
  <c r="BK859" i="127"/>
  <c r="BK405" i="127"/>
  <c r="BK495" i="127"/>
  <c r="BK97" i="127"/>
  <c r="BK31" i="127"/>
  <c r="BK88" i="127"/>
  <c r="BK209" i="127"/>
  <c r="BK42" i="127"/>
  <c r="BK544" i="127"/>
  <c r="BK655" i="127"/>
  <c r="BK627" i="127"/>
  <c r="BK76" i="127"/>
  <c r="BK858" i="127"/>
  <c r="BK897" i="127"/>
  <c r="BK408" i="127"/>
  <c r="BK651" i="127"/>
  <c r="BK211" i="127"/>
  <c r="BK620" i="127"/>
  <c r="BK959" i="127"/>
  <c r="BK311" i="127"/>
  <c r="BK487" i="127"/>
  <c r="BK721" i="127"/>
  <c r="BK224" i="127"/>
  <c r="BK488" i="127"/>
  <c r="BK570" i="127"/>
  <c r="BK638" i="127"/>
  <c r="BK231" i="127"/>
  <c r="BK406" i="127"/>
  <c r="BK688" i="127"/>
  <c r="BK500" i="127"/>
  <c r="BK953" i="127"/>
  <c r="BK1360" i="127"/>
  <c r="BK822" i="127"/>
  <c r="BK27" i="127"/>
  <c r="BK101" i="127"/>
  <c r="BK220" i="127"/>
  <c r="BK572" i="127"/>
  <c r="BK29" i="127"/>
  <c r="BK1270" i="127"/>
  <c r="BK663" i="127"/>
  <c r="BK79" i="127"/>
  <c r="BK717" i="127"/>
  <c r="BK222" i="127"/>
  <c r="BK674" i="127"/>
  <c r="BK221" i="127"/>
  <c r="BK36" i="127"/>
  <c r="BK725" i="127"/>
  <c r="BK860" i="127"/>
  <c r="BK729" i="127"/>
  <c r="BK751" i="127"/>
  <c r="BK120" i="127"/>
  <c r="BK39" i="127"/>
  <c r="O15" i="127"/>
  <c r="U20" i="127" s="1"/>
  <c r="W20" i="127" s="1"/>
  <c r="M15" i="127"/>
  <c r="H44" i="105"/>
  <c r="K189" i="165"/>
  <c r="H44" i="113"/>
  <c r="H65" i="165"/>
  <c r="H107" i="115"/>
  <c r="H122" i="115"/>
  <c r="H120" i="115"/>
  <c r="H99" i="115"/>
  <c r="I59" i="115"/>
  <c r="H117" i="115"/>
  <c r="H65" i="164"/>
  <c r="R59" i="115"/>
  <c r="K66" i="163"/>
  <c r="H32" i="115"/>
  <c r="H33" i="115"/>
  <c r="K227" i="165"/>
  <c r="K65" i="165"/>
  <c r="K66" i="164"/>
  <c r="H112" i="115"/>
  <c r="H102" i="115"/>
  <c r="V59" i="115"/>
  <c r="U59" i="115"/>
  <c r="H119" i="115"/>
  <c r="S59" i="115"/>
  <c r="O59" i="115"/>
  <c r="H31" i="115"/>
  <c r="F23" i="130"/>
  <c r="M59" i="115"/>
  <c r="L59" i="115"/>
  <c r="N66" i="165"/>
  <c r="N66" i="163"/>
  <c r="H127" i="115"/>
  <c r="P59" i="115"/>
  <c r="H100" i="115"/>
  <c r="N66" i="164"/>
  <c r="J59" i="115"/>
  <c r="H65" i="163"/>
  <c r="H110" i="115"/>
  <c r="N68" i="165" l="1"/>
  <c r="K68" i="164"/>
  <c r="N68" i="164"/>
  <c r="N68" i="163"/>
  <c r="K68" i="163"/>
  <c r="AC57" i="115"/>
  <c r="AD57" i="115" s="1"/>
  <c r="BK35" i="127"/>
  <c r="BK540" i="127"/>
  <c r="BK38" i="127"/>
  <c r="BN25" i="127" a="1"/>
  <c r="BN25" i="127" s="1"/>
  <c r="BK530" i="127"/>
  <c r="BK41" i="127"/>
  <c r="G102" i="113"/>
  <c r="G91" i="113"/>
  <c r="G120" i="113"/>
  <c r="H90" i="115"/>
  <c r="H89" i="115"/>
  <c r="H50" i="106"/>
  <c r="H56" i="106"/>
  <c r="H74" i="106"/>
  <c r="H62" i="106"/>
  <c r="H56" i="105"/>
  <c r="K66" i="165"/>
  <c r="H66" i="165"/>
  <c r="H129" i="163"/>
  <c r="H129" i="164"/>
  <c r="H23" i="165"/>
  <c r="H76" i="164"/>
  <c r="H76" i="165"/>
  <c r="H23" i="164"/>
  <c r="H66" i="164"/>
  <c r="H23" i="163"/>
  <c r="H50" i="164"/>
  <c r="H50" i="165"/>
  <c r="H50" i="113"/>
  <c r="H129" i="165"/>
  <c r="H76" i="163"/>
  <c r="H50" i="163"/>
  <c r="H66" i="163"/>
  <c r="K68" i="165" l="1"/>
  <c r="K67" i="165" s="1"/>
  <c r="H68" i="164"/>
  <c r="H67" i="164" s="1"/>
  <c r="H68" i="165"/>
  <c r="H67" i="165" s="1"/>
  <c r="N67" i="165"/>
  <c r="N67" i="164"/>
  <c r="K67" i="164"/>
  <c r="N67" i="163"/>
  <c r="K67" i="163"/>
  <c r="H68" i="163"/>
  <c r="H49" i="165"/>
  <c r="H49" i="164"/>
  <c r="H49" i="163"/>
  <c r="BK838" i="127"/>
  <c r="BK1129" i="127"/>
  <c r="BN26" i="127" a="1"/>
  <c r="BN26" i="127" s="1"/>
  <c r="BN27" i="127" s="1" a="1"/>
  <c r="BN27" i="127" s="1"/>
  <c r="BN28" i="127" s="1" a="1"/>
  <c r="BN28" i="127" s="1"/>
  <c r="BK44" i="127"/>
  <c r="BK462" i="127"/>
  <c r="BK151" i="127"/>
  <c r="BK498" i="127"/>
  <c r="BK308" i="127"/>
  <c r="S102" i="113"/>
  <c r="S91" i="113"/>
  <c r="S120" i="113"/>
  <c r="V259" i="113"/>
  <c r="V102" i="113"/>
  <c r="V130" i="113"/>
  <c r="V91" i="113"/>
  <c r="V195" i="113"/>
  <c r="V120" i="113"/>
  <c r="T135" i="115"/>
  <c r="T136" i="115"/>
  <c r="T137" i="115"/>
  <c r="K69" i="163"/>
  <c r="N69" i="165"/>
  <c r="W134" i="115"/>
  <c r="H69" i="164"/>
  <c r="W137" i="115"/>
  <c r="N69" i="164"/>
  <c r="G41" i="130"/>
  <c r="H111" i="115"/>
  <c r="H103" i="115"/>
  <c r="W132" i="115"/>
  <c r="H113" i="115"/>
  <c r="H123" i="115"/>
  <c r="K69" i="164"/>
  <c r="G42" i="130" s="1"/>
  <c r="H136" i="115"/>
  <c r="H9" i="115"/>
  <c r="K69" i="165"/>
  <c r="H101" i="115"/>
  <c r="N69" i="163"/>
  <c r="F43" i="130" s="1"/>
  <c r="W136" i="115"/>
  <c r="T132" i="115"/>
  <c r="T134" i="115"/>
  <c r="H137" i="115"/>
  <c r="H42" i="130"/>
  <c r="W135" i="115"/>
  <c r="H121" i="115"/>
  <c r="H135" i="115"/>
  <c r="H67" i="163" l="1"/>
  <c r="BK840" i="127"/>
  <c r="BK591" i="127"/>
  <c r="BK491" i="127"/>
  <c r="BK51" i="127"/>
  <c r="BK1080" i="127"/>
  <c r="BK594" i="127"/>
  <c r="BK592" i="127"/>
  <c r="BK463" i="127"/>
  <c r="BN29" i="127" a="1"/>
  <c r="BN29" i="127" s="1"/>
  <c r="BK61" i="127" s="1"/>
  <c r="BK1081" i="127"/>
  <c r="BK490" i="127"/>
  <c r="BK153" i="127"/>
  <c r="BK46" i="127"/>
  <c r="BK83" i="127"/>
  <c r="BK54" i="127"/>
  <c r="BK48" i="127"/>
  <c r="BK52" i="127"/>
  <c r="BK34" i="127"/>
  <c r="BK913" i="127"/>
  <c r="BK309" i="127"/>
  <c r="BK63" i="127"/>
  <c r="BK243" i="127"/>
  <c r="BK50" i="127"/>
  <c r="BK244" i="127"/>
  <c r="BK295" i="127"/>
  <c r="BK1126" i="127"/>
  <c r="BK57" i="127"/>
  <c r="BK62" i="127"/>
  <c r="BK65" i="127"/>
  <c r="BK58" i="127"/>
  <c r="BK1127" i="127"/>
  <c r="BK60" i="127"/>
  <c r="BK45" i="127"/>
  <c r="BK1362" i="127"/>
  <c r="BK53" i="127"/>
  <c r="BK297" i="127"/>
  <c r="BK1079" i="127"/>
  <c r="BK593" i="127"/>
  <c r="BK1130" i="127"/>
  <c r="BK1219" i="127"/>
  <c r="S411" i="115"/>
  <c r="O411" i="115"/>
  <c r="L411" i="115"/>
  <c r="V411" i="115"/>
  <c r="R411" i="115"/>
  <c r="M411" i="115"/>
  <c r="P411" i="115"/>
  <c r="U411" i="115"/>
  <c r="S382" i="115"/>
  <c r="O382" i="115"/>
  <c r="M382" i="115"/>
  <c r="V382" i="115"/>
  <c r="R382" i="115"/>
  <c r="P382" i="115"/>
  <c r="L382" i="115"/>
  <c r="U382" i="115"/>
  <c r="U353" i="115"/>
  <c r="M353" i="115"/>
  <c r="P353" i="115"/>
  <c r="L353" i="115"/>
  <c r="S353" i="115"/>
  <c r="O353" i="115"/>
  <c r="V353" i="115"/>
  <c r="R353" i="115"/>
  <c r="S322" i="115"/>
  <c r="O322" i="115"/>
  <c r="U322" i="115"/>
  <c r="M322" i="115"/>
  <c r="P322" i="115"/>
  <c r="V322" i="115"/>
  <c r="R322" i="115"/>
  <c r="L322" i="115"/>
  <c r="S293" i="115"/>
  <c r="O293" i="115"/>
  <c r="L293" i="115"/>
  <c r="V293" i="115"/>
  <c r="R293" i="115"/>
  <c r="U293" i="115"/>
  <c r="M293" i="115"/>
  <c r="P293" i="115"/>
  <c r="S264" i="115"/>
  <c r="O264" i="115"/>
  <c r="M264" i="115"/>
  <c r="P264" i="115"/>
  <c r="L264" i="115"/>
  <c r="V264" i="115"/>
  <c r="R264" i="115"/>
  <c r="U264" i="115"/>
  <c r="S224" i="115"/>
  <c r="O224" i="115"/>
  <c r="P224" i="115"/>
  <c r="V224" i="115"/>
  <c r="R224" i="115"/>
  <c r="M224" i="115"/>
  <c r="U224" i="115"/>
  <c r="L224" i="115"/>
  <c r="S186" i="115"/>
  <c r="O186" i="115"/>
  <c r="L186" i="115"/>
  <c r="V186" i="115"/>
  <c r="R186" i="115"/>
  <c r="U186" i="115"/>
  <c r="M186" i="115"/>
  <c r="P186" i="115"/>
  <c r="S148" i="115"/>
  <c r="O148" i="115"/>
  <c r="V148" i="115"/>
  <c r="R148" i="115"/>
  <c r="P148" i="115"/>
  <c r="U148" i="115"/>
  <c r="M148" i="115"/>
  <c r="L148" i="115"/>
  <c r="S129" i="115"/>
  <c r="O129" i="115"/>
  <c r="V129" i="115"/>
  <c r="R129" i="115"/>
  <c r="J129" i="115"/>
  <c r="U129" i="115"/>
  <c r="M129" i="115"/>
  <c r="I129" i="115"/>
  <c r="P129" i="115"/>
  <c r="L129" i="115"/>
  <c r="S97" i="115"/>
  <c r="O97" i="115"/>
  <c r="P97" i="115"/>
  <c r="V97" i="115"/>
  <c r="R97" i="115"/>
  <c r="J97" i="115"/>
  <c r="U97" i="115"/>
  <c r="M97" i="115"/>
  <c r="I97" i="115"/>
  <c r="L97" i="115"/>
  <c r="S50" i="115"/>
  <c r="O50" i="115"/>
  <c r="I50" i="115"/>
  <c r="L50" i="115"/>
  <c r="V50" i="115"/>
  <c r="R50" i="115"/>
  <c r="J50" i="115"/>
  <c r="U50" i="115"/>
  <c r="M50" i="115"/>
  <c r="P50" i="115"/>
  <c r="S23" i="115"/>
  <c r="O23" i="115"/>
  <c r="J23" i="115"/>
  <c r="I23" i="115"/>
  <c r="P23" i="115"/>
  <c r="V23" i="115"/>
  <c r="R23" i="115"/>
  <c r="L23" i="115"/>
  <c r="U23" i="115"/>
  <c r="M23" i="115"/>
  <c r="S76" i="115"/>
  <c r="O76" i="115"/>
  <c r="M76" i="115"/>
  <c r="L76" i="115"/>
  <c r="V76" i="115"/>
  <c r="R76" i="115"/>
  <c r="J76" i="115"/>
  <c r="U76" i="115"/>
  <c r="I76" i="115"/>
  <c r="P76" i="115"/>
  <c r="H79" i="115"/>
  <c r="H88" i="115"/>
  <c r="H91" i="115"/>
  <c r="Q324" i="113"/>
  <c r="M195" i="113"/>
  <c r="M130" i="113"/>
  <c r="J195" i="113"/>
  <c r="J91" i="113"/>
  <c r="J120" i="113"/>
  <c r="J102" i="113"/>
  <c r="J130" i="113"/>
  <c r="J259" i="113"/>
  <c r="M259" i="113"/>
  <c r="P259" i="113"/>
  <c r="P195" i="113"/>
  <c r="M120" i="113"/>
  <c r="M102" i="113"/>
  <c r="M91" i="113"/>
  <c r="P130" i="113"/>
  <c r="S130" i="113"/>
  <c r="S259" i="113"/>
  <c r="P120" i="113"/>
  <c r="S195" i="113"/>
  <c r="P91" i="113"/>
  <c r="P102" i="113"/>
  <c r="W84" i="115"/>
  <c r="W78" i="115"/>
  <c r="W85" i="115"/>
  <c r="W86" i="115"/>
  <c r="T84" i="115"/>
  <c r="T78" i="115"/>
  <c r="T86" i="115"/>
  <c r="T85" i="115"/>
  <c r="Q76" i="115"/>
  <c r="Q23" i="115"/>
  <c r="T139" i="115"/>
  <c r="W224" i="115"/>
  <c r="Q224" i="115"/>
  <c r="W322" i="115"/>
  <c r="W97" i="115"/>
  <c r="T97" i="115"/>
  <c r="T293" i="115"/>
  <c r="Q264" i="115"/>
  <c r="Q293" i="115"/>
  <c r="Q353" i="115"/>
  <c r="T76" i="115"/>
  <c r="T382" i="115"/>
  <c r="W139" i="115"/>
  <c r="T353" i="115"/>
  <c r="W23" i="115"/>
  <c r="W411" i="115"/>
  <c r="Q148" i="115"/>
  <c r="T129" i="115"/>
  <c r="Q411" i="115"/>
  <c r="Q322" i="115"/>
  <c r="Q139" i="115"/>
  <c r="W129" i="115"/>
  <c r="Q50" i="115"/>
  <c r="Q129" i="115"/>
  <c r="T50" i="115"/>
  <c r="W50" i="115"/>
  <c r="T322" i="115"/>
  <c r="W186" i="115"/>
  <c r="Q97" i="115"/>
  <c r="T411" i="115"/>
  <c r="T148" i="115"/>
  <c r="W76" i="115"/>
  <c r="T264" i="115"/>
  <c r="W148" i="115"/>
  <c r="Q382" i="115"/>
  <c r="T224" i="115"/>
  <c r="W382" i="115"/>
  <c r="Q186" i="115"/>
  <c r="W353" i="115"/>
  <c r="T23" i="115"/>
  <c r="W293" i="115"/>
  <c r="T186" i="115"/>
  <c r="W264" i="115"/>
  <c r="G43" i="130"/>
  <c r="K293" i="164"/>
  <c r="N76" i="115"/>
  <c r="K382" i="164"/>
  <c r="N353" i="115"/>
  <c r="K264" i="165"/>
  <c r="K135" i="115"/>
  <c r="K97" i="165"/>
  <c r="N382" i="164"/>
  <c r="N97" i="163"/>
  <c r="N353" i="164"/>
  <c r="N148" i="163"/>
  <c r="K129" i="164"/>
  <c r="N186" i="163"/>
  <c r="K353" i="115"/>
  <c r="K97" i="163"/>
  <c r="N129" i="165"/>
  <c r="Q134" i="115"/>
  <c r="N50" i="165"/>
  <c r="H10" i="115"/>
  <c r="N224" i="165"/>
  <c r="N224" i="115"/>
  <c r="N264" i="164"/>
  <c r="N50" i="163"/>
  <c r="K136" i="115"/>
  <c r="N76" i="164"/>
  <c r="Q137" i="115"/>
  <c r="N129" i="164"/>
  <c r="N23" i="115"/>
  <c r="N76" i="165"/>
  <c r="K137" i="115"/>
  <c r="N382" i="165"/>
  <c r="N50" i="115"/>
  <c r="E20" i="130"/>
  <c r="K50" i="164"/>
  <c r="K76" i="163"/>
  <c r="K76" i="164"/>
  <c r="K129" i="163"/>
  <c r="K23" i="165"/>
  <c r="K23" i="163"/>
  <c r="N134" i="115"/>
  <c r="K382" i="163"/>
  <c r="N148" i="164"/>
  <c r="N382" i="115"/>
  <c r="N293" i="164"/>
  <c r="N293" i="115"/>
  <c r="N322" i="164"/>
  <c r="K322" i="115"/>
  <c r="N224" i="164"/>
  <c r="K186" i="115"/>
  <c r="K411" i="165"/>
  <c r="H129" i="115"/>
  <c r="K97" i="164"/>
  <c r="N129" i="115"/>
  <c r="K411" i="164"/>
  <c r="H76" i="115"/>
  <c r="N23" i="165"/>
  <c r="N136" i="115"/>
  <c r="N353" i="163"/>
  <c r="K148" i="165"/>
  <c r="N148" i="115"/>
  <c r="N411" i="115"/>
  <c r="K148" i="115"/>
  <c r="H43" i="130"/>
  <c r="F42" i="130"/>
  <c r="N97" i="164"/>
  <c r="K293" i="115"/>
  <c r="N186" i="164"/>
  <c r="N97" i="115"/>
  <c r="N353" i="165"/>
  <c r="N23" i="163"/>
  <c r="N264" i="165"/>
  <c r="Q135" i="115"/>
  <c r="K224" i="164"/>
  <c r="K224" i="115"/>
  <c r="K353" i="164"/>
  <c r="K264" i="115"/>
  <c r="K382" i="165"/>
  <c r="K97" i="115"/>
  <c r="N50" i="164"/>
  <c r="K186" i="163"/>
  <c r="K382" i="115"/>
  <c r="K264" i="163"/>
  <c r="N322" i="115"/>
  <c r="K148" i="163"/>
  <c r="K411" i="115"/>
  <c r="K186" i="164"/>
  <c r="N264" i="115"/>
  <c r="K23" i="164"/>
  <c r="K322" i="163"/>
  <c r="K76" i="165"/>
  <c r="K293" i="163"/>
  <c r="Q136" i="115"/>
  <c r="K353" i="163"/>
  <c r="Q132" i="115"/>
  <c r="K353" i="165"/>
  <c r="N137" i="115"/>
  <c r="H69" i="165"/>
  <c r="H41" i="130" s="1"/>
  <c r="K224" i="165"/>
  <c r="H23" i="115"/>
  <c r="K322" i="165"/>
  <c r="K76" i="115"/>
  <c r="N23" i="164"/>
  <c r="K129" i="115"/>
  <c r="N186" i="165"/>
  <c r="H69" i="163"/>
  <c r="F41" i="130" s="1"/>
  <c r="K411" i="163"/>
  <c r="H50" i="115"/>
  <c r="K224" i="163"/>
  <c r="K50" i="115"/>
  <c r="K186" i="165"/>
  <c r="K23" i="115"/>
  <c r="K322" i="164"/>
  <c r="N97" i="165"/>
  <c r="N293" i="163"/>
  <c r="N148" i="165"/>
  <c r="N224" i="163"/>
  <c r="N411" i="164"/>
  <c r="N411" i="163"/>
  <c r="K50" i="165"/>
  <c r="K50" i="163"/>
  <c r="N382" i="163"/>
  <c r="N293" i="165"/>
  <c r="N129" i="163"/>
  <c r="N411" i="165"/>
  <c r="N76" i="163"/>
  <c r="N322" i="165"/>
  <c r="N322" i="163"/>
  <c r="K129" i="165"/>
  <c r="N264" i="163"/>
  <c r="N186" i="115"/>
  <c r="K293" i="165"/>
  <c r="K264" i="164"/>
  <c r="K148" i="164"/>
  <c r="N135" i="115"/>
  <c r="N49" i="164" l="1"/>
  <c r="N49" i="165"/>
  <c r="K49" i="164"/>
  <c r="K49" i="165"/>
  <c r="N49" i="163"/>
  <c r="K49" i="163"/>
  <c r="Q105" i="130"/>
  <c r="P105" i="130"/>
  <c r="R105" i="130"/>
  <c r="BK263" i="127"/>
  <c r="BK64" i="127"/>
  <c r="BK261" i="127"/>
  <c r="BK59" i="127"/>
  <c r="BK262" i="127"/>
  <c r="BK56" i="127"/>
  <c r="BN30" i="127" a="1"/>
  <c r="BN30" i="127" s="1"/>
  <c r="BK766" i="127" s="1"/>
  <c r="BK55" i="127"/>
  <c r="BK260" i="127"/>
  <c r="W49" i="115"/>
  <c r="W80" i="115"/>
  <c r="T80" i="115"/>
  <c r="T49" i="115"/>
  <c r="Q49" i="115"/>
  <c r="K49" i="115"/>
  <c r="H49" i="115"/>
  <c r="N49" i="115"/>
  <c r="Q85" i="115"/>
  <c r="Y135" i="115"/>
  <c r="Y137" i="115"/>
  <c r="Y136" i="115"/>
  <c r="Q84" i="115"/>
  <c r="Q78" i="115"/>
  <c r="Q86" i="115"/>
  <c r="N85" i="115"/>
  <c r="F34" i="113"/>
  <c r="F28" i="113"/>
  <c r="F31" i="113"/>
  <c r="F38" i="113"/>
  <c r="F27" i="113"/>
  <c r="F32" i="113"/>
  <c r="F37" i="113"/>
  <c r="F29" i="113"/>
  <c r="F30" i="113"/>
  <c r="F33" i="113"/>
  <c r="F36" i="113"/>
  <c r="F35" i="113"/>
  <c r="Q80" i="115"/>
  <c r="E76" i="113"/>
  <c r="E49" i="113"/>
  <c r="E69" i="113"/>
  <c r="E72" i="113"/>
  <c r="E45" i="113"/>
  <c r="E48" i="113"/>
  <c r="E68" i="113"/>
  <c r="E78" i="113"/>
  <c r="E58" i="113"/>
  <c r="E60" i="113"/>
  <c r="E70" i="113"/>
  <c r="E74" i="113"/>
  <c r="E56" i="113"/>
  <c r="E66" i="113"/>
  <c r="E53" i="113"/>
  <c r="E52" i="113"/>
  <c r="E62" i="113"/>
  <c r="E43" i="113"/>
  <c r="E65" i="113"/>
  <c r="E51" i="113"/>
  <c r="E59" i="113"/>
  <c r="E57" i="113"/>
  <c r="E44" i="113"/>
  <c r="E71" i="113"/>
  <c r="E54" i="113"/>
  <c r="E77" i="113"/>
  <c r="E63" i="113"/>
  <c r="E46" i="113"/>
  <c r="E50" i="113"/>
  <c r="E55" i="113"/>
  <c r="E75" i="113"/>
  <c r="E61" i="113"/>
  <c r="E47" i="113"/>
  <c r="E64" i="113"/>
  <c r="E67" i="113"/>
  <c r="E73" i="113"/>
  <c r="E79" i="130"/>
  <c r="E80" i="130"/>
  <c r="E95" i="130"/>
  <c r="E78" i="130"/>
  <c r="E94" i="130"/>
  <c r="E96" i="130"/>
  <c r="E83" i="130"/>
  <c r="E21" i="130"/>
  <c r="E57" i="130"/>
  <c r="O105" i="130" l="1"/>
  <c r="BK801" i="127"/>
  <c r="BK635" i="127"/>
  <c r="BK1298" i="127"/>
  <c r="BK826" i="127"/>
  <c r="BK1287" i="127"/>
  <c r="BN31" i="127" a="1"/>
  <c r="BN31" i="127" s="1"/>
  <c r="BK685" i="127" s="1"/>
  <c r="BK66" i="127"/>
  <c r="BK973" i="127"/>
  <c r="BK504" i="127"/>
  <c r="BK921" i="127"/>
  <c r="BK1167" i="127"/>
  <c r="BK588" i="127"/>
  <c r="BK427" i="127"/>
  <c r="BK1239" i="127"/>
  <c r="BK278" i="127"/>
  <c r="BK379" i="127"/>
  <c r="BK543" i="127"/>
  <c r="BK337" i="127"/>
  <c r="BK92" i="127"/>
  <c r="BK242" i="127"/>
  <c r="BK747" i="127"/>
  <c r="BK355" i="127"/>
  <c r="BK887" i="127"/>
  <c r="BK518" i="127"/>
  <c r="BK1165" i="127"/>
  <c r="BK773" i="127"/>
  <c r="BK922" i="127"/>
  <c r="BK825" i="127"/>
  <c r="BK666" i="127"/>
  <c r="BK93" i="127"/>
  <c r="BK772" i="127"/>
  <c r="BK547" i="127"/>
  <c r="BK590" i="127"/>
  <c r="BK514" i="127"/>
  <c r="BK1150" i="127"/>
  <c r="BK1161" i="127"/>
  <c r="BK873" i="127"/>
  <c r="BK866" i="127"/>
  <c r="BK923" i="127"/>
  <c r="BK937" i="127"/>
  <c r="BK946" i="127"/>
  <c r="BK760" i="127"/>
  <c r="BK800" i="127"/>
  <c r="BK589" i="127"/>
  <c r="BK875" i="127"/>
  <c r="BK767" i="127"/>
  <c r="BK799" i="127"/>
  <c r="BK888" i="127"/>
  <c r="BK1300" i="127"/>
  <c r="BK1131" i="127"/>
  <c r="BK1075" i="127"/>
  <c r="BK761" i="127"/>
  <c r="BK874" i="127"/>
  <c r="BK515" i="127"/>
  <c r="BK1071" i="127"/>
  <c r="BK1283" i="127"/>
  <c r="BK886" i="127"/>
  <c r="H74" i="105"/>
  <c r="H62" i="105"/>
  <c r="F66" i="106"/>
  <c r="F65" i="106"/>
  <c r="F64" i="106"/>
  <c r="F63" i="106"/>
  <c r="G62" i="106"/>
  <c r="F62" i="106"/>
  <c r="F61" i="106"/>
  <c r="F60" i="106"/>
  <c r="F59" i="106"/>
  <c r="F58" i="106"/>
  <c r="F57" i="106"/>
  <c r="G56" i="106"/>
  <c r="F56" i="106"/>
  <c r="F55" i="106"/>
  <c r="F54" i="106"/>
  <c r="F53" i="106"/>
  <c r="F52" i="106"/>
  <c r="F51" i="106"/>
  <c r="G50" i="106"/>
  <c r="F50" i="106"/>
  <c r="F49" i="106"/>
  <c r="F66" i="105"/>
  <c r="F65" i="105"/>
  <c r="F64" i="105"/>
  <c r="F63" i="105"/>
  <c r="G62" i="105"/>
  <c r="F62" i="105"/>
  <c r="F61" i="105"/>
  <c r="F60" i="105"/>
  <c r="F59" i="105"/>
  <c r="F58" i="105"/>
  <c r="F57" i="105"/>
  <c r="G56" i="105"/>
  <c r="F56" i="105"/>
  <c r="F55" i="105"/>
  <c r="F54" i="105"/>
  <c r="F53" i="105"/>
  <c r="F52" i="105"/>
  <c r="F51" i="105"/>
  <c r="G50" i="105"/>
  <c r="F50" i="105"/>
  <c r="F49" i="105"/>
  <c r="H74" i="113"/>
  <c r="BK464" i="127" l="1"/>
  <c r="BK522" i="127"/>
  <c r="BK95" i="127"/>
  <c r="BK182" i="127"/>
  <c r="BK1277" i="127"/>
  <c r="BK664" i="127"/>
  <c r="BK682" i="127"/>
  <c r="BK1272" i="127"/>
  <c r="BK846" i="127"/>
  <c r="BK1172" i="127"/>
  <c r="BK526" i="127"/>
  <c r="BK686" i="127"/>
  <c r="BK694" i="127"/>
  <c r="BK566" i="127"/>
  <c r="BK1015" i="127"/>
  <c r="BK549" i="127"/>
  <c r="BK158" i="127"/>
  <c r="BK1292" i="127"/>
  <c r="BK1273" i="127"/>
  <c r="BK657" i="127"/>
  <c r="BN32" i="127" a="1"/>
  <c r="BN32" i="127" s="1"/>
  <c r="BK1278" i="127"/>
  <c r="BK1268" i="127"/>
  <c r="BK619" i="127"/>
  <c r="BK412" i="127"/>
  <c r="BK237" i="127"/>
  <c r="BK1263" i="127"/>
  <c r="BK1291" i="127"/>
  <c r="BK378" i="127"/>
  <c r="BK558" i="127"/>
  <c r="BK520" i="127"/>
  <c r="BK748" i="127"/>
  <c r="BK465" i="127"/>
  <c r="BK240" i="127"/>
  <c r="BK100" i="127"/>
  <c r="BK67" i="127"/>
  <c r="BK178" i="127"/>
  <c r="BK557" i="127"/>
  <c r="BK1266" i="127"/>
  <c r="BN33" i="127" l="1" a="1"/>
  <c r="BN33" i="127" s="1"/>
  <c r="BK1205" i="127"/>
  <c r="BK1058" i="127"/>
  <c r="BK1214" i="127"/>
  <c r="BK1057" i="127"/>
  <c r="BK70" i="127"/>
  <c r="BK73" i="127"/>
  <c r="BK1204" i="127"/>
  <c r="BK1197" i="127"/>
  <c r="BK1201" i="127"/>
  <c r="BK68" i="127"/>
  <c r="BK1210" i="127"/>
  <c r="BK1215" i="127"/>
  <c r="BK1199" i="127"/>
  <c r="BK1211" i="127"/>
  <c r="BK74" i="127"/>
  <c r="BK69" i="127"/>
  <c r="BK1206" i="127"/>
  <c r="BK1208" i="127"/>
  <c r="BK71" i="127"/>
  <c r="BK1207" i="127"/>
  <c r="BK1212" i="127"/>
  <c r="BK1198" i="127"/>
  <c r="BK1202" i="127"/>
  <c r="BK1203" i="127"/>
  <c r="BK1209" i="127"/>
  <c r="BK1200" i="127"/>
  <c r="BK75" i="127"/>
  <c r="BK1213" i="127"/>
  <c r="BK72" i="127"/>
  <c r="K98" i="104"/>
  <c r="K98" i="113"/>
  <c r="K184" i="163"/>
  <c r="K184" i="164"/>
  <c r="K184" i="165"/>
  <c r="BN34" i="127" l="1" a="1"/>
  <c r="BN34" i="127" s="1"/>
  <c r="BN35" i="127" s="1" a="1"/>
  <c r="BN35" i="127" s="1"/>
  <c r="BN36" i="127" s="1" a="1"/>
  <c r="BN36" i="127" s="1"/>
  <c r="BN37" i="127" s="1" a="1"/>
  <c r="BN37" i="127" s="1"/>
  <c r="BN38" i="127" s="1" a="1"/>
  <c r="BN38" i="127" s="1"/>
  <c r="BN39" i="127" s="1" a="1"/>
  <c r="BN39" i="127" s="1"/>
  <c r="BN40" i="127" s="1" a="1"/>
  <c r="BN40" i="127" s="1"/>
  <c r="BN41" i="127" s="1" a="1"/>
  <c r="BN41" i="127" s="1"/>
  <c r="BN42" i="127" s="1" a="1"/>
  <c r="BN42" i="127" s="1"/>
  <c r="BN43" i="127" s="1" a="1"/>
  <c r="BN43" i="127" s="1"/>
  <c r="BN44" i="127" s="1" a="1"/>
  <c r="BN44" i="127" s="1"/>
  <c r="BN45" i="127" s="1" a="1"/>
  <c r="BN45" i="127" s="1"/>
  <c r="BN46" i="127" s="1" a="1"/>
  <c r="BN46" i="127" s="1"/>
  <c r="BN47" i="127" s="1" a="1"/>
  <c r="BN47" i="127" s="1"/>
  <c r="BN48" i="127" s="1" a="1"/>
  <c r="BN48" i="127" s="1"/>
  <c r="BN49" i="127" s="1" a="1"/>
  <c r="BN49" i="127" s="1"/>
  <c r="BN50" i="127" s="1" a="1"/>
  <c r="BN50" i="127" s="1"/>
  <c r="BN51" i="127" s="1" a="1"/>
  <c r="BN51" i="127" s="1"/>
  <c r="BN52" i="127" s="1" a="1"/>
  <c r="BN52" i="127" s="1"/>
  <c r="BN53" i="127" s="1" a="1"/>
  <c r="BN53" i="127" s="1"/>
  <c r="BN54" i="127" s="1" a="1"/>
  <c r="BN54" i="127" s="1"/>
  <c r="BN55" i="127" s="1" a="1"/>
  <c r="BN55" i="127" s="1"/>
  <c r="BN56" i="127" s="1" a="1"/>
  <c r="BN56" i="127" s="1"/>
  <c r="BN57" i="127" s="1" a="1"/>
  <c r="BN57" i="127" s="1"/>
  <c r="BN58" i="127" s="1" a="1"/>
  <c r="BN58" i="127" s="1"/>
  <c r="BN59" i="127" s="1" a="1"/>
  <c r="BN59" i="127" s="1"/>
  <c r="BN60" i="127" s="1" a="1"/>
  <c r="BN60" i="127" s="1"/>
  <c r="BN61" i="127" s="1" a="1"/>
  <c r="BN61" i="127" s="1"/>
  <c r="BN62" i="127" s="1" a="1"/>
  <c r="BN62" i="127" s="1"/>
  <c r="BN63" i="127" s="1" a="1"/>
  <c r="BN63" i="127" s="1"/>
  <c r="BN64" i="127" s="1" a="1"/>
  <c r="BN64" i="127" s="1"/>
  <c r="BN65" i="127" s="1" a="1"/>
  <c r="BN65" i="127" s="1"/>
  <c r="BN66" i="127" s="1" a="1"/>
  <c r="BN66" i="127" s="1"/>
  <c r="BN67" i="127" s="1" a="1"/>
  <c r="BN67" i="127" s="1"/>
  <c r="BN68" i="127" s="1" a="1"/>
  <c r="BN68" i="127" s="1"/>
  <c r="BN69" i="127" s="1" a="1"/>
  <c r="BN69" i="127" s="1"/>
  <c r="BN70" i="127" s="1" a="1"/>
  <c r="BN70" i="127" s="1"/>
  <c r="BN71" i="127" s="1" a="1"/>
  <c r="BN71" i="127" s="1"/>
  <c r="BN72" i="127" s="1" a="1"/>
  <c r="BN72" i="127" s="1"/>
  <c r="BN73" i="127" s="1" a="1"/>
  <c r="BN73" i="127" s="1"/>
  <c r="BN74" i="127" s="1" a="1"/>
  <c r="BN74" i="127" s="1"/>
  <c r="BN75" i="127" s="1" a="1"/>
  <c r="BN75" i="127" s="1"/>
  <c r="BN76" i="127" s="1" a="1"/>
  <c r="BN76" i="127" s="1"/>
  <c r="BN77" i="127" s="1" a="1"/>
  <c r="BN77" i="127" s="1"/>
  <c r="BN78" i="127" s="1" a="1"/>
  <c r="BN78" i="127" s="1"/>
  <c r="BN79" i="127" s="1" a="1"/>
  <c r="BN79" i="127" s="1"/>
  <c r="BN80" i="127" s="1" a="1"/>
  <c r="BN80" i="127" s="1"/>
  <c r="BN81" i="127" s="1" a="1"/>
  <c r="BN81" i="127" s="1"/>
  <c r="BN82" i="127" s="1" a="1"/>
  <c r="BN82" i="127" s="1"/>
  <c r="BN83" i="127" s="1" a="1"/>
  <c r="BN83" i="127" s="1"/>
  <c r="BN84" i="127" s="1" a="1"/>
  <c r="BN84" i="127" s="1"/>
  <c r="BN85" i="127" s="1" a="1"/>
  <c r="BN85" i="127" s="1"/>
  <c r="BN86" i="127" s="1" a="1"/>
  <c r="BN86" i="127" s="1"/>
  <c r="BN87" i="127" s="1" a="1"/>
  <c r="BN87" i="127" s="1"/>
  <c r="BN88" i="127" s="1" a="1"/>
  <c r="BN88" i="127" s="1"/>
  <c r="BN89" i="127" s="1" a="1"/>
  <c r="BN89" i="127" s="1"/>
  <c r="BN90" i="127" s="1" a="1"/>
  <c r="BN90" i="127" s="1"/>
  <c r="BN91" i="127" s="1" a="1"/>
  <c r="BN91" i="127" s="1"/>
  <c r="BN92" i="127" s="1" a="1"/>
  <c r="BN92" i="127" s="1"/>
  <c r="BN93" i="127" s="1" a="1"/>
  <c r="BN93" i="127" s="1"/>
  <c r="BN94" i="127" s="1" a="1"/>
  <c r="BN94" i="127" s="1"/>
  <c r="BN95" i="127" s="1" a="1"/>
  <c r="BN95" i="127" s="1"/>
  <c r="BN96" i="127" s="1" a="1"/>
  <c r="BN96" i="127" s="1"/>
  <c r="BN97" i="127" s="1" a="1"/>
  <c r="BN97" i="127" s="1"/>
  <c r="BN98" i="127" s="1" a="1"/>
  <c r="BN98" i="127" s="1"/>
  <c r="BN99" i="127" s="1" a="1"/>
  <c r="BN99" i="127" s="1"/>
  <c r="BN100" i="127" s="1" a="1"/>
  <c r="BN100" i="127" s="1"/>
  <c r="BN101" i="127" s="1" a="1"/>
  <c r="BN101" i="127" s="1"/>
  <c r="BN102" i="127" s="1" a="1"/>
  <c r="BN102" i="127" s="1"/>
  <c r="BN103" i="127" s="1" a="1"/>
  <c r="BN103" i="127" s="1"/>
  <c r="BN104" i="127" s="1" a="1"/>
  <c r="BN104" i="127" s="1"/>
  <c r="BN105" i="127" s="1" a="1"/>
  <c r="BN105" i="127" s="1"/>
  <c r="BN106" i="127" s="1" a="1"/>
  <c r="BN106" i="127" s="1"/>
  <c r="BN107" i="127" s="1" a="1"/>
  <c r="BN107" i="127" s="1"/>
  <c r="BN108" i="127" s="1" a="1"/>
  <c r="BN108" i="127" s="1"/>
  <c r="BN109" i="127" s="1" a="1"/>
  <c r="BN109" i="127" s="1"/>
  <c r="BN110" i="127" s="1" a="1"/>
  <c r="BN110" i="127" s="1"/>
  <c r="BN111" i="127" s="1" a="1"/>
  <c r="BN111" i="127" s="1"/>
  <c r="BN112" i="127" s="1" a="1"/>
  <c r="BN112" i="127" s="1"/>
  <c r="BN113" i="127" s="1" a="1"/>
  <c r="BN113" i="127" s="1"/>
  <c r="BN114" i="127" s="1" a="1"/>
  <c r="BN114" i="127" s="1"/>
  <c r="BN115" i="127" s="1" a="1"/>
  <c r="BN115" i="127" s="1"/>
  <c r="BN116" i="127" s="1" a="1"/>
  <c r="BN116" i="127" s="1"/>
  <c r="BN117" i="127" s="1" a="1"/>
  <c r="BN117" i="127" s="1"/>
  <c r="BN118" i="127" s="1" a="1"/>
  <c r="BN118" i="127" s="1"/>
  <c r="BN119" i="127" s="1" a="1"/>
  <c r="BN119" i="127" s="1"/>
  <c r="BN120" i="127" s="1" a="1"/>
  <c r="BN120" i="127" s="1"/>
  <c r="BN121" i="127" s="1" a="1"/>
  <c r="BN121" i="127" s="1"/>
  <c r="BN122" i="127" s="1" a="1"/>
  <c r="BN122" i="127" s="1"/>
  <c r="BN123" i="127" s="1" a="1"/>
  <c r="BN123" i="127" s="1"/>
  <c r="BN124" i="127" s="1" a="1"/>
  <c r="BN124" i="127" s="1"/>
  <c r="BN125" i="127" s="1" a="1"/>
  <c r="BN125" i="127" s="1"/>
  <c r="BN126" i="127" s="1" a="1"/>
  <c r="BN126" i="127" s="1"/>
  <c r="BN127" i="127" s="1" a="1"/>
  <c r="BN127" i="127" s="1"/>
  <c r="BN128" i="127" s="1" a="1"/>
  <c r="BN128" i="127" s="1"/>
  <c r="BN129" i="127" s="1" a="1"/>
  <c r="BN129" i="127" s="1"/>
  <c r="BN130" i="127" s="1" a="1"/>
  <c r="BN130" i="127" s="1"/>
  <c r="BN131" i="127" s="1" a="1"/>
  <c r="BN131" i="127" s="1"/>
  <c r="BN132" i="127" s="1" a="1"/>
  <c r="BN132" i="127" s="1"/>
  <c r="BN133" i="127" s="1" a="1"/>
  <c r="BN133" i="127" s="1"/>
  <c r="BN134" i="127" s="1" a="1"/>
  <c r="BN134" i="127" s="1"/>
  <c r="BN135" i="127" s="1" a="1"/>
  <c r="BN135" i="127" s="1"/>
  <c r="BN136" i="127" s="1" a="1"/>
  <c r="BN136" i="127" s="1"/>
  <c r="BK629" i="127"/>
  <c r="BK80" i="127"/>
  <c r="K95" i="104"/>
  <c r="BK173" i="127" l="1"/>
  <c r="BK902" i="127"/>
  <c r="BK550" i="127"/>
  <c r="BK607" i="127"/>
  <c r="BK644" i="127"/>
  <c r="BK575" i="127"/>
  <c r="BK640" i="127"/>
  <c r="BK830" i="127"/>
  <c r="BK769" i="127"/>
  <c r="BK146" i="127"/>
  <c r="BK162" i="127"/>
  <c r="BK596" i="127"/>
  <c r="BK671" i="127"/>
  <c r="BK369" i="127"/>
  <c r="BK806" i="127"/>
  <c r="BK878" i="127"/>
  <c r="BK559" i="127"/>
  <c r="BK833" i="127"/>
  <c r="BK746" i="127"/>
  <c r="BK829" i="127"/>
  <c r="BK444" i="127"/>
  <c r="BK683" i="127"/>
  <c r="BK794" i="127"/>
  <c r="BK893" i="127"/>
  <c r="BK636" i="127"/>
  <c r="BK425" i="127"/>
  <c r="BK560" i="127"/>
  <c r="BK703" i="127"/>
  <c r="BK699" i="127"/>
  <c r="BK567" i="127"/>
  <c r="BK894" i="127"/>
  <c r="BK842" i="127"/>
  <c r="BK750" i="127"/>
  <c r="BK612" i="127"/>
  <c r="BK1074" i="127"/>
  <c r="BK778" i="127"/>
  <c r="BK1087" i="127"/>
  <c r="BK174" i="127"/>
  <c r="BK197" i="127"/>
  <c r="BK117" i="127"/>
  <c r="BK170" i="127"/>
  <c r="BK131" i="127"/>
  <c r="BK421" i="127"/>
  <c r="BK509" i="127"/>
  <c r="BK580" i="127"/>
  <c r="BK877" i="127"/>
  <c r="BK169" i="127"/>
  <c r="BK471" i="127"/>
  <c r="BK1078" i="127"/>
  <c r="BK667" i="127"/>
  <c r="BK749" i="127"/>
  <c r="BK105" i="127"/>
  <c r="BK672" i="127"/>
  <c r="BK157" i="127"/>
  <c r="BK506" i="127"/>
  <c r="BK608" i="127"/>
  <c r="BK700" i="127"/>
  <c r="BK441" i="127"/>
  <c r="BK579" i="127"/>
  <c r="BK603" i="127"/>
  <c r="BK890" i="127"/>
  <c r="BK785" i="127"/>
  <c r="BK456" i="127"/>
  <c r="BK125" i="127"/>
  <c r="BK199" i="127"/>
  <c r="BK208" i="127"/>
  <c r="BK1364" i="127"/>
  <c r="BK632" i="127"/>
  <c r="BK512" i="127"/>
  <c r="BK926" i="127"/>
  <c r="BK288" i="127"/>
  <c r="BK1220" i="127"/>
  <c r="BK645" i="127"/>
  <c r="BK841" i="127"/>
  <c r="BK551" i="127"/>
  <c r="BK1097" i="127"/>
  <c r="BK779" i="127"/>
  <c r="BK281" i="127"/>
  <c r="BK323" i="127"/>
  <c r="BK942" i="127"/>
  <c r="BK1064" i="127"/>
  <c r="BK1035" i="127"/>
  <c r="BK1059" i="127"/>
  <c r="BK436" i="127"/>
  <c r="BK110" i="127"/>
  <c r="BK788" i="127"/>
  <c r="BK1162" i="127"/>
  <c r="BK164" i="127"/>
  <c r="BK179" i="127"/>
  <c r="BK285" i="127"/>
  <c r="BK710" i="127"/>
  <c r="BK1017" i="127"/>
  <c r="BK1312" i="127"/>
  <c r="BK781" i="127"/>
  <c r="BK634" i="127"/>
  <c r="BK855" i="127"/>
  <c r="BK1293" i="127"/>
  <c r="BK290" i="127"/>
  <c r="BK1113" i="127"/>
  <c r="BK602" i="127"/>
  <c r="BK654" i="127"/>
  <c r="BK1093" i="127"/>
  <c r="BK819" i="127"/>
  <c r="BK600" i="127"/>
  <c r="BK166" i="127"/>
  <c r="BK1344" i="127"/>
  <c r="BK1082" i="127"/>
  <c r="BK298" i="127"/>
  <c r="BK648" i="127"/>
  <c r="BK213" i="127"/>
  <c r="BK865" i="127"/>
  <c r="BK789" i="127"/>
  <c r="BK284" i="127"/>
  <c r="BK1145" i="127"/>
  <c r="BK915" i="127"/>
  <c r="BK483" i="127"/>
  <c r="BK1259" i="127"/>
  <c r="BK770" i="127"/>
  <c r="BK791" i="127"/>
  <c r="BK126" i="127"/>
  <c r="BK883" i="127"/>
  <c r="BK212" i="127"/>
  <c r="BK1009" i="127"/>
  <c r="BK1349" i="127"/>
  <c r="BK643" i="127"/>
  <c r="BK264" i="127"/>
  <c r="BK266" i="127"/>
  <c r="BK373" i="127"/>
  <c r="BK895" i="127"/>
  <c r="BK1314" i="127"/>
  <c r="BK1037" i="127"/>
  <c r="BK965" i="127"/>
  <c r="BK782" i="127"/>
  <c r="BK783" i="127"/>
  <c r="BK734" i="127"/>
  <c r="BK282" i="127"/>
  <c r="BK578" i="127"/>
  <c r="BK758" i="127"/>
  <c r="BK1055" i="127"/>
  <c r="BK1169" i="127"/>
  <c r="BK1061" i="127"/>
  <c r="BK1173" i="127"/>
  <c r="BK454" i="127"/>
  <c r="BK419" i="127"/>
  <c r="BK416" i="127"/>
  <c r="BK798" i="127"/>
  <c r="BK679" i="127"/>
  <c r="BK1083" i="127"/>
  <c r="BK428" i="127"/>
  <c r="BK245" i="127"/>
  <c r="BK152" i="127"/>
  <c r="BK1001" i="127"/>
  <c r="BK827" i="127"/>
  <c r="BK598" i="127"/>
  <c r="BK1041" i="127"/>
  <c r="BK293" i="127"/>
  <c r="BK962" i="127"/>
  <c r="BK122" i="127"/>
  <c r="BK1244" i="127"/>
  <c r="BK306" i="127"/>
  <c r="BK305" i="127"/>
  <c r="BK1101" i="127"/>
  <c r="BK235" i="127"/>
  <c r="BK1328" i="127"/>
  <c r="BK802" i="127"/>
  <c r="BK206" i="127"/>
  <c r="BK980" i="127"/>
  <c r="BK1045" i="127"/>
  <c r="BK818" i="127"/>
  <c r="BK414" i="127"/>
  <c r="BK979" i="127"/>
  <c r="BK1136" i="127"/>
  <c r="BK595" i="127"/>
  <c r="BK999" i="127"/>
  <c r="BK217" i="127"/>
  <c r="BK1184" i="127"/>
  <c r="BK658" i="127"/>
  <c r="BK857" i="127"/>
  <c r="BK992" i="127"/>
  <c r="BK1317" i="127"/>
  <c r="BK94" i="127"/>
  <c r="BK545" i="127"/>
  <c r="BK845" i="127"/>
  <c r="BK283" i="127"/>
  <c r="BK150" i="127"/>
  <c r="BK1333" i="127"/>
  <c r="BK115" i="127"/>
  <c r="BK1245" i="127"/>
  <c r="BK1134" i="127"/>
  <c r="BK147" i="127"/>
  <c r="BK601" i="127"/>
  <c r="BK437" i="127"/>
  <c r="BK963" i="127"/>
  <c r="BK707" i="127"/>
  <c r="BK1022" i="127"/>
  <c r="BK190" i="127"/>
  <c r="BK225" i="127"/>
  <c r="BK797" i="127"/>
  <c r="BK1241" i="127"/>
  <c r="BK1146" i="127"/>
  <c r="BK1098" i="127"/>
  <c r="BK1047" i="127"/>
  <c r="BK321" i="127"/>
  <c r="BK388" i="127"/>
  <c r="BK835" i="127"/>
  <c r="BK1042" i="127"/>
  <c r="BK617" i="127"/>
  <c r="BK511" i="127"/>
  <c r="BK424" i="127"/>
  <c r="BK1012" i="127"/>
  <c r="BK1310" i="127"/>
  <c r="BK790" i="127"/>
  <c r="BK1111" i="127"/>
  <c r="BK708" i="127"/>
  <c r="BK1036" i="127"/>
  <c r="BK573" i="127"/>
  <c r="BK1141" i="127"/>
  <c r="BK1229" i="127"/>
  <c r="BK265" i="127"/>
  <c r="BK228" i="127"/>
  <c r="BK1032" i="127"/>
  <c r="BK195" i="127"/>
  <c r="BK253" i="127"/>
  <c r="BK676" i="127"/>
  <c r="BK389" i="127"/>
  <c r="BK200" i="127"/>
  <c r="BK1341" i="127"/>
  <c r="BK659" i="127"/>
  <c r="BK793" i="127"/>
  <c r="BK1235" i="127"/>
  <c r="BK844" i="127"/>
  <c r="BK299" i="127"/>
  <c r="BK939" i="127"/>
  <c r="BK336" i="127"/>
  <c r="BK1164" i="127"/>
  <c r="BK1147" i="127"/>
  <c r="BK633" i="127"/>
  <c r="BK646" i="127"/>
  <c r="BK966" i="127"/>
  <c r="BK1175" i="127"/>
  <c r="BK1104" i="127"/>
  <c r="BK933" i="127"/>
  <c r="BK861" i="127"/>
  <c r="BK1170" i="127"/>
  <c r="BK1068" i="127"/>
  <c r="BK362" i="127"/>
  <c r="BK1166" i="127"/>
  <c r="BK599" i="127"/>
  <c r="BK386" i="127"/>
  <c r="BK1000" i="127"/>
  <c r="BK546" i="127"/>
  <c r="BK380" i="127"/>
  <c r="BK204" i="127"/>
  <c r="BK537" i="127"/>
  <c r="BK485" i="127"/>
  <c r="BK365" i="127"/>
  <c r="BK440" i="127"/>
  <c r="BK277" i="127"/>
  <c r="BK960" i="127"/>
  <c r="BK1253" i="127"/>
  <c r="BK1174" i="127"/>
  <c r="BK1052" i="127"/>
  <c r="BK626" i="127"/>
  <c r="BK695" i="127"/>
  <c r="BK548" i="127"/>
  <c r="BK391" i="127"/>
  <c r="BK716" i="127"/>
  <c r="BK257" i="127"/>
  <c r="BK625" i="127"/>
  <c r="BK1339" i="127"/>
  <c r="BK523" i="127"/>
  <c r="BK279" i="127"/>
  <c r="BK1140" i="127"/>
  <c r="BK1323" i="127"/>
  <c r="BK1014" i="127"/>
  <c r="BK318" i="127"/>
  <c r="BK896" i="127"/>
  <c r="BK176" i="127"/>
  <c r="BK1125" i="127"/>
  <c r="BK1056" i="127"/>
  <c r="BK1192" i="127"/>
  <c r="BK121" i="127"/>
  <c r="BK1043" i="127"/>
  <c r="BK932" i="127"/>
  <c r="BK1096" i="127"/>
  <c r="BK320" i="127"/>
  <c r="BK272" i="127"/>
  <c r="BK1106" i="127"/>
  <c r="BK1112" i="127"/>
  <c r="BK929" i="127"/>
  <c r="BK401" i="127"/>
  <c r="BK604" i="127"/>
  <c r="BK411" i="127"/>
  <c r="BK653" i="127"/>
  <c r="BK1233" i="127"/>
  <c r="BK768" i="127"/>
  <c r="BK900" i="127"/>
  <c r="BK698" i="127"/>
  <c r="BK114" i="127"/>
  <c r="BK647" i="127"/>
  <c r="BK1294" i="127"/>
  <c r="BK977" i="127"/>
  <c r="BK384" i="127"/>
  <c r="BK650" i="127"/>
  <c r="BK907" i="127"/>
  <c r="BK1182" i="127"/>
  <c r="BK1076" i="127"/>
  <c r="BK351" i="127"/>
  <c r="BK824" i="127"/>
  <c r="BK813" i="127"/>
  <c r="BK1138" i="127"/>
  <c r="BK1034" i="127"/>
  <c r="BK104" i="127"/>
  <c r="BK1069" i="127"/>
  <c r="BK1246" i="127"/>
  <c r="BK1322" i="127"/>
  <c r="BK241" i="127"/>
  <c r="BK665" i="127"/>
  <c r="BK87" i="127"/>
  <c r="BK1024" i="127"/>
  <c r="BK99" i="127"/>
  <c r="BK1027" i="127"/>
  <c r="BK991" i="127"/>
  <c r="BK771" i="127"/>
  <c r="BK927" i="127"/>
  <c r="BK1321" i="127"/>
  <c r="BK743" i="127"/>
  <c r="BK1223" i="127"/>
  <c r="BK215" i="127"/>
  <c r="BK291" i="127"/>
  <c r="BK1100" i="127"/>
  <c r="BK205" i="127"/>
  <c r="BK396" i="127"/>
  <c r="BK148" i="127"/>
  <c r="BK1195" i="127"/>
  <c r="BK1039" i="127"/>
  <c r="BK837" i="127"/>
  <c r="BK1018" i="127"/>
  <c r="BK246" i="127"/>
  <c r="BK165" i="127"/>
  <c r="BK160" i="127"/>
  <c r="BK113" i="127"/>
  <c r="BK455" i="127"/>
  <c r="BK350" i="127"/>
  <c r="BK141" i="127"/>
  <c r="BK739" i="127"/>
  <c r="BK339" i="127"/>
  <c r="BK196" i="127"/>
  <c r="BK171" i="127"/>
  <c r="BK172" i="127"/>
  <c r="BK372" i="127"/>
  <c r="BK972" i="127"/>
  <c r="BK1154" i="127"/>
  <c r="BK726" i="127"/>
  <c r="BK1099" i="127"/>
  <c r="BK304" i="127"/>
  <c r="BK413" i="127"/>
  <c r="BK340" i="127"/>
  <c r="BK1327" i="127"/>
  <c r="BK587" i="127"/>
  <c r="BK292" i="127"/>
  <c r="BK96" i="127"/>
  <c r="BK1303" i="127"/>
  <c r="BK387" i="127"/>
  <c r="BK661" i="127"/>
  <c r="BK370" i="127"/>
  <c r="BK322" i="127"/>
  <c r="BK1160" i="127"/>
  <c r="BK111" i="127"/>
  <c r="BK107" i="127"/>
  <c r="BK776" i="127"/>
  <c r="BK871" i="127"/>
  <c r="BK1279" i="127"/>
  <c r="BK400" i="127"/>
  <c r="BK218" i="127"/>
  <c r="BK1242" i="127"/>
  <c r="BK1260" i="127"/>
  <c r="BK287" i="127"/>
  <c r="BK1139" i="127"/>
  <c r="BK727" i="127"/>
  <c r="BK733" i="127"/>
  <c r="BK1060" i="127"/>
  <c r="BK786" i="127"/>
  <c r="BK443" i="127"/>
  <c r="BK280" i="127"/>
  <c r="BK505" i="127"/>
  <c r="BK912" i="127"/>
  <c r="BK795" i="127"/>
  <c r="BK759" i="127"/>
  <c r="BK1186" i="127"/>
  <c r="BK981" i="127"/>
  <c r="BK507" i="127"/>
  <c r="BK649" i="127"/>
  <c r="BK267" i="127"/>
  <c r="BK1023" i="127"/>
  <c r="BK872" i="127"/>
  <c r="BK1337" i="127"/>
  <c r="BK426" i="127"/>
  <c r="BK89" i="127"/>
  <c r="BK1149" i="127"/>
  <c r="BK219" i="127"/>
  <c r="BK851" i="127"/>
  <c r="BK1343" i="127"/>
  <c r="BK403" i="127"/>
  <c r="BK1331" i="127"/>
  <c r="BK198" i="127"/>
  <c r="BK1301" i="127"/>
  <c r="BK184" i="127"/>
  <c r="BK1013" i="127"/>
  <c r="BK316" i="127"/>
  <c r="BK203" i="127"/>
  <c r="BK118" i="127"/>
  <c r="BK252" i="127"/>
  <c r="BK975" i="127"/>
  <c r="BK432" i="127"/>
  <c r="BK431" i="127"/>
  <c r="BK1021" i="127"/>
  <c r="BK764" i="127"/>
  <c r="BK1334" i="127"/>
  <c r="BK1177" i="127"/>
  <c r="BK1105" i="127"/>
  <c r="BK1005" i="127"/>
  <c r="BK1016" i="127"/>
  <c r="BK581" i="127"/>
  <c r="BK709" i="127"/>
  <c r="BK461" i="127"/>
  <c r="BK1168" i="127"/>
  <c r="BK366" i="127"/>
  <c r="BK422" i="127"/>
  <c r="BK276" i="127"/>
  <c r="BK1040" i="127"/>
  <c r="BK1110" i="127"/>
  <c r="BK947" i="127"/>
  <c r="BK258" i="127"/>
  <c r="BK193" i="127"/>
  <c r="BK175" i="127"/>
  <c r="BK187" i="127"/>
  <c r="BK1288" i="127"/>
  <c r="BK106" i="127"/>
  <c r="BK924" i="127"/>
  <c r="BK968" i="127"/>
  <c r="BK597" i="127"/>
  <c r="BK622" i="127"/>
  <c r="BK920" i="127"/>
  <c r="BK392" i="127"/>
  <c r="BK521" i="127"/>
  <c r="BK353" i="127"/>
  <c r="BK998" i="127"/>
  <c r="BK189" i="127"/>
  <c r="BK1325" i="127"/>
  <c r="BK433" i="127"/>
  <c r="BK1028" i="127"/>
  <c r="BK882" i="127"/>
  <c r="BK251" i="127"/>
  <c r="BK143" i="127"/>
  <c r="BK254" i="127"/>
  <c r="BK449" i="127"/>
  <c r="BK876" i="127"/>
  <c r="BK606" i="127"/>
  <c r="BK1109" i="127"/>
  <c r="BK1031" i="127"/>
  <c r="BK1067" i="127"/>
  <c r="BK1119" i="127"/>
  <c r="BK1254" i="127"/>
  <c r="BK984" i="127"/>
  <c r="BK1030" i="127"/>
  <c r="BK1336" i="127"/>
  <c r="BK452" i="127"/>
  <c r="BK870" i="127"/>
  <c r="BK359" i="127"/>
  <c r="BK1048" i="127"/>
  <c r="BK489" i="127"/>
  <c r="BK138" i="127"/>
  <c r="BK881" i="127"/>
  <c r="BK1092" i="127"/>
  <c r="BK450" i="127"/>
  <c r="BK809" i="127"/>
  <c r="BK1153" i="127"/>
  <c r="BK1020" i="127"/>
  <c r="BK955" i="127"/>
  <c r="BK307" i="127"/>
  <c r="BK701" i="127"/>
  <c r="BK1038" i="127"/>
  <c r="BK583" i="127"/>
  <c r="BK202" i="127"/>
  <c r="BK1103" i="127"/>
  <c r="BK1256" i="127"/>
  <c r="BK1359" i="127"/>
  <c r="BK938" i="127"/>
  <c r="BK236" i="127"/>
  <c r="BK1033" i="127"/>
  <c r="BK780" i="127"/>
  <c r="BK614" i="127"/>
  <c r="BK805" i="127"/>
  <c r="BK930" i="127"/>
  <c r="BK430" i="127"/>
  <c r="BK1179" i="127"/>
  <c r="BK618" i="127"/>
  <c r="BK180" i="127"/>
  <c r="BK820" i="127"/>
  <c r="BK684" i="127"/>
  <c r="BK394" i="127"/>
  <c r="BK144" i="127"/>
  <c r="BK438" i="127"/>
  <c r="BK605" i="127"/>
  <c r="BK803" i="127"/>
  <c r="BK967" i="127"/>
  <c r="BK357" i="127"/>
  <c r="BK1329" i="127"/>
  <c r="BK527" i="127"/>
  <c r="BK796" i="127"/>
  <c r="BK513" i="127"/>
  <c r="BK331" i="127"/>
  <c r="BK1159" i="127"/>
  <c r="BK508" i="127"/>
  <c r="BK642" i="127"/>
  <c r="BK439" i="127"/>
  <c r="BK395" i="127"/>
  <c r="BK286" i="127"/>
  <c r="BK815" i="127"/>
  <c r="BK1193" i="127"/>
  <c r="BK903" i="127"/>
  <c r="BK880" i="127"/>
  <c r="BK1250" i="127"/>
  <c r="BK1306" i="127"/>
  <c r="BK718" i="127"/>
  <c r="BK516" i="127"/>
  <c r="BK976" i="127"/>
  <c r="BK1135" i="127"/>
  <c r="BK1002" i="127"/>
  <c r="BK810" i="127"/>
  <c r="BK346" i="127"/>
  <c r="BK1128" i="127"/>
  <c r="BK420" i="127"/>
  <c r="BK996" i="127"/>
  <c r="BK1304" i="127"/>
  <c r="BK847" i="127"/>
  <c r="BK418" i="127"/>
  <c r="BK402" i="127"/>
  <c r="BK347" i="127"/>
  <c r="BK163" i="127"/>
  <c r="BK256" i="127"/>
  <c r="BK839" i="127"/>
  <c r="BK1120" i="127"/>
  <c r="BK917" i="127"/>
  <c r="BK268" i="127"/>
  <c r="BK569" i="127"/>
  <c r="BK1143" i="127"/>
  <c r="BK1240" i="127"/>
  <c r="BK1257" i="127"/>
  <c r="BK1227" i="127"/>
  <c r="BK484" i="127"/>
  <c r="BK986" i="127"/>
  <c r="BK811" i="127"/>
  <c r="BK582" i="127"/>
  <c r="BK1176" i="127"/>
  <c r="BK704" i="127"/>
  <c r="BK641" i="127"/>
  <c r="BK1008" i="127"/>
  <c r="BK1070" i="127"/>
  <c r="BK1221" i="127"/>
  <c r="BK1264" i="127"/>
  <c r="BK585" i="127"/>
  <c r="BK1226" i="127"/>
  <c r="BK1258" i="127"/>
  <c r="BK935" i="127"/>
  <c r="BK1218" i="127"/>
  <c r="BK616" i="127"/>
  <c r="BK415" i="127"/>
  <c r="BK556" i="127"/>
  <c r="BK1148" i="127"/>
  <c r="BK334" i="127"/>
  <c r="BK1188" i="127"/>
  <c r="BK961" i="127"/>
  <c r="BK423" i="127"/>
  <c r="BK494" i="127"/>
  <c r="BK270" i="127"/>
  <c r="BK1338" i="127"/>
  <c r="BK995" i="127"/>
  <c r="BK519" i="127"/>
  <c r="BK1315" i="127"/>
  <c r="BK1363" i="127"/>
  <c r="BK367" i="127"/>
  <c r="BK745" i="127"/>
  <c r="BK1231" i="127"/>
  <c r="BK356" i="127"/>
  <c r="BK332" i="127"/>
  <c r="BK885" i="127"/>
  <c r="BK1187" i="127"/>
  <c r="BK730" i="127"/>
  <c r="BK1073" i="127"/>
  <c r="BK762" i="127"/>
  <c r="BK1183" i="127"/>
  <c r="BK335" i="127"/>
  <c r="BK445" i="127"/>
  <c r="BK1102" i="127"/>
  <c r="BK584" i="127"/>
  <c r="BK609" i="127"/>
  <c r="BK945" i="127"/>
  <c r="BK928" i="127"/>
  <c r="BK1290" i="127"/>
  <c r="BK831" i="127"/>
  <c r="BK364" i="127"/>
  <c r="BK681" i="127"/>
  <c r="BK1088" i="127"/>
  <c r="BK216" i="127"/>
  <c r="BK990" i="127"/>
  <c r="BK191" i="127"/>
  <c r="BK668" i="127"/>
  <c r="BK1267" i="127"/>
  <c r="BK371" i="127"/>
  <c r="BK207" i="127"/>
  <c r="BK525" i="127"/>
  <c r="BK210" i="127"/>
  <c r="BK1335" i="127"/>
  <c r="BK792" i="127"/>
  <c r="BK836" i="127"/>
  <c r="BK943" i="127"/>
  <c r="BK1094" i="127"/>
  <c r="BK1118" i="127"/>
  <c r="BK1003" i="127"/>
  <c r="BK330" i="127"/>
  <c r="BK1054" i="127"/>
  <c r="BK1319" i="127"/>
  <c r="BK381" i="127"/>
  <c r="BK382" i="127"/>
  <c r="BK696" i="127"/>
  <c r="BK377" i="127"/>
  <c r="BK186" i="127"/>
  <c r="BK358" i="127"/>
  <c r="BN137" i="127" a="1"/>
  <c r="BN137" i="127" s="1"/>
  <c r="BN138" i="127" s="1" a="1"/>
  <c r="BN138" i="127" s="1"/>
  <c r="BK775" i="127"/>
  <c r="BK1222" i="127"/>
  <c r="BK899" i="127"/>
  <c r="BK1302" i="127"/>
  <c r="BK670" i="127"/>
  <c r="BK1050" i="127"/>
  <c r="BK145" i="127"/>
  <c r="BK1133" i="127"/>
  <c r="BK128" i="127"/>
  <c r="BK561" i="127"/>
  <c r="BK338" i="127"/>
  <c r="BK134" i="127"/>
  <c r="BK613" i="127"/>
  <c r="BK1247" i="127"/>
  <c r="BK517" i="127"/>
  <c r="BK1063" i="127"/>
  <c r="BK1309" i="127"/>
  <c r="BK934" i="127"/>
  <c r="BK1285" i="127"/>
  <c r="BK271" i="127"/>
  <c r="BK192" i="127"/>
  <c r="BK1011" i="127"/>
  <c r="BK376" i="127"/>
  <c r="BK1313" i="127"/>
  <c r="BK1284" i="127"/>
  <c r="BK1077" i="127"/>
  <c r="BK1029" i="127"/>
  <c r="BK274" i="127"/>
  <c r="BK1178" i="127"/>
  <c r="BK223" i="127"/>
  <c r="BK941" i="127"/>
  <c r="BK987" i="127"/>
  <c r="BK1114" i="127"/>
  <c r="BK1053" i="127"/>
  <c r="BK697" i="127"/>
  <c r="BK918" i="127"/>
  <c r="BK1225" i="127"/>
  <c r="BK1190" i="127"/>
  <c r="BK879" i="127"/>
  <c r="BK434" i="127"/>
  <c r="BK1318" i="127"/>
  <c r="BK1072" i="127"/>
  <c r="BK1340" i="127"/>
  <c r="BK324" i="127"/>
  <c r="BK1158" i="127"/>
  <c r="BK1237" i="127"/>
  <c r="BK817" i="127"/>
  <c r="BK808" i="127"/>
  <c r="BK936" i="127"/>
  <c r="BK816" i="127"/>
  <c r="BK1026" i="127"/>
  <c r="BK352" i="127"/>
  <c r="BK1230" i="127"/>
  <c r="BK348" i="127"/>
  <c r="BK333" i="127"/>
  <c r="BK329" i="127"/>
  <c r="BK349" i="127"/>
  <c r="BK1051" i="127"/>
  <c r="BK447" i="127"/>
  <c r="BK188" i="127"/>
  <c r="BK969" i="127"/>
  <c r="BK503" i="127"/>
  <c r="BK974" i="127"/>
  <c r="BK884" i="127"/>
  <c r="BK615" i="127"/>
  <c r="BK832" i="127"/>
  <c r="BK524" i="127"/>
  <c r="BK194" i="127"/>
  <c r="BK315" i="127"/>
  <c r="BK317" i="127"/>
  <c r="BK713" i="127"/>
  <c r="BK255" i="127"/>
  <c r="BK1181" i="127"/>
  <c r="BK940" i="127"/>
  <c r="BK978" i="127"/>
  <c r="BK812" i="127"/>
  <c r="BK510" i="127"/>
  <c r="BK119" i="127"/>
  <c r="BK971" i="127"/>
  <c r="BK1004" i="127"/>
  <c r="BK1185" i="127"/>
  <c r="BK1232" i="127"/>
  <c r="BK732" i="127"/>
  <c r="BK361" i="127"/>
  <c r="BK565" i="127"/>
  <c r="BK925" i="127"/>
  <c r="BK1320" i="127"/>
  <c r="BK159" i="127"/>
  <c r="BK848" i="127"/>
  <c r="BK949" i="127"/>
  <c r="BK711" i="127"/>
  <c r="BK693" i="127"/>
  <c r="BK982" i="127"/>
  <c r="BK1124" i="127"/>
  <c r="BK744" i="127"/>
  <c r="BK142" i="127"/>
  <c r="BK951" i="127"/>
  <c r="BK834" i="127"/>
  <c r="BK273" i="127"/>
  <c r="BK950" i="127"/>
  <c r="BK989" i="127"/>
  <c r="BK909" i="127"/>
  <c r="BK399" i="127"/>
  <c r="BK140" i="127"/>
  <c r="BK931" i="127"/>
  <c r="BK889" i="127"/>
  <c r="BK985" i="127"/>
  <c r="BK754" i="127"/>
  <c r="BK1123" i="127"/>
  <c r="BK669" i="127"/>
  <c r="BK289" i="127"/>
  <c r="BK774" i="127"/>
  <c r="BK229" i="127"/>
  <c r="BK1269" i="127"/>
  <c r="BK994" i="127"/>
  <c r="BK1156" i="127"/>
  <c r="BK383" i="127"/>
  <c r="BK1066" i="127"/>
  <c r="BK714" i="127"/>
  <c r="BK1049" i="127"/>
  <c r="BK1326" i="127"/>
  <c r="BK230" i="127"/>
  <c r="BK970" i="127"/>
  <c r="BK269" i="127"/>
  <c r="BK787" i="127"/>
  <c r="BK201" i="127"/>
  <c r="BK586" i="127"/>
  <c r="BK185" i="127"/>
  <c r="BK442" i="127"/>
  <c r="BK1307" i="127"/>
  <c r="BK814" i="127"/>
  <c r="BK652" i="127"/>
  <c r="BK161" i="127"/>
  <c r="BK1196" i="127"/>
  <c r="BK446" i="127"/>
  <c r="BK715" i="127"/>
  <c r="BK988" i="127"/>
  <c r="BK1117" i="127"/>
  <c r="BK852" i="127"/>
  <c r="BK1234" i="127"/>
  <c r="BK1194" i="127"/>
  <c r="BK435" i="127"/>
  <c r="BK385" i="127"/>
  <c r="BK807" i="127"/>
  <c r="BK453" i="127"/>
  <c r="BK983" i="127"/>
  <c r="BK1006" i="127"/>
  <c r="BK954" i="127"/>
  <c r="BK891" i="127"/>
  <c r="BK997" i="127"/>
  <c r="BK804" i="127"/>
  <c r="BK1019" i="127"/>
  <c r="BK1324" i="127"/>
  <c r="BK1062" i="127"/>
  <c r="BK85" i="127"/>
  <c r="BK1299" i="127"/>
  <c r="BK397" i="127"/>
  <c r="BK533" i="127"/>
  <c r="BK610" i="127"/>
  <c r="BK1282" i="127"/>
  <c r="BK319" i="127"/>
  <c r="BK417" i="127"/>
  <c r="BK856" i="127"/>
  <c r="BK1086" i="127"/>
  <c r="BK1151" i="127"/>
  <c r="BK823" i="127"/>
  <c r="BK472" i="127"/>
  <c r="BK993" i="127"/>
  <c r="BK1224" i="127"/>
  <c r="BK1171" i="127"/>
  <c r="BK531" i="127"/>
  <c r="BK1132" i="127"/>
  <c r="BK360" i="127"/>
  <c r="BK828" i="127"/>
  <c r="BK914" i="127"/>
  <c r="BK1025" i="127"/>
  <c r="BK1228" i="127"/>
  <c r="BK1107" i="127"/>
  <c r="BK1121" i="127"/>
  <c r="BK1142" i="127"/>
  <c r="BK154" i="127"/>
  <c r="BK901" i="127"/>
  <c r="BK948" i="127"/>
  <c r="BK702" i="127"/>
  <c r="BK1316" i="127"/>
  <c r="BK167" i="127"/>
  <c r="BK843" i="127"/>
  <c r="BK1332" i="127"/>
  <c r="BK867" i="127"/>
  <c r="BK1361" i="127"/>
  <c r="BK275" i="127"/>
  <c r="BK327" i="127"/>
  <c r="BK499" i="127"/>
  <c r="BK1180" i="127"/>
  <c r="BK116" i="127"/>
  <c r="BK310" i="127"/>
  <c r="BK691" i="127"/>
  <c r="BK964" i="127"/>
  <c r="BK1289" i="127"/>
  <c r="BK1305" i="127"/>
  <c r="BK259" i="127"/>
  <c r="BK777" i="127"/>
  <c r="BK398" i="127"/>
  <c r="BK214" i="127"/>
  <c r="BK1116" i="127"/>
  <c r="BK1342" i="127"/>
  <c r="BK1144" i="127"/>
  <c r="BK1311" i="127"/>
  <c r="BK1115" i="127"/>
  <c r="BK363" i="127"/>
  <c r="BK393" i="127"/>
  <c r="BK429" i="127"/>
  <c r="BK742" i="127"/>
  <c r="BK1095" i="127"/>
  <c r="BK451" i="127"/>
  <c r="BK1152" i="127"/>
  <c r="BK552" i="127"/>
  <c r="BK368" i="127"/>
  <c r="BK390" i="127"/>
  <c r="BK1286" i="127"/>
  <c r="BK1189" i="127"/>
  <c r="BK916" i="127"/>
  <c r="BK1122" i="127"/>
  <c r="BK892" i="127"/>
  <c r="BK1007" i="127"/>
  <c r="BK177" i="127"/>
  <c r="BK448" i="127"/>
  <c r="BK183" i="127"/>
  <c r="BK1308" i="127"/>
  <c r="BK731" i="127"/>
  <c r="BK1085" i="127"/>
  <c r="BK944" i="127"/>
  <c r="BK919" i="127"/>
  <c r="BK168" i="127"/>
  <c r="BK227" i="127"/>
  <c r="BK1010" i="127"/>
  <c r="BK712" i="127"/>
  <c r="BK473" i="127"/>
  <c r="BK1046" i="127"/>
  <c r="BK1084" i="127"/>
  <c r="BK563" i="127"/>
  <c r="BK1065" i="127"/>
  <c r="BK1191" i="127"/>
  <c r="BK296" i="127"/>
  <c r="BK1243" i="127"/>
  <c r="BK1330" i="127"/>
  <c r="BK784" i="127"/>
  <c r="BK1345" i="127"/>
  <c r="BK1163" i="127"/>
  <c r="BK328" i="127"/>
  <c r="BK1044" i="127"/>
  <c r="BK294" i="127"/>
  <c r="BK1108" i="127"/>
  <c r="BK1346" i="127"/>
  <c r="F66" i="104"/>
  <c r="F65" i="104"/>
  <c r="F64" i="104"/>
  <c r="F63" i="104"/>
  <c r="G62" i="104"/>
  <c r="F62" i="104"/>
  <c r="F61" i="104"/>
  <c r="F60" i="104"/>
  <c r="F59" i="104"/>
  <c r="F58" i="104"/>
  <c r="F57" i="104"/>
  <c r="G56" i="104"/>
  <c r="F56" i="104"/>
  <c r="F55" i="104"/>
  <c r="F54" i="104"/>
  <c r="F53" i="104"/>
  <c r="F52" i="104"/>
  <c r="F51" i="104"/>
  <c r="G50" i="104"/>
  <c r="F50" i="104"/>
  <c r="F49" i="104"/>
  <c r="BS19" i="127" l="1"/>
  <c r="L12" i="127" s="1"/>
  <c r="BS31" i="127"/>
  <c r="L24" i="127" s="1"/>
  <c r="M24" i="127" s="1"/>
  <c r="BS39" i="127"/>
  <c r="L32" i="127" s="1"/>
  <c r="O32" i="127" s="1"/>
  <c r="U17" i="127" s="1"/>
  <c r="W17" i="127" s="1"/>
  <c r="BS21" i="127" a="1"/>
  <c r="BS21" i="127" s="1"/>
  <c r="L14" i="127" s="1"/>
  <c r="M14" i="127" s="1"/>
  <c r="BS20" i="127" a="1"/>
  <c r="BS20" i="127" s="1"/>
  <c r="L13" i="127" s="1"/>
  <c r="BS28" i="127"/>
  <c r="L21" i="127" s="1"/>
  <c r="BS33" i="127" a="1"/>
  <c r="BS33" i="127" s="1"/>
  <c r="L26" i="127" s="1"/>
  <c r="BS37" i="127"/>
  <c r="L30" i="127" s="1"/>
  <c r="BS35" i="127"/>
  <c r="L28" i="127" s="1"/>
  <c r="M12" i="127"/>
  <c r="O12" i="127"/>
  <c r="BS23" i="127" a="1"/>
  <c r="BS23" i="127" s="1"/>
  <c r="L16" i="127" s="1"/>
  <c r="BS29" i="127"/>
  <c r="L22" i="127" s="1"/>
  <c r="BS24" i="127" a="1"/>
  <c r="BS24" i="127" s="1"/>
  <c r="L17" i="127" s="1"/>
  <c r="BS41" i="127"/>
  <c r="L34" i="127" s="1"/>
  <c r="BS25" i="127" a="1"/>
  <c r="BS25" i="127" s="1"/>
  <c r="L18" i="127" s="1"/>
  <c r="BS30" i="127"/>
  <c r="L23" i="127" s="1"/>
  <c r="BS36" i="127"/>
  <c r="L29" i="127" s="1"/>
  <c r="BS38" i="127"/>
  <c r="L31" i="127" s="1"/>
  <c r="BS32" i="127" a="1"/>
  <c r="BS32" i="127" s="1"/>
  <c r="L25" i="127" s="1"/>
  <c r="BS34" i="127" a="1"/>
  <c r="BS34" i="127" s="1"/>
  <c r="L27" i="127" s="1"/>
  <c r="BS40" i="127"/>
  <c r="L33" i="127" s="1"/>
  <c r="BS18" i="127"/>
  <c r="L11" i="127" s="1"/>
  <c r="BS26" i="127"/>
  <c r="L19" i="127" s="1"/>
  <c r="AJ43" i="99"/>
  <c r="AJ42" i="99"/>
  <c r="AJ41" i="99"/>
  <c r="AJ40" i="99"/>
  <c r="AJ39" i="99"/>
  <c r="AJ38" i="99"/>
  <c r="AJ37" i="99"/>
  <c r="AJ36" i="99"/>
  <c r="AJ35" i="99"/>
  <c r="AJ34" i="99"/>
  <c r="AJ33" i="99"/>
  <c r="CK6" i="99"/>
  <c r="CG20" i="99"/>
  <c r="I11" i="99" s="1" a="1"/>
  <c r="I11" i="99" s="1"/>
  <c r="I12" i="99" l="1"/>
  <c r="O24" i="127"/>
  <c r="U19" i="127"/>
  <c r="W19" i="127" s="1"/>
  <c r="U13" i="127"/>
  <c r="W13" i="127" s="1"/>
  <c r="I13" i="99" a="1"/>
  <c r="I13" i="99" s="1"/>
  <c r="O14" i="127"/>
  <c r="U11" i="127" s="1"/>
  <c r="W11" i="127" s="1"/>
  <c r="M32" i="127"/>
  <c r="M25" i="127"/>
  <c r="O25" i="127"/>
  <c r="M33" i="127"/>
  <c r="O33" i="127"/>
  <c r="M29" i="127"/>
  <c r="O29" i="127"/>
  <c r="M17" i="127"/>
  <c r="O17" i="127"/>
  <c r="U15" i="127" s="1"/>
  <c r="W15" i="127" s="1"/>
  <c r="M21" i="127"/>
  <c r="O21" i="127"/>
  <c r="M27" i="127"/>
  <c r="O27" i="127"/>
  <c r="M23" i="127"/>
  <c r="O23" i="127"/>
  <c r="U16" i="127" s="1"/>
  <c r="W16" i="127" s="1"/>
  <c r="M22" i="127"/>
  <c r="O22" i="127"/>
  <c r="M28" i="127"/>
  <c r="O28" i="127"/>
  <c r="O13" i="127"/>
  <c r="U14" i="127" s="1"/>
  <c r="W14" i="127" s="1"/>
  <c r="M13" i="127"/>
  <c r="O18" i="127"/>
  <c r="M18" i="127"/>
  <c r="O16" i="127"/>
  <c r="M16" i="127"/>
  <c r="M30" i="127"/>
  <c r="O30" i="127"/>
  <c r="O19" i="127"/>
  <c r="M19" i="127"/>
  <c r="M11" i="127"/>
  <c r="O11" i="127"/>
  <c r="U12" i="127" s="1"/>
  <c r="W12" i="127" s="1"/>
  <c r="O31" i="127"/>
  <c r="M31" i="127"/>
  <c r="M34" i="127"/>
  <c r="O34" i="127"/>
  <c r="M26" i="127"/>
  <c r="O26" i="127"/>
  <c r="AC32" i="99" a="1"/>
  <c r="AC32" i="99" s="1"/>
  <c r="AC33" i="99" a="1"/>
  <c r="AC33" i="99" s="1"/>
  <c r="AC34" i="99" a="1"/>
  <c r="AC34" i="99" s="1"/>
  <c r="AC35" i="99" a="1"/>
  <c r="AC35" i="99" s="1"/>
  <c r="AC36" i="99" a="1"/>
  <c r="AC36" i="99" s="1"/>
  <c r="AC37" i="99" a="1"/>
  <c r="AC37" i="99" s="1"/>
  <c r="AC38" i="99" a="1"/>
  <c r="AC38" i="99" s="1"/>
  <c r="AC39" i="99" a="1"/>
  <c r="AC39" i="99" s="1"/>
  <c r="AC40" i="99" a="1"/>
  <c r="AC40" i="99" s="1"/>
  <c r="AC41" i="99" a="1"/>
  <c r="AC41" i="99" s="1"/>
  <c r="AC42" i="99" a="1"/>
  <c r="AC42" i="99" s="1"/>
  <c r="AC43" i="99" a="1"/>
  <c r="AC43" i="99" s="1"/>
  <c r="CA90" i="99"/>
  <c r="CA41" i="99"/>
  <c r="CA34" i="99"/>
  <c r="CA33" i="99"/>
  <c r="CA32" i="99"/>
  <c r="CA31" i="99"/>
  <c r="CA30" i="99"/>
  <c r="Y59" i="99" l="1" a="1"/>
  <c r="Y59" i="99" s="1"/>
  <c r="Y58" i="99" a="1"/>
  <c r="Y58" i="99" s="1"/>
  <c r="Y54" i="99" a="1"/>
  <c r="Y54" i="99" s="1"/>
  <c r="Y55" i="99" a="1"/>
  <c r="Y55" i="99" s="1"/>
  <c r="Y57" i="99" a="1"/>
  <c r="Y57" i="99" s="1"/>
  <c r="Y53" i="99" a="1"/>
  <c r="Y53" i="99" s="1"/>
  <c r="Y56" i="99" a="1"/>
  <c r="Y56" i="99" s="1"/>
  <c r="Y52" i="99" a="1"/>
  <c r="Y52" i="99" s="1"/>
  <c r="G78" i="99" s="1"/>
  <c r="AH58" i="99"/>
  <c r="AH53" i="99"/>
  <c r="AB11" i="127" a="1"/>
  <c r="AB11" i="127" s="1"/>
  <c r="AB9" i="127" a="1"/>
  <c r="AB9" i="127" s="1"/>
  <c r="AC31" i="99" a="1"/>
  <c r="AC31" i="99" s="1"/>
  <c r="AC25" i="99" a="1"/>
  <c r="AC25" i="99" s="1"/>
  <c r="Y114" i="115"/>
  <c r="W89" i="115"/>
  <c r="Y104" i="115"/>
  <c r="T89" i="115"/>
  <c r="Y125" i="115"/>
  <c r="Y124" i="115"/>
  <c r="Y126" i="115"/>
  <c r="AC24" i="99" a="1"/>
  <c r="AC24" i="99" s="1"/>
  <c r="AC28" i="99" a="1"/>
  <c r="AC28" i="99" s="1"/>
  <c r="AC30" i="99" a="1"/>
  <c r="AC30" i="99" s="1"/>
  <c r="AC27" i="99" a="1"/>
  <c r="AC27" i="99" s="1"/>
  <c r="AC29" i="99" a="1"/>
  <c r="AC29" i="99" s="1"/>
  <c r="AC26" i="99" a="1"/>
  <c r="AC26" i="99" s="1"/>
  <c r="G83" i="99"/>
  <c r="Z43" i="99"/>
  <c r="S43" i="99"/>
  <c r="R43" i="99"/>
  <c r="O43" i="99" a="1"/>
  <c r="O43" i="99" s="1"/>
  <c r="N43" i="99" a="1"/>
  <c r="N43" i="99" s="1"/>
  <c r="J43" i="99" a="1"/>
  <c r="J43" i="99" s="1"/>
  <c r="I43" i="99" a="1"/>
  <c r="I43" i="99" s="1"/>
  <c r="H43" i="99" a="1"/>
  <c r="H43" i="99" s="1"/>
  <c r="Z42" i="99"/>
  <c r="S42" i="99"/>
  <c r="R42" i="99"/>
  <c r="O42" i="99" a="1"/>
  <c r="O42" i="99" s="1"/>
  <c r="N42" i="99" a="1"/>
  <c r="N42" i="99" s="1"/>
  <c r="J42" i="99" a="1"/>
  <c r="J42" i="99" s="1"/>
  <c r="I42" i="99" a="1"/>
  <c r="I42" i="99" s="1"/>
  <c r="H42" i="99" a="1"/>
  <c r="H42" i="99" s="1"/>
  <c r="Z41" i="99"/>
  <c r="S41" i="99"/>
  <c r="R41" i="99"/>
  <c r="O41" i="99" a="1"/>
  <c r="O41" i="99" s="1"/>
  <c r="N41" i="99" a="1"/>
  <c r="N41" i="99" s="1"/>
  <c r="J41" i="99" a="1"/>
  <c r="J41" i="99" s="1"/>
  <c r="I41" i="99" a="1"/>
  <c r="I41" i="99" s="1"/>
  <c r="H41" i="99" a="1"/>
  <c r="H41" i="99" s="1"/>
  <c r="Z40" i="99"/>
  <c r="S40" i="99"/>
  <c r="R40" i="99"/>
  <c r="O40" i="99" a="1"/>
  <c r="O40" i="99" s="1"/>
  <c r="N40" i="99" a="1"/>
  <c r="N40" i="99" s="1"/>
  <c r="J40" i="99" a="1"/>
  <c r="J40" i="99" s="1"/>
  <c r="I40" i="99" a="1"/>
  <c r="I40" i="99" s="1"/>
  <c r="H40" i="99" a="1"/>
  <c r="H40" i="99" s="1"/>
  <c r="Z39" i="99"/>
  <c r="S39" i="99"/>
  <c r="R39" i="99"/>
  <c r="O39" i="99" a="1"/>
  <c r="O39" i="99" s="1"/>
  <c r="N39" i="99" a="1"/>
  <c r="N39" i="99" s="1"/>
  <c r="J39" i="99" a="1"/>
  <c r="J39" i="99" s="1"/>
  <c r="I39" i="99" a="1"/>
  <c r="I39" i="99" s="1"/>
  <c r="H39" i="99" a="1"/>
  <c r="H39" i="99" s="1"/>
  <c r="Z38" i="99"/>
  <c r="S38" i="99"/>
  <c r="R38" i="99"/>
  <c r="O38" i="99" a="1"/>
  <c r="O38" i="99" s="1"/>
  <c r="N38" i="99" a="1"/>
  <c r="N38" i="99" s="1"/>
  <c r="J38" i="99" a="1"/>
  <c r="J38" i="99" s="1"/>
  <c r="I38" i="99" a="1"/>
  <c r="I38" i="99" s="1"/>
  <c r="H38" i="99" a="1"/>
  <c r="H38" i="99" s="1"/>
  <c r="Z37" i="99"/>
  <c r="S37" i="99"/>
  <c r="R37" i="99"/>
  <c r="O37" i="99" a="1"/>
  <c r="O37" i="99" s="1"/>
  <c r="N37" i="99" a="1"/>
  <c r="N37" i="99" s="1"/>
  <c r="J37" i="99" a="1"/>
  <c r="J37" i="99" s="1"/>
  <c r="I37" i="99" a="1"/>
  <c r="I37" i="99" s="1"/>
  <c r="H37" i="99" a="1"/>
  <c r="H37" i="99" s="1"/>
  <c r="Z36" i="99"/>
  <c r="S36" i="99"/>
  <c r="R36" i="99"/>
  <c r="O36" i="99" a="1"/>
  <c r="O36" i="99" s="1"/>
  <c r="N36" i="99" a="1"/>
  <c r="N36" i="99" s="1"/>
  <c r="J36" i="99" a="1"/>
  <c r="J36" i="99" s="1"/>
  <c r="I36" i="99" a="1"/>
  <c r="I36" i="99" s="1"/>
  <c r="H36" i="99" a="1"/>
  <c r="H36" i="99" s="1"/>
  <c r="Z35" i="99"/>
  <c r="S35" i="99"/>
  <c r="R35" i="99"/>
  <c r="O35" i="99" a="1"/>
  <c r="O35" i="99" s="1"/>
  <c r="N35" i="99" a="1"/>
  <c r="N35" i="99" s="1"/>
  <c r="J35" i="99" a="1"/>
  <c r="J35" i="99" s="1"/>
  <c r="I35" i="99" a="1"/>
  <c r="I35" i="99" s="1"/>
  <c r="H35" i="99" a="1"/>
  <c r="H35" i="99" s="1"/>
  <c r="Z34" i="99"/>
  <c r="S34" i="99"/>
  <c r="R34" i="99"/>
  <c r="O34" i="99" a="1"/>
  <c r="O34" i="99" s="1"/>
  <c r="N34" i="99" a="1"/>
  <c r="N34" i="99" s="1"/>
  <c r="J34" i="99" a="1"/>
  <c r="J34" i="99" s="1"/>
  <c r="I34" i="99" a="1"/>
  <c r="I34" i="99" s="1"/>
  <c r="H34" i="99" a="1"/>
  <c r="H34" i="99" s="1"/>
  <c r="Z33" i="99"/>
  <c r="S33" i="99"/>
  <c r="R33" i="99"/>
  <c r="O33" i="99" a="1"/>
  <c r="O33" i="99" s="1"/>
  <c r="N33" i="99" a="1"/>
  <c r="N33" i="99" s="1"/>
  <c r="J33" i="99" a="1"/>
  <c r="J33" i="99" s="1"/>
  <c r="I33" i="99" a="1"/>
  <c r="I33" i="99" s="1"/>
  <c r="H33" i="99" a="1"/>
  <c r="H33" i="99" s="1"/>
  <c r="H32" i="99" a="1"/>
  <c r="H32" i="99" s="1"/>
  <c r="J32" i="99" s="1" a="1"/>
  <c r="J32" i="99" s="1"/>
  <c r="R32" i="99" s="1"/>
  <c r="S32" i="99" s="1"/>
  <c r="R31" i="99"/>
  <c r="S31" i="99" s="1"/>
  <c r="H31" i="99" a="1"/>
  <c r="H31" i="99" s="1"/>
  <c r="R30" i="99"/>
  <c r="S30" i="99" s="1"/>
  <c r="H30" i="99" a="1"/>
  <c r="H30" i="99" s="1"/>
  <c r="R29" i="99"/>
  <c r="S29" i="99" s="1"/>
  <c r="H29" i="99" a="1"/>
  <c r="H29" i="99" s="1"/>
  <c r="R28" i="99"/>
  <c r="S28" i="99" s="1"/>
  <c r="H28" i="99" a="1"/>
  <c r="H28" i="99" s="1"/>
  <c r="N28" i="99" s="1" a="1"/>
  <c r="N28" i="99" s="1"/>
  <c r="R27" i="99"/>
  <c r="S27" i="99" s="1"/>
  <c r="H27" i="99" a="1"/>
  <c r="H27" i="99" s="1"/>
  <c r="R26" i="99"/>
  <c r="S26" i="99" s="1"/>
  <c r="H26" i="99" a="1"/>
  <c r="H26" i="99" s="1"/>
  <c r="R25" i="99"/>
  <c r="S25" i="99" s="1"/>
  <c r="H25" i="99" a="1"/>
  <c r="H25" i="99" s="1"/>
  <c r="H24" i="99" a="1"/>
  <c r="H24" i="99" s="1"/>
  <c r="L21" i="99"/>
  <c r="G15" i="99"/>
  <c r="G13" i="99"/>
  <c r="G12" i="99"/>
  <c r="G11" i="99"/>
  <c r="AY5" i="99" a="1"/>
  <c r="AY5" i="99" s="1"/>
  <c r="AW5" i="99" a="1"/>
  <c r="AW5" i="99" s="1"/>
  <c r="AV5" i="99" a="1"/>
  <c r="AV5" i="99" s="1"/>
  <c r="AF57" i="99" l="1"/>
  <c r="AH57" i="99" s="1"/>
  <c r="AF59" i="99"/>
  <c r="AH59" i="99" s="1"/>
  <c r="AF55" i="99"/>
  <c r="AH55" i="99" s="1"/>
  <c r="AF52" i="99"/>
  <c r="AH52" i="99" s="1"/>
  <c r="G79" i="99" s="1"/>
  <c r="AF56" i="99"/>
  <c r="AH56" i="99" s="1"/>
  <c r="AF54" i="99"/>
  <c r="AH54" i="99" s="1"/>
  <c r="W53" i="99"/>
  <c r="W58" i="99"/>
  <c r="T54" i="99"/>
  <c r="T59" i="99"/>
  <c r="W59" i="99" s="1"/>
  <c r="T52" i="99"/>
  <c r="T56" i="99"/>
  <c r="W56" i="99" s="1"/>
  <c r="T55" i="99"/>
  <c r="W55" i="99" s="1"/>
  <c r="T57" i="99"/>
  <c r="W57" i="99" s="1"/>
  <c r="Q43" i="115"/>
  <c r="K43" i="115"/>
  <c r="Q45" i="115"/>
  <c r="N43" i="115"/>
  <c r="W39" i="115"/>
  <c r="T41" i="115"/>
  <c r="N40" i="115"/>
  <c r="K45" i="115"/>
  <c r="T43" i="115"/>
  <c r="W43" i="115"/>
  <c r="N45" i="115"/>
  <c r="K40" i="115"/>
  <c r="N41" i="115"/>
  <c r="W40" i="115"/>
  <c r="T39" i="115"/>
  <c r="W41" i="115"/>
  <c r="K44" i="115"/>
  <c r="Q41" i="115"/>
  <c r="T40" i="115"/>
  <c r="Q44" i="115"/>
  <c r="T44" i="115"/>
  <c r="Q40" i="115"/>
  <c r="W45" i="115"/>
  <c r="K41" i="115"/>
  <c r="T45" i="115"/>
  <c r="W44" i="115"/>
  <c r="Q39" i="115"/>
  <c r="N44" i="115"/>
  <c r="N32" i="99" a="1"/>
  <c r="N32" i="99" s="1"/>
  <c r="O32" i="99" a="1"/>
  <c r="O32" i="99" s="1"/>
  <c r="I32" i="99" a="1"/>
  <c r="I32" i="99" s="1"/>
  <c r="Y32" i="99" s="1"/>
  <c r="AI33" i="99"/>
  <c r="AI34" i="99"/>
  <c r="AI35" i="99"/>
  <c r="AI36" i="99"/>
  <c r="AI37" i="99"/>
  <c r="AI38" i="99"/>
  <c r="O25" i="99" a="1"/>
  <c r="O25" i="99" s="1"/>
  <c r="AH25" i="99"/>
  <c r="N27" i="99" a="1"/>
  <c r="N27" i="99" s="1"/>
  <c r="AH27" i="99"/>
  <c r="X39" i="99"/>
  <c r="AH39" i="99"/>
  <c r="X40" i="99"/>
  <c r="AH40" i="99"/>
  <c r="X41" i="99"/>
  <c r="AH41" i="99"/>
  <c r="X42" i="99"/>
  <c r="AH42" i="99"/>
  <c r="X43" i="99"/>
  <c r="AH43" i="99"/>
  <c r="N31" i="99" a="1"/>
  <c r="N31" i="99" s="1"/>
  <c r="AH31" i="99"/>
  <c r="AI39" i="99"/>
  <c r="AI40" i="99"/>
  <c r="AI41" i="99"/>
  <c r="AI42" i="99"/>
  <c r="AI43" i="99"/>
  <c r="J29" i="99" a="1"/>
  <c r="J29" i="99" s="1"/>
  <c r="AH29" i="99"/>
  <c r="N26" i="99" a="1"/>
  <c r="N26" i="99" s="1"/>
  <c r="AH26" i="99"/>
  <c r="AH28" i="99"/>
  <c r="AH24" i="99"/>
  <c r="N30" i="99" a="1"/>
  <c r="N30" i="99" s="1"/>
  <c r="AH30" i="99"/>
  <c r="X32" i="99"/>
  <c r="AH32" i="99"/>
  <c r="X33" i="99"/>
  <c r="AH33" i="99"/>
  <c r="X34" i="99"/>
  <c r="AH34" i="99"/>
  <c r="X35" i="99"/>
  <c r="AH35" i="99"/>
  <c r="X36" i="99"/>
  <c r="AH36" i="99"/>
  <c r="X37" i="99"/>
  <c r="AH37" i="99"/>
  <c r="X38" i="99"/>
  <c r="AH38" i="99"/>
  <c r="Y42" i="99"/>
  <c r="Y33" i="99"/>
  <c r="Y38" i="99"/>
  <c r="Y37" i="99"/>
  <c r="Y41" i="99"/>
  <c r="Y35" i="99"/>
  <c r="Y34" i="99"/>
  <c r="I27" i="99" a="1"/>
  <c r="I27" i="99" s="1"/>
  <c r="Y43" i="99"/>
  <c r="Y39" i="99"/>
  <c r="AV6" i="99" a="1"/>
  <c r="AV6" i="99" s="1"/>
  <c r="AV7" i="99" s="1" a="1"/>
  <c r="AV7" i="99" s="1"/>
  <c r="AV8" i="99" s="1" a="1"/>
  <c r="AV8" i="99" s="1"/>
  <c r="X28" i="99"/>
  <c r="O28" i="99" a="1"/>
  <c r="O28" i="99" s="1"/>
  <c r="J28" i="99" a="1"/>
  <c r="J28" i="99" s="1"/>
  <c r="I28" i="99" a="1"/>
  <c r="I28" i="99" s="1"/>
  <c r="N29" i="99" a="1"/>
  <c r="N29" i="99" s="1"/>
  <c r="I29" i="99" a="1"/>
  <c r="I29" i="99" s="1"/>
  <c r="X29" i="99"/>
  <c r="AY6" i="99" a="1"/>
  <c r="AY6" i="99" s="1"/>
  <c r="AY7" i="99" s="1" a="1"/>
  <c r="AY7" i="99" s="1"/>
  <c r="X24" i="99"/>
  <c r="O24" i="99" a="1"/>
  <c r="O24" i="99" s="1"/>
  <c r="G84" i="99" s="1"/>
  <c r="J24" i="99" a="1"/>
  <c r="J24" i="99" s="1"/>
  <c r="R24" i="99" s="1"/>
  <c r="S24" i="99" s="1"/>
  <c r="G73" i="99" s="1"/>
  <c r="N24" i="99" a="1"/>
  <c r="N24" i="99" s="1"/>
  <c r="I24" i="99" a="1"/>
  <c r="I24" i="99" s="1"/>
  <c r="N25" i="99" a="1"/>
  <c r="N25" i="99" s="1"/>
  <c r="I25" i="99" a="1"/>
  <c r="I25" i="99" s="1"/>
  <c r="X25" i="99"/>
  <c r="X31" i="99"/>
  <c r="O31" i="99" a="1"/>
  <c r="O31" i="99" s="1"/>
  <c r="J31" i="99" a="1"/>
  <c r="J31" i="99" s="1"/>
  <c r="AW6" i="99" a="1"/>
  <c r="AW6" i="99" s="1"/>
  <c r="AW7" i="99" s="1" a="1"/>
  <c r="AW7" i="99" s="1"/>
  <c r="AW8" i="99" s="1" a="1"/>
  <c r="AW8" i="99" s="1"/>
  <c r="AW9" i="99" s="1" a="1"/>
  <c r="AW9" i="99" s="1"/>
  <c r="J25" i="99" a="1"/>
  <c r="J25" i="99" s="1"/>
  <c r="X27" i="99"/>
  <c r="O27" i="99" a="1"/>
  <c r="O27" i="99" s="1"/>
  <c r="J27" i="99" a="1"/>
  <c r="J27" i="99" s="1"/>
  <c r="O29" i="99" a="1"/>
  <c r="O29" i="99" s="1"/>
  <c r="I31" i="99" a="1"/>
  <c r="I31" i="99" s="1"/>
  <c r="Y36" i="99"/>
  <c r="Y40" i="99"/>
  <c r="J26" i="99" a="1"/>
  <c r="J26" i="99" s="1"/>
  <c r="O26" i="99" a="1"/>
  <c r="O26" i="99" s="1"/>
  <c r="X26" i="99"/>
  <c r="J30" i="99" a="1"/>
  <c r="J30" i="99" s="1"/>
  <c r="O30" i="99" a="1"/>
  <c r="O30" i="99" s="1"/>
  <c r="X30" i="99"/>
  <c r="I26" i="99" a="1"/>
  <c r="I26" i="99" s="1"/>
  <c r="I30" i="99" a="1"/>
  <c r="I30" i="99" s="1"/>
  <c r="G81" i="99" l="1"/>
  <c r="W52" i="99"/>
  <c r="W54" i="99"/>
  <c r="Z42" i="115"/>
  <c r="AI32" i="99"/>
  <c r="AJ32" i="99" s="1"/>
  <c r="Z32" i="99"/>
  <c r="Y30" i="99"/>
  <c r="Z30" i="99" s="1"/>
  <c r="AI30" i="99"/>
  <c r="AJ30" i="99" s="1"/>
  <c r="Y28" i="99"/>
  <c r="Z28" i="99" s="1"/>
  <c r="AI28" i="99"/>
  <c r="AJ28" i="99" s="1"/>
  <c r="Y25" i="99"/>
  <c r="Z25" i="99" s="1"/>
  <c r="AI25" i="99"/>
  <c r="AJ25" i="99" s="1"/>
  <c r="AI24" i="99"/>
  <c r="AJ24" i="99" s="1"/>
  <c r="Y24" i="99"/>
  <c r="Z24" i="99" s="1"/>
  <c r="Y27" i="99"/>
  <c r="Z27" i="99" s="1"/>
  <c r="AI27" i="99"/>
  <c r="AJ27" i="99" s="1"/>
  <c r="Y26" i="99"/>
  <c r="Z26" i="99" s="1"/>
  <c r="AI26" i="99"/>
  <c r="AJ26" i="99" s="1"/>
  <c r="G66" i="99"/>
  <c r="Y31" i="99"/>
  <c r="Z31" i="99" s="1"/>
  <c r="AI31" i="99"/>
  <c r="AJ31" i="99" s="1"/>
  <c r="Y29" i="99"/>
  <c r="Z29" i="99" s="1"/>
  <c r="AI29" i="99"/>
  <c r="AJ29" i="99" s="1"/>
  <c r="AY8" i="99" a="1"/>
  <c r="AY8" i="99" s="1"/>
  <c r="AY9" i="99" s="1" a="1"/>
  <c r="AY9" i="99" s="1"/>
  <c r="G67" i="99"/>
  <c r="G68" i="99"/>
  <c r="AW10" i="99" a="1"/>
  <c r="AW10" i="99" s="1"/>
  <c r="AW11" i="99" s="1" a="1"/>
  <c r="AW11" i="99" s="1"/>
  <c r="AV9" i="99" a="1"/>
  <c r="AV9" i="99" s="1"/>
  <c r="Q154" i="115"/>
  <c r="W246" i="115"/>
  <c r="N384" i="115"/>
  <c r="Q120" i="115"/>
  <c r="N194" i="115"/>
  <c r="N413" i="115"/>
  <c r="W266" i="115"/>
  <c r="T279" i="115"/>
  <c r="K279" i="115"/>
  <c r="T368" i="115"/>
  <c r="K370" i="115"/>
  <c r="N428" i="115"/>
  <c r="T415" i="115"/>
  <c r="T171" i="115"/>
  <c r="Q368" i="115"/>
  <c r="T248" i="115"/>
  <c r="N248" i="115"/>
  <c r="T230" i="115"/>
  <c r="K339" i="115"/>
  <c r="W245" i="115"/>
  <c r="W356" i="115"/>
  <c r="Q337" i="115"/>
  <c r="Q356" i="115"/>
  <c r="K326" i="115"/>
  <c r="T110" i="115"/>
  <c r="Q355" i="115"/>
  <c r="T170" i="115"/>
  <c r="Q427" i="115"/>
  <c r="N370" i="115"/>
  <c r="T413" i="115"/>
  <c r="T231" i="115"/>
  <c r="W324" i="115"/>
  <c r="Q266" i="115"/>
  <c r="K338" i="115"/>
  <c r="N268" i="115"/>
  <c r="W326" i="115"/>
  <c r="K309" i="115"/>
  <c r="K232" i="115"/>
  <c r="W194" i="115"/>
  <c r="Q281" i="115"/>
  <c r="K428" i="115"/>
  <c r="N99" i="115"/>
  <c r="N296" i="115"/>
  <c r="T207" i="115"/>
  <c r="N295" i="115"/>
  <c r="W369" i="115"/>
  <c r="K244" i="115"/>
  <c r="Q397" i="115"/>
  <c r="T426" i="115"/>
  <c r="N245" i="115"/>
  <c r="Q415" i="115"/>
  <c r="T266" i="115"/>
  <c r="N206" i="115"/>
  <c r="K99" i="115"/>
  <c r="N355" i="115"/>
  <c r="N368" i="115"/>
  <c r="N247" i="115"/>
  <c r="T326" i="115"/>
  <c r="W210" i="115"/>
  <c r="W156" i="115"/>
  <c r="W428" i="115"/>
  <c r="W280" i="115"/>
  <c r="W99" i="115"/>
  <c r="K120" i="115"/>
  <c r="K308" i="115"/>
  <c r="W267" i="115"/>
  <c r="K368" i="115"/>
  <c r="T369" i="115"/>
  <c r="W414" i="115"/>
  <c r="W247" i="115"/>
  <c r="Q309" i="115"/>
  <c r="K397" i="115"/>
  <c r="K357" i="115"/>
  <c r="Q279" i="115"/>
  <c r="N109" i="115"/>
  <c r="Q99" i="115"/>
  <c r="Q325" i="115"/>
  <c r="T244" i="115"/>
  <c r="W119" i="115"/>
  <c r="T232" i="115"/>
  <c r="Q370" i="115"/>
  <c r="T297" i="115"/>
  <c r="T324" i="115"/>
  <c r="N266" i="115"/>
  <c r="Q267" i="115"/>
  <c r="K386" i="115"/>
  <c r="T428" i="115"/>
  <c r="K414" i="115"/>
  <c r="Q280" i="115"/>
  <c r="Q296" i="115"/>
  <c r="Q414" i="115"/>
  <c r="W248" i="115"/>
  <c r="W337" i="115"/>
  <c r="K100" i="115"/>
  <c r="W308" i="115"/>
  <c r="E67" i="130"/>
  <c r="N310" i="115"/>
  <c r="N426" i="115"/>
  <c r="W426" i="115"/>
  <c r="W193" i="115"/>
  <c r="N398" i="115"/>
  <c r="T193" i="115"/>
  <c r="Q338" i="115"/>
  <c r="Q109" i="115"/>
  <c r="Q100" i="115"/>
  <c r="K246" i="115"/>
  <c r="Q308" i="115"/>
  <c r="T247" i="115"/>
  <c r="N415" i="115"/>
  <c r="N385" i="115"/>
  <c r="K156" i="115"/>
  <c r="W355" i="115"/>
  <c r="T172" i="115"/>
  <c r="T339" i="115"/>
  <c r="T156" i="115"/>
  <c r="W232" i="115"/>
  <c r="Q326" i="115"/>
  <c r="T208" i="115"/>
  <c r="K324" i="115"/>
  <c r="K109" i="115"/>
  <c r="N357" i="115"/>
  <c r="N339" i="115"/>
  <c r="Q386" i="115"/>
  <c r="T192" i="115"/>
  <c r="K356" i="115"/>
  <c r="T414" i="115"/>
  <c r="K310" i="115"/>
  <c r="W368" i="115"/>
  <c r="Q310" i="115"/>
  <c r="T194" i="115"/>
  <c r="K268" i="115"/>
  <c r="W109" i="115"/>
  <c r="Q192" i="115"/>
  <c r="W230" i="115"/>
  <c r="Q399" i="115"/>
  <c r="W296" i="115"/>
  <c r="T281" i="115"/>
  <c r="T398" i="115"/>
  <c r="Q168" i="115"/>
  <c r="N297" i="115"/>
  <c r="W370" i="115"/>
  <c r="N231" i="115"/>
  <c r="T109" i="115"/>
  <c r="T267" i="115"/>
  <c r="T338" i="115"/>
  <c r="Q268" i="115"/>
  <c r="Q297" i="115"/>
  <c r="N399" i="115"/>
  <c r="K369" i="115"/>
  <c r="W310" i="115"/>
  <c r="T325" i="115"/>
  <c r="W281" i="115"/>
  <c r="T397" i="115"/>
  <c r="Q385" i="115"/>
  <c r="K296" i="115"/>
  <c r="N414" i="115"/>
  <c r="T310" i="115"/>
  <c r="W415" i="115"/>
  <c r="Q246" i="115"/>
  <c r="W209" i="115"/>
  <c r="T308" i="115"/>
  <c r="N110" i="115"/>
  <c r="Q156" i="115"/>
  <c r="T206" i="115"/>
  <c r="W192" i="115"/>
  <c r="T337" i="115"/>
  <c r="Q428" i="115"/>
  <c r="Q398" i="115"/>
  <c r="T246" i="115"/>
  <c r="Q384" i="115"/>
  <c r="W155" i="115"/>
  <c r="W309" i="115"/>
  <c r="K399" i="115"/>
  <c r="W427" i="115"/>
  <c r="Q194" i="115"/>
  <c r="T268" i="115"/>
  <c r="K194" i="115"/>
  <c r="Q357" i="115"/>
  <c r="N279" i="115"/>
  <c r="T384" i="115"/>
  <c r="N246" i="115"/>
  <c r="N244" i="115"/>
  <c r="T370" i="115"/>
  <c r="W268" i="115"/>
  <c r="N338" i="115"/>
  <c r="N100" i="115"/>
  <c r="N356" i="115"/>
  <c r="W398" i="115"/>
  <c r="N427" i="115"/>
  <c r="W231" i="115"/>
  <c r="W384" i="115"/>
  <c r="W357" i="115"/>
  <c r="Q339" i="115"/>
  <c r="Q119" i="115"/>
  <c r="K297" i="115"/>
  <c r="Q295" i="115"/>
  <c r="T309" i="115"/>
  <c r="T119" i="115"/>
  <c r="N168" i="115"/>
  <c r="T355" i="115"/>
  <c r="W339" i="115"/>
  <c r="W338" i="115"/>
  <c r="K415" i="115"/>
  <c r="N120" i="115"/>
  <c r="T295" i="115"/>
  <c r="K325" i="115"/>
  <c r="W413" i="115"/>
  <c r="W279" i="115"/>
  <c r="W172" i="115"/>
  <c r="T209" i="115"/>
  <c r="T190" i="115" s="1"/>
  <c r="Q324" i="115"/>
  <c r="K385" i="115"/>
  <c r="K413" i="115"/>
  <c r="T210" i="115"/>
  <c r="N337" i="115"/>
  <c r="T169" i="115"/>
  <c r="W169" i="115"/>
  <c r="T155" i="115"/>
  <c r="T154" i="115"/>
  <c r="W385" i="115"/>
  <c r="T296" i="115"/>
  <c r="T427" i="115"/>
  <c r="K110" i="115"/>
  <c r="T385" i="115"/>
  <c r="W397" i="115"/>
  <c r="K266" i="115"/>
  <c r="N232" i="115"/>
  <c r="W208" i="115"/>
  <c r="N325" i="115"/>
  <c r="K398" i="115"/>
  <c r="Q110" i="115"/>
  <c r="N309" i="115"/>
  <c r="W207" i="115"/>
  <c r="T386" i="115"/>
  <c r="T357" i="115"/>
  <c r="K154" i="115"/>
  <c r="N324" i="115"/>
  <c r="W120" i="115"/>
  <c r="Q413" i="115"/>
  <c r="Q244" i="115"/>
  <c r="W170" i="115"/>
  <c r="N308" i="115"/>
  <c r="W110" i="115"/>
  <c r="Q426" i="115"/>
  <c r="K192" i="115"/>
  <c r="W295" i="115"/>
  <c r="Z175" i="115"/>
  <c r="K426" i="115"/>
  <c r="K355" i="115"/>
  <c r="T356" i="115"/>
  <c r="K427" i="115"/>
  <c r="T168" i="115"/>
  <c r="W244" i="115"/>
  <c r="N230" i="115"/>
  <c r="W325" i="115"/>
  <c r="Q232" i="115"/>
  <c r="T280" i="115"/>
  <c r="W206" i="115"/>
  <c r="T399" i="115"/>
  <c r="N119" i="115"/>
  <c r="N156" i="115"/>
  <c r="T100" i="115"/>
  <c r="N386" i="115"/>
  <c r="W100" i="115"/>
  <c r="K295" i="115"/>
  <c r="N326" i="115"/>
  <c r="W297" i="115"/>
  <c r="K384" i="115"/>
  <c r="T99" i="115"/>
  <c r="W386" i="115"/>
  <c r="W154" i="115"/>
  <c r="N208" i="115"/>
  <c r="N369" i="115"/>
  <c r="K337" i="115"/>
  <c r="W399" i="115"/>
  <c r="N192" i="115"/>
  <c r="T120" i="115"/>
  <c r="K206" i="115"/>
  <c r="K168" i="115"/>
  <c r="Q369" i="115"/>
  <c r="K119" i="115"/>
  <c r="N397" i="115"/>
  <c r="T245" i="115"/>
  <c r="Q206" i="115"/>
  <c r="W168" i="115"/>
  <c r="W171" i="115"/>
  <c r="G77" i="99" l="1"/>
  <c r="G85" i="99"/>
  <c r="G82" i="99"/>
  <c r="W42" i="115"/>
  <c r="W380" i="115"/>
  <c r="W375" i="115"/>
  <c r="W365" i="115"/>
  <c r="Q433" i="115"/>
  <c r="Q438" i="115"/>
  <c r="T276" i="115"/>
  <c r="T42" i="115"/>
  <c r="T375" i="115"/>
  <c r="T380" i="115"/>
  <c r="K438" i="115"/>
  <c r="K433" i="115"/>
  <c r="T433" i="115"/>
  <c r="T438" i="115"/>
  <c r="T365" i="115"/>
  <c r="K305" i="115"/>
  <c r="Q394" i="115"/>
  <c r="W394" i="115"/>
  <c r="Q305" i="115"/>
  <c r="T344" i="115"/>
  <c r="T349" i="115"/>
  <c r="Y99" i="115"/>
  <c r="W217" i="115"/>
  <c r="W222" i="115"/>
  <c r="T320" i="115"/>
  <c r="T315" i="115"/>
  <c r="N222" i="115"/>
  <c r="W423" i="115"/>
  <c r="N365" i="115"/>
  <c r="Q38" i="115"/>
  <c r="Q286" i="115"/>
  <c r="Q291" i="115"/>
  <c r="T334" i="115"/>
  <c r="K291" i="115"/>
  <c r="K276" i="115"/>
  <c r="K222" i="115"/>
  <c r="T423" i="115"/>
  <c r="N344" i="115"/>
  <c r="N349" i="115"/>
  <c r="Q375" i="115"/>
  <c r="Q380" i="115"/>
  <c r="Q42" i="115"/>
  <c r="K365" i="115"/>
  <c r="W305" i="115"/>
  <c r="Y109" i="115"/>
  <c r="Y119" i="115"/>
  <c r="T305" i="115"/>
  <c r="N320" i="115"/>
  <c r="N315" i="115"/>
  <c r="N380" i="115"/>
  <c r="N42" i="115"/>
  <c r="N375" i="115"/>
  <c r="Q276" i="115"/>
  <c r="T286" i="115"/>
  <c r="T38" i="115"/>
  <c r="T291" i="115"/>
  <c r="W438" i="115"/>
  <c r="W433" i="115"/>
  <c r="N433" i="115"/>
  <c r="N438" i="115"/>
  <c r="K394" i="115"/>
  <c r="Y110" i="115"/>
  <c r="W179" i="115"/>
  <c r="W184" i="115"/>
  <c r="K42" i="115"/>
  <c r="K375" i="115"/>
  <c r="K380" i="115"/>
  <c r="N423" i="115"/>
  <c r="K344" i="115"/>
  <c r="K349" i="115"/>
  <c r="Q365" i="115"/>
  <c r="Y120" i="115"/>
  <c r="N305" i="115"/>
  <c r="K423" i="115"/>
  <c r="Q222" i="115"/>
  <c r="N334" i="115"/>
  <c r="Q184" i="115"/>
  <c r="W291" i="115"/>
  <c r="W38" i="115"/>
  <c r="W286" i="115"/>
  <c r="T255" i="115"/>
  <c r="T260" i="115"/>
  <c r="W276" i="115"/>
  <c r="K320" i="115"/>
  <c r="K315" i="115"/>
  <c r="T404" i="115"/>
  <c r="T409" i="115"/>
  <c r="T394" i="115"/>
  <c r="K409" i="115"/>
  <c r="K404" i="115"/>
  <c r="N276" i="115"/>
  <c r="Q334" i="115"/>
  <c r="W334" i="115"/>
  <c r="Y100" i="115"/>
  <c r="N255" i="115"/>
  <c r="N260" i="115"/>
  <c r="K260" i="115"/>
  <c r="K255" i="115"/>
  <c r="Q255" i="115"/>
  <c r="Q260" i="115"/>
  <c r="T217" i="115"/>
  <c r="T222" i="115"/>
  <c r="W260" i="115"/>
  <c r="W255" i="115"/>
  <c r="K334" i="115"/>
  <c r="N394" i="115"/>
  <c r="N409" i="115"/>
  <c r="N404" i="115"/>
  <c r="W344" i="115"/>
  <c r="W349" i="115"/>
  <c r="Q423" i="115"/>
  <c r="W315" i="115"/>
  <c r="W320" i="115"/>
  <c r="Q315" i="115"/>
  <c r="Q320" i="115"/>
  <c r="T184" i="115"/>
  <c r="T179" i="115"/>
  <c r="W404" i="115"/>
  <c r="W409" i="115"/>
  <c r="Q404" i="115"/>
  <c r="Q409" i="115"/>
  <c r="Q344" i="115"/>
  <c r="Q349" i="115"/>
  <c r="G69" i="99"/>
  <c r="G74" i="99"/>
  <c r="AY10" i="99" a="1"/>
  <c r="AY10" i="99" s="1"/>
  <c r="AY11" i="99" s="1" a="1"/>
  <c r="AY11" i="99" s="1"/>
  <c r="AW12" i="99" a="1"/>
  <c r="AW12" i="99" s="1"/>
  <c r="AW13" i="99" s="1" a="1"/>
  <c r="AW13" i="99" s="1"/>
  <c r="G70" i="99"/>
  <c r="AV10" i="99" a="1"/>
  <c r="AV10" i="99" s="1"/>
  <c r="G71" i="99"/>
  <c r="N228" i="115"/>
  <c r="T408" i="115"/>
  <c r="Q348" i="115"/>
  <c r="W112" i="115"/>
  <c r="W107" i="115"/>
  <c r="W122" i="115"/>
  <c r="T113" i="115"/>
  <c r="T112" i="115"/>
  <c r="T111" i="115"/>
  <c r="T117" i="115"/>
  <c r="N121" i="115"/>
  <c r="N123" i="115"/>
  <c r="W290" i="115"/>
  <c r="K107" i="115"/>
  <c r="T122" i="115"/>
  <c r="Q408" i="115"/>
  <c r="T228" i="115"/>
  <c r="N122" i="115"/>
  <c r="W408" i="115"/>
  <c r="Q290" i="115"/>
  <c r="N408" i="115"/>
  <c r="W117" i="115"/>
  <c r="K122" i="115"/>
  <c r="K408" i="115"/>
  <c r="W113" i="115"/>
  <c r="W173" i="115"/>
  <c r="T101" i="115"/>
  <c r="K123" i="115"/>
  <c r="T173" i="115"/>
  <c r="T379" i="115"/>
  <c r="W348" i="115"/>
  <c r="Q319" i="115"/>
  <c r="K290" i="115"/>
  <c r="W379" i="115"/>
  <c r="Q122" i="115"/>
  <c r="N249" i="115"/>
  <c r="W319" i="115"/>
  <c r="N127" i="115"/>
  <c r="T319" i="115"/>
  <c r="N290" i="115"/>
  <c r="W127" i="115"/>
  <c r="N437" i="115"/>
  <c r="T249" i="115"/>
  <c r="W228" i="115"/>
  <c r="W211" i="115"/>
  <c r="T123" i="115"/>
  <c r="N348" i="115"/>
  <c r="Q127" i="115"/>
  <c r="T348" i="115"/>
  <c r="K121" i="115"/>
  <c r="N379" i="115"/>
  <c r="T127" i="115"/>
  <c r="Q107" i="115"/>
  <c r="N107" i="115"/>
  <c r="W102" i="115"/>
  <c r="T152" i="115"/>
  <c r="Q103" i="115"/>
  <c r="W190" i="115"/>
  <c r="Q101" i="115"/>
  <c r="T121" i="115"/>
  <c r="W111" i="115"/>
  <c r="T102" i="115"/>
  <c r="Q437" i="115"/>
  <c r="T290" i="115"/>
  <c r="Q102" i="115"/>
  <c r="W152" i="115"/>
  <c r="K184" i="115"/>
  <c r="W437" i="115"/>
  <c r="W249" i="115"/>
  <c r="T211" i="115"/>
  <c r="W101" i="115"/>
  <c r="N319" i="115"/>
  <c r="K127" i="115"/>
  <c r="W123" i="115"/>
  <c r="W121" i="115"/>
  <c r="T103" i="115"/>
  <c r="T107" i="115"/>
  <c r="Q121" i="115"/>
  <c r="K379" i="115"/>
  <c r="T437" i="115"/>
  <c r="K319" i="115"/>
  <c r="K348" i="115"/>
  <c r="Q123" i="115"/>
  <c r="Q379" i="115"/>
  <c r="W103" i="115"/>
  <c r="K437" i="115"/>
  <c r="Y123" i="115" l="1"/>
  <c r="T91" i="115"/>
  <c r="Y121" i="115"/>
  <c r="W91" i="115"/>
  <c r="Y42" i="115"/>
  <c r="T79" i="115"/>
  <c r="T88" i="115"/>
  <c r="T37" i="115"/>
  <c r="T90" i="115"/>
  <c r="N37" i="115"/>
  <c r="W90" i="115"/>
  <c r="Y127" i="115"/>
  <c r="W37" i="115"/>
  <c r="T34" i="115"/>
  <c r="T46" i="115" s="1"/>
  <c r="T35" i="115"/>
  <c r="Y107" i="115"/>
  <c r="Y122" i="115"/>
  <c r="W88" i="115"/>
  <c r="W79" i="115"/>
  <c r="W36" i="115"/>
  <c r="T36" i="115"/>
  <c r="W34" i="115"/>
  <c r="W46" i="115" s="1"/>
  <c r="W35" i="115"/>
  <c r="Q110" i="130"/>
  <c r="Q116" i="130" s="1"/>
  <c r="P110" i="130"/>
  <c r="P116" i="130" s="1"/>
  <c r="R110" i="130"/>
  <c r="R116" i="130" s="1"/>
  <c r="Q109" i="130"/>
  <c r="Q115" i="130" s="1"/>
  <c r="P109" i="130"/>
  <c r="P115" i="130" s="1"/>
  <c r="R109" i="130"/>
  <c r="R115" i="130" s="1"/>
  <c r="G72" i="99"/>
  <c r="AW14" i="99" a="1"/>
  <c r="AW14" i="99" s="1"/>
  <c r="AW15" i="99" s="1" a="1"/>
  <c r="AW15" i="99" s="1"/>
  <c r="AW16" i="99" s="1" a="1"/>
  <c r="AW16" i="99" s="1"/>
  <c r="AV11" i="99" a="1"/>
  <c r="AV11" i="99" s="1"/>
  <c r="AV12" i="99" s="1" a="1"/>
  <c r="AV12" i="99" s="1"/>
  <c r="E61" i="130"/>
  <c r="E88" i="130"/>
  <c r="E87" i="130"/>
  <c r="E62" i="130"/>
  <c r="O110" i="130" l="1"/>
  <c r="O116" i="130" s="1"/>
  <c r="O109" i="130"/>
  <c r="O115" i="130" s="1"/>
  <c r="AC62" i="115"/>
  <c r="T81" i="115"/>
  <c r="W81" i="115"/>
  <c r="AB61" i="115"/>
  <c r="Y118" i="115"/>
  <c r="AC61" i="115"/>
  <c r="AB62" i="115"/>
  <c r="AW17" i="99" a="1"/>
  <c r="AW17" i="99" s="1"/>
  <c r="AV13" i="99" a="1"/>
  <c r="AV13" i="99" s="1"/>
  <c r="AW18" i="99" l="1" a="1"/>
  <c r="AW18" i="99" s="1"/>
  <c r="AW19" i="99" s="1" a="1"/>
  <c r="AW19" i="99" s="1"/>
  <c r="AX12" i="99" s="1" a="1"/>
  <c r="AX12" i="99" s="1"/>
  <c r="AV14" i="99" a="1"/>
  <c r="AV14" i="99" s="1"/>
  <c r="AX11" i="99" l="1" a="1"/>
  <c r="AX11" i="99" s="1"/>
  <c r="AX13" i="99" a="1"/>
  <c r="AX13" i="99" s="1"/>
  <c r="AX6" i="99" a="1"/>
  <c r="AX6" i="99" s="1"/>
  <c r="AX8" i="99" a="1"/>
  <c r="AX8" i="99" s="1"/>
  <c r="AX5" i="99" a="1"/>
  <c r="AX5" i="99" s="1"/>
  <c r="AX9" i="99" a="1"/>
  <c r="AX9" i="99" s="1"/>
  <c r="AX7" i="99" a="1"/>
  <c r="AX7" i="99" s="1"/>
  <c r="AX10" i="99" a="1"/>
  <c r="AX10" i="99" s="1"/>
  <c r="AV15" i="99" a="1"/>
  <c r="AV15" i="99" s="1"/>
  <c r="AV16" i="99" s="1" a="1"/>
  <c r="AV16" i="99" s="1"/>
  <c r="AV17" i="99" s="1" a="1"/>
  <c r="AV17" i="99" s="1"/>
  <c r="AV18" i="99" s="1" a="1"/>
  <c r="AV18" i="99" s="1"/>
  <c r="AV19" i="99" s="1" a="1"/>
  <c r="AV19" i="99" s="1"/>
  <c r="AV20" i="99" s="1" a="1"/>
  <c r="AV20" i="99" s="1"/>
  <c r="AV21" i="99" s="1" a="1"/>
  <c r="AV21" i="99" s="1"/>
  <c r="AV22" i="99" s="1" a="1"/>
  <c r="AV22" i="99" s="1"/>
  <c r="AV23" i="99" s="1" a="1"/>
  <c r="AV23" i="99" s="1"/>
  <c r="AV24" i="99" s="1" a="1"/>
  <c r="AV24" i="99" s="1"/>
  <c r="AV25" i="99" s="1" a="1"/>
  <c r="AV25" i="99" s="1"/>
  <c r="AV26" i="99" s="1" a="1"/>
  <c r="AV26" i="99" s="1"/>
  <c r="AV27" i="99" s="1" a="1"/>
  <c r="AV27" i="99" s="1"/>
  <c r="AV28" i="99" s="1" a="1"/>
  <c r="AV28" i="99" s="1"/>
  <c r="AV29" i="99" s="1" a="1"/>
  <c r="AV29" i="99" s="1"/>
  <c r="AV30" i="99" s="1" a="1"/>
  <c r="AV30" i="99" s="1"/>
  <c r="AV31" i="99" s="1" a="1"/>
  <c r="AV31" i="99" s="1"/>
  <c r="AV32" i="99" s="1" a="1"/>
  <c r="AV32" i="99" s="1"/>
  <c r="AV33" i="99" s="1" a="1"/>
  <c r="AV33" i="99" s="1"/>
  <c r="AV34" i="99" s="1" a="1"/>
  <c r="AV34" i="99" s="1"/>
  <c r="AV35" i="99" s="1" a="1"/>
  <c r="AV35" i="99" s="1"/>
  <c r="AV36" i="99" s="1" a="1"/>
  <c r="AV36" i="99" s="1"/>
  <c r="AV37" i="99" s="1" a="1"/>
  <c r="AV37" i="99" s="1"/>
  <c r="AV38" i="99" s="1" a="1"/>
  <c r="AV38" i="99" s="1"/>
  <c r="AV39" i="99" s="1" a="1"/>
  <c r="AV39" i="99" s="1"/>
  <c r="AV40" i="99" s="1" a="1"/>
  <c r="AV40" i="99" s="1"/>
  <c r="AV41" i="99" s="1" a="1"/>
  <c r="AV41" i="99" s="1"/>
  <c r="AV42" i="99" s="1" a="1"/>
  <c r="AV42" i="99" s="1"/>
  <c r="AV43" i="99" s="1" a="1"/>
  <c r="AV43" i="99" s="1"/>
  <c r="AV44" i="99" s="1" a="1"/>
  <c r="AV44" i="99" s="1"/>
  <c r="AV45" i="99" s="1" a="1"/>
  <c r="AV45" i="99" s="1"/>
  <c r="AV62" i="99" l="1" a="1"/>
  <c r="AV62" i="99" s="1"/>
  <c r="AV65" i="99" s="1" a="1"/>
  <c r="AV65" i="99" s="1"/>
  <c r="AV66" i="99" s="1" a="1"/>
  <c r="AV66" i="99" s="1"/>
  <c r="AV67" i="99" s="1" a="1"/>
  <c r="AV67" i="99" s="1"/>
  <c r="AV68" i="99" s="1" a="1"/>
  <c r="AV68" i="99" s="1"/>
  <c r="AV69" i="99" s="1" a="1"/>
  <c r="AV69" i="99" s="1"/>
  <c r="AV70" i="99" s="1" a="1"/>
  <c r="AV70" i="99" s="1"/>
  <c r="AV71" i="99" s="1" a="1"/>
  <c r="AV71" i="99" s="1"/>
  <c r="AV72" i="99" s="1" a="1"/>
  <c r="AV72" i="99" s="1"/>
  <c r="AV73" i="99" s="1" a="1"/>
  <c r="AV73" i="99" s="1"/>
  <c r="AV74" i="99" s="1" a="1"/>
  <c r="AV74" i="99" s="1"/>
  <c r="AV75" i="99" s="1" a="1"/>
  <c r="AV75" i="99" s="1"/>
  <c r="AV81" i="99" s="1" a="1"/>
  <c r="AV81" i="99" s="1"/>
  <c r="AV82" i="99" s="1" a="1"/>
  <c r="AV82" i="99" s="1"/>
  <c r="AV83" i="99" s="1" a="1"/>
  <c r="AV83" i="99" s="1"/>
  <c r="AV84" i="99" s="1" a="1"/>
  <c r="AV84" i="99" s="1"/>
  <c r="AV85" i="99" s="1" a="1"/>
  <c r="AV85" i="99" s="1"/>
  <c r="AX14" i="99" a="1"/>
  <c r="AX14" i="99" s="1"/>
  <c r="AX15" i="99" s="1" a="1"/>
  <c r="AX15" i="99" s="1"/>
  <c r="AX16" i="99" s="1" a="1"/>
  <c r="AX16" i="99" s="1"/>
  <c r="AX17" i="99" l="1" a="1"/>
  <c r="AX17" i="99" s="1"/>
  <c r="AX18" i="99" s="1" a="1"/>
  <c r="AX18" i="99" s="1"/>
  <c r="AX19" i="99" s="1" a="1"/>
  <c r="AX19" i="99" s="1"/>
  <c r="BA5" i="98" l="1" a="1"/>
  <c r="BA5" i="98" s="1"/>
  <c r="BC5" i="98" s="1" a="1"/>
  <c r="BC5" i="98" s="1"/>
  <c r="BY5" i="98"/>
  <c r="BZ5" i="98"/>
  <c r="CA5" i="98"/>
  <c r="CB5" i="98"/>
  <c r="CC5" i="98"/>
  <c r="CD5" i="98"/>
  <c r="CE5" i="98"/>
  <c r="CF5" i="98"/>
  <c r="DN5" i="98"/>
  <c r="DO5" i="98" s="1"/>
  <c r="DS5" i="98"/>
  <c r="BY6" i="98"/>
  <c r="BZ6" i="98"/>
  <c r="CA6" i="98"/>
  <c r="CB6" i="98"/>
  <c r="CC6" i="98"/>
  <c r="CD6" i="98"/>
  <c r="CE6" i="98"/>
  <c r="CF6" i="98"/>
  <c r="CW6" i="98"/>
  <c r="DN6" i="98"/>
  <c r="DO6" i="98" s="1"/>
  <c r="DS6" i="98"/>
  <c r="BY7" i="98"/>
  <c r="BZ7" i="98"/>
  <c r="CA7" i="98"/>
  <c r="CB7" i="98"/>
  <c r="CC7" i="98"/>
  <c r="CD7" i="98"/>
  <c r="CE7" i="98"/>
  <c r="CF7" i="98"/>
  <c r="CW7" i="98"/>
  <c r="DN7" i="98"/>
  <c r="DP7" i="98" s="1"/>
  <c r="DS7" i="98"/>
  <c r="BY8" i="98"/>
  <c r="BZ8" i="98"/>
  <c r="CA8" i="98"/>
  <c r="CB8" i="98"/>
  <c r="CC8" i="98"/>
  <c r="CD8" i="98"/>
  <c r="CE8" i="98"/>
  <c r="CF8" i="98"/>
  <c r="CW8" i="98"/>
  <c r="DC8" i="98"/>
  <c r="DN8" i="98"/>
  <c r="DO8" i="98" s="1"/>
  <c r="DS8" i="98"/>
  <c r="BY9" i="98"/>
  <c r="BZ9" i="98"/>
  <c r="CA9" i="98"/>
  <c r="CB9" i="98"/>
  <c r="CC9" i="98"/>
  <c r="CD9" i="98"/>
  <c r="CE9" i="98"/>
  <c r="CF9" i="98"/>
  <c r="CW9" i="98"/>
  <c r="DC9" i="98"/>
  <c r="DN9" i="98"/>
  <c r="DO9" i="98" s="1"/>
  <c r="DS9" i="98"/>
  <c r="BY10" i="98"/>
  <c r="BZ10" i="98"/>
  <c r="CA10" i="98"/>
  <c r="CB10" i="98"/>
  <c r="CC10" i="98"/>
  <c r="CD10" i="98"/>
  <c r="CE10" i="98"/>
  <c r="CF10" i="98"/>
  <c r="CW10" i="98"/>
  <c r="DC10" i="98"/>
  <c r="DN10" i="98"/>
  <c r="DQ10" i="98" s="1"/>
  <c r="EG6" i="98" s="1"/>
  <c r="DS10" i="98"/>
  <c r="DU10" i="98"/>
  <c r="DV10" i="98" s="1"/>
  <c r="BY11" i="98"/>
  <c r="BZ11" i="98"/>
  <c r="CA11" i="98"/>
  <c r="CB11" i="98"/>
  <c r="CC11" i="98"/>
  <c r="CD11" i="98"/>
  <c r="CE11" i="98"/>
  <c r="CF11" i="98"/>
  <c r="CW11" i="98"/>
  <c r="DC11" i="98"/>
  <c r="DN11" i="98"/>
  <c r="DP11" i="98" s="1"/>
  <c r="DS11" i="98"/>
  <c r="DU11" i="98"/>
  <c r="DV11" i="98" s="1"/>
  <c r="BY12" i="98"/>
  <c r="BZ12" i="98"/>
  <c r="CA12" i="98"/>
  <c r="CB12" i="98"/>
  <c r="CC12" i="98"/>
  <c r="CD12" i="98"/>
  <c r="CE12" i="98"/>
  <c r="CF12" i="98"/>
  <c r="CV12" i="98"/>
  <c r="DU6" i="98" s="1"/>
  <c r="DC12" i="98"/>
  <c r="DN12" i="98"/>
  <c r="DO12" i="98" s="1"/>
  <c r="DS12" i="98"/>
  <c r="DV12" i="98"/>
  <c r="BY13" i="98"/>
  <c r="BZ13" i="98"/>
  <c r="CA13" i="98"/>
  <c r="CB13" i="98"/>
  <c r="CC13" i="98"/>
  <c r="CD13" i="98"/>
  <c r="CE13" i="98"/>
  <c r="CF13" i="98"/>
  <c r="CV13" i="98"/>
  <c r="DU9" i="98" s="1"/>
  <c r="DC13" i="98"/>
  <c r="DN13" i="98"/>
  <c r="DO13" i="98" s="1"/>
  <c r="DS13" i="98"/>
  <c r="DU13" i="98"/>
  <c r="DV13" i="98" s="1"/>
  <c r="BY14" i="98"/>
  <c r="BZ14" i="98"/>
  <c r="CA14" i="98"/>
  <c r="CB14" i="98"/>
  <c r="CC14" i="98"/>
  <c r="CD14" i="98"/>
  <c r="CE14" i="98"/>
  <c r="CF14" i="98"/>
  <c r="CW14" i="98"/>
  <c r="DC14" i="98"/>
  <c r="DN14" i="98"/>
  <c r="DO14" i="98" s="1"/>
  <c r="DS14" i="98"/>
  <c r="DU14" i="98"/>
  <c r="BY15" i="98"/>
  <c r="BZ15" i="98"/>
  <c r="CA15" i="98"/>
  <c r="CB15" i="98"/>
  <c r="CC15" i="98"/>
  <c r="CD15" i="98"/>
  <c r="CE15" i="98"/>
  <c r="CF15" i="98"/>
  <c r="DN15" i="98"/>
  <c r="DQ15" i="98" s="1"/>
  <c r="DS15" i="98"/>
  <c r="DU15" i="98"/>
  <c r="DV15" i="98" s="1"/>
  <c r="BY16" i="98"/>
  <c r="BZ16" i="98"/>
  <c r="CA16" i="98"/>
  <c r="CB16" i="98"/>
  <c r="CC16" i="98"/>
  <c r="CD16" i="98"/>
  <c r="CE16" i="98"/>
  <c r="CF16" i="98"/>
  <c r="DN16" i="98"/>
  <c r="DP16" i="98" s="1"/>
  <c r="DS16" i="98"/>
  <c r="DU16" i="98"/>
  <c r="DV16" i="98" s="1"/>
  <c r="BY17" i="98"/>
  <c r="BZ17" i="98"/>
  <c r="CA17" i="98"/>
  <c r="CB17" i="98"/>
  <c r="CC17" i="98"/>
  <c r="CD17" i="98"/>
  <c r="CE17" i="98"/>
  <c r="CF17" i="98"/>
  <c r="DN17" i="98"/>
  <c r="DQ17" i="98" s="1"/>
  <c r="DS17" i="98"/>
  <c r="DU17" i="98"/>
  <c r="DV17" i="98" s="1"/>
  <c r="BY18" i="98"/>
  <c r="BZ18" i="98"/>
  <c r="CA18" i="98"/>
  <c r="CB18" i="98"/>
  <c r="CC18" i="98"/>
  <c r="CD18" i="98"/>
  <c r="CE18" i="98"/>
  <c r="CF18" i="98"/>
  <c r="DN18" i="98"/>
  <c r="DQ18" i="98" s="1"/>
  <c r="DS18" i="98"/>
  <c r="DU18" i="98"/>
  <c r="DV18" i="98" s="1"/>
  <c r="BY19" i="98"/>
  <c r="BZ19" i="98"/>
  <c r="CA19" i="98"/>
  <c r="CB19" i="98"/>
  <c r="CC19" i="98"/>
  <c r="CD19" i="98"/>
  <c r="CE19" i="98"/>
  <c r="CF19" i="98"/>
  <c r="DN19" i="98"/>
  <c r="DQ19" i="98" s="1"/>
  <c r="DS19" i="98"/>
  <c r="DU19" i="98"/>
  <c r="DV19" i="98" s="1"/>
  <c r="DY19" i="98" s="1"/>
  <c r="BY20" i="98"/>
  <c r="BZ20" i="98"/>
  <c r="CA20" i="98"/>
  <c r="CB20" i="98"/>
  <c r="CC20" i="98"/>
  <c r="CD20" i="98"/>
  <c r="CE20" i="98"/>
  <c r="CF20" i="98"/>
  <c r="DN20" i="98"/>
  <c r="DP20" i="98" s="1"/>
  <c r="DS20" i="98"/>
  <c r="DU20" i="98"/>
  <c r="BY21" i="98"/>
  <c r="BZ21" i="98"/>
  <c r="CA21" i="98"/>
  <c r="CB21" i="98"/>
  <c r="CC21" i="98"/>
  <c r="CD21" i="98"/>
  <c r="CE21" i="98"/>
  <c r="CF21" i="98"/>
  <c r="DN21" i="98"/>
  <c r="DP21" i="98" s="1"/>
  <c r="DS21" i="98"/>
  <c r="DU21" i="98"/>
  <c r="BY22" i="98"/>
  <c r="BZ22" i="98"/>
  <c r="CA22" i="98"/>
  <c r="CB22" i="98"/>
  <c r="CC22" i="98"/>
  <c r="CD22" i="98"/>
  <c r="CE22" i="98"/>
  <c r="CF22" i="98"/>
  <c r="DN22" i="98"/>
  <c r="DP22" i="98" s="1"/>
  <c r="DS22" i="98"/>
  <c r="DU22" i="98"/>
  <c r="DV22" i="98" s="1"/>
  <c r="DY22" i="98" s="1"/>
  <c r="BY23" i="98"/>
  <c r="BZ23" i="98"/>
  <c r="CA23" i="98"/>
  <c r="CB23" i="98"/>
  <c r="CC23" i="98"/>
  <c r="CD23" i="98"/>
  <c r="CE23" i="98"/>
  <c r="CF23" i="98"/>
  <c r="DN23" i="98"/>
  <c r="DS23" i="98"/>
  <c r="DU23" i="98"/>
  <c r="DV23" i="98" s="1"/>
  <c r="DY23" i="98" s="1"/>
  <c r="BY24" i="98"/>
  <c r="BZ24" i="98"/>
  <c r="CA24" i="98"/>
  <c r="CB24" i="98"/>
  <c r="CC24" i="98"/>
  <c r="CD24" i="98"/>
  <c r="CE24" i="98"/>
  <c r="CF24" i="98"/>
  <c r="BY25" i="98"/>
  <c r="BZ25" i="98"/>
  <c r="CA25" i="98"/>
  <c r="CB25" i="98"/>
  <c r="CC25" i="98"/>
  <c r="CD25" i="98"/>
  <c r="CE25" i="98"/>
  <c r="CF25" i="98"/>
  <c r="BY26" i="98"/>
  <c r="BZ26" i="98"/>
  <c r="CA26" i="98"/>
  <c r="CB26" i="98"/>
  <c r="CC26" i="98"/>
  <c r="CD26" i="98"/>
  <c r="CE26" i="98"/>
  <c r="CF26" i="98"/>
  <c r="BY27" i="98"/>
  <c r="BZ27" i="98"/>
  <c r="CA27" i="98"/>
  <c r="CB27" i="98"/>
  <c r="CC27" i="98"/>
  <c r="CD27" i="98"/>
  <c r="CE27" i="98"/>
  <c r="CF27" i="98"/>
  <c r="BY28" i="98"/>
  <c r="BZ28" i="98"/>
  <c r="CA28" i="98"/>
  <c r="CB28" i="98"/>
  <c r="CC28" i="98"/>
  <c r="CD28" i="98"/>
  <c r="CE28" i="98"/>
  <c r="CF28" i="98"/>
  <c r="BY29" i="98"/>
  <c r="BZ29" i="98"/>
  <c r="CA29" i="98"/>
  <c r="CB29" i="98"/>
  <c r="CC29" i="98"/>
  <c r="CD29" i="98"/>
  <c r="CE29" i="98"/>
  <c r="CF29" i="98"/>
  <c r="BY30" i="98"/>
  <c r="BZ30" i="98"/>
  <c r="CA30" i="98"/>
  <c r="CB30" i="98"/>
  <c r="CC30" i="98"/>
  <c r="CD30" i="98"/>
  <c r="CE30" i="98"/>
  <c r="CF30" i="98"/>
  <c r="BY31" i="98"/>
  <c r="BZ31" i="98"/>
  <c r="CA31" i="98"/>
  <c r="CB31" i="98"/>
  <c r="CC31" i="98"/>
  <c r="CD31" i="98"/>
  <c r="CE31" i="98"/>
  <c r="CF31" i="98"/>
  <c r="BY32" i="98"/>
  <c r="BZ32" i="98"/>
  <c r="CA32" i="98"/>
  <c r="CB32" i="98"/>
  <c r="CC32" i="98"/>
  <c r="CD32" i="98"/>
  <c r="CE32" i="98"/>
  <c r="CF32" i="98"/>
  <c r="BY33" i="98"/>
  <c r="BZ33" i="98"/>
  <c r="CA33" i="98"/>
  <c r="CB33" i="98"/>
  <c r="CC33" i="98"/>
  <c r="CD33" i="98"/>
  <c r="CE33" i="98"/>
  <c r="CF33" i="98"/>
  <c r="BY34" i="98"/>
  <c r="BZ34" i="98"/>
  <c r="CA34" i="98"/>
  <c r="CB34" i="98"/>
  <c r="CC34" i="98"/>
  <c r="CD34" i="98"/>
  <c r="CE34" i="98"/>
  <c r="CF34" i="98"/>
  <c r="BY35" i="98"/>
  <c r="BZ35" i="98"/>
  <c r="CA35" i="98"/>
  <c r="CB35" i="98"/>
  <c r="CC35" i="98"/>
  <c r="CD35" i="98"/>
  <c r="CE35" i="98"/>
  <c r="CF35" i="98"/>
  <c r="BY36" i="98"/>
  <c r="BZ36" i="98"/>
  <c r="CA36" i="98"/>
  <c r="CB36" i="98"/>
  <c r="CC36" i="98"/>
  <c r="CD36" i="98"/>
  <c r="CE36" i="98"/>
  <c r="CF36" i="98"/>
  <c r="BY37" i="98"/>
  <c r="BZ37" i="98"/>
  <c r="CA37" i="98"/>
  <c r="CB37" i="98"/>
  <c r="CC37" i="98"/>
  <c r="CD37" i="98"/>
  <c r="CE37" i="98"/>
  <c r="CF37" i="98"/>
  <c r="BY38" i="98"/>
  <c r="BZ38" i="98"/>
  <c r="CA38" i="98"/>
  <c r="CB38" i="98"/>
  <c r="CC38" i="98"/>
  <c r="CD38" i="98"/>
  <c r="CE38" i="98"/>
  <c r="CF38" i="98"/>
  <c r="BY39" i="98"/>
  <c r="BZ39" i="98"/>
  <c r="CA39" i="98"/>
  <c r="CB39" i="98"/>
  <c r="CC39" i="98"/>
  <c r="CD39" i="98"/>
  <c r="CE39" i="98"/>
  <c r="CF39" i="98"/>
  <c r="BY40" i="98"/>
  <c r="BZ40" i="98"/>
  <c r="CA40" i="98"/>
  <c r="CB40" i="98"/>
  <c r="CC40" i="98"/>
  <c r="CD40" i="98"/>
  <c r="CE40" i="98"/>
  <c r="CF40" i="98"/>
  <c r="L41" i="98"/>
  <c r="BY41" i="98"/>
  <c r="BZ41" i="98"/>
  <c r="CA41" i="98"/>
  <c r="CB41" i="98"/>
  <c r="CC41" i="98"/>
  <c r="CD41" i="98"/>
  <c r="CE41" i="98"/>
  <c r="CF41" i="98"/>
  <c r="L42" i="98"/>
  <c r="BY42" i="98"/>
  <c r="BZ42" i="98"/>
  <c r="CA42" i="98"/>
  <c r="CB42" i="98"/>
  <c r="CC42" i="98"/>
  <c r="CD42" i="98"/>
  <c r="CE42" i="98"/>
  <c r="CF42" i="98"/>
  <c r="BY43" i="98"/>
  <c r="BZ43" i="98"/>
  <c r="CA43" i="98"/>
  <c r="CB43" i="98"/>
  <c r="CC43" i="98"/>
  <c r="CD43" i="98"/>
  <c r="CE43" i="98"/>
  <c r="CF43" i="98"/>
  <c r="L44" i="98"/>
  <c r="BY44" i="98"/>
  <c r="BZ44" i="98"/>
  <c r="CA44" i="98"/>
  <c r="CB44" i="98"/>
  <c r="CC44" i="98"/>
  <c r="CD44" i="98"/>
  <c r="CE44" i="98"/>
  <c r="CF44" i="98"/>
  <c r="L45" i="98"/>
  <c r="BY45" i="98"/>
  <c r="BZ45" i="98"/>
  <c r="CA45" i="98"/>
  <c r="CB45" i="98"/>
  <c r="CC45" i="98"/>
  <c r="CD45" i="98"/>
  <c r="CE45" i="98"/>
  <c r="CF45" i="98"/>
  <c r="L46" i="98"/>
  <c r="BY46" i="98"/>
  <c r="BZ46" i="98"/>
  <c r="CA46" i="98"/>
  <c r="CB46" i="98"/>
  <c r="CC46" i="98"/>
  <c r="CD46" i="98"/>
  <c r="CE46" i="98"/>
  <c r="CF46" i="98"/>
  <c r="BY47" i="98"/>
  <c r="BZ47" i="98"/>
  <c r="CA47" i="98"/>
  <c r="CB47" i="98"/>
  <c r="CC47" i="98"/>
  <c r="CD47" i="98"/>
  <c r="CE47" i="98"/>
  <c r="CF47" i="98"/>
  <c r="BY48" i="98"/>
  <c r="BZ48" i="98"/>
  <c r="CA48" i="98"/>
  <c r="CB48" i="98"/>
  <c r="CC48" i="98"/>
  <c r="CD48" i="98"/>
  <c r="CE48" i="98"/>
  <c r="CF48" i="98"/>
  <c r="BY49" i="98"/>
  <c r="BZ49" i="98"/>
  <c r="CA49" i="98"/>
  <c r="CB49" i="98"/>
  <c r="CC49" i="98"/>
  <c r="CD49" i="98"/>
  <c r="CE49" i="98"/>
  <c r="CF49" i="98"/>
  <c r="BY50" i="98"/>
  <c r="BZ50" i="98"/>
  <c r="CA50" i="98"/>
  <c r="CB50" i="98"/>
  <c r="CC50" i="98"/>
  <c r="CD50" i="98"/>
  <c r="CE50" i="98"/>
  <c r="CF50" i="98"/>
  <c r="BY51" i="98"/>
  <c r="BZ51" i="98"/>
  <c r="CA51" i="98"/>
  <c r="CB51" i="98"/>
  <c r="CC51" i="98"/>
  <c r="CD51" i="98"/>
  <c r="CE51" i="98"/>
  <c r="CF51" i="98"/>
  <c r="BY52" i="98"/>
  <c r="BZ52" i="98"/>
  <c r="CA52" i="98"/>
  <c r="CB52" i="98"/>
  <c r="CC52" i="98"/>
  <c r="CD52" i="98"/>
  <c r="CE52" i="98"/>
  <c r="CF52" i="98"/>
  <c r="BY53" i="98"/>
  <c r="BZ53" i="98"/>
  <c r="CA53" i="98"/>
  <c r="CB53" i="98"/>
  <c r="CC53" i="98"/>
  <c r="CD53" i="98"/>
  <c r="CE53" i="98"/>
  <c r="CF53" i="98"/>
  <c r="BY54" i="98"/>
  <c r="BZ54" i="98"/>
  <c r="CA54" i="98"/>
  <c r="CB54" i="98"/>
  <c r="CC54" i="98"/>
  <c r="CD54" i="98"/>
  <c r="CE54" i="98"/>
  <c r="CF54" i="98"/>
  <c r="BY55" i="98"/>
  <c r="BZ55" i="98"/>
  <c r="CA55" i="98"/>
  <c r="CB55" i="98"/>
  <c r="CC55" i="98"/>
  <c r="CD55" i="98"/>
  <c r="CE55" i="98"/>
  <c r="CF55" i="98"/>
  <c r="BY56" i="98"/>
  <c r="BZ56" i="98"/>
  <c r="CA56" i="98"/>
  <c r="CB56" i="98"/>
  <c r="CC56" i="98"/>
  <c r="CD56" i="98"/>
  <c r="CE56" i="98"/>
  <c r="CF56" i="98"/>
  <c r="BY57" i="98"/>
  <c r="BZ57" i="98"/>
  <c r="CA57" i="98"/>
  <c r="CB57" i="98"/>
  <c r="CC57" i="98"/>
  <c r="CD57" i="98"/>
  <c r="CE57" i="98"/>
  <c r="CF57" i="98"/>
  <c r="BY58" i="98"/>
  <c r="BZ58" i="98"/>
  <c r="CA58" i="98"/>
  <c r="CB58" i="98"/>
  <c r="CC58" i="98"/>
  <c r="CD58" i="98"/>
  <c r="CE58" i="98"/>
  <c r="CF58" i="98"/>
  <c r="BY59" i="98"/>
  <c r="BZ59" i="98"/>
  <c r="CA59" i="98"/>
  <c r="CB59" i="98"/>
  <c r="CC59" i="98"/>
  <c r="CD59" i="98"/>
  <c r="CE59" i="98"/>
  <c r="CF59" i="98"/>
  <c r="BY60" i="98"/>
  <c r="BZ60" i="98"/>
  <c r="CA60" i="98"/>
  <c r="CB60" i="98"/>
  <c r="CC60" i="98"/>
  <c r="CD60" i="98"/>
  <c r="CE60" i="98"/>
  <c r="CF60" i="98"/>
  <c r="BY61" i="98"/>
  <c r="BZ61" i="98"/>
  <c r="CA61" i="98"/>
  <c r="CB61" i="98"/>
  <c r="CC61" i="98"/>
  <c r="CD61" i="98"/>
  <c r="CE61" i="98"/>
  <c r="CF61" i="98"/>
  <c r="BY62" i="98"/>
  <c r="BZ62" i="98"/>
  <c r="CA62" i="98"/>
  <c r="CB62" i="98"/>
  <c r="CC62" i="98"/>
  <c r="CD62" i="98"/>
  <c r="CE62" i="98"/>
  <c r="CF62" i="98"/>
  <c r="BY63" i="98"/>
  <c r="BZ63" i="98"/>
  <c r="CA63" i="98"/>
  <c r="CB63" i="98"/>
  <c r="CC63" i="98"/>
  <c r="CD63" i="98"/>
  <c r="CE63" i="98"/>
  <c r="CF63" i="98"/>
  <c r="BY64" i="98"/>
  <c r="BZ64" i="98"/>
  <c r="CA64" i="98"/>
  <c r="CB64" i="98"/>
  <c r="CC64" i="98"/>
  <c r="CD64" i="98"/>
  <c r="CE64" i="98"/>
  <c r="CF64" i="98"/>
  <c r="BY65" i="98"/>
  <c r="BZ65" i="98"/>
  <c r="CA65" i="98"/>
  <c r="CB65" i="98"/>
  <c r="CC65" i="98"/>
  <c r="CD65" i="98"/>
  <c r="CE65" i="98"/>
  <c r="CF65" i="98"/>
  <c r="BY66" i="98"/>
  <c r="BZ66" i="98"/>
  <c r="CA66" i="98"/>
  <c r="CB66" i="98"/>
  <c r="CC66" i="98"/>
  <c r="CD66" i="98"/>
  <c r="CE66" i="98"/>
  <c r="CF66" i="98"/>
  <c r="BY67" i="98"/>
  <c r="BZ67" i="98"/>
  <c r="CA67" i="98"/>
  <c r="CB67" i="98"/>
  <c r="CC67" i="98"/>
  <c r="CD67" i="98"/>
  <c r="CE67" i="98"/>
  <c r="CF67" i="98"/>
  <c r="BY68" i="98"/>
  <c r="BZ68" i="98"/>
  <c r="CA68" i="98"/>
  <c r="CB68" i="98"/>
  <c r="CC68" i="98"/>
  <c r="CD68" i="98"/>
  <c r="CE68" i="98"/>
  <c r="CF68" i="98"/>
  <c r="BY69" i="98"/>
  <c r="BZ69" i="98"/>
  <c r="CA69" i="98"/>
  <c r="CB69" i="98"/>
  <c r="CC69" i="98"/>
  <c r="CD69" i="98"/>
  <c r="CE69" i="98"/>
  <c r="CF69" i="98"/>
  <c r="BY70" i="98"/>
  <c r="BZ70" i="98"/>
  <c r="CA70" i="98"/>
  <c r="CB70" i="98"/>
  <c r="CC70" i="98"/>
  <c r="CD70" i="98"/>
  <c r="CE70" i="98"/>
  <c r="CF70" i="98"/>
  <c r="BY71" i="98"/>
  <c r="BZ71" i="98"/>
  <c r="CA71" i="98"/>
  <c r="CB71" i="98"/>
  <c r="CC71" i="98"/>
  <c r="CD71" i="98"/>
  <c r="CE71" i="98"/>
  <c r="CF71" i="98"/>
  <c r="BY72" i="98"/>
  <c r="BZ72" i="98"/>
  <c r="CA72" i="98"/>
  <c r="CB72" i="98"/>
  <c r="CC72" i="98"/>
  <c r="CD72" i="98"/>
  <c r="CE72" i="98"/>
  <c r="CF72" i="98"/>
  <c r="BY73" i="98"/>
  <c r="BZ73" i="98"/>
  <c r="CA73" i="98"/>
  <c r="CB73" i="98"/>
  <c r="CC73" i="98"/>
  <c r="CD73" i="98"/>
  <c r="CE73" i="98"/>
  <c r="CF73" i="98"/>
  <c r="BY74" i="98"/>
  <c r="BZ74" i="98"/>
  <c r="CA74" i="98"/>
  <c r="CB74" i="98"/>
  <c r="CC74" i="98"/>
  <c r="CD74" i="98"/>
  <c r="CE74" i="98"/>
  <c r="CF74" i="98"/>
  <c r="BY75" i="98"/>
  <c r="BZ75" i="98"/>
  <c r="CA75" i="98"/>
  <c r="CB75" i="98"/>
  <c r="CC75" i="98"/>
  <c r="CD75" i="98"/>
  <c r="CE75" i="98"/>
  <c r="CF75" i="98"/>
  <c r="BY76" i="98"/>
  <c r="BZ76" i="98"/>
  <c r="CA76" i="98"/>
  <c r="CB76" i="98"/>
  <c r="CC76" i="98"/>
  <c r="CD76" i="98"/>
  <c r="CE76" i="98"/>
  <c r="CF76" i="98"/>
  <c r="BY77" i="98"/>
  <c r="BZ77" i="98"/>
  <c r="CA77" i="98"/>
  <c r="CB77" i="98"/>
  <c r="CC77" i="98"/>
  <c r="CD77" i="98"/>
  <c r="CE77" i="98"/>
  <c r="CF77" i="98"/>
  <c r="BY78" i="98"/>
  <c r="BZ78" i="98"/>
  <c r="CA78" i="98"/>
  <c r="CB78" i="98"/>
  <c r="CC78" i="98"/>
  <c r="CD78" i="98"/>
  <c r="CE78" i="98"/>
  <c r="CF78" i="98"/>
  <c r="BY79" i="98"/>
  <c r="BZ79" i="98"/>
  <c r="CA79" i="98"/>
  <c r="CB79" i="98"/>
  <c r="CC79" i="98"/>
  <c r="CD79" i="98"/>
  <c r="CE79" i="98"/>
  <c r="CF79" i="98"/>
  <c r="BY80" i="98"/>
  <c r="BZ80" i="98"/>
  <c r="CA80" i="98"/>
  <c r="CB80" i="98"/>
  <c r="CC80" i="98"/>
  <c r="CD80" i="98"/>
  <c r="CE80" i="98"/>
  <c r="CF80" i="98"/>
  <c r="BY81" i="98"/>
  <c r="BZ81" i="98"/>
  <c r="CA81" i="98"/>
  <c r="CB81" i="98"/>
  <c r="CC81" i="98"/>
  <c r="CD81" i="98"/>
  <c r="CE81" i="98"/>
  <c r="CF81" i="98"/>
  <c r="BY82" i="98"/>
  <c r="BZ82" i="98"/>
  <c r="CA82" i="98"/>
  <c r="CB82" i="98"/>
  <c r="CC82" i="98"/>
  <c r="CD82" i="98"/>
  <c r="CE82" i="98"/>
  <c r="CF82" i="98"/>
  <c r="BY83" i="98"/>
  <c r="BZ83" i="98"/>
  <c r="CA83" i="98"/>
  <c r="CB83" i="98"/>
  <c r="CC83" i="98"/>
  <c r="CD83" i="98"/>
  <c r="CE83" i="98"/>
  <c r="CF83" i="98"/>
  <c r="BY84" i="98"/>
  <c r="BZ84" i="98"/>
  <c r="CA84" i="98"/>
  <c r="CB84" i="98"/>
  <c r="CC84" i="98"/>
  <c r="CD84" i="98"/>
  <c r="CE84" i="98"/>
  <c r="CF84" i="98"/>
  <c r="BY85" i="98"/>
  <c r="BZ85" i="98"/>
  <c r="CA85" i="98"/>
  <c r="CB85" i="98"/>
  <c r="CC85" i="98"/>
  <c r="CD85" i="98"/>
  <c r="CE85" i="98"/>
  <c r="CF85" i="98"/>
  <c r="BY86" i="98"/>
  <c r="BZ86" i="98"/>
  <c r="CA86" i="98"/>
  <c r="CB86" i="98"/>
  <c r="CC86" i="98"/>
  <c r="CD86" i="98"/>
  <c r="CE86" i="98"/>
  <c r="CF86" i="98"/>
  <c r="BY87" i="98"/>
  <c r="BZ87" i="98"/>
  <c r="CA87" i="98"/>
  <c r="CB87" i="98"/>
  <c r="CC87" i="98"/>
  <c r="CD87" i="98"/>
  <c r="CE87" i="98"/>
  <c r="CF87" i="98"/>
  <c r="BY88" i="98"/>
  <c r="BZ88" i="98"/>
  <c r="CA88" i="98"/>
  <c r="CB88" i="98"/>
  <c r="CC88" i="98"/>
  <c r="CD88" i="98"/>
  <c r="CE88" i="98"/>
  <c r="CF88" i="98"/>
  <c r="BY89" i="98"/>
  <c r="BZ89" i="98"/>
  <c r="CA89" i="98"/>
  <c r="CB89" i="98"/>
  <c r="CC89" i="98"/>
  <c r="CD89" i="98"/>
  <c r="CE89" i="98"/>
  <c r="CF89" i="98"/>
  <c r="BY90" i="98"/>
  <c r="BZ90" i="98"/>
  <c r="CA90" i="98"/>
  <c r="CB90" i="98"/>
  <c r="CC90" i="98"/>
  <c r="CD90" i="98"/>
  <c r="CE90" i="98"/>
  <c r="CF90" i="98"/>
  <c r="BY91" i="98"/>
  <c r="BZ91" i="98"/>
  <c r="CA91" i="98"/>
  <c r="CB91" i="98"/>
  <c r="CC91" i="98"/>
  <c r="CD91" i="98"/>
  <c r="CE91" i="98"/>
  <c r="CF91" i="98"/>
  <c r="BY92" i="98"/>
  <c r="BZ92" i="98"/>
  <c r="CA92" i="98"/>
  <c r="CB92" i="98"/>
  <c r="CC92" i="98"/>
  <c r="CD92" i="98"/>
  <c r="CE92" i="98"/>
  <c r="CF92" i="98"/>
  <c r="BY93" i="98"/>
  <c r="BZ93" i="98"/>
  <c r="CA93" i="98"/>
  <c r="CB93" i="98"/>
  <c r="CC93" i="98"/>
  <c r="CD93" i="98"/>
  <c r="CE93" i="98"/>
  <c r="CF93" i="98"/>
  <c r="BY94" i="98"/>
  <c r="BZ94" i="98"/>
  <c r="CA94" i="98"/>
  <c r="CB94" i="98"/>
  <c r="CC94" i="98"/>
  <c r="CD94" i="98"/>
  <c r="CE94" i="98"/>
  <c r="CF94" i="98"/>
  <c r="BY95" i="98"/>
  <c r="BZ95" i="98"/>
  <c r="CA95" i="98"/>
  <c r="CB95" i="98"/>
  <c r="CC95" i="98"/>
  <c r="CD95" i="98"/>
  <c r="CE95" i="98"/>
  <c r="CF95" i="98"/>
  <c r="BY96" i="98"/>
  <c r="BZ96" i="98"/>
  <c r="CA96" i="98"/>
  <c r="CB96" i="98"/>
  <c r="CC96" i="98"/>
  <c r="CD96" i="98"/>
  <c r="CE96" i="98"/>
  <c r="CF96" i="98"/>
  <c r="BY97" i="98"/>
  <c r="BZ97" i="98"/>
  <c r="CA97" i="98"/>
  <c r="CB97" i="98"/>
  <c r="CC97" i="98"/>
  <c r="CD97" i="98"/>
  <c r="CE97" i="98"/>
  <c r="CF97" i="98"/>
  <c r="BY98" i="98"/>
  <c r="BZ98" i="98"/>
  <c r="CA98" i="98"/>
  <c r="CB98" i="98"/>
  <c r="CC98" i="98"/>
  <c r="CD98" i="98"/>
  <c r="CE98" i="98"/>
  <c r="CF98" i="98"/>
  <c r="BY99" i="98"/>
  <c r="BZ99" i="98"/>
  <c r="CA99" i="98"/>
  <c r="CB99" i="98"/>
  <c r="CC99" i="98"/>
  <c r="CD99" i="98"/>
  <c r="CE99" i="98"/>
  <c r="CF99" i="98"/>
  <c r="BY100" i="98"/>
  <c r="BZ100" i="98"/>
  <c r="CA100" i="98"/>
  <c r="CB100" i="98"/>
  <c r="CC100" i="98"/>
  <c r="CD100" i="98"/>
  <c r="CE100" i="98"/>
  <c r="CF100" i="98"/>
  <c r="BY101" i="98"/>
  <c r="BZ101" i="98"/>
  <c r="CA101" i="98"/>
  <c r="CB101" i="98"/>
  <c r="CC101" i="98"/>
  <c r="CD101" i="98"/>
  <c r="CE101" i="98"/>
  <c r="CF101" i="98"/>
  <c r="BY102" i="98"/>
  <c r="BZ102" i="98"/>
  <c r="CA102" i="98"/>
  <c r="CB102" i="98"/>
  <c r="CC102" i="98"/>
  <c r="CD102" i="98"/>
  <c r="CE102" i="98"/>
  <c r="CF102" i="98"/>
  <c r="BY103" i="98"/>
  <c r="BZ103" i="98"/>
  <c r="CA103" i="98"/>
  <c r="CB103" i="98"/>
  <c r="CC103" i="98"/>
  <c r="CD103" i="98"/>
  <c r="CE103" i="98"/>
  <c r="CF103" i="98"/>
  <c r="BY104" i="98"/>
  <c r="BZ104" i="98"/>
  <c r="CA104" i="98"/>
  <c r="CB104" i="98"/>
  <c r="CC104" i="98"/>
  <c r="CD104" i="98"/>
  <c r="CE104" i="98"/>
  <c r="CF104" i="98"/>
  <c r="BY105" i="98"/>
  <c r="BZ105" i="98"/>
  <c r="CA105" i="98"/>
  <c r="CB105" i="98"/>
  <c r="CC105" i="98"/>
  <c r="CD105" i="98"/>
  <c r="CE105" i="98"/>
  <c r="CF105" i="98"/>
  <c r="BY106" i="98"/>
  <c r="BZ106" i="98"/>
  <c r="CA106" i="98"/>
  <c r="CB106" i="98"/>
  <c r="CC106" i="98"/>
  <c r="CD106" i="98"/>
  <c r="CE106" i="98"/>
  <c r="CF106" i="98"/>
  <c r="BY107" i="98"/>
  <c r="BZ107" i="98"/>
  <c r="CA107" i="98"/>
  <c r="CB107" i="98"/>
  <c r="CC107" i="98"/>
  <c r="CD107" i="98"/>
  <c r="CE107" i="98"/>
  <c r="CF107" i="98"/>
  <c r="BY108" i="98"/>
  <c r="BZ108" i="98"/>
  <c r="CA108" i="98"/>
  <c r="CB108" i="98"/>
  <c r="CC108" i="98"/>
  <c r="CD108" i="98"/>
  <c r="CE108" i="98"/>
  <c r="CF108" i="98"/>
  <c r="BY109" i="98"/>
  <c r="BZ109" i="98"/>
  <c r="CA109" i="98"/>
  <c r="CB109" i="98"/>
  <c r="CC109" i="98"/>
  <c r="CD109" i="98"/>
  <c r="CE109" i="98"/>
  <c r="CF109" i="98"/>
  <c r="BY110" i="98"/>
  <c r="BZ110" i="98"/>
  <c r="CA110" i="98"/>
  <c r="CB110" i="98"/>
  <c r="CC110" i="98"/>
  <c r="CD110" i="98"/>
  <c r="CE110" i="98"/>
  <c r="CF110" i="98"/>
  <c r="BY111" i="98"/>
  <c r="BZ111" i="98"/>
  <c r="CA111" i="98"/>
  <c r="CB111" i="98"/>
  <c r="CC111" i="98"/>
  <c r="CD111" i="98"/>
  <c r="CE111" i="98"/>
  <c r="CF111" i="98"/>
  <c r="BY112" i="98"/>
  <c r="BZ112" i="98"/>
  <c r="CA112" i="98"/>
  <c r="CB112" i="98"/>
  <c r="CC112" i="98"/>
  <c r="CD112" i="98"/>
  <c r="CE112" i="98"/>
  <c r="CF112" i="98"/>
  <c r="BY113" i="98"/>
  <c r="BZ113" i="98"/>
  <c r="CA113" i="98"/>
  <c r="CB113" i="98"/>
  <c r="CC113" i="98"/>
  <c r="CD113" i="98"/>
  <c r="CE113" i="98"/>
  <c r="CF113" i="98"/>
  <c r="BV114" i="98"/>
  <c r="CC114" i="98" s="1"/>
  <c r="BY114" i="98"/>
  <c r="BZ114" i="98"/>
  <c r="CA114" i="98"/>
  <c r="CB114" i="98"/>
  <c r="CD114" i="98"/>
  <c r="CE114" i="98"/>
  <c r="CF114" i="98"/>
  <c r="BY115" i="98"/>
  <c r="BZ115" i="98"/>
  <c r="CA115" i="98"/>
  <c r="CB115" i="98"/>
  <c r="CC115" i="98"/>
  <c r="CD115" i="98"/>
  <c r="CE115" i="98"/>
  <c r="CF115" i="98"/>
  <c r="BY116" i="98"/>
  <c r="BZ116" i="98"/>
  <c r="CA116" i="98"/>
  <c r="CB116" i="98"/>
  <c r="CC116" i="98"/>
  <c r="CD116" i="98"/>
  <c r="CE116" i="98"/>
  <c r="CF116" i="98"/>
  <c r="BY117" i="98"/>
  <c r="BZ117" i="98"/>
  <c r="CA117" i="98"/>
  <c r="CB117" i="98"/>
  <c r="CC117" i="98"/>
  <c r="CD117" i="98"/>
  <c r="CE117" i="98"/>
  <c r="CF117" i="98"/>
  <c r="BY118" i="98"/>
  <c r="BZ118" i="98"/>
  <c r="CA118" i="98"/>
  <c r="CB118" i="98"/>
  <c r="CC118" i="98"/>
  <c r="CD118" i="98"/>
  <c r="CE118" i="98"/>
  <c r="CF118" i="98"/>
  <c r="BY119" i="98"/>
  <c r="BZ119" i="98"/>
  <c r="CA119" i="98"/>
  <c r="CB119" i="98"/>
  <c r="CC119" i="98"/>
  <c r="CD119" i="98"/>
  <c r="CE119" i="98"/>
  <c r="CF119" i="98"/>
  <c r="DX20" i="98" l="1"/>
  <c r="DY16" i="98"/>
  <c r="DY12" i="98"/>
  <c r="DX21" i="98"/>
  <c r="DY17" i="98"/>
  <c r="DO7" i="98"/>
  <c r="EE5" i="98" s="1"/>
  <c r="DQ6" i="98"/>
  <c r="DY18" i="98"/>
  <c r="DY11" i="98"/>
  <c r="DP6" i="98"/>
  <c r="DY15" i="98"/>
  <c r="DY13" i="98"/>
  <c r="CW13" i="98"/>
  <c r="DY10" i="98"/>
  <c r="ED6" i="98" s="1"/>
  <c r="DQ5" i="98"/>
  <c r="DT16" i="98"/>
  <c r="DW16" i="98" s="1"/>
  <c r="DO21" i="98"/>
  <c r="DQ20" i="98"/>
  <c r="DX16" i="98"/>
  <c r="DQ13" i="98"/>
  <c r="DV21" i="98"/>
  <c r="DY21" i="98" s="1"/>
  <c r="DX18" i="98"/>
  <c r="DP10" i="98"/>
  <c r="EF6" i="98" s="1"/>
  <c r="J42" i="98" s="1"/>
  <c r="DT22" i="98"/>
  <c r="DW22" i="98" s="1"/>
  <c r="DQ9" i="98"/>
  <c r="DX22" i="98"/>
  <c r="DV20" i="98"/>
  <c r="DY20" i="98" s="1"/>
  <c r="DO20" i="98"/>
  <c r="DO19" i="98"/>
  <c r="DP13" i="98"/>
  <c r="DO11" i="98"/>
  <c r="DP9" i="98"/>
  <c r="DQ21" i="98"/>
  <c r="DO18" i="98"/>
  <c r="DP14" i="98"/>
  <c r="DX23" i="98"/>
  <c r="DT23" i="98"/>
  <c r="DW23" i="98" s="1"/>
  <c r="DT17" i="98"/>
  <c r="DW17" i="98" s="1"/>
  <c r="DT12" i="98"/>
  <c r="DW12" i="98" s="1"/>
  <c r="DT11" i="98"/>
  <c r="DW11" i="98" s="1"/>
  <c r="L47" i="98"/>
  <c r="DT21" i="98"/>
  <c r="DW21" i="98" s="1"/>
  <c r="DT20" i="98"/>
  <c r="DW20" i="98" s="1"/>
  <c r="DQ16" i="98"/>
  <c r="DX12" i="98"/>
  <c r="DX11" i="98"/>
  <c r="DP8" i="98"/>
  <c r="DX15" i="98"/>
  <c r="DT15" i="98"/>
  <c r="DW15" i="98" s="1"/>
  <c r="DX19" i="98"/>
  <c r="DP18" i="98"/>
  <c r="DX17" i="98"/>
  <c r="DO16" i="98"/>
  <c r="DQ11" i="98"/>
  <c r="DQ7" i="98"/>
  <c r="DP23" i="98"/>
  <c r="EF9" i="98" s="1"/>
  <c r="DQ23" i="98"/>
  <c r="DO23" i="98"/>
  <c r="DO22" i="98"/>
  <c r="DO17" i="98"/>
  <c r="DV9" i="98"/>
  <c r="DY9" i="98" s="1"/>
  <c r="DT9" i="98"/>
  <c r="DW9" i="98" s="1"/>
  <c r="DX9" i="98"/>
  <c r="DV6" i="98"/>
  <c r="DY6" i="98" s="1"/>
  <c r="DT6" i="98"/>
  <c r="DW6" i="98" s="1"/>
  <c r="DX6" i="98"/>
  <c r="ED9" i="98"/>
  <c r="DT19" i="98"/>
  <c r="DW19" i="98" s="1"/>
  <c r="DT14" i="98"/>
  <c r="DW14" i="98" s="1"/>
  <c r="DX14" i="98"/>
  <c r="DV14" i="98"/>
  <c r="DY14" i="98" s="1"/>
  <c r="DQ22" i="98"/>
  <c r="DP15" i="98"/>
  <c r="DO15" i="98"/>
  <c r="DP19" i="98"/>
  <c r="EF8" i="98" s="1"/>
  <c r="DT18" i="98"/>
  <c r="DW18" i="98" s="1"/>
  <c r="DP17" i="98"/>
  <c r="BA6" i="98" a="1"/>
  <c r="BA6" i="98" s="1"/>
  <c r="BB5" i="98"/>
  <c r="DQ14" i="98"/>
  <c r="DX13" i="98"/>
  <c r="DT13" i="98"/>
  <c r="DW13" i="98" s="1"/>
  <c r="DQ12" i="98"/>
  <c r="DX10" i="98"/>
  <c r="EC6" i="98" s="1"/>
  <c r="H42" i="98" s="1"/>
  <c r="DT10" i="98"/>
  <c r="DW10" i="98" s="1"/>
  <c r="EB6" i="98" s="1"/>
  <c r="DO10" i="98"/>
  <c r="EE6" i="98" s="1"/>
  <c r="DQ8" i="98"/>
  <c r="DU7" i="98"/>
  <c r="DU5" i="98"/>
  <c r="DP5" i="98"/>
  <c r="DP12" i="98"/>
  <c r="CW12" i="98"/>
  <c r="DU8" i="98"/>
  <c r="EC8" i="98" l="1"/>
  <c r="P19" i="159"/>
  <c r="P19" i="161"/>
  <c r="P19" i="162"/>
  <c r="P19" i="160"/>
  <c r="EC9" i="98"/>
  <c r="H45" i="98" s="1"/>
  <c r="P19" i="113"/>
  <c r="EB9" i="98"/>
  <c r="EG8" i="98"/>
  <c r="EE8" i="98"/>
  <c r="EF7" i="98"/>
  <c r="EE9" i="98"/>
  <c r="EG9" i="98"/>
  <c r="J44" i="98"/>
  <c r="J45" i="98"/>
  <c r="BA7" i="98" a="1"/>
  <c r="BA7" i="98" s="1"/>
  <c r="BC7" i="98" s="1" a="1"/>
  <c r="BC7" i="98" s="1"/>
  <c r="BC6" i="98" a="1"/>
  <c r="BC6" i="98" s="1"/>
  <c r="BJ5" i="98"/>
  <c r="ED8" i="98"/>
  <c r="ED7" i="98"/>
  <c r="EC7" i="98"/>
  <c r="EB7" i="98"/>
  <c r="EE7" i="98"/>
  <c r="EG10" i="98"/>
  <c r="EG7" i="98"/>
  <c r="EF10" i="98"/>
  <c r="J46" i="98" s="1"/>
  <c r="EB8" i="98"/>
  <c r="DT8" i="98"/>
  <c r="DW8" i="98" s="1"/>
  <c r="DX8" i="98"/>
  <c r="DV8" i="98"/>
  <c r="DY8" i="98" s="1"/>
  <c r="DT5" i="98"/>
  <c r="DW5" i="98" s="1"/>
  <c r="DX5" i="98"/>
  <c r="DV5" i="98"/>
  <c r="DY5" i="98" s="1"/>
  <c r="BF5" i="98"/>
  <c r="BK5" i="98"/>
  <c r="BI5" i="98"/>
  <c r="BH5" i="98"/>
  <c r="DT7" i="98"/>
  <c r="DW7" i="98" s="1"/>
  <c r="DX7" i="98"/>
  <c r="DV7" i="98"/>
  <c r="DY7" i="98" s="1"/>
  <c r="BG5" i="98"/>
  <c r="BE5" i="98"/>
  <c r="BD5" i="98"/>
  <c r="EE10" i="98"/>
  <c r="EG5" i="98"/>
  <c r="EF5" i="98"/>
  <c r="BB6" i="98"/>
  <c r="W350" i="163"/>
  <c r="W270" i="163"/>
  <c r="T350" i="165"/>
  <c r="W299" i="165"/>
  <c r="Q299" i="165"/>
  <c r="T270" i="163"/>
  <c r="Q223" i="165"/>
  <c r="W223" i="163"/>
  <c r="T166" i="163"/>
  <c r="Q242" i="164"/>
  <c r="W410" i="165"/>
  <c r="W159" i="165"/>
  <c r="T373" i="165"/>
  <c r="W321" i="163"/>
  <c r="W417" i="163"/>
  <c r="Q223" i="164"/>
  <c r="Q359" i="163"/>
  <c r="T306" i="163"/>
  <c r="T313" i="163"/>
  <c r="T292" i="164"/>
  <c r="T388" i="165"/>
  <c r="Q388" i="164"/>
  <c r="T252" i="163"/>
  <c r="Q261" i="164"/>
  <c r="W204" i="163"/>
  <c r="W439" i="163"/>
  <c r="W424" i="164"/>
  <c r="Q381" i="164"/>
  <c r="T235" i="164"/>
  <c r="Q270" i="165"/>
  <c r="W366" i="163"/>
  <c r="Q328" i="163"/>
  <c r="Q335" i="164"/>
  <c r="W402" i="164"/>
  <c r="T313" i="164"/>
  <c r="T299" i="163"/>
  <c r="Q306" i="165"/>
  <c r="W410" i="164"/>
  <c r="T176" i="165"/>
  <c r="T431" i="163"/>
  <c r="W388" i="164"/>
  <c r="Q335" i="163"/>
  <c r="Q335" i="165"/>
  <c r="W185" i="165"/>
  <c r="W252" i="165"/>
  <c r="W342" i="164"/>
  <c r="W381" i="164"/>
  <c r="W252" i="164"/>
  <c r="T185" i="163"/>
  <c r="T159" i="163"/>
  <c r="Q350" i="165"/>
  <c r="Q261" i="165"/>
  <c r="Q214" i="164"/>
  <c r="Q159" i="164"/>
  <c r="W166" i="163"/>
  <c r="T410" i="164"/>
  <c r="T373" i="164"/>
  <c r="T277" i="165"/>
  <c r="Q366" i="163"/>
  <c r="W197" i="163"/>
  <c r="T223" i="164"/>
  <c r="Q270" i="164"/>
  <c r="Q159" i="165"/>
  <c r="Q431" i="163"/>
  <c r="W321" i="164"/>
  <c r="Q350" i="163"/>
  <c r="W284" i="163"/>
  <c r="T306" i="165"/>
  <c r="W306" i="164"/>
  <c r="W284" i="164"/>
  <c r="T328" i="164"/>
  <c r="T395" i="163"/>
  <c r="Q197" i="163"/>
  <c r="Q321" i="164"/>
  <c r="T402" i="164"/>
  <c r="W214" i="165"/>
  <c r="W313" i="163"/>
  <c r="W373" i="165"/>
  <c r="T366" i="164"/>
  <c r="Q284" i="164"/>
  <c r="T185" i="165"/>
  <c r="W306" i="163"/>
  <c r="W359" i="164"/>
  <c r="W277" i="163"/>
  <c r="Q388" i="163"/>
  <c r="T431" i="164"/>
  <c r="W342" i="163"/>
  <c r="T439" i="164"/>
  <c r="T197" i="165"/>
  <c r="Q306" i="163"/>
  <c r="Q197" i="165"/>
  <c r="Q235" i="163"/>
  <c r="Q242" i="165"/>
  <c r="Q197" i="164"/>
  <c r="W395" i="163"/>
  <c r="Q277" i="165"/>
  <c r="Q381" i="165"/>
  <c r="Q439" i="163"/>
  <c r="Q359" i="164"/>
  <c r="Q328" i="164"/>
  <c r="W431" i="165"/>
  <c r="Q395" i="163"/>
  <c r="W242" i="164"/>
  <c r="T299" i="164"/>
  <c r="T321" i="164"/>
  <c r="T261" i="163"/>
  <c r="Q166" i="165"/>
  <c r="W388" i="165"/>
  <c r="Q313" i="164"/>
  <c r="W235" i="163"/>
  <c r="T242" i="164"/>
  <c r="Q242" i="163"/>
  <c r="T306" i="164"/>
  <c r="T261" i="165"/>
  <c r="W373" i="163"/>
  <c r="W176" i="164"/>
  <c r="Q321" i="163"/>
  <c r="T395" i="164"/>
  <c r="W270" i="165"/>
  <c r="Q277" i="163"/>
  <c r="T350" i="164"/>
  <c r="Q313" i="165"/>
  <c r="W328" i="163"/>
  <c r="Q410" i="164"/>
  <c r="W373" i="164"/>
  <c r="T252" i="164"/>
  <c r="W185" i="163"/>
  <c r="W176" i="163"/>
  <c r="Q321" i="165"/>
  <c r="Q235" i="164"/>
  <c r="W235" i="165"/>
  <c r="T284" i="163"/>
  <c r="W270" i="164"/>
  <c r="H19" i="113"/>
  <c r="T388" i="163"/>
  <c r="Q366" i="165"/>
  <c r="W277" i="164"/>
  <c r="Q284" i="165"/>
  <c r="W235" i="164"/>
  <c r="W424" i="163"/>
  <c r="Q292" i="165"/>
  <c r="Q214" i="165"/>
  <c r="Q395" i="165"/>
  <c r="Q185" i="163"/>
  <c r="W439" i="164"/>
  <c r="T366" i="165"/>
  <c r="W159" i="164"/>
  <c r="W417" i="165"/>
  <c r="T214" i="163"/>
  <c r="Q431" i="164"/>
  <c r="W242" i="163"/>
  <c r="Q252" i="163"/>
  <c r="T261" i="164"/>
  <c r="W381" i="165"/>
  <c r="Q373" i="164"/>
  <c r="T235" i="165"/>
  <c r="Q223" i="163"/>
  <c r="T204" i="164"/>
  <c r="W185" i="164"/>
  <c r="W197" i="165"/>
  <c r="W299" i="164"/>
  <c r="T235" i="163"/>
  <c r="Q176" i="164"/>
  <c r="T424" i="165"/>
  <c r="T299" i="165"/>
  <c r="T381" i="164"/>
  <c r="W335" i="163"/>
  <c r="Q417" i="163"/>
  <c r="T185" i="164"/>
  <c r="W366" i="164"/>
  <c r="Q417" i="165"/>
  <c r="T214" i="164"/>
  <c r="Q277" i="164"/>
  <c r="T159" i="164"/>
  <c r="T204" i="163"/>
  <c r="Q214" i="163"/>
  <c r="T335" i="164"/>
  <c r="W321" i="165"/>
  <c r="W328" i="164"/>
  <c r="Q410" i="163"/>
  <c r="W252" i="163"/>
  <c r="T242" i="165"/>
  <c r="Q373" i="165"/>
  <c r="T214" i="165"/>
  <c r="T223" i="163"/>
  <c r="T410" i="165"/>
  <c r="W204" i="165"/>
  <c r="W342" i="165"/>
  <c r="Q431" i="165"/>
  <c r="Q166" i="164"/>
  <c r="T176" i="164"/>
  <c r="Q204" i="163"/>
  <c r="Q299" i="163"/>
  <c r="Q395" i="164"/>
  <c r="T395" i="165"/>
  <c r="T197" i="164"/>
  <c r="T328" i="165"/>
  <c r="T373" i="163"/>
  <c r="W395" i="164"/>
  <c r="T166" i="164"/>
  <c r="T402" i="165"/>
  <c r="Q299" i="164"/>
  <c r="W166" i="165"/>
  <c r="W417" i="164"/>
  <c r="T381" i="165"/>
  <c r="W328" i="165"/>
  <c r="W366" i="165"/>
  <c r="T292" i="163"/>
  <c r="W388" i="163"/>
  <c r="W242" i="165"/>
  <c r="T223" i="165"/>
  <c r="W197" i="164"/>
  <c r="T242" i="163"/>
  <c r="W292" i="164"/>
  <c r="Q359" i="165"/>
  <c r="T417" i="163"/>
  <c r="W292" i="165"/>
  <c r="T417" i="164"/>
  <c r="W350" i="165"/>
  <c r="W381" i="163"/>
  <c r="Q185" i="165"/>
  <c r="T204" i="165"/>
  <c r="T424" i="163"/>
  <c r="Q402" i="165"/>
  <c r="T342" i="163"/>
  <c r="W402" i="165"/>
  <c r="W439" i="165"/>
  <c r="T366" i="163"/>
  <c r="Q373" i="163"/>
  <c r="Q328" i="165"/>
  <c r="W299" i="163"/>
  <c r="T402" i="163"/>
  <c r="T335" i="165"/>
  <c r="Q424" i="163"/>
  <c r="T424" i="164"/>
  <c r="Q342" i="163"/>
  <c r="T431" i="165"/>
  <c r="W223" i="165"/>
  <c r="T176" i="163"/>
  <c r="Q235" i="165"/>
  <c r="W214" i="163"/>
  <c r="W284" i="165"/>
  <c r="W335" i="164"/>
  <c r="Q176" i="163"/>
  <c r="Q402" i="163"/>
  <c r="W166" i="164"/>
  <c r="T166" i="165"/>
  <c r="T284" i="165"/>
  <c r="Q417" i="164"/>
  <c r="Q366" i="164"/>
  <c r="T359" i="165"/>
  <c r="W261" i="163"/>
  <c r="W402" i="163"/>
  <c r="Q292" i="164"/>
  <c r="Q424" i="165"/>
  <c r="W313" i="165"/>
  <c r="T388" i="164"/>
  <c r="W431" i="163"/>
  <c r="T321" i="165"/>
  <c r="T159" i="165"/>
  <c r="T284" i="164"/>
  <c r="T328" i="163"/>
  <c r="Q439" i="164"/>
  <c r="Q204" i="165"/>
  <c r="W313" i="164"/>
  <c r="Q252" i="164"/>
  <c r="Q204" i="164"/>
  <c r="Q402" i="164"/>
  <c r="T381" i="163"/>
  <c r="Q313" i="163"/>
  <c r="Q185" i="164"/>
  <c r="T292" i="165"/>
  <c r="T313" i="165"/>
  <c r="T335" i="163"/>
  <c r="Q284" i="163"/>
  <c r="W204" i="164"/>
  <c r="W277" i="165"/>
  <c r="Q342" i="165"/>
  <c r="W176" i="165"/>
  <c r="W261" i="165"/>
  <c r="T252" i="165"/>
  <c r="Q350" i="164"/>
  <c r="Q252" i="165"/>
  <c r="Q439" i="165"/>
  <c r="Q381" i="163"/>
  <c r="T359" i="163"/>
  <c r="W424" i="165"/>
  <c r="T277" i="164"/>
  <c r="W359" i="165"/>
  <c r="Q292" i="163"/>
  <c r="W395" i="165"/>
  <c r="W431" i="164"/>
  <c r="T410" i="163"/>
  <c r="Q159" i="163"/>
  <c r="Q306" i="164"/>
  <c r="T342" i="164"/>
  <c r="W214" i="164"/>
  <c r="Q166" i="163"/>
  <c r="Q270" i="163"/>
  <c r="W223" i="164"/>
  <c r="T321" i="163"/>
  <c r="T439" i="163"/>
  <c r="W159" i="163"/>
  <c r="W306" i="165"/>
  <c r="Q410" i="165"/>
  <c r="T359" i="164"/>
  <c r="Q261" i="163"/>
  <c r="Q424" i="164"/>
  <c r="T270" i="165"/>
  <c r="T350" i="163"/>
  <c r="W359" i="163"/>
  <c r="W335" i="165"/>
  <c r="T342" i="165"/>
  <c r="Q342" i="164"/>
  <c r="T277" i="163"/>
  <c r="T197" i="163"/>
  <c r="W261" i="164"/>
  <c r="T439" i="165"/>
  <c r="Q176" i="165"/>
  <c r="W292" i="163"/>
  <c r="W350" i="164"/>
  <c r="T270" i="164"/>
  <c r="T417" i="165"/>
  <c r="W410" i="163"/>
  <c r="Q388" i="165"/>
  <c r="T215" i="165" l="1"/>
  <c r="T215" i="164"/>
  <c r="W177" i="165"/>
  <c r="W177" i="164"/>
  <c r="Q253" i="164"/>
  <c r="T253" i="164"/>
  <c r="W215" i="165"/>
  <c r="W215" i="164"/>
  <c r="Q253" i="165"/>
  <c r="T253" i="165"/>
  <c r="Q177" i="165"/>
  <c r="Q215" i="164"/>
  <c r="T177" i="165"/>
  <c r="T177" i="164"/>
  <c r="W253" i="165"/>
  <c r="W253" i="164"/>
  <c r="Q215" i="165"/>
  <c r="Q177" i="164"/>
  <c r="T177" i="163"/>
  <c r="W177" i="163"/>
  <c r="T215" i="163"/>
  <c r="Q177" i="163"/>
  <c r="W215" i="163"/>
  <c r="Q215" i="163"/>
  <c r="T253" i="163"/>
  <c r="W253" i="163"/>
  <c r="Q253" i="163"/>
  <c r="EC10" i="98"/>
  <c r="H46" i="98" s="1"/>
  <c r="J41" i="98"/>
  <c r="J43" i="98"/>
  <c r="H44" i="98"/>
  <c r="H43" i="98"/>
  <c r="BA8" i="98" a="1"/>
  <c r="BA8" i="98" s="1"/>
  <c r="BB7" i="98"/>
  <c r="BF7" i="98"/>
  <c r="BG7" i="98"/>
  <c r="BG6" i="98"/>
  <c r="BF6" i="98"/>
  <c r="BH7" i="98"/>
  <c r="BH6" i="98"/>
  <c r="BD6" i="98"/>
  <c r="BI7" i="98"/>
  <c r="ED10" i="98"/>
  <c r="ED5" i="98"/>
  <c r="BI6" i="98"/>
  <c r="BK6" i="98"/>
  <c r="BD7" i="98"/>
  <c r="BJ7" i="98"/>
  <c r="BE7" i="98"/>
  <c r="EC5" i="98"/>
  <c r="BJ6" i="98"/>
  <c r="BE6" i="98"/>
  <c r="BK7" i="98"/>
  <c r="EB10" i="98"/>
  <c r="EB5" i="98"/>
  <c r="W32" i="165"/>
  <c r="W236" i="164"/>
  <c r="Q343" i="163"/>
  <c r="T33" i="164"/>
  <c r="Q287" i="165"/>
  <c r="T432" i="164"/>
  <c r="W374" i="164"/>
  <c r="W236" i="163"/>
  <c r="Q405" i="165"/>
  <c r="W271" i="165"/>
  <c r="Q403" i="165"/>
  <c r="T345" i="165"/>
  <c r="W285" i="163"/>
  <c r="Q198" i="165"/>
  <c r="T418" i="165"/>
  <c r="W300" i="165"/>
  <c r="T376" i="163"/>
  <c r="Q287" i="163"/>
  <c r="Q418" i="164"/>
  <c r="W418" i="164"/>
  <c r="Q31" i="164"/>
  <c r="W343" i="163"/>
  <c r="T434" i="163"/>
  <c r="T316" i="165"/>
  <c r="W329" i="165"/>
  <c r="T271" i="163"/>
  <c r="T418" i="163"/>
  <c r="W405" i="165"/>
  <c r="W236" i="165"/>
  <c r="W287" i="163"/>
  <c r="W316" i="165"/>
  <c r="W31" i="164"/>
  <c r="Q160" i="164"/>
  <c r="T389" i="164"/>
  <c r="T343" i="163"/>
  <c r="T33" i="165"/>
  <c r="W360" i="165"/>
  <c r="W300" i="164"/>
  <c r="Q329" i="163"/>
  <c r="W300" i="163"/>
  <c r="W314" i="165"/>
  <c r="W418" i="165"/>
  <c r="W403" i="163"/>
  <c r="T374" i="163"/>
  <c r="T434" i="164"/>
  <c r="T314" i="164"/>
  <c r="W31" i="165"/>
  <c r="T405" i="165"/>
  <c r="W316" i="163"/>
  <c r="W360" i="163"/>
  <c r="W376" i="164"/>
  <c r="T432" i="165"/>
  <c r="Q316" i="163"/>
  <c r="W33" i="163"/>
  <c r="Q374" i="165"/>
  <c r="Q271" i="164"/>
  <c r="T316" i="163"/>
  <c r="T285" i="165"/>
  <c r="Q434" i="163"/>
  <c r="T418" i="164"/>
  <c r="W345" i="163"/>
  <c r="Q376" i="165"/>
  <c r="Q236" i="164"/>
  <c r="W403" i="164"/>
  <c r="Q432" i="165"/>
  <c r="T329" i="164"/>
  <c r="Q32" i="165"/>
  <c r="Q316" i="164"/>
  <c r="T374" i="165"/>
  <c r="W360" i="164"/>
  <c r="T285" i="164"/>
  <c r="W31" i="163"/>
  <c r="Q376" i="164"/>
  <c r="W160" i="165"/>
  <c r="T376" i="165"/>
  <c r="T374" i="164"/>
  <c r="W160" i="164"/>
  <c r="T160" i="163"/>
  <c r="T300" i="165"/>
  <c r="W434" i="164"/>
  <c r="T236" i="164"/>
  <c r="W374" i="163"/>
  <c r="W33" i="165"/>
  <c r="T345" i="163"/>
  <c r="Q314" i="165"/>
  <c r="Q343" i="164"/>
  <c r="T360" i="164"/>
  <c r="Q33" i="164"/>
  <c r="Q374" i="164"/>
  <c r="T236" i="163"/>
  <c r="W329" i="164"/>
  <c r="Q198" i="163"/>
  <c r="Q405" i="163"/>
  <c r="Q271" i="163"/>
  <c r="T32" i="164"/>
  <c r="T432" i="163"/>
  <c r="Q418" i="165"/>
  <c r="Q405" i="164"/>
  <c r="W374" i="165"/>
  <c r="W287" i="164"/>
  <c r="T360" i="165"/>
  <c r="T271" i="165"/>
  <c r="T198" i="163"/>
  <c r="W314" i="164"/>
  <c r="Q160" i="165"/>
  <c r="Q31" i="165"/>
  <c r="Q33" i="165"/>
  <c r="T403" i="163"/>
  <c r="W432" i="164"/>
  <c r="W432" i="165"/>
  <c r="T314" i="165"/>
  <c r="W198" i="163"/>
  <c r="Q316" i="165"/>
  <c r="T31" i="165"/>
  <c r="W403" i="165"/>
  <c r="Q31" i="163"/>
  <c r="W33" i="164"/>
  <c r="Q198" i="164"/>
  <c r="T287" i="164"/>
  <c r="T300" i="164"/>
  <c r="Q300" i="163"/>
  <c r="Q314" i="163"/>
  <c r="W314" i="163"/>
  <c r="T405" i="164"/>
  <c r="Q343" i="165"/>
  <c r="Q374" i="163"/>
  <c r="W405" i="163"/>
  <c r="Q434" i="164"/>
  <c r="W316" i="164"/>
  <c r="T285" i="163"/>
  <c r="Q160" i="163"/>
  <c r="T198" i="164"/>
  <c r="W345" i="165"/>
  <c r="T198" i="165"/>
  <c r="W329" i="163"/>
  <c r="T376" i="164"/>
  <c r="Q300" i="164"/>
  <c r="T287" i="165"/>
  <c r="Q376" i="163"/>
  <c r="W32" i="164"/>
  <c r="Q434" i="165"/>
  <c r="W198" i="165"/>
  <c r="T287" i="163"/>
  <c r="T32" i="165"/>
  <c r="T160" i="165"/>
  <c r="Q329" i="164"/>
  <c r="T160" i="164"/>
  <c r="T314" i="163"/>
  <c r="Q285" i="163"/>
  <c r="Q360" i="164"/>
  <c r="W389" i="165"/>
  <c r="T345" i="164"/>
  <c r="W389" i="163"/>
  <c r="W418" i="163"/>
  <c r="W343" i="165"/>
  <c r="T33" i="163"/>
  <c r="T403" i="165"/>
  <c r="W405" i="164"/>
  <c r="W434" i="163"/>
  <c r="Q314" i="164"/>
  <c r="W271" i="164"/>
  <c r="Q285" i="164"/>
  <c r="T300" i="163"/>
  <c r="Q345" i="165"/>
  <c r="W343" i="164"/>
  <c r="W271" i="163"/>
  <c r="Q287" i="164"/>
  <c r="Q432" i="163"/>
  <c r="Q360" i="165"/>
  <c r="T343" i="164"/>
  <c r="T360" i="163"/>
  <c r="Q389" i="163"/>
  <c r="T403" i="164"/>
  <c r="T329" i="163"/>
  <c r="W432" i="163"/>
  <c r="T316" i="164"/>
  <c r="T389" i="163"/>
  <c r="Q389" i="164"/>
  <c r="T32" i="163"/>
  <c r="Q271" i="165"/>
  <c r="W389" i="164"/>
  <c r="Q418" i="163"/>
  <c r="Q432" i="164"/>
  <c r="T271" i="164"/>
  <c r="Q360" i="163"/>
  <c r="Q403" i="164"/>
  <c r="Q345" i="164"/>
  <c r="T405" i="163"/>
  <c r="W345" i="164"/>
  <c r="T343" i="165"/>
  <c r="W160" i="163"/>
  <c r="W376" i="163"/>
  <c r="W198" i="164"/>
  <c r="Q33" i="163"/>
  <c r="Q32" i="164"/>
  <c r="T31" i="163"/>
  <c r="Q300" i="165"/>
  <c r="Q285" i="165"/>
  <c r="W32" i="163"/>
  <c r="Q329" i="165"/>
  <c r="Q345" i="163"/>
  <c r="W287" i="165"/>
  <c r="W285" i="165"/>
  <c r="W285" i="164"/>
  <c r="T434" i="165"/>
  <c r="T236" i="165"/>
  <c r="T389" i="165"/>
  <c r="W434" i="165"/>
  <c r="W376" i="165"/>
  <c r="T31" i="164"/>
  <c r="Q403" i="163"/>
  <c r="Q236" i="165"/>
  <c r="Q236" i="163"/>
  <c r="Q389" i="165"/>
  <c r="T329" i="165"/>
  <c r="Q32" i="163"/>
  <c r="W272" i="164" l="1"/>
  <c r="W273" i="164" s="1"/>
  <c r="W301" i="165"/>
  <c r="W302" i="165" s="1"/>
  <c r="W361" i="164"/>
  <c r="W362" i="164" s="1"/>
  <c r="Q390" i="165"/>
  <c r="Q391" i="165" s="1"/>
  <c r="Q272" i="164"/>
  <c r="Q273" i="164" s="1"/>
  <c r="W161" i="165"/>
  <c r="W162" i="165" s="1"/>
  <c r="W199" i="164"/>
  <c r="W200" i="164" s="1"/>
  <c r="T199" i="165"/>
  <c r="T200" i="165" s="1"/>
  <c r="T272" i="165"/>
  <c r="T273" i="165" s="1"/>
  <c r="Q390" i="164"/>
  <c r="Q391" i="164" s="1"/>
  <c r="W237" i="165"/>
  <c r="W238" i="165" s="1"/>
  <c r="W330" i="165"/>
  <c r="W331" i="165" s="1"/>
  <c r="T390" i="164"/>
  <c r="T391" i="164" s="1"/>
  <c r="W237" i="164"/>
  <c r="W238" i="164" s="1"/>
  <c r="W199" i="165"/>
  <c r="W200" i="165" s="1"/>
  <c r="T361" i="164"/>
  <c r="T362" i="164" s="1"/>
  <c r="T161" i="164"/>
  <c r="T162" i="164" s="1"/>
  <c r="T272" i="164"/>
  <c r="T273" i="164" s="1"/>
  <c r="T301" i="164"/>
  <c r="T302" i="164" s="1"/>
  <c r="W419" i="165"/>
  <c r="W420" i="165" s="1"/>
  <c r="W301" i="164"/>
  <c r="W302" i="164" s="1"/>
  <c r="T330" i="164"/>
  <c r="T331" i="164" s="1"/>
  <c r="T419" i="165"/>
  <c r="T420" i="165" s="1"/>
  <c r="W161" i="164"/>
  <c r="W162" i="164" s="1"/>
  <c r="W390" i="165"/>
  <c r="W391" i="165" s="1"/>
  <c r="W419" i="164"/>
  <c r="W420" i="164" s="1"/>
  <c r="T390" i="165"/>
  <c r="T391" i="165" s="1"/>
  <c r="Q237" i="165"/>
  <c r="Q238" i="165" s="1"/>
  <c r="T237" i="164"/>
  <c r="T238" i="164" s="1"/>
  <c r="T361" i="165"/>
  <c r="T362" i="165" s="1"/>
  <c r="Q419" i="165"/>
  <c r="Q420" i="165" s="1"/>
  <c r="T199" i="164"/>
  <c r="T200" i="164" s="1"/>
  <c r="W390" i="164"/>
  <c r="W391" i="164" s="1"/>
  <c r="Q301" i="165"/>
  <c r="Q302" i="165" s="1"/>
  <c r="T419" i="164"/>
  <c r="T420" i="164" s="1"/>
  <c r="Q161" i="164"/>
  <c r="Q162" i="164" s="1"/>
  <c r="Q161" i="165"/>
  <c r="Q162" i="165" s="1"/>
  <c r="T330" i="165"/>
  <c r="T331" i="165" s="1"/>
  <c r="Q272" i="165"/>
  <c r="Q273" i="165" s="1"/>
  <c r="Q301" i="164"/>
  <c r="Q302" i="164" s="1"/>
  <c r="Q330" i="165"/>
  <c r="Q331" i="165" s="1"/>
  <c r="Q330" i="164"/>
  <c r="Q331" i="164" s="1"/>
  <c r="Q237" i="164"/>
  <c r="Q238" i="164" s="1"/>
  <c r="T161" i="165"/>
  <c r="T162" i="165" s="1"/>
  <c r="W361" i="165"/>
  <c r="W362" i="165" s="1"/>
  <c r="T301" i="165"/>
  <c r="T302" i="165" s="1"/>
  <c r="W330" i="164"/>
  <c r="W331" i="164" s="1"/>
  <c r="Q361" i="165"/>
  <c r="Q362" i="165" s="1"/>
  <c r="Q199" i="164"/>
  <c r="Q200" i="164" s="1"/>
  <c r="Q199" i="165"/>
  <c r="Q200" i="165" s="1"/>
  <c r="W272" i="165"/>
  <c r="W273" i="165" s="1"/>
  <c r="Q361" i="164"/>
  <c r="Q362" i="164" s="1"/>
  <c r="Q419" i="164"/>
  <c r="Q420" i="164" s="1"/>
  <c r="T237" i="165"/>
  <c r="T238" i="165" s="1"/>
  <c r="T390" i="163"/>
  <c r="T391" i="163" s="1"/>
  <c r="T161" i="163"/>
  <c r="T162" i="163" s="1"/>
  <c r="W301" i="163"/>
  <c r="W302" i="163" s="1"/>
  <c r="W161" i="163"/>
  <c r="W162" i="163" s="1"/>
  <c r="Q390" i="163"/>
  <c r="Q391" i="163" s="1"/>
  <c r="T361" i="163"/>
  <c r="T362" i="163" s="1"/>
  <c r="T330" i="163"/>
  <c r="T331" i="163" s="1"/>
  <c r="W390" i="163"/>
  <c r="W391" i="163" s="1"/>
  <c r="Q272" i="163"/>
  <c r="Q273" i="163" s="1"/>
  <c r="W361" i="163"/>
  <c r="W362" i="163" s="1"/>
  <c r="Q237" i="163"/>
  <c r="Q238" i="163" s="1"/>
  <c r="W330" i="163"/>
  <c r="W331" i="163" s="1"/>
  <c r="T199" i="163"/>
  <c r="T200" i="163" s="1"/>
  <c r="T272" i="163"/>
  <c r="T273" i="163" s="1"/>
  <c r="Q419" i="163"/>
  <c r="Q420" i="163" s="1"/>
  <c r="T301" i="163"/>
  <c r="T302" i="163" s="1"/>
  <c r="W272" i="163"/>
  <c r="W273" i="163" s="1"/>
  <c r="W419" i="163"/>
  <c r="W420" i="163" s="1"/>
  <c r="W237" i="163"/>
  <c r="W238" i="163" s="1"/>
  <c r="Q161" i="163"/>
  <c r="Q162" i="163" s="1"/>
  <c r="T237" i="163"/>
  <c r="T238" i="163" s="1"/>
  <c r="T419" i="163"/>
  <c r="T420" i="163" s="1"/>
  <c r="W199" i="163"/>
  <c r="W200" i="163" s="1"/>
  <c r="Q199" i="163"/>
  <c r="Q200" i="163" s="1"/>
  <c r="Q361" i="163"/>
  <c r="Q362" i="163" s="1"/>
  <c r="Q301" i="163"/>
  <c r="Q302" i="163" s="1"/>
  <c r="Q330" i="163"/>
  <c r="Q331" i="163" s="1"/>
  <c r="H41" i="98"/>
  <c r="BA9" i="98" a="1"/>
  <c r="BA9" i="98" s="1"/>
  <c r="BC8" i="98" a="1"/>
  <c r="BC8" i="98" s="1"/>
  <c r="BD8" i="98" s="1"/>
  <c r="BB8" i="98"/>
  <c r="W201" i="164"/>
  <c r="W346" i="163"/>
  <c r="T254" i="164"/>
  <c r="W254" i="164"/>
  <c r="W317" i="164"/>
  <c r="T216" i="163"/>
  <c r="W435" i="163"/>
  <c r="Q317" i="163"/>
  <c r="W239" i="163"/>
  <c r="T178" i="163"/>
  <c r="W178" i="164"/>
  <c r="T256" i="163"/>
  <c r="Q163" i="165"/>
  <c r="Q332" i="165"/>
  <c r="T363" i="165"/>
  <c r="Q178" i="163"/>
  <c r="W180" i="165"/>
  <c r="Q218" i="164"/>
  <c r="Q346" i="165"/>
  <c r="T392" i="165"/>
  <c r="Q377" i="163"/>
  <c r="T180" i="165"/>
  <c r="T435" i="164"/>
  <c r="W303" i="164"/>
  <c r="W392" i="165"/>
  <c r="T406" i="163"/>
  <c r="T254" i="163"/>
  <c r="W256" i="165"/>
  <c r="T317" i="163"/>
  <c r="T239" i="165"/>
  <c r="W218" i="165"/>
  <c r="Q216" i="163"/>
  <c r="T216" i="164"/>
  <c r="Q254" i="165"/>
  <c r="W218" i="164"/>
  <c r="T256" i="165"/>
  <c r="Q163" i="163"/>
  <c r="Q288" i="163"/>
  <c r="W201" i="165"/>
  <c r="Q256" i="163"/>
  <c r="T180" i="164"/>
  <c r="T332" i="164"/>
  <c r="W163" i="165"/>
  <c r="T346" i="165"/>
  <c r="T274" i="164"/>
  <c r="W346" i="164"/>
  <c r="W332" i="163"/>
  <c r="Q201" i="165"/>
  <c r="Q377" i="165"/>
  <c r="Q180" i="163"/>
  <c r="W180" i="164"/>
  <c r="Q239" i="164"/>
  <c r="T303" i="165"/>
  <c r="T303" i="164"/>
  <c r="Q288" i="165"/>
  <c r="T216" i="165"/>
  <c r="W216" i="165"/>
  <c r="W435" i="165"/>
  <c r="T421" i="164"/>
  <c r="Q332" i="163"/>
  <c r="Q180" i="164"/>
  <c r="W274" i="164"/>
  <c r="Q392" i="164"/>
  <c r="W178" i="163"/>
  <c r="T288" i="164"/>
  <c r="W303" i="163"/>
  <c r="Q406" i="163"/>
  <c r="W254" i="163"/>
  <c r="Q254" i="163"/>
  <c r="Q406" i="164"/>
  <c r="T163" i="164"/>
  <c r="T180" i="163"/>
  <c r="T317" i="165"/>
  <c r="T288" i="165"/>
  <c r="W163" i="163"/>
  <c r="Q363" i="163"/>
  <c r="Q303" i="165"/>
  <c r="T377" i="164"/>
  <c r="T317" i="164"/>
  <c r="Q317" i="165"/>
  <c r="T406" i="164"/>
  <c r="T218" i="163"/>
  <c r="Q216" i="164"/>
  <c r="Q254" i="164"/>
  <c r="T239" i="163"/>
  <c r="T256" i="164"/>
  <c r="W406" i="164"/>
  <c r="W216" i="163"/>
  <c r="T288" i="163"/>
  <c r="W421" i="164"/>
  <c r="W288" i="165"/>
  <c r="W218" i="163"/>
  <c r="W303" i="165"/>
  <c r="T218" i="165"/>
  <c r="W346" i="165"/>
  <c r="W406" i="165"/>
  <c r="W406" i="163"/>
  <c r="Q435" i="163"/>
  <c r="W256" i="164"/>
  <c r="W201" i="163"/>
  <c r="Q346" i="163"/>
  <c r="W239" i="164"/>
  <c r="W377" i="165"/>
  <c r="Q218" i="165"/>
  <c r="Q256" i="165"/>
  <c r="T332" i="165"/>
  <c r="Q435" i="165"/>
  <c r="W392" i="163"/>
  <c r="T421" i="165"/>
  <c r="W332" i="164"/>
  <c r="W317" i="163"/>
  <c r="Q180" i="165"/>
  <c r="W317" i="165"/>
  <c r="T392" i="163"/>
  <c r="W254" i="165"/>
  <c r="T435" i="165"/>
  <c r="W363" i="165"/>
  <c r="T274" i="165"/>
  <c r="Q274" i="164"/>
  <c r="Q421" i="165"/>
  <c r="T254" i="165"/>
  <c r="Q201" i="163"/>
  <c r="T239" i="164"/>
  <c r="Q274" i="163"/>
  <c r="W180" i="163"/>
  <c r="W274" i="163"/>
  <c r="T178" i="164"/>
  <c r="Q363" i="165"/>
  <c r="Q435" i="164"/>
  <c r="W377" i="164"/>
  <c r="W239" i="165"/>
  <c r="W435" i="164"/>
  <c r="Q392" i="163"/>
  <c r="T332" i="163"/>
  <c r="Q178" i="165"/>
  <c r="Q332" i="164"/>
  <c r="T201" i="163"/>
  <c r="W288" i="163"/>
  <c r="W392" i="164"/>
  <c r="Q274" i="165"/>
  <c r="T406" i="165"/>
  <c r="T346" i="164"/>
  <c r="W256" i="163"/>
  <c r="Q256" i="164"/>
  <c r="T218" i="164"/>
  <c r="T377" i="163"/>
  <c r="Q377" i="164"/>
  <c r="T178" i="165"/>
  <c r="Q303" i="163"/>
  <c r="Q363" i="164"/>
  <c r="T303" i="163"/>
  <c r="Q288" i="164"/>
  <c r="Q421" i="164"/>
  <c r="Q163" i="164"/>
  <c r="Q201" i="164"/>
  <c r="T346" i="163"/>
  <c r="T435" i="163"/>
  <c r="W288" i="164"/>
  <c r="W377" i="163"/>
  <c r="W178" i="165"/>
  <c r="Q421" i="163"/>
  <c r="Q216" i="165"/>
  <c r="Q178" i="164"/>
  <c r="Q346" i="164"/>
  <c r="Q317" i="164"/>
  <c r="W363" i="164"/>
  <c r="T377" i="165"/>
  <c r="Q239" i="163"/>
  <c r="T274" i="163"/>
  <c r="W216" i="164"/>
  <c r="Q406" i="165"/>
  <c r="Q218" i="163"/>
  <c r="T392" i="164"/>
  <c r="W274" i="165"/>
  <c r="W332" i="165"/>
  <c r="W421" i="165"/>
  <c r="W163" i="164"/>
  <c r="Q303" i="164"/>
  <c r="T163" i="163"/>
  <c r="W363" i="163"/>
  <c r="T421" i="163"/>
  <c r="Q392" i="165"/>
  <c r="T201" i="165"/>
  <c r="T363" i="164"/>
  <c r="Q239" i="165"/>
  <c r="T201" i="164"/>
  <c r="T163" i="165"/>
  <c r="T363" i="163"/>
  <c r="W421" i="163"/>
  <c r="BH8" i="98" l="1"/>
  <c r="BG8" i="98"/>
  <c r="BE8" i="98"/>
  <c r="BK8" i="98"/>
  <c r="BA10" i="98" a="1"/>
  <c r="BA10" i="98" s="1"/>
  <c r="BA11" i="98" s="1" a="1"/>
  <c r="BA11" i="98" s="1"/>
  <c r="BF8" i="98"/>
  <c r="BJ8" i="98"/>
  <c r="BI8" i="98"/>
  <c r="BC9" i="98" a="1"/>
  <c r="BC9" i="98" s="1"/>
  <c r="BJ9" i="98" s="1"/>
  <c r="BB9" i="98"/>
  <c r="T219" i="164"/>
  <c r="W257" i="165"/>
  <c r="W181" i="164"/>
  <c r="Q219" i="163"/>
  <c r="T219" i="165"/>
  <c r="W257" i="164"/>
  <c r="Q257" i="165"/>
  <c r="W219" i="163"/>
  <c r="T257" i="163"/>
  <c r="T257" i="165"/>
  <c r="W181" i="165"/>
  <c r="W181" i="163"/>
  <c r="Q257" i="164"/>
  <c r="Q181" i="165"/>
  <c r="Q219" i="164"/>
  <c r="Q219" i="165"/>
  <c r="T181" i="165"/>
  <c r="W257" i="163"/>
  <c r="W219" i="164"/>
  <c r="T181" i="163"/>
  <c r="T219" i="163"/>
  <c r="Q181" i="164"/>
  <c r="Q181" i="163"/>
  <c r="W219" i="165"/>
  <c r="T257" i="164"/>
  <c r="T181" i="164"/>
  <c r="Q257" i="163"/>
  <c r="BK9" i="98" l="1"/>
  <c r="BA12" i="98" a="1"/>
  <c r="BA12" i="98" s="1"/>
  <c r="BC11" i="98" a="1"/>
  <c r="BC11" i="98" s="1"/>
  <c r="BJ11" i="98" s="1"/>
  <c r="BB11" i="98"/>
  <c r="BG9" i="98"/>
  <c r="BI9" i="98"/>
  <c r="BE9" i="98"/>
  <c r="BD9" i="98"/>
  <c r="BF9" i="98"/>
  <c r="BC10" i="98" a="1"/>
  <c r="BC10" i="98" s="1"/>
  <c r="BJ10" i="98" s="1"/>
  <c r="BB10" i="98"/>
  <c r="BH9" i="98"/>
  <c r="BF11" i="98" l="1"/>
  <c r="BH11" i="98"/>
  <c r="BF10" i="98"/>
  <c r="BG11" i="98"/>
  <c r="BE11" i="98"/>
  <c r="BD11" i="98"/>
  <c r="BI11" i="98"/>
  <c r="BA13" i="98" a="1"/>
  <c r="BA13" i="98" s="1"/>
  <c r="BK11" i="98"/>
  <c r="BD10" i="98"/>
  <c r="BI10" i="98"/>
  <c r="BH10" i="98"/>
  <c r="BE10" i="98"/>
  <c r="BG10" i="98"/>
  <c r="BK10" i="98"/>
  <c r="BC12" i="98" a="1"/>
  <c r="BC12" i="98" s="1"/>
  <c r="BI12" i="98" s="1"/>
  <c r="BB12" i="98"/>
  <c r="BD12" i="98" l="1"/>
  <c r="BG12" i="98"/>
  <c r="BH12" i="98"/>
  <c r="BA14" i="98" a="1"/>
  <c r="BA14" i="98" s="1"/>
  <c r="BC13" i="98" a="1"/>
  <c r="BC13" i="98" s="1"/>
  <c r="BF13" i="98" s="1"/>
  <c r="BB13" i="98"/>
  <c r="BF12" i="98"/>
  <c r="BE12" i="98"/>
  <c r="BJ12" i="98"/>
  <c r="BK12" i="98"/>
  <c r="BK13" i="98" l="1"/>
  <c r="BI13" i="98"/>
  <c r="BD13" i="98"/>
  <c r="BE13" i="98"/>
  <c r="BH13" i="98"/>
  <c r="BJ13" i="98"/>
  <c r="BC14" i="98" a="1"/>
  <c r="BC14" i="98" s="1"/>
  <c r="BE14" i="98" s="1"/>
  <c r="BB14" i="98"/>
  <c r="BG13" i="98"/>
  <c r="BA15" i="98" a="1"/>
  <c r="BA15" i="98" s="1"/>
  <c r="BI14" i="98" l="1"/>
  <c r="BF14" i="98"/>
  <c r="BC15" i="98" a="1"/>
  <c r="BC15" i="98" s="1"/>
  <c r="BE15" i="98" s="1"/>
  <c r="BB15" i="98"/>
  <c r="BJ14" i="98"/>
  <c r="BH14" i="98"/>
  <c r="BG14" i="98"/>
  <c r="BK14" i="98"/>
  <c r="BD14" i="98"/>
  <c r="BA16" i="98" a="1"/>
  <c r="BA16" i="98" s="1"/>
  <c r="BA17" i="98" s="1" a="1"/>
  <c r="BA17" i="98" s="1"/>
  <c r="BF15" i="98" l="1"/>
  <c r="BH15" i="98"/>
  <c r="BA18" i="98" a="1"/>
  <c r="BA18" i="98" s="1"/>
  <c r="BC17" i="98" a="1"/>
  <c r="BC17" i="98" s="1"/>
  <c r="BK17" i="98" s="1"/>
  <c r="BB17" i="98"/>
  <c r="BJ15" i="98"/>
  <c r="BK15" i="98"/>
  <c r="BC16" i="98" a="1"/>
  <c r="BC16" i="98" s="1"/>
  <c r="BG16" i="98" s="1"/>
  <c r="BB16" i="98"/>
  <c r="BD15" i="98"/>
  <c r="BG15" i="98"/>
  <c r="BI15" i="98"/>
  <c r="BD17" i="98" l="1"/>
  <c r="BG17" i="98"/>
  <c r="BI16" i="98"/>
  <c r="BJ16" i="98"/>
  <c r="BE17" i="98"/>
  <c r="BD16" i="98"/>
  <c r="BH16" i="98"/>
  <c r="BH17" i="98"/>
  <c r="BF16" i="98"/>
  <c r="BE16" i="98"/>
  <c r="BI17" i="98"/>
  <c r="BJ17" i="98"/>
  <c r="BA19" i="98" a="1"/>
  <c r="BA19" i="98" s="1"/>
  <c r="BK16" i="98"/>
  <c r="BF17" i="98"/>
  <c r="BC18" i="98" a="1"/>
  <c r="BC18" i="98" s="1"/>
  <c r="BK18" i="98" s="1"/>
  <c r="BB18" i="98"/>
  <c r="BG18" i="98" l="1"/>
  <c r="BD18" i="98"/>
  <c r="BJ18" i="98"/>
  <c r="BH18" i="98"/>
  <c r="BE18" i="98"/>
  <c r="BF18" i="98"/>
  <c r="BI18" i="98"/>
  <c r="BC19" i="98" a="1"/>
  <c r="BC19" i="98" s="1"/>
  <c r="BE19" i="98" s="1"/>
  <c r="BB19" i="98"/>
  <c r="BA20" i="98" a="1"/>
  <c r="BA20" i="98" s="1"/>
  <c r="BA21" i="98" s="1" a="1"/>
  <c r="BA21" i="98" s="1"/>
  <c r="BA22" i="98" l="1" a="1"/>
  <c r="BA22" i="98" s="1"/>
  <c r="BA23" i="98" s="1" a="1"/>
  <c r="BA23" i="98" s="1"/>
  <c r="BC21" i="98" a="1"/>
  <c r="BC21" i="98" s="1"/>
  <c r="BD21" i="98" s="1"/>
  <c r="BB21" i="98"/>
  <c r="BK19" i="98"/>
  <c r="BG19" i="98"/>
  <c r="BB20" i="98"/>
  <c r="BC20" i="98" a="1"/>
  <c r="BC20" i="98" s="1"/>
  <c r="BH20" i="98" s="1"/>
  <c r="BI19" i="98"/>
  <c r="BD19" i="98"/>
  <c r="BH19" i="98"/>
  <c r="BJ19" i="98"/>
  <c r="BF19" i="98"/>
  <c r="BF20" i="98" l="1"/>
  <c r="BK20" i="98"/>
  <c r="BF21" i="98"/>
  <c r="BE21" i="98"/>
  <c r="BI20" i="98"/>
  <c r="BD20" i="98"/>
  <c r="BH21" i="98"/>
  <c r="BG20" i="98"/>
  <c r="BJ20" i="98"/>
  <c r="BI21" i="98"/>
  <c r="BC23" i="98" a="1"/>
  <c r="BC23" i="98" s="1"/>
  <c r="BG23" i="98" s="1"/>
  <c r="BB23" i="98"/>
  <c r="BA24" i="98" a="1"/>
  <c r="BA24" i="98" s="1"/>
  <c r="BE20" i="98"/>
  <c r="BJ21" i="98"/>
  <c r="BG21" i="98"/>
  <c r="BK21" i="98"/>
  <c r="BC22" i="98" a="1"/>
  <c r="BC22" i="98" s="1"/>
  <c r="BG22" i="98" s="1"/>
  <c r="BB22" i="98"/>
  <c r="BE22" i="98" l="1"/>
  <c r="BJ22" i="98"/>
  <c r="BI23" i="98"/>
  <c r="BK23" i="98"/>
  <c r="BI22" i="98"/>
  <c r="BK22" i="98"/>
  <c r="BF23" i="98"/>
  <c r="BE23" i="98"/>
  <c r="BC24" i="98" a="1"/>
  <c r="BC24" i="98" s="1"/>
  <c r="BI24" i="98" s="1"/>
  <c r="BB24" i="98"/>
  <c r="BJ23" i="98"/>
  <c r="BH23" i="98"/>
  <c r="BA25" i="98" a="1"/>
  <c r="BA25" i="98" s="1"/>
  <c r="BH22" i="98"/>
  <c r="BF22" i="98"/>
  <c r="BD23" i="98"/>
  <c r="BD22" i="98"/>
  <c r="BG24" i="98" l="1"/>
  <c r="BC25" i="98" a="1"/>
  <c r="BC25" i="98" s="1"/>
  <c r="BI25" i="98" s="1"/>
  <c r="BB25" i="98"/>
  <c r="BH24" i="98"/>
  <c r="BE24" i="98"/>
  <c r="BD24" i="98"/>
  <c r="BA26" i="98" a="1"/>
  <c r="BA26" i="98" s="1"/>
  <c r="BJ24" i="98"/>
  <c r="BK24" i="98"/>
  <c r="BF24" i="98"/>
  <c r="BE25" i="98" l="1"/>
  <c r="BC26" i="98" a="1"/>
  <c r="BC26" i="98" s="1"/>
  <c r="BI26" i="98" s="1"/>
  <c r="BB26" i="98"/>
  <c r="BF25" i="98"/>
  <c r="BA27" i="98" a="1"/>
  <c r="BA27" i="98" s="1"/>
  <c r="BH25" i="98"/>
  <c r="BK25" i="98"/>
  <c r="BD25" i="98"/>
  <c r="BG25" i="98"/>
  <c r="BJ25" i="98"/>
  <c r="BD26" i="98" l="1"/>
  <c r="BC27" i="98" a="1"/>
  <c r="BC27" i="98" s="1"/>
  <c r="BG27" i="98" s="1"/>
  <c r="BB27" i="98"/>
  <c r="BA28" i="98" a="1"/>
  <c r="BA28" i="98" s="1"/>
  <c r="BA29" i="98" s="1" a="1"/>
  <c r="BA29" i="98" s="1"/>
  <c r="BG26" i="98"/>
  <c r="BF26" i="98"/>
  <c r="BE26" i="98"/>
  <c r="BJ26" i="98"/>
  <c r="BK26" i="98"/>
  <c r="BH26" i="98"/>
  <c r="BJ27" i="98" l="1"/>
  <c r="BE27" i="98"/>
  <c r="BD27" i="98"/>
  <c r="BK27" i="98"/>
  <c r="BH27" i="98"/>
  <c r="BC29" i="98" a="1"/>
  <c r="BC29" i="98" s="1"/>
  <c r="BF29" i="98" s="1"/>
  <c r="BB29" i="98"/>
  <c r="BC28" i="98" a="1"/>
  <c r="BC28" i="98" s="1"/>
  <c r="BH28" i="98" s="1"/>
  <c r="BB28" i="98"/>
  <c r="BA30" i="98" a="1"/>
  <c r="BA30" i="98" s="1"/>
  <c r="BC30" i="98" s="1" a="1"/>
  <c r="BC30" i="98" s="1"/>
  <c r="BF27" i="98"/>
  <c r="BI27" i="98"/>
  <c r="BH29" i="98" l="1"/>
  <c r="BJ29" i="98"/>
  <c r="BD29" i="98"/>
  <c r="BJ28" i="98"/>
  <c r="BA31" i="98" a="1"/>
  <c r="BA31" i="98" s="1"/>
  <c r="BC31" i="98" s="1" a="1"/>
  <c r="BC31" i="98" s="1"/>
  <c r="BG29" i="98"/>
  <c r="BE28" i="98"/>
  <c r="BF28" i="98"/>
  <c r="BE29" i="98"/>
  <c r="BI29" i="98"/>
  <c r="BB30" i="98"/>
  <c r="BI28" i="98"/>
  <c r="BD28" i="98"/>
  <c r="BK28" i="98"/>
  <c r="BK29" i="98"/>
  <c r="BG28" i="98"/>
  <c r="BG30" i="98"/>
  <c r="BI30" i="98"/>
  <c r="BF30" i="98"/>
  <c r="BE30" i="98"/>
  <c r="BD30" i="98"/>
  <c r="BK30" i="98"/>
  <c r="BH30" i="98"/>
  <c r="BJ30" i="98"/>
  <c r="BB31" i="98" l="1"/>
  <c r="BA32" i="98" a="1"/>
  <c r="BA32" i="98" s="1"/>
  <c r="BC32" i="98" s="1" a="1"/>
  <c r="BC32" i="98" s="1"/>
  <c r="BD31" i="98"/>
  <c r="BI31" i="98"/>
  <c r="BK31" i="98"/>
  <c r="BE31" i="98"/>
  <c r="BH31" i="98"/>
  <c r="BJ31" i="98"/>
  <c r="BG31" i="98"/>
  <c r="BF31" i="98"/>
  <c r="BB32" i="98" l="1"/>
  <c r="BA33" i="98" a="1"/>
  <c r="BA33" i="98" s="1"/>
  <c r="BC33" i="98" s="1" a="1"/>
  <c r="BC33" i="98" s="1"/>
  <c r="BG32" i="98"/>
  <c r="BI32" i="98"/>
  <c r="BD32" i="98"/>
  <c r="BF32" i="98"/>
  <c r="BE32" i="98"/>
  <c r="BK32" i="98"/>
  <c r="BH32" i="98"/>
  <c r="BJ32" i="98"/>
  <c r="BA34" i="98" l="1" a="1"/>
  <c r="BA34" i="98" s="1"/>
  <c r="BC34" i="98" s="1" a="1"/>
  <c r="BC34" i="98" s="1"/>
  <c r="BB33" i="98"/>
  <c r="BG33" i="98"/>
  <c r="BH33" i="98"/>
  <c r="BF33" i="98"/>
  <c r="BE33" i="98"/>
  <c r="BI33" i="98"/>
  <c r="BK33" i="98"/>
  <c r="BD33" i="98"/>
  <c r="BJ33" i="98"/>
  <c r="BA35" i="98" l="1" a="1"/>
  <c r="BA35" i="98" s="1"/>
  <c r="BC35" i="98" s="1" a="1"/>
  <c r="BC35" i="98" s="1"/>
  <c r="BB34" i="98"/>
  <c r="BK34" i="98"/>
  <c r="BD34" i="98"/>
  <c r="BJ34" i="98"/>
  <c r="BH34" i="98"/>
  <c r="BF34" i="98"/>
  <c r="BI34" i="98"/>
  <c r="BG34" i="98"/>
  <c r="BE34" i="98"/>
  <c r="BA36" i="98" l="1" a="1"/>
  <c r="BA36" i="98" s="1"/>
  <c r="BC36" i="98" s="1" a="1"/>
  <c r="BC36" i="98" s="1"/>
  <c r="BB35" i="98"/>
  <c r="BG35" i="98"/>
  <c r="BD35" i="98"/>
  <c r="BF35" i="98"/>
  <c r="BE35" i="98"/>
  <c r="BK35" i="98"/>
  <c r="BI35" i="98"/>
  <c r="BH35" i="98"/>
  <c r="BJ35" i="98"/>
  <c r="BA37" i="98" l="1" a="1"/>
  <c r="BA37" i="98" s="1"/>
  <c r="BC37" i="98" s="1" a="1"/>
  <c r="BC37" i="98" s="1"/>
  <c r="BB36" i="98"/>
  <c r="BF36" i="98"/>
  <c r="BI36" i="98"/>
  <c r="BE36" i="98"/>
  <c r="BK36" i="98"/>
  <c r="BH36" i="98"/>
  <c r="BJ36" i="98"/>
  <c r="BG36" i="98"/>
  <c r="BD36" i="98"/>
  <c r="BB37" i="98" l="1"/>
  <c r="BA38" i="98" a="1"/>
  <c r="BA38" i="98" s="1"/>
  <c r="BC38" i="98" s="1" a="1"/>
  <c r="BC38" i="98" s="1"/>
  <c r="BE37" i="98"/>
  <c r="BF37" i="98"/>
  <c r="BH37" i="98"/>
  <c r="BI37" i="98"/>
  <c r="BK37" i="98"/>
  <c r="BD37" i="98"/>
  <c r="BJ37" i="98"/>
  <c r="BG37" i="98"/>
  <c r="BA39" i="98" l="1" a="1"/>
  <c r="BA39" i="98" s="1"/>
  <c r="BC39" i="98" s="1" a="1"/>
  <c r="BC39" i="98" s="1"/>
  <c r="BB38" i="98"/>
  <c r="BG38" i="98"/>
  <c r="BF38" i="98"/>
  <c r="BD38" i="98"/>
  <c r="BI38" i="98"/>
  <c r="BE38" i="98"/>
  <c r="BK38" i="98"/>
  <c r="BH38" i="98"/>
  <c r="BJ38" i="98"/>
  <c r="BA40" i="98" l="1" a="1"/>
  <c r="BA40" i="98" s="1"/>
  <c r="BC40" i="98" s="1" a="1"/>
  <c r="BC40" i="98" s="1"/>
  <c r="BB39" i="98"/>
  <c r="BE39" i="98"/>
  <c r="BD39" i="98"/>
  <c r="BF39" i="98"/>
  <c r="BI39" i="98"/>
  <c r="BK39" i="98"/>
  <c r="BH39" i="98"/>
  <c r="BJ39" i="98"/>
  <c r="BG39" i="98"/>
  <c r="BA41" i="98" l="1" a="1"/>
  <c r="BA41" i="98" s="1"/>
  <c r="BC41" i="98" s="1" a="1"/>
  <c r="BC41" i="98" s="1"/>
  <c r="BB40" i="98"/>
  <c r="BG40" i="98"/>
  <c r="BF40" i="98"/>
  <c r="BD40" i="98"/>
  <c r="BI40" i="98"/>
  <c r="BE40" i="98"/>
  <c r="BK40" i="98"/>
  <c r="BH40" i="98"/>
  <c r="BJ40" i="98"/>
  <c r="BA42" i="98" l="1" a="1"/>
  <c r="BA42" i="98" s="1"/>
  <c r="BC42" i="98" s="1" a="1"/>
  <c r="BC42" i="98" s="1"/>
  <c r="BB41" i="98"/>
  <c r="BG41" i="98"/>
  <c r="BJ41" i="98"/>
  <c r="BE41" i="98"/>
  <c r="BH41" i="98"/>
  <c r="BF41" i="98"/>
  <c r="BK41" i="98"/>
  <c r="BD41" i="98"/>
  <c r="BI41" i="98"/>
  <c r="BA43" i="98" l="1" a="1"/>
  <c r="BA43" i="98" s="1"/>
  <c r="BC43" i="98" s="1" a="1"/>
  <c r="BC43" i="98" s="1"/>
  <c r="BB42" i="98"/>
  <c r="BI42" i="98"/>
  <c r="BK42" i="98"/>
  <c r="BE42" i="98"/>
  <c r="BF42" i="98"/>
  <c r="BJ42" i="98"/>
  <c r="BD42" i="98"/>
  <c r="BH42" i="98"/>
  <c r="BG42" i="98"/>
  <c r="BB43" i="98" l="1"/>
  <c r="BA44" i="98" a="1"/>
  <c r="BA44" i="98" s="1"/>
  <c r="BC44" i="98" s="1" a="1"/>
  <c r="BC44" i="98" s="1"/>
  <c r="BF43" i="98"/>
  <c r="BD43" i="98"/>
  <c r="BK43" i="98"/>
  <c r="BI43" i="98"/>
  <c r="BE43" i="98"/>
  <c r="BH43" i="98"/>
  <c r="BJ43" i="98"/>
  <c r="BG43" i="98"/>
  <c r="BB44" i="98" l="1"/>
  <c r="BA45" i="98" a="1"/>
  <c r="BA45" i="98" s="1"/>
  <c r="BC45" i="98" s="1" a="1"/>
  <c r="BC45" i="98" s="1"/>
  <c r="BJ44" i="98"/>
  <c r="BD44" i="98"/>
  <c r="BE44" i="98"/>
  <c r="BF44" i="98"/>
  <c r="BH44" i="98"/>
  <c r="BK44" i="98"/>
  <c r="BI44" i="98"/>
  <c r="BG44" i="98"/>
  <c r="BA46" i="98" l="1" a="1"/>
  <c r="BA46" i="98" s="1"/>
  <c r="BC46" i="98" s="1" a="1"/>
  <c r="BC46" i="98" s="1"/>
  <c r="BB45" i="98"/>
  <c r="BH45" i="98"/>
  <c r="BD45" i="98"/>
  <c r="BE45" i="98"/>
  <c r="BK45" i="98"/>
  <c r="BJ45" i="98"/>
  <c r="BF45" i="98"/>
  <c r="BG45" i="98"/>
  <c r="BI45" i="98"/>
  <c r="BA47" i="98" l="1" a="1"/>
  <c r="BA47" i="98" s="1"/>
  <c r="BC47" i="98" s="1" a="1"/>
  <c r="BC47" i="98" s="1"/>
  <c r="BB46" i="98"/>
  <c r="BE46" i="98"/>
  <c r="BF46" i="98"/>
  <c r="BG46" i="98"/>
  <c r="BK46" i="98"/>
  <c r="BJ46" i="98"/>
  <c r="BI46" i="98"/>
  <c r="BH46" i="98"/>
  <c r="BD46" i="98"/>
  <c r="BA48" i="98" l="1" a="1"/>
  <c r="BA48" i="98" s="1"/>
  <c r="BC48" i="98" s="1" a="1"/>
  <c r="BC48" i="98" s="1"/>
  <c r="BB47" i="98"/>
  <c r="BD47" i="98"/>
  <c r="BJ47" i="98"/>
  <c r="BK47" i="98"/>
  <c r="BE47" i="98"/>
  <c r="BF47" i="98"/>
  <c r="BG47" i="98"/>
  <c r="BH47" i="98"/>
  <c r="BI47" i="98"/>
  <c r="BB48" i="98" l="1"/>
  <c r="BA49" i="98" a="1"/>
  <c r="BA49" i="98" s="1"/>
  <c r="BC49" i="98" s="1" a="1"/>
  <c r="BC49" i="98" s="1"/>
  <c r="BK48" i="98"/>
  <c r="BD48" i="98"/>
  <c r="BI48" i="98"/>
  <c r="BF48" i="98"/>
  <c r="BG48" i="98"/>
  <c r="BH48" i="98"/>
  <c r="BJ48" i="98"/>
  <c r="BE48" i="98"/>
  <c r="BA50" i="98" l="1" a="1"/>
  <c r="BA50" i="98" s="1"/>
  <c r="BC50" i="98" s="1" a="1"/>
  <c r="BC50" i="98" s="1"/>
  <c r="BB49" i="98"/>
  <c r="BI49" i="98"/>
  <c r="BE49" i="98"/>
  <c r="BF49" i="98"/>
  <c r="BK49" i="98"/>
  <c r="BJ49" i="98"/>
  <c r="BD49" i="98"/>
  <c r="BG49" i="98"/>
  <c r="BH49" i="98"/>
  <c r="BB50" i="98" l="1"/>
  <c r="BA51" i="98" a="1"/>
  <c r="BA51" i="98" s="1"/>
  <c r="BC51" i="98" s="1" a="1"/>
  <c r="BC51" i="98" s="1"/>
  <c r="BH50" i="98"/>
  <c r="BJ50" i="98"/>
  <c r="BK50" i="98"/>
  <c r="BI50" i="98"/>
  <c r="BF50" i="98"/>
  <c r="BE50" i="98"/>
  <c r="BD50" i="98"/>
  <c r="BG50" i="98"/>
  <c r="BB51" i="98" l="1"/>
  <c r="BA52" i="98" a="1"/>
  <c r="BA52" i="98" s="1"/>
  <c r="BC52" i="98" s="1" a="1"/>
  <c r="BC52" i="98" s="1"/>
  <c r="BI51" i="98"/>
  <c r="BH51" i="98"/>
  <c r="BE51" i="98"/>
  <c r="BK51" i="98"/>
  <c r="BD51" i="98"/>
  <c r="BF51" i="98"/>
  <c r="BG51" i="98"/>
  <c r="BJ51" i="98"/>
  <c r="BB52" i="98" l="1"/>
  <c r="BA53" i="98" a="1"/>
  <c r="BA53" i="98" s="1"/>
  <c r="BC53" i="98" s="1" a="1"/>
  <c r="BC53" i="98" s="1"/>
  <c r="BK52" i="98"/>
  <c r="BI52" i="98"/>
  <c r="BF52" i="98"/>
  <c r="BH52" i="98"/>
  <c r="BG52" i="98"/>
  <c r="BD52" i="98"/>
  <c r="BE52" i="98"/>
  <c r="BJ52" i="98"/>
  <c r="BA54" i="98" l="1" a="1"/>
  <c r="BA54" i="98" s="1"/>
  <c r="BC54" i="98" s="1" a="1"/>
  <c r="BC54" i="98" s="1"/>
  <c r="BB53" i="98"/>
  <c r="BG53" i="98"/>
  <c r="BI53" i="98"/>
  <c r="BH53" i="98"/>
  <c r="BD53" i="98"/>
  <c r="BE53" i="98"/>
  <c r="BK53" i="98"/>
  <c r="BJ53" i="98"/>
  <c r="BF53" i="98"/>
  <c r="BA55" i="98" l="1" a="1"/>
  <c r="BA55" i="98" s="1"/>
  <c r="BC55" i="98" s="1" a="1"/>
  <c r="BC55" i="98" s="1"/>
  <c r="BB54" i="98"/>
  <c r="BK54" i="98"/>
  <c r="BF54" i="98"/>
  <c r="BI54" i="98"/>
  <c r="BH54" i="98"/>
  <c r="BG54" i="98"/>
  <c r="BD54" i="98"/>
  <c r="BE54" i="98"/>
  <c r="BJ54" i="98"/>
  <c r="BA56" i="98" l="1" a="1"/>
  <c r="BA56" i="98" s="1"/>
  <c r="BC56" i="98" s="1" a="1"/>
  <c r="BC56" i="98" s="1"/>
  <c r="BB55" i="98"/>
  <c r="BG55" i="98"/>
  <c r="BI55" i="98"/>
  <c r="BD55" i="98"/>
  <c r="BE55" i="98"/>
  <c r="BJ55" i="98"/>
  <c r="BK55" i="98"/>
  <c r="BH55" i="98"/>
  <c r="BF55" i="98"/>
  <c r="BA57" i="98" l="1" a="1"/>
  <c r="BA57" i="98" s="1"/>
  <c r="BC57" i="98" s="1" a="1"/>
  <c r="BC57" i="98" s="1"/>
  <c r="BB56" i="98"/>
  <c r="BE56" i="98"/>
  <c r="BI56" i="98"/>
  <c r="BD56" i="98"/>
  <c r="BJ56" i="98"/>
  <c r="BK56" i="98"/>
  <c r="BF56" i="98"/>
  <c r="BG56" i="98"/>
  <c r="BH56" i="98"/>
  <c r="BA58" i="98" l="1" a="1"/>
  <c r="BA58" i="98" s="1"/>
  <c r="BC58" i="98" s="1" a="1"/>
  <c r="BC58" i="98" s="1"/>
  <c r="BB57" i="98"/>
  <c r="BG57" i="98"/>
  <c r="BI57" i="98"/>
  <c r="BJ57" i="98"/>
  <c r="BE57" i="98"/>
  <c r="BH57" i="98"/>
  <c r="BK57" i="98"/>
  <c r="BD57" i="98"/>
  <c r="BF57" i="98"/>
  <c r="BA59" i="98" l="1" a="1"/>
  <c r="BA59" i="98" s="1"/>
  <c r="BC59" i="98" s="1" a="1"/>
  <c r="BC59" i="98" s="1"/>
  <c r="BB58" i="98"/>
  <c r="BK58" i="98"/>
  <c r="BD58" i="98"/>
  <c r="BG58" i="98"/>
  <c r="BH58" i="98"/>
  <c r="BI58" i="98"/>
  <c r="BF58" i="98"/>
  <c r="BE58" i="98"/>
  <c r="BJ58" i="98"/>
  <c r="BA60" i="98" l="1" a="1"/>
  <c r="BA60" i="98" s="1"/>
  <c r="BC60" i="98" s="1" a="1"/>
  <c r="BC60" i="98" s="1"/>
  <c r="BB59" i="98"/>
  <c r="BK59" i="98"/>
  <c r="BF59" i="98"/>
  <c r="BG59" i="98"/>
  <c r="BJ59" i="98"/>
  <c r="BI59" i="98"/>
  <c r="BH59" i="98"/>
  <c r="BE59" i="98"/>
  <c r="BD59" i="98"/>
  <c r="BA61" i="98" l="1" a="1"/>
  <c r="BA61" i="98" s="1"/>
  <c r="BC61" i="98" s="1" a="1"/>
  <c r="BC61" i="98" s="1"/>
  <c r="BB60" i="98"/>
  <c r="BK60" i="98"/>
  <c r="BJ60" i="98"/>
  <c r="BH60" i="98"/>
  <c r="BG60" i="98"/>
  <c r="BF60" i="98"/>
  <c r="BI60" i="98"/>
  <c r="BD60" i="98"/>
  <c r="BE60" i="98"/>
  <c r="BA62" i="98" l="1" a="1"/>
  <c r="BA62" i="98" s="1"/>
  <c r="BC62" i="98" s="1" a="1"/>
  <c r="BC62" i="98" s="1"/>
  <c r="BB61" i="98"/>
  <c r="BF61" i="98"/>
  <c r="BK61" i="98"/>
  <c r="BI61" i="98"/>
  <c r="BH61" i="98"/>
  <c r="BJ61" i="98"/>
  <c r="BD61" i="98"/>
  <c r="BE61" i="98"/>
  <c r="BG61" i="98"/>
  <c r="BA63" i="98" l="1" a="1"/>
  <c r="BA63" i="98" s="1"/>
  <c r="BC63" i="98" s="1" a="1"/>
  <c r="BC63" i="98" s="1"/>
  <c r="BB62" i="98"/>
  <c r="BK62" i="98"/>
  <c r="BI62" i="98"/>
  <c r="BE62" i="98"/>
  <c r="BD62" i="98"/>
  <c r="BG62" i="98"/>
  <c r="BJ62" i="98"/>
  <c r="BH62" i="98"/>
  <c r="BF62" i="98"/>
  <c r="BA64" i="98" l="1" a="1"/>
  <c r="BA64" i="98" s="1"/>
  <c r="BC64" i="98" s="1" a="1"/>
  <c r="BC64" i="98" s="1"/>
  <c r="BB63" i="98"/>
  <c r="BF63" i="98"/>
  <c r="BE63" i="98"/>
  <c r="BK63" i="98"/>
  <c r="BG63" i="98"/>
  <c r="BD63" i="98"/>
  <c r="BJ63" i="98"/>
  <c r="BH63" i="98"/>
  <c r="BI63" i="98"/>
  <c r="BA65" i="98" l="1" a="1"/>
  <c r="BA65" i="98" s="1"/>
  <c r="BC65" i="98" s="1" a="1"/>
  <c r="BC65" i="98" s="1"/>
  <c r="BB64" i="98"/>
  <c r="BD64" i="98"/>
  <c r="BK64" i="98"/>
  <c r="BI64" i="98"/>
  <c r="BJ64" i="98"/>
  <c r="BG64" i="98"/>
  <c r="BE64" i="98"/>
  <c r="BH64" i="98"/>
  <c r="BF64" i="98"/>
  <c r="BB65" i="98" l="1"/>
  <c r="BA66" i="98" a="1"/>
  <c r="BA66" i="98" s="1"/>
  <c r="BC66" i="98" s="1" a="1"/>
  <c r="BC66" i="98" s="1"/>
  <c r="BH65" i="98"/>
  <c r="BE65" i="98"/>
  <c r="BI65" i="98"/>
  <c r="BK65" i="98"/>
  <c r="BD65" i="98"/>
  <c r="BF65" i="98"/>
  <c r="BG65" i="98"/>
  <c r="BJ65" i="98"/>
  <c r="BB66" i="98" l="1"/>
  <c r="BA67" i="98" a="1"/>
  <c r="BA67" i="98" s="1"/>
  <c r="BC67" i="98" s="1" a="1"/>
  <c r="BC67" i="98" s="1"/>
  <c r="BG66" i="98"/>
  <c r="BJ66" i="98"/>
  <c r="BH66" i="98"/>
  <c r="BE66" i="98"/>
  <c r="BI66" i="98"/>
  <c r="BK66" i="98"/>
  <c r="BF66" i="98"/>
  <c r="BD66" i="98"/>
  <c r="BA68" i="98" l="1" a="1"/>
  <c r="BA68" i="98" s="1"/>
  <c r="BC68" i="98" s="1" a="1"/>
  <c r="BC68" i="98" s="1"/>
  <c r="BB67" i="98"/>
  <c r="BI67" i="98"/>
  <c r="BF67" i="98"/>
  <c r="BE67" i="98"/>
  <c r="BG67" i="98"/>
  <c r="BJ67" i="98"/>
  <c r="BD67" i="98"/>
  <c r="BH67" i="98"/>
  <c r="BK67" i="98"/>
  <c r="BB68" i="98" l="1"/>
  <c r="BA69" i="98" a="1"/>
  <c r="BA69" i="98" s="1"/>
  <c r="BC69" i="98" s="1" a="1"/>
  <c r="BC69" i="98" s="1"/>
  <c r="BE68" i="98"/>
  <c r="BF68" i="98"/>
  <c r="BG68" i="98"/>
  <c r="BJ68" i="98"/>
  <c r="BI68" i="98"/>
  <c r="BK68" i="98"/>
  <c r="BH68" i="98"/>
  <c r="BD68" i="98"/>
  <c r="BB69" i="98" l="1"/>
  <c r="BA70" i="98" a="1"/>
  <c r="BA70" i="98" s="1"/>
  <c r="BC70" i="98" s="1" a="1"/>
  <c r="BC70" i="98" s="1"/>
  <c r="BF69" i="98"/>
  <c r="BE69" i="98"/>
  <c r="BJ69" i="98"/>
  <c r="BG69" i="98"/>
  <c r="BD69" i="98"/>
  <c r="BK69" i="98"/>
  <c r="BH69" i="98"/>
  <c r="BI69" i="98"/>
  <c r="BA71" i="98" l="1" a="1"/>
  <c r="BA71" i="98" s="1"/>
  <c r="BC71" i="98" s="1" a="1"/>
  <c r="BC71" i="98" s="1"/>
  <c r="BB70" i="98"/>
  <c r="BI70" i="98"/>
  <c r="BH70" i="98"/>
  <c r="BK70" i="98"/>
  <c r="BJ70" i="98"/>
  <c r="BG70" i="98"/>
  <c r="BD70" i="98"/>
  <c r="BE70" i="98"/>
  <c r="BF70" i="98"/>
  <c r="BA72" i="98" l="1" a="1"/>
  <c r="BA72" i="98" s="1"/>
  <c r="BC72" i="98" s="1" a="1"/>
  <c r="BC72" i="98" s="1"/>
  <c r="BB71" i="98"/>
  <c r="BI71" i="98"/>
  <c r="BF71" i="98"/>
  <c r="BE71" i="98"/>
  <c r="BG71" i="98"/>
  <c r="BJ71" i="98"/>
  <c r="BD71" i="98"/>
  <c r="BH71" i="98"/>
  <c r="BK71" i="98"/>
  <c r="BA73" i="98" l="1" a="1"/>
  <c r="BA73" i="98" s="1"/>
  <c r="BC73" i="98" s="1" a="1"/>
  <c r="BC73" i="98" s="1"/>
  <c r="BB72" i="98"/>
  <c r="BI72" i="98"/>
  <c r="BK72" i="98"/>
  <c r="BD72" i="98"/>
  <c r="BE72" i="98"/>
  <c r="BG72" i="98"/>
  <c r="BH72" i="98"/>
  <c r="BF72" i="98"/>
  <c r="BJ72" i="98"/>
  <c r="BB73" i="98" l="1"/>
  <c r="BA74" i="98" a="1"/>
  <c r="BA74" i="98" s="1"/>
  <c r="BC74" i="98" s="1" a="1"/>
  <c r="BC74" i="98" s="1"/>
  <c r="BE73" i="98"/>
  <c r="BK73" i="98"/>
  <c r="BG73" i="98"/>
  <c r="BF73" i="98"/>
  <c r="BJ73" i="98"/>
  <c r="BH73" i="98"/>
  <c r="BI73" i="98"/>
  <c r="BD73" i="98"/>
  <c r="BA75" i="98" l="1" a="1"/>
  <c r="BA75" i="98" s="1"/>
  <c r="BC75" i="98" s="1" a="1"/>
  <c r="BC75" i="98" s="1"/>
  <c r="BB74" i="98"/>
  <c r="BG74" i="98"/>
  <c r="BD74" i="98"/>
  <c r="BF74" i="98"/>
  <c r="BK74" i="98"/>
  <c r="BE74" i="98"/>
  <c r="BJ74" i="98"/>
  <c r="BI74" i="98"/>
  <c r="BH74" i="98"/>
  <c r="BB75" i="98" l="1"/>
  <c r="BA76" i="98" a="1"/>
  <c r="BA76" i="98" s="1"/>
  <c r="BC76" i="98" s="1" a="1"/>
  <c r="BC76" i="98" s="1"/>
  <c r="BF75" i="98"/>
  <c r="BI75" i="98"/>
  <c r="BH75" i="98"/>
  <c r="BJ75" i="98"/>
  <c r="BE75" i="98"/>
  <c r="BG75" i="98"/>
  <c r="BK75" i="98"/>
  <c r="BD75" i="98"/>
  <c r="BB76" i="98" l="1"/>
  <c r="BA77" i="98" a="1"/>
  <c r="BA77" i="98" s="1"/>
  <c r="BC77" i="98" s="1" a="1"/>
  <c r="BC77" i="98" s="1"/>
  <c r="BI76" i="98"/>
  <c r="BH76" i="98"/>
  <c r="BG76" i="98"/>
  <c r="BJ76" i="98"/>
  <c r="BD76" i="98"/>
  <c r="BK76" i="98"/>
  <c r="BE76" i="98"/>
  <c r="BF76" i="98"/>
  <c r="BA78" i="98" l="1" a="1"/>
  <c r="BA78" i="98" s="1"/>
  <c r="BC78" i="98" s="1" a="1"/>
  <c r="BC78" i="98" s="1"/>
  <c r="BB77" i="98"/>
  <c r="BJ77" i="98"/>
  <c r="BG77" i="98"/>
  <c r="BI77" i="98"/>
  <c r="BK77" i="98"/>
  <c r="BD77" i="98"/>
  <c r="BF77" i="98"/>
  <c r="BH77" i="98"/>
  <c r="BE77" i="98"/>
  <c r="BA79" i="98" l="1" a="1"/>
  <c r="BA79" i="98" s="1"/>
  <c r="BC79" i="98" s="1" a="1"/>
  <c r="BC79" i="98" s="1"/>
  <c r="BB78" i="98"/>
  <c r="BI78" i="98"/>
  <c r="BG78" i="98"/>
  <c r="BJ78" i="98"/>
  <c r="BK78" i="98"/>
  <c r="BD78" i="98"/>
  <c r="BH78" i="98"/>
  <c r="BE78" i="98"/>
  <c r="BF78" i="98"/>
  <c r="BA80" i="98" l="1" a="1"/>
  <c r="BA80" i="98" s="1"/>
  <c r="BC80" i="98" s="1" a="1"/>
  <c r="BC80" i="98" s="1"/>
  <c r="BB79" i="98"/>
  <c r="BE79" i="98"/>
  <c r="BG79" i="98"/>
  <c r="BD79" i="98"/>
  <c r="BF79" i="98"/>
  <c r="BK79" i="98"/>
  <c r="BH79" i="98"/>
  <c r="BI79" i="98"/>
  <c r="BJ79" i="98"/>
  <c r="BB80" i="98" l="1"/>
  <c r="BA81" i="98" a="1"/>
  <c r="BA81" i="98" s="1"/>
  <c r="BC81" i="98" s="1" a="1"/>
  <c r="BC81" i="98" s="1"/>
  <c r="BE80" i="98"/>
  <c r="BD80" i="98"/>
  <c r="BJ80" i="98"/>
  <c r="BI80" i="98"/>
  <c r="BG80" i="98"/>
  <c r="BK80" i="98"/>
  <c r="BH80" i="98"/>
  <c r="BF80" i="98"/>
  <c r="BB81" i="98" l="1"/>
  <c r="BA82" i="98" a="1"/>
  <c r="BA82" i="98" s="1"/>
  <c r="BC82" i="98" s="1" a="1"/>
  <c r="BC82" i="98" s="1"/>
  <c r="BD81" i="98"/>
  <c r="BK81" i="98"/>
  <c r="BH81" i="98"/>
  <c r="BE81" i="98"/>
  <c r="BJ81" i="98"/>
  <c r="BI81" i="98"/>
  <c r="BG81" i="98"/>
  <c r="BF81" i="98"/>
  <c r="BA83" i="98" l="1" a="1"/>
  <c r="BA83" i="98" s="1"/>
  <c r="BC83" i="98" s="1" a="1"/>
  <c r="BC83" i="98" s="1"/>
  <c r="BB82" i="98"/>
  <c r="BF82" i="98"/>
  <c r="BI82" i="98"/>
  <c r="BG82" i="98"/>
  <c r="BD82" i="98"/>
  <c r="BK82" i="98"/>
  <c r="BJ82" i="98"/>
  <c r="BH82" i="98"/>
  <c r="BE82" i="98"/>
  <c r="BA84" i="98" l="1" a="1"/>
  <c r="BA84" i="98" s="1"/>
  <c r="BC84" i="98" s="1" a="1"/>
  <c r="BC84" i="98" s="1"/>
  <c r="BB83" i="98"/>
  <c r="BH83" i="98"/>
  <c r="BE83" i="98"/>
  <c r="BJ83" i="98"/>
  <c r="BI83" i="98"/>
  <c r="BG83" i="98"/>
  <c r="BD83" i="98"/>
  <c r="BF83" i="98"/>
  <c r="BK83" i="98"/>
  <c r="BA85" i="98" l="1" a="1"/>
  <c r="BA85" i="98" s="1"/>
  <c r="BC85" i="98" s="1" a="1"/>
  <c r="BC85" i="98" s="1"/>
  <c r="BB84" i="98"/>
  <c r="BE84" i="98"/>
  <c r="BH84" i="98"/>
  <c r="BF84" i="98"/>
  <c r="BK84" i="98"/>
  <c r="BI84" i="98"/>
  <c r="BG84" i="98"/>
  <c r="BD84" i="98"/>
  <c r="BJ84" i="98"/>
  <c r="BB85" i="98" l="1"/>
  <c r="BA86" i="98" a="1"/>
  <c r="BA86" i="98" s="1"/>
  <c r="BC86" i="98" s="1" a="1"/>
  <c r="BC86" i="98" s="1"/>
  <c r="BJ85" i="98"/>
  <c r="BD85" i="98"/>
  <c r="BK85" i="98"/>
  <c r="BI85" i="98"/>
  <c r="BG85" i="98"/>
  <c r="BF85" i="98"/>
  <c r="BH85" i="98"/>
  <c r="BE85" i="98"/>
  <c r="BB86" i="98" l="1"/>
  <c r="BA87" i="98" a="1"/>
  <c r="BA87" i="98" s="1"/>
  <c r="BC87" i="98" s="1" a="1"/>
  <c r="BC87" i="98" s="1"/>
  <c r="BJ86" i="98"/>
  <c r="BH86" i="98"/>
  <c r="BE86" i="98"/>
  <c r="BF86" i="98"/>
  <c r="BI86" i="98"/>
  <c r="BG86" i="98"/>
  <c r="BD86" i="98"/>
  <c r="BK86" i="98"/>
  <c r="BA88" i="98" l="1" a="1"/>
  <c r="BA88" i="98" s="1"/>
  <c r="BC88" i="98" s="1" a="1"/>
  <c r="BC88" i="98" s="1"/>
  <c r="BB87" i="98"/>
  <c r="BE87" i="98"/>
  <c r="BH87" i="98"/>
  <c r="BK87" i="98"/>
  <c r="BI87" i="98"/>
  <c r="BJ87" i="98"/>
  <c r="BG87" i="98"/>
  <c r="BD87" i="98"/>
  <c r="BF87" i="98"/>
  <c r="BA89" i="98" l="1" a="1"/>
  <c r="BA89" i="98" s="1"/>
  <c r="BC89" i="98" s="1" a="1"/>
  <c r="BC89" i="98" s="1"/>
  <c r="BB88" i="98"/>
  <c r="BF88" i="98"/>
  <c r="BE88" i="98"/>
  <c r="BI88" i="98"/>
  <c r="BG88" i="98"/>
  <c r="BD88" i="98"/>
  <c r="BJ88" i="98"/>
  <c r="BK88" i="98"/>
  <c r="BH88" i="98"/>
  <c r="BA90" i="98" l="1" a="1"/>
  <c r="BA90" i="98" s="1"/>
  <c r="BC90" i="98" s="1" a="1"/>
  <c r="BC90" i="98" s="1"/>
  <c r="BB89" i="98"/>
  <c r="BF89" i="98"/>
  <c r="BD89" i="98"/>
  <c r="BK89" i="98"/>
  <c r="BH89" i="98"/>
  <c r="BE89" i="98"/>
  <c r="BJ89" i="98"/>
  <c r="BI89" i="98"/>
  <c r="BG89" i="98"/>
  <c r="BA91" i="98" l="1" a="1"/>
  <c r="BA91" i="98" s="1"/>
  <c r="BC91" i="98" s="1" a="1"/>
  <c r="BC91" i="98" s="1"/>
  <c r="BB90" i="98"/>
  <c r="BI90" i="98"/>
  <c r="BG90" i="98"/>
  <c r="BD90" i="98"/>
  <c r="BK90" i="98"/>
  <c r="BJ90" i="98"/>
  <c r="BH90" i="98"/>
  <c r="BE90" i="98"/>
  <c r="BF90" i="98"/>
  <c r="BA92" i="98" l="1" a="1"/>
  <c r="BA92" i="98" s="1"/>
  <c r="BC92" i="98" s="1" a="1"/>
  <c r="BC92" i="98" s="1"/>
  <c r="BB91" i="98"/>
  <c r="BJ91" i="98"/>
  <c r="BE91" i="98"/>
  <c r="BG91" i="98"/>
  <c r="BD91" i="98"/>
  <c r="BF91" i="98"/>
  <c r="BK91" i="98"/>
  <c r="BH91" i="98"/>
  <c r="BI91" i="98"/>
  <c r="BA93" i="98" l="1" a="1"/>
  <c r="BA93" i="98" s="1"/>
  <c r="BC93" i="98" s="1" a="1"/>
  <c r="BC93" i="98" s="1"/>
  <c r="BB92" i="98"/>
  <c r="BJ92" i="98"/>
  <c r="BK92" i="98"/>
  <c r="BH92" i="98"/>
  <c r="BF92" i="98"/>
  <c r="BE92" i="98"/>
  <c r="BI92" i="98"/>
  <c r="BG92" i="98"/>
  <c r="BD92" i="98"/>
  <c r="BA94" i="98" l="1" a="1"/>
  <c r="BA94" i="98" s="1"/>
  <c r="BC94" i="98" s="1" a="1"/>
  <c r="BC94" i="98" s="1"/>
  <c r="BB93" i="98"/>
  <c r="BJ93" i="98"/>
  <c r="BG93" i="98"/>
  <c r="BI93" i="98"/>
  <c r="BK93" i="98"/>
  <c r="BD93" i="98"/>
  <c r="BF93" i="98"/>
  <c r="BH93" i="98"/>
  <c r="BE93" i="98"/>
  <c r="BA95" i="98" l="1" a="1"/>
  <c r="BA95" i="98" s="1"/>
  <c r="BC95" i="98" s="1" a="1"/>
  <c r="BC95" i="98" s="1"/>
  <c r="BB94" i="98"/>
  <c r="BD94" i="98"/>
  <c r="BK94" i="98"/>
  <c r="BJ94" i="98"/>
  <c r="BH94" i="98"/>
  <c r="BE94" i="98"/>
  <c r="BF94" i="98"/>
  <c r="BI94" i="98"/>
  <c r="BG94" i="98"/>
  <c r="BA96" i="98" l="1" a="1"/>
  <c r="BA96" i="98" s="1"/>
  <c r="BC96" i="98" s="1" a="1"/>
  <c r="BC96" i="98" s="1"/>
  <c r="BB95" i="98"/>
  <c r="BJ95" i="98"/>
  <c r="BD95" i="98"/>
  <c r="BK95" i="98"/>
  <c r="BF95" i="98"/>
  <c r="BE95" i="98"/>
  <c r="BG95" i="98"/>
  <c r="BH95" i="98"/>
  <c r="BI95" i="98"/>
  <c r="BA97" i="98" l="1" a="1"/>
  <c r="BA97" i="98" s="1"/>
  <c r="BC97" i="98" s="1" a="1"/>
  <c r="BC97" i="98" s="1"/>
  <c r="BB96" i="98"/>
  <c r="BF96" i="98"/>
  <c r="BE96" i="98"/>
  <c r="BI96" i="98"/>
  <c r="BG96" i="98"/>
  <c r="BJ96" i="98"/>
  <c r="BD96" i="98"/>
  <c r="BK96" i="98"/>
  <c r="BH96" i="98"/>
  <c r="BA98" i="98" l="1" a="1"/>
  <c r="BA98" i="98" s="1"/>
  <c r="BC98" i="98" s="1" a="1"/>
  <c r="BC98" i="98" s="1"/>
  <c r="BB97" i="98"/>
  <c r="BF97" i="98"/>
  <c r="BD97" i="98"/>
  <c r="BK97" i="98"/>
  <c r="BH97" i="98"/>
  <c r="BE97" i="98"/>
  <c r="BJ97" i="98"/>
  <c r="BI97" i="98"/>
  <c r="BG97" i="98"/>
  <c r="BA99" i="98" l="1" a="1"/>
  <c r="BA99" i="98" s="1"/>
  <c r="BC99" i="98" s="1" a="1"/>
  <c r="BC99" i="98" s="1"/>
  <c r="BB98" i="98"/>
  <c r="BF98" i="98"/>
  <c r="BI98" i="98"/>
  <c r="BG98" i="98"/>
  <c r="BD98" i="98"/>
  <c r="BJ98" i="98"/>
  <c r="BK98" i="98"/>
  <c r="BH98" i="98"/>
  <c r="BE98" i="98"/>
  <c r="BA100" i="98" l="1" a="1"/>
  <c r="BA100" i="98" s="1"/>
  <c r="BC100" i="98" s="1" a="1"/>
  <c r="BC100" i="98" s="1"/>
  <c r="BB99" i="98"/>
  <c r="BJ99" i="98"/>
  <c r="BG99" i="98"/>
  <c r="BH99" i="98"/>
  <c r="BK99" i="98"/>
  <c r="BE99" i="98"/>
  <c r="BF99" i="98"/>
  <c r="BD99" i="98"/>
  <c r="BI99" i="98"/>
  <c r="BA101" i="98" l="1" a="1"/>
  <c r="BA101" i="98" s="1"/>
  <c r="BC101" i="98" s="1" a="1"/>
  <c r="BC101" i="98" s="1"/>
  <c r="BB100" i="98"/>
  <c r="BE100" i="98"/>
  <c r="BI100" i="98"/>
  <c r="BG100" i="98"/>
  <c r="BD100" i="98"/>
  <c r="BJ100" i="98"/>
  <c r="BK100" i="98"/>
  <c r="BH100" i="98"/>
  <c r="BF100" i="98"/>
  <c r="BA102" i="98" l="1" a="1"/>
  <c r="BA102" i="98" s="1"/>
  <c r="BC102" i="98" s="1" a="1"/>
  <c r="BC102" i="98" s="1"/>
  <c r="BB101" i="98"/>
  <c r="BJ101" i="98"/>
  <c r="BG101" i="98"/>
  <c r="BK101" i="98"/>
  <c r="BI101" i="98"/>
  <c r="BD101" i="98"/>
  <c r="BE101" i="98"/>
  <c r="BH101" i="98"/>
  <c r="BF101" i="98"/>
  <c r="BA103" i="98" l="1" a="1"/>
  <c r="BA103" i="98" s="1"/>
  <c r="BC103" i="98" s="1" a="1"/>
  <c r="BC103" i="98" s="1"/>
  <c r="BB102" i="98"/>
  <c r="BJ102" i="98"/>
  <c r="BD102" i="98"/>
  <c r="BF102" i="98"/>
  <c r="BG102" i="98"/>
  <c r="BI102" i="98"/>
  <c r="BK102" i="98"/>
  <c r="BH102" i="98"/>
  <c r="BE102" i="98"/>
  <c r="BA104" i="98" l="1" a="1"/>
  <c r="BA104" i="98" s="1"/>
  <c r="BC104" i="98" s="1" a="1"/>
  <c r="BC104" i="98" s="1"/>
  <c r="BB103" i="98"/>
  <c r="BD103" i="98"/>
  <c r="BI103" i="98"/>
  <c r="BJ103" i="98"/>
  <c r="BH103" i="98"/>
  <c r="BK103" i="98"/>
  <c r="BE103" i="98"/>
  <c r="BF103" i="98"/>
  <c r="BG103" i="98"/>
  <c r="BA105" i="98" l="1" a="1"/>
  <c r="BA105" i="98" s="1"/>
  <c r="BC105" i="98" s="1" a="1"/>
  <c r="BC105" i="98" s="1"/>
  <c r="BB104" i="98"/>
  <c r="BH104" i="98"/>
  <c r="BI104" i="98"/>
  <c r="BJ104" i="98"/>
  <c r="BG104" i="98"/>
  <c r="BD104" i="98"/>
  <c r="BF104" i="98"/>
  <c r="BK104" i="98"/>
  <c r="BE104" i="98"/>
  <c r="BA106" i="98" l="1" a="1"/>
  <c r="BA106" i="98" s="1"/>
  <c r="BC106" i="98" s="1" a="1"/>
  <c r="BC106" i="98" s="1"/>
  <c r="BB105" i="98"/>
  <c r="BF105" i="98"/>
  <c r="BD105" i="98"/>
  <c r="BK105" i="98"/>
  <c r="BG105" i="98"/>
  <c r="BI105" i="98"/>
  <c r="BJ105" i="98"/>
  <c r="BE105" i="98"/>
  <c r="BH105" i="98"/>
  <c r="BB106" i="98" l="1"/>
  <c r="BA107" i="98" a="1"/>
  <c r="BA107" i="98" s="1"/>
  <c r="BC107" i="98" s="1" a="1"/>
  <c r="BC107" i="98" s="1"/>
  <c r="BE106" i="98"/>
  <c r="BF106" i="98"/>
  <c r="BH106" i="98"/>
  <c r="BG106" i="98"/>
  <c r="BD106" i="98"/>
  <c r="BJ106" i="98"/>
  <c r="BK106" i="98"/>
  <c r="BI106" i="98"/>
  <c r="BA108" i="98" l="1" a="1"/>
  <c r="BA108" i="98" s="1"/>
  <c r="BC108" i="98" s="1" a="1"/>
  <c r="BC108" i="98" s="1"/>
  <c r="BB107" i="98"/>
  <c r="BI107" i="98"/>
  <c r="BD107" i="98"/>
  <c r="BJ107" i="98"/>
  <c r="BG107" i="98"/>
  <c r="BK107" i="98"/>
  <c r="BE107" i="98"/>
  <c r="BF107" i="98"/>
  <c r="BH107" i="98"/>
  <c r="BA109" i="98" l="1" a="1"/>
  <c r="BA109" i="98" s="1"/>
  <c r="BC109" i="98" s="1" a="1"/>
  <c r="BC109" i="98" s="1"/>
  <c r="BB108" i="98"/>
  <c r="BE108" i="98"/>
  <c r="BH108" i="98"/>
  <c r="BG108" i="98"/>
  <c r="BI108" i="98"/>
  <c r="BJ108" i="98"/>
  <c r="BK108" i="98"/>
  <c r="BD108" i="98"/>
  <c r="BF108" i="98"/>
  <c r="BA110" i="98" l="1" a="1"/>
  <c r="BA110" i="98" s="1"/>
  <c r="BC110" i="98" s="1" a="1"/>
  <c r="BC110" i="98" s="1"/>
  <c r="BB109" i="98"/>
  <c r="BI109" i="98"/>
  <c r="BE109" i="98"/>
  <c r="BG109" i="98"/>
  <c r="BD109" i="98"/>
  <c r="BJ109" i="98"/>
  <c r="BK109" i="98"/>
  <c r="BH109" i="98"/>
  <c r="BF109" i="98"/>
  <c r="BA111" i="98" l="1" a="1"/>
  <c r="BA111" i="98" s="1"/>
  <c r="BC111" i="98" s="1" a="1"/>
  <c r="BC111" i="98" s="1"/>
  <c r="BB110" i="98"/>
  <c r="BJ110" i="98"/>
  <c r="BE110" i="98"/>
  <c r="BH110" i="98"/>
  <c r="BI110" i="98"/>
  <c r="BF110" i="98"/>
  <c r="BK110" i="98"/>
  <c r="BG110" i="98"/>
  <c r="BD110" i="98"/>
  <c r="BA112" i="98" l="1" a="1"/>
  <c r="BA112" i="98" s="1"/>
  <c r="BC112" i="98" s="1" a="1"/>
  <c r="BC112" i="98" s="1"/>
  <c r="BB111" i="98"/>
  <c r="BJ111" i="98"/>
  <c r="BG111" i="98"/>
  <c r="BI111" i="98"/>
  <c r="BD111" i="98"/>
  <c r="BF111" i="98"/>
  <c r="BH111" i="98"/>
  <c r="BE111" i="98"/>
  <c r="BK111" i="98"/>
  <c r="BA113" i="98" l="1" a="1"/>
  <c r="BA113" i="98" s="1"/>
  <c r="BC113" i="98" s="1" a="1"/>
  <c r="BC113" i="98" s="1"/>
  <c r="BB112" i="98"/>
  <c r="BJ112" i="98"/>
  <c r="BG112" i="98"/>
  <c r="BE112" i="98"/>
  <c r="BI112" i="98"/>
  <c r="BK112" i="98"/>
  <c r="BF112" i="98"/>
  <c r="BD112" i="98"/>
  <c r="BH112" i="98"/>
  <c r="BA114" i="98" l="1" a="1"/>
  <c r="BA114" i="98" s="1"/>
  <c r="BF114" i="98" s="1"/>
  <c r="BB113" i="98"/>
  <c r="BH113" i="98"/>
  <c r="BK113" i="98"/>
  <c r="BD113" i="98"/>
  <c r="BJ113" i="98"/>
  <c r="BG113" i="98"/>
  <c r="BI113" i="98"/>
  <c r="BF113" i="98"/>
  <c r="BE113" i="98"/>
  <c r="BH114" i="98" l="1"/>
  <c r="BG114" i="98"/>
  <c r="BA115" i="98" a="1"/>
  <c r="BA115" i="98" s="1"/>
  <c r="BK115" i="98" s="1"/>
  <c r="BE114" i="98"/>
  <c r="BJ114" i="98"/>
  <c r="BC114" i="98"/>
  <c r="BD114" i="98"/>
  <c r="BB114" i="98"/>
  <c r="BI114" i="98"/>
  <c r="BK114" i="98"/>
  <c r="BF115" i="98" l="1"/>
  <c r="BD115" i="98"/>
  <c r="BG115" i="98"/>
  <c r="BJ115" i="98"/>
  <c r="BH115" i="98"/>
  <c r="BC115" i="98"/>
  <c r="BE115" i="98"/>
  <c r="BB115" i="98"/>
  <c r="BA116" i="98" a="1"/>
  <c r="BA116" i="98" s="1"/>
  <c r="BI116" i="98" s="1"/>
  <c r="BI115" i="98"/>
  <c r="BA117" i="98" l="1" a="1"/>
  <c r="BA117" i="98" s="1"/>
  <c r="BE117" i="98" s="1"/>
  <c r="BD116" i="98"/>
  <c r="BK116" i="98"/>
  <c r="BJ116" i="98"/>
  <c r="BH116" i="98"/>
  <c r="BG116" i="98"/>
  <c r="BE116" i="98"/>
  <c r="BB116" i="98"/>
  <c r="BC116" i="98"/>
  <c r="BF116" i="98"/>
  <c r="BH117" i="98" l="1"/>
  <c r="BA118" i="98" a="1"/>
  <c r="BA118" i="98" s="1"/>
  <c r="BC118" i="98" s="1"/>
  <c r="BB117" i="98"/>
  <c r="BK117" i="98"/>
  <c r="BI117" i="98"/>
  <c r="BF117" i="98"/>
  <c r="BG117" i="98"/>
  <c r="BD117" i="98"/>
  <c r="BJ117" i="98"/>
  <c r="BC117" i="98"/>
  <c r="BF118" i="98" l="1"/>
  <c r="BD118" i="98"/>
  <c r="BH118" i="98"/>
  <c r="BE118" i="98"/>
  <c r="BG118" i="98"/>
  <c r="BA119" i="98" a="1"/>
  <c r="BA119" i="98" s="1"/>
  <c r="BB119" i="98" s="1"/>
  <c r="BJ118" i="98"/>
  <c r="BK118" i="98"/>
  <c r="BB118" i="98"/>
  <c r="BI118" i="98"/>
  <c r="BI119" i="98" l="1"/>
  <c r="BF119" i="98"/>
  <c r="BD119" i="98"/>
  <c r="BG119" i="98"/>
  <c r="BA120" i="98" a="1"/>
  <c r="BA120" i="98" s="1"/>
  <c r="BF120" i="98" s="1"/>
  <c r="BK119" i="98"/>
  <c r="BJ119" i="98"/>
  <c r="BH119" i="98"/>
  <c r="BC119" i="98"/>
  <c r="BE119" i="98"/>
  <c r="BI120" i="98" l="1"/>
  <c r="BJ120" i="98"/>
  <c r="BH120" i="98"/>
  <c r="BG120" i="98"/>
  <c r="BA121" i="98" a="1"/>
  <c r="BA121" i="98" s="1"/>
  <c r="BE121" i="98" s="1"/>
  <c r="BD120" i="98"/>
  <c r="BK120" i="98"/>
  <c r="BE120" i="98"/>
  <c r="BB120" i="98"/>
  <c r="BC120" i="98"/>
  <c r="BB121" i="98" l="1"/>
  <c r="BK121" i="98"/>
  <c r="BI121" i="98"/>
  <c r="BF121" i="98"/>
  <c r="BG121" i="98"/>
  <c r="BD121" i="98"/>
  <c r="BJ121" i="98"/>
  <c r="BC121" i="98"/>
  <c r="BA122" i="98" a="1"/>
  <c r="BA122" i="98" s="1"/>
  <c r="BJ122" i="98" s="1"/>
  <c r="BH121" i="98"/>
  <c r="BH122" i="98" l="1"/>
  <c r="BE122" i="98"/>
  <c r="BG122" i="98"/>
  <c r="BA123" i="98" a="1"/>
  <c r="BA123" i="98" s="1"/>
  <c r="BK123" i="98" s="1"/>
  <c r="BK122" i="98"/>
  <c r="BB122" i="98"/>
  <c r="BI122" i="98"/>
  <c r="BC122" i="98"/>
  <c r="BD122" i="98"/>
  <c r="BF122" i="98"/>
  <c r="BE123" i="98" l="1"/>
  <c r="BF123" i="98"/>
  <c r="BD123" i="98"/>
  <c r="BG123" i="98"/>
  <c r="BJ123" i="98"/>
  <c r="BH123" i="98"/>
  <c r="BC123" i="98"/>
  <c r="BB123" i="98"/>
  <c r="BA124" i="98" a="1"/>
  <c r="BA124" i="98" s="1"/>
  <c r="BF124" i="98" s="1"/>
  <c r="BI123" i="98"/>
  <c r="BH124" i="98" l="1"/>
  <c r="BA125" i="98" a="1"/>
  <c r="BA125" i="98" s="1"/>
  <c r="BK125" i="98" s="1"/>
  <c r="BD124" i="98"/>
  <c r="BK124" i="98"/>
  <c r="BJ124" i="98"/>
  <c r="BG124" i="98"/>
  <c r="BE124" i="98"/>
  <c r="BB124" i="98"/>
  <c r="BC124" i="98"/>
  <c r="BI124" i="98"/>
  <c r="BE125" i="98" l="1"/>
  <c r="BI125" i="98"/>
  <c r="BF125" i="98"/>
  <c r="BG125" i="98"/>
  <c r="BH125" i="98"/>
  <c r="BD125" i="98"/>
  <c r="BJ125" i="98"/>
  <c r="BC125" i="98"/>
  <c r="BA126" i="98" a="1"/>
  <c r="BA126" i="98" s="1"/>
  <c r="BC126" i="98" s="1"/>
  <c r="BB125" i="98"/>
  <c r="BF126" i="98" l="1"/>
  <c r="BD126" i="98"/>
  <c r="BJ126" i="98"/>
  <c r="BH126" i="98"/>
  <c r="BG126" i="98"/>
  <c r="BA127" i="98" a="1"/>
  <c r="BA127" i="98" s="1"/>
  <c r="BB127" i="98" s="1"/>
  <c r="BK126" i="98"/>
  <c r="BE126" i="98"/>
  <c r="BB126" i="98"/>
  <c r="BI126" i="98"/>
  <c r="BA128" i="98" l="1" a="1"/>
  <c r="BA128" i="98" s="1"/>
  <c r="BF128" i="98" s="1"/>
  <c r="BI127" i="98"/>
  <c r="BK127" i="98"/>
  <c r="BF127" i="98"/>
  <c r="BD127" i="98"/>
  <c r="BG127" i="98"/>
  <c r="BH127" i="98"/>
  <c r="BJ127" i="98"/>
  <c r="BC127" i="98"/>
  <c r="BE127" i="98"/>
  <c r="BD128" i="98" l="1"/>
  <c r="BK128" i="98"/>
  <c r="BE128" i="98"/>
  <c r="BA129" i="98" a="1"/>
  <c r="BA129" i="98" s="1"/>
  <c r="BK129" i="98" s="1"/>
  <c r="BJ128" i="98"/>
  <c r="BH128" i="98"/>
  <c r="BG128" i="98"/>
  <c r="BB128" i="98"/>
  <c r="BC128" i="98"/>
  <c r="BI128" i="98"/>
  <c r="BI129" i="98" l="1"/>
  <c r="BF129" i="98"/>
  <c r="BG129" i="98"/>
  <c r="BD129" i="98"/>
  <c r="BJ129" i="98"/>
  <c r="BC129" i="98"/>
  <c r="BH129" i="98"/>
  <c r="BE129" i="98"/>
  <c r="BA130" i="98" a="1"/>
  <c r="BA130" i="98" s="1"/>
  <c r="BD130" i="98" s="1"/>
  <c r="BB129" i="98"/>
  <c r="BA131" i="98" l="1" a="1"/>
  <c r="BA131" i="98" s="1"/>
  <c r="BG131" i="98" s="1"/>
  <c r="BJ130" i="98"/>
  <c r="BK130" i="98"/>
  <c r="BH130" i="98"/>
  <c r="BE130" i="98"/>
  <c r="BG130" i="98"/>
  <c r="BB130" i="98"/>
  <c r="BI130" i="98"/>
  <c r="BC130" i="98"/>
  <c r="BF130" i="98"/>
  <c r="BE131" i="98" l="1"/>
  <c r="BB131" i="98"/>
  <c r="BJ131" i="98"/>
  <c r="BH131" i="98"/>
  <c r="BC131" i="98"/>
  <c r="BI131" i="98"/>
  <c r="BK131" i="98"/>
  <c r="BA132" i="98" a="1"/>
  <c r="BA132" i="98" s="1"/>
  <c r="BK132" i="98" s="1"/>
  <c r="BF131" i="98"/>
  <c r="BD131" i="98"/>
  <c r="BA133" i="98" l="1" a="1"/>
  <c r="BA133" i="98" s="1"/>
  <c r="BF133" i="98" s="1"/>
  <c r="BD132" i="98"/>
  <c r="BJ132" i="98"/>
  <c r="BH132" i="98"/>
  <c r="BG132" i="98"/>
  <c r="BE132" i="98"/>
  <c r="BB132" i="98"/>
  <c r="BC132" i="98"/>
  <c r="BF132" i="98"/>
  <c r="BI132" i="98"/>
  <c r="BI133" i="98" l="1"/>
  <c r="BD133" i="98"/>
  <c r="BJ133" i="98"/>
  <c r="BH133" i="98"/>
  <c r="BG133" i="98"/>
  <c r="BA134" i="98" a="1"/>
  <c r="BA134" i="98" s="1"/>
  <c r="BE134" i="98" s="1"/>
  <c r="BK133" i="98"/>
  <c r="BE133" i="98"/>
  <c r="BB133" i="98"/>
  <c r="BC133" i="98"/>
  <c r="BA135" i="98" l="1" a="1"/>
  <c r="BA135" i="98" s="1"/>
  <c r="BD135" i="98" s="1"/>
  <c r="BB134" i="98"/>
  <c r="BK134" i="98"/>
  <c r="BI134" i="98"/>
  <c r="BG134" i="98"/>
  <c r="BF134" i="98"/>
  <c r="BD134" i="98"/>
  <c r="BJ134" i="98"/>
  <c r="BC134" i="98"/>
  <c r="BH134" i="98"/>
  <c r="BA136" i="98" l="1" a="1"/>
  <c r="BA136" i="98" s="1"/>
  <c r="BB136" i="98" s="1"/>
  <c r="BH135" i="98"/>
  <c r="BE135" i="98"/>
  <c r="BG135" i="98"/>
  <c r="BI135" i="98"/>
  <c r="BC135" i="98"/>
  <c r="BJ135" i="98"/>
  <c r="BK135" i="98"/>
  <c r="BB135" i="98"/>
  <c r="BF135" i="98"/>
  <c r="BA137" i="98" l="1" a="1"/>
  <c r="BA137" i="98" s="1"/>
  <c r="BE137" i="98" s="1"/>
  <c r="BF136" i="98"/>
  <c r="BD136" i="98"/>
  <c r="BG136" i="98"/>
  <c r="BI136" i="98"/>
  <c r="BJ136" i="98"/>
  <c r="BH136" i="98"/>
  <c r="BC136" i="98"/>
  <c r="BK136" i="98"/>
  <c r="BE136" i="98"/>
  <c r="BI137" i="98" l="1"/>
  <c r="BG137" i="98"/>
  <c r="BA138" i="98" a="1"/>
  <c r="BA138" i="98" s="1"/>
  <c r="BK138" i="98" s="1"/>
  <c r="BB137" i="98"/>
  <c r="BK137" i="98"/>
  <c r="BF137" i="98"/>
  <c r="BD137" i="98"/>
  <c r="BJ137" i="98"/>
  <c r="BC137" i="98"/>
  <c r="BH137" i="98"/>
  <c r="BF138" i="98" l="1"/>
  <c r="BH138" i="98"/>
  <c r="BE138" i="98"/>
  <c r="BG138" i="98"/>
  <c r="BB138" i="98"/>
  <c r="BI138" i="98"/>
  <c r="BC138" i="98"/>
  <c r="BD138" i="98"/>
  <c r="BA139" i="98" a="1"/>
  <c r="BA139" i="98" s="1"/>
  <c r="BK139" i="98" s="1"/>
  <c r="BJ138" i="98"/>
  <c r="BD139" i="98" l="1"/>
  <c r="BA140" i="98" a="1"/>
  <c r="BA140" i="98" s="1"/>
  <c r="BK140" i="98" s="1"/>
  <c r="BJ139" i="98"/>
  <c r="BG139" i="98"/>
  <c r="BE139" i="98"/>
  <c r="BH139" i="98"/>
  <c r="BC139" i="98"/>
  <c r="BF139" i="98"/>
  <c r="BB139" i="98"/>
  <c r="BI139" i="98"/>
  <c r="BI140" i="98" l="1"/>
  <c r="BJ140" i="98"/>
  <c r="BF140" i="98"/>
  <c r="BH140" i="98"/>
  <c r="BG140" i="98"/>
  <c r="BD140" i="98"/>
  <c r="BB140" i="98"/>
  <c r="BC140" i="98"/>
  <c r="BA141" i="98" a="1"/>
  <c r="BA141" i="98" s="1"/>
  <c r="BF141" i="98" s="1"/>
  <c r="BE140" i="98"/>
  <c r="BA142" i="98" l="1" a="1"/>
  <c r="BA142" i="98" s="1"/>
  <c r="BF142" i="98" s="1"/>
  <c r="BK141" i="98"/>
  <c r="BH141" i="98"/>
  <c r="BI141" i="98"/>
  <c r="BG141" i="98"/>
  <c r="BJ141" i="98"/>
  <c r="BE141" i="98"/>
  <c r="BB141" i="98"/>
  <c r="BD141" i="98"/>
  <c r="BC141" i="98"/>
  <c r="BK142" i="98" l="1"/>
  <c r="BG142" i="98"/>
  <c r="BE142" i="98"/>
  <c r="BC142" i="98"/>
  <c r="BH142" i="98"/>
  <c r="BA143" i="98" a="1"/>
  <c r="BA143" i="98" s="1"/>
  <c r="BB143" i="98" s="1"/>
  <c r="BB142" i="98"/>
  <c r="BI142" i="98"/>
  <c r="BJ142" i="98"/>
  <c r="BD142" i="98"/>
  <c r="BH143" i="98" l="1"/>
  <c r="BK143" i="98"/>
  <c r="BF143" i="98"/>
  <c r="BI143" i="98"/>
  <c r="BC143" i="98"/>
  <c r="BE143" i="98"/>
  <c r="BJ143" i="98"/>
  <c r="BD143" i="98"/>
  <c r="BA144" i="98" a="1"/>
  <c r="BA144" i="98" s="1"/>
  <c r="BC144" i="98" s="1"/>
  <c r="BG143" i="98"/>
  <c r="BJ144" i="98" l="1"/>
  <c r="BH144" i="98"/>
  <c r="BK144" i="98"/>
  <c r="BF144" i="98"/>
  <c r="BI144" i="98"/>
  <c r="BE144" i="98"/>
  <c r="BG144" i="98"/>
  <c r="BB144" i="98"/>
  <c r="BA145" i="98" a="1"/>
  <c r="BA145" i="98" s="1"/>
  <c r="BC145" i="98" s="1"/>
  <c r="BD144" i="98"/>
  <c r="BJ145" i="98" l="1"/>
  <c r="BF145" i="98"/>
  <c r="BE145" i="98"/>
  <c r="BG145" i="98"/>
  <c r="BA146" i="98" a="1"/>
  <c r="BA146" i="98" s="1"/>
  <c r="BC146" i="98" s="1"/>
  <c r="BD145" i="98"/>
  <c r="BK145" i="98"/>
  <c r="BI145" i="98"/>
  <c r="BB145" i="98"/>
  <c r="BH145" i="98"/>
  <c r="BH146" i="98" l="1"/>
  <c r="BK146" i="98"/>
  <c r="BF146" i="98"/>
  <c r="BA147" i="98" a="1"/>
  <c r="BA147" i="98" s="1"/>
  <c r="BJ147" i="98" s="1"/>
  <c r="BB146" i="98"/>
  <c r="BI146" i="98"/>
  <c r="BJ146" i="98"/>
  <c r="BE146" i="98"/>
  <c r="BG146" i="98"/>
  <c r="BD146" i="98"/>
  <c r="BA148" i="98" l="1" a="1"/>
  <c r="BA148" i="98" s="1"/>
  <c r="BC148" i="98" s="1"/>
  <c r="BD147" i="98"/>
  <c r="BK147" i="98"/>
  <c r="BF147" i="98"/>
  <c r="BB147" i="98"/>
  <c r="BI147" i="98"/>
  <c r="BG147" i="98"/>
  <c r="BH147" i="98"/>
  <c r="BC147" i="98"/>
  <c r="BE147" i="98"/>
  <c r="BJ148" i="98" l="1"/>
  <c r="BH148" i="98"/>
  <c r="BK148" i="98"/>
  <c r="BF148" i="98"/>
  <c r="BB148" i="98"/>
  <c r="BA149" i="98" a="1"/>
  <c r="BA149" i="98" s="1"/>
  <c r="BJ149" i="98" s="1"/>
  <c r="BI148" i="98"/>
  <c r="BE148" i="98"/>
  <c r="BG148" i="98"/>
  <c r="BD148" i="98"/>
  <c r="BH149" i="98" l="1"/>
  <c r="BC149" i="98"/>
  <c r="BD149" i="98"/>
  <c r="BK149" i="98"/>
  <c r="BF149" i="98"/>
  <c r="BI149" i="98"/>
  <c r="BG149" i="98"/>
  <c r="BB149" i="98"/>
  <c r="BA150" i="98" a="1"/>
  <c r="BA150" i="98" s="1"/>
  <c r="BC150" i="98" s="1"/>
  <c r="BE149" i="98"/>
  <c r="BK150" i="98" l="1"/>
  <c r="BJ150" i="98"/>
  <c r="BA151" i="98" a="1"/>
  <c r="BA151" i="98" s="1"/>
  <c r="BJ151" i="98" s="1"/>
  <c r="BI150" i="98"/>
  <c r="BH150" i="98"/>
  <c r="BF150" i="98"/>
  <c r="BE150" i="98"/>
  <c r="BG150" i="98"/>
  <c r="BB150" i="98"/>
  <c r="BD150" i="98"/>
  <c r="BD151" i="98" l="1"/>
  <c r="BK151" i="98"/>
  <c r="BF151" i="98"/>
  <c r="BI151" i="98"/>
  <c r="BG151" i="98"/>
  <c r="BB151" i="98"/>
  <c r="BH151" i="98"/>
  <c r="BC151" i="98"/>
  <c r="BA152" i="98" a="1"/>
  <c r="BA152" i="98" s="1"/>
  <c r="BC152" i="98" s="1"/>
  <c r="BE151" i="98"/>
  <c r="BK152" i="98" l="1"/>
  <c r="BH152" i="98"/>
  <c r="BA153" i="98" a="1"/>
  <c r="BA153" i="98" s="1"/>
  <c r="BJ153" i="98" s="1"/>
  <c r="BI152" i="98"/>
  <c r="BJ152" i="98"/>
  <c r="BF152" i="98"/>
  <c r="BE152" i="98"/>
  <c r="BG152" i="98"/>
  <c r="BB152" i="98"/>
  <c r="BD152" i="98"/>
  <c r="BD153" i="98" l="1"/>
  <c r="BK153" i="98"/>
  <c r="BF153" i="98"/>
  <c r="BI153" i="98"/>
  <c r="BG153" i="98"/>
  <c r="BB153" i="98"/>
  <c r="BH153" i="98"/>
  <c r="BC153" i="98"/>
  <c r="BA154" i="98" a="1"/>
  <c r="BA154" i="98" s="1"/>
  <c r="BC154" i="98" s="1"/>
  <c r="BE153" i="98"/>
  <c r="BA155" i="98" l="1" a="1"/>
  <c r="BA155" i="98" s="1"/>
  <c r="BC155" i="98" s="1"/>
  <c r="BI154" i="98"/>
  <c r="BJ154" i="98"/>
  <c r="BH154" i="98"/>
  <c r="BK154" i="98"/>
  <c r="BF154" i="98"/>
  <c r="BE154" i="98"/>
  <c r="BG154" i="98"/>
  <c r="BB154" i="98"/>
  <c r="BD154" i="98"/>
  <c r="BA156" i="98" l="1" a="1"/>
  <c r="BA156" i="98" s="1"/>
  <c r="BC156" i="98" s="1"/>
  <c r="BE155" i="98"/>
  <c r="BJ155" i="98"/>
  <c r="BD155" i="98"/>
  <c r="BK155" i="98"/>
  <c r="BF155" i="98"/>
  <c r="BI155" i="98"/>
  <c r="BG155" i="98"/>
  <c r="BB155" i="98"/>
  <c r="BH155" i="98"/>
  <c r="BH156" i="98" l="1"/>
  <c r="BK156" i="98"/>
  <c r="BF156" i="98"/>
  <c r="BA157" i="98" a="1"/>
  <c r="BA157" i="98" s="1"/>
  <c r="BJ157" i="98" s="1"/>
  <c r="BI156" i="98"/>
  <c r="BJ156" i="98"/>
  <c r="BB156" i="98"/>
  <c r="BE156" i="98"/>
  <c r="BG156" i="98"/>
  <c r="BD156" i="98"/>
  <c r="BD157" i="98" l="1"/>
  <c r="BK157" i="98"/>
  <c r="BF157" i="98"/>
  <c r="BI157" i="98"/>
  <c r="BB157" i="98"/>
  <c r="BG157" i="98"/>
  <c r="BH157" i="98"/>
  <c r="BC157" i="98"/>
  <c r="BA158" i="98" a="1"/>
  <c r="BA158" i="98" s="1"/>
  <c r="BC158" i="98" s="1"/>
  <c r="BE157" i="98"/>
  <c r="BF158" i="98" l="1"/>
  <c r="BI158" i="98"/>
  <c r="BE158" i="98"/>
  <c r="BA159" i="98" a="1"/>
  <c r="BA159" i="98" s="1"/>
  <c r="BJ159" i="98" s="1"/>
  <c r="BJ158" i="98"/>
  <c r="BH158" i="98"/>
  <c r="BK158" i="98"/>
  <c r="BG158" i="98"/>
  <c r="BB158" i="98"/>
  <c r="BD158" i="98"/>
  <c r="BF159" i="98" l="1"/>
  <c r="BD159" i="98"/>
  <c r="BK159" i="98"/>
  <c r="BI159" i="98"/>
  <c r="BG159" i="98"/>
  <c r="BB159" i="98"/>
  <c r="BH159" i="98"/>
  <c r="BC159" i="98"/>
  <c r="BA160" i="98" a="1"/>
  <c r="BA160" i="98" s="1"/>
  <c r="BC160" i="98" s="1"/>
  <c r="BE159" i="98"/>
  <c r="BH160" i="98" l="1"/>
  <c r="BI160" i="98"/>
  <c r="BF160" i="98"/>
  <c r="BG160" i="98"/>
  <c r="BB160" i="98"/>
  <c r="BA161" i="98" a="1"/>
  <c r="BA161" i="98" s="1"/>
  <c r="BJ161" i="98" s="1"/>
  <c r="BJ160" i="98"/>
  <c r="BK160" i="98"/>
  <c r="BE160" i="98"/>
  <c r="BD160" i="98"/>
  <c r="BH161" i="98" l="1"/>
  <c r="BC161" i="98"/>
  <c r="BD161" i="98"/>
  <c r="BK161" i="98"/>
  <c r="BF161" i="98"/>
  <c r="BI161" i="98"/>
  <c r="BG161" i="98"/>
  <c r="BB161" i="98"/>
  <c r="BA162" i="98" a="1"/>
  <c r="BA162" i="98" s="1"/>
  <c r="BC162" i="98" s="1"/>
  <c r="BE161" i="98"/>
  <c r="BA163" i="98" l="1" a="1"/>
  <c r="BA163" i="98" s="1"/>
  <c r="BC163" i="98" s="1"/>
  <c r="BI162" i="98"/>
  <c r="BJ162" i="98"/>
  <c r="BH162" i="98"/>
  <c r="BK162" i="98"/>
  <c r="BF162" i="98"/>
  <c r="BE162" i="98"/>
  <c r="BG162" i="98"/>
  <c r="BB162" i="98"/>
  <c r="BD162" i="98"/>
  <c r="BD163" i="98" l="1"/>
  <c r="BK163" i="98"/>
  <c r="BF163" i="98"/>
  <c r="BA164" i="98" a="1"/>
  <c r="BA164" i="98" s="1"/>
  <c r="BJ164" i="98" s="1"/>
  <c r="BE163" i="98"/>
  <c r="BJ163" i="98"/>
  <c r="BI163" i="98"/>
  <c r="BG163" i="98"/>
  <c r="BB163" i="98"/>
  <c r="BH163" i="98"/>
  <c r="BH164" i="98" l="1"/>
  <c r="BK164" i="98"/>
  <c r="BF164" i="98"/>
  <c r="BE164" i="98"/>
  <c r="BG164" i="98"/>
  <c r="BB164" i="98"/>
  <c r="BD164" i="98"/>
  <c r="BC164" i="98"/>
  <c r="BA165" i="98" a="1"/>
  <c r="BA165" i="98" s="1"/>
  <c r="BC165" i="98" s="1"/>
  <c r="BI164" i="98"/>
  <c r="BE165" i="98" l="1"/>
  <c r="BJ165" i="98"/>
  <c r="BF165" i="98"/>
  <c r="BB165" i="98"/>
  <c r="BA166" i="98" a="1"/>
  <c r="BA166" i="98" s="1"/>
  <c r="BG166" i="98" s="1"/>
  <c r="BD165" i="98"/>
  <c r="BK165" i="98"/>
  <c r="BI165" i="98"/>
  <c r="BG165" i="98"/>
  <c r="BH165" i="98"/>
  <c r="BJ166" i="98" l="1"/>
  <c r="BD166" i="98"/>
  <c r="BA167" i="98" a="1"/>
  <c r="BA167" i="98" s="1"/>
  <c r="BB167" i="98" s="1"/>
  <c r="BK166" i="98"/>
  <c r="BH166" i="98"/>
  <c r="BF166" i="98"/>
  <c r="BE166" i="98"/>
  <c r="BC166" i="98"/>
  <c r="BB166" i="98"/>
  <c r="BI166" i="98"/>
  <c r="BA168" i="98" l="1" a="1"/>
  <c r="BA168" i="98" s="1"/>
  <c r="BD168" i="98" s="1"/>
  <c r="BC167" i="98"/>
  <c r="BJ167" i="98"/>
  <c r="BI167" i="98"/>
  <c r="BG167" i="98"/>
  <c r="BF167" i="98"/>
  <c r="BH167" i="98"/>
  <c r="BE167" i="98"/>
  <c r="BD167" i="98"/>
  <c r="BK167" i="98"/>
  <c r="BA169" i="98" l="1" a="1"/>
  <c r="BA169" i="98" s="1"/>
  <c r="BC169" i="98" s="1"/>
  <c r="BK168" i="98"/>
  <c r="BJ168" i="98"/>
  <c r="BF168" i="98"/>
  <c r="BE168" i="98"/>
  <c r="BH168" i="98"/>
  <c r="BC168" i="98"/>
  <c r="BI168" i="98"/>
  <c r="BB168" i="98"/>
  <c r="BG168" i="98"/>
  <c r="BA170" i="98" l="1" a="1"/>
  <c r="BA170" i="98" s="1"/>
  <c r="BG170" i="98" s="1"/>
  <c r="BI169" i="98"/>
  <c r="BJ169" i="98"/>
  <c r="BG169" i="98"/>
  <c r="BF169" i="98"/>
  <c r="BK169" i="98"/>
  <c r="BB169" i="98"/>
  <c r="BD169" i="98"/>
  <c r="BH169" i="98"/>
  <c r="BE169" i="98"/>
  <c r="BK170" i="98" l="1"/>
  <c r="BH170" i="98"/>
  <c r="BF170" i="98"/>
  <c r="BD170" i="98"/>
  <c r="BB170" i="98"/>
  <c r="BA171" i="98" a="1"/>
  <c r="BA171" i="98" s="1"/>
  <c r="BJ171" i="98" s="1"/>
  <c r="BJ170" i="98"/>
  <c r="BE170" i="98"/>
  <c r="BC170" i="98"/>
  <c r="BI170" i="98"/>
  <c r="BH171" i="98" l="1"/>
  <c r="BE171" i="98"/>
  <c r="BI171" i="98"/>
  <c r="BG171" i="98"/>
  <c r="BF171" i="98"/>
  <c r="BD171" i="98"/>
  <c r="BK171" i="98"/>
  <c r="BB171" i="98"/>
  <c r="BA172" i="98" a="1"/>
  <c r="BA172" i="98" s="1"/>
  <c r="BD172" i="98" s="1"/>
  <c r="BC171" i="98"/>
  <c r="BK172" i="98" l="1"/>
  <c r="BJ172" i="98"/>
  <c r="BH172" i="98"/>
  <c r="BE172" i="98"/>
  <c r="BF172" i="98"/>
  <c r="BA173" i="98" a="1"/>
  <c r="BA173" i="98" s="1"/>
  <c r="BJ173" i="98" s="1"/>
  <c r="BB172" i="98"/>
  <c r="BC172" i="98"/>
  <c r="BI172" i="98"/>
  <c r="BG172" i="98"/>
  <c r="BE173" i="98" l="1"/>
  <c r="BC173" i="98"/>
  <c r="BG173" i="98"/>
  <c r="BD173" i="98"/>
  <c r="BF173" i="98"/>
  <c r="BK173" i="98"/>
  <c r="BH173" i="98"/>
  <c r="BB173" i="98"/>
  <c r="BA174" i="98" a="1"/>
  <c r="BA174" i="98" s="1"/>
  <c r="BG174" i="98" s="1"/>
  <c r="BI173" i="98"/>
  <c r="BA175" i="98" l="1" a="1"/>
  <c r="BA175" i="98" s="1"/>
  <c r="BE175" i="98" s="1"/>
  <c r="BJ174" i="98"/>
  <c r="BH174" i="98"/>
  <c r="BB174" i="98"/>
  <c r="BD174" i="98"/>
  <c r="BK174" i="98"/>
  <c r="BF174" i="98"/>
  <c r="BE174" i="98"/>
  <c r="BC174" i="98"/>
  <c r="BI174" i="98"/>
  <c r="BA176" i="98" l="1" a="1"/>
  <c r="BA176" i="98" s="1"/>
  <c r="BD176" i="98" s="1"/>
  <c r="BC175" i="98"/>
  <c r="BJ175" i="98"/>
  <c r="BG175" i="98"/>
  <c r="BF175" i="98"/>
  <c r="BD175" i="98"/>
  <c r="BK175" i="98"/>
  <c r="BB175" i="98"/>
  <c r="BI175" i="98"/>
  <c r="BH175" i="98"/>
  <c r="BK176" i="98" l="1"/>
  <c r="BJ176" i="98"/>
  <c r="BF176" i="98"/>
  <c r="BC176" i="98"/>
  <c r="BB176" i="98"/>
  <c r="BA177" i="98" a="1"/>
  <c r="BA177" i="98" s="1"/>
  <c r="BJ177" i="98" s="1"/>
  <c r="BH176" i="98"/>
  <c r="BE176" i="98"/>
  <c r="BI176" i="98"/>
  <c r="BG176" i="98"/>
  <c r="BG177" i="98" l="1"/>
  <c r="BD177" i="98"/>
  <c r="BF177" i="98"/>
  <c r="BE177" i="98"/>
  <c r="BC177" i="98"/>
  <c r="BK177" i="98"/>
  <c r="BH177" i="98"/>
  <c r="BB177" i="98"/>
  <c r="BA178" i="98" a="1"/>
  <c r="BA178" i="98" s="1"/>
  <c r="BG178" i="98" s="1"/>
  <c r="BI177" i="98"/>
  <c r="BD178" i="98" l="1"/>
  <c r="BK178" i="98"/>
  <c r="BF178" i="98"/>
  <c r="BA179" i="98" a="1"/>
  <c r="BA179" i="98" s="1"/>
  <c r="BJ179" i="98" s="1"/>
  <c r="BJ178" i="98"/>
  <c r="BH178" i="98"/>
  <c r="BE178" i="98"/>
  <c r="BC178" i="98"/>
  <c r="BB178" i="98"/>
  <c r="BI178" i="98"/>
  <c r="BG179" i="98" l="1"/>
  <c r="BF179" i="98"/>
  <c r="BK179" i="98"/>
  <c r="BI179" i="98"/>
  <c r="BD179" i="98"/>
  <c r="BB179" i="98"/>
  <c r="BH179" i="98"/>
  <c r="BE179" i="98"/>
  <c r="BA180" i="98" a="1"/>
  <c r="BA180" i="98" s="1"/>
  <c r="BG180" i="98" s="1"/>
  <c r="BC179" i="98"/>
  <c r="BA181" i="98" l="1" a="1"/>
  <c r="BA181" i="98" s="1"/>
  <c r="BC181" i="98" s="1"/>
  <c r="BK180" i="98"/>
  <c r="BJ180" i="98"/>
  <c r="BH180" i="98"/>
  <c r="BE180" i="98"/>
  <c r="BF180" i="98"/>
  <c r="BD180" i="98"/>
  <c r="BC180" i="98"/>
  <c r="BI180" i="98"/>
  <c r="BB180" i="98"/>
  <c r="BG181" i="98" l="1"/>
  <c r="BD181" i="98"/>
  <c r="BF181" i="98"/>
  <c r="BK181" i="98"/>
  <c r="BH181" i="98"/>
  <c r="BB181" i="98"/>
  <c r="BA182" i="98" a="1"/>
  <c r="BA182" i="98" s="1"/>
  <c r="BJ182" i="98" s="1"/>
  <c r="BI181" i="98"/>
  <c r="BJ181" i="98"/>
  <c r="BE181" i="98"/>
  <c r="BK182" i="98" l="1"/>
  <c r="BH182" i="98"/>
  <c r="BF182" i="98"/>
  <c r="BE182" i="98"/>
  <c r="BC182" i="98"/>
  <c r="BB182" i="98"/>
  <c r="BI182" i="98"/>
  <c r="BG182" i="98"/>
  <c r="BA183" i="98" a="1"/>
  <c r="BA183" i="98" s="1"/>
  <c r="BE183" i="98" s="1"/>
  <c r="BD182" i="98"/>
  <c r="BA184" i="98" l="1" a="1"/>
  <c r="BA184" i="98" s="1"/>
  <c r="BD184" i="98" s="1"/>
  <c r="BI183" i="98"/>
  <c r="BG183" i="98"/>
  <c r="BF183" i="98"/>
  <c r="BC183" i="98"/>
  <c r="BB183" i="98"/>
  <c r="BJ183" i="98"/>
  <c r="BD183" i="98"/>
  <c r="BK183" i="98"/>
  <c r="BH183" i="98"/>
  <c r="BH184" i="98" l="1"/>
  <c r="BE184" i="98"/>
  <c r="BF184" i="98"/>
  <c r="BC184" i="98"/>
  <c r="BI184" i="98"/>
  <c r="BB184" i="98"/>
  <c r="BA185" i="98" a="1"/>
  <c r="BA185" i="98" s="1"/>
  <c r="BJ185" i="98" s="1"/>
  <c r="BK184" i="98"/>
  <c r="BJ184" i="98"/>
  <c r="BG184" i="98"/>
  <c r="BG185" i="98" l="1"/>
  <c r="BD185" i="98"/>
  <c r="BF185" i="98"/>
  <c r="BK185" i="98"/>
  <c r="BH185" i="98"/>
  <c r="BB185" i="98"/>
  <c r="BE185" i="98"/>
  <c r="BC185" i="98"/>
  <c r="BA186" i="98" a="1"/>
  <c r="BA186" i="98" s="1"/>
  <c r="BG186" i="98" s="1"/>
  <c r="BI185" i="98"/>
  <c r="BA187" i="98" l="1" a="1"/>
  <c r="BA187" i="98" s="1"/>
  <c r="BE187" i="98" s="1"/>
  <c r="BK186" i="98"/>
  <c r="BB186" i="98"/>
  <c r="BD186" i="98"/>
  <c r="BJ186" i="98"/>
  <c r="BH186" i="98"/>
  <c r="BF186" i="98"/>
  <c r="BE186" i="98"/>
  <c r="BC186" i="98"/>
  <c r="BI186" i="98"/>
  <c r="BI187" i="98" l="1"/>
  <c r="BG187" i="98"/>
  <c r="BF187" i="98"/>
  <c r="BA188" i="98" a="1"/>
  <c r="BA188" i="98" s="1"/>
  <c r="BJ188" i="98" s="1"/>
  <c r="BC187" i="98"/>
  <c r="BJ187" i="98"/>
  <c r="BB187" i="98"/>
  <c r="BD187" i="98"/>
  <c r="BK187" i="98"/>
  <c r="BH187" i="98"/>
  <c r="BF188" i="98" l="1"/>
  <c r="BH188" i="98"/>
  <c r="BE188" i="98"/>
  <c r="BC188" i="98"/>
  <c r="BI188" i="98"/>
  <c r="BB188" i="98"/>
  <c r="BG188" i="98"/>
  <c r="BD188" i="98"/>
  <c r="BA189" i="98" a="1"/>
  <c r="BA189" i="98" s="1"/>
  <c r="BC189" i="98" s="1"/>
  <c r="BK188" i="98"/>
  <c r="BJ189" i="98" l="1"/>
  <c r="BF189" i="98"/>
  <c r="BA190" i="98" a="1"/>
  <c r="BA190" i="98" s="1"/>
  <c r="BJ190" i="98" s="1"/>
  <c r="BH189" i="98"/>
  <c r="BE189" i="98"/>
  <c r="BG189" i="98"/>
  <c r="BD189" i="98"/>
  <c r="BI189" i="98"/>
  <c r="BB189" i="98"/>
  <c r="BK189" i="98"/>
  <c r="BE190" i="98" l="1"/>
  <c r="BK190" i="98"/>
  <c r="BH190" i="98"/>
  <c r="BF190" i="98"/>
  <c r="BC190" i="98"/>
  <c r="BB190" i="98"/>
  <c r="BI190" i="98"/>
  <c r="BG190" i="98"/>
  <c r="BA191" i="98" a="1"/>
  <c r="BA191" i="98" s="1"/>
  <c r="BE191" i="98" s="1"/>
  <c r="BD190" i="98"/>
  <c r="BH191" i="98" l="1"/>
  <c r="BC191" i="98"/>
  <c r="BF191" i="98"/>
  <c r="BJ191" i="98"/>
  <c r="BB191" i="98"/>
  <c r="BA192" i="98" a="1"/>
  <c r="BA192" i="98" s="1"/>
  <c r="BJ192" i="98" s="1"/>
  <c r="BG191" i="98"/>
  <c r="BI191" i="98"/>
  <c r="BK191" i="98"/>
  <c r="BD191" i="98"/>
  <c r="BG192" i="98" l="1"/>
  <c r="BF192" i="98"/>
  <c r="BH192" i="98"/>
  <c r="BD192" i="98"/>
  <c r="BK192" i="98"/>
  <c r="BE192" i="98"/>
  <c r="BI192" i="98"/>
  <c r="BB192" i="98"/>
  <c r="BA193" i="98" a="1"/>
  <c r="BA193" i="98" s="1"/>
  <c r="BC193" i="98" s="1"/>
  <c r="BC192" i="98"/>
  <c r="BF193" i="98" l="1"/>
  <c r="BK193" i="98"/>
  <c r="BD193" i="98"/>
  <c r="BA194" i="98" a="1"/>
  <c r="BA194" i="98" s="1"/>
  <c r="BJ194" i="98" s="1"/>
  <c r="BJ193" i="98"/>
  <c r="BI193" i="98"/>
  <c r="BE193" i="98"/>
  <c r="BH193" i="98"/>
  <c r="BB193" i="98"/>
  <c r="BG193" i="98"/>
  <c r="BH194" i="98" l="1"/>
  <c r="BK194" i="98"/>
  <c r="BI194" i="98"/>
  <c r="BF194" i="98"/>
  <c r="BE194" i="98"/>
  <c r="BD194" i="98"/>
  <c r="BB194" i="98"/>
  <c r="BG194" i="98"/>
  <c r="BA195" i="98" a="1"/>
  <c r="BA195" i="98" s="1"/>
  <c r="BE195" i="98" s="1"/>
  <c r="BC194" i="98"/>
  <c r="BJ195" i="98" l="1"/>
  <c r="BI195" i="98"/>
  <c r="BC195" i="98"/>
  <c r="BF195" i="98"/>
  <c r="BA196" i="98" a="1"/>
  <c r="BA196" i="98" s="1"/>
  <c r="BA197" i="98" s="1" a="1"/>
  <c r="BA197" i="98" s="1"/>
  <c r="BD195" i="98"/>
  <c r="BK195" i="98"/>
  <c r="BB195" i="98"/>
  <c r="BH195" i="98"/>
  <c r="BG195" i="98"/>
  <c r="BK196" i="98" l="1"/>
  <c r="BG196" i="98"/>
  <c r="BF196" i="98"/>
  <c r="BH196" i="98"/>
  <c r="BD196" i="98"/>
  <c r="BC196" i="98"/>
  <c r="BJ196" i="98"/>
  <c r="BE196" i="98"/>
  <c r="BI196" i="98"/>
  <c r="BB196" i="98"/>
  <c r="BB197" i="98"/>
  <c r="BF197" i="98"/>
  <c r="BJ197" i="98"/>
  <c r="BC197" i="98"/>
  <c r="BH197" i="98"/>
  <c r="BE197" i="98"/>
  <c r="BK197" i="98"/>
  <c r="BG197" i="98"/>
  <c r="BD197" i="98"/>
  <c r="BI197" i="98"/>
  <c r="BA198" i="98" a="1"/>
  <c r="BA198" i="98" s="1"/>
  <c r="BB198" i="98" l="1"/>
  <c r="BF198" i="98"/>
  <c r="BJ198" i="98"/>
  <c r="BG198" i="98"/>
  <c r="BD198" i="98"/>
  <c r="BI198" i="98"/>
  <c r="BE198" i="98"/>
  <c r="BK198" i="98"/>
  <c r="BC198" i="98"/>
  <c r="BH198" i="98"/>
  <c r="BA199" i="98" a="1"/>
  <c r="BA199" i="98" s="1"/>
  <c r="BB199" i="98" l="1"/>
  <c r="BF199" i="98"/>
  <c r="BJ199" i="98"/>
  <c r="BE199" i="98"/>
  <c r="BK199" i="98"/>
  <c r="BC199" i="98"/>
  <c r="BH199" i="98"/>
  <c r="BD199" i="98"/>
  <c r="BI199" i="98"/>
  <c r="BG199" i="98"/>
  <c r="BA200" i="98" a="1"/>
  <c r="BA200" i="98" s="1"/>
  <c r="BB200" i="98" l="1"/>
  <c r="BF200" i="98"/>
  <c r="BJ200" i="98"/>
  <c r="BD200" i="98"/>
  <c r="BI200" i="98"/>
  <c r="BE200" i="98"/>
  <c r="BK200" i="98"/>
  <c r="BG200" i="98"/>
  <c r="BC200" i="98"/>
  <c r="BH200" i="98"/>
  <c r="BA201" i="98" a="1"/>
  <c r="BA201" i="98" s="1"/>
  <c r="BB201" i="98" l="1"/>
  <c r="BF201" i="98"/>
  <c r="BJ201" i="98"/>
  <c r="BC201" i="98"/>
  <c r="BH201" i="98"/>
  <c r="BD201" i="98"/>
  <c r="BI201" i="98"/>
  <c r="BE201" i="98"/>
  <c r="BK201" i="98"/>
  <c r="BG201" i="98"/>
  <c r="H19" i="98"/>
  <c r="H12" i="98"/>
  <c r="H22" i="98"/>
  <c r="H18" i="98"/>
  <c r="H14" i="98"/>
  <c r="H16" i="98"/>
  <c r="H21" i="98"/>
  <c r="H23" i="98"/>
  <c r="H20" i="98"/>
  <c r="G62" i="98" l="1"/>
  <c r="H62" i="98" s="1"/>
  <c r="I62" i="98" s="1"/>
  <c r="G64" i="98"/>
  <c r="H64" i="98" s="1"/>
  <c r="I64" i="98" s="1"/>
  <c r="G66" i="98"/>
  <c r="H66" i="98" s="1"/>
  <c r="I66" i="98" s="1"/>
  <c r="G63" i="98"/>
  <c r="H63" i="98" s="1"/>
  <c r="I63" i="98" s="1"/>
  <c r="G61" i="98"/>
  <c r="H61" i="98" s="1"/>
  <c r="I61" i="98" s="1"/>
  <c r="G65" i="98"/>
  <c r="H65" i="98" s="1"/>
  <c r="I65" i="98" s="1"/>
  <c r="J63" i="98" l="1"/>
  <c r="K63" i="98"/>
  <c r="K66" i="98"/>
  <c r="J66" i="98"/>
  <c r="K65" i="98"/>
  <c r="J65" i="98"/>
  <c r="K64" i="98"/>
  <c r="J64" i="98"/>
  <c r="J61" i="98"/>
  <c r="K61" i="98"/>
  <c r="K62" i="98"/>
  <c r="J62" i="98"/>
  <c r="K67" i="98" l="1"/>
  <c r="J67" i="98"/>
  <c r="P17" i="160" l="1"/>
  <c r="P17" i="162"/>
  <c r="P17" i="161"/>
  <c r="P21" i="160"/>
  <c r="P21" i="162"/>
  <c r="P21" i="161"/>
  <c r="P17" i="159"/>
  <c r="P21" i="159"/>
  <c r="P17" i="113"/>
  <c r="P21" i="113"/>
  <c r="Q140" i="97"/>
  <c r="N140" i="97"/>
  <c r="BJ15" i="97"/>
  <c r="BJ10" i="97"/>
  <c r="BJ8" i="97"/>
  <c r="BB80" i="97"/>
  <c r="BB79" i="97"/>
  <c r="BB78" i="97"/>
  <c r="BB77" i="97"/>
  <c r="BB76" i="97"/>
  <c r="BB75" i="97"/>
  <c r="BB74" i="97"/>
  <c r="BB73" i="97"/>
  <c r="BB72" i="97"/>
  <c r="BB71" i="97"/>
  <c r="BB70" i="97"/>
  <c r="BB69" i="97"/>
  <c r="BB68" i="97"/>
  <c r="BB67" i="97"/>
  <c r="BB66" i="97"/>
  <c r="BB65" i="97"/>
  <c r="BB64" i="97"/>
  <c r="BB63" i="97"/>
  <c r="BB62" i="97"/>
  <c r="BB61" i="97"/>
  <c r="BB60" i="97"/>
  <c r="BB59" i="97"/>
  <c r="BB58" i="97"/>
  <c r="BB57" i="97"/>
  <c r="BB56" i="97"/>
  <c r="BB55" i="97"/>
  <c r="BB54" i="97"/>
  <c r="BB53" i="97"/>
  <c r="BB52" i="97"/>
  <c r="BB51" i="97"/>
  <c r="BB50" i="97"/>
  <c r="BB49" i="97"/>
  <c r="BB48" i="97"/>
  <c r="BB47" i="97"/>
  <c r="BB46" i="97"/>
  <c r="BB45" i="97"/>
  <c r="BB44" i="97"/>
  <c r="BB43" i="97"/>
  <c r="BB42" i="97"/>
  <c r="BB41" i="97"/>
  <c r="BB40" i="97"/>
  <c r="BB39" i="97"/>
  <c r="BB38" i="97"/>
  <c r="BB37" i="97"/>
  <c r="BB36" i="97"/>
  <c r="BB35" i="97"/>
  <c r="BB34" i="97"/>
  <c r="BB33" i="97"/>
  <c r="BB32" i="97"/>
  <c r="BB31" i="97"/>
  <c r="BB30" i="97"/>
  <c r="BB29" i="97"/>
  <c r="BB28" i="97"/>
  <c r="BB27" i="97"/>
  <c r="BB26" i="97"/>
  <c r="BB25" i="97"/>
  <c r="BB24" i="97"/>
  <c r="BB23" i="97"/>
  <c r="BB22" i="97"/>
  <c r="BB21" i="97"/>
  <c r="BB20" i="97"/>
  <c r="BB19" i="97"/>
  <c r="BB18" i="97"/>
  <c r="BB17" i="97"/>
  <c r="BB16" i="97"/>
  <c r="BB15" i="97"/>
  <c r="BB14" i="97"/>
  <c r="BB13" i="97"/>
  <c r="BB12" i="97"/>
  <c r="BB11" i="97"/>
  <c r="BB10" i="97"/>
  <c r="BB9" i="97"/>
  <c r="BB8" i="97"/>
  <c r="BB7" i="97"/>
  <c r="BB6" i="97"/>
  <c r="BB5" i="97"/>
  <c r="CI34" i="97"/>
  <c r="CI33" i="97"/>
  <c r="CI32" i="97"/>
  <c r="CI31" i="97"/>
  <c r="CI30" i="97"/>
  <c r="CI29" i="97"/>
  <c r="CI28" i="97"/>
  <c r="CI27" i="97"/>
  <c r="CI26" i="97"/>
  <c r="CI25" i="97"/>
  <c r="CI24" i="97"/>
  <c r="CI23" i="97"/>
  <c r="CI22" i="97"/>
  <c r="CI21" i="97"/>
  <c r="CI17" i="97"/>
  <c r="CI16" i="97"/>
  <c r="CI15" i="97"/>
  <c r="CI14" i="97"/>
  <c r="CI13" i="97"/>
  <c r="CI12" i="97"/>
  <c r="CI11" i="97"/>
  <c r="CI10" i="97"/>
  <c r="CI9" i="97"/>
  <c r="CI8" i="97"/>
  <c r="CI7" i="97"/>
  <c r="CI6" i="97"/>
  <c r="CI5" i="97"/>
  <c r="CI4" i="97"/>
  <c r="CH34" i="97"/>
  <c r="CH33" i="97"/>
  <c r="CH32" i="97"/>
  <c r="CH31" i="97"/>
  <c r="CH30" i="97"/>
  <c r="CH29" i="97"/>
  <c r="CH28" i="97"/>
  <c r="CH27" i="97"/>
  <c r="CH26" i="97"/>
  <c r="CH25" i="97"/>
  <c r="CH24" i="97"/>
  <c r="CH23" i="97"/>
  <c r="CH22" i="97"/>
  <c r="CH21" i="97"/>
  <c r="CH17" i="97"/>
  <c r="CH16" i="97"/>
  <c r="CH15" i="97"/>
  <c r="CH14" i="97"/>
  <c r="CH13" i="97"/>
  <c r="CH12" i="97"/>
  <c r="CH11" i="97"/>
  <c r="CH10" i="97"/>
  <c r="CH9" i="97"/>
  <c r="CH8" i="97"/>
  <c r="CH7" i="97"/>
  <c r="CH6" i="97"/>
  <c r="CH5" i="97"/>
  <c r="CH4" i="97"/>
  <c r="H77" i="97"/>
  <c r="H65" i="97"/>
  <c r="H13" i="163"/>
  <c r="H21" i="113"/>
  <c r="H17" i="113"/>
  <c r="N57" i="163"/>
  <c r="N57" i="165"/>
  <c r="H13" i="165"/>
  <c r="H13" i="164"/>
  <c r="N57" i="164"/>
  <c r="N52" i="164" l="1"/>
  <c r="N52" i="165"/>
  <c r="T25" i="165"/>
  <c r="Q25" i="165"/>
  <c r="W25" i="165"/>
  <c r="T25" i="164"/>
  <c r="W25" i="164"/>
  <c r="Q25" i="164"/>
  <c r="N52" i="163"/>
  <c r="Q25" i="163"/>
  <c r="T25" i="163"/>
  <c r="W25" i="163"/>
  <c r="CI18" i="97"/>
  <c r="BB81" i="97"/>
  <c r="BJ21" i="97"/>
  <c r="BJ19" i="97"/>
  <c r="BJ20" i="97" s="1"/>
  <c r="N141" i="97" s="1"/>
  <c r="CH35" i="97"/>
  <c r="CI35" i="97"/>
  <c r="CH18" i="97"/>
  <c r="BS19" i="97"/>
  <c r="BR19" i="97"/>
  <c r="BH29" i="97"/>
  <c r="BH28" i="97"/>
  <c r="BH26" i="97"/>
  <c r="K57" i="163"/>
  <c r="N225" i="163"/>
  <c r="N149" i="163"/>
  <c r="K57" i="165"/>
  <c r="H57" i="165"/>
  <c r="N187" i="163"/>
  <c r="N225" i="164"/>
  <c r="K57" i="164"/>
  <c r="N149" i="165"/>
  <c r="N225" i="165"/>
  <c r="H11" i="165"/>
  <c r="N187" i="165"/>
  <c r="N187" i="164"/>
  <c r="H11" i="164"/>
  <c r="H11" i="163"/>
  <c r="N149" i="164"/>
  <c r="H13" i="115"/>
  <c r="H52" i="165" l="1"/>
  <c r="K52" i="165"/>
  <c r="K52" i="164"/>
  <c r="K52" i="163"/>
  <c r="T26" i="165"/>
  <c r="Q26" i="165"/>
  <c r="W26" i="165"/>
  <c r="W26" i="164"/>
  <c r="T26" i="164"/>
  <c r="Q26" i="164"/>
  <c r="T26" i="163"/>
  <c r="W26" i="163"/>
  <c r="Q26" i="163"/>
  <c r="BH40" i="97"/>
  <c r="T25" i="115"/>
  <c r="W25" i="115"/>
  <c r="CJ18" i="97"/>
  <c r="BC81" i="97"/>
  <c r="Q141" i="97" s="1"/>
  <c r="CJ35" i="97"/>
  <c r="H58" i="97" s="1"/>
  <c r="BT19" i="97"/>
  <c r="F66" i="97"/>
  <c r="F65" i="97"/>
  <c r="F64" i="97"/>
  <c r="F63" i="97"/>
  <c r="G62" i="97"/>
  <c r="F62" i="97"/>
  <c r="F61" i="97"/>
  <c r="F60" i="97"/>
  <c r="F59" i="97"/>
  <c r="F58" i="97"/>
  <c r="F57" i="97"/>
  <c r="G56" i="97"/>
  <c r="F56" i="97"/>
  <c r="F55" i="97"/>
  <c r="F54" i="97"/>
  <c r="F53" i="97"/>
  <c r="F52" i="97"/>
  <c r="F51" i="97"/>
  <c r="G50" i="97"/>
  <c r="F50" i="97"/>
  <c r="F49" i="97"/>
  <c r="T27" i="164"/>
  <c r="K335" i="165"/>
  <c r="K306" i="165"/>
  <c r="N251" i="164"/>
  <c r="K277" i="165"/>
  <c r="N410" i="163"/>
  <c r="N270" i="165"/>
  <c r="K187" i="165"/>
  <c r="K292" i="165"/>
  <c r="N251" i="163"/>
  <c r="N366" i="163"/>
  <c r="G22" i="130"/>
  <c r="N321" i="164"/>
  <c r="N183" i="165"/>
  <c r="N328" i="165"/>
  <c r="N424" i="165"/>
  <c r="N197" i="163"/>
  <c r="N277" i="163"/>
  <c r="H22" i="130"/>
  <c r="N233" i="164"/>
  <c r="N439" i="163"/>
  <c r="N157" i="163"/>
  <c r="N381" i="165"/>
  <c r="N235" i="163"/>
  <c r="F22" i="130"/>
  <c r="N306" i="165"/>
  <c r="N410" i="164"/>
  <c r="K395" i="164"/>
  <c r="K187" i="164"/>
  <c r="K424" i="164"/>
  <c r="N299" i="164"/>
  <c r="Q27" i="163"/>
  <c r="N195" i="165"/>
  <c r="N388" i="163"/>
  <c r="K439" i="164"/>
  <c r="K439" i="165"/>
  <c r="N195" i="163"/>
  <c r="N439" i="164"/>
  <c r="N359" i="164"/>
  <c r="K225" i="164"/>
  <c r="N388" i="165"/>
  <c r="N299" i="165"/>
  <c r="N197" i="165"/>
  <c r="K410" i="165"/>
  <c r="N328" i="163"/>
  <c r="N417" i="163"/>
  <c r="N388" i="164"/>
  <c r="K299" i="163"/>
  <c r="H58" i="165"/>
  <c r="N306" i="163"/>
  <c r="N277" i="165"/>
  <c r="K388" i="165"/>
  <c r="N270" i="163"/>
  <c r="K424" i="165"/>
  <c r="N251" i="165"/>
  <c r="N159" i="165"/>
  <c r="N417" i="164"/>
  <c r="K381" i="163"/>
  <c r="K381" i="164"/>
  <c r="N221" i="164"/>
  <c r="K149" i="164"/>
  <c r="N259" i="165"/>
  <c r="N183" i="163"/>
  <c r="N328" i="164"/>
  <c r="N424" i="163"/>
  <c r="K350" i="165"/>
  <c r="K225" i="163"/>
  <c r="N395" i="165"/>
  <c r="N395" i="164"/>
  <c r="N259" i="163"/>
  <c r="N335" i="165"/>
  <c r="H28" i="165"/>
  <c r="Q27" i="165"/>
  <c r="N277" i="164"/>
  <c r="N335" i="163"/>
  <c r="K149" i="163"/>
  <c r="N58" i="164"/>
  <c r="N235" i="165"/>
  <c r="K366" i="165"/>
  <c r="N221" i="165"/>
  <c r="N299" i="163"/>
  <c r="N235" i="164"/>
  <c r="N175" i="165"/>
  <c r="K328" i="165"/>
  <c r="H57" i="163"/>
  <c r="N410" i="165"/>
  <c r="N259" i="164"/>
  <c r="T27" i="163"/>
  <c r="N261" i="164"/>
  <c r="N159" i="164"/>
  <c r="N221" i="163"/>
  <c r="K187" i="163"/>
  <c r="N261" i="165"/>
  <c r="N195" i="164"/>
  <c r="N417" i="165"/>
  <c r="N58" i="165"/>
  <c r="N223" i="163"/>
  <c r="N381" i="164"/>
  <c r="N223" i="165"/>
  <c r="N213" i="164"/>
  <c r="N233" i="163"/>
  <c r="N439" i="165"/>
  <c r="W27" i="164"/>
  <c r="N223" i="164"/>
  <c r="N213" i="163"/>
  <c r="N175" i="164"/>
  <c r="K328" i="164"/>
  <c r="N197" i="164"/>
  <c r="Q27" i="164"/>
  <c r="K225" i="165"/>
  <c r="K359" i="165"/>
  <c r="W27" i="165"/>
  <c r="N58" i="163"/>
  <c r="K270" i="165"/>
  <c r="K299" i="165"/>
  <c r="K350" i="164"/>
  <c r="N359" i="163"/>
  <c r="K335" i="164"/>
  <c r="K410" i="164"/>
  <c r="N366" i="164"/>
  <c r="K395" i="165"/>
  <c r="N159" i="163"/>
  <c r="K381" i="165"/>
  <c r="N157" i="164"/>
  <c r="K321" i="165"/>
  <c r="N350" i="165"/>
  <c r="K58" i="164"/>
  <c r="N306" i="164"/>
  <c r="N350" i="163"/>
  <c r="K366" i="164"/>
  <c r="W27" i="163"/>
  <c r="K417" i="165"/>
  <c r="N157" i="165"/>
  <c r="N366" i="165"/>
  <c r="N233" i="165"/>
  <c r="N335" i="164"/>
  <c r="N175" i="163"/>
  <c r="T27" i="165"/>
  <c r="N381" i="163"/>
  <c r="K149" i="165"/>
  <c r="K321" i="164"/>
  <c r="N424" i="164"/>
  <c r="N261" i="163"/>
  <c r="N321" i="163"/>
  <c r="N395" i="163"/>
  <c r="H57" i="164"/>
  <c r="K299" i="164"/>
  <c r="N270" i="164"/>
  <c r="K359" i="163"/>
  <c r="N321" i="165"/>
  <c r="K417" i="164"/>
  <c r="N213" i="165"/>
  <c r="N183" i="164"/>
  <c r="N350" i="164"/>
  <c r="K292" i="164"/>
  <c r="K58" i="165"/>
  <c r="N359" i="165"/>
  <c r="K277" i="164"/>
  <c r="K306" i="163"/>
  <c r="H52" i="164" l="1"/>
  <c r="H52" i="163"/>
  <c r="N241" i="164"/>
  <c r="N165" i="165"/>
  <c r="N203" i="165"/>
  <c r="N241" i="165"/>
  <c r="N165" i="164"/>
  <c r="N203" i="164"/>
  <c r="N165" i="163"/>
  <c r="N241" i="163"/>
  <c r="N203" i="163"/>
  <c r="H64" i="97"/>
  <c r="H76" i="97"/>
  <c r="V429" i="91"/>
  <c r="V45" i="91" s="1"/>
  <c r="U429" i="91"/>
  <c r="U45" i="91" s="1"/>
  <c r="S429" i="91"/>
  <c r="S45" i="91" s="1"/>
  <c r="R429" i="91"/>
  <c r="R45" i="91" s="1"/>
  <c r="P429" i="91"/>
  <c r="P45" i="91" s="1"/>
  <c r="O429" i="91"/>
  <c r="O45" i="91" s="1"/>
  <c r="M429" i="91"/>
  <c r="M45" i="91" s="1"/>
  <c r="L429" i="91"/>
  <c r="L45" i="91" s="1"/>
  <c r="J429" i="91"/>
  <c r="J45" i="91" s="1"/>
  <c r="I429" i="91"/>
  <c r="V428" i="91"/>
  <c r="U428" i="91"/>
  <c r="S428" i="91"/>
  <c r="R428" i="91"/>
  <c r="P428" i="91"/>
  <c r="O428" i="91"/>
  <c r="M428" i="91"/>
  <c r="L428" i="91"/>
  <c r="J428" i="91"/>
  <c r="I428" i="91"/>
  <c r="V427" i="91"/>
  <c r="U427" i="91"/>
  <c r="S427" i="91"/>
  <c r="R427" i="91"/>
  <c r="P427" i="91"/>
  <c r="O427" i="91"/>
  <c r="M427" i="91"/>
  <c r="L427" i="91"/>
  <c r="J427" i="91"/>
  <c r="I427" i="91"/>
  <c r="V426" i="91"/>
  <c r="V438" i="91" s="1"/>
  <c r="U426" i="91"/>
  <c r="S426" i="91"/>
  <c r="S437" i="91" s="1"/>
  <c r="P426" i="91"/>
  <c r="P437" i="91" s="1"/>
  <c r="O426" i="91"/>
  <c r="O437" i="91" s="1"/>
  <c r="M426" i="91"/>
  <c r="L426" i="91"/>
  <c r="L437" i="91" s="1"/>
  <c r="J426" i="91"/>
  <c r="J438" i="91" s="1"/>
  <c r="I426" i="91"/>
  <c r="V415" i="91"/>
  <c r="V423" i="91" s="1"/>
  <c r="U415" i="91"/>
  <c r="S415" i="91"/>
  <c r="S423" i="91" s="1"/>
  <c r="R415" i="91"/>
  <c r="R423" i="91" s="1"/>
  <c r="P415" i="91"/>
  <c r="P423" i="91" s="1"/>
  <c r="O415" i="91"/>
  <c r="O423" i="91" s="1"/>
  <c r="M415" i="91"/>
  <c r="L415" i="91"/>
  <c r="L423" i="91" s="1"/>
  <c r="J415" i="91"/>
  <c r="J423" i="91" s="1"/>
  <c r="I415" i="91"/>
  <c r="V414" i="91"/>
  <c r="U414" i="91"/>
  <c r="S414" i="91"/>
  <c r="R414" i="91"/>
  <c r="P414" i="91"/>
  <c r="O414" i="91"/>
  <c r="M414" i="91"/>
  <c r="L414" i="91"/>
  <c r="J414" i="91"/>
  <c r="I414" i="91"/>
  <c r="V413" i="91"/>
  <c r="U413" i="91"/>
  <c r="S413" i="91"/>
  <c r="R413" i="91"/>
  <c r="P413" i="91"/>
  <c r="O413" i="91"/>
  <c r="M413" i="91"/>
  <c r="L413" i="91"/>
  <c r="J413" i="91"/>
  <c r="I413" i="91"/>
  <c r="V400" i="91"/>
  <c r="V44" i="91" s="1"/>
  <c r="U400" i="91"/>
  <c r="U44" i="91" s="1"/>
  <c r="S400" i="91"/>
  <c r="S44" i="91" s="1"/>
  <c r="R400" i="91"/>
  <c r="R44" i="91" s="1"/>
  <c r="P400" i="91"/>
  <c r="P44" i="91" s="1"/>
  <c r="O400" i="91"/>
  <c r="O44" i="91" s="1"/>
  <c r="M400" i="91"/>
  <c r="M44" i="91" s="1"/>
  <c r="L400" i="91"/>
  <c r="L44" i="91" s="1"/>
  <c r="J400" i="91"/>
  <c r="J44" i="91" s="1"/>
  <c r="I400" i="91"/>
  <c r="I44" i="91" s="1"/>
  <c r="V399" i="91"/>
  <c r="U399" i="91"/>
  <c r="S399" i="91"/>
  <c r="R399" i="91"/>
  <c r="P399" i="91"/>
  <c r="O399" i="91"/>
  <c r="M399" i="91"/>
  <c r="L399" i="91"/>
  <c r="J399" i="91"/>
  <c r="I399" i="91"/>
  <c r="V398" i="91"/>
  <c r="U398" i="91"/>
  <c r="S398" i="91"/>
  <c r="R398" i="91"/>
  <c r="P398" i="91"/>
  <c r="O398" i="91"/>
  <c r="M398" i="91"/>
  <c r="L398" i="91"/>
  <c r="J398" i="91"/>
  <c r="I398" i="91"/>
  <c r="V397" i="91"/>
  <c r="V409" i="91" s="1"/>
  <c r="U397" i="91"/>
  <c r="S397" i="91"/>
  <c r="S404" i="91" s="1"/>
  <c r="P397" i="91"/>
  <c r="P409" i="91" s="1"/>
  <c r="O397" i="91"/>
  <c r="O408" i="91" s="1"/>
  <c r="M397" i="91"/>
  <c r="L397" i="91"/>
  <c r="L409" i="91" s="1"/>
  <c r="J397" i="91"/>
  <c r="J409" i="91" s="1"/>
  <c r="I397" i="91"/>
  <c r="V394" i="91"/>
  <c r="U394" i="91"/>
  <c r="S394" i="91"/>
  <c r="R394" i="91"/>
  <c r="P386" i="91"/>
  <c r="P394" i="91" s="1"/>
  <c r="O386" i="91"/>
  <c r="O394" i="91" s="1"/>
  <c r="M386" i="91"/>
  <c r="L386" i="91"/>
  <c r="L394" i="91" s="1"/>
  <c r="J386" i="91"/>
  <c r="J394" i="91" s="1"/>
  <c r="I386" i="91"/>
  <c r="P385" i="91"/>
  <c r="O385" i="91"/>
  <c r="M385" i="91"/>
  <c r="L385" i="91"/>
  <c r="J385" i="91"/>
  <c r="I385" i="91"/>
  <c r="P384" i="91"/>
  <c r="O384" i="91"/>
  <c r="M384" i="91"/>
  <c r="L384" i="91"/>
  <c r="J384" i="91"/>
  <c r="I384" i="91"/>
  <c r="V380" i="91"/>
  <c r="U380" i="91"/>
  <c r="S380" i="91"/>
  <c r="R380" i="91"/>
  <c r="V379" i="91"/>
  <c r="U379" i="91"/>
  <c r="S379" i="91"/>
  <c r="R379" i="91"/>
  <c r="V375" i="91"/>
  <c r="U375" i="91"/>
  <c r="S375" i="91"/>
  <c r="R375" i="91"/>
  <c r="V371" i="91"/>
  <c r="V43" i="91" s="1"/>
  <c r="U371" i="91"/>
  <c r="U43" i="91" s="1"/>
  <c r="S371" i="91"/>
  <c r="S43" i="91" s="1"/>
  <c r="R371" i="91"/>
  <c r="R43" i="91" s="1"/>
  <c r="P371" i="91"/>
  <c r="P43" i="91" s="1"/>
  <c r="O371" i="91"/>
  <c r="O43" i="91" s="1"/>
  <c r="M371" i="91"/>
  <c r="M43" i="91" s="1"/>
  <c r="L371" i="91"/>
  <c r="L43" i="91" s="1"/>
  <c r="J371" i="91"/>
  <c r="J43" i="91" s="1"/>
  <c r="I371" i="91"/>
  <c r="I43" i="91" s="1"/>
  <c r="V370" i="91"/>
  <c r="U370" i="91"/>
  <c r="S370" i="91"/>
  <c r="R370" i="91"/>
  <c r="P370" i="91"/>
  <c r="O370" i="91"/>
  <c r="M370" i="91"/>
  <c r="L370" i="91"/>
  <c r="J370" i="91"/>
  <c r="I370" i="91"/>
  <c r="P369" i="91"/>
  <c r="O369" i="91"/>
  <c r="M369" i="91"/>
  <c r="L369" i="91"/>
  <c r="J369" i="91"/>
  <c r="I369" i="91"/>
  <c r="P368" i="91"/>
  <c r="P380" i="91" s="1"/>
  <c r="O368" i="91"/>
  <c r="M368" i="91"/>
  <c r="M379" i="91" s="1"/>
  <c r="L368" i="91"/>
  <c r="L380" i="91" s="1"/>
  <c r="J368" i="91"/>
  <c r="I368" i="91"/>
  <c r="I379" i="91" s="1"/>
  <c r="V365" i="91"/>
  <c r="U365" i="91"/>
  <c r="S365" i="91"/>
  <c r="R365" i="91"/>
  <c r="P357" i="91"/>
  <c r="P365" i="91" s="1"/>
  <c r="O357" i="91"/>
  <c r="M357" i="91"/>
  <c r="M365" i="91" s="1"/>
  <c r="L357" i="91"/>
  <c r="L365" i="91" s="1"/>
  <c r="J357" i="91"/>
  <c r="J365" i="91" s="1"/>
  <c r="I357" i="91"/>
  <c r="I365" i="91" s="1"/>
  <c r="P356" i="91"/>
  <c r="O356" i="91"/>
  <c r="M356" i="91"/>
  <c r="L356" i="91"/>
  <c r="J356" i="91"/>
  <c r="I356" i="91"/>
  <c r="P355" i="91"/>
  <c r="O355" i="91"/>
  <c r="M355" i="91"/>
  <c r="L355" i="91"/>
  <c r="J355" i="91"/>
  <c r="I355" i="91"/>
  <c r="V349" i="91"/>
  <c r="U349" i="91"/>
  <c r="S349" i="91"/>
  <c r="R349" i="91"/>
  <c r="V348" i="91"/>
  <c r="U348" i="91"/>
  <c r="S348" i="91"/>
  <c r="R348" i="91"/>
  <c r="V344" i="91"/>
  <c r="U344" i="91"/>
  <c r="S344" i="91"/>
  <c r="R344" i="91"/>
  <c r="V340" i="91"/>
  <c r="V41" i="91" s="1"/>
  <c r="U340" i="91"/>
  <c r="U41" i="91" s="1"/>
  <c r="S340" i="91"/>
  <c r="S41" i="91" s="1"/>
  <c r="R340" i="91"/>
  <c r="R41" i="91" s="1"/>
  <c r="P340" i="91"/>
  <c r="P41" i="91" s="1"/>
  <c r="O340" i="91"/>
  <c r="O41" i="91" s="1"/>
  <c r="M340" i="91"/>
  <c r="M41" i="91" s="1"/>
  <c r="L340" i="91"/>
  <c r="L41" i="91" s="1"/>
  <c r="J340" i="91"/>
  <c r="J41" i="91" s="1"/>
  <c r="I340" i="91"/>
  <c r="I41" i="91" s="1"/>
  <c r="V339" i="91"/>
  <c r="U339" i="91"/>
  <c r="S339" i="91"/>
  <c r="R339" i="91"/>
  <c r="P339" i="91"/>
  <c r="O339" i="91"/>
  <c r="M339" i="91"/>
  <c r="L339" i="91"/>
  <c r="J339" i="91"/>
  <c r="I339" i="91"/>
  <c r="P338" i="91"/>
  <c r="O338" i="91"/>
  <c r="M338" i="91"/>
  <c r="L338" i="91"/>
  <c r="J338" i="91"/>
  <c r="I338" i="91"/>
  <c r="P337" i="91"/>
  <c r="P344" i="91" s="1"/>
  <c r="O337" i="91"/>
  <c r="M337" i="91"/>
  <c r="M349" i="91" s="1"/>
  <c r="L337" i="91"/>
  <c r="J337" i="91"/>
  <c r="J349" i="91" s="1"/>
  <c r="I337" i="91"/>
  <c r="I349" i="91" s="1"/>
  <c r="V334" i="91"/>
  <c r="U334" i="91"/>
  <c r="S334" i="91"/>
  <c r="R334" i="91"/>
  <c r="P326" i="91"/>
  <c r="P334" i="91" s="1"/>
  <c r="O326" i="91"/>
  <c r="M326" i="91"/>
  <c r="M334" i="91" s="1"/>
  <c r="L326" i="91"/>
  <c r="L334" i="91" s="1"/>
  <c r="J326" i="91"/>
  <c r="J334" i="91" s="1"/>
  <c r="I326" i="91"/>
  <c r="I334" i="91" s="1"/>
  <c r="P325" i="91"/>
  <c r="O325" i="91"/>
  <c r="M325" i="91"/>
  <c r="L325" i="91"/>
  <c r="J325" i="91"/>
  <c r="I325" i="91"/>
  <c r="P324" i="91"/>
  <c r="O324" i="91"/>
  <c r="M324" i="91"/>
  <c r="L324" i="91"/>
  <c r="J324" i="91"/>
  <c r="I324" i="91"/>
  <c r="V320" i="91"/>
  <c r="U320" i="91"/>
  <c r="S320" i="91"/>
  <c r="R320" i="91"/>
  <c r="V319" i="91"/>
  <c r="U319" i="91"/>
  <c r="S319" i="91"/>
  <c r="R319" i="91"/>
  <c r="V315" i="91"/>
  <c r="U315" i="91"/>
  <c r="S315" i="91"/>
  <c r="R315" i="91"/>
  <c r="V311" i="91"/>
  <c r="V40" i="91" s="1"/>
  <c r="U311" i="91"/>
  <c r="U40" i="91" s="1"/>
  <c r="S311" i="91"/>
  <c r="S40" i="91" s="1"/>
  <c r="R311" i="91"/>
  <c r="P311" i="91"/>
  <c r="P40" i="91" s="1"/>
  <c r="O311" i="91"/>
  <c r="O40" i="91" s="1"/>
  <c r="M311" i="91"/>
  <c r="M40" i="91" s="1"/>
  <c r="L311" i="91"/>
  <c r="L40" i="91" s="1"/>
  <c r="J311" i="91"/>
  <c r="J40" i="91" s="1"/>
  <c r="I311" i="91"/>
  <c r="I40" i="91" s="1"/>
  <c r="V310" i="91"/>
  <c r="U310" i="91"/>
  <c r="S310" i="91"/>
  <c r="R310" i="91"/>
  <c r="P310" i="91"/>
  <c r="O310" i="91"/>
  <c r="M310" i="91"/>
  <c r="L310" i="91"/>
  <c r="J310" i="91"/>
  <c r="I310" i="91"/>
  <c r="P309" i="91"/>
  <c r="O309" i="91"/>
  <c r="M309" i="91"/>
  <c r="L309" i="91"/>
  <c r="J309" i="91"/>
  <c r="I309" i="91"/>
  <c r="P308" i="91"/>
  <c r="P319" i="91" s="1"/>
  <c r="O308" i="91"/>
  <c r="O319" i="91" s="1"/>
  <c r="M308" i="91"/>
  <c r="L308" i="91"/>
  <c r="L319" i="91" s="1"/>
  <c r="J308" i="91"/>
  <c r="J320" i="91" s="1"/>
  <c r="I308" i="91"/>
  <c r="V305" i="91"/>
  <c r="U305" i="91"/>
  <c r="S305" i="91"/>
  <c r="R305" i="91"/>
  <c r="P297" i="91"/>
  <c r="P305" i="91" s="1"/>
  <c r="O297" i="91"/>
  <c r="O305" i="91" s="1"/>
  <c r="M297" i="91"/>
  <c r="L297" i="91"/>
  <c r="L305" i="91" s="1"/>
  <c r="J297" i="91"/>
  <c r="J305" i="91" s="1"/>
  <c r="I297" i="91"/>
  <c r="P296" i="91"/>
  <c r="O296" i="91"/>
  <c r="M296" i="91"/>
  <c r="L296" i="91"/>
  <c r="J296" i="91"/>
  <c r="I296" i="91"/>
  <c r="P295" i="91"/>
  <c r="O295" i="91"/>
  <c r="M295" i="91"/>
  <c r="L295" i="91"/>
  <c r="J295" i="91"/>
  <c r="I295" i="91"/>
  <c r="V291" i="91"/>
  <c r="U291" i="91"/>
  <c r="S291" i="91"/>
  <c r="R291" i="91"/>
  <c r="V290" i="91"/>
  <c r="U290" i="91"/>
  <c r="S290" i="91"/>
  <c r="R290" i="91"/>
  <c r="V286" i="91"/>
  <c r="U286" i="91"/>
  <c r="S286" i="91"/>
  <c r="R286" i="91"/>
  <c r="V282" i="91"/>
  <c r="V39" i="91" s="1"/>
  <c r="U282" i="91"/>
  <c r="U39" i="91" s="1"/>
  <c r="S282" i="91"/>
  <c r="S39" i="91" s="1"/>
  <c r="R282" i="91"/>
  <c r="R39" i="91" s="1"/>
  <c r="P282" i="91"/>
  <c r="P39" i="91" s="1"/>
  <c r="O282" i="91"/>
  <c r="M282" i="91"/>
  <c r="M39" i="91" s="1"/>
  <c r="L282" i="91"/>
  <c r="L39" i="91" s="1"/>
  <c r="J282" i="91"/>
  <c r="J39" i="91" s="1"/>
  <c r="I282" i="91"/>
  <c r="I39" i="91" s="1"/>
  <c r="V281" i="91"/>
  <c r="U281" i="91"/>
  <c r="S281" i="91"/>
  <c r="R281" i="91"/>
  <c r="P281" i="91"/>
  <c r="O281" i="91"/>
  <c r="M281" i="91"/>
  <c r="L281" i="91"/>
  <c r="J281" i="91"/>
  <c r="I281" i="91"/>
  <c r="P280" i="91"/>
  <c r="O280" i="91"/>
  <c r="M280" i="91"/>
  <c r="L280" i="91"/>
  <c r="J280" i="91"/>
  <c r="I280" i="91"/>
  <c r="P279" i="91"/>
  <c r="P291" i="91" s="1"/>
  <c r="O279" i="91"/>
  <c r="M279" i="91"/>
  <c r="M290" i="91" s="1"/>
  <c r="L279" i="91"/>
  <c r="L291" i="91" s="1"/>
  <c r="J279" i="91"/>
  <c r="I279" i="91"/>
  <c r="I290" i="91" s="1"/>
  <c r="V276" i="91"/>
  <c r="U276" i="91"/>
  <c r="S276" i="91"/>
  <c r="R276" i="91"/>
  <c r="P268" i="91"/>
  <c r="O268" i="91"/>
  <c r="O276" i="91" s="1"/>
  <c r="M268" i="91"/>
  <c r="L268" i="91"/>
  <c r="L276" i="91" s="1"/>
  <c r="J268" i="91"/>
  <c r="J276" i="91" s="1"/>
  <c r="I268" i="91"/>
  <c r="I276" i="91" s="1"/>
  <c r="P267" i="91"/>
  <c r="O267" i="91"/>
  <c r="M267" i="91"/>
  <c r="L267" i="91"/>
  <c r="J267" i="91"/>
  <c r="I267" i="91"/>
  <c r="P266" i="91"/>
  <c r="O266" i="91"/>
  <c r="M266" i="91"/>
  <c r="L266" i="91"/>
  <c r="J266" i="91"/>
  <c r="I266" i="91"/>
  <c r="V260" i="91"/>
  <c r="U260" i="91"/>
  <c r="S260" i="91"/>
  <c r="R260" i="91"/>
  <c r="V255" i="91"/>
  <c r="U255" i="91"/>
  <c r="S255" i="91"/>
  <c r="R255" i="91"/>
  <c r="V249" i="91"/>
  <c r="V37" i="91" s="1"/>
  <c r="U249" i="91"/>
  <c r="U37" i="91" s="1"/>
  <c r="S249" i="91"/>
  <c r="S37" i="91" s="1"/>
  <c r="R249" i="91"/>
  <c r="R37" i="91" s="1"/>
  <c r="P249" i="91"/>
  <c r="P37" i="91" s="1"/>
  <c r="O249" i="91"/>
  <c r="O37" i="91" s="1"/>
  <c r="M249" i="91"/>
  <c r="M37" i="91" s="1"/>
  <c r="L249" i="91"/>
  <c r="L37" i="91" s="1"/>
  <c r="J249" i="91"/>
  <c r="I249" i="91"/>
  <c r="V248" i="91"/>
  <c r="U248" i="91"/>
  <c r="S248" i="91"/>
  <c r="R248" i="91"/>
  <c r="P248" i="91"/>
  <c r="O248" i="91"/>
  <c r="M248" i="91"/>
  <c r="L248" i="91"/>
  <c r="J248" i="91"/>
  <c r="I248" i="91"/>
  <c r="V247" i="91"/>
  <c r="U247" i="91"/>
  <c r="S247" i="91"/>
  <c r="R247" i="91"/>
  <c r="P247" i="91"/>
  <c r="O247" i="91"/>
  <c r="M247" i="91"/>
  <c r="L247" i="91"/>
  <c r="J247" i="91"/>
  <c r="I247" i="91"/>
  <c r="P246" i="91"/>
  <c r="O246" i="91"/>
  <c r="M246" i="91"/>
  <c r="L246" i="91"/>
  <c r="J246" i="91"/>
  <c r="I246" i="91"/>
  <c r="P245" i="91"/>
  <c r="O245" i="91"/>
  <c r="M245" i="91"/>
  <c r="L245" i="91"/>
  <c r="J245" i="91"/>
  <c r="I245" i="91"/>
  <c r="P244" i="91"/>
  <c r="P260" i="91" s="1"/>
  <c r="O244" i="91"/>
  <c r="O260" i="91" s="1"/>
  <c r="M244" i="91"/>
  <c r="L244" i="91"/>
  <c r="L260" i="91" s="1"/>
  <c r="J244" i="91"/>
  <c r="I244" i="91"/>
  <c r="P232" i="91"/>
  <c r="O232" i="91"/>
  <c r="M232" i="91"/>
  <c r="L232" i="91"/>
  <c r="J232" i="91"/>
  <c r="I232" i="91"/>
  <c r="P231" i="91"/>
  <c r="O231" i="91"/>
  <c r="M231" i="91"/>
  <c r="L231" i="91"/>
  <c r="J231" i="91"/>
  <c r="I231" i="91"/>
  <c r="P230" i="91"/>
  <c r="O230" i="91"/>
  <c r="M230" i="91"/>
  <c r="L230" i="91"/>
  <c r="J230" i="91"/>
  <c r="I230" i="91"/>
  <c r="V225" i="91"/>
  <c r="U225" i="91"/>
  <c r="S225" i="91"/>
  <c r="R225" i="91"/>
  <c r="P225" i="91"/>
  <c r="O225" i="91"/>
  <c r="M225" i="91"/>
  <c r="L225" i="91"/>
  <c r="J225" i="91"/>
  <c r="I225" i="91"/>
  <c r="V222" i="91"/>
  <c r="U222" i="91"/>
  <c r="S222" i="91"/>
  <c r="R222" i="91"/>
  <c r="V217" i="91"/>
  <c r="U217" i="91"/>
  <c r="S217" i="91"/>
  <c r="R217" i="91"/>
  <c r="V211" i="91"/>
  <c r="V36" i="91" s="1"/>
  <c r="U211" i="91"/>
  <c r="U36" i="91" s="1"/>
  <c r="S211" i="91"/>
  <c r="S36" i="91" s="1"/>
  <c r="R211" i="91"/>
  <c r="R36" i="91" s="1"/>
  <c r="P211" i="91"/>
  <c r="P36" i="91" s="1"/>
  <c r="O211" i="91"/>
  <c r="O36" i="91" s="1"/>
  <c r="M211" i="91"/>
  <c r="M36" i="91" s="1"/>
  <c r="L211" i="91"/>
  <c r="L36" i="91" s="1"/>
  <c r="J211" i="91"/>
  <c r="I211" i="91"/>
  <c r="V210" i="91"/>
  <c r="U210" i="91"/>
  <c r="S210" i="91"/>
  <c r="R210" i="91"/>
  <c r="P210" i="91"/>
  <c r="O210" i="91"/>
  <c r="M210" i="91"/>
  <c r="L210" i="91"/>
  <c r="J210" i="91"/>
  <c r="I210" i="91"/>
  <c r="V209" i="91"/>
  <c r="U209" i="91"/>
  <c r="S209" i="91"/>
  <c r="R209" i="91"/>
  <c r="P209" i="91"/>
  <c r="O209" i="91"/>
  <c r="M209" i="91"/>
  <c r="L209" i="91"/>
  <c r="J209" i="91"/>
  <c r="I209" i="91"/>
  <c r="P208" i="91"/>
  <c r="O208" i="91"/>
  <c r="M208" i="91"/>
  <c r="L208" i="91"/>
  <c r="J208" i="91"/>
  <c r="I208" i="91"/>
  <c r="P207" i="91"/>
  <c r="O207" i="91"/>
  <c r="M207" i="91"/>
  <c r="L207" i="91"/>
  <c r="J207" i="91"/>
  <c r="I207" i="91"/>
  <c r="P206" i="91"/>
  <c r="P222" i="91" s="1"/>
  <c r="O206" i="91"/>
  <c r="M206" i="91"/>
  <c r="M217" i="91" s="1"/>
  <c r="L206" i="91"/>
  <c r="L222" i="91" s="1"/>
  <c r="J206" i="91"/>
  <c r="J222" i="91" s="1"/>
  <c r="I206" i="91"/>
  <c r="I222" i="91" s="1"/>
  <c r="P194" i="91"/>
  <c r="O194" i="91"/>
  <c r="M194" i="91"/>
  <c r="L194" i="91"/>
  <c r="J194" i="91"/>
  <c r="I194" i="91"/>
  <c r="P193" i="91"/>
  <c r="O193" i="91"/>
  <c r="M193" i="91"/>
  <c r="L193" i="91"/>
  <c r="J193" i="91"/>
  <c r="I193" i="91"/>
  <c r="P192" i="91"/>
  <c r="O192" i="91"/>
  <c r="M192" i="91"/>
  <c r="L192" i="91"/>
  <c r="J192" i="91"/>
  <c r="I192" i="91"/>
  <c r="P189" i="91"/>
  <c r="V187" i="91"/>
  <c r="U187" i="91"/>
  <c r="S187" i="91"/>
  <c r="R187" i="91"/>
  <c r="P187" i="91"/>
  <c r="O187" i="91"/>
  <c r="M187" i="91"/>
  <c r="L187" i="91"/>
  <c r="J187" i="91"/>
  <c r="I187" i="91"/>
  <c r="V184" i="91"/>
  <c r="U184" i="91"/>
  <c r="S184" i="91"/>
  <c r="R184" i="91"/>
  <c r="V179" i="91"/>
  <c r="U179" i="91"/>
  <c r="S179" i="91"/>
  <c r="R179" i="91"/>
  <c r="V173" i="91"/>
  <c r="V35" i="91" s="1"/>
  <c r="U173" i="91"/>
  <c r="U35" i="91" s="1"/>
  <c r="S173" i="91"/>
  <c r="S35" i="91" s="1"/>
  <c r="R173" i="91"/>
  <c r="R35" i="91" s="1"/>
  <c r="P173" i="91"/>
  <c r="P35" i="91" s="1"/>
  <c r="O173" i="91"/>
  <c r="O35" i="91" s="1"/>
  <c r="M173" i="91"/>
  <c r="M35" i="91" s="1"/>
  <c r="L173" i="91"/>
  <c r="L35" i="91" s="1"/>
  <c r="J173" i="91"/>
  <c r="I173" i="91"/>
  <c r="V172" i="91"/>
  <c r="U172" i="91"/>
  <c r="S172" i="91"/>
  <c r="R172" i="91"/>
  <c r="P172" i="91"/>
  <c r="O172" i="91"/>
  <c r="M172" i="91"/>
  <c r="L172" i="91"/>
  <c r="J172" i="91"/>
  <c r="I172" i="91"/>
  <c r="V171" i="91"/>
  <c r="U171" i="91"/>
  <c r="S171" i="91"/>
  <c r="R171" i="91"/>
  <c r="P171" i="91"/>
  <c r="O171" i="91"/>
  <c r="M171" i="91"/>
  <c r="L171" i="91"/>
  <c r="J171" i="91"/>
  <c r="I171" i="91"/>
  <c r="P170" i="91"/>
  <c r="O170" i="91"/>
  <c r="M170" i="91"/>
  <c r="L170" i="91"/>
  <c r="J170" i="91"/>
  <c r="I170" i="91"/>
  <c r="P169" i="91"/>
  <c r="O169" i="91"/>
  <c r="M169" i="91"/>
  <c r="L169" i="91"/>
  <c r="J169" i="91"/>
  <c r="I169" i="91"/>
  <c r="P168" i="91"/>
  <c r="O168" i="91"/>
  <c r="O179" i="91" s="1"/>
  <c r="M168" i="91"/>
  <c r="L168" i="91"/>
  <c r="J168" i="91"/>
  <c r="J184" i="91" s="1"/>
  <c r="I168" i="91"/>
  <c r="P156" i="91"/>
  <c r="O156" i="91"/>
  <c r="M156" i="91"/>
  <c r="L156" i="91"/>
  <c r="J156" i="91"/>
  <c r="I156" i="91"/>
  <c r="P155" i="91"/>
  <c r="O155" i="91"/>
  <c r="M155" i="91"/>
  <c r="L155" i="91"/>
  <c r="J155" i="91"/>
  <c r="I155" i="91"/>
  <c r="P154" i="91"/>
  <c r="O154" i="91"/>
  <c r="M154" i="91"/>
  <c r="L154" i="91"/>
  <c r="J154" i="91"/>
  <c r="I154" i="91"/>
  <c r="V149" i="91"/>
  <c r="U149" i="91"/>
  <c r="S149" i="91"/>
  <c r="R149" i="91"/>
  <c r="P149" i="91"/>
  <c r="O149" i="91"/>
  <c r="M149" i="91"/>
  <c r="L149" i="91"/>
  <c r="J149" i="91"/>
  <c r="I149" i="91"/>
  <c r="P137" i="91"/>
  <c r="O137" i="91"/>
  <c r="M137" i="91"/>
  <c r="L137" i="91"/>
  <c r="J137" i="91"/>
  <c r="I137" i="91"/>
  <c r="P136" i="91"/>
  <c r="P86" i="91" s="1"/>
  <c r="O136" i="91"/>
  <c r="O86" i="91" s="1"/>
  <c r="M136" i="91"/>
  <c r="M86" i="91" s="1"/>
  <c r="L136" i="91"/>
  <c r="L86" i="91" s="1"/>
  <c r="J136" i="91"/>
  <c r="J86" i="91" s="1"/>
  <c r="I136" i="91"/>
  <c r="I86" i="91" s="1"/>
  <c r="P135" i="91"/>
  <c r="P85" i="91" s="1"/>
  <c r="O135" i="91"/>
  <c r="O85" i="91" s="1"/>
  <c r="M135" i="91"/>
  <c r="L135" i="91"/>
  <c r="L85" i="91" s="1"/>
  <c r="J135" i="91"/>
  <c r="J85" i="91" s="1"/>
  <c r="I135" i="91"/>
  <c r="X131" i="91"/>
  <c r="V126" i="91"/>
  <c r="U126" i="91"/>
  <c r="S126" i="91"/>
  <c r="R126" i="91"/>
  <c r="P126" i="91"/>
  <c r="O126" i="91"/>
  <c r="M126" i="91"/>
  <c r="L126" i="91"/>
  <c r="J126" i="91"/>
  <c r="I126" i="91"/>
  <c r="H126" i="91"/>
  <c r="H125" i="91"/>
  <c r="V124" i="91"/>
  <c r="U124" i="91"/>
  <c r="S124" i="91"/>
  <c r="R124" i="91"/>
  <c r="P124" i="91"/>
  <c r="O124" i="91"/>
  <c r="M124" i="91"/>
  <c r="L124" i="91"/>
  <c r="J124" i="91"/>
  <c r="I124" i="91"/>
  <c r="H124" i="91"/>
  <c r="H122" i="91"/>
  <c r="H120" i="91"/>
  <c r="H119" i="91"/>
  <c r="V116" i="91"/>
  <c r="U116" i="91"/>
  <c r="S116" i="91"/>
  <c r="R116" i="91"/>
  <c r="P116" i="91"/>
  <c r="O116" i="91"/>
  <c r="M116" i="91"/>
  <c r="L116" i="91"/>
  <c r="J116" i="91"/>
  <c r="I116" i="91"/>
  <c r="H116" i="91"/>
  <c r="H115" i="91"/>
  <c r="V114" i="91"/>
  <c r="U114" i="91"/>
  <c r="S114" i="91"/>
  <c r="R114" i="91"/>
  <c r="P114" i="91"/>
  <c r="O114" i="91"/>
  <c r="M114" i="91"/>
  <c r="L114" i="91"/>
  <c r="J114" i="91"/>
  <c r="I114" i="91"/>
  <c r="H114" i="91"/>
  <c r="H112" i="91"/>
  <c r="H110" i="91"/>
  <c r="H109" i="91"/>
  <c r="V106" i="91"/>
  <c r="U106" i="91"/>
  <c r="S106" i="91"/>
  <c r="R106" i="91"/>
  <c r="P106" i="91"/>
  <c r="O106" i="91"/>
  <c r="M106" i="91"/>
  <c r="L106" i="91"/>
  <c r="J106" i="91"/>
  <c r="I106" i="91"/>
  <c r="H106" i="91"/>
  <c r="H105" i="91"/>
  <c r="V104" i="91"/>
  <c r="U104" i="91"/>
  <c r="S104" i="91"/>
  <c r="R104" i="91"/>
  <c r="P104" i="91"/>
  <c r="O104" i="91"/>
  <c r="M104" i="91"/>
  <c r="L104" i="91"/>
  <c r="J104" i="91"/>
  <c r="I104" i="91"/>
  <c r="H104" i="91"/>
  <c r="H102" i="91"/>
  <c r="H100" i="91"/>
  <c r="P99" i="91"/>
  <c r="O99" i="91"/>
  <c r="M99" i="91"/>
  <c r="L99" i="91"/>
  <c r="J99" i="91"/>
  <c r="I99" i="91"/>
  <c r="H99" i="91"/>
  <c r="V90" i="91"/>
  <c r="U90" i="91"/>
  <c r="S90" i="91"/>
  <c r="R90" i="91"/>
  <c r="P90" i="91"/>
  <c r="O90" i="91"/>
  <c r="M90" i="91"/>
  <c r="L90" i="91"/>
  <c r="J90" i="91"/>
  <c r="I90" i="91"/>
  <c r="V88" i="91"/>
  <c r="U88" i="91"/>
  <c r="S88" i="91"/>
  <c r="R88" i="91"/>
  <c r="P88" i="91"/>
  <c r="O88" i="91"/>
  <c r="M88" i="91"/>
  <c r="L88" i="91"/>
  <c r="J88" i="91"/>
  <c r="I88" i="91"/>
  <c r="V86" i="91"/>
  <c r="U86" i="91"/>
  <c r="S86" i="91"/>
  <c r="R86" i="91"/>
  <c r="V85" i="91"/>
  <c r="U85" i="91"/>
  <c r="S85" i="91"/>
  <c r="R85" i="91"/>
  <c r="V84" i="91"/>
  <c r="U84" i="91"/>
  <c r="S84" i="91"/>
  <c r="R84" i="91"/>
  <c r="P84" i="91"/>
  <c r="O84" i="91"/>
  <c r="M84" i="91"/>
  <c r="L84" i="91"/>
  <c r="J84" i="91"/>
  <c r="I84" i="91"/>
  <c r="V81" i="91"/>
  <c r="U81" i="91"/>
  <c r="S81" i="91"/>
  <c r="R81" i="91"/>
  <c r="P81" i="91"/>
  <c r="O81" i="91"/>
  <c r="V71" i="91"/>
  <c r="U71" i="91"/>
  <c r="S71" i="91"/>
  <c r="R71" i="91"/>
  <c r="P71" i="91"/>
  <c r="O71" i="91"/>
  <c r="M71" i="91"/>
  <c r="L71" i="91"/>
  <c r="J71" i="91"/>
  <c r="I71" i="91"/>
  <c r="P69" i="91"/>
  <c r="O69" i="91"/>
  <c r="M69" i="91"/>
  <c r="L69" i="91"/>
  <c r="J69" i="91"/>
  <c r="I69" i="91"/>
  <c r="AF68" i="91"/>
  <c r="AE68" i="91"/>
  <c r="AF67" i="91"/>
  <c r="AE67" i="91"/>
  <c r="AF66" i="91"/>
  <c r="AE66" i="91"/>
  <c r="AF65" i="91"/>
  <c r="AE65" i="91"/>
  <c r="P65" i="91"/>
  <c r="P66" i="91" s="1"/>
  <c r="O65" i="91"/>
  <c r="O66" i="91" s="1"/>
  <c r="M65" i="91"/>
  <c r="M66" i="91" s="1"/>
  <c r="L65" i="91"/>
  <c r="L66" i="91" s="1"/>
  <c r="J65" i="91"/>
  <c r="J66" i="91" s="1"/>
  <c r="I65" i="91"/>
  <c r="I66" i="91" s="1"/>
  <c r="AF64" i="91"/>
  <c r="AE64" i="91"/>
  <c r="AF63" i="91"/>
  <c r="AE63" i="91"/>
  <c r="AF62" i="91"/>
  <c r="AE62" i="91"/>
  <c r="P62" i="91"/>
  <c r="O62" i="91"/>
  <c r="M62" i="91"/>
  <c r="L62" i="91"/>
  <c r="J62" i="91"/>
  <c r="I62" i="91"/>
  <c r="AF61" i="91"/>
  <c r="AE61" i="91"/>
  <c r="AF60" i="91"/>
  <c r="AE60" i="91"/>
  <c r="AF59" i="91"/>
  <c r="AE59" i="91"/>
  <c r="AF58" i="91"/>
  <c r="AE58" i="91"/>
  <c r="P58" i="91"/>
  <c r="P59" i="91" s="1"/>
  <c r="O58" i="91"/>
  <c r="O59" i="91" s="1"/>
  <c r="M58" i="91"/>
  <c r="M59" i="91" s="1"/>
  <c r="L58" i="91"/>
  <c r="L59" i="91" s="1"/>
  <c r="J58" i="91"/>
  <c r="J59" i="91" s="1"/>
  <c r="I58" i="91"/>
  <c r="I59" i="91" s="1"/>
  <c r="AF57" i="91"/>
  <c r="AE57" i="91"/>
  <c r="AF56" i="91"/>
  <c r="AE56" i="91"/>
  <c r="W49" i="91"/>
  <c r="T49" i="91"/>
  <c r="Q49" i="91"/>
  <c r="N49" i="91"/>
  <c r="K49" i="91"/>
  <c r="H49" i="91"/>
  <c r="V46" i="91"/>
  <c r="U46" i="91"/>
  <c r="S46" i="91"/>
  <c r="R46" i="91"/>
  <c r="P46" i="91"/>
  <c r="O46" i="91"/>
  <c r="M46" i="91"/>
  <c r="L46" i="91"/>
  <c r="I45" i="91"/>
  <c r="H45" i="91"/>
  <c r="H44" i="91"/>
  <c r="H43" i="91"/>
  <c r="H42" i="91"/>
  <c r="H41" i="91"/>
  <c r="R40" i="91"/>
  <c r="H40" i="91"/>
  <c r="O39" i="91"/>
  <c r="H39" i="91"/>
  <c r="H38" i="91"/>
  <c r="H37" i="91"/>
  <c r="H36" i="91"/>
  <c r="H35" i="91"/>
  <c r="H34" i="91"/>
  <c r="H33" i="91"/>
  <c r="H32" i="91"/>
  <c r="H31" i="91"/>
  <c r="H4" i="91"/>
  <c r="K417" i="163"/>
  <c r="K335" i="163"/>
  <c r="K359" i="164"/>
  <c r="K424" i="163"/>
  <c r="K58" i="163"/>
  <c r="K221" i="165"/>
  <c r="N160" i="163"/>
  <c r="K235" i="165"/>
  <c r="N418" i="164"/>
  <c r="N300" i="165"/>
  <c r="N329" i="164"/>
  <c r="K157" i="163"/>
  <c r="K59" i="164"/>
  <c r="N300" i="163"/>
  <c r="K329" i="165"/>
  <c r="N242" i="164"/>
  <c r="K213" i="163"/>
  <c r="K183" i="165"/>
  <c r="K169" i="165" s="1"/>
  <c r="K183" i="163"/>
  <c r="K172" i="163" s="1"/>
  <c r="K115" i="165"/>
  <c r="K277" i="163"/>
  <c r="K395" i="163"/>
  <c r="K439" i="163"/>
  <c r="K292" i="163"/>
  <c r="K388" i="163"/>
  <c r="K159" i="164"/>
  <c r="K159" i="165"/>
  <c r="N271" i="163"/>
  <c r="N204" i="165"/>
  <c r="K175" i="164"/>
  <c r="K157" i="165"/>
  <c r="K418" i="164"/>
  <c r="N389" i="163"/>
  <c r="K259" i="163"/>
  <c r="K213" i="164"/>
  <c r="K197" i="165"/>
  <c r="N360" i="165"/>
  <c r="K300" i="163"/>
  <c r="N242" i="163"/>
  <c r="N59" i="163"/>
  <c r="K389" i="165"/>
  <c r="N300" i="164"/>
  <c r="N271" i="164"/>
  <c r="K213" i="165"/>
  <c r="K300" i="164"/>
  <c r="K159" i="163"/>
  <c r="K185" i="163"/>
  <c r="N389" i="164"/>
  <c r="N360" i="163"/>
  <c r="K197" i="163"/>
  <c r="K175" i="163"/>
  <c r="K170" i="165"/>
  <c r="K170" i="163"/>
  <c r="K171" i="165"/>
  <c r="K175" i="165"/>
  <c r="K183" i="164"/>
  <c r="K172" i="164" s="1"/>
  <c r="N236" i="163"/>
  <c r="N418" i="163"/>
  <c r="K300" i="165"/>
  <c r="N59" i="164"/>
  <c r="N329" i="163"/>
  <c r="K350" i="163"/>
  <c r="K270" i="164"/>
  <c r="K328" i="163"/>
  <c r="K270" i="163"/>
  <c r="K306" i="164"/>
  <c r="K261" i="165"/>
  <c r="K235" i="163"/>
  <c r="K261" i="163"/>
  <c r="K360" i="165"/>
  <c r="K169" i="164"/>
  <c r="K171" i="164" s="1"/>
  <c r="K410" i="163"/>
  <c r="K366" i="163"/>
  <c r="K388" i="164"/>
  <c r="K321" i="163"/>
  <c r="K223" i="164"/>
  <c r="K223" i="165"/>
  <c r="K251" i="163"/>
  <c r="N236" i="165"/>
  <c r="N59" i="165"/>
  <c r="K235" i="164"/>
  <c r="K233" i="165"/>
  <c r="K418" i="165"/>
  <c r="H59" i="165"/>
  <c r="K251" i="164"/>
  <c r="K251" i="165"/>
  <c r="K271" i="165"/>
  <c r="N198" i="164"/>
  <c r="K195" i="163"/>
  <c r="N360" i="164"/>
  <c r="N166" i="163"/>
  <c r="N329" i="165"/>
  <c r="K157" i="164"/>
  <c r="K259" i="165"/>
  <c r="N198" i="165"/>
  <c r="N160" i="165"/>
  <c r="N204" i="164"/>
  <c r="N198" i="163"/>
  <c r="N166" i="164"/>
  <c r="K172" i="165"/>
  <c r="K113" i="164"/>
  <c r="K113" i="165"/>
  <c r="K197" i="164"/>
  <c r="K195" i="165"/>
  <c r="K233" i="163"/>
  <c r="K195" i="164"/>
  <c r="K223" i="163"/>
  <c r="K360" i="163"/>
  <c r="K259" i="164"/>
  <c r="N389" i="165"/>
  <c r="N166" i="165"/>
  <c r="N242" i="165"/>
  <c r="K233" i="164"/>
  <c r="N160" i="164"/>
  <c r="K221" i="163"/>
  <c r="K59" i="165"/>
  <c r="N204" i="163"/>
  <c r="K115" i="164"/>
  <c r="K261" i="164"/>
  <c r="K185" i="164"/>
  <c r="N418" i="165"/>
  <c r="K185" i="165"/>
  <c r="K329" i="164"/>
  <c r="K221" i="164"/>
  <c r="N236" i="164"/>
  <c r="N271" i="165"/>
  <c r="K169" i="163"/>
  <c r="K171" i="163"/>
  <c r="K115" i="163"/>
  <c r="K113" i="163"/>
  <c r="K91" i="165" l="1"/>
  <c r="K91" i="164"/>
  <c r="K241" i="164"/>
  <c r="K165" i="164"/>
  <c r="K241" i="165"/>
  <c r="K165" i="165"/>
  <c r="K203" i="164"/>
  <c r="K203" i="165"/>
  <c r="K91" i="163"/>
  <c r="K203" i="163"/>
  <c r="K241" i="163"/>
  <c r="K165" i="163"/>
  <c r="N237" i="165"/>
  <c r="N238" i="165" s="1"/>
  <c r="K330" i="164"/>
  <c r="K331" i="164" s="1"/>
  <c r="N161" i="164"/>
  <c r="N162" i="164" s="1"/>
  <c r="N390" i="165"/>
  <c r="N391" i="165" s="1"/>
  <c r="N272" i="164"/>
  <c r="N273" i="164" s="1"/>
  <c r="K419" i="165"/>
  <c r="K420" i="165" s="1"/>
  <c r="N272" i="165"/>
  <c r="N273" i="165" s="1"/>
  <c r="N419" i="165"/>
  <c r="N420" i="165" s="1"/>
  <c r="N199" i="165"/>
  <c r="N200" i="165" s="1"/>
  <c r="K390" i="165"/>
  <c r="K391" i="165" s="1"/>
  <c r="K61" i="164"/>
  <c r="K60" i="164" s="1"/>
  <c r="N161" i="165"/>
  <c r="N162" i="165" s="1"/>
  <c r="K272" i="165"/>
  <c r="K273" i="165" s="1"/>
  <c r="N61" i="165"/>
  <c r="N60" i="165" s="1"/>
  <c r="N61" i="164"/>
  <c r="N60" i="164" s="1"/>
  <c r="K330" i="165"/>
  <c r="K331" i="165" s="1"/>
  <c r="N419" i="164"/>
  <c r="N420" i="164" s="1"/>
  <c r="K361" i="165"/>
  <c r="K362" i="165" s="1"/>
  <c r="N330" i="165"/>
  <c r="N331" i="165" s="1"/>
  <c r="K301" i="165"/>
  <c r="K302" i="165" s="1"/>
  <c r="N301" i="165"/>
  <c r="N302" i="165" s="1"/>
  <c r="N237" i="164"/>
  <c r="N238" i="164" s="1"/>
  <c r="H61" i="165"/>
  <c r="H60" i="165" s="1"/>
  <c r="N199" i="164"/>
  <c r="N200" i="164" s="1"/>
  <c r="K419" i="164"/>
  <c r="K420" i="164" s="1"/>
  <c r="N301" i="164"/>
  <c r="N302" i="164" s="1"/>
  <c r="N390" i="164"/>
  <c r="N391" i="164" s="1"/>
  <c r="K61" i="165"/>
  <c r="K60" i="165" s="1"/>
  <c r="K301" i="164"/>
  <c r="K302" i="164" s="1"/>
  <c r="N361" i="164"/>
  <c r="N362" i="164" s="1"/>
  <c r="N361" i="165"/>
  <c r="N362" i="165" s="1"/>
  <c r="N330" i="164"/>
  <c r="N331" i="164" s="1"/>
  <c r="N390" i="163"/>
  <c r="N391" i="163" s="1"/>
  <c r="N237" i="163"/>
  <c r="N238" i="163" s="1"/>
  <c r="N301" i="163"/>
  <c r="N302" i="163" s="1"/>
  <c r="N361" i="163"/>
  <c r="N362" i="163" s="1"/>
  <c r="N161" i="163"/>
  <c r="N162" i="163" s="1"/>
  <c r="K361" i="163"/>
  <c r="K362" i="163" s="1"/>
  <c r="N199" i="163"/>
  <c r="N200" i="163" s="1"/>
  <c r="N330" i="163"/>
  <c r="N331" i="163" s="1"/>
  <c r="K301" i="163"/>
  <c r="K302" i="163" s="1"/>
  <c r="N419" i="163"/>
  <c r="N420" i="163" s="1"/>
  <c r="N61" i="163"/>
  <c r="N60" i="163" s="1"/>
  <c r="N272" i="163"/>
  <c r="N273" i="163" s="1"/>
  <c r="H46" i="91"/>
  <c r="AA57" i="91" s="1"/>
  <c r="M227" i="91"/>
  <c r="I227" i="91"/>
  <c r="O227" i="91"/>
  <c r="J189" i="91"/>
  <c r="L189" i="91"/>
  <c r="U91" i="91"/>
  <c r="O89" i="91"/>
  <c r="S91" i="91"/>
  <c r="H89" i="91"/>
  <c r="S89" i="91"/>
  <c r="P91" i="91"/>
  <c r="M91" i="91"/>
  <c r="P89" i="91"/>
  <c r="L91" i="91"/>
  <c r="R91" i="91"/>
  <c r="L89" i="91"/>
  <c r="R89" i="91"/>
  <c r="M89" i="91"/>
  <c r="P28" i="91"/>
  <c r="O28" i="91"/>
  <c r="I91" i="91"/>
  <c r="U89" i="91"/>
  <c r="O91" i="91"/>
  <c r="I89" i="91"/>
  <c r="V91" i="91"/>
  <c r="J89" i="91"/>
  <c r="V89" i="91"/>
  <c r="M85" i="91"/>
  <c r="O184" i="91"/>
  <c r="I217" i="91"/>
  <c r="P227" i="91"/>
  <c r="L255" i="91"/>
  <c r="L286" i="91"/>
  <c r="P290" i="91"/>
  <c r="O315" i="91"/>
  <c r="J348" i="91"/>
  <c r="S433" i="91"/>
  <c r="O438" i="91"/>
  <c r="I85" i="91"/>
  <c r="L227" i="91"/>
  <c r="P255" i="91"/>
  <c r="M286" i="91"/>
  <c r="I291" i="91"/>
  <c r="J319" i="91"/>
  <c r="I344" i="91"/>
  <c r="I375" i="91"/>
  <c r="J408" i="91"/>
  <c r="J437" i="91"/>
  <c r="S438" i="91"/>
  <c r="M189" i="91"/>
  <c r="P286" i="91"/>
  <c r="M291" i="91"/>
  <c r="O320" i="91"/>
  <c r="M344" i="91"/>
  <c r="M375" i="91"/>
  <c r="P408" i="91"/>
  <c r="J91" i="91"/>
  <c r="I189" i="91"/>
  <c r="I286" i="91"/>
  <c r="L290" i="91"/>
  <c r="J315" i="91"/>
  <c r="P379" i="91"/>
  <c r="O404" i="91"/>
  <c r="O433" i="91"/>
  <c r="V437" i="91"/>
  <c r="AB57" i="91"/>
  <c r="AC57" i="91" s="1"/>
  <c r="O222" i="91"/>
  <c r="O217" i="91"/>
  <c r="O189" i="91"/>
  <c r="J260" i="91"/>
  <c r="J255" i="91"/>
  <c r="J227" i="91"/>
  <c r="H90" i="91"/>
  <c r="M184" i="91"/>
  <c r="M179" i="91"/>
  <c r="I184" i="91"/>
  <c r="I179" i="91"/>
  <c r="L179" i="91"/>
  <c r="P179" i="91"/>
  <c r="L184" i="91"/>
  <c r="P184" i="91"/>
  <c r="J217" i="91"/>
  <c r="M222" i="91"/>
  <c r="P276" i="91"/>
  <c r="I319" i="91"/>
  <c r="I320" i="91"/>
  <c r="I315" i="91"/>
  <c r="J179" i="91"/>
  <c r="L217" i="91"/>
  <c r="P217" i="91"/>
  <c r="O348" i="91"/>
  <c r="O344" i="91"/>
  <c r="O349" i="91"/>
  <c r="I255" i="91"/>
  <c r="M255" i="91"/>
  <c r="I260" i="91"/>
  <c r="M260" i="91"/>
  <c r="M276" i="91"/>
  <c r="O334" i="91"/>
  <c r="J290" i="91"/>
  <c r="J291" i="91"/>
  <c r="M305" i="91"/>
  <c r="O255" i="91"/>
  <c r="O290" i="91"/>
  <c r="O291" i="91"/>
  <c r="O286" i="91"/>
  <c r="I305" i="91"/>
  <c r="M319" i="91"/>
  <c r="M320" i="91"/>
  <c r="M315" i="91"/>
  <c r="L315" i="91"/>
  <c r="P315" i="91"/>
  <c r="L320" i="91"/>
  <c r="P320" i="91"/>
  <c r="L348" i="91"/>
  <c r="L349" i="91"/>
  <c r="P348" i="91"/>
  <c r="P349" i="91"/>
  <c r="J344" i="91"/>
  <c r="M348" i="91"/>
  <c r="O365" i="91"/>
  <c r="L344" i="91"/>
  <c r="I348" i="91"/>
  <c r="O379" i="91"/>
  <c r="O380" i="91"/>
  <c r="O375" i="91"/>
  <c r="U409" i="91"/>
  <c r="U404" i="91"/>
  <c r="U408" i="91"/>
  <c r="J375" i="91"/>
  <c r="I423" i="91"/>
  <c r="I380" i="91"/>
  <c r="M394" i="91"/>
  <c r="M408" i="91"/>
  <c r="M404" i="91"/>
  <c r="M409" i="91"/>
  <c r="M437" i="91"/>
  <c r="M438" i="91"/>
  <c r="M433" i="91"/>
  <c r="J379" i="91"/>
  <c r="J380" i="91"/>
  <c r="L375" i="91"/>
  <c r="P375" i="91"/>
  <c r="L379" i="91"/>
  <c r="M380" i="91"/>
  <c r="I394" i="91"/>
  <c r="I408" i="91"/>
  <c r="I409" i="91"/>
  <c r="I404" i="91"/>
  <c r="L404" i="91"/>
  <c r="P404" i="91"/>
  <c r="L408" i="91"/>
  <c r="V408" i="91"/>
  <c r="U423" i="91"/>
  <c r="I437" i="91"/>
  <c r="I438" i="91"/>
  <c r="I433" i="91"/>
  <c r="S408" i="91"/>
  <c r="S409" i="91"/>
  <c r="U437" i="91"/>
  <c r="U438" i="91"/>
  <c r="U433" i="91"/>
  <c r="J404" i="91"/>
  <c r="V404" i="91"/>
  <c r="O409" i="91"/>
  <c r="M423" i="91"/>
  <c r="L433" i="91"/>
  <c r="P433" i="91"/>
  <c r="L438" i="91"/>
  <c r="P438" i="91"/>
  <c r="J433" i="91"/>
  <c r="V433" i="91"/>
  <c r="F66" i="90"/>
  <c r="F65" i="90"/>
  <c r="F64" i="90"/>
  <c r="F63" i="90"/>
  <c r="G62" i="90"/>
  <c r="F62" i="90"/>
  <c r="F61" i="90"/>
  <c r="F60" i="90"/>
  <c r="F59" i="90"/>
  <c r="F58" i="90"/>
  <c r="F57" i="90"/>
  <c r="G56" i="90"/>
  <c r="F56" i="90"/>
  <c r="F55" i="90"/>
  <c r="F54" i="90"/>
  <c r="F53" i="90"/>
  <c r="F52" i="90"/>
  <c r="F51" i="90"/>
  <c r="G50" i="90"/>
  <c r="F50" i="90"/>
  <c r="F49" i="90"/>
  <c r="K152" i="163"/>
  <c r="K271" i="164"/>
  <c r="K360" i="164"/>
  <c r="K152" i="164"/>
  <c r="K160" i="164"/>
  <c r="K198" i="163"/>
  <c r="K152" i="165"/>
  <c r="K204" i="164"/>
  <c r="N363" i="165"/>
  <c r="K389" i="164"/>
  <c r="K151" i="165"/>
  <c r="K418" i="163"/>
  <c r="K28" i="164"/>
  <c r="N274" i="163"/>
  <c r="K421" i="165"/>
  <c r="K173" i="164"/>
  <c r="K198" i="164"/>
  <c r="N363" i="163"/>
  <c r="K242" i="165"/>
  <c r="K204" i="163"/>
  <c r="N421" i="164"/>
  <c r="K166" i="165"/>
  <c r="N201" i="164"/>
  <c r="N303" i="164"/>
  <c r="K303" i="165"/>
  <c r="N201" i="163"/>
  <c r="N201" i="165"/>
  <c r="K198" i="165"/>
  <c r="N303" i="165"/>
  <c r="N332" i="164"/>
  <c r="K242" i="164"/>
  <c r="K28" i="163"/>
  <c r="K173" i="165"/>
  <c r="K160" i="165"/>
  <c r="N163" i="165"/>
  <c r="N421" i="165"/>
  <c r="K160" i="163"/>
  <c r="K332" i="164"/>
  <c r="K204" i="165"/>
  <c r="N392" i="164"/>
  <c r="N239" i="164"/>
  <c r="K392" i="165"/>
  <c r="N274" i="165"/>
  <c r="K271" i="163"/>
  <c r="K389" i="163"/>
  <c r="K329" i="163"/>
  <c r="K59" i="163"/>
  <c r="K236" i="164"/>
  <c r="K363" i="165"/>
  <c r="K170" i="164"/>
  <c r="N163" i="164"/>
  <c r="H71" i="165"/>
  <c r="H58" i="164"/>
  <c r="K236" i="163"/>
  <c r="N332" i="165"/>
  <c r="N392" i="163"/>
  <c r="K28" i="165"/>
  <c r="H28" i="164"/>
  <c r="N421" i="163"/>
  <c r="N274" i="164"/>
  <c r="K421" i="164"/>
  <c r="K274" i="165"/>
  <c r="N392" i="165"/>
  <c r="K166" i="164"/>
  <c r="K155" i="164" s="1"/>
  <c r="K242" i="163"/>
  <c r="K173" i="163"/>
  <c r="K151" i="163"/>
  <c r="N332" i="163"/>
  <c r="K236" i="165"/>
  <c r="K166" i="163"/>
  <c r="H58" i="163"/>
  <c r="H28" i="163"/>
  <c r="N163" i="163"/>
  <c r="K303" i="164"/>
  <c r="N303" i="163"/>
  <c r="N239" i="163"/>
  <c r="K332" i="165"/>
  <c r="N363" i="164"/>
  <c r="N239" i="165"/>
  <c r="K303" i="163"/>
  <c r="K363" i="163"/>
  <c r="K61" i="163" l="1"/>
  <c r="K60" i="163" s="1"/>
  <c r="K330" i="163"/>
  <c r="K331" i="163" s="1"/>
  <c r="K390" i="163"/>
  <c r="K391" i="163" s="1"/>
  <c r="K272" i="163"/>
  <c r="K273" i="163" s="1"/>
  <c r="K419" i="163"/>
  <c r="K420" i="163" s="1"/>
  <c r="K390" i="164"/>
  <c r="K391" i="164" s="1"/>
  <c r="K361" i="164"/>
  <c r="K362" i="164" s="1"/>
  <c r="K272" i="164"/>
  <c r="K273" i="164" s="1"/>
  <c r="K237" i="165"/>
  <c r="K238" i="165" s="1"/>
  <c r="K161" i="165"/>
  <c r="K162" i="165" s="1"/>
  <c r="K35" i="165"/>
  <c r="K34" i="165"/>
  <c r="K46" i="165" s="1"/>
  <c r="K199" i="164"/>
  <c r="K200" i="164" s="1"/>
  <c r="K34" i="164"/>
  <c r="K46" i="164" s="1"/>
  <c r="K35" i="164"/>
  <c r="K161" i="164"/>
  <c r="K162" i="164" s="1"/>
  <c r="K237" i="164"/>
  <c r="K238" i="164" s="1"/>
  <c r="K199" i="165"/>
  <c r="K200" i="165" s="1"/>
  <c r="K161" i="163"/>
  <c r="K162" i="163" s="1"/>
  <c r="K35" i="163"/>
  <c r="K34" i="163"/>
  <c r="K46" i="163" s="1"/>
  <c r="K237" i="163"/>
  <c r="K238" i="163" s="1"/>
  <c r="K199" i="163"/>
  <c r="K200" i="163" s="1"/>
  <c r="P228" i="91"/>
  <c r="L228" i="91"/>
  <c r="O228" i="91"/>
  <c r="M190" i="91"/>
  <c r="I190" i="91"/>
  <c r="J228" i="91"/>
  <c r="P190" i="91"/>
  <c r="L190" i="91"/>
  <c r="O190" i="91"/>
  <c r="J190" i="91"/>
  <c r="I228" i="91"/>
  <c r="M228" i="91"/>
  <c r="H136" i="91"/>
  <c r="H9" i="91"/>
  <c r="H135" i="91"/>
  <c r="S439" i="91"/>
  <c r="O439" i="91"/>
  <c r="P431" i="91"/>
  <c r="L431" i="91"/>
  <c r="U410" i="91"/>
  <c r="M410" i="91"/>
  <c r="I410" i="91"/>
  <c r="V439" i="91"/>
  <c r="J439" i="91"/>
  <c r="S431" i="91"/>
  <c r="O431" i="91"/>
  <c r="P410" i="91"/>
  <c r="L410" i="91"/>
  <c r="U439" i="91"/>
  <c r="M439" i="91"/>
  <c r="I439" i="91"/>
  <c r="V431" i="91"/>
  <c r="R431" i="91"/>
  <c r="J431" i="91"/>
  <c r="S410" i="91"/>
  <c r="O410" i="91"/>
  <c r="M431" i="91"/>
  <c r="P402" i="91"/>
  <c r="L402" i="91"/>
  <c r="U381" i="91"/>
  <c r="M381" i="91"/>
  <c r="I381" i="91"/>
  <c r="P439" i="91"/>
  <c r="I431" i="91"/>
  <c r="S402" i="91"/>
  <c r="O402" i="91"/>
  <c r="P381" i="91"/>
  <c r="L381" i="91"/>
  <c r="L439" i="91"/>
  <c r="U431" i="91"/>
  <c r="V402" i="91"/>
  <c r="R402" i="91"/>
  <c r="J402" i="91"/>
  <c r="S381" i="91"/>
  <c r="O381" i="91"/>
  <c r="V410" i="91"/>
  <c r="U402" i="91"/>
  <c r="R381" i="91"/>
  <c r="V373" i="91"/>
  <c r="R373" i="91"/>
  <c r="J373" i="91"/>
  <c r="S350" i="91"/>
  <c r="O350" i="91"/>
  <c r="J410" i="91"/>
  <c r="U373" i="91"/>
  <c r="M373" i="91"/>
  <c r="I373" i="91"/>
  <c r="V350" i="91"/>
  <c r="R350" i="91"/>
  <c r="J350" i="91"/>
  <c r="M402" i="91"/>
  <c r="J381" i="91"/>
  <c r="P373" i="91"/>
  <c r="L373" i="91"/>
  <c r="U350" i="91"/>
  <c r="M350" i="91"/>
  <c r="I350" i="91"/>
  <c r="O373" i="91"/>
  <c r="L350" i="91"/>
  <c r="V342" i="91"/>
  <c r="R342" i="91"/>
  <c r="J342" i="91"/>
  <c r="S321" i="91"/>
  <c r="O321" i="91"/>
  <c r="P313" i="91"/>
  <c r="L313" i="91"/>
  <c r="U292" i="91"/>
  <c r="M292" i="91"/>
  <c r="I292" i="91"/>
  <c r="V284" i="91"/>
  <c r="R284" i="91"/>
  <c r="J284" i="91"/>
  <c r="J286" i="91" s="1"/>
  <c r="U342" i="91"/>
  <c r="M342" i="91"/>
  <c r="I342" i="91"/>
  <c r="V321" i="91"/>
  <c r="R321" i="91"/>
  <c r="J321" i="91"/>
  <c r="S313" i="91"/>
  <c r="O313" i="91"/>
  <c r="P292" i="91"/>
  <c r="L292" i="91"/>
  <c r="U284" i="91"/>
  <c r="M284" i="91"/>
  <c r="I284" i="91"/>
  <c r="P342" i="91"/>
  <c r="L342" i="91"/>
  <c r="U321" i="91"/>
  <c r="M321" i="91"/>
  <c r="I321" i="91"/>
  <c r="V313" i="91"/>
  <c r="R313" i="91"/>
  <c r="J313" i="91"/>
  <c r="S292" i="91"/>
  <c r="O292" i="91"/>
  <c r="P284" i="91"/>
  <c r="L284" i="91"/>
  <c r="I402" i="91"/>
  <c r="P321" i="91"/>
  <c r="M313" i="91"/>
  <c r="R292" i="91"/>
  <c r="P252" i="91"/>
  <c r="L252" i="91"/>
  <c r="S373" i="91"/>
  <c r="L321" i="91"/>
  <c r="I313" i="91"/>
  <c r="S252" i="91"/>
  <c r="O252" i="91"/>
  <c r="V381" i="91"/>
  <c r="S342" i="91"/>
  <c r="U313" i="91"/>
  <c r="J292" i="91"/>
  <c r="S284" i="91"/>
  <c r="V252" i="91"/>
  <c r="R252" i="91"/>
  <c r="J252" i="91"/>
  <c r="P350" i="91"/>
  <c r="M252" i="91"/>
  <c r="U214" i="91"/>
  <c r="M214" i="91"/>
  <c r="I214" i="91"/>
  <c r="S176" i="91"/>
  <c r="O176" i="91"/>
  <c r="I252" i="91"/>
  <c r="P214" i="91"/>
  <c r="L214" i="91"/>
  <c r="V176" i="91"/>
  <c r="R176" i="91"/>
  <c r="J176" i="91"/>
  <c r="V292" i="91"/>
  <c r="U252" i="91"/>
  <c r="S214" i="91"/>
  <c r="O214" i="91"/>
  <c r="U176" i="91"/>
  <c r="M176" i="91"/>
  <c r="I176" i="91"/>
  <c r="J214" i="91"/>
  <c r="L176" i="91"/>
  <c r="O342" i="91"/>
  <c r="V214" i="91"/>
  <c r="O284" i="91"/>
  <c r="R214" i="91"/>
  <c r="H121" i="91"/>
  <c r="H111" i="91"/>
  <c r="H101" i="91"/>
  <c r="P176" i="91"/>
  <c r="H137" i="91"/>
  <c r="F66" i="82"/>
  <c r="F65" i="82"/>
  <c r="F64" i="82"/>
  <c r="F63" i="82"/>
  <c r="G62" i="82"/>
  <c r="F62" i="82"/>
  <c r="F61" i="82"/>
  <c r="F60" i="82"/>
  <c r="F59" i="82"/>
  <c r="F58" i="82"/>
  <c r="F57" i="82"/>
  <c r="G56" i="82"/>
  <c r="F56" i="82"/>
  <c r="F55" i="82"/>
  <c r="F54" i="82"/>
  <c r="F53" i="82"/>
  <c r="F52" i="82"/>
  <c r="F51" i="82"/>
  <c r="G50" i="82"/>
  <c r="F50" i="82"/>
  <c r="F49" i="82"/>
  <c r="K151" i="164"/>
  <c r="K274" i="163"/>
  <c r="K363" i="164"/>
  <c r="K163" i="163"/>
  <c r="H27" i="165"/>
  <c r="K163" i="164"/>
  <c r="H58" i="130"/>
  <c r="N62" i="163"/>
  <c r="K201" i="164"/>
  <c r="K201" i="165"/>
  <c r="K155" i="165"/>
  <c r="K274" i="164"/>
  <c r="K239" i="165"/>
  <c r="N267" i="163"/>
  <c r="H59" i="163"/>
  <c r="N267" i="164"/>
  <c r="N155" i="164"/>
  <c r="K27" i="165"/>
  <c r="K239" i="164"/>
  <c r="K27" i="164"/>
  <c r="N267" i="165"/>
  <c r="N27" i="163"/>
  <c r="H71" i="163"/>
  <c r="N62" i="164"/>
  <c r="K155" i="163"/>
  <c r="H59" i="164"/>
  <c r="K163" i="165"/>
  <c r="K332" i="163"/>
  <c r="K421" i="163"/>
  <c r="N155" i="163"/>
  <c r="K27" i="163"/>
  <c r="N62" i="165"/>
  <c r="N155" i="165"/>
  <c r="N27" i="164"/>
  <c r="K111" i="164"/>
  <c r="G58" i="130"/>
  <c r="N27" i="165"/>
  <c r="K239" i="163"/>
  <c r="K392" i="163"/>
  <c r="K392" i="164"/>
  <c r="F58" i="130"/>
  <c r="K112" i="164"/>
  <c r="K201" i="163"/>
  <c r="H61" i="164" l="1"/>
  <c r="H60" i="164" s="1"/>
  <c r="K90" i="164"/>
  <c r="H61" i="163"/>
  <c r="H60" i="163" s="1"/>
  <c r="K88" i="164"/>
  <c r="Y27" i="165"/>
  <c r="AB58" i="165"/>
  <c r="AC58" i="165"/>
  <c r="AD58" i="165" s="1"/>
  <c r="AC58" i="164"/>
  <c r="AD58" i="164" s="1"/>
  <c r="AB58" i="164"/>
  <c r="AB58" i="163"/>
  <c r="AC58" i="163"/>
  <c r="AD58" i="163" s="1"/>
  <c r="H10" i="91"/>
  <c r="N137" i="91"/>
  <c r="K136" i="91"/>
  <c r="K137" i="91"/>
  <c r="K135" i="91"/>
  <c r="W136" i="91"/>
  <c r="U314" i="91"/>
  <c r="U316" i="91"/>
  <c r="U317" i="91" s="1"/>
  <c r="J316" i="91"/>
  <c r="J317" i="91" s="1"/>
  <c r="J314" i="91"/>
  <c r="V405" i="91"/>
  <c r="V406" i="91" s="1"/>
  <c r="V403" i="91"/>
  <c r="I434" i="91"/>
  <c r="I435" i="91" s="1"/>
  <c r="I432" i="91"/>
  <c r="L434" i="91"/>
  <c r="L435" i="91" s="1"/>
  <c r="L432" i="91"/>
  <c r="W139" i="91"/>
  <c r="W80" i="91" s="1"/>
  <c r="T139" i="91"/>
  <c r="T80" i="91" s="1"/>
  <c r="Q139" i="91"/>
  <c r="Q80" i="91" s="1"/>
  <c r="W132" i="91"/>
  <c r="Q135" i="91"/>
  <c r="Q136" i="91"/>
  <c r="T132" i="91"/>
  <c r="Q137" i="91"/>
  <c r="W137" i="91"/>
  <c r="H88" i="91"/>
  <c r="O287" i="91"/>
  <c r="O288" i="91" s="1"/>
  <c r="O285" i="91"/>
  <c r="R316" i="91"/>
  <c r="R317" i="91" s="1"/>
  <c r="R314" i="91"/>
  <c r="I345" i="91"/>
  <c r="I346" i="91" s="1"/>
  <c r="I343" i="91"/>
  <c r="R285" i="91"/>
  <c r="R287" i="91"/>
  <c r="R288" i="91" s="1"/>
  <c r="R345" i="91"/>
  <c r="R346" i="91" s="1"/>
  <c r="R343" i="91"/>
  <c r="M405" i="91"/>
  <c r="M406" i="91" s="1"/>
  <c r="M403" i="91"/>
  <c r="U376" i="91"/>
  <c r="U377" i="91" s="1"/>
  <c r="U374" i="91"/>
  <c r="J376" i="91"/>
  <c r="J377" i="91" s="1"/>
  <c r="J374" i="91"/>
  <c r="O405" i="91"/>
  <c r="O406" i="91" s="1"/>
  <c r="O403" i="91"/>
  <c r="L405" i="91"/>
  <c r="L406" i="91" s="1"/>
  <c r="L403" i="91"/>
  <c r="J434" i="91"/>
  <c r="J435" i="91" s="1"/>
  <c r="J432" i="91"/>
  <c r="P434" i="91"/>
  <c r="P435" i="91" s="1"/>
  <c r="P432" i="91"/>
  <c r="N134" i="91"/>
  <c r="S285" i="91"/>
  <c r="S287" i="91"/>
  <c r="S288" i="91" s="1"/>
  <c r="P345" i="91"/>
  <c r="P346" i="91" s="1"/>
  <c r="P343" i="91"/>
  <c r="P316" i="91"/>
  <c r="P317" i="91" s="1"/>
  <c r="P314" i="91"/>
  <c r="J345" i="91"/>
  <c r="J346" i="91" s="1"/>
  <c r="J343" i="91"/>
  <c r="P376" i="91"/>
  <c r="P377" i="91" s="1"/>
  <c r="P374" i="91"/>
  <c r="M376" i="91"/>
  <c r="M377" i="91" s="1"/>
  <c r="M374" i="91"/>
  <c r="U405" i="91"/>
  <c r="U406" i="91" s="1"/>
  <c r="U403" i="91"/>
  <c r="Q133" i="91"/>
  <c r="Q134" i="91"/>
  <c r="I316" i="91"/>
  <c r="I317" i="91" s="1"/>
  <c r="I314" i="91"/>
  <c r="S374" i="91"/>
  <c r="S376" i="91"/>
  <c r="S377" i="91" s="1"/>
  <c r="M316" i="91"/>
  <c r="M317" i="91" s="1"/>
  <c r="M314" i="91"/>
  <c r="I405" i="91"/>
  <c r="I406" i="91" s="1"/>
  <c r="I403" i="91"/>
  <c r="V316" i="91"/>
  <c r="V317" i="91" s="1"/>
  <c r="V314" i="91"/>
  <c r="I287" i="91"/>
  <c r="I288" i="91" s="1"/>
  <c r="I285" i="91"/>
  <c r="M345" i="91"/>
  <c r="M346" i="91" s="1"/>
  <c r="M343" i="91"/>
  <c r="V285" i="91"/>
  <c r="V287" i="91"/>
  <c r="V288" i="91" s="1"/>
  <c r="V345" i="91"/>
  <c r="V346" i="91" s="1"/>
  <c r="V343" i="91"/>
  <c r="O376" i="91"/>
  <c r="O377" i="91" s="1"/>
  <c r="O374" i="91"/>
  <c r="R374" i="91"/>
  <c r="R376" i="91"/>
  <c r="R377" i="91" s="1"/>
  <c r="J405" i="91"/>
  <c r="J406" i="91" s="1"/>
  <c r="J403" i="91"/>
  <c r="U434" i="91"/>
  <c r="U435" i="91" s="1"/>
  <c r="U432" i="91"/>
  <c r="S405" i="91"/>
  <c r="S406" i="91" s="1"/>
  <c r="S403" i="91"/>
  <c r="P405" i="91"/>
  <c r="P406" i="91" s="1"/>
  <c r="P403" i="91"/>
  <c r="R434" i="91"/>
  <c r="R435" i="91" s="1"/>
  <c r="O434" i="91"/>
  <c r="O435" i="91" s="1"/>
  <c r="O432" i="91"/>
  <c r="T136" i="91"/>
  <c r="P287" i="91"/>
  <c r="P288" i="91" s="1"/>
  <c r="P285" i="91"/>
  <c r="U287" i="91"/>
  <c r="U288" i="91" s="1"/>
  <c r="U285" i="91"/>
  <c r="S316" i="91"/>
  <c r="S317" i="91" s="1"/>
  <c r="S314" i="91"/>
  <c r="J287" i="91"/>
  <c r="J288" i="91" s="1"/>
  <c r="J285" i="91"/>
  <c r="N135" i="91"/>
  <c r="W134" i="91"/>
  <c r="W133" i="91"/>
  <c r="T135" i="91"/>
  <c r="N136" i="91"/>
  <c r="Q132" i="91"/>
  <c r="T187" i="91"/>
  <c r="T225" i="91"/>
  <c r="T149" i="91"/>
  <c r="W135" i="91"/>
  <c r="W187" i="91"/>
  <c r="W225" i="91"/>
  <c r="W149" i="91"/>
  <c r="T133" i="91"/>
  <c r="T134" i="91"/>
  <c r="T137" i="91"/>
  <c r="O345" i="91"/>
  <c r="O346" i="91" s="1"/>
  <c r="O343" i="91"/>
  <c r="S343" i="91"/>
  <c r="S345" i="91"/>
  <c r="S346" i="91" s="1"/>
  <c r="L287" i="91"/>
  <c r="L288" i="91" s="1"/>
  <c r="L285" i="91"/>
  <c r="L345" i="91"/>
  <c r="L346" i="91" s="1"/>
  <c r="L343" i="91"/>
  <c r="M287" i="91"/>
  <c r="M288" i="91" s="1"/>
  <c r="M285" i="91"/>
  <c r="O316" i="91"/>
  <c r="O317" i="91" s="1"/>
  <c r="O314" i="91"/>
  <c r="U345" i="91"/>
  <c r="U346" i="91" s="1"/>
  <c r="U343" i="91"/>
  <c r="L316" i="91"/>
  <c r="L317" i="91" s="1"/>
  <c r="L314" i="91"/>
  <c r="L376" i="91"/>
  <c r="L377" i="91" s="1"/>
  <c r="L374" i="91"/>
  <c r="I376" i="91"/>
  <c r="I377" i="91" s="1"/>
  <c r="I374" i="91"/>
  <c r="V374" i="91"/>
  <c r="V376" i="91"/>
  <c r="V377" i="91" s="1"/>
  <c r="R405" i="91"/>
  <c r="R406" i="91" s="1"/>
  <c r="M434" i="91"/>
  <c r="M435" i="91" s="1"/>
  <c r="M432" i="91"/>
  <c r="V434" i="91"/>
  <c r="V435" i="91" s="1"/>
  <c r="V432" i="91"/>
  <c r="S434" i="91"/>
  <c r="S435" i="91" s="1"/>
  <c r="S432" i="91"/>
  <c r="K112" i="165"/>
  <c r="H27" i="163"/>
  <c r="H28" i="130"/>
  <c r="K111" i="165"/>
  <c r="K111" i="163"/>
  <c r="K112" i="163"/>
  <c r="F35" i="130"/>
  <c r="H71" i="164"/>
  <c r="H27" i="164"/>
  <c r="H35" i="130"/>
  <c r="G35" i="130"/>
  <c r="K88" i="165" l="1"/>
  <c r="K90" i="165"/>
  <c r="Y27" i="164"/>
  <c r="K90" i="163"/>
  <c r="Y27" i="163"/>
  <c r="K88" i="163"/>
  <c r="Q246" i="91"/>
  <c r="Q85" i="91"/>
  <c r="X137" i="91"/>
  <c r="X135" i="91"/>
  <c r="W86" i="91"/>
  <c r="X136" i="91"/>
  <c r="Q86" i="91"/>
  <c r="W84" i="91"/>
  <c r="W78" i="91"/>
  <c r="T85" i="91"/>
  <c r="K429" i="91"/>
  <c r="K45" i="91" s="1"/>
  <c r="K414" i="91"/>
  <c r="K427" i="91"/>
  <c r="K428" i="91"/>
  <c r="T86" i="91"/>
  <c r="W85" i="91"/>
  <c r="T78" i="91"/>
  <c r="T84" i="91"/>
  <c r="K426" i="91"/>
  <c r="K415" i="91"/>
  <c r="K413" i="91"/>
  <c r="Q84" i="91"/>
  <c r="Q78" i="91"/>
  <c r="N85" i="91"/>
  <c r="G12" i="80"/>
  <c r="G13" i="80"/>
  <c r="G14" i="80"/>
  <c r="K14" i="80"/>
  <c r="L14" i="80"/>
  <c r="G15" i="80"/>
  <c r="K15" i="80"/>
  <c r="L15" i="80"/>
  <c r="G16" i="80"/>
  <c r="K16" i="80"/>
  <c r="L16" i="80"/>
  <c r="G17" i="80"/>
  <c r="K17" i="80"/>
  <c r="L17" i="80"/>
  <c r="G18" i="80"/>
  <c r="G19" i="80"/>
  <c r="G20" i="80"/>
  <c r="G21" i="80"/>
  <c r="G22" i="80"/>
  <c r="G23" i="80"/>
  <c r="G24" i="80"/>
  <c r="G25" i="80"/>
  <c r="G26" i="80"/>
  <c r="G27" i="80"/>
  <c r="G28" i="80"/>
  <c r="G29" i="80"/>
  <c r="G30" i="80"/>
  <c r="G31" i="80"/>
  <c r="G32" i="80"/>
  <c r="G33" i="80"/>
  <c r="G34" i="80"/>
  <c r="G35" i="80"/>
  <c r="G36" i="80"/>
  <c r="G37" i="80"/>
  <c r="G38" i="80"/>
  <c r="G39" i="80"/>
  <c r="G40" i="80"/>
  <c r="G41" i="80"/>
  <c r="G42" i="80"/>
  <c r="G43" i="80"/>
  <c r="G44" i="80"/>
  <c r="G45" i="80"/>
  <c r="G46" i="80"/>
  <c r="G47" i="80"/>
  <c r="G48" i="80"/>
  <c r="G49" i="80"/>
  <c r="G50" i="80"/>
  <c r="G55" i="80"/>
  <c r="M54" i="80" s="1"/>
  <c r="K55" i="80"/>
  <c r="L55" i="80"/>
  <c r="G56" i="80"/>
  <c r="K56" i="80"/>
  <c r="L56" i="80"/>
  <c r="G57" i="80"/>
  <c r="G58" i="80"/>
  <c r="G59" i="80"/>
  <c r="G60" i="80"/>
  <c r="G61" i="80"/>
  <c r="G62" i="80"/>
  <c r="G63" i="80"/>
  <c r="G64" i="80"/>
  <c r="G65" i="80"/>
  <c r="G66" i="80"/>
  <c r="G67" i="80"/>
  <c r="G68" i="80"/>
  <c r="G69" i="80"/>
  <c r="G70" i="80"/>
  <c r="G71" i="80"/>
  <c r="G72" i="80"/>
  <c r="G73" i="80"/>
  <c r="G74" i="80"/>
  <c r="G75" i="80"/>
  <c r="G76" i="80"/>
  <c r="G77" i="80"/>
  <c r="G78" i="80"/>
  <c r="G79" i="80"/>
  <c r="G28" i="130"/>
  <c r="F28" i="130"/>
  <c r="M55" i="80" l="1"/>
  <c r="K57" i="80"/>
  <c r="M56" i="80"/>
  <c r="L57" i="80"/>
  <c r="K246" i="91"/>
  <c r="N246" i="91"/>
  <c r="T246" i="91"/>
  <c r="W246" i="91"/>
  <c r="Q104" i="91"/>
  <c r="T124" i="91"/>
  <c r="W126" i="91"/>
  <c r="K124" i="91"/>
  <c r="W106" i="91"/>
  <c r="Q126" i="91"/>
  <c r="Q106" i="91"/>
  <c r="N126" i="91"/>
  <c r="T126" i="91"/>
  <c r="K106" i="91"/>
  <c r="T106" i="91"/>
  <c r="Q413" i="91"/>
  <c r="Q426" i="91"/>
  <c r="Q415" i="91"/>
  <c r="K281" i="91"/>
  <c r="K282" i="91"/>
  <c r="K39" i="91" s="1"/>
  <c r="K280" i="91"/>
  <c r="K105" i="91" s="1"/>
  <c r="K267" i="91"/>
  <c r="K100" i="91"/>
  <c r="K99" i="91"/>
  <c r="K355" i="91"/>
  <c r="K357" i="91"/>
  <c r="K368" i="91"/>
  <c r="T268" i="91"/>
  <c r="T279" i="91"/>
  <c r="T266" i="91"/>
  <c r="T296" i="91"/>
  <c r="T310" i="91"/>
  <c r="T311" i="91"/>
  <c r="T40" i="91" s="1"/>
  <c r="T309" i="91"/>
  <c r="T398" i="91"/>
  <c r="T385" i="91"/>
  <c r="T399" i="91"/>
  <c r="T400" i="91"/>
  <c r="T44" i="91" s="1"/>
  <c r="T397" i="91"/>
  <c r="T384" i="91"/>
  <c r="T386" i="91"/>
  <c r="Q384" i="91"/>
  <c r="Q397" i="91"/>
  <c r="Q386" i="91"/>
  <c r="K397" i="91"/>
  <c r="K386" i="91"/>
  <c r="K384" i="91"/>
  <c r="K324" i="91"/>
  <c r="K326" i="91"/>
  <c r="K337" i="91"/>
  <c r="N99" i="91"/>
  <c r="N100" i="91"/>
  <c r="T282" i="91"/>
  <c r="T39" i="91" s="1"/>
  <c r="T280" i="91"/>
  <c r="T267" i="91"/>
  <c r="T281" i="91"/>
  <c r="T337" i="91"/>
  <c r="T326" i="91"/>
  <c r="T324" i="91"/>
  <c r="W281" i="91"/>
  <c r="W282" i="91"/>
  <c r="W39" i="91" s="1"/>
  <c r="W280" i="91"/>
  <c r="W267" i="91"/>
  <c r="W100" i="91"/>
  <c r="W105" i="91"/>
  <c r="W99" i="91"/>
  <c r="N368" i="91"/>
  <c r="N357" i="91"/>
  <c r="N355" i="91"/>
  <c r="N413" i="91"/>
  <c r="N426" i="91"/>
  <c r="N415" i="91"/>
  <c r="N399" i="91"/>
  <c r="N400" i="91"/>
  <c r="N44" i="91" s="1"/>
  <c r="N385" i="91"/>
  <c r="N398" i="91"/>
  <c r="N428" i="91"/>
  <c r="N429" i="91"/>
  <c r="N45" i="91" s="1"/>
  <c r="N414" i="91"/>
  <c r="N427" i="91"/>
  <c r="W120" i="91"/>
  <c r="W125" i="91"/>
  <c r="W119" i="91"/>
  <c r="W426" i="91"/>
  <c r="W415" i="91"/>
  <c r="W413" i="91"/>
  <c r="N124" i="91"/>
  <c r="K437" i="91"/>
  <c r="K433" i="91"/>
  <c r="K438" i="91"/>
  <c r="W104" i="91"/>
  <c r="K126" i="91"/>
  <c r="Q105" i="91"/>
  <c r="Q99" i="91"/>
  <c r="Q100" i="91"/>
  <c r="Q371" i="91"/>
  <c r="Q43" i="91" s="1"/>
  <c r="Q356" i="91"/>
  <c r="Q369" i="91"/>
  <c r="Q370" i="91"/>
  <c r="Q337" i="91"/>
  <c r="Q326" i="91"/>
  <c r="Q324" i="91"/>
  <c r="N337" i="91"/>
  <c r="N326" i="91"/>
  <c r="N324" i="91"/>
  <c r="W324" i="91"/>
  <c r="W326" i="91"/>
  <c r="W337" i="91"/>
  <c r="W338" i="91"/>
  <c r="W339" i="91"/>
  <c r="W340" i="91"/>
  <c r="W41" i="91" s="1"/>
  <c r="W325" i="91"/>
  <c r="W311" i="91"/>
  <c r="W40" i="91" s="1"/>
  <c r="W296" i="91"/>
  <c r="W309" i="91"/>
  <c r="W310" i="91"/>
  <c r="K423" i="91"/>
  <c r="Q279" i="91"/>
  <c r="Q266" i="91"/>
  <c r="Q268" i="91"/>
  <c r="Q427" i="91"/>
  <c r="Q428" i="91"/>
  <c r="Q429" i="91"/>
  <c r="Q45" i="91" s="1"/>
  <c r="Q414" i="91"/>
  <c r="Q280" i="91"/>
  <c r="Q282" i="91"/>
  <c r="Q39" i="91" s="1"/>
  <c r="Q267" i="91"/>
  <c r="Q281" i="91"/>
  <c r="Q398" i="91"/>
  <c r="Q399" i="91"/>
  <c r="Q400" i="91"/>
  <c r="Q44" i="91" s="1"/>
  <c r="Q385" i="91"/>
  <c r="Q368" i="91"/>
  <c r="Q357" i="91"/>
  <c r="Q355" i="91"/>
  <c r="Q125" i="91"/>
  <c r="Q119" i="91"/>
  <c r="Q120" i="91"/>
  <c r="K311" i="91"/>
  <c r="K40" i="91" s="1"/>
  <c r="K296" i="91"/>
  <c r="K309" i="91"/>
  <c r="K310" i="91"/>
  <c r="K369" i="91"/>
  <c r="K370" i="91"/>
  <c r="K371" i="91"/>
  <c r="K43" i="91" s="1"/>
  <c r="K356" i="91"/>
  <c r="K308" i="91"/>
  <c r="K297" i="91"/>
  <c r="K295" i="91"/>
  <c r="N279" i="91"/>
  <c r="N268" i="91"/>
  <c r="N266" i="91"/>
  <c r="W268" i="91"/>
  <c r="W279" i="91"/>
  <c r="W266" i="91"/>
  <c r="W308" i="91"/>
  <c r="W297" i="91"/>
  <c r="W295" i="91"/>
  <c r="W355" i="91"/>
  <c r="W368" i="91"/>
  <c r="W357" i="91"/>
  <c r="W429" i="91"/>
  <c r="W45" i="91" s="1"/>
  <c r="W414" i="91"/>
  <c r="W427" i="91"/>
  <c r="W428" i="91"/>
  <c r="Q124" i="91"/>
  <c r="W124" i="91"/>
  <c r="K104" i="91"/>
  <c r="T104" i="91"/>
  <c r="N295" i="91"/>
  <c r="N308" i="91"/>
  <c r="N297" i="91"/>
  <c r="N310" i="91"/>
  <c r="N311" i="91"/>
  <c r="N40" i="91" s="1"/>
  <c r="N296" i="91"/>
  <c r="N309" i="91"/>
  <c r="T295" i="91"/>
  <c r="T308" i="91"/>
  <c r="T297" i="91"/>
  <c r="T370" i="91"/>
  <c r="T371" i="91"/>
  <c r="T43" i="91" s="1"/>
  <c r="T369" i="91"/>
  <c r="T356" i="91"/>
  <c r="T426" i="91"/>
  <c r="T415" i="91"/>
  <c r="T413" i="91"/>
  <c r="W397" i="91"/>
  <c r="W386" i="91"/>
  <c r="W384" i="91"/>
  <c r="Q309" i="91"/>
  <c r="Q310" i="91"/>
  <c r="Q311" i="91"/>
  <c r="Q40" i="91" s="1"/>
  <c r="Q296" i="91"/>
  <c r="Q295" i="91"/>
  <c r="Q308" i="91"/>
  <c r="Q297" i="91"/>
  <c r="Q340" i="91"/>
  <c r="Q41" i="91" s="1"/>
  <c r="Q325" i="91"/>
  <c r="Q338" i="91"/>
  <c r="Q339" i="91"/>
  <c r="K338" i="91"/>
  <c r="K339" i="91"/>
  <c r="K340" i="91"/>
  <c r="K41" i="91" s="1"/>
  <c r="K325" i="91"/>
  <c r="K120" i="91"/>
  <c r="K119" i="91"/>
  <c r="K125" i="91"/>
  <c r="K400" i="91"/>
  <c r="K44" i="91" s="1"/>
  <c r="K385" i="91"/>
  <c r="K398" i="91"/>
  <c r="K399" i="91"/>
  <c r="T105" i="91"/>
  <c r="T99" i="91"/>
  <c r="T100" i="91"/>
  <c r="N338" i="91"/>
  <c r="N339" i="91"/>
  <c r="N340" i="91"/>
  <c r="N41" i="91" s="1"/>
  <c r="N325" i="91"/>
  <c r="T339" i="91"/>
  <c r="T340" i="91"/>
  <c r="T41" i="91" s="1"/>
  <c r="T338" i="91"/>
  <c r="T325" i="91"/>
  <c r="N369" i="91"/>
  <c r="N370" i="91"/>
  <c r="N371" i="91"/>
  <c r="N43" i="91" s="1"/>
  <c r="N356" i="91"/>
  <c r="N120" i="91"/>
  <c r="N125" i="91"/>
  <c r="N119" i="91"/>
  <c r="N384" i="91"/>
  <c r="N397" i="91"/>
  <c r="N386" i="91"/>
  <c r="T368" i="91"/>
  <c r="T357" i="91"/>
  <c r="T355" i="91"/>
  <c r="T427" i="91"/>
  <c r="T428" i="91"/>
  <c r="T429" i="91"/>
  <c r="T45" i="91" s="1"/>
  <c r="T414" i="91"/>
  <c r="T125" i="91"/>
  <c r="T119" i="91"/>
  <c r="T120" i="91"/>
  <c r="W369" i="91"/>
  <c r="W370" i="91"/>
  <c r="W371" i="91"/>
  <c r="W43" i="91" s="1"/>
  <c r="W356" i="91"/>
  <c r="W400" i="91"/>
  <c r="W44" i="91" s="1"/>
  <c r="W385" i="91"/>
  <c r="W398" i="91"/>
  <c r="W399" i="91"/>
  <c r="K279" i="91"/>
  <c r="K268" i="91"/>
  <c r="K266" i="91"/>
  <c r="M16" i="80"/>
  <c r="M15" i="80"/>
  <c r="M17" i="80"/>
  <c r="M14" i="80"/>
  <c r="M57" i="80" l="1"/>
  <c r="T101" i="91"/>
  <c r="N121" i="91"/>
  <c r="W122" i="91"/>
  <c r="Q122" i="91"/>
  <c r="K102" i="91"/>
  <c r="N122" i="91"/>
  <c r="K122" i="91"/>
  <c r="X126" i="91"/>
  <c r="Q102" i="91"/>
  <c r="X124" i="91"/>
  <c r="T122" i="91"/>
  <c r="T102" i="91"/>
  <c r="Q121" i="91"/>
  <c r="T121" i="91"/>
  <c r="K101" i="91"/>
  <c r="W101" i="91"/>
  <c r="T365" i="91"/>
  <c r="N408" i="91"/>
  <c r="N404" i="91"/>
  <c r="N409" i="91"/>
  <c r="W319" i="91"/>
  <c r="W320" i="91"/>
  <c r="W315" i="91"/>
  <c r="K319" i="91"/>
  <c r="K320" i="91"/>
  <c r="K315" i="91"/>
  <c r="Q365" i="91"/>
  <c r="N334" i="91"/>
  <c r="N423" i="91"/>
  <c r="T348" i="91"/>
  <c r="T349" i="91"/>
  <c r="T344" i="91"/>
  <c r="Q404" i="91"/>
  <c r="Q408" i="91"/>
  <c r="Q409" i="91"/>
  <c r="T276" i="91"/>
  <c r="K365" i="91"/>
  <c r="X100" i="91"/>
  <c r="Q423" i="91"/>
  <c r="T380" i="91"/>
  <c r="T379" i="91"/>
  <c r="T375" i="91"/>
  <c r="T42" i="91"/>
  <c r="K121" i="91"/>
  <c r="Q305" i="91"/>
  <c r="T423" i="91"/>
  <c r="N305" i="91"/>
  <c r="N276" i="91"/>
  <c r="Q379" i="91"/>
  <c r="Q380" i="91"/>
  <c r="Q375" i="91"/>
  <c r="Q42" i="91"/>
  <c r="Q290" i="91"/>
  <c r="Q286" i="91"/>
  <c r="Q38" i="91"/>
  <c r="Q291" i="91"/>
  <c r="W334" i="91"/>
  <c r="N349" i="91"/>
  <c r="N348" i="91"/>
  <c r="N344" i="91"/>
  <c r="W121" i="91"/>
  <c r="N438" i="91"/>
  <c r="N433" i="91"/>
  <c r="N437" i="91"/>
  <c r="N379" i="91"/>
  <c r="N380" i="91"/>
  <c r="N375" i="91"/>
  <c r="N42" i="91"/>
  <c r="W102" i="91"/>
  <c r="K348" i="91"/>
  <c r="K344" i="91"/>
  <c r="K349" i="91"/>
  <c r="K394" i="91"/>
  <c r="T394" i="91"/>
  <c r="Q437" i="91"/>
  <c r="Q438" i="91"/>
  <c r="Q433" i="91"/>
  <c r="W348" i="91"/>
  <c r="W349" i="91"/>
  <c r="W344" i="91"/>
  <c r="Q349" i="91"/>
  <c r="Q348" i="91"/>
  <c r="Q344" i="91"/>
  <c r="W437" i="91"/>
  <c r="W433" i="91"/>
  <c r="W438" i="91"/>
  <c r="N365" i="91"/>
  <c r="K276" i="91"/>
  <c r="X125" i="91"/>
  <c r="X119" i="91"/>
  <c r="Q319" i="91"/>
  <c r="Q320" i="91"/>
  <c r="Q315" i="91"/>
  <c r="W394" i="91"/>
  <c r="T437" i="91"/>
  <c r="T438" i="91"/>
  <c r="T433" i="91"/>
  <c r="T305" i="91"/>
  <c r="N320" i="91"/>
  <c r="N315" i="91"/>
  <c r="N319" i="91"/>
  <c r="W365" i="91"/>
  <c r="W290" i="91"/>
  <c r="W291" i="91"/>
  <c r="W286" i="91"/>
  <c r="W38" i="91"/>
  <c r="N290" i="91"/>
  <c r="N291" i="91"/>
  <c r="Y42" i="91"/>
  <c r="K334" i="91"/>
  <c r="K408" i="91"/>
  <c r="K404" i="91"/>
  <c r="K409" i="91"/>
  <c r="K290" i="91"/>
  <c r="K291" i="91"/>
  <c r="K286" i="91"/>
  <c r="K38" i="91"/>
  <c r="N394" i="91"/>
  <c r="X120" i="91"/>
  <c r="W408" i="91"/>
  <c r="W409" i="91"/>
  <c r="W404" i="91"/>
  <c r="T319" i="91"/>
  <c r="T320" i="91"/>
  <c r="T315" i="91"/>
  <c r="W379" i="91"/>
  <c r="W380" i="91"/>
  <c r="W375" i="91"/>
  <c r="W42" i="91"/>
  <c r="W305" i="91"/>
  <c r="W276" i="91"/>
  <c r="K305" i="91"/>
  <c r="Q276" i="91"/>
  <c r="Q334" i="91"/>
  <c r="Q101" i="91"/>
  <c r="W423" i="91"/>
  <c r="T334" i="91"/>
  <c r="Q394" i="91"/>
  <c r="T409" i="91"/>
  <c r="T408" i="91"/>
  <c r="T404" i="91"/>
  <c r="T291" i="91"/>
  <c r="T286" i="91"/>
  <c r="T290" i="91"/>
  <c r="T38" i="91"/>
  <c r="K379" i="91"/>
  <c r="K380" i="91"/>
  <c r="K375" i="91"/>
  <c r="K42" i="91"/>
  <c r="X99" i="91"/>
  <c r="X122" i="91" l="1"/>
  <c r="X121" i="91"/>
  <c r="X42" i="91"/>
  <c r="N286" i="91" l="1"/>
  <c r="K99" i="31"/>
  <c r="N98" i="31"/>
  <c r="N99" i="31"/>
  <c r="N98" i="159"/>
  <c r="N99" i="113"/>
  <c r="N98" i="113"/>
  <c r="N99" i="159"/>
  <c r="K99" i="113"/>
  <c r="K99" i="159"/>
  <c r="K99" i="162"/>
  <c r="K99" i="161"/>
  <c r="K99" i="160"/>
  <c r="K373" i="164"/>
  <c r="K284" i="165"/>
  <c r="K313" i="164"/>
  <c r="K176" i="163"/>
  <c r="K313" i="163"/>
  <c r="K342" i="163"/>
  <c r="K214" i="163"/>
  <c r="K373" i="165"/>
  <c r="K431" i="165"/>
  <c r="K214" i="164"/>
  <c r="N98" i="160"/>
  <c r="N98" i="161"/>
  <c r="N98" i="162"/>
  <c r="K342" i="164"/>
  <c r="K402" i="164"/>
  <c r="K176" i="164"/>
  <c r="K402" i="165"/>
  <c r="K284" i="164"/>
  <c r="K252" i="165"/>
  <c r="K431" i="164"/>
  <c r="N184" i="163"/>
  <c r="K252" i="164"/>
  <c r="K342" i="165"/>
  <c r="K214" i="165"/>
  <c r="N99" i="162"/>
  <c r="N99" i="161"/>
  <c r="N431" i="164" s="1"/>
  <c r="N99" i="160"/>
  <c r="N313" i="164"/>
  <c r="N313" i="165"/>
  <c r="N214" i="165"/>
  <c r="N214" i="164"/>
  <c r="N291" i="165"/>
  <c r="N252" i="164"/>
  <c r="N402" i="165"/>
  <c r="N184" i="164"/>
  <c r="K176" i="165"/>
  <c r="N373" i="165"/>
  <c r="K313" i="165"/>
  <c r="N252" i="165"/>
  <c r="N342" i="164"/>
  <c r="N402" i="164"/>
  <c r="N284" i="164"/>
  <c r="N431" i="165"/>
  <c r="N176" i="165"/>
  <c r="K373" i="163"/>
  <c r="K284" i="163"/>
  <c r="K402" i="163"/>
  <c r="K431" i="163"/>
  <c r="K252" i="163"/>
  <c r="N373" i="163"/>
  <c r="N431" i="163"/>
  <c r="N313" i="163"/>
  <c r="N252" i="163"/>
  <c r="N176" i="163"/>
  <c r="N342" i="163"/>
  <c r="N402" i="163"/>
  <c r="N291" i="163"/>
  <c r="N214" i="163"/>
  <c r="N284" i="163"/>
  <c r="N373" i="164"/>
  <c r="N176" i="164"/>
  <c r="N291" i="164"/>
  <c r="N284" i="165"/>
  <c r="N342" i="165"/>
  <c r="N184" i="165"/>
  <c r="N177" i="165" l="1"/>
  <c r="N253" i="164"/>
  <c r="N177" i="164"/>
  <c r="N215" i="164"/>
  <c r="N253" i="165"/>
  <c r="N215" i="165"/>
  <c r="K177" i="165"/>
  <c r="K215" i="165"/>
  <c r="K253" i="165"/>
  <c r="K253" i="164"/>
  <c r="K177" i="164"/>
  <c r="K215" i="164"/>
  <c r="N177" i="163"/>
  <c r="N253" i="163"/>
  <c r="N215" i="163"/>
  <c r="K215" i="163"/>
  <c r="K253" i="163"/>
  <c r="K177" i="163"/>
  <c r="N280" i="91"/>
  <c r="N281" i="91"/>
  <c r="N282" i="91" s="1"/>
  <c r="N286" i="164"/>
  <c r="N292" i="165"/>
  <c r="N374" i="164"/>
  <c r="K33" i="164"/>
  <c r="N374" i="165"/>
  <c r="N343" i="163"/>
  <c r="K32" i="165"/>
  <c r="N434" i="165"/>
  <c r="K403" i="164"/>
  <c r="N285" i="163"/>
  <c r="N185" i="164"/>
  <c r="N31" i="165"/>
  <c r="N287" i="163"/>
  <c r="K179" i="163"/>
  <c r="N434" i="163"/>
  <c r="K343" i="165"/>
  <c r="N287" i="164"/>
  <c r="K405" i="163"/>
  <c r="K374" i="165"/>
  <c r="N405" i="163"/>
  <c r="N432" i="165"/>
  <c r="K285" i="164"/>
  <c r="K345" i="163"/>
  <c r="N33" i="164"/>
  <c r="K432" i="164"/>
  <c r="N33" i="163"/>
  <c r="N32" i="163"/>
  <c r="N286" i="165"/>
  <c r="N316" i="164"/>
  <c r="N376" i="163"/>
  <c r="K314" i="165"/>
  <c r="N286" i="163"/>
  <c r="K179" i="165"/>
  <c r="K343" i="163"/>
  <c r="K314" i="164"/>
  <c r="K345" i="165"/>
  <c r="K403" i="163"/>
  <c r="K33" i="165"/>
  <c r="N179" i="163"/>
  <c r="K179" i="164"/>
  <c r="N374" i="163"/>
  <c r="K345" i="164"/>
  <c r="N343" i="165"/>
  <c r="N314" i="163"/>
  <c r="N179" i="165"/>
  <c r="K376" i="164"/>
  <c r="N185" i="163"/>
  <c r="K376" i="165"/>
  <c r="N285" i="165"/>
  <c r="K434" i="164"/>
  <c r="K374" i="164"/>
  <c r="K405" i="165"/>
  <c r="N32" i="165"/>
  <c r="K287" i="163"/>
  <c r="N314" i="164"/>
  <c r="K434" i="163"/>
  <c r="N185" i="165"/>
  <c r="K432" i="165"/>
  <c r="K32" i="164"/>
  <c r="N292" i="163"/>
  <c r="N343" i="164"/>
  <c r="K31" i="165"/>
  <c r="N403" i="164"/>
  <c r="N184" i="115"/>
  <c r="N434" i="164"/>
  <c r="K287" i="165"/>
  <c r="K316" i="163"/>
  <c r="K285" i="165"/>
  <c r="N405" i="164"/>
  <c r="K31" i="163"/>
  <c r="N292" i="164"/>
  <c r="N316" i="163"/>
  <c r="N432" i="164"/>
  <c r="N345" i="164"/>
  <c r="N33" i="165"/>
  <c r="K376" i="163"/>
  <c r="K403" i="165"/>
  <c r="N285" i="164"/>
  <c r="N280" i="164"/>
  <c r="N403" i="165"/>
  <c r="N103" i="164"/>
  <c r="N314" i="165"/>
  <c r="N345" i="165"/>
  <c r="N287" i="165"/>
  <c r="N281" i="165" s="1"/>
  <c r="K316" i="164"/>
  <c r="K33" i="163"/>
  <c r="K434" i="165"/>
  <c r="K32" i="163"/>
  <c r="K287" i="164"/>
  <c r="N345" i="163"/>
  <c r="N376" i="165"/>
  <c r="K374" i="163"/>
  <c r="N179" i="164"/>
  <c r="N405" i="165"/>
  <c r="N32" i="164"/>
  <c r="K314" i="163"/>
  <c r="K343" i="164"/>
  <c r="N432" i="163"/>
  <c r="K31" i="164"/>
  <c r="N31" i="163"/>
  <c r="K405" i="164"/>
  <c r="N403" i="163"/>
  <c r="N376" i="164"/>
  <c r="K432" i="163"/>
  <c r="K285" i="163"/>
  <c r="N316" i="165"/>
  <c r="K316" i="165"/>
  <c r="N105" i="164"/>
  <c r="N291" i="115"/>
  <c r="N281" i="164"/>
  <c r="Y103" i="164" l="1"/>
  <c r="Y105" i="164"/>
  <c r="Z31" i="165"/>
  <c r="Z31" i="163"/>
  <c r="H13" i="91"/>
  <c r="P25" i="91" s="1"/>
  <c r="N39" i="91"/>
  <c r="Y38" i="91" s="1"/>
  <c r="N38" i="91"/>
  <c r="X38" i="91" s="1"/>
  <c r="N280" i="165"/>
  <c r="K178" i="164"/>
  <c r="N218" i="165"/>
  <c r="K180" i="164"/>
  <c r="N435" i="163"/>
  <c r="N178" i="164"/>
  <c r="K288" i="164"/>
  <c r="N102" i="164"/>
  <c r="N170" i="164"/>
  <c r="N377" i="163"/>
  <c r="N406" i="164"/>
  <c r="N172" i="164"/>
  <c r="K180" i="165"/>
  <c r="K216" i="163"/>
  <c r="N256" i="164"/>
  <c r="N435" i="165"/>
  <c r="N288" i="164"/>
  <c r="K435" i="165"/>
  <c r="N178" i="163"/>
  <c r="N180" i="163"/>
  <c r="K256" i="165"/>
  <c r="N256" i="165"/>
  <c r="K256" i="164"/>
  <c r="K256" i="163"/>
  <c r="K435" i="163"/>
  <c r="N282" i="165"/>
  <c r="K346" i="165"/>
  <c r="N406" i="165"/>
  <c r="N254" i="164"/>
  <c r="N216" i="165"/>
  <c r="K346" i="163"/>
  <c r="N435" i="164"/>
  <c r="K406" i="164"/>
  <c r="K216" i="164"/>
  <c r="N216" i="164"/>
  <c r="N280" i="163"/>
  <c r="K178" i="163"/>
  <c r="K406" i="163"/>
  <c r="N180" i="165"/>
  <c r="K288" i="165"/>
  <c r="K317" i="165"/>
  <c r="N218" i="164"/>
  <c r="K377" i="163"/>
  <c r="N377" i="165"/>
  <c r="K254" i="163"/>
  <c r="N377" i="164"/>
  <c r="N281" i="163"/>
  <c r="K288" i="163"/>
  <c r="N317" i="165"/>
  <c r="K406" i="165"/>
  <c r="N218" i="163"/>
  <c r="N216" i="163"/>
  <c r="K216" i="165"/>
  <c r="N317" i="163"/>
  <c r="N256" i="163"/>
  <c r="K435" i="164"/>
  <c r="K254" i="164"/>
  <c r="K317" i="163"/>
  <c r="K178" i="165"/>
  <c r="K218" i="165"/>
  <c r="N282" i="164"/>
  <c r="N180" i="164"/>
  <c r="N105" i="163"/>
  <c r="N254" i="163"/>
  <c r="N254" i="165"/>
  <c r="N406" i="163"/>
  <c r="N346" i="164"/>
  <c r="N102" i="165"/>
  <c r="K346" i="164"/>
  <c r="N288" i="165"/>
  <c r="N346" i="163"/>
  <c r="K377" i="165"/>
  <c r="N101" i="165"/>
  <c r="K218" i="163"/>
  <c r="N346" i="165"/>
  <c r="K377" i="164"/>
  <c r="N101" i="164"/>
  <c r="K218" i="164"/>
  <c r="K317" i="164"/>
  <c r="K180" i="163"/>
  <c r="N288" i="163"/>
  <c r="N178" i="165"/>
  <c r="K254" i="165"/>
  <c r="N169" i="164"/>
  <c r="N115" i="164" s="1"/>
  <c r="N103" i="163"/>
  <c r="N169" i="165"/>
  <c r="N113" i="165" s="1"/>
  <c r="N115" i="165"/>
  <c r="N317" i="164"/>
  <c r="N170" i="163"/>
  <c r="N172" i="165"/>
  <c r="N172" i="163"/>
  <c r="N103" i="165"/>
  <c r="N105" i="165"/>
  <c r="N171" i="165"/>
  <c r="N170" i="165"/>
  <c r="Y105" i="165" l="1"/>
  <c r="Y103" i="165"/>
  <c r="Y103" i="163"/>
  <c r="Y105" i="163"/>
  <c r="N39" i="164"/>
  <c r="Z38" i="164" s="1"/>
  <c r="N38" i="164"/>
  <c r="Y38" i="164" s="1"/>
  <c r="N39" i="165"/>
  <c r="Z38" i="165" s="1"/>
  <c r="N38" i="165"/>
  <c r="Y38" i="165" s="1"/>
  <c r="Y113" i="165"/>
  <c r="N91" i="165"/>
  <c r="Y91" i="165" s="1"/>
  <c r="Y115" i="165"/>
  <c r="Y115" i="164"/>
  <c r="H14" i="165"/>
  <c r="H14" i="164"/>
  <c r="H15" i="165"/>
  <c r="Y101" i="164"/>
  <c r="Y102" i="164"/>
  <c r="Y102" i="165"/>
  <c r="Y101" i="165"/>
  <c r="O25" i="91"/>
  <c r="N181" i="164"/>
  <c r="N101" i="163"/>
  <c r="N181" i="163"/>
  <c r="K219" i="164"/>
  <c r="K219" i="163"/>
  <c r="N151" i="164"/>
  <c r="H66" i="130"/>
  <c r="K257" i="164"/>
  <c r="K219" i="165"/>
  <c r="N257" i="164"/>
  <c r="N112" i="165"/>
  <c r="N219" i="163"/>
  <c r="G66" i="130"/>
  <c r="N257" i="163"/>
  <c r="K181" i="164"/>
  <c r="N173" i="165"/>
  <c r="N282" i="163"/>
  <c r="N28" i="165"/>
  <c r="N28" i="164"/>
  <c r="K257" i="163"/>
  <c r="N257" i="165"/>
  <c r="N151" i="163"/>
  <c r="N219" i="164"/>
  <c r="N151" i="165"/>
  <c r="N181" i="165"/>
  <c r="N219" i="165"/>
  <c r="N171" i="164"/>
  <c r="N152" i="165"/>
  <c r="K181" i="165"/>
  <c r="N171" i="163"/>
  <c r="K257" i="165"/>
  <c r="N113" i="164"/>
  <c r="N111" i="165"/>
  <c r="N102" i="163"/>
  <c r="N169" i="163"/>
  <c r="N113" i="163" s="1"/>
  <c r="N31" i="164"/>
  <c r="K181" i="163"/>
  <c r="K71" i="165"/>
  <c r="N71" i="165"/>
  <c r="H15" i="164" l="1"/>
  <c r="Y113" i="163"/>
  <c r="N38" i="163"/>
  <c r="Y38" i="163" s="1"/>
  <c r="N39" i="163"/>
  <c r="Z38" i="163" s="1"/>
  <c r="H14" i="163"/>
  <c r="N91" i="164"/>
  <c r="Y91" i="164" s="1"/>
  <c r="Y113" i="164"/>
  <c r="Y102" i="163"/>
  <c r="H15" i="163"/>
  <c r="Y101" i="163"/>
  <c r="N54" i="165"/>
  <c r="AB65" i="165" s="1"/>
  <c r="N55" i="165"/>
  <c r="AE65" i="165" s="1"/>
  <c r="Z31" i="164"/>
  <c r="Y28" i="164"/>
  <c r="Y112" i="165"/>
  <c r="N90" i="165"/>
  <c r="Y90" i="165" s="1"/>
  <c r="Y111" i="165"/>
  <c r="N88" i="165"/>
  <c r="Y88" i="165" s="1"/>
  <c r="Y28" i="165"/>
  <c r="N35" i="165"/>
  <c r="Z34" i="165" s="1"/>
  <c r="N34" i="165"/>
  <c r="P9" i="66"/>
  <c r="V8" i="66"/>
  <c r="V9" i="66"/>
  <c r="T12" i="66"/>
  <c r="T3" i="66"/>
  <c r="P8" i="66"/>
  <c r="M9" i="66"/>
  <c r="M5" i="66"/>
  <c r="I4" i="66"/>
  <c r="I5" i="66"/>
  <c r="I6" i="66"/>
  <c r="I7" i="66"/>
  <c r="I8" i="66"/>
  <c r="I9" i="66"/>
  <c r="I10" i="66"/>
  <c r="I11" i="66"/>
  <c r="I12" i="66"/>
  <c r="I13" i="66"/>
  <c r="I14" i="66"/>
  <c r="I15" i="66"/>
  <c r="I16" i="66"/>
  <c r="I17" i="66"/>
  <c r="I18" i="66"/>
  <c r="I19" i="66"/>
  <c r="I20" i="66"/>
  <c r="I21" i="66"/>
  <c r="I22" i="66"/>
  <c r="I23" i="66"/>
  <c r="I24" i="66"/>
  <c r="I25" i="66"/>
  <c r="I26" i="66"/>
  <c r="I27" i="66"/>
  <c r="I28" i="66"/>
  <c r="I29" i="66"/>
  <c r="I30" i="66"/>
  <c r="I31" i="66"/>
  <c r="I32" i="66"/>
  <c r="I33" i="66"/>
  <c r="I34" i="66"/>
  <c r="I35" i="66"/>
  <c r="I36" i="66"/>
  <c r="I37" i="66"/>
  <c r="I38" i="66"/>
  <c r="I39" i="66"/>
  <c r="I40" i="66"/>
  <c r="I41" i="66"/>
  <c r="I42" i="66"/>
  <c r="I43" i="66"/>
  <c r="I44" i="66"/>
  <c r="I45" i="66"/>
  <c r="I46" i="66"/>
  <c r="I47" i="66"/>
  <c r="I48" i="66"/>
  <c r="I49" i="66"/>
  <c r="I50" i="66"/>
  <c r="I51" i="66"/>
  <c r="I52" i="66"/>
  <c r="I53" i="66"/>
  <c r="I54" i="66"/>
  <c r="I55" i="66"/>
  <c r="I56" i="66"/>
  <c r="I57" i="66"/>
  <c r="I58" i="66"/>
  <c r="I59" i="66"/>
  <c r="I60" i="66"/>
  <c r="I61" i="66"/>
  <c r="I62" i="66"/>
  <c r="I63" i="66"/>
  <c r="I64" i="66"/>
  <c r="I65" i="66"/>
  <c r="I66" i="66"/>
  <c r="I67" i="66"/>
  <c r="I68" i="66"/>
  <c r="I69" i="66"/>
  <c r="I70" i="66"/>
  <c r="I71" i="66"/>
  <c r="I72" i="66"/>
  <c r="I74" i="66"/>
  <c r="I75" i="66"/>
  <c r="I76" i="66"/>
  <c r="I77" i="66"/>
  <c r="I78" i="66"/>
  <c r="I79" i="66"/>
  <c r="I80" i="66"/>
  <c r="I81" i="66"/>
  <c r="I82" i="66"/>
  <c r="I83" i="66"/>
  <c r="I84" i="66"/>
  <c r="I85" i="66"/>
  <c r="I86" i="66"/>
  <c r="I87" i="66"/>
  <c r="I88" i="66"/>
  <c r="I89" i="66"/>
  <c r="I90" i="66"/>
  <c r="I91" i="66"/>
  <c r="I92" i="66"/>
  <c r="I93" i="66"/>
  <c r="I94" i="66"/>
  <c r="I95" i="66"/>
  <c r="I96" i="66"/>
  <c r="I97" i="66"/>
  <c r="I98" i="66"/>
  <c r="I99" i="66"/>
  <c r="I100" i="66"/>
  <c r="I101" i="66"/>
  <c r="I102" i="66"/>
  <c r="I103" i="66"/>
  <c r="E3" i="66"/>
  <c r="B3" i="66"/>
  <c r="N110" i="31"/>
  <c r="H38" i="31"/>
  <c r="H30" i="31"/>
  <c r="K108" i="31"/>
  <c r="H108" i="31"/>
  <c r="AF7" i="31"/>
  <c r="AB62" i="31"/>
  <c r="AB63" i="31" s="1"/>
  <c r="H107" i="31" s="1"/>
  <c r="AD14" i="31"/>
  <c r="AD12" i="31"/>
  <c r="AC8" i="31"/>
  <c r="AC62" i="31"/>
  <c r="AC63" i="31" s="1"/>
  <c r="K107" i="31" s="1"/>
  <c r="AD54" i="31"/>
  <c r="AD56" i="31" s="1"/>
  <c r="AD58" i="31"/>
  <c r="AD59" i="31" s="1"/>
  <c r="AC61" i="31"/>
  <c r="K106" i="31" s="1"/>
  <c r="AB61" i="31"/>
  <c r="H106" i="31" s="1"/>
  <c r="N123" i="31"/>
  <c r="K123" i="31"/>
  <c r="H123" i="31"/>
  <c r="F66" i="31"/>
  <c r="F65" i="31"/>
  <c r="F64" i="31"/>
  <c r="F63" i="31"/>
  <c r="H62" i="31"/>
  <c r="G62" i="31"/>
  <c r="F62" i="31"/>
  <c r="F61" i="31"/>
  <c r="F60" i="31"/>
  <c r="F59" i="31"/>
  <c r="F58" i="31"/>
  <c r="F57" i="31"/>
  <c r="H56" i="31"/>
  <c r="G56" i="31"/>
  <c r="F56" i="31"/>
  <c r="F55" i="31"/>
  <c r="F54" i="31"/>
  <c r="F53" i="31"/>
  <c r="F52" i="31"/>
  <c r="F51" i="31"/>
  <c r="G50" i="31"/>
  <c r="F50" i="31"/>
  <c r="F49" i="31"/>
  <c r="N152" i="164"/>
  <c r="N71" i="164" s="1"/>
  <c r="N112" i="164"/>
  <c r="H38" i="161"/>
  <c r="H38" i="162"/>
  <c r="H38" i="160"/>
  <c r="K106" i="160"/>
  <c r="H123" i="161"/>
  <c r="H123" i="162"/>
  <c r="H123" i="160"/>
  <c r="N115" i="163"/>
  <c r="K62" i="165"/>
  <c r="K139" i="165"/>
  <c r="K106" i="113"/>
  <c r="H139" i="165"/>
  <c r="N152" i="163"/>
  <c r="K106" i="115"/>
  <c r="H108" i="113"/>
  <c r="K123" i="113"/>
  <c r="H62" i="164"/>
  <c r="K139" i="163"/>
  <c r="H139" i="164"/>
  <c r="F66" i="130"/>
  <c r="Q116" i="115"/>
  <c r="K123" i="159"/>
  <c r="H56" i="113"/>
  <c r="H106" i="113"/>
  <c r="N71" i="163"/>
  <c r="K108" i="160"/>
  <c r="N123" i="162"/>
  <c r="N123" i="161"/>
  <c r="N123" i="160"/>
  <c r="H30" i="113"/>
  <c r="N123" i="113"/>
  <c r="H30" i="159"/>
  <c r="K132" i="165"/>
  <c r="N139" i="164"/>
  <c r="H65" i="130"/>
  <c r="H62" i="159"/>
  <c r="N110" i="162"/>
  <c r="N110" i="160"/>
  <c r="N133" i="163" s="1"/>
  <c r="N110" i="161"/>
  <c r="N133" i="164" s="1"/>
  <c r="N110" i="113"/>
  <c r="N28" i="163"/>
  <c r="G30" i="130"/>
  <c r="K107" i="113"/>
  <c r="H132" i="164"/>
  <c r="K71" i="163"/>
  <c r="N111" i="164"/>
  <c r="K71" i="164"/>
  <c r="H30" i="161"/>
  <c r="H30" i="160"/>
  <c r="H30" i="162"/>
  <c r="H107" i="162"/>
  <c r="H53" i="165" s="1"/>
  <c r="H107" i="161"/>
  <c r="H107" i="160"/>
  <c r="K107" i="161"/>
  <c r="K107" i="160"/>
  <c r="K53" i="163" s="1"/>
  <c r="K107" i="162"/>
  <c r="H106" i="160"/>
  <c r="H53" i="163" s="1"/>
  <c r="H62" i="162"/>
  <c r="H62" i="161"/>
  <c r="H62" i="160"/>
  <c r="H56" i="161"/>
  <c r="N106" i="164" s="1"/>
  <c r="H56" i="160"/>
  <c r="H56" i="162"/>
  <c r="N111" i="163"/>
  <c r="N116" i="163"/>
  <c r="H132" i="163"/>
  <c r="N110" i="159"/>
  <c r="H132" i="165"/>
  <c r="K62" i="163"/>
  <c r="N112" i="163"/>
  <c r="N139" i="163"/>
  <c r="H123" i="113"/>
  <c r="N123" i="159"/>
  <c r="H106" i="159"/>
  <c r="N106" i="165"/>
  <c r="H62" i="113"/>
  <c r="H38" i="159"/>
  <c r="N173" i="163"/>
  <c r="K53" i="165"/>
  <c r="H108" i="159"/>
  <c r="K108" i="159"/>
  <c r="H107" i="113"/>
  <c r="H123" i="159"/>
  <c r="H56" i="159"/>
  <c r="N173" i="164"/>
  <c r="K116" i="163"/>
  <c r="H62" i="165"/>
  <c r="K132" i="163"/>
  <c r="K122" i="113"/>
  <c r="K62" i="164"/>
  <c r="K132" i="164"/>
  <c r="K53" i="164"/>
  <c r="N139" i="165"/>
  <c r="H53" i="164"/>
  <c r="K116" i="165"/>
  <c r="N116" i="165"/>
  <c r="H108" i="160"/>
  <c r="H62" i="163" s="1"/>
  <c r="K123" i="160"/>
  <c r="K123" i="162"/>
  <c r="K123" i="161"/>
  <c r="K108" i="113"/>
  <c r="K139" i="164"/>
  <c r="H122" i="113"/>
  <c r="H38" i="113"/>
  <c r="H30" i="130"/>
  <c r="N133" i="165"/>
  <c r="K106" i="159"/>
  <c r="H139" i="163"/>
  <c r="N122" i="113"/>
  <c r="K107" i="159"/>
  <c r="N106" i="163"/>
  <c r="H107" i="159"/>
  <c r="K116" i="164"/>
  <c r="N116" i="164"/>
  <c r="N35" i="164" l="1"/>
  <c r="Z34" i="164" s="1"/>
  <c r="Z46" i="164" s="1"/>
  <c r="N34" i="164"/>
  <c r="N46" i="164" s="1"/>
  <c r="Y111" i="164"/>
  <c r="N88" i="164"/>
  <c r="Y88" i="164" s="1"/>
  <c r="Y112" i="164"/>
  <c r="N90" i="164"/>
  <c r="Y90" i="164" s="1"/>
  <c r="N54" i="164"/>
  <c r="AC65" i="164" s="1"/>
  <c r="AD65" i="164" s="1"/>
  <c r="N55" i="164"/>
  <c r="AE65" i="164" s="1"/>
  <c r="N54" i="163"/>
  <c r="N55" i="163"/>
  <c r="AE65" i="163" s="1"/>
  <c r="N35" i="163"/>
  <c r="Z34" i="163" s="1"/>
  <c r="Z46" i="163" s="1"/>
  <c r="N34" i="163"/>
  <c r="N46" i="163" s="1"/>
  <c r="Y112" i="163"/>
  <c r="N90" i="163"/>
  <c r="Y90" i="163" s="1"/>
  <c r="Y28" i="163"/>
  <c r="Y111" i="163"/>
  <c r="N88" i="163"/>
  <c r="Y88" i="163" s="1"/>
  <c r="Y115" i="163"/>
  <c r="N91" i="163"/>
  <c r="Y91" i="163" s="1"/>
  <c r="AC65" i="165"/>
  <c r="AD65" i="165" s="1"/>
  <c r="AB65" i="164"/>
  <c r="Z46" i="165"/>
  <c r="K54" i="165"/>
  <c r="K55" i="165"/>
  <c r="AE64" i="165" s="1"/>
  <c r="K55" i="164"/>
  <c r="AE64" i="164" s="1"/>
  <c r="K54" i="164"/>
  <c r="Y139" i="164"/>
  <c r="Y138" i="164" s="1"/>
  <c r="H80" i="164"/>
  <c r="Y139" i="165"/>
  <c r="Y138" i="165" s="1"/>
  <c r="H80" i="165"/>
  <c r="N86" i="164"/>
  <c r="N86" i="165"/>
  <c r="N89" i="164"/>
  <c r="Y106" i="164"/>
  <c r="Y98" i="164" s="1"/>
  <c r="N79" i="164"/>
  <c r="N89" i="165"/>
  <c r="Y106" i="165"/>
  <c r="Y98" i="165" s="1"/>
  <c r="N79" i="165"/>
  <c r="H84" i="165"/>
  <c r="H84" i="164"/>
  <c r="H55" i="165"/>
  <c r="AE63" i="165" s="1"/>
  <c r="H54" i="165"/>
  <c r="H54" i="164"/>
  <c r="H55" i="164"/>
  <c r="AE63" i="164" s="1"/>
  <c r="N80" i="164"/>
  <c r="N80" i="165"/>
  <c r="K80" i="164"/>
  <c r="K80" i="165"/>
  <c r="Y116" i="164"/>
  <c r="Y108" i="164" s="1"/>
  <c r="K89" i="164"/>
  <c r="K79" i="164"/>
  <c r="Y116" i="165"/>
  <c r="Y108" i="165" s="1"/>
  <c r="K89" i="165"/>
  <c r="K79" i="165"/>
  <c r="K84" i="165"/>
  <c r="K84" i="164"/>
  <c r="N46" i="165"/>
  <c r="Y34" i="165"/>
  <c r="Y34" i="164"/>
  <c r="K54" i="163"/>
  <c r="K55" i="163"/>
  <c r="AE64" i="163" s="1"/>
  <c r="H84" i="163"/>
  <c r="H55" i="163"/>
  <c r="AE63" i="163" s="1"/>
  <c r="H54" i="163"/>
  <c r="Y116" i="163"/>
  <c r="K89" i="163"/>
  <c r="K79" i="163"/>
  <c r="K84" i="163"/>
  <c r="H80" i="163"/>
  <c r="Y139" i="163"/>
  <c r="Y138" i="163" s="1"/>
  <c r="N86" i="163"/>
  <c r="N89" i="163"/>
  <c r="Y106" i="163"/>
  <c r="Y98" i="163" s="1"/>
  <c r="N79" i="163"/>
  <c r="N80" i="163"/>
  <c r="K80" i="163"/>
  <c r="Y34" i="163"/>
  <c r="Q89" i="115"/>
  <c r="P10" i="66"/>
  <c r="H139" i="91"/>
  <c r="N133" i="91"/>
  <c r="N86" i="91" s="1"/>
  <c r="H132" i="91"/>
  <c r="K132" i="91"/>
  <c r="K139" i="91"/>
  <c r="K80" i="91" s="1"/>
  <c r="N139" i="91"/>
  <c r="N80" i="91" s="1"/>
  <c r="N106" i="91"/>
  <c r="X106" i="91" s="1"/>
  <c r="N104" i="91"/>
  <c r="X104" i="91" s="1"/>
  <c r="N105" i="91"/>
  <c r="X105" i="91" s="1"/>
  <c r="I233" i="91"/>
  <c r="I241" i="91" s="1"/>
  <c r="I242" i="91" s="1"/>
  <c r="M195" i="91"/>
  <c r="M203" i="91" s="1"/>
  <c r="M204" i="91" s="1"/>
  <c r="L233" i="91"/>
  <c r="L241" i="91" s="1"/>
  <c r="L242" i="91" s="1"/>
  <c r="V157" i="91"/>
  <c r="V165" i="91" s="1"/>
  <c r="V166" i="91" s="1"/>
  <c r="J195" i="91"/>
  <c r="J203" i="91" s="1"/>
  <c r="J204" i="91" s="1"/>
  <c r="U157" i="91"/>
  <c r="U165" i="91" s="1"/>
  <c r="U166" i="91" s="1"/>
  <c r="R195" i="91"/>
  <c r="R203" i="91" s="1"/>
  <c r="R204" i="91" s="1"/>
  <c r="P157" i="91"/>
  <c r="P165" i="91" s="1"/>
  <c r="P166" i="91" s="1"/>
  <c r="I388" i="91"/>
  <c r="I389" i="91" s="1"/>
  <c r="I390" i="91" s="1"/>
  <c r="I391" i="91" s="1"/>
  <c r="I392" i="91" s="1"/>
  <c r="I299" i="91"/>
  <c r="I300" i="91" s="1"/>
  <c r="I301" i="91" s="1"/>
  <c r="I302" i="91" s="1"/>
  <c r="I303" i="91" s="1"/>
  <c r="J235" i="91"/>
  <c r="O197" i="91"/>
  <c r="S159" i="91"/>
  <c r="L395" i="91"/>
  <c r="I335" i="91"/>
  <c r="P335" i="91"/>
  <c r="M424" i="91"/>
  <c r="P388" i="91"/>
  <c r="P389" i="91" s="1"/>
  <c r="P390" i="91" s="1"/>
  <c r="P391" i="91" s="1"/>
  <c r="P392" i="91" s="1"/>
  <c r="O328" i="91"/>
  <c r="O329" i="91" s="1"/>
  <c r="O330" i="91" s="1"/>
  <c r="O331" i="91" s="1"/>
  <c r="O332" i="91" s="1"/>
  <c r="S270" i="91"/>
  <c r="S271" i="91" s="1"/>
  <c r="S272" i="91" s="1"/>
  <c r="S273" i="91" s="1"/>
  <c r="S274" i="91" s="1"/>
  <c r="P235" i="91"/>
  <c r="L159" i="91"/>
  <c r="J159" i="91"/>
  <c r="J366" i="91"/>
  <c r="S335" i="91"/>
  <c r="L335" i="91"/>
  <c r="O366" i="91"/>
  <c r="O417" i="91"/>
  <c r="O418" i="91" s="1"/>
  <c r="O419" i="91" s="1"/>
  <c r="O420" i="91" s="1"/>
  <c r="O421" i="91" s="1"/>
  <c r="L388" i="91"/>
  <c r="L389" i="91" s="1"/>
  <c r="L390" i="91" s="1"/>
  <c r="L391" i="91" s="1"/>
  <c r="L392" i="91" s="1"/>
  <c r="M359" i="91"/>
  <c r="M360" i="91" s="1"/>
  <c r="M361" i="91" s="1"/>
  <c r="M362" i="91" s="1"/>
  <c r="M363" i="91" s="1"/>
  <c r="S299" i="91"/>
  <c r="S300" i="91" s="1"/>
  <c r="S301" i="91" s="1"/>
  <c r="S302" i="91" s="1"/>
  <c r="S303" i="91" s="1"/>
  <c r="L235" i="91"/>
  <c r="V335" i="91"/>
  <c r="S395" i="91"/>
  <c r="P395" i="91"/>
  <c r="S366" i="91"/>
  <c r="M388" i="91"/>
  <c r="M389" i="91" s="1"/>
  <c r="M390" i="91" s="1"/>
  <c r="M391" i="91" s="1"/>
  <c r="M392" i="91" s="1"/>
  <c r="I359" i="91"/>
  <c r="I360" i="91" s="1"/>
  <c r="I361" i="91" s="1"/>
  <c r="I362" i="91" s="1"/>
  <c r="I363" i="91" s="1"/>
  <c r="P299" i="91"/>
  <c r="P300" i="91" s="1"/>
  <c r="P301" i="91" s="1"/>
  <c r="P302" i="91" s="1"/>
  <c r="P303" i="91" s="1"/>
  <c r="U235" i="91"/>
  <c r="O235" i="91"/>
  <c r="I159" i="91"/>
  <c r="L366" i="91"/>
  <c r="R395" i="91"/>
  <c r="O424" i="91"/>
  <c r="H127" i="91"/>
  <c r="M233" i="91"/>
  <c r="M241" i="91" s="1"/>
  <c r="M242" i="91" s="1"/>
  <c r="U233" i="91"/>
  <c r="U241" i="91" s="1"/>
  <c r="U242" i="91" s="1"/>
  <c r="O157" i="91"/>
  <c r="O165" i="91" s="1"/>
  <c r="O166" i="91" s="1"/>
  <c r="M157" i="91"/>
  <c r="M165" i="91" s="1"/>
  <c r="M166" i="91" s="1"/>
  <c r="L157" i="91"/>
  <c r="L165" i="91" s="1"/>
  <c r="L166" i="91" s="1"/>
  <c r="U195" i="91"/>
  <c r="U203" i="91" s="1"/>
  <c r="U204" i="91" s="1"/>
  <c r="R233" i="91"/>
  <c r="R241" i="91" s="1"/>
  <c r="R242" i="91" s="1"/>
  <c r="V195" i="91"/>
  <c r="V203" i="91" s="1"/>
  <c r="V204" i="91" s="1"/>
  <c r="O388" i="91"/>
  <c r="O389" i="91" s="1"/>
  <c r="O390" i="91" s="1"/>
  <c r="O391" i="91" s="1"/>
  <c r="O392" i="91" s="1"/>
  <c r="R328" i="91"/>
  <c r="R329" i="91" s="1"/>
  <c r="R330" i="91" s="1"/>
  <c r="R331" i="91" s="1"/>
  <c r="R332" i="91" s="1"/>
  <c r="J299" i="91"/>
  <c r="J300" i="91" s="1"/>
  <c r="J301" i="91" s="1"/>
  <c r="J302" i="91" s="1"/>
  <c r="J303" i="91" s="1"/>
  <c r="R197" i="91"/>
  <c r="P197" i="91"/>
  <c r="R335" i="91"/>
  <c r="P366" i="91"/>
  <c r="O306" i="91"/>
  <c r="U424" i="91"/>
  <c r="S359" i="91"/>
  <c r="S360" i="91" s="1"/>
  <c r="S361" i="91" s="1"/>
  <c r="S362" i="91" s="1"/>
  <c r="S363" i="91" s="1"/>
  <c r="J328" i="91"/>
  <c r="J329" i="91" s="1"/>
  <c r="J330" i="91" s="1"/>
  <c r="J331" i="91" s="1"/>
  <c r="J332" i="91" s="1"/>
  <c r="I235" i="91"/>
  <c r="R388" i="91"/>
  <c r="R389" i="91" s="1"/>
  <c r="R390" i="91" s="1"/>
  <c r="R391" i="91" s="1"/>
  <c r="R392" i="91" s="1"/>
  <c r="U270" i="91"/>
  <c r="U271" i="91" s="1"/>
  <c r="U272" i="91" s="1"/>
  <c r="U273" i="91" s="1"/>
  <c r="U274" i="91" s="1"/>
  <c r="M159" i="91"/>
  <c r="V306" i="91"/>
  <c r="J395" i="91"/>
  <c r="L277" i="91"/>
  <c r="M306" i="91"/>
  <c r="J417" i="91"/>
  <c r="J418" i="91" s="1"/>
  <c r="J419" i="91" s="1"/>
  <c r="J420" i="91" s="1"/>
  <c r="J421" i="91" s="1"/>
  <c r="O359" i="91"/>
  <c r="O360" i="91" s="1"/>
  <c r="O361" i="91" s="1"/>
  <c r="O362" i="91" s="1"/>
  <c r="O363" i="91" s="1"/>
  <c r="U299" i="91"/>
  <c r="U300" i="91" s="1"/>
  <c r="U301" i="91" s="1"/>
  <c r="U302" i="91" s="1"/>
  <c r="U303" i="91" s="1"/>
  <c r="V235" i="91"/>
  <c r="S235" i="91"/>
  <c r="R366" i="91"/>
  <c r="J335" i="91"/>
  <c r="L306" i="91"/>
  <c r="M277" i="91"/>
  <c r="R417" i="91"/>
  <c r="R418" i="91" s="1"/>
  <c r="R419" i="91" s="1"/>
  <c r="R420" i="91" s="1"/>
  <c r="R421" i="91" s="1"/>
  <c r="M299" i="91"/>
  <c r="M300" i="91" s="1"/>
  <c r="M301" i="91" s="1"/>
  <c r="M302" i="91" s="1"/>
  <c r="M303" i="91" s="1"/>
  <c r="I328" i="91"/>
  <c r="I329" i="91" s="1"/>
  <c r="I330" i="91" s="1"/>
  <c r="I331" i="91" s="1"/>
  <c r="I332" i="91" s="1"/>
  <c r="P328" i="91"/>
  <c r="P329" i="91" s="1"/>
  <c r="P330" i="91" s="1"/>
  <c r="P331" i="91" s="1"/>
  <c r="P332" i="91" s="1"/>
  <c r="V197" i="91"/>
  <c r="V159" i="91"/>
  <c r="V160" i="91" s="1"/>
  <c r="V161" i="91" s="1"/>
  <c r="V162" i="91" s="1"/>
  <c r="V163" i="91" s="1"/>
  <c r="I366" i="91"/>
  <c r="V395" i="91"/>
  <c r="U335" i="91"/>
  <c r="H107" i="91"/>
  <c r="I157" i="91"/>
  <c r="I165" i="91" s="1"/>
  <c r="I166" i="91" s="1"/>
  <c r="S195" i="91"/>
  <c r="S203" i="91" s="1"/>
  <c r="S204" i="91" s="1"/>
  <c r="J233" i="91"/>
  <c r="J241" i="91" s="1"/>
  <c r="J242" i="91" s="1"/>
  <c r="L195" i="91"/>
  <c r="L203" i="91" s="1"/>
  <c r="L204" i="91" s="1"/>
  <c r="S233" i="91"/>
  <c r="S241" i="91" s="1"/>
  <c r="S242" i="91" s="1"/>
  <c r="P195" i="91"/>
  <c r="P203" i="91" s="1"/>
  <c r="P204" i="91" s="1"/>
  <c r="P233" i="91"/>
  <c r="P241" i="91" s="1"/>
  <c r="P242" i="91" s="1"/>
  <c r="U417" i="91"/>
  <c r="U418" i="91" s="1"/>
  <c r="U419" i="91" s="1"/>
  <c r="U420" i="91" s="1"/>
  <c r="U421" i="91" s="1"/>
  <c r="J359" i="91"/>
  <c r="J360" i="91" s="1"/>
  <c r="J361" i="91" s="1"/>
  <c r="J362" i="91" s="1"/>
  <c r="J363" i="91" s="1"/>
  <c r="L299" i="91"/>
  <c r="L300" i="91" s="1"/>
  <c r="L301" i="91" s="1"/>
  <c r="L302" i="91" s="1"/>
  <c r="L303" i="91" s="1"/>
  <c r="M235" i="91"/>
  <c r="M236" i="91" s="1"/>
  <c r="M237" i="91" s="1"/>
  <c r="M238" i="91" s="1"/>
  <c r="M239" i="91" s="1"/>
  <c r="P159" i="91"/>
  <c r="P160" i="91" s="1"/>
  <c r="P161" i="91" s="1"/>
  <c r="P162" i="91" s="1"/>
  <c r="P163" i="91" s="1"/>
  <c r="U159" i="91"/>
  <c r="M335" i="91"/>
  <c r="R424" i="91"/>
  <c r="I306" i="91"/>
  <c r="M417" i="91"/>
  <c r="M418" i="91" s="1"/>
  <c r="M419" i="91" s="1"/>
  <c r="M420" i="91" s="1"/>
  <c r="M421" i="91" s="1"/>
  <c r="V388" i="91"/>
  <c r="V389" i="91" s="1"/>
  <c r="V390" i="91" s="1"/>
  <c r="V391" i="91" s="1"/>
  <c r="V392" i="91" s="1"/>
  <c r="U328" i="91"/>
  <c r="U329" i="91" s="1"/>
  <c r="U330" i="91" s="1"/>
  <c r="U331" i="91" s="1"/>
  <c r="U332" i="91" s="1"/>
  <c r="V299" i="91"/>
  <c r="V300" i="91" s="1"/>
  <c r="V301" i="91" s="1"/>
  <c r="V302" i="91" s="1"/>
  <c r="V303" i="91" s="1"/>
  <c r="I270" i="91"/>
  <c r="I271" i="91" s="1"/>
  <c r="I272" i="91" s="1"/>
  <c r="I273" i="91" s="1"/>
  <c r="I274" i="91" s="1"/>
  <c r="I197" i="91"/>
  <c r="V366" i="91"/>
  <c r="O277" i="91"/>
  <c r="J306" i="91"/>
  <c r="M366" i="91"/>
  <c r="P277" i="91"/>
  <c r="U388" i="91"/>
  <c r="U389" i="91" s="1"/>
  <c r="U390" i="91" s="1"/>
  <c r="U391" i="91" s="1"/>
  <c r="U392" i="91" s="1"/>
  <c r="J388" i="91"/>
  <c r="J389" i="91" s="1"/>
  <c r="J390" i="91" s="1"/>
  <c r="J391" i="91" s="1"/>
  <c r="J392" i="91" s="1"/>
  <c r="L359" i="91"/>
  <c r="L360" i="91" s="1"/>
  <c r="L361" i="91" s="1"/>
  <c r="L362" i="91" s="1"/>
  <c r="L363" i="91" s="1"/>
  <c r="O270" i="91"/>
  <c r="O271" i="91" s="1"/>
  <c r="O272" i="91" s="1"/>
  <c r="O273" i="91" s="1"/>
  <c r="O274" i="91" s="1"/>
  <c r="L328" i="91"/>
  <c r="L329" i="91" s="1"/>
  <c r="L330" i="91" s="1"/>
  <c r="L331" i="91" s="1"/>
  <c r="L332" i="91" s="1"/>
  <c r="U277" i="91"/>
  <c r="S277" i="91"/>
  <c r="V424" i="91"/>
  <c r="I395" i="91"/>
  <c r="S388" i="91"/>
  <c r="S389" i="91" s="1"/>
  <c r="S390" i="91" s="1"/>
  <c r="S391" i="91" s="1"/>
  <c r="S392" i="91" s="1"/>
  <c r="P359" i="91"/>
  <c r="P360" i="91" s="1"/>
  <c r="P361" i="91" s="1"/>
  <c r="P362" i="91" s="1"/>
  <c r="P363" i="91" s="1"/>
  <c r="O299" i="91"/>
  <c r="O300" i="91" s="1"/>
  <c r="O301" i="91" s="1"/>
  <c r="O302" i="91" s="1"/>
  <c r="O303" i="91" s="1"/>
  <c r="M270" i="91"/>
  <c r="M271" i="91" s="1"/>
  <c r="M272" i="91" s="1"/>
  <c r="M273" i="91" s="1"/>
  <c r="M274" i="91" s="1"/>
  <c r="R299" i="91"/>
  <c r="R300" i="91" s="1"/>
  <c r="R301" i="91" s="1"/>
  <c r="R302" i="91" s="1"/>
  <c r="R303" i="91" s="1"/>
  <c r="R277" i="91"/>
  <c r="L424" i="91"/>
  <c r="S306" i="91"/>
  <c r="O335" i="91"/>
  <c r="H117" i="91"/>
  <c r="O195" i="91"/>
  <c r="O203" i="91" s="1"/>
  <c r="O204" i="91" s="1"/>
  <c r="V233" i="91"/>
  <c r="V241" i="91" s="1"/>
  <c r="V242" i="91" s="1"/>
  <c r="J157" i="91"/>
  <c r="J165" i="91" s="1"/>
  <c r="J166" i="91" s="1"/>
  <c r="I195" i="91"/>
  <c r="I203" i="91" s="1"/>
  <c r="I204" i="91" s="1"/>
  <c r="S157" i="91"/>
  <c r="S165" i="91" s="1"/>
  <c r="S166" i="91" s="1"/>
  <c r="O233" i="91"/>
  <c r="O241" i="91" s="1"/>
  <c r="O242" i="91" s="1"/>
  <c r="R157" i="91"/>
  <c r="R165" i="91" s="1"/>
  <c r="R166" i="91" s="1"/>
  <c r="L417" i="91"/>
  <c r="L418" i="91" s="1"/>
  <c r="L419" i="91" s="1"/>
  <c r="L420" i="91" s="1"/>
  <c r="L421" i="91" s="1"/>
  <c r="S328" i="91"/>
  <c r="S329" i="91" s="1"/>
  <c r="S330" i="91" s="1"/>
  <c r="S331" i="91" s="1"/>
  <c r="S332" i="91" s="1"/>
  <c r="P270" i="91"/>
  <c r="P271" i="91" s="1"/>
  <c r="P272" i="91" s="1"/>
  <c r="P273" i="91" s="1"/>
  <c r="P274" i="91" s="1"/>
  <c r="V270" i="91"/>
  <c r="V271" i="91" s="1"/>
  <c r="V272" i="91" s="1"/>
  <c r="V273" i="91" s="1"/>
  <c r="V274" i="91" s="1"/>
  <c r="M197" i="91"/>
  <c r="M198" i="91" s="1"/>
  <c r="M199" i="91" s="1"/>
  <c r="M200" i="91" s="1"/>
  <c r="M201" i="91" s="1"/>
  <c r="R159" i="91"/>
  <c r="J277" i="91"/>
  <c r="S424" i="91"/>
  <c r="I424" i="91"/>
  <c r="S417" i="91"/>
  <c r="S418" i="91" s="1"/>
  <c r="S419" i="91" s="1"/>
  <c r="S420" i="91" s="1"/>
  <c r="S421" i="91" s="1"/>
  <c r="U359" i="91"/>
  <c r="U360" i="91" s="1"/>
  <c r="U361" i="91" s="1"/>
  <c r="U362" i="91" s="1"/>
  <c r="U363" i="91" s="1"/>
  <c r="L270" i="91"/>
  <c r="L271" i="91" s="1"/>
  <c r="L272" i="91" s="1"/>
  <c r="L273" i="91" s="1"/>
  <c r="L274" i="91" s="1"/>
  <c r="R270" i="91"/>
  <c r="R271" i="91" s="1"/>
  <c r="R272" i="91" s="1"/>
  <c r="R273" i="91" s="1"/>
  <c r="R274" i="91" s="1"/>
  <c r="J197" i="91"/>
  <c r="O159" i="91"/>
  <c r="V277" i="91"/>
  <c r="P306" i="91"/>
  <c r="P424" i="91"/>
  <c r="M395" i="91"/>
  <c r="I417" i="91"/>
  <c r="I418" i="91" s="1"/>
  <c r="I419" i="91" s="1"/>
  <c r="I420" i="91" s="1"/>
  <c r="I421" i="91" s="1"/>
  <c r="V417" i="91"/>
  <c r="V418" i="91" s="1"/>
  <c r="V419" i="91" s="1"/>
  <c r="V420" i="91" s="1"/>
  <c r="V421" i="91" s="1"/>
  <c r="V359" i="91"/>
  <c r="V360" i="91" s="1"/>
  <c r="V361" i="91" s="1"/>
  <c r="V362" i="91" s="1"/>
  <c r="V363" i="91" s="1"/>
  <c r="M328" i="91"/>
  <c r="M329" i="91" s="1"/>
  <c r="M330" i="91" s="1"/>
  <c r="M331" i="91" s="1"/>
  <c r="M332" i="91" s="1"/>
  <c r="J270" i="91"/>
  <c r="J271" i="91" s="1"/>
  <c r="J272" i="91" s="1"/>
  <c r="J273" i="91" s="1"/>
  <c r="J274" i="91" s="1"/>
  <c r="L197" i="91"/>
  <c r="U306" i="91"/>
  <c r="O395" i="91"/>
  <c r="J424" i="91"/>
  <c r="P417" i="91"/>
  <c r="P418" i="91" s="1"/>
  <c r="P419" i="91" s="1"/>
  <c r="P420" i="91" s="1"/>
  <c r="P421" i="91" s="1"/>
  <c r="R359" i="91"/>
  <c r="R360" i="91" s="1"/>
  <c r="R361" i="91" s="1"/>
  <c r="R362" i="91" s="1"/>
  <c r="R363" i="91" s="1"/>
  <c r="V328" i="91"/>
  <c r="V329" i="91" s="1"/>
  <c r="V330" i="91" s="1"/>
  <c r="V331" i="91" s="1"/>
  <c r="V332" i="91" s="1"/>
  <c r="R235" i="91"/>
  <c r="R236" i="91" s="1"/>
  <c r="R237" i="91" s="1"/>
  <c r="R238" i="91" s="1"/>
  <c r="R239" i="91" s="1"/>
  <c r="S197" i="91"/>
  <c r="S198" i="91" s="1"/>
  <c r="S199" i="91" s="1"/>
  <c r="S200" i="91" s="1"/>
  <c r="S201" i="91" s="1"/>
  <c r="U197" i="91"/>
  <c r="I277" i="91"/>
  <c r="U366" i="91"/>
  <c r="R306" i="91"/>
  <c r="U395" i="91"/>
  <c r="N107" i="91"/>
  <c r="Q127" i="91"/>
  <c r="T107" i="91"/>
  <c r="K107" i="91"/>
  <c r="W127" i="91"/>
  <c r="N127" i="91"/>
  <c r="Q107" i="91"/>
  <c r="T127" i="91"/>
  <c r="K127" i="91"/>
  <c r="W107" i="91"/>
  <c r="O175" i="91"/>
  <c r="U213" i="91"/>
  <c r="V259" i="91"/>
  <c r="M175" i="91"/>
  <c r="V221" i="91"/>
  <c r="I221" i="91"/>
  <c r="M259" i="91"/>
  <c r="I175" i="91"/>
  <c r="L213" i="91"/>
  <c r="J175" i="91"/>
  <c r="V175" i="91"/>
  <c r="I183" i="91"/>
  <c r="V183" i="91"/>
  <c r="I213" i="91"/>
  <c r="R213" i="91"/>
  <c r="L259" i="91"/>
  <c r="O259" i="91"/>
  <c r="J221" i="91"/>
  <c r="L251" i="91"/>
  <c r="I251" i="91"/>
  <c r="S175" i="91"/>
  <c r="P183" i="91"/>
  <c r="L183" i="91"/>
  <c r="R221" i="91"/>
  <c r="S251" i="91"/>
  <c r="U221" i="91"/>
  <c r="V213" i="91"/>
  <c r="O251" i="91"/>
  <c r="P259" i="91"/>
  <c r="M251" i="91"/>
  <c r="R251" i="91"/>
  <c r="S221" i="91"/>
  <c r="J251" i="91"/>
  <c r="M221" i="91"/>
  <c r="R259" i="91"/>
  <c r="I259" i="91"/>
  <c r="R175" i="91"/>
  <c r="O221" i="91"/>
  <c r="J259" i="91"/>
  <c r="U183" i="91"/>
  <c r="R183" i="91"/>
  <c r="S213" i="91"/>
  <c r="U251" i="91"/>
  <c r="V251" i="91"/>
  <c r="P175" i="91"/>
  <c r="L175" i="91"/>
  <c r="O213" i="91"/>
  <c r="P213" i="91"/>
  <c r="J183" i="91"/>
  <c r="M213" i="91"/>
  <c r="P251" i="91"/>
  <c r="S259" i="91"/>
  <c r="U175" i="91"/>
  <c r="S183" i="91"/>
  <c r="M183" i="91"/>
  <c r="O183" i="91"/>
  <c r="J213" i="91"/>
  <c r="L221" i="91"/>
  <c r="P221" i="91"/>
  <c r="U259" i="91"/>
  <c r="H123" i="91"/>
  <c r="O261" i="91"/>
  <c r="I223" i="91"/>
  <c r="R261" i="91"/>
  <c r="L223" i="91"/>
  <c r="U261" i="91"/>
  <c r="V223" i="91"/>
  <c r="J185" i="91"/>
  <c r="S223" i="91"/>
  <c r="I185" i="91"/>
  <c r="P185" i="91"/>
  <c r="H113" i="91"/>
  <c r="J261" i="91"/>
  <c r="S185" i="91"/>
  <c r="L185" i="91"/>
  <c r="I261" i="91"/>
  <c r="H103" i="91"/>
  <c r="P261" i="91"/>
  <c r="U223" i="91"/>
  <c r="O185" i="91"/>
  <c r="V185" i="91"/>
  <c r="M261" i="91"/>
  <c r="U185" i="91"/>
  <c r="J223" i="91"/>
  <c r="R223" i="91"/>
  <c r="L261" i="91"/>
  <c r="S261" i="91"/>
  <c r="M223" i="91"/>
  <c r="V261" i="91"/>
  <c r="P223" i="91"/>
  <c r="O223" i="91"/>
  <c r="R185" i="91"/>
  <c r="M185" i="91"/>
  <c r="W103" i="91"/>
  <c r="T123" i="91"/>
  <c r="K103" i="91"/>
  <c r="Q123" i="91"/>
  <c r="W123" i="91"/>
  <c r="T103" i="91"/>
  <c r="K123" i="91"/>
  <c r="N123" i="91"/>
  <c r="Q103" i="91"/>
  <c r="N103" i="91"/>
  <c r="R426" i="91"/>
  <c r="R397" i="91"/>
  <c r="H111" i="31"/>
  <c r="K110" i="31"/>
  <c r="AD15" i="31"/>
  <c r="AD18" i="31" s="1"/>
  <c r="V10" i="66"/>
  <c r="H110" i="31"/>
  <c r="J74" i="66"/>
  <c r="J4" i="66"/>
  <c r="M10" i="66"/>
  <c r="AD61" i="31"/>
  <c r="N106" i="31" s="1"/>
  <c r="AD62" i="31"/>
  <c r="AD63" i="31" s="1"/>
  <c r="N107" i="31" s="1"/>
  <c r="K111" i="31"/>
  <c r="G65" i="130"/>
  <c r="G34" i="130"/>
  <c r="H92" i="130"/>
  <c r="F34" i="130"/>
  <c r="H111" i="159"/>
  <c r="N133" i="115"/>
  <c r="F85" i="130"/>
  <c r="F30" i="130"/>
  <c r="N106" i="159"/>
  <c r="N106" i="115"/>
  <c r="K132" i="115"/>
  <c r="N107" i="159"/>
  <c r="N132" i="165"/>
  <c r="K111" i="159"/>
  <c r="N107" i="113"/>
  <c r="F33" i="130"/>
  <c r="N132" i="164"/>
  <c r="H59" i="130"/>
  <c r="F93" i="130"/>
  <c r="H111" i="160"/>
  <c r="H111" i="161"/>
  <c r="H111" i="162"/>
  <c r="H110" i="160"/>
  <c r="H110" i="161"/>
  <c r="H110" i="162"/>
  <c r="N106" i="160"/>
  <c r="F92" i="130"/>
  <c r="F84" i="130"/>
  <c r="H34" i="130"/>
  <c r="K111" i="113"/>
  <c r="H110" i="113"/>
  <c r="H132" i="115"/>
  <c r="G33" i="130"/>
  <c r="H33" i="130"/>
  <c r="H133" i="163"/>
  <c r="H134" i="164"/>
  <c r="H134" i="163"/>
  <c r="F50" i="130"/>
  <c r="G49" i="130"/>
  <c r="G50" i="130"/>
  <c r="G91" i="130"/>
  <c r="K116" i="115"/>
  <c r="K111" i="161"/>
  <c r="K111" i="162"/>
  <c r="K134" i="165" s="1"/>
  <c r="K111" i="160"/>
  <c r="H134" i="165"/>
  <c r="H84" i="130"/>
  <c r="H50" i="130"/>
  <c r="K110" i="113"/>
  <c r="N139" i="115"/>
  <c r="K139" i="115"/>
  <c r="K110" i="159"/>
  <c r="K110" i="160"/>
  <c r="K110" i="162"/>
  <c r="K133" i="165" s="1"/>
  <c r="K110" i="161"/>
  <c r="K133" i="164" s="1"/>
  <c r="N107" i="161"/>
  <c r="N53" i="164" s="1"/>
  <c r="N107" i="162"/>
  <c r="N53" i="165" s="1"/>
  <c r="N107" i="160"/>
  <c r="N116" i="115"/>
  <c r="H111" i="113"/>
  <c r="F49" i="130"/>
  <c r="H49" i="130"/>
  <c r="K134" i="164"/>
  <c r="F59" i="130"/>
  <c r="G92" i="130"/>
  <c r="G84" i="130"/>
  <c r="H91" i="130"/>
  <c r="H85" i="130"/>
  <c r="H133" i="164"/>
  <c r="G59" i="130"/>
  <c r="G93" i="130"/>
  <c r="F91" i="130"/>
  <c r="G85" i="130"/>
  <c r="K134" i="163"/>
  <c r="H93" i="130"/>
  <c r="F65" i="130"/>
  <c r="H110" i="159"/>
  <c r="H133" i="165"/>
  <c r="K133" i="163"/>
  <c r="N106" i="113"/>
  <c r="H139" i="115"/>
  <c r="N132" i="163"/>
  <c r="N53" i="163"/>
  <c r="Y108" i="163" l="1"/>
  <c r="AB65" i="163"/>
  <c r="AC65" i="163"/>
  <c r="AD65" i="163" s="1"/>
  <c r="Y79" i="165"/>
  <c r="Y79" i="164"/>
  <c r="Y89" i="164"/>
  <c r="H16" i="164"/>
  <c r="H16" i="165"/>
  <c r="Y89" i="163"/>
  <c r="Y89" i="165"/>
  <c r="Y133" i="164"/>
  <c r="H86" i="164"/>
  <c r="H78" i="164"/>
  <c r="Y133" i="165"/>
  <c r="H86" i="165"/>
  <c r="H78" i="165"/>
  <c r="K85" i="164"/>
  <c r="K85" i="165"/>
  <c r="H85" i="164"/>
  <c r="Y134" i="164"/>
  <c r="Y134" i="165"/>
  <c r="H85" i="165"/>
  <c r="Y85" i="165" s="1"/>
  <c r="N84" i="165"/>
  <c r="Y84" i="165" s="1"/>
  <c r="N78" i="165"/>
  <c r="Y132" i="165"/>
  <c r="N84" i="164"/>
  <c r="Y84" i="164" s="1"/>
  <c r="N78" i="164"/>
  <c r="Y132" i="164"/>
  <c r="K86" i="164"/>
  <c r="K78" i="164"/>
  <c r="K86" i="165"/>
  <c r="K78" i="165"/>
  <c r="AC64" i="164"/>
  <c r="AD64" i="164" s="1"/>
  <c r="AB64" i="164"/>
  <c r="Y80" i="163"/>
  <c r="AB59" i="164"/>
  <c r="AC59" i="164"/>
  <c r="AD59" i="164" s="1"/>
  <c r="Y80" i="164"/>
  <c r="AB63" i="165"/>
  <c r="AC63" i="165"/>
  <c r="AD63" i="165" s="1"/>
  <c r="Y80" i="165"/>
  <c r="AC59" i="165"/>
  <c r="AD59" i="165" s="1"/>
  <c r="AB59" i="165"/>
  <c r="AC63" i="164"/>
  <c r="AD63" i="164" s="1"/>
  <c r="AB63" i="164"/>
  <c r="AB64" i="165"/>
  <c r="AC64" i="165"/>
  <c r="AD64" i="165" s="1"/>
  <c r="N84" i="163"/>
  <c r="Y84" i="163" s="1"/>
  <c r="N78" i="163"/>
  <c r="Y132" i="163"/>
  <c r="Y133" i="163"/>
  <c r="H86" i="163"/>
  <c r="H78" i="163"/>
  <c r="K85" i="163"/>
  <c r="Y134" i="163"/>
  <c r="H85" i="163"/>
  <c r="K86" i="163"/>
  <c r="K78" i="163"/>
  <c r="AB64" i="163"/>
  <c r="AC64" i="163"/>
  <c r="AD64" i="163" s="1"/>
  <c r="H16" i="163"/>
  <c r="AC63" i="163"/>
  <c r="AD63" i="163" s="1"/>
  <c r="AB63" i="163"/>
  <c r="AC59" i="163"/>
  <c r="AD59" i="163" s="1"/>
  <c r="AB59" i="163"/>
  <c r="Y79" i="163"/>
  <c r="H84" i="115"/>
  <c r="N86" i="115"/>
  <c r="K84" i="115"/>
  <c r="K89" i="115"/>
  <c r="Y116" i="115"/>
  <c r="Y106" i="115"/>
  <c r="N89" i="115"/>
  <c r="H133" i="91"/>
  <c r="H134" i="91"/>
  <c r="K134" i="91"/>
  <c r="K85" i="91" s="1"/>
  <c r="N132" i="91"/>
  <c r="K133" i="91"/>
  <c r="K86" i="91" s="1"/>
  <c r="K84" i="91"/>
  <c r="U160" i="91"/>
  <c r="U161" i="91" s="1"/>
  <c r="U162" i="91" s="1"/>
  <c r="U163" i="91" s="1"/>
  <c r="H84" i="91"/>
  <c r="L236" i="91"/>
  <c r="L237" i="91" s="1"/>
  <c r="L238" i="91" s="1"/>
  <c r="L239" i="91" s="1"/>
  <c r="H80" i="91"/>
  <c r="X80" i="91" s="1"/>
  <c r="X139" i="91"/>
  <c r="X138" i="91" s="1"/>
  <c r="M160" i="91"/>
  <c r="M161" i="91" s="1"/>
  <c r="M162" i="91" s="1"/>
  <c r="M163" i="91" s="1"/>
  <c r="R198" i="91"/>
  <c r="R199" i="91" s="1"/>
  <c r="R200" i="91" s="1"/>
  <c r="R201" i="91" s="1"/>
  <c r="O160" i="91"/>
  <c r="O161" i="91" s="1"/>
  <c r="O162" i="91" s="1"/>
  <c r="O163" i="91" s="1"/>
  <c r="J198" i="91"/>
  <c r="J199" i="91" s="1"/>
  <c r="J200" i="91" s="1"/>
  <c r="J201" i="91" s="1"/>
  <c r="I236" i="91"/>
  <c r="I237" i="91" s="1"/>
  <c r="I238" i="91" s="1"/>
  <c r="I239" i="91" s="1"/>
  <c r="U198" i="91"/>
  <c r="U199" i="91" s="1"/>
  <c r="U200" i="91" s="1"/>
  <c r="U201" i="91" s="1"/>
  <c r="V198" i="91"/>
  <c r="V199" i="91" s="1"/>
  <c r="V200" i="91" s="1"/>
  <c r="V201" i="91" s="1"/>
  <c r="L198" i="91"/>
  <c r="L199" i="91" s="1"/>
  <c r="L200" i="91" s="1"/>
  <c r="L201" i="91" s="1"/>
  <c r="L160" i="91"/>
  <c r="L161" i="91" s="1"/>
  <c r="L162" i="91" s="1"/>
  <c r="L163" i="91" s="1"/>
  <c r="P215" i="91"/>
  <c r="P32" i="91"/>
  <c r="O253" i="91"/>
  <c r="O33" i="91"/>
  <c r="I33" i="91"/>
  <c r="I253" i="91"/>
  <c r="P253" i="91"/>
  <c r="P33" i="91"/>
  <c r="O32" i="91"/>
  <c r="O215" i="91"/>
  <c r="U253" i="91"/>
  <c r="U33" i="91"/>
  <c r="R33" i="91"/>
  <c r="R253" i="91"/>
  <c r="V32" i="91"/>
  <c r="V215" i="91"/>
  <c r="L253" i="91"/>
  <c r="L33" i="91"/>
  <c r="R215" i="91"/>
  <c r="R32" i="91"/>
  <c r="V177" i="91"/>
  <c r="V31" i="91"/>
  <c r="X107" i="91"/>
  <c r="U236" i="91"/>
  <c r="U237" i="91" s="1"/>
  <c r="U238" i="91" s="1"/>
  <c r="U239" i="91" s="1"/>
  <c r="O198" i="91"/>
  <c r="O199" i="91" s="1"/>
  <c r="O200" i="91" s="1"/>
  <c r="O201" i="91" s="1"/>
  <c r="R404" i="91"/>
  <c r="R408" i="91"/>
  <c r="R409" i="91"/>
  <c r="R410" i="91" s="1"/>
  <c r="R403" i="91"/>
  <c r="R438" i="91"/>
  <c r="R439" i="91" s="1"/>
  <c r="R437" i="91"/>
  <c r="R433" i="91"/>
  <c r="R432" i="91"/>
  <c r="V33" i="91"/>
  <c r="V253" i="91"/>
  <c r="I177" i="91"/>
  <c r="I31" i="91"/>
  <c r="M177" i="91"/>
  <c r="M31" i="91"/>
  <c r="M215" i="91"/>
  <c r="M32" i="91"/>
  <c r="L177" i="91"/>
  <c r="L31" i="91"/>
  <c r="S32" i="91"/>
  <c r="S215" i="91"/>
  <c r="M253" i="91"/>
  <c r="M33" i="91"/>
  <c r="I32" i="91"/>
  <c r="I215" i="91"/>
  <c r="J31" i="91"/>
  <c r="J177" i="91"/>
  <c r="U215" i="91"/>
  <c r="U32" i="91"/>
  <c r="R160" i="91"/>
  <c r="R161" i="91" s="1"/>
  <c r="R162" i="91" s="1"/>
  <c r="R163" i="91" s="1"/>
  <c r="P198" i="91"/>
  <c r="P199" i="91" s="1"/>
  <c r="P200" i="91" s="1"/>
  <c r="P201" i="91" s="1"/>
  <c r="J160" i="91"/>
  <c r="J161" i="91" s="1"/>
  <c r="J162" i="91" s="1"/>
  <c r="J163" i="91" s="1"/>
  <c r="J236" i="91"/>
  <c r="J237" i="91" s="1"/>
  <c r="J238" i="91" s="1"/>
  <c r="J239" i="91" s="1"/>
  <c r="H91" i="91"/>
  <c r="H79" i="91"/>
  <c r="X103" i="91"/>
  <c r="X123" i="91"/>
  <c r="J32" i="91"/>
  <c r="J215" i="91"/>
  <c r="U177" i="91"/>
  <c r="U31" i="91"/>
  <c r="P177" i="91"/>
  <c r="P31" i="91"/>
  <c r="R31" i="91"/>
  <c r="R177" i="91"/>
  <c r="J33" i="91"/>
  <c r="J253" i="91"/>
  <c r="S33" i="91"/>
  <c r="S253" i="91"/>
  <c r="S177" i="91"/>
  <c r="S31" i="91"/>
  <c r="L32" i="91"/>
  <c r="L215" i="91"/>
  <c r="O177" i="91"/>
  <c r="O31" i="91"/>
  <c r="I198" i="91"/>
  <c r="I199" i="91" s="1"/>
  <c r="I200" i="91" s="1"/>
  <c r="I201" i="91" s="1"/>
  <c r="S236" i="91"/>
  <c r="S237" i="91" s="1"/>
  <c r="S238" i="91" s="1"/>
  <c r="S239" i="91" s="1"/>
  <c r="X127" i="91"/>
  <c r="I160" i="91"/>
  <c r="I161" i="91" s="1"/>
  <c r="I162" i="91" s="1"/>
  <c r="I163" i="91" s="1"/>
  <c r="V236" i="91"/>
  <c r="V237" i="91" s="1"/>
  <c r="V238" i="91" s="1"/>
  <c r="V239" i="91" s="1"/>
  <c r="O236" i="91"/>
  <c r="O237" i="91" s="1"/>
  <c r="O238" i="91" s="1"/>
  <c r="O239" i="91" s="1"/>
  <c r="P236" i="91"/>
  <c r="P237" i="91" s="1"/>
  <c r="P238" i="91" s="1"/>
  <c r="P239" i="91" s="1"/>
  <c r="S160" i="91"/>
  <c r="S161" i="91" s="1"/>
  <c r="S162" i="91" s="1"/>
  <c r="S163" i="91" s="1"/>
  <c r="F72" i="130"/>
  <c r="H51" i="130"/>
  <c r="G76" i="130"/>
  <c r="G77" i="130"/>
  <c r="H72" i="130"/>
  <c r="H71" i="130"/>
  <c r="K134" i="115"/>
  <c r="G51" i="130"/>
  <c r="F71" i="130"/>
  <c r="G75" i="130"/>
  <c r="G71" i="130"/>
  <c r="H133" i="115"/>
  <c r="K133" i="115"/>
  <c r="G72" i="130"/>
  <c r="H75" i="130"/>
  <c r="F77" i="130"/>
  <c r="F51" i="130"/>
  <c r="H76" i="130"/>
  <c r="H77" i="130"/>
  <c r="F76" i="130"/>
  <c r="N132" i="115"/>
  <c r="F75" i="130"/>
  <c r="H134" i="115"/>
  <c r="K81" i="165" l="1"/>
  <c r="K25" i="165" s="1"/>
  <c r="N81" i="165"/>
  <c r="N26" i="165" s="1"/>
  <c r="K81" i="164"/>
  <c r="K25" i="164" s="1"/>
  <c r="N81" i="164"/>
  <c r="N25" i="164" s="1"/>
  <c r="Y85" i="164"/>
  <c r="K81" i="163"/>
  <c r="K26" i="163" s="1"/>
  <c r="N81" i="163"/>
  <c r="N25" i="163" s="1"/>
  <c r="Y130" i="165"/>
  <c r="Y86" i="165"/>
  <c r="Y85" i="163"/>
  <c r="Y86" i="163"/>
  <c r="Y78" i="164"/>
  <c r="H81" i="164"/>
  <c r="Y130" i="163"/>
  <c r="Y130" i="164"/>
  <c r="Y78" i="165"/>
  <c r="H81" i="165"/>
  <c r="Y86" i="164"/>
  <c r="H81" i="163"/>
  <c r="Y78" i="163"/>
  <c r="H85" i="115"/>
  <c r="K85" i="115"/>
  <c r="Y134" i="115"/>
  <c r="Y89" i="115"/>
  <c r="N78" i="115"/>
  <c r="N84" i="115"/>
  <c r="Y84" i="115" s="1"/>
  <c r="Y132" i="115"/>
  <c r="K86" i="115"/>
  <c r="K78" i="115"/>
  <c r="Y133" i="115"/>
  <c r="H86" i="115"/>
  <c r="H78" i="115"/>
  <c r="H78" i="91"/>
  <c r="H81" i="91" s="1"/>
  <c r="K78" i="91"/>
  <c r="N78" i="91"/>
  <c r="N84" i="91"/>
  <c r="X84" i="91" s="1"/>
  <c r="X132" i="91"/>
  <c r="H85" i="91"/>
  <c r="X85" i="91" s="1"/>
  <c r="X134" i="91"/>
  <c r="H86" i="91"/>
  <c r="X86" i="91" s="1"/>
  <c r="X133" i="91"/>
  <c r="U180" i="91"/>
  <c r="U181" i="91" s="1"/>
  <c r="U178" i="91"/>
  <c r="U218" i="91"/>
  <c r="U219" i="91" s="1"/>
  <c r="U216" i="91"/>
  <c r="M218" i="91"/>
  <c r="M219" i="91" s="1"/>
  <c r="M216" i="91"/>
  <c r="I180" i="91"/>
  <c r="I181" i="91" s="1"/>
  <c r="I178" i="91"/>
  <c r="V218" i="91"/>
  <c r="V219" i="91" s="1"/>
  <c r="V216" i="91"/>
  <c r="J256" i="91"/>
  <c r="J257" i="91" s="1"/>
  <c r="J254" i="91"/>
  <c r="J218" i="91"/>
  <c r="J219" i="91" s="1"/>
  <c r="J216" i="91"/>
  <c r="J180" i="91"/>
  <c r="J181" i="91" s="1"/>
  <c r="J178" i="91"/>
  <c r="V254" i="91"/>
  <c r="V256" i="91"/>
  <c r="V257" i="91" s="1"/>
  <c r="R216" i="91"/>
  <c r="R218" i="91"/>
  <c r="R219" i="91" s="1"/>
  <c r="U254" i="91"/>
  <c r="U256" i="91"/>
  <c r="U257" i="91" s="1"/>
  <c r="P256" i="91"/>
  <c r="P257" i="91" s="1"/>
  <c r="P254" i="91"/>
  <c r="O256" i="91"/>
  <c r="O257" i="91" s="1"/>
  <c r="O254" i="91"/>
  <c r="O180" i="91"/>
  <c r="O181" i="91" s="1"/>
  <c r="O178" i="91"/>
  <c r="S180" i="91"/>
  <c r="S181" i="91" s="1"/>
  <c r="S178" i="91"/>
  <c r="P180" i="91"/>
  <c r="P181" i="91" s="1"/>
  <c r="P178" i="91"/>
  <c r="M256" i="91"/>
  <c r="M257" i="91" s="1"/>
  <c r="M254" i="91"/>
  <c r="L180" i="91"/>
  <c r="L181" i="91" s="1"/>
  <c r="L178" i="91"/>
  <c r="M178" i="91"/>
  <c r="M180" i="91"/>
  <c r="M181" i="91" s="1"/>
  <c r="R254" i="91"/>
  <c r="R256" i="91"/>
  <c r="R257" i="91" s="1"/>
  <c r="O218" i="91"/>
  <c r="O219" i="91" s="1"/>
  <c r="O216" i="91"/>
  <c r="I256" i="91"/>
  <c r="I257" i="91" s="1"/>
  <c r="I254" i="91"/>
  <c r="L218" i="91"/>
  <c r="L219" i="91" s="1"/>
  <c r="L216" i="91"/>
  <c r="S256" i="91"/>
  <c r="S257" i="91" s="1"/>
  <c r="S254" i="91"/>
  <c r="R180" i="91"/>
  <c r="R181" i="91" s="1"/>
  <c r="R178" i="91"/>
  <c r="X118" i="91"/>
  <c r="I218" i="91"/>
  <c r="I219" i="91" s="1"/>
  <c r="I216" i="91"/>
  <c r="S216" i="91"/>
  <c r="S218" i="91"/>
  <c r="S219" i="91" s="1"/>
  <c r="V180" i="91"/>
  <c r="V181" i="91" s="1"/>
  <c r="V178" i="91"/>
  <c r="L254" i="91"/>
  <c r="L256" i="91"/>
  <c r="L257" i="91" s="1"/>
  <c r="P218" i="91"/>
  <c r="P219" i="91" s="1"/>
  <c r="P216" i="91"/>
  <c r="F70" i="130"/>
  <c r="H70" i="130"/>
  <c r="E76" i="130"/>
  <c r="E75" i="130"/>
  <c r="G70" i="130"/>
  <c r="E77" i="130"/>
  <c r="K25" i="163" l="1"/>
  <c r="N25" i="165"/>
  <c r="K26" i="165"/>
  <c r="Y81" i="165"/>
  <c r="Y26" i="165" s="1"/>
  <c r="K26" i="164"/>
  <c r="N26" i="163"/>
  <c r="N26" i="164"/>
  <c r="Y81" i="164"/>
  <c r="Y26" i="164" s="1"/>
  <c r="Y81" i="163"/>
  <c r="Y25" i="163" s="1"/>
  <c r="H25" i="165"/>
  <c r="H26" i="165"/>
  <c r="H25" i="164"/>
  <c r="H26" i="164"/>
  <c r="H25" i="163"/>
  <c r="H26" i="163"/>
  <c r="Y130" i="115"/>
  <c r="Y85" i="115"/>
  <c r="Y78" i="115"/>
  <c r="Y86" i="115"/>
  <c r="H25" i="91"/>
  <c r="X78" i="91"/>
  <c r="X130" i="91"/>
  <c r="W197" i="91"/>
  <c r="W198" i="91" s="1"/>
  <c r="W168" i="91"/>
  <c r="W157" i="91"/>
  <c r="W156" i="91"/>
  <c r="W154" i="91"/>
  <c r="W175" i="91"/>
  <c r="T172" i="91"/>
  <c r="T170" i="91"/>
  <c r="T173" i="91"/>
  <c r="T35" i="91" s="1"/>
  <c r="T171" i="91"/>
  <c r="T152" i="91" s="1"/>
  <c r="T169" i="91"/>
  <c r="T155" i="91"/>
  <c r="T213" i="91"/>
  <c r="T206" i="91"/>
  <c r="T192" i="91"/>
  <c r="T195" i="91"/>
  <c r="T194" i="91"/>
  <c r="Q109" i="91"/>
  <c r="Q110" i="91"/>
  <c r="Q156" i="91"/>
  <c r="Q168" i="91"/>
  <c r="Q154" i="91"/>
  <c r="W252" i="91"/>
  <c r="T197" i="91"/>
  <c r="T198" i="91" s="1"/>
  <c r="W171" i="91"/>
  <c r="W152" i="91" s="1"/>
  <c r="W172" i="91"/>
  <c r="W173" i="91"/>
  <c r="W35" i="91" s="1"/>
  <c r="W169" i="91"/>
  <c r="W155" i="91"/>
  <c r="W170" i="91"/>
  <c r="W235" i="91"/>
  <c r="W236" i="91" s="1"/>
  <c r="W176" i="91"/>
  <c r="W251" i="91"/>
  <c r="W232" i="91"/>
  <c r="W244" i="91"/>
  <c r="W233" i="91"/>
  <c r="W230" i="91"/>
  <c r="W231" i="91"/>
  <c r="W247" i="91"/>
  <c r="W228" i="91" s="1"/>
  <c r="W248" i="91"/>
  <c r="W249" i="91"/>
  <c r="W37" i="91" s="1"/>
  <c r="W245" i="91"/>
  <c r="W208" i="91"/>
  <c r="W110" i="91"/>
  <c r="W115" i="91"/>
  <c r="W109" i="91"/>
  <c r="T156" i="91"/>
  <c r="T175" i="91"/>
  <c r="T168" i="91"/>
  <c r="T154" i="91"/>
  <c r="T157" i="91"/>
  <c r="T159" i="91"/>
  <c r="T160" i="91" s="1"/>
  <c r="T209" i="91"/>
  <c r="T190" i="91" s="1"/>
  <c r="T207" i="91"/>
  <c r="T210" i="91"/>
  <c r="T193" i="91"/>
  <c r="T211" i="91"/>
  <c r="T36" i="91" s="1"/>
  <c r="W192" i="91"/>
  <c r="W213" i="91"/>
  <c r="W194" i="91"/>
  <c r="W206" i="91"/>
  <c r="W195" i="91"/>
  <c r="T115" i="91"/>
  <c r="T109" i="91"/>
  <c r="T110" i="91"/>
  <c r="T247" i="91"/>
  <c r="T228" i="91" s="1"/>
  <c r="T245" i="91"/>
  <c r="T248" i="91"/>
  <c r="T231" i="91"/>
  <c r="T249" i="91"/>
  <c r="T37" i="91" s="1"/>
  <c r="T208" i="91"/>
  <c r="T230" i="91"/>
  <c r="T233" i="91"/>
  <c r="T232" i="91"/>
  <c r="T244" i="91"/>
  <c r="T251" i="91"/>
  <c r="T235" i="91"/>
  <c r="T236" i="91" s="1"/>
  <c r="T252" i="91"/>
  <c r="Q116" i="91"/>
  <c r="Q89" i="91" s="1"/>
  <c r="Q114" i="91"/>
  <c r="W116" i="91"/>
  <c r="W89" i="91" s="1"/>
  <c r="W114" i="91"/>
  <c r="Q194" i="91"/>
  <c r="Q206" i="91"/>
  <c r="Q192" i="91"/>
  <c r="Q244" i="91"/>
  <c r="Q232" i="91"/>
  <c r="T116" i="91"/>
  <c r="T89" i="91" s="1"/>
  <c r="T114" i="91"/>
  <c r="W159" i="91"/>
  <c r="W160" i="91" s="1"/>
  <c r="W211" i="91"/>
  <c r="W36" i="91" s="1"/>
  <c r="W207" i="91"/>
  <c r="W193" i="91"/>
  <c r="W209" i="91"/>
  <c r="W190" i="91" s="1"/>
  <c r="W210" i="91"/>
  <c r="T176" i="91"/>
  <c r="T214" i="91"/>
  <c r="W214" i="91"/>
  <c r="F27" i="130"/>
  <c r="G29" i="130"/>
  <c r="E70" i="130"/>
  <c r="H29" i="130"/>
  <c r="Y25" i="165" l="1"/>
  <c r="Y25" i="164"/>
  <c r="H18" i="163"/>
  <c r="H18" i="164"/>
  <c r="H18" i="165"/>
  <c r="Y26" i="163"/>
  <c r="W177" i="91"/>
  <c r="W180" i="91" s="1"/>
  <c r="W181" i="91" s="1"/>
  <c r="T177" i="91"/>
  <c r="T180" i="91" s="1"/>
  <c r="T181" i="91" s="1"/>
  <c r="T117" i="91"/>
  <c r="W33" i="91"/>
  <c r="T111" i="91"/>
  <c r="T88" i="91" s="1"/>
  <c r="W113" i="91"/>
  <c r="W215" i="91"/>
  <c r="W218" i="91" s="1"/>
  <c r="W219" i="91" s="1"/>
  <c r="T215" i="91"/>
  <c r="T218" i="91" s="1"/>
  <c r="T219" i="91" s="1"/>
  <c r="T112" i="91"/>
  <c r="T90" i="91" s="1"/>
  <c r="W117" i="91"/>
  <c r="W111" i="91"/>
  <c r="W88" i="91" s="1"/>
  <c r="T253" i="91"/>
  <c r="T256" i="91" s="1"/>
  <c r="T257" i="91" s="1"/>
  <c r="Q260" i="91"/>
  <c r="Q255" i="91"/>
  <c r="W221" i="91"/>
  <c r="W222" i="91"/>
  <c r="W223" i="91" s="1"/>
  <c r="W217" i="91"/>
  <c r="T183" i="91"/>
  <c r="T184" i="91"/>
  <c r="T185" i="91" s="1"/>
  <c r="T179" i="91"/>
  <c r="T34" i="91"/>
  <c r="T46" i="91" s="1"/>
  <c r="W112" i="91"/>
  <c r="W90" i="91" s="1"/>
  <c r="W253" i="91"/>
  <c r="W256" i="91" s="1"/>
  <c r="W257" i="91" s="1"/>
  <c r="T203" i="91"/>
  <c r="T204" i="91" s="1"/>
  <c r="T199" i="91"/>
  <c r="T200" i="91" s="1"/>
  <c r="T201" i="91" s="1"/>
  <c r="T222" i="91"/>
  <c r="T223" i="91" s="1"/>
  <c r="T217" i="91"/>
  <c r="T221" i="91"/>
  <c r="W161" i="91"/>
  <c r="W162" i="91" s="1"/>
  <c r="W163" i="91" s="1"/>
  <c r="W165" i="91"/>
  <c r="W166" i="91" s="1"/>
  <c r="T259" i="91"/>
  <c r="T255" i="91"/>
  <c r="T260" i="91"/>
  <c r="T261" i="91" s="1"/>
  <c r="T237" i="91"/>
  <c r="T238" i="91" s="1"/>
  <c r="T239" i="91" s="1"/>
  <c r="T241" i="91"/>
  <c r="T242" i="91" s="1"/>
  <c r="W203" i="91"/>
  <c r="W204" i="91" s="1"/>
  <c r="W199" i="91"/>
  <c r="W200" i="91" s="1"/>
  <c r="W201" i="91" s="1"/>
  <c r="T31" i="91"/>
  <c r="T32" i="91"/>
  <c r="W31" i="91"/>
  <c r="W241" i="91"/>
  <c r="W242" i="91" s="1"/>
  <c r="W237" i="91"/>
  <c r="W238" i="91" s="1"/>
  <c r="W239" i="91" s="1"/>
  <c r="Q222" i="91"/>
  <c r="T33" i="91"/>
  <c r="T113" i="91"/>
  <c r="W32" i="91"/>
  <c r="T165" i="91"/>
  <c r="T166" i="91" s="1"/>
  <c r="T161" i="91"/>
  <c r="T162" i="91" s="1"/>
  <c r="T163" i="91" s="1"/>
  <c r="W260" i="91"/>
  <c r="W261" i="91" s="1"/>
  <c r="W255" i="91"/>
  <c r="W259" i="91"/>
  <c r="Q184" i="91"/>
  <c r="W183" i="91"/>
  <c r="W184" i="91"/>
  <c r="W185" i="91" s="1"/>
  <c r="W34" i="91"/>
  <c r="W46" i="91" s="1"/>
  <c r="W179" i="91"/>
  <c r="F29" i="130"/>
  <c r="G24" i="130"/>
  <c r="H24" i="130"/>
  <c r="G27" i="130"/>
  <c r="F24" i="130"/>
  <c r="H27" i="130"/>
  <c r="Q217" i="91" l="1"/>
  <c r="Q249" i="91"/>
  <c r="Q37" i="91" s="1"/>
  <c r="Q245" i="91"/>
  <c r="Q247" i="91" s="1"/>
  <c r="Q248" i="91"/>
  <c r="Q208" i="91"/>
  <c r="Q210" i="91"/>
  <c r="Q211" i="91"/>
  <c r="Q36" i="91" s="1"/>
  <c r="Q207" i="91"/>
  <c r="Q209" i="91" s="1"/>
  <c r="Q230" i="91"/>
  <c r="W178" i="91"/>
  <c r="T178" i="91"/>
  <c r="W91" i="91"/>
  <c r="T79" i="91"/>
  <c r="T81" i="91" s="1"/>
  <c r="T25" i="91" s="1"/>
  <c r="W216" i="91"/>
  <c r="T91" i="91"/>
  <c r="W79" i="91"/>
  <c r="W81" i="91" s="1"/>
  <c r="T216" i="91"/>
  <c r="T254" i="91"/>
  <c r="W254" i="91"/>
  <c r="AB61" i="91"/>
  <c r="AA61" i="91"/>
  <c r="AB62" i="91"/>
  <c r="AA62" i="91"/>
  <c r="Q228" i="91" l="1"/>
  <c r="Q190" i="91"/>
  <c r="Q117" i="91"/>
  <c r="W25" i="91"/>
  <c r="N116" i="91" l="1"/>
  <c r="N89" i="91" s="1"/>
  <c r="N114" i="91"/>
  <c r="N168" i="91"/>
  <c r="N154" i="91"/>
  <c r="N156" i="91"/>
  <c r="N110" i="91"/>
  <c r="N109" i="91"/>
  <c r="N206" i="91"/>
  <c r="N192" i="91"/>
  <c r="N194" i="91"/>
  <c r="N232" i="91"/>
  <c r="N244" i="91"/>
  <c r="N184" i="91" l="1"/>
  <c r="N260" i="91"/>
  <c r="N255" i="91"/>
  <c r="N222" i="91"/>
  <c r="K192" i="91" l="1"/>
  <c r="K194" i="91"/>
  <c r="K206" i="91"/>
  <c r="K232" i="91" l="1"/>
  <c r="K244" i="91"/>
  <c r="K222" i="91"/>
  <c r="K116" i="91" l="1"/>
  <c r="K114" i="91"/>
  <c r="X114" i="91" s="1"/>
  <c r="K168" i="91"/>
  <c r="K154" i="91"/>
  <c r="K156" i="91"/>
  <c r="K260" i="91"/>
  <c r="K255" i="91"/>
  <c r="X116" i="91" l="1"/>
  <c r="K89" i="91"/>
  <c r="X89" i="91" s="1"/>
  <c r="K110" i="91"/>
  <c r="X110" i="91" s="1"/>
  <c r="K184" i="91"/>
  <c r="K109" i="91" l="1"/>
  <c r="X109" i="91" s="1"/>
  <c r="N267" i="91" l="1"/>
  <c r="N101" i="91" s="1"/>
  <c r="Q193" i="91"/>
  <c r="Q231" i="91"/>
  <c r="X101" i="91" l="1"/>
  <c r="N102" i="91"/>
  <c r="X102" i="91" l="1"/>
  <c r="X98" i="91" s="1"/>
  <c r="H64" i="91" l="1"/>
  <c r="K64" i="91" s="1"/>
  <c r="N64" i="91" s="1"/>
  <c r="Q64" i="91" l="1"/>
  <c r="N65" i="91"/>
  <c r="N66" i="91" s="1"/>
  <c r="N68" i="91" s="1"/>
  <c r="N67" i="91" s="1"/>
  <c r="N69" i="91" s="1"/>
  <c r="K65" i="91"/>
  <c r="K66" i="91" s="1"/>
  <c r="K68" i="91" s="1"/>
  <c r="K67" i="91" s="1"/>
  <c r="K69" i="91" s="1"/>
  <c r="K71" i="91"/>
  <c r="H65" i="91"/>
  <c r="H66" i="91" s="1"/>
  <c r="H71" i="91"/>
  <c r="Q65" i="91" l="1"/>
  <c r="Q66" i="91" s="1"/>
  <c r="Q68" i="91" s="1"/>
  <c r="Q67" i="91" s="1"/>
  <c r="Q69" i="91" s="1"/>
  <c r="T64" i="91"/>
  <c r="Q71" i="91"/>
  <c r="Q227" i="91"/>
  <c r="Q189" i="91"/>
  <c r="H68" i="91"/>
  <c r="H67" i="91" s="1"/>
  <c r="H69" i="91" s="1"/>
  <c r="H57" i="91"/>
  <c r="K57" i="91" s="1"/>
  <c r="K52" i="91" l="1"/>
  <c r="K149" i="91" s="1"/>
  <c r="N57" i="91"/>
  <c r="W64" i="91"/>
  <c r="T189" i="91"/>
  <c r="T151" i="91"/>
  <c r="T65" i="91"/>
  <c r="T66" i="91" s="1"/>
  <c r="T68" i="91" s="1"/>
  <c r="T67" i="91" s="1"/>
  <c r="T69" i="91" s="1"/>
  <c r="T227" i="91"/>
  <c r="T71" i="91"/>
  <c r="H52" i="91"/>
  <c r="K277" i="91" l="1"/>
  <c r="K410" i="91"/>
  <c r="K439" i="91"/>
  <c r="K299" i="91"/>
  <c r="K300" i="91" s="1"/>
  <c r="K301" i="91" s="1"/>
  <c r="K302" i="91" s="1"/>
  <c r="K303" i="91" s="1"/>
  <c r="K350" i="91"/>
  <c r="K388" i="91"/>
  <c r="K389" i="91" s="1"/>
  <c r="K390" i="91" s="1"/>
  <c r="K391" i="91" s="1"/>
  <c r="K392" i="91" s="1"/>
  <c r="K373" i="91"/>
  <c r="K374" i="91" s="1"/>
  <c r="K424" i="91"/>
  <c r="K335" i="91"/>
  <c r="K395" i="91"/>
  <c r="K417" i="91"/>
  <c r="K418" i="91" s="1"/>
  <c r="K419" i="91" s="1"/>
  <c r="K420" i="91" s="1"/>
  <c r="K421" i="91" s="1"/>
  <c r="K328" i="91"/>
  <c r="K329" i="91" s="1"/>
  <c r="K330" i="91" s="1"/>
  <c r="K331" i="91" s="1"/>
  <c r="K332" i="91" s="1"/>
  <c r="K313" i="91"/>
  <c r="K316" i="91" s="1"/>
  <c r="K317" i="91" s="1"/>
  <c r="K270" i="91"/>
  <c r="K271" i="91" s="1"/>
  <c r="K272" i="91" s="1"/>
  <c r="K273" i="91" s="1"/>
  <c r="K274" i="91" s="1"/>
  <c r="K342" i="91"/>
  <c r="K345" i="91" s="1"/>
  <c r="K346" i="91" s="1"/>
  <c r="K321" i="91"/>
  <c r="K431" i="91"/>
  <c r="K432" i="91" s="1"/>
  <c r="K292" i="91"/>
  <c r="K366" i="91"/>
  <c r="K306" i="91"/>
  <c r="K359" i="91"/>
  <c r="K360" i="91" s="1"/>
  <c r="K361" i="91" s="1"/>
  <c r="K362" i="91" s="1"/>
  <c r="K363" i="91" s="1"/>
  <c r="K381" i="91"/>
  <c r="K284" i="91"/>
  <c r="K287" i="91" s="1"/>
  <c r="K288" i="91" s="1"/>
  <c r="K58" i="91"/>
  <c r="K59" i="91" s="1"/>
  <c r="K61" i="91" s="1"/>
  <c r="K60" i="91" s="1"/>
  <c r="K62" i="91" s="1"/>
  <c r="K402" i="91"/>
  <c r="K403" i="91" s="1"/>
  <c r="K187" i="91"/>
  <c r="K223" i="91" s="1"/>
  <c r="K53" i="91"/>
  <c r="K225" i="91"/>
  <c r="K261" i="91" s="1"/>
  <c r="W65" i="91"/>
  <c r="W66" i="91" s="1"/>
  <c r="W68" i="91" s="1"/>
  <c r="W67" i="91" s="1"/>
  <c r="W69" i="91" s="1"/>
  <c r="W227" i="91"/>
  <c r="W71" i="91"/>
  <c r="W151" i="91"/>
  <c r="W189" i="91"/>
  <c r="H12" i="91"/>
  <c r="Q57" i="91"/>
  <c r="N52" i="91"/>
  <c r="H58" i="91"/>
  <c r="H59" i="91" s="1"/>
  <c r="H61" i="91" s="1"/>
  <c r="H60" i="91" s="1"/>
  <c r="H62" i="91" s="1"/>
  <c r="H54" i="91" s="1"/>
  <c r="H53" i="91"/>
  <c r="H28" i="91"/>
  <c r="K183" i="91"/>
  <c r="K175" i="91"/>
  <c r="K159" i="91"/>
  <c r="K160" i="91" s="1"/>
  <c r="K161" i="91" s="1"/>
  <c r="K162" i="91" s="1"/>
  <c r="K163" i="91" s="1"/>
  <c r="K185" i="91"/>
  <c r="K176" i="91"/>
  <c r="K157" i="91"/>
  <c r="K165" i="91" s="1"/>
  <c r="K166" i="91" s="1"/>
  <c r="K155" i="91" s="1"/>
  <c r="K343" i="91" l="1"/>
  <c r="K235" i="91"/>
  <c r="K236" i="91" s="1"/>
  <c r="K237" i="91" s="1"/>
  <c r="K238" i="91" s="1"/>
  <c r="K239" i="91" s="1"/>
  <c r="K251" i="91"/>
  <c r="K376" i="91"/>
  <c r="K377" i="91" s="1"/>
  <c r="K434" i="91"/>
  <c r="K435" i="91" s="1"/>
  <c r="K314" i="91"/>
  <c r="K214" i="91"/>
  <c r="K195" i="91"/>
  <c r="K203" i="91" s="1"/>
  <c r="K204" i="91" s="1"/>
  <c r="K193" i="91" s="1"/>
  <c r="K213" i="91"/>
  <c r="K197" i="91"/>
  <c r="K198" i="91" s="1"/>
  <c r="K199" i="91" s="1"/>
  <c r="K200" i="91" s="1"/>
  <c r="K201" i="91" s="1"/>
  <c r="K233" i="91"/>
  <c r="K241" i="91" s="1"/>
  <c r="K242" i="91" s="1"/>
  <c r="K231" i="91" s="1"/>
  <c r="K228" i="91" s="1"/>
  <c r="K259" i="91"/>
  <c r="K249" i="91" s="1"/>
  <c r="K37" i="91" s="1"/>
  <c r="K252" i="91"/>
  <c r="K285" i="91"/>
  <c r="K405" i="91"/>
  <c r="K406" i="91" s="1"/>
  <c r="H55" i="91"/>
  <c r="AD63" i="91" s="1"/>
  <c r="K221" i="91"/>
  <c r="K211" i="91" s="1"/>
  <c r="K36" i="91" s="1"/>
  <c r="N149" i="91"/>
  <c r="N187" i="91"/>
  <c r="N58" i="91"/>
  <c r="N59" i="91" s="1"/>
  <c r="N61" i="91" s="1"/>
  <c r="N60" i="91" s="1"/>
  <c r="N62" i="91" s="1"/>
  <c r="N225" i="91"/>
  <c r="N284" i="91"/>
  <c r="N342" i="91"/>
  <c r="N431" i="91"/>
  <c r="N402" i="91"/>
  <c r="N313" i="91"/>
  <c r="N373" i="91"/>
  <c r="N410" i="91"/>
  <c r="N299" i="91"/>
  <c r="N300" i="91" s="1"/>
  <c r="N301" i="91" s="1"/>
  <c r="N302" i="91" s="1"/>
  <c r="N303" i="91" s="1"/>
  <c r="N53" i="91"/>
  <c r="N366" i="91"/>
  <c r="N328" i="91"/>
  <c r="N329" i="91" s="1"/>
  <c r="N330" i="91" s="1"/>
  <c r="N331" i="91" s="1"/>
  <c r="N332" i="91" s="1"/>
  <c r="N306" i="91"/>
  <c r="N388" i="91"/>
  <c r="N389" i="91" s="1"/>
  <c r="N390" i="91" s="1"/>
  <c r="N391" i="91" s="1"/>
  <c r="N392" i="91" s="1"/>
  <c r="N439" i="91"/>
  <c r="N381" i="91"/>
  <c r="N359" i="91"/>
  <c r="N360" i="91" s="1"/>
  <c r="N361" i="91" s="1"/>
  <c r="N362" i="91" s="1"/>
  <c r="N363" i="91" s="1"/>
  <c r="N424" i="91"/>
  <c r="N395" i="91"/>
  <c r="N270" i="91"/>
  <c r="N271" i="91" s="1"/>
  <c r="N272" i="91" s="1"/>
  <c r="N273" i="91" s="1"/>
  <c r="N274" i="91" s="1"/>
  <c r="N321" i="91"/>
  <c r="N277" i="91"/>
  <c r="N335" i="91"/>
  <c r="N292" i="91"/>
  <c r="N350" i="91"/>
  <c r="N417" i="91"/>
  <c r="N418" i="91" s="1"/>
  <c r="N419" i="91" s="1"/>
  <c r="N420" i="91" s="1"/>
  <c r="N421" i="91" s="1"/>
  <c r="Q52" i="91"/>
  <c r="T57" i="91"/>
  <c r="K177" i="91"/>
  <c r="K179" i="91" s="1"/>
  <c r="K173" i="91"/>
  <c r="K169" i="91"/>
  <c r="K170" i="91"/>
  <c r="K151" i="91" s="1"/>
  <c r="K172" i="91"/>
  <c r="K31" i="91" s="1"/>
  <c r="K54" i="91"/>
  <c r="K55" i="91"/>
  <c r="AD64" i="91" s="1"/>
  <c r="AA63" i="91"/>
  <c r="AB63" i="91"/>
  <c r="AC63" i="91" s="1"/>
  <c r="K230" i="91" l="1"/>
  <c r="K215" i="91"/>
  <c r="K217" i="91" s="1"/>
  <c r="K253" i="91"/>
  <c r="K254" i="91" s="1"/>
  <c r="K248" i="91"/>
  <c r="K33" i="91" s="1"/>
  <c r="K245" i="91"/>
  <c r="K247" i="91" s="1"/>
  <c r="K207" i="91"/>
  <c r="K209" i="91" s="1"/>
  <c r="K190" i="91" s="1"/>
  <c r="K208" i="91"/>
  <c r="K189" i="91" s="1"/>
  <c r="K210" i="91"/>
  <c r="K32" i="91" s="1"/>
  <c r="N405" i="91"/>
  <c r="N406" i="91" s="1"/>
  <c r="N403" i="91"/>
  <c r="N252" i="91"/>
  <c r="N259" i="91"/>
  <c r="N245" i="91" s="1"/>
  <c r="N247" i="91" s="1"/>
  <c r="N261" i="91"/>
  <c r="N249" i="91" s="1"/>
  <c r="N37" i="91" s="1"/>
  <c r="N251" i="91"/>
  <c r="N233" i="91"/>
  <c r="N241" i="91" s="1"/>
  <c r="N248" i="91"/>
  <c r="N235" i="91"/>
  <c r="N236" i="91" s="1"/>
  <c r="N237" i="91" s="1"/>
  <c r="N238" i="91" s="1"/>
  <c r="N239" i="91" s="1"/>
  <c r="W57" i="91"/>
  <c r="W52" i="91" s="1"/>
  <c r="T52" i="91"/>
  <c r="N434" i="91"/>
  <c r="N435" i="91" s="1"/>
  <c r="N432" i="91"/>
  <c r="Q149" i="91"/>
  <c r="Q410" i="91"/>
  <c r="Q388" i="91"/>
  <c r="Q389" i="91" s="1"/>
  <c r="Q390" i="91" s="1"/>
  <c r="Q391" i="91" s="1"/>
  <c r="Q392" i="91" s="1"/>
  <c r="Q373" i="91"/>
  <c r="Q439" i="91"/>
  <c r="Q299" i="91"/>
  <c r="Q300" i="91" s="1"/>
  <c r="Q301" i="91" s="1"/>
  <c r="Q302" i="91" s="1"/>
  <c r="Q303" i="91" s="1"/>
  <c r="Q58" i="91"/>
  <c r="Q59" i="91" s="1"/>
  <c r="Q61" i="91" s="1"/>
  <c r="Q60" i="91" s="1"/>
  <c r="Q62" i="91" s="1"/>
  <c r="Q381" i="91"/>
  <c r="Q342" i="91"/>
  <c r="Q431" i="91"/>
  <c r="Q306" i="91"/>
  <c r="Q402" i="91"/>
  <c r="Q395" i="91"/>
  <c r="Q328" i="91"/>
  <c r="Q329" i="91" s="1"/>
  <c r="Q330" i="91" s="1"/>
  <c r="Q331" i="91" s="1"/>
  <c r="Q332" i="91" s="1"/>
  <c r="Q225" i="91"/>
  <c r="Q53" i="91"/>
  <c r="Q313" i="91"/>
  <c r="Q424" i="91"/>
  <c r="Q417" i="91"/>
  <c r="Q418" i="91" s="1"/>
  <c r="Q419" i="91" s="1"/>
  <c r="Q420" i="91" s="1"/>
  <c r="Q421" i="91" s="1"/>
  <c r="Q366" i="91"/>
  <c r="Q350" i="91"/>
  <c r="Q270" i="91"/>
  <c r="Q271" i="91" s="1"/>
  <c r="Q272" i="91" s="1"/>
  <c r="Q273" i="91" s="1"/>
  <c r="Q274" i="91" s="1"/>
  <c r="Q359" i="91"/>
  <c r="Q360" i="91" s="1"/>
  <c r="Q361" i="91" s="1"/>
  <c r="Q362" i="91" s="1"/>
  <c r="Q363" i="91" s="1"/>
  <c r="Q277" i="91"/>
  <c r="Q292" i="91"/>
  <c r="Q187" i="91"/>
  <c r="Q321" i="91"/>
  <c r="Q284" i="91"/>
  <c r="Q335" i="91"/>
  <c r="N376" i="91"/>
  <c r="N377" i="91" s="1"/>
  <c r="N374" i="91"/>
  <c r="N343" i="91"/>
  <c r="N345" i="91"/>
  <c r="N346" i="91" s="1"/>
  <c r="N213" i="91"/>
  <c r="N221" i="91"/>
  <c r="N195" i="91"/>
  <c r="N203" i="91" s="1"/>
  <c r="N204" i="91" s="1"/>
  <c r="N193" i="91" s="1"/>
  <c r="N223" i="91"/>
  <c r="N214" i="91"/>
  <c r="N197" i="91"/>
  <c r="N198" i="91" s="1"/>
  <c r="N199" i="91" s="1"/>
  <c r="N200" i="91" s="1"/>
  <c r="N201" i="91" s="1"/>
  <c r="N316" i="91"/>
  <c r="N317" i="91" s="1"/>
  <c r="N314" i="91"/>
  <c r="N287" i="91"/>
  <c r="N288" i="91" s="1"/>
  <c r="N285" i="91"/>
  <c r="N183" i="91"/>
  <c r="N175" i="91"/>
  <c r="N185" i="91"/>
  <c r="N176" i="91"/>
  <c r="N157" i="91"/>
  <c r="N165" i="91" s="1"/>
  <c r="N166" i="91" s="1"/>
  <c r="N155" i="91" s="1"/>
  <c r="N172" i="91"/>
  <c r="N159" i="91"/>
  <c r="N160" i="91" s="1"/>
  <c r="N161" i="91" s="1"/>
  <c r="N162" i="91" s="1"/>
  <c r="N163" i="91" s="1"/>
  <c r="K178" i="91"/>
  <c r="K180" i="91"/>
  <c r="K181" i="91" s="1"/>
  <c r="K171" i="91"/>
  <c r="K117" i="91"/>
  <c r="K227" i="91"/>
  <c r="K34" i="91"/>
  <c r="K35" i="91"/>
  <c r="AB64" i="91"/>
  <c r="AC64" i="91" s="1"/>
  <c r="AA64" i="91"/>
  <c r="K256" i="91" l="1"/>
  <c r="K257" i="91" s="1"/>
  <c r="K115" i="91"/>
  <c r="K216" i="91"/>
  <c r="K218" i="91"/>
  <c r="K219" i="91" s="1"/>
  <c r="K113" i="91"/>
  <c r="K28" i="91"/>
  <c r="N253" i="91"/>
  <c r="N254" i="91" s="1"/>
  <c r="N215" i="91"/>
  <c r="N208" i="91"/>
  <c r="N189" i="91" s="1"/>
  <c r="N207" i="91"/>
  <c r="N209" i="91" s="1"/>
  <c r="N190" i="91" s="1"/>
  <c r="N211" i="91"/>
  <c r="N36" i="91" s="1"/>
  <c r="Q259" i="91"/>
  <c r="Q261" i="91"/>
  <c r="Q251" i="91"/>
  <c r="Q233" i="91"/>
  <c r="Q241" i="91" s="1"/>
  <c r="Q242" i="91" s="1"/>
  <c r="Q252" i="91"/>
  <c r="Q235" i="91"/>
  <c r="Q236" i="91" s="1"/>
  <c r="Q237" i="91" s="1"/>
  <c r="Q238" i="91" s="1"/>
  <c r="Q239" i="91" s="1"/>
  <c r="Q54" i="91"/>
  <c r="Q55" i="91"/>
  <c r="AD66" i="91" s="1"/>
  <c r="N31" i="91"/>
  <c r="Q214" i="91"/>
  <c r="Q197" i="91"/>
  <c r="Q198" i="91" s="1"/>
  <c r="Q199" i="91" s="1"/>
  <c r="Q200" i="91" s="1"/>
  <c r="Q201" i="91" s="1"/>
  <c r="Q223" i="91"/>
  <c r="Q213" i="91"/>
  <c r="Q195" i="91"/>
  <c r="Q203" i="91" s="1"/>
  <c r="Q204" i="91" s="1"/>
  <c r="Q221" i="91"/>
  <c r="Q432" i="91"/>
  <c r="Q434" i="91"/>
  <c r="Q435" i="91" s="1"/>
  <c r="T402" i="91"/>
  <c r="T58" i="91"/>
  <c r="T59" i="91" s="1"/>
  <c r="T61" i="91" s="1"/>
  <c r="T60" i="91" s="1"/>
  <c r="T62" i="91" s="1"/>
  <c r="T306" i="91"/>
  <c r="T410" i="91"/>
  <c r="T439" i="91"/>
  <c r="T359" i="91"/>
  <c r="T360" i="91" s="1"/>
  <c r="T361" i="91" s="1"/>
  <c r="T362" i="91" s="1"/>
  <c r="T363" i="91" s="1"/>
  <c r="T28" i="91"/>
  <c r="T417" i="91"/>
  <c r="T418" i="91" s="1"/>
  <c r="T419" i="91" s="1"/>
  <c r="T420" i="91" s="1"/>
  <c r="T421" i="91" s="1"/>
  <c r="T350" i="91"/>
  <c r="T388" i="91"/>
  <c r="T389" i="91" s="1"/>
  <c r="T390" i="91" s="1"/>
  <c r="T391" i="91" s="1"/>
  <c r="T392" i="91" s="1"/>
  <c r="T313" i="91"/>
  <c r="T284" i="91"/>
  <c r="T431" i="91"/>
  <c r="T366" i="91"/>
  <c r="T270" i="91"/>
  <c r="T271" i="91" s="1"/>
  <c r="T272" i="91" s="1"/>
  <c r="T273" i="91" s="1"/>
  <c r="T274" i="91" s="1"/>
  <c r="T381" i="91"/>
  <c r="T395" i="91"/>
  <c r="T335" i="91"/>
  <c r="T292" i="91"/>
  <c r="T299" i="91"/>
  <c r="T300" i="91" s="1"/>
  <c r="T301" i="91" s="1"/>
  <c r="T302" i="91" s="1"/>
  <c r="T303" i="91" s="1"/>
  <c r="T321" i="91"/>
  <c r="T373" i="91"/>
  <c r="T328" i="91"/>
  <c r="T329" i="91" s="1"/>
  <c r="T330" i="91" s="1"/>
  <c r="T331" i="91" s="1"/>
  <c r="T332" i="91" s="1"/>
  <c r="T277" i="91"/>
  <c r="T342" i="91"/>
  <c r="T424" i="91"/>
  <c r="T53" i="91"/>
  <c r="N230" i="91"/>
  <c r="N242" i="91"/>
  <c r="N231" i="91" s="1"/>
  <c r="N228" i="91" s="1"/>
  <c r="N169" i="91"/>
  <c r="N170" i="91"/>
  <c r="N151" i="91" s="1"/>
  <c r="N173" i="91"/>
  <c r="Q316" i="91"/>
  <c r="Q317" i="91" s="1"/>
  <c r="Q314" i="91"/>
  <c r="Q345" i="91"/>
  <c r="Q346" i="91" s="1"/>
  <c r="Q343" i="91"/>
  <c r="Q159" i="91"/>
  <c r="Q157" i="91"/>
  <c r="Q165" i="91" s="1"/>
  <c r="Q166" i="91" s="1"/>
  <c r="Q185" i="91"/>
  <c r="Q176" i="91"/>
  <c r="Q175" i="91"/>
  <c r="Q183" i="91"/>
  <c r="W58" i="91"/>
  <c r="W59" i="91" s="1"/>
  <c r="W61" i="91" s="1"/>
  <c r="W60" i="91" s="1"/>
  <c r="W62" i="91" s="1"/>
  <c r="W395" i="91"/>
  <c r="W292" i="91"/>
  <c r="W321" i="91"/>
  <c r="W359" i="91"/>
  <c r="W360" i="91" s="1"/>
  <c r="W361" i="91" s="1"/>
  <c r="W362" i="91" s="1"/>
  <c r="W363" i="91" s="1"/>
  <c r="W299" i="91"/>
  <c r="W300" i="91" s="1"/>
  <c r="W301" i="91" s="1"/>
  <c r="W302" i="91" s="1"/>
  <c r="W303" i="91" s="1"/>
  <c r="W284" i="91"/>
  <c r="W306" i="91"/>
  <c r="W402" i="91"/>
  <c r="W350" i="91"/>
  <c r="W342" i="91"/>
  <c r="W431" i="91"/>
  <c r="W335" i="91"/>
  <c r="W388" i="91"/>
  <c r="W389" i="91" s="1"/>
  <c r="W390" i="91" s="1"/>
  <c r="W391" i="91" s="1"/>
  <c r="W392" i="91" s="1"/>
  <c r="W381" i="91"/>
  <c r="W28" i="91"/>
  <c r="W410" i="91"/>
  <c r="W328" i="91"/>
  <c r="W329" i="91" s="1"/>
  <c r="W330" i="91" s="1"/>
  <c r="W331" i="91" s="1"/>
  <c r="W332" i="91" s="1"/>
  <c r="W53" i="91"/>
  <c r="W439" i="91"/>
  <c r="W277" i="91"/>
  <c r="W270" i="91"/>
  <c r="W271" i="91" s="1"/>
  <c r="W272" i="91" s="1"/>
  <c r="W273" i="91" s="1"/>
  <c r="W274" i="91" s="1"/>
  <c r="W366" i="91"/>
  <c r="W417" i="91"/>
  <c r="W418" i="91" s="1"/>
  <c r="W419" i="91" s="1"/>
  <c r="W420" i="91" s="1"/>
  <c r="W421" i="91" s="1"/>
  <c r="W373" i="91"/>
  <c r="W313" i="91"/>
  <c r="W424" i="91"/>
  <c r="H11" i="91"/>
  <c r="N33" i="91"/>
  <c r="N177" i="91"/>
  <c r="N210" i="91"/>
  <c r="N32" i="91" s="1"/>
  <c r="Q287" i="91"/>
  <c r="Q288" i="91" s="1"/>
  <c r="Q285" i="91"/>
  <c r="Q405" i="91"/>
  <c r="Q406" i="91" s="1"/>
  <c r="Q403" i="91"/>
  <c r="Q374" i="91"/>
  <c r="Q376" i="91"/>
  <c r="Q377" i="91" s="1"/>
  <c r="K46" i="91"/>
  <c r="K152" i="91"/>
  <c r="K112" i="91"/>
  <c r="K111" i="91"/>
  <c r="N256" i="91" l="1"/>
  <c r="N257" i="91" s="1"/>
  <c r="K91" i="91"/>
  <c r="Q253" i="91"/>
  <c r="Q254" i="91" s="1"/>
  <c r="Q215" i="91"/>
  <c r="Q218" i="91" s="1"/>
  <c r="Q219" i="91" s="1"/>
  <c r="Q33" i="91"/>
  <c r="W316" i="91"/>
  <c r="W317" i="91" s="1"/>
  <c r="W314" i="91"/>
  <c r="T27" i="91"/>
  <c r="H26" i="91"/>
  <c r="N27" i="91"/>
  <c r="T26" i="91"/>
  <c r="W26" i="91"/>
  <c r="Q27" i="91"/>
  <c r="W27" i="91"/>
  <c r="P26" i="91"/>
  <c r="O26" i="91"/>
  <c r="H27" i="91"/>
  <c r="K27" i="91"/>
  <c r="W432" i="91"/>
  <c r="W434" i="91"/>
  <c r="W435" i="91" s="1"/>
  <c r="T376" i="91"/>
  <c r="T377" i="91" s="1"/>
  <c r="T374" i="91"/>
  <c r="T54" i="91"/>
  <c r="T55" i="91"/>
  <c r="AD67" i="91" s="1"/>
  <c r="AA66" i="91"/>
  <c r="AB66" i="91"/>
  <c r="AC66" i="91" s="1"/>
  <c r="N180" i="91"/>
  <c r="N181" i="91" s="1"/>
  <c r="N178" i="91"/>
  <c r="N179" i="91"/>
  <c r="W343" i="91"/>
  <c r="W345" i="91"/>
  <c r="W346" i="91" s="1"/>
  <c r="W285" i="91"/>
  <c r="W287" i="91"/>
  <c r="W288" i="91" s="1"/>
  <c r="N171" i="91"/>
  <c r="N115" i="91"/>
  <c r="N28" i="91"/>
  <c r="N113" i="91"/>
  <c r="T345" i="91"/>
  <c r="T346" i="91" s="1"/>
  <c r="T343" i="91"/>
  <c r="T434" i="91"/>
  <c r="T435" i="91" s="1"/>
  <c r="T432" i="91"/>
  <c r="T403" i="91"/>
  <c r="T405" i="91"/>
  <c r="T406" i="91" s="1"/>
  <c r="Q216" i="91"/>
  <c r="Q160" i="91"/>
  <c r="Q161" i="91" s="1"/>
  <c r="Q162" i="91" s="1"/>
  <c r="Q163" i="91" s="1"/>
  <c r="Q155" i="91" s="1"/>
  <c r="N117" i="91"/>
  <c r="X117" i="91" s="1"/>
  <c r="N227" i="91"/>
  <c r="T285" i="91"/>
  <c r="T287" i="91"/>
  <c r="T288" i="91" s="1"/>
  <c r="Q32" i="91"/>
  <c r="N216" i="91"/>
  <c r="N217" i="91"/>
  <c r="N218" i="91"/>
  <c r="N219" i="91" s="1"/>
  <c r="W376" i="91"/>
  <c r="W377" i="91" s="1"/>
  <c r="W374" i="91"/>
  <c r="W405" i="91"/>
  <c r="W406" i="91" s="1"/>
  <c r="W403" i="91"/>
  <c r="W54" i="91"/>
  <c r="W55" i="91"/>
  <c r="AD68" i="91" s="1"/>
  <c r="Q177" i="91"/>
  <c r="N35" i="91"/>
  <c r="N34" i="91"/>
  <c r="T316" i="91"/>
  <c r="T317" i="91" s="1"/>
  <c r="T314" i="91"/>
  <c r="K79" i="91"/>
  <c r="K88" i="91"/>
  <c r="K90" i="91"/>
  <c r="AB58" i="91"/>
  <c r="AC58" i="91" s="1"/>
  <c r="AA58" i="91"/>
  <c r="Q256" i="91" l="1"/>
  <c r="Q257" i="91" s="1"/>
  <c r="X27" i="91"/>
  <c r="AA68" i="91"/>
  <c r="AB68" i="91"/>
  <c r="AC68" i="91" s="1"/>
  <c r="N152" i="91"/>
  <c r="N71" i="91" s="1"/>
  <c r="N111" i="91"/>
  <c r="N112" i="91"/>
  <c r="AB67" i="91"/>
  <c r="AC67" i="91" s="1"/>
  <c r="AA67" i="91"/>
  <c r="N46" i="91"/>
  <c r="Q180" i="91"/>
  <c r="Q178" i="91"/>
  <c r="Q179" i="91"/>
  <c r="N91" i="91"/>
  <c r="K81" i="91"/>
  <c r="AA59" i="91" l="1"/>
  <c r="AB59" i="91"/>
  <c r="AC59" i="91" s="1"/>
  <c r="N90" i="91"/>
  <c r="Q170" i="91"/>
  <c r="Q151" i="91" s="1"/>
  <c r="Q169" i="91"/>
  <c r="Q172" i="91"/>
  <c r="Q31" i="91" s="1"/>
  <c r="Y31" i="91" s="1"/>
  <c r="N88" i="91"/>
  <c r="N79" i="91"/>
  <c r="Q181" i="91"/>
  <c r="Q173" i="91" s="1"/>
  <c r="Q171" i="91"/>
  <c r="N54" i="91"/>
  <c r="N55" i="91"/>
  <c r="AD65" i="91" s="1"/>
  <c r="K25" i="91"/>
  <c r="K26" i="91"/>
  <c r="Q34" i="91" l="1"/>
  <c r="Q35" i="91"/>
  <c r="Y34" i="91" s="1"/>
  <c r="Y46" i="91" s="1"/>
  <c r="H16" i="91" s="1"/>
  <c r="AB65" i="91"/>
  <c r="AC65" i="91" s="1"/>
  <c r="AA65" i="91"/>
  <c r="N81" i="91"/>
  <c r="Q115" i="91"/>
  <c r="X115" i="91" s="1"/>
  <c r="Q28" i="91"/>
  <c r="X28" i="91" s="1"/>
  <c r="Q113" i="91"/>
  <c r="H14" i="91"/>
  <c r="Q152" i="91"/>
  <c r="Q111" i="91"/>
  <c r="Q112" i="91"/>
  <c r="H15" i="91"/>
  <c r="Q90" i="91" l="1"/>
  <c r="X90" i="91" s="1"/>
  <c r="X112" i="91"/>
  <c r="Q91" i="91"/>
  <c r="X91" i="91" s="1"/>
  <c r="X113" i="91"/>
  <c r="N25" i="91"/>
  <c r="N26" i="91"/>
  <c r="Q88" i="91"/>
  <c r="X88" i="91" s="1"/>
  <c r="Q79" i="91"/>
  <c r="X111" i="91"/>
  <c r="Q46" i="91"/>
  <c r="X34" i="91"/>
  <c r="X108" i="91" l="1"/>
  <c r="Q81" i="91"/>
  <c r="X79" i="91"/>
  <c r="X81" i="91" s="1"/>
  <c r="AA60" i="91"/>
  <c r="AB60" i="91"/>
  <c r="Q25" i="91" l="1"/>
  <c r="Q26" i="91"/>
  <c r="X26" i="91"/>
  <c r="H18" i="91"/>
  <c r="X25" i="91"/>
  <c r="N207" i="115"/>
  <c r="W64" i="115"/>
  <c r="N210" i="115"/>
  <c r="N217" i="115" l="1"/>
  <c r="W227" i="115"/>
  <c r="W151" i="115"/>
  <c r="N209" i="115"/>
  <c r="T64" i="115"/>
  <c r="W57" i="115"/>
  <c r="W189" i="115"/>
  <c r="W71" i="115"/>
  <c r="W65" i="115"/>
  <c r="W52" i="115" l="1"/>
  <c r="T71" i="115"/>
  <c r="Q64" i="115"/>
  <c r="N193" i="115"/>
  <c r="T57" i="115"/>
  <c r="T227" i="115"/>
  <c r="N190" i="115"/>
  <c r="T151" i="115"/>
  <c r="W187" i="115"/>
  <c r="W149" i="115"/>
  <c r="T189" i="115"/>
  <c r="W66" i="115"/>
  <c r="W225" i="115"/>
  <c r="T65" i="115"/>
  <c r="N211" i="115"/>
  <c r="T52" i="115" l="1"/>
  <c r="N36" i="115"/>
  <c r="K80" i="115"/>
  <c r="H80" i="115"/>
  <c r="Y139" i="115"/>
  <c r="Y138" i="115" s="1"/>
  <c r="N80" i="115"/>
  <c r="W68" i="115"/>
  <c r="T225" i="115"/>
  <c r="Q115" i="115"/>
  <c r="W410" i="115"/>
  <c r="W270" i="115"/>
  <c r="T149" i="115"/>
  <c r="W251" i="115"/>
  <c r="Q169" i="115"/>
  <c r="W259" i="115"/>
  <c r="Q210" i="115"/>
  <c r="Q171" i="115"/>
  <c r="W321" i="115"/>
  <c r="W197" i="115"/>
  <c r="W252" i="115"/>
  <c r="Q57" i="115"/>
  <c r="W176" i="115"/>
  <c r="Q71" i="115"/>
  <c r="W53" i="115"/>
  <c r="Q172" i="115"/>
  <c r="Q170" i="115"/>
  <c r="W366" i="115"/>
  <c r="W284" i="115"/>
  <c r="W157" i="115"/>
  <c r="Q245" i="115"/>
  <c r="W431" i="115"/>
  <c r="W439" i="115"/>
  <c r="W223" i="115"/>
  <c r="W277" i="115"/>
  <c r="W342" i="115"/>
  <c r="W359" i="115"/>
  <c r="W235" i="115"/>
  <c r="E93" i="130"/>
  <c r="Q65" i="115"/>
  <c r="W159" i="115"/>
  <c r="W183" i="115"/>
  <c r="W233" i="115"/>
  <c r="W395" i="115"/>
  <c r="W261" i="115"/>
  <c r="W58" i="115"/>
  <c r="W292" i="115"/>
  <c r="W185" i="115"/>
  <c r="W213" i="115"/>
  <c r="W417" i="115"/>
  <c r="T187" i="115"/>
  <c r="W350" i="115"/>
  <c r="E92" i="130"/>
  <c r="W424" i="115"/>
  <c r="W214" i="115"/>
  <c r="Q248" i="115"/>
  <c r="T66" i="115"/>
  <c r="Q208" i="115"/>
  <c r="W313" i="115"/>
  <c r="W195" i="115"/>
  <c r="W221" i="115"/>
  <c r="W28" i="115"/>
  <c r="W306" i="115"/>
  <c r="W402" i="115"/>
  <c r="W335" i="115"/>
  <c r="W175" i="115"/>
  <c r="W381" i="115"/>
  <c r="W388" i="115"/>
  <c r="W299" i="115"/>
  <c r="W373" i="115"/>
  <c r="Q207" i="115"/>
  <c r="W328" i="115"/>
  <c r="E91" i="130"/>
  <c r="W67" i="115" l="1"/>
  <c r="W215" i="115"/>
  <c r="W253" i="115"/>
  <c r="W165" i="115"/>
  <c r="W203" i="115"/>
  <c r="W241" i="115"/>
  <c r="W177" i="115"/>
  <c r="T68" i="115"/>
  <c r="Q52" i="115"/>
  <c r="Q87" i="130"/>
  <c r="Q93" i="130" s="1"/>
  <c r="P87" i="130"/>
  <c r="P93" i="130" s="1"/>
  <c r="R87" i="130"/>
  <c r="R93" i="130" s="1"/>
  <c r="Q88" i="130"/>
  <c r="Q94" i="130" s="1"/>
  <c r="P88" i="130"/>
  <c r="P94" i="130" s="1"/>
  <c r="R88" i="130"/>
  <c r="R94" i="130" s="1"/>
  <c r="Q89" i="130"/>
  <c r="Q95" i="130" s="1"/>
  <c r="P89" i="130"/>
  <c r="P95" i="130" s="1"/>
  <c r="R89" i="130"/>
  <c r="R95" i="130" s="1"/>
  <c r="H81" i="115"/>
  <c r="Y80" i="115"/>
  <c r="Q217" i="115"/>
  <c r="Q179" i="115"/>
  <c r="E54" i="130"/>
  <c r="E46" i="130"/>
  <c r="W69" i="115"/>
  <c r="T175" i="115"/>
  <c r="T28" i="115"/>
  <c r="T439" i="115"/>
  <c r="T213" i="115"/>
  <c r="Q173" i="115"/>
  <c r="T53" i="115"/>
  <c r="T176" i="115"/>
  <c r="T235" i="115"/>
  <c r="T342" i="115"/>
  <c r="W285" i="115"/>
  <c r="T252" i="115"/>
  <c r="T381" i="115"/>
  <c r="Q149" i="115"/>
  <c r="Q189" i="115"/>
  <c r="T197" i="115"/>
  <c r="T313" i="115"/>
  <c r="Q247" i="115"/>
  <c r="W405" i="115"/>
  <c r="W376" i="115"/>
  <c r="T350" i="115"/>
  <c r="T373" i="115"/>
  <c r="W345" i="115"/>
  <c r="W403" i="115"/>
  <c r="W287" i="115"/>
  <c r="T277" i="115"/>
  <c r="T388" i="115"/>
  <c r="T223" i="115"/>
  <c r="T270" i="115"/>
  <c r="T306" i="115"/>
  <c r="W314" i="115"/>
  <c r="T366" i="115"/>
  <c r="W418" i="115"/>
  <c r="T395" i="115"/>
  <c r="W434" i="115"/>
  <c r="W432" i="115"/>
  <c r="T214" i="115"/>
  <c r="Q209" i="115"/>
  <c r="W33" i="115"/>
  <c r="T299" i="115"/>
  <c r="T58" i="115"/>
  <c r="Q152" i="115"/>
  <c r="T292" i="115"/>
  <c r="T402" i="115"/>
  <c r="T335" i="115"/>
  <c r="T221" i="115"/>
  <c r="T417" i="115"/>
  <c r="Q187" i="115"/>
  <c r="W300" i="115"/>
  <c r="W32" i="115"/>
  <c r="W31" i="115"/>
  <c r="T321" i="115"/>
  <c r="T410" i="115"/>
  <c r="W160" i="115"/>
  <c r="T159" i="115"/>
  <c r="E72" i="130"/>
  <c r="W236" i="115"/>
  <c r="W316" i="115"/>
  <c r="W242" i="115"/>
  <c r="W389" i="115"/>
  <c r="Q230" i="115"/>
  <c r="Q113" i="115"/>
  <c r="T259" i="115"/>
  <c r="T183" i="115"/>
  <c r="Q66" i="115"/>
  <c r="W59" i="115"/>
  <c r="W374" i="115"/>
  <c r="W360" i="115"/>
  <c r="T359" i="115"/>
  <c r="Q151" i="115"/>
  <c r="T424" i="115"/>
  <c r="T328" i="115"/>
  <c r="W204" i="115"/>
  <c r="W343" i="115"/>
  <c r="T185" i="115"/>
  <c r="W198" i="115"/>
  <c r="W271" i="115"/>
  <c r="T261" i="115"/>
  <c r="T233" i="115"/>
  <c r="W329" i="115"/>
  <c r="T284" i="115"/>
  <c r="T195" i="115"/>
  <c r="T431" i="115"/>
  <c r="T157" i="115"/>
  <c r="Q225" i="115"/>
  <c r="T251" i="115"/>
  <c r="W166" i="115"/>
  <c r="T67" i="115" l="1"/>
  <c r="T165" i="115"/>
  <c r="T241" i="115"/>
  <c r="T253" i="115"/>
  <c r="T215" i="115"/>
  <c r="W199" i="115"/>
  <c r="W200" i="115" s="1"/>
  <c r="T177" i="115"/>
  <c r="W237" i="115"/>
  <c r="W238" i="115" s="1"/>
  <c r="W161" i="115"/>
  <c r="W162" i="115" s="1"/>
  <c r="T203" i="115"/>
  <c r="O89" i="130"/>
  <c r="O95" i="130" s="1"/>
  <c r="Q68" i="115"/>
  <c r="Q35" i="115"/>
  <c r="Q67" i="130"/>
  <c r="Q73" i="130" s="1"/>
  <c r="P67" i="130"/>
  <c r="P73" i="130" s="1"/>
  <c r="R67" i="130"/>
  <c r="R73" i="130" s="1"/>
  <c r="H25" i="115"/>
  <c r="W390" i="115"/>
  <c r="W391" i="115" s="1"/>
  <c r="W330" i="115"/>
  <c r="W331" i="115" s="1"/>
  <c r="W301" i="115"/>
  <c r="W302" i="115" s="1"/>
  <c r="W272" i="115"/>
  <c r="W273" i="115" s="1"/>
  <c r="W361" i="115"/>
  <c r="W362" i="115" s="1"/>
  <c r="W419" i="115"/>
  <c r="W420" i="115" s="1"/>
  <c r="W61" i="115"/>
  <c r="W60" i="115" s="1"/>
  <c r="E53" i="130"/>
  <c r="E45" i="130"/>
  <c r="Q185" i="115"/>
  <c r="Q211" i="115"/>
  <c r="Q157" i="115"/>
  <c r="W435" i="115"/>
  <c r="Q313" i="115"/>
  <c r="Q261" i="115"/>
  <c r="W346" i="115"/>
  <c r="W218" i="115"/>
  <c r="W332" i="115"/>
  <c r="T374" i="115"/>
  <c r="W178" i="115"/>
  <c r="Q299" i="115"/>
  <c r="W421" i="115"/>
  <c r="T285" i="115"/>
  <c r="Q28" i="115"/>
  <c r="Q233" i="115"/>
  <c r="Q431" i="115"/>
  <c r="Q424" i="115"/>
  <c r="T242" i="115"/>
  <c r="Q221" i="115"/>
  <c r="Q350" i="115"/>
  <c r="Q214" i="115"/>
  <c r="W201" i="115"/>
  <c r="W288" i="115"/>
  <c r="T329" i="115"/>
  <c r="Q335" i="115"/>
  <c r="W163" i="115"/>
  <c r="T376" i="115"/>
  <c r="T32" i="115"/>
  <c r="W406" i="115"/>
  <c r="Q190" i="115"/>
  <c r="Q328" i="115"/>
  <c r="Q176" i="115"/>
  <c r="W377" i="115"/>
  <c r="T33" i="115"/>
  <c r="Q183" i="115"/>
  <c r="Q402" i="115"/>
  <c r="Q366" i="115"/>
  <c r="T31" i="115"/>
  <c r="Q417" i="115"/>
  <c r="Q270" i="115"/>
  <c r="T69" i="115"/>
  <c r="Q227" i="115"/>
  <c r="W256" i="115"/>
  <c r="T345" i="115"/>
  <c r="T271" i="115"/>
  <c r="T343" i="115"/>
  <c r="T204" i="115"/>
  <c r="T434" i="115"/>
  <c r="Q159" i="115"/>
  <c r="Q259" i="115"/>
  <c r="Q251" i="115"/>
  <c r="Q381" i="115"/>
  <c r="Q439" i="115"/>
  <c r="T236" i="115"/>
  <c r="Q410" i="115"/>
  <c r="Q395" i="115"/>
  <c r="W392" i="115"/>
  <c r="Q197" i="115"/>
  <c r="T316" i="115"/>
  <c r="Q252" i="115"/>
  <c r="Q292" i="115"/>
  <c r="Q359" i="115"/>
  <c r="Q249" i="115"/>
  <c r="Q388" i="115"/>
  <c r="T300" i="115"/>
  <c r="T360" i="115"/>
  <c r="T314" i="115"/>
  <c r="W254" i="115"/>
  <c r="W216" i="115"/>
  <c r="T405" i="115"/>
  <c r="Q321" i="115"/>
  <c r="Q223" i="115"/>
  <c r="Q306" i="115"/>
  <c r="T432" i="115"/>
  <c r="T418" i="115"/>
  <c r="Q53" i="115"/>
  <c r="W180" i="115"/>
  <c r="T198" i="115"/>
  <c r="Q373" i="115"/>
  <c r="Q213" i="115"/>
  <c r="Q175" i="115"/>
  <c r="Q195" i="115"/>
  <c r="Q342" i="115"/>
  <c r="Q117" i="115"/>
  <c r="T287" i="115"/>
  <c r="W274" i="115"/>
  <c r="Q58" i="115"/>
  <c r="W363" i="115"/>
  <c r="Q235" i="115"/>
  <c r="T59" i="115"/>
  <c r="Q277" i="115"/>
  <c r="Q284" i="115"/>
  <c r="W317" i="115"/>
  <c r="T160" i="115"/>
  <c r="T403" i="115"/>
  <c r="T389" i="115"/>
  <c r="T166" i="115"/>
  <c r="W303" i="115"/>
  <c r="W239" i="115"/>
  <c r="Q67" i="115" l="1"/>
  <c r="Q253" i="115"/>
  <c r="T237" i="115"/>
  <c r="T238" i="115" s="1"/>
  <c r="Q215" i="115"/>
  <c r="T161" i="115"/>
  <c r="T162" i="115" s="1"/>
  <c r="Q165" i="115"/>
  <c r="Q203" i="115"/>
  <c r="Q241" i="115"/>
  <c r="T199" i="115"/>
  <c r="T200" i="115" s="1"/>
  <c r="Q177" i="115"/>
  <c r="O88" i="130"/>
  <c r="O94" i="130" s="1"/>
  <c r="Q91" i="115"/>
  <c r="Q34" i="115"/>
  <c r="Q46" i="115" s="1"/>
  <c r="Q36" i="115"/>
  <c r="Q37" i="115"/>
  <c r="Q108" i="130"/>
  <c r="Q114" i="130" s="1"/>
  <c r="P108" i="130"/>
  <c r="P114" i="130" s="1"/>
  <c r="R108" i="130"/>
  <c r="R114" i="130" s="1"/>
  <c r="T330" i="115"/>
  <c r="T331" i="115" s="1"/>
  <c r="T272" i="115"/>
  <c r="T273" i="115" s="1"/>
  <c r="T301" i="115"/>
  <c r="T302" i="115" s="1"/>
  <c r="T361" i="115"/>
  <c r="T362" i="115" s="1"/>
  <c r="T61" i="115"/>
  <c r="T60" i="115" s="1"/>
  <c r="T390" i="115"/>
  <c r="T391" i="115" s="1"/>
  <c r="T419" i="115"/>
  <c r="T420" i="115" s="1"/>
  <c r="E44" i="130"/>
  <c r="E52" i="130"/>
  <c r="E60" i="130"/>
  <c r="Q69" i="115"/>
  <c r="Q376" i="115"/>
  <c r="W219" i="115"/>
  <c r="T178" i="115"/>
  <c r="T218" i="115"/>
  <c r="T317" i="115"/>
  <c r="Q432" i="115"/>
  <c r="T392" i="115"/>
  <c r="Q389" i="115"/>
  <c r="Q155" i="115"/>
  <c r="Q403" i="115"/>
  <c r="T163" i="115"/>
  <c r="Q231" i="115"/>
  <c r="Q374" i="115"/>
  <c r="Q329" i="115"/>
  <c r="Q236" i="115"/>
  <c r="T180" i="115"/>
  <c r="Q343" i="115"/>
  <c r="Q160" i="115"/>
  <c r="Q405" i="115"/>
  <c r="Q242" i="115"/>
  <c r="Q316" i="115"/>
  <c r="Q360" i="115"/>
  <c r="W62" i="115"/>
  <c r="Q31" i="115"/>
  <c r="T254" i="115"/>
  <c r="T363" i="115"/>
  <c r="Q287" i="115"/>
  <c r="T216" i="115"/>
  <c r="Q32" i="115"/>
  <c r="Q198" i="115"/>
  <c r="Q193" i="115"/>
  <c r="T435" i="115"/>
  <c r="Q33" i="115"/>
  <c r="T201" i="115"/>
  <c r="Q345" i="115"/>
  <c r="W257" i="115"/>
  <c r="Q204" i="115"/>
  <c r="Q314" i="115"/>
  <c r="T421" i="115"/>
  <c r="W181" i="115"/>
  <c r="T256" i="115"/>
  <c r="T406" i="115"/>
  <c r="T288" i="115"/>
  <c r="Q434" i="115"/>
  <c r="Q271" i="115"/>
  <c r="Q300" i="115"/>
  <c r="Q285" i="115"/>
  <c r="Q59" i="115"/>
  <c r="T332" i="115"/>
  <c r="T239" i="115"/>
  <c r="T303" i="115"/>
  <c r="T274" i="115"/>
  <c r="Q166" i="115"/>
  <c r="Q418" i="115"/>
  <c r="T346" i="115"/>
  <c r="T377" i="115"/>
  <c r="Q237" i="115" l="1"/>
  <c r="Q238" i="115" s="1"/>
  <c r="Q199" i="115"/>
  <c r="Q200" i="115" s="1"/>
  <c r="Q161" i="115"/>
  <c r="Q162" i="115" s="1"/>
  <c r="O87" i="130"/>
  <c r="O93" i="130" s="1"/>
  <c r="O108" i="130"/>
  <c r="O114" i="130" s="1"/>
  <c r="AB60" i="115"/>
  <c r="AC60" i="115"/>
  <c r="Q361" i="115"/>
  <c r="Q362" i="115" s="1"/>
  <c r="Q330" i="115"/>
  <c r="Q331" i="115" s="1"/>
  <c r="Q301" i="115"/>
  <c r="Q302" i="115" s="1"/>
  <c r="Q419" i="115"/>
  <c r="Q420" i="115" s="1"/>
  <c r="Q272" i="115"/>
  <c r="Q273" i="115" s="1"/>
  <c r="Q390" i="115"/>
  <c r="Q391" i="115" s="1"/>
  <c r="Q61" i="115"/>
  <c r="Q60" i="115" s="1"/>
  <c r="Q69" i="130"/>
  <c r="Q75" i="130" s="1"/>
  <c r="P69" i="130"/>
  <c r="P75" i="130" s="1"/>
  <c r="R69" i="130"/>
  <c r="R75" i="130" s="1"/>
  <c r="W54" i="115"/>
  <c r="W55" i="115"/>
  <c r="AE68" i="115" s="1"/>
  <c r="E38" i="130"/>
  <c r="T181" i="115"/>
  <c r="Q288" i="115"/>
  <c r="Q377" i="115"/>
  <c r="Q216" i="115"/>
  <c r="Q256" i="115"/>
  <c r="Q303" i="115"/>
  <c r="Q421" i="115"/>
  <c r="Q218" i="115"/>
  <c r="Q392" i="115"/>
  <c r="Q332" i="115"/>
  <c r="Q228" i="115"/>
  <c r="Q239" i="115"/>
  <c r="Q254" i="115"/>
  <c r="Q201" i="115"/>
  <c r="Q178" i="115"/>
  <c r="T257" i="115"/>
  <c r="Q112" i="115"/>
  <c r="T219" i="115"/>
  <c r="Q62" i="115"/>
  <c r="Q406" i="115"/>
  <c r="Q435" i="115"/>
  <c r="Q163" i="115"/>
  <c r="Q317" i="115"/>
  <c r="Q346" i="115"/>
  <c r="T62" i="115"/>
  <c r="Q180" i="115"/>
  <c r="Q111" i="115"/>
  <c r="Q363" i="115"/>
  <c r="Q274" i="115"/>
  <c r="O69" i="130" l="1"/>
  <c r="O75" i="130" s="1"/>
  <c r="Q54" i="115"/>
  <c r="Q55" i="115"/>
  <c r="AE66" i="115" s="1"/>
  <c r="Q90" i="115"/>
  <c r="Q88" i="115"/>
  <c r="Q79" i="115"/>
  <c r="Q68" i="130"/>
  <c r="Q74" i="130" s="1"/>
  <c r="P68" i="130"/>
  <c r="P74" i="130" s="1"/>
  <c r="R68" i="130"/>
  <c r="R74" i="130" s="1"/>
  <c r="T55" i="115"/>
  <c r="AE67" i="115" s="1"/>
  <c r="T54" i="115"/>
  <c r="AB68" i="115"/>
  <c r="AC68" i="115"/>
  <c r="AD68" i="115" s="1"/>
  <c r="E36" i="130"/>
  <c r="E86" i="130"/>
  <c r="E37" i="130"/>
  <c r="Q219" i="115"/>
  <c r="Q257" i="115"/>
  <c r="Q181" i="115"/>
  <c r="O67" i="130" l="1"/>
  <c r="O73" i="130" s="1"/>
  <c r="O68" i="130"/>
  <c r="O74" i="130" s="1"/>
  <c r="Q81" i="115"/>
  <c r="Q25" i="115" s="1"/>
  <c r="AB66" i="115"/>
  <c r="AC66" i="115"/>
  <c r="AD66" i="115" s="1"/>
  <c r="AB67" i="115"/>
  <c r="AC67" i="115"/>
  <c r="AD67" i="115" s="1"/>
  <c r="K230" i="115"/>
  <c r="K231" i="115"/>
  <c r="N154" i="115"/>
  <c r="K217" i="115" l="1"/>
  <c r="K209" i="115"/>
  <c r="K193" i="115"/>
  <c r="K208" i="115"/>
  <c r="K248" i="115"/>
  <c r="N117" i="115"/>
  <c r="K245" i="115"/>
  <c r="K207" i="115"/>
  <c r="K247" i="115"/>
  <c r="K117" i="115"/>
  <c r="Y117" i="115" l="1"/>
  <c r="K211" i="115"/>
  <c r="K228" i="115"/>
  <c r="K249" i="115"/>
  <c r="K190" i="115"/>
  <c r="K36" i="115" l="1"/>
  <c r="K37" i="115"/>
  <c r="P44" i="130"/>
  <c r="O44" i="130"/>
  <c r="Q84" i="130" l="1"/>
  <c r="Q90" i="130" s="1"/>
  <c r="P84" i="130"/>
  <c r="P90" i="130" s="1"/>
  <c r="P64" i="130" l="1"/>
  <c r="P70" i="130" s="1"/>
  <c r="Q64" i="130"/>
  <c r="Q70" i="130" s="1"/>
  <c r="Q85" i="130" l="1"/>
  <c r="Q91" i="130" s="1"/>
  <c r="P85" i="130"/>
  <c r="P91" i="130" s="1"/>
  <c r="P65" i="130" l="1"/>
  <c r="P71" i="130" s="1"/>
  <c r="Q65" i="130"/>
  <c r="Q71" i="130" s="1"/>
  <c r="Q86" i="130" l="1"/>
  <c r="Q92" i="130" s="1"/>
  <c r="P86" i="130"/>
  <c r="P92" i="130" s="1"/>
  <c r="Q66" i="130" l="1"/>
  <c r="Q72" i="130" s="1"/>
  <c r="P66" i="130"/>
  <c r="P72" i="130" s="1"/>
  <c r="Q106" i="130" l="1"/>
  <c r="Q112" i="130" s="1"/>
  <c r="P106" i="130"/>
  <c r="P112" i="130" s="1"/>
  <c r="Q107" i="130" l="1"/>
  <c r="Q113" i="130" s="1"/>
  <c r="P107" i="130"/>
  <c r="P113" i="130" s="1"/>
  <c r="K210" i="115"/>
  <c r="N57" i="115"/>
  <c r="N64" i="115"/>
  <c r="N52" i="115" l="1"/>
  <c r="N65" i="115"/>
  <c r="N225" i="115"/>
  <c r="N149" i="115"/>
  <c r="N187" i="115"/>
  <c r="K64" i="115"/>
  <c r="K57" i="115"/>
  <c r="N227" i="115"/>
  <c r="N189" i="115"/>
  <c r="K52" i="115" l="1"/>
  <c r="N328" i="115"/>
  <c r="N402" i="115"/>
  <c r="N175" i="115"/>
  <c r="N388" i="115"/>
  <c r="N176" i="115"/>
  <c r="N53" i="115"/>
  <c r="N410" i="115"/>
  <c r="N233" i="115"/>
  <c r="N277" i="115"/>
  <c r="N381" i="115"/>
  <c r="N251" i="115"/>
  <c r="K187" i="115"/>
  <c r="N373" i="115"/>
  <c r="N359" i="115"/>
  <c r="N284" i="115"/>
  <c r="N270" i="115"/>
  <c r="N213" i="115"/>
  <c r="H64" i="115"/>
  <c r="K58" i="115"/>
  <c r="N424" i="115"/>
  <c r="N159" i="115"/>
  <c r="N431" i="115"/>
  <c r="N342" i="115"/>
  <c r="N252" i="115"/>
  <c r="N66" i="115"/>
  <c r="N195" i="115"/>
  <c r="N350" i="115"/>
  <c r="N306" i="115"/>
  <c r="N366" i="115"/>
  <c r="N185" i="115"/>
  <c r="N197" i="115"/>
  <c r="N259" i="115"/>
  <c r="N223" i="115"/>
  <c r="N395" i="115"/>
  <c r="K225" i="115"/>
  <c r="N335" i="115"/>
  <c r="H11" i="115"/>
  <c r="K149" i="115"/>
  <c r="K53" i="115"/>
  <c r="N183" i="115"/>
  <c r="N221" i="115"/>
  <c r="H12" i="115"/>
  <c r="N292" i="115"/>
  <c r="N58" i="115"/>
  <c r="N299" i="115"/>
  <c r="H57" i="115"/>
  <c r="N157" i="115"/>
  <c r="N313" i="115"/>
  <c r="N214" i="115"/>
  <c r="N261" i="115"/>
  <c r="N439" i="115"/>
  <c r="N321" i="115"/>
  <c r="K65" i="115"/>
  <c r="N417" i="115"/>
  <c r="N235" i="115"/>
  <c r="W26" i="115" l="1"/>
  <c r="T26" i="115"/>
  <c r="H26" i="115"/>
  <c r="Q26" i="115"/>
  <c r="H52" i="115"/>
  <c r="N215" i="115"/>
  <c r="N241" i="115"/>
  <c r="N177" i="115"/>
  <c r="N203" i="115"/>
  <c r="N253" i="115"/>
  <c r="N165" i="115"/>
  <c r="N68" i="115"/>
  <c r="N374" i="115"/>
  <c r="N242" i="115"/>
  <c r="E23" i="130"/>
  <c r="E22" i="130"/>
  <c r="N198" i="115"/>
  <c r="N403" i="115"/>
  <c r="N376" i="115"/>
  <c r="N418" i="115"/>
  <c r="K66" i="115"/>
  <c r="W27" i="115"/>
  <c r="E50" i="130"/>
  <c r="N204" i="115"/>
  <c r="N360" i="115"/>
  <c r="N432" i="115"/>
  <c r="K59" i="115"/>
  <c r="K388" i="115"/>
  <c r="N300" i="115"/>
  <c r="N285" i="115"/>
  <c r="N329" i="115"/>
  <c r="N160" i="115"/>
  <c r="N314" i="115"/>
  <c r="N345" i="115"/>
  <c r="N389" i="115"/>
  <c r="N59" i="115"/>
  <c r="K183" i="115"/>
  <c r="K195" i="115"/>
  <c r="N32" i="115"/>
  <c r="N405" i="115"/>
  <c r="N179" i="115"/>
  <c r="Q27" i="115"/>
  <c r="K233" i="115"/>
  <c r="N316" i="115"/>
  <c r="E51" i="130"/>
  <c r="N271" i="115"/>
  <c r="N166" i="115"/>
  <c r="N343" i="115"/>
  <c r="N33" i="115"/>
  <c r="N236" i="115"/>
  <c r="N286" i="115"/>
  <c r="N287" i="115"/>
  <c r="T27" i="115"/>
  <c r="N434" i="115"/>
  <c r="N67" i="115" l="1"/>
  <c r="K68" i="115"/>
  <c r="K203" i="115"/>
  <c r="K241" i="115"/>
  <c r="N237" i="115"/>
  <c r="N238" i="115" s="1"/>
  <c r="N61" i="115"/>
  <c r="N60" i="115" s="1"/>
  <c r="N161" i="115"/>
  <c r="N162" i="115" s="1"/>
  <c r="N361" i="115"/>
  <c r="N362" i="115" s="1"/>
  <c r="N301" i="115"/>
  <c r="N302" i="115" s="1"/>
  <c r="N199" i="115"/>
  <c r="N200" i="115" s="1"/>
  <c r="N419" i="115"/>
  <c r="N420" i="115" s="1"/>
  <c r="K61" i="115"/>
  <c r="K60" i="115" s="1"/>
  <c r="N330" i="115"/>
  <c r="N331" i="115" s="1"/>
  <c r="N272" i="115"/>
  <c r="N273" i="115" s="1"/>
  <c r="N390" i="115"/>
  <c r="N391" i="115" s="1"/>
  <c r="N346" i="115"/>
  <c r="K189" i="115"/>
  <c r="K157" i="115"/>
  <c r="N406" i="115"/>
  <c r="K197" i="115"/>
  <c r="H58" i="115"/>
  <c r="K373" i="115"/>
  <c r="N281" i="115"/>
  <c r="K252" i="115"/>
  <c r="K359" i="115"/>
  <c r="K213" i="115"/>
  <c r="N239" i="115"/>
  <c r="N218" i="115"/>
  <c r="N280" i="115"/>
  <c r="N69" i="115"/>
  <c r="K270" i="115"/>
  <c r="K417" i="115"/>
  <c r="N303" i="115"/>
  <c r="N435" i="115"/>
  <c r="H65" i="115"/>
  <c r="K251" i="115"/>
  <c r="K342" i="115"/>
  <c r="N288" i="115"/>
  <c r="K227" i="115"/>
  <c r="K299" i="115"/>
  <c r="K328" i="115"/>
  <c r="K175" i="115"/>
  <c r="K176" i="115"/>
  <c r="K313" i="115"/>
  <c r="K214" i="115"/>
  <c r="N274" i="115"/>
  <c r="N317" i="115"/>
  <c r="N103" i="115"/>
  <c r="N178" i="115"/>
  <c r="N180" i="115"/>
  <c r="N256" i="115"/>
  <c r="N332" i="115"/>
  <c r="N254" i="115"/>
  <c r="N377" i="115"/>
  <c r="K431" i="115"/>
  <c r="N216" i="115"/>
  <c r="H53" i="115"/>
  <c r="K402" i="115"/>
  <c r="K284" i="115"/>
  <c r="K62" i="115"/>
  <c r="K242" i="115"/>
  <c r="K389" i="115"/>
  <c r="H28" i="115"/>
  <c r="N392" i="115"/>
  <c r="K235" i="115"/>
  <c r="N201" i="115"/>
  <c r="N163" i="115"/>
  <c r="N363" i="115"/>
  <c r="K204" i="115"/>
  <c r="N421" i="115"/>
  <c r="K67" i="115" l="1"/>
  <c r="K286" i="115"/>
  <c r="K177" i="115"/>
  <c r="K165" i="115"/>
  <c r="K215" i="115"/>
  <c r="K253" i="115"/>
  <c r="K390" i="115"/>
  <c r="K391" i="115" s="1"/>
  <c r="E43" i="130"/>
  <c r="K405" i="115"/>
  <c r="K287" i="115"/>
  <c r="H66" i="115"/>
  <c r="K374" i="115"/>
  <c r="K300" i="115"/>
  <c r="K69" i="115"/>
  <c r="E42" i="130" s="1"/>
  <c r="K236" i="115"/>
  <c r="K159" i="115"/>
  <c r="K221" i="115"/>
  <c r="N282" i="115"/>
  <c r="K223" i="115"/>
  <c r="K434" i="115"/>
  <c r="K403" i="115"/>
  <c r="K261" i="115"/>
  <c r="K329" i="115"/>
  <c r="K285" i="115"/>
  <c r="K259" i="115"/>
  <c r="H59" i="115"/>
  <c r="N155" i="115"/>
  <c r="K418" i="115"/>
  <c r="E34" i="130"/>
  <c r="N181" i="115"/>
  <c r="K198" i="115"/>
  <c r="K432" i="115"/>
  <c r="K281" i="115"/>
  <c r="K360" i="115"/>
  <c r="N267" i="115"/>
  <c r="K32" i="115"/>
  <c r="N219" i="115"/>
  <c r="N169" i="115"/>
  <c r="K27" i="115"/>
  <c r="N170" i="115"/>
  <c r="K179" i="115"/>
  <c r="N105" i="115"/>
  <c r="K105" i="115"/>
  <c r="K343" i="115"/>
  <c r="N172" i="115"/>
  <c r="K280" i="115"/>
  <c r="N171" i="115"/>
  <c r="K345" i="115"/>
  <c r="N27" i="115"/>
  <c r="K376" i="115"/>
  <c r="K316" i="115"/>
  <c r="N257" i="115"/>
  <c r="K271" i="115"/>
  <c r="K314" i="115"/>
  <c r="K33" i="115"/>
  <c r="N62" i="115"/>
  <c r="E49" i="130"/>
  <c r="K392" i="115"/>
  <c r="K166" i="115"/>
  <c r="O86" i="130" l="1"/>
  <c r="O92" i="130" s="1"/>
  <c r="N39" i="115"/>
  <c r="N38" i="115"/>
  <c r="O85" i="130"/>
  <c r="O91" i="130" s="1"/>
  <c r="Y105" i="115"/>
  <c r="O65" i="130"/>
  <c r="O71" i="130" s="1"/>
  <c r="K330" i="115"/>
  <c r="K331" i="115" s="1"/>
  <c r="K301" i="115"/>
  <c r="K302" i="115" s="1"/>
  <c r="H68" i="115"/>
  <c r="K199" i="115"/>
  <c r="K200" i="115" s="1"/>
  <c r="H61" i="115"/>
  <c r="H60" i="115" s="1"/>
  <c r="K419" i="115"/>
  <c r="K420" i="115" s="1"/>
  <c r="K361" i="115"/>
  <c r="K362" i="115" s="1"/>
  <c r="K272" i="115"/>
  <c r="K273" i="115" s="1"/>
  <c r="K237" i="115"/>
  <c r="K238" i="115" s="1"/>
  <c r="N28" i="115"/>
  <c r="K366" i="115"/>
  <c r="K350" i="115"/>
  <c r="K254" i="115"/>
  <c r="N111" i="115"/>
  <c r="K172" i="115"/>
  <c r="N173" i="115"/>
  <c r="K178" i="115"/>
  <c r="K421" i="115"/>
  <c r="N101" i="115"/>
  <c r="N115" i="115"/>
  <c r="K103" i="115"/>
  <c r="K160" i="115"/>
  <c r="K395" i="115"/>
  <c r="K435" i="115"/>
  <c r="K274" i="115"/>
  <c r="K335" i="115"/>
  <c r="K424" i="115"/>
  <c r="K169" i="115"/>
  <c r="K216" i="115"/>
  <c r="K180" i="115"/>
  <c r="K282" i="115"/>
  <c r="K171" i="115"/>
  <c r="K303" i="115"/>
  <c r="K170" i="115"/>
  <c r="K406" i="115"/>
  <c r="K239" i="115"/>
  <c r="K321" i="115"/>
  <c r="K306" i="115"/>
  <c r="N102" i="115"/>
  <c r="K332" i="115"/>
  <c r="K439" i="115"/>
  <c r="N112" i="115"/>
  <c r="K256" i="115"/>
  <c r="N31" i="115"/>
  <c r="E35" i="130"/>
  <c r="K201" i="115"/>
  <c r="K317" i="115"/>
  <c r="N151" i="115"/>
  <c r="K277" i="115"/>
  <c r="K381" i="115"/>
  <c r="K185" i="115"/>
  <c r="K363" i="115"/>
  <c r="K410" i="115"/>
  <c r="N113" i="115"/>
  <c r="K292" i="115"/>
  <c r="K377" i="115"/>
  <c r="K218" i="115"/>
  <c r="K288" i="115"/>
  <c r="K346" i="115"/>
  <c r="N152" i="115"/>
  <c r="H67" i="115" l="1"/>
  <c r="Y103" i="115"/>
  <c r="K38" i="115"/>
  <c r="Y38" i="115" s="1"/>
  <c r="K39" i="115"/>
  <c r="Z38" i="115" s="1"/>
  <c r="H14" i="115"/>
  <c r="N91" i="115"/>
  <c r="N35" i="115"/>
  <c r="N34" i="115"/>
  <c r="N46" i="115" s="1"/>
  <c r="O66" i="130"/>
  <c r="O72" i="130" s="1"/>
  <c r="N88" i="115"/>
  <c r="N79" i="115"/>
  <c r="N90" i="115"/>
  <c r="K161" i="115"/>
  <c r="K162" i="115" s="1"/>
  <c r="K71" i="115"/>
  <c r="K267" i="115"/>
  <c r="K181" i="115"/>
  <c r="K115" i="115"/>
  <c r="E66" i="130"/>
  <c r="H62" i="115"/>
  <c r="E85" i="130"/>
  <c r="K31" i="115"/>
  <c r="K28" i="115"/>
  <c r="H69" i="115"/>
  <c r="K219" i="115"/>
  <c r="K151" i="115"/>
  <c r="E59" i="130"/>
  <c r="K152" i="115"/>
  <c r="K113" i="115"/>
  <c r="H27" i="115"/>
  <c r="K257" i="115"/>
  <c r="K173" i="115"/>
  <c r="E41" i="130"/>
  <c r="N71" i="115"/>
  <c r="K163" i="115"/>
  <c r="Y113" i="115" l="1"/>
  <c r="K91" i="115"/>
  <c r="Y91" i="115" s="1"/>
  <c r="Y115" i="115"/>
  <c r="AC59" i="115"/>
  <c r="AD59" i="115" s="1"/>
  <c r="K55" i="115"/>
  <c r="AE64" i="115" s="1"/>
  <c r="K54" i="115"/>
  <c r="AB64" i="115" s="1"/>
  <c r="Y28" i="115"/>
  <c r="Z31" i="115"/>
  <c r="K34" i="115"/>
  <c r="K46" i="115" s="1"/>
  <c r="K35" i="115"/>
  <c r="Z34" i="115" s="1"/>
  <c r="N55" i="115"/>
  <c r="AE65" i="115" s="1"/>
  <c r="N54" i="115"/>
  <c r="AB59" i="115"/>
  <c r="O107" i="130"/>
  <c r="O113" i="130" s="1"/>
  <c r="O84" i="130"/>
  <c r="O90" i="130" s="1"/>
  <c r="Y27" i="115"/>
  <c r="N81" i="115"/>
  <c r="K101" i="115"/>
  <c r="K155" i="115"/>
  <c r="E28" i="130"/>
  <c r="E30" i="130"/>
  <c r="K102" i="115"/>
  <c r="E58" i="130"/>
  <c r="H71" i="115"/>
  <c r="E65" i="130"/>
  <c r="E33" i="130"/>
  <c r="AB58" i="115" l="1"/>
  <c r="AC64" i="115"/>
  <c r="AD64" i="115" s="1"/>
  <c r="H54" i="115"/>
  <c r="AC63" i="115" s="1"/>
  <c r="AD63" i="115" s="1"/>
  <c r="H55" i="115"/>
  <c r="AE63" i="115" s="1"/>
  <c r="Y34" i="115"/>
  <c r="AC58" i="115"/>
  <c r="AD58" i="115" s="1"/>
  <c r="Y102" i="115"/>
  <c r="H15" i="115"/>
  <c r="O106" i="130"/>
  <c r="O112" i="130" s="1"/>
  <c r="Y101" i="115"/>
  <c r="Z46" i="115"/>
  <c r="AB65" i="115"/>
  <c r="AC65" i="115"/>
  <c r="AD65" i="115" s="1"/>
  <c r="O64" i="130"/>
  <c r="O70" i="130" s="1"/>
  <c r="N25" i="115"/>
  <c r="N26" i="115"/>
  <c r="K112" i="115"/>
  <c r="K111" i="115"/>
  <c r="AB63" i="115" l="1"/>
  <c r="H16" i="115"/>
  <c r="Y98" i="115"/>
  <c r="Y112" i="115"/>
  <c r="K90" i="115"/>
  <c r="Y90" i="115" s="1"/>
  <c r="Y111" i="115"/>
  <c r="K79" i="115"/>
  <c r="K88" i="115"/>
  <c r="Y88" i="115" s="1"/>
  <c r="E84" i="130"/>
  <c r="Y108" i="115" l="1"/>
  <c r="Y79" i="115"/>
  <c r="K81" i="115"/>
  <c r="E71" i="130"/>
  <c r="K26" i="115" l="1"/>
  <c r="K25" i="115"/>
  <c r="Y81" i="115"/>
  <c r="R86" i="130"/>
  <c r="R92" i="130" s="1"/>
  <c r="Y26" i="115" l="1"/>
  <c r="H18" i="115"/>
  <c r="Y25" i="115"/>
  <c r="R84" i="130"/>
  <c r="R90" i="130" s="1"/>
  <c r="R85" i="130"/>
  <c r="R91" i="130" s="1"/>
  <c r="R66" i="130"/>
  <c r="R72" i="130" s="1"/>
  <c r="E24" i="130"/>
  <c r="E29" i="130"/>
  <c r="E27" i="130"/>
  <c r="N44" i="130" l="1"/>
  <c r="R107" i="130"/>
  <c r="R113" i="130" s="1"/>
  <c r="R65" i="130"/>
  <c r="R71" i="130" s="1"/>
  <c r="R64" i="130"/>
  <c r="R70" i="130" s="1"/>
  <c r="R106" i="130"/>
  <c r="R112" i="130" s="1"/>
  <c r="Q44" i="1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Krautmann, Michael</author>
  </authors>
  <commentList>
    <comment ref="C4" authorId="0" shapeId="0" xr:uid="{00000000-0006-0000-0800-000001000000}">
      <text>
        <r>
          <rPr>
            <b/>
            <sz val="9"/>
            <color indexed="81"/>
            <rFont val="Tahoma"/>
            <family val="2"/>
          </rPr>
          <t>Krautmann, Michael:</t>
        </r>
        <r>
          <rPr>
            <sz val="9"/>
            <color indexed="81"/>
            <rFont val="Tahoma"/>
            <family val="2"/>
          </rPr>
          <t xml:space="preserve">
Enter the number of supply chain design scenarios that you plan to create and compare on this sheet. Must be an integer value between 1 and 6. This number should also match the number if Input Parameters Worksheets, as well as the number of Output Statistics worksheets.</t>
        </r>
      </text>
    </comment>
    <comment ref="O5" authorId="0" shapeId="0" xr:uid="{00000000-0006-0000-0800-000002000000}">
      <text>
        <r>
          <rPr>
            <b/>
            <sz val="9"/>
            <color indexed="81"/>
            <rFont val="Tahoma"/>
            <family val="2"/>
          </rPr>
          <t>Krautmann, Michael:</t>
        </r>
        <r>
          <rPr>
            <sz val="9"/>
            <color indexed="81"/>
            <rFont val="Tahoma"/>
            <family val="2"/>
          </rPr>
          <t xml:space="preserve">
Review the set of available data templates and type in the name of any that you expect to use at any point in this analysis (scroll to the right on the Worksheet Navigation bar to find the data templates). The values on this list will populate the drop-down menus on Rows 5 and 86 of the Inputs Parameters page, in which the user selects a data template to use as a default for that scenario.</t>
        </r>
      </text>
    </comment>
    <comment ref="B6" authorId="0" shapeId="0" xr:uid="{00000000-0006-0000-0800-000003000000}">
      <text>
        <r>
          <rPr>
            <b/>
            <sz val="9"/>
            <color indexed="81"/>
            <rFont val="Tahoma"/>
            <family val="2"/>
          </rPr>
          <t>Krautmann, Michael:</t>
        </r>
        <r>
          <rPr>
            <sz val="9"/>
            <color indexed="81"/>
            <rFont val="Tahoma"/>
            <family val="2"/>
          </rPr>
          <t xml:space="preserve">
Enter a name for each scenario that you plan to create and analyze. This name is for labeling only, so there are no restrictions on the values that can be input</t>
        </r>
      </text>
    </comment>
    <comment ref="C6" authorId="0" shapeId="0" xr:uid="{00000000-0006-0000-0800-000004000000}">
      <text>
        <r>
          <rPr>
            <b/>
            <sz val="9"/>
            <color indexed="81"/>
            <rFont val="Tahoma"/>
            <family val="2"/>
          </rPr>
          <t>Krautmann, Michael:</t>
        </r>
        <r>
          <rPr>
            <sz val="9"/>
            <color indexed="81"/>
            <rFont val="Tahoma"/>
            <family val="2"/>
          </rPr>
          <t xml:space="preserve">
For each scenario, enter the name of the Input Parameters worksheet that you plan to use to populate that scenario.  (To create multiple Input Parameters worksheets, you can right-click on an Input worksheet in the toolbar at the bottom of the screen, select "Move or Copy" and check the "Make a copy" box on the resulting screen, and double-click to rename the Input Parameters worksheet. Type that new name in this box.</t>
        </r>
      </text>
    </comment>
    <comment ref="D6" authorId="0" shapeId="0" xr:uid="{00000000-0006-0000-0800-000005000000}">
      <text>
        <r>
          <rPr>
            <b/>
            <sz val="9"/>
            <color indexed="81"/>
            <rFont val="Tahoma"/>
            <family val="2"/>
          </rPr>
          <t>Krautmann, Michael:</t>
        </r>
        <r>
          <rPr>
            <sz val="9"/>
            <color indexed="81"/>
            <rFont val="Tahoma"/>
            <family val="2"/>
          </rPr>
          <t xml:space="preserve">
For each scenario, enter the name of the Output Statistics worksheet that you plan to use to populate that scenario.  (To create multiple Output Statistics worksheets, you can right-clickon an Output worksheet in the 
toolbar at the bottom of the screen, select "Move or Copy" and check the "Make a copy" box on the resulting screen, and double-click to rename the new Output Statistics worksheet. Type that new name in this box.</t>
        </r>
      </text>
    </comment>
    <comment ref="E6" authorId="0" shapeId="0" xr:uid="{00000000-0006-0000-0800-000006000000}">
      <text>
        <r>
          <rPr>
            <b/>
            <sz val="9"/>
            <color indexed="81"/>
            <rFont val="Tahoma"/>
            <family val="2"/>
          </rPr>
          <t>Krautmann, Michael:</t>
        </r>
        <r>
          <rPr>
            <sz val="9"/>
            <color indexed="81"/>
            <rFont val="Tahoma"/>
            <family val="2"/>
          </rPr>
          <t xml:space="preserve">
Enter a short description of the scenario to help other users of the tool identify the scenarios involved. NOTE: This description is optional and not used in the model</t>
        </r>
      </text>
    </comment>
    <comment ref="I7" authorId="0" shapeId="0" xr:uid="{00000000-0006-0000-0800-000007000000}">
      <text>
        <r>
          <rPr>
            <b/>
            <sz val="9"/>
            <color indexed="81"/>
            <rFont val="Tahoma"/>
            <family val="2"/>
          </rPr>
          <t>Krautmann, Michael:</t>
        </r>
        <r>
          <rPr>
            <sz val="9"/>
            <color indexed="81"/>
            <rFont val="Tahoma"/>
            <family val="2"/>
          </rPr>
          <t xml:space="preserve">
For both storage capacity and transport time utilization, enter upper and lower threshold values for what is considered an "ideal" utilization range. This value is used for several aspects of the model: 1) determining the green "ideal utilization range" bands on the graphs on this worksheet, 2) determining the utilization color ratings on the Output Statistics pages, and 3) counting the number of storage/transport modes that are outside ideal utilization range. Because the model provides only high-level estimates, we recommend generally using a wide threshold range, e.g. &lt;50% for underutilization, and &gt;90% for overutilization.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Michael Krautmann</author>
    <author>Krautmann, Michael</author>
  </authors>
  <commentList>
    <comment ref="G9" authorId="0" shapeId="0" xr:uid="{3A0467F2-6B44-405E-94A4-1351D1A044DB}">
      <text>
        <r>
          <rPr>
            <sz val="9"/>
            <color indexed="81"/>
            <rFont val="Tahoma"/>
            <family val="2"/>
          </rPr>
          <t xml:space="preserve">The total number of levels at which inventory is stored and distributed, as specified by the user
</t>
        </r>
      </text>
    </comment>
    <comment ref="G10" authorId="0" shapeId="0" xr:uid="{D874DC76-3B46-4D8D-8B6A-AAD110E19F75}">
      <text>
        <r>
          <rPr>
            <sz val="9"/>
            <color indexed="81"/>
            <rFont val="Tahoma"/>
            <family val="2"/>
          </rPr>
          <t>User-entered value; number of facilities to which health commodities are delivered at the final tier fo the supply chain</t>
        </r>
      </text>
    </comment>
    <comment ref="G11" authorId="0" shapeId="0" xr:uid="{862CFD9B-0C3B-45BB-9C78-2AC1EA12A248}">
      <text>
        <r>
          <rPr>
            <sz val="9"/>
            <color indexed="81"/>
            <rFont val="Tahoma"/>
            <family val="2"/>
          </rPr>
          <t xml:space="preserve">Total annual cubic meters (m^3) of health commodities delivered to the final tier of the supply chain (May be less than the total volume procured if the user assumed an expiry/wastage rate at one or more tiers) 
</t>
        </r>
      </text>
    </comment>
    <comment ref="G12" authorId="0" shapeId="0" xr:uid="{EDC01C58-E0FE-462E-BC08-686476A73F3E}">
      <text>
        <r>
          <rPr>
            <sz val="9"/>
            <color indexed="81"/>
            <rFont val="Tahoma"/>
            <family val="2"/>
          </rPr>
          <t xml:space="preserve">Total annual cubic meters (m^3) of cold-chain specific commodities delivered to the final tier of the supply chain (May be less than the total volume procured if the user assumed an expiry/wastage rate at one or more tiers) </t>
        </r>
      </text>
    </comment>
    <comment ref="G13" authorId="0" shapeId="0" xr:uid="{56F6F7C0-DAA7-400D-A2EC-0B51669B6AD9}">
      <text>
        <r>
          <rPr>
            <sz val="9"/>
            <color indexed="81"/>
            <rFont val="Tahoma"/>
            <family val="2"/>
          </rPr>
          <t xml:space="preserve">The total procurement or sales value of the commodities delivered to the final tier. </t>
        </r>
      </text>
    </comment>
    <comment ref="F14" authorId="0" shapeId="0" xr:uid="{129F29C7-EF1A-4984-975A-97019A8D677C}">
      <text>
        <r>
          <rPr>
            <sz val="9"/>
            <color indexed="81"/>
            <rFont val="Tahoma"/>
            <family val="2"/>
          </rPr>
          <t>The number of kilometers (km) traveled per year to fulfill all ordering, delivery, and additional travel activities, summed over all tiers in the supply chain.</t>
        </r>
        <r>
          <rPr>
            <b/>
            <sz val="9"/>
            <color indexed="81"/>
            <rFont val="Tahoma"/>
            <family val="2"/>
          </rPr>
          <t xml:space="preserve"> Includes only vehicles that are owned/rented/contracted, and does NOT include km traveled by public transport</t>
        </r>
      </text>
    </comment>
    <comment ref="G15" authorId="0" shapeId="0" xr:uid="{8557940F-7461-4BBF-A708-3BA1CA5FC206}">
      <text>
        <r>
          <rPr>
            <sz val="9"/>
            <color indexed="81"/>
            <rFont val="Tahoma"/>
            <family val="2"/>
          </rPr>
          <t>The total number of person-days of travel needed to complete all ordering/delivery/additional activities, summed over all tiers in the supply chain</t>
        </r>
      </text>
    </comment>
    <comment ref="G16" authorId="0" shapeId="0" xr:uid="{E2F9E7FD-2651-464F-A993-D950FBF9275E}">
      <text>
        <r>
          <rPr>
            <sz val="9"/>
            <color indexed="81"/>
            <rFont val="Tahoma"/>
            <family val="2"/>
          </rPr>
          <t>A high-level summary of Tables 2 and 3 below; a count of all storage and transportation modes that are outside the ideal utilization window (user specified, but a common ideal utilization range is between 50% and 90%)</t>
        </r>
      </text>
    </comment>
    <comment ref="G25" authorId="1" shapeId="0" xr:uid="{2997C460-5E57-4C1E-84AC-CE36F08BD03A}">
      <text>
        <r>
          <rPr>
            <sz val="9"/>
            <color indexed="81"/>
            <rFont val="Tahoma"/>
            <family val="2"/>
          </rPr>
          <t>-- Ratio of [Total Operating Cost] / [Total Commodity Throughput Value] x [100]
-- Interpretation: In general lower is better, though values vary greatly by health program area (e.g. HIV, Essential Medicines). For example, one box of antiretrovirals (ARVs) will likely have a value much greater than a similar box of antibiotics, even though the supply chain cost to distribute each is likely to be similar.   Thus this metric would be lower for the ARVs than the antibiotic, even for similarly-performing supply chains.</t>
        </r>
      </text>
    </comment>
    <comment ref="G26" authorId="1" shapeId="0" xr:uid="{DB6386FF-6DD1-4783-8A91-AD450E8AEB62}">
      <text>
        <r>
          <rPr>
            <sz val="9"/>
            <color indexed="81"/>
            <rFont val="Tahoma"/>
            <family val="2"/>
          </rPr>
          <t>-- Ratio of [Total Operating Cost] / [Total Commodity Throughput Volume] 
-- Interpretation: General measure of supply chain efficiency. For similar geographies, throughput volumes, and supply chain designs, a lower value represents a more efficient supply chain.  No standard benchmarks exist within global health supply chain, though some publicly-available supply chain costing studies could be used to create a rough benchmark value</t>
        </r>
      </text>
    </comment>
    <comment ref="G27" authorId="1" shapeId="0" xr:uid="{BF581FA5-042B-4E34-B66B-F9D7EFCC1D92}">
      <text>
        <r>
          <rPr>
            <sz val="9"/>
            <color indexed="81"/>
            <rFont val="Tahoma"/>
            <family val="2"/>
          </rPr>
          <t xml:space="preserve">-- The monetary value (in user-specified currency) of the average amount of inventory (m^3) in the entire supply chain at any given time (For each tier: [$ value per m^3] x [m^3 per facility average inventory] x [# facilities in tier]).
-- Interpretation: Some inventory is necessary to buffer against unexpected changes in supply and demand, but in general lower is better. Money that is tied up in inventory cannot be invested in other program activities, and thus carries a significant opportunity cost. </t>
        </r>
      </text>
    </comment>
    <comment ref="G28" authorId="1" shapeId="0" xr:uid="{15D658BF-DF2A-4C4E-AD9C-76E70ADC0DE0}">
      <text>
        <r>
          <rPr>
            <sz val="9"/>
            <color indexed="81"/>
            <rFont val="Tahoma"/>
            <family val="2"/>
          </rPr>
          <t>'-- Ratio of [Total kilometers traveled for ordering/delivery/additional activities] / [Total volume of commodities delivered to final tier]
--Interpretation: Some travel will always be required to distribute commodities from upstream to downstream tiers, but travel is generally costly. This value can help users identify SC design options that can deliver commodities with a minimum of travel. Higher values are likely caused by 
   a) additional activities that require travel, e.g. ordering
   b) delivery vehicles with a small capacity (m^3), thus requiring multiple trips to each facility every resupply period
   c) low maximum allowable days per travel route (e.g. 1 or 2 days) in a country with long driving/dwell times, creating routes 
       that only reach a couple of clinics at a time, which leads to excessive (and inefficient) driving between tiers. 
NOTE: This value obviously increases for countries with larger land area, so it is best used when comparing supply chain design options within a single geography.</t>
        </r>
      </text>
    </comment>
    <comment ref="F31" authorId="1" shapeId="0" xr:uid="{CDF33577-5C92-47D6-B534-0CD2BD34FEB5}">
      <text>
        <r>
          <rPr>
            <sz val="9"/>
            <color indexed="81"/>
            <rFont val="Tahoma"/>
            <family val="2"/>
          </rPr>
          <t>'-- For each tier of the supply chain, the percent of available vehicle delivery capacity (m^3) that is actually being used on deliveries. 
-- Interpretation: In general, 75% - 85% capacity utiliztion is ideal. Anything above 90-95% likely indicates that delivery resources will frequently be overburdened - vehicles aren't big enough, or there aren't enough of them.  Anything below 50% indicates much of the available space on delivery vehicles is being left empty, and thus the supply chain is paying for vehicle space that it isn't using
--NOTE:  if the user has specified a "route-based" delivery pattern, this value may default to 99% or 100%. In this case, it is the Delivery Vehicle Time Utilization that more accurately reflects overall utilization of delivery resources.</t>
        </r>
      </text>
    </comment>
    <comment ref="F34" authorId="1" shapeId="0" xr:uid="{211F70DC-9F07-460F-A410-7AC176BE822D}">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F38" authorId="1" shapeId="0" xr:uid="{B0DC1F9A-3A1E-4DDE-BFCD-A380DDCD56F7}">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F42" authorId="1" shapeId="0" xr:uid="{D261F5DC-6C24-4226-894D-CA3FC5E92C97}">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G52" authorId="1" shapeId="0" xr:uid="{18F2815F-129E-46C9-B792-35DB384A7B11}">
      <text>
        <r>
          <rPr>
            <sz val="9"/>
            <color indexed="81"/>
            <rFont val="Tahoma"/>
            <family val="2"/>
          </rPr>
          <t>Within a given supply chain tier, the total number of cubic meters (m^3) of product expected to be ordered by each facility in a given order period.  This value is the same for each facility within that tier, and includes ambient and cold chain commodities.</t>
        </r>
      </text>
    </comment>
    <comment ref="G53" authorId="1" shapeId="0" xr:uid="{0573FF25-394F-43A9-BBCF-1352FC556C99}">
      <text>
        <r>
          <rPr>
            <sz val="9"/>
            <color indexed="81"/>
            <rFont val="Tahoma"/>
            <family val="2"/>
          </rPr>
          <t>Ratio of time spent processing commodities at storage facilities, divided by total available time for processing. Based on user inputs for 1) total number of full-time-equivalent (FTE) workers per storage point, and 2) average throughput capacity (m^3/day) per person</t>
        </r>
      </text>
    </comment>
    <comment ref="G54" authorId="1" shapeId="0" xr:uid="{421D5B04-E022-40E1-9EBC-0B89273BED49}">
      <text>
        <r>
          <rPr>
            <sz val="9"/>
            <color indexed="81"/>
            <rFont val="Tahoma"/>
            <family val="2"/>
          </rPr>
          <t>Ratio of average inventory levels (m^3) divided by total available storage capacity per facility. Based on user input for 1) overall system demand, 2) resupply frequency, 3) safety stock levels, and 4) average storage capacity per facility</t>
        </r>
      </text>
    </comment>
    <comment ref="G55" authorId="1" shapeId="0" xr:uid="{1E502F55-13E2-43A8-8F8A-650114761B86}">
      <text>
        <r>
          <rPr>
            <sz val="9"/>
            <color indexed="81"/>
            <rFont val="Tahoma"/>
            <family val="2"/>
          </rPr>
          <t>A count of the number of tiers in which average storage utilization is outside an ideal range.  Range is user-specified, but 50% to 90% utilization is a common target range in global health applications</t>
        </r>
      </text>
    </comment>
    <comment ref="G57" authorId="1" shapeId="0" xr:uid="{7566CCBC-B008-4F45-96B0-F8380752C80C}">
      <text>
        <r>
          <rPr>
            <sz val="9"/>
            <color indexed="81"/>
            <rFont val="Tahoma"/>
            <family val="2"/>
          </rPr>
          <t>Within a given supply chain tier, the total number of cubic meters (m^3) of ambient-temperature product expected to be ordered by each facility in a given order period.  This value is the same for each facility within that tier.</t>
        </r>
      </text>
    </comment>
    <comment ref="G58" authorId="1" shapeId="0" xr:uid="{8BF442C2-7E7B-4007-ADED-ECDF9B6AEC8B}">
      <text>
        <r>
          <rPr>
            <sz val="9"/>
            <color indexed="81"/>
            <rFont val="Tahoma"/>
            <family val="2"/>
          </rPr>
          <t>Average annual demand per facility divided by the number of resupply periods</t>
        </r>
      </text>
    </comment>
    <comment ref="G59" authorId="1" shapeId="0" xr:uid="{3B6CAA1E-5C37-47CC-8619-16939A89AE58}">
      <text>
        <r>
          <rPr>
            <sz val="9"/>
            <color indexed="81"/>
            <rFont val="Tahoma"/>
            <family val="2"/>
          </rPr>
          <t xml:space="preserve">The volume (m^3) of safety or buffer stock expected on-hand at a facility at the beginning of an order period. This equates to the minimum amount of stock expected for an order period with average total demand. </t>
        </r>
      </text>
    </comment>
    <comment ref="G60" authorId="1" shapeId="0" xr:uid="{EE7D3131-4676-495C-86D3-709528FC8698}">
      <text>
        <r>
          <rPr>
            <sz val="9"/>
            <color indexed="81"/>
            <rFont val="Tahoma"/>
            <family val="2"/>
          </rPr>
          <t xml:space="preserve">Overall average level of inventory expected at storage facilties over the course of a year. This tool assumes a constant daily demand, thus average inventory is equal to safety stock plus one-half of the average demand volume per resupply period </t>
        </r>
      </text>
    </comment>
    <comment ref="G61" authorId="1" shapeId="0" xr:uid="{27F0DBEC-06D1-41C9-8AE7-A6ACD6B42D6B}">
      <text>
        <r>
          <rPr>
            <sz val="9"/>
            <color indexed="81"/>
            <rFont val="Tahoma"/>
            <family val="2"/>
          </rPr>
          <t>Maximum level of inventory expected at storage facilities at any time. This tool assumes constant daily demand, thus max inventory is equal to safety stock plus average demand volume per resupply period</t>
        </r>
      </text>
    </comment>
    <comment ref="G62" authorId="1" shapeId="0" xr:uid="{6D2B2ED0-C2D1-4A97-AE22-9CD30F191A66}">
      <text>
        <r>
          <rPr>
            <sz val="9"/>
            <color indexed="81"/>
            <rFont val="Tahoma"/>
            <family val="2"/>
          </rPr>
          <t>Ratio of average inventory levels (m^3) divided by total available storage capacity per facility. Based on user input for 1) overall system demand, 2) resupply frequency, 3) safety stock levels, and 4) average storage capacity per facility</t>
        </r>
      </text>
    </comment>
    <comment ref="G71" authorId="1" shapeId="0" xr:uid="{4E0F25A7-5CF2-4046-AE13-0ADE044C270D}">
      <text>
        <r>
          <rPr>
            <sz val="9"/>
            <color indexed="81"/>
            <rFont val="Tahoma"/>
            <family val="2"/>
          </rPr>
          <t>For each tier, the average volume (m^3) of passive storage devices in use at any given time, divided by the total volume of available passive storage devices.
NOTE: Calculation assumes cold boxes are a pooled resource with no constraints on availability for distribution activities. If the SC design imposes other constraints (e.g. if every facility requires its own cold box to retrieve product from upstream), then this metric may not reflect true need for cold box capacity. In that case the user should manage the other constraints directly (e.g. inputting &gt; 1 cold box per facility)</t>
        </r>
      </text>
    </comment>
    <comment ref="G78" authorId="1" shapeId="0" xr:uid="{C2A74C47-2153-4BD8-B48E-8B84FA0EAD1F}">
      <text>
        <r>
          <rPr>
            <sz val="9"/>
            <color indexed="81"/>
            <rFont val="Tahoma"/>
            <family val="2"/>
          </rPr>
          <t>Total capital and operating expenses associated with storage of health commodities and processing/packing facility orders</t>
        </r>
      </text>
    </comment>
    <comment ref="G79" authorId="1" shapeId="0" xr:uid="{8427199B-A4A6-401A-A5C7-503D66CF8FE2}">
      <text>
        <r>
          <rPr>
            <sz val="9"/>
            <color indexed="81"/>
            <rFont val="Tahoma"/>
            <family val="2"/>
          </rPr>
          <t>Total capital and operating expenses associated with transport of health commodities between storage locations</t>
        </r>
      </text>
    </comment>
    <comment ref="G80" authorId="1" shapeId="0" xr:uid="{9F0176EF-9632-4DEB-A0D3-553E09C82D11}">
      <text>
        <r>
          <rPr>
            <sz val="9"/>
            <color indexed="81"/>
            <rFont val="Tahoma"/>
            <family val="2"/>
          </rPr>
          <t>Total costs related to supervision, management, training, analysis/forecasting, and other indirect supply chain functions</t>
        </r>
      </text>
    </comment>
    <comment ref="G84" authorId="1" shapeId="0" xr:uid="{F438F1FD-2BD2-4022-98AB-D6482EAEE274}">
      <text>
        <r>
          <rPr>
            <sz val="9"/>
            <color indexed="81"/>
            <rFont val="Tahoma"/>
            <family val="2"/>
          </rPr>
          <t>The cost of the time that supply chain workers spend managing warehouse functions, based on their annual salary</t>
        </r>
      </text>
    </comment>
    <comment ref="G85" authorId="1" shapeId="0" xr:uid="{62BB624D-91A3-4050-98C3-634B69D60F9F}">
      <text>
        <r>
          <rPr>
            <sz val="9"/>
            <color indexed="81"/>
            <rFont val="Tahoma"/>
            <family val="2"/>
          </rPr>
          <t>The purchase cost of buildings and other equipment necessary to operate the supply chain (i.e. Capital Expenditures)</t>
        </r>
      </text>
    </comment>
    <comment ref="G86" authorId="1" shapeId="0" xr:uid="{677DC54B-60C0-413C-8101-51AEBE02BF6B}">
      <text>
        <r>
          <rPr>
            <sz val="9"/>
            <color indexed="81"/>
            <rFont val="Tahoma"/>
            <family val="2"/>
          </rPr>
          <t>The ongoing operating costs needed to keep the people, equipment, buildings, etc., running smoothly (i.e. Operating Expenditures)</t>
        </r>
      </text>
    </comment>
    <comment ref="G88" authorId="1" shapeId="0" xr:uid="{CC9E95F2-4B03-4864-A7E8-8F4B202835E9}">
      <text>
        <r>
          <rPr>
            <sz val="9"/>
            <color indexed="81"/>
            <rFont val="Tahoma"/>
            <family val="2"/>
          </rPr>
          <t>The cost of the time that supply chain workers spend traveling to order and transport health commodities, based on annual salary</t>
        </r>
      </text>
    </comment>
    <comment ref="G89" authorId="1" shapeId="0" xr:uid="{4A9DE33E-3DC6-4CE2-A593-750C67101D81}">
      <text>
        <r>
          <rPr>
            <sz val="9"/>
            <color indexed="81"/>
            <rFont val="Tahoma"/>
            <family val="2"/>
          </rPr>
          <t>The purchase cost of vehicles and other equipment necessary to operate the supply chain (i.e. Capital Expenditures)</t>
        </r>
      </text>
    </comment>
    <comment ref="G90" authorId="1" shapeId="0" xr:uid="{46C6A5F8-DB7E-46F1-8AEB-16E7E70BF75B}">
      <text>
        <r>
          <rPr>
            <sz val="9"/>
            <color indexed="81"/>
            <rFont val="Tahoma"/>
            <family val="2"/>
          </rPr>
          <t>The amount paid to traveling supply chain workers to cover meals, incidentals, and lodging costs.</t>
        </r>
      </text>
    </comment>
    <comment ref="G91" authorId="1" shapeId="0" xr:uid="{94395468-B430-4B13-AED7-57746667EFF8}">
      <text>
        <r>
          <rPr>
            <sz val="9"/>
            <color indexed="81"/>
            <rFont val="Tahoma"/>
            <family val="2"/>
          </rPr>
          <t>The ongoing operating costs needed to keep vehicles and other equpiment running smoothly (i.e. Operating Expenditures)</t>
        </r>
      </text>
    </comment>
    <comment ref="G99" authorId="1" shapeId="0" xr:uid="{7DE9E6C2-7C48-4031-8E4D-DFA5BDE7583A}">
      <text>
        <r>
          <rPr>
            <sz val="9"/>
            <color indexed="81"/>
            <rFont val="Tahoma"/>
            <family val="2"/>
          </rPr>
          <t>If any modes of transport used for ordering are outsourced to a third party logistics provider, their costs will appear here under the appropriate tier</t>
        </r>
      </text>
    </comment>
    <comment ref="G100" authorId="1" shapeId="0" xr:uid="{3668BD6B-9E60-4CB8-93B8-62886CF46DE0}">
      <text>
        <r>
          <rPr>
            <sz val="9"/>
            <color indexed="81"/>
            <rFont val="Tahoma"/>
            <family val="2"/>
          </rPr>
          <t>If any modes of transport used for ordering are involve rented vehicles, the vehicle rental costs will appear here under the appropriate tier</t>
        </r>
      </text>
    </comment>
    <comment ref="G101" authorId="1" shapeId="0" xr:uid="{5C98C04E-147F-4AF9-937A-6CE2DB4589B7}">
      <text>
        <r>
          <rPr>
            <sz val="9"/>
            <color indexed="81"/>
            <rFont val="Tahoma"/>
            <family val="2"/>
          </rPr>
          <t>Personnel salary costs associated with travel for ordering:  [Number of hours spent traveling] x [hourly salary]</t>
        </r>
      </text>
    </comment>
    <comment ref="G102" authorId="1" shapeId="0" xr:uid="{C178CCBE-AD7F-4735-B13A-C7B1DBAEC085}">
      <text>
        <r>
          <rPr>
            <sz val="9"/>
            <color indexed="81"/>
            <rFont val="Tahoma"/>
            <family val="2"/>
          </rPr>
          <t>Cost of meals, incidentals, and lodging associated with days spent traveling to order commodities:  [Number of days of travel] x [daily per diem rate]</t>
        </r>
      </text>
    </comment>
    <comment ref="G103" authorId="1" shapeId="0" xr:uid="{EAF30B46-20AA-46BC-BE5C-2C2956B913F9}">
      <text>
        <r>
          <rPr>
            <sz val="9"/>
            <color indexed="81"/>
            <rFont val="Tahoma"/>
            <family val="2"/>
          </rPr>
          <t>Cost of gasoline/diesel to fuel the ordering vehicles. Based on number of kilometers traveled and the fuel efficiency of the vehicle types used</t>
        </r>
      </text>
    </comment>
    <comment ref="G104" authorId="1" shapeId="0" xr:uid="{5473962E-12F0-47BC-831F-3B27DC89AB09}">
      <text>
        <r>
          <rPr>
            <sz val="9"/>
            <color indexed="81"/>
            <rFont val="Tahoma"/>
            <family val="2"/>
          </rPr>
          <t>Total annual cost to insure the vehicles used for ordering, based on the number and type of vehicles used</t>
        </r>
      </text>
    </comment>
    <comment ref="G105" authorId="1" shapeId="0" xr:uid="{1752EA29-1897-4443-AA86-61757DC07203}">
      <text>
        <r>
          <rPr>
            <sz val="9"/>
            <color indexed="81"/>
            <rFont val="Tahoma"/>
            <family val="2"/>
          </rPr>
          <t>Cost of maintaining the vehicles used for ordering, based on the number of kilometers traveled and the average per-km maintenance costs of the vehicle types used</t>
        </r>
      </text>
    </comment>
    <comment ref="G106" authorId="1" shapeId="0" xr:uid="{8AE82AB6-54D8-4EAE-978D-C83C7FA53B18}">
      <text>
        <r>
          <rPr>
            <sz val="9"/>
            <color indexed="81"/>
            <rFont val="Tahoma"/>
            <family val="2"/>
          </rPr>
          <t>A fraction of the purchase price of the vehicles used for ordering. Total purchase price is spread over a number of years using straightline depreciation method</t>
        </r>
      </text>
    </comment>
    <comment ref="G107" authorId="1" shapeId="0" xr:uid="{20ED5BE0-57AF-47CE-B9F6-DF6248D95C11}">
      <text>
        <r>
          <rPr>
            <sz val="9"/>
            <color indexed="81"/>
            <rFont val="Tahoma"/>
            <family val="2"/>
          </rPr>
          <t>If any modes of transport used for ordering involve public transport, the direct public transport costs (i.e. ticket prices) are included here.</t>
        </r>
      </text>
    </comment>
    <comment ref="G109" authorId="1" shapeId="0" xr:uid="{C1D29EDD-31AB-4665-B2A8-DE57812B0D56}">
      <text>
        <r>
          <rPr>
            <sz val="9"/>
            <color indexed="81"/>
            <rFont val="Tahoma"/>
            <family val="2"/>
          </rPr>
          <t>If any modes of transport used for ordering are outsourced to a third party logistics provider, their costs will appear here under the appropriate tier</t>
        </r>
      </text>
    </comment>
    <comment ref="G110" authorId="1" shapeId="0" xr:uid="{6C48E9AB-4A2B-4AB2-9148-1B8B3D718F80}">
      <text>
        <r>
          <rPr>
            <sz val="9"/>
            <color indexed="81"/>
            <rFont val="Tahoma"/>
            <family val="2"/>
          </rPr>
          <t>If any modes of transport used for ordering are involve rented vehicles, the vehicle rental costs will appear here under the appropriate tier</t>
        </r>
      </text>
    </comment>
    <comment ref="G111" authorId="1" shapeId="0" xr:uid="{3E868F19-DDFF-48A1-B0B8-FBF740CE7977}">
      <text>
        <r>
          <rPr>
            <sz val="9"/>
            <color indexed="81"/>
            <rFont val="Tahoma"/>
            <family val="2"/>
          </rPr>
          <t>Personnel salary costs associated with travel for ordering:  [Number of hours spent traveling] x [hourly salary]</t>
        </r>
      </text>
    </comment>
    <comment ref="G112" authorId="1" shapeId="0" xr:uid="{8B22D665-BF1A-4758-A2E6-4F9BB87CDB0F}">
      <text>
        <r>
          <rPr>
            <sz val="9"/>
            <color indexed="81"/>
            <rFont val="Tahoma"/>
            <family val="2"/>
          </rPr>
          <t>Cost of meals, incidentals, and lodging associated with days spent traveling to order commodities:  [Number of days of travel] x [daily per diem rate]</t>
        </r>
      </text>
    </comment>
    <comment ref="G113" authorId="1" shapeId="0" xr:uid="{077F0125-C177-46A4-B335-21432D2B2EA2}">
      <text>
        <r>
          <rPr>
            <sz val="9"/>
            <color indexed="81"/>
            <rFont val="Tahoma"/>
            <family val="2"/>
          </rPr>
          <t>Cost of gasoline/diesel to fuel the ordering vehicles. Based on number of kilometers traveled and the fuel efficiency of the vehicle types used</t>
        </r>
      </text>
    </comment>
    <comment ref="G114" authorId="1" shapeId="0" xr:uid="{A83ECA4C-013E-4529-BA46-DEFD0B348B03}">
      <text>
        <r>
          <rPr>
            <sz val="9"/>
            <color indexed="81"/>
            <rFont val="Tahoma"/>
            <family val="2"/>
          </rPr>
          <t>Total annual cost to insure the vehicles used for ordering, based on the number and type of vehicles used</t>
        </r>
      </text>
    </comment>
    <comment ref="G115" authorId="1" shapeId="0" xr:uid="{5E94E586-87EC-4E1B-9F4F-790004BF09B7}">
      <text>
        <r>
          <rPr>
            <sz val="9"/>
            <color indexed="81"/>
            <rFont val="Tahoma"/>
            <family val="2"/>
          </rPr>
          <t>Cost of maintaining the vehicles used for ordering, based on the number of kilometers traveled and the average per-km maintenance costs of the vehicle types used</t>
        </r>
      </text>
    </comment>
    <comment ref="G116" authorId="1" shapeId="0" xr:uid="{D8F08DA7-7EC4-40F6-9AC3-C97123D3EF81}">
      <text>
        <r>
          <rPr>
            <sz val="9"/>
            <color indexed="81"/>
            <rFont val="Tahoma"/>
            <family val="2"/>
          </rPr>
          <t>A fraction of the purchase price of the vehicles used for ordering. Total purchase price is spread over a number of years using straightline depreciation method</t>
        </r>
      </text>
    </comment>
    <comment ref="G117" authorId="1" shapeId="0" xr:uid="{1261EF12-D794-4A5C-940C-84FAF2414D55}">
      <text>
        <r>
          <rPr>
            <sz val="9"/>
            <color indexed="81"/>
            <rFont val="Tahoma"/>
            <family val="2"/>
          </rPr>
          <t>If any modes of transport used for ordering involve public transport, the direct public transport costs (i.e. ticket prices) are included here.</t>
        </r>
      </text>
    </comment>
    <comment ref="G119" authorId="1" shapeId="0" xr:uid="{EE5EB7B0-8956-442B-ABA6-5A485615AF06}">
      <text>
        <r>
          <rPr>
            <sz val="9"/>
            <color indexed="81"/>
            <rFont val="Tahoma"/>
            <family val="2"/>
          </rPr>
          <t>If any modes of transport used for ordering are outsourced to a third party logistics provider, their costs will appear here under the appropriate tier</t>
        </r>
      </text>
    </comment>
    <comment ref="G120" authorId="1" shapeId="0" xr:uid="{42FA0678-4862-4422-86FB-E6BC68D74DC3}">
      <text>
        <r>
          <rPr>
            <sz val="9"/>
            <color indexed="81"/>
            <rFont val="Tahoma"/>
            <family val="2"/>
          </rPr>
          <t>If any modes of transport used for ordering are involve rented vehicles, the vehicle rental costs will appear here under the appropriate tier</t>
        </r>
      </text>
    </comment>
    <comment ref="G121" authorId="1" shapeId="0" xr:uid="{CCD63896-3CB0-475D-8673-43EEAFF1E5BD}">
      <text>
        <r>
          <rPr>
            <sz val="9"/>
            <color indexed="81"/>
            <rFont val="Tahoma"/>
            <family val="2"/>
          </rPr>
          <t>Personnel salary costs associated with travel for ordering:  [Number of hours spent traveling] x [hourly salary]</t>
        </r>
      </text>
    </comment>
    <comment ref="G122" authorId="1" shapeId="0" xr:uid="{CBBA8368-04CA-4315-B861-8E623D389A7C}">
      <text>
        <r>
          <rPr>
            <sz val="9"/>
            <color indexed="81"/>
            <rFont val="Tahoma"/>
            <family val="2"/>
          </rPr>
          <t>Cost of meals, incidentals, and lodging associated with days spent traveling to order commodities:  [Number of days of travel] x [daily per diem rate]</t>
        </r>
      </text>
    </comment>
    <comment ref="G123" authorId="1" shapeId="0" xr:uid="{A1B0A97A-B738-44BA-8444-FD7EEAA6EC83}">
      <text>
        <r>
          <rPr>
            <sz val="9"/>
            <color indexed="81"/>
            <rFont val="Tahoma"/>
            <family val="2"/>
          </rPr>
          <t>Cost of gasoline/diesel to fuel the ordering vehicles. Based on number of kilometers traveled and the fuel efficiency of the vehicle types used</t>
        </r>
      </text>
    </comment>
    <comment ref="G124" authorId="1" shapeId="0" xr:uid="{FA7433F6-D409-4B5F-96C0-EC6F538972A8}">
      <text>
        <r>
          <rPr>
            <sz val="9"/>
            <color indexed="81"/>
            <rFont val="Tahoma"/>
            <family val="2"/>
          </rPr>
          <t>Total annual cost to insure the vehicles used for ordering, based on the number and type of vehicles used</t>
        </r>
      </text>
    </comment>
    <comment ref="G125" authorId="1" shapeId="0" xr:uid="{478731D6-48B4-4E0D-82AB-B098ACB65CF2}">
      <text>
        <r>
          <rPr>
            <sz val="9"/>
            <color indexed="81"/>
            <rFont val="Tahoma"/>
            <family val="2"/>
          </rPr>
          <t>Cost of maintaining the vehicles used for ordering, based on the number of kilometers traveled and the average per-km maintenance costs of the vehicle types used</t>
        </r>
      </text>
    </comment>
    <comment ref="G126" authorId="1" shapeId="0" xr:uid="{D760B4E7-5E34-4CBE-A11F-28B61D974A77}">
      <text>
        <r>
          <rPr>
            <sz val="9"/>
            <color indexed="81"/>
            <rFont val="Tahoma"/>
            <family val="2"/>
          </rPr>
          <t>A fraction of the purchase price of the vehicles used for ordering. Total purchase price is spread over a number of years using straightline depreciation method</t>
        </r>
      </text>
    </comment>
    <comment ref="G127" authorId="1" shapeId="0" xr:uid="{8287417A-5D86-4004-9C06-D05D57B93406}">
      <text>
        <r>
          <rPr>
            <sz val="9"/>
            <color indexed="81"/>
            <rFont val="Tahoma"/>
            <family val="2"/>
          </rPr>
          <t>If any modes of transport used for ordering involve public transport, the direct public transport costs (i.e. ticket prices) are included here.</t>
        </r>
      </text>
    </comment>
    <comment ref="G132" authorId="1" shapeId="0" xr:uid="{C75E584E-A88B-4B76-99B0-47D3DE1183FA}">
      <text>
        <r>
          <rPr>
            <sz val="9"/>
            <color indexed="81"/>
            <rFont val="Tahoma"/>
            <family val="2"/>
          </rPr>
          <t>The cost of the time that supply chain workers spend managing warehouse functions, based on their annual salary</t>
        </r>
      </text>
    </comment>
    <comment ref="G133" authorId="1" shapeId="0" xr:uid="{47954A76-65B1-4D00-BCA3-46046C0B37E2}">
      <text>
        <r>
          <rPr>
            <sz val="9"/>
            <color indexed="81"/>
            <rFont val="Tahoma"/>
            <family val="2"/>
          </rPr>
          <t>The ongoing operating costs needed to keep the people, equipment, buildings, etc running smoothly (i.e. Operating Expenditures)</t>
        </r>
      </text>
    </comment>
    <comment ref="G134" authorId="1" shapeId="0" xr:uid="{DDFBE44E-2451-4550-8301-86D5D94287E7}">
      <text>
        <r>
          <rPr>
            <sz val="9"/>
            <color indexed="81"/>
            <rFont val="Tahoma"/>
            <family val="2"/>
          </rPr>
          <t xml:space="preserve">The depreciated purchase cost of buildings and other equipment necessary to operate a typical ambient-temperature warehouse </t>
        </r>
      </text>
    </comment>
    <comment ref="G135" authorId="1" shapeId="0" xr:uid="{DEEDDB9C-796A-4B3D-AB1F-FD87639DACE0}">
      <text>
        <r>
          <rPr>
            <sz val="9"/>
            <color indexed="81"/>
            <rFont val="Tahoma"/>
            <family val="2"/>
          </rPr>
          <t>The depreciated purchase cost of cold-chain specific equipment (e.g. cold room, freezer)</t>
        </r>
      </text>
    </comment>
    <comment ref="G136" authorId="1" shapeId="0" xr:uid="{BE3B3FA9-4B18-4AFB-B2E6-EDBB032314B2}">
      <text>
        <r>
          <rPr>
            <sz val="9"/>
            <color indexed="81"/>
            <rFont val="Tahoma"/>
            <family val="2"/>
          </rPr>
          <t>If applicable, the average annual cost to operate any cold boxes  owned by storage facilities (e.g. electricity, fuel, maintenance)</t>
        </r>
      </text>
    </comment>
    <comment ref="G137" authorId="1" shapeId="0" xr:uid="{DE314C1F-89CD-48ED-BE8B-B39AF35A7C45}">
      <text>
        <r>
          <rPr>
            <sz val="9"/>
            <color indexed="81"/>
            <rFont val="Tahoma"/>
            <family val="2"/>
          </rPr>
          <t>The depreciated purchase cost of cold boxes used to transport cold-chain commodities to/from the storage facility</t>
        </r>
      </text>
    </comment>
    <comment ref="G139" authorId="1" shapeId="0" xr:uid="{AF071F60-8EB1-469E-92F7-8BF36E6456E3}">
      <text>
        <r>
          <rPr>
            <sz val="9"/>
            <color indexed="81"/>
            <rFont val="Tahoma"/>
            <family val="2"/>
          </rPr>
          <t>Total costs related to supervision, management, training, analysis/forecasting, and other indirect supply chain functions</t>
        </r>
      </text>
    </comment>
    <comment ref="F146" authorId="1" shapeId="0" xr:uid="{110006EC-DDD7-4E3E-B02D-510318A39533}">
      <text>
        <r>
          <rPr>
            <sz val="9"/>
            <color indexed="81"/>
            <rFont val="Tahoma"/>
            <family val="2"/>
          </rPr>
          <t>Table 6 provides a detailed breakdown of the travel activities required at each tier and mode of transport. These estimated activities (e.g. # trips needed, # travel days, # kilometers traveled) provide the basis for cost and utilization calculations in Tables 1-5 above. This table can be used to validate the accuracy of the Input Parameters data, by checking that key values (e.g. # Facility visits per trip, # Trips needed per year) are reasonable given the distances, number of facilities and number of resupply periods specified.
NOTE: This table does contain calculations that are unused in the final costing model. For each transport mode, the table automatically calculates details for several different design options (public transport vs owned vehicles, route-based vs. point-to-point travel), with Tables 1-5 above selecting/using only the set of calculations that matches the design specified in the Input Parameters page.  Thus when using this table for validation, the user should be careful to focus only on that same set of calculations.</t>
        </r>
      </text>
    </comment>
    <comment ref="G149" authorId="1" shapeId="0" xr:uid="{FB15DF91-8E75-4793-B088-9EED10E38E58}">
      <text>
        <r>
          <rPr>
            <sz val="9"/>
            <color indexed="81"/>
            <rFont val="Tahoma"/>
            <family val="2"/>
          </rPr>
          <t>Same values as in Table 3 above, but can be either Total Annual Demand per Facility, Total Ambient Temp. Demand per Facility, or  Total Cold Chain Demand per Facility, depending on whether the user has indicated an exclusive cold chain mode of transport.</t>
        </r>
      </text>
    </comment>
    <comment ref="G151" authorId="1" shapeId="0" xr:uid="{9FBF90F3-343B-440E-89F1-FB3DE22C5392}">
      <text>
        <r>
          <rPr>
            <sz val="9"/>
            <color indexed="81"/>
            <rFont val="Tahoma"/>
            <family val="2"/>
          </rPr>
          <t>Total annual cold chain volume for this mode, divided by the total number of trips needed per year. Used to estimate the amount of cold box capacity needed per trip</t>
        </r>
      </text>
    </comment>
    <comment ref="G152" authorId="1" shapeId="0" xr:uid="{E411A9F5-E4A3-4004-9853-F90268FA7CE2}">
      <text>
        <r>
          <rPr>
            <sz val="9"/>
            <color indexed="81"/>
            <rFont val="Tahoma"/>
            <family val="2"/>
          </rPr>
          <t>Total number of days spent traveling per year for this mode, divided by the number of available work days. Used to estimate how many vehicles will be out for delivery at any given time, which can determine how many cold boxes a facility must have on hand</t>
        </r>
      </text>
    </comment>
    <comment ref="G154" authorId="1" shapeId="0" xr:uid="{24F72077-2A83-446F-B393-D1C9E1F4EA29}">
      <text>
        <r>
          <rPr>
            <sz val="9"/>
            <color indexed="81"/>
            <rFont val="Tahoma"/>
            <family val="2"/>
          </rPr>
          <t>Based on 1) number of facilities using public transit, 2) number of resupply periods in a year, and 3) volume of commodities that can be carried on one public transit trip.</t>
        </r>
      </text>
    </comment>
    <comment ref="G155" authorId="1" shapeId="0" xr:uid="{A667260A-2535-4906-ADC5-EF26B16559F0}">
      <text>
        <r>
          <rPr>
            <sz val="9"/>
            <color indexed="81"/>
            <rFont val="Tahoma"/>
            <family val="2"/>
          </rPr>
          <t>Number of trips needed per year multiplied by the average duration (travel time + dwell time at facility) per trip;  Will be based on either the point-to-point or route-based values below, depending on which option the user has selected for this mode</t>
        </r>
      </text>
    </comment>
    <comment ref="G156" authorId="1" shapeId="0" xr:uid="{E4E090C8-F7A6-4FA7-85BB-0839A9AA5AFC}">
      <text>
        <r>
          <rPr>
            <sz val="9"/>
            <color indexed="81"/>
            <rFont val="Tahoma"/>
            <family val="2"/>
          </rPr>
          <t>Total number of facilities at this tier, multiplied by the percentage that are using this mode of transport</t>
        </r>
      </text>
    </comment>
    <comment ref="G157" authorId="1" shapeId="0" xr:uid="{89A68F53-BC6E-46D5-AEB4-B86D933AD3B8}">
      <text>
        <r>
          <rPr>
            <sz val="9"/>
            <color indexed="81"/>
            <rFont val="Tahoma"/>
            <family val="2"/>
          </rPr>
          <t>Volume of commodities that can be carried on one public transit trip, divided by the total annual demand per facility for this mode</t>
        </r>
      </text>
    </comment>
    <comment ref="G159" authorId="1" shapeId="0" xr:uid="{8FB8E73A-DC0F-492F-A5BE-B2D15E55E054}">
      <text>
        <r>
          <rPr>
            <sz val="9"/>
            <color indexed="81"/>
            <rFont val="Tahoma"/>
            <family val="2"/>
          </rPr>
          <t>Number of hours per workday divided by total visit time per facility (travel time + dwell time)</t>
        </r>
      </text>
    </comment>
    <comment ref="G160" authorId="1" shapeId="0" xr:uid="{62744B19-D0C2-482E-8B97-8F516CBE9FC5}">
      <text>
        <r>
          <rPr>
            <sz val="9"/>
            <color indexed="81"/>
            <rFont val="Tahoma"/>
            <family val="2"/>
          </rPr>
          <t>Either the Max # facilities based on delivery capacity, or the Max # facilities based on time limits (Max # facilities per day * Max # days per route), whichever value is smaller</t>
        </r>
      </text>
    </comment>
    <comment ref="G161" authorId="1" shapeId="0" xr:uid="{65869BEA-919F-4344-BDE2-B25097A70F89}">
      <text>
        <r>
          <rPr>
            <sz val="9"/>
            <color indexed="81"/>
            <rFont val="Tahoma"/>
            <family val="2"/>
          </rPr>
          <t>Total number of facilities to visit per period, divided by the maximum number of facilities visited per route</t>
        </r>
      </text>
    </comment>
    <comment ref="G162" authorId="1" shapeId="0" xr:uid="{AEF1D74B-BF7C-4EEC-A6C2-1E3231916109}">
      <text>
        <r>
          <rPr>
            <sz val="9"/>
            <color indexed="81"/>
            <rFont val="Tahoma"/>
            <family val="2"/>
          </rPr>
          <t>Number of individual trips needed.  For each route, the model estimates two trips needed to travel between the upstream warehouse and the first destination facility, and one additional trip for each additional facility visited on the route.</t>
        </r>
      </text>
    </comment>
    <comment ref="G163" authorId="1" shapeId="0" xr:uid="{0892BFA4-B226-424A-82B3-3649B613E832}">
      <text>
        <r>
          <rPr>
            <sz val="9"/>
            <color indexed="81"/>
            <rFont val="Tahoma"/>
            <family val="2"/>
          </rPr>
          <t>Number of trips needed per period multiplied by the average duration (travel time + dwell time at facility) per trip, for route-based public transit travel</t>
        </r>
      </text>
    </comment>
    <comment ref="G165" authorId="1" shapeId="0" xr:uid="{BAB0F606-3A10-488F-8730-641CA12BF496}">
      <text>
        <r>
          <rPr>
            <sz val="9"/>
            <color indexed="81"/>
            <rFont val="Tahoma"/>
            <family val="2"/>
          </rPr>
          <t>Number of individual trips needed. For point-to-point travel, the model assumes two trips per facility per resupply period</t>
        </r>
      </text>
    </comment>
    <comment ref="G166" authorId="1" shapeId="0" xr:uid="{0A9D26B6-3B51-4928-AB3C-4987DC81F922}">
      <text>
        <r>
          <rPr>
            <sz val="9"/>
            <color indexed="81"/>
            <rFont val="Tahoma"/>
            <family val="2"/>
          </rPr>
          <t>Number of trips needed per period multiplied by the average duration (travel time + dwell time at facility) per trip, for point-to-point public transit travel</t>
        </r>
      </text>
    </comment>
    <comment ref="G168" authorId="1" shapeId="0" xr:uid="{602FAC26-A8CC-4864-B1FB-5EE1B372E0CC}">
      <text>
        <r>
          <rPr>
            <sz val="9"/>
            <color indexed="81"/>
            <rFont val="Tahoma"/>
            <family val="2"/>
          </rPr>
          <t>Total number of facilities at this tier, multiplied by the percentage that are using this mode of transport</t>
        </r>
      </text>
    </comment>
    <comment ref="G169" authorId="1" shapeId="0" xr:uid="{83509E89-E315-4CF4-94AA-D628701E8770}">
      <text>
        <r>
          <rPr>
            <sz val="9"/>
            <color indexed="81"/>
            <rFont val="Tahoma"/>
            <family val="2"/>
          </rPr>
          <t>Distance traveled per trip, multiplied by the number of trips needed per year; will be based on either the point-to-point or route-based values below, dependign on which option the user has selected for this mode</t>
        </r>
      </text>
    </comment>
    <comment ref="G170" authorId="1" shapeId="0" xr:uid="{13AC23E4-7FC6-4032-8145-3A8339A8F3FD}">
      <text>
        <r>
          <rPr>
            <sz val="9"/>
            <color indexed="81"/>
            <rFont val="Tahoma"/>
            <family val="2"/>
          </rPr>
          <t>Number of individual travel trips needed, based on 1) number of facilities to visit, 2) number of resupply periods in a year, and 3) the number of facilities that can be visited in one trip. Will be based on etiher the point-to-point or route-based values below</t>
        </r>
      </text>
    </comment>
    <comment ref="G171" authorId="1" shapeId="0" xr:uid="{6642FDC2-CED4-4EB5-B128-25802F4B3543}">
      <text>
        <r>
          <rPr>
            <sz val="9"/>
            <color indexed="81"/>
            <rFont val="Tahoma"/>
            <family val="2"/>
          </rPr>
          <t>Number of trips needed per year, multiplied by number of days needed per trip</t>
        </r>
      </text>
    </comment>
    <comment ref="G172" authorId="1" shapeId="0" xr:uid="{6B453475-1069-458C-9EAD-B9ECB0E006F7}">
      <text>
        <r>
          <rPr>
            <sz val="9"/>
            <color indexed="81"/>
            <rFont val="Tahoma"/>
            <family val="2"/>
          </rPr>
          <t>Total volume (m^3) to deliver per trip, divided by total capacity of delivery vehicles (NOTE: if user has selected route-based travel, and the max # of facilities is limited by capacity rather than by user policies, then this value will automatically be 100%)</t>
        </r>
      </text>
    </comment>
    <comment ref="G173" authorId="1" shapeId="0" xr:uid="{E528C666-DAE3-4A81-AF11-4D8100696898}">
      <text>
        <r>
          <rPr>
            <sz val="9"/>
            <color indexed="81"/>
            <rFont val="Tahoma"/>
            <family val="2"/>
          </rPr>
          <t>Number of days out on delivery per year, divided by the total number of vehicle-days availble for delivery (i.e. Number of working days per year * Number of available vehicles)</t>
        </r>
      </text>
    </comment>
    <comment ref="G175" authorId="1" shapeId="0" xr:uid="{6BF1FAB4-BE3B-4ED5-805D-EB45E83D33B7}">
      <text>
        <r>
          <rPr>
            <sz val="9"/>
            <color indexed="81"/>
            <rFont val="Tahoma"/>
            <family val="2"/>
          </rPr>
          <t>Delivery capacity of selected vehicle type (m^3) divided by average demand volume per facility per period</t>
        </r>
      </text>
    </comment>
    <comment ref="G176" authorId="1" shapeId="0" xr:uid="{155394DE-4B93-4D08-B212-128E491C6E2B}">
      <text>
        <r>
          <rPr>
            <sz val="9"/>
            <color indexed="81"/>
            <rFont val="Tahoma"/>
            <family val="2"/>
          </rPr>
          <t>Maximum allowable days per delivery route (A user input from Section 6.1) multiplied by the number of facilities that can be visited in a single workday based on distance, driving speed, dwell time at facilities, etc.</t>
        </r>
      </text>
    </comment>
    <comment ref="G177" authorId="1" shapeId="0" xr:uid="{2C1B845A-97DE-4D2F-BBC8-57A9D4E4EC15}">
      <text>
        <r>
          <rPr>
            <sz val="9"/>
            <color indexed="81"/>
            <rFont val="Tahoma"/>
            <family val="2"/>
          </rPr>
          <t>Minimum of the above two numbers (i.e. the max # facilities will either be constrained by delivery capacity of the vehicle or by time available for a single route)</t>
        </r>
      </text>
    </comment>
    <comment ref="G178" authorId="1" shapeId="0" xr:uid="{D70BBEF2-71B0-4328-84F0-B64C0903A327}">
      <text>
        <r>
          <rPr>
            <sz val="9"/>
            <color indexed="81"/>
            <rFont val="Tahoma"/>
            <family val="2"/>
          </rPr>
          <t>Total number of facilities to visit per year, divided by the maximum number of facility visits per trip</t>
        </r>
      </text>
    </comment>
    <comment ref="G179" authorId="1" shapeId="0" xr:uid="{FBF76F0C-77F9-4672-8767-6E05B14C5215}">
      <text>
        <r>
          <rPr>
            <sz val="9"/>
            <color indexed="81"/>
            <rFont val="Tahoma"/>
            <family val="2"/>
          </rPr>
          <t>2*[Distance to nearest upstream facility]  +  [N-1]*[Distance bewteen facilities at this tier],  where "N" equals the maximum number of facility visits per trip</t>
        </r>
      </text>
    </comment>
    <comment ref="G180" authorId="1" shapeId="0" xr:uid="{9A8DFBB9-CC43-4CB1-9771-6F33D91353F8}">
      <text>
        <r>
          <rPr>
            <sz val="9"/>
            <color indexed="81"/>
            <rFont val="Tahoma"/>
            <family val="2"/>
          </rPr>
          <t>Total time spent in-facility (Number of facility deliveries per trip * dwell time per facility ) plus Total driving time between facilities (Distance traveled * Average speed)</t>
        </r>
      </text>
    </comment>
    <comment ref="G181" authorId="1" shapeId="0" xr:uid="{5DBEC749-9E6F-4E03-B4D4-61812E181F4F}">
      <text>
        <r>
          <rPr>
            <sz val="9"/>
            <color indexed="81"/>
            <rFont val="Tahoma"/>
            <family val="2"/>
          </rPr>
          <t>Total available vehicle-days (number of working days per year * number of available vehicles) divided by total time needed per trip</t>
        </r>
      </text>
    </comment>
    <comment ref="G183" authorId="1" shapeId="0" xr:uid="{0E14AB56-B2D9-4D64-83DA-355F6D2FD919}">
      <text>
        <r>
          <rPr>
            <sz val="9"/>
            <color indexed="81"/>
            <rFont val="Tahoma"/>
            <family val="2"/>
          </rPr>
          <t>Total number of facilities to visit per year, divided by the maximum number of facility visits per trip (will be equal to one trip per facility per period, unless the delivery capacity of the vehicle is less than the facility's demand volume)</t>
        </r>
      </text>
    </comment>
    <comment ref="G184" authorId="1" shapeId="0" xr:uid="{B6DEAB54-6400-41EF-B384-3DBFA047D9E6}">
      <text>
        <r>
          <rPr>
            <sz val="9"/>
            <color indexed="81"/>
            <rFont val="Tahoma"/>
            <family val="2"/>
          </rPr>
          <t>Equal to twice the distance between a facility and its upstream supplier</t>
        </r>
      </text>
    </comment>
    <comment ref="G185" authorId="1" shapeId="0" xr:uid="{8FF2645A-DA6F-4D3B-B844-A81A4720B854}">
      <text>
        <r>
          <rPr>
            <sz val="9"/>
            <color indexed="81"/>
            <rFont val="Tahoma"/>
            <family val="2"/>
          </rPr>
          <t>Total available vehicle-days (number of working days per year * number of available vehicles) divided by total time needed per trip</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6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6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6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6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6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6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6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6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6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6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6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6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6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6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6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6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6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6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6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6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6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6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6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6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6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6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6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6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6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6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6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6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6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6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6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6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6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6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6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6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6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6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6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6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6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6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6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6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6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6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6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6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6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6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6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6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6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6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6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6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6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6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6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6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6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6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6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6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6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6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6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6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6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6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6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6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6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6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6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6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6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6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6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6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6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6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6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6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6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6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6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6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6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6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6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6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6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6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6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6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6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6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6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6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6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6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6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6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6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6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6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6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6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6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6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6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6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6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6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6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6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6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6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6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6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6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6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6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6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6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6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6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6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6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6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6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6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6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6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6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6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6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6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6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6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6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6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6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6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6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6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6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6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6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6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6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6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6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6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6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6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6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6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6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6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6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6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6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6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6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6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6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6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6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6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6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6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6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6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6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6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6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6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6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6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6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6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6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6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6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6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6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6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6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6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6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6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6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6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6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6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6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6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6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6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6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6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6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6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6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6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6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6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6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6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6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6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6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6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6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6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6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6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6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6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6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6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6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6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6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6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6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6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6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6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6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6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7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7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7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7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7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7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7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7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7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7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7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7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7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7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7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7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7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7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7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7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7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7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7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7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7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7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7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7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7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7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7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7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7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7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7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7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7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7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7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7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7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7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7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7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7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7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7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7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7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7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7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7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7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7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7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7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7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7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7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7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7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7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7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7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7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7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7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7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7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7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7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7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7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7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7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7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7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7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7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7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7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7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7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7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7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7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7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7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7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7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7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7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7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7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7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7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7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7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7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7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7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7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7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7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7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7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7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7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7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7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7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7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7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7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7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7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7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7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7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7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7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7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7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7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7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7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7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7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7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7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7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7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7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7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7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7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7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7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7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7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7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7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7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7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7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7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7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7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7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7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7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7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7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7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7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7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7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7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7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7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7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7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7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7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7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7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7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7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7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7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7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7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7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7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7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7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7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7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7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7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7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7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7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7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7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7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7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7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7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7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7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7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7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7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7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7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7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7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7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7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7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7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7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7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7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7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7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7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7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7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7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7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7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7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7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7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7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7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7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7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7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7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7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7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7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7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7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7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7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7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7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7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7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7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7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7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7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8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8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8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8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8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8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8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8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8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8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8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8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8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8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8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8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8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8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8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8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8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8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8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8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8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8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8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8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8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8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8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8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8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8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8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8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8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8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8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8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8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8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8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8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8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8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8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8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8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8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8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8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8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8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8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8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8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8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8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8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8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8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8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8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8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8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8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8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8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8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8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8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8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8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8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8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8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8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8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8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8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8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8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8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8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8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8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8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8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8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8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8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8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8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8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8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8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8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8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8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8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8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8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8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8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8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8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8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8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8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8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8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8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8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8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8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8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8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8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8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8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8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8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8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8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8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8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8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8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8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8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8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8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8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8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8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8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8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8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8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8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8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8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8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8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8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8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8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8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8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8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8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8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8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8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8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8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8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8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8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8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8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8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8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8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8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8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8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8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8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8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8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8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8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8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8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8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8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8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8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8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8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8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8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8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8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8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8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8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8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8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8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8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8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8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8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8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8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8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8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8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8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8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8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8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8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8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8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8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8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8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8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8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8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8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8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8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8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8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8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8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8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8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8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8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8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8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8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8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8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8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8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8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8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8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8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8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9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9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9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9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9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9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9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9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9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9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9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9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9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9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9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9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9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9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9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9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9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9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9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9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9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9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9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9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9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9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9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9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9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9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9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9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9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9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9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9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9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9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9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9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9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9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9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9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9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9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9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9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9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9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9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9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9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9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9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9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9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9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9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9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9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9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9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9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9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9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9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9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9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9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9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9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9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9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9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9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9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9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9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9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9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9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9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9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9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9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9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9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9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9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9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9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9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9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9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9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9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9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9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9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9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9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9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9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9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9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9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9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9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9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9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9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9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9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9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9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9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9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9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9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9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9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9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9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9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9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9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9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9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9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9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9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9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9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9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9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9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9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9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9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9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9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9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9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9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9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9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9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9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9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9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9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9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9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9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9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9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9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9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9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9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9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9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9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9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9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9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9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9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9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9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9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9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9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9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9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9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9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9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9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9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9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9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9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9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9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9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9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9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9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9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9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9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9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9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9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9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9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9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9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9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9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9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9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9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9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9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9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9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9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9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9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9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9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9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9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9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9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9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9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9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9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9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9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9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9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9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9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9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9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9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9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9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A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A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A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A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A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A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A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A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A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A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A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A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A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A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A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A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A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A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A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A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A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A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A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A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A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A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A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A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A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A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A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A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A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A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A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A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A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A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A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A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A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A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A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A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A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A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A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A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A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A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A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A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A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A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A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A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A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A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A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A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A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A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A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A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A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A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A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A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A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A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A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A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A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A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A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A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A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A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A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A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A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A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A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A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A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A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A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A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A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A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A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A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A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A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A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A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A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A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A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A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A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A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A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A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A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A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A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A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A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A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A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A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A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A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A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A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A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A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A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A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A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A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A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A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A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A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A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A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A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A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A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A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A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A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A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A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A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A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A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A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A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A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A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A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A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A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A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A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A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A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A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A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A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A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A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A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A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A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A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A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A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A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A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A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A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A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A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A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A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A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A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A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A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A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A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A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A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A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A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A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A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A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A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A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A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A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A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A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A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A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A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A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A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A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A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A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A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A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A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A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A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A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A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A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A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A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A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A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A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A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A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A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A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A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A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A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A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A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A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A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A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A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A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A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A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A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A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A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A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A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A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A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A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A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A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A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A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B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B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B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B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B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B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B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B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B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B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B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B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B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B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B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B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B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B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B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B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B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B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B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B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B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B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B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B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B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B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B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B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B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B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B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B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B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B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B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B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B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B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B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B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B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B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B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B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B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B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B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B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B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B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B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B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B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B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B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B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B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B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B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B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B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B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B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B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B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B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B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B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B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B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B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B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B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B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B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B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B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B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B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B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B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B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B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B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B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B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B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B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B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B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B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B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B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B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B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B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B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B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B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B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B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B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B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B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B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B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B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B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B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B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B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B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B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B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B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B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B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B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B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B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B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B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B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B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B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B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B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B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B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B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B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B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B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B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B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B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B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B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B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B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B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B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B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B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B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B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B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B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B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B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B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B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B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B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B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B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B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B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B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B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B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B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B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B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B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B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B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B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B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B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B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B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B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B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B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B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B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B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B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B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B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B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B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B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B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B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B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B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B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B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B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B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B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B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B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B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B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B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B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B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B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B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B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B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B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B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B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B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B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B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B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B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B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B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B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B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B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B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B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B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B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B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B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B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B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B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B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B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B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B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B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B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B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C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C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C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C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C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C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C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C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C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C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C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C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C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C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C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C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C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C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C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C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C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C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C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C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C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C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C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C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C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C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C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C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C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C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C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C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C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C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C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C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C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C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C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C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C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C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C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C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C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C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C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C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C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C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C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C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C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C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C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C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C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C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C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C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C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C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C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C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C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C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C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C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C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C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C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C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C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C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C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C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C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C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C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C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C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C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C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C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C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C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C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C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C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C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C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C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C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C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C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C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C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C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C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C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C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C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C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C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C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C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C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C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C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C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C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C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C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C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C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C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C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C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C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C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C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C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C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C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C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C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C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C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C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C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C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C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C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C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C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C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C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C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C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C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C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C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C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C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C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C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C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C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C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C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C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C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C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C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C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C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C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C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C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C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C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C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C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C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C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C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C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C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C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C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C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C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C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C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C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C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C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C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C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C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C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C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C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C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C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C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C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C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C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C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C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C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C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C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C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C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C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C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C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C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C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C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C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C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C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C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C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C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C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C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C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C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C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C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C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C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C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C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C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C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C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C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C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C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C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C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C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C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C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C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C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C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C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D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D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D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D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D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D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D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D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D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D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D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D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D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D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D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D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D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D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D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D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D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D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D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D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D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D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D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D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D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D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D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D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D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D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D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D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D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D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D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D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D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D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D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D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D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D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D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D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D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D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D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D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D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D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D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D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D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D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D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D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D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D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D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D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D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D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D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D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D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D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D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D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D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D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D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D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D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D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D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D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D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D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D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D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D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D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D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D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D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D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D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D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D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D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D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D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D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D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D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D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D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D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D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D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D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D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D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D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D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D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D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D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D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D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D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D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D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D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D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D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D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D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D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D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D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D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D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D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D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D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D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D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D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D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D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D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D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D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D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D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D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D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D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D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D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D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D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D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D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D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D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D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D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D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D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D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D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D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D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D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D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D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D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D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D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D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D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D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D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D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D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D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D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D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D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D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D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D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D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D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D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D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D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D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D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D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D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D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D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D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D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D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D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D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D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D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D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D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D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D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D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D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D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D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D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D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D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D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D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D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D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D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D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D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D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D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D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D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D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D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D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D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D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D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D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D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D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D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D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D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D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D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D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D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D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D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D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E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E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E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E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E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E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E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E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E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E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E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E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E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E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E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E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E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E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E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E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E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E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E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E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E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E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E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E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E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E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E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E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E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E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E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E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E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E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E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E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E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E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E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E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E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E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E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E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E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E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E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E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E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E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E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E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E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E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E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E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E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E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E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E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E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E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E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E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E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E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E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E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E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E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E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E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E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E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E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E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E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E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E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E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E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E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E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E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E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E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E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E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E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E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E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E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E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E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E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E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E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E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E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E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E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E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E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E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E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E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E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E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E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E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E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E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E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E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E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E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E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E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E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E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E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E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E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E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E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E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E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E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E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E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E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E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E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E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E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E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E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E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E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E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E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E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E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E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E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E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E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E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E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E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E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E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E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E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E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E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E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E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E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E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E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E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E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E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E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E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E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E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E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E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E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E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E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E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E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E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E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E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E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E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E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E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E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E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E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E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E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E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E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E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E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E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E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E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E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E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E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E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E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E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E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E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E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E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E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E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E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E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E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E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E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E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E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E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E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E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E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E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E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E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E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E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E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E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E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E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E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E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E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E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E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E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E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Mariam Zameer</author>
  </authors>
  <commentList>
    <comment ref="B5" authorId="0" shapeId="0" xr:uid="{00000000-0006-0000-0900-000001000000}">
      <text>
        <r>
          <rPr>
            <sz val="10"/>
            <color indexed="81"/>
            <rFont val="Tahoma"/>
            <family val="2"/>
          </rPr>
          <t>Select a data template that you would like to use to fill in any gaps where data are missing. This will load data into the "Value used in Model" column as a default. 
You may use the value from the template as-is, or override them by entering your own in the green cells</t>
        </r>
      </text>
    </comment>
    <comment ref="B6" authorId="0" shapeId="0" xr:uid="{00000000-0006-0000-0900-000002000000}">
      <text>
        <r>
          <rPr>
            <sz val="10"/>
            <color indexed="81"/>
            <rFont val="Tahoma"/>
            <family val="2"/>
          </rPr>
          <t xml:space="preserve">All data template values are in US Dollars.
If your own data is in a different currency, and you would like the output to stay in this other currency, please enter the exchange rate of "Amount of local currency per $1 US Dollar"
</t>
        </r>
      </text>
    </comment>
    <comment ref="B7" authorId="0" shapeId="0" xr:uid="{00000000-0006-0000-0900-000003000000}">
      <text>
        <r>
          <rPr>
            <sz val="10"/>
            <color indexed="81"/>
            <rFont val="Tahoma"/>
            <family val="2"/>
          </rPr>
          <t>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0900-000004000000}">
      <text>
        <r>
          <rPr>
            <sz val="10"/>
            <color indexed="81"/>
            <rFont val="Tahoma"/>
            <family val="2"/>
          </rPr>
          <t>Enter the average per-liter price of fuel  (petrol, gas or diesel)</t>
        </r>
      </text>
    </comment>
    <comment ref="B9" authorId="1" shapeId="0" xr:uid="{00000000-0006-0000-0900-000005000000}">
      <text>
        <r>
          <rPr>
            <b/>
            <sz val="10"/>
            <color indexed="81"/>
            <rFont val="Tahoma"/>
            <family val="2"/>
          </rPr>
          <t>E</t>
        </r>
        <r>
          <rPr>
            <sz val="10"/>
            <color indexed="81"/>
            <rFont val="Tahoma"/>
            <family val="2"/>
          </rPr>
          <t>nter an assumed number of working days in a calendar year, excluding weekends, holidays, vacation time, sick leave, etc. 
Typical working days in a year in USA are 260</t>
        </r>
      </text>
    </comment>
    <comment ref="B10" authorId="1" shapeId="0" xr:uid="{00000000-0006-0000-0900-000006000000}">
      <text>
        <r>
          <rPr>
            <b/>
            <sz val="10"/>
            <color indexed="81"/>
            <rFont val="Tahoma"/>
            <family val="2"/>
          </rPr>
          <t>E</t>
        </r>
        <r>
          <rPr>
            <sz val="10"/>
            <color indexed="81"/>
            <rFont val="Tahoma"/>
            <family val="2"/>
          </rPr>
          <t>nter an assumed average number of working hours in a single work day
Typical working hours in a week are 40</t>
        </r>
      </text>
    </comment>
    <comment ref="B11" authorId="1" shapeId="0" xr:uid="{00000000-0006-0000-0900-000007000000}">
      <text>
        <r>
          <rPr>
            <sz val="10"/>
            <color indexed="81"/>
            <rFont val="Tahoma"/>
            <family val="2"/>
          </rPr>
          <t xml:space="preserve">Enter average  life of a vehicle. Typical value is 5-7 years.
This is used to calculate annual depreciation costs for vehicles using straighltline depreciation method (initial purchase price divided by the number of years of useful life). </t>
        </r>
      </text>
    </comment>
    <comment ref="B12" authorId="1" shapeId="0" xr:uid="{00000000-0006-0000-0900-000008000000}">
      <text>
        <r>
          <rPr>
            <sz val="10"/>
            <color indexed="81"/>
            <rFont val="Tahoma"/>
            <family val="2"/>
          </rPr>
          <t>Enter average life of cold boxes. Typical life is 5 years.
This is used to calculate annual depreciation costs for cold storage boxes. This model uses straighltline depreciation method (initial purchase price divided by the number of years of useful life)</t>
        </r>
      </text>
    </comment>
    <comment ref="B16" authorId="2" shapeId="0" xr:uid="{00000000-0006-0000-0900-000009000000}">
      <text>
        <r>
          <rPr>
            <sz val="10"/>
            <color indexed="81"/>
            <rFont val="Tahoma"/>
            <family val="2"/>
          </rPr>
          <t>Select "no" if you have demand pre-calculated</t>
        </r>
      </text>
    </comment>
    <comment ref="B17" authorId="1" shapeId="0" xr:uid="{00000000-0006-0000-0900-00000A000000}">
      <text>
        <r>
          <rPr>
            <sz val="10"/>
            <color rgb="FF000000"/>
            <rFont val="Tahoma"/>
            <family val="2"/>
          </rPr>
          <t>Total amount of ambient-temperature product in m^3 stored at room temperature that flows through the supply chain in a year. 
Typically measured at one end of the supply chain -- either total volume procured by a central-level organization, or total volume delivered to health facilities 
Products include: most liquid, tablet, and injectable medications, consumables like syringes, safety boxes etc.</t>
        </r>
      </text>
    </comment>
    <comment ref="B18" authorId="1" shapeId="0" xr:uid="{00000000-0006-0000-0900-00000B000000}">
      <text>
        <r>
          <rPr>
            <sz val="10"/>
            <color indexed="81"/>
            <rFont val="Tahoma"/>
            <family val="2"/>
          </rPr>
          <t>Total amount of product in m^3 stored in cold storage (refrigerator or freezer) that flow through the supply chain in a year. 
Products include: most vaccines, oxytocin, insulin in many cases, etc.</t>
        </r>
      </text>
    </comment>
    <comment ref="B19" authorId="1" shapeId="0" xr:uid="{00000000-0006-0000-0900-00000C000000}">
      <text>
        <r>
          <rPr>
            <sz val="10"/>
            <color indexed="81"/>
            <rFont val="Tahoma"/>
            <family val="2"/>
          </rPr>
          <t>Enter the total number of individual product types that are managed by the supply chain. 
Procedures differ from country to country, but different presentations or dosages of the same medication are often treated as separate products, while different manufacturers of the same medication &amp; presentation are often managed as a single product. 
Some Examples:
-- Amoxicillin comes in both 500mg tablets and 500mg capsules. These would usually be two separate commodities
-- Artemether+Lumefantrine comes in four dosage sizes: 1 tablet x 4 doses, 2x4, 3x4, and 4x4. These are typically four separate commodities
-- Artemether+Lumerantrine 4x4 is produced by Novartis as well as Cipla. This is generally managed as one commodity if found together in the same clinic</t>
        </r>
      </text>
    </comment>
    <comment ref="B20" authorId="1" shapeId="0" xr:uid="{00000000-0006-0000-0900-00000D000000}">
      <text>
        <r>
          <rPr>
            <sz val="10"/>
            <color rgb="FF000000"/>
            <rFont val="Tahoma"/>
            <family val="2"/>
          </rPr>
          <t xml:space="preserve">Does the total demand value represent the volume delivered to health facilities at the last mile, or does it represent the volume procured at the national level?  
This parameter becomes important when expiry and wastage are significant. For example, if Total System Demand Volume is 1000 m^3:
- </t>
        </r>
        <r>
          <rPr>
            <b/>
            <sz val="10"/>
            <color rgb="FF000000"/>
            <rFont val="Tahoma"/>
            <family val="2"/>
          </rPr>
          <t>Procured</t>
        </r>
        <r>
          <rPr>
            <sz val="10"/>
            <color rgb="FF000000"/>
            <rFont val="Tahoma"/>
            <family val="2"/>
          </rPr>
          <t xml:space="preserve">: If it is procured at the national level, and a 5% wastage rate at each tier, then total demand volume reaching health facilities is actually less than 1000 m^3 
- </t>
        </r>
        <r>
          <rPr>
            <b/>
            <sz val="10"/>
            <color rgb="FF000000"/>
            <rFont val="Tahoma"/>
            <family val="2"/>
          </rPr>
          <t>Delivered</t>
        </r>
        <r>
          <rPr>
            <sz val="10"/>
            <color rgb="FF000000"/>
            <rFont val="Tahoma"/>
            <family val="2"/>
          </rPr>
          <t>: If it is delivered to health facilities, then this is after 5% wastage has already been taken into account. Hence, upstream tiers must be handling/procuring more than 1000 m^3</t>
        </r>
      </text>
    </comment>
    <comment ref="K20" authorId="0" shapeId="0" xr:uid="{00000000-0006-0000-0900-00000E000000}">
      <text>
        <r>
          <rPr>
            <sz val="9"/>
            <color indexed="81"/>
            <rFont val="Tahoma"/>
            <family val="2"/>
          </rPr>
          <t>Requires user to enter a minimum of 1) overall target population size, and 2) type and presentation of vaccines to include.
Worksheet calculates estimated cold and ambient temperature demand volume, and estimated value of procured products.</t>
        </r>
      </text>
    </comment>
    <comment ref="B21" authorId="1" shapeId="0" xr:uid="{00000000-0006-0000-0900-00000F000000}">
      <text>
        <r>
          <rPr>
            <sz val="10"/>
            <color indexed="81"/>
            <rFont val="Tahoma"/>
            <family val="2"/>
          </rPr>
          <t>Estimated cash value (typically procurement value) of the Total System Demand Volume. 
It is used to calculate the "Cost as a percentage of commodity value" statistic in the Outputs. If this metric is not important to the user, this field can be left blank.</t>
        </r>
      </text>
    </comment>
    <comment ref="K21" authorId="0" shapeId="0" xr:uid="{00000000-0006-0000-0900-000010000000}">
      <text>
        <r>
          <rPr>
            <sz val="9"/>
            <color indexed="81"/>
            <rFont val="Tahoma"/>
            <family val="2"/>
          </rPr>
          <t>Requires user to either 1) specify a target country, or 2) specify a target population, contraceptive prevalence rate, and method mix for key contraceptive types.
Worksheet calculates estimated demand volume (m^3) of contraceptive products, as well as their estimated procurement value.</t>
        </r>
      </text>
    </comment>
    <comment ref="K22" authorId="0" shapeId="0" xr:uid="{00000000-0006-0000-0900-000011000000}">
      <text>
        <r>
          <rPr>
            <sz val="9"/>
            <color indexed="81"/>
            <rFont val="Tahoma"/>
            <family val="2"/>
          </rPr>
          <t>Requires user to enter 1) a list of products, 2) number of units consumed for each product, and 3) specify a general product type, e.g. "bottle of liquid - large".
Worksheet draws from USAID Product-Volume Database to estimate the overall volume (m^3) of the products consumed. 
Unlike the other two worksheets, this one does not rely on demographic data - it requires prior logistics data on units of product consumed. However, it provides a general framework that can be applied to products from any program area</t>
        </r>
      </text>
    </comment>
    <comment ref="B25" authorId="2" shapeId="0" xr:uid="{00000000-0006-0000-0900-000012000000}">
      <text>
        <r>
          <rPr>
            <sz val="10"/>
            <color indexed="81"/>
            <rFont val="Tahoma"/>
            <family val="2"/>
          </rPr>
          <t>For each position listed, enter an average hourly salary rate, and daily travel perdiem rate. These are used to calculate labor costs of storage, delivery, and other supply chain activities. 
If a  supply chain position isn't already listed, add them under "Other Personnel Type".  
Positions that are not used can be left blank.</t>
        </r>
      </text>
    </comment>
    <comment ref="B27" authorId="1" shapeId="0" xr:uid="{00000000-0006-0000-0900-000013000000}">
      <text>
        <r>
          <rPr>
            <sz val="10"/>
            <color rgb="FF000000"/>
            <rFont val="Tahoma"/>
            <family val="2"/>
          </rPr>
          <t>Leave blank. 
This is a placeholder for when a) the user selects 3rd Party Logistics Provider (3PL) as a transportation option in section 5 &amp; 6 and, therefore, is not paying salary or perdiem for the drivers and logisticians who operate those 3PL transportation resources.</t>
        </r>
      </text>
    </comment>
    <comment ref="B28" authorId="1" shapeId="0" xr:uid="{00000000-0006-0000-0900-000014000000}">
      <text>
        <r>
          <rPr>
            <sz val="10"/>
            <color rgb="FF000000"/>
            <rFont val="Tahoma"/>
            <family val="2"/>
          </rPr>
          <t>Enter personnel type not listed above.
Enter both an average hourly salary rate, and a daily travel perdiem rate.</t>
        </r>
      </text>
    </comment>
    <comment ref="B29" authorId="1" shapeId="0" xr:uid="{00000000-0006-0000-0900-000015000000}">
      <text>
        <r>
          <rPr>
            <sz val="10"/>
            <color rgb="FF000000"/>
            <rFont val="Tahoma"/>
            <family val="2"/>
          </rPr>
          <t>Enter personnel type not listed above.
Enter both an average hourly salary rate, and a daily travel perdiem rate.</t>
        </r>
      </text>
    </comment>
    <comment ref="B30" authorId="1" shapeId="0" xr:uid="{00000000-0006-0000-0900-000016000000}">
      <text>
        <r>
          <rPr>
            <sz val="10"/>
            <color rgb="FF000000"/>
            <rFont val="Tahoma"/>
            <family val="2"/>
          </rPr>
          <t>Enter personnel type not listed above.
Enter both an average hourly salary rate, and a daily travel perdiem rate.</t>
        </r>
      </text>
    </comment>
    <comment ref="B31" authorId="1" shapeId="0" xr:uid="{00000000-0006-0000-0900-000017000000}">
      <text>
        <r>
          <rPr>
            <sz val="10"/>
            <color rgb="FF000000"/>
            <rFont val="Tahoma"/>
            <family val="2"/>
          </rPr>
          <t>Enter personnel type not listed above.
Enter both an average hourly salary rate, and a daily travel perdiem rate.</t>
        </r>
      </text>
    </comment>
    <comment ref="B32" authorId="1" shapeId="0" xr:uid="{00000000-0006-0000-0900-000018000000}">
      <text>
        <r>
          <rPr>
            <sz val="10"/>
            <color rgb="FF000000"/>
            <rFont val="Tahoma"/>
            <family val="2"/>
          </rPr>
          <t>Enter personnel type not listed above.
Enter both an average hourly salary rate, and a daily travel perdiem rate.</t>
        </r>
      </text>
    </comment>
    <comment ref="B33" authorId="1" shapeId="0" xr:uid="{00000000-0006-0000-0900-000019000000}">
      <text>
        <r>
          <rPr>
            <sz val="10"/>
            <color rgb="FF000000"/>
            <rFont val="Tahoma"/>
            <family val="2"/>
          </rPr>
          <t>Enter personnel type not listed above.
Enter both an average hourly salary rate, and a daily travel perdiem rate.</t>
        </r>
      </text>
    </comment>
    <comment ref="B34" authorId="1" shapeId="0" xr:uid="{00000000-0006-0000-0900-00001A000000}">
      <text>
        <r>
          <rPr>
            <sz val="10"/>
            <color rgb="FF000000"/>
            <rFont val="Tahoma"/>
            <family val="2"/>
          </rPr>
          <t>Enter personnel type not listed above.
Enter both an average hourly salary rate, and a daily travel perdiem rate.</t>
        </r>
      </text>
    </comment>
    <comment ref="B35" authorId="1" shapeId="0" xr:uid="{00000000-0006-0000-0900-00001B000000}">
      <text>
        <r>
          <rPr>
            <sz val="10"/>
            <color rgb="FF000000"/>
            <rFont val="Tahoma"/>
            <family val="2"/>
          </rPr>
          <t>Enter personnel type not listed above.
Enter both an average hourly salary rate, and a daily travel perdiem rate.</t>
        </r>
      </text>
    </comment>
    <comment ref="B36" authorId="1" shapeId="0" xr:uid="{00000000-0006-0000-0900-00001C000000}">
      <text>
        <r>
          <rPr>
            <sz val="10"/>
            <color rgb="FF000000"/>
            <rFont val="Tahoma"/>
            <family val="2"/>
          </rPr>
          <t>Enter personnel type not listed above.
Enter both an average hourly salary rate, and a daily travel perdiem rate.</t>
        </r>
      </text>
    </comment>
    <comment ref="B37" authorId="1" shapeId="0" xr:uid="{00000000-0006-0000-0900-00001D000000}">
      <text>
        <r>
          <rPr>
            <sz val="10"/>
            <color rgb="FF000000"/>
            <rFont val="Tahoma"/>
            <family val="2"/>
          </rPr>
          <t>Enter personnel type not listed above.
Enter both an average hourly salary rate, and a daily travel perdiem rate.</t>
        </r>
      </text>
    </comment>
    <comment ref="B38" authorId="1" shapeId="0" xr:uid="{00000000-0006-0000-0900-00001E000000}">
      <text>
        <r>
          <rPr>
            <sz val="10"/>
            <color rgb="FF000000"/>
            <rFont val="Tahoma"/>
            <family val="2"/>
          </rPr>
          <t>Enter personnel type not listed above.
Enter both an average hourly salary rate, and a daily travel perdiem rate.</t>
        </r>
      </text>
    </comment>
    <comment ref="D42" authorId="1" shapeId="0" xr:uid="{00000000-0006-0000-0900-00001F000000}">
      <text>
        <r>
          <rPr>
            <sz val="10"/>
            <color indexed="81"/>
            <rFont val="Tahoma"/>
            <family val="2"/>
          </rPr>
          <t>Only fill the types of vehicles that are actually used in the analysis; leave others blank. 
Use the Notes section to document assumptions and interpretations.</t>
        </r>
      </text>
    </comment>
    <comment ref="D43" authorId="1" shapeId="0" xr:uid="{00000000-0006-0000-0900-000020000000}">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4" authorId="1" shapeId="0" xr:uid="{00000000-0006-0000-0900-000021000000}">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5" authorId="1" shapeId="0" xr:uid="{00000000-0006-0000-0900-000022000000}">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a vaccine carrier or cold box is most commoly used.</t>
        </r>
      </text>
    </comment>
    <comment ref="D46" authorId="1" shapeId="0" xr:uid="{00000000-0006-0000-0900-000023000000}">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7" authorId="1" shapeId="0" xr:uid="{00000000-0006-0000-0900-000024000000}">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8" authorId="1" shapeId="0" xr:uid="{00000000-0006-0000-0900-000025000000}">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mostly a vaccine carrier or cold box is used.</t>
        </r>
      </text>
    </comment>
    <comment ref="D49" authorId="1" shapeId="0" xr:uid="{00000000-0006-0000-0900-000026000000}">
      <text>
        <r>
          <rPr>
            <sz val="10"/>
            <color indexed="81"/>
            <rFont val="Tahoma"/>
            <family val="2"/>
          </rPr>
          <t>Enter typical local purchase price of one motorcycle in USD that is used for transporating SC commodities</t>
        </r>
      </text>
    </comment>
    <comment ref="D50" authorId="1" shapeId="0" xr:uid="{00000000-0006-0000-0900-000027000000}">
      <text>
        <r>
          <rPr>
            <sz val="10"/>
            <color indexed="81"/>
            <rFont val="Tahoma"/>
            <family val="2"/>
          </rPr>
          <t>Input is optional; will be automatically calculated based on vehicle useful life and the purchase price for this vehicle type.</t>
        </r>
      </text>
    </comment>
    <comment ref="D51" authorId="1" shapeId="0" xr:uid="{00000000-0006-0000-0900-000028000000}">
      <text>
        <r>
          <rPr>
            <sz val="10"/>
            <color indexed="81"/>
            <rFont val="Tahoma"/>
            <family val="2"/>
          </rPr>
          <t>Enter typical annual cost to insure one motorcycle for use in supply chain-related activities</t>
        </r>
      </text>
    </comment>
    <comment ref="D52" authorId="1" shapeId="0" xr:uid="{00000000-0006-0000-0900-000029000000}">
      <text>
        <r>
          <rPr>
            <sz val="10"/>
            <color indexed="81"/>
            <rFont val="Tahoma"/>
            <family val="2"/>
          </rPr>
          <t>Enter expected maintenance cost per kilometer for one motorcycle. 
This can be calculated by taking the total maintenance costs for a motorcycle (or fleet of motorcycles) over a period of time, and dividing by the overall number of kilometers traveled in that period of time.</t>
        </r>
      </text>
    </comment>
    <comment ref="D53" authorId="1" shapeId="0" xr:uid="{00000000-0006-0000-0900-00002A000000}">
      <text>
        <r>
          <rPr>
            <sz val="10"/>
            <color indexed="81"/>
            <rFont val="Tahoma"/>
            <family val="2"/>
          </rPr>
          <t>Enter liters of fuel required to travel 1 km by motorcycle.  
This can be calculated by taking the total number of liters of fuel purchased for a motorcycle (or fleet of motorcycles) over a period of time, and dividing by the overall number of kilometers traveled in that period of time.</t>
        </r>
      </text>
    </comment>
    <comment ref="D54" authorId="1" shapeId="0" xr:uid="{00000000-0006-0000-0900-00002B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55" authorId="1" shapeId="0" xr:uid="{00000000-0006-0000-0900-00002C000000}">
      <text>
        <r>
          <rPr>
            <sz val="10"/>
            <color indexed="81"/>
            <rFont val="Tahoma"/>
            <family val="2"/>
          </rPr>
          <t>Enter typical local purchase price (in $ USD) of a car, truck, or off-road 4x4 vehicle that is used for transporating SC commodities</t>
        </r>
      </text>
    </comment>
    <comment ref="D56" authorId="1" shapeId="0" xr:uid="{00000000-0006-0000-0900-00002D000000}">
      <text>
        <r>
          <rPr>
            <sz val="10"/>
            <color indexed="81"/>
            <rFont val="Tahoma"/>
            <family val="2"/>
          </rPr>
          <t>Input is optional; will be automatically calculated based on vehicle useful life and the purchase price for this vehicle type.</t>
        </r>
      </text>
    </comment>
    <comment ref="D57" authorId="1" shapeId="0" xr:uid="{00000000-0006-0000-0900-00002E000000}">
      <text>
        <r>
          <rPr>
            <sz val="10"/>
            <color indexed="81"/>
            <rFont val="Tahoma"/>
            <family val="2"/>
          </rPr>
          <t>Enter typical annual cost to insure one car, Land Cruiser or other vehicle for use in supply chain-related activities</t>
        </r>
      </text>
    </comment>
    <comment ref="D58" authorId="1" shapeId="0" xr:uid="{00000000-0006-0000-0900-00002F000000}">
      <text>
        <r>
          <rPr>
            <sz val="10"/>
            <color indexed="81"/>
            <rFont val="Tahoma"/>
            <family val="2"/>
          </rPr>
          <t>Enter expected maintenance cost per kilometer for one car or off-road 4x4 vehicle e.g. Land Cruiser. 
This can be calculated by taking the total maintenance costs for a vehicle (or fleet of vehicle) over a period of time, and dividing by the overall number of kilometers traveled in that period of time.</t>
        </r>
      </text>
    </comment>
    <comment ref="D59" authorId="1" shapeId="0" xr:uid="{00000000-0006-0000-0900-000030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0" authorId="1" shapeId="0" xr:uid="{00000000-0006-0000-0900-000031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1" authorId="1" shapeId="0" xr:uid="{00000000-0006-0000-0900-000032000000}">
      <text>
        <r>
          <rPr>
            <sz val="10"/>
            <color indexed="81"/>
            <rFont val="Tahoma"/>
            <family val="2"/>
          </rPr>
          <t>Enter typical local purchase price in USD of one commercial box or flatbed truck (e.g. Mitsubishi Canter, Fuso Fighter, Toyota Hiace) that is used for transporating SC commodities</t>
        </r>
      </text>
    </comment>
    <comment ref="D62" authorId="1" shapeId="0" xr:uid="{00000000-0006-0000-0900-000033000000}">
      <text>
        <r>
          <rPr>
            <sz val="10"/>
            <color indexed="81"/>
            <rFont val="Tahoma"/>
            <family val="2"/>
          </rPr>
          <t>Input is optional; will be automatically calculated based on vehicle useful life and the purchase price for this vehicle type.</t>
        </r>
      </text>
    </comment>
    <comment ref="D63" authorId="1" shapeId="0" xr:uid="{00000000-0006-0000-0900-000034000000}">
      <text>
        <r>
          <rPr>
            <sz val="10"/>
            <color indexed="81"/>
            <rFont val="Tahoma"/>
            <family val="2"/>
          </rPr>
          <t>Enter typical annual cost to insure one commercial flatbed or box truck (e.g. Mitsubishi Fuso Fighter or Canter, Nissan UD-60/70/80) for use in supply chain-related activities</t>
        </r>
      </text>
    </comment>
    <comment ref="D64" authorId="1" shapeId="0" xr:uid="{00000000-0006-0000-0900-000035000000}">
      <text>
        <r>
          <rPr>
            <sz val="10"/>
            <color rgb="FF000000"/>
            <rFont val="Tahoma"/>
            <family val="2"/>
          </rPr>
          <t>Enter expected maintenance cost per kilometer for one commercial flatbed or box truck. 
This can be calculated by taking the total maintenance costs for a vehicle (or fleet of vehicles) over a period of time, and dividing by the overall number of kilometers traveled in that period of time.</t>
        </r>
      </text>
    </comment>
    <comment ref="D65" authorId="1" shapeId="0" xr:uid="{00000000-0006-0000-0900-000036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6" authorId="1" shapeId="0" xr:uid="{00000000-0006-0000-0900-000037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7" authorId="1" shapeId="0" xr:uid="{00000000-0006-0000-0900-000038000000}">
      <text>
        <r>
          <rPr>
            <sz val="10"/>
            <color indexed="81"/>
            <rFont val="Tahoma"/>
            <family val="2"/>
          </rPr>
          <t>Enter typical local purchase price of one refrigerated truck in USD that is used for transporating cold chain commodities</t>
        </r>
      </text>
    </comment>
    <comment ref="D68" authorId="1" shapeId="0" xr:uid="{00000000-0006-0000-0900-000039000000}">
      <text>
        <r>
          <rPr>
            <sz val="10"/>
            <color indexed="81"/>
            <rFont val="Tahoma"/>
            <family val="2"/>
          </rPr>
          <t>Input is optional; will be automatically calculated based on vehicle useful life and the purchase price for this vehicle type.</t>
        </r>
      </text>
    </comment>
    <comment ref="D69" authorId="1" shapeId="0" xr:uid="{00000000-0006-0000-0900-00003A000000}">
      <text>
        <r>
          <rPr>
            <sz val="10"/>
            <color indexed="81"/>
            <rFont val="Tahoma"/>
            <family val="2"/>
          </rPr>
          <t>Enter typical annual cost to insureone refrigerated truck for use in supply chain-related activities</t>
        </r>
      </text>
    </comment>
    <comment ref="D70" authorId="1" shapeId="0" xr:uid="{00000000-0006-0000-0900-00003B000000}">
      <text>
        <r>
          <rPr>
            <sz val="10"/>
            <color rgb="FF000000"/>
            <rFont val="Tahoma"/>
            <family val="2"/>
          </rPr>
          <t>Enter expected maintenance cost per kilometer for one refrigerated truck. 
This can be calculated by taking the total maintenance costs for a vehicle (or fleet of vehicles) over a period of time, and dividing by the overall number of kilometers traveled in that period of time.</t>
        </r>
      </text>
    </comment>
    <comment ref="D71" authorId="1" shapeId="0" xr:uid="{00000000-0006-0000-0900-00003C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2" authorId="1" shapeId="0" xr:uid="{00000000-0006-0000-0900-00003D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73" authorId="1" shapeId="0" xr:uid="{00000000-0006-0000-0900-00003E000000}">
      <text>
        <r>
          <rPr>
            <sz val="10"/>
            <color indexed="81"/>
            <rFont val="Tahoma"/>
            <family val="2"/>
          </rPr>
          <t>Enter typical local purchase price in USD of one additional vehicle that is used for transporating SC commodities and not covered by any of the above categories</t>
        </r>
      </text>
    </comment>
    <comment ref="D74" authorId="1" shapeId="0" xr:uid="{00000000-0006-0000-0900-00003F000000}">
      <text>
        <r>
          <rPr>
            <sz val="10"/>
            <color indexed="81"/>
            <rFont val="Tahoma"/>
            <family val="2"/>
          </rPr>
          <t>Input is optional; will be automatically calculated based on vehicle useful life and the purchase price for this vehicle type.</t>
        </r>
      </text>
    </comment>
    <comment ref="D75" authorId="1" shapeId="0" xr:uid="{00000000-0006-0000-0900-000040000000}">
      <text>
        <r>
          <rPr>
            <sz val="10"/>
            <color rgb="FF000000"/>
            <rFont val="Tahoma"/>
            <family val="2"/>
          </rPr>
          <t>Enter typical annual cost to insure one vehicle of this type for use in supply chain-related activities</t>
        </r>
      </text>
    </comment>
    <comment ref="D76" authorId="1" shapeId="0" xr:uid="{00000000-0006-0000-0900-000041000000}">
      <text>
        <r>
          <rPr>
            <sz val="10"/>
            <color rgb="FF000000"/>
            <rFont val="Tahoma"/>
            <family val="2"/>
          </rPr>
          <t>Enter expected maintenance cost per kilometer for one vehicle. 
This can be calculated by taking the total maintenance costs for a vehicle (or fleet of vehicles) over a period of time, and dividing by the overall number of kilometers traveled in that period of time.</t>
        </r>
      </text>
    </comment>
    <comment ref="D77" authorId="1" shapeId="0" xr:uid="{00000000-0006-0000-0900-000042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8" authorId="1" shapeId="0" xr:uid="{00000000-0006-0000-0900-000043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B86" authorId="1" shapeId="0" xr:uid="{00000000-0006-0000-0900-000044000000}">
      <text>
        <r>
          <rPr>
            <sz val="10"/>
            <color rgb="FF000000"/>
            <rFont val="Tahoma"/>
            <family val="2"/>
          </rPr>
          <t>Select a data template to use for Sections 5 and 6. 
This will load data into the "Value used in Model" column, which you can use as-is or override with your own data by entering it into the green cells.</t>
        </r>
      </text>
    </comment>
    <comment ref="B87" authorId="1" shapeId="0" xr:uid="{00000000-0006-0000-0900-000045000000}">
      <text>
        <r>
          <rPr>
            <sz val="10"/>
            <color indexed="81"/>
            <rFont val="Tahoma"/>
            <family val="2"/>
          </rPr>
          <t>Select which tier from the data template to use. 
For example, if a data template contains three tiers (Central=Tier 1, Regional=Tier 2, and Facility=Tier 3) and you want to pull data from the Regional tier, then select "Tier 2".   
This is important as tier numbers on the data templates may not necessarily align with the tier numbers in the model being analyzed.</t>
        </r>
      </text>
    </comment>
    <comment ref="B88" authorId="1" shapeId="0" xr:uid="{00000000-0006-0000-0900-000046000000}">
      <text>
        <r>
          <rPr>
            <sz val="10"/>
            <color indexed="81"/>
            <rFont val="Tahoma"/>
            <family val="2"/>
          </rPr>
          <t xml:space="preserve">Name each tier for the type of facility, e.g. central medical stores, regional or district warehouse, health facility.  
Tier 1 should represent the most upstream tier being modeled, e.g. national store if modeling an entire country, or a regional medical store if modeling a specific province or region.
</t>
        </r>
      </text>
    </comment>
    <comment ref="B92" authorId="1" shapeId="0" xr:uid="{00000000-0006-0000-0900-000047000000}">
      <text>
        <r>
          <rPr>
            <sz val="10"/>
            <color rgb="FF000000"/>
            <rFont val="Tahoma"/>
            <family val="2"/>
          </rPr>
          <t>For each tier, enter the total geographic area (in km^2) over which facilities in that tier are distributed. 
-- This may be the same value for each tier in the model
-- For different value for each tier: for example, if considering a supply chain program only within a single region of a country, but want to include transportation from the national Central Medical Stores, enter the National land area for Tier 1 , and the Regional land area for both Tier 2  (e.g. Regional Warehouse) and Tier 3 (Health Clinic)</t>
        </r>
      </text>
    </comment>
    <comment ref="B93" authorId="1" shapeId="0" xr:uid="{00000000-0006-0000-0900-000048000000}">
      <text>
        <r>
          <rPr>
            <sz val="10"/>
            <color indexed="81"/>
            <rFont val="Tahoma"/>
            <family val="2"/>
          </rPr>
          <t>Enter between 0% to 100%
Specify what percentage of the Total System Demand Volume (listed above) will be included in storage and distribution modeling at each tier.  
Most users will enter100% for every tier, unless there is a specific reason, e.g. if storage/distribution for a certain subset of commodities is handled by an outside partner, and the user specifically wants to exclude those costs from consideration in the analysis</t>
        </r>
      </text>
    </comment>
    <comment ref="B94" authorId="1" shapeId="0" xr:uid="{00000000-0006-0000-0900-000049000000}">
      <text>
        <r>
          <rPr>
            <sz val="10"/>
            <color indexed="81"/>
            <rFont val="Tahoma"/>
            <family val="2"/>
          </rPr>
          <t>Enter expected % of commodity volume that is lost to expiry or wastage during storage/delivery from the upstream facilities.  
The value for Tier 1 can be left blank.
If wastage rate by tier is not known, assume equal wastage across all tiers. To calculate, take total wastage rate and divide across the number of tiers to get waste rate at each tier</t>
        </r>
      </text>
    </comment>
    <comment ref="B95" authorId="1" shapeId="0" xr:uid="{00000000-0006-0000-0900-00004A000000}">
      <text>
        <r>
          <rPr>
            <sz val="10"/>
            <color indexed="81"/>
            <rFont val="Tahoma"/>
            <family val="2"/>
          </rPr>
          <t>Enter the number of facilities that receive and store product at that tier. 
For example, for a three-tier supply chain with 1 Central Medical Store, 20 Regional Warehouses, and 2000 Health Clinics, the user would enter "1" under Tier 1 , "20" under the Tier 2 , and "2000" under the Tier 3</t>
        </r>
      </text>
    </comment>
    <comment ref="B96" authorId="1" shapeId="0" xr:uid="{00000000-0006-0000-0900-00004B000000}">
      <text>
        <r>
          <rPr>
            <sz val="10"/>
            <color rgb="FF000000"/>
            <rFont val="Tahoma"/>
            <family val="2"/>
          </rPr>
          <t>Enter how frequently products are generally ordered and replenished in a year. 
This is does not refer to resupply per facility. E.g. a large regional facility may receive a resupply shipment weekly, but only receive a particular product on a monthly basis. In this case the user would enter "12" corresponding with monthly product orders.</t>
        </r>
      </text>
    </comment>
    <comment ref="B97" authorId="1" shapeId="0" xr:uid="{00000000-0006-0000-0900-00004C000000}">
      <text>
        <r>
          <rPr>
            <sz val="10"/>
            <color rgb="FF000000"/>
            <rFont val="Tahoma"/>
            <family val="2"/>
          </rPr>
          <t>Circuity factor is a value by which straight-line distances are multipled to calculate a more realistic road distance.  
In HICs urban environments, this value has been estimated at 1.2 - 1.3 (meaning road distance is 1.2-1.3x greater than straightline distances).  Rural settings in LMICs are estimated to be 1.4 - 2.0. 
See the worksheet "Circuity Factor Benchmarks" for more details.</t>
        </r>
      </text>
    </comment>
    <comment ref="B98" authorId="1" shapeId="0" xr:uid="{00000000-0006-0000-0900-00004D000000}">
      <text>
        <r>
          <rPr>
            <sz val="10"/>
            <color indexed="81"/>
            <rFont val="Tahoma"/>
            <family val="2"/>
          </rPr>
          <t xml:space="preserve">This is calculated. However, user can enter their own value if they have a better estimate. 
NOTE: Road distance scales based on three factors: 1) the land area covered by the source/upstream tier, 2) the number of facilities in the source/upstream tier, and 3) the circuity factor relating road distance to straightline distance. </t>
        </r>
      </text>
    </comment>
    <comment ref="B99" authorId="1" shapeId="0" xr:uid="{00000000-0006-0000-0900-00004E000000}">
      <text>
        <r>
          <rPr>
            <sz val="10"/>
            <color indexed="81"/>
            <rFont val="Tahoma"/>
            <family val="2"/>
          </rPr>
          <t>This is calculated for each tier. However, user can enter their own value if they have a better estimate for the average road distance between facilities in the same tier. 
NOTE: Road distance scales based on three factors: 1) the land area covered by this tier, 2) the number of facilities in this tier, and 3) the circuity factor relating road distance to straightline distance.</t>
        </r>
      </text>
    </comment>
    <comment ref="C104" authorId="1" shapeId="0" xr:uid="{00000000-0006-0000-0900-00004F000000}">
      <text>
        <r>
          <rPr>
            <sz val="10"/>
            <color indexed="81"/>
            <rFont val="Tahoma"/>
            <family val="2"/>
          </rPr>
          <t xml:space="preserve">Enter the safety or buffer stock for each tier in number of months. This is also the lowest allowable stock level. </t>
        </r>
      </text>
    </comment>
    <comment ref="C105" authorId="1" shapeId="0" xr:uid="{00000000-0006-0000-0900-000050000000}">
      <text>
        <r>
          <rPr>
            <sz val="10"/>
            <color rgb="FF000000"/>
            <rFont val="Tahoma"/>
            <family val="2"/>
          </rPr>
          <t>Select Supply Chain Personnel from section 3 for the person who typically packs orders and processes inventory at this tier. 
At a National- or Regional-level warehouse, this could likely be a dedicated warehouse staff, but at a smaller warehouse or health facility, this role could be filled by a logistician or a facility nurse in-charge.</t>
        </r>
      </text>
    </comment>
    <comment ref="C106" authorId="1" shapeId="0" xr:uid="{00000000-0006-0000-0900-000051000000}">
      <text>
        <r>
          <rPr>
            <sz val="10"/>
            <color indexed="81"/>
            <rFont val="Tahoma"/>
            <family val="2"/>
          </rPr>
          <t>Enter number of full-time equivalents at an average facility, NOT the actual number of people. Number can be less than 1 (see examples)
Example, if 20 people each spend an average of 4 hours per day (i.e. 50% of a full work day) on storage and warehousing activities, then the user should put 20 x 50% = 10
Example 2: if the average health clinic is staffed by two nurses, each of whom spends 5% of their time on supply chain storage and warehousing activities, then the user should enter 2 x 5% = 0.1</t>
        </r>
      </text>
    </comment>
    <comment ref="C107" authorId="1" shapeId="0" xr:uid="{00000000-0006-0000-0900-000052000000}">
      <text>
        <r>
          <rPr>
            <sz val="10"/>
            <color indexed="81"/>
            <rFont val="Tahoma"/>
            <family val="2"/>
          </rPr>
          <t>Enter maximum volume of inventory (in m^3) that a typical person can process in a day 
This number is often measured by a) extrapolating from a busy period when the warehouse was operating at "maximum speed", or b) by measuring the volume of product that the warehouse staff actually processed, and adjusting based on how busy the staff were that period (i.e. divide total processed volume by an estimated "percent of capacity utilized")</t>
        </r>
      </text>
    </comment>
    <comment ref="C108" authorId="1" shapeId="0" xr:uid="{00000000-0006-0000-0900-000053000000}">
      <text>
        <r>
          <rPr>
            <sz val="10"/>
            <color indexed="81"/>
            <rFont val="Tahoma"/>
            <family val="2"/>
          </rPr>
          <t xml:space="preserve">Enter dry or ambient storage capacity (m^3) that can be stored within a typical facility. 
ONLY include regularly used spaces such as storeroom shelves or designated storage areas, and should </t>
        </r>
        <r>
          <rPr>
            <b/>
            <sz val="10"/>
            <color indexed="81"/>
            <rFont val="Tahoma"/>
            <family val="2"/>
          </rPr>
          <t>NOT</t>
        </r>
        <r>
          <rPr>
            <sz val="10"/>
            <color indexed="81"/>
            <rFont val="Tahoma"/>
            <family val="2"/>
          </rPr>
          <t xml:space="preserve"> include emergency overflow methods (like storing product in hallways or in the aisles of warehouse shelves)</t>
        </r>
      </text>
    </comment>
    <comment ref="C109" authorId="1" shapeId="0" xr:uid="{00000000-0006-0000-0900-000054000000}">
      <text>
        <r>
          <rPr>
            <sz val="10"/>
            <color indexed="81"/>
            <rFont val="Tahoma"/>
            <family val="2"/>
          </rPr>
          <t>Enter maximum cold chain capacity (m^3).
ONLY include regularly used spaces such as refrigerators and freezers, and should NOT include emergency overflow methods (like storing product in temporary or makeshift cold boxes)</t>
        </r>
      </text>
    </comment>
    <comment ref="C110" authorId="1" shapeId="0" xr:uid="{00000000-0006-0000-0900-000055000000}">
      <text>
        <r>
          <rPr>
            <sz val="10"/>
            <color rgb="FF000000"/>
            <rFont val="Tahoma"/>
            <family val="2"/>
          </rPr>
          <t xml:space="preserve">Enter typical operating costs, such as electricity, water, internet, building and equipment maintenance. 
This should be in cost per m^3 capacity, and calculated by taking a warehouse's total variable operating costs divided by its total storage capacity </t>
        </r>
      </text>
    </comment>
    <comment ref="C111" authorId="1" shapeId="0" xr:uid="{00000000-0006-0000-0900-000056000000}">
      <text>
        <r>
          <rPr>
            <sz val="10"/>
            <color indexed="81"/>
            <rFont val="Tahoma"/>
            <family val="2"/>
          </rPr>
          <t xml:space="preserve">Enter fixed/capital costs, such as building and equipment depreciation for a warehouse at each tier.  
This should be in cost per m^3 capacity, and can be calculated by taking a warehouse's total fixed/capital costs divided by its total storage capacity </t>
        </r>
      </text>
    </comment>
    <comment ref="C112" authorId="1" shapeId="0" xr:uid="{00000000-0006-0000-0900-000057000000}">
      <text>
        <r>
          <rPr>
            <sz val="10"/>
            <color indexed="81"/>
            <rFont val="Tahoma"/>
            <family val="2"/>
          </rPr>
          <t xml:space="preserve">Enter annual depreciation for cold storage equipment like refrigerators, freezers, and insulation/temperature monitoring equipment.  
This should be expressed as a cost per m^3 capacity, and can be calculated by taking a warehouse's total cold chain equipment depreciation costs divided by its total storage capacity </t>
        </r>
      </text>
    </comment>
    <comment ref="C113" authorId="1" shapeId="0" xr:uid="{00000000-0006-0000-0900-000058000000}">
      <text>
        <r>
          <rPr>
            <sz val="10"/>
            <color indexed="81"/>
            <rFont val="Tahoma"/>
            <family val="2"/>
          </rPr>
          <t xml:space="preserve">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C114" authorId="1" shapeId="0" xr:uid="{00000000-0006-0000-0900-000059000000}">
      <text>
        <r>
          <rPr>
            <sz val="10"/>
            <color indexed="81"/>
            <rFont val="Tahoma"/>
            <family val="2"/>
          </rPr>
          <t>Enter typical passive cold storage container (m^3) used at each tier of the supply chain.
NOTE: often these devices are measured in liters.  Note that 1000 Liters = 1 m^3</t>
        </r>
      </text>
    </comment>
    <comment ref="C115" authorId="1" shapeId="0" xr:uid="{00000000-0006-0000-0900-00005A000000}">
      <text>
        <r>
          <rPr>
            <sz val="10"/>
            <color indexed="81"/>
            <rFont val="Tahoma"/>
            <family val="2"/>
          </rPr>
          <t>The typical price paid for one passive cold storage container described above</t>
        </r>
      </text>
    </comment>
    <comment ref="C116" authorId="1" shapeId="0" xr:uid="{00000000-0006-0000-0900-00005B000000}">
      <text>
        <r>
          <rPr>
            <sz val="10"/>
            <color indexed="81"/>
            <rFont val="Tahoma"/>
            <family val="2"/>
          </rPr>
          <t xml:space="preserve">If the device is electrically powered, requires other external inputs, or incurs maintenance costs, enter the average annual amount spent per device to ensure that they remain operational. </t>
        </r>
      </text>
    </comment>
    <comment ref="C117" authorId="1" shapeId="0" xr:uid="{00000000-0006-0000-0900-00005C000000}">
      <text>
        <r>
          <rPr>
            <sz val="10"/>
            <color rgb="FF000000"/>
            <rFont val="Tahoma"/>
            <family val="2"/>
          </rPr>
          <t xml:space="preserve">Select on option from drop-down. 
This estimates use of passive cold storage containers for transporation between each tier. </t>
        </r>
      </text>
    </comment>
    <comment ref="B121" authorId="1" shapeId="0" xr:uid="{00000000-0006-0000-0900-00005D000000}">
      <text>
        <r>
          <rPr>
            <sz val="10"/>
            <color indexed="81"/>
            <rFont val="Tahoma"/>
            <family val="2"/>
          </rPr>
          <t xml:space="preserve">--This section asks the user to estimate the overall costs of supply chain supervision and management activities. In this question we ask the user to specify whether these costs will be measured as a function of the number of facilities or based on overall commodity value. 
--Management &amp; supervision activities include conducting supervisory visits to health and logistics facilities; on-the-job or routine supply chain trainings; and operating a central logistics management unit or data quality and analysis hub. These costs often vary widely depending on how intensively a supply chain is managed, and this management intenstity is often independent of other storage and distribution design choices.  For any of the major supply chain archetypes in global health - mobile warehouse models or collection systems - it is possible to run both an intensively managaged system and a lightly-managed system.
--Thus we structure these costs to scale with the overall scope of the supply chain (e.g. cost per facility or dollar delivered), but we must require the user to provide a </t>
        </r>
        <r>
          <rPr>
            <i/>
            <sz val="10"/>
            <color indexed="81"/>
            <rFont val="Tahoma"/>
            <family val="2"/>
          </rPr>
          <t>cost-per-facility</t>
        </r>
        <r>
          <rPr>
            <sz val="10"/>
            <color indexed="81"/>
            <rFont val="Tahoma"/>
            <family val="2"/>
          </rPr>
          <t xml:space="preserve"> or </t>
        </r>
        <r>
          <rPr>
            <i/>
            <sz val="10"/>
            <color indexed="81"/>
            <rFont val="Tahoma"/>
            <family val="2"/>
          </rPr>
          <t>percentage-of-commodity-value</t>
        </r>
        <r>
          <rPr>
            <sz val="10"/>
            <color indexed="81"/>
            <rFont val="Tahoma"/>
            <family val="2"/>
          </rPr>
          <t xml:space="preserve"> parameter that is aligned with the intensity of their own supply chain management activities.  To help the user determine this value, each of our proxy data templates contains a detailed breakdown of the types of management and supervision activities that make up the listed cost value.  Thus the user can select a value that most closely resembles their own supply chain, and further adapt it up or down to match their individual circumstances</t>
        </r>
      </text>
    </comment>
    <comment ref="B122" authorId="1" shapeId="0" xr:uid="{00000000-0006-0000-0900-00005E000000}">
      <text>
        <r>
          <rPr>
            <sz val="9"/>
            <color indexed="81"/>
            <rFont val="Tahoma"/>
            <family val="2"/>
          </rPr>
          <t>As detailed above, if the user elects for system management and support costs to be measured as a function of the number of facilities at each tier, then this question asks the user to estimate the per-facility annual cost of those management and supervision activities. 
If a recent costing study has been conducted, this parameter could be estimated by dividing total management and supervision costs by the total number of facilities.  If no study has been conducted, then each of the proxy data templates listed in this tool contains a breakdown of the types of management &amp; supervision activities conducted.  That breakdown can be used to identify and further tailor an appropriate proxy data point.</t>
        </r>
      </text>
    </comment>
    <comment ref="B123" authorId="1" shapeId="0" xr:uid="{00000000-0006-0000-0900-00005F000000}">
      <text>
        <r>
          <rPr>
            <sz val="9"/>
            <color indexed="81"/>
            <rFont val="Tahoma"/>
            <family val="2"/>
          </rPr>
          <t>As detailed above, if the user elects for management and supervision costs to be measured as a function of commodity value ($) delivered, then this question asks the user to estimate the percentage of commodity value dedicated to management and supervision activities. 
If a recent costing study has been conducted, this parameter could be estimated by dividing total management and supervision costs by the total value of product delivered.  If no study has been conducted, then each of the proxy data templates listed in this tool contains a breakdown of the types of management &amp; supervision activities included.  That breakdown can be used to identify and further tailor an appropriate proxy data point.</t>
        </r>
      </text>
    </comment>
    <comment ref="B133" authorId="1" shapeId="0" xr:uid="{00000000-0006-0000-0900-000060000000}">
      <text>
        <r>
          <rPr>
            <sz val="10"/>
            <color indexed="81"/>
            <rFont val="Tahoma"/>
            <family val="2"/>
          </rPr>
          <t>For each tier, specify how many different methods for transporting commodities are used. Answers can range from 1 to 3.
For example, say a Ministry of Health manages 2000 health facilities (Tier 3) of its supply chain. For 1500 (75%) of those facilities, deliveries are made using a Land Cruiser dispatched from Tier 2, while the remaining 500 facilities (25%) use public transport to travel to Tier 2 and collect. 
For this example, the user would answer "2" under the Tier 3 column, as they use two distinct methods for delivery at Tier 3.  The user would then proceed to answer the following set of questions for both "Delivery Mode 1" and "Delivery Mode 2" sections below for Landcruiser and Public Transport respectively.</t>
        </r>
      </text>
    </comment>
    <comment ref="C135" authorId="0" shapeId="0" xr:uid="{00000000-0006-0000-0900-000061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36" authorId="0" shapeId="0" xr:uid="{00000000-0006-0000-0900-000062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37" authorId="1" shapeId="0" xr:uid="{00000000-0006-0000-0900-000063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38" authorId="1" shapeId="0" xr:uid="{00000000-0006-0000-0900-000064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39" authorId="1" shapeId="0" xr:uid="{00000000-0006-0000-0900-000065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40" authorId="1" shapeId="0" xr:uid="{00000000-0006-0000-0900-000066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41" authorId="1" shapeId="0" xr:uid="{00000000-0006-0000-0900-000067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42" authorId="1" shapeId="0" xr:uid="{00000000-0006-0000-0900-000068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43" authorId="1" shapeId="0" xr:uid="{00000000-0006-0000-0900-000069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44" authorId="0" shapeId="0" xr:uid="{00000000-0006-0000-0900-00006A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45" authorId="0" shapeId="0" xr:uid="{00000000-0006-0000-0900-00006B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46" authorId="0" shapeId="0" xr:uid="{00000000-0006-0000-0900-00006C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47" authorId="0" shapeId="0" xr:uid="{00000000-0006-0000-0900-00006D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48" authorId="0" shapeId="0" xr:uid="{00000000-0006-0000-0900-00006E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49" authorId="0" shapeId="0" xr:uid="{00000000-0006-0000-0900-00006F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50" authorId="0" shapeId="0" xr:uid="{00000000-0006-0000-0900-000070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51" authorId="0" shapeId="0" xr:uid="{00000000-0006-0000-0900-000071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52" authorId="0" shapeId="0" xr:uid="{00000000-0006-0000-0900-000072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53" authorId="2" shapeId="0" xr:uid="{00000000-0006-0000-0900-000073000000}">
      <text>
        <r>
          <rPr>
            <sz val="10"/>
            <color indexed="81"/>
            <rFont val="Tahoma"/>
            <family val="2"/>
          </rPr>
          <t>Choose yes or no from dropdown, to indicate whether this transport mode is used only for cold chain products</t>
        </r>
      </text>
    </comment>
    <comment ref="C155" authorId="0" shapeId="0" xr:uid="{00000000-0006-0000-0900-000074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56" authorId="0" shapeId="0" xr:uid="{00000000-0006-0000-0900-000075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57" authorId="1" shapeId="0" xr:uid="{00000000-0006-0000-0900-000076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58" authorId="1" shapeId="0" xr:uid="{00000000-0006-0000-0900-000077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59" authorId="1" shapeId="0" xr:uid="{00000000-0006-0000-0900-000078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60" authorId="1" shapeId="0" xr:uid="{00000000-0006-0000-0900-000079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61" authorId="1" shapeId="0" xr:uid="{00000000-0006-0000-0900-00007A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62" authorId="1" shapeId="0" xr:uid="{00000000-0006-0000-0900-00007B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63" authorId="1" shapeId="0" xr:uid="{00000000-0006-0000-0900-00007C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64" authorId="0" shapeId="0" xr:uid="{00000000-0006-0000-0900-00007D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65" authorId="0" shapeId="0" xr:uid="{00000000-0006-0000-0900-00007E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66" authorId="0" shapeId="0" xr:uid="{00000000-0006-0000-0900-00007F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67" authorId="0" shapeId="0" xr:uid="{00000000-0006-0000-0900-000080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68" authorId="0" shapeId="0" xr:uid="{00000000-0006-0000-0900-000081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69" authorId="0" shapeId="0" xr:uid="{00000000-0006-0000-0900-000082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70" authorId="0" shapeId="0" xr:uid="{00000000-0006-0000-0900-000083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71" authorId="0" shapeId="0" xr:uid="{00000000-0006-0000-0900-000084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72" authorId="0" shapeId="0" xr:uid="{00000000-0006-0000-0900-000085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73" authorId="2" shapeId="0" xr:uid="{00000000-0006-0000-0900-000086000000}">
      <text>
        <r>
          <rPr>
            <sz val="10"/>
            <color indexed="81"/>
            <rFont val="Tahoma"/>
            <family val="2"/>
          </rPr>
          <t>Choose yes or no from dropdown, to indicate whether this transport mode is used only for cold chain products</t>
        </r>
      </text>
    </comment>
    <comment ref="C175" authorId="0" shapeId="0" xr:uid="{00000000-0006-0000-0900-000087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76" authorId="0" shapeId="0" xr:uid="{00000000-0006-0000-0900-000088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77" authorId="1" shapeId="0" xr:uid="{00000000-0006-0000-0900-000089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78" authorId="1" shapeId="0" xr:uid="{00000000-0006-0000-0900-00008A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79" authorId="1" shapeId="0" xr:uid="{00000000-0006-0000-0900-00008B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80" authorId="1" shapeId="0" xr:uid="{00000000-0006-0000-0900-00008C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81" authorId="1" shapeId="0" xr:uid="{00000000-0006-0000-0900-00008D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82" authorId="1" shapeId="0" xr:uid="{00000000-0006-0000-0900-00008E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83" authorId="1" shapeId="0" xr:uid="{00000000-0006-0000-0900-00008F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84" authorId="0" shapeId="0" xr:uid="{00000000-0006-0000-0900-000090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85" authorId="0" shapeId="0" xr:uid="{00000000-0006-0000-0900-000091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86" authorId="0" shapeId="0" xr:uid="{00000000-0006-0000-0900-000092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87" authorId="0" shapeId="0" xr:uid="{00000000-0006-0000-0900-000093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88" authorId="0" shapeId="0" xr:uid="{00000000-0006-0000-0900-000094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89" authorId="0" shapeId="0" xr:uid="{00000000-0006-0000-0900-000095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90" authorId="0" shapeId="0" xr:uid="{00000000-0006-0000-0900-000096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91" authorId="0" shapeId="0" xr:uid="{00000000-0006-0000-0900-000097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92" authorId="0" shapeId="0" xr:uid="{00000000-0006-0000-0900-000098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93" authorId="2" shapeId="0" xr:uid="{00000000-0006-0000-0900-000099000000}">
      <text>
        <r>
          <rPr>
            <sz val="10"/>
            <color indexed="81"/>
            <rFont val="Tahoma"/>
            <family val="2"/>
          </rPr>
          <t>Choose yes or no from dropdown, to indicate whether this transport mode is used only for cold chain products</t>
        </r>
      </text>
    </comment>
    <comment ref="C199" authorId="0" shapeId="0" xr:uid="{00000000-0006-0000-0900-00009A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00" authorId="0" shapeId="0" xr:uid="{00000000-0006-0000-0900-00009B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01" authorId="1" shapeId="0" xr:uid="{00000000-0006-0000-0900-00009C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02" authorId="1" shapeId="0" xr:uid="{00000000-0006-0000-0900-00009D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03" authorId="1" shapeId="0" xr:uid="{00000000-0006-0000-0900-00009E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04" authorId="1" shapeId="0" xr:uid="{00000000-0006-0000-0900-00009F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05" authorId="0" shapeId="0" xr:uid="{00000000-0006-0000-0900-0000A0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06" authorId="1" shapeId="0" xr:uid="{00000000-0006-0000-0900-0000A1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07" authorId="1" shapeId="0" xr:uid="{00000000-0006-0000-0900-0000A2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08" authorId="1" shapeId="0" xr:uid="{00000000-0006-0000-0900-0000A3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09" authorId="0" shapeId="0" xr:uid="{00000000-0006-0000-0900-0000A4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10" authorId="0" shapeId="0" xr:uid="{00000000-0006-0000-0900-0000A5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11" authorId="0" shapeId="0" xr:uid="{00000000-0006-0000-0900-0000A6000000}">
      <text>
        <r>
          <rPr>
            <sz val="10"/>
            <color indexed="81"/>
            <rFont val="Tahoma"/>
            <family val="2"/>
          </rPr>
          <t xml:space="preserve">Enter number of people accompanying driver or primary traveler. 
</t>
        </r>
      </text>
    </comment>
    <comment ref="C212" authorId="0" shapeId="0" xr:uid="{00000000-0006-0000-0900-0000A7000000}">
      <text>
        <r>
          <rPr>
            <sz val="10"/>
            <color indexed="81"/>
            <rFont val="Tahoma"/>
            <family val="2"/>
          </rPr>
          <t xml:space="preserve">Enter profession of a typical person that accompanies the driver or primary traveler. </t>
        </r>
      </text>
    </comment>
    <comment ref="C213" authorId="0" shapeId="0" xr:uid="{00000000-0006-0000-0900-0000A8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14" authorId="0" shapeId="0" xr:uid="{00000000-0006-0000-0900-0000A9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15" authorId="0" shapeId="0" xr:uid="{00000000-0006-0000-0900-0000AA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16" authorId="0" shapeId="0" xr:uid="{00000000-0006-0000-0900-0000AB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17" authorId="0" shapeId="0" xr:uid="{00000000-0006-0000-0900-0000AC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19" authorId="0" shapeId="0" xr:uid="{00000000-0006-0000-0900-0000AD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20" authorId="0" shapeId="0" xr:uid="{00000000-0006-0000-0900-0000AE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21" authorId="1" shapeId="0" xr:uid="{00000000-0006-0000-0900-0000AF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22" authorId="1" shapeId="0" xr:uid="{00000000-0006-0000-0900-0000B0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23" authorId="1" shapeId="0" xr:uid="{00000000-0006-0000-0900-0000B1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24" authorId="1" shapeId="0" xr:uid="{00000000-0006-0000-0900-0000B2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25" authorId="0" shapeId="0" xr:uid="{00000000-0006-0000-0900-0000B3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26" authorId="1" shapeId="0" xr:uid="{00000000-0006-0000-0900-0000B4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27" authorId="1" shapeId="0" xr:uid="{00000000-0006-0000-0900-0000B5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28" authorId="1" shapeId="0" xr:uid="{00000000-0006-0000-0900-0000B6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29" authorId="0" shapeId="0" xr:uid="{00000000-0006-0000-0900-0000B7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30" authorId="0" shapeId="0" xr:uid="{00000000-0006-0000-0900-0000B8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31" authorId="0" shapeId="0" xr:uid="{00000000-0006-0000-0900-0000B9000000}">
      <text>
        <r>
          <rPr>
            <sz val="10"/>
            <color indexed="81"/>
            <rFont val="Tahoma"/>
            <family val="2"/>
          </rPr>
          <t xml:space="preserve">Enter number of people accompanying driver or primary traveler. 
</t>
        </r>
      </text>
    </comment>
    <comment ref="C232" authorId="0" shapeId="0" xr:uid="{00000000-0006-0000-0900-0000BA000000}">
      <text>
        <r>
          <rPr>
            <sz val="10"/>
            <color indexed="81"/>
            <rFont val="Tahoma"/>
            <family val="2"/>
          </rPr>
          <t xml:space="preserve">Enter profession of a typical person that accompanies the driver or primary traveler. </t>
        </r>
      </text>
    </comment>
    <comment ref="C233" authorId="0" shapeId="0" xr:uid="{00000000-0006-0000-0900-0000BB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34" authorId="0" shapeId="0" xr:uid="{00000000-0006-0000-0900-0000BC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35" authorId="0" shapeId="0" xr:uid="{00000000-0006-0000-0900-0000BD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36" authorId="0" shapeId="0" xr:uid="{00000000-0006-0000-0900-0000BE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37" authorId="0" shapeId="0" xr:uid="{00000000-0006-0000-0900-0000BF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39" authorId="0" shapeId="0" xr:uid="{00000000-0006-0000-0900-0000C0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40" authorId="0" shapeId="0" xr:uid="{00000000-0006-0000-0900-0000C1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41" authorId="1" shapeId="0" xr:uid="{00000000-0006-0000-0900-0000C2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42" authorId="1" shapeId="0" xr:uid="{00000000-0006-0000-0900-0000C3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43" authorId="1" shapeId="0" xr:uid="{00000000-0006-0000-0900-0000C4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44" authorId="1" shapeId="0" xr:uid="{00000000-0006-0000-0900-0000C5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45" authorId="0" shapeId="0" xr:uid="{00000000-0006-0000-0900-0000C6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46" authorId="1" shapeId="0" xr:uid="{00000000-0006-0000-0900-0000C7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47" authorId="1" shapeId="0" xr:uid="{00000000-0006-0000-0900-0000C8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48" authorId="1" shapeId="0" xr:uid="{00000000-0006-0000-0900-0000C9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49" authorId="0" shapeId="0" xr:uid="{00000000-0006-0000-0900-0000CA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50" authorId="0" shapeId="0" xr:uid="{00000000-0006-0000-0900-0000CB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51" authorId="0" shapeId="0" xr:uid="{00000000-0006-0000-0900-0000CC000000}">
      <text>
        <r>
          <rPr>
            <sz val="10"/>
            <color indexed="81"/>
            <rFont val="Tahoma"/>
            <family val="2"/>
          </rPr>
          <t xml:space="preserve">Enter number of people accompanying driver or primary traveler. 
</t>
        </r>
      </text>
    </comment>
    <comment ref="C252" authorId="0" shapeId="0" xr:uid="{00000000-0006-0000-0900-0000CD000000}">
      <text>
        <r>
          <rPr>
            <sz val="10"/>
            <color indexed="81"/>
            <rFont val="Tahoma"/>
            <family val="2"/>
          </rPr>
          <t xml:space="preserve">Enter profession of a typical person that accompanies the driver or primary traveler. </t>
        </r>
      </text>
    </comment>
    <comment ref="C253" authorId="0" shapeId="0" xr:uid="{00000000-0006-0000-0900-0000CE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54" authorId="0" shapeId="0" xr:uid="{00000000-0006-0000-0900-0000CF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55" authorId="0" shapeId="0" xr:uid="{00000000-0006-0000-0900-0000D0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56" authorId="0" shapeId="0" xr:uid="{00000000-0006-0000-0900-0000D1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57" authorId="0" shapeId="0" xr:uid="{00000000-0006-0000-0900-0000D2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63" authorId="0" shapeId="0" xr:uid="{00000000-0006-0000-0900-0000D3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64" authorId="0" shapeId="0" xr:uid="{00000000-0006-0000-0900-0000D4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65" authorId="1" shapeId="0" xr:uid="{00000000-0006-0000-0900-0000D5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66" authorId="1" shapeId="0" xr:uid="{00000000-0006-0000-0900-0000D6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67" authorId="1" shapeId="0" xr:uid="{00000000-0006-0000-0900-0000D7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68" authorId="1" shapeId="0" xr:uid="{00000000-0006-0000-0900-0000D8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69" authorId="0" shapeId="0" xr:uid="{00000000-0006-0000-0900-0000D9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70" authorId="1" shapeId="0" xr:uid="{00000000-0006-0000-0900-0000DA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1" authorId="1" shapeId="0" xr:uid="{00000000-0006-0000-0900-0000DB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2" authorId="1" shapeId="0" xr:uid="{00000000-0006-0000-0900-0000DC00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73" authorId="0" shapeId="0" xr:uid="{00000000-0006-0000-0900-0000DD00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74" authorId="0" shapeId="0" xr:uid="{00000000-0006-0000-0900-0000DE00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75" authorId="0" shapeId="0" xr:uid="{00000000-0006-0000-0900-0000DF00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76" authorId="0" shapeId="0" xr:uid="{00000000-0006-0000-0900-0000E000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77" authorId="0" shapeId="0" xr:uid="{00000000-0006-0000-0900-0000E100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78" authorId="0" shapeId="0" xr:uid="{00000000-0006-0000-0900-0000E2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79" authorId="0" shapeId="0" xr:uid="{00000000-0006-0000-0900-0000E3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280" authorId="0" shapeId="0" xr:uid="{00000000-0006-0000-0900-0000E400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281" authorId="0" shapeId="0" xr:uid="{00000000-0006-0000-0900-0000E500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283" authorId="0" shapeId="0" xr:uid="{00000000-0006-0000-0900-0000E6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84" authorId="0" shapeId="0" xr:uid="{00000000-0006-0000-0900-0000E7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85" authorId="1" shapeId="0" xr:uid="{00000000-0006-0000-0900-0000E8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86" authorId="1" shapeId="0" xr:uid="{00000000-0006-0000-0900-0000E9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87" authorId="1" shapeId="0" xr:uid="{00000000-0006-0000-0900-0000EA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88" authorId="1" shapeId="0" xr:uid="{00000000-0006-0000-0900-0000EB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89" authorId="0" shapeId="0" xr:uid="{00000000-0006-0000-0900-0000EC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90" authorId="1" shapeId="0" xr:uid="{00000000-0006-0000-0900-0000ED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1" authorId="1" shapeId="0" xr:uid="{00000000-0006-0000-0900-0000EE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2" authorId="1" shapeId="0" xr:uid="{00000000-0006-0000-0900-0000EF00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93" authorId="0" shapeId="0" xr:uid="{00000000-0006-0000-0900-0000F000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94" authorId="0" shapeId="0" xr:uid="{00000000-0006-0000-0900-0000F100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95" authorId="0" shapeId="0" xr:uid="{00000000-0006-0000-0900-0000F200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96" authorId="0" shapeId="0" xr:uid="{00000000-0006-0000-0900-0000F300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97" authorId="0" shapeId="0" xr:uid="{00000000-0006-0000-0900-0000F400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98" authorId="0" shapeId="0" xr:uid="{00000000-0006-0000-0900-0000F5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99" authorId="0" shapeId="0" xr:uid="{00000000-0006-0000-0900-0000F6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00" authorId="0" shapeId="0" xr:uid="{00000000-0006-0000-0900-0000F700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01" authorId="0" shapeId="0" xr:uid="{00000000-0006-0000-0900-0000F800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303" authorId="0" shapeId="0" xr:uid="{00000000-0006-0000-0900-0000F9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304" authorId="0" shapeId="0" xr:uid="{00000000-0006-0000-0900-0000FA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305" authorId="1" shapeId="0" xr:uid="{00000000-0006-0000-0900-0000FB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306" authorId="1" shapeId="0" xr:uid="{00000000-0006-0000-0900-0000FC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307" authorId="1" shapeId="0" xr:uid="{00000000-0006-0000-0900-0000FD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308" authorId="1" shapeId="0" xr:uid="{00000000-0006-0000-0900-0000FE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309" authorId="0" shapeId="0" xr:uid="{00000000-0006-0000-0900-0000FF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310" authorId="1" shapeId="0" xr:uid="{00000000-0006-0000-0900-00000001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1" authorId="1" shapeId="0" xr:uid="{00000000-0006-0000-0900-00000101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2" authorId="1" shapeId="0" xr:uid="{00000000-0006-0000-0900-00000201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313" authorId="0" shapeId="0" xr:uid="{00000000-0006-0000-0900-00000301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314" authorId="0" shapeId="0" xr:uid="{00000000-0006-0000-0900-00000401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315" authorId="0" shapeId="0" xr:uid="{00000000-0006-0000-0900-00000501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316" authorId="0" shapeId="0" xr:uid="{00000000-0006-0000-0900-00000601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317" authorId="0" shapeId="0" xr:uid="{00000000-0006-0000-0900-00000701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318" authorId="0" shapeId="0" xr:uid="{00000000-0006-0000-0900-00000801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319" authorId="0" shapeId="0" xr:uid="{00000000-0006-0000-0900-00000901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20" authorId="0" shapeId="0" xr:uid="{00000000-0006-0000-0900-00000A01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21" authorId="0" shapeId="0" xr:uid="{00000000-0006-0000-0900-00000B01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s>
  <commentList>
    <comment ref="B5" authorId="0" shapeId="0" xr:uid="{00000000-0006-0000-1F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B6" authorId="0" shapeId="0" xr:uid="{00000000-0006-0000-1F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B7" authorId="0" shapeId="0" xr:uid="{00000000-0006-0000-1F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F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F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F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F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F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Mariam Zameer</author>
  </authors>
  <commentList>
    <comment ref="B5" authorId="0" shapeId="0" xr:uid="{23EE02B4-385B-448D-881B-09928F5A43BF}">
      <text>
        <r>
          <rPr>
            <sz val="10"/>
            <color indexed="81"/>
            <rFont val="Tahoma"/>
            <family val="2"/>
          </rPr>
          <t>Select a data template that you would like to use to fill in any gaps where data are missing. This will load data into the "Value used in Model" column as a default. 
You may use the value from the template as-is, or override them by entering your own in the green cells</t>
        </r>
      </text>
    </comment>
    <comment ref="B6" authorId="0" shapeId="0" xr:uid="{031F04F9-0CB8-4829-B40D-56F358D03630}">
      <text>
        <r>
          <rPr>
            <sz val="10"/>
            <color indexed="81"/>
            <rFont val="Tahoma"/>
            <family val="2"/>
          </rPr>
          <t xml:space="preserve">All data template values are in US Dollars.
If your own data is in a different currency, and you would like the output to stay in this other currency, please enter the exchange rate of "Amount of local currency per $1 US Dollar"
</t>
        </r>
      </text>
    </comment>
    <comment ref="B7" authorId="0" shapeId="0" xr:uid="{F1C1B32A-7E1C-4C5F-A7B5-4A2E5627F083}">
      <text>
        <r>
          <rPr>
            <sz val="10"/>
            <color indexed="81"/>
            <rFont val="Tahoma"/>
            <family val="2"/>
          </rPr>
          <t>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B094D60C-D78A-4E2C-B76A-110F3CD111B9}">
      <text>
        <r>
          <rPr>
            <sz val="10"/>
            <color indexed="81"/>
            <rFont val="Tahoma"/>
            <family val="2"/>
          </rPr>
          <t>Enter the average per-liter price of fuel  (petrol, gas or diesel)</t>
        </r>
      </text>
    </comment>
    <comment ref="B9" authorId="1" shapeId="0" xr:uid="{2B2C4D73-FD8A-4CB4-A409-A393007DABA2}">
      <text>
        <r>
          <rPr>
            <b/>
            <sz val="10"/>
            <color indexed="81"/>
            <rFont val="Tahoma"/>
            <family val="2"/>
          </rPr>
          <t>E</t>
        </r>
        <r>
          <rPr>
            <sz val="10"/>
            <color indexed="81"/>
            <rFont val="Tahoma"/>
            <family val="2"/>
          </rPr>
          <t>nter an assumed number of working days in a calendar year, excluding weekends, holidays, vacation time, sick leave, etc. 
Typical working days in a year in USA are 260</t>
        </r>
      </text>
    </comment>
    <comment ref="B10" authorId="1" shapeId="0" xr:uid="{C601DAFE-87DE-47C0-AFCD-59D3033D7D56}">
      <text>
        <r>
          <rPr>
            <b/>
            <sz val="10"/>
            <color indexed="81"/>
            <rFont val="Tahoma"/>
            <family val="2"/>
          </rPr>
          <t>E</t>
        </r>
        <r>
          <rPr>
            <sz val="10"/>
            <color indexed="81"/>
            <rFont val="Tahoma"/>
            <family val="2"/>
          </rPr>
          <t>nter an assumed average number of working hours in a single work day
Typical working hours in a week are 40</t>
        </r>
      </text>
    </comment>
    <comment ref="B11" authorId="1" shapeId="0" xr:uid="{D0CE3282-919A-40BF-90D1-49A0B0C0D86F}">
      <text>
        <r>
          <rPr>
            <sz val="10"/>
            <color indexed="81"/>
            <rFont val="Tahoma"/>
            <family val="2"/>
          </rPr>
          <t xml:space="preserve">Enter average  life of a vehicle. Typical value is 5-7 years.
This is used to calculate annual depreciation costs for vehicles using straighltline depreciation method (initial purchase price divided by the number of years of useful life). </t>
        </r>
      </text>
    </comment>
    <comment ref="B12" authorId="1" shapeId="0" xr:uid="{627AD8C8-CDF6-439E-B08C-57E93C0110FD}">
      <text>
        <r>
          <rPr>
            <sz val="10"/>
            <color indexed="81"/>
            <rFont val="Tahoma"/>
            <family val="2"/>
          </rPr>
          <t>Enter average life of cold boxes. Typical life is 5 years.
This is used to calculate annual depreciation costs for cold storage boxes. This model uses straighltline depreciation method (initial purchase price divided by the number of years of useful life)</t>
        </r>
      </text>
    </comment>
    <comment ref="B16" authorId="2" shapeId="0" xr:uid="{3AF781EF-9727-4CA4-9B88-41B75AF56BA4}">
      <text>
        <r>
          <rPr>
            <sz val="10"/>
            <color indexed="81"/>
            <rFont val="Tahoma"/>
            <family val="2"/>
          </rPr>
          <t>Select "no" if you have demand pre-calculated</t>
        </r>
      </text>
    </comment>
    <comment ref="B17" authorId="1" shapeId="0" xr:uid="{D9FCA7C8-9C55-4272-9BC6-B4A54B264A6E}">
      <text>
        <r>
          <rPr>
            <sz val="10"/>
            <color rgb="FF000000"/>
            <rFont val="Tahoma"/>
            <family val="2"/>
          </rPr>
          <t>Total amount of ambient-temperature product in m^3 stored at room temperature that flows through the supply chain in a year. 
Typically measured at one end of the supply chain -- either total volume procured by a central-level organization, or total volume delivered to health facilities 
Products include: most liquid, tablet, and injectable medications, consumables like syringes, safety boxes etc.</t>
        </r>
      </text>
    </comment>
    <comment ref="B18" authorId="1" shapeId="0" xr:uid="{70F2E12B-26E2-45C4-B03C-719884547816}">
      <text>
        <r>
          <rPr>
            <sz val="10"/>
            <color indexed="81"/>
            <rFont val="Tahoma"/>
            <family val="2"/>
          </rPr>
          <t>Total amount of product in m^3 stored in cold storage (refrigerator or freezer) that flow through the supply chain in a year. 
Products include: most vaccines, oxytocin, insulin in many cases, etc.</t>
        </r>
      </text>
    </comment>
    <comment ref="B19" authorId="1" shapeId="0" xr:uid="{D40EB0F0-6132-4052-BBF2-2E8B7D3AF0A7}">
      <text>
        <r>
          <rPr>
            <sz val="10"/>
            <color indexed="81"/>
            <rFont val="Tahoma"/>
            <family val="2"/>
          </rPr>
          <t>Enter the total number of individual product types that are managed by the supply chain. 
Procedures differ from country to country, but different presentations or dosages of the same medication are often treated as separate products, while different manufacturers of the same medication &amp; presentation are often managed as a single product. 
Some Examples:
-- Amoxicillin comes in both 500mg tablets and 500mg capsules. These would usually be two separate commodities
-- Artemether+Lumefantrine comes in four dosage sizes: 1 tablet x 4 doses, 2x4, 3x4, and 4x4. These are typically four separate commodities
-- Artemether+Lumerantrine 4x4 is produced by Novartis as well as Cipla. This is generally managed as one commodity if found together in the same clinic</t>
        </r>
      </text>
    </comment>
    <comment ref="B20" authorId="1" shapeId="0" xr:uid="{CE6F0573-EE31-4103-8CC2-6FE3C34BABFB}">
      <text>
        <r>
          <rPr>
            <sz val="10"/>
            <color rgb="FF000000"/>
            <rFont val="Tahoma"/>
            <family val="2"/>
          </rPr>
          <t xml:space="preserve">Does the total demand value represent the volume delivered to health facilities at the last mile, or does it represent the volume procured at the national level?  
This parameter becomes important when expiry and wastage are significant. For example, if Total System Demand Volume is 1000 m^3:
- </t>
        </r>
        <r>
          <rPr>
            <b/>
            <sz val="10"/>
            <color rgb="FF000000"/>
            <rFont val="Tahoma"/>
            <family val="2"/>
          </rPr>
          <t>Procured</t>
        </r>
        <r>
          <rPr>
            <sz val="10"/>
            <color rgb="FF000000"/>
            <rFont val="Tahoma"/>
            <family val="2"/>
          </rPr>
          <t xml:space="preserve">: If it is procured at the national level, and a 5% wastage rate at each tier, then total demand volume reaching health facilities is actually less than 1000 m^3 
- </t>
        </r>
        <r>
          <rPr>
            <b/>
            <sz val="10"/>
            <color rgb="FF000000"/>
            <rFont val="Tahoma"/>
            <family val="2"/>
          </rPr>
          <t>Delivered</t>
        </r>
        <r>
          <rPr>
            <sz val="10"/>
            <color rgb="FF000000"/>
            <rFont val="Tahoma"/>
            <family val="2"/>
          </rPr>
          <t>: If it is delivered to health facilities, then this is after 5% wastage has already been taken into account. Hence, upstream tiers must be handling/procuring more than 1000 m^3</t>
        </r>
      </text>
    </comment>
    <comment ref="K20" authorId="0" shapeId="0" xr:uid="{80B68D03-BE2F-4A31-BC50-F90FD02AAC56}">
      <text>
        <r>
          <rPr>
            <sz val="9"/>
            <color indexed="81"/>
            <rFont val="Tahoma"/>
            <family val="2"/>
          </rPr>
          <t>Requires user to enter a minimum of 1) overall target population size, and 2) type and presentation of vaccines to include.
Worksheet calculates estimated cold and ambient temperature demand volume, and estimated value of procured products.</t>
        </r>
      </text>
    </comment>
    <comment ref="B21" authorId="1" shapeId="0" xr:uid="{ED988FE6-C606-443A-927E-58A35CADB166}">
      <text>
        <r>
          <rPr>
            <sz val="10"/>
            <color indexed="81"/>
            <rFont val="Tahoma"/>
            <family val="2"/>
          </rPr>
          <t>Estimated cash value (typically procurement value) of the Total System Demand Volume. 
It is used to calculate the "Cost as a percentage of commodity value" statistic in the Outputs. If this metric is not important to the user, this field can be left blank.</t>
        </r>
      </text>
    </comment>
    <comment ref="K21" authorId="0" shapeId="0" xr:uid="{B357FD5C-99B8-4DCC-9B3F-EC1A8CE8D689}">
      <text>
        <r>
          <rPr>
            <sz val="9"/>
            <color indexed="81"/>
            <rFont val="Tahoma"/>
            <family val="2"/>
          </rPr>
          <t>Requires user to either 1) specify a target country, or 2) specify a target population, contraceptive prevalence rate, and method mix for key contraceptive types.
Worksheet calculates estimated demand volume (m^3) of contraceptive products, as well as their estimated procurement value.</t>
        </r>
      </text>
    </comment>
    <comment ref="K22" authorId="0" shapeId="0" xr:uid="{56A1F0BC-F47D-44E0-A9E8-D45EA9BCB410}">
      <text>
        <r>
          <rPr>
            <sz val="9"/>
            <color indexed="81"/>
            <rFont val="Tahoma"/>
            <family val="2"/>
          </rPr>
          <t>Requires user to enter 1) a list of products, 2) number of units consumed for each product, and 3) specify a general product type, e.g. "bottle of liquid - large".
Worksheet draws from USAID Product-Volume Database to estimate the overall volume (m^3) of the products consumed. 
Unlike the other two worksheets, this one does not rely on demographic data - it requires prior logistics data on units of product consumed. However, it provides a general framework that can be applied to products from any program area</t>
        </r>
      </text>
    </comment>
    <comment ref="B25" authorId="2" shapeId="0" xr:uid="{C25056EC-5F28-4A92-9016-52C73AFF48D2}">
      <text>
        <r>
          <rPr>
            <sz val="10"/>
            <color indexed="81"/>
            <rFont val="Tahoma"/>
            <family val="2"/>
          </rPr>
          <t>For each position listed, enter an average hourly salary rate, and daily travel perdiem rate. These are used to calculate labor costs of storage, delivery, and other supply chain activities. 
If a  supply chain position isn't already listed, add them under "Other Personnel Type".  
Positions that are not used can be left blank.</t>
        </r>
      </text>
    </comment>
    <comment ref="B27" authorId="1" shapeId="0" xr:uid="{7FC26B20-9495-44C1-A0A8-B44F5C7C814B}">
      <text>
        <r>
          <rPr>
            <sz val="10"/>
            <color rgb="FF000000"/>
            <rFont val="Tahoma"/>
            <family val="2"/>
          </rPr>
          <t>Leave blank. 
This is a placeholder for when a) the user selects 3rd Party Logistics Provider (3PL) as a transportation option in section 5 &amp; 6 and, therefore, is not paying salary or perdiem for the drivers and logisticians who operate those 3PL transportation resources.</t>
        </r>
      </text>
    </comment>
    <comment ref="B28" authorId="1" shapeId="0" xr:uid="{3E798FA0-7CDA-45E3-B8C4-407634869CF1}">
      <text>
        <r>
          <rPr>
            <sz val="10"/>
            <color rgb="FF000000"/>
            <rFont val="Tahoma"/>
            <family val="2"/>
          </rPr>
          <t>Enter personnel type not listed above.
Enter both an average hourly salary rate, and a daily travel perdiem rate.</t>
        </r>
      </text>
    </comment>
    <comment ref="B29" authorId="1" shapeId="0" xr:uid="{C742825C-A92B-4CF6-B399-D5023759DCD1}">
      <text>
        <r>
          <rPr>
            <sz val="10"/>
            <color rgb="FF000000"/>
            <rFont val="Tahoma"/>
            <family val="2"/>
          </rPr>
          <t>Enter personnel type not listed above.
Enter both an average hourly salary rate, and a daily travel perdiem rate.</t>
        </r>
      </text>
    </comment>
    <comment ref="B30" authorId="1" shapeId="0" xr:uid="{663DD1BB-25F2-4A58-B543-F3EED2503E33}">
      <text>
        <r>
          <rPr>
            <sz val="10"/>
            <color rgb="FF000000"/>
            <rFont val="Tahoma"/>
            <family val="2"/>
          </rPr>
          <t>Enter personnel type not listed above.
Enter both an average hourly salary rate, and a daily travel perdiem rate.</t>
        </r>
      </text>
    </comment>
    <comment ref="B31" authorId="1" shapeId="0" xr:uid="{87D9DD99-52EC-4D1F-BADD-7424F18604AC}">
      <text>
        <r>
          <rPr>
            <sz val="10"/>
            <color rgb="FF000000"/>
            <rFont val="Tahoma"/>
            <family val="2"/>
          </rPr>
          <t>Enter personnel type not listed above.
Enter both an average hourly salary rate, and a daily travel perdiem rate.</t>
        </r>
      </text>
    </comment>
    <comment ref="B32" authorId="1" shapeId="0" xr:uid="{572273C7-3799-4F99-AD06-3D79EAAF3BA8}">
      <text>
        <r>
          <rPr>
            <sz val="10"/>
            <color rgb="FF000000"/>
            <rFont val="Tahoma"/>
            <family val="2"/>
          </rPr>
          <t>Enter personnel type not listed above.
Enter both an average hourly salary rate, and a daily travel perdiem rate.</t>
        </r>
      </text>
    </comment>
    <comment ref="B33" authorId="1" shapeId="0" xr:uid="{8C181DF9-343C-4E2A-9F5F-C9EDCC00DF69}">
      <text>
        <r>
          <rPr>
            <sz val="10"/>
            <color rgb="FF000000"/>
            <rFont val="Tahoma"/>
            <family val="2"/>
          </rPr>
          <t>Enter personnel type not listed above.
Enter both an average hourly salary rate, and a daily travel perdiem rate.</t>
        </r>
      </text>
    </comment>
    <comment ref="B34" authorId="1" shapeId="0" xr:uid="{7DAA7BB6-342D-4104-B71B-A2ACDAE5DCF8}">
      <text>
        <r>
          <rPr>
            <sz val="10"/>
            <color rgb="FF000000"/>
            <rFont val="Tahoma"/>
            <family val="2"/>
          </rPr>
          <t>Enter personnel type not listed above.
Enter both an average hourly salary rate, and a daily travel perdiem rate.</t>
        </r>
      </text>
    </comment>
    <comment ref="B35" authorId="1" shapeId="0" xr:uid="{7BD200C0-1962-46DF-8856-5CFAD2CA3948}">
      <text>
        <r>
          <rPr>
            <sz val="10"/>
            <color rgb="FF000000"/>
            <rFont val="Tahoma"/>
            <family val="2"/>
          </rPr>
          <t>Enter personnel type not listed above.
Enter both an average hourly salary rate, and a daily travel perdiem rate.</t>
        </r>
      </text>
    </comment>
    <comment ref="B36" authorId="1" shapeId="0" xr:uid="{B9BE55F8-FEC7-4A8C-A09C-4934E19CD131}">
      <text>
        <r>
          <rPr>
            <sz val="10"/>
            <color rgb="FF000000"/>
            <rFont val="Tahoma"/>
            <family val="2"/>
          </rPr>
          <t>Enter personnel type not listed above.
Enter both an average hourly salary rate, and a daily travel perdiem rate.</t>
        </r>
      </text>
    </comment>
    <comment ref="B37" authorId="1" shapeId="0" xr:uid="{2DC8366B-585B-4D9A-AC7E-A7E0EBC163DD}">
      <text>
        <r>
          <rPr>
            <sz val="10"/>
            <color rgb="FF000000"/>
            <rFont val="Tahoma"/>
            <family val="2"/>
          </rPr>
          <t>Enter personnel type not listed above.
Enter both an average hourly salary rate, and a daily travel perdiem rate.</t>
        </r>
      </text>
    </comment>
    <comment ref="B38" authorId="1" shapeId="0" xr:uid="{2CCA91AF-0F1D-4874-8694-04CE31C07FC3}">
      <text>
        <r>
          <rPr>
            <sz val="10"/>
            <color rgb="FF000000"/>
            <rFont val="Tahoma"/>
            <family val="2"/>
          </rPr>
          <t>Enter personnel type not listed above.
Enter both an average hourly salary rate, and a daily travel perdiem rate.</t>
        </r>
      </text>
    </comment>
    <comment ref="D42" authorId="1" shapeId="0" xr:uid="{B0B814B2-E2A5-40BD-8C44-6D65D1EAD4C5}">
      <text>
        <r>
          <rPr>
            <sz val="10"/>
            <color indexed="81"/>
            <rFont val="Tahoma"/>
            <family val="2"/>
          </rPr>
          <t>Only fill the types of vehicles that are actually used in the analysis; leave others blank. 
Use the Notes section to document assumptions and interpretations.</t>
        </r>
      </text>
    </comment>
    <comment ref="D43" authorId="1" shapeId="0" xr:uid="{61DA84BC-2DF9-4F5B-A136-885742511584}">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4" authorId="1" shapeId="0" xr:uid="{0EA8334A-9982-436C-AF75-9F56989739C5}">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5" authorId="1" shapeId="0" xr:uid="{75A62BD0-E049-4FDC-92A2-0165A76A9750}">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a vaccine carrier or cold box is most commoly used.</t>
        </r>
      </text>
    </comment>
    <comment ref="D46" authorId="1" shapeId="0" xr:uid="{130741F6-92A3-4B61-B0D1-D5D265B2366A}">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7" authorId="1" shapeId="0" xr:uid="{40180109-2748-4AC1-9A57-3C8BAEC71133}">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8" authorId="1" shapeId="0" xr:uid="{A34DA28D-FCB6-4E53-9FD5-072F63603C03}">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mostly a vaccine carrier or cold box is used.</t>
        </r>
      </text>
    </comment>
    <comment ref="D49" authorId="1" shapeId="0" xr:uid="{6D8C67B9-6D99-49ED-876B-BF701BF38DDD}">
      <text>
        <r>
          <rPr>
            <sz val="10"/>
            <color indexed="81"/>
            <rFont val="Tahoma"/>
            <family val="2"/>
          </rPr>
          <t>Enter typical local purchase price of one motorcycle in USD that is used for transporating SC commodities</t>
        </r>
      </text>
    </comment>
    <comment ref="D50" authorId="1" shapeId="0" xr:uid="{01B2FE4A-7F05-4BB0-BE0B-D023127D8610}">
      <text>
        <r>
          <rPr>
            <sz val="10"/>
            <color indexed="81"/>
            <rFont val="Tahoma"/>
            <family val="2"/>
          </rPr>
          <t>Input is optional; will be automatically calculated based on vehicle useful life and the purchase price for this vehicle type.</t>
        </r>
      </text>
    </comment>
    <comment ref="D51" authorId="1" shapeId="0" xr:uid="{8EAD4E24-2BFB-4A49-BF2D-34B8AB5B142F}">
      <text>
        <r>
          <rPr>
            <sz val="10"/>
            <color indexed="81"/>
            <rFont val="Tahoma"/>
            <family val="2"/>
          </rPr>
          <t>Enter typical annual cost to insure one motorcycle for use in supply chain-related activities</t>
        </r>
      </text>
    </comment>
    <comment ref="D52" authorId="1" shapeId="0" xr:uid="{221CEF6F-B5CB-4C47-911E-F4836ED2F214}">
      <text>
        <r>
          <rPr>
            <sz val="10"/>
            <color indexed="81"/>
            <rFont val="Tahoma"/>
            <family val="2"/>
          </rPr>
          <t>Enter expected maintenance cost per kilometer for one motorcycle. 
This can be calculated by taking the total maintenance costs for a motorcycle (or fleet of motorcycles) over a period of time, and dividing by the overall number of kilometers traveled in that period of time.</t>
        </r>
      </text>
    </comment>
    <comment ref="D53" authorId="1" shapeId="0" xr:uid="{C217450B-9A2C-414E-A0ED-268705EEC3EE}">
      <text>
        <r>
          <rPr>
            <sz val="10"/>
            <color indexed="81"/>
            <rFont val="Tahoma"/>
            <family val="2"/>
          </rPr>
          <t>Enter liters of fuel required to travel 1 km by motorcycle.  
This can be calculated by taking the total number of liters of fuel purchased for a motorcycle (or fleet of motorcycles) over a period of time, and dividing by the overall number of kilometers traveled in that period of time.</t>
        </r>
      </text>
    </comment>
    <comment ref="D54" authorId="1" shapeId="0" xr:uid="{EFACC872-B6C1-414F-9498-B6F46E8B3988}">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55" authorId="1" shapeId="0" xr:uid="{07D292BA-E70A-417F-BBC9-3FD8BF049328}">
      <text>
        <r>
          <rPr>
            <sz val="10"/>
            <color indexed="81"/>
            <rFont val="Tahoma"/>
            <family val="2"/>
          </rPr>
          <t>Enter typical local purchase price (in $ USD) of a car, truck, or off-road 4x4 vehicle that is used for transporating SC commodities</t>
        </r>
      </text>
    </comment>
    <comment ref="D56" authorId="1" shapeId="0" xr:uid="{BA09BE53-E381-408F-A66E-6D966E8C97D5}">
      <text>
        <r>
          <rPr>
            <sz val="10"/>
            <color indexed="81"/>
            <rFont val="Tahoma"/>
            <family val="2"/>
          </rPr>
          <t>Input is optional; will be automatically calculated based on vehicle useful life and the purchase price for this vehicle type.</t>
        </r>
      </text>
    </comment>
    <comment ref="D57" authorId="1" shapeId="0" xr:uid="{01496A5C-3046-4863-B676-0C1BD372A670}">
      <text>
        <r>
          <rPr>
            <sz val="10"/>
            <color indexed="81"/>
            <rFont val="Tahoma"/>
            <family val="2"/>
          </rPr>
          <t>Enter typical annual cost to insure one car, Land Cruiser or other vehicle for use in supply chain-related activities</t>
        </r>
      </text>
    </comment>
    <comment ref="D58" authorId="1" shapeId="0" xr:uid="{2CFD4DBD-59B5-4D1D-9726-C341A031AC37}">
      <text>
        <r>
          <rPr>
            <sz val="10"/>
            <color indexed="81"/>
            <rFont val="Tahoma"/>
            <family val="2"/>
          </rPr>
          <t>Enter expected maintenance cost per kilometer for one car or off-road 4x4 vehicle e.g. Land Cruiser. 
This can be calculated by taking the total maintenance costs for a vehicle (or fleet of vehicle) over a period of time, and dividing by the overall number of kilometers traveled in that period of time.</t>
        </r>
      </text>
    </comment>
    <comment ref="D59" authorId="1" shapeId="0" xr:uid="{77530222-DE23-415C-B177-109754B7DD29}">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0" authorId="1" shapeId="0" xr:uid="{50A544A6-254A-45A0-BDEA-B43EA4F91906}">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1" authorId="1" shapeId="0" xr:uid="{DF732B37-FBF6-4491-BEDB-C59206D620FA}">
      <text>
        <r>
          <rPr>
            <sz val="10"/>
            <color indexed="81"/>
            <rFont val="Tahoma"/>
            <family val="2"/>
          </rPr>
          <t>Enter typical local purchase price in USD of one commercial box or flatbed truck (e.g. Mitsubishi Canter, Fuso Fighter, Toyota Hiace) that is used for transporating SC commodities</t>
        </r>
      </text>
    </comment>
    <comment ref="D62" authorId="1" shapeId="0" xr:uid="{E805E68B-465A-472B-A3FB-990539899857}">
      <text>
        <r>
          <rPr>
            <sz val="10"/>
            <color indexed="81"/>
            <rFont val="Tahoma"/>
            <family val="2"/>
          </rPr>
          <t>Input is optional; will be automatically calculated based on vehicle useful life and the purchase price for this vehicle type.</t>
        </r>
      </text>
    </comment>
    <comment ref="D63" authorId="1" shapeId="0" xr:uid="{4AF588DC-53CE-4FD9-B54B-92A991B4CC59}">
      <text>
        <r>
          <rPr>
            <sz val="10"/>
            <color indexed="81"/>
            <rFont val="Tahoma"/>
            <family val="2"/>
          </rPr>
          <t>Enter typical annual cost to insure one commercial flatbed or box truck (e.g. Mitsubishi Fuso Fighter or Canter, Nissan UD-60/70/80) for use in supply chain-related activities</t>
        </r>
      </text>
    </comment>
    <comment ref="D64" authorId="1" shapeId="0" xr:uid="{408999A7-A2BA-482F-A78B-A81090E67B59}">
      <text>
        <r>
          <rPr>
            <sz val="10"/>
            <color rgb="FF000000"/>
            <rFont val="Tahoma"/>
            <family val="2"/>
          </rPr>
          <t>Enter expected maintenance cost per kilometer for one commercial flatbed or box truck. 
This can be calculated by taking the total maintenance costs for a vehicle (or fleet of vehicles) over a period of time, and dividing by the overall number of kilometers traveled in that period of time.</t>
        </r>
      </text>
    </comment>
    <comment ref="D65" authorId="1" shapeId="0" xr:uid="{926EE571-718D-4FA1-94FD-03E0549FF396}">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6" authorId="1" shapeId="0" xr:uid="{5296F2A6-0FE6-42BA-AFB7-240EA8E03AD5}">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7" authorId="1" shapeId="0" xr:uid="{ABEF7AB6-59BC-484E-8A9F-CAC2B1E064A5}">
      <text>
        <r>
          <rPr>
            <sz val="10"/>
            <color indexed="81"/>
            <rFont val="Tahoma"/>
            <family val="2"/>
          </rPr>
          <t>Enter typical local purchase price of one refrigerated truck in USD that is used for transporating cold chain commodities</t>
        </r>
      </text>
    </comment>
    <comment ref="D68" authorId="1" shapeId="0" xr:uid="{063FD4BB-6C38-47E9-B852-ABFF671DC50F}">
      <text>
        <r>
          <rPr>
            <sz val="10"/>
            <color indexed="81"/>
            <rFont val="Tahoma"/>
            <family val="2"/>
          </rPr>
          <t>Input is optional; will be automatically calculated based on vehicle useful life and the purchase price for this vehicle type.</t>
        </r>
      </text>
    </comment>
    <comment ref="D69" authorId="1" shapeId="0" xr:uid="{FD7C265B-B855-4240-9275-EE6BD9B9CCEF}">
      <text>
        <r>
          <rPr>
            <sz val="10"/>
            <color indexed="81"/>
            <rFont val="Tahoma"/>
            <family val="2"/>
          </rPr>
          <t>Enter typical annual cost to insureone refrigerated truck for use in supply chain-related activities</t>
        </r>
      </text>
    </comment>
    <comment ref="D70" authorId="1" shapeId="0" xr:uid="{6C9C3AF7-0054-438C-BFB7-6EA9C6F16DCB}">
      <text>
        <r>
          <rPr>
            <sz val="10"/>
            <color rgb="FF000000"/>
            <rFont val="Tahoma"/>
            <family val="2"/>
          </rPr>
          <t>Enter expected maintenance cost per kilometer for one refrigerated truck. 
This can be calculated by taking the total maintenance costs for a vehicle (or fleet of vehicles) over a period of time, and dividing by the overall number of kilometers traveled in that period of time.</t>
        </r>
      </text>
    </comment>
    <comment ref="D71" authorId="1" shapeId="0" xr:uid="{C143C259-2ADC-49E9-856F-6CB2FE04BF3B}">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2" authorId="1" shapeId="0" xr:uid="{1BC5040E-27B7-48F5-8509-9ECD95CB5409}">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73" authorId="1" shapeId="0" xr:uid="{8863F110-7E56-46F1-B521-EE65BC7D3A42}">
      <text>
        <r>
          <rPr>
            <sz val="10"/>
            <color indexed="81"/>
            <rFont val="Tahoma"/>
            <family val="2"/>
          </rPr>
          <t>Enter typical local purchase price in USD of one additional vehicle that is used for transporating SC commodities and not covered by any of the above categories</t>
        </r>
      </text>
    </comment>
    <comment ref="D74" authorId="1" shapeId="0" xr:uid="{D7007D4B-A239-490E-A37A-0142AD8A9958}">
      <text>
        <r>
          <rPr>
            <sz val="10"/>
            <color indexed="81"/>
            <rFont val="Tahoma"/>
            <family val="2"/>
          </rPr>
          <t>Input is optional; will be automatically calculated based on vehicle useful life and the purchase price for this vehicle type.</t>
        </r>
      </text>
    </comment>
    <comment ref="D75" authorId="1" shapeId="0" xr:uid="{0D0659B0-8245-4810-AACC-8D7008020307}">
      <text>
        <r>
          <rPr>
            <sz val="10"/>
            <color rgb="FF000000"/>
            <rFont val="Tahoma"/>
            <family val="2"/>
          </rPr>
          <t>Enter typical annual cost to insure one vehicle of this type for use in supply chain-related activities</t>
        </r>
      </text>
    </comment>
    <comment ref="D76" authorId="1" shapeId="0" xr:uid="{0397AA4D-C1A7-4959-BC87-82C03CFDA093}">
      <text>
        <r>
          <rPr>
            <sz val="10"/>
            <color rgb="FF000000"/>
            <rFont val="Tahoma"/>
            <family val="2"/>
          </rPr>
          <t>Enter expected maintenance cost per kilometer for one vehicle. 
This can be calculated by taking the total maintenance costs for a vehicle (or fleet of vehicles) over a period of time, and dividing by the overall number of kilometers traveled in that period of time.</t>
        </r>
      </text>
    </comment>
    <comment ref="D77" authorId="1" shapeId="0" xr:uid="{5D9F2DE3-A6F4-4209-A3CA-716485D6589B}">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8" authorId="1" shapeId="0" xr:uid="{774C41F7-714E-47BF-B328-54666BE275C7}">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B86" authorId="1" shapeId="0" xr:uid="{4C08FCEF-BAEB-4850-8AB0-ACE251A36CA7}">
      <text>
        <r>
          <rPr>
            <sz val="10"/>
            <color rgb="FF000000"/>
            <rFont val="Tahoma"/>
            <family val="2"/>
          </rPr>
          <t>Select a data template to use for Sections 5 and 6. 
This will load data into the "Value used in Model" column, which you can use as-is or override with your own data by entering it into the green cells.</t>
        </r>
      </text>
    </comment>
    <comment ref="B87" authorId="1" shapeId="0" xr:uid="{CE218B12-1686-4F56-8CA6-2D1A890354D0}">
      <text>
        <r>
          <rPr>
            <sz val="10"/>
            <color indexed="81"/>
            <rFont val="Tahoma"/>
            <family val="2"/>
          </rPr>
          <t>Select which tier from the data template to use. 
For example, if a data template contains three tiers (Central=Tier 1, Regional=Tier 2, and Facility=Tier 3) and you want to pull data from the Regional tier, then select "Tier 2".   
This is important as tier numbers on the data templates may not necessarily align with the tier numbers in the model being analyzed.</t>
        </r>
      </text>
    </comment>
    <comment ref="B88" authorId="1" shapeId="0" xr:uid="{822D513C-5C8B-40E4-972F-EA15F82E9E9D}">
      <text>
        <r>
          <rPr>
            <sz val="10"/>
            <color indexed="81"/>
            <rFont val="Tahoma"/>
            <family val="2"/>
          </rPr>
          <t xml:space="preserve">Name each tier for the type of facility, e.g. central medical stores, regional or district warehouse, health facility.  
Tier 1 should represent the most upstream tier being modeled, e.g. national store if modeling an entire country, or a regional medical store if modeling a specific province or region.
</t>
        </r>
      </text>
    </comment>
    <comment ref="B92" authorId="1" shapeId="0" xr:uid="{D9C4B935-EEAD-4F1D-B424-9B8F3D42233D}">
      <text>
        <r>
          <rPr>
            <sz val="10"/>
            <color rgb="FF000000"/>
            <rFont val="Tahoma"/>
            <family val="2"/>
          </rPr>
          <t>For each tier, enter the total geographic area (in km^2) over which facilities in that tier are distributed. 
-- This may be the same value for each tier in the model
-- For different value for each tier: for example, if considering a supply chain program only within a single region of a country, but want to include transportation from the national Central Medical Stores, enter the National land area for Tier 1 , and the Regional land area for both Tier 2  (e.g. Regional Warehouse) and Tier 3 (Health Clinic)</t>
        </r>
      </text>
    </comment>
    <comment ref="B93" authorId="1" shapeId="0" xr:uid="{CA3B54D0-8BE9-4B92-B7E9-A3D094B63BB0}">
      <text>
        <r>
          <rPr>
            <sz val="10"/>
            <color indexed="81"/>
            <rFont val="Tahoma"/>
            <family val="2"/>
          </rPr>
          <t>Enter between 0% to 100%
Specify what percentage of the Total System Demand Volume (listed above) will be included in storage and distribution modeling at each tier.  
Most users will enter100% for every tier, unless there is a specific reason, e.g. if storage/distribution for a certain subset of commodities is handled by an outside partner, and the user specifically wants to exclude those costs from consideration in the analysis</t>
        </r>
      </text>
    </comment>
    <comment ref="B94" authorId="1" shapeId="0" xr:uid="{BC39A748-99E6-4155-BCA6-F48561A0F813}">
      <text>
        <r>
          <rPr>
            <sz val="10"/>
            <color indexed="81"/>
            <rFont val="Tahoma"/>
            <family val="2"/>
          </rPr>
          <t>Enter expected % of commodity volume that is lost to expiry or wastage during storage/delivery from the upstream facilities.  
The value for Tier 1 can be left blank.
If wastage rate by tier is not known, assume equal wastage across all tiers. To calculate, take total wastage rate and divide across the number of tiers to get waste rate at each tier</t>
        </r>
      </text>
    </comment>
    <comment ref="B95" authorId="1" shapeId="0" xr:uid="{D84DA802-CF56-465C-8378-1ED80FA071C4}">
      <text>
        <r>
          <rPr>
            <sz val="10"/>
            <color indexed="81"/>
            <rFont val="Tahoma"/>
            <family val="2"/>
          </rPr>
          <t>Enter the number of facilities that receive and store product at that tier. 
For example, for a three-tier supply chain with 1 Central Medical Store, 20 Regional Warehouses, and 2000 Health Clinics, the user would enter "1" under Tier 1 , "20" under the Tier 2 , and "2000" under the Tier 3</t>
        </r>
      </text>
    </comment>
    <comment ref="B96" authorId="1" shapeId="0" xr:uid="{F68E80E0-7F9A-469E-8A29-0ED6F407524A}">
      <text>
        <r>
          <rPr>
            <sz val="10"/>
            <color rgb="FF000000"/>
            <rFont val="Tahoma"/>
            <family val="2"/>
          </rPr>
          <t>Enter how frequently products are generally ordered and replenished in a year. 
This is does not refer to resupply per facility. E.g. a large regional facility may receive a resupply shipment weekly, but only receive a particular product on a monthly basis. In this case the user would enter "12" corresponding with monthly product orders.</t>
        </r>
      </text>
    </comment>
    <comment ref="B97" authorId="1" shapeId="0" xr:uid="{97A187B5-56CE-48FC-9CDE-FA6D3CD97681}">
      <text>
        <r>
          <rPr>
            <sz val="10"/>
            <color rgb="FF000000"/>
            <rFont val="Tahoma"/>
            <family val="2"/>
          </rPr>
          <t>Circuity factor is a value by which straight-line distances are multipled to calculate a more realistic road distance.  
In HICs urban environments, this value has been estimated at 1.2 - 1.3 (meaning road distance is 1.2-1.3x greater than straightline distances).  Rural settings in LMICs are estimated to be 1.4 - 2.0. 
See the worksheet "Circuity Factor Benchmarks" for more details.</t>
        </r>
      </text>
    </comment>
    <comment ref="B98" authorId="1" shapeId="0" xr:uid="{54FA5922-0731-45A5-833E-47545A910DA0}">
      <text>
        <r>
          <rPr>
            <sz val="10"/>
            <color indexed="81"/>
            <rFont val="Tahoma"/>
            <family val="2"/>
          </rPr>
          <t xml:space="preserve">This is calculated. However, user can enter their own value if they have a better estimate. 
NOTE: Road distance scales based on three factors: 1) the land area covered by the source/upstream tier, 2) the number of facilities in the source/upstream tier, and 3) the circuity factor relating road distance to straightline distance. </t>
        </r>
      </text>
    </comment>
    <comment ref="B99" authorId="1" shapeId="0" xr:uid="{C3E8004A-B86A-47C1-A156-688E90C6BA67}">
      <text>
        <r>
          <rPr>
            <sz val="10"/>
            <color indexed="81"/>
            <rFont val="Tahoma"/>
            <family val="2"/>
          </rPr>
          <t>This is calculated for each tier. However, user can enter their own value if they have a better estimate for the average road distance between facilities in the same tier. 
NOTE: Road distance scales based on three factors: 1) the land area covered by this tier, 2) the number of facilities in this tier, and 3) the circuity factor relating road distance to straightline distance.</t>
        </r>
      </text>
    </comment>
    <comment ref="C104" authorId="1" shapeId="0" xr:uid="{124F0517-8902-4045-A342-07EDB7F1DA54}">
      <text>
        <r>
          <rPr>
            <sz val="10"/>
            <color indexed="81"/>
            <rFont val="Tahoma"/>
            <family val="2"/>
          </rPr>
          <t xml:space="preserve">Enter the safety or buffer stock for each tier in number of months. This is also the lowest allowable stock level. </t>
        </r>
      </text>
    </comment>
    <comment ref="C105" authorId="1" shapeId="0" xr:uid="{BACCE379-81AA-499E-B64D-8E7290484695}">
      <text>
        <r>
          <rPr>
            <sz val="10"/>
            <color rgb="FF000000"/>
            <rFont val="Tahoma"/>
            <family val="2"/>
          </rPr>
          <t>Select Supply Chain Personnel from section 3 for the person who typically packs orders and processes inventory at this tier. 
At a National- or Regional-level warehouse, this could likely be a dedicated warehouse staff, but at a smaller warehouse or health facility, this role could be filled by a logistician or a facility nurse in-charge.</t>
        </r>
      </text>
    </comment>
    <comment ref="C106" authorId="1" shapeId="0" xr:uid="{7A6AE5EE-0610-4F23-858A-CA43049DC7E5}">
      <text>
        <r>
          <rPr>
            <sz val="10"/>
            <color indexed="81"/>
            <rFont val="Tahoma"/>
            <family val="2"/>
          </rPr>
          <t>Enter number of full-time equivalents at an average facility, NOT the actual number of people. Number can be less than 1 (see examples)
Example, if 20 people each spend an average of 4 hours per day (i.e. 50% of a full work day) on storage and warehousing activities, then the user should put 20 x 50% = 10
Example 2: if the average health clinic is staffed by two nurses, each of whom spends 5% of their time on supply chain storage and warehousing activities, then the user should enter 2 x 5% = 0.1</t>
        </r>
      </text>
    </comment>
    <comment ref="C107" authorId="1" shapeId="0" xr:uid="{11994097-BCAE-4718-8B19-A097124CBD82}">
      <text>
        <r>
          <rPr>
            <sz val="10"/>
            <color indexed="81"/>
            <rFont val="Tahoma"/>
            <family val="2"/>
          </rPr>
          <t>Enter maximum volume of inventory (in m^3) that a typical person can process in a day 
This number is often measured by a) extrapolating from a busy period when the warehouse was operating at "maximum speed", or b) by measuring the volume of product that the warehouse staff actually processed, and adjusting based on how busy the staff were that period (i.e. divide total processed volume by an estimated "percent of capacity utilized")</t>
        </r>
      </text>
    </comment>
    <comment ref="C108" authorId="1" shapeId="0" xr:uid="{A172266E-C324-4966-A0FC-5877597AD69C}">
      <text>
        <r>
          <rPr>
            <sz val="10"/>
            <color indexed="81"/>
            <rFont val="Tahoma"/>
            <family val="2"/>
          </rPr>
          <t xml:space="preserve">Enter dry or ambient storage capacity (m^3) that can be stored within a typical facility. 
ONLY include regularly used spaces such as storeroom shelves or designated storage areas, and should </t>
        </r>
        <r>
          <rPr>
            <b/>
            <sz val="10"/>
            <color indexed="81"/>
            <rFont val="Tahoma"/>
            <family val="2"/>
          </rPr>
          <t>NOT</t>
        </r>
        <r>
          <rPr>
            <sz val="10"/>
            <color indexed="81"/>
            <rFont val="Tahoma"/>
            <family val="2"/>
          </rPr>
          <t xml:space="preserve"> include emergency overflow methods (like storing product in hallways or in the aisles of warehouse shelves)</t>
        </r>
      </text>
    </comment>
    <comment ref="C109" authorId="1" shapeId="0" xr:uid="{A5711024-81E7-4A5B-8164-7B68F660548F}">
      <text>
        <r>
          <rPr>
            <sz val="10"/>
            <color indexed="81"/>
            <rFont val="Tahoma"/>
            <family val="2"/>
          </rPr>
          <t>Enter maximum cold chain capacity (m^3).
ONLY include regularly used spaces such as refrigerators and freezers, and should NOT include emergency overflow methods (like storing product in temporary or makeshift cold boxes)</t>
        </r>
      </text>
    </comment>
    <comment ref="C110" authorId="1" shapeId="0" xr:uid="{C952896C-D263-4ABD-BB49-C69FD721666E}">
      <text>
        <r>
          <rPr>
            <sz val="10"/>
            <color rgb="FF000000"/>
            <rFont val="Tahoma"/>
            <family val="2"/>
          </rPr>
          <t xml:space="preserve">Enter typical operating costs, such as electricity, water, internet, building and equipment maintenance. 
This should be in cost per m^3 capacity, and calculated by taking a warehouse's total variable operating costs divided by its total storage capacity </t>
        </r>
      </text>
    </comment>
    <comment ref="C111" authorId="1" shapeId="0" xr:uid="{0D1587C0-B23E-4156-8DBD-08267E93F57D}">
      <text>
        <r>
          <rPr>
            <sz val="10"/>
            <color indexed="81"/>
            <rFont val="Tahoma"/>
            <family val="2"/>
          </rPr>
          <t xml:space="preserve">Enter fixed/capital costs, such as building and equipment depreciation for a warehouse at each tier.  
This should be in cost per m^3 capacity, and can be calculated by taking a warehouse's total fixed/capital costs divided by its total storage capacity </t>
        </r>
      </text>
    </comment>
    <comment ref="C112" authorId="1" shapeId="0" xr:uid="{A5C968C4-9263-44B6-893D-CE58C0B56A38}">
      <text>
        <r>
          <rPr>
            <sz val="10"/>
            <color indexed="81"/>
            <rFont val="Tahoma"/>
            <family val="2"/>
          </rPr>
          <t xml:space="preserve">Enter annual depreciation for cold storage equipment like refrigerators, freezers, and insulation/temperature monitoring equipment.  
This should be expressed as a cost per m^3 capacity, and can be calculated by taking a warehouse's total cold chain equipment depreciation costs divided by its total storage capacity </t>
        </r>
      </text>
    </comment>
    <comment ref="C113" authorId="1" shapeId="0" xr:uid="{EE8A89DD-4AC5-455A-B584-3329CF3D8683}">
      <text>
        <r>
          <rPr>
            <sz val="10"/>
            <color indexed="81"/>
            <rFont val="Tahoma"/>
            <family val="2"/>
          </rPr>
          <t xml:space="preserve">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C114" authorId="1" shapeId="0" xr:uid="{91825CB9-8299-433B-A03C-25456F6FB35F}">
      <text>
        <r>
          <rPr>
            <sz val="10"/>
            <color indexed="81"/>
            <rFont val="Tahoma"/>
            <family val="2"/>
          </rPr>
          <t>Enter typical passive cold storage container (m^3) used at each tier of the supply chain.
NOTE: often these devices are measured in liters.  Note that 1000 Liters = 1 m^3</t>
        </r>
      </text>
    </comment>
    <comment ref="C115" authorId="1" shapeId="0" xr:uid="{141C53C1-8C94-441F-BA87-362CD2F84EA1}">
      <text>
        <r>
          <rPr>
            <sz val="10"/>
            <color indexed="81"/>
            <rFont val="Tahoma"/>
            <family val="2"/>
          </rPr>
          <t>The typical price paid for one passive cold storage container described above</t>
        </r>
      </text>
    </comment>
    <comment ref="C116" authorId="1" shapeId="0" xr:uid="{9E1BD62E-5A08-4D9D-AEA9-585390DD8C21}">
      <text>
        <r>
          <rPr>
            <sz val="10"/>
            <color indexed="81"/>
            <rFont val="Tahoma"/>
            <family val="2"/>
          </rPr>
          <t xml:space="preserve">If the device is electrically powered, requires other external inputs, or incurs maintenance costs, enter the average annual amount spent per device to ensure that they remain operational. </t>
        </r>
      </text>
    </comment>
    <comment ref="C117" authorId="1" shapeId="0" xr:uid="{74A179DB-58CD-477E-B9DC-43E3B696F1C1}">
      <text>
        <r>
          <rPr>
            <sz val="10"/>
            <color rgb="FF000000"/>
            <rFont val="Tahoma"/>
            <family val="2"/>
          </rPr>
          <t xml:space="preserve">Select on option from drop-down. 
This estimates use of passive cold storage containers for transporation between each tier. </t>
        </r>
      </text>
    </comment>
    <comment ref="B121" authorId="1" shapeId="0" xr:uid="{CD41B213-ADF5-4C29-8EF5-A61D485847C4}">
      <text>
        <r>
          <rPr>
            <sz val="10"/>
            <color indexed="81"/>
            <rFont val="Tahoma"/>
            <family val="2"/>
          </rPr>
          <t xml:space="preserve">--This section asks the user to estimate the overall costs of supply chain supervision and management activities. In this question we ask the user to specify whether these costs will be measured as a function of the number of facilities or based on overall commodity value. 
--Management &amp; supervision activities include conducting supervisory visits to health and logistics facilities; on-the-job or routine supply chain trainings; and operating a central logistics management unit or data quality and analysis hub. These costs often vary widely depending on how intensively a supply chain is managed, and this management intenstity is often independent of other storage and distribution design choices.  For any of the major supply chain archetypes in global health - mobile warehouse models or collection systems - it is possible to run both an intensively managaged system and a lightly-managed system.
--Thus we structure these costs to scale with the overall scope of the supply chain (e.g. cost per facility or dollar delivered), but we must require the user to provide a </t>
        </r>
        <r>
          <rPr>
            <i/>
            <sz val="10"/>
            <color indexed="81"/>
            <rFont val="Tahoma"/>
            <family val="2"/>
          </rPr>
          <t>cost-per-facility</t>
        </r>
        <r>
          <rPr>
            <sz val="10"/>
            <color indexed="81"/>
            <rFont val="Tahoma"/>
            <family val="2"/>
          </rPr>
          <t xml:space="preserve"> or </t>
        </r>
        <r>
          <rPr>
            <i/>
            <sz val="10"/>
            <color indexed="81"/>
            <rFont val="Tahoma"/>
            <family val="2"/>
          </rPr>
          <t>percentage-of-commodity-value</t>
        </r>
        <r>
          <rPr>
            <sz val="10"/>
            <color indexed="81"/>
            <rFont val="Tahoma"/>
            <family val="2"/>
          </rPr>
          <t xml:space="preserve"> parameter that is aligned with the intensity of their own supply chain management activities.  To help the user determine this value, each of our proxy data templates contains a detailed breakdown of the types of management and supervision activities that make up the listed cost value.  Thus the user can select a value that most closely resembles their own supply chain, and further adapt it up or down to match their individual circumstances</t>
        </r>
      </text>
    </comment>
    <comment ref="B122" authorId="1" shapeId="0" xr:uid="{EDD9AADC-2606-4AEC-A75A-810241F38E71}">
      <text>
        <r>
          <rPr>
            <sz val="9"/>
            <color indexed="81"/>
            <rFont val="Tahoma"/>
            <family val="2"/>
          </rPr>
          <t>As detailed above, if the user elects for system management and support costs to be measured as a function of the number of facilities at each tier, then this question asks the user to estimate the per-facility annual cost of those management and supervision activities. 
If a recent costing study has been conducted, this parameter could be estimated by dividing total management and supervision costs by the total number of facilities.  If no study has been conducted, then each of the proxy data templates listed in this tool contains a breakdown of the types of management &amp; supervision activities conducted.  That breakdown can be used to identify and further tailor an appropriate proxy data point.</t>
        </r>
      </text>
    </comment>
    <comment ref="B123" authorId="1" shapeId="0" xr:uid="{39F89FB1-57EE-4AA4-8D08-5689034A60F3}">
      <text>
        <r>
          <rPr>
            <sz val="9"/>
            <color indexed="81"/>
            <rFont val="Tahoma"/>
            <family val="2"/>
          </rPr>
          <t>As detailed above, if the user elects for management and supervision costs to be measured as a function of commodity value ($) delivered, then this question asks the user to estimate the percentage of commodity value dedicated to management and supervision activities. 
If a recent costing study has been conducted, this parameter could be estimated by dividing total management and supervision costs by the total value of product delivered.  If no study has been conducted, then each of the proxy data templates listed in this tool contains a breakdown of the types of management &amp; supervision activities included.  That breakdown can be used to identify and further tailor an appropriate proxy data point.</t>
        </r>
      </text>
    </comment>
    <comment ref="B133" authorId="1" shapeId="0" xr:uid="{532E80C8-124A-4644-8380-7D5E0C78859B}">
      <text>
        <r>
          <rPr>
            <sz val="10"/>
            <color indexed="81"/>
            <rFont val="Tahoma"/>
            <family val="2"/>
          </rPr>
          <t>For each tier, specify how many different methods for transporting commodities are used. Answers can range from 1 to 3.
For example, say a Ministry of Health manages 2000 health facilities (Tier 3) of its supply chain. For 1500 (75%) of those facilities, deliveries are made using a Land Cruiser dispatched from Tier 2, while the remaining 500 facilities (25%) use public transport to travel to Tier 2 and collect. 
For this example, the user would answer "2" under the Tier 3 column, as they use two distinct methods for delivery at Tier 3.  The user would then proceed to answer the following set of questions for both "Delivery Mode 1" and "Delivery Mode 2" sections below for Landcruiser and Public Transport respectively.</t>
        </r>
      </text>
    </comment>
    <comment ref="C135" authorId="0" shapeId="0" xr:uid="{98408BBA-F5E7-47A2-BBC6-9FA8D575310C}">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36" authorId="0" shapeId="0" xr:uid="{98258E64-7C0F-4F58-9D50-3BD1D5D5AF76}">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37" authorId="1" shapeId="0" xr:uid="{6BD2EE65-51D6-4959-A81C-214BC604AA36}">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38" authorId="1" shapeId="0" xr:uid="{03C9939F-867E-48D7-AD75-8707080288D8}">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39" authorId="1" shapeId="0" xr:uid="{0E4C7D05-75FE-47E1-9377-10D0AC0068B3}">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40" authorId="1" shapeId="0" xr:uid="{7752ADA2-1932-469C-A553-12F63E0A0143}">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41" authorId="1" shapeId="0" xr:uid="{F9D8472A-F094-46A0-94B2-38DDAA6FBFA6}">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42" authorId="1" shapeId="0" xr:uid="{CC59D798-468A-4782-928F-B6AEAE00DBC4}">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43" authorId="1" shapeId="0" xr:uid="{A482C1F4-7A03-4D4D-A012-7D0D308C2014}">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44" authorId="0" shapeId="0" xr:uid="{3850FEE5-E198-4C83-924E-15F21ED96731}">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45" authorId="0" shapeId="0" xr:uid="{991D54CC-CB31-46C8-B21D-FDF0CF265D2E}">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46" authorId="0" shapeId="0" xr:uid="{3E45B2D5-003E-4BD7-B8EC-A931111D5267}">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47" authorId="0" shapeId="0" xr:uid="{388A73FD-5148-4318-B078-158567926FD4}">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48" authorId="0" shapeId="0" xr:uid="{895EAF4E-1503-4A61-B08A-89BCAF2EF8E4}">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49" authorId="0" shapeId="0" xr:uid="{953CA92A-A50D-438B-8352-3E7B429FD793}">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50" authorId="0" shapeId="0" xr:uid="{0EC0FBC9-4549-4E37-80D3-E87BF97C677C}">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51" authorId="0" shapeId="0" xr:uid="{C24C944E-2DE1-4D11-BD6F-A9D1071FF298}">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52" authorId="0" shapeId="0" xr:uid="{21DC7361-8B2F-431B-B614-2A75CE4F40F1}">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53" authorId="2" shapeId="0" xr:uid="{FDAFE8D8-0618-4D40-9E10-49D3DF3B0B82}">
      <text>
        <r>
          <rPr>
            <sz val="10"/>
            <color indexed="81"/>
            <rFont val="Tahoma"/>
            <family val="2"/>
          </rPr>
          <t>Choose yes or no from dropdown, to indicate whether this transport mode is used only for cold chain products</t>
        </r>
      </text>
    </comment>
    <comment ref="C155" authorId="0" shapeId="0" xr:uid="{D51FBE2A-E248-44C0-A2A7-20AF1D545FDC}">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56" authorId="0" shapeId="0" xr:uid="{81B23E10-3B25-4E78-90F4-81CE2D898414}">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57" authorId="1" shapeId="0" xr:uid="{D4EED191-C4E7-4EEF-A03E-653D5CEE6299}">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58" authorId="1" shapeId="0" xr:uid="{781718AC-67C5-4F21-BD60-5D67DDE5F562}">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59" authorId="1" shapeId="0" xr:uid="{2466CBF3-91E6-4A3B-A662-2AD80687C04E}">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60" authorId="1" shapeId="0" xr:uid="{30D7F10D-84DF-4579-A84F-1A2C5772168A}">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61" authorId="1" shapeId="0" xr:uid="{984022DC-9CAB-43DE-B857-021998A287A2}">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62" authorId="1" shapeId="0" xr:uid="{CC0282D0-1D0C-4D6E-A93E-CA73E06F07C2}">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63" authorId="1" shapeId="0" xr:uid="{32DE0AE1-CAC0-445F-B9E4-8FB3F25E7EDD}">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64" authorId="0" shapeId="0" xr:uid="{7CF191D3-CCAD-43D5-9B7A-7E2FB3022194}">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65" authorId="0" shapeId="0" xr:uid="{3E7A67C3-9A78-4C69-A1D4-BE916AE9C435}">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66" authorId="0" shapeId="0" xr:uid="{516F11AC-1817-4FEE-8A13-882A4255126C}">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67" authorId="0" shapeId="0" xr:uid="{4D342ACE-1C39-443B-832B-C491E09C7216}">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68" authorId="0" shapeId="0" xr:uid="{27F17ED7-1E43-437A-BF11-366BBC9D677F}">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69" authorId="0" shapeId="0" xr:uid="{A1BDDD6D-FF13-4575-8CDA-872D1A7CB191}">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70" authorId="0" shapeId="0" xr:uid="{769746AE-4E39-4378-AA76-A26D886A96DB}">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71" authorId="0" shapeId="0" xr:uid="{9E3429CE-3BB6-495E-A506-00F9A06B8B6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72" authorId="0" shapeId="0" xr:uid="{F9CF0414-31FE-4B99-B992-A66B80E75EA8}">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73" authorId="2" shapeId="0" xr:uid="{CF387512-1F0C-479C-A78A-F0C2278BCB17}">
      <text>
        <r>
          <rPr>
            <sz val="10"/>
            <color indexed="81"/>
            <rFont val="Tahoma"/>
            <family val="2"/>
          </rPr>
          <t>Choose yes or no from dropdown, to indicate whether this transport mode is used only for cold chain products</t>
        </r>
      </text>
    </comment>
    <comment ref="C175" authorId="0" shapeId="0" xr:uid="{425CAEF3-0519-4B8F-BBDC-EB256222A03E}">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76" authorId="0" shapeId="0" xr:uid="{EC3424EF-DA53-4699-9D8D-1FF9601E437F}">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77" authorId="1" shapeId="0" xr:uid="{532B61E9-06E0-4E26-A74B-A979CBE9F28E}">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78" authorId="1" shapeId="0" xr:uid="{0D5D307C-3D9B-4C1C-AD1C-1351DEE4826A}">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79" authorId="1" shapeId="0" xr:uid="{3B490A5E-AE3C-4513-9093-7520087CFADA}">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80" authorId="1" shapeId="0" xr:uid="{1BE458B2-6573-4E57-A60E-3CF13684C52A}">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81" authorId="1" shapeId="0" xr:uid="{D5561250-9ED9-42B8-98A5-455498DD6382}">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82" authorId="1" shapeId="0" xr:uid="{FD64F267-845B-4DB5-9ED5-D94C2DF9D5AB}">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83" authorId="1" shapeId="0" xr:uid="{D0F7D92D-D44E-4989-9AB4-D372DCF281F4}">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84" authorId="0" shapeId="0" xr:uid="{738F428A-93B1-4E9C-9D90-60771405E6C6}">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85" authorId="0" shapeId="0" xr:uid="{2910E716-EFA5-4A24-90B7-0E6F777301DF}">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86" authorId="0" shapeId="0" xr:uid="{32E6F468-64C2-4BAE-8AA5-DED655920243}">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87" authorId="0" shapeId="0" xr:uid="{3A5455E7-946C-48F1-A587-428C474FD80B}">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88" authorId="0" shapeId="0" xr:uid="{4B2430B9-25EA-425C-8675-D8C6D4F79559}">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89" authorId="0" shapeId="0" xr:uid="{98F8D1B0-89A4-4350-919D-9C9EB9C9077C}">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90" authorId="0" shapeId="0" xr:uid="{2F358088-6982-4C40-9015-6310B03CAAB1}">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91" authorId="0" shapeId="0" xr:uid="{1305341E-7625-47A4-96EE-7AEDD4D23BC5}">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92" authorId="0" shapeId="0" xr:uid="{C61F5C42-AD49-4796-B29D-9AFEA40ED10C}">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93" authorId="2" shapeId="0" xr:uid="{B09AF61B-45FD-4130-8F77-28F29A1B7180}">
      <text>
        <r>
          <rPr>
            <sz val="10"/>
            <color indexed="81"/>
            <rFont val="Tahoma"/>
            <family val="2"/>
          </rPr>
          <t>Choose yes or no from dropdown, to indicate whether this transport mode is used only for cold chain products</t>
        </r>
      </text>
    </comment>
    <comment ref="C199" authorId="0" shapeId="0" xr:uid="{B0323B69-B922-4A35-99F6-68E53593B645}">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00" authorId="0" shapeId="0" xr:uid="{AD976797-D861-4FA5-BFAA-A9DF7A682523}">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01" authorId="1" shapeId="0" xr:uid="{D8058192-3E0A-4842-8ECB-7DE1B7D9E7EE}">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02" authorId="1" shapeId="0" xr:uid="{9E3E06CA-75ED-419F-80C5-AA33AA355164}">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03" authorId="1" shapeId="0" xr:uid="{F089F429-CFA1-4A31-8837-471102E2D85A}">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04" authorId="1" shapeId="0" xr:uid="{2E15DDAA-F3F3-4E23-90A9-5A1D1B06D717}">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05" authorId="0" shapeId="0" xr:uid="{1CFF522D-4B91-4CE1-A02D-F47495E20D8C}">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06" authorId="1" shapeId="0" xr:uid="{2C60754C-B692-4155-AD11-B408691081CE}">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07" authorId="1" shapeId="0" xr:uid="{C5C0A115-25F5-425D-B127-28AA592BA179}">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08" authorId="1" shapeId="0" xr:uid="{A2311C74-9CAA-417C-9191-C96D1E79A4EF}">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09" authorId="0" shapeId="0" xr:uid="{93CADE45-CD41-4763-A5B9-B0DCA47A446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10" authorId="0" shapeId="0" xr:uid="{0C1D4A78-4BBD-4FD6-9D83-9A61E370D3A4}">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11" authorId="0" shapeId="0" xr:uid="{266456D7-EC84-4BEA-85DB-395709A9CCDE}">
      <text>
        <r>
          <rPr>
            <sz val="10"/>
            <color indexed="81"/>
            <rFont val="Tahoma"/>
            <family val="2"/>
          </rPr>
          <t xml:space="preserve">Enter number of people accompanying driver or primary traveler. 
</t>
        </r>
      </text>
    </comment>
    <comment ref="C212" authorId="0" shapeId="0" xr:uid="{E139B7CE-4B6C-4AA9-A16D-9D6805E18D06}">
      <text>
        <r>
          <rPr>
            <sz val="10"/>
            <color indexed="81"/>
            <rFont val="Tahoma"/>
            <family val="2"/>
          </rPr>
          <t xml:space="preserve">Enter profession of a typical person that accompanies the driver or primary traveler. </t>
        </r>
      </text>
    </comment>
    <comment ref="C213" authorId="0" shapeId="0" xr:uid="{B81564FA-244F-498B-BAC4-5737367E7A81}">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14" authorId="0" shapeId="0" xr:uid="{00F2BF85-0E94-4BFA-9B4D-A1EF615E6C1B}">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15" authorId="0" shapeId="0" xr:uid="{6AEE1B81-6F20-498E-8C9E-5A7164806772}">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16" authorId="0" shapeId="0" xr:uid="{013CF6B3-5B7D-47E6-8762-D2042F0D33FB}">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17" authorId="0" shapeId="0" xr:uid="{0C2FB97D-29E9-40C1-B328-8D1C71B775B8}">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19" authorId="0" shapeId="0" xr:uid="{E3797111-EDC4-4CA8-85FB-5AF3B739741C}">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20" authorId="0" shapeId="0" xr:uid="{28834004-9248-46C6-8FD9-1F2C3BE56EB9}">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21" authorId="1" shapeId="0" xr:uid="{ABF52D86-CDB7-4FDC-8E53-1C78B1A1DFD2}">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22" authorId="1" shapeId="0" xr:uid="{620004F4-B8F3-4343-8697-F931F0CFB9FE}">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23" authorId="1" shapeId="0" xr:uid="{AEB16AFD-511B-41E2-B289-C55D121B37FF}">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24" authorId="1" shapeId="0" xr:uid="{65AF6FE3-D1EE-42BE-962D-A6D2B25072F6}">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25" authorId="0" shapeId="0" xr:uid="{036AE285-6C55-4396-A39A-E59611946ECB}">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26" authorId="1" shapeId="0" xr:uid="{BE186B18-6F89-4D18-BF7E-E5E853CE8107}">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27" authorId="1" shapeId="0" xr:uid="{E8A7642F-FE8F-4EB5-A740-6829C2AA51D7}">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28" authorId="1" shapeId="0" xr:uid="{F66CE07D-382F-42FC-ADC9-B20BDE4C9F2A}">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29" authorId="0" shapeId="0" xr:uid="{19141C32-89BF-4693-AB43-EAEF39E6E4C1}">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30" authorId="0" shapeId="0" xr:uid="{470163DB-35A1-4CE4-BE3A-99E05E07A19D}">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31" authorId="0" shapeId="0" xr:uid="{EDD7BF28-B647-42D1-9874-2FD23CB176E2}">
      <text>
        <r>
          <rPr>
            <sz val="10"/>
            <color indexed="81"/>
            <rFont val="Tahoma"/>
            <family val="2"/>
          </rPr>
          <t xml:space="preserve">Enter number of people accompanying driver or primary traveler. 
</t>
        </r>
      </text>
    </comment>
    <comment ref="C232" authorId="0" shapeId="0" xr:uid="{6EE9CEBB-8225-4EA8-9616-FEF265411DCD}">
      <text>
        <r>
          <rPr>
            <sz val="10"/>
            <color indexed="81"/>
            <rFont val="Tahoma"/>
            <family val="2"/>
          </rPr>
          <t xml:space="preserve">Enter profession of a typical person that accompanies the driver or primary traveler. </t>
        </r>
      </text>
    </comment>
    <comment ref="C233" authorId="0" shapeId="0" xr:uid="{49C5CBAC-E743-4FD5-8CDB-9B022CC020CB}">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34" authorId="0" shapeId="0" xr:uid="{938637CB-3F0A-4189-A8DD-BA831A7CDDBE}">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35" authorId="0" shapeId="0" xr:uid="{F7DF96FD-20EE-4FE5-A2C8-7C315CFFAE8A}">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36" authorId="0" shapeId="0" xr:uid="{8C49F3B0-9D9D-4887-B305-E04BEC15111C}">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37" authorId="0" shapeId="0" xr:uid="{C4399C4B-523E-46CC-B801-8C096908D5FD}">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39" authorId="0" shapeId="0" xr:uid="{B81B148E-4EB0-43D3-976E-1028D0A0396F}">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40" authorId="0" shapeId="0" xr:uid="{D3CEBC9E-C0BC-4680-AA2C-C97B65DAA73C}">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41" authorId="1" shapeId="0" xr:uid="{F84AD05B-D819-41A2-BFD7-64F3C3257C1E}">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42" authorId="1" shapeId="0" xr:uid="{7BD801FA-4EE0-469C-8726-B51FAF3A730E}">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43" authorId="1" shapeId="0" xr:uid="{A1639381-D4D4-4E58-B1EE-1461367D46C5}">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44" authorId="1" shapeId="0" xr:uid="{AE0BB9C2-247E-4811-98F0-51F14AEA25B8}">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45" authorId="0" shapeId="0" xr:uid="{2F8D045B-5423-4D8C-AA4A-D91F45954B83}">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46" authorId="1" shapeId="0" xr:uid="{6832F3B9-8F6E-4D51-BDAB-3D319F7F23DF}">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47" authorId="1" shapeId="0" xr:uid="{F94C7F11-A452-4068-B547-17673F5490CF}">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48" authorId="1" shapeId="0" xr:uid="{74BA272E-5974-4F89-9FEC-E1660452D521}">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49" authorId="0" shapeId="0" xr:uid="{D230B22B-31FB-440C-8316-D08A78D34C1B}">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50" authorId="0" shapeId="0" xr:uid="{444A00F2-CBF8-42BD-AD5F-B02CEAA212AD}">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51" authorId="0" shapeId="0" xr:uid="{9DF3FF60-017F-42C6-8FF0-630C96F58480}">
      <text>
        <r>
          <rPr>
            <sz val="10"/>
            <color indexed="81"/>
            <rFont val="Tahoma"/>
            <family val="2"/>
          </rPr>
          <t xml:space="preserve">Enter number of people accompanying driver or primary traveler. 
</t>
        </r>
      </text>
    </comment>
    <comment ref="C252" authorId="0" shapeId="0" xr:uid="{946E492E-883A-488C-BAA1-844CE0D0164F}">
      <text>
        <r>
          <rPr>
            <sz val="10"/>
            <color indexed="81"/>
            <rFont val="Tahoma"/>
            <family val="2"/>
          </rPr>
          <t xml:space="preserve">Enter profession of a typical person that accompanies the driver or primary traveler. </t>
        </r>
      </text>
    </comment>
    <comment ref="C253" authorId="0" shapeId="0" xr:uid="{37E1B437-E30A-4CD1-8D55-C8C6AD02A303}">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54" authorId="0" shapeId="0" xr:uid="{F7898475-7A81-40CE-875E-73856E789EDB}">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55" authorId="0" shapeId="0" xr:uid="{0F71687C-8152-4DCB-B463-4BF146B6EFFF}">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56" authorId="0" shapeId="0" xr:uid="{323727DD-1231-480E-9A73-287A81BD68C8}">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57" authorId="0" shapeId="0" xr:uid="{8DECEDA8-F673-4DA3-893F-79D09428CA15}">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63" authorId="0" shapeId="0" xr:uid="{5389432D-06C6-4407-B8D6-9E059AD094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64" authorId="0" shapeId="0" xr:uid="{1D4688EE-F185-447B-AD7B-99BE631E66C7}">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65" authorId="1" shapeId="0" xr:uid="{96E9F5B4-D575-456C-9E19-1075AADFA9AD}">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66" authorId="1" shapeId="0" xr:uid="{C1B896C9-024F-4AB9-9ADB-3E447311E101}">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67" authorId="1" shapeId="0" xr:uid="{B5E2824D-FC25-40BE-AF2A-1FC5F0DB867F}">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68" authorId="1" shapeId="0" xr:uid="{1E0BEC66-B563-438A-859D-2C1550AF1C06}">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69" authorId="0" shapeId="0" xr:uid="{D9DBB3B1-FDD6-447A-A739-679346005C7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70" authorId="1" shapeId="0" xr:uid="{C1F392AF-007D-42BD-BB2D-7449D0D5E8D7}">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1" authorId="1" shapeId="0" xr:uid="{053F1AEE-6BF5-4DEB-9A32-96784BA70089}">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2" authorId="1" shapeId="0" xr:uid="{DBF7525C-C047-42E5-AB36-4B9B65213433}">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73" authorId="0" shapeId="0" xr:uid="{4DEBB4E2-EBAC-452D-90A7-1ED56E6D37DB}">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74" authorId="0" shapeId="0" xr:uid="{240B58DC-2D57-4892-BD97-88A383DABBC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75" authorId="0" shapeId="0" xr:uid="{CD89F7DF-1FC4-4924-BA92-63334C7909A6}">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76" authorId="0" shapeId="0" xr:uid="{5908A3B0-324D-4C21-9502-D49FAE786336}">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77" authorId="0" shapeId="0" xr:uid="{F0A0A87B-56F7-4F87-B4C1-C924B536CE97}">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78" authorId="0" shapeId="0" xr:uid="{26C7AA0B-A914-4BC6-A612-2BF2DBC36C38}">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79" authorId="0" shapeId="0" xr:uid="{B49C7ECB-98C5-47B3-AA7C-A2C080C39D61}">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280" authorId="0" shapeId="0" xr:uid="{3796F93D-E28C-47A7-AD6A-DAC65609DC19}">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281" authorId="0" shapeId="0" xr:uid="{FCDEFC6B-A592-40B6-AC5B-191A42120CCE}">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283" authorId="0" shapeId="0" xr:uid="{D456D9DD-1DE8-42D4-BBCE-7216D0D15D64}">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84" authorId="0" shapeId="0" xr:uid="{6EAB12F7-C33F-4766-B63F-E03F8F6AC53B}">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85" authorId="1" shapeId="0" xr:uid="{601D5A84-3CA8-402B-B210-BA42B8B218D6}">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86" authorId="1" shapeId="0" xr:uid="{1B2950CD-728D-4821-9B92-8B09EDAB555D}">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87" authorId="1" shapeId="0" xr:uid="{E8E9CD12-2CA7-40D3-A551-BD7E69087A09}">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88" authorId="1" shapeId="0" xr:uid="{CB3A217A-F9CC-48BB-B0BD-C651EECD64A1}">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89" authorId="0" shapeId="0" xr:uid="{8A69C8A3-5416-46C9-9B9A-6F8D2AD30B7C}">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90" authorId="1" shapeId="0" xr:uid="{7DF3284E-9665-4905-9364-56F23F4AA3F1}">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1" authorId="1" shapeId="0" xr:uid="{CD79C8FC-FC61-4425-B1D7-88BDEA6502B5}">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2" authorId="1" shapeId="0" xr:uid="{CB72631C-E69E-48C7-9174-435FFDAE4EB8}">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93" authorId="0" shapeId="0" xr:uid="{26247065-9500-492E-BAB5-CCAD3FE7AE8B}">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94" authorId="0" shapeId="0" xr:uid="{1DDBEF7F-9B3B-4B5C-8DF1-8D7F1186D1E6}">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95" authorId="0" shapeId="0" xr:uid="{746610DC-AD2A-44DA-992D-B88D2386ED1A}">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96" authorId="0" shapeId="0" xr:uid="{D94DA800-3101-4FDB-B703-B3754698F0A2}">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97" authorId="0" shapeId="0" xr:uid="{1583ED9E-5E47-426B-87F3-688B5E9A93C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98" authorId="0" shapeId="0" xr:uid="{BC89DEE2-948D-4D76-871B-E9EAD49BF3D9}">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99" authorId="0" shapeId="0" xr:uid="{92452E15-17E0-4735-9EA7-7EF521D0B7C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00" authorId="0" shapeId="0" xr:uid="{1724D5F1-E8F4-4BB3-9A8C-DA38EDEABCD1}">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01" authorId="0" shapeId="0" xr:uid="{D0CA3505-8ED2-4FD5-BFBB-706C6E97B796}">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303" authorId="0" shapeId="0" xr:uid="{A02CA35A-4F8F-4AE5-B80E-9076E6EDE0C2}">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304" authorId="0" shapeId="0" xr:uid="{1379319A-BAE5-4237-90C8-BA1B008C104C}">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305" authorId="1" shapeId="0" xr:uid="{5F56267B-7B3F-4606-AFA4-8DCD8ED13591}">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306" authorId="1" shapeId="0" xr:uid="{FC5522ED-241E-425C-9B05-8FD08F27B581}">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307" authorId="1" shapeId="0" xr:uid="{F24041E9-8155-4200-BA69-EF3703B38285}">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308" authorId="1" shapeId="0" xr:uid="{F1978629-B415-4A5B-8D91-3AF7213AC7F8}">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309" authorId="0" shapeId="0" xr:uid="{F55B7B9B-B1DD-43BB-9602-FCDF55A6AD01}">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310" authorId="1" shapeId="0" xr:uid="{A25A023E-60CD-44FD-8E5F-7D54EB3D3646}">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1" authorId="1" shapeId="0" xr:uid="{900C25BC-847D-447A-A7CD-D9D533BD5E5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2" authorId="1" shapeId="0" xr:uid="{1AC8FDCA-F580-49FC-9D48-78BE4E88EC38}">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313" authorId="0" shapeId="0" xr:uid="{CD1CFBA9-088B-49C3-BE9B-1B5C01C2E1F6}">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314" authorId="0" shapeId="0" xr:uid="{F9053563-502E-4AC8-8101-A596BD372C6A}">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315" authorId="0" shapeId="0" xr:uid="{E4332CBD-BB92-43F8-8B64-D3D93DD11C08}">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316" authorId="0" shapeId="0" xr:uid="{87BB395E-1CEE-4DD4-B891-71602FF13C99}">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317" authorId="0" shapeId="0" xr:uid="{65DF44F2-B455-4919-BE15-103CF0196CE1}">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318" authorId="0" shapeId="0" xr:uid="{8F746822-E8F9-4731-A1FB-9A4686F6934C}">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319" authorId="0" shapeId="0" xr:uid="{6F73D871-0137-40BB-AF11-C12B167FE4ED}">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20" authorId="0" shapeId="0" xr:uid="{A3C1643B-ADCD-45A0-A9D8-CF7CEC9B2E7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21" authorId="0" shapeId="0" xr:uid="{01592C51-EBCD-4774-9134-7E3FEE15882A}">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Mariam Zameer</author>
  </authors>
  <commentList>
    <comment ref="B5" authorId="0" shapeId="0" xr:uid="{D8E917A1-32EC-4BA7-B959-725F4023BC8B}">
      <text>
        <r>
          <rPr>
            <sz val="10"/>
            <color indexed="81"/>
            <rFont val="Tahoma"/>
            <family val="2"/>
          </rPr>
          <t>Select a data template that you would like to use to fill in any gaps where data are missing. This will load data into the "Value used in Model" column as a default. 
You may use the value from the template as-is, or override them by entering your own in the green cells</t>
        </r>
      </text>
    </comment>
    <comment ref="B6" authorId="0" shapeId="0" xr:uid="{AA2CA6A7-EA35-4E6E-A50A-992ED12796E9}">
      <text>
        <r>
          <rPr>
            <sz val="10"/>
            <color indexed="81"/>
            <rFont val="Tahoma"/>
            <family val="2"/>
          </rPr>
          <t xml:space="preserve">All data template values are in US Dollars.
If your own data is in a different currency, and you would like the output to stay in this other currency, please enter the exchange rate of "Amount of local currency per $1 US Dollar"
</t>
        </r>
      </text>
    </comment>
    <comment ref="B7" authorId="0" shapeId="0" xr:uid="{4750F263-5912-46EF-9459-E88E175D7BF2}">
      <text>
        <r>
          <rPr>
            <sz val="10"/>
            <color indexed="81"/>
            <rFont val="Tahoma"/>
            <family val="2"/>
          </rPr>
          <t>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F7179487-3E69-4583-92AC-43CFADA3E021}">
      <text>
        <r>
          <rPr>
            <sz val="10"/>
            <color indexed="81"/>
            <rFont val="Tahoma"/>
            <family val="2"/>
          </rPr>
          <t>Enter the average per-liter price of fuel  (petrol, gas or diesel)</t>
        </r>
      </text>
    </comment>
    <comment ref="B9" authorId="1" shapeId="0" xr:uid="{98E097CB-87E8-439A-86E9-7B1591A01314}">
      <text>
        <r>
          <rPr>
            <b/>
            <sz val="10"/>
            <color indexed="81"/>
            <rFont val="Tahoma"/>
            <family val="2"/>
          </rPr>
          <t>E</t>
        </r>
        <r>
          <rPr>
            <sz val="10"/>
            <color indexed="81"/>
            <rFont val="Tahoma"/>
            <family val="2"/>
          </rPr>
          <t>nter an assumed number of working days in a calendar year, excluding weekends, holidays, vacation time, sick leave, etc. 
Typical working days in a year in USA are 260</t>
        </r>
      </text>
    </comment>
    <comment ref="B10" authorId="1" shapeId="0" xr:uid="{B66586A5-0B47-47D3-831B-FE971914CEB1}">
      <text>
        <r>
          <rPr>
            <b/>
            <sz val="10"/>
            <color indexed="81"/>
            <rFont val="Tahoma"/>
            <family val="2"/>
          </rPr>
          <t>E</t>
        </r>
        <r>
          <rPr>
            <sz val="10"/>
            <color indexed="81"/>
            <rFont val="Tahoma"/>
            <family val="2"/>
          </rPr>
          <t>nter an assumed average number of working hours in a single work day
Typical working hours in a week are 40</t>
        </r>
      </text>
    </comment>
    <comment ref="B11" authorId="1" shapeId="0" xr:uid="{F321BD49-020B-45F3-A58A-23B613D225EE}">
      <text>
        <r>
          <rPr>
            <sz val="10"/>
            <color indexed="81"/>
            <rFont val="Tahoma"/>
            <family val="2"/>
          </rPr>
          <t xml:space="preserve">Enter average  life of a vehicle. Typical value is 5-7 years.
This is used to calculate annual depreciation costs for vehicles using straighltline depreciation method (initial purchase price divided by the number of years of useful life). </t>
        </r>
      </text>
    </comment>
    <comment ref="B12" authorId="1" shapeId="0" xr:uid="{3A51D8D0-5144-48C9-B78E-5B126179C174}">
      <text>
        <r>
          <rPr>
            <sz val="10"/>
            <color indexed="81"/>
            <rFont val="Tahoma"/>
            <family val="2"/>
          </rPr>
          <t>Enter average life of cold boxes. Typical life is 5 years.
This is used to calculate annual depreciation costs for cold storage boxes. This model uses straighltline depreciation method (initial purchase price divided by the number of years of useful life)</t>
        </r>
      </text>
    </comment>
    <comment ref="B16" authorId="2" shapeId="0" xr:uid="{A5CD1A26-52F9-4F77-B102-B16EA4F058C7}">
      <text>
        <r>
          <rPr>
            <sz val="10"/>
            <color indexed="81"/>
            <rFont val="Tahoma"/>
            <family val="2"/>
          </rPr>
          <t>Select "no" if you have demand pre-calculated</t>
        </r>
      </text>
    </comment>
    <comment ref="B17" authorId="1" shapeId="0" xr:uid="{37E3E096-C46A-4135-B491-881AE1BABC1D}">
      <text>
        <r>
          <rPr>
            <sz val="10"/>
            <color rgb="FF000000"/>
            <rFont val="Tahoma"/>
            <family val="2"/>
          </rPr>
          <t>Total amount of ambient-temperature product in m^3 stored at room temperature that flows through the supply chain in a year. 
Typically measured at one end of the supply chain -- either total volume procured by a central-level organization, or total volume delivered to health facilities 
Products include: most liquid, tablet, and injectable medications, consumables like syringes, safety boxes etc.</t>
        </r>
      </text>
    </comment>
    <comment ref="B18" authorId="1" shapeId="0" xr:uid="{927148FF-97CC-40BA-87AF-26EEDADCB7FF}">
      <text>
        <r>
          <rPr>
            <sz val="10"/>
            <color indexed="81"/>
            <rFont val="Tahoma"/>
            <family val="2"/>
          </rPr>
          <t>Total amount of product in m^3 stored in cold storage (refrigerator or freezer) that flow through the supply chain in a year. 
Products include: most vaccines, oxytocin, insulin in many cases, etc.</t>
        </r>
      </text>
    </comment>
    <comment ref="B19" authorId="1" shapeId="0" xr:uid="{931C9024-DEEC-40E2-A1A2-AA51176D29EB}">
      <text>
        <r>
          <rPr>
            <sz val="10"/>
            <color indexed="81"/>
            <rFont val="Tahoma"/>
            <family val="2"/>
          </rPr>
          <t>Enter the total number of individual product types that are managed by the supply chain. 
Procedures differ from country to country, but different presentations or dosages of the same medication are often treated as separate products, while different manufacturers of the same medication &amp; presentation are often managed as a single product. 
Some Examples:
-- Amoxicillin comes in both 500mg tablets and 500mg capsules. These would usually be two separate commodities
-- Artemether+Lumefantrine comes in four dosage sizes: 1 tablet x 4 doses, 2x4, 3x4, and 4x4. These are typically four separate commodities
-- Artemether+Lumerantrine 4x4 is produced by Novartis as well as Cipla. This is generally managed as one commodity if found together in the same clinic</t>
        </r>
      </text>
    </comment>
    <comment ref="B20" authorId="1" shapeId="0" xr:uid="{2A668585-CAB6-429D-A7B4-8391A532CF37}">
      <text>
        <r>
          <rPr>
            <sz val="10"/>
            <color rgb="FF000000"/>
            <rFont val="Tahoma"/>
            <family val="2"/>
          </rPr>
          <t xml:space="preserve">Does the total demand value represent the volume delivered to health facilities at the last mile, or does it represent the volume procured at the national level?  
This parameter becomes important when expiry and wastage are significant. For example, if Total System Demand Volume is 1000 m^3:
- </t>
        </r>
        <r>
          <rPr>
            <b/>
            <sz val="10"/>
            <color rgb="FF000000"/>
            <rFont val="Tahoma"/>
            <family val="2"/>
          </rPr>
          <t>Procured</t>
        </r>
        <r>
          <rPr>
            <sz val="10"/>
            <color rgb="FF000000"/>
            <rFont val="Tahoma"/>
            <family val="2"/>
          </rPr>
          <t xml:space="preserve">: If it is procured at the national level, and a 5% wastage rate at each tier, then total demand volume reaching health facilities is actually less than 1000 m^3 
- </t>
        </r>
        <r>
          <rPr>
            <b/>
            <sz val="10"/>
            <color rgb="FF000000"/>
            <rFont val="Tahoma"/>
            <family val="2"/>
          </rPr>
          <t>Delivered</t>
        </r>
        <r>
          <rPr>
            <sz val="10"/>
            <color rgb="FF000000"/>
            <rFont val="Tahoma"/>
            <family val="2"/>
          </rPr>
          <t>: If it is delivered to health facilities, then this is after 5% wastage has already been taken into account. Hence, upstream tiers must be handling/procuring more than 1000 m^3</t>
        </r>
      </text>
    </comment>
    <comment ref="K20" authorId="0" shapeId="0" xr:uid="{ABFAC043-F89B-4CAE-B770-70DDD1543075}">
      <text>
        <r>
          <rPr>
            <sz val="9"/>
            <color indexed="81"/>
            <rFont val="Tahoma"/>
            <family val="2"/>
          </rPr>
          <t>Requires user to enter a minimum of 1) overall target population size, and 2) type and presentation of vaccines to include.
Worksheet calculates estimated cold and ambient temperature demand volume, and estimated value of procured products.</t>
        </r>
      </text>
    </comment>
    <comment ref="B21" authorId="1" shapeId="0" xr:uid="{FAC2D94C-F7DD-4B1A-A9F4-241DCD4E728C}">
      <text>
        <r>
          <rPr>
            <sz val="10"/>
            <color indexed="81"/>
            <rFont val="Tahoma"/>
            <family val="2"/>
          </rPr>
          <t>Estimated cash value (typically procurement value) of the Total System Demand Volume. 
It is used to calculate the "Cost as a percentage of commodity value" statistic in the Outputs. If this metric is not important to the user, this field can be left blank.</t>
        </r>
      </text>
    </comment>
    <comment ref="K21" authorId="0" shapeId="0" xr:uid="{9B2CF454-F0B3-411B-BEE3-B21AB4BD1DEF}">
      <text>
        <r>
          <rPr>
            <sz val="9"/>
            <color indexed="81"/>
            <rFont val="Tahoma"/>
            <family val="2"/>
          </rPr>
          <t>Requires user to either 1) specify a target country, or 2) specify a target population, contraceptive prevalence rate, and method mix for key contraceptive types.
Worksheet calculates estimated demand volume (m^3) of contraceptive products, as well as their estimated procurement value.</t>
        </r>
      </text>
    </comment>
    <comment ref="K22" authorId="0" shapeId="0" xr:uid="{9C3914D8-82CB-4F0D-AA5D-BF2F6658A6B9}">
      <text>
        <r>
          <rPr>
            <sz val="9"/>
            <color indexed="81"/>
            <rFont val="Tahoma"/>
            <family val="2"/>
          </rPr>
          <t>Requires user to enter 1) a list of products, 2) number of units consumed for each product, and 3) specify a general product type, e.g. "bottle of liquid - large".
Worksheet draws from USAID Product-Volume Database to estimate the overall volume (m^3) of the products consumed. 
Unlike the other two worksheets, this one does not rely on demographic data - it requires prior logistics data on units of product consumed. However, it provides a general framework that can be applied to products from any program area</t>
        </r>
      </text>
    </comment>
    <comment ref="B25" authorId="2" shapeId="0" xr:uid="{427BC9F5-B73A-41D7-94CC-E106624B5749}">
      <text>
        <r>
          <rPr>
            <sz val="10"/>
            <color indexed="81"/>
            <rFont val="Tahoma"/>
            <family val="2"/>
          </rPr>
          <t>For each position listed, enter an average hourly salary rate, and daily travel perdiem rate. These are used to calculate labor costs of storage, delivery, and other supply chain activities. 
If a  supply chain position isn't already listed, add them under "Other Personnel Type".  
Positions that are not used can be left blank.</t>
        </r>
      </text>
    </comment>
    <comment ref="B27" authorId="1" shapeId="0" xr:uid="{E640921F-E837-4C70-A319-40AFC495E854}">
      <text>
        <r>
          <rPr>
            <sz val="10"/>
            <color rgb="FF000000"/>
            <rFont val="Tahoma"/>
            <family val="2"/>
          </rPr>
          <t>Leave blank. 
This is a placeholder for when a) the user selects 3rd Party Logistics Provider (3PL) as a transportation option in section 5 &amp; 6 and, therefore, is not paying salary or perdiem for the drivers and logisticians who operate those 3PL transportation resources.</t>
        </r>
      </text>
    </comment>
    <comment ref="B28" authorId="1" shapeId="0" xr:uid="{3CA3EE09-8701-47DB-AD86-6C64B898A1F1}">
      <text>
        <r>
          <rPr>
            <sz val="10"/>
            <color rgb="FF000000"/>
            <rFont val="Tahoma"/>
            <family val="2"/>
          </rPr>
          <t>Enter personnel type not listed above.
Enter both an average hourly salary rate, and a daily travel perdiem rate.</t>
        </r>
      </text>
    </comment>
    <comment ref="B29" authorId="1" shapeId="0" xr:uid="{E28FD3C9-B7FF-42E1-93AE-EF295D7AFD39}">
      <text>
        <r>
          <rPr>
            <sz val="10"/>
            <color rgb="FF000000"/>
            <rFont val="Tahoma"/>
            <family val="2"/>
          </rPr>
          <t>Enter personnel type not listed above.
Enter both an average hourly salary rate, and a daily travel perdiem rate.</t>
        </r>
      </text>
    </comment>
    <comment ref="B30" authorId="1" shapeId="0" xr:uid="{0A3AE4BD-E3FA-46DD-BC79-ACFE39150CC0}">
      <text>
        <r>
          <rPr>
            <sz val="10"/>
            <color rgb="FF000000"/>
            <rFont val="Tahoma"/>
            <family val="2"/>
          </rPr>
          <t>Enter personnel type not listed above.
Enter both an average hourly salary rate, and a daily travel perdiem rate.</t>
        </r>
      </text>
    </comment>
    <comment ref="B31" authorId="1" shapeId="0" xr:uid="{7458F97D-CA31-4AB3-891E-F5D229A5E10F}">
      <text>
        <r>
          <rPr>
            <sz val="10"/>
            <color rgb="FF000000"/>
            <rFont val="Tahoma"/>
            <family val="2"/>
          </rPr>
          <t>Enter personnel type not listed above.
Enter both an average hourly salary rate, and a daily travel perdiem rate.</t>
        </r>
      </text>
    </comment>
    <comment ref="B32" authorId="1" shapeId="0" xr:uid="{C7EA5FFB-7D18-4516-B51A-759033605CCB}">
      <text>
        <r>
          <rPr>
            <sz val="10"/>
            <color rgb="FF000000"/>
            <rFont val="Tahoma"/>
            <family val="2"/>
          </rPr>
          <t>Enter personnel type not listed above.
Enter both an average hourly salary rate, and a daily travel perdiem rate.</t>
        </r>
      </text>
    </comment>
    <comment ref="B33" authorId="1" shapeId="0" xr:uid="{8940AA12-1B9B-46FC-8C31-6AE1EB0EE396}">
      <text>
        <r>
          <rPr>
            <sz val="10"/>
            <color rgb="FF000000"/>
            <rFont val="Tahoma"/>
            <family val="2"/>
          </rPr>
          <t>Enter personnel type not listed above.
Enter both an average hourly salary rate, and a daily travel perdiem rate.</t>
        </r>
      </text>
    </comment>
    <comment ref="B34" authorId="1" shapeId="0" xr:uid="{852409E7-C7FB-4DB5-B059-9A2FC096BF11}">
      <text>
        <r>
          <rPr>
            <sz val="10"/>
            <color rgb="FF000000"/>
            <rFont val="Tahoma"/>
            <family val="2"/>
          </rPr>
          <t>Enter personnel type not listed above.
Enter both an average hourly salary rate, and a daily travel perdiem rate.</t>
        </r>
      </text>
    </comment>
    <comment ref="B35" authorId="1" shapeId="0" xr:uid="{C4B81E57-F5A7-451D-80A0-5573B95647CA}">
      <text>
        <r>
          <rPr>
            <sz val="10"/>
            <color rgb="FF000000"/>
            <rFont val="Tahoma"/>
            <family val="2"/>
          </rPr>
          <t>Enter personnel type not listed above.
Enter both an average hourly salary rate, and a daily travel perdiem rate.</t>
        </r>
      </text>
    </comment>
    <comment ref="B36" authorId="1" shapeId="0" xr:uid="{C7A466C1-9A57-4485-B17D-0E6D33637531}">
      <text>
        <r>
          <rPr>
            <sz val="10"/>
            <color rgb="FF000000"/>
            <rFont val="Tahoma"/>
            <family val="2"/>
          </rPr>
          <t>Enter personnel type not listed above.
Enter both an average hourly salary rate, and a daily travel perdiem rate.</t>
        </r>
      </text>
    </comment>
    <comment ref="B37" authorId="1" shapeId="0" xr:uid="{DE4F5479-21FC-48C5-8406-839C84D08DF1}">
      <text>
        <r>
          <rPr>
            <sz val="10"/>
            <color rgb="FF000000"/>
            <rFont val="Tahoma"/>
            <family val="2"/>
          </rPr>
          <t>Enter personnel type not listed above.
Enter both an average hourly salary rate, and a daily travel perdiem rate.</t>
        </r>
      </text>
    </comment>
    <comment ref="B38" authorId="1" shapeId="0" xr:uid="{033F080D-676C-42AE-A9BC-EB5F7A5A809C}">
      <text>
        <r>
          <rPr>
            <sz val="10"/>
            <color rgb="FF000000"/>
            <rFont val="Tahoma"/>
            <family val="2"/>
          </rPr>
          <t>Enter personnel type not listed above.
Enter both an average hourly salary rate, and a daily travel perdiem rate.</t>
        </r>
      </text>
    </comment>
    <comment ref="D42" authorId="1" shapeId="0" xr:uid="{F59AD3E6-A7CA-4999-9140-38F8D378A1D9}">
      <text>
        <r>
          <rPr>
            <sz val="10"/>
            <color indexed="81"/>
            <rFont val="Tahoma"/>
            <family val="2"/>
          </rPr>
          <t>Only fill the types of vehicles that are actually used in the analysis; leave others blank. 
Use the Notes section to document assumptions and interpretations.</t>
        </r>
      </text>
    </comment>
    <comment ref="D43" authorId="1" shapeId="0" xr:uid="{5CF114A8-9B72-4EAD-841B-A650A87157BE}">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4" authorId="1" shapeId="0" xr:uid="{6DBD615B-8847-423E-901E-C2B29791A5E4}">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5" authorId="1" shapeId="0" xr:uid="{4DB00BDE-3742-4AFF-8757-B2207CBA9A9C}">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a vaccine carrier or cold box is most commoly used.</t>
        </r>
      </text>
    </comment>
    <comment ref="D46" authorId="1" shapeId="0" xr:uid="{D7BD6082-6226-45A5-B076-49D928D3524D}">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7" authorId="1" shapeId="0" xr:uid="{EB511841-0E70-4650-8984-4521462F6E2B}">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8" authorId="1" shapeId="0" xr:uid="{C87AC65A-EF83-4EB9-9E6A-D2A015891A63}">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mostly a vaccine carrier or cold box is used.</t>
        </r>
      </text>
    </comment>
    <comment ref="D49" authorId="1" shapeId="0" xr:uid="{86A58E40-7495-4B74-9D83-DFAAEE81E10D}">
      <text>
        <r>
          <rPr>
            <sz val="10"/>
            <color indexed="81"/>
            <rFont val="Tahoma"/>
            <family val="2"/>
          </rPr>
          <t>Enter typical local purchase price of one motorcycle in USD that is used for transporating SC commodities</t>
        </r>
      </text>
    </comment>
    <comment ref="D50" authorId="1" shapeId="0" xr:uid="{933FBC18-6FE4-4147-9589-8F20A84D2DEE}">
      <text>
        <r>
          <rPr>
            <sz val="10"/>
            <color indexed="81"/>
            <rFont val="Tahoma"/>
            <family val="2"/>
          </rPr>
          <t>Input is optional; will be automatically calculated based on vehicle useful life and the purchase price for this vehicle type.</t>
        </r>
      </text>
    </comment>
    <comment ref="D51" authorId="1" shapeId="0" xr:uid="{6F8E73E8-0C6E-4EE2-BB54-74D4B343357C}">
      <text>
        <r>
          <rPr>
            <sz val="10"/>
            <color indexed="81"/>
            <rFont val="Tahoma"/>
            <family val="2"/>
          </rPr>
          <t>Enter typical annual cost to insure one motorcycle for use in supply chain-related activities</t>
        </r>
      </text>
    </comment>
    <comment ref="D52" authorId="1" shapeId="0" xr:uid="{0ABF35B4-EE0C-432B-805B-61E0C69570BE}">
      <text>
        <r>
          <rPr>
            <sz val="10"/>
            <color indexed="81"/>
            <rFont val="Tahoma"/>
            <family val="2"/>
          </rPr>
          <t>Enter expected maintenance cost per kilometer for one motorcycle. 
This can be calculated by taking the total maintenance costs for a motorcycle (or fleet of motorcycles) over a period of time, and dividing by the overall number of kilometers traveled in that period of time.</t>
        </r>
      </text>
    </comment>
    <comment ref="D53" authorId="1" shapeId="0" xr:uid="{D6EDE0C5-F167-41F9-B207-6A65CD007734}">
      <text>
        <r>
          <rPr>
            <sz val="10"/>
            <color indexed="81"/>
            <rFont val="Tahoma"/>
            <family val="2"/>
          </rPr>
          <t>Enter liters of fuel required to travel 1 km by motorcycle.  
This can be calculated by taking the total number of liters of fuel purchased for a motorcycle (or fleet of motorcycles) over a period of time, and dividing by the overall number of kilometers traveled in that period of time.</t>
        </r>
      </text>
    </comment>
    <comment ref="D54" authorId="1" shapeId="0" xr:uid="{F61CAA43-8EE5-4987-9938-425C7D452C73}">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55" authorId="1" shapeId="0" xr:uid="{C13C61AD-EBC5-486E-A6B0-730647BFBD81}">
      <text>
        <r>
          <rPr>
            <sz val="10"/>
            <color indexed="81"/>
            <rFont val="Tahoma"/>
            <family val="2"/>
          </rPr>
          <t>Enter typical local purchase price (in $ USD) of a car, truck, or off-road 4x4 vehicle that is used for transporating SC commodities</t>
        </r>
      </text>
    </comment>
    <comment ref="D56" authorId="1" shapeId="0" xr:uid="{A32DFC3E-06E4-436D-BEC3-26317E8111D8}">
      <text>
        <r>
          <rPr>
            <sz val="10"/>
            <color indexed="81"/>
            <rFont val="Tahoma"/>
            <family val="2"/>
          </rPr>
          <t>Input is optional; will be automatically calculated based on vehicle useful life and the purchase price for this vehicle type.</t>
        </r>
      </text>
    </comment>
    <comment ref="D57" authorId="1" shapeId="0" xr:uid="{94D2B2DE-05DA-4841-BF9A-0EC456FD62B8}">
      <text>
        <r>
          <rPr>
            <sz val="10"/>
            <color indexed="81"/>
            <rFont val="Tahoma"/>
            <family val="2"/>
          </rPr>
          <t>Enter typical annual cost to insure one car, Land Cruiser or other vehicle for use in supply chain-related activities</t>
        </r>
      </text>
    </comment>
    <comment ref="D58" authorId="1" shapeId="0" xr:uid="{4E896A48-97CC-476A-98FD-6DFCABC500D7}">
      <text>
        <r>
          <rPr>
            <sz val="10"/>
            <color indexed="81"/>
            <rFont val="Tahoma"/>
            <family val="2"/>
          </rPr>
          <t>Enter expected maintenance cost per kilometer for one car or off-road 4x4 vehicle e.g. Land Cruiser. 
This can be calculated by taking the total maintenance costs for a vehicle (or fleet of vehicle) over a period of time, and dividing by the overall number of kilometers traveled in that period of time.</t>
        </r>
      </text>
    </comment>
    <comment ref="D59" authorId="1" shapeId="0" xr:uid="{A1659FB6-60BC-497D-9C59-1EDE87CDB46A}">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0" authorId="1" shapeId="0" xr:uid="{BC77EB4D-9CB0-4E0F-994E-FDF3EDEFFF73}">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1" authorId="1" shapeId="0" xr:uid="{5A84582F-E4C8-4EFC-A2B9-C92E569321F9}">
      <text>
        <r>
          <rPr>
            <sz val="10"/>
            <color indexed="81"/>
            <rFont val="Tahoma"/>
            <family val="2"/>
          </rPr>
          <t>Enter typical local purchase price in USD of one commercial box or flatbed truck (e.g. Mitsubishi Canter, Fuso Fighter, Toyota Hiace) that is used for transporating SC commodities</t>
        </r>
      </text>
    </comment>
    <comment ref="D62" authorId="1" shapeId="0" xr:uid="{188BEF95-2BC2-493E-A938-BA7FCEC7DFEB}">
      <text>
        <r>
          <rPr>
            <sz val="10"/>
            <color indexed="81"/>
            <rFont val="Tahoma"/>
            <family val="2"/>
          </rPr>
          <t>Input is optional; will be automatically calculated based on vehicle useful life and the purchase price for this vehicle type.</t>
        </r>
      </text>
    </comment>
    <comment ref="D63" authorId="1" shapeId="0" xr:uid="{0EC8AF7F-4379-40A6-AC9A-FFA3F247DF2D}">
      <text>
        <r>
          <rPr>
            <sz val="10"/>
            <color indexed="81"/>
            <rFont val="Tahoma"/>
            <family val="2"/>
          </rPr>
          <t>Enter typical annual cost to insure one commercial flatbed or box truck (e.g. Mitsubishi Fuso Fighter or Canter, Nissan UD-60/70/80) for use in supply chain-related activities</t>
        </r>
      </text>
    </comment>
    <comment ref="D64" authorId="1" shapeId="0" xr:uid="{514CD505-84F9-448A-8891-5BB59010FC08}">
      <text>
        <r>
          <rPr>
            <sz val="10"/>
            <color rgb="FF000000"/>
            <rFont val="Tahoma"/>
            <family val="2"/>
          </rPr>
          <t>Enter expected maintenance cost per kilometer for one commercial flatbed or box truck. 
This can be calculated by taking the total maintenance costs for a vehicle (or fleet of vehicles) over a period of time, and dividing by the overall number of kilometers traveled in that period of time.</t>
        </r>
      </text>
    </comment>
    <comment ref="D65" authorId="1" shapeId="0" xr:uid="{FDDB41A4-95FF-4853-A655-58E051D7A4BC}">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6" authorId="1" shapeId="0" xr:uid="{979EE02C-4346-497E-9F97-55910D03EE61}">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7" authorId="1" shapeId="0" xr:uid="{60CD74DC-9C68-443E-B0CE-3508998E06B0}">
      <text>
        <r>
          <rPr>
            <sz val="10"/>
            <color indexed="81"/>
            <rFont val="Tahoma"/>
            <family val="2"/>
          </rPr>
          <t>Enter typical local purchase price of one refrigerated truck in USD that is used for transporating cold chain commodities</t>
        </r>
      </text>
    </comment>
    <comment ref="D68" authorId="1" shapeId="0" xr:uid="{92327FC6-998A-461B-A110-848F41EA043E}">
      <text>
        <r>
          <rPr>
            <sz val="10"/>
            <color indexed="81"/>
            <rFont val="Tahoma"/>
            <family val="2"/>
          </rPr>
          <t>Input is optional; will be automatically calculated based on vehicle useful life and the purchase price for this vehicle type.</t>
        </r>
      </text>
    </comment>
    <comment ref="D69" authorId="1" shapeId="0" xr:uid="{60250F43-4D11-4601-B39F-0F1DBF9E21C4}">
      <text>
        <r>
          <rPr>
            <sz val="10"/>
            <color indexed="81"/>
            <rFont val="Tahoma"/>
            <family val="2"/>
          </rPr>
          <t>Enter typical annual cost to insureone refrigerated truck for use in supply chain-related activities</t>
        </r>
      </text>
    </comment>
    <comment ref="D70" authorId="1" shapeId="0" xr:uid="{E1F15BD8-75A4-4203-997B-AE3494D572BD}">
      <text>
        <r>
          <rPr>
            <sz val="10"/>
            <color rgb="FF000000"/>
            <rFont val="Tahoma"/>
            <family val="2"/>
          </rPr>
          <t>Enter expected maintenance cost per kilometer for one refrigerated truck. 
This can be calculated by taking the total maintenance costs for a vehicle (or fleet of vehicles) over a period of time, and dividing by the overall number of kilometers traveled in that period of time.</t>
        </r>
      </text>
    </comment>
    <comment ref="D71" authorId="1" shapeId="0" xr:uid="{8EC04AD2-888A-45D3-B75F-1156AC777F94}">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2" authorId="1" shapeId="0" xr:uid="{9FDA3BCB-E593-4938-8337-713FD2A28289}">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73" authorId="1" shapeId="0" xr:uid="{A9D64716-DCFF-44AE-B3A0-7B03298C7B1F}">
      <text>
        <r>
          <rPr>
            <sz val="10"/>
            <color indexed="81"/>
            <rFont val="Tahoma"/>
            <family val="2"/>
          </rPr>
          <t>Enter typical local purchase price in USD of one additional vehicle that is used for transporating SC commodities and not covered by any of the above categories</t>
        </r>
      </text>
    </comment>
    <comment ref="D74" authorId="1" shapeId="0" xr:uid="{DA35BC10-A368-4597-A991-0F5C00977691}">
      <text>
        <r>
          <rPr>
            <sz val="10"/>
            <color indexed="81"/>
            <rFont val="Tahoma"/>
            <family val="2"/>
          </rPr>
          <t>Input is optional; will be automatically calculated based on vehicle useful life and the purchase price for this vehicle type.</t>
        </r>
      </text>
    </comment>
    <comment ref="D75" authorId="1" shapeId="0" xr:uid="{0E8E60E5-F734-4CDF-AE7E-63EADBEB1AC2}">
      <text>
        <r>
          <rPr>
            <sz val="10"/>
            <color rgb="FF000000"/>
            <rFont val="Tahoma"/>
            <family val="2"/>
          </rPr>
          <t>Enter typical annual cost to insure one vehicle of this type for use in supply chain-related activities</t>
        </r>
      </text>
    </comment>
    <comment ref="D76" authorId="1" shapeId="0" xr:uid="{93763BD1-5CC8-4A11-95FD-B025DA99A9F1}">
      <text>
        <r>
          <rPr>
            <sz val="10"/>
            <color rgb="FF000000"/>
            <rFont val="Tahoma"/>
            <family val="2"/>
          </rPr>
          <t>Enter expected maintenance cost per kilometer for one vehicle. 
This can be calculated by taking the total maintenance costs for a vehicle (or fleet of vehicles) over a period of time, and dividing by the overall number of kilometers traveled in that period of time.</t>
        </r>
      </text>
    </comment>
    <comment ref="D77" authorId="1" shapeId="0" xr:uid="{E4800925-DC46-4964-A4EE-9C6795759643}">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8" authorId="1" shapeId="0" xr:uid="{0E8CCB19-7D1F-497C-B49D-ED8E0628A87A}">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B86" authorId="1" shapeId="0" xr:uid="{B5D1FDFF-9D13-400D-988F-ADA52E25BBE0}">
      <text>
        <r>
          <rPr>
            <sz val="10"/>
            <color rgb="FF000000"/>
            <rFont val="Tahoma"/>
            <family val="2"/>
          </rPr>
          <t>Select a data template to use for Sections 5 and 6. 
This will load data into the "Value used in Model" column, which you can use as-is or override with your own data by entering it into the green cells.</t>
        </r>
      </text>
    </comment>
    <comment ref="B87" authorId="1" shapeId="0" xr:uid="{F49B9E4B-CDD7-481B-BA9B-43D946DB24D3}">
      <text>
        <r>
          <rPr>
            <sz val="10"/>
            <color indexed="81"/>
            <rFont val="Tahoma"/>
            <family val="2"/>
          </rPr>
          <t>Select which tier from the data template to use. 
For example, if a data template contains three tiers (Central=Tier 1, Regional=Tier 2, and Facility=Tier 3) and you want to pull data from the Regional tier, then select "Tier 2".   
This is important as tier numbers on the data templates may not necessarily align with the tier numbers in the model being analyzed.</t>
        </r>
      </text>
    </comment>
    <comment ref="B88" authorId="1" shapeId="0" xr:uid="{2C49335F-F191-47C6-AACF-66BF53F97150}">
      <text>
        <r>
          <rPr>
            <sz val="10"/>
            <color indexed="81"/>
            <rFont val="Tahoma"/>
            <family val="2"/>
          </rPr>
          <t xml:space="preserve">Name each tier for the type of facility, e.g. central medical stores, regional or district warehouse, health facility.  
Tier 1 should represent the most upstream tier being modeled, e.g. national store if modeling an entire country, or a regional medical store if modeling a specific province or region.
</t>
        </r>
      </text>
    </comment>
    <comment ref="B92" authorId="1" shapeId="0" xr:uid="{2E361C19-ADD2-4D7C-8048-66AC5C99E6ED}">
      <text>
        <r>
          <rPr>
            <sz val="10"/>
            <color rgb="FF000000"/>
            <rFont val="Tahoma"/>
            <family val="2"/>
          </rPr>
          <t>For each tier, enter the total geographic area (in km^2) over which facilities in that tier are distributed. 
-- This may be the same value for each tier in the model
-- For different value for each tier: for example, if considering a supply chain program only within a single region of a country, but want to include transportation from the national Central Medical Stores, enter the National land area for Tier 1 , and the Regional land area for both Tier 2  (e.g. Regional Warehouse) and Tier 3 (Health Clinic)</t>
        </r>
      </text>
    </comment>
    <comment ref="B93" authorId="1" shapeId="0" xr:uid="{66A537EA-5FE4-45B8-94DF-1815FE088752}">
      <text>
        <r>
          <rPr>
            <sz val="10"/>
            <color indexed="81"/>
            <rFont val="Tahoma"/>
            <family val="2"/>
          </rPr>
          <t>Enter between 0% to 100%
Specify what percentage of the Total System Demand Volume (listed above) will be included in storage and distribution modeling at each tier.  
Most users will enter100% for every tier, unless there is a specific reason, e.g. if storage/distribution for a certain subset of commodities is handled by an outside partner, and the user specifically wants to exclude those costs from consideration in the analysis</t>
        </r>
      </text>
    </comment>
    <comment ref="B94" authorId="1" shapeId="0" xr:uid="{A109B059-90A1-4553-8E08-FAF391468B88}">
      <text>
        <r>
          <rPr>
            <sz val="10"/>
            <color indexed="81"/>
            <rFont val="Tahoma"/>
            <family val="2"/>
          </rPr>
          <t>Enter expected % of commodity volume that is lost to expiry or wastage during storage/delivery from the upstream facilities.  
The value for Tier 1 can be left blank.
If wastage rate by tier is not known, assume equal wastage across all tiers. To calculate, take total wastage rate and divide across the number of tiers to get waste rate at each tier</t>
        </r>
      </text>
    </comment>
    <comment ref="B95" authorId="1" shapeId="0" xr:uid="{90F6371C-4569-4DAB-A446-7FBA64A67ACD}">
      <text>
        <r>
          <rPr>
            <sz val="10"/>
            <color indexed="81"/>
            <rFont val="Tahoma"/>
            <family val="2"/>
          </rPr>
          <t>Enter the number of facilities that receive and store product at that tier. 
For example, for a three-tier supply chain with 1 Central Medical Store, 20 Regional Warehouses, and 2000 Health Clinics, the user would enter "1" under Tier 1 , "20" under the Tier 2 , and "2000" under the Tier 3</t>
        </r>
      </text>
    </comment>
    <comment ref="B96" authorId="1" shapeId="0" xr:uid="{8993A5A0-C57B-46BF-BB44-55CAA74412DD}">
      <text>
        <r>
          <rPr>
            <sz val="10"/>
            <color rgb="FF000000"/>
            <rFont val="Tahoma"/>
            <family val="2"/>
          </rPr>
          <t>Enter how frequently products are generally ordered and replenished in a year. 
This is does not refer to resupply per facility. E.g. a large regional facility may receive a resupply shipment weekly, but only receive a particular product on a monthly basis. In this case the user would enter "12" corresponding with monthly product orders.</t>
        </r>
      </text>
    </comment>
    <comment ref="B97" authorId="1" shapeId="0" xr:uid="{4B64A634-22A9-4441-9958-E7D16EF7E1DC}">
      <text>
        <r>
          <rPr>
            <sz val="10"/>
            <color rgb="FF000000"/>
            <rFont val="Tahoma"/>
            <family val="2"/>
          </rPr>
          <t>Circuity factor is a value by which straight-line distances are multipled to calculate a more realistic road distance.  
In HICs urban environments, this value has been estimated at 1.2 - 1.3 (meaning road distance is 1.2-1.3x greater than straightline distances).  Rural settings in LMICs are estimated to be 1.4 - 2.0. 
See the worksheet "Circuity Factor Benchmarks" for more details.</t>
        </r>
      </text>
    </comment>
    <comment ref="B98" authorId="1" shapeId="0" xr:uid="{C0B85F69-C1D8-4110-A999-9CD84E62A8B5}">
      <text>
        <r>
          <rPr>
            <sz val="10"/>
            <color indexed="81"/>
            <rFont val="Tahoma"/>
            <family val="2"/>
          </rPr>
          <t xml:space="preserve">This is calculated. However, user can enter their own value if they have a better estimate. 
NOTE: Road distance scales based on three factors: 1) the land area covered by the source/upstream tier, 2) the number of facilities in the source/upstream tier, and 3) the circuity factor relating road distance to straightline distance. </t>
        </r>
      </text>
    </comment>
    <comment ref="B99" authorId="1" shapeId="0" xr:uid="{C87BDA05-9AF1-4E73-8073-71D007628B01}">
      <text>
        <r>
          <rPr>
            <sz val="10"/>
            <color indexed="81"/>
            <rFont val="Tahoma"/>
            <family val="2"/>
          </rPr>
          <t>This is calculated for each tier. However, user can enter their own value if they have a better estimate for the average road distance between facilities in the same tier. 
NOTE: Road distance scales based on three factors: 1) the land area covered by this tier, 2) the number of facilities in this tier, and 3) the circuity factor relating road distance to straightline distance.</t>
        </r>
      </text>
    </comment>
    <comment ref="C104" authorId="1" shapeId="0" xr:uid="{AD342D32-B825-44ED-B221-407B72468685}">
      <text>
        <r>
          <rPr>
            <sz val="10"/>
            <color indexed="81"/>
            <rFont val="Tahoma"/>
            <family val="2"/>
          </rPr>
          <t xml:space="preserve">Enter the safety or buffer stock for each tier in number of months. This is also the lowest allowable stock level. </t>
        </r>
      </text>
    </comment>
    <comment ref="C105" authorId="1" shapeId="0" xr:uid="{4A5FE998-9540-42CD-8D48-8AB8CFA4F443}">
      <text>
        <r>
          <rPr>
            <sz val="10"/>
            <color rgb="FF000000"/>
            <rFont val="Tahoma"/>
            <family val="2"/>
          </rPr>
          <t>Select Supply Chain Personnel from section 3 for the person who typically packs orders and processes inventory at this tier. 
At a National- or Regional-level warehouse, this could likely be a dedicated warehouse staff, but at a smaller warehouse or health facility, this role could be filled by a logistician or a facility nurse in-charge.</t>
        </r>
      </text>
    </comment>
    <comment ref="C106" authorId="1" shapeId="0" xr:uid="{3BD6A0F6-FB43-4B08-AE8D-9AB987D5F130}">
      <text>
        <r>
          <rPr>
            <sz val="10"/>
            <color indexed="81"/>
            <rFont val="Tahoma"/>
            <family val="2"/>
          </rPr>
          <t>Enter number of full-time equivalents at an average facility, NOT the actual number of people. Number can be less than 1 (see examples)
Example, if 20 people each spend an average of 4 hours per day (i.e. 50% of a full work day) on storage and warehousing activities, then the user should put 20 x 50% = 10
Example 2: if the average health clinic is staffed by two nurses, each of whom spends 5% of their time on supply chain storage and warehousing activities, then the user should enter 2 x 5% = 0.1</t>
        </r>
      </text>
    </comment>
    <comment ref="C107" authorId="1" shapeId="0" xr:uid="{F6D2D789-337B-48BC-BB09-B088DC1A5EC7}">
      <text>
        <r>
          <rPr>
            <sz val="10"/>
            <color indexed="81"/>
            <rFont val="Tahoma"/>
            <family val="2"/>
          </rPr>
          <t>Enter maximum volume of inventory (in m^3) that a typical person can process in a day 
This number is often measured by a) extrapolating from a busy period when the warehouse was operating at "maximum speed", or b) by measuring the volume of product that the warehouse staff actually processed, and adjusting based on how busy the staff were that period (i.e. divide total processed volume by an estimated "percent of capacity utilized")</t>
        </r>
      </text>
    </comment>
    <comment ref="C108" authorId="1" shapeId="0" xr:uid="{DCE0BC20-D900-4210-8BDB-C03B6EF02F16}">
      <text>
        <r>
          <rPr>
            <sz val="10"/>
            <color indexed="81"/>
            <rFont val="Tahoma"/>
            <family val="2"/>
          </rPr>
          <t xml:space="preserve">Enter dry or ambient storage capacity (m^3) that can be stored within a typical facility. 
ONLY include regularly used spaces such as storeroom shelves or designated storage areas, and should </t>
        </r>
        <r>
          <rPr>
            <b/>
            <sz val="10"/>
            <color indexed="81"/>
            <rFont val="Tahoma"/>
            <family val="2"/>
          </rPr>
          <t>NOT</t>
        </r>
        <r>
          <rPr>
            <sz val="10"/>
            <color indexed="81"/>
            <rFont val="Tahoma"/>
            <family val="2"/>
          </rPr>
          <t xml:space="preserve"> include emergency overflow methods (like storing product in hallways or in the aisles of warehouse shelves)</t>
        </r>
      </text>
    </comment>
    <comment ref="C109" authorId="1" shapeId="0" xr:uid="{DEEA250D-5FCD-4D7B-8AD3-59C7B262564C}">
      <text>
        <r>
          <rPr>
            <sz val="10"/>
            <color indexed="81"/>
            <rFont val="Tahoma"/>
            <family val="2"/>
          </rPr>
          <t>Enter maximum cold chain capacity (m^3).
ONLY include regularly used spaces such as refrigerators and freezers, and should NOT include emergency overflow methods (like storing product in temporary or makeshift cold boxes)</t>
        </r>
      </text>
    </comment>
    <comment ref="C110" authorId="1" shapeId="0" xr:uid="{81406494-6F01-4E48-A350-40A970EF0F12}">
      <text>
        <r>
          <rPr>
            <sz val="10"/>
            <color rgb="FF000000"/>
            <rFont val="Tahoma"/>
            <family val="2"/>
          </rPr>
          <t xml:space="preserve">Enter typical operating costs, such as electricity, water, internet, building and equipment maintenance. 
This should be in cost per m^3 capacity, and calculated by taking a warehouse's total variable operating costs divided by its total storage capacity </t>
        </r>
      </text>
    </comment>
    <comment ref="C111" authorId="1" shapeId="0" xr:uid="{012994FA-982A-423A-B200-059AF293CAA0}">
      <text>
        <r>
          <rPr>
            <sz val="10"/>
            <color indexed="81"/>
            <rFont val="Tahoma"/>
            <family val="2"/>
          </rPr>
          <t xml:space="preserve">Enter fixed/capital costs, such as building and equipment depreciation for a warehouse at each tier.  
This should be in cost per m^3 capacity, and can be calculated by taking a warehouse's total fixed/capital costs divided by its total storage capacity </t>
        </r>
      </text>
    </comment>
    <comment ref="C112" authorId="1" shapeId="0" xr:uid="{B0951A21-B66B-4EB9-A8F4-4EFB26FE3EEE}">
      <text>
        <r>
          <rPr>
            <sz val="10"/>
            <color indexed="81"/>
            <rFont val="Tahoma"/>
            <family val="2"/>
          </rPr>
          <t xml:space="preserve">Enter annual depreciation for cold storage equipment like refrigerators, freezers, and insulation/temperature monitoring equipment.  
This should be expressed as a cost per m^3 capacity, and can be calculated by taking a warehouse's total cold chain equipment depreciation costs divided by its total storage capacity </t>
        </r>
      </text>
    </comment>
    <comment ref="C113" authorId="1" shapeId="0" xr:uid="{D7370E45-7DB8-40FE-A1DD-11FFEC46942A}">
      <text>
        <r>
          <rPr>
            <sz val="10"/>
            <color indexed="81"/>
            <rFont val="Tahoma"/>
            <family val="2"/>
          </rPr>
          <t xml:space="preserve">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C114" authorId="1" shapeId="0" xr:uid="{F252AA1E-B056-4BC1-B4AD-1419EC2E21FD}">
      <text>
        <r>
          <rPr>
            <sz val="10"/>
            <color indexed="81"/>
            <rFont val="Tahoma"/>
            <family val="2"/>
          </rPr>
          <t>Enter typical passive cold storage container (m^3) used at each tier of the supply chain.
NOTE: often these devices are measured in liters.  Note that 1000 Liters = 1 m^3</t>
        </r>
      </text>
    </comment>
    <comment ref="C115" authorId="1" shapeId="0" xr:uid="{CEABA25E-2669-4D8D-BEE8-E2D4FEEB2A45}">
      <text>
        <r>
          <rPr>
            <sz val="10"/>
            <color indexed="81"/>
            <rFont val="Tahoma"/>
            <family val="2"/>
          </rPr>
          <t>The typical price paid for one passive cold storage container described above</t>
        </r>
      </text>
    </comment>
    <comment ref="C116" authorId="1" shapeId="0" xr:uid="{EEF4F539-8209-4E9E-9730-2452845FB88A}">
      <text>
        <r>
          <rPr>
            <sz val="10"/>
            <color indexed="81"/>
            <rFont val="Tahoma"/>
            <family val="2"/>
          </rPr>
          <t xml:space="preserve">If the device is electrically powered, requires other external inputs, or incurs maintenance costs, enter the average annual amount spent per device to ensure that they remain operational. </t>
        </r>
      </text>
    </comment>
    <comment ref="C117" authorId="1" shapeId="0" xr:uid="{92A97989-789C-4270-94EF-EDA32918660F}">
      <text>
        <r>
          <rPr>
            <sz val="10"/>
            <color rgb="FF000000"/>
            <rFont val="Tahoma"/>
            <family val="2"/>
          </rPr>
          <t xml:space="preserve">Select on option from drop-down. 
This estimates use of passive cold storage containers for transporation between each tier. </t>
        </r>
      </text>
    </comment>
    <comment ref="B121" authorId="1" shapeId="0" xr:uid="{E8DAFD89-390B-4F96-A191-E09301319746}">
      <text>
        <r>
          <rPr>
            <sz val="10"/>
            <color indexed="81"/>
            <rFont val="Tahoma"/>
            <family val="2"/>
          </rPr>
          <t xml:space="preserve">--This section asks the user to estimate the overall costs of supply chain supervision and management activities. In this question we ask the user to specify whether these costs will be measured as a function of the number of facilities or based on overall commodity value. 
--Management &amp; supervision activities include conducting supervisory visits to health and logistics facilities; on-the-job or routine supply chain trainings; and operating a central logistics management unit or data quality and analysis hub. These costs often vary widely depending on how intensively a supply chain is managed, and this management intenstity is often independent of other storage and distribution design choices.  For any of the major supply chain archetypes in global health - mobile warehouse models or collection systems - it is possible to run both an intensively managaged system and a lightly-managed system.
--Thus we structure these costs to scale with the overall scope of the supply chain (e.g. cost per facility or dollar delivered), but we must require the user to provide a </t>
        </r>
        <r>
          <rPr>
            <i/>
            <sz val="10"/>
            <color indexed="81"/>
            <rFont val="Tahoma"/>
            <family val="2"/>
          </rPr>
          <t>cost-per-facility</t>
        </r>
        <r>
          <rPr>
            <sz val="10"/>
            <color indexed="81"/>
            <rFont val="Tahoma"/>
            <family val="2"/>
          </rPr>
          <t xml:space="preserve"> or </t>
        </r>
        <r>
          <rPr>
            <i/>
            <sz val="10"/>
            <color indexed="81"/>
            <rFont val="Tahoma"/>
            <family val="2"/>
          </rPr>
          <t>percentage-of-commodity-value</t>
        </r>
        <r>
          <rPr>
            <sz val="10"/>
            <color indexed="81"/>
            <rFont val="Tahoma"/>
            <family val="2"/>
          </rPr>
          <t xml:space="preserve"> parameter that is aligned with the intensity of their own supply chain management activities.  To help the user determine this value, each of our proxy data templates contains a detailed breakdown of the types of management and supervision activities that make up the listed cost value.  Thus the user can select a value that most closely resembles their own supply chain, and further adapt it up or down to match their individual circumstances</t>
        </r>
      </text>
    </comment>
    <comment ref="B122" authorId="1" shapeId="0" xr:uid="{092E9409-772E-45A7-966E-5EC94A1E8F4B}">
      <text>
        <r>
          <rPr>
            <sz val="9"/>
            <color indexed="81"/>
            <rFont val="Tahoma"/>
            <family val="2"/>
          </rPr>
          <t>As detailed above, if the user elects for system management and support costs to be measured as a function of the number of facilities at each tier, then this question asks the user to estimate the per-facility annual cost of those management and supervision activities. 
If a recent costing study has been conducted, this parameter could be estimated by dividing total management and supervision costs by the total number of facilities.  If no study has been conducted, then each of the proxy data templates listed in this tool contains a breakdown of the types of management &amp; supervision activities conducted.  That breakdown can be used to identify and further tailor an appropriate proxy data point.</t>
        </r>
      </text>
    </comment>
    <comment ref="B123" authorId="1" shapeId="0" xr:uid="{4EA61B79-44B6-4EB1-A882-78ECBDD2C27A}">
      <text>
        <r>
          <rPr>
            <sz val="9"/>
            <color indexed="81"/>
            <rFont val="Tahoma"/>
            <family val="2"/>
          </rPr>
          <t>As detailed above, if the user elects for management and supervision costs to be measured as a function of commodity value ($) delivered, then this question asks the user to estimate the percentage of commodity value dedicated to management and supervision activities. 
If a recent costing study has been conducted, this parameter could be estimated by dividing total management and supervision costs by the total value of product delivered.  If no study has been conducted, then each of the proxy data templates listed in this tool contains a breakdown of the types of management &amp; supervision activities included.  That breakdown can be used to identify and further tailor an appropriate proxy data point.</t>
        </r>
      </text>
    </comment>
    <comment ref="B133" authorId="1" shapeId="0" xr:uid="{8AAC1CCE-F309-4013-99B5-220732DB3037}">
      <text>
        <r>
          <rPr>
            <sz val="10"/>
            <color indexed="81"/>
            <rFont val="Tahoma"/>
            <family val="2"/>
          </rPr>
          <t>For each tier, specify how many different methods for transporting commodities are used. Answers can range from 1 to 3.
For example, say a Ministry of Health manages 2000 health facilities (Tier 3) of its supply chain. For 1500 (75%) of those facilities, deliveries are made using a Land Cruiser dispatched from Tier 2, while the remaining 500 facilities (25%) use public transport to travel to Tier 2 and collect. 
For this example, the user would answer "2" under the Tier 3 column, as they use two distinct methods for delivery at Tier 3.  The user would then proceed to answer the following set of questions for both "Delivery Mode 1" and "Delivery Mode 2" sections below for Landcruiser and Public Transport respectively.</t>
        </r>
      </text>
    </comment>
    <comment ref="C135" authorId="0" shapeId="0" xr:uid="{BEC7F93C-8FC6-437A-A44A-DE8D059B13DE}">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36" authorId="0" shapeId="0" xr:uid="{C101C6CA-F8BF-4602-9D6A-490A5B8490AB}">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37" authorId="1" shapeId="0" xr:uid="{B63E11D4-4FF4-4CDF-9503-A5EB9BD9E25A}">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38" authorId="1" shapeId="0" xr:uid="{D63D6AAA-B5FB-4198-BA95-FB4DB5D2A989}">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39" authorId="1" shapeId="0" xr:uid="{DC6582A0-2182-4559-95A7-87F13F9D6A7F}">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40" authorId="1" shapeId="0" xr:uid="{DFE22653-E2BA-4EA3-87FD-B4EB6E97B9C2}">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41" authorId="1" shapeId="0" xr:uid="{CAACF143-B9D7-467A-B96F-63FCD5237329}">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42" authorId="1" shapeId="0" xr:uid="{7C999A4E-E2B3-4EFB-836F-4E2FEF8C7B32}">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43" authorId="1" shapeId="0" xr:uid="{64F03999-2D60-4983-85BF-5BD303EB8A4B}">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44" authorId="0" shapeId="0" xr:uid="{D6E8A8F6-45AC-4124-AAC2-FA1211935B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45" authorId="0" shapeId="0" xr:uid="{C6CF72C7-6A47-41D6-99CC-5AA9925C28F4}">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46" authorId="0" shapeId="0" xr:uid="{295D6E6B-54C8-4020-9E5B-D161BEA4C4EF}">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47" authorId="0" shapeId="0" xr:uid="{1E33FBF5-79C9-4EE8-A75D-791E8996CE4C}">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48" authorId="0" shapeId="0" xr:uid="{AAF7AF04-F27E-44C1-8498-8169596D55C9}">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49" authorId="0" shapeId="0" xr:uid="{EA6D062B-75D9-455C-9969-89A8C0D41C9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50" authorId="0" shapeId="0" xr:uid="{2D9890C4-734B-42BB-ABE9-11F4A870B48C}">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51" authorId="0" shapeId="0" xr:uid="{EB9C665A-5ECC-4466-A995-D1B130ED2245}">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52" authorId="0" shapeId="0" xr:uid="{843E24EE-6996-44BA-952B-0D1CE8A2D81C}">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53" authorId="2" shapeId="0" xr:uid="{51DB4A14-C6EF-4F3E-BDE5-B411841D1BDE}">
      <text>
        <r>
          <rPr>
            <sz val="10"/>
            <color indexed="81"/>
            <rFont val="Tahoma"/>
            <family val="2"/>
          </rPr>
          <t>Choose yes or no from dropdown, to indicate whether this transport mode is used only for cold chain products</t>
        </r>
      </text>
    </comment>
    <comment ref="C155" authorId="0" shapeId="0" xr:uid="{D62936B2-ADED-4390-96F0-0AAFE3C06194}">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56" authorId="0" shapeId="0" xr:uid="{26BB679A-24C9-4136-ADF6-EDE240160376}">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57" authorId="1" shapeId="0" xr:uid="{D15CF593-F26D-4855-9AB7-DBEC7732297C}">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58" authorId="1" shapeId="0" xr:uid="{ABCB848F-8065-4874-8928-42CFD64DB871}">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59" authorId="1" shapeId="0" xr:uid="{6A2B3D2B-8D92-4DE4-A592-C2C134FBB3FB}">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60" authorId="1" shapeId="0" xr:uid="{ADE99562-C0ED-456F-886E-12E1511D3E0B}">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61" authorId="1" shapeId="0" xr:uid="{C302B27A-B3F5-4E25-9367-2A9F7C95838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62" authorId="1" shapeId="0" xr:uid="{6B9BB83C-AFD9-430F-BA1D-51B0113DC15B}">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63" authorId="1" shapeId="0" xr:uid="{86F5F303-9AF1-4185-A560-5E083DA4FDCE}">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64" authorId="0" shapeId="0" xr:uid="{E42881A0-5D4C-4D02-BDEF-645938D1C789}">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65" authorId="0" shapeId="0" xr:uid="{9DFEE395-8FF7-4608-945E-125C6B8E4C05}">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66" authorId="0" shapeId="0" xr:uid="{94673240-A006-492A-9FAF-163EE293A778}">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67" authorId="0" shapeId="0" xr:uid="{7019288E-60AD-4D2C-BDF2-4E56397DDE3A}">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68" authorId="0" shapeId="0" xr:uid="{8510EB5C-E9D7-4D88-B39A-F0672B01CF05}">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69" authorId="0" shapeId="0" xr:uid="{61FE96C8-7CDE-4B4B-B6B6-EB51BBEC95A3}">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70" authorId="0" shapeId="0" xr:uid="{A98C67AF-9961-43BB-B10C-978B1523CA12}">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71" authorId="0" shapeId="0" xr:uid="{AE9EF044-D982-4FA7-8F58-5ED152A2E266}">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72" authorId="0" shapeId="0" xr:uid="{97659D4D-F8D5-4252-90CE-07D72DBA29A1}">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73" authorId="2" shapeId="0" xr:uid="{56ED5452-1EC1-4D1C-AB73-F8FF88B2EBDF}">
      <text>
        <r>
          <rPr>
            <sz val="10"/>
            <color indexed="81"/>
            <rFont val="Tahoma"/>
            <family val="2"/>
          </rPr>
          <t>Choose yes or no from dropdown, to indicate whether this transport mode is used only for cold chain products</t>
        </r>
      </text>
    </comment>
    <comment ref="C175" authorId="0" shapeId="0" xr:uid="{24FF444D-C4AE-4D0D-B261-93F85E4529E4}">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76" authorId="0" shapeId="0" xr:uid="{389C4CBD-E9C7-4F2A-998C-44ABD721428E}">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77" authorId="1" shapeId="0" xr:uid="{162B68D0-D47C-4833-A050-1A5F4E08452B}">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78" authorId="1" shapeId="0" xr:uid="{CADBA7AF-FB78-429C-84E0-F2CCD1FE1EF3}">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79" authorId="1" shapeId="0" xr:uid="{C6B15987-9981-4DC1-8B10-FD68AD5268C8}">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80" authorId="1" shapeId="0" xr:uid="{CFC4D049-9989-44C2-ABEA-48C67C7A59A6}">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81" authorId="1" shapeId="0" xr:uid="{1E043D4E-66F9-47CB-9898-4DEA9047373D}">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82" authorId="1" shapeId="0" xr:uid="{7CEFB599-E023-4245-898E-AF7E0CB5D5B5}">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83" authorId="1" shapeId="0" xr:uid="{CAAC61D6-123C-4C86-AE61-52DED6275DE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84" authorId="0" shapeId="0" xr:uid="{104D934E-F718-42CE-AC02-CFCD9526056F}">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85" authorId="0" shapeId="0" xr:uid="{0B51F277-ED42-49E9-BB7C-F7D96EAC5029}">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86" authorId="0" shapeId="0" xr:uid="{6EC3712F-3BF4-4C2C-9C28-92CBE4DDB9FC}">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87" authorId="0" shapeId="0" xr:uid="{FD299D86-8E95-4990-BD31-3EB7BE1B3D2E}">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88" authorId="0" shapeId="0" xr:uid="{B8A470CF-4A7C-4118-B5C2-14EFC55CF4B7}">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89" authorId="0" shapeId="0" xr:uid="{5A8335D7-583B-403D-9BBA-DED37415655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90" authorId="0" shapeId="0" xr:uid="{A9FADED9-AD95-454A-92AC-C5983E54E7F6}">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91" authorId="0" shapeId="0" xr:uid="{E94DA918-C14E-4582-A92B-7DC0FA93399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92" authorId="0" shapeId="0" xr:uid="{ADAD9937-2978-4580-9F5E-0C6DFB296E84}">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93" authorId="2" shapeId="0" xr:uid="{BCEF9A96-1720-4309-96F1-EC94D3E5C053}">
      <text>
        <r>
          <rPr>
            <sz val="10"/>
            <color indexed="81"/>
            <rFont val="Tahoma"/>
            <family val="2"/>
          </rPr>
          <t>Choose yes or no from dropdown, to indicate whether this transport mode is used only for cold chain products</t>
        </r>
      </text>
    </comment>
    <comment ref="C199" authorId="0" shapeId="0" xr:uid="{19B348EF-B9B8-4B15-A9EC-C7F53AA5A582}">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00" authorId="0" shapeId="0" xr:uid="{BC9DDB4D-0752-4A11-A18F-C87386EA3081}">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01" authorId="1" shapeId="0" xr:uid="{F15D01BE-6CE0-4B58-9766-0F0304C5168D}">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02" authorId="1" shapeId="0" xr:uid="{D125C6C3-F4B4-4DD6-9BCD-BE327F45C932}">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03" authorId="1" shapeId="0" xr:uid="{9FA9861E-32C8-466D-9FC1-F3611A0239A1}">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04" authorId="1" shapeId="0" xr:uid="{AEBB494E-9206-48CF-A92F-5D84839F39B4}">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05" authorId="0" shapeId="0" xr:uid="{5A4EC35B-8493-47EB-B17E-59A36FB8CB33}">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06" authorId="1" shapeId="0" xr:uid="{3A80178A-0361-4EC6-A515-6F3F4FAA1DBA}">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07" authorId="1" shapeId="0" xr:uid="{EA92EFE1-A104-4A80-B429-6306AE1C003A}">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08" authorId="1" shapeId="0" xr:uid="{7FD0B2C0-79C2-48B6-8A63-299489148586}">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09" authorId="0" shapeId="0" xr:uid="{E13E1253-C40C-490E-B603-EA64571CE78A}">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10" authorId="0" shapeId="0" xr:uid="{163213F7-2525-4C5C-A329-8CD62C74BF4E}">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11" authorId="0" shapeId="0" xr:uid="{FAE66091-DF57-4B9B-8205-B8E9398B68FC}">
      <text>
        <r>
          <rPr>
            <sz val="10"/>
            <color indexed="81"/>
            <rFont val="Tahoma"/>
            <family val="2"/>
          </rPr>
          <t xml:space="preserve">Enter number of people accompanying driver or primary traveler. 
</t>
        </r>
      </text>
    </comment>
    <comment ref="C212" authorId="0" shapeId="0" xr:uid="{EFE3C5BA-0883-4B3A-94DC-64685BE30311}">
      <text>
        <r>
          <rPr>
            <sz val="10"/>
            <color indexed="81"/>
            <rFont val="Tahoma"/>
            <family val="2"/>
          </rPr>
          <t xml:space="preserve">Enter profession of a typical person that accompanies the driver or primary traveler. </t>
        </r>
      </text>
    </comment>
    <comment ref="C213" authorId="0" shapeId="0" xr:uid="{41C69DFC-D4AD-4FD3-B228-9E29F2DCF722}">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14" authorId="0" shapeId="0" xr:uid="{A47AF51D-3B4F-469C-838C-5D7310D85C8F}">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15" authorId="0" shapeId="0" xr:uid="{B1B97549-0F59-4C2D-9648-7776ABFD382F}">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16" authorId="0" shapeId="0" xr:uid="{393C6D5C-D1DC-4C80-89AD-7D83E08E8CCB}">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17" authorId="0" shapeId="0" xr:uid="{B6671D72-B209-4F78-B2CF-F81E2011DC3C}">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19" authorId="0" shapeId="0" xr:uid="{F51B7322-FA7A-4AD8-B8A4-6E17C99D927E}">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20" authorId="0" shapeId="0" xr:uid="{AF174EF0-16F4-48F7-86CD-A6296FC4A3FE}">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21" authorId="1" shapeId="0" xr:uid="{7C726724-BB46-46CC-9072-284686664F8A}">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22" authorId="1" shapeId="0" xr:uid="{0429F89F-7BBB-4D58-96B1-75E6363AC4E8}">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23" authorId="1" shapeId="0" xr:uid="{06C244D1-0121-4183-A11D-76A582A1AFAB}">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24" authorId="1" shapeId="0" xr:uid="{525EAC5D-7FE3-4F06-A8E9-99B711AC011C}">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25" authorId="0" shapeId="0" xr:uid="{8DCCF410-BDC3-4AEA-97D6-75C2E9CEB45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26" authorId="1" shapeId="0" xr:uid="{924B51EA-679E-44BC-81D3-9E344D0CB562}">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27" authorId="1" shapeId="0" xr:uid="{F5C91D1D-081F-44AA-9C39-58ED9D790C3C}">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28" authorId="1" shapeId="0" xr:uid="{3219FFC1-7ED4-45EC-B8AE-9650C25D5662}">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29" authorId="0" shapeId="0" xr:uid="{95688A0E-8865-4DED-901C-F20684BA8501}">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30" authorId="0" shapeId="0" xr:uid="{A150F6DD-DDED-40CB-A5E8-C9262D96CC84}">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31" authorId="0" shapeId="0" xr:uid="{9595E0A1-4B6A-4917-AEE8-1945A8ABE12A}">
      <text>
        <r>
          <rPr>
            <sz val="10"/>
            <color indexed="81"/>
            <rFont val="Tahoma"/>
            <family val="2"/>
          </rPr>
          <t xml:space="preserve">Enter number of people accompanying driver or primary traveler. 
</t>
        </r>
      </text>
    </comment>
    <comment ref="C232" authorId="0" shapeId="0" xr:uid="{7D542636-7D74-4B52-B661-E97193722F5F}">
      <text>
        <r>
          <rPr>
            <sz val="10"/>
            <color indexed="81"/>
            <rFont val="Tahoma"/>
            <family val="2"/>
          </rPr>
          <t xml:space="preserve">Enter profession of a typical person that accompanies the driver or primary traveler. </t>
        </r>
      </text>
    </comment>
    <comment ref="C233" authorId="0" shapeId="0" xr:uid="{8C079395-6CE5-4FBE-9178-72D499BFC3B8}">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34" authorId="0" shapeId="0" xr:uid="{B9A800FB-5AD6-4AB4-B815-CEF8C9DB5824}">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35" authorId="0" shapeId="0" xr:uid="{5FC6B7E8-F5C6-47C7-960A-530A61785876}">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36" authorId="0" shapeId="0" xr:uid="{297CBF75-FF2A-45C9-ABC3-76F6A434F554}">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37" authorId="0" shapeId="0" xr:uid="{F1F552AE-6384-417D-8C35-183DAF21D9BC}">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39" authorId="0" shapeId="0" xr:uid="{E1BFA9F9-F2A6-4238-81AA-B7AA2A07BBFB}">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40" authorId="0" shapeId="0" xr:uid="{931E19DA-2D30-4F7F-AF0E-A4BA1C587BCB}">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41" authorId="1" shapeId="0" xr:uid="{9EDF1133-190B-4F8E-9C4E-D92BFF3BCCFA}">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42" authorId="1" shapeId="0" xr:uid="{AF5C0F11-4F78-479A-9186-3980FF7F624F}">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43" authorId="1" shapeId="0" xr:uid="{ABF9BF57-FBE3-47C6-8C06-A5F6D14ED18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44" authorId="1" shapeId="0" xr:uid="{A764AF83-8494-4B89-9789-424AAB954DC6}">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45" authorId="0" shapeId="0" xr:uid="{D9ADA7AA-06F7-4E2D-BB4B-C911E07641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46" authorId="1" shapeId="0" xr:uid="{0E95F51D-241B-41FB-A544-FDD952D06224}">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47" authorId="1" shapeId="0" xr:uid="{2EFC112C-3ED8-4CBD-89FF-4EEEEAEB822A}">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48" authorId="1" shapeId="0" xr:uid="{275C9B06-3F07-4D8D-B684-05C5A04A247C}">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49" authorId="0" shapeId="0" xr:uid="{71FE0A1F-0F6D-4DF7-BA1D-F58AC11E13F9}">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50" authorId="0" shapeId="0" xr:uid="{30F4BB56-C067-4B0B-962B-70725854D173}">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51" authorId="0" shapeId="0" xr:uid="{D48C4AE2-75FF-470F-8FB1-2B44E0DD6847}">
      <text>
        <r>
          <rPr>
            <sz val="10"/>
            <color indexed="81"/>
            <rFont val="Tahoma"/>
            <family val="2"/>
          </rPr>
          <t xml:space="preserve">Enter number of people accompanying driver or primary traveler. 
</t>
        </r>
      </text>
    </comment>
    <comment ref="C252" authorId="0" shapeId="0" xr:uid="{EEA9132A-2501-47EE-8A62-052354688987}">
      <text>
        <r>
          <rPr>
            <sz val="10"/>
            <color indexed="81"/>
            <rFont val="Tahoma"/>
            <family val="2"/>
          </rPr>
          <t xml:space="preserve">Enter profession of a typical person that accompanies the driver or primary traveler. </t>
        </r>
      </text>
    </comment>
    <comment ref="C253" authorId="0" shapeId="0" xr:uid="{B1607803-F789-4F67-847F-04E22AAF34FB}">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54" authorId="0" shapeId="0" xr:uid="{E1A3C4C0-9037-4463-B604-34A520D99D3E}">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55" authorId="0" shapeId="0" xr:uid="{BFE66B21-2B5D-4E91-B23F-1E2E73E6DD8A}">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56" authorId="0" shapeId="0" xr:uid="{0933BB07-D455-4742-BB46-5CF611FDBECF}">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57" authorId="0" shapeId="0" xr:uid="{AF7CE872-97C9-496A-9D6B-8411C02A5F47}">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63" authorId="0" shapeId="0" xr:uid="{77E2C09E-8945-4A6F-9C11-22A4392B66E1}">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64" authorId="0" shapeId="0" xr:uid="{66CAC0A6-4834-4B9A-A2EE-98C493C3B933}">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65" authorId="1" shapeId="0" xr:uid="{1ED454FF-12FF-40A3-95AA-E2B22958832A}">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66" authorId="1" shapeId="0" xr:uid="{C5CA4859-793D-46B4-AC51-D6BA5139C864}">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67" authorId="1" shapeId="0" xr:uid="{3E030B8C-6338-4B74-B295-4DF440738924}">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68" authorId="1" shapeId="0" xr:uid="{C33DBF97-2653-4F4C-A8F5-687637D44568}">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69" authorId="0" shapeId="0" xr:uid="{3191BD8F-DBE1-4EF7-95E5-AB5346412FE7}">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70" authorId="1" shapeId="0" xr:uid="{808F4131-6581-4504-AE2E-7971894616E4}">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1" authorId="1" shapeId="0" xr:uid="{030C4111-3EC9-4A2B-AF20-FA669BDD6786}">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2" authorId="1" shapeId="0" xr:uid="{5F9D03E5-6A9D-4E1D-AEE8-5DED7769EF8F}">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73" authorId="0" shapeId="0" xr:uid="{218FB3BF-50C5-4FB7-B7B9-1FC51FB2F103}">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74" authorId="0" shapeId="0" xr:uid="{573E526C-2A4C-4A6D-8C58-F03B6C90DE8F}">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75" authorId="0" shapeId="0" xr:uid="{7E8CAFC2-6E97-4753-B513-67FB5DB7F3FE}">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76" authorId="0" shapeId="0" xr:uid="{DF689736-66F3-4B7C-9820-CC3D07D376C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77" authorId="0" shapeId="0" xr:uid="{EDB171A3-BD5E-4DF6-B303-799D31321197}">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78" authorId="0" shapeId="0" xr:uid="{1F7FC5F6-8967-48AC-A1E8-B3433D0F63E5}">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79" authorId="0" shapeId="0" xr:uid="{605C3331-6FD0-497E-8846-AC13D72E5D46}">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280" authorId="0" shapeId="0" xr:uid="{436CD869-5880-491F-8C81-DCC724BB1179}">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281" authorId="0" shapeId="0" xr:uid="{5F3DC990-C3C7-4FE1-A21E-3ADA88BBD2DD}">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283" authorId="0" shapeId="0" xr:uid="{DDD7C04A-C8AD-4579-B76E-F8FE82CD9A0E}">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84" authorId="0" shapeId="0" xr:uid="{1941936E-341B-4E3E-9732-E155A776F711}">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85" authorId="1" shapeId="0" xr:uid="{66483D20-65B5-4F71-9FD1-7A48D9D9AE65}">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86" authorId="1" shapeId="0" xr:uid="{AA87789A-3394-4DBA-8FA2-DDAEB9258843}">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87" authorId="1" shapeId="0" xr:uid="{C725C1C1-A3AA-407F-84B1-D0226D0B1595}">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88" authorId="1" shapeId="0" xr:uid="{F4B6812E-FFB7-4C28-8C6E-2245169915D6}">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89" authorId="0" shapeId="0" xr:uid="{909CFA13-0122-4958-A140-B930DF2D87D7}">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90" authorId="1" shapeId="0" xr:uid="{73588EFB-20BD-498E-B418-64E28D8AB389}">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1" authorId="1" shapeId="0" xr:uid="{B8ECA0E2-D586-4D28-B709-524353B21034}">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2" authorId="1" shapeId="0" xr:uid="{CE35381E-3627-448D-B66B-B4998833C321}">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93" authorId="0" shapeId="0" xr:uid="{E21F8D1E-F167-4A82-A5CE-DF0196977ACD}">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94" authorId="0" shapeId="0" xr:uid="{294295E9-81A4-4D60-8046-89383FE3E645}">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95" authorId="0" shapeId="0" xr:uid="{56038D09-46E0-493F-B794-0272195B4757}">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96" authorId="0" shapeId="0" xr:uid="{3F088A53-1436-4230-A6E0-4EB0DC79EE32}">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97" authorId="0" shapeId="0" xr:uid="{13FD91BE-79C0-47BE-AFBB-5493795E9C37}">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98" authorId="0" shapeId="0" xr:uid="{F86DB704-1572-4088-976D-A26219446599}">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99" authorId="0" shapeId="0" xr:uid="{2E4F7A4A-40C1-4CAE-A0E0-0C4EEE315CB7}">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00" authorId="0" shapeId="0" xr:uid="{EC4F6C1C-AEAA-4300-B2DF-AA08781B5DA3}">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01" authorId="0" shapeId="0" xr:uid="{150E6B9C-1989-4050-A7CD-5D85AA4CA417}">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303" authorId="0" shapeId="0" xr:uid="{D1D7708F-821B-4DC5-8FE7-00F3BC82156F}">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304" authorId="0" shapeId="0" xr:uid="{1CDE128E-8577-4477-981C-0D5C2D98B58C}">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305" authorId="1" shapeId="0" xr:uid="{8F927BB6-09F1-424C-8567-CF585DC9043D}">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306" authorId="1" shapeId="0" xr:uid="{8ACF8F12-8F06-47A3-9543-6D66FA37681A}">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307" authorId="1" shapeId="0" xr:uid="{A0F39BAF-3670-40A2-AF4B-8C2AB0669C4D}">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308" authorId="1" shapeId="0" xr:uid="{5B5AE03F-5E96-49E2-835D-E818E342793C}">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309" authorId="0" shapeId="0" xr:uid="{D2444E48-A72C-4461-ADE2-1BB28C999A42}">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310" authorId="1" shapeId="0" xr:uid="{ACBD23D7-9A8F-45EE-9803-AB3789826D21}">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1" authorId="1" shapeId="0" xr:uid="{F5B7AF40-1D86-401E-9719-1A111C0DCCCB}">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2" authorId="1" shapeId="0" xr:uid="{1389CF4F-A005-4F32-9F17-C5B210FFAD62}">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313" authorId="0" shapeId="0" xr:uid="{4A8E7CA5-E4E4-4B12-A5A0-F7F5B81721F1}">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314" authorId="0" shapeId="0" xr:uid="{7096BAE3-E141-485C-A9B7-F8F9394323CE}">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315" authorId="0" shapeId="0" xr:uid="{C5B2BEE3-7001-4F7E-9725-50AA26193E5B}">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316" authorId="0" shapeId="0" xr:uid="{55486D48-6D9A-429A-977D-C752686BD2B7}">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317" authorId="0" shapeId="0" xr:uid="{4B1C02DA-65C1-4B08-B3D7-086E66D20712}">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318" authorId="0" shapeId="0" xr:uid="{C13DD7FE-7BF8-412B-9460-FB5784C94FB6}">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319" authorId="0" shapeId="0" xr:uid="{8F8B329A-E8B1-4A98-A36C-076395D1BF88}">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20" authorId="0" shapeId="0" xr:uid="{ECB7FDA5-01E3-4F3B-9008-59F33C5ECC98}">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21" authorId="0" shapeId="0" xr:uid="{F7FEE712-5498-47C2-9CC7-DB18AF284921}">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Mariam Zameer</author>
  </authors>
  <commentList>
    <comment ref="B5" authorId="0" shapeId="0" xr:uid="{D7D1C245-4CB0-4F52-A535-994CD698EFFA}">
      <text>
        <r>
          <rPr>
            <sz val="10"/>
            <color indexed="81"/>
            <rFont val="Tahoma"/>
            <family val="2"/>
          </rPr>
          <t>Select a data template that you would like to use to fill in any gaps where data are missing. This will load data into the "Value used in Model" column as a default. 
You may use the value from the template as-is, or override them by entering your own in the green cells</t>
        </r>
      </text>
    </comment>
    <comment ref="B6" authorId="0" shapeId="0" xr:uid="{B0DD3725-8E23-4FB5-A1D5-4CAB89CF40FC}">
      <text>
        <r>
          <rPr>
            <sz val="10"/>
            <color indexed="81"/>
            <rFont val="Tahoma"/>
            <family val="2"/>
          </rPr>
          <t xml:space="preserve">All data template values are in US Dollars.
If your own data is in a different currency, and you would like the output to stay in this other currency, please enter the exchange rate of "Amount of local currency per $1 US Dollar"
</t>
        </r>
      </text>
    </comment>
    <comment ref="B7" authorId="0" shapeId="0" xr:uid="{BCF77524-3A69-4086-9A21-3C1629CEB596}">
      <text>
        <r>
          <rPr>
            <sz val="10"/>
            <color indexed="81"/>
            <rFont val="Tahoma"/>
            <family val="2"/>
          </rPr>
          <t>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305B7A2B-051E-455F-B879-6C13BA1D7767}">
      <text>
        <r>
          <rPr>
            <sz val="10"/>
            <color indexed="81"/>
            <rFont val="Tahoma"/>
            <family val="2"/>
          </rPr>
          <t>Enter the average per-liter price of fuel  (petrol, gas or diesel)</t>
        </r>
      </text>
    </comment>
    <comment ref="B9" authorId="1" shapeId="0" xr:uid="{E2A71648-3BA4-4DF7-962D-D7400DB5CF3B}">
      <text>
        <r>
          <rPr>
            <b/>
            <sz val="10"/>
            <color indexed="81"/>
            <rFont val="Tahoma"/>
            <family val="2"/>
          </rPr>
          <t>E</t>
        </r>
        <r>
          <rPr>
            <sz val="10"/>
            <color indexed="81"/>
            <rFont val="Tahoma"/>
            <family val="2"/>
          </rPr>
          <t>nter an assumed number of working days in a calendar year, excluding weekends, holidays, vacation time, sick leave, etc. 
Typical working days in a year in USA are 260</t>
        </r>
      </text>
    </comment>
    <comment ref="B10" authorId="1" shapeId="0" xr:uid="{22F3D4F4-577C-4CE7-9E47-40515AC41D2E}">
      <text>
        <r>
          <rPr>
            <b/>
            <sz val="10"/>
            <color indexed="81"/>
            <rFont val="Tahoma"/>
            <family val="2"/>
          </rPr>
          <t>E</t>
        </r>
        <r>
          <rPr>
            <sz val="10"/>
            <color indexed="81"/>
            <rFont val="Tahoma"/>
            <family val="2"/>
          </rPr>
          <t>nter an assumed average number of working hours in a single work day
Typical working hours in a week are 40</t>
        </r>
      </text>
    </comment>
    <comment ref="B11" authorId="1" shapeId="0" xr:uid="{09BD9855-54DB-4AD7-9AA4-019BB8C170C3}">
      <text>
        <r>
          <rPr>
            <sz val="10"/>
            <color indexed="81"/>
            <rFont val="Tahoma"/>
            <family val="2"/>
          </rPr>
          <t xml:space="preserve">Enter average  life of a vehicle. Typical value is 5-7 years.
This is used to calculate annual depreciation costs for vehicles using straighltline depreciation method (initial purchase price divided by the number of years of useful life). </t>
        </r>
      </text>
    </comment>
    <comment ref="B12" authorId="1" shapeId="0" xr:uid="{62BA7A51-EBF4-4566-874B-613CADA1F00D}">
      <text>
        <r>
          <rPr>
            <sz val="10"/>
            <color indexed="81"/>
            <rFont val="Tahoma"/>
            <family val="2"/>
          </rPr>
          <t>Enter average life of cold boxes. Typical life is 5 years.
This is used to calculate annual depreciation costs for cold storage boxes. This model uses straighltline depreciation method (initial purchase price divided by the number of years of useful life)</t>
        </r>
      </text>
    </comment>
    <comment ref="B16" authorId="2" shapeId="0" xr:uid="{745B9EA3-3545-4FDE-8B9A-421CBEF2E9C2}">
      <text>
        <r>
          <rPr>
            <sz val="10"/>
            <color indexed="81"/>
            <rFont val="Tahoma"/>
            <family val="2"/>
          </rPr>
          <t>Select "no" if you have demand pre-calculated</t>
        </r>
      </text>
    </comment>
    <comment ref="B17" authorId="1" shapeId="0" xr:uid="{83068B7D-82E4-47B5-9AAF-3BBA7B8FBD71}">
      <text>
        <r>
          <rPr>
            <sz val="10"/>
            <color rgb="FF000000"/>
            <rFont val="Tahoma"/>
            <family val="2"/>
          </rPr>
          <t>Total amount of ambient-temperature product in m^3 stored at room temperature that flows through the supply chain in a year. 
Typically measured at one end of the supply chain -- either total volume procured by a central-level organization, or total volume delivered to health facilities 
Products include: most liquid, tablet, and injectable medications, consumables like syringes, safety boxes etc.</t>
        </r>
      </text>
    </comment>
    <comment ref="B18" authorId="1" shapeId="0" xr:uid="{787E766A-A410-497C-814B-637C6D228B61}">
      <text>
        <r>
          <rPr>
            <sz val="10"/>
            <color indexed="81"/>
            <rFont val="Tahoma"/>
            <family val="2"/>
          </rPr>
          <t>Total amount of product in m^3 stored in cold storage (refrigerator or freezer) that flow through the supply chain in a year. 
Products include: most vaccines, oxytocin, insulin in many cases, etc.</t>
        </r>
      </text>
    </comment>
    <comment ref="B19" authorId="1" shapeId="0" xr:uid="{B9E79249-88B6-4C43-92F7-D244E50BCD34}">
      <text>
        <r>
          <rPr>
            <sz val="10"/>
            <color indexed="81"/>
            <rFont val="Tahoma"/>
            <family val="2"/>
          </rPr>
          <t>Enter the total number of individual product types that are managed by the supply chain. 
Procedures differ from country to country, but different presentations or dosages of the same medication are often treated as separate products, while different manufacturers of the same medication &amp; presentation are often managed as a single product. 
Some Examples:
-- Amoxicillin comes in both 500mg tablets and 500mg capsules. These would usually be two separate commodities
-- Artemether+Lumefantrine comes in four dosage sizes: 1 tablet x 4 doses, 2x4, 3x4, and 4x4. These are typically four separate commodities
-- Artemether+Lumerantrine 4x4 is produced by Novartis as well as Cipla. This is generally managed as one commodity if found together in the same clinic</t>
        </r>
      </text>
    </comment>
    <comment ref="B20" authorId="1" shapeId="0" xr:uid="{0949F3B1-AAA1-4134-8CD1-240A83E0EE52}">
      <text>
        <r>
          <rPr>
            <sz val="10"/>
            <color rgb="FF000000"/>
            <rFont val="Tahoma"/>
            <family val="2"/>
          </rPr>
          <t xml:space="preserve">Does the total demand value represent the volume delivered to health facilities at the last mile, or does it represent the volume procured at the national level?  
This parameter becomes important when expiry and wastage are significant. For example, if Total System Demand Volume is 1000 m^3:
- </t>
        </r>
        <r>
          <rPr>
            <b/>
            <sz val="10"/>
            <color rgb="FF000000"/>
            <rFont val="Tahoma"/>
            <family val="2"/>
          </rPr>
          <t>Procured</t>
        </r>
        <r>
          <rPr>
            <sz val="10"/>
            <color rgb="FF000000"/>
            <rFont val="Tahoma"/>
            <family val="2"/>
          </rPr>
          <t xml:space="preserve">: If it is procured at the national level, and a 5% wastage rate at each tier, then total demand volume reaching health facilities is actually less than 1000 m^3 
- </t>
        </r>
        <r>
          <rPr>
            <b/>
            <sz val="10"/>
            <color rgb="FF000000"/>
            <rFont val="Tahoma"/>
            <family val="2"/>
          </rPr>
          <t>Delivered</t>
        </r>
        <r>
          <rPr>
            <sz val="10"/>
            <color rgb="FF000000"/>
            <rFont val="Tahoma"/>
            <family val="2"/>
          </rPr>
          <t>: If it is delivered to health facilities, then this is after 5% wastage has already been taken into account. Hence, upstream tiers must be handling/procuring more than 1000 m^3</t>
        </r>
      </text>
    </comment>
    <comment ref="K20" authorId="0" shapeId="0" xr:uid="{F98665C9-06C6-4614-8153-3DBF14205BE4}">
      <text>
        <r>
          <rPr>
            <sz val="9"/>
            <color indexed="81"/>
            <rFont val="Tahoma"/>
            <family val="2"/>
          </rPr>
          <t>Requires user to enter a minimum of 1) overall target population size, and 2) type and presentation of vaccines to include.
Worksheet calculates estimated cold and ambient temperature demand volume, and estimated value of procured products.</t>
        </r>
      </text>
    </comment>
    <comment ref="B21" authorId="1" shapeId="0" xr:uid="{2DF59564-88FE-4DE5-BB8E-57BACA8D6759}">
      <text>
        <r>
          <rPr>
            <sz val="10"/>
            <color indexed="81"/>
            <rFont val="Tahoma"/>
            <family val="2"/>
          </rPr>
          <t>Estimated cash value (typically procurement value) of the Total System Demand Volume. 
It is used to calculate the "Cost as a percentage of commodity value" statistic in the Outputs. If this metric is not important to the user, this field can be left blank.</t>
        </r>
      </text>
    </comment>
    <comment ref="K21" authorId="0" shapeId="0" xr:uid="{2B0AE8B6-A934-4B88-A36F-D281262BBE0B}">
      <text>
        <r>
          <rPr>
            <sz val="9"/>
            <color indexed="81"/>
            <rFont val="Tahoma"/>
            <family val="2"/>
          </rPr>
          <t>Requires user to either 1) specify a target country, or 2) specify a target population, contraceptive prevalence rate, and method mix for key contraceptive types.
Worksheet calculates estimated demand volume (m^3) of contraceptive products, as well as their estimated procurement value.</t>
        </r>
      </text>
    </comment>
    <comment ref="K22" authorId="0" shapeId="0" xr:uid="{0C36FEDA-58B0-4785-9B0B-4DE23E31EE71}">
      <text>
        <r>
          <rPr>
            <sz val="9"/>
            <color indexed="81"/>
            <rFont val="Tahoma"/>
            <family val="2"/>
          </rPr>
          <t>Requires user to enter 1) a list of products, 2) number of units consumed for each product, and 3) specify a general product type, e.g. "bottle of liquid - large".
Worksheet draws from USAID Product-Volume Database to estimate the overall volume (m^3) of the products consumed. 
Unlike the other two worksheets, this one does not rely on demographic data - it requires prior logistics data on units of product consumed. However, it provides a general framework that can be applied to products from any program area</t>
        </r>
      </text>
    </comment>
    <comment ref="B25" authorId="2" shapeId="0" xr:uid="{40ED9298-4471-453E-86BF-2C18606AEF32}">
      <text>
        <r>
          <rPr>
            <sz val="10"/>
            <color indexed="81"/>
            <rFont val="Tahoma"/>
            <family val="2"/>
          </rPr>
          <t>For each position listed, enter an average hourly salary rate, and daily travel perdiem rate. These are used to calculate labor costs of storage, delivery, and other supply chain activities. 
If a  supply chain position isn't already listed, add them under "Other Personnel Type".  
Positions that are not used can be left blank.</t>
        </r>
      </text>
    </comment>
    <comment ref="B27" authorId="1" shapeId="0" xr:uid="{4BE3D57B-622F-4E9E-ACBA-0A177C8C3232}">
      <text>
        <r>
          <rPr>
            <sz val="10"/>
            <color rgb="FF000000"/>
            <rFont val="Tahoma"/>
            <family val="2"/>
          </rPr>
          <t>Leave blank. 
This is a placeholder for when a) the user selects 3rd Party Logistics Provider (3PL) as a transportation option in section 5 &amp; 6 and, therefore, is not paying salary or perdiem for the drivers and logisticians who operate those 3PL transportation resources.</t>
        </r>
      </text>
    </comment>
    <comment ref="B28" authorId="1" shapeId="0" xr:uid="{8604DA1A-2A91-47D7-99B6-DFC3DA3A9E59}">
      <text>
        <r>
          <rPr>
            <sz val="10"/>
            <color rgb="FF000000"/>
            <rFont val="Tahoma"/>
            <family val="2"/>
          </rPr>
          <t>Enter personnel type not listed above.
Enter both an average hourly salary rate, and a daily travel perdiem rate.</t>
        </r>
      </text>
    </comment>
    <comment ref="B29" authorId="1" shapeId="0" xr:uid="{99F09E1E-B0F0-4749-8284-ECA44DB63703}">
      <text>
        <r>
          <rPr>
            <sz val="10"/>
            <color rgb="FF000000"/>
            <rFont val="Tahoma"/>
            <family val="2"/>
          </rPr>
          <t>Enter personnel type not listed above.
Enter both an average hourly salary rate, and a daily travel perdiem rate.</t>
        </r>
      </text>
    </comment>
    <comment ref="B30" authorId="1" shapeId="0" xr:uid="{95FAE178-21CE-43B4-B7BD-9927244B1C57}">
      <text>
        <r>
          <rPr>
            <sz val="10"/>
            <color rgb="FF000000"/>
            <rFont val="Tahoma"/>
            <family val="2"/>
          </rPr>
          <t>Enter personnel type not listed above.
Enter both an average hourly salary rate, and a daily travel perdiem rate.</t>
        </r>
      </text>
    </comment>
    <comment ref="B31" authorId="1" shapeId="0" xr:uid="{3A934A82-BC18-42AE-8C31-B66002A73245}">
      <text>
        <r>
          <rPr>
            <sz val="10"/>
            <color rgb="FF000000"/>
            <rFont val="Tahoma"/>
            <family val="2"/>
          </rPr>
          <t>Enter personnel type not listed above.
Enter both an average hourly salary rate, and a daily travel perdiem rate.</t>
        </r>
      </text>
    </comment>
    <comment ref="B32" authorId="1" shapeId="0" xr:uid="{DB0EAF51-0919-45E6-A8A4-8C9872A9288B}">
      <text>
        <r>
          <rPr>
            <sz val="10"/>
            <color rgb="FF000000"/>
            <rFont val="Tahoma"/>
            <family val="2"/>
          </rPr>
          <t>Enter personnel type not listed above.
Enter both an average hourly salary rate, and a daily travel perdiem rate.</t>
        </r>
      </text>
    </comment>
    <comment ref="B33" authorId="1" shapeId="0" xr:uid="{97BBE7C5-A483-46E6-AAC3-925B78DD7608}">
      <text>
        <r>
          <rPr>
            <sz val="10"/>
            <color rgb="FF000000"/>
            <rFont val="Tahoma"/>
            <family val="2"/>
          </rPr>
          <t>Enter personnel type not listed above.
Enter both an average hourly salary rate, and a daily travel perdiem rate.</t>
        </r>
      </text>
    </comment>
    <comment ref="B34" authorId="1" shapeId="0" xr:uid="{F5B48678-A95F-471B-8AC9-4DB0537DF271}">
      <text>
        <r>
          <rPr>
            <sz val="10"/>
            <color rgb="FF000000"/>
            <rFont val="Tahoma"/>
            <family val="2"/>
          </rPr>
          <t>Enter personnel type not listed above.
Enter both an average hourly salary rate, and a daily travel perdiem rate.</t>
        </r>
      </text>
    </comment>
    <comment ref="B35" authorId="1" shapeId="0" xr:uid="{A0B0BCD6-4256-455B-96EE-7571CEE2F4C8}">
      <text>
        <r>
          <rPr>
            <sz val="10"/>
            <color rgb="FF000000"/>
            <rFont val="Tahoma"/>
            <family val="2"/>
          </rPr>
          <t>Enter personnel type not listed above.
Enter both an average hourly salary rate, and a daily travel perdiem rate.</t>
        </r>
      </text>
    </comment>
    <comment ref="B36" authorId="1" shapeId="0" xr:uid="{393E5D09-09F3-4271-864D-7D0A86042BEC}">
      <text>
        <r>
          <rPr>
            <sz val="10"/>
            <color rgb="FF000000"/>
            <rFont val="Tahoma"/>
            <family val="2"/>
          </rPr>
          <t>Enter personnel type not listed above.
Enter both an average hourly salary rate, and a daily travel perdiem rate.</t>
        </r>
      </text>
    </comment>
    <comment ref="B37" authorId="1" shapeId="0" xr:uid="{BD41829E-F363-4B6B-906C-E4D55938E5F8}">
      <text>
        <r>
          <rPr>
            <sz val="10"/>
            <color rgb="FF000000"/>
            <rFont val="Tahoma"/>
            <family val="2"/>
          </rPr>
          <t>Enter personnel type not listed above.
Enter both an average hourly salary rate, and a daily travel perdiem rate.</t>
        </r>
      </text>
    </comment>
    <comment ref="B38" authorId="1" shapeId="0" xr:uid="{14F7BF84-223A-4C2E-82B5-326AF0CB9B4E}">
      <text>
        <r>
          <rPr>
            <sz val="10"/>
            <color rgb="FF000000"/>
            <rFont val="Tahoma"/>
            <family val="2"/>
          </rPr>
          <t>Enter personnel type not listed above.
Enter both an average hourly salary rate, and a daily travel perdiem rate.</t>
        </r>
      </text>
    </comment>
    <comment ref="D42" authorId="1" shapeId="0" xr:uid="{10681235-87D5-43B4-B42A-EFCEEEB343EE}">
      <text>
        <r>
          <rPr>
            <sz val="10"/>
            <color indexed="81"/>
            <rFont val="Tahoma"/>
            <family val="2"/>
          </rPr>
          <t>Only fill the types of vehicles that are actually used in the analysis; leave others blank. 
Use the Notes section to document assumptions and interpretations.</t>
        </r>
      </text>
    </comment>
    <comment ref="D43" authorId="1" shapeId="0" xr:uid="{D7679443-DB6F-472A-A709-CCAE6F935C01}">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4" authorId="1" shapeId="0" xr:uid="{0652C077-5D67-4A70-BA23-AB58FEF93618}">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5" authorId="1" shapeId="0" xr:uid="{5494DC22-6BCF-4370-8D43-4BA9A5308962}">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a vaccine carrier or cold box is most commoly used.</t>
        </r>
      </text>
    </comment>
    <comment ref="D46" authorId="1" shapeId="0" xr:uid="{F59F5538-66D6-4EC7-A365-83CD46A309C9}">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7" authorId="1" shapeId="0" xr:uid="{374EC06F-C1F7-48FE-8E0B-F1EBF298F7A5}">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8" authorId="1" shapeId="0" xr:uid="{F149B334-4AEC-4182-B6FD-74D55F406E77}">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mostly a vaccine carrier or cold box is used.</t>
        </r>
      </text>
    </comment>
    <comment ref="D49" authorId="1" shapeId="0" xr:uid="{902E5994-E8CE-472A-B130-137AB3792538}">
      <text>
        <r>
          <rPr>
            <sz val="10"/>
            <color indexed="81"/>
            <rFont val="Tahoma"/>
            <family val="2"/>
          </rPr>
          <t>Enter typical local purchase price of one motorcycle in USD that is used for transporating SC commodities</t>
        </r>
      </text>
    </comment>
    <comment ref="D50" authorId="1" shapeId="0" xr:uid="{390272AD-B0B3-4731-8A55-7043F6D53182}">
      <text>
        <r>
          <rPr>
            <sz val="10"/>
            <color indexed="81"/>
            <rFont val="Tahoma"/>
            <family val="2"/>
          </rPr>
          <t>Input is optional; will be automatically calculated based on vehicle useful life and the purchase price for this vehicle type.</t>
        </r>
      </text>
    </comment>
    <comment ref="D51" authorId="1" shapeId="0" xr:uid="{5031FED7-0D8C-43C6-99F4-C9E00DE11737}">
      <text>
        <r>
          <rPr>
            <sz val="10"/>
            <color indexed="81"/>
            <rFont val="Tahoma"/>
            <family val="2"/>
          </rPr>
          <t>Enter typical annual cost to insure one motorcycle for use in supply chain-related activities</t>
        </r>
      </text>
    </comment>
    <comment ref="D52" authorId="1" shapeId="0" xr:uid="{B73AEC5A-9323-4094-B3DB-4F3F903055F2}">
      <text>
        <r>
          <rPr>
            <sz val="10"/>
            <color indexed="81"/>
            <rFont val="Tahoma"/>
            <family val="2"/>
          </rPr>
          <t>Enter expected maintenance cost per kilometer for one motorcycle. 
This can be calculated by taking the total maintenance costs for a motorcycle (or fleet of motorcycles) over a period of time, and dividing by the overall number of kilometers traveled in that period of time.</t>
        </r>
      </text>
    </comment>
    <comment ref="D53" authorId="1" shapeId="0" xr:uid="{2789E577-B1B3-4A69-8709-65B44417FBC1}">
      <text>
        <r>
          <rPr>
            <sz val="10"/>
            <color indexed="81"/>
            <rFont val="Tahoma"/>
            <family val="2"/>
          </rPr>
          <t>Enter liters of fuel required to travel 1 km by motorcycle.  
This can be calculated by taking the total number of liters of fuel purchased for a motorcycle (or fleet of motorcycles) over a period of time, and dividing by the overall number of kilometers traveled in that period of time.</t>
        </r>
      </text>
    </comment>
    <comment ref="D54" authorId="1" shapeId="0" xr:uid="{C209F215-8EDF-42CC-813E-CF50C092D2CB}">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55" authorId="1" shapeId="0" xr:uid="{7105B1D7-1DE5-4C6A-B8E0-D06F55110C18}">
      <text>
        <r>
          <rPr>
            <sz val="10"/>
            <color indexed="81"/>
            <rFont val="Tahoma"/>
            <family val="2"/>
          </rPr>
          <t>Enter typical local purchase price (in $ USD) of a car, truck, or off-road 4x4 vehicle that is used for transporating SC commodities</t>
        </r>
      </text>
    </comment>
    <comment ref="D56" authorId="1" shapeId="0" xr:uid="{A044A3A2-34CD-4FCA-8348-0A89E44CAC96}">
      <text>
        <r>
          <rPr>
            <sz val="10"/>
            <color indexed="81"/>
            <rFont val="Tahoma"/>
            <family val="2"/>
          </rPr>
          <t>Input is optional; will be automatically calculated based on vehicle useful life and the purchase price for this vehicle type.</t>
        </r>
      </text>
    </comment>
    <comment ref="D57" authorId="1" shapeId="0" xr:uid="{2B4410FB-0B4D-4BB2-8856-596A82625AFD}">
      <text>
        <r>
          <rPr>
            <sz val="10"/>
            <color indexed="81"/>
            <rFont val="Tahoma"/>
            <family val="2"/>
          </rPr>
          <t>Enter typical annual cost to insure one car, Land Cruiser or other vehicle for use in supply chain-related activities</t>
        </r>
      </text>
    </comment>
    <comment ref="D58" authorId="1" shapeId="0" xr:uid="{6FC1FC84-9E2A-46A2-9A4E-B1DB31B70908}">
      <text>
        <r>
          <rPr>
            <sz val="10"/>
            <color indexed="81"/>
            <rFont val="Tahoma"/>
            <family val="2"/>
          </rPr>
          <t>Enter expected maintenance cost per kilometer for one car or off-road 4x4 vehicle e.g. Land Cruiser. 
This can be calculated by taking the total maintenance costs for a vehicle (or fleet of vehicle) over a period of time, and dividing by the overall number of kilometers traveled in that period of time.</t>
        </r>
      </text>
    </comment>
    <comment ref="D59" authorId="1" shapeId="0" xr:uid="{DE47282B-D972-4A8E-A9CD-AA3A6D40CE1D}">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0" authorId="1" shapeId="0" xr:uid="{4A64C355-C8A9-4B0A-AA3E-206EB273D49B}">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1" authorId="1" shapeId="0" xr:uid="{E3A0C571-8FC2-4691-A452-3B4AF3ADE4C3}">
      <text>
        <r>
          <rPr>
            <sz val="10"/>
            <color indexed="81"/>
            <rFont val="Tahoma"/>
            <family val="2"/>
          </rPr>
          <t>Enter typical local purchase price in USD of one commercial box or flatbed truck (e.g. Mitsubishi Canter, Fuso Fighter, Toyota Hiace) that is used for transporating SC commodities</t>
        </r>
      </text>
    </comment>
    <comment ref="D62" authorId="1" shapeId="0" xr:uid="{D638A57F-8EC3-427C-A868-C9807A152B8B}">
      <text>
        <r>
          <rPr>
            <sz val="10"/>
            <color indexed="81"/>
            <rFont val="Tahoma"/>
            <family val="2"/>
          </rPr>
          <t>Input is optional; will be automatically calculated based on vehicle useful life and the purchase price for this vehicle type.</t>
        </r>
      </text>
    </comment>
    <comment ref="D63" authorId="1" shapeId="0" xr:uid="{384A42D7-0612-45C5-8B94-BE004B41058C}">
      <text>
        <r>
          <rPr>
            <sz val="10"/>
            <color indexed="81"/>
            <rFont val="Tahoma"/>
            <family val="2"/>
          </rPr>
          <t>Enter typical annual cost to insure one commercial flatbed or box truck (e.g. Mitsubishi Fuso Fighter or Canter, Nissan UD-60/70/80) for use in supply chain-related activities</t>
        </r>
      </text>
    </comment>
    <comment ref="D64" authorId="1" shapeId="0" xr:uid="{0D392846-C713-4E6D-A52E-4EFD2BCBEE6B}">
      <text>
        <r>
          <rPr>
            <sz val="10"/>
            <color rgb="FF000000"/>
            <rFont val="Tahoma"/>
            <family val="2"/>
          </rPr>
          <t>Enter expected maintenance cost per kilometer for one commercial flatbed or box truck. 
This can be calculated by taking the total maintenance costs for a vehicle (or fleet of vehicles) over a period of time, and dividing by the overall number of kilometers traveled in that period of time.</t>
        </r>
      </text>
    </comment>
    <comment ref="D65" authorId="1" shapeId="0" xr:uid="{8CAFA27E-5410-4F2F-AF6F-D5AD78A5F407}">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6" authorId="1" shapeId="0" xr:uid="{A1E1ED43-E733-46D4-9E8E-B8AB787DAD4B}">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7" authorId="1" shapeId="0" xr:uid="{A93174E6-68EB-4C36-B434-063B01832D8B}">
      <text>
        <r>
          <rPr>
            <sz val="10"/>
            <color indexed="81"/>
            <rFont val="Tahoma"/>
            <family val="2"/>
          </rPr>
          <t>Enter typical local purchase price of one refrigerated truck in USD that is used for transporating cold chain commodities</t>
        </r>
      </text>
    </comment>
    <comment ref="D68" authorId="1" shapeId="0" xr:uid="{549C1383-83A2-45E1-8980-C48BC0673883}">
      <text>
        <r>
          <rPr>
            <sz val="10"/>
            <color indexed="81"/>
            <rFont val="Tahoma"/>
            <family val="2"/>
          </rPr>
          <t>Input is optional; will be automatically calculated based on vehicle useful life and the purchase price for this vehicle type.</t>
        </r>
      </text>
    </comment>
    <comment ref="D69" authorId="1" shapeId="0" xr:uid="{1F8A2DB0-24FD-4E7F-87D5-F85E89CDF501}">
      <text>
        <r>
          <rPr>
            <sz val="10"/>
            <color indexed="81"/>
            <rFont val="Tahoma"/>
            <family val="2"/>
          </rPr>
          <t>Enter typical annual cost to insureone refrigerated truck for use in supply chain-related activities</t>
        </r>
      </text>
    </comment>
    <comment ref="D70" authorId="1" shapeId="0" xr:uid="{72F01CEE-7C27-46FC-AF8D-50F02D41B458}">
      <text>
        <r>
          <rPr>
            <sz val="10"/>
            <color rgb="FF000000"/>
            <rFont val="Tahoma"/>
            <family val="2"/>
          </rPr>
          <t>Enter expected maintenance cost per kilometer for one refrigerated truck. 
This can be calculated by taking the total maintenance costs for a vehicle (or fleet of vehicles) over a period of time, and dividing by the overall number of kilometers traveled in that period of time.</t>
        </r>
      </text>
    </comment>
    <comment ref="D71" authorId="1" shapeId="0" xr:uid="{51D61A97-3C99-4845-8D0B-83D7B752F54D}">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2" authorId="1" shapeId="0" xr:uid="{B7E03E41-6E23-486B-A308-A5BC7BEEE544}">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73" authorId="1" shapeId="0" xr:uid="{5180EBC4-E9B9-47B5-B011-7BDC9A9C9140}">
      <text>
        <r>
          <rPr>
            <sz val="10"/>
            <color indexed="81"/>
            <rFont val="Tahoma"/>
            <family val="2"/>
          </rPr>
          <t>Enter typical local purchase price in USD of one additional vehicle that is used for transporating SC commodities and not covered by any of the above categories</t>
        </r>
      </text>
    </comment>
    <comment ref="D74" authorId="1" shapeId="0" xr:uid="{716F7BCF-1FB0-4239-8F4E-0B71031AFD01}">
      <text>
        <r>
          <rPr>
            <sz val="10"/>
            <color indexed="81"/>
            <rFont val="Tahoma"/>
            <family val="2"/>
          </rPr>
          <t>Input is optional; will be automatically calculated based on vehicle useful life and the purchase price for this vehicle type.</t>
        </r>
      </text>
    </comment>
    <comment ref="D75" authorId="1" shapeId="0" xr:uid="{6100AE08-303B-45A6-B923-03D096C4DA2E}">
      <text>
        <r>
          <rPr>
            <sz val="10"/>
            <color rgb="FF000000"/>
            <rFont val="Tahoma"/>
            <family val="2"/>
          </rPr>
          <t>Enter typical annual cost to insure one vehicle of this type for use in supply chain-related activities</t>
        </r>
      </text>
    </comment>
    <comment ref="D76" authorId="1" shapeId="0" xr:uid="{D30A010F-981B-4CF3-A1D4-8E09AB8C6AAE}">
      <text>
        <r>
          <rPr>
            <sz val="10"/>
            <color rgb="FF000000"/>
            <rFont val="Tahoma"/>
            <family val="2"/>
          </rPr>
          <t>Enter expected maintenance cost per kilometer for one vehicle. 
This can be calculated by taking the total maintenance costs for a vehicle (or fleet of vehicles) over a period of time, and dividing by the overall number of kilometers traveled in that period of time.</t>
        </r>
      </text>
    </comment>
    <comment ref="D77" authorId="1" shapeId="0" xr:uid="{D7D23D06-66FE-41A3-A317-8BFBF7E76B2C}">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8" authorId="1" shapeId="0" xr:uid="{3F503A12-F843-49D2-9C76-CD21708B391B}">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B86" authorId="1" shapeId="0" xr:uid="{1378F8D5-BFF5-45D6-AD36-F3AEC99F2DDC}">
      <text>
        <r>
          <rPr>
            <sz val="10"/>
            <color rgb="FF000000"/>
            <rFont val="Tahoma"/>
            <family val="2"/>
          </rPr>
          <t>Select a data template to use for Sections 5 and 6. 
This will load data into the "Value used in Model" column, which you can use as-is or override with your own data by entering it into the green cells.</t>
        </r>
      </text>
    </comment>
    <comment ref="B87" authorId="1" shapeId="0" xr:uid="{E3191021-5683-4066-80A2-FEA44773B7FD}">
      <text>
        <r>
          <rPr>
            <sz val="10"/>
            <color indexed="81"/>
            <rFont val="Tahoma"/>
            <family val="2"/>
          </rPr>
          <t>Select which tier from the data template to use. 
For example, if a data template contains three tiers (Central=Tier 1, Regional=Tier 2, and Facility=Tier 3) and you want to pull data from the Regional tier, then select "Tier 2".   
This is important as tier numbers on the data templates may not necessarily align with the tier numbers in the model being analyzed.</t>
        </r>
      </text>
    </comment>
    <comment ref="B88" authorId="1" shapeId="0" xr:uid="{948D2C09-DB56-4FB4-B0DA-E2E7F60D9698}">
      <text>
        <r>
          <rPr>
            <sz val="10"/>
            <color indexed="81"/>
            <rFont val="Tahoma"/>
            <family val="2"/>
          </rPr>
          <t xml:space="preserve">Name each tier for the type of facility, e.g. central medical stores, regional or district warehouse, health facility.  
Tier 1 should represent the most upstream tier being modeled, e.g. national store if modeling an entire country, or a regional medical store if modeling a specific province or region.
</t>
        </r>
      </text>
    </comment>
    <comment ref="B92" authorId="1" shapeId="0" xr:uid="{4578718D-2EC6-4ABC-A01B-1D97099BFE4D}">
      <text>
        <r>
          <rPr>
            <sz val="10"/>
            <color rgb="FF000000"/>
            <rFont val="Tahoma"/>
            <family val="2"/>
          </rPr>
          <t>For each tier, enter the total geographic area (in km^2) over which facilities in that tier are distributed. 
-- This may be the same value for each tier in the model
-- For different value for each tier: for example, if considering a supply chain program only within a single region of a country, but want to include transportation from the national Central Medical Stores, enter the National land area for Tier 1 , and the Regional land area for both Tier 2  (e.g. Regional Warehouse) and Tier 3 (Health Clinic)</t>
        </r>
      </text>
    </comment>
    <comment ref="B93" authorId="1" shapeId="0" xr:uid="{827FBC6C-23E6-4F9B-9526-73E33CB89042}">
      <text>
        <r>
          <rPr>
            <sz val="10"/>
            <color indexed="81"/>
            <rFont val="Tahoma"/>
            <family val="2"/>
          </rPr>
          <t>Enter between 0% to 100%
Specify what percentage of the Total System Demand Volume (listed above) will be included in storage and distribution modeling at each tier.  
Most users will enter100% for every tier, unless there is a specific reason, e.g. if storage/distribution for a certain subset of commodities is handled by an outside partner, and the user specifically wants to exclude those costs from consideration in the analysis</t>
        </r>
      </text>
    </comment>
    <comment ref="B94" authorId="1" shapeId="0" xr:uid="{69C7A6C5-1CD7-4E9C-88EF-1468A19DCFB9}">
      <text>
        <r>
          <rPr>
            <sz val="10"/>
            <color indexed="81"/>
            <rFont val="Tahoma"/>
            <family val="2"/>
          </rPr>
          <t>Enter expected % of commodity volume that is lost to expiry or wastage during storage/delivery from the upstream facilities.  
The value for Tier 1 can be left blank.
If wastage rate by tier is not known, assume equal wastage across all tiers. To calculate, take total wastage rate and divide across the number of tiers to get waste rate at each tier</t>
        </r>
      </text>
    </comment>
    <comment ref="B95" authorId="1" shapeId="0" xr:uid="{AC12624D-916B-43E5-94F7-4FCCFBA837BA}">
      <text>
        <r>
          <rPr>
            <sz val="10"/>
            <color indexed="81"/>
            <rFont val="Tahoma"/>
            <family val="2"/>
          </rPr>
          <t>Enter the number of facilities that receive and store product at that tier. 
For example, for a three-tier supply chain with 1 Central Medical Store, 20 Regional Warehouses, and 2000 Health Clinics, the user would enter "1" under Tier 1 , "20" under the Tier 2 , and "2000" under the Tier 3</t>
        </r>
      </text>
    </comment>
    <comment ref="B96" authorId="1" shapeId="0" xr:uid="{65C9737E-D0E5-4D5E-9F28-0D97BCCBFBE5}">
      <text>
        <r>
          <rPr>
            <sz val="10"/>
            <color rgb="FF000000"/>
            <rFont val="Tahoma"/>
            <family val="2"/>
          </rPr>
          <t>Enter how frequently products are generally ordered and replenished in a year. 
This is does not refer to resupply per facility. E.g. a large regional facility may receive a resupply shipment weekly, but only receive a particular product on a monthly basis. In this case the user would enter "12" corresponding with monthly product orders.</t>
        </r>
      </text>
    </comment>
    <comment ref="B97" authorId="1" shapeId="0" xr:uid="{FB971B50-FDA1-47F9-B86A-4FC0D78B60BA}">
      <text>
        <r>
          <rPr>
            <sz val="10"/>
            <color rgb="FF000000"/>
            <rFont val="Tahoma"/>
            <family val="2"/>
          </rPr>
          <t>Circuity factor is a value by which straight-line distances are multipled to calculate a more realistic road distance.  
In HICs urban environments, this value has been estimated at 1.2 - 1.3 (meaning road distance is 1.2-1.3x greater than straightline distances).  Rural settings in LMICs are estimated to be 1.4 - 2.0. 
See the worksheet "Circuity Factor Benchmarks" for more details.</t>
        </r>
      </text>
    </comment>
    <comment ref="B98" authorId="1" shapeId="0" xr:uid="{C770AB98-91EA-4B6B-A5EC-9731D435C6E0}">
      <text>
        <r>
          <rPr>
            <sz val="10"/>
            <color indexed="81"/>
            <rFont val="Tahoma"/>
            <family val="2"/>
          </rPr>
          <t xml:space="preserve">This is calculated. However, user can enter their own value if they have a better estimate. 
NOTE: Road distance scales based on three factors: 1) the land area covered by the source/upstream tier, 2) the number of facilities in the source/upstream tier, and 3) the circuity factor relating road distance to straightline distance. </t>
        </r>
      </text>
    </comment>
    <comment ref="B99" authorId="1" shapeId="0" xr:uid="{68048365-941F-4075-AD1E-0C46D4284EEA}">
      <text>
        <r>
          <rPr>
            <sz val="10"/>
            <color indexed="81"/>
            <rFont val="Tahoma"/>
            <family val="2"/>
          </rPr>
          <t>This is calculated for each tier. However, user can enter their own value if they have a better estimate for the average road distance between facilities in the same tier. 
NOTE: Road distance scales based on three factors: 1) the land area covered by this tier, 2) the number of facilities in this tier, and 3) the circuity factor relating road distance to straightline distance.</t>
        </r>
      </text>
    </comment>
    <comment ref="C104" authorId="1" shapeId="0" xr:uid="{918E36AF-DD81-4D66-8061-462C28D55F81}">
      <text>
        <r>
          <rPr>
            <sz val="10"/>
            <color indexed="81"/>
            <rFont val="Tahoma"/>
            <family val="2"/>
          </rPr>
          <t xml:space="preserve">Enter the safety or buffer stock for each tier in number of months. This is also the lowest allowable stock level. </t>
        </r>
      </text>
    </comment>
    <comment ref="C105" authorId="1" shapeId="0" xr:uid="{EC8BDC8B-6758-4E35-A753-8084CE1D83FE}">
      <text>
        <r>
          <rPr>
            <sz val="10"/>
            <color rgb="FF000000"/>
            <rFont val="Tahoma"/>
            <family val="2"/>
          </rPr>
          <t>Select Supply Chain Personnel from section 3 for the person who typically packs orders and processes inventory at this tier. 
At a National- or Regional-level warehouse, this could likely be a dedicated warehouse staff, but at a smaller warehouse or health facility, this role could be filled by a logistician or a facility nurse in-charge.</t>
        </r>
      </text>
    </comment>
    <comment ref="C106" authorId="1" shapeId="0" xr:uid="{B2FCA903-E1B6-4574-BA06-4CFAEC448C84}">
      <text>
        <r>
          <rPr>
            <sz val="10"/>
            <color indexed="81"/>
            <rFont val="Tahoma"/>
            <family val="2"/>
          </rPr>
          <t>Enter number of full-time equivalents at an average facility, NOT the actual number of people. Number can be less than 1 (see examples)
Example, if 20 people each spend an average of 4 hours per day (i.e. 50% of a full work day) on storage and warehousing activities, then the user should put 20 x 50% = 10
Example 2: if the average health clinic is staffed by two nurses, each of whom spends 5% of their time on supply chain storage and warehousing activities, then the user should enter 2 x 5% = 0.1</t>
        </r>
      </text>
    </comment>
    <comment ref="C107" authorId="1" shapeId="0" xr:uid="{21ADA46E-6EB9-4A33-A647-C1EF43ADD25C}">
      <text>
        <r>
          <rPr>
            <sz val="10"/>
            <color indexed="81"/>
            <rFont val="Tahoma"/>
            <family val="2"/>
          </rPr>
          <t>Enter maximum volume of inventory (in m^3) that a typical person can process in a day 
This number is often measured by a) extrapolating from a busy period when the warehouse was operating at "maximum speed", or b) by measuring the volume of product that the warehouse staff actually processed, and adjusting based on how busy the staff were that period (i.e. divide total processed volume by an estimated "percent of capacity utilized")</t>
        </r>
      </text>
    </comment>
    <comment ref="C108" authorId="1" shapeId="0" xr:uid="{E5A84B5D-44FC-448F-9783-E566DC50FB3A}">
      <text>
        <r>
          <rPr>
            <sz val="10"/>
            <color indexed="81"/>
            <rFont val="Tahoma"/>
            <family val="2"/>
          </rPr>
          <t xml:space="preserve">Enter dry or ambient storage capacity (m^3) that can be stored within a typical facility. 
ONLY include regularly used spaces such as storeroom shelves or designated storage areas, and should </t>
        </r>
        <r>
          <rPr>
            <b/>
            <sz val="10"/>
            <color indexed="81"/>
            <rFont val="Tahoma"/>
            <family val="2"/>
          </rPr>
          <t>NOT</t>
        </r>
        <r>
          <rPr>
            <sz val="10"/>
            <color indexed="81"/>
            <rFont val="Tahoma"/>
            <family val="2"/>
          </rPr>
          <t xml:space="preserve"> include emergency overflow methods (like storing product in hallways or in the aisles of warehouse shelves)</t>
        </r>
      </text>
    </comment>
    <comment ref="C109" authorId="1" shapeId="0" xr:uid="{EA9EC20C-807E-44E3-8F3D-E33EC128E904}">
      <text>
        <r>
          <rPr>
            <sz val="10"/>
            <color indexed="81"/>
            <rFont val="Tahoma"/>
            <family val="2"/>
          </rPr>
          <t>Enter maximum cold chain capacity (m^3).
ONLY include regularly used spaces such as refrigerators and freezers, and should NOT include emergency overflow methods (like storing product in temporary or makeshift cold boxes)</t>
        </r>
      </text>
    </comment>
    <comment ref="C110" authorId="1" shapeId="0" xr:uid="{E9F55710-B71B-42CE-BB47-E0F3FF326E6A}">
      <text>
        <r>
          <rPr>
            <sz val="10"/>
            <color rgb="FF000000"/>
            <rFont val="Tahoma"/>
            <family val="2"/>
          </rPr>
          <t xml:space="preserve">Enter typical operating costs, such as electricity, water, internet, building and equipment maintenance. 
This should be in cost per m^3 capacity, and calculated by taking a warehouse's total variable operating costs divided by its total storage capacity </t>
        </r>
      </text>
    </comment>
    <comment ref="C111" authorId="1" shapeId="0" xr:uid="{77276E5F-504E-4692-A3EC-045F6737A5A1}">
      <text>
        <r>
          <rPr>
            <sz val="10"/>
            <color indexed="81"/>
            <rFont val="Tahoma"/>
            <family val="2"/>
          </rPr>
          <t xml:space="preserve">Enter fixed/capital costs, such as building and equipment depreciation for a warehouse at each tier.  
This should be in cost per m^3 capacity, and can be calculated by taking a warehouse's total fixed/capital costs divided by its total storage capacity </t>
        </r>
      </text>
    </comment>
    <comment ref="C112" authorId="1" shapeId="0" xr:uid="{EE179313-43A5-425D-A8B3-9FC84E93CDA6}">
      <text>
        <r>
          <rPr>
            <sz val="10"/>
            <color indexed="81"/>
            <rFont val="Tahoma"/>
            <family val="2"/>
          </rPr>
          <t xml:space="preserve">Enter annual depreciation for cold storage equipment like refrigerators, freezers, and insulation/temperature monitoring equipment.  
This should be expressed as a cost per m^3 capacity, and can be calculated by taking a warehouse's total cold chain equipment depreciation costs divided by its total storage capacity </t>
        </r>
      </text>
    </comment>
    <comment ref="C113" authorId="1" shapeId="0" xr:uid="{9D5FAEFE-6637-45AA-8CC5-8DD912439A05}">
      <text>
        <r>
          <rPr>
            <sz val="10"/>
            <color indexed="81"/>
            <rFont val="Tahoma"/>
            <family val="2"/>
          </rPr>
          <t xml:space="preserve">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C114" authorId="1" shapeId="0" xr:uid="{B2320C29-33B1-4D2E-A343-0FBCC4732B16}">
      <text>
        <r>
          <rPr>
            <sz val="10"/>
            <color indexed="81"/>
            <rFont val="Tahoma"/>
            <family val="2"/>
          </rPr>
          <t>Enter typical passive cold storage container (m^3) used at each tier of the supply chain.
NOTE: often these devices are measured in liters.  Note that 1000 Liters = 1 m^3</t>
        </r>
      </text>
    </comment>
    <comment ref="C115" authorId="1" shapeId="0" xr:uid="{0EC83261-3CD3-479F-B7D3-E3AE6D160D07}">
      <text>
        <r>
          <rPr>
            <sz val="10"/>
            <color indexed="81"/>
            <rFont val="Tahoma"/>
            <family val="2"/>
          </rPr>
          <t>The typical price paid for one passive cold storage container described above</t>
        </r>
      </text>
    </comment>
    <comment ref="C116" authorId="1" shapeId="0" xr:uid="{6A07A2BD-28F4-4120-A568-1F0FDB2A31EC}">
      <text>
        <r>
          <rPr>
            <sz val="10"/>
            <color indexed="81"/>
            <rFont val="Tahoma"/>
            <family val="2"/>
          </rPr>
          <t xml:space="preserve">If the device is electrically powered, requires other external inputs, or incurs maintenance costs, enter the average annual amount spent per device to ensure that they remain operational. </t>
        </r>
      </text>
    </comment>
    <comment ref="C117" authorId="1" shapeId="0" xr:uid="{EC6FFF48-78B9-4CFF-889F-56F9789B1A2B}">
      <text>
        <r>
          <rPr>
            <sz val="10"/>
            <color rgb="FF000000"/>
            <rFont val="Tahoma"/>
            <family val="2"/>
          </rPr>
          <t xml:space="preserve">Select on option from drop-down. 
This estimates use of passive cold storage containers for transporation between each tier. </t>
        </r>
      </text>
    </comment>
    <comment ref="B121" authorId="1" shapeId="0" xr:uid="{EE7D0CEB-5FEF-4CEF-A03A-EB6898EC3AE7}">
      <text>
        <r>
          <rPr>
            <sz val="10"/>
            <color indexed="81"/>
            <rFont val="Tahoma"/>
            <family val="2"/>
          </rPr>
          <t xml:space="preserve">--This section asks the user to estimate the overall costs of supply chain supervision and management activities. In this question we ask the user to specify whether these costs will be measured as a function of the number of facilities or based on overall commodity value. 
--Management &amp; supervision activities include conducting supervisory visits to health and logistics facilities; on-the-job or routine supply chain trainings; and operating a central logistics management unit or data quality and analysis hub. These costs often vary widely depending on how intensively a supply chain is managed, and this management intenstity is often independent of other storage and distribution design choices.  For any of the major supply chain archetypes in global health - mobile warehouse models or collection systems - it is possible to run both an intensively managaged system and a lightly-managed system.
--Thus we structure these costs to scale with the overall scope of the supply chain (e.g. cost per facility or dollar delivered), but we must require the user to provide a </t>
        </r>
        <r>
          <rPr>
            <i/>
            <sz val="10"/>
            <color indexed="81"/>
            <rFont val="Tahoma"/>
            <family val="2"/>
          </rPr>
          <t>cost-per-facility</t>
        </r>
        <r>
          <rPr>
            <sz val="10"/>
            <color indexed="81"/>
            <rFont val="Tahoma"/>
            <family val="2"/>
          </rPr>
          <t xml:space="preserve"> or </t>
        </r>
        <r>
          <rPr>
            <i/>
            <sz val="10"/>
            <color indexed="81"/>
            <rFont val="Tahoma"/>
            <family val="2"/>
          </rPr>
          <t>percentage-of-commodity-value</t>
        </r>
        <r>
          <rPr>
            <sz val="10"/>
            <color indexed="81"/>
            <rFont val="Tahoma"/>
            <family val="2"/>
          </rPr>
          <t xml:space="preserve"> parameter that is aligned with the intensity of their own supply chain management activities.  To help the user determine this value, each of our proxy data templates contains a detailed breakdown of the types of management and supervision activities that make up the listed cost value.  Thus the user can select a value that most closely resembles their own supply chain, and further adapt it up or down to match their individual circumstances</t>
        </r>
      </text>
    </comment>
    <comment ref="B122" authorId="1" shapeId="0" xr:uid="{B9232E65-8EA3-444C-8835-2A704A0BCE23}">
      <text>
        <r>
          <rPr>
            <sz val="9"/>
            <color indexed="81"/>
            <rFont val="Tahoma"/>
            <family val="2"/>
          </rPr>
          <t>As detailed above, if the user elects for system management and support costs to be measured as a function of the number of facilities at each tier, then this question asks the user to estimate the per-facility annual cost of those management and supervision activities. 
If a recent costing study has been conducted, this parameter could be estimated by dividing total management and supervision costs by the total number of facilities.  If no study has been conducted, then each of the proxy data templates listed in this tool contains a breakdown of the types of management &amp; supervision activities conducted.  That breakdown can be used to identify and further tailor an appropriate proxy data point.</t>
        </r>
      </text>
    </comment>
    <comment ref="B123" authorId="1" shapeId="0" xr:uid="{390C5165-AB8A-41B9-9A20-77404BFEC456}">
      <text>
        <r>
          <rPr>
            <sz val="9"/>
            <color indexed="81"/>
            <rFont val="Tahoma"/>
            <family val="2"/>
          </rPr>
          <t>As detailed above, if the user elects for management and supervision costs to be measured as a function of commodity value ($) delivered, then this question asks the user to estimate the percentage of commodity value dedicated to management and supervision activities. 
If a recent costing study has been conducted, this parameter could be estimated by dividing total management and supervision costs by the total value of product delivered.  If no study has been conducted, then each of the proxy data templates listed in this tool contains a breakdown of the types of management &amp; supervision activities included.  That breakdown can be used to identify and further tailor an appropriate proxy data point.</t>
        </r>
      </text>
    </comment>
    <comment ref="B133" authorId="1" shapeId="0" xr:uid="{3C69CFDB-CCFB-42A8-9491-C3C85EEE9327}">
      <text>
        <r>
          <rPr>
            <sz val="10"/>
            <color indexed="81"/>
            <rFont val="Tahoma"/>
            <family val="2"/>
          </rPr>
          <t>For each tier, specify how many different methods for transporting commodities are used. Answers can range from 1 to 3.
For example, say a Ministry of Health manages 2000 health facilities (Tier 3) of its supply chain. For 1500 (75%) of those facilities, deliveries are made using a Land Cruiser dispatched from Tier 2, while the remaining 500 facilities (25%) use public transport to travel to Tier 2 and collect. 
For this example, the user would answer "2" under the Tier 3 column, as they use two distinct methods for delivery at Tier 3.  The user would then proceed to answer the following set of questions for both "Delivery Mode 1" and "Delivery Mode 2" sections below for Landcruiser and Public Transport respectively.</t>
        </r>
      </text>
    </comment>
    <comment ref="C135" authorId="0" shapeId="0" xr:uid="{7ED0C770-C96B-4E66-9D25-E6F00D3B9DA2}">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36" authorId="0" shapeId="0" xr:uid="{C1BCB615-3AD2-4FB7-81ED-6A59E4EB16DE}">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37" authorId="1" shapeId="0" xr:uid="{ABCA4472-FA91-4967-95FA-BA0E06CE7B52}">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38" authorId="1" shapeId="0" xr:uid="{4AEE146F-970D-4763-84C9-43CC2C954C09}">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39" authorId="1" shapeId="0" xr:uid="{56E3554F-3451-4CFF-8D19-12A1F9A0F256}">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40" authorId="1" shapeId="0" xr:uid="{C8CC0846-F754-4675-B375-5E27EB062835}">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41" authorId="1" shapeId="0" xr:uid="{F1F6A9C7-61A6-4DCC-908E-584A26B35213}">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42" authorId="1" shapeId="0" xr:uid="{591D8EC1-B947-41AD-8B93-0747ECB8867B}">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43" authorId="1" shapeId="0" xr:uid="{9300F35F-681C-470D-9986-B8267D10E695}">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44" authorId="0" shapeId="0" xr:uid="{3D1A3BA6-F19E-40C2-9585-14F53AD7E4EC}">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45" authorId="0" shapeId="0" xr:uid="{2417B151-6F63-421E-8827-E7F963005053}">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46" authorId="0" shapeId="0" xr:uid="{4C421E87-6F36-4A74-9AAB-7551F61BD045}">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47" authorId="0" shapeId="0" xr:uid="{150F1BC4-4D6E-43EF-8548-36C54FD77639}">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48" authorId="0" shapeId="0" xr:uid="{9E7663A1-6F3C-4AA0-A623-8A14A221E779}">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49" authorId="0" shapeId="0" xr:uid="{E51CFE13-375D-44CD-B663-B1867C12623D}">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50" authorId="0" shapeId="0" xr:uid="{ADCD0219-D19B-4C6E-8B93-8834071E4872}">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51" authorId="0" shapeId="0" xr:uid="{D17A5B83-2944-4D68-9BD3-D02E21D7D7D4}">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52" authorId="0" shapeId="0" xr:uid="{7827FBC3-9407-4716-9B7B-25803C96828E}">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53" authorId="2" shapeId="0" xr:uid="{05AF0A1E-92D2-49F8-BDBB-77D43845B6F0}">
      <text>
        <r>
          <rPr>
            <sz val="10"/>
            <color indexed="81"/>
            <rFont val="Tahoma"/>
            <family val="2"/>
          </rPr>
          <t>Choose yes or no from dropdown, to indicate whether this transport mode is used only for cold chain products</t>
        </r>
      </text>
    </comment>
    <comment ref="C155" authorId="0" shapeId="0" xr:uid="{EFB269F3-B0DF-4455-BF68-C0FA953E1E7D}">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56" authorId="0" shapeId="0" xr:uid="{F32D698E-49FB-498E-A6F7-4541DE21F47C}">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57" authorId="1" shapeId="0" xr:uid="{434B404A-3EC1-40FA-A44E-9E4192CEB745}">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58" authorId="1" shapeId="0" xr:uid="{12615F48-7FBC-4A66-AB8A-2772D176346B}">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59" authorId="1" shapeId="0" xr:uid="{B5DDA3B9-E76C-4D87-98ED-637761E3CE96}">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60" authorId="1" shapeId="0" xr:uid="{55C66421-CC2A-4BBD-B81D-8D7C51AC99E3}">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61" authorId="1" shapeId="0" xr:uid="{C4A8EBAC-2CD2-4F3A-9944-16ED328727CC}">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62" authorId="1" shapeId="0" xr:uid="{483B3C8E-7687-4E07-BD87-33336DAFE3DA}">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63" authorId="1" shapeId="0" xr:uid="{72DD7DDF-3CC4-4D20-A393-27394BFF3A1F}">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64" authorId="0" shapeId="0" xr:uid="{3CE4D128-820D-4355-993B-09197D5C5618}">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65" authorId="0" shapeId="0" xr:uid="{144B47AA-E96E-46FB-8860-00009629D2D1}">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66" authorId="0" shapeId="0" xr:uid="{13CB577D-A693-40AC-AD16-18672661A8A7}">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67" authorId="0" shapeId="0" xr:uid="{80AA3449-BB3F-43EF-BA10-DE05DBBA02FE}">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68" authorId="0" shapeId="0" xr:uid="{1F8DA5B9-F3A0-4527-A1B8-54F9635A3A7A}">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69" authorId="0" shapeId="0" xr:uid="{97A1E5B7-9732-496B-AEB9-4BBD89199868}">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70" authorId="0" shapeId="0" xr:uid="{3810CD73-CF91-49C9-AB3D-9B748217B7F9}">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71" authorId="0" shapeId="0" xr:uid="{3340A96B-A536-43C9-B4D9-84842ADA310F}">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72" authorId="0" shapeId="0" xr:uid="{939C51C1-E150-441A-8853-87A60646E7AE}">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73" authorId="2" shapeId="0" xr:uid="{482A2A1F-57CA-41CA-833D-9EA6B3781D83}">
      <text>
        <r>
          <rPr>
            <sz val="10"/>
            <color indexed="81"/>
            <rFont val="Tahoma"/>
            <family val="2"/>
          </rPr>
          <t>Choose yes or no from dropdown, to indicate whether this transport mode is used only for cold chain products</t>
        </r>
      </text>
    </comment>
    <comment ref="C175" authorId="0" shapeId="0" xr:uid="{F4EB29B3-9B35-4B17-AF71-5F256ECEFBDB}">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76" authorId="0" shapeId="0" xr:uid="{BDA6AF75-F9EB-4CC2-8A80-652826880EF4}">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77" authorId="1" shapeId="0" xr:uid="{AAFB2DCB-E70B-4961-AAA5-3DBB69F9BE6A}">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78" authorId="1" shapeId="0" xr:uid="{5ED92DAA-8479-4657-97C9-473A45C85E57}">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79" authorId="1" shapeId="0" xr:uid="{165FC544-CF55-4CEA-80E1-338F08D33E5C}">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80" authorId="1" shapeId="0" xr:uid="{4C76FB1A-FEF5-49C2-BE39-17816FC57B24}">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81" authorId="1" shapeId="0" xr:uid="{7BB3B52C-4E16-4030-83F3-E7494DCA744B}">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82" authorId="1" shapeId="0" xr:uid="{EFE84D45-D3CE-4D17-BCDD-12835B015046}">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83" authorId="1" shapeId="0" xr:uid="{8DE48655-F17E-46AD-AE8E-F750693132C9}">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84" authorId="0" shapeId="0" xr:uid="{7DFAA9A3-FB95-4C8A-A916-8DFFF96B5BB8}">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85" authorId="0" shapeId="0" xr:uid="{80C32E0C-151A-4FE3-867A-345259E43ED7}">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86" authorId="0" shapeId="0" xr:uid="{23B7A830-07C1-4F72-8451-DA169CD6D299}">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87" authorId="0" shapeId="0" xr:uid="{12B8F733-35DA-4737-8968-DFA3875318D8}">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88" authorId="0" shapeId="0" xr:uid="{FC6E3874-CF8F-4A6A-8E6E-91C2B18937E9}">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89" authorId="0" shapeId="0" xr:uid="{652CEFEB-A09D-4BAE-AE3E-CDBA7C654D1E}">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90" authorId="0" shapeId="0" xr:uid="{FFF4653E-3411-4200-974F-AE480DF1B32F}">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91" authorId="0" shapeId="0" xr:uid="{3E8622AE-2043-4D5F-9C3D-6CC648AF2E9F}">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92" authorId="0" shapeId="0" xr:uid="{51FABC0A-18FB-418A-97BD-2B089A5C64D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93" authorId="2" shapeId="0" xr:uid="{294D9269-0878-4904-96DA-2A1EE7DFFD65}">
      <text>
        <r>
          <rPr>
            <sz val="10"/>
            <color indexed="81"/>
            <rFont val="Tahoma"/>
            <family val="2"/>
          </rPr>
          <t>Choose yes or no from dropdown, to indicate whether this transport mode is used only for cold chain products</t>
        </r>
      </text>
    </comment>
    <comment ref="C199" authorId="0" shapeId="0" xr:uid="{960E845E-B0D6-49A8-8B4F-8C8EF43BF959}">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00" authorId="0" shapeId="0" xr:uid="{78402AF6-2E5A-475D-901C-2E82596069F9}">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01" authorId="1" shapeId="0" xr:uid="{FFB72EC3-45E5-473C-9CEA-BA635D1E021B}">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02" authorId="1" shapeId="0" xr:uid="{EF882002-9D8C-4A56-8C9F-07E669A8C68E}">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03" authorId="1" shapeId="0" xr:uid="{15D11A15-7196-4B47-B5A9-62AE8C0EEBE2}">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04" authorId="1" shapeId="0" xr:uid="{EEF700EC-4209-45B0-8364-3DD47B2E34AC}">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05" authorId="0" shapeId="0" xr:uid="{60B935C6-4743-4777-9D69-020CAF857EDF}">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06" authorId="1" shapeId="0" xr:uid="{2B4185BD-5210-457F-AF80-AA62F140F708}">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07" authorId="1" shapeId="0" xr:uid="{6AB79513-F9F7-4E9D-8C2E-570F5685FCDB}">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08" authorId="1" shapeId="0" xr:uid="{B82A0CAE-B3F6-4C11-BFC2-4AF9070506BB}">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09" authorId="0" shapeId="0" xr:uid="{62197D35-4678-466E-B84E-1A3614EA1517}">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10" authorId="0" shapeId="0" xr:uid="{FEC4C23A-EA09-4937-90FD-EDFA3A281ACE}">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11" authorId="0" shapeId="0" xr:uid="{8585FA71-03F4-449E-B7CC-DA69C47166FF}">
      <text>
        <r>
          <rPr>
            <sz val="10"/>
            <color indexed="81"/>
            <rFont val="Tahoma"/>
            <family val="2"/>
          </rPr>
          <t xml:space="preserve">Enter number of people accompanying driver or primary traveler. 
</t>
        </r>
      </text>
    </comment>
    <comment ref="C212" authorId="0" shapeId="0" xr:uid="{4D6C240B-A2B7-450A-A2EC-6ABD87E16146}">
      <text>
        <r>
          <rPr>
            <sz val="10"/>
            <color indexed="81"/>
            <rFont val="Tahoma"/>
            <family val="2"/>
          </rPr>
          <t xml:space="preserve">Enter profession of a typical person that accompanies the driver or primary traveler. </t>
        </r>
      </text>
    </comment>
    <comment ref="C213" authorId="0" shapeId="0" xr:uid="{E7626E58-F8E3-4C09-AC50-A23524A21BA1}">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14" authorId="0" shapeId="0" xr:uid="{F6AA7EAD-D110-4322-AB69-3E61FB5B1083}">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15" authorId="0" shapeId="0" xr:uid="{AA398D7A-7CBE-4312-91EF-E2A042D397FD}">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16" authorId="0" shapeId="0" xr:uid="{D1907B10-F2AA-4EC2-A2CC-8086003EF0AE}">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17" authorId="0" shapeId="0" xr:uid="{DFC06DA4-AFF4-41D3-919F-ADBBF9C7474A}">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19" authorId="0" shapeId="0" xr:uid="{9C610FB8-B9CD-4759-B81E-B14CBB4DE1E3}">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20" authorId="0" shapeId="0" xr:uid="{E5BF9DE2-5625-40FB-8AA4-9C1EF4EA1C8C}">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21" authorId="1" shapeId="0" xr:uid="{C493E9F3-EC44-4684-AB9F-1DB66B477A2E}">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22" authorId="1" shapeId="0" xr:uid="{0B6D85F1-67D3-4816-918F-AAAEEE7868B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23" authorId="1" shapeId="0" xr:uid="{20CD9DCE-FD05-432F-B169-89219FD7C3DF}">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24" authorId="1" shapeId="0" xr:uid="{5F7DF7FE-7449-40B4-93ED-52362081E49B}">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25" authorId="0" shapeId="0" xr:uid="{AD051C46-7B0F-4D49-BE1C-6930C7EF1C91}">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26" authorId="1" shapeId="0" xr:uid="{D63E9075-EC9B-4D79-A30B-F456FC9BE802}">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27" authorId="1" shapeId="0" xr:uid="{168ABC09-0F44-4085-805E-B7946D02D1E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28" authorId="1" shapeId="0" xr:uid="{57ACC35C-2450-41E8-A377-B73C5F39C24F}">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29" authorId="0" shapeId="0" xr:uid="{2BB9F15F-C0C5-4291-AE03-4BC840477234}">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30" authorId="0" shapeId="0" xr:uid="{ABBD0514-0C35-443A-A7F1-DC8265D00933}">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31" authorId="0" shapeId="0" xr:uid="{C11114EF-B33B-4A87-81C4-E0951FB929F7}">
      <text>
        <r>
          <rPr>
            <sz val="10"/>
            <color indexed="81"/>
            <rFont val="Tahoma"/>
            <family val="2"/>
          </rPr>
          <t xml:space="preserve">Enter number of people accompanying driver or primary traveler. 
</t>
        </r>
      </text>
    </comment>
    <comment ref="C232" authorId="0" shapeId="0" xr:uid="{CBA53FE2-9248-45A0-B342-E69F578AD797}">
      <text>
        <r>
          <rPr>
            <sz val="10"/>
            <color indexed="81"/>
            <rFont val="Tahoma"/>
            <family val="2"/>
          </rPr>
          <t xml:space="preserve">Enter profession of a typical person that accompanies the driver or primary traveler. </t>
        </r>
      </text>
    </comment>
    <comment ref="C233" authorId="0" shapeId="0" xr:uid="{D9808920-9317-47D0-A636-3EC6B4BB2BBD}">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34" authorId="0" shapeId="0" xr:uid="{CC4AEDB1-1CDD-457B-8E13-37935B08D11F}">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35" authorId="0" shapeId="0" xr:uid="{221E6120-2DD4-483A-AE26-B6DB124BF1E7}">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36" authorId="0" shapeId="0" xr:uid="{21F0C9D4-A784-43A8-81A4-22D8C098830F}">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37" authorId="0" shapeId="0" xr:uid="{CC7E4AAB-E74B-4DEC-9D96-4D52779652DB}">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39" authorId="0" shapeId="0" xr:uid="{F754553F-4368-4238-B208-26DF0C813966}">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40" authorId="0" shapeId="0" xr:uid="{9FA891B7-0399-43EE-9E59-3E2261EC490F}">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41" authorId="1" shapeId="0" xr:uid="{0555085D-E94C-4861-83C8-22FC44D3F94B}">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42" authorId="1" shapeId="0" xr:uid="{4B0C0CEA-03B0-4036-BDFA-245A5330AFE4}">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43" authorId="1" shapeId="0" xr:uid="{B55EBA6F-070C-416D-8890-33B531E3A554}">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44" authorId="1" shapeId="0" xr:uid="{3C97D9B9-2840-4AE6-8262-EA7E2D815F2C}">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45" authorId="0" shapeId="0" xr:uid="{6018F01F-4AE3-4540-89AB-8278FFF667AF}">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46" authorId="1" shapeId="0" xr:uid="{0A143213-43EC-49F3-A9A8-692747A7214F}">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47" authorId="1" shapeId="0" xr:uid="{29F367F1-F893-4592-9163-6E6CACE0FD5D}">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48" authorId="1" shapeId="0" xr:uid="{BEB5241C-F527-496D-B800-6D588B07CEF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49" authorId="0" shapeId="0" xr:uid="{820B54A3-BE41-4D59-BB68-92C6F852902E}">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50" authorId="0" shapeId="0" xr:uid="{ADD99416-D014-4C96-8424-3CD47B74FC71}">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51" authorId="0" shapeId="0" xr:uid="{53E960FF-94DD-4DC1-AF3A-CE21D4504124}">
      <text>
        <r>
          <rPr>
            <sz val="10"/>
            <color indexed="81"/>
            <rFont val="Tahoma"/>
            <family val="2"/>
          </rPr>
          <t xml:space="preserve">Enter number of people accompanying driver or primary traveler. 
</t>
        </r>
      </text>
    </comment>
    <comment ref="C252" authorId="0" shapeId="0" xr:uid="{7AEA6369-53FA-43E5-9E35-D8F5E334CF4B}">
      <text>
        <r>
          <rPr>
            <sz val="10"/>
            <color indexed="81"/>
            <rFont val="Tahoma"/>
            <family val="2"/>
          </rPr>
          <t xml:space="preserve">Enter profession of a typical person that accompanies the driver or primary traveler. </t>
        </r>
      </text>
    </comment>
    <comment ref="C253" authorId="0" shapeId="0" xr:uid="{23E3E301-649D-478A-B952-ED8618745FE7}">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54" authorId="0" shapeId="0" xr:uid="{47C56076-1B30-4FA3-BB81-D1BDE3059042}">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55" authorId="0" shapeId="0" xr:uid="{2293BBD3-23DD-4199-9829-A11A53D88ECC}">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56" authorId="0" shapeId="0" xr:uid="{B739FA35-B54A-4B63-8035-6BCC473E0201}">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57" authorId="0" shapeId="0" xr:uid="{075A0141-4D5A-4A22-AF49-04894C2CC6F1}">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63" authorId="0" shapeId="0" xr:uid="{8B265666-D30B-4473-A180-D6FD68C2BD83}">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64" authorId="0" shapeId="0" xr:uid="{F0FDAD43-DE23-45B5-9190-82310DAB75DC}">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65" authorId="1" shapeId="0" xr:uid="{E8B30628-30F5-4F35-AD21-0F686DB09724}">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66" authorId="1" shapeId="0" xr:uid="{4F97FFF1-6AA4-46F2-BA5F-64736F7FADE4}">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67" authorId="1" shapeId="0" xr:uid="{A19BCC72-5B61-45F5-ADA7-2C9FBE202773}">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68" authorId="1" shapeId="0" xr:uid="{A88EF8A0-3AC8-40F2-93ED-3F9D58C89D65}">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69" authorId="0" shapeId="0" xr:uid="{34EEF455-5DF6-407C-9D3A-31FAC49B5068}">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70" authorId="1" shapeId="0" xr:uid="{B5BEC750-AB98-48A4-8360-C2C48BFE3DD5}">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1" authorId="1" shapeId="0" xr:uid="{DB39B367-443D-47C9-9D14-0E0C39F01D7B}">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2" authorId="1" shapeId="0" xr:uid="{81BAFC1B-5E1F-4688-BA8F-17627A93C9A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73" authorId="0" shapeId="0" xr:uid="{5BA68651-E514-4B77-9480-992F716C1DD5}">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74" authorId="0" shapeId="0" xr:uid="{C65FF3B5-6373-4B8B-B014-2AC2B84B1246}">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75" authorId="0" shapeId="0" xr:uid="{EA02FA56-4D79-43BA-9D66-036FEC340E37}">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76" authorId="0" shapeId="0" xr:uid="{780ED903-BCF9-4C29-A63B-1675B3352439}">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77" authorId="0" shapeId="0" xr:uid="{F32223C1-48A2-4597-8B35-BE3F0A6A3B4C}">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78" authorId="0" shapeId="0" xr:uid="{BA670E54-C0D6-4946-86F3-EC9E50D4A3E5}">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79" authorId="0" shapeId="0" xr:uid="{0EDF98C5-E36D-4A53-A08B-07030AD7B867}">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280" authorId="0" shapeId="0" xr:uid="{E863FC2E-3AF3-42B1-BA3F-61074F4E662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281" authorId="0" shapeId="0" xr:uid="{1F2D4D53-1E6A-47BD-8D0A-F38BDCD53311}">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283" authorId="0" shapeId="0" xr:uid="{BE497036-7FE5-49E0-A807-A1863975924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84" authorId="0" shapeId="0" xr:uid="{8CAEBB63-BE5A-451F-8BE7-01F06E59A437}">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85" authorId="1" shapeId="0" xr:uid="{5509EAAC-C467-4345-8B1D-CFE5C7022E46}">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86" authorId="1" shapeId="0" xr:uid="{E7FB0B4E-8765-4F68-8031-CDFD8153927F}">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87" authorId="1" shapeId="0" xr:uid="{2CDF3B34-9D14-4AF4-9361-8E1DE95ECA86}">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88" authorId="1" shapeId="0" xr:uid="{EC860B6E-D779-4040-A8AF-143C193F789B}">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89" authorId="0" shapeId="0" xr:uid="{B31F1B24-528A-45D8-98A3-2DB1AB875268}">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90" authorId="1" shapeId="0" xr:uid="{05B6D2EF-7E7A-4592-BC37-9A9FAD583C9A}">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1" authorId="1" shapeId="0" xr:uid="{91379AAA-CB8E-4168-B020-88DA3BB08C34}">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2" authorId="1" shapeId="0" xr:uid="{17397769-3C82-4FB1-822F-84439828818C}">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93" authorId="0" shapeId="0" xr:uid="{C795849B-9655-4B8A-841D-86ADDCCF87E1}">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94" authorId="0" shapeId="0" xr:uid="{09891A45-D34F-40EB-BE0E-73F97E165E7A}">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95" authorId="0" shapeId="0" xr:uid="{E49D458E-6045-40A0-AE35-245EC925768D}">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96" authorId="0" shapeId="0" xr:uid="{9B212CB5-F54C-4022-9550-26B460602B2B}">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97" authorId="0" shapeId="0" xr:uid="{8004748B-4A4B-4824-9010-61E71D649FB2}">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98" authorId="0" shapeId="0" xr:uid="{A6C69663-A919-42A7-9AD1-6F70F4FD2D4D}">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99" authorId="0" shapeId="0" xr:uid="{1A46B18C-D163-426C-B3F6-1C0FE1E26E17}">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00" authorId="0" shapeId="0" xr:uid="{F015BE02-C2EC-4636-8EA9-E6858C9E5441}">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01" authorId="0" shapeId="0" xr:uid="{5F9D7EF1-10A9-4AB1-80B1-0D35C5C94C51}">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303" authorId="0" shapeId="0" xr:uid="{9CAA860B-943D-4E85-A070-9C300F087F65}">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304" authorId="0" shapeId="0" xr:uid="{9291E628-7388-4241-87FE-190800526168}">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305" authorId="1" shapeId="0" xr:uid="{8F53CE03-4DED-485F-A4EE-69EECEEF70EF}">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306" authorId="1" shapeId="0" xr:uid="{11D500E6-4ECA-45AC-A8D4-1BE5AE7112A3}">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307" authorId="1" shapeId="0" xr:uid="{E9246100-5213-4304-82EE-772628736FE5}">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308" authorId="1" shapeId="0" xr:uid="{672BFDC0-0952-4744-83B7-39BCE282EB1F}">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309" authorId="0" shapeId="0" xr:uid="{45D8F3F7-2344-4B63-870F-8783E314A02A}">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310" authorId="1" shapeId="0" xr:uid="{1B08B34D-4B17-4CF5-A2EF-C88AD782BD83}">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1" authorId="1" shapeId="0" xr:uid="{1D3D3850-8AB9-44A6-9D79-E1F8733DABB7}">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2" authorId="1" shapeId="0" xr:uid="{C1A1921E-FEA7-4D68-8CF1-CD1B4E667B83}">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313" authorId="0" shapeId="0" xr:uid="{CF2786F8-7FD2-44AB-AE8C-B9E6409BC99C}">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314" authorId="0" shapeId="0" xr:uid="{5815D91A-49F2-4D65-8F38-262C6415A85B}">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315" authorId="0" shapeId="0" xr:uid="{BB2302D0-61F1-48AF-8878-D90998D0D793}">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316" authorId="0" shapeId="0" xr:uid="{103C424D-9177-4200-9A5D-C39526DE97ED}">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317" authorId="0" shapeId="0" xr:uid="{ABC90A48-982B-47DE-A0B6-289E415D7B3B}">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318" authorId="0" shapeId="0" xr:uid="{5B5174B7-691C-486D-8489-CF6A1B0778D2}">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319" authorId="0" shapeId="0" xr:uid="{3538E2FC-4508-45AC-8CEB-55454A0ABBD1}">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20" authorId="0" shapeId="0" xr:uid="{396FB0FF-5840-4A11-92E5-3207681FCD8D}">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21" authorId="0" shapeId="0" xr:uid="{77E11CD8-997D-4B39-B7CA-3469428176DC}">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Michael Krautmann</author>
    <author>Krautmann, Michael</author>
  </authors>
  <commentList>
    <comment ref="G9" authorId="0" shapeId="0" xr:uid="{00000000-0006-0000-0A00-000001000000}">
      <text>
        <r>
          <rPr>
            <sz val="9"/>
            <color indexed="81"/>
            <rFont val="Tahoma"/>
            <family val="2"/>
          </rPr>
          <t xml:space="preserve">The total number of levels at which inventory is stored and distributed, as specified by the user
</t>
        </r>
      </text>
    </comment>
    <comment ref="G10" authorId="0" shapeId="0" xr:uid="{00000000-0006-0000-0A00-000002000000}">
      <text>
        <r>
          <rPr>
            <sz val="9"/>
            <color indexed="81"/>
            <rFont val="Tahoma"/>
            <family val="2"/>
          </rPr>
          <t>User-entered value; number of facilities to which health commodities are delivered at the final tier fo the supply chain</t>
        </r>
      </text>
    </comment>
    <comment ref="G11" authorId="0" shapeId="0" xr:uid="{00000000-0006-0000-0A00-000003000000}">
      <text>
        <r>
          <rPr>
            <sz val="9"/>
            <color indexed="81"/>
            <rFont val="Tahoma"/>
            <family val="2"/>
          </rPr>
          <t xml:space="preserve">Total annual cubic meters (m^3) of health commodities delivered to the final tier of the supply chain (May be less than the total volume procured if the user assumed an expiry/wastage rate at one or more tiers) 
</t>
        </r>
      </text>
    </comment>
    <comment ref="G12" authorId="0" shapeId="0" xr:uid="{00000000-0006-0000-0A00-000004000000}">
      <text>
        <r>
          <rPr>
            <sz val="9"/>
            <color indexed="81"/>
            <rFont val="Tahoma"/>
            <family val="2"/>
          </rPr>
          <t xml:space="preserve">Total annual cubic meters (m^3) of cold-chain specific commodities delivered to the final tier of the supply chain (May be less than the total volume procured if the user assumed an expiry/wastage rate at one or more tiers) </t>
        </r>
      </text>
    </comment>
    <comment ref="G13" authorId="0" shapeId="0" xr:uid="{00000000-0006-0000-0A00-000005000000}">
      <text>
        <r>
          <rPr>
            <sz val="9"/>
            <color indexed="81"/>
            <rFont val="Tahoma"/>
            <family val="2"/>
          </rPr>
          <t xml:space="preserve">The total procurement or sales value of the commodities delivered to the final tier. </t>
        </r>
      </text>
    </comment>
    <comment ref="F14" authorId="0" shapeId="0" xr:uid="{00000000-0006-0000-0A00-000006000000}">
      <text>
        <r>
          <rPr>
            <sz val="9"/>
            <color indexed="81"/>
            <rFont val="Tahoma"/>
            <family val="2"/>
          </rPr>
          <t>The number of kilometers (km) traveled per year to fulfill all ordering, delivery, and additional travel activities, summed over all tiers in the supply chain.</t>
        </r>
        <r>
          <rPr>
            <b/>
            <sz val="9"/>
            <color indexed="81"/>
            <rFont val="Tahoma"/>
            <family val="2"/>
          </rPr>
          <t xml:space="preserve"> Includes only vehicles that are owned/rented/contracted, and does NOT include km traveled by public transport</t>
        </r>
      </text>
    </comment>
    <comment ref="G15" authorId="0" shapeId="0" xr:uid="{00000000-0006-0000-0A00-000007000000}">
      <text>
        <r>
          <rPr>
            <sz val="9"/>
            <color indexed="81"/>
            <rFont val="Tahoma"/>
            <family val="2"/>
          </rPr>
          <t>The total number of person-days of travel needed to complete all ordering/delivery/additional activities, summed over all tiers in the supply chain</t>
        </r>
      </text>
    </comment>
    <comment ref="G16" authorId="0" shapeId="0" xr:uid="{00000000-0006-0000-0A00-000008000000}">
      <text>
        <r>
          <rPr>
            <sz val="9"/>
            <color indexed="81"/>
            <rFont val="Tahoma"/>
            <family val="2"/>
          </rPr>
          <t>A high-level summary of Tables 2 and 3 below; a count of all storage and transportation modes that are outside the ideal utilization window (user specified, but a common ideal utilization range is between 50% and 90%)</t>
        </r>
      </text>
    </comment>
    <comment ref="G25" authorId="1" shapeId="0" xr:uid="{00000000-0006-0000-0A00-000009000000}">
      <text>
        <r>
          <rPr>
            <sz val="9"/>
            <color indexed="81"/>
            <rFont val="Tahoma"/>
            <family val="2"/>
          </rPr>
          <t>-- Ratio of [Total Operating Cost] / [Total Commodity Throughput Value] x [100]
-- Interpretation: In general lower is better, though values vary greatly by health program area (e.g. HIV, Essential Medicines). For example, one box of antiretrovirals (ARVs) will likely have a value much greater than a similar box of antibiotics, even though the supply chain cost to distribute each is likely to be similar.   Thus this metric would be lower for the ARVs than the antibiotic, even for similarly-performing supply chains.</t>
        </r>
      </text>
    </comment>
    <comment ref="G26" authorId="1" shapeId="0" xr:uid="{00000000-0006-0000-0A00-00000A000000}">
      <text>
        <r>
          <rPr>
            <sz val="9"/>
            <color indexed="81"/>
            <rFont val="Tahoma"/>
            <family val="2"/>
          </rPr>
          <t>-- Ratio of [Total Operating Cost] / [Total Commodity Throughput Volume] 
-- Interpretation: General measure of supply chain efficiency. For similar geographies, throughput volumes, and supply chain designs, a lower value represents a more efficient supply chain.  No standard benchmarks exist within global health supply chain, though some publicly-available supply chain costing studies could be used to create a rough benchmark value</t>
        </r>
      </text>
    </comment>
    <comment ref="G27" authorId="1" shapeId="0" xr:uid="{00000000-0006-0000-0A00-00000B000000}">
      <text>
        <r>
          <rPr>
            <sz val="9"/>
            <color indexed="81"/>
            <rFont val="Tahoma"/>
            <family val="2"/>
          </rPr>
          <t xml:space="preserve">-- The monetary value (in user-specified currency) of the average amount of inventory (m^3) in the entire supply chain at any given time (For each tier: [$ value per m^3] x [m^3 per facility average inventory] x [# facilities in tier]).
-- Interpretation: Some inventory is necessary to buffer against unexpected changes in supply and demand, but in general lower is better. Money that is tied up in inventory cannot be invested in other program activities, and thus carries a significant opportunity cost. </t>
        </r>
      </text>
    </comment>
    <comment ref="G28" authorId="1" shapeId="0" xr:uid="{00000000-0006-0000-0A00-00000C000000}">
      <text>
        <r>
          <rPr>
            <sz val="9"/>
            <color indexed="81"/>
            <rFont val="Tahoma"/>
            <family val="2"/>
          </rPr>
          <t>'-- Ratio of [Total kilometers traveled for ordering/delivery/additional activities] / [Total volume of commodities delivered to final tier]
--Interpretation: Some travel will always be required to distribute commodities from upstream to downstream tiers, but travel is generally costly. This value can help users identify SC design options that can deliver commodities with a minimum of travel. Higher values are likely caused by 
   a) additional activities that require travel, e.g. ordering
   b) delivery vehicles with a small capacity (m^3), thus requiring multiple trips to each facility every resupply period
   c) low maximum allowable days per travel route (e.g. 1 or 2 days) in a country with long driving/dwell times, creating routes 
       that only reach a couple of clinics at a time, which leads to excessive (and inefficient) driving between tiers. 
NOTE: This value obviously increases for countries with larger land area, so it is best used when comparing supply chain design options within a single geography.</t>
        </r>
      </text>
    </comment>
    <comment ref="F31" authorId="1" shapeId="0" xr:uid="{00000000-0006-0000-0A00-00000D000000}">
      <text>
        <r>
          <rPr>
            <sz val="9"/>
            <color indexed="81"/>
            <rFont val="Tahoma"/>
            <family val="2"/>
          </rPr>
          <t>'-- For each tier of the supply chain, the percent of available vehicle delivery capacity (m^3) that is actually being used on deliveries. 
-- Interpretation: In general, 75% - 85% capacity utiliztion is ideal. Anything above 90-95% likely indicates that delivery resources will frequently be overburdened - vehicles aren't big enough, or there aren't enough of them.  Anything below 50% indicates much of the available space on delivery vehicles is being left empty, and thus the supply chain is paying for vehicle space that it isn't using
--NOTE:  if the user has specified a "route-based" delivery pattern, this value may default to 99% or 100%. In this case, it is the Delivery Vehicle Time Utilization that more accurately reflects overall utilization of delivery resources.</t>
        </r>
      </text>
    </comment>
    <comment ref="F34" authorId="1" shapeId="0" xr:uid="{00000000-0006-0000-0A00-00000E000000}">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F38" authorId="1" shapeId="0" xr:uid="{00000000-0006-0000-0A00-00000F000000}">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F42" authorId="1" shapeId="0" xr:uid="{00000000-0006-0000-0A00-000010000000}">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G52" authorId="1" shapeId="0" xr:uid="{00000000-0006-0000-0A00-000011000000}">
      <text>
        <r>
          <rPr>
            <sz val="9"/>
            <color indexed="81"/>
            <rFont val="Tahoma"/>
            <family val="2"/>
          </rPr>
          <t>Within a given supply chain tier, the total number of cubic meters (m^3) of product expected to be ordered by each facility in a given order period.  This value is the same for each facility within that tier, and includes ambient and cold chain commodities.</t>
        </r>
      </text>
    </comment>
    <comment ref="G53" authorId="1" shapeId="0" xr:uid="{00000000-0006-0000-0A00-000012000000}">
      <text>
        <r>
          <rPr>
            <sz val="9"/>
            <color indexed="81"/>
            <rFont val="Tahoma"/>
            <family val="2"/>
          </rPr>
          <t>Ratio of time spent processing commodities at storage facilities, divided by total available time for processing. Based on user inputs for 1) total number of full-time-equivalent (FTE) workers per storage point, and 2) average throughput capacity (m^3/day) per person</t>
        </r>
      </text>
    </comment>
    <comment ref="G54" authorId="1" shapeId="0" xr:uid="{00000000-0006-0000-0A00-000013000000}">
      <text>
        <r>
          <rPr>
            <sz val="9"/>
            <color indexed="81"/>
            <rFont val="Tahoma"/>
            <family val="2"/>
          </rPr>
          <t>Ratio of average inventory levels (m^3) divided by total available storage capacity per facility. Based on user input for 1) overall system demand, 2) resupply frequency, 3) safety stock levels, and 4) average storage capacity per facility</t>
        </r>
      </text>
    </comment>
    <comment ref="G55" authorId="1" shapeId="0" xr:uid="{00000000-0006-0000-0A00-000014000000}">
      <text>
        <r>
          <rPr>
            <sz val="9"/>
            <color indexed="81"/>
            <rFont val="Tahoma"/>
            <family val="2"/>
          </rPr>
          <t>A count of the number of tiers in which average storage utilization is outside an ideal range.  Range is user-specified, but 50% to 90% utilization is a common target range in global health applications</t>
        </r>
      </text>
    </comment>
    <comment ref="G57" authorId="1" shapeId="0" xr:uid="{00000000-0006-0000-0A00-000015000000}">
      <text>
        <r>
          <rPr>
            <sz val="9"/>
            <color indexed="81"/>
            <rFont val="Tahoma"/>
            <family val="2"/>
          </rPr>
          <t>Within a given supply chain tier, the total number of cubic meters (m^3) of ambient-temperature product expected to be ordered by each facility in a given order period.  This value is the same for each facility within that tier.</t>
        </r>
      </text>
    </comment>
    <comment ref="G58" authorId="1" shapeId="0" xr:uid="{00000000-0006-0000-0A00-000016000000}">
      <text>
        <r>
          <rPr>
            <sz val="9"/>
            <color indexed="81"/>
            <rFont val="Tahoma"/>
            <family val="2"/>
          </rPr>
          <t>Average annual demand per facility divided by the number of resupply periods</t>
        </r>
      </text>
    </comment>
    <comment ref="G59" authorId="1" shapeId="0" xr:uid="{00000000-0006-0000-0A00-000017000000}">
      <text>
        <r>
          <rPr>
            <sz val="9"/>
            <color indexed="81"/>
            <rFont val="Tahoma"/>
            <family val="2"/>
          </rPr>
          <t xml:space="preserve">The volume (m^3) of safety or buffer stock expected on-hand at a facility at the beginning of an order period. This equates to the minimum amount of stock expected for an order period with average total demand. </t>
        </r>
      </text>
    </comment>
    <comment ref="G60" authorId="1" shapeId="0" xr:uid="{00000000-0006-0000-0A00-000018000000}">
      <text>
        <r>
          <rPr>
            <sz val="9"/>
            <color indexed="81"/>
            <rFont val="Tahoma"/>
            <family val="2"/>
          </rPr>
          <t xml:space="preserve">Overall average level of inventory expected at storage facilties over the course of a year. This tool assumes a constant daily demand, thus average inventory is equal to safety stock plus one-half of the average demand volume per resupply period </t>
        </r>
      </text>
    </comment>
    <comment ref="G61" authorId="1" shapeId="0" xr:uid="{00000000-0006-0000-0A00-000019000000}">
      <text>
        <r>
          <rPr>
            <sz val="9"/>
            <color indexed="81"/>
            <rFont val="Tahoma"/>
            <family val="2"/>
          </rPr>
          <t>Maximum level of inventory expected at storage facilities at any time. This tool assumes constant daily demand, thus max inventory is equal to safety stock plus average demand volume per resupply period</t>
        </r>
      </text>
    </comment>
    <comment ref="G62" authorId="1" shapeId="0" xr:uid="{00000000-0006-0000-0A00-00001A000000}">
      <text>
        <r>
          <rPr>
            <sz val="9"/>
            <color indexed="81"/>
            <rFont val="Tahoma"/>
            <family val="2"/>
          </rPr>
          <t>Ratio of average inventory levels (m^3) divided by total available storage capacity per facility. Based on user input for 1) overall system demand, 2) resupply frequency, 3) safety stock levels, and 4) average storage capacity per facility</t>
        </r>
      </text>
    </comment>
    <comment ref="G71" authorId="1" shapeId="0" xr:uid="{00000000-0006-0000-0A00-00001B000000}">
      <text>
        <r>
          <rPr>
            <sz val="9"/>
            <color indexed="81"/>
            <rFont val="Tahoma"/>
            <family val="2"/>
          </rPr>
          <t>For each tier, the average volume (m^3) of passive storage devices in use at any given time, divided by the total volume of available passive storage devices.
NOTE: Calculation assumes cold boxes are a pooled resource with no constraints on availability for distribution activities. If the SC design imposes other constraints (e.g. if every facility requires its own cold box to retrieve product from upstream), then this metric may not reflect true need for cold box capacity. In that case the user should manage the other constraints directly (e.g. inputting &gt; 1 cold box per facility)</t>
        </r>
      </text>
    </comment>
    <comment ref="G78" authorId="1" shapeId="0" xr:uid="{00000000-0006-0000-0A00-00001C000000}">
      <text>
        <r>
          <rPr>
            <sz val="9"/>
            <color indexed="81"/>
            <rFont val="Tahoma"/>
            <family val="2"/>
          </rPr>
          <t>Total capital and operating expenses associated with storage of health commodities and processing/packing facility orders</t>
        </r>
      </text>
    </comment>
    <comment ref="G79" authorId="1" shapeId="0" xr:uid="{00000000-0006-0000-0A00-00001D000000}">
      <text>
        <r>
          <rPr>
            <sz val="9"/>
            <color indexed="81"/>
            <rFont val="Tahoma"/>
            <family val="2"/>
          </rPr>
          <t>Total capital and operating expenses associated with transport of health commodities between storage locations</t>
        </r>
      </text>
    </comment>
    <comment ref="G80" authorId="1" shapeId="0" xr:uid="{00000000-0006-0000-0A00-00001E000000}">
      <text>
        <r>
          <rPr>
            <sz val="9"/>
            <color indexed="81"/>
            <rFont val="Tahoma"/>
            <family val="2"/>
          </rPr>
          <t>Total costs related to supervision, management, training, analysis/forecasting, and other indirect supply chain functions</t>
        </r>
      </text>
    </comment>
    <comment ref="G84" authorId="1" shapeId="0" xr:uid="{00000000-0006-0000-0A00-00001F000000}">
      <text>
        <r>
          <rPr>
            <sz val="9"/>
            <color indexed="81"/>
            <rFont val="Tahoma"/>
            <family val="2"/>
          </rPr>
          <t>The cost of the time that supply chain workers spend managing warehouse functions, based on their annual salary</t>
        </r>
      </text>
    </comment>
    <comment ref="G85" authorId="1" shapeId="0" xr:uid="{00000000-0006-0000-0A00-000020000000}">
      <text>
        <r>
          <rPr>
            <sz val="9"/>
            <color indexed="81"/>
            <rFont val="Tahoma"/>
            <family val="2"/>
          </rPr>
          <t>The purchase cost of buildings and other equipment necessary to operate the supply chain (i.e. Capital Expenditures)</t>
        </r>
      </text>
    </comment>
    <comment ref="G86" authorId="1" shapeId="0" xr:uid="{00000000-0006-0000-0A00-000021000000}">
      <text>
        <r>
          <rPr>
            <sz val="9"/>
            <color indexed="81"/>
            <rFont val="Tahoma"/>
            <family val="2"/>
          </rPr>
          <t>The ongoing operating costs needed to keep the people, equipment, buildings, etc., running smoothly (i.e. Operating Expenditures)</t>
        </r>
      </text>
    </comment>
    <comment ref="G88" authorId="1" shapeId="0" xr:uid="{00000000-0006-0000-0A00-000022000000}">
      <text>
        <r>
          <rPr>
            <sz val="9"/>
            <color indexed="81"/>
            <rFont val="Tahoma"/>
            <family val="2"/>
          </rPr>
          <t>The cost of the time that supply chain workers spend traveling to order and transport health commodities, based on annual salary</t>
        </r>
      </text>
    </comment>
    <comment ref="G89" authorId="1" shapeId="0" xr:uid="{00000000-0006-0000-0A00-000023000000}">
      <text>
        <r>
          <rPr>
            <sz val="9"/>
            <color indexed="81"/>
            <rFont val="Tahoma"/>
            <family val="2"/>
          </rPr>
          <t>The purchase cost of vehicles and other equipment necessary to operate the supply chain (i.e. Capital Expenditures)</t>
        </r>
      </text>
    </comment>
    <comment ref="G90" authorId="1" shapeId="0" xr:uid="{00000000-0006-0000-0A00-000024000000}">
      <text>
        <r>
          <rPr>
            <sz val="9"/>
            <color indexed="81"/>
            <rFont val="Tahoma"/>
            <family val="2"/>
          </rPr>
          <t>The amount paid to traveling supply chain workers to cover meals, incidentals, and lodging costs.</t>
        </r>
      </text>
    </comment>
    <comment ref="G91" authorId="1" shapeId="0" xr:uid="{00000000-0006-0000-0A00-000025000000}">
      <text>
        <r>
          <rPr>
            <sz val="9"/>
            <color indexed="81"/>
            <rFont val="Tahoma"/>
            <family val="2"/>
          </rPr>
          <t>The ongoing operating costs needed to keep vehicles and other equpiment running smoothly (i.e. Operating Expenditures)</t>
        </r>
      </text>
    </comment>
    <comment ref="G99" authorId="1" shapeId="0" xr:uid="{00000000-0006-0000-0A00-000026000000}">
      <text>
        <r>
          <rPr>
            <sz val="9"/>
            <color indexed="81"/>
            <rFont val="Tahoma"/>
            <family val="2"/>
          </rPr>
          <t>If any modes of transport used for ordering are outsourced to a third party logistics provider, their costs will appear here under the appropriate tier</t>
        </r>
      </text>
    </comment>
    <comment ref="G100" authorId="1" shapeId="0" xr:uid="{00000000-0006-0000-0A00-000027000000}">
      <text>
        <r>
          <rPr>
            <sz val="9"/>
            <color indexed="81"/>
            <rFont val="Tahoma"/>
            <family val="2"/>
          </rPr>
          <t>If any modes of transport used for ordering are involve rented vehicles, the vehicle rental costs will appear here under the appropriate tier</t>
        </r>
      </text>
    </comment>
    <comment ref="G101" authorId="1" shapeId="0" xr:uid="{00000000-0006-0000-0A00-000028000000}">
      <text>
        <r>
          <rPr>
            <sz val="9"/>
            <color indexed="81"/>
            <rFont val="Tahoma"/>
            <family val="2"/>
          </rPr>
          <t>Personnel salary costs associated with travel for ordering:  [Number of hours spent traveling] x [hourly salary]</t>
        </r>
      </text>
    </comment>
    <comment ref="G102" authorId="1" shapeId="0" xr:uid="{00000000-0006-0000-0A00-000029000000}">
      <text>
        <r>
          <rPr>
            <sz val="9"/>
            <color indexed="81"/>
            <rFont val="Tahoma"/>
            <family val="2"/>
          </rPr>
          <t>Cost of meals, incidentals, and lodging associated with days spent traveling to order commodities:  [Number of days of travel] x [daily per diem rate]</t>
        </r>
      </text>
    </comment>
    <comment ref="G103" authorId="1" shapeId="0" xr:uid="{00000000-0006-0000-0A00-00002A000000}">
      <text>
        <r>
          <rPr>
            <sz val="9"/>
            <color indexed="81"/>
            <rFont val="Tahoma"/>
            <family val="2"/>
          </rPr>
          <t>Cost of gasoline/diesel to fuel the ordering vehicles. Based on number of kilometers traveled and the fuel efficiency of the vehicle types used</t>
        </r>
      </text>
    </comment>
    <comment ref="G104" authorId="1" shapeId="0" xr:uid="{00000000-0006-0000-0A00-00002B000000}">
      <text>
        <r>
          <rPr>
            <sz val="9"/>
            <color indexed="81"/>
            <rFont val="Tahoma"/>
            <family val="2"/>
          </rPr>
          <t>Total annual cost to insure the vehicles used for ordering, based on the number and type of vehicles used</t>
        </r>
      </text>
    </comment>
    <comment ref="G105" authorId="1" shapeId="0" xr:uid="{00000000-0006-0000-0A00-00002C000000}">
      <text>
        <r>
          <rPr>
            <sz val="9"/>
            <color indexed="81"/>
            <rFont val="Tahoma"/>
            <family val="2"/>
          </rPr>
          <t>Cost of maintaining the vehicles used for ordering, based on the number of kilometers traveled and the average per-km maintenance costs of the vehicle types used</t>
        </r>
      </text>
    </comment>
    <comment ref="G106" authorId="1" shapeId="0" xr:uid="{00000000-0006-0000-0A00-00002D000000}">
      <text>
        <r>
          <rPr>
            <sz val="9"/>
            <color indexed="81"/>
            <rFont val="Tahoma"/>
            <family val="2"/>
          </rPr>
          <t>A fraction of the purchase price of the vehicles used for ordering. Total purchase price is spread over a number of years using straightline depreciation method</t>
        </r>
      </text>
    </comment>
    <comment ref="G107" authorId="1" shapeId="0" xr:uid="{00000000-0006-0000-0A00-00002E000000}">
      <text>
        <r>
          <rPr>
            <sz val="9"/>
            <color indexed="81"/>
            <rFont val="Tahoma"/>
            <family val="2"/>
          </rPr>
          <t>If any modes of transport used for ordering involve public transport, the direct public transport costs (i.e. ticket prices) are included here.</t>
        </r>
      </text>
    </comment>
    <comment ref="G109" authorId="1" shapeId="0" xr:uid="{00000000-0006-0000-0A00-00002F000000}">
      <text>
        <r>
          <rPr>
            <sz val="9"/>
            <color indexed="81"/>
            <rFont val="Tahoma"/>
            <family val="2"/>
          </rPr>
          <t>If any modes of transport used for ordering are outsourced to a third party logistics provider, their costs will appear here under the appropriate tier</t>
        </r>
      </text>
    </comment>
    <comment ref="G110" authorId="1" shapeId="0" xr:uid="{00000000-0006-0000-0A00-000030000000}">
      <text>
        <r>
          <rPr>
            <sz val="9"/>
            <color indexed="81"/>
            <rFont val="Tahoma"/>
            <family val="2"/>
          </rPr>
          <t>If any modes of transport used for ordering are involve rented vehicles, the vehicle rental costs will appear here under the appropriate tier</t>
        </r>
      </text>
    </comment>
    <comment ref="G111" authorId="1" shapeId="0" xr:uid="{00000000-0006-0000-0A00-000031000000}">
      <text>
        <r>
          <rPr>
            <sz val="9"/>
            <color indexed="81"/>
            <rFont val="Tahoma"/>
            <family val="2"/>
          </rPr>
          <t>Personnel salary costs associated with travel for ordering:  [Number of hours spent traveling] x [hourly salary]</t>
        </r>
      </text>
    </comment>
    <comment ref="G112" authorId="1" shapeId="0" xr:uid="{00000000-0006-0000-0A00-000032000000}">
      <text>
        <r>
          <rPr>
            <sz val="9"/>
            <color indexed="81"/>
            <rFont val="Tahoma"/>
            <family val="2"/>
          </rPr>
          <t>Cost of meals, incidentals, and lodging associated with days spent traveling to order commodities:  [Number of days of travel] x [daily per diem rate]</t>
        </r>
      </text>
    </comment>
    <comment ref="G113" authorId="1" shapeId="0" xr:uid="{00000000-0006-0000-0A00-000033000000}">
      <text>
        <r>
          <rPr>
            <sz val="9"/>
            <color indexed="81"/>
            <rFont val="Tahoma"/>
            <family val="2"/>
          </rPr>
          <t>Cost of gasoline/diesel to fuel the ordering vehicles. Based on number of kilometers traveled and the fuel efficiency of the vehicle types used</t>
        </r>
      </text>
    </comment>
    <comment ref="G114" authorId="1" shapeId="0" xr:uid="{00000000-0006-0000-0A00-000034000000}">
      <text>
        <r>
          <rPr>
            <sz val="9"/>
            <color indexed="81"/>
            <rFont val="Tahoma"/>
            <family val="2"/>
          </rPr>
          <t>Total annual cost to insure the vehicles used for ordering, based on the number and type of vehicles used</t>
        </r>
      </text>
    </comment>
    <comment ref="G115" authorId="1" shapeId="0" xr:uid="{00000000-0006-0000-0A00-000035000000}">
      <text>
        <r>
          <rPr>
            <sz val="9"/>
            <color indexed="81"/>
            <rFont val="Tahoma"/>
            <family val="2"/>
          </rPr>
          <t>Cost of maintaining the vehicles used for ordering, based on the number of kilometers traveled and the average per-km maintenance costs of the vehicle types used</t>
        </r>
      </text>
    </comment>
    <comment ref="G116" authorId="1" shapeId="0" xr:uid="{00000000-0006-0000-0A00-000036000000}">
      <text>
        <r>
          <rPr>
            <sz val="9"/>
            <color indexed="81"/>
            <rFont val="Tahoma"/>
            <family val="2"/>
          </rPr>
          <t>A fraction of the purchase price of the vehicles used for ordering. Total purchase price is spread over a number of years using straightline depreciation method</t>
        </r>
      </text>
    </comment>
    <comment ref="G117" authorId="1" shapeId="0" xr:uid="{00000000-0006-0000-0A00-000037000000}">
      <text>
        <r>
          <rPr>
            <sz val="9"/>
            <color indexed="81"/>
            <rFont val="Tahoma"/>
            <family val="2"/>
          </rPr>
          <t>If any modes of transport used for ordering involve public transport, the direct public transport costs (i.e. ticket prices) are included here.</t>
        </r>
      </text>
    </comment>
    <comment ref="G119" authorId="1" shapeId="0" xr:uid="{00000000-0006-0000-0A00-000038000000}">
      <text>
        <r>
          <rPr>
            <sz val="9"/>
            <color indexed="81"/>
            <rFont val="Tahoma"/>
            <family val="2"/>
          </rPr>
          <t>If any modes of transport used for ordering are outsourced to a third party logistics provider, their costs will appear here under the appropriate tier</t>
        </r>
      </text>
    </comment>
    <comment ref="G120" authorId="1" shapeId="0" xr:uid="{00000000-0006-0000-0A00-000039000000}">
      <text>
        <r>
          <rPr>
            <sz val="9"/>
            <color indexed="81"/>
            <rFont val="Tahoma"/>
            <family val="2"/>
          </rPr>
          <t>If any modes of transport used for ordering are involve rented vehicles, the vehicle rental costs will appear here under the appropriate tier</t>
        </r>
      </text>
    </comment>
    <comment ref="G121" authorId="1" shapeId="0" xr:uid="{00000000-0006-0000-0A00-00003A000000}">
      <text>
        <r>
          <rPr>
            <sz val="9"/>
            <color indexed="81"/>
            <rFont val="Tahoma"/>
            <family val="2"/>
          </rPr>
          <t>Personnel salary costs associated with travel for ordering:  [Number of hours spent traveling] x [hourly salary]</t>
        </r>
      </text>
    </comment>
    <comment ref="G122" authorId="1" shapeId="0" xr:uid="{00000000-0006-0000-0A00-00003B000000}">
      <text>
        <r>
          <rPr>
            <sz val="9"/>
            <color indexed="81"/>
            <rFont val="Tahoma"/>
            <family val="2"/>
          </rPr>
          <t>Cost of meals, incidentals, and lodging associated with days spent traveling to order commodities:  [Number of days of travel] x [daily per diem rate]</t>
        </r>
      </text>
    </comment>
    <comment ref="G123" authorId="1" shapeId="0" xr:uid="{00000000-0006-0000-0A00-00003C000000}">
      <text>
        <r>
          <rPr>
            <sz val="9"/>
            <color indexed="81"/>
            <rFont val="Tahoma"/>
            <family val="2"/>
          </rPr>
          <t>Cost of gasoline/diesel to fuel the ordering vehicles. Based on number of kilometers traveled and the fuel efficiency of the vehicle types used</t>
        </r>
      </text>
    </comment>
    <comment ref="G124" authorId="1" shapeId="0" xr:uid="{00000000-0006-0000-0A00-00003D000000}">
      <text>
        <r>
          <rPr>
            <sz val="9"/>
            <color indexed="81"/>
            <rFont val="Tahoma"/>
            <family val="2"/>
          </rPr>
          <t>Total annual cost to insure the vehicles used for ordering, based on the number and type of vehicles used</t>
        </r>
      </text>
    </comment>
    <comment ref="G125" authorId="1" shapeId="0" xr:uid="{00000000-0006-0000-0A00-00003E000000}">
      <text>
        <r>
          <rPr>
            <sz val="9"/>
            <color indexed="81"/>
            <rFont val="Tahoma"/>
            <family val="2"/>
          </rPr>
          <t>Cost of maintaining the vehicles used for ordering, based on the number of kilometers traveled and the average per-km maintenance costs of the vehicle types used</t>
        </r>
      </text>
    </comment>
    <comment ref="G126" authorId="1" shapeId="0" xr:uid="{00000000-0006-0000-0A00-00003F000000}">
      <text>
        <r>
          <rPr>
            <sz val="9"/>
            <color indexed="81"/>
            <rFont val="Tahoma"/>
            <family val="2"/>
          </rPr>
          <t>A fraction of the purchase price of the vehicles used for ordering. Total purchase price is spread over a number of years using straightline depreciation method</t>
        </r>
      </text>
    </comment>
    <comment ref="G127" authorId="1" shapeId="0" xr:uid="{00000000-0006-0000-0A00-000040000000}">
      <text>
        <r>
          <rPr>
            <sz val="9"/>
            <color indexed="81"/>
            <rFont val="Tahoma"/>
            <family val="2"/>
          </rPr>
          <t>If any modes of transport used for ordering involve public transport, the direct public transport costs (i.e. ticket prices) are included here.</t>
        </r>
      </text>
    </comment>
    <comment ref="G132" authorId="1" shapeId="0" xr:uid="{00000000-0006-0000-0A00-000041000000}">
      <text>
        <r>
          <rPr>
            <sz val="9"/>
            <color indexed="81"/>
            <rFont val="Tahoma"/>
            <family val="2"/>
          </rPr>
          <t>The cost of the time that supply chain workers spend managing warehouse functions, based on their annual salary</t>
        </r>
      </text>
    </comment>
    <comment ref="G133" authorId="1" shapeId="0" xr:uid="{00000000-0006-0000-0A00-000042000000}">
      <text>
        <r>
          <rPr>
            <sz val="9"/>
            <color indexed="81"/>
            <rFont val="Tahoma"/>
            <family val="2"/>
          </rPr>
          <t>The ongoing operating costs needed to keep the people, equipment, buildings, etc running smoothly (i.e. Operating Expenditures)</t>
        </r>
      </text>
    </comment>
    <comment ref="G134" authorId="1" shapeId="0" xr:uid="{00000000-0006-0000-0A00-000043000000}">
      <text>
        <r>
          <rPr>
            <sz val="9"/>
            <color indexed="81"/>
            <rFont val="Tahoma"/>
            <family val="2"/>
          </rPr>
          <t xml:space="preserve">The depreciated purchase cost of buildings and other equipment necessary to operate a typical ambient-temperature warehouse </t>
        </r>
      </text>
    </comment>
    <comment ref="G135" authorId="1" shapeId="0" xr:uid="{00000000-0006-0000-0A00-000044000000}">
      <text>
        <r>
          <rPr>
            <sz val="9"/>
            <color indexed="81"/>
            <rFont val="Tahoma"/>
            <family val="2"/>
          </rPr>
          <t>The depreciated purchase cost of cold-chain specific equipment (e.g. cold room, freezer)</t>
        </r>
      </text>
    </comment>
    <comment ref="G136" authorId="1" shapeId="0" xr:uid="{00000000-0006-0000-0A00-000045000000}">
      <text>
        <r>
          <rPr>
            <sz val="9"/>
            <color indexed="81"/>
            <rFont val="Tahoma"/>
            <family val="2"/>
          </rPr>
          <t>If applicable, the average annual cost to operate any cold boxes  owned by storage facilities (e.g. electricity, fuel, maintenance)</t>
        </r>
      </text>
    </comment>
    <comment ref="G137" authorId="1" shapeId="0" xr:uid="{00000000-0006-0000-0A00-000046000000}">
      <text>
        <r>
          <rPr>
            <sz val="9"/>
            <color indexed="81"/>
            <rFont val="Tahoma"/>
            <family val="2"/>
          </rPr>
          <t>The depreciated purchase cost of cold boxes used to transport cold-chain commodities to/from the storage facility</t>
        </r>
      </text>
    </comment>
    <comment ref="G139" authorId="1" shapeId="0" xr:uid="{00000000-0006-0000-0A00-000047000000}">
      <text>
        <r>
          <rPr>
            <sz val="9"/>
            <color indexed="81"/>
            <rFont val="Tahoma"/>
            <family val="2"/>
          </rPr>
          <t>Total costs related to supervision, management, training, analysis/forecasting, and other indirect supply chain functions</t>
        </r>
      </text>
    </comment>
    <comment ref="F146" authorId="1" shapeId="0" xr:uid="{00000000-0006-0000-0A00-000048000000}">
      <text>
        <r>
          <rPr>
            <sz val="9"/>
            <color indexed="81"/>
            <rFont val="Tahoma"/>
            <family val="2"/>
          </rPr>
          <t>Table 6 provides a detailed breakdown of the travel activities required at each tier and mode of transport. These estimated activities (e.g. # trips needed, # travel days, # kilometers traveled) provide the basis for cost and utilization calculations in Tables 1-5 above. This table can be used to validate the accuracy of the Input Parameters data, by checking that key values (e.g. # Facility visits per trip, # Trips needed per year) are reasonable given the distances, number of facilities and number of resupply periods specified.
NOTE: This table does contain calculations that are unused in the final costing model. For each transport mode, the table automatically calculates details for several different design options (public transport vs owned vehicles, route-based vs. point-to-point travel), with Tables 1-5 above selecting/using only the set of calculations that matches the design specified in the Input Parameters page.  Thus when using this table for validation, the user should be careful to focus only on that same set of calculations.</t>
        </r>
      </text>
    </comment>
    <comment ref="G149" authorId="1" shapeId="0" xr:uid="{00000000-0006-0000-0A00-000049000000}">
      <text>
        <r>
          <rPr>
            <sz val="9"/>
            <color indexed="81"/>
            <rFont val="Tahoma"/>
            <family val="2"/>
          </rPr>
          <t>Same values as in Table 3 above, but can be either Total Annual Demand per Facility, Total Ambient Temp. Demand per Facility, or  Total Cold Chain Demand per Facility, depending on whether the user has indicated an exclusive cold chain mode of transport.</t>
        </r>
      </text>
    </comment>
    <comment ref="G151" authorId="1" shapeId="0" xr:uid="{00000000-0006-0000-0A00-00004A000000}">
      <text>
        <r>
          <rPr>
            <sz val="9"/>
            <color indexed="81"/>
            <rFont val="Tahoma"/>
            <family val="2"/>
          </rPr>
          <t>Total annual cold chain volume for this mode, divided by the total number of trips needed per year. Used to estimate the amount of cold box capacity needed per trip</t>
        </r>
      </text>
    </comment>
    <comment ref="G152" authorId="1" shapeId="0" xr:uid="{00000000-0006-0000-0A00-00004B000000}">
      <text>
        <r>
          <rPr>
            <sz val="9"/>
            <color indexed="81"/>
            <rFont val="Tahoma"/>
            <family val="2"/>
          </rPr>
          <t>Total number of days spent traveling per year for this mode, divided by the number of available work days. Used to estimate how many vehicles will be out for delivery at any given time, which can determine how many cold boxes a facility must have on hand</t>
        </r>
      </text>
    </comment>
    <comment ref="G154" authorId="1" shapeId="0" xr:uid="{00000000-0006-0000-0A00-00004C000000}">
      <text>
        <r>
          <rPr>
            <sz val="9"/>
            <color indexed="81"/>
            <rFont val="Tahoma"/>
            <family val="2"/>
          </rPr>
          <t>Based on 1) number of facilities using public transit, 2) number of resupply periods in a year, and 3) volume of commodities that can be carried on one public transit trip.</t>
        </r>
      </text>
    </comment>
    <comment ref="G155" authorId="1" shapeId="0" xr:uid="{00000000-0006-0000-0A00-00004D000000}">
      <text>
        <r>
          <rPr>
            <sz val="9"/>
            <color indexed="81"/>
            <rFont val="Tahoma"/>
            <family val="2"/>
          </rPr>
          <t>Number of trips needed per year multiplied by the average duration (travel time + dwell time at facility) per trip;  Will be based on either the point-to-point or route-based values below, depending on which option the user has selected for this mode</t>
        </r>
      </text>
    </comment>
    <comment ref="G156" authorId="1" shapeId="0" xr:uid="{00000000-0006-0000-0A00-00004E000000}">
      <text>
        <r>
          <rPr>
            <sz val="9"/>
            <color indexed="81"/>
            <rFont val="Tahoma"/>
            <family val="2"/>
          </rPr>
          <t>Total number of facilities at this tier, multiplied by the percentage that are using this mode of transport</t>
        </r>
      </text>
    </comment>
    <comment ref="G157" authorId="1" shapeId="0" xr:uid="{00000000-0006-0000-0A00-00004F000000}">
      <text>
        <r>
          <rPr>
            <sz val="9"/>
            <color indexed="81"/>
            <rFont val="Tahoma"/>
            <family val="2"/>
          </rPr>
          <t>Volume of commodities that can be carried on one public transit trip, divided by the total annual demand per facility for this mode</t>
        </r>
      </text>
    </comment>
    <comment ref="G159" authorId="1" shapeId="0" xr:uid="{00000000-0006-0000-0A00-000050000000}">
      <text>
        <r>
          <rPr>
            <sz val="9"/>
            <color indexed="81"/>
            <rFont val="Tahoma"/>
            <family val="2"/>
          </rPr>
          <t>Number of hours per workday divided by total visit time per facility (travel time + dwell time)</t>
        </r>
      </text>
    </comment>
    <comment ref="G160" authorId="1" shapeId="0" xr:uid="{00000000-0006-0000-0A00-000051000000}">
      <text>
        <r>
          <rPr>
            <sz val="9"/>
            <color indexed="81"/>
            <rFont val="Tahoma"/>
            <family val="2"/>
          </rPr>
          <t>Either the Max # facilities based on delivery capacity, or the Max # facilities based on time limits (Max # facilities per day * Max # days per route), whichever value is smaller</t>
        </r>
      </text>
    </comment>
    <comment ref="G161" authorId="1" shapeId="0" xr:uid="{00000000-0006-0000-0A00-000052000000}">
      <text>
        <r>
          <rPr>
            <sz val="9"/>
            <color indexed="81"/>
            <rFont val="Tahoma"/>
            <family val="2"/>
          </rPr>
          <t>Total number of facilities to visit per period, divided by the maximum number of facilities visited per route</t>
        </r>
      </text>
    </comment>
    <comment ref="G162" authorId="1" shapeId="0" xr:uid="{00000000-0006-0000-0A00-000053000000}">
      <text>
        <r>
          <rPr>
            <sz val="9"/>
            <color indexed="81"/>
            <rFont val="Tahoma"/>
            <family val="2"/>
          </rPr>
          <t>Number of individual trips needed.  For each route, the model estimates two trips needed to travel between the upstream warehouse and the first destination facility, and one additional trip for each additional facility visited on the route.</t>
        </r>
      </text>
    </comment>
    <comment ref="G163" authorId="1" shapeId="0" xr:uid="{00000000-0006-0000-0A00-000054000000}">
      <text>
        <r>
          <rPr>
            <sz val="9"/>
            <color indexed="81"/>
            <rFont val="Tahoma"/>
            <family val="2"/>
          </rPr>
          <t>Number of trips needed per period multiplied by the average duration (travel time + dwell time at facility) per trip, for route-based public transit travel</t>
        </r>
      </text>
    </comment>
    <comment ref="G165" authorId="1" shapeId="0" xr:uid="{00000000-0006-0000-0A00-000055000000}">
      <text>
        <r>
          <rPr>
            <sz val="9"/>
            <color indexed="81"/>
            <rFont val="Tahoma"/>
            <family val="2"/>
          </rPr>
          <t>Number of individual trips needed. For point-to-point travel, the model assumes two trips per facility per resupply period</t>
        </r>
      </text>
    </comment>
    <comment ref="G166" authorId="1" shapeId="0" xr:uid="{00000000-0006-0000-0A00-000056000000}">
      <text>
        <r>
          <rPr>
            <sz val="9"/>
            <color indexed="81"/>
            <rFont val="Tahoma"/>
            <family val="2"/>
          </rPr>
          <t>Number of trips needed per period multiplied by the average duration (travel time + dwell time at facility) per trip, for point-to-point public transit travel</t>
        </r>
      </text>
    </comment>
    <comment ref="G168" authorId="1" shapeId="0" xr:uid="{00000000-0006-0000-0A00-000057000000}">
      <text>
        <r>
          <rPr>
            <sz val="9"/>
            <color indexed="81"/>
            <rFont val="Tahoma"/>
            <family val="2"/>
          </rPr>
          <t>Total number of facilities at this tier, multiplied by the percentage that are using this mode of transport</t>
        </r>
      </text>
    </comment>
    <comment ref="G169" authorId="1" shapeId="0" xr:uid="{00000000-0006-0000-0A00-000058000000}">
      <text>
        <r>
          <rPr>
            <sz val="9"/>
            <color indexed="81"/>
            <rFont val="Tahoma"/>
            <family val="2"/>
          </rPr>
          <t>Distance traveled per trip, multiplied by the number of trips needed per year; will be based on either the point-to-point or route-based values below, dependign on which option the user has selected for this mode</t>
        </r>
      </text>
    </comment>
    <comment ref="G170" authorId="1" shapeId="0" xr:uid="{00000000-0006-0000-0A00-000059000000}">
      <text>
        <r>
          <rPr>
            <sz val="9"/>
            <color indexed="81"/>
            <rFont val="Tahoma"/>
            <family val="2"/>
          </rPr>
          <t>Number of individual travel trips needed, based on 1) number of facilities to visit, 2) number of resupply periods in a year, and 3) the number of facilities that can be visited in one trip. Will be based on etiher the point-to-point or route-based values below</t>
        </r>
      </text>
    </comment>
    <comment ref="G171" authorId="1" shapeId="0" xr:uid="{00000000-0006-0000-0A00-00005A000000}">
      <text>
        <r>
          <rPr>
            <sz val="9"/>
            <color indexed="81"/>
            <rFont val="Tahoma"/>
            <family val="2"/>
          </rPr>
          <t>Number of trips needed per year, multiplied by number of days needed per trip</t>
        </r>
      </text>
    </comment>
    <comment ref="G172" authorId="1" shapeId="0" xr:uid="{00000000-0006-0000-0A00-00005B000000}">
      <text>
        <r>
          <rPr>
            <sz val="9"/>
            <color indexed="81"/>
            <rFont val="Tahoma"/>
            <family val="2"/>
          </rPr>
          <t>Total volume (m^3) to deliver per trip, divided by total capacity of delivery vehicles (NOTE: if user has selected route-based travel, and the max # of facilities is limited by capacity rather than by user policies, then this value will automatically be 100%)</t>
        </r>
      </text>
    </comment>
    <comment ref="G173" authorId="1" shapeId="0" xr:uid="{00000000-0006-0000-0A00-00005C000000}">
      <text>
        <r>
          <rPr>
            <sz val="9"/>
            <color indexed="81"/>
            <rFont val="Tahoma"/>
            <family val="2"/>
          </rPr>
          <t>Number of days out on delivery per year, divided by the total number of vehicle-days availble for delivery (i.e. Number of working days per year * Number of available vehicles)</t>
        </r>
      </text>
    </comment>
    <comment ref="G175" authorId="1" shapeId="0" xr:uid="{00000000-0006-0000-0A00-00005D000000}">
      <text>
        <r>
          <rPr>
            <sz val="9"/>
            <color indexed="81"/>
            <rFont val="Tahoma"/>
            <family val="2"/>
          </rPr>
          <t>Delivery capacity of selected vehicle type (m^3) divided by average demand volume per facility per period</t>
        </r>
      </text>
    </comment>
    <comment ref="G176" authorId="1" shapeId="0" xr:uid="{00000000-0006-0000-0A00-00005E000000}">
      <text>
        <r>
          <rPr>
            <sz val="9"/>
            <color indexed="81"/>
            <rFont val="Tahoma"/>
            <family val="2"/>
          </rPr>
          <t>Maximum allowable days per delivery route (A user input from Section 6.1) multiplied by the number of facilities that can be visited in a single workday based on distance, driving speed, dwell time at facilities, etc.</t>
        </r>
      </text>
    </comment>
    <comment ref="G177" authorId="1" shapeId="0" xr:uid="{00000000-0006-0000-0A00-00005F000000}">
      <text>
        <r>
          <rPr>
            <sz val="9"/>
            <color indexed="81"/>
            <rFont val="Tahoma"/>
            <family val="2"/>
          </rPr>
          <t>Minimum of the above two numbers (i.e. the max # facilities will either be constrained by delivery capacity of the vehicle or by time available for a single route)</t>
        </r>
      </text>
    </comment>
    <comment ref="G178" authorId="1" shapeId="0" xr:uid="{00000000-0006-0000-0A00-000060000000}">
      <text>
        <r>
          <rPr>
            <sz val="9"/>
            <color indexed="81"/>
            <rFont val="Tahoma"/>
            <family val="2"/>
          </rPr>
          <t>Total number of facilities to visit per year, divided by the maximum number of facility visits per trip</t>
        </r>
      </text>
    </comment>
    <comment ref="G179" authorId="1" shapeId="0" xr:uid="{00000000-0006-0000-0A00-000061000000}">
      <text>
        <r>
          <rPr>
            <sz val="9"/>
            <color indexed="81"/>
            <rFont val="Tahoma"/>
            <family val="2"/>
          </rPr>
          <t>2*[Distance to nearest upstream facility]  +  [N-1]*[Distance bewteen facilities at this tier],  where "N" equals the maximum number of facility visits per trip</t>
        </r>
      </text>
    </comment>
    <comment ref="G180" authorId="1" shapeId="0" xr:uid="{00000000-0006-0000-0A00-000062000000}">
      <text>
        <r>
          <rPr>
            <sz val="9"/>
            <color indexed="81"/>
            <rFont val="Tahoma"/>
            <family val="2"/>
          </rPr>
          <t>Total time spent in-facility (Number of facility deliveries per trip * dwell time per facility ) plus Total driving time between facilities (Distance traveled * Average speed)</t>
        </r>
      </text>
    </comment>
    <comment ref="G181" authorId="1" shapeId="0" xr:uid="{00000000-0006-0000-0A00-000063000000}">
      <text>
        <r>
          <rPr>
            <sz val="9"/>
            <color indexed="81"/>
            <rFont val="Tahoma"/>
            <family val="2"/>
          </rPr>
          <t>Total available vehicle-days (number of working days per year * number of available vehicles) divided by total time needed per trip</t>
        </r>
      </text>
    </comment>
    <comment ref="G183" authorId="1" shapeId="0" xr:uid="{00000000-0006-0000-0A00-000064000000}">
      <text>
        <r>
          <rPr>
            <sz val="9"/>
            <color indexed="81"/>
            <rFont val="Tahoma"/>
            <family val="2"/>
          </rPr>
          <t>Total number of facilities to visit per year, divided by the maximum number of facility visits per trip (will be equal to one trip per facility per period, unless the delivery capacity of the vehicle is less than the facility's demand volume)</t>
        </r>
      </text>
    </comment>
    <comment ref="G184" authorId="1" shapeId="0" xr:uid="{00000000-0006-0000-0A00-000065000000}">
      <text>
        <r>
          <rPr>
            <sz val="9"/>
            <color indexed="81"/>
            <rFont val="Tahoma"/>
            <family val="2"/>
          </rPr>
          <t>Equal to twice the distance between a facility and its upstream supplier</t>
        </r>
      </text>
    </comment>
    <comment ref="G185" authorId="1" shapeId="0" xr:uid="{00000000-0006-0000-0A00-000066000000}">
      <text>
        <r>
          <rPr>
            <sz val="9"/>
            <color indexed="81"/>
            <rFont val="Tahoma"/>
            <family val="2"/>
          </rPr>
          <t>Total available vehicle-days (number of working days per year * number of available vehicles) divided by total time needed per trip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Mariam Zameer</author>
  </authors>
  <commentList>
    <comment ref="B5" authorId="0" shapeId="0" xr:uid="{00000000-0006-0000-0E00-000001000000}">
      <text>
        <r>
          <rPr>
            <sz val="10"/>
            <color indexed="81"/>
            <rFont val="Tahoma"/>
            <family val="2"/>
          </rPr>
          <t>Select a data template that you would like to use to fill in any gaps where data are missing. This will load data into the "Value used in Model" column as a default. 
You may use the value from the template as-is, or override them by entering your own in the green cells</t>
        </r>
      </text>
    </comment>
    <comment ref="B6" authorId="0" shapeId="0" xr:uid="{00000000-0006-0000-0E00-000002000000}">
      <text>
        <r>
          <rPr>
            <sz val="10"/>
            <color indexed="81"/>
            <rFont val="Tahoma"/>
            <family val="2"/>
          </rPr>
          <t xml:space="preserve">All data template values are in US Dollars.
If your own data is in a different currency, and you would like the output to stay in this other currency, please enter the exchange rate of "Amount of local currency per $1 US Dollar"
</t>
        </r>
      </text>
    </comment>
    <comment ref="B7" authorId="0" shapeId="0" xr:uid="{00000000-0006-0000-0E00-000003000000}">
      <text>
        <r>
          <rPr>
            <sz val="10"/>
            <color indexed="81"/>
            <rFont val="Tahoma"/>
            <family val="2"/>
          </rPr>
          <t>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0E00-000004000000}">
      <text>
        <r>
          <rPr>
            <sz val="10"/>
            <color indexed="81"/>
            <rFont val="Tahoma"/>
            <family val="2"/>
          </rPr>
          <t>Enter the average per-liter price of fuel  (petrol, gas or diesel)</t>
        </r>
      </text>
    </comment>
    <comment ref="B9" authorId="1" shapeId="0" xr:uid="{00000000-0006-0000-0E00-000005000000}">
      <text>
        <r>
          <rPr>
            <b/>
            <sz val="10"/>
            <color indexed="81"/>
            <rFont val="Tahoma"/>
            <family val="2"/>
          </rPr>
          <t>E</t>
        </r>
        <r>
          <rPr>
            <sz val="10"/>
            <color indexed="81"/>
            <rFont val="Tahoma"/>
            <family val="2"/>
          </rPr>
          <t>nter an assumed number of working days in a calendar year, excluding weekends, holidays, vacation time, sick leave, etc. 
Typical working days in a year in USA are 260</t>
        </r>
      </text>
    </comment>
    <comment ref="B10" authorId="1" shapeId="0" xr:uid="{00000000-0006-0000-0E00-000006000000}">
      <text>
        <r>
          <rPr>
            <b/>
            <sz val="10"/>
            <color indexed="81"/>
            <rFont val="Tahoma"/>
            <family val="2"/>
          </rPr>
          <t>E</t>
        </r>
        <r>
          <rPr>
            <sz val="10"/>
            <color indexed="81"/>
            <rFont val="Tahoma"/>
            <family val="2"/>
          </rPr>
          <t>nter an assumed average number of working hours in a single work day
Typical working hours in a week are 40</t>
        </r>
      </text>
    </comment>
    <comment ref="B11" authorId="1" shapeId="0" xr:uid="{00000000-0006-0000-0E00-000007000000}">
      <text>
        <r>
          <rPr>
            <sz val="10"/>
            <color indexed="81"/>
            <rFont val="Tahoma"/>
            <family val="2"/>
          </rPr>
          <t xml:space="preserve">Enter average  life of a vehicle. Typical value is 5-7 years.
This is used to calculate annual depreciation costs for vehicles using straighltline depreciation method (initial purchase price divided by the number of years of useful life). </t>
        </r>
      </text>
    </comment>
    <comment ref="B12" authorId="1" shapeId="0" xr:uid="{00000000-0006-0000-0E00-000008000000}">
      <text>
        <r>
          <rPr>
            <sz val="10"/>
            <color indexed="81"/>
            <rFont val="Tahoma"/>
            <family val="2"/>
          </rPr>
          <t>Enter average life of cold boxes. Typical life is 5 years.
This is used to calculate annual depreciation costs for cold storage boxes. This model uses straighltline depreciation method (initial purchase price divided by the number of years of useful life)</t>
        </r>
      </text>
    </comment>
    <comment ref="B16" authorId="2" shapeId="0" xr:uid="{00000000-0006-0000-0E00-000009000000}">
      <text>
        <r>
          <rPr>
            <sz val="10"/>
            <color indexed="81"/>
            <rFont val="Tahoma"/>
            <family val="2"/>
          </rPr>
          <t>Select "no" if you have demand pre-calculated</t>
        </r>
      </text>
    </comment>
    <comment ref="B17" authorId="1" shapeId="0" xr:uid="{00000000-0006-0000-0E00-00000A000000}">
      <text>
        <r>
          <rPr>
            <sz val="10"/>
            <color rgb="FF000000"/>
            <rFont val="Tahoma"/>
            <family val="2"/>
          </rPr>
          <t>Total amount of ambient-temperature product in m^3 stored at room temperature that flows through the supply chain in a year. 
Typically measured at one end of the supply chain -- either total volume procured by a central-level organization, or total volume delivered to health facilities 
Products include: most liquid, tablet, and injectable medications, consumables like syringes, safety boxes etc.</t>
        </r>
      </text>
    </comment>
    <comment ref="B18" authorId="1" shapeId="0" xr:uid="{00000000-0006-0000-0E00-00000B000000}">
      <text>
        <r>
          <rPr>
            <sz val="10"/>
            <color indexed="81"/>
            <rFont val="Tahoma"/>
            <family val="2"/>
          </rPr>
          <t>Total amount of product in m^3 stored in cold storage (refrigerator or freezer) that flow through the supply chain in a year. 
Products include: most vaccines, oxytocin, insulin in many cases, etc.</t>
        </r>
      </text>
    </comment>
    <comment ref="B19" authorId="1" shapeId="0" xr:uid="{00000000-0006-0000-0E00-00000C000000}">
      <text>
        <r>
          <rPr>
            <sz val="10"/>
            <color indexed="81"/>
            <rFont val="Tahoma"/>
            <family val="2"/>
          </rPr>
          <t>Enter the total number of individual product types that are managed by the supply chain. 
Procedures differ from country to country, but different presentations or dosages of the same medication are often treated as separate products, while different manufacturers of the same medication &amp; presentation are often managed as a single product. 
Some Examples:
-- Amoxicillin comes in both 500mg tablets and 500mg capsules. These would usually be two separate commodities
-- Artemether+Lumefantrine comes in four dosage sizes: 1 tablet x 4 doses, 2x4, 3x4, and 4x4. These are typically four separate commodities
-- Artemether+Lumerantrine 4x4 is produced by Novartis as well as Cipla. This is generally managed as one commodity if found together in the same clinic</t>
        </r>
      </text>
    </comment>
    <comment ref="B20" authorId="1" shapeId="0" xr:uid="{00000000-0006-0000-0E00-00000D000000}">
      <text>
        <r>
          <rPr>
            <sz val="10"/>
            <color rgb="FF000000"/>
            <rFont val="Tahoma"/>
            <family val="2"/>
          </rPr>
          <t xml:space="preserve">Does the total demand value represent the volume delivered to health facilities at the last mile, or does it represent the volume procured at the national level?  
This parameter becomes important when expiry and wastage are significant. For example, if Total System Demand Volume is 1000 m^3:
- </t>
        </r>
        <r>
          <rPr>
            <b/>
            <sz val="10"/>
            <color rgb="FF000000"/>
            <rFont val="Tahoma"/>
            <family val="2"/>
          </rPr>
          <t>Procured</t>
        </r>
        <r>
          <rPr>
            <sz val="10"/>
            <color rgb="FF000000"/>
            <rFont val="Tahoma"/>
            <family val="2"/>
          </rPr>
          <t xml:space="preserve">: If it is procured at the national level, and a 5% wastage rate at each tier, then total demand volume reaching health facilities is actually less than 1000 m^3 
- </t>
        </r>
        <r>
          <rPr>
            <b/>
            <sz val="10"/>
            <color rgb="FF000000"/>
            <rFont val="Tahoma"/>
            <family val="2"/>
          </rPr>
          <t>Delivered</t>
        </r>
        <r>
          <rPr>
            <sz val="10"/>
            <color rgb="FF000000"/>
            <rFont val="Tahoma"/>
            <family val="2"/>
          </rPr>
          <t>: If it is delivered to health facilities, then this is after 5% wastage has already been taken into account. Hence, upstream tiers must be handling/procuring more than 1000 m^3</t>
        </r>
      </text>
    </comment>
    <comment ref="K20" authorId="0" shapeId="0" xr:uid="{00000000-0006-0000-0E00-00000E000000}">
      <text>
        <r>
          <rPr>
            <sz val="9"/>
            <color indexed="81"/>
            <rFont val="Tahoma"/>
            <family val="2"/>
          </rPr>
          <t>Requires user to enter a minimum of 1) overall target population size, and 2) type and presentation of vaccines to include.
Worksheet calculates estimated cold and ambient temperature demand volume, and estimated value of procured products.</t>
        </r>
      </text>
    </comment>
    <comment ref="B21" authorId="1" shapeId="0" xr:uid="{00000000-0006-0000-0E00-00000F000000}">
      <text>
        <r>
          <rPr>
            <sz val="10"/>
            <color indexed="81"/>
            <rFont val="Tahoma"/>
            <family val="2"/>
          </rPr>
          <t>Estimated cash value (typically procurement value) of the Total System Demand Volume. 
It is used to calculate the "Cost as a percentage of commodity value" statistic in the Outputs. If this metric is not important to the user, this field can be left blank.</t>
        </r>
      </text>
    </comment>
    <comment ref="K21" authorId="0" shapeId="0" xr:uid="{00000000-0006-0000-0E00-000010000000}">
      <text>
        <r>
          <rPr>
            <sz val="9"/>
            <color indexed="81"/>
            <rFont val="Tahoma"/>
            <family val="2"/>
          </rPr>
          <t>Requires user to either 1) specify a target country, or 2) specify a target population, contraceptive prevalence rate, and method mix for key contraceptive types.
Worksheet calculates estimated demand volume (m^3) of contraceptive products, as well as their estimated procurement value.</t>
        </r>
      </text>
    </comment>
    <comment ref="K22" authorId="0" shapeId="0" xr:uid="{00000000-0006-0000-0E00-000011000000}">
      <text>
        <r>
          <rPr>
            <sz val="9"/>
            <color indexed="81"/>
            <rFont val="Tahoma"/>
            <family val="2"/>
          </rPr>
          <t>Requires user to enter 1) a list of products, 2) number of units consumed for each product, and 3) specify a general product type, e.g. "bottle of liquid - large".
Worksheet draws from USAID Product-Volume Database to estimate the overall volume (m^3) of the products consumed. 
Unlike the other two worksheets, this one does not rely on demographic data - it requires prior logistics data on units of product consumed. However, it provides a general framework that can be applied to products from any program area</t>
        </r>
      </text>
    </comment>
    <comment ref="B25" authorId="2" shapeId="0" xr:uid="{00000000-0006-0000-0E00-000012000000}">
      <text>
        <r>
          <rPr>
            <sz val="10"/>
            <color indexed="81"/>
            <rFont val="Tahoma"/>
            <family val="2"/>
          </rPr>
          <t>For each position listed, enter an average hourly salary rate, and daily travel perdiem rate. These are used to calculate labor costs of storage, delivery, and other supply chain activities. 
If a  supply chain position isn't already listed, add them under "Other Personnel Type".  
Positions that are not used can be left blank.</t>
        </r>
      </text>
    </comment>
    <comment ref="B27" authorId="1" shapeId="0" xr:uid="{00000000-0006-0000-0E00-000013000000}">
      <text>
        <r>
          <rPr>
            <sz val="10"/>
            <color rgb="FF000000"/>
            <rFont val="Tahoma"/>
            <family val="2"/>
          </rPr>
          <t>Leave blank. 
This is a placeholder for when a) the user selects 3rd Party Logistics Provider (3PL) as a transportation option in section 5 &amp; 6 and, therefore, is not paying salary or perdiem for the drivers and logisticians who operate those 3PL transportation resources.</t>
        </r>
      </text>
    </comment>
    <comment ref="B28" authorId="1" shapeId="0" xr:uid="{00000000-0006-0000-0E00-000014000000}">
      <text>
        <r>
          <rPr>
            <sz val="10"/>
            <color rgb="FF000000"/>
            <rFont val="Tahoma"/>
            <family val="2"/>
          </rPr>
          <t>Enter personnel type not listed above.
Enter both an average hourly salary rate, and a daily travel perdiem rate.</t>
        </r>
      </text>
    </comment>
    <comment ref="B29" authorId="1" shapeId="0" xr:uid="{00000000-0006-0000-0E00-000015000000}">
      <text>
        <r>
          <rPr>
            <sz val="10"/>
            <color rgb="FF000000"/>
            <rFont val="Tahoma"/>
            <family val="2"/>
          </rPr>
          <t>Enter personnel type not listed above.
Enter both an average hourly salary rate, and a daily travel perdiem rate.</t>
        </r>
      </text>
    </comment>
    <comment ref="B30" authorId="1" shapeId="0" xr:uid="{00000000-0006-0000-0E00-000016000000}">
      <text>
        <r>
          <rPr>
            <sz val="10"/>
            <color rgb="FF000000"/>
            <rFont val="Tahoma"/>
            <family val="2"/>
          </rPr>
          <t>Enter personnel type not listed above.
Enter both an average hourly salary rate, and a daily travel perdiem rate.</t>
        </r>
      </text>
    </comment>
    <comment ref="B31" authorId="1" shapeId="0" xr:uid="{00000000-0006-0000-0E00-000017000000}">
      <text>
        <r>
          <rPr>
            <sz val="10"/>
            <color rgb="FF000000"/>
            <rFont val="Tahoma"/>
            <family val="2"/>
          </rPr>
          <t>Enter personnel type not listed above.
Enter both an average hourly salary rate, and a daily travel perdiem rate.</t>
        </r>
      </text>
    </comment>
    <comment ref="B32" authorId="1" shapeId="0" xr:uid="{00000000-0006-0000-0E00-000018000000}">
      <text>
        <r>
          <rPr>
            <sz val="10"/>
            <color rgb="FF000000"/>
            <rFont val="Tahoma"/>
            <family val="2"/>
          </rPr>
          <t>Enter personnel type not listed above.
Enter both an average hourly salary rate, and a daily travel perdiem rate.</t>
        </r>
      </text>
    </comment>
    <comment ref="B33" authorId="1" shapeId="0" xr:uid="{00000000-0006-0000-0E00-000019000000}">
      <text>
        <r>
          <rPr>
            <sz val="10"/>
            <color rgb="FF000000"/>
            <rFont val="Tahoma"/>
            <family val="2"/>
          </rPr>
          <t>Enter personnel type not listed above.
Enter both an average hourly salary rate, and a daily travel perdiem rate.</t>
        </r>
      </text>
    </comment>
    <comment ref="B34" authorId="1" shapeId="0" xr:uid="{00000000-0006-0000-0E00-00001A000000}">
      <text>
        <r>
          <rPr>
            <sz val="10"/>
            <color rgb="FF000000"/>
            <rFont val="Tahoma"/>
            <family val="2"/>
          </rPr>
          <t>Enter personnel type not listed above.
Enter both an average hourly salary rate, and a daily travel perdiem rate.</t>
        </r>
      </text>
    </comment>
    <comment ref="B35" authorId="1" shapeId="0" xr:uid="{00000000-0006-0000-0E00-00001B000000}">
      <text>
        <r>
          <rPr>
            <sz val="10"/>
            <color rgb="FF000000"/>
            <rFont val="Tahoma"/>
            <family val="2"/>
          </rPr>
          <t>Enter personnel type not listed above.
Enter both an average hourly salary rate, and a daily travel perdiem rate.</t>
        </r>
      </text>
    </comment>
    <comment ref="B36" authorId="1" shapeId="0" xr:uid="{00000000-0006-0000-0E00-00001C000000}">
      <text>
        <r>
          <rPr>
            <sz val="10"/>
            <color rgb="FF000000"/>
            <rFont val="Tahoma"/>
            <family val="2"/>
          </rPr>
          <t>Enter personnel type not listed above.
Enter both an average hourly salary rate, and a daily travel perdiem rate.</t>
        </r>
      </text>
    </comment>
    <comment ref="B37" authorId="1" shapeId="0" xr:uid="{00000000-0006-0000-0E00-00001D000000}">
      <text>
        <r>
          <rPr>
            <sz val="10"/>
            <color rgb="FF000000"/>
            <rFont val="Tahoma"/>
            <family val="2"/>
          </rPr>
          <t>Enter personnel type not listed above.
Enter both an average hourly salary rate, and a daily travel perdiem rate.</t>
        </r>
      </text>
    </comment>
    <comment ref="B38" authorId="1" shapeId="0" xr:uid="{00000000-0006-0000-0E00-00001E000000}">
      <text>
        <r>
          <rPr>
            <sz val="10"/>
            <color rgb="FF000000"/>
            <rFont val="Tahoma"/>
            <family val="2"/>
          </rPr>
          <t>Enter personnel type not listed above.
Enter both an average hourly salary rate, and a daily travel perdiem rate.</t>
        </r>
      </text>
    </comment>
    <comment ref="D42" authorId="1" shapeId="0" xr:uid="{00000000-0006-0000-0E00-00001F000000}">
      <text>
        <r>
          <rPr>
            <sz val="10"/>
            <color indexed="81"/>
            <rFont val="Tahoma"/>
            <family val="2"/>
          </rPr>
          <t>Only fill the types of vehicles that are actually used in the analysis; leave others blank. 
Use the Notes section to document assumptions and interpretations.</t>
        </r>
      </text>
    </comment>
    <comment ref="D43" authorId="1" shapeId="0" xr:uid="{00000000-0006-0000-0E00-000020000000}">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4" authorId="1" shapeId="0" xr:uid="{00000000-0006-0000-0E00-000021000000}">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5" authorId="1" shapeId="0" xr:uid="{00000000-0006-0000-0E00-000022000000}">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a vaccine carrier or cold box is most commoly used.</t>
        </r>
      </text>
    </comment>
    <comment ref="D46" authorId="1" shapeId="0" xr:uid="{00000000-0006-0000-0E00-000023000000}">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7" authorId="1" shapeId="0" xr:uid="{00000000-0006-0000-0E00-000024000000}">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8" authorId="1" shapeId="0" xr:uid="{00000000-0006-0000-0E00-000025000000}">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mostly a vaccine carrier or cold box is used.</t>
        </r>
      </text>
    </comment>
    <comment ref="D49" authorId="1" shapeId="0" xr:uid="{00000000-0006-0000-0E00-000026000000}">
      <text>
        <r>
          <rPr>
            <sz val="10"/>
            <color indexed="81"/>
            <rFont val="Tahoma"/>
            <family val="2"/>
          </rPr>
          <t>Enter typical local purchase price of one motorcycle in USD that is used for transporating SC commodities</t>
        </r>
      </text>
    </comment>
    <comment ref="D50" authorId="1" shapeId="0" xr:uid="{00000000-0006-0000-0E00-000027000000}">
      <text>
        <r>
          <rPr>
            <sz val="10"/>
            <color indexed="81"/>
            <rFont val="Tahoma"/>
            <family val="2"/>
          </rPr>
          <t>Input is optional; will be automatically calculated based on vehicle useful life and the purchase price for this vehicle type.</t>
        </r>
      </text>
    </comment>
    <comment ref="D51" authorId="1" shapeId="0" xr:uid="{00000000-0006-0000-0E00-000028000000}">
      <text>
        <r>
          <rPr>
            <sz val="10"/>
            <color indexed="81"/>
            <rFont val="Tahoma"/>
            <family val="2"/>
          </rPr>
          <t>Enter typical annual cost to insure one motorcycle for use in supply chain-related activities</t>
        </r>
      </text>
    </comment>
    <comment ref="D52" authorId="1" shapeId="0" xr:uid="{00000000-0006-0000-0E00-000029000000}">
      <text>
        <r>
          <rPr>
            <sz val="10"/>
            <color indexed="81"/>
            <rFont val="Tahoma"/>
            <family val="2"/>
          </rPr>
          <t>Enter expected maintenance cost per kilometer for one motorcycle. 
This can be calculated by taking the total maintenance costs for a motorcycle (or fleet of motorcycles) over a period of time, and dividing by the overall number of kilometers traveled in that period of time.</t>
        </r>
      </text>
    </comment>
    <comment ref="D53" authorId="1" shapeId="0" xr:uid="{00000000-0006-0000-0E00-00002A000000}">
      <text>
        <r>
          <rPr>
            <sz val="10"/>
            <color indexed="81"/>
            <rFont val="Tahoma"/>
            <family val="2"/>
          </rPr>
          <t>Enter liters of fuel required to travel 1 km by motorcycle.  
This can be calculated by taking the total number of liters of fuel purchased for a motorcycle (or fleet of motorcycles) over a period of time, and dividing by the overall number of kilometers traveled in that period of time.</t>
        </r>
      </text>
    </comment>
    <comment ref="D54" authorId="1" shapeId="0" xr:uid="{00000000-0006-0000-0E00-00002B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55" authorId="1" shapeId="0" xr:uid="{00000000-0006-0000-0E00-00002C000000}">
      <text>
        <r>
          <rPr>
            <sz val="10"/>
            <color indexed="81"/>
            <rFont val="Tahoma"/>
            <family val="2"/>
          </rPr>
          <t>Enter typical local purchase price (in $ USD) of a car, truck, or off-road 4x4 vehicle that is used for transporating SC commodities</t>
        </r>
      </text>
    </comment>
    <comment ref="D56" authorId="1" shapeId="0" xr:uid="{00000000-0006-0000-0E00-00002D000000}">
      <text>
        <r>
          <rPr>
            <sz val="10"/>
            <color indexed="81"/>
            <rFont val="Tahoma"/>
            <family val="2"/>
          </rPr>
          <t>Input is optional; will be automatically calculated based on vehicle useful life and the purchase price for this vehicle type.</t>
        </r>
      </text>
    </comment>
    <comment ref="D57" authorId="1" shapeId="0" xr:uid="{00000000-0006-0000-0E00-00002E000000}">
      <text>
        <r>
          <rPr>
            <sz val="10"/>
            <color indexed="81"/>
            <rFont val="Tahoma"/>
            <family val="2"/>
          </rPr>
          <t>Enter typical annual cost to insure one car, Land Cruiser or other vehicle for use in supply chain-related activities</t>
        </r>
      </text>
    </comment>
    <comment ref="D58" authorId="1" shapeId="0" xr:uid="{00000000-0006-0000-0E00-00002F000000}">
      <text>
        <r>
          <rPr>
            <sz val="10"/>
            <color indexed="81"/>
            <rFont val="Tahoma"/>
            <family val="2"/>
          </rPr>
          <t>Enter expected maintenance cost per kilometer for one car or off-road 4x4 vehicle e.g. Land Cruiser. 
This can be calculated by taking the total maintenance costs for a vehicle (or fleet of vehicle) over a period of time, and dividing by the overall number of kilometers traveled in that period of time.</t>
        </r>
      </text>
    </comment>
    <comment ref="D59" authorId="1" shapeId="0" xr:uid="{00000000-0006-0000-0E00-000030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0" authorId="1" shapeId="0" xr:uid="{00000000-0006-0000-0E00-000031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1" authorId="1" shapeId="0" xr:uid="{00000000-0006-0000-0E00-000032000000}">
      <text>
        <r>
          <rPr>
            <sz val="10"/>
            <color indexed="81"/>
            <rFont val="Tahoma"/>
            <family val="2"/>
          </rPr>
          <t>Enter typical local purchase price in USD of one commercial box or flatbed truck (e.g. Mitsubishi Canter, Fuso Fighter, Toyota Hiace) that is used for transporating SC commodities</t>
        </r>
      </text>
    </comment>
    <comment ref="D62" authorId="1" shapeId="0" xr:uid="{00000000-0006-0000-0E00-000033000000}">
      <text>
        <r>
          <rPr>
            <sz val="10"/>
            <color indexed="81"/>
            <rFont val="Tahoma"/>
            <family val="2"/>
          </rPr>
          <t>Input is optional; will be automatically calculated based on vehicle useful life and the purchase price for this vehicle type.</t>
        </r>
      </text>
    </comment>
    <comment ref="D63" authorId="1" shapeId="0" xr:uid="{00000000-0006-0000-0E00-000034000000}">
      <text>
        <r>
          <rPr>
            <sz val="10"/>
            <color indexed="81"/>
            <rFont val="Tahoma"/>
            <family val="2"/>
          </rPr>
          <t>Enter typical annual cost to insure one commercial flatbed or box truck (e.g. Mitsubishi Fuso Fighter or Canter, Nissan UD-60/70/80) for use in supply chain-related activities</t>
        </r>
      </text>
    </comment>
    <comment ref="D64" authorId="1" shapeId="0" xr:uid="{00000000-0006-0000-0E00-000035000000}">
      <text>
        <r>
          <rPr>
            <sz val="10"/>
            <color rgb="FF000000"/>
            <rFont val="Tahoma"/>
            <family val="2"/>
          </rPr>
          <t>Enter expected maintenance cost per kilometer for one commercial flatbed or box truck. 
This can be calculated by taking the total maintenance costs for a vehicle (or fleet of vehicles) over a period of time, and dividing by the overall number of kilometers traveled in that period of time.</t>
        </r>
      </text>
    </comment>
    <comment ref="D65" authorId="1" shapeId="0" xr:uid="{00000000-0006-0000-0E00-000036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6" authorId="1" shapeId="0" xr:uid="{00000000-0006-0000-0E00-000037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7" authorId="1" shapeId="0" xr:uid="{00000000-0006-0000-0E00-000038000000}">
      <text>
        <r>
          <rPr>
            <sz val="10"/>
            <color indexed="81"/>
            <rFont val="Tahoma"/>
            <family val="2"/>
          </rPr>
          <t>Enter typical local purchase price of one refrigerated truck in USD that is used for transporating cold chain commodities</t>
        </r>
      </text>
    </comment>
    <comment ref="D68" authorId="1" shapeId="0" xr:uid="{00000000-0006-0000-0E00-000039000000}">
      <text>
        <r>
          <rPr>
            <sz val="10"/>
            <color indexed="81"/>
            <rFont val="Tahoma"/>
            <family val="2"/>
          </rPr>
          <t>Input is optional; will be automatically calculated based on vehicle useful life and the purchase price for this vehicle type.</t>
        </r>
      </text>
    </comment>
    <comment ref="D69" authorId="1" shapeId="0" xr:uid="{00000000-0006-0000-0E00-00003A000000}">
      <text>
        <r>
          <rPr>
            <sz val="10"/>
            <color indexed="81"/>
            <rFont val="Tahoma"/>
            <family val="2"/>
          </rPr>
          <t>Enter typical annual cost to insureone refrigerated truck for use in supply chain-related activities</t>
        </r>
      </text>
    </comment>
    <comment ref="D70" authorId="1" shapeId="0" xr:uid="{00000000-0006-0000-0E00-00003B000000}">
      <text>
        <r>
          <rPr>
            <sz val="10"/>
            <color rgb="FF000000"/>
            <rFont val="Tahoma"/>
            <family val="2"/>
          </rPr>
          <t>Enter expected maintenance cost per kilometer for one refrigerated truck. 
This can be calculated by taking the total maintenance costs for a vehicle (or fleet of vehicles) over a period of time, and dividing by the overall number of kilometers traveled in that period of time.</t>
        </r>
      </text>
    </comment>
    <comment ref="D71" authorId="1" shapeId="0" xr:uid="{00000000-0006-0000-0E00-00003C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2" authorId="1" shapeId="0" xr:uid="{00000000-0006-0000-0E00-00003D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73" authorId="1" shapeId="0" xr:uid="{00000000-0006-0000-0E00-00003E000000}">
      <text>
        <r>
          <rPr>
            <sz val="10"/>
            <color indexed="81"/>
            <rFont val="Tahoma"/>
            <family val="2"/>
          </rPr>
          <t>Enter typical local purchase price in USD of one additional vehicle that is used for transporating SC commodities and not covered by any of the above categories</t>
        </r>
      </text>
    </comment>
    <comment ref="D74" authorId="1" shapeId="0" xr:uid="{00000000-0006-0000-0E00-00003F000000}">
      <text>
        <r>
          <rPr>
            <sz val="10"/>
            <color indexed="81"/>
            <rFont val="Tahoma"/>
            <family val="2"/>
          </rPr>
          <t>Input is optional; will be automatically calculated based on vehicle useful life and the purchase price for this vehicle type.</t>
        </r>
      </text>
    </comment>
    <comment ref="D75" authorId="1" shapeId="0" xr:uid="{00000000-0006-0000-0E00-000040000000}">
      <text>
        <r>
          <rPr>
            <sz val="10"/>
            <color rgb="FF000000"/>
            <rFont val="Tahoma"/>
            <family val="2"/>
          </rPr>
          <t>Enter typical annual cost to insure one vehicle of this type for use in supply chain-related activities</t>
        </r>
      </text>
    </comment>
    <comment ref="D76" authorId="1" shapeId="0" xr:uid="{00000000-0006-0000-0E00-000041000000}">
      <text>
        <r>
          <rPr>
            <sz val="10"/>
            <color rgb="FF000000"/>
            <rFont val="Tahoma"/>
            <family val="2"/>
          </rPr>
          <t>Enter expected maintenance cost per kilometer for one vehicle. 
This can be calculated by taking the total maintenance costs for a vehicle (or fleet of vehicles) over a period of time, and dividing by the overall number of kilometers traveled in that period of time.</t>
        </r>
      </text>
    </comment>
    <comment ref="D77" authorId="1" shapeId="0" xr:uid="{00000000-0006-0000-0E00-000042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8" authorId="1" shapeId="0" xr:uid="{00000000-0006-0000-0E00-000043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B86" authorId="1" shapeId="0" xr:uid="{00000000-0006-0000-0E00-000044000000}">
      <text>
        <r>
          <rPr>
            <sz val="10"/>
            <color rgb="FF000000"/>
            <rFont val="Tahoma"/>
            <family val="2"/>
          </rPr>
          <t>Select a data template to use for Sections 5 and 6. 
This will load data into the "Value used in Model" column, which you can use as-is or override with your own data by entering it into the green cells.</t>
        </r>
      </text>
    </comment>
    <comment ref="B87" authorId="1" shapeId="0" xr:uid="{00000000-0006-0000-0E00-000045000000}">
      <text>
        <r>
          <rPr>
            <sz val="10"/>
            <color indexed="81"/>
            <rFont val="Tahoma"/>
            <family val="2"/>
          </rPr>
          <t>Select which tier from the data template to use. 
For example, if a data template contains three tiers (Central=Tier 1, Regional=Tier 2, and Facility=Tier 3) and you want to pull data from the Regional tier, then select "Tier 2".   
This is important as tier numbers on the data templates may not necessarily align with the tier numbers in the model being analyzed.</t>
        </r>
      </text>
    </comment>
    <comment ref="B88" authorId="1" shapeId="0" xr:uid="{00000000-0006-0000-0E00-000046000000}">
      <text>
        <r>
          <rPr>
            <sz val="10"/>
            <color indexed="81"/>
            <rFont val="Tahoma"/>
            <family val="2"/>
          </rPr>
          <t xml:space="preserve">Name each tier for the type of facility, e.g. central medical stores, regional or district warehouse, health facility.  
Tier 1 should represent the most upstream tier being modeled, e.g. national store if modeling an entire country, or a regional medical store if modeling a specific province or region.
</t>
        </r>
      </text>
    </comment>
    <comment ref="B92" authorId="1" shapeId="0" xr:uid="{00000000-0006-0000-0E00-000047000000}">
      <text>
        <r>
          <rPr>
            <sz val="10"/>
            <color rgb="FF000000"/>
            <rFont val="Tahoma"/>
            <family val="2"/>
          </rPr>
          <t>For each tier, enter the total geographic area (in km^2) over which facilities in that tier are distributed. 
-- This may be the same value for each tier in the model
-- For different value for each tier: for example, if considering a supply chain program only within a single region of a country, but want to include transportation from the national Central Medical Stores, enter the National land area for Tier 1 , and the Regional land area for both Tier 2  (e.g. Regional Warehouse) and Tier 3 (Health Clinic)</t>
        </r>
      </text>
    </comment>
    <comment ref="B93" authorId="1" shapeId="0" xr:uid="{00000000-0006-0000-0E00-000048000000}">
      <text>
        <r>
          <rPr>
            <sz val="10"/>
            <color indexed="81"/>
            <rFont val="Tahoma"/>
            <family val="2"/>
          </rPr>
          <t>Enter between 0% to 100%
Specify what percentage of the Total System Demand Volume (listed above) will be included in storage and distribution modeling at each tier.  
Most users will enter100% for every tier, unless there is a specific reason, e.g. if storage/distribution for a certain subset of commodities is handled by an outside partner, and the user specifically wants to exclude those costs from consideration in the analysis</t>
        </r>
      </text>
    </comment>
    <comment ref="B94" authorId="1" shapeId="0" xr:uid="{00000000-0006-0000-0E00-000049000000}">
      <text>
        <r>
          <rPr>
            <sz val="10"/>
            <color indexed="81"/>
            <rFont val="Tahoma"/>
            <family val="2"/>
          </rPr>
          <t>Enter expected % of commodity volume that is lost to expiry or wastage during storage/delivery from the upstream facilities.  
The value for Tier 1 can be left blank.
If wastage rate by tier is not known, assume equal wastage across all tiers. To calculate, take total wastage rate and divide across the number of tiers to get waste rate at each tier</t>
        </r>
      </text>
    </comment>
    <comment ref="B95" authorId="1" shapeId="0" xr:uid="{00000000-0006-0000-0E00-00004A000000}">
      <text>
        <r>
          <rPr>
            <sz val="10"/>
            <color indexed="81"/>
            <rFont val="Tahoma"/>
            <family val="2"/>
          </rPr>
          <t>Enter the number of facilities that receive and store product at that tier. 
For example, for a three-tier supply chain with 1 Central Medical Store, 20 Regional Warehouses, and 2000 Health Clinics, the user would enter "1" under Tier 1 , "20" under the Tier 2 , and "2000" under the Tier 3</t>
        </r>
      </text>
    </comment>
    <comment ref="B96" authorId="1" shapeId="0" xr:uid="{00000000-0006-0000-0E00-00004B000000}">
      <text>
        <r>
          <rPr>
            <sz val="10"/>
            <color rgb="FF000000"/>
            <rFont val="Tahoma"/>
            <family val="2"/>
          </rPr>
          <t>Enter how frequently products are generally ordered and replenished in a year. 
This is does not refer to resupply per facility. E.g. a large regional facility may receive a resupply shipment weekly, but only receive a particular product on a monthly basis. In this case the user would enter "12" corresponding with monthly product orders.</t>
        </r>
      </text>
    </comment>
    <comment ref="B97" authorId="1" shapeId="0" xr:uid="{00000000-0006-0000-0E00-00004C000000}">
      <text>
        <r>
          <rPr>
            <sz val="10"/>
            <color rgb="FF000000"/>
            <rFont val="Tahoma"/>
            <family val="2"/>
          </rPr>
          <t>Circuity factor is a value by which straight-line distances are multipled to calculate a more realistic road distance.  
In HICs urban environments, this value has been estimated at 1.2 - 1.3 (meaning road distance is 1.2-1.3x greater than straightline distances).  Rural settings in LMICs are estimated to be 1.4 - 2.0. 
See the worksheet "Circuity Factor Benchmarks" for more details.</t>
        </r>
      </text>
    </comment>
    <comment ref="B98" authorId="1" shapeId="0" xr:uid="{00000000-0006-0000-0E00-00004D000000}">
      <text>
        <r>
          <rPr>
            <sz val="10"/>
            <color indexed="81"/>
            <rFont val="Tahoma"/>
            <family val="2"/>
          </rPr>
          <t xml:space="preserve">This is calculated. However, user can enter their own value if they have a better estimate. 
NOTE: Road distance scales based on three factors: 1) the land area covered by the source/upstream tier, 2) the number of facilities in the source/upstream tier, and 3) the circuity factor relating road distance to straightline distance. </t>
        </r>
      </text>
    </comment>
    <comment ref="B99" authorId="1" shapeId="0" xr:uid="{00000000-0006-0000-0E00-00004E000000}">
      <text>
        <r>
          <rPr>
            <sz val="10"/>
            <color indexed="81"/>
            <rFont val="Tahoma"/>
            <family val="2"/>
          </rPr>
          <t>This is calculated for each tier. However, user can enter their own value if they have a better estimate for the average road distance between facilities in the same tier. 
NOTE: Road distance scales based on three factors: 1) the land area covered by this tier, 2) the number of facilities in this tier, and 3) the circuity factor relating road distance to straightline distance.</t>
        </r>
      </text>
    </comment>
    <comment ref="C104" authorId="1" shapeId="0" xr:uid="{00000000-0006-0000-0E00-00004F000000}">
      <text>
        <r>
          <rPr>
            <sz val="10"/>
            <color indexed="81"/>
            <rFont val="Tahoma"/>
            <family val="2"/>
          </rPr>
          <t xml:space="preserve">Enter the safety or buffer stock for each tier in number of months. This is also the lowest allowable stock level. </t>
        </r>
      </text>
    </comment>
    <comment ref="C105" authorId="1" shapeId="0" xr:uid="{00000000-0006-0000-0E00-000050000000}">
      <text>
        <r>
          <rPr>
            <sz val="10"/>
            <color rgb="FF000000"/>
            <rFont val="Tahoma"/>
            <family val="2"/>
          </rPr>
          <t>Select Supply Chain Personnel from section 3 for the person who typically packs orders and processes inventory at this tier. 
At a National- or Regional-level warehouse, this could likely be a dedicated warehouse staff, but at a smaller warehouse or health facility, this role could be filled by a logistician or a facility nurse in-charge.</t>
        </r>
      </text>
    </comment>
    <comment ref="C106" authorId="1" shapeId="0" xr:uid="{00000000-0006-0000-0E00-000051000000}">
      <text>
        <r>
          <rPr>
            <sz val="10"/>
            <color indexed="81"/>
            <rFont val="Tahoma"/>
            <family val="2"/>
          </rPr>
          <t>Enter number of full-time equivalents at an average facility, NOT the actual number of people. Number can be less than 1 (see examples)
Example, if 20 people each spend an average of 4 hours per day (i.e. 50% of a full work day) on storage and warehousing activities, then the user should put 20 x 50% = 10
Example 2: if the average health clinic is staffed by two nurses, each of whom spends 5% of their time on supply chain storage and warehousing activities, then the user should enter 2 x 5% = 0.1</t>
        </r>
      </text>
    </comment>
    <comment ref="C107" authorId="1" shapeId="0" xr:uid="{00000000-0006-0000-0E00-000052000000}">
      <text>
        <r>
          <rPr>
            <sz val="10"/>
            <color indexed="81"/>
            <rFont val="Tahoma"/>
            <family val="2"/>
          </rPr>
          <t>Enter maximum volume of inventory (in m^3) that a typical person can process in a day 
This number is often measured by a) extrapolating from a busy period when the warehouse was operating at "maximum speed", or b) by measuring the volume of product that the warehouse staff actually processed, and adjusting based on how busy the staff were that period (i.e. divide total processed volume by an estimated "percent of capacity utilized")</t>
        </r>
      </text>
    </comment>
    <comment ref="C108" authorId="1" shapeId="0" xr:uid="{00000000-0006-0000-0E00-000053000000}">
      <text>
        <r>
          <rPr>
            <sz val="10"/>
            <color indexed="81"/>
            <rFont val="Tahoma"/>
            <family val="2"/>
          </rPr>
          <t xml:space="preserve">Enter dry or ambient storage capacity (m^3) that can be stored within a typical facility. 
ONLY include regularly used spaces such as storeroom shelves or designated storage areas, and should </t>
        </r>
        <r>
          <rPr>
            <b/>
            <sz val="10"/>
            <color indexed="81"/>
            <rFont val="Tahoma"/>
            <family val="2"/>
          </rPr>
          <t>NOT</t>
        </r>
        <r>
          <rPr>
            <sz val="10"/>
            <color indexed="81"/>
            <rFont val="Tahoma"/>
            <family val="2"/>
          </rPr>
          <t xml:space="preserve"> include emergency overflow methods (like storing product in hallways or in the aisles of warehouse shelves)</t>
        </r>
      </text>
    </comment>
    <comment ref="C109" authorId="1" shapeId="0" xr:uid="{00000000-0006-0000-0E00-000054000000}">
      <text>
        <r>
          <rPr>
            <sz val="10"/>
            <color indexed="81"/>
            <rFont val="Tahoma"/>
            <family val="2"/>
          </rPr>
          <t>Enter maximum cold chain capacity (m^3).
ONLY include regularly used spaces such as refrigerators and freezers, and should NOT include emergency overflow methods (like storing product in temporary or makeshift cold boxes)</t>
        </r>
      </text>
    </comment>
    <comment ref="C110" authorId="1" shapeId="0" xr:uid="{00000000-0006-0000-0E00-000055000000}">
      <text>
        <r>
          <rPr>
            <sz val="10"/>
            <color rgb="FF000000"/>
            <rFont val="Tahoma"/>
            <family val="2"/>
          </rPr>
          <t xml:space="preserve">Enter typical operating costs, such as electricity, water, internet, building and equipment maintenance. 
This should be in cost per m^3 capacity, and calculated by taking a warehouse's total variable operating costs divided by its total storage capacity </t>
        </r>
      </text>
    </comment>
    <comment ref="C111" authorId="1" shapeId="0" xr:uid="{00000000-0006-0000-0E00-000056000000}">
      <text>
        <r>
          <rPr>
            <sz val="10"/>
            <color indexed="81"/>
            <rFont val="Tahoma"/>
            <family val="2"/>
          </rPr>
          <t xml:space="preserve">Enter fixed/capital costs, such as building and equipment depreciation for a warehouse at each tier.  
This should be in cost per m^3 capacity, and can be calculated by taking a warehouse's total fixed/capital costs divided by its total storage capacity </t>
        </r>
      </text>
    </comment>
    <comment ref="C112" authorId="1" shapeId="0" xr:uid="{00000000-0006-0000-0E00-000057000000}">
      <text>
        <r>
          <rPr>
            <sz val="10"/>
            <color indexed="81"/>
            <rFont val="Tahoma"/>
            <family val="2"/>
          </rPr>
          <t xml:space="preserve">Enter annual depreciation for cold storage equipment like refrigerators, freezers, and insulation/temperature monitoring equipment.  
This should be expressed as a cost per m^3 capacity, and can be calculated by taking a warehouse's total cold chain equipment depreciation costs divided by its total storage capacity </t>
        </r>
      </text>
    </comment>
    <comment ref="C113" authorId="1" shapeId="0" xr:uid="{00000000-0006-0000-0E00-000058000000}">
      <text>
        <r>
          <rPr>
            <sz val="10"/>
            <color indexed="81"/>
            <rFont val="Tahoma"/>
            <family val="2"/>
          </rPr>
          <t xml:space="preserve">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C114" authorId="1" shapeId="0" xr:uid="{00000000-0006-0000-0E00-000059000000}">
      <text>
        <r>
          <rPr>
            <sz val="10"/>
            <color indexed="81"/>
            <rFont val="Tahoma"/>
            <family val="2"/>
          </rPr>
          <t>Enter typical passive cold storage container (m^3) used at each tier of the supply chain.
NOTE: often these devices are measured in liters.  Note that 1000 Liters = 1 m^3</t>
        </r>
      </text>
    </comment>
    <comment ref="C115" authorId="1" shapeId="0" xr:uid="{00000000-0006-0000-0E00-00005A000000}">
      <text>
        <r>
          <rPr>
            <sz val="10"/>
            <color indexed="81"/>
            <rFont val="Tahoma"/>
            <family val="2"/>
          </rPr>
          <t>The typical price paid for one passive cold storage container described above</t>
        </r>
      </text>
    </comment>
    <comment ref="C116" authorId="1" shapeId="0" xr:uid="{00000000-0006-0000-0E00-00005B000000}">
      <text>
        <r>
          <rPr>
            <sz val="10"/>
            <color indexed="81"/>
            <rFont val="Tahoma"/>
            <family val="2"/>
          </rPr>
          <t xml:space="preserve">If the device is electrically powered, requires other external inputs, or incurs maintenance costs, enter the average annual amount spent per device to ensure that they remain operational. </t>
        </r>
      </text>
    </comment>
    <comment ref="C117" authorId="1" shapeId="0" xr:uid="{00000000-0006-0000-0E00-00005C000000}">
      <text>
        <r>
          <rPr>
            <sz val="10"/>
            <color rgb="FF000000"/>
            <rFont val="Tahoma"/>
            <family val="2"/>
          </rPr>
          <t xml:space="preserve">Select on option from drop-down. 
This estimates use of passive cold storage containers for transporation between each tier. </t>
        </r>
      </text>
    </comment>
    <comment ref="B121" authorId="1" shapeId="0" xr:uid="{00000000-0006-0000-0E00-00005D000000}">
      <text>
        <r>
          <rPr>
            <sz val="10"/>
            <color indexed="81"/>
            <rFont val="Tahoma"/>
            <family val="2"/>
          </rPr>
          <t xml:space="preserve">--This section asks the user to estimate the overall costs of supply chain supervision and management activities. In this question we ask the user to specify whether these costs will be measured as a function of the number of facilities or based on overall commodity value. 
--Management &amp; supervision activities include conducting supervisory visits to health and logistics facilities; on-the-job or routine supply chain trainings; and operating a central logistics management unit or data quality and analysis hub. These costs often vary widely depending on how intensively a supply chain is managed, and this management intenstity is often independent of other storage and distribution design choices.  For any of the major supply chain archetypes in global health - mobile warehouse models or collection systems - it is possible to run both an intensively managaged system and a lightly-managed system.
--Thus we structure these costs to scale with the overall scope of the supply chain (e.g. cost per facility or dollar delivered), but we must require the user to provide a </t>
        </r>
        <r>
          <rPr>
            <i/>
            <sz val="10"/>
            <color indexed="81"/>
            <rFont val="Tahoma"/>
            <family val="2"/>
          </rPr>
          <t>cost-per-facility</t>
        </r>
        <r>
          <rPr>
            <sz val="10"/>
            <color indexed="81"/>
            <rFont val="Tahoma"/>
            <family val="2"/>
          </rPr>
          <t xml:space="preserve"> or </t>
        </r>
        <r>
          <rPr>
            <i/>
            <sz val="10"/>
            <color indexed="81"/>
            <rFont val="Tahoma"/>
            <family val="2"/>
          </rPr>
          <t>percentage-of-commodity-value</t>
        </r>
        <r>
          <rPr>
            <sz val="10"/>
            <color indexed="81"/>
            <rFont val="Tahoma"/>
            <family val="2"/>
          </rPr>
          <t xml:space="preserve"> parameter that is aligned with the intensity of their own supply chain management activities.  To help the user determine this value, each of our proxy data templates contains a detailed breakdown of the types of management and supervision activities that make up the listed cost value.  Thus the user can select a value that most closely resembles their own supply chain, and further adapt it up or down to match their individual circumstances</t>
        </r>
      </text>
    </comment>
    <comment ref="B122" authorId="1" shapeId="0" xr:uid="{00000000-0006-0000-0E00-00005E000000}">
      <text>
        <r>
          <rPr>
            <sz val="9"/>
            <color indexed="81"/>
            <rFont val="Tahoma"/>
            <family val="2"/>
          </rPr>
          <t>As detailed above, if the user elects for system management and support costs to be measured as a function of the number of facilities at each tier, then this question asks the user to estimate the per-facility annual cost of those management and supervision activities. 
If a recent costing study has been conducted, this parameter could be estimated by dividing total management and supervision costs by the total number of facilities.  If no study has been conducted, then each of the proxy data templates listed in this tool contains a breakdown of the types of management &amp; supervision activities conducted.  That breakdown can be used to identify and further tailor an appropriate proxy data point.</t>
        </r>
      </text>
    </comment>
    <comment ref="B123" authorId="1" shapeId="0" xr:uid="{00000000-0006-0000-0E00-00005F000000}">
      <text>
        <r>
          <rPr>
            <sz val="9"/>
            <color indexed="81"/>
            <rFont val="Tahoma"/>
            <family val="2"/>
          </rPr>
          <t>As detailed above, if the user elects for management and supervision costs to be measured as a function of commodity value ($) delivered, then this question asks the user to estimate the percentage of commodity value dedicated to management and supervision activities. 
If a recent costing study has been conducted, this parameter could be estimated by dividing total management and supervision costs by the total value of product delivered.  If no study has been conducted, then each of the proxy data templates listed in this tool contains a breakdown of the types of management &amp; supervision activities included.  That breakdown can be used to identify and further tailor an appropriate proxy data point.</t>
        </r>
      </text>
    </comment>
    <comment ref="B133" authorId="1" shapeId="0" xr:uid="{00000000-0006-0000-0E00-000060000000}">
      <text>
        <r>
          <rPr>
            <sz val="10"/>
            <color indexed="81"/>
            <rFont val="Tahoma"/>
            <family val="2"/>
          </rPr>
          <t>For each tier, specify how many different methods for transporting commodities are used. Answers can range from 1 to 3.
For example, say a Ministry of Health manages 2000 health facilities (Tier 3) of its supply chain. For 1500 (75%) of those facilities, deliveries are made using a Land Cruiser dispatched from Tier 2, while the remaining 500 facilities (25%) use public transport to travel to Tier 2 and collect. 
For this example, the user would answer "2" under the Tier 3 column, as they use two distinct methods for delivery at Tier 3.  The user would then proceed to answer the following set of questions for both "Delivery Mode 1" and "Delivery Mode 2" sections below for Landcruiser and Public Transport respectively.</t>
        </r>
      </text>
    </comment>
    <comment ref="C135" authorId="0" shapeId="0" xr:uid="{00000000-0006-0000-0E00-000061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36" authorId="0" shapeId="0" xr:uid="{00000000-0006-0000-0E00-000062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37" authorId="1" shapeId="0" xr:uid="{00000000-0006-0000-0E00-000063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38" authorId="1" shapeId="0" xr:uid="{00000000-0006-0000-0E00-000064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39" authorId="1" shapeId="0" xr:uid="{00000000-0006-0000-0E00-000065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40" authorId="1" shapeId="0" xr:uid="{00000000-0006-0000-0E00-000066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41" authorId="1" shapeId="0" xr:uid="{00000000-0006-0000-0E00-000067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42" authorId="1" shapeId="0" xr:uid="{00000000-0006-0000-0E00-000068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43" authorId="1" shapeId="0" xr:uid="{00000000-0006-0000-0E00-000069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44" authorId="0" shapeId="0" xr:uid="{00000000-0006-0000-0E00-00006A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45" authorId="0" shapeId="0" xr:uid="{00000000-0006-0000-0E00-00006B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46" authorId="0" shapeId="0" xr:uid="{00000000-0006-0000-0E00-00006C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47" authorId="0" shapeId="0" xr:uid="{00000000-0006-0000-0E00-00006D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48" authorId="0" shapeId="0" xr:uid="{00000000-0006-0000-0E00-00006E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49" authorId="0" shapeId="0" xr:uid="{00000000-0006-0000-0E00-00006F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50" authorId="0" shapeId="0" xr:uid="{00000000-0006-0000-0E00-000070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51" authorId="0" shapeId="0" xr:uid="{00000000-0006-0000-0E00-000071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52" authorId="0" shapeId="0" xr:uid="{00000000-0006-0000-0E00-000072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53" authorId="2" shapeId="0" xr:uid="{00000000-0006-0000-0E00-000073000000}">
      <text>
        <r>
          <rPr>
            <sz val="10"/>
            <color indexed="81"/>
            <rFont val="Tahoma"/>
            <family val="2"/>
          </rPr>
          <t>Choose yes or no from dropdown, to indicate whether this transport mode is used only for cold chain products</t>
        </r>
      </text>
    </comment>
    <comment ref="C155" authorId="0" shapeId="0" xr:uid="{00000000-0006-0000-0E00-000074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56" authorId="0" shapeId="0" xr:uid="{00000000-0006-0000-0E00-000075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57" authorId="1" shapeId="0" xr:uid="{00000000-0006-0000-0E00-000076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58" authorId="1" shapeId="0" xr:uid="{00000000-0006-0000-0E00-000077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59" authorId="1" shapeId="0" xr:uid="{00000000-0006-0000-0E00-000078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60" authorId="1" shapeId="0" xr:uid="{00000000-0006-0000-0E00-000079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61" authorId="1" shapeId="0" xr:uid="{00000000-0006-0000-0E00-00007A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62" authorId="1" shapeId="0" xr:uid="{00000000-0006-0000-0E00-00007B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63" authorId="1" shapeId="0" xr:uid="{00000000-0006-0000-0E00-00007C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64" authorId="0" shapeId="0" xr:uid="{00000000-0006-0000-0E00-00007D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65" authorId="0" shapeId="0" xr:uid="{00000000-0006-0000-0E00-00007E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66" authorId="0" shapeId="0" xr:uid="{00000000-0006-0000-0E00-00007F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67" authorId="0" shapeId="0" xr:uid="{00000000-0006-0000-0E00-000080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68" authorId="0" shapeId="0" xr:uid="{00000000-0006-0000-0E00-000081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69" authorId="0" shapeId="0" xr:uid="{00000000-0006-0000-0E00-000082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70" authorId="0" shapeId="0" xr:uid="{00000000-0006-0000-0E00-000083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71" authorId="0" shapeId="0" xr:uid="{00000000-0006-0000-0E00-000084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72" authorId="0" shapeId="0" xr:uid="{00000000-0006-0000-0E00-000085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73" authorId="2" shapeId="0" xr:uid="{00000000-0006-0000-0E00-000086000000}">
      <text>
        <r>
          <rPr>
            <sz val="10"/>
            <color indexed="81"/>
            <rFont val="Tahoma"/>
            <family val="2"/>
          </rPr>
          <t>Choose yes or no from dropdown, to indicate whether this transport mode is used only for cold chain products</t>
        </r>
      </text>
    </comment>
    <comment ref="C175" authorId="0" shapeId="0" xr:uid="{00000000-0006-0000-0E00-000087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76" authorId="0" shapeId="0" xr:uid="{00000000-0006-0000-0E00-000088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77" authorId="1" shapeId="0" xr:uid="{00000000-0006-0000-0E00-000089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78" authorId="1" shapeId="0" xr:uid="{00000000-0006-0000-0E00-00008A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79" authorId="1" shapeId="0" xr:uid="{00000000-0006-0000-0E00-00008B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80" authorId="1" shapeId="0" xr:uid="{00000000-0006-0000-0E00-00008C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81" authorId="1" shapeId="0" xr:uid="{00000000-0006-0000-0E00-00008D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82" authorId="1" shapeId="0" xr:uid="{00000000-0006-0000-0E00-00008E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83" authorId="1" shapeId="0" xr:uid="{00000000-0006-0000-0E00-00008F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84" authorId="0" shapeId="0" xr:uid="{00000000-0006-0000-0E00-000090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85" authorId="0" shapeId="0" xr:uid="{00000000-0006-0000-0E00-000091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86" authorId="0" shapeId="0" xr:uid="{00000000-0006-0000-0E00-000092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87" authorId="0" shapeId="0" xr:uid="{00000000-0006-0000-0E00-000093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88" authorId="0" shapeId="0" xr:uid="{00000000-0006-0000-0E00-000094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89" authorId="0" shapeId="0" xr:uid="{00000000-0006-0000-0E00-000095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90" authorId="0" shapeId="0" xr:uid="{00000000-0006-0000-0E00-000096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91" authorId="0" shapeId="0" xr:uid="{00000000-0006-0000-0E00-000097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92" authorId="0" shapeId="0" xr:uid="{00000000-0006-0000-0E00-000098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93" authorId="2" shapeId="0" xr:uid="{00000000-0006-0000-0E00-000099000000}">
      <text>
        <r>
          <rPr>
            <sz val="10"/>
            <color indexed="81"/>
            <rFont val="Tahoma"/>
            <family val="2"/>
          </rPr>
          <t>Choose yes or no from dropdown, to indicate whether this transport mode is used only for cold chain products</t>
        </r>
      </text>
    </comment>
    <comment ref="C199" authorId="0" shapeId="0" xr:uid="{00000000-0006-0000-0E00-00009A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00" authorId="0" shapeId="0" xr:uid="{00000000-0006-0000-0E00-00009B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01" authorId="1" shapeId="0" xr:uid="{00000000-0006-0000-0E00-00009C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02" authorId="1" shapeId="0" xr:uid="{00000000-0006-0000-0E00-00009D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03" authorId="1" shapeId="0" xr:uid="{00000000-0006-0000-0E00-00009E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04" authorId="1" shapeId="0" xr:uid="{00000000-0006-0000-0E00-00009F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05" authorId="0" shapeId="0" xr:uid="{00000000-0006-0000-0E00-0000A0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06" authorId="1" shapeId="0" xr:uid="{00000000-0006-0000-0E00-0000A1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07" authorId="1" shapeId="0" xr:uid="{00000000-0006-0000-0E00-0000A2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08" authorId="1" shapeId="0" xr:uid="{00000000-0006-0000-0E00-0000A3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09" authorId="0" shapeId="0" xr:uid="{00000000-0006-0000-0E00-0000A4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10" authorId="0" shapeId="0" xr:uid="{00000000-0006-0000-0E00-0000A5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11" authorId="0" shapeId="0" xr:uid="{00000000-0006-0000-0E00-0000A6000000}">
      <text>
        <r>
          <rPr>
            <sz val="10"/>
            <color indexed="81"/>
            <rFont val="Tahoma"/>
            <family val="2"/>
          </rPr>
          <t xml:space="preserve">Enter number of people accompanying driver or primary traveler. 
</t>
        </r>
      </text>
    </comment>
    <comment ref="C212" authorId="0" shapeId="0" xr:uid="{00000000-0006-0000-0E00-0000A7000000}">
      <text>
        <r>
          <rPr>
            <sz val="10"/>
            <color indexed="81"/>
            <rFont val="Tahoma"/>
            <family val="2"/>
          </rPr>
          <t xml:space="preserve">Enter profession of a typical person that accompanies the driver or primary traveler. </t>
        </r>
      </text>
    </comment>
    <comment ref="C213" authorId="0" shapeId="0" xr:uid="{00000000-0006-0000-0E00-0000A8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14" authorId="0" shapeId="0" xr:uid="{00000000-0006-0000-0E00-0000A9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15" authorId="0" shapeId="0" xr:uid="{00000000-0006-0000-0E00-0000AA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16" authorId="0" shapeId="0" xr:uid="{00000000-0006-0000-0E00-0000AB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17" authorId="0" shapeId="0" xr:uid="{00000000-0006-0000-0E00-0000AC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19" authorId="0" shapeId="0" xr:uid="{00000000-0006-0000-0E00-0000AD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20" authorId="0" shapeId="0" xr:uid="{00000000-0006-0000-0E00-0000AE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21" authorId="1" shapeId="0" xr:uid="{00000000-0006-0000-0E00-0000AF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22" authorId="1" shapeId="0" xr:uid="{00000000-0006-0000-0E00-0000B0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23" authorId="1" shapeId="0" xr:uid="{00000000-0006-0000-0E00-0000B1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24" authorId="1" shapeId="0" xr:uid="{00000000-0006-0000-0E00-0000B2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25" authorId="0" shapeId="0" xr:uid="{00000000-0006-0000-0E00-0000B3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26" authorId="1" shapeId="0" xr:uid="{00000000-0006-0000-0E00-0000B4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27" authorId="1" shapeId="0" xr:uid="{00000000-0006-0000-0E00-0000B5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28" authorId="1" shapeId="0" xr:uid="{00000000-0006-0000-0E00-0000B6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29" authorId="0" shapeId="0" xr:uid="{00000000-0006-0000-0E00-0000B7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30" authorId="0" shapeId="0" xr:uid="{00000000-0006-0000-0E00-0000B8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31" authorId="0" shapeId="0" xr:uid="{00000000-0006-0000-0E00-0000B9000000}">
      <text>
        <r>
          <rPr>
            <sz val="10"/>
            <color indexed="81"/>
            <rFont val="Tahoma"/>
            <family val="2"/>
          </rPr>
          <t xml:space="preserve">Enter number of people accompanying driver or primary traveler. 
</t>
        </r>
      </text>
    </comment>
    <comment ref="C232" authorId="0" shapeId="0" xr:uid="{00000000-0006-0000-0E00-0000BA000000}">
      <text>
        <r>
          <rPr>
            <sz val="10"/>
            <color indexed="81"/>
            <rFont val="Tahoma"/>
            <family val="2"/>
          </rPr>
          <t xml:space="preserve">Enter profession of a typical person that accompanies the driver or primary traveler. </t>
        </r>
      </text>
    </comment>
    <comment ref="C233" authorId="0" shapeId="0" xr:uid="{00000000-0006-0000-0E00-0000BB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34" authorId="0" shapeId="0" xr:uid="{00000000-0006-0000-0E00-0000BC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35" authorId="0" shapeId="0" xr:uid="{00000000-0006-0000-0E00-0000BD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36" authorId="0" shapeId="0" xr:uid="{00000000-0006-0000-0E00-0000BE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37" authorId="0" shapeId="0" xr:uid="{00000000-0006-0000-0E00-0000BF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39" authorId="0" shapeId="0" xr:uid="{00000000-0006-0000-0E00-0000C0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40" authorId="0" shapeId="0" xr:uid="{00000000-0006-0000-0E00-0000C1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41" authorId="1" shapeId="0" xr:uid="{00000000-0006-0000-0E00-0000C2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42" authorId="1" shapeId="0" xr:uid="{00000000-0006-0000-0E00-0000C3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43" authorId="1" shapeId="0" xr:uid="{00000000-0006-0000-0E00-0000C4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44" authorId="1" shapeId="0" xr:uid="{00000000-0006-0000-0E00-0000C5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45" authorId="0" shapeId="0" xr:uid="{00000000-0006-0000-0E00-0000C6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46" authorId="1" shapeId="0" xr:uid="{00000000-0006-0000-0E00-0000C7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47" authorId="1" shapeId="0" xr:uid="{00000000-0006-0000-0E00-0000C8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48" authorId="1" shapeId="0" xr:uid="{00000000-0006-0000-0E00-0000C9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49" authorId="0" shapeId="0" xr:uid="{00000000-0006-0000-0E00-0000CA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50" authorId="0" shapeId="0" xr:uid="{00000000-0006-0000-0E00-0000CB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51" authorId="0" shapeId="0" xr:uid="{00000000-0006-0000-0E00-0000CC000000}">
      <text>
        <r>
          <rPr>
            <sz val="10"/>
            <color indexed="81"/>
            <rFont val="Tahoma"/>
            <family val="2"/>
          </rPr>
          <t xml:space="preserve">Enter number of people accompanying driver or primary traveler. 
</t>
        </r>
      </text>
    </comment>
    <comment ref="C252" authorId="0" shapeId="0" xr:uid="{00000000-0006-0000-0E00-0000CD000000}">
      <text>
        <r>
          <rPr>
            <sz val="10"/>
            <color indexed="81"/>
            <rFont val="Tahoma"/>
            <family val="2"/>
          </rPr>
          <t xml:space="preserve">Enter profession of a typical person that accompanies the driver or primary traveler. </t>
        </r>
      </text>
    </comment>
    <comment ref="C253" authorId="0" shapeId="0" xr:uid="{00000000-0006-0000-0E00-0000CE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54" authorId="0" shapeId="0" xr:uid="{00000000-0006-0000-0E00-0000CF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55" authorId="0" shapeId="0" xr:uid="{00000000-0006-0000-0E00-0000D0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56" authorId="0" shapeId="0" xr:uid="{00000000-0006-0000-0E00-0000D1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57" authorId="0" shapeId="0" xr:uid="{00000000-0006-0000-0E00-0000D2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63" authorId="0" shapeId="0" xr:uid="{00000000-0006-0000-0E00-0000D3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64" authorId="0" shapeId="0" xr:uid="{00000000-0006-0000-0E00-0000D4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65" authorId="1" shapeId="0" xr:uid="{00000000-0006-0000-0E00-0000D5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66" authorId="1" shapeId="0" xr:uid="{00000000-0006-0000-0E00-0000D6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67" authorId="1" shapeId="0" xr:uid="{00000000-0006-0000-0E00-0000D7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68" authorId="1" shapeId="0" xr:uid="{00000000-0006-0000-0E00-0000D8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69" authorId="0" shapeId="0" xr:uid="{00000000-0006-0000-0E00-0000D9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70" authorId="1" shapeId="0" xr:uid="{00000000-0006-0000-0E00-0000DA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1" authorId="1" shapeId="0" xr:uid="{00000000-0006-0000-0E00-0000DB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2" authorId="1" shapeId="0" xr:uid="{00000000-0006-0000-0E00-0000DC00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73" authorId="0" shapeId="0" xr:uid="{00000000-0006-0000-0E00-0000DD00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74" authorId="0" shapeId="0" xr:uid="{00000000-0006-0000-0E00-0000DE00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75" authorId="0" shapeId="0" xr:uid="{00000000-0006-0000-0E00-0000DF00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76" authorId="0" shapeId="0" xr:uid="{00000000-0006-0000-0E00-0000E000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77" authorId="0" shapeId="0" xr:uid="{00000000-0006-0000-0E00-0000E100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78" authorId="0" shapeId="0" xr:uid="{00000000-0006-0000-0E00-0000E2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79" authorId="0" shapeId="0" xr:uid="{00000000-0006-0000-0E00-0000E3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280" authorId="0" shapeId="0" xr:uid="{00000000-0006-0000-0E00-0000E400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281" authorId="0" shapeId="0" xr:uid="{00000000-0006-0000-0E00-0000E500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283" authorId="0" shapeId="0" xr:uid="{00000000-0006-0000-0E00-0000E6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84" authorId="0" shapeId="0" xr:uid="{00000000-0006-0000-0E00-0000E7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85" authorId="1" shapeId="0" xr:uid="{00000000-0006-0000-0E00-0000E8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86" authorId="1" shapeId="0" xr:uid="{00000000-0006-0000-0E00-0000E9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87" authorId="1" shapeId="0" xr:uid="{00000000-0006-0000-0E00-0000EA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88" authorId="1" shapeId="0" xr:uid="{00000000-0006-0000-0E00-0000EB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89" authorId="0" shapeId="0" xr:uid="{00000000-0006-0000-0E00-0000EC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90" authorId="1" shapeId="0" xr:uid="{00000000-0006-0000-0E00-0000ED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1" authorId="1" shapeId="0" xr:uid="{00000000-0006-0000-0E00-0000EE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2" authorId="1" shapeId="0" xr:uid="{00000000-0006-0000-0E00-0000EF00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93" authorId="0" shapeId="0" xr:uid="{00000000-0006-0000-0E00-0000F000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94" authorId="0" shapeId="0" xr:uid="{00000000-0006-0000-0E00-0000F100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95" authorId="0" shapeId="0" xr:uid="{00000000-0006-0000-0E00-0000F200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96" authorId="0" shapeId="0" xr:uid="{00000000-0006-0000-0E00-0000F300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97" authorId="0" shapeId="0" xr:uid="{00000000-0006-0000-0E00-0000F400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98" authorId="0" shapeId="0" xr:uid="{00000000-0006-0000-0E00-0000F5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99" authorId="0" shapeId="0" xr:uid="{00000000-0006-0000-0E00-0000F6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00" authorId="0" shapeId="0" xr:uid="{00000000-0006-0000-0E00-0000F700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01" authorId="0" shapeId="0" xr:uid="{00000000-0006-0000-0E00-0000F800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303" authorId="0" shapeId="0" xr:uid="{00000000-0006-0000-0E00-0000F9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304" authorId="0" shapeId="0" xr:uid="{00000000-0006-0000-0E00-0000FA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305" authorId="1" shapeId="0" xr:uid="{00000000-0006-0000-0E00-0000FB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306" authorId="1" shapeId="0" xr:uid="{00000000-0006-0000-0E00-0000FC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307" authorId="1" shapeId="0" xr:uid="{00000000-0006-0000-0E00-0000FD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308" authorId="1" shapeId="0" xr:uid="{00000000-0006-0000-0E00-0000FE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309" authorId="0" shapeId="0" xr:uid="{00000000-0006-0000-0E00-0000FF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310" authorId="1" shapeId="0" xr:uid="{00000000-0006-0000-0E00-00000001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1" authorId="1" shapeId="0" xr:uid="{00000000-0006-0000-0E00-00000101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2" authorId="1" shapeId="0" xr:uid="{00000000-0006-0000-0E00-00000201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313" authorId="0" shapeId="0" xr:uid="{00000000-0006-0000-0E00-00000301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314" authorId="0" shapeId="0" xr:uid="{00000000-0006-0000-0E00-00000401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315" authorId="0" shapeId="0" xr:uid="{00000000-0006-0000-0E00-00000501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316" authorId="0" shapeId="0" xr:uid="{00000000-0006-0000-0E00-00000601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317" authorId="0" shapeId="0" xr:uid="{00000000-0006-0000-0E00-00000701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318" authorId="0" shapeId="0" xr:uid="{00000000-0006-0000-0E00-00000801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319" authorId="0" shapeId="0" xr:uid="{00000000-0006-0000-0E00-00000901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20" authorId="0" shapeId="0" xr:uid="{00000000-0006-0000-0E00-00000A01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21" authorId="0" shapeId="0" xr:uid="{00000000-0006-0000-0E00-00000B01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Michael Krautmann</author>
    <author>Krautmann, Michael</author>
  </authors>
  <commentList>
    <comment ref="G9" authorId="0" shapeId="0" xr:uid="{A18C97CB-ADC2-4C09-8877-E6544554BFDE}">
      <text>
        <r>
          <rPr>
            <sz val="9"/>
            <color indexed="81"/>
            <rFont val="Tahoma"/>
            <family val="2"/>
          </rPr>
          <t xml:space="preserve">The total number of levels at which inventory is stored and distributed, as specified by the user
</t>
        </r>
      </text>
    </comment>
    <comment ref="G10" authorId="0" shapeId="0" xr:uid="{41D7EE67-42E0-473C-A169-E83B2A01B8EE}">
      <text>
        <r>
          <rPr>
            <sz val="9"/>
            <color indexed="81"/>
            <rFont val="Tahoma"/>
            <family val="2"/>
          </rPr>
          <t>User-entered value; number of facilities to which health commodities are delivered at the final tier fo the supply chain</t>
        </r>
      </text>
    </comment>
    <comment ref="G11" authorId="0" shapeId="0" xr:uid="{0478551F-487C-4C97-B793-19ADF677C5AB}">
      <text>
        <r>
          <rPr>
            <sz val="9"/>
            <color indexed="81"/>
            <rFont val="Tahoma"/>
            <family val="2"/>
          </rPr>
          <t xml:space="preserve">Total annual cubic meters (m^3) of health commodities delivered to the final tier of the supply chain (May be less than the total volume procured if the user assumed an expiry/wastage rate at one or more tiers) 
</t>
        </r>
      </text>
    </comment>
    <comment ref="G12" authorId="0" shapeId="0" xr:uid="{A42DD6D5-399C-49F0-ACD4-D7331EBDF32A}">
      <text>
        <r>
          <rPr>
            <sz val="9"/>
            <color indexed="81"/>
            <rFont val="Tahoma"/>
            <family val="2"/>
          </rPr>
          <t xml:space="preserve">Total annual cubic meters (m^3) of cold-chain specific commodities delivered to the final tier of the supply chain (May be less than the total volume procured if the user assumed an expiry/wastage rate at one or more tiers) </t>
        </r>
      </text>
    </comment>
    <comment ref="G13" authorId="0" shapeId="0" xr:uid="{42BDDF53-3348-4A07-9050-2BABF5E47669}">
      <text>
        <r>
          <rPr>
            <sz val="9"/>
            <color indexed="81"/>
            <rFont val="Tahoma"/>
            <family val="2"/>
          </rPr>
          <t xml:space="preserve">The total procurement or sales value of the commodities delivered to the final tier. </t>
        </r>
      </text>
    </comment>
    <comment ref="F14" authorId="0" shapeId="0" xr:uid="{9947B59B-F223-4E86-A116-7662E7BB6F12}">
      <text>
        <r>
          <rPr>
            <sz val="9"/>
            <color indexed="81"/>
            <rFont val="Tahoma"/>
            <family val="2"/>
          </rPr>
          <t>The number of kilometers (km) traveled per year to fulfill all ordering, delivery, and additional travel activities, summed over all tiers in the supply chain.</t>
        </r>
        <r>
          <rPr>
            <b/>
            <sz val="9"/>
            <color indexed="81"/>
            <rFont val="Tahoma"/>
            <family val="2"/>
          </rPr>
          <t xml:space="preserve"> Includes only vehicles that are owned/rented/contracted, and does NOT include km traveled by public transport</t>
        </r>
      </text>
    </comment>
    <comment ref="G15" authorId="0" shapeId="0" xr:uid="{CF9827E3-DF18-48A7-B25C-233261EBE0CA}">
      <text>
        <r>
          <rPr>
            <sz val="9"/>
            <color indexed="81"/>
            <rFont val="Tahoma"/>
            <family val="2"/>
          </rPr>
          <t>The total number of person-days of travel needed to complete all ordering/delivery/additional activities, summed over all tiers in the supply chain</t>
        </r>
      </text>
    </comment>
    <comment ref="G16" authorId="0" shapeId="0" xr:uid="{3590EDDF-2684-4ED3-8646-0CA2DE4432C5}">
      <text>
        <r>
          <rPr>
            <sz val="9"/>
            <color indexed="81"/>
            <rFont val="Tahoma"/>
            <family val="2"/>
          </rPr>
          <t>A high-level summary of Tables 2 and 3 below; a count of all storage and transportation modes that are outside the ideal utilization window (user specified, but a common ideal utilization range is between 50% and 90%)</t>
        </r>
      </text>
    </comment>
    <comment ref="G25" authorId="1" shapeId="0" xr:uid="{D219A00B-CF0F-4845-9BA8-B3C02E202814}">
      <text>
        <r>
          <rPr>
            <sz val="9"/>
            <color indexed="81"/>
            <rFont val="Tahoma"/>
            <family val="2"/>
          </rPr>
          <t>-- Ratio of [Total Operating Cost] / [Total Commodity Throughput Value] x [100]
-- Interpretation: In general lower is better, though values vary greatly by health program area (e.g. HIV, Essential Medicines). For example, one box of antiretrovirals (ARVs) will likely have a value much greater than a similar box of antibiotics, even though the supply chain cost to distribute each is likely to be similar.   Thus this metric would be lower for the ARVs than the antibiotic, even for similarly-performing supply chains.</t>
        </r>
      </text>
    </comment>
    <comment ref="G26" authorId="1" shapeId="0" xr:uid="{15FB7EB8-FD00-40F5-B4F1-64C7C4C09286}">
      <text>
        <r>
          <rPr>
            <sz val="9"/>
            <color indexed="81"/>
            <rFont val="Tahoma"/>
            <family val="2"/>
          </rPr>
          <t>-- Ratio of [Total Operating Cost] / [Total Commodity Throughput Volume] 
-- Interpretation: General measure of supply chain efficiency. For similar geographies, throughput volumes, and supply chain designs, a lower value represents a more efficient supply chain.  No standard benchmarks exist within global health supply chain, though some publicly-available supply chain costing studies could be used to create a rough benchmark value</t>
        </r>
      </text>
    </comment>
    <comment ref="G27" authorId="1" shapeId="0" xr:uid="{550A04B0-EF3C-4806-8386-839C671433F9}">
      <text>
        <r>
          <rPr>
            <sz val="9"/>
            <color indexed="81"/>
            <rFont val="Tahoma"/>
            <family val="2"/>
          </rPr>
          <t xml:space="preserve">-- The monetary value (in user-specified currency) of the average amount of inventory (m^3) in the entire supply chain at any given time (For each tier: [$ value per m^3] x [m^3 per facility average inventory] x [# facilities in tier]).
-- Interpretation: Some inventory is necessary to buffer against unexpected changes in supply and demand, but in general lower is better. Money that is tied up in inventory cannot be invested in other program activities, and thus carries a significant opportunity cost. </t>
        </r>
      </text>
    </comment>
    <comment ref="G28" authorId="1" shapeId="0" xr:uid="{954149B5-8E73-46AB-AB3D-2C51FE533A36}">
      <text>
        <r>
          <rPr>
            <sz val="9"/>
            <color indexed="81"/>
            <rFont val="Tahoma"/>
            <family val="2"/>
          </rPr>
          <t>'-- Ratio of [Total kilometers traveled for ordering/delivery/additional activities] / [Total volume of commodities delivered to final tier]
--Interpretation: Some travel will always be required to distribute commodities from upstream to downstream tiers, but travel is generally costly. This value can help users identify SC design options that can deliver commodities with a minimum of travel. Higher values are likely caused by 
   a) additional activities that require travel, e.g. ordering
   b) delivery vehicles with a small capacity (m^3), thus requiring multiple trips to each facility every resupply period
   c) low maximum allowable days per travel route (e.g. 1 or 2 days) in a country with long driving/dwell times, creating routes 
       that only reach a couple of clinics at a time, which leads to excessive (and inefficient) driving between tiers. 
NOTE: This value obviously increases for countries with larger land area, so it is best used when comparing supply chain design options within a single geography.</t>
        </r>
      </text>
    </comment>
    <comment ref="F31" authorId="1" shapeId="0" xr:uid="{0A4F5C0A-D741-43E3-9DFB-553CC5C8A1DD}">
      <text>
        <r>
          <rPr>
            <sz val="9"/>
            <color indexed="81"/>
            <rFont val="Tahoma"/>
            <family val="2"/>
          </rPr>
          <t>'-- For each tier of the supply chain, the percent of available vehicle delivery capacity (m^3) that is actually being used on deliveries. 
-- Interpretation: In general, 75% - 85% capacity utiliztion is ideal. Anything above 90-95% likely indicates that delivery resources will frequently be overburdened - vehicles aren't big enough, or there aren't enough of them.  Anything below 50% indicates much of the available space on delivery vehicles is being left empty, and thus the supply chain is paying for vehicle space that it isn't using
--NOTE:  if the user has specified a "route-based" delivery pattern, this value may default to 99% or 100%. In this case, it is the Delivery Vehicle Time Utilization that more accurately reflects overall utilization of delivery resources.</t>
        </r>
      </text>
    </comment>
    <comment ref="F34" authorId="1" shapeId="0" xr:uid="{54C3BE7C-A5CB-49AE-9ECE-2FB308918BCE}">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F38" authorId="1" shapeId="0" xr:uid="{B3687F9F-000A-4750-AFA2-FA03D75A755A}">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F42" authorId="1" shapeId="0" xr:uid="{C39DAE99-A687-4C20-AE74-F82EC5593C02}">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G52" authorId="1" shapeId="0" xr:uid="{35C75C9B-D15E-4E6C-A435-504CC7CD7074}">
      <text>
        <r>
          <rPr>
            <sz val="9"/>
            <color indexed="81"/>
            <rFont val="Tahoma"/>
            <family val="2"/>
          </rPr>
          <t>Within a given supply chain tier, the total number of cubic meters (m^3) of product expected to be ordered by each facility in a given order period.  This value is the same for each facility within that tier, and includes ambient and cold chain commodities.</t>
        </r>
      </text>
    </comment>
    <comment ref="G53" authorId="1" shapeId="0" xr:uid="{CA5FD4EB-8914-49A8-B905-660C7A97B5A4}">
      <text>
        <r>
          <rPr>
            <sz val="9"/>
            <color indexed="81"/>
            <rFont val="Tahoma"/>
            <family val="2"/>
          </rPr>
          <t>Ratio of time spent processing commodities at storage facilities, divided by total available time for processing. Based on user inputs for 1) total number of full-time-equivalent (FTE) workers per storage point, and 2) average throughput capacity (m^3/day) per person</t>
        </r>
      </text>
    </comment>
    <comment ref="G54" authorId="1" shapeId="0" xr:uid="{DED424DC-3319-452E-9ED6-BD628FD9E990}">
      <text>
        <r>
          <rPr>
            <sz val="9"/>
            <color indexed="81"/>
            <rFont val="Tahoma"/>
            <family val="2"/>
          </rPr>
          <t>Ratio of average inventory levels (m^3) divided by total available storage capacity per facility. Based on user input for 1) overall system demand, 2) resupply frequency, 3) safety stock levels, and 4) average storage capacity per facility</t>
        </r>
      </text>
    </comment>
    <comment ref="G55" authorId="1" shapeId="0" xr:uid="{D6947A12-1FDA-4D67-86D0-42E849B64618}">
      <text>
        <r>
          <rPr>
            <sz val="9"/>
            <color indexed="81"/>
            <rFont val="Tahoma"/>
            <family val="2"/>
          </rPr>
          <t>A count of the number of tiers in which average storage utilization is outside an ideal range.  Range is user-specified, but 50% to 90% utilization is a common target range in global health applications</t>
        </r>
      </text>
    </comment>
    <comment ref="G57" authorId="1" shapeId="0" xr:uid="{7B53B7FD-54A3-469E-BE5D-67B1B295EC7D}">
      <text>
        <r>
          <rPr>
            <sz val="9"/>
            <color indexed="81"/>
            <rFont val="Tahoma"/>
            <family val="2"/>
          </rPr>
          <t>Within a given supply chain tier, the total number of cubic meters (m^3) of ambient-temperature product expected to be ordered by each facility in a given order period.  This value is the same for each facility within that tier.</t>
        </r>
      </text>
    </comment>
    <comment ref="G58" authorId="1" shapeId="0" xr:uid="{8E02AFA3-DBF7-4CCE-867A-9325F155B304}">
      <text>
        <r>
          <rPr>
            <sz val="9"/>
            <color indexed="81"/>
            <rFont val="Tahoma"/>
            <family val="2"/>
          </rPr>
          <t>Average annual demand per facility divided by the number of resupply periods</t>
        </r>
      </text>
    </comment>
    <comment ref="G59" authorId="1" shapeId="0" xr:uid="{F85E439D-92E5-42C5-98C8-6513771CABA4}">
      <text>
        <r>
          <rPr>
            <sz val="9"/>
            <color indexed="81"/>
            <rFont val="Tahoma"/>
            <family val="2"/>
          </rPr>
          <t xml:space="preserve">The volume (m^3) of safety or buffer stock expected on-hand at a facility at the beginning of an order period. This equates to the minimum amount of stock expected for an order period with average total demand. </t>
        </r>
      </text>
    </comment>
    <comment ref="G60" authorId="1" shapeId="0" xr:uid="{AC11C5BF-885E-47E1-8080-5025C5316EC7}">
      <text>
        <r>
          <rPr>
            <sz val="9"/>
            <color indexed="81"/>
            <rFont val="Tahoma"/>
            <family val="2"/>
          </rPr>
          <t xml:space="preserve">Overall average level of inventory expected at storage facilties over the course of a year. This tool assumes a constant daily demand, thus average inventory is equal to safety stock plus one-half of the average demand volume per resupply period </t>
        </r>
      </text>
    </comment>
    <comment ref="G61" authorId="1" shapeId="0" xr:uid="{82B3B133-EC05-4EDE-877D-E8D85D31714C}">
      <text>
        <r>
          <rPr>
            <sz val="9"/>
            <color indexed="81"/>
            <rFont val="Tahoma"/>
            <family val="2"/>
          </rPr>
          <t>Maximum level of inventory expected at storage facilities at any time. This tool assumes constant daily demand, thus max inventory is equal to safety stock plus average demand volume per resupply period</t>
        </r>
      </text>
    </comment>
    <comment ref="G62" authorId="1" shapeId="0" xr:uid="{68A0E011-6D7A-429A-A8A9-F5C9187D802D}">
      <text>
        <r>
          <rPr>
            <sz val="9"/>
            <color indexed="81"/>
            <rFont val="Tahoma"/>
            <family val="2"/>
          </rPr>
          <t>Ratio of average inventory levels (m^3) divided by total available storage capacity per facility. Based on user input for 1) overall system demand, 2) resupply frequency, 3) safety stock levels, and 4) average storage capacity per facility</t>
        </r>
      </text>
    </comment>
    <comment ref="G71" authorId="1" shapeId="0" xr:uid="{3A89D5A2-EF8E-468A-B2DC-E09F89A87614}">
      <text>
        <r>
          <rPr>
            <sz val="9"/>
            <color indexed="81"/>
            <rFont val="Tahoma"/>
            <family val="2"/>
          </rPr>
          <t>For each tier, the average volume (m^3) of passive storage devices in use at any given time, divided by the total volume of available passive storage devices.
NOTE: Calculation assumes cold boxes are a pooled resource with no constraints on availability for distribution activities. If the SC design imposes other constraints (e.g. if every facility requires its own cold box to retrieve product from upstream), then this metric may not reflect true need for cold box capacity. In that case the user should manage the other constraints directly (e.g. inputting &gt; 1 cold box per facility)</t>
        </r>
      </text>
    </comment>
    <comment ref="G78" authorId="1" shapeId="0" xr:uid="{D2D860B1-37D5-48C3-83D3-60433664041D}">
      <text>
        <r>
          <rPr>
            <sz val="9"/>
            <color indexed="81"/>
            <rFont val="Tahoma"/>
            <family val="2"/>
          </rPr>
          <t>Total capital and operating expenses associated with storage of health commodities and processing/packing facility orders</t>
        </r>
      </text>
    </comment>
    <comment ref="G79" authorId="1" shapeId="0" xr:uid="{DE9393BA-1F32-4C85-9664-7FD4A31DAC66}">
      <text>
        <r>
          <rPr>
            <sz val="9"/>
            <color indexed="81"/>
            <rFont val="Tahoma"/>
            <family val="2"/>
          </rPr>
          <t>Total capital and operating expenses associated with transport of health commodities between storage locations</t>
        </r>
      </text>
    </comment>
    <comment ref="G80" authorId="1" shapeId="0" xr:uid="{18A08A62-75AA-4A41-B51C-31BD8978BE5C}">
      <text>
        <r>
          <rPr>
            <sz val="9"/>
            <color indexed="81"/>
            <rFont val="Tahoma"/>
            <family val="2"/>
          </rPr>
          <t>Total costs related to supervision, management, training, analysis/forecasting, and other indirect supply chain functions</t>
        </r>
      </text>
    </comment>
    <comment ref="G84" authorId="1" shapeId="0" xr:uid="{634BAD96-7072-4C41-AD4C-17EAE9491636}">
      <text>
        <r>
          <rPr>
            <sz val="9"/>
            <color indexed="81"/>
            <rFont val="Tahoma"/>
            <family val="2"/>
          </rPr>
          <t>The cost of the time that supply chain workers spend managing warehouse functions, based on their annual salary</t>
        </r>
      </text>
    </comment>
    <comment ref="G85" authorId="1" shapeId="0" xr:uid="{86C4CBE6-7C60-4863-8864-538AC6B08E71}">
      <text>
        <r>
          <rPr>
            <sz val="9"/>
            <color indexed="81"/>
            <rFont val="Tahoma"/>
            <family val="2"/>
          </rPr>
          <t>The purchase cost of buildings and other equipment necessary to operate the supply chain (i.e. Capital Expenditures)</t>
        </r>
      </text>
    </comment>
    <comment ref="G86" authorId="1" shapeId="0" xr:uid="{B8CEE7D5-2224-41FD-ACB6-7D7DE43D7D86}">
      <text>
        <r>
          <rPr>
            <sz val="9"/>
            <color indexed="81"/>
            <rFont val="Tahoma"/>
            <family val="2"/>
          </rPr>
          <t>The ongoing operating costs needed to keep the people, equipment, buildings, etc., running smoothly (i.e. Operating Expenditures)</t>
        </r>
      </text>
    </comment>
    <comment ref="G88" authorId="1" shapeId="0" xr:uid="{9143146E-C2BA-473A-889B-8BEC241F197F}">
      <text>
        <r>
          <rPr>
            <sz val="9"/>
            <color indexed="81"/>
            <rFont val="Tahoma"/>
            <family val="2"/>
          </rPr>
          <t>The cost of the time that supply chain workers spend traveling to order and transport health commodities, based on annual salary</t>
        </r>
      </text>
    </comment>
    <comment ref="G89" authorId="1" shapeId="0" xr:uid="{46C0A239-9551-48D1-B64A-D69A974D9573}">
      <text>
        <r>
          <rPr>
            <sz val="9"/>
            <color indexed="81"/>
            <rFont val="Tahoma"/>
            <family val="2"/>
          </rPr>
          <t>The purchase cost of vehicles and other equipment necessary to operate the supply chain (i.e. Capital Expenditures)</t>
        </r>
      </text>
    </comment>
    <comment ref="G90" authorId="1" shapeId="0" xr:uid="{E7257161-FA18-4983-887E-821717B25353}">
      <text>
        <r>
          <rPr>
            <sz val="9"/>
            <color indexed="81"/>
            <rFont val="Tahoma"/>
            <family val="2"/>
          </rPr>
          <t>The amount paid to traveling supply chain workers to cover meals, incidentals, and lodging costs.</t>
        </r>
      </text>
    </comment>
    <comment ref="G91" authorId="1" shapeId="0" xr:uid="{B8F6B56E-0541-4E91-9B50-C30C4067C733}">
      <text>
        <r>
          <rPr>
            <sz val="9"/>
            <color indexed="81"/>
            <rFont val="Tahoma"/>
            <family val="2"/>
          </rPr>
          <t>The ongoing operating costs needed to keep vehicles and other equpiment running smoothly (i.e. Operating Expenditures)</t>
        </r>
      </text>
    </comment>
    <comment ref="G99" authorId="1" shapeId="0" xr:uid="{C626A369-839C-4CDE-B1C7-83CDEDBD1D60}">
      <text>
        <r>
          <rPr>
            <sz val="9"/>
            <color indexed="81"/>
            <rFont val="Tahoma"/>
            <family val="2"/>
          </rPr>
          <t>If any modes of transport used for ordering are outsourced to a third party logistics provider, their costs will appear here under the appropriate tier</t>
        </r>
      </text>
    </comment>
    <comment ref="G100" authorId="1" shapeId="0" xr:uid="{8C6CC73E-5098-495C-8C91-82D305C429C9}">
      <text>
        <r>
          <rPr>
            <sz val="9"/>
            <color indexed="81"/>
            <rFont val="Tahoma"/>
            <family val="2"/>
          </rPr>
          <t>If any modes of transport used for ordering are involve rented vehicles, the vehicle rental costs will appear here under the appropriate tier</t>
        </r>
      </text>
    </comment>
    <comment ref="G101" authorId="1" shapeId="0" xr:uid="{872A1625-BBC7-4C5D-9992-308B4BDD5416}">
      <text>
        <r>
          <rPr>
            <sz val="9"/>
            <color indexed="81"/>
            <rFont val="Tahoma"/>
            <family val="2"/>
          </rPr>
          <t>Personnel salary costs associated with travel for ordering:  [Number of hours spent traveling] x [hourly salary]</t>
        </r>
      </text>
    </comment>
    <comment ref="G102" authorId="1" shapeId="0" xr:uid="{2FC4F955-CB39-4A8F-A483-7149B3972457}">
      <text>
        <r>
          <rPr>
            <sz val="9"/>
            <color indexed="81"/>
            <rFont val="Tahoma"/>
            <family val="2"/>
          </rPr>
          <t>Cost of meals, incidentals, and lodging associated with days spent traveling to order commodities:  [Number of days of travel] x [daily per diem rate]</t>
        </r>
      </text>
    </comment>
    <comment ref="G103" authorId="1" shapeId="0" xr:uid="{5C737BC8-A16F-411A-BD90-2BDE97F8C003}">
      <text>
        <r>
          <rPr>
            <sz val="9"/>
            <color indexed="81"/>
            <rFont val="Tahoma"/>
            <family val="2"/>
          </rPr>
          <t>Cost of gasoline/diesel to fuel the ordering vehicles. Based on number of kilometers traveled and the fuel efficiency of the vehicle types used</t>
        </r>
      </text>
    </comment>
    <comment ref="G104" authorId="1" shapeId="0" xr:uid="{CF518613-E1CA-43F2-B19D-7C19F66C301B}">
      <text>
        <r>
          <rPr>
            <sz val="9"/>
            <color indexed="81"/>
            <rFont val="Tahoma"/>
            <family val="2"/>
          </rPr>
          <t>Total annual cost to insure the vehicles used for ordering, based on the number and type of vehicles used</t>
        </r>
      </text>
    </comment>
    <comment ref="G105" authorId="1" shapeId="0" xr:uid="{E4986780-74C2-4C27-99D1-4B539741A512}">
      <text>
        <r>
          <rPr>
            <sz val="9"/>
            <color indexed="81"/>
            <rFont val="Tahoma"/>
            <family val="2"/>
          </rPr>
          <t>Cost of maintaining the vehicles used for ordering, based on the number of kilometers traveled and the average per-km maintenance costs of the vehicle types used</t>
        </r>
      </text>
    </comment>
    <comment ref="G106" authorId="1" shapeId="0" xr:uid="{A8AF41BB-C8B7-487C-B828-6D82DCD39536}">
      <text>
        <r>
          <rPr>
            <sz val="9"/>
            <color indexed="81"/>
            <rFont val="Tahoma"/>
            <family val="2"/>
          </rPr>
          <t>A fraction of the purchase price of the vehicles used for ordering. Total purchase price is spread over a number of years using straightline depreciation method</t>
        </r>
      </text>
    </comment>
    <comment ref="G107" authorId="1" shapeId="0" xr:uid="{0976220F-14BE-4CC5-ADCD-357B15F75CF9}">
      <text>
        <r>
          <rPr>
            <sz val="9"/>
            <color indexed="81"/>
            <rFont val="Tahoma"/>
            <family val="2"/>
          </rPr>
          <t>If any modes of transport used for ordering involve public transport, the direct public transport costs (i.e. ticket prices) are included here.</t>
        </r>
      </text>
    </comment>
    <comment ref="G109" authorId="1" shapeId="0" xr:uid="{9DF3D27D-1498-4AF2-8D05-F11C77E7E148}">
      <text>
        <r>
          <rPr>
            <sz val="9"/>
            <color indexed="81"/>
            <rFont val="Tahoma"/>
            <family val="2"/>
          </rPr>
          <t>If any modes of transport used for ordering are outsourced to a third party logistics provider, their costs will appear here under the appropriate tier</t>
        </r>
      </text>
    </comment>
    <comment ref="G110" authorId="1" shapeId="0" xr:uid="{A043993D-26B1-4D0A-9AA0-811425D605D8}">
      <text>
        <r>
          <rPr>
            <sz val="9"/>
            <color indexed="81"/>
            <rFont val="Tahoma"/>
            <family val="2"/>
          </rPr>
          <t>If any modes of transport used for ordering are involve rented vehicles, the vehicle rental costs will appear here under the appropriate tier</t>
        </r>
      </text>
    </comment>
    <comment ref="G111" authorId="1" shapeId="0" xr:uid="{AEF200F4-87AF-4113-8A71-C87067CE69C4}">
      <text>
        <r>
          <rPr>
            <sz val="9"/>
            <color indexed="81"/>
            <rFont val="Tahoma"/>
            <family val="2"/>
          </rPr>
          <t>Personnel salary costs associated with travel for ordering:  [Number of hours spent traveling] x [hourly salary]</t>
        </r>
      </text>
    </comment>
    <comment ref="G112" authorId="1" shapeId="0" xr:uid="{CDE34417-450B-436F-BD5B-B52C5653EC07}">
      <text>
        <r>
          <rPr>
            <sz val="9"/>
            <color indexed="81"/>
            <rFont val="Tahoma"/>
            <family val="2"/>
          </rPr>
          <t>Cost of meals, incidentals, and lodging associated with days spent traveling to order commodities:  [Number of days of travel] x [daily per diem rate]</t>
        </r>
      </text>
    </comment>
    <comment ref="G113" authorId="1" shapeId="0" xr:uid="{23306402-008A-4C72-9D50-E7884CBEB43C}">
      <text>
        <r>
          <rPr>
            <sz val="9"/>
            <color indexed="81"/>
            <rFont val="Tahoma"/>
            <family val="2"/>
          </rPr>
          <t>Cost of gasoline/diesel to fuel the ordering vehicles. Based on number of kilometers traveled and the fuel efficiency of the vehicle types used</t>
        </r>
      </text>
    </comment>
    <comment ref="G114" authorId="1" shapeId="0" xr:uid="{345B742B-4212-40A8-B23C-2169FA8CA0BA}">
      <text>
        <r>
          <rPr>
            <sz val="9"/>
            <color indexed="81"/>
            <rFont val="Tahoma"/>
            <family val="2"/>
          </rPr>
          <t>Total annual cost to insure the vehicles used for ordering, based on the number and type of vehicles used</t>
        </r>
      </text>
    </comment>
    <comment ref="G115" authorId="1" shapeId="0" xr:uid="{19FF0943-FBAC-4144-9E54-BC352CD75045}">
      <text>
        <r>
          <rPr>
            <sz val="9"/>
            <color indexed="81"/>
            <rFont val="Tahoma"/>
            <family val="2"/>
          </rPr>
          <t>Cost of maintaining the vehicles used for ordering, based on the number of kilometers traveled and the average per-km maintenance costs of the vehicle types used</t>
        </r>
      </text>
    </comment>
    <comment ref="G116" authorId="1" shapeId="0" xr:uid="{83D55E97-3460-42E1-ADCD-F4F120ED9BAB}">
      <text>
        <r>
          <rPr>
            <sz val="9"/>
            <color indexed="81"/>
            <rFont val="Tahoma"/>
            <family val="2"/>
          </rPr>
          <t>A fraction of the purchase price of the vehicles used for ordering. Total purchase price is spread over a number of years using straightline depreciation method</t>
        </r>
      </text>
    </comment>
    <comment ref="G117" authorId="1" shapeId="0" xr:uid="{7C453B63-DFAF-4D36-B48E-BC2842EDFC4C}">
      <text>
        <r>
          <rPr>
            <sz val="9"/>
            <color indexed="81"/>
            <rFont val="Tahoma"/>
            <family val="2"/>
          </rPr>
          <t>If any modes of transport used for ordering involve public transport, the direct public transport costs (i.e. ticket prices) are included here.</t>
        </r>
      </text>
    </comment>
    <comment ref="G119" authorId="1" shapeId="0" xr:uid="{560188FF-EAEA-4784-8D3C-296AE0BDF102}">
      <text>
        <r>
          <rPr>
            <sz val="9"/>
            <color indexed="81"/>
            <rFont val="Tahoma"/>
            <family val="2"/>
          </rPr>
          <t>If any modes of transport used for ordering are outsourced to a third party logistics provider, their costs will appear here under the appropriate tier</t>
        </r>
      </text>
    </comment>
    <comment ref="G120" authorId="1" shapeId="0" xr:uid="{E024AF53-7D04-4AE9-A3A6-EA147E7E1B40}">
      <text>
        <r>
          <rPr>
            <sz val="9"/>
            <color indexed="81"/>
            <rFont val="Tahoma"/>
            <family val="2"/>
          </rPr>
          <t>If any modes of transport used for ordering are involve rented vehicles, the vehicle rental costs will appear here under the appropriate tier</t>
        </r>
      </text>
    </comment>
    <comment ref="G121" authorId="1" shapeId="0" xr:uid="{5340FE42-7DB2-404A-B67A-C2A9671313D3}">
      <text>
        <r>
          <rPr>
            <sz val="9"/>
            <color indexed="81"/>
            <rFont val="Tahoma"/>
            <family val="2"/>
          </rPr>
          <t>Personnel salary costs associated with travel for ordering:  [Number of hours spent traveling] x [hourly salary]</t>
        </r>
      </text>
    </comment>
    <comment ref="G122" authorId="1" shapeId="0" xr:uid="{8C7C0698-B7F0-4032-90EB-9A60A81BA91D}">
      <text>
        <r>
          <rPr>
            <sz val="9"/>
            <color indexed="81"/>
            <rFont val="Tahoma"/>
            <family val="2"/>
          </rPr>
          <t>Cost of meals, incidentals, and lodging associated with days spent traveling to order commodities:  [Number of days of travel] x [daily per diem rate]</t>
        </r>
      </text>
    </comment>
    <comment ref="G123" authorId="1" shapeId="0" xr:uid="{19C8E43D-0BCF-48FC-AFAE-F8F4396917CF}">
      <text>
        <r>
          <rPr>
            <sz val="9"/>
            <color indexed="81"/>
            <rFont val="Tahoma"/>
            <family val="2"/>
          </rPr>
          <t>Cost of gasoline/diesel to fuel the ordering vehicles. Based on number of kilometers traveled and the fuel efficiency of the vehicle types used</t>
        </r>
      </text>
    </comment>
    <comment ref="G124" authorId="1" shapeId="0" xr:uid="{5FEA8714-B62A-4D33-A06B-8026C7C14F6E}">
      <text>
        <r>
          <rPr>
            <sz val="9"/>
            <color indexed="81"/>
            <rFont val="Tahoma"/>
            <family val="2"/>
          </rPr>
          <t>Total annual cost to insure the vehicles used for ordering, based on the number and type of vehicles used</t>
        </r>
      </text>
    </comment>
    <comment ref="G125" authorId="1" shapeId="0" xr:uid="{DB302D6A-26BB-4918-9E60-3B4409E67A02}">
      <text>
        <r>
          <rPr>
            <sz val="9"/>
            <color indexed="81"/>
            <rFont val="Tahoma"/>
            <family val="2"/>
          </rPr>
          <t>Cost of maintaining the vehicles used for ordering, based on the number of kilometers traveled and the average per-km maintenance costs of the vehicle types used</t>
        </r>
      </text>
    </comment>
    <comment ref="G126" authorId="1" shapeId="0" xr:uid="{3BBFB5D6-8EA6-446A-A5ED-F463554A9A76}">
      <text>
        <r>
          <rPr>
            <sz val="9"/>
            <color indexed="81"/>
            <rFont val="Tahoma"/>
            <family val="2"/>
          </rPr>
          <t>A fraction of the purchase price of the vehicles used for ordering. Total purchase price is spread over a number of years using straightline depreciation method</t>
        </r>
      </text>
    </comment>
    <comment ref="G127" authorId="1" shapeId="0" xr:uid="{F0F278FE-E580-4B3C-88BA-7F1F9D22842F}">
      <text>
        <r>
          <rPr>
            <sz val="9"/>
            <color indexed="81"/>
            <rFont val="Tahoma"/>
            <family val="2"/>
          </rPr>
          <t>If any modes of transport used for ordering involve public transport, the direct public transport costs (i.e. ticket prices) are included here.</t>
        </r>
      </text>
    </comment>
    <comment ref="G132" authorId="1" shapeId="0" xr:uid="{8713B076-7F15-467C-9655-1898B318617C}">
      <text>
        <r>
          <rPr>
            <sz val="9"/>
            <color indexed="81"/>
            <rFont val="Tahoma"/>
            <family val="2"/>
          </rPr>
          <t>The cost of the time that supply chain workers spend managing warehouse functions, based on their annual salary</t>
        </r>
      </text>
    </comment>
    <comment ref="G133" authorId="1" shapeId="0" xr:uid="{7043B6E8-80D4-4F12-9961-54AC5DEB210F}">
      <text>
        <r>
          <rPr>
            <sz val="9"/>
            <color indexed="81"/>
            <rFont val="Tahoma"/>
            <family val="2"/>
          </rPr>
          <t>The ongoing operating costs needed to keep the people, equipment, buildings, etc running smoothly (i.e. Operating Expenditures)</t>
        </r>
      </text>
    </comment>
    <comment ref="G134" authorId="1" shapeId="0" xr:uid="{7FB4A067-E61F-43AB-9544-241CB5AA51A4}">
      <text>
        <r>
          <rPr>
            <sz val="9"/>
            <color indexed="81"/>
            <rFont val="Tahoma"/>
            <family val="2"/>
          </rPr>
          <t xml:space="preserve">The depreciated purchase cost of buildings and other equipment necessary to operate a typical ambient-temperature warehouse </t>
        </r>
      </text>
    </comment>
    <comment ref="G135" authorId="1" shapeId="0" xr:uid="{D4E18898-0C12-426E-BF0E-E3CB03884549}">
      <text>
        <r>
          <rPr>
            <sz val="9"/>
            <color indexed="81"/>
            <rFont val="Tahoma"/>
            <family val="2"/>
          </rPr>
          <t>The depreciated purchase cost of cold-chain specific equipment (e.g. cold room, freezer)</t>
        </r>
      </text>
    </comment>
    <comment ref="G136" authorId="1" shapeId="0" xr:uid="{57BC6635-78B0-4B30-B3EF-E40C759D9374}">
      <text>
        <r>
          <rPr>
            <sz val="9"/>
            <color indexed="81"/>
            <rFont val="Tahoma"/>
            <family val="2"/>
          </rPr>
          <t>If applicable, the average annual cost to operate any cold boxes  owned by storage facilities (e.g. electricity, fuel, maintenance)</t>
        </r>
      </text>
    </comment>
    <comment ref="G137" authorId="1" shapeId="0" xr:uid="{B1AB9BBF-ADD7-491B-83C6-6C91AE22EED6}">
      <text>
        <r>
          <rPr>
            <sz val="9"/>
            <color indexed="81"/>
            <rFont val="Tahoma"/>
            <family val="2"/>
          </rPr>
          <t>The depreciated purchase cost of cold boxes used to transport cold-chain commodities to/from the storage facility</t>
        </r>
      </text>
    </comment>
    <comment ref="G139" authorId="1" shapeId="0" xr:uid="{F6DE113E-2B5A-4995-8A2F-51D127C230EA}">
      <text>
        <r>
          <rPr>
            <sz val="9"/>
            <color indexed="81"/>
            <rFont val="Tahoma"/>
            <family val="2"/>
          </rPr>
          <t>Total costs related to supervision, management, training, analysis/forecasting, and other indirect supply chain functions</t>
        </r>
      </text>
    </comment>
    <comment ref="F146" authorId="1" shapeId="0" xr:uid="{57BEBCCA-A354-4BC5-9123-FDC6B1226C49}">
      <text>
        <r>
          <rPr>
            <sz val="9"/>
            <color indexed="81"/>
            <rFont val="Tahoma"/>
            <family val="2"/>
          </rPr>
          <t>Table 6 provides a detailed breakdown of the travel activities required at each tier and mode of transport. These estimated activities (e.g. # trips needed, # travel days, # kilometers traveled) provide the basis for cost and utilization calculations in Tables 1-5 above. This table can be used to validate the accuracy of the Input Parameters data, by checking that key values (e.g. # Facility visits per trip, # Trips needed per year) are reasonable given the distances, number of facilities and number of resupply periods specified.
NOTE: This table does contain calculations that are unused in the final costing model. For each transport mode, the table automatically calculates details for several different design options (public transport vs owned vehicles, route-based vs. point-to-point travel), with Tables 1-5 above selecting/using only the set of calculations that matches the design specified in the Input Parameters page.  Thus when using this table for validation, the user should be careful to focus only on that same set of calculations.</t>
        </r>
      </text>
    </comment>
    <comment ref="G149" authorId="1" shapeId="0" xr:uid="{46099165-5FF0-4351-B548-7ABF224D1B49}">
      <text>
        <r>
          <rPr>
            <sz val="9"/>
            <color indexed="81"/>
            <rFont val="Tahoma"/>
            <family val="2"/>
          </rPr>
          <t>Same values as in Table 3 above, but can be either Total Annual Demand per Facility, Total Ambient Temp. Demand per Facility, or  Total Cold Chain Demand per Facility, depending on whether the user has indicated an exclusive cold chain mode of transport.</t>
        </r>
      </text>
    </comment>
    <comment ref="G151" authorId="1" shapeId="0" xr:uid="{1A0C7A31-84C4-4E7E-8BC8-B3AA32725082}">
      <text>
        <r>
          <rPr>
            <sz val="9"/>
            <color indexed="81"/>
            <rFont val="Tahoma"/>
            <family val="2"/>
          </rPr>
          <t>Total annual cold chain volume for this mode, divided by the total number of trips needed per year. Used to estimate the amount of cold box capacity needed per trip</t>
        </r>
      </text>
    </comment>
    <comment ref="G152" authorId="1" shapeId="0" xr:uid="{2937813F-84A8-4909-843C-AB0E98C0F739}">
      <text>
        <r>
          <rPr>
            <sz val="9"/>
            <color indexed="81"/>
            <rFont val="Tahoma"/>
            <family val="2"/>
          </rPr>
          <t>Total number of days spent traveling per year for this mode, divided by the number of available work days. Used to estimate how many vehicles will be out for delivery at any given time, which can determine how many cold boxes a facility must have on hand</t>
        </r>
      </text>
    </comment>
    <comment ref="G154" authorId="1" shapeId="0" xr:uid="{F14D3047-6467-4A56-8834-D80BC938E355}">
      <text>
        <r>
          <rPr>
            <sz val="9"/>
            <color indexed="81"/>
            <rFont val="Tahoma"/>
            <family val="2"/>
          </rPr>
          <t>Based on 1) number of facilities using public transit, 2) number of resupply periods in a year, and 3) volume of commodities that can be carried on one public transit trip.</t>
        </r>
      </text>
    </comment>
    <comment ref="G155" authorId="1" shapeId="0" xr:uid="{C6D0175B-DE73-4C97-BAC4-3BBBA83FFBD3}">
      <text>
        <r>
          <rPr>
            <sz val="9"/>
            <color indexed="81"/>
            <rFont val="Tahoma"/>
            <family val="2"/>
          </rPr>
          <t>Number of trips needed per year multiplied by the average duration (travel time + dwell time at facility) per trip;  Will be based on either the point-to-point or route-based values below, depending on which option the user has selected for this mode</t>
        </r>
      </text>
    </comment>
    <comment ref="G156" authorId="1" shapeId="0" xr:uid="{FB41E7FD-BAF8-4DB9-8E4A-6D24E7C6D3DF}">
      <text>
        <r>
          <rPr>
            <sz val="9"/>
            <color indexed="81"/>
            <rFont val="Tahoma"/>
            <family val="2"/>
          </rPr>
          <t>Total number of facilities at this tier, multiplied by the percentage that are using this mode of transport</t>
        </r>
      </text>
    </comment>
    <comment ref="G157" authorId="1" shapeId="0" xr:uid="{AD4D7673-B46E-4DD3-9FA0-7897FBECE2AA}">
      <text>
        <r>
          <rPr>
            <sz val="9"/>
            <color indexed="81"/>
            <rFont val="Tahoma"/>
            <family val="2"/>
          </rPr>
          <t>Volume of commodities that can be carried on one public transit trip, divided by the total annual demand per facility for this mode</t>
        </r>
      </text>
    </comment>
    <comment ref="G159" authorId="1" shapeId="0" xr:uid="{A01D5DE7-49C8-4CAE-BA90-C68145B87795}">
      <text>
        <r>
          <rPr>
            <sz val="9"/>
            <color indexed="81"/>
            <rFont val="Tahoma"/>
            <family val="2"/>
          </rPr>
          <t>Number of hours per workday divided by total visit time per facility (travel time + dwell time)</t>
        </r>
      </text>
    </comment>
    <comment ref="G160" authorId="1" shapeId="0" xr:uid="{91B65903-A3D0-4946-A30B-E9822B2BE60A}">
      <text>
        <r>
          <rPr>
            <sz val="9"/>
            <color indexed="81"/>
            <rFont val="Tahoma"/>
            <family val="2"/>
          </rPr>
          <t>Either the Max # facilities based on delivery capacity, or the Max # facilities based on time limits (Max # facilities per day * Max # days per route), whichever value is smaller</t>
        </r>
      </text>
    </comment>
    <comment ref="G161" authorId="1" shapeId="0" xr:uid="{73132596-A0E0-4D12-AC46-FE6F51A4D160}">
      <text>
        <r>
          <rPr>
            <sz val="9"/>
            <color indexed="81"/>
            <rFont val="Tahoma"/>
            <family val="2"/>
          </rPr>
          <t>Total number of facilities to visit per period, divided by the maximum number of facilities visited per route</t>
        </r>
      </text>
    </comment>
    <comment ref="G162" authorId="1" shapeId="0" xr:uid="{6F5CBFBF-4B76-4982-BAC6-DE5A130245F9}">
      <text>
        <r>
          <rPr>
            <sz val="9"/>
            <color indexed="81"/>
            <rFont val="Tahoma"/>
            <family val="2"/>
          </rPr>
          <t>Number of individual trips needed.  For each route, the model estimates two trips needed to travel between the upstream warehouse and the first destination facility, and one additional trip for each additional facility visited on the route.</t>
        </r>
      </text>
    </comment>
    <comment ref="G163" authorId="1" shapeId="0" xr:uid="{11523890-C26D-4569-B443-BC0A80FFA283}">
      <text>
        <r>
          <rPr>
            <sz val="9"/>
            <color indexed="81"/>
            <rFont val="Tahoma"/>
            <family val="2"/>
          </rPr>
          <t>Number of trips needed per period multiplied by the average duration (travel time + dwell time at facility) per trip, for route-based public transit travel</t>
        </r>
      </text>
    </comment>
    <comment ref="G165" authorId="1" shapeId="0" xr:uid="{3D38507D-937D-438D-88FE-515185316EBC}">
      <text>
        <r>
          <rPr>
            <sz val="9"/>
            <color indexed="81"/>
            <rFont val="Tahoma"/>
            <family val="2"/>
          </rPr>
          <t>Number of individual trips needed. For point-to-point travel, the model assumes two trips per facility per resupply period</t>
        </r>
      </text>
    </comment>
    <comment ref="G166" authorId="1" shapeId="0" xr:uid="{1F3DB2E4-9E92-4C2E-930E-F7F2B11D4451}">
      <text>
        <r>
          <rPr>
            <sz val="9"/>
            <color indexed="81"/>
            <rFont val="Tahoma"/>
            <family val="2"/>
          </rPr>
          <t>Number of trips needed per period multiplied by the average duration (travel time + dwell time at facility) per trip, for point-to-point public transit travel</t>
        </r>
      </text>
    </comment>
    <comment ref="G168" authorId="1" shapeId="0" xr:uid="{5DB8AFFC-44D4-4272-9829-8ABF97D8E57B}">
      <text>
        <r>
          <rPr>
            <sz val="9"/>
            <color indexed="81"/>
            <rFont val="Tahoma"/>
            <family val="2"/>
          </rPr>
          <t>Total number of facilities at this tier, multiplied by the percentage that are using this mode of transport</t>
        </r>
      </text>
    </comment>
    <comment ref="G169" authorId="1" shapeId="0" xr:uid="{5111C487-7A10-4260-8280-D24E4B5CB376}">
      <text>
        <r>
          <rPr>
            <sz val="9"/>
            <color indexed="81"/>
            <rFont val="Tahoma"/>
            <family val="2"/>
          </rPr>
          <t>Distance traveled per trip, multiplied by the number of trips needed per year; will be based on either the point-to-point or route-based values below, dependign on which option the user has selected for this mode</t>
        </r>
      </text>
    </comment>
    <comment ref="G170" authorId="1" shapeId="0" xr:uid="{C5C26507-9E00-43DD-AA67-548254DBA2EF}">
      <text>
        <r>
          <rPr>
            <sz val="9"/>
            <color indexed="81"/>
            <rFont val="Tahoma"/>
            <family val="2"/>
          </rPr>
          <t>Number of individual travel trips needed, based on 1) number of facilities to visit, 2) number of resupply periods in a year, and 3) the number of facilities that can be visited in one trip. Will be based on etiher the point-to-point or route-based values below</t>
        </r>
      </text>
    </comment>
    <comment ref="G171" authorId="1" shapeId="0" xr:uid="{3ECD4E99-D011-4CAB-BB11-9F8488D9CBBE}">
      <text>
        <r>
          <rPr>
            <sz val="9"/>
            <color indexed="81"/>
            <rFont val="Tahoma"/>
            <family val="2"/>
          </rPr>
          <t>Number of trips needed per year, multiplied by number of days needed per trip</t>
        </r>
      </text>
    </comment>
    <comment ref="G172" authorId="1" shapeId="0" xr:uid="{C7AF2625-2EB4-49C7-8DD4-AB2FCFC7F780}">
      <text>
        <r>
          <rPr>
            <sz val="9"/>
            <color indexed="81"/>
            <rFont val="Tahoma"/>
            <family val="2"/>
          </rPr>
          <t>Total volume (m^3) to deliver per trip, divided by total capacity of delivery vehicles (NOTE: if user has selected route-based travel, and the max # of facilities is limited by capacity rather than by user policies, then this value will automatically be 100%)</t>
        </r>
      </text>
    </comment>
    <comment ref="G173" authorId="1" shapeId="0" xr:uid="{65657FCB-3795-473B-9FEF-198E63860285}">
      <text>
        <r>
          <rPr>
            <sz val="9"/>
            <color indexed="81"/>
            <rFont val="Tahoma"/>
            <family val="2"/>
          </rPr>
          <t>Number of days out on delivery per year, divided by the total number of vehicle-days availble for delivery (i.e. Number of working days per year * Number of available vehicles)</t>
        </r>
      </text>
    </comment>
    <comment ref="G175" authorId="1" shapeId="0" xr:uid="{E061E6AA-A105-42C8-9494-00B7AEF7B4CD}">
      <text>
        <r>
          <rPr>
            <sz val="9"/>
            <color indexed="81"/>
            <rFont val="Tahoma"/>
            <family val="2"/>
          </rPr>
          <t>Delivery capacity of selected vehicle type (m^3) divided by average demand volume per facility per period</t>
        </r>
      </text>
    </comment>
    <comment ref="G176" authorId="1" shapeId="0" xr:uid="{1AACF17E-8D17-41FD-BBB2-82757CA385AA}">
      <text>
        <r>
          <rPr>
            <sz val="9"/>
            <color indexed="81"/>
            <rFont val="Tahoma"/>
            <family val="2"/>
          </rPr>
          <t>Maximum allowable days per delivery route (A user input from Section 6.1) multiplied by the number of facilities that can be visited in a single workday based on distance, driving speed, dwell time at facilities, etc.</t>
        </r>
      </text>
    </comment>
    <comment ref="G177" authorId="1" shapeId="0" xr:uid="{E284A020-8037-4862-A26E-F2243B9D1F4B}">
      <text>
        <r>
          <rPr>
            <sz val="9"/>
            <color indexed="81"/>
            <rFont val="Tahoma"/>
            <family val="2"/>
          </rPr>
          <t>Minimum of the above two numbers (i.e. the max # facilities will either be constrained by delivery capacity of the vehicle or by time available for a single route)</t>
        </r>
      </text>
    </comment>
    <comment ref="G178" authorId="1" shapeId="0" xr:uid="{4F0CBF4E-F005-4EBD-9043-3731E251EB03}">
      <text>
        <r>
          <rPr>
            <sz val="9"/>
            <color indexed="81"/>
            <rFont val="Tahoma"/>
            <family val="2"/>
          </rPr>
          <t>Total number of facilities to visit per year, divided by the maximum number of facility visits per trip</t>
        </r>
      </text>
    </comment>
    <comment ref="G179" authorId="1" shapeId="0" xr:uid="{A8361B40-BB6B-4924-BC4A-4367ED6AC1C5}">
      <text>
        <r>
          <rPr>
            <sz val="9"/>
            <color indexed="81"/>
            <rFont val="Tahoma"/>
            <family val="2"/>
          </rPr>
          <t>2*[Distance to nearest upstream facility]  +  [N-1]*[Distance bewteen facilities at this tier],  where "N" equals the maximum number of facility visits per trip</t>
        </r>
      </text>
    </comment>
    <comment ref="G180" authorId="1" shapeId="0" xr:uid="{E41BCED8-B88F-4276-AC22-124702C4123D}">
      <text>
        <r>
          <rPr>
            <sz val="9"/>
            <color indexed="81"/>
            <rFont val="Tahoma"/>
            <family val="2"/>
          </rPr>
          <t>Total time spent in-facility (Number of facility deliveries per trip * dwell time per facility ) plus Total driving time between facilities (Distance traveled * Average speed)</t>
        </r>
      </text>
    </comment>
    <comment ref="G181" authorId="1" shapeId="0" xr:uid="{8E2FB5CE-48A4-4C21-BF96-292AB3496A0C}">
      <text>
        <r>
          <rPr>
            <sz val="9"/>
            <color indexed="81"/>
            <rFont val="Tahoma"/>
            <family val="2"/>
          </rPr>
          <t>Total available vehicle-days (number of working days per year * number of available vehicles) divided by total time needed per trip</t>
        </r>
      </text>
    </comment>
    <comment ref="G183" authorId="1" shapeId="0" xr:uid="{206E11B0-022B-493A-99E4-7C7566C4DC2D}">
      <text>
        <r>
          <rPr>
            <sz val="9"/>
            <color indexed="81"/>
            <rFont val="Tahoma"/>
            <family val="2"/>
          </rPr>
          <t>Total number of facilities to visit per year, divided by the maximum number of facility visits per trip (will be equal to one trip per facility per period, unless the delivery capacity of the vehicle is less than the facility's demand volume)</t>
        </r>
      </text>
    </comment>
    <comment ref="G184" authorId="1" shapeId="0" xr:uid="{71E96876-E63C-4F53-93FE-D83494268162}">
      <text>
        <r>
          <rPr>
            <sz val="9"/>
            <color indexed="81"/>
            <rFont val="Tahoma"/>
            <family val="2"/>
          </rPr>
          <t>Equal to twice the distance between a facility and its upstream supplier</t>
        </r>
      </text>
    </comment>
    <comment ref="G185" authorId="1" shapeId="0" xr:uid="{1F3DD0E2-FCC0-44E5-AEE0-D469F5E7423F}">
      <text>
        <r>
          <rPr>
            <sz val="9"/>
            <color indexed="81"/>
            <rFont val="Tahoma"/>
            <family val="2"/>
          </rPr>
          <t>Total available vehicle-days (number of working days per year * number of available vehicles) divided by total time needed per trip</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Michael Krautmann</author>
    <author>Krautmann, Michael</author>
  </authors>
  <commentList>
    <comment ref="G9" authorId="0" shapeId="0" xr:uid="{F0839634-AABB-4FFA-971F-E07B62773197}">
      <text>
        <r>
          <rPr>
            <sz val="9"/>
            <color indexed="81"/>
            <rFont val="Tahoma"/>
            <family val="2"/>
          </rPr>
          <t xml:space="preserve">The total number of levels at which inventory is stored and distributed, as specified by the user
</t>
        </r>
      </text>
    </comment>
    <comment ref="G10" authorId="0" shapeId="0" xr:uid="{BDAF3167-4D03-473E-AB61-AF26AFB4DE2D}">
      <text>
        <r>
          <rPr>
            <sz val="9"/>
            <color indexed="81"/>
            <rFont val="Tahoma"/>
            <family val="2"/>
          </rPr>
          <t>User-entered value; number of facilities to which health commodities are delivered at the final tier fo the supply chain</t>
        </r>
      </text>
    </comment>
    <comment ref="G11" authorId="0" shapeId="0" xr:uid="{0AAB26A9-820C-4A14-A382-41D1B21E8A05}">
      <text>
        <r>
          <rPr>
            <sz val="9"/>
            <color indexed="81"/>
            <rFont val="Tahoma"/>
            <family val="2"/>
          </rPr>
          <t xml:space="preserve">Total annual cubic meters (m^3) of health commodities delivered to the final tier of the supply chain (May be less than the total volume procured if the user assumed an expiry/wastage rate at one or more tiers) 
</t>
        </r>
      </text>
    </comment>
    <comment ref="G12" authorId="0" shapeId="0" xr:uid="{FACBB392-DCF8-4444-9607-7A7F69E03C6B}">
      <text>
        <r>
          <rPr>
            <sz val="9"/>
            <color indexed="81"/>
            <rFont val="Tahoma"/>
            <family val="2"/>
          </rPr>
          <t xml:space="preserve">Total annual cubic meters (m^3) of cold-chain specific commodities delivered to the final tier of the supply chain (May be less than the total volume procured if the user assumed an expiry/wastage rate at one or more tiers) </t>
        </r>
      </text>
    </comment>
    <comment ref="G13" authorId="0" shapeId="0" xr:uid="{C516F97C-DE31-46C1-9581-11859690F59F}">
      <text>
        <r>
          <rPr>
            <sz val="9"/>
            <color indexed="81"/>
            <rFont val="Tahoma"/>
            <family val="2"/>
          </rPr>
          <t xml:space="preserve">The total procurement or sales value of the commodities delivered to the final tier. </t>
        </r>
      </text>
    </comment>
    <comment ref="F14" authorId="0" shapeId="0" xr:uid="{FC7F02BC-B052-4270-B320-BADF0CBBD82C}">
      <text>
        <r>
          <rPr>
            <sz val="9"/>
            <color indexed="81"/>
            <rFont val="Tahoma"/>
            <family val="2"/>
          </rPr>
          <t>The number of kilometers (km) traveled per year to fulfill all ordering, delivery, and additional travel activities, summed over all tiers in the supply chain.</t>
        </r>
        <r>
          <rPr>
            <b/>
            <sz val="9"/>
            <color indexed="81"/>
            <rFont val="Tahoma"/>
            <family val="2"/>
          </rPr>
          <t xml:space="preserve"> Includes only vehicles that are owned/rented/contracted, and does NOT include km traveled by public transport</t>
        </r>
      </text>
    </comment>
    <comment ref="G15" authorId="0" shapeId="0" xr:uid="{FCA166FB-E20D-49EF-B1A8-1E8669B525A6}">
      <text>
        <r>
          <rPr>
            <sz val="9"/>
            <color indexed="81"/>
            <rFont val="Tahoma"/>
            <family val="2"/>
          </rPr>
          <t>The total number of person-days of travel needed to complete all ordering/delivery/additional activities, summed over all tiers in the supply chain</t>
        </r>
      </text>
    </comment>
    <comment ref="G16" authorId="0" shapeId="0" xr:uid="{6ADEA8CE-FBA1-4305-A841-FC990000C204}">
      <text>
        <r>
          <rPr>
            <sz val="9"/>
            <color indexed="81"/>
            <rFont val="Tahoma"/>
            <family val="2"/>
          </rPr>
          <t>A high-level summary of Tables 2 and 3 below; a count of all storage and transportation modes that are outside the ideal utilization window (user specified, but a common ideal utilization range is between 50% and 90%)</t>
        </r>
      </text>
    </comment>
    <comment ref="G25" authorId="1" shapeId="0" xr:uid="{F810FC53-4E2C-46A7-9C4E-A1DB46B61854}">
      <text>
        <r>
          <rPr>
            <sz val="9"/>
            <color indexed="81"/>
            <rFont val="Tahoma"/>
            <family val="2"/>
          </rPr>
          <t>-- Ratio of [Total Operating Cost] / [Total Commodity Throughput Value] x [100]
-- Interpretation: In general lower is better, though values vary greatly by health program area (e.g. HIV, Essential Medicines). For example, one box of antiretrovirals (ARVs) will likely have a value much greater than a similar box of antibiotics, even though the supply chain cost to distribute each is likely to be similar.   Thus this metric would be lower for the ARVs than the antibiotic, even for similarly-performing supply chains.</t>
        </r>
      </text>
    </comment>
    <comment ref="G26" authorId="1" shapeId="0" xr:uid="{9ABEC427-2C36-4A8A-BD77-B2B661CC74E9}">
      <text>
        <r>
          <rPr>
            <sz val="9"/>
            <color indexed="81"/>
            <rFont val="Tahoma"/>
            <family val="2"/>
          </rPr>
          <t>-- Ratio of [Total Operating Cost] / [Total Commodity Throughput Volume] 
-- Interpretation: General measure of supply chain efficiency. For similar geographies, throughput volumes, and supply chain designs, a lower value represents a more efficient supply chain.  No standard benchmarks exist within global health supply chain, though some publicly-available supply chain costing studies could be used to create a rough benchmark value</t>
        </r>
      </text>
    </comment>
    <comment ref="G27" authorId="1" shapeId="0" xr:uid="{F7FABD05-E7CD-4823-8C80-AC5798E6C7DF}">
      <text>
        <r>
          <rPr>
            <sz val="9"/>
            <color indexed="81"/>
            <rFont val="Tahoma"/>
            <family val="2"/>
          </rPr>
          <t xml:space="preserve">-- The monetary value (in user-specified currency) of the average amount of inventory (m^3) in the entire supply chain at any given time (For each tier: [$ value per m^3] x [m^3 per facility average inventory] x [# facilities in tier]).
-- Interpretation: Some inventory is necessary to buffer against unexpected changes in supply and demand, but in general lower is better. Money that is tied up in inventory cannot be invested in other program activities, and thus carries a significant opportunity cost. </t>
        </r>
      </text>
    </comment>
    <comment ref="G28" authorId="1" shapeId="0" xr:uid="{4365B636-19E0-4B64-B497-194E21E7020F}">
      <text>
        <r>
          <rPr>
            <sz val="9"/>
            <color indexed="81"/>
            <rFont val="Tahoma"/>
            <family val="2"/>
          </rPr>
          <t>'-- Ratio of [Total kilometers traveled for ordering/delivery/additional activities] / [Total volume of commodities delivered to final tier]
--Interpretation: Some travel will always be required to distribute commodities from upstream to downstream tiers, but travel is generally costly. This value can help users identify SC design options that can deliver commodities with a minimum of travel. Higher values are likely caused by 
   a) additional activities that require travel, e.g. ordering
   b) delivery vehicles with a small capacity (m^3), thus requiring multiple trips to each facility every resupply period
   c) low maximum allowable days per travel route (e.g. 1 or 2 days) in a country with long driving/dwell times, creating routes 
       that only reach a couple of clinics at a time, which leads to excessive (and inefficient) driving between tiers. 
NOTE: This value obviously increases for countries with larger land area, so it is best used when comparing supply chain design options within a single geography.</t>
        </r>
      </text>
    </comment>
    <comment ref="F31" authorId="1" shapeId="0" xr:uid="{2B224D67-43F4-41E9-8C16-A1A3C88A4F2D}">
      <text>
        <r>
          <rPr>
            <sz val="9"/>
            <color indexed="81"/>
            <rFont val="Tahoma"/>
            <family val="2"/>
          </rPr>
          <t>'-- For each tier of the supply chain, the percent of available vehicle delivery capacity (m^3) that is actually being used on deliveries. 
-- Interpretation: In general, 75% - 85% capacity utiliztion is ideal. Anything above 90-95% likely indicates that delivery resources will frequently be overburdened - vehicles aren't big enough, or there aren't enough of them.  Anything below 50% indicates much of the available space on delivery vehicles is being left empty, and thus the supply chain is paying for vehicle space that it isn't using
--NOTE:  if the user has specified a "route-based" delivery pattern, this value may default to 99% or 100%. In this case, it is the Delivery Vehicle Time Utilization that more accurately reflects overall utilization of delivery resources.</t>
        </r>
      </text>
    </comment>
    <comment ref="F34" authorId="1" shapeId="0" xr:uid="{F45E6945-43A7-435E-891D-A65818040871}">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F38" authorId="1" shapeId="0" xr:uid="{17C71F33-04BB-47C8-83D0-9BDE85C0F56F}">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F42" authorId="1" shapeId="0" xr:uid="{93594FAD-D3DF-4DEC-8D35-C8F930BE62D5}">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G52" authorId="1" shapeId="0" xr:uid="{26DB7746-3E16-4B41-BC27-B8B66DF856B6}">
      <text>
        <r>
          <rPr>
            <sz val="9"/>
            <color indexed="81"/>
            <rFont val="Tahoma"/>
            <family val="2"/>
          </rPr>
          <t>Within a given supply chain tier, the total number of cubic meters (m^3) of product expected to be ordered by each facility in a given order period.  This value is the same for each facility within that tier, and includes ambient and cold chain commodities.</t>
        </r>
      </text>
    </comment>
    <comment ref="G53" authorId="1" shapeId="0" xr:uid="{4E565E20-3D6E-4E37-849C-1C3ACBAB9691}">
      <text>
        <r>
          <rPr>
            <sz val="9"/>
            <color indexed="81"/>
            <rFont val="Tahoma"/>
            <family val="2"/>
          </rPr>
          <t>Ratio of time spent processing commodities at storage facilities, divided by total available time for processing. Based on user inputs for 1) total number of full-time-equivalent (FTE) workers per storage point, and 2) average throughput capacity (m^3/day) per person</t>
        </r>
      </text>
    </comment>
    <comment ref="G54" authorId="1" shapeId="0" xr:uid="{12F42F27-39AE-4C2B-9F7B-4D826C436DDD}">
      <text>
        <r>
          <rPr>
            <sz val="9"/>
            <color indexed="81"/>
            <rFont val="Tahoma"/>
            <family val="2"/>
          </rPr>
          <t>Ratio of average inventory levels (m^3) divided by total available storage capacity per facility. Based on user input for 1) overall system demand, 2) resupply frequency, 3) safety stock levels, and 4) average storage capacity per facility</t>
        </r>
      </text>
    </comment>
    <comment ref="G55" authorId="1" shapeId="0" xr:uid="{8E476C60-1BDB-495C-8E15-30A446BD0058}">
      <text>
        <r>
          <rPr>
            <sz val="9"/>
            <color indexed="81"/>
            <rFont val="Tahoma"/>
            <family val="2"/>
          </rPr>
          <t>A count of the number of tiers in which average storage utilization is outside an ideal range.  Range is user-specified, but 50% to 90% utilization is a common target range in global health applications</t>
        </r>
      </text>
    </comment>
    <comment ref="G57" authorId="1" shapeId="0" xr:uid="{7CCD8E58-505A-4D39-91F0-47DABAE1E14B}">
      <text>
        <r>
          <rPr>
            <sz val="9"/>
            <color indexed="81"/>
            <rFont val="Tahoma"/>
            <family val="2"/>
          </rPr>
          <t>Within a given supply chain tier, the total number of cubic meters (m^3) of ambient-temperature product expected to be ordered by each facility in a given order period.  This value is the same for each facility within that tier.</t>
        </r>
      </text>
    </comment>
    <comment ref="G58" authorId="1" shapeId="0" xr:uid="{87938432-A03D-4F0A-8A4B-58FBA23AEF34}">
      <text>
        <r>
          <rPr>
            <sz val="9"/>
            <color indexed="81"/>
            <rFont val="Tahoma"/>
            <family val="2"/>
          </rPr>
          <t>Average annual demand per facility divided by the number of resupply periods</t>
        </r>
      </text>
    </comment>
    <comment ref="G59" authorId="1" shapeId="0" xr:uid="{38BB67BF-74DD-485A-A5EA-7E955113AEF4}">
      <text>
        <r>
          <rPr>
            <sz val="9"/>
            <color indexed="81"/>
            <rFont val="Tahoma"/>
            <family val="2"/>
          </rPr>
          <t xml:space="preserve">The volume (m^3) of safety or buffer stock expected on-hand at a facility at the beginning of an order period. This equates to the minimum amount of stock expected for an order period with average total demand. </t>
        </r>
      </text>
    </comment>
    <comment ref="G60" authorId="1" shapeId="0" xr:uid="{894CC5A8-6AB8-4CEE-A5F0-C6E8805CF711}">
      <text>
        <r>
          <rPr>
            <sz val="9"/>
            <color indexed="81"/>
            <rFont val="Tahoma"/>
            <family val="2"/>
          </rPr>
          <t xml:space="preserve">Overall average level of inventory expected at storage facilties over the course of a year. This tool assumes a constant daily demand, thus average inventory is equal to safety stock plus one-half of the average demand volume per resupply period </t>
        </r>
      </text>
    </comment>
    <comment ref="G61" authorId="1" shapeId="0" xr:uid="{662CF567-CE1E-467C-A194-FC3A197D6BB9}">
      <text>
        <r>
          <rPr>
            <sz val="9"/>
            <color indexed="81"/>
            <rFont val="Tahoma"/>
            <family val="2"/>
          </rPr>
          <t>Maximum level of inventory expected at storage facilities at any time. This tool assumes constant daily demand, thus max inventory is equal to safety stock plus average demand volume per resupply period</t>
        </r>
      </text>
    </comment>
    <comment ref="G62" authorId="1" shapeId="0" xr:uid="{88F1B822-896A-4E5E-BC58-AF6F475A3A35}">
      <text>
        <r>
          <rPr>
            <sz val="9"/>
            <color indexed="81"/>
            <rFont val="Tahoma"/>
            <family val="2"/>
          </rPr>
          <t>Ratio of average inventory levels (m^3) divided by total available storage capacity per facility. Based on user input for 1) overall system demand, 2) resupply frequency, 3) safety stock levels, and 4) average storage capacity per facility</t>
        </r>
      </text>
    </comment>
    <comment ref="G71" authorId="1" shapeId="0" xr:uid="{B97D20E0-69B7-4C1B-93C2-2269653A8BE2}">
      <text>
        <r>
          <rPr>
            <sz val="9"/>
            <color indexed="81"/>
            <rFont val="Tahoma"/>
            <family val="2"/>
          </rPr>
          <t>For each tier, the average volume (m^3) of passive storage devices in use at any given time, divided by the total volume of available passive storage devices.
NOTE: Calculation assumes cold boxes are a pooled resource with no constraints on availability for distribution activities. If the SC design imposes other constraints (e.g. if every facility requires its own cold box to retrieve product from upstream), then this metric may not reflect true need for cold box capacity. In that case the user should manage the other constraints directly (e.g. inputting &gt; 1 cold box per facility)</t>
        </r>
      </text>
    </comment>
    <comment ref="G78" authorId="1" shapeId="0" xr:uid="{44E96CA5-2FA2-48A2-BD0C-CE4163774C91}">
      <text>
        <r>
          <rPr>
            <sz val="9"/>
            <color indexed="81"/>
            <rFont val="Tahoma"/>
            <family val="2"/>
          </rPr>
          <t>Total capital and operating expenses associated with storage of health commodities and processing/packing facility orders</t>
        </r>
      </text>
    </comment>
    <comment ref="G79" authorId="1" shapeId="0" xr:uid="{26275B33-9E0E-4334-A4AD-E50B22F64BE9}">
      <text>
        <r>
          <rPr>
            <sz val="9"/>
            <color indexed="81"/>
            <rFont val="Tahoma"/>
            <family val="2"/>
          </rPr>
          <t>Total capital and operating expenses associated with transport of health commodities between storage locations</t>
        </r>
      </text>
    </comment>
    <comment ref="G80" authorId="1" shapeId="0" xr:uid="{918C8537-1BB2-40CB-A732-00EA03AC5714}">
      <text>
        <r>
          <rPr>
            <sz val="9"/>
            <color indexed="81"/>
            <rFont val="Tahoma"/>
            <family val="2"/>
          </rPr>
          <t>Total costs related to supervision, management, training, analysis/forecasting, and other indirect supply chain functions</t>
        </r>
      </text>
    </comment>
    <comment ref="G84" authorId="1" shapeId="0" xr:uid="{C943C7D8-EF7C-438D-995D-FB4B26ED5ABB}">
      <text>
        <r>
          <rPr>
            <sz val="9"/>
            <color indexed="81"/>
            <rFont val="Tahoma"/>
            <family val="2"/>
          </rPr>
          <t>The cost of the time that supply chain workers spend managing warehouse functions, based on their annual salary</t>
        </r>
      </text>
    </comment>
    <comment ref="G85" authorId="1" shapeId="0" xr:uid="{01DB5989-8648-4862-975A-EADD250B8E90}">
      <text>
        <r>
          <rPr>
            <sz val="9"/>
            <color indexed="81"/>
            <rFont val="Tahoma"/>
            <family val="2"/>
          </rPr>
          <t>The purchase cost of buildings and other equipment necessary to operate the supply chain (i.e. Capital Expenditures)</t>
        </r>
      </text>
    </comment>
    <comment ref="G86" authorId="1" shapeId="0" xr:uid="{20EDAC61-F128-4C77-A62A-5CECFF19A3CB}">
      <text>
        <r>
          <rPr>
            <sz val="9"/>
            <color indexed="81"/>
            <rFont val="Tahoma"/>
            <family val="2"/>
          </rPr>
          <t>The ongoing operating costs needed to keep the people, equipment, buildings, etc., running smoothly (i.e. Operating Expenditures)</t>
        </r>
      </text>
    </comment>
    <comment ref="G88" authorId="1" shapeId="0" xr:uid="{439C7AC2-A8A1-4BE2-8F31-B1F836F14F7D}">
      <text>
        <r>
          <rPr>
            <sz val="9"/>
            <color indexed="81"/>
            <rFont val="Tahoma"/>
            <family val="2"/>
          </rPr>
          <t>The cost of the time that supply chain workers spend traveling to order and transport health commodities, based on annual salary</t>
        </r>
      </text>
    </comment>
    <comment ref="G89" authorId="1" shapeId="0" xr:uid="{282CBCD2-6076-447A-B612-625553E2D704}">
      <text>
        <r>
          <rPr>
            <sz val="9"/>
            <color indexed="81"/>
            <rFont val="Tahoma"/>
            <family val="2"/>
          </rPr>
          <t>The purchase cost of vehicles and other equipment necessary to operate the supply chain (i.e. Capital Expenditures)</t>
        </r>
      </text>
    </comment>
    <comment ref="G90" authorId="1" shapeId="0" xr:uid="{D63618F4-EF04-4D83-AE96-241D57278D2A}">
      <text>
        <r>
          <rPr>
            <sz val="9"/>
            <color indexed="81"/>
            <rFont val="Tahoma"/>
            <family val="2"/>
          </rPr>
          <t>The amount paid to traveling supply chain workers to cover meals, incidentals, and lodging costs.</t>
        </r>
      </text>
    </comment>
    <comment ref="G91" authorId="1" shapeId="0" xr:uid="{E12A364E-4AC2-454A-ACBC-412CA8BF5B3F}">
      <text>
        <r>
          <rPr>
            <sz val="9"/>
            <color indexed="81"/>
            <rFont val="Tahoma"/>
            <family val="2"/>
          </rPr>
          <t>The ongoing operating costs needed to keep vehicles and other equpiment running smoothly (i.e. Operating Expenditures)</t>
        </r>
      </text>
    </comment>
    <comment ref="G99" authorId="1" shapeId="0" xr:uid="{07BFE9FA-75FF-49CE-A0B4-63BF7914EE7B}">
      <text>
        <r>
          <rPr>
            <sz val="9"/>
            <color indexed="81"/>
            <rFont val="Tahoma"/>
            <family val="2"/>
          </rPr>
          <t>If any modes of transport used for ordering are outsourced to a third party logistics provider, their costs will appear here under the appropriate tier</t>
        </r>
      </text>
    </comment>
    <comment ref="G100" authorId="1" shapeId="0" xr:uid="{FCD66FC4-F5C9-4550-BB8B-54CA55A76392}">
      <text>
        <r>
          <rPr>
            <sz val="9"/>
            <color indexed="81"/>
            <rFont val="Tahoma"/>
            <family val="2"/>
          </rPr>
          <t>If any modes of transport used for ordering are involve rented vehicles, the vehicle rental costs will appear here under the appropriate tier</t>
        </r>
      </text>
    </comment>
    <comment ref="G101" authorId="1" shapeId="0" xr:uid="{F7633A4E-C76A-4196-92C5-6AE6F123634A}">
      <text>
        <r>
          <rPr>
            <sz val="9"/>
            <color indexed="81"/>
            <rFont val="Tahoma"/>
            <family val="2"/>
          </rPr>
          <t>Personnel salary costs associated with travel for ordering:  [Number of hours spent traveling] x [hourly salary]</t>
        </r>
      </text>
    </comment>
    <comment ref="G102" authorId="1" shapeId="0" xr:uid="{B413BEF4-F30A-4D6D-B622-8FF9B7C663F2}">
      <text>
        <r>
          <rPr>
            <sz val="9"/>
            <color indexed="81"/>
            <rFont val="Tahoma"/>
            <family val="2"/>
          </rPr>
          <t>Cost of meals, incidentals, and lodging associated with days spent traveling to order commodities:  [Number of days of travel] x [daily per diem rate]</t>
        </r>
      </text>
    </comment>
    <comment ref="G103" authorId="1" shapeId="0" xr:uid="{10F18826-7485-439E-B2FD-ED25730C51D6}">
      <text>
        <r>
          <rPr>
            <sz val="9"/>
            <color indexed="81"/>
            <rFont val="Tahoma"/>
            <family val="2"/>
          </rPr>
          <t>Cost of gasoline/diesel to fuel the ordering vehicles. Based on number of kilometers traveled and the fuel efficiency of the vehicle types used</t>
        </r>
      </text>
    </comment>
    <comment ref="G104" authorId="1" shapeId="0" xr:uid="{0D07744C-EFCD-44CB-8A9A-6822EB19151C}">
      <text>
        <r>
          <rPr>
            <sz val="9"/>
            <color indexed="81"/>
            <rFont val="Tahoma"/>
            <family val="2"/>
          </rPr>
          <t>Total annual cost to insure the vehicles used for ordering, based on the number and type of vehicles used</t>
        </r>
      </text>
    </comment>
    <comment ref="G105" authorId="1" shapeId="0" xr:uid="{5D46386E-7E2C-43A0-86FE-EC735DDF4C7A}">
      <text>
        <r>
          <rPr>
            <sz val="9"/>
            <color indexed="81"/>
            <rFont val="Tahoma"/>
            <family val="2"/>
          </rPr>
          <t>Cost of maintaining the vehicles used for ordering, based on the number of kilometers traveled and the average per-km maintenance costs of the vehicle types used</t>
        </r>
      </text>
    </comment>
    <comment ref="G106" authorId="1" shapeId="0" xr:uid="{0A0CD953-4DE9-4935-9E94-E294A1A4C3A5}">
      <text>
        <r>
          <rPr>
            <sz val="9"/>
            <color indexed="81"/>
            <rFont val="Tahoma"/>
            <family val="2"/>
          </rPr>
          <t>A fraction of the purchase price of the vehicles used for ordering. Total purchase price is spread over a number of years using straightline depreciation method</t>
        </r>
      </text>
    </comment>
    <comment ref="G107" authorId="1" shapeId="0" xr:uid="{432C1E0F-1508-4599-8931-281970BA6DF7}">
      <text>
        <r>
          <rPr>
            <sz val="9"/>
            <color indexed="81"/>
            <rFont val="Tahoma"/>
            <family val="2"/>
          </rPr>
          <t>If any modes of transport used for ordering involve public transport, the direct public transport costs (i.e. ticket prices) are included here.</t>
        </r>
      </text>
    </comment>
    <comment ref="G109" authorId="1" shapeId="0" xr:uid="{0D2746BF-53A5-465F-A3E3-B6C236598C25}">
      <text>
        <r>
          <rPr>
            <sz val="9"/>
            <color indexed="81"/>
            <rFont val="Tahoma"/>
            <family val="2"/>
          </rPr>
          <t>If any modes of transport used for ordering are outsourced to a third party logistics provider, their costs will appear here under the appropriate tier</t>
        </r>
      </text>
    </comment>
    <comment ref="G110" authorId="1" shapeId="0" xr:uid="{3C4C1B48-77BA-4B03-9C2E-1D5A4CC42DE2}">
      <text>
        <r>
          <rPr>
            <sz val="9"/>
            <color indexed="81"/>
            <rFont val="Tahoma"/>
            <family val="2"/>
          </rPr>
          <t>If any modes of transport used for ordering are involve rented vehicles, the vehicle rental costs will appear here under the appropriate tier</t>
        </r>
      </text>
    </comment>
    <comment ref="G111" authorId="1" shapeId="0" xr:uid="{FD8940EF-48EF-4C09-BF89-EEAF22EFA4CF}">
      <text>
        <r>
          <rPr>
            <sz val="9"/>
            <color indexed="81"/>
            <rFont val="Tahoma"/>
            <family val="2"/>
          </rPr>
          <t>Personnel salary costs associated with travel for ordering:  [Number of hours spent traveling] x [hourly salary]</t>
        </r>
      </text>
    </comment>
    <comment ref="G112" authorId="1" shapeId="0" xr:uid="{E0C99112-1460-4BFC-BD2D-B2F62B019868}">
      <text>
        <r>
          <rPr>
            <sz val="9"/>
            <color indexed="81"/>
            <rFont val="Tahoma"/>
            <family val="2"/>
          </rPr>
          <t>Cost of meals, incidentals, and lodging associated with days spent traveling to order commodities:  [Number of days of travel] x [daily per diem rate]</t>
        </r>
      </text>
    </comment>
    <comment ref="G113" authorId="1" shapeId="0" xr:uid="{77D5689A-94F9-403C-88E2-431EEFD39648}">
      <text>
        <r>
          <rPr>
            <sz val="9"/>
            <color indexed="81"/>
            <rFont val="Tahoma"/>
            <family val="2"/>
          </rPr>
          <t>Cost of gasoline/diesel to fuel the ordering vehicles. Based on number of kilometers traveled and the fuel efficiency of the vehicle types used</t>
        </r>
      </text>
    </comment>
    <comment ref="G114" authorId="1" shapeId="0" xr:uid="{5A8AEA09-457F-4BC5-99E3-025BBCFCA590}">
      <text>
        <r>
          <rPr>
            <sz val="9"/>
            <color indexed="81"/>
            <rFont val="Tahoma"/>
            <family val="2"/>
          </rPr>
          <t>Total annual cost to insure the vehicles used for ordering, based on the number and type of vehicles used</t>
        </r>
      </text>
    </comment>
    <comment ref="G115" authorId="1" shapeId="0" xr:uid="{BADF7359-5D01-46FC-A484-778647554B74}">
      <text>
        <r>
          <rPr>
            <sz val="9"/>
            <color indexed="81"/>
            <rFont val="Tahoma"/>
            <family val="2"/>
          </rPr>
          <t>Cost of maintaining the vehicles used for ordering, based on the number of kilometers traveled and the average per-km maintenance costs of the vehicle types used</t>
        </r>
      </text>
    </comment>
    <comment ref="G116" authorId="1" shapeId="0" xr:uid="{C31F1F39-A29C-4B90-8F0D-173794B7A303}">
      <text>
        <r>
          <rPr>
            <sz val="9"/>
            <color indexed="81"/>
            <rFont val="Tahoma"/>
            <family val="2"/>
          </rPr>
          <t>A fraction of the purchase price of the vehicles used for ordering. Total purchase price is spread over a number of years using straightline depreciation method</t>
        </r>
      </text>
    </comment>
    <comment ref="G117" authorId="1" shapeId="0" xr:uid="{8D9F9714-3BB5-4594-A124-04C33D56D011}">
      <text>
        <r>
          <rPr>
            <sz val="9"/>
            <color indexed="81"/>
            <rFont val="Tahoma"/>
            <family val="2"/>
          </rPr>
          <t>If any modes of transport used for ordering involve public transport, the direct public transport costs (i.e. ticket prices) are included here.</t>
        </r>
      </text>
    </comment>
    <comment ref="G119" authorId="1" shapeId="0" xr:uid="{484CC9F1-BA5C-433C-9F68-6931AF04C937}">
      <text>
        <r>
          <rPr>
            <sz val="9"/>
            <color indexed="81"/>
            <rFont val="Tahoma"/>
            <family val="2"/>
          </rPr>
          <t>If any modes of transport used for ordering are outsourced to a third party logistics provider, their costs will appear here under the appropriate tier</t>
        </r>
      </text>
    </comment>
    <comment ref="G120" authorId="1" shapeId="0" xr:uid="{D9A08909-8AF6-4206-B149-6531678515D7}">
      <text>
        <r>
          <rPr>
            <sz val="9"/>
            <color indexed="81"/>
            <rFont val="Tahoma"/>
            <family val="2"/>
          </rPr>
          <t>If any modes of transport used for ordering are involve rented vehicles, the vehicle rental costs will appear here under the appropriate tier</t>
        </r>
      </text>
    </comment>
    <comment ref="G121" authorId="1" shapeId="0" xr:uid="{61CCDC79-8C7D-45AD-8B91-412B6525E98E}">
      <text>
        <r>
          <rPr>
            <sz val="9"/>
            <color indexed="81"/>
            <rFont val="Tahoma"/>
            <family val="2"/>
          </rPr>
          <t>Personnel salary costs associated with travel for ordering:  [Number of hours spent traveling] x [hourly salary]</t>
        </r>
      </text>
    </comment>
    <comment ref="G122" authorId="1" shapeId="0" xr:uid="{D3A67490-3CD1-4FD9-BD50-3C37A0856F99}">
      <text>
        <r>
          <rPr>
            <sz val="9"/>
            <color indexed="81"/>
            <rFont val="Tahoma"/>
            <family val="2"/>
          </rPr>
          <t>Cost of meals, incidentals, and lodging associated with days spent traveling to order commodities:  [Number of days of travel] x [daily per diem rate]</t>
        </r>
      </text>
    </comment>
    <comment ref="G123" authorId="1" shapeId="0" xr:uid="{EF0CB53B-AB53-4815-A85E-0A3F2D35A3E2}">
      <text>
        <r>
          <rPr>
            <sz val="9"/>
            <color indexed="81"/>
            <rFont val="Tahoma"/>
            <family val="2"/>
          </rPr>
          <t>Cost of gasoline/diesel to fuel the ordering vehicles. Based on number of kilometers traveled and the fuel efficiency of the vehicle types used</t>
        </r>
      </text>
    </comment>
    <comment ref="G124" authorId="1" shapeId="0" xr:uid="{8C866CD1-513C-462E-8AE3-5C450F3F484D}">
      <text>
        <r>
          <rPr>
            <sz val="9"/>
            <color indexed="81"/>
            <rFont val="Tahoma"/>
            <family val="2"/>
          </rPr>
          <t>Total annual cost to insure the vehicles used for ordering, based on the number and type of vehicles used</t>
        </r>
      </text>
    </comment>
    <comment ref="G125" authorId="1" shapeId="0" xr:uid="{E68502F5-AD6A-4156-A928-93EAA48B34D0}">
      <text>
        <r>
          <rPr>
            <sz val="9"/>
            <color indexed="81"/>
            <rFont val="Tahoma"/>
            <family val="2"/>
          </rPr>
          <t>Cost of maintaining the vehicles used for ordering, based on the number of kilometers traveled and the average per-km maintenance costs of the vehicle types used</t>
        </r>
      </text>
    </comment>
    <comment ref="G126" authorId="1" shapeId="0" xr:uid="{7E066B29-0BE5-4977-9DEF-10E2EF8257AC}">
      <text>
        <r>
          <rPr>
            <sz val="9"/>
            <color indexed="81"/>
            <rFont val="Tahoma"/>
            <family val="2"/>
          </rPr>
          <t>A fraction of the purchase price of the vehicles used for ordering. Total purchase price is spread over a number of years using straightline depreciation method</t>
        </r>
      </text>
    </comment>
    <comment ref="G127" authorId="1" shapeId="0" xr:uid="{E4F6123F-4A7D-4AD5-916A-CD06E32C6195}">
      <text>
        <r>
          <rPr>
            <sz val="9"/>
            <color indexed="81"/>
            <rFont val="Tahoma"/>
            <family val="2"/>
          </rPr>
          <t>If any modes of transport used for ordering involve public transport, the direct public transport costs (i.e. ticket prices) are included here.</t>
        </r>
      </text>
    </comment>
    <comment ref="G132" authorId="1" shapeId="0" xr:uid="{4D723369-9ED8-487E-8F8E-E5AF2330450E}">
      <text>
        <r>
          <rPr>
            <sz val="9"/>
            <color indexed="81"/>
            <rFont val="Tahoma"/>
            <family val="2"/>
          </rPr>
          <t>The cost of the time that supply chain workers spend managing warehouse functions, based on their annual salary</t>
        </r>
      </text>
    </comment>
    <comment ref="G133" authorId="1" shapeId="0" xr:uid="{755F1C59-D7CD-4AEB-B68E-351DBA9EDF5E}">
      <text>
        <r>
          <rPr>
            <sz val="9"/>
            <color indexed="81"/>
            <rFont val="Tahoma"/>
            <family val="2"/>
          </rPr>
          <t>The ongoing operating costs needed to keep the people, equipment, buildings, etc running smoothly (i.e. Operating Expenditures)</t>
        </r>
      </text>
    </comment>
    <comment ref="G134" authorId="1" shapeId="0" xr:uid="{B27F17BB-DE9C-4771-825B-31A1766E2CE4}">
      <text>
        <r>
          <rPr>
            <sz val="9"/>
            <color indexed="81"/>
            <rFont val="Tahoma"/>
            <family val="2"/>
          </rPr>
          <t xml:space="preserve">The depreciated purchase cost of buildings and other equipment necessary to operate a typical ambient-temperature warehouse </t>
        </r>
      </text>
    </comment>
    <comment ref="G135" authorId="1" shapeId="0" xr:uid="{AE27E998-02BA-4790-951A-483A07B1BE69}">
      <text>
        <r>
          <rPr>
            <sz val="9"/>
            <color indexed="81"/>
            <rFont val="Tahoma"/>
            <family val="2"/>
          </rPr>
          <t>The depreciated purchase cost of cold-chain specific equipment (e.g. cold room, freezer)</t>
        </r>
      </text>
    </comment>
    <comment ref="G136" authorId="1" shapeId="0" xr:uid="{284FBCDD-6A4F-42A0-82FE-03FD075F8AB8}">
      <text>
        <r>
          <rPr>
            <sz val="9"/>
            <color indexed="81"/>
            <rFont val="Tahoma"/>
            <family val="2"/>
          </rPr>
          <t>If applicable, the average annual cost to operate any cold boxes  owned by storage facilities (e.g. electricity, fuel, maintenance)</t>
        </r>
      </text>
    </comment>
    <comment ref="G137" authorId="1" shapeId="0" xr:uid="{BA53BD9D-6B07-4820-8436-745F376EB69B}">
      <text>
        <r>
          <rPr>
            <sz val="9"/>
            <color indexed="81"/>
            <rFont val="Tahoma"/>
            <family val="2"/>
          </rPr>
          <t>The depreciated purchase cost of cold boxes used to transport cold-chain commodities to/from the storage facility</t>
        </r>
      </text>
    </comment>
    <comment ref="G139" authorId="1" shapeId="0" xr:uid="{0B4A13AB-48E0-48B5-A226-A59391CAFB30}">
      <text>
        <r>
          <rPr>
            <sz val="9"/>
            <color indexed="81"/>
            <rFont val="Tahoma"/>
            <family val="2"/>
          </rPr>
          <t>Total costs related to supervision, management, training, analysis/forecasting, and other indirect supply chain functions</t>
        </r>
      </text>
    </comment>
    <comment ref="F146" authorId="1" shapeId="0" xr:uid="{FB59A19E-F836-4BA0-AD45-6191EC64AC0E}">
      <text>
        <r>
          <rPr>
            <sz val="9"/>
            <color indexed="81"/>
            <rFont val="Tahoma"/>
            <family val="2"/>
          </rPr>
          <t>Table 6 provides a detailed breakdown of the travel activities required at each tier and mode of transport. These estimated activities (e.g. # trips needed, # travel days, # kilometers traveled) provide the basis for cost and utilization calculations in Tables 1-5 above. This table can be used to validate the accuracy of the Input Parameters data, by checking that key values (e.g. # Facility visits per trip, # Trips needed per year) are reasonable given the distances, number of facilities and number of resupply periods specified.
NOTE: This table does contain calculations that are unused in the final costing model. For each transport mode, the table automatically calculates details for several different design options (public transport vs owned vehicles, route-based vs. point-to-point travel), with Tables 1-5 above selecting/using only the set of calculations that matches the design specified in the Input Parameters page.  Thus when using this table for validation, the user should be careful to focus only on that same set of calculations.</t>
        </r>
      </text>
    </comment>
    <comment ref="G149" authorId="1" shapeId="0" xr:uid="{74A67A33-8E35-405B-8A06-C489F370E89C}">
      <text>
        <r>
          <rPr>
            <sz val="9"/>
            <color indexed="81"/>
            <rFont val="Tahoma"/>
            <family val="2"/>
          </rPr>
          <t>Same values as in Table 3 above, but can be either Total Annual Demand per Facility, Total Ambient Temp. Demand per Facility, or  Total Cold Chain Demand per Facility, depending on whether the user has indicated an exclusive cold chain mode of transport.</t>
        </r>
      </text>
    </comment>
    <comment ref="G151" authorId="1" shapeId="0" xr:uid="{EE2AF67B-6B21-42DB-A064-E26711546F1B}">
      <text>
        <r>
          <rPr>
            <sz val="9"/>
            <color indexed="81"/>
            <rFont val="Tahoma"/>
            <family val="2"/>
          </rPr>
          <t>Total annual cold chain volume for this mode, divided by the total number of trips needed per year. Used to estimate the amount of cold box capacity needed per trip</t>
        </r>
      </text>
    </comment>
    <comment ref="G152" authorId="1" shapeId="0" xr:uid="{1ADE7D8E-806E-4AD2-ADAE-5D532F406340}">
      <text>
        <r>
          <rPr>
            <sz val="9"/>
            <color indexed="81"/>
            <rFont val="Tahoma"/>
            <family val="2"/>
          </rPr>
          <t>Total number of days spent traveling per year for this mode, divided by the number of available work days. Used to estimate how many vehicles will be out for delivery at any given time, which can determine how many cold boxes a facility must have on hand</t>
        </r>
      </text>
    </comment>
    <comment ref="G154" authorId="1" shapeId="0" xr:uid="{AD4A1119-378C-4B3E-8F7D-28B23E867299}">
      <text>
        <r>
          <rPr>
            <sz val="9"/>
            <color indexed="81"/>
            <rFont val="Tahoma"/>
            <family val="2"/>
          </rPr>
          <t>Based on 1) number of facilities using public transit, 2) number of resupply periods in a year, and 3) volume of commodities that can be carried on one public transit trip.</t>
        </r>
      </text>
    </comment>
    <comment ref="G155" authorId="1" shapeId="0" xr:uid="{CFAEB294-8020-4B06-B1EF-C9B24CC6EDB7}">
      <text>
        <r>
          <rPr>
            <sz val="9"/>
            <color indexed="81"/>
            <rFont val="Tahoma"/>
            <family val="2"/>
          </rPr>
          <t>Number of trips needed per year multiplied by the average duration (travel time + dwell time at facility) per trip;  Will be based on either the point-to-point or route-based values below, depending on which option the user has selected for this mode</t>
        </r>
      </text>
    </comment>
    <comment ref="G156" authorId="1" shapeId="0" xr:uid="{930C80C7-5188-431A-866F-787FAE964F82}">
      <text>
        <r>
          <rPr>
            <sz val="9"/>
            <color indexed="81"/>
            <rFont val="Tahoma"/>
            <family val="2"/>
          </rPr>
          <t>Total number of facilities at this tier, multiplied by the percentage that are using this mode of transport</t>
        </r>
      </text>
    </comment>
    <comment ref="G157" authorId="1" shapeId="0" xr:uid="{6A6E73AF-33A6-4E29-9B1A-A5FEC4849C35}">
      <text>
        <r>
          <rPr>
            <sz val="9"/>
            <color indexed="81"/>
            <rFont val="Tahoma"/>
            <family val="2"/>
          </rPr>
          <t>Volume of commodities that can be carried on one public transit trip, divided by the total annual demand per facility for this mode</t>
        </r>
      </text>
    </comment>
    <comment ref="G159" authorId="1" shapeId="0" xr:uid="{C8DE524E-2DDE-4987-8750-295B1F215523}">
      <text>
        <r>
          <rPr>
            <sz val="9"/>
            <color indexed="81"/>
            <rFont val="Tahoma"/>
            <family val="2"/>
          </rPr>
          <t>Number of hours per workday divided by total visit time per facility (travel time + dwell time)</t>
        </r>
      </text>
    </comment>
    <comment ref="G160" authorId="1" shapeId="0" xr:uid="{13F028D2-C11C-4A19-A558-B5946C650A87}">
      <text>
        <r>
          <rPr>
            <sz val="9"/>
            <color indexed="81"/>
            <rFont val="Tahoma"/>
            <family val="2"/>
          </rPr>
          <t>Either the Max # facilities based on delivery capacity, or the Max # facilities based on time limits (Max # facilities per day * Max # days per route), whichever value is smaller</t>
        </r>
      </text>
    </comment>
    <comment ref="G161" authorId="1" shapeId="0" xr:uid="{D22D9CDD-0B58-493E-A748-9B3067CA9436}">
      <text>
        <r>
          <rPr>
            <sz val="9"/>
            <color indexed="81"/>
            <rFont val="Tahoma"/>
            <family val="2"/>
          </rPr>
          <t>Total number of facilities to visit per period, divided by the maximum number of facilities visited per route</t>
        </r>
      </text>
    </comment>
    <comment ref="G162" authorId="1" shapeId="0" xr:uid="{7051410D-1AAE-4CB2-A568-9575AD0E0CBB}">
      <text>
        <r>
          <rPr>
            <sz val="9"/>
            <color indexed="81"/>
            <rFont val="Tahoma"/>
            <family val="2"/>
          </rPr>
          <t>Number of individual trips needed.  For each route, the model estimates two trips needed to travel between the upstream warehouse and the first destination facility, and one additional trip for each additional facility visited on the route.</t>
        </r>
      </text>
    </comment>
    <comment ref="G163" authorId="1" shapeId="0" xr:uid="{1B40D159-CD7F-49EC-8A78-D9965460ACB2}">
      <text>
        <r>
          <rPr>
            <sz val="9"/>
            <color indexed="81"/>
            <rFont val="Tahoma"/>
            <family val="2"/>
          </rPr>
          <t>Number of trips needed per period multiplied by the average duration (travel time + dwell time at facility) per trip, for route-based public transit travel</t>
        </r>
      </text>
    </comment>
    <comment ref="G165" authorId="1" shapeId="0" xr:uid="{E468DD0A-5FC0-43C6-8FF9-2E8980F65246}">
      <text>
        <r>
          <rPr>
            <sz val="9"/>
            <color indexed="81"/>
            <rFont val="Tahoma"/>
            <family val="2"/>
          </rPr>
          <t>Number of individual trips needed. For point-to-point travel, the model assumes two trips per facility per resupply period</t>
        </r>
      </text>
    </comment>
    <comment ref="G166" authorId="1" shapeId="0" xr:uid="{93126392-3EBA-4FD6-AFA5-E141A252F3CF}">
      <text>
        <r>
          <rPr>
            <sz val="9"/>
            <color indexed="81"/>
            <rFont val="Tahoma"/>
            <family val="2"/>
          </rPr>
          <t>Number of trips needed per period multiplied by the average duration (travel time + dwell time at facility) per trip, for point-to-point public transit travel</t>
        </r>
      </text>
    </comment>
    <comment ref="G168" authorId="1" shapeId="0" xr:uid="{41CA8CB9-8D5C-41C4-B204-0B9C3F9DFFAF}">
      <text>
        <r>
          <rPr>
            <sz val="9"/>
            <color indexed="81"/>
            <rFont val="Tahoma"/>
            <family val="2"/>
          </rPr>
          <t>Total number of facilities at this tier, multiplied by the percentage that are using this mode of transport</t>
        </r>
      </text>
    </comment>
    <comment ref="G169" authorId="1" shapeId="0" xr:uid="{B672859D-FB3F-446D-81A3-801B5126E4CE}">
      <text>
        <r>
          <rPr>
            <sz val="9"/>
            <color indexed="81"/>
            <rFont val="Tahoma"/>
            <family val="2"/>
          </rPr>
          <t>Distance traveled per trip, multiplied by the number of trips needed per year; will be based on either the point-to-point or route-based values below, dependign on which option the user has selected for this mode</t>
        </r>
      </text>
    </comment>
    <comment ref="G170" authorId="1" shapeId="0" xr:uid="{3649E003-873C-4A41-87EC-045E61D6FE63}">
      <text>
        <r>
          <rPr>
            <sz val="9"/>
            <color indexed="81"/>
            <rFont val="Tahoma"/>
            <family val="2"/>
          </rPr>
          <t>Number of individual travel trips needed, based on 1) number of facilities to visit, 2) number of resupply periods in a year, and 3) the number of facilities that can be visited in one trip. Will be based on etiher the point-to-point or route-based values below</t>
        </r>
      </text>
    </comment>
    <comment ref="G171" authorId="1" shapeId="0" xr:uid="{7BBD067C-E0D9-490A-8957-85860A98E6E1}">
      <text>
        <r>
          <rPr>
            <sz val="9"/>
            <color indexed="81"/>
            <rFont val="Tahoma"/>
            <family val="2"/>
          </rPr>
          <t>Number of trips needed per year, multiplied by number of days needed per trip</t>
        </r>
      </text>
    </comment>
    <comment ref="G172" authorId="1" shapeId="0" xr:uid="{E8F1E21D-E915-41EF-9940-224438EDFA43}">
      <text>
        <r>
          <rPr>
            <sz val="9"/>
            <color indexed="81"/>
            <rFont val="Tahoma"/>
            <family val="2"/>
          </rPr>
          <t>Total volume (m^3) to deliver per trip, divided by total capacity of delivery vehicles (NOTE: if user has selected route-based travel, and the max # of facilities is limited by capacity rather than by user policies, then this value will automatically be 100%)</t>
        </r>
      </text>
    </comment>
    <comment ref="G173" authorId="1" shapeId="0" xr:uid="{E408868B-50CB-4FD4-A71A-2F4F30B93451}">
      <text>
        <r>
          <rPr>
            <sz val="9"/>
            <color indexed="81"/>
            <rFont val="Tahoma"/>
            <family val="2"/>
          </rPr>
          <t>Number of days out on delivery per year, divided by the total number of vehicle-days availble for delivery (i.e. Number of working days per year * Number of available vehicles)</t>
        </r>
      </text>
    </comment>
    <comment ref="G175" authorId="1" shapeId="0" xr:uid="{A2E6D2DD-9EA4-4FFA-AAA7-FC378A307EF9}">
      <text>
        <r>
          <rPr>
            <sz val="9"/>
            <color indexed="81"/>
            <rFont val="Tahoma"/>
            <family val="2"/>
          </rPr>
          <t>Delivery capacity of selected vehicle type (m^3) divided by average demand volume per facility per period</t>
        </r>
      </text>
    </comment>
    <comment ref="G176" authorId="1" shapeId="0" xr:uid="{7F2A068E-6F1C-477A-B908-ECEC478CE065}">
      <text>
        <r>
          <rPr>
            <sz val="9"/>
            <color indexed="81"/>
            <rFont val="Tahoma"/>
            <family val="2"/>
          </rPr>
          <t>Maximum allowable days per delivery route (A user input from Section 6.1) multiplied by the number of facilities that can be visited in a single workday based on distance, driving speed, dwell time at facilities, etc.</t>
        </r>
      </text>
    </comment>
    <comment ref="G177" authorId="1" shapeId="0" xr:uid="{B8F565D2-B643-444C-B5CC-4D951D39D965}">
      <text>
        <r>
          <rPr>
            <sz val="9"/>
            <color indexed="81"/>
            <rFont val="Tahoma"/>
            <family val="2"/>
          </rPr>
          <t>Minimum of the above two numbers (i.e. the max # facilities will either be constrained by delivery capacity of the vehicle or by time available for a single route)</t>
        </r>
      </text>
    </comment>
    <comment ref="G178" authorId="1" shapeId="0" xr:uid="{76C867C1-11E4-477C-A335-0BD4A0B98A7F}">
      <text>
        <r>
          <rPr>
            <sz val="9"/>
            <color indexed="81"/>
            <rFont val="Tahoma"/>
            <family val="2"/>
          </rPr>
          <t>Total number of facilities to visit per year, divided by the maximum number of facility visits per trip</t>
        </r>
      </text>
    </comment>
    <comment ref="G179" authorId="1" shapeId="0" xr:uid="{7FDA0C93-43E7-4B8E-BFA2-2979233A71BD}">
      <text>
        <r>
          <rPr>
            <sz val="9"/>
            <color indexed="81"/>
            <rFont val="Tahoma"/>
            <family val="2"/>
          </rPr>
          <t>2*[Distance to nearest upstream facility]  +  [N-1]*[Distance bewteen facilities at this tier],  where "N" equals the maximum number of facility visits per trip</t>
        </r>
      </text>
    </comment>
    <comment ref="G180" authorId="1" shapeId="0" xr:uid="{8CEE9CB1-7329-467F-8A14-382448A89C55}">
      <text>
        <r>
          <rPr>
            <sz val="9"/>
            <color indexed="81"/>
            <rFont val="Tahoma"/>
            <family val="2"/>
          </rPr>
          <t>Total time spent in-facility (Number of facility deliveries per trip * dwell time per facility ) plus Total driving time between facilities (Distance traveled * Average speed)</t>
        </r>
      </text>
    </comment>
    <comment ref="G181" authorId="1" shapeId="0" xr:uid="{0DF64191-7E48-4054-943E-0CBE35E5FE80}">
      <text>
        <r>
          <rPr>
            <sz val="9"/>
            <color indexed="81"/>
            <rFont val="Tahoma"/>
            <family val="2"/>
          </rPr>
          <t>Total available vehicle-days (number of working days per year * number of available vehicles) divided by total time needed per trip</t>
        </r>
      </text>
    </comment>
    <comment ref="G183" authorId="1" shapeId="0" xr:uid="{5BC944BC-4EF8-4BDD-9373-F7D2E5A3CF7D}">
      <text>
        <r>
          <rPr>
            <sz val="9"/>
            <color indexed="81"/>
            <rFont val="Tahoma"/>
            <family val="2"/>
          </rPr>
          <t>Total number of facilities to visit per year, divided by the maximum number of facility visits per trip (will be equal to one trip per facility per period, unless the delivery capacity of the vehicle is less than the facility's demand volume)</t>
        </r>
      </text>
    </comment>
    <comment ref="G184" authorId="1" shapeId="0" xr:uid="{14F78B34-1437-4A60-98A4-CC9E7B8181B7}">
      <text>
        <r>
          <rPr>
            <sz val="9"/>
            <color indexed="81"/>
            <rFont val="Tahoma"/>
            <family val="2"/>
          </rPr>
          <t>Equal to twice the distance between a facility and its upstream supplier</t>
        </r>
      </text>
    </comment>
    <comment ref="G185" authorId="1" shapeId="0" xr:uid="{23B63EF0-B92A-434C-98C2-504E0FF6127F}">
      <text>
        <r>
          <rPr>
            <sz val="9"/>
            <color indexed="81"/>
            <rFont val="Tahoma"/>
            <family val="2"/>
          </rPr>
          <t>Total available vehicle-days (number of working days per year * number of available vehicles) divided by total time needed per trip</t>
        </r>
      </text>
    </comment>
  </commentList>
</comments>
</file>

<file path=xl/sharedStrings.xml><?xml version="1.0" encoding="utf-8"?>
<sst xmlns="http://schemas.openxmlformats.org/spreadsheetml/2006/main" count="25022" uniqueCount="5845">
  <si>
    <t>Tier</t>
  </si>
  <si>
    <t>Fuel</t>
  </si>
  <si>
    <t>Facility</t>
  </si>
  <si>
    <t>Central</t>
  </si>
  <si>
    <t>TOTAL</t>
  </si>
  <si>
    <t>No</t>
  </si>
  <si>
    <t>Tier 2</t>
  </si>
  <si>
    <t>Tier 3</t>
  </si>
  <si>
    <t>Tier 4</t>
  </si>
  <si>
    <t>Tier 1 (most central)</t>
  </si>
  <si>
    <t>Value used in Model</t>
  </si>
  <si>
    <t>Average Cost of Fuel/litre</t>
  </si>
  <si>
    <t>Number of work days in a year</t>
  </si>
  <si>
    <t>Number of hours in a work day</t>
  </si>
  <si>
    <t>Useful Life - building</t>
  </si>
  <si>
    <t>Useful Life - vehicle / warehouse equipment</t>
  </si>
  <si>
    <t>Total Land Area (km^2)</t>
  </si>
  <si>
    <t>Enter your own value if known</t>
  </si>
  <si>
    <t>Average number of order periods per year</t>
  </si>
  <si>
    <t>Health Clinic - Nurse/Pharmacist in-charge</t>
  </si>
  <si>
    <t>Health Clinic - Community Assistant</t>
  </si>
  <si>
    <t>Transport team - Logistician</t>
  </si>
  <si>
    <t>Transport team - Driver</t>
  </si>
  <si>
    <t>Position Type</t>
  </si>
  <si>
    <t>Travel Per Diem rate</t>
  </si>
  <si>
    <t>Total</t>
  </si>
  <si>
    <t>ZimbabweZAPS</t>
  </si>
  <si>
    <t>National</t>
  </si>
  <si>
    <t>Total Warehousing Costs</t>
  </si>
  <si>
    <t>Total Transportation Costs</t>
  </si>
  <si>
    <t>Total Labor Costs</t>
  </si>
  <si>
    <t>Tier 1</t>
  </si>
  <si>
    <t>Cost as a Percentage of Commodity Value</t>
  </si>
  <si>
    <t>Total Tier Cost</t>
  </si>
  <si>
    <t>Vehicle Type</t>
  </si>
  <si>
    <t>Paremeter</t>
  </si>
  <si>
    <t>Motorcycle</t>
  </si>
  <si>
    <t>Land Cruiser</t>
  </si>
  <si>
    <t>Box Truck/Lorry</t>
  </si>
  <si>
    <t>Purchase Price</t>
  </si>
  <si>
    <t>Depreciation Cost / yr</t>
  </si>
  <si>
    <t>Fuel Efficiency (km/liter)</t>
  </si>
  <si>
    <t>Maintenance cost/km</t>
  </si>
  <si>
    <t>Delivery Capacity (m^3)</t>
  </si>
  <si>
    <t>Insurance cost /yr</t>
  </si>
  <si>
    <t xml:space="preserve">Average Distance (km) to nearest source facility </t>
  </si>
  <si>
    <t>Average Distance (km) between destination facilities</t>
  </si>
  <si>
    <t>Regional</t>
  </si>
  <si>
    <t>Third Party Contracted Costs</t>
  </si>
  <si>
    <t># Days out on delivery per year</t>
  </si>
  <si>
    <t>Avg Facility Utilization of storage space</t>
  </si>
  <si>
    <t>Expected Avg inventory Levels per facility</t>
  </si>
  <si>
    <t>Expected Max inventory level per facility</t>
  </si>
  <si>
    <t>Expected Avg safety stock (m^3)</t>
  </si>
  <si>
    <t>Destination Type (e.g. District, Health Clinic)</t>
  </si>
  <si>
    <t xml:space="preserve">Total Value (USD) per year of commodities delivered </t>
  </si>
  <si>
    <t>Number of Destination facilities</t>
  </si>
  <si>
    <t>Number of SC Levels/Tiers (Max of 4)</t>
  </si>
  <si>
    <t># Kilometers Traveled - Delivery</t>
  </si>
  <si>
    <t># Days out on ordering per year</t>
  </si>
  <si>
    <t>Avg cost per year facility storage space</t>
  </si>
  <si>
    <t>Total Volume Processed (m^3)</t>
  </si>
  <si>
    <t>Assumed Throughput Capacity Utilization</t>
  </si>
  <si>
    <t>Total Throughput Capacity per year</t>
  </si>
  <si>
    <t>Labor Costs per unit Throughput Capacity</t>
  </si>
  <si>
    <t>Labor hours per unit throughput capacity</t>
  </si>
  <si>
    <t>Avg hourly salary - Overall warehouse staff</t>
  </si>
  <si>
    <t>Total Labor Hours required</t>
  </si>
  <si>
    <t>Total Labor Hours per m^3 delivered/processed</t>
  </si>
  <si>
    <t>Total km traveled:</t>
  </si>
  <si>
    <t>Distance per trip (km)</t>
  </si>
  <si>
    <t>Number of trips</t>
  </si>
  <si>
    <t>Average Hourly Salary</t>
  </si>
  <si>
    <t>Management Costs:</t>
  </si>
  <si>
    <t>District level Management/supervision</t>
  </si>
  <si>
    <t>Provincial level management/Supervision</t>
  </si>
  <si>
    <t>Central Level Logistics Unit Labor</t>
  </si>
  <si>
    <t>Central Level Logistics Unit Operating Expenses</t>
  </si>
  <si>
    <t>Per CBM delivered</t>
  </si>
  <si>
    <t>As % of commodity value</t>
  </si>
  <si>
    <t>TOTALS</t>
  </si>
  <si>
    <t>Annual cost of mgmt/supervision per m^3 delivered</t>
  </si>
  <si>
    <t>Annual cost of mgmt/supervision as percentage of commodity value</t>
  </si>
  <si>
    <t>Management/System Support</t>
  </si>
  <si>
    <t>Total Management/System Support Costs</t>
  </si>
  <si>
    <t># Kilometers Traveled - Info Capture</t>
  </si>
  <si>
    <t>Vehicle utilization - Info Capture</t>
  </si>
  <si>
    <t>Distance Traveled per trip (km)</t>
  </si>
  <si>
    <t>Distance Traveled per trip (km) - Delivery</t>
  </si>
  <si>
    <t>Labor (Drivers, Team leader, Local Govt Admin)</t>
  </si>
  <si>
    <t>Per Diems</t>
  </si>
  <si>
    <t>Insurance</t>
  </si>
  <si>
    <t>Maintenance &amp; Repair</t>
  </si>
  <si>
    <t>Depreciation</t>
  </si>
  <si>
    <t>Labor (regular and contract)</t>
  </si>
  <si>
    <t>Total cost of supervision, personnel &amp; data mgmt</t>
  </si>
  <si>
    <t>Facility/District</t>
  </si>
  <si>
    <t>Warehousing/Storage</t>
  </si>
  <si>
    <t>Transportation - Information Capture</t>
  </si>
  <si>
    <t>Transportation - Delivery</t>
  </si>
  <si>
    <t xml:space="preserve"> </t>
  </si>
  <si>
    <t>Avg annual demand per facility (m^3)</t>
  </si>
  <si>
    <t>Expected min inventory per facility (m^3)</t>
  </si>
  <si>
    <t>Expected max inventory per facility (m^3)</t>
  </si>
  <si>
    <t>Avg Inventory levels per facility (m^3)</t>
  </si>
  <si>
    <t>Avg storage capacity per facility (m^3)</t>
  </si>
  <si>
    <t>Avg demand per period per facility (m^3)</t>
  </si>
  <si>
    <t>Avg Cost per year facility storage space, accounting for CBD facilities</t>
  </si>
  <si>
    <t>Regional Warehouse</t>
  </si>
  <si>
    <t xml:space="preserve">National Warehouse </t>
  </si>
  <si>
    <t>Labor Costs &amp; Throughput Capacity Estimations</t>
  </si>
  <si>
    <t>Health facilities</t>
  </si>
  <si>
    <t>Avg Facility Operating expenses cost per cbm capacity</t>
  </si>
  <si>
    <t>Avg Facility Building &amp; depreciation cost per cbm</t>
  </si>
  <si>
    <t>Storage Cost Estimations</t>
  </si>
  <si>
    <t>Avg annual demand per facility</t>
  </si>
  <si>
    <t>Country/Model</t>
  </si>
  <si>
    <t>Data Source for General Information</t>
  </si>
  <si>
    <t>H</t>
  </si>
  <si>
    <t>K</t>
  </si>
  <si>
    <t>N</t>
  </si>
  <si>
    <t>Q</t>
  </si>
  <si>
    <t>#</t>
  </si>
  <si>
    <t>Expiry/Wastage Rate</t>
  </si>
  <si>
    <t>Amount of product processed by distribution system (m^3)</t>
  </si>
  <si>
    <t>Percent of product included in distribution modeling (m^3)</t>
  </si>
  <si>
    <t>Delivered</t>
  </si>
  <si>
    <t>Max # facility deliveries per trip (based on delivery capacity)</t>
  </si>
  <si>
    <t>Max # Facility deliveries per trip (user policies)</t>
  </si>
  <si>
    <t>Overall Max # Facility visits per trip</t>
  </si>
  <si>
    <t>Total Number of Commodities included in analysis</t>
  </si>
  <si>
    <t>Route-based</t>
  </si>
  <si>
    <t>Point-to-point</t>
  </si>
  <si>
    <t>Route-based Travel - Owned vehicles</t>
  </si>
  <si>
    <t>Point-to-Point Travel - Owned vehicles</t>
  </si>
  <si>
    <t>Average duration (hrs) per trip</t>
  </si>
  <si>
    <t>Public Transport 1</t>
  </si>
  <si>
    <t>Public Transport 2</t>
  </si>
  <si>
    <t>Average duration (hrs) of trip</t>
  </si>
  <si>
    <t>Are multiple modes of transport used for ordering at this tier?</t>
  </si>
  <si>
    <t># Facility Visits reachable in 8hr day</t>
  </si>
  <si>
    <t>Overall max # Facility visits per route</t>
  </si>
  <si>
    <t>Number of Facilities to visit per period</t>
  </si>
  <si>
    <t>Number of routes needed per period</t>
  </si>
  <si>
    <t>Total # Public Transit Trips Needed per period</t>
  </si>
  <si>
    <t>Total # days out on public transit per period</t>
  </si>
  <si>
    <t>Total # Public Transit trips needed per year</t>
  </si>
  <si>
    <t>Total # days out on public transit per year</t>
  </si>
  <si>
    <t>Other Vehicle Travel</t>
  </si>
  <si>
    <t>Public Transport Travel</t>
  </si>
  <si>
    <t>Route-based Travel - Public Transport</t>
  </si>
  <si>
    <t>Number of facilities to visit per period</t>
  </si>
  <si>
    <t>Information Capture - Transport Mode 1</t>
  </si>
  <si>
    <t>Information Capture - Transport Mode 2</t>
  </si>
  <si>
    <t>Delivery - Transport Mode 1</t>
  </si>
  <si>
    <t>Delivery - Transport Mode 2</t>
  </si>
  <si>
    <t>Additional Travel - Transport Mode 1</t>
  </si>
  <si>
    <t>Additional Travel - Transport Mode 2</t>
  </si>
  <si>
    <t>Max # Facilities per route (delivery capacity)</t>
  </si>
  <si>
    <t>Transportation - Additional Travel</t>
  </si>
  <si>
    <t>Public transport direct costs (labor included above)</t>
  </si>
  <si>
    <t>Average Delivery Capacity (m^3)</t>
  </si>
  <si>
    <t>Average delivery capacity (m^3)</t>
  </si>
  <si>
    <t>Max # Facilities per trip (based on delivery capacity)</t>
  </si>
  <si>
    <t>Average cost ($) per trip (one-way)</t>
  </si>
  <si>
    <t>Conversion  Factor (amount of local currency per $1 USD)</t>
  </si>
  <si>
    <t>AssistedPull</t>
  </si>
  <si>
    <t>PushSystem</t>
  </si>
  <si>
    <t>MobileWH</t>
  </si>
  <si>
    <t>Collection</t>
  </si>
  <si>
    <t>R&amp;R</t>
  </si>
  <si>
    <t>Should mgmt/supervision be calculated using commodity volume or value?</t>
  </si>
  <si>
    <r>
      <t>Minimum desired stock level per commodity (</t>
    </r>
    <r>
      <rPr>
        <sz val="11"/>
        <color theme="1"/>
        <rFont val="Calibri (Body)"/>
      </rPr>
      <t># order periods of stock</t>
    </r>
    <r>
      <rPr>
        <sz val="11"/>
        <color theme="1"/>
        <rFont val="Calibri"/>
        <family val="2"/>
        <scheme val="minor"/>
      </rPr>
      <t>)</t>
    </r>
  </si>
  <si>
    <r>
      <t>Maximum desired stock level per commodity (</t>
    </r>
    <r>
      <rPr>
        <sz val="11"/>
        <color theme="1"/>
        <rFont val="Calibri (Body)"/>
      </rPr>
      <t># order periods of stock</t>
    </r>
    <r>
      <rPr>
        <sz val="11"/>
        <color theme="1"/>
        <rFont val="Calibri"/>
        <family val="2"/>
        <scheme val="minor"/>
      </rPr>
      <t>)</t>
    </r>
  </si>
  <si>
    <t xml:space="preserve">Regional Warehouse Operating Expenses </t>
  </si>
  <si>
    <t>Regional Warehouse Storage Space</t>
  </si>
  <si>
    <t>Regional Warehouse Storage Space Rental</t>
  </si>
  <si>
    <t xml:space="preserve">National warehouse </t>
  </si>
  <si>
    <t xml:space="preserve">Provincial Warehouse </t>
  </si>
  <si>
    <t>Central Warehouse Operating Expenses</t>
  </si>
  <si>
    <t>Central Warehouse Storage Space</t>
  </si>
  <si>
    <t>Central --&gt; Regional  Transportation Cost</t>
  </si>
  <si>
    <t>Storage Cost Line Items (from Total Cost worksheet)</t>
  </si>
  <si>
    <t>Average Inventory Levels ($ Value)</t>
  </si>
  <si>
    <t>Number of CBD facilities</t>
  </si>
  <si>
    <t>Labor</t>
  </si>
  <si>
    <t>JSI Storage</t>
  </si>
  <si>
    <t>Expiry/Wastage Rate from previous tier</t>
  </si>
  <si>
    <t># Trips Needed Per Year - Delivery</t>
  </si>
  <si>
    <t>Vehicle utilization - Delivery capacity</t>
  </si>
  <si>
    <t>**NOTE:  Assumes facility staff traveling in to source tier; for perdiem cost calculations,  NumDays should be &gt;= NumFacilities</t>
  </si>
  <si>
    <t>Should denominator (total # available truck-days) include weekends &amp; holidays, e.g. ~365 days per year, or normal employee schedule, e.g. ~250 per year?</t>
  </si>
  <si>
    <t># Days on the road</t>
  </si>
  <si>
    <t># Hours per Trip (2x Distance/Speed + Dwell Time) / # Hours per working day</t>
  </si>
  <si>
    <t># Trips</t>
  </si>
  <si>
    <t># Facilities x # trips per year x min(1, ROUND(Avg Facility Demand / Truck Capacity))</t>
  </si>
  <si>
    <t># KM Traveled</t>
  </si>
  <si>
    <t># Trips x # KM per trip</t>
  </si>
  <si>
    <t>How to calculate total # Truck days available…# Trucks * work days per year?</t>
  </si>
  <si>
    <t>Time (hrs) needed per trip - Delivery</t>
  </si>
  <si>
    <t>Max # Trips per year - Delivery</t>
  </si>
  <si>
    <t>Vehicle utilization - Time</t>
  </si>
  <si>
    <t>QUESTION: Want to avoid double-counting if same vehicles used for ordering &amp; delivery.  Which should dominate?</t>
  </si>
  <si>
    <t>Time (hrs) needed per trip - Information Capture</t>
  </si>
  <si>
    <t>Max # Trips per year - Information Capture</t>
  </si>
  <si>
    <t>Question: Dwell time repeat in full for partial facility visits?</t>
  </si>
  <si>
    <t># Trips Needed per year - Info Capture</t>
  </si>
  <si>
    <t>How many different types of vehicles (i.e. modes of transport) are regularly used to deliver health commodities at each tier?</t>
  </si>
  <si>
    <t>4. How many vehicles are used for this mode?</t>
  </si>
  <si>
    <t>Mode 1</t>
  </si>
  <si>
    <t>Mode 2</t>
  </si>
  <si>
    <t>Mode 3</t>
  </si>
  <si>
    <t>Delivery - Transport Mode 3</t>
  </si>
  <si>
    <t>Information Capture - Transport Mode 3</t>
  </si>
  <si>
    <t>Additional Travel - Transport Mode 3</t>
  </si>
  <si>
    <t>Data Source for Demand Volume</t>
  </si>
  <si>
    <t>Tier Names</t>
  </si>
  <si>
    <t>Transport Vehicle Ownership Options</t>
  </si>
  <si>
    <t>Owned</t>
  </si>
  <si>
    <t>Rented</t>
  </si>
  <si>
    <t>Contracted to 3PL</t>
  </si>
  <si>
    <t xml:space="preserve">$ per km </t>
  </si>
  <si>
    <t>$ per day</t>
  </si>
  <si>
    <t>Flat fee $ per year</t>
  </si>
  <si>
    <t xml:space="preserve">$ per m^3 </t>
  </si>
  <si>
    <t>$ per facility</t>
  </si>
  <si>
    <t>Vehicle Rental Costs</t>
  </si>
  <si>
    <t xml:space="preserve">Rented/Contracted vehicle  terms </t>
  </si>
  <si>
    <t>**Cannot change order unless you also edit Output-User 3PL &amp; Rented cost calculations</t>
  </si>
  <si>
    <t>((1/60)*('Input Parameters'!N201+'Input Parameters'!$H$22*('Input Parameters'!N202+('Input Parameters'!N203*('Input Parameters'!N$372/'Input Parameters'!N$92/'Input Parameters'!$H$22)))))</t>
  </si>
  <si>
    <t>Formula for Dwell Time</t>
  </si>
  <si>
    <t>Profession of person who typically picks and processes inventory in warehouse</t>
  </si>
  <si>
    <r>
      <t xml:space="preserve">&lt;--- Click </t>
    </r>
    <r>
      <rPr>
        <b/>
        <sz val="11"/>
        <color theme="9" tint="-0.499984740745262"/>
        <rFont val="Calibri"/>
        <family val="2"/>
        <scheme val="minor"/>
      </rPr>
      <t>[+]</t>
    </r>
    <r>
      <rPr>
        <i/>
        <sz val="11"/>
        <color theme="9" tint="-0.499984740745262"/>
        <rFont val="Calibri"/>
        <family val="2"/>
        <scheme val="minor"/>
      </rPr>
      <t xml:space="preserve"> to expand Travel for Delivery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</si>
  <si>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Storage/Warehousing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</si>
  <si>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Overall Network &amp; Policy Section</t>
    </r>
  </si>
  <si>
    <t>Delivery Vehicle Capacity Utilization</t>
  </si>
  <si>
    <t>Delivery Vehicle Time Utilization</t>
  </si>
  <si>
    <t>Additional Vehicle Time Utilization</t>
  </si>
  <si>
    <t>Ordering Vehicle Time Utilization</t>
  </si>
  <si>
    <t>Avg demand volume (m^3) per facility per period</t>
  </si>
  <si>
    <t xml:space="preserve">Average storage capacity utilization </t>
  </si>
  <si>
    <t>How many different types of vehicles (i.e. modes of transport) are regularly used for additional travel at each tier?</t>
  </si>
  <si>
    <t>How many different types of vehicles (i.e. modes of transport) are regularly used for ordering at each tier?</t>
  </si>
  <si>
    <t>10. Dwell Time 2 (if applicable): # minutes to complete relevant paperwork for one commodity (e.g. reconciling stock cards, completing Order forms)</t>
  </si>
  <si>
    <t>6a.  If Route-based, what is the max # days for one delivery route/loop?</t>
  </si>
  <si>
    <t>7. The primary operator of the vehicle is typically which profession?</t>
  </si>
  <si>
    <t>8. How many additional people typically travel with the primary operator?</t>
  </si>
  <si>
    <t>8a.  What is their typical profession?</t>
  </si>
  <si>
    <t>9. Dwell time 1: Minimum # minutes per facility visit (e.g. prep &amp; wrap-up time, introductions &amp; goodbyes)</t>
  </si>
  <si>
    <t>11. Dwell Time 3 (If applicable): # minutes to count and/or stock one m^3 of product (e.g. conducting physical count, unpacking &amp; stocking items upon delivery)</t>
  </si>
  <si>
    <t>12. Average vehicle speed destination-destination (km/hr)</t>
  </si>
  <si>
    <t>13.  Average vehicle speed source-destination (km/hr)</t>
  </si>
  <si>
    <r>
      <t xml:space="preserve">This question asks the user to choose one of two common patterns for traveling between facilities at different levels in the supply chain:
</t>
    </r>
    <r>
      <rPr>
        <b/>
        <sz val="11"/>
        <color theme="1"/>
        <rFont val="Calibri"/>
        <family val="2"/>
        <scheme val="minor"/>
      </rPr>
      <t>1</t>
    </r>
    <r>
      <rPr>
        <sz val="11"/>
        <color theme="1"/>
        <rFont val="Calibri"/>
        <family val="2"/>
        <scheme val="minor"/>
      </rPr>
      <t xml:space="preserve">. </t>
    </r>
    <r>
      <rPr>
        <b/>
        <sz val="11"/>
        <color theme="1"/>
        <rFont val="Calibri"/>
        <family val="2"/>
        <scheme val="minor"/>
      </rPr>
      <t xml:space="preserve">Point-to-Point: </t>
    </r>
    <r>
      <rPr>
        <sz val="11"/>
        <color theme="1"/>
        <rFont val="Calibri"/>
        <family val="2"/>
        <scheme val="minor"/>
      </rPr>
      <t xml:space="preserve">also known as a hub-and-spoke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t>
    </r>
    <r>
      <rPr>
        <b/>
        <sz val="11"/>
        <color theme="1"/>
        <rFont val="Calibri"/>
        <family val="2"/>
        <scheme val="minor"/>
      </rPr>
      <t>2. Route-based, i</t>
    </r>
    <r>
      <rPr>
        <sz val="11"/>
        <color theme="1"/>
        <rFont val="Calibri"/>
        <family val="2"/>
        <scheme val="minor"/>
      </rPr>
      <t>n which an order/delivery vehicle visits several destination facilities along a pre-set course before returning to their origin location.  Informed Push Model and Assisted Pull are examples of this type of travel pattern</t>
    </r>
  </si>
  <si>
    <t>6. Do vehicles typically travel to/from each destination facility individually (point-to-point), or do they visit several facilities along a pre-set route?</t>
  </si>
  <si>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1: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</si>
  <si>
    <r>
      <t xml:space="preserve">The model assumes at least one person is required to operate any vehicle for deliveries, information capture, etc.  This question asks how many </t>
    </r>
    <r>
      <rPr>
        <i/>
        <sz val="11"/>
        <color theme="1"/>
        <rFont val="Calibri"/>
        <family val="2"/>
        <scheme val="minor"/>
      </rPr>
      <t>additional</t>
    </r>
    <r>
      <rPr>
        <sz val="11"/>
        <color theme="1"/>
        <rFont val="Calibri"/>
        <family val="2"/>
        <scheme val="minor"/>
      </rPr>
      <t xml:space="preserve">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</si>
  <si>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</si>
  <si>
    <r>
      <t xml:space="preserve">--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
    </r>
    <r>
      <rPr>
        <b/>
        <sz val="11"/>
        <color theme="1"/>
        <rFont val="Calibri"/>
        <family val="2"/>
        <scheme val="minor"/>
      </rPr>
      <t>SECOND</t>
    </r>
    <r>
      <rPr>
        <sz val="11"/>
        <color theme="1"/>
        <rFont val="Calibri"/>
        <family val="2"/>
        <scheme val="minor"/>
      </rPr>
      <t xml:space="preserve">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</si>
  <si>
    <r>
      <t xml:space="preserve">--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
    </r>
    <r>
      <rPr>
        <b/>
        <sz val="11"/>
        <color theme="1"/>
        <rFont val="Calibri"/>
        <family val="2"/>
        <scheme val="minor"/>
      </rPr>
      <t>THIRD</t>
    </r>
    <r>
      <rPr>
        <sz val="11"/>
        <color theme="1"/>
        <rFont val="Calibri"/>
        <family val="2"/>
        <scheme val="minor"/>
      </rPr>
      <t xml:space="preserve">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</si>
  <si>
    <r>
      <t xml:space="preserve">--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quesiton asks the user to specify the </t>
    </r>
    <r>
      <rPr>
        <b/>
        <sz val="11"/>
        <color theme="1"/>
        <rFont val="Calibri"/>
        <family val="2"/>
        <scheme val="minor"/>
      </rPr>
      <t>FIRST</t>
    </r>
    <r>
      <rPr>
        <sz val="11"/>
        <color theme="1"/>
        <rFont val="Calibri"/>
        <family val="2"/>
        <scheme val="minor"/>
      </rPr>
      <t xml:space="preserve"> of the three components:  the minimum amount of time that a vehicle would spend at a facility regardless of how much product is being delivered. This include fixed activities like introductions and goodbyes with facility staff; accessing the storeroom; preparing and signing delivery confirmations, etc.</t>
    </r>
  </si>
  <si>
    <t>This question asks the user to specify the average travel speed, from one destination facility to another nearby destination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</si>
  <si>
    <t>This question also asks the user to specify an average travel speed for the vehicle identified in Question 4.  This time, however, we are looking for the average travel speed between a source facility and destination facility.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source-destination travel will occur on roads that are significantly better quality than destination-destination travel, particularly at the last mile of the supply chain</t>
  </si>
  <si>
    <t>--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Tier 2 (e.g. Regional Warehouse) and Tier 3 (Health Clinic)</t>
  </si>
  <si>
    <t>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</si>
  <si>
    <t>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</si>
  <si>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</si>
  <si>
    <t>This question asks the user to specify how many tiers - or levels - exist in the supply chain they are analyzing.  A tier is defined as a set of similar facilities at which products are stored and distributed.  For example, if products in a country typically travel from 1) a Central Medical Stores to 2) a Regional Warehouse, to 3) a District storeroom, and finally to 4) a health clinic dispensary, the user should enter "4" for this question</t>
  </si>
  <si>
    <t>Average Cost of Fuel/liter</t>
  </si>
  <si>
    <t>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</si>
  <si>
    <t>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</si>
  <si>
    <t>The user should enter in the average maximum volume of product that a supply chain worker could reasonably carry on a public transportation mode.  For reference, a large bag or suitcase might be around 0.1 m^3, and a large cardboard box might be around 0.25 m^3</t>
  </si>
  <si>
    <t>The categories in this section are the same as in the section above.  This section gives the user the opportunity to enter details for a second common mode of public transportation. This second mode of public transport could be helpful if a supply chain utilizes two very distinct types of public transport - e.g. urban vs. rural, or last-mile vs. national-level.</t>
  </si>
  <si>
    <t xml:space="preserve">The user should enter the typical local purchase price of one motorcycle that could be used for transporation between facilities. </t>
  </si>
  <si>
    <t>No user input needed. This row uses the "Motorcycle Purchase Price" and "Vehicle Useful Life" parameters to estimate an annual depreciation cost for one motorcycle</t>
  </si>
  <si>
    <t>The user should enter the typical annual cost to insure one motorcycle for use in supply chain-related activities</t>
  </si>
  <si>
    <t>The user should enter the expected maintenance cost per kilometer for one motorcycle.  This can be calculated by taking the total maintenance costs for a motorcycle (or fleet of motorcycles) over a period of time, and dividing by the overall number of kilometers traveled in that period of time.</t>
  </si>
  <si>
    <t>The user should enter the number of liters of fuel required to travel one kilometer by motorcycle.  This can be calculated by taking the total number of liters of fuel purchased for a motorcycle (or fleet of motorcycles) over a period of time, and dividing by the overall number of kilometers traveled in that period of time.</t>
  </si>
  <si>
    <t>The user should enter an average/typical delivery capacity of a motorcycle. This would include any storage compartments on the motorcycle, as well as the estimated size of a container that could reasonbly be strapped onto the back.</t>
  </si>
  <si>
    <t>Car or Consumer Vehicle</t>
  </si>
  <si>
    <t>Commercial Truck</t>
  </si>
  <si>
    <t xml:space="preserve">--For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 </t>
  </si>
  <si>
    <t>--For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</si>
  <si>
    <t>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</si>
  <si>
    <t xml:space="preserve">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</si>
  <si>
    <t xml:space="preserve">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</si>
  <si>
    <t>--This section asks the user to estimate the overall costs of supply chain supervision and management activities.  This question asks the user to specify whether these costs will be measured as a function of overall volume delivered or overall commodity value. 
--Management &amp; supervision activities include conducting supervisory visits to health and logistics facilities; on-the-job or routine supply chain trainings; and operating a central logistics management unit or data quality and analysis hub. These costs often vary widely depending on how intensively a supply chain is managed, and this management intenstity is often independent of other storage and distribution design choices.  For any of the major supply chain archetypes in global health - mobile warehouse models or collection systems - it is possible to run both an intensively managaged system and a lightly-managed system.
--Thus we structure these costs to scale with the overall scope of the supply chain (e.g. cost per cubic meter or dollar delivered), but we must require the user to provide a cost-per-cubic-meter/dollar parameter that is aligned with the intensity of their own supply chain management activities.  To help the user determine this value, each of our proxy data templates contains a detailed breakdown of the types of management and supervision activities that make up the listed cost value.  Thus the user can select a value that most closely resembles their own supply chain, and further adapt it up or down to match their individual circumstances</t>
  </si>
  <si>
    <t>As detailed above, if the user elects for management and supervision costs to be measured as a function of volume (m^3) delivered, then this question asks the user to estimate the per-cubic-meter cost of management and supervision activities. If a recent costing study has been conducted, this parameter could be estimated by dividing total management and supervision costs by the total volume of product delivered.  If no study has been conducted, then each of the proxy data templates listed in this tool contains a breakdown of the types of management &amp; supervision activities conducted.  That breakdown can be used to identify and further tailor an appropriate proxy data point.</t>
  </si>
  <si>
    <t>As detailed above, if the user elects for management and supervision costs to be measured as a function of commodity value ($) delivered, then this question asks the user to estimate the percentage of commodity value dedicated to management and supervision activities. If a recent costing study has been conducted, this parameter could be estimated by dividing total management and supervision costs by the total value of product delivered.  If no study has been conducted, then each of the proxy data templates listed in this tool contains a breakdown of the types of management &amp; supervision activities included.  That breakdown can be used to identify and further tailor an appropriate proxy data point.</t>
  </si>
  <si>
    <r>
      <t xml:space="preserve">--The user should select "Yes" for this question if the same vehicles that are used for ordering activities are also used for delivery activities (and therefore are already described above). This could occur if ordering and delivery happen simultaneously (such as with a Mobile Warehouse or Collection model), or if both functions are carried out at different times by the same vehicle (e.g. a District LandCruiser that spends 2 weeks per month on ordering and 2 weeks per month on deliveries).  
--If the user selects "Yes", then the model will avoid double-counting vehicle depreciation and insurance costs, and will incorporate both ordering and delivery activities into the same vehicle utilization statistics.
--NOTE 1: If the user selects "Yes", the model will assume that </t>
    </r>
    <r>
      <rPr>
        <u/>
        <sz val="11"/>
        <color theme="1"/>
        <rFont val="Calibri"/>
        <family val="2"/>
        <scheme val="minor"/>
      </rPr>
      <t>Ordering - Mode 1</t>
    </r>
    <r>
      <rPr>
        <sz val="11"/>
        <color theme="1"/>
        <rFont val="Calibri"/>
        <family val="2"/>
        <scheme val="minor"/>
      </rPr>
      <t xml:space="preserve"> vehicles are the same as </t>
    </r>
    <r>
      <rPr>
        <u/>
        <sz val="11"/>
        <color theme="1"/>
        <rFont val="Calibri"/>
        <family val="2"/>
        <scheme val="minor"/>
      </rPr>
      <t>Delivery - Mode 1</t>
    </r>
    <r>
      <rPr>
        <sz val="11"/>
        <color theme="1"/>
        <rFont val="Calibri"/>
        <family val="2"/>
        <scheme val="minor"/>
      </rPr>
      <t xml:space="preserve"> vehicles listed above (same for Mode 2 and Mode 3), and will calculate vehicle utilization according to that assumption. Thus if a supply chain uses the same vehicles for both ordering and delivery, the user should take care to list them under the same Mode # for both ordering and delivery sections.</t>
    </r>
  </si>
  <si>
    <t>Parameter</t>
  </si>
  <si>
    <r>
      <t xml:space="preserve">&lt;--- Click </t>
    </r>
    <r>
      <rPr>
        <b/>
        <sz val="11"/>
        <color theme="9" tint="-0.499984740745262"/>
        <rFont val="Calibri"/>
        <family val="2"/>
        <scheme val="minor"/>
      </rPr>
      <t>[+]</t>
    </r>
    <r>
      <rPr>
        <i/>
        <sz val="11"/>
        <color theme="9" tint="-0.499984740745262"/>
        <rFont val="Calibri"/>
        <family val="2"/>
        <scheme val="minor"/>
      </rPr>
      <t xml:space="preserve"> to expand Data Source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</si>
  <si>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Supply Chain Personnel Information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</si>
  <si>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Delivery Vehicle Information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</si>
  <si>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Commodity Information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</si>
  <si>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General System Information Section</t>
    </r>
  </si>
  <si>
    <t>1. General Information</t>
  </si>
  <si>
    <t>2. Commodity Information</t>
  </si>
  <si>
    <t>3. Supply Chain Personnel Information</t>
  </si>
  <si>
    <t>4. Delivery Vehicle Information</t>
  </si>
  <si>
    <t>5. Supply Chain System Information</t>
  </si>
  <si>
    <t>5.1. Data Source</t>
  </si>
  <si>
    <t>5.2. Overall Network &amp; Policy</t>
  </si>
  <si>
    <t>5.6. Storage/Warehousing</t>
  </si>
  <si>
    <t xml:space="preserve">5.7. Management/System Support </t>
  </si>
  <si>
    <t>1. General System Information</t>
  </si>
  <si>
    <t>Intended Audience &amp; Users</t>
  </si>
  <si>
    <t>Introduction and Purpose</t>
  </si>
  <si>
    <r>
      <t xml:space="preserve">This tool is designed to support a </t>
    </r>
    <r>
      <rPr>
        <b/>
        <i/>
        <sz val="11"/>
        <color theme="1"/>
        <rFont val="Calibri"/>
        <family val="2"/>
        <scheme val="minor"/>
      </rPr>
      <t>supply chain system design process</t>
    </r>
    <r>
      <rPr>
        <sz val="11"/>
        <color theme="1"/>
        <rFont val="Calibri"/>
        <family val="2"/>
        <scheme val="minor"/>
      </rPr>
      <t>, focused specifically on a global public health context.  This system design process can be defined as a high-level, data-driven approach to developing a more efficient health supply chain blueprint and a coherent overall strategy for keeping service delivery points reliably stocked with lifesaving health products.  
The process of identifying, refining, and implementing a more efficient and effective public health supply chain is often broken down into three components, shown in the figure below:</t>
    </r>
  </si>
  <si>
    <t>Aligning with System Design Process</t>
  </si>
  <si>
    <t xml:space="preserve">Figure 1: A three-phase logistics system design process from USAID | DELIVER PROJECT, Task Order 1. 2011. The Logistics Handbook: A Practical Guide for the Supply Chain Management of Health Commodities. Arlington, Va.: USAID | DELIVER PROJECT, Task Order 1.
</t>
  </si>
  <si>
    <r>
      <t>This tool is intended to provide decisionmaking support to health program leaders who are responsible for overseeing the design and strategy of a health commodities supply chain. This could include
     -- Ministry of Health senior leadership
     -- Ministry of Health technical managers (e.g. a logistics management unit) 
     -- Technical leads at a donor/partner organization that directly manages an in-country health supply chain
     -- Technical leads at a partner organization that provides supply chain technical assistance to governments or other partners
We envision two primary mechanisms for engaging the above audiences using this tool: 
     1)</t>
    </r>
    <r>
      <rPr>
        <b/>
        <sz val="11"/>
        <color theme="1"/>
        <rFont val="Calibri"/>
        <family val="2"/>
        <scheme val="minor"/>
      </rPr>
      <t xml:space="preserve"> Direct use </t>
    </r>
    <r>
      <rPr>
        <sz val="11"/>
        <color theme="1"/>
        <rFont val="Calibri"/>
        <family val="2"/>
        <scheme val="minor"/>
      </rPr>
      <t xml:space="preserve">of the tool by the decisionmaker, which may be more likely for an experienced and/or technically oriented user (e.g. logistics officer)
     2) Indirect use as part of a </t>
    </r>
    <r>
      <rPr>
        <b/>
        <sz val="11"/>
        <color theme="1"/>
        <rFont val="Calibri"/>
        <family val="2"/>
        <scheme val="minor"/>
      </rPr>
      <t>facilitated workshop</t>
    </r>
    <r>
      <rPr>
        <sz val="11"/>
        <color theme="1"/>
        <rFont val="Calibri"/>
        <family val="2"/>
        <scheme val="minor"/>
      </rPr>
      <t xml:space="preserve"> session. In this case, a person familiar with the tool may faciliate a discussion among a broader audience 
         to identify design options/inputs and discuss the meaning of tool outputs. This may be the ideal approach for involving non-supply chain-focused 
         decisionmakers, or for introducing the tool to a new audience.
Skills needed by direct users of the tool include: 
     -- Familiarity with Microsoft Excel and the use of Excel worksheet functions
     -- Understanding of common supply chain terminology
     -- Familiarity with the supply chain design process, and understanding of the types of design/policy decisions that are available to influence supply chain 
         cost and performance (e.g. inventory levels, frequency of delivery, number of tiers)
     -- Knowledge of existing supply chain cost and operational data sources
     -- Ability to communicate supply chain concepts and policy decisions to non-technical audience members in a workshop setting
All users, direct and indirect, should possess a basic understanding of the role of supply chains in achieving health system outcomes, knowledge of their overall health system (e.g. number of clinics, overall budget), and an understanding of major health system constraints on supply chain design</t>
    </r>
  </si>
  <si>
    <t>WDI's Cost Scenario Modeling Tool is designed to estimate the operating cost and basic performance statistics of a supply chain whose overall scope and design are specified by the user. These scope and design parameters can quickly be changed, enabling the user to create and test multiple supply chain scenarios. In this way the tool can be used to address a number of supply chain design-related research questions, such as
     -- What are the biggest drivers of cost for the current supply chain, in terms of functional areas (e.g. storage, transportation) and location (central-level, 
         service delivery points)?
     -- What would be the expected operating cost impact of redesigning supply chain roles and responsibilities, such as switching from a model where 
         clinic staff must travel to collect their resupply orders, to one where those orders are managed and delivered by a mobile warehouse?
     -- Which of several possible design revisions (e.g. reducing the number of tiers in a supply chain; changing the frequency of order periods; changing 
         type/number/travel patterns of delivery vehicles has the greatest cost impact?
     -- If we were to outsource a supply chain function (e.g. deliveries to clinics) to a third party logistics provider, how much could we expect that logistics 
         company to charge for their services? 
     -- How much would we expect another country's supply chain to cost when scaled to our own country's size and context? If we have data for our own 
         costs, how do they compare when benchmarked against these other countries?</t>
  </si>
  <si>
    <t>Limitations of the tool and methodology</t>
  </si>
  <si>
    <t>Scope - Types of Analyses and Research Questions</t>
  </si>
  <si>
    <t>Overview of Tool Operation &amp; Use</t>
  </si>
  <si>
    <t>Table of Contents</t>
  </si>
  <si>
    <t>Select Input Parameters Sheet to Analyze:</t>
  </si>
  <si>
    <r>
      <rPr>
        <b/>
        <sz val="11"/>
        <rFont val="Calibri"/>
        <family val="2"/>
        <scheme val="minor"/>
      </rPr>
      <t>2. Time variability and individual facility differences:</t>
    </r>
    <r>
      <rPr>
        <sz val="11"/>
        <rFont val="Calibri"/>
        <family val="2"/>
        <scheme val="minor"/>
      </rPr>
      <t xml:space="preserve">  To maintain its flexible Excel-based design requirements, the model assumes that each facility in the network is equivalent to the "average" facility in that tier of the supply chain.  For example, if a supply chain with 500 service delivery points has a total annual demand of 1000 cubic meters, the model assumes that each facility has an annual demand of 2 cubic meters. Simliarly, if the average distance between adjacent facilities is 20 kilometers, then the model assumes that each facility is 20 kilometers from its nearest neighboring facility. 
Furthermore, the model does not incorporate any variability over time, either in customer demand or in the execution of supply chain processes.  So if a facility has a total annual demand of 2 cubic meters, and runs on a quarterly ordering system (4 order periods per year), the model assumes that the facility will order 0.5 cubic meters each period.
This affects the use of the tool in a couple of ways. First, by not incorporating variability, the tool is not able to capture the implementation quality of a given supply chain design. The ability to execute internal processes consistently and minimize external demand/supply variability are hallmarks of good supply chain management. Supply chains that don't execute consistently must expend extra time and resources trying to predict and react to these inconsistencies, which is costly and difficult.  By omitting such variability, the tool's cost and performance estimates can be considered a "best-case scenario"  and should be used accordingly in the supply chain design process.  The same steps outlined in the paragraphs above are also applicable here, and help to minimize any differences between a supply chain's true costs and the model's "best-case scenarios' estimates.
Similarly, omitting individual facility differences in favor of overall averages can minimize some of the factors that make an individual country unique.  For example, a country that is geographically very long and narrow might have greater distances between facilities than their overall land area would indicate.  Or a country where demand is concentrated in a few very large urban clinics might face lower distribution costs than their overall demand volume/land area would indicate. These types of issues are best addressed by anticipating and incorporating them into the analysis, e.g. by choosing proxy distance data from a similarly-shaped country, or by modeling a supply chain as two smaller sub-chains, one high-volume urban and the other low-volume rural. The tool is designed to incorporate these types of adjustments to ensure that it is well-aligned with a particular country or context.  </t>
    </r>
  </si>
  <si>
    <r>
      <rPr>
        <b/>
        <sz val="11"/>
        <color theme="1"/>
        <rFont val="Calibri"/>
        <family val="2"/>
        <scheme val="minor"/>
      </rPr>
      <t>1.</t>
    </r>
    <r>
      <rPr>
        <sz val="11"/>
        <color theme="1"/>
        <rFont val="Calibri"/>
        <family val="2"/>
        <scheme val="minor"/>
      </rPr>
      <t xml:space="preserve">  Review information about each existing proxy data template, and decide on data template to use</t>
    </r>
  </si>
  <si>
    <r>
      <rPr>
        <b/>
        <sz val="11"/>
        <color theme="1"/>
        <rFont val="Calibri"/>
        <family val="2"/>
        <scheme val="minor"/>
      </rPr>
      <t>Step 5:</t>
    </r>
    <r>
      <rPr>
        <sz val="11"/>
        <color theme="1"/>
        <rFont val="Calibri"/>
        <family val="2"/>
        <scheme val="minor"/>
      </rPr>
      <t xml:space="preserve"> Select which tier to populate from the data template.</t>
    </r>
  </si>
  <si>
    <t>3. Mismatched distribution policies, such as:</t>
  </si>
  <si>
    <t>-- Changing total demand volume without changing total commodity value, number/type of delivery vehicles, warehouse storage &amp; throughput capacity, etc.</t>
  </si>
  <si>
    <t>-- Changing number of facilities without revisiting total demand volume</t>
  </si>
  <si>
    <t>-- Changing geographic area or number of facilities without revisiting distance between facilities</t>
  </si>
  <si>
    <t>1. Text values entered in a cell meant for numeric values</t>
  </si>
  <si>
    <t>2. Entering values outside of a drop-down list</t>
  </si>
  <si>
    <t>4. Incomplete scaling of related input parameters</t>
  </si>
  <si>
    <t>-- Changing the ownership model of vehicles, e.g. from "Rented" to "Contracted to 3PL", but not changing the unit price parameter accordingly</t>
  </si>
  <si>
    <t>-- Selecting "Rented" or "Contracted to 3PL" vehicle ownership option, but leaving the rental/contract price parameter blank (i.e. zero)</t>
  </si>
  <si>
    <t>Comparing Output Statistics - Tool results vs. prior cost study results</t>
  </si>
  <si>
    <r>
      <rPr>
        <i/>
        <sz val="11"/>
        <color theme="1"/>
        <rFont val="Calibri"/>
        <family val="2"/>
        <scheme val="minor"/>
      </rPr>
      <t xml:space="preserve">3. Operational statistics: </t>
    </r>
    <r>
      <rPr>
        <sz val="11"/>
        <color theme="1"/>
        <rFont val="Calibri"/>
        <family val="2"/>
        <scheme val="minor"/>
      </rPr>
      <t>In Table 5 of the Output Statistics worksheet, do the number of kilometers traveled and number of days of travel align with similar numbers from actual study data?  Do storage and vehicle utilization numbers align with what we know from studies or on-the-ground managers?</t>
    </r>
  </si>
  <si>
    <r>
      <rPr>
        <b/>
        <sz val="11"/>
        <rFont val="Calibri"/>
        <family val="2"/>
        <scheme val="minor"/>
      </rPr>
      <t>6.</t>
    </r>
    <r>
      <rPr>
        <sz val="11"/>
        <rFont val="Calibri"/>
        <family val="2"/>
        <scheme val="minor"/>
      </rPr>
      <t xml:space="preserve"> Do vehicles typically travel to/from each destination facility individually (point-to-point), or do they visit several facilities along a pre-set route?</t>
    </r>
  </si>
  <si>
    <r>
      <rPr>
        <b/>
        <sz val="11"/>
        <rFont val="Calibri"/>
        <family val="2"/>
        <scheme val="minor"/>
      </rPr>
      <t xml:space="preserve">6a. </t>
    </r>
    <r>
      <rPr>
        <sz val="11"/>
        <rFont val="Calibri"/>
        <family val="2"/>
        <scheme val="minor"/>
      </rPr>
      <t xml:space="preserve"> If Route-based, what is the max # days for one delivery route/loop?</t>
    </r>
  </si>
  <si>
    <r>
      <rPr>
        <b/>
        <sz val="11"/>
        <rFont val="Calibri"/>
        <family val="2"/>
        <scheme val="minor"/>
      </rPr>
      <t>7.</t>
    </r>
    <r>
      <rPr>
        <sz val="11"/>
        <rFont val="Calibri"/>
        <family val="2"/>
        <scheme val="minor"/>
      </rPr>
      <t xml:space="preserve"> What is the typical profession of the primary vehicle operator?</t>
    </r>
  </si>
  <si>
    <r>
      <rPr>
        <b/>
        <sz val="11"/>
        <rFont val="Calibri"/>
        <family val="2"/>
        <scheme val="minor"/>
      </rPr>
      <t>8.</t>
    </r>
    <r>
      <rPr>
        <sz val="11"/>
        <rFont val="Calibri"/>
        <family val="2"/>
        <scheme val="minor"/>
      </rPr>
      <t xml:space="preserve"> How many additional people typically travel with the primary operator?</t>
    </r>
  </si>
  <si>
    <r>
      <rPr>
        <b/>
        <sz val="11"/>
        <rFont val="Calibri"/>
        <family val="2"/>
        <scheme val="minor"/>
      </rPr>
      <t xml:space="preserve">8a.  </t>
    </r>
    <r>
      <rPr>
        <sz val="11"/>
        <rFont val="Calibri"/>
        <family val="2"/>
        <scheme val="minor"/>
      </rPr>
      <t>What is their typical profession?</t>
    </r>
  </si>
  <si>
    <r>
      <rPr>
        <b/>
        <sz val="11"/>
        <rFont val="Calibri"/>
        <family val="2"/>
        <scheme val="minor"/>
      </rPr>
      <t xml:space="preserve">9. </t>
    </r>
    <r>
      <rPr>
        <sz val="11"/>
        <rFont val="Calibri"/>
        <family val="2"/>
        <scheme val="minor"/>
      </rPr>
      <t>Dwell time 1: Minimum # minutes per facility visit (e.g. prep &amp; wrap-up time, introductions &amp; goodbyes)</t>
    </r>
  </si>
  <si>
    <r>
      <rPr>
        <b/>
        <sz val="11"/>
        <rFont val="Calibri"/>
        <family val="2"/>
        <scheme val="minor"/>
      </rPr>
      <t>10.</t>
    </r>
    <r>
      <rPr>
        <sz val="11"/>
        <rFont val="Calibri"/>
        <family val="2"/>
        <scheme val="minor"/>
      </rPr>
      <t xml:space="preserve"> Dwell Time 2 (if applicable): # minutes to complete relevant paperwork for one commodity (e.g. reconciling stock cards, completing Order forms)</t>
    </r>
  </si>
  <si>
    <r>
      <rPr>
        <b/>
        <sz val="11"/>
        <rFont val="Calibri"/>
        <family val="2"/>
        <scheme val="minor"/>
      </rPr>
      <t>11</t>
    </r>
    <r>
      <rPr>
        <sz val="11"/>
        <rFont val="Calibri"/>
        <family val="2"/>
        <scheme val="minor"/>
      </rPr>
      <t>. Dwell Time 3 (If applicable): # minutes to count and/or stock one m^3 of product (e.g. conducting physical count, unpacking &amp; stocking items upon delivery)</t>
    </r>
  </si>
  <si>
    <t>Average number of people who pick and process inventory per warehouse</t>
  </si>
  <si>
    <t>Daily throughput capacity per person: Theoretical maximum volume processed per person per day, assuming 100% efficiency and no idle capacity</t>
  </si>
  <si>
    <t>Inventory Policy</t>
  </si>
  <si>
    <t xml:space="preserve">Total Labor-years (FTEs) Required </t>
  </si>
  <si>
    <t>Number of FTEs per facility</t>
  </si>
  <si>
    <t>Max Daily Throughput Capacity assuming inefficiencies</t>
  </si>
  <si>
    <t>Effective Daily Throughput capacity per 1 FTE</t>
  </si>
  <si>
    <t>Local NGO Partner Warehouse Operating expenses</t>
  </si>
  <si>
    <t>Local NGO partner Warehouse Storage Space</t>
  </si>
  <si>
    <t>SDP Costs worksheet specifies ~80% utilization from surveys</t>
  </si>
  <si>
    <t>in Pilot Eval cost template, only 313 of the 345 "non-CBD" facilities are included in storage space calculation; True average cost over all 345 facilities should factor in cost of $0.00 for the 32 CBD facilities</t>
  </si>
  <si>
    <t>549.62 per year using 2.00/sq.m/month as an assumption from Pilot Eval costing study</t>
  </si>
  <si>
    <t>From Pilot Eval costing data "[…] Branch Acct" worksheet</t>
  </si>
  <si>
    <r>
      <t xml:space="preserve">&lt;--- Click </t>
    </r>
    <r>
      <rPr>
        <b/>
        <sz val="11"/>
        <color theme="0" tint="-0.34998626667073579"/>
        <rFont val="Calibri"/>
        <family val="2"/>
        <scheme val="minor"/>
      </rPr>
      <t>[+]</t>
    </r>
    <r>
      <rPr>
        <i/>
        <sz val="11"/>
        <color theme="0" tint="-0.34998626667073579"/>
        <rFont val="Calibri"/>
        <family val="2"/>
        <scheme val="minor"/>
      </rPr>
      <t xml:space="preserve"> to expand Management/System Support Section</t>
    </r>
  </si>
  <si>
    <r>
      <t xml:space="preserve">&lt;--- Click </t>
    </r>
    <r>
      <rPr>
        <b/>
        <sz val="11"/>
        <color theme="0" tint="-0.34998626667073579"/>
        <rFont val="Calibri"/>
        <family val="2"/>
        <scheme val="minor"/>
      </rPr>
      <t>[+]</t>
    </r>
    <r>
      <rPr>
        <i/>
        <sz val="11"/>
        <color theme="0" tint="-0.34998626667073579"/>
        <rFont val="Calibri"/>
        <family val="2"/>
        <scheme val="minor"/>
      </rPr>
      <t xml:space="preserve"> to expand Supply Chain Personnel Information Section</t>
    </r>
  </si>
  <si>
    <r>
      <t xml:space="preserve">&lt;--- Click </t>
    </r>
    <r>
      <rPr>
        <b/>
        <sz val="11"/>
        <color theme="0" tint="-0.34998626667073579"/>
        <rFont val="Calibri"/>
        <family val="2"/>
        <scheme val="minor"/>
      </rPr>
      <t>[+]</t>
    </r>
    <r>
      <rPr>
        <i/>
        <sz val="11"/>
        <color theme="0" tint="-0.34998626667073579"/>
        <rFont val="Calibri"/>
        <family val="2"/>
        <scheme val="minor"/>
      </rPr>
      <t xml:space="preserve"> to expand Commodity Information Section</t>
    </r>
  </si>
  <si>
    <r>
      <t xml:space="preserve">&lt;--- Click </t>
    </r>
    <r>
      <rPr>
        <b/>
        <sz val="11"/>
        <color theme="0" tint="-0.34998626667073579"/>
        <rFont val="Calibri"/>
        <family val="2"/>
        <scheme val="minor"/>
      </rPr>
      <t>[+]</t>
    </r>
    <r>
      <rPr>
        <i/>
        <sz val="11"/>
        <color theme="0" tint="-0.34998626667073579"/>
        <rFont val="Calibri"/>
        <family val="2"/>
        <scheme val="minor"/>
      </rPr>
      <t xml:space="preserve"> to expand General System Information Section</t>
    </r>
  </si>
  <si>
    <t>Average number of Full-Time Equivalent (FTE) staff per facility/warehouse who pick and process inventory</t>
  </si>
  <si>
    <t>Vehicle Types</t>
  </si>
  <si>
    <t>Explanation</t>
  </si>
  <si>
    <t>Average across modes</t>
  </si>
  <si>
    <t>Cost per Cubic Meter of Commodities Delivered</t>
  </si>
  <si>
    <t>Transport Strategies</t>
  </si>
  <si>
    <t>User-entered value; number of facilities to which health commodities are delivered at the final tier fo the supply chain</t>
  </si>
  <si>
    <r>
      <rPr>
        <i/>
        <sz val="11"/>
        <color theme="1"/>
        <rFont val="Calibri"/>
        <family val="2"/>
        <scheme val="minor"/>
      </rPr>
      <t>-- Ratio of [Total Operating Cost] / [Total Commodity Throughput Value] x [100]</t>
    </r>
    <r>
      <rPr>
        <sz val="11"/>
        <color theme="1"/>
        <rFont val="Calibri"/>
        <family val="2"/>
        <scheme val="minor"/>
      </rPr>
      <t xml:space="preserve">
-- </t>
    </r>
    <r>
      <rPr>
        <b/>
        <sz val="11"/>
        <color theme="1"/>
        <rFont val="Calibri"/>
        <family val="2"/>
        <scheme val="minor"/>
      </rPr>
      <t>Interpretation</t>
    </r>
    <r>
      <rPr>
        <sz val="11"/>
        <color theme="1"/>
        <rFont val="Calibri"/>
        <family val="2"/>
        <scheme val="minor"/>
      </rPr>
      <t>: In general lower is better, though values vary greatly by health program area (e.g. HIV, Essential Medicines). For example, one box of antiretrovirals (ARVs) will likely have a value much greater than a similar box of antibiotics, even though the supply chain cost to distribute each is likely to be similar.   Thus this metric would be lower for the ARVs than the antibiotic, even for similarly-performing supply chains.</t>
    </r>
  </si>
  <si>
    <r>
      <rPr>
        <i/>
        <sz val="11"/>
        <color theme="1"/>
        <rFont val="Calibri"/>
        <family val="2"/>
        <scheme val="minor"/>
      </rPr>
      <t xml:space="preserve">-- Ratio of [Total Operating Cost] / [Total Commodity Throughput Volume] </t>
    </r>
    <r>
      <rPr>
        <sz val="11"/>
        <color theme="1"/>
        <rFont val="Calibri"/>
        <family val="2"/>
        <scheme val="minor"/>
      </rPr>
      <t xml:space="preserve">
-- </t>
    </r>
    <r>
      <rPr>
        <b/>
        <sz val="11"/>
        <color theme="1"/>
        <rFont val="Calibri"/>
        <family val="2"/>
        <scheme val="minor"/>
      </rPr>
      <t>Interpretation</t>
    </r>
    <r>
      <rPr>
        <sz val="11"/>
        <color theme="1"/>
        <rFont val="Calibri"/>
        <family val="2"/>
        <scheme val="minor"/>
      </rPr>
      <t>: General measure of supply chain efficiency. For similar geographies, throughput volumes, and supply chain designs, a lower value represents a more efficient supply chain.  No standard benchmarks exist within global health supply chain, though some publicly-available supply chain costing studies could be used to create a rough benchmark value</t>
    </r>
  </si>
  <si>
    <r>
      <t xml:space="preserve">-- The monetary value (in user-specified currency) of the average amount of inventory (m^3) in the entire supply chain at any given time (For each tier: [$ value per m^3] x [m^3 per facility average inventory] x [# facilities in tier]).
-- </t>
    </r>
    <r>
      <rPr>
        <b/>
        <sz val="11"/>
        <color theme="1"/>
        <rFont val="Calibri"/>
        <family val="2"/>
        <scheme val="minor"/>
      </rPr>
      <t>Interpretation</t>
    </r>
    <r>
      <rPr>
        <sz val="11"/>
        <color theme="1"/>
        <rFont val="Calibri"/>
        <family val="2"/>
        <scheme val="minor"/>
      </rPr>
      <t xml:space="preserve">: Some inventory is necessary to buffer against unexpected changes in supply and demand, but in general lower is better. Money that is tied up in inventory cannot be invested in other program activities, and thus carries a significant opportunity cost. </t>
    </r>
  </si>
  <si>
    <t xml:space="preserve">The volume (m^3) of safety or buffer stock expected on-hand at a facility at the beginning of an order period. This equates to the minimum amount of stock expected for an order period with average total demand. </t>
  </si>
  <si>
    <t>Total Demand Volume (m^3) per year - Ambient Temperature products</t>
  </si>
  <si>
    <t>Total Demand Volume (m^3) per year - Cold Chain products</t>
  </si>
  <si>
    <t>Is demand data based on volumes procured at central level or volumes delivered to facility level?</t>
  </si>
  <si>
    <t>Procured</t>
  </si>
  <si>
    <t>Ambient Temperature Products</t>
  </si>
  <si>
    <t>Cold Chain Products</t>
  </si>
  <si>
    <t>Is demand data based on volumes procured at central level ("Procured") or volumes delivered to facility level ("Delivered")?</t>
  </si>
  <si>
    <t>Total Value of Procured Commodities</t>
  </si>
  <si>
    <r>
      <t xml:space="preserve">Average </t>
    </r>
    <r>
      <rPr>
        <b/>
        <sz val="11"/>
        <color theme="1"/>
        <rFont val="Calibri"/>
        <family val="2"/>
        <scheme val="minor"/>
      </rPr>
      <t>AMBIENT</t>
    </r>
    <r>
      <rPr>
        <sz val="11"/>
        <color theme="1"/>
        <rFont val="Calibri"/>
        <family val="2"/>
        <scheme val="minor"/>
      </rPr>
      <t xml:space="preserve"> Storage Capacity (m^3) per desination facility</t>
    </r>
  </si>
  <si>
    <t>Average number of cold storage boxes per facility used for vaccine transportation</t>
  </si>
  <si>
    <t>Average capacity (m^3) per cold storage box</t>
  </si>
  <si>
    <t>Average purchase price per cold storage box</t>
  </si>
  <si>
    <t>If applicable, average annual operating cost per cold storage box</t>
  </si>
  <si>
    <t>Portable cold boxes for transport activities</t>
  </si>
  <si>
    <t>Total annual demand per facility</t>
  </si>
  <si>
    <t>All Products</t>
  </si>
  <si>
    <t>Ambient Storage - Depreciation &amp; Equipment</t>
  </si>
  <si>
    <t>Cold Storage - Depreciation &amp; Equipment</t>
  </si>
  <si>
    <t>Cold boxes for Transport - Operating expenses</t>
  </si>
  <si>
    <t>Cold boxes for Transport - Depreciation &amp; Equipment</t>
  </si>
  <si>
    <t>Cold Box Utilization calculations</t>
  </si>
  <si>
    <t>Useful Life - vehicles</t>
  </si>
  <si>
    <t>Total # Trips Needed per year</t>
  </si>
  <si>
    <t>Avg cold chain volume (m^3) delivered per trip - Delivery Mode 1</t>
  </si>
  <si>
    <t>Estimated number of simultaneous trips needed</t>
  </si>
  <si>
    <t>Average utilization of cold box capacity at each tier</t>
  </si>
  <si>
    <t>Estimated Total Annual Operating Cost:</t>
  </si>
  <si>
    <t>Storage Facilities</t>
  </si>
  <si>
    <r>
      <t xml:space="preserve">Average </t>
    </r>
    <r>
      <rPr>
        <b/>
        <sz val="11"/>
        <color theme="1"/>
        <rFont val="Calibri"/>
        <family val="2"/>
        <scheme val="minor"/>
      </rPr>
      <t>COLD</t>
    </r>
    <r>
      <rPr>
        <sz val="11"/>
        <color theme="1"/>
        <rFont val="Calibri"/>
        <family val="2"/>
        <scheme val="minor"/>
      </rPr>
      <t xml:space="preserve"> Storage capacity (m^3) per facility at each tier 
</t>
    </r>
    <r>
      <rPr>
        <i/>
        <sz val="11"/>
        <color theme="1"/>
        <rFont val="Calibri"/>
        <family val="2"/>
        <scheme val="minor"/>
      </rPr>
      <t xml:space="preserve">(Do not include cold storage capacity used for other purposes, e.g. ice packs) </t>
    </r>
  </si>
  <si>
    <t>Annual warehouse overhead/operating costs (e.g. utilities, maintenance) per cbm capacity</t>
  </si>
  <si>
    <t>Annual depreciation costs for warehouse building &amp; equipment, per cbm storage capacity</t>
  </si>
  <si>
    <r>
      <t xml:space="preserve">Annual </t>
    </r>
    <r>
      <rPr>
        <b/>
        <sz val="11"/>
        <color theme="1"/>
        <rFont val="Calibri"/>
        <family val="2"/>
        <scheme val="minor"/>
      </rPr>
      <t>COLD</t>
    </r>
    <r>
      <rPr>
        <sz val="11"/>
        <color theme="1"/>
        <rFont val="Calibri"/>
        <family val="2"/>
        <scheme val="minor"/>
      </rPr>
      <t xml:space="preserve"> </t>
    </r>
    <r>
      <rPr>
        <b/>
        <sz val="11"/>
        <color theme="1"/>
        <rFont val="Calibri"/>
        <family val="2"/>
        <scheme val="minor"/>
      </rPr>
      <t>STORAGE</t>
    </r>
    <r>
      <rPr>
        <sz val="11"/>
        <color theme="1"/>
        <rFont val="Calibri"/>
        <family val="2"/>
        <scheme val="minor"/>
      </rPr>
      <t xml:space="preserve"> equipment depreciation cost per cbm storage capacity</t>
    </r>
  </si>
  <si>
    <t>Useful Life - cold storage boxes</t>
  </si>
  <si>
    <t>Useful Life - cold chain equipment</t>
  </si>
  <si>
    <t>Warehouse Staff - Supervisor</t>
  </si>
  <si>
    <t>Warehouse Staff - Floor worker</t>
  </si>
  <si>
    <t>Ministry - Mid-level management</t>
  </si>
  <si>
    <t>Ministry - Senior-level leadership</t>
  </si>
  <si>
    <t>Notes</t>
  </si>
  <si>
    <t>Other Vehicle Type</t>
  </si>
  <si>
    <t>Car/Sport Utility/Consumer Vehicle</t>
  </si>
  <si>
    <t>Refrigerated Truck</t>
  </si>
  <si>
    <t>Other vehicle type</t>
  </si>
  <si>
    <t>Refrigerated Vehicle</t>
  </si>
  <si>
    <t>Tier 5</t>
  </si>
  <si>
    <t>Tier 6</t>
  </si>
  <si>
    <t>Number of SC Levels/Tiers (Max of 6)</t>
  </si>
  <si>
    <t>Total annual demand per facility managed by this mode</t>
  </si>
  <si>
    <r>
      <rPr>
        <b/>
        <sz val="11"/>
        <rFont val="Calibri"/>
        <family val="2"/>
        <scheme val="minor"/>
      </rPr>
      <t>14.</t>
    </r>
    <r>
      <rPr>
        <sz val="11"/>
        <rFont val="Calibri"/>
        <family val="2"/>
        <scheme val="minor"/>
      </rPr>
      <t xml:space="preserve"> </t>
    </r>
    <r>
      <rPr>
        <b/>
        <sz val="11"/>
        <rFont val="Calibri"/>
        <family val="2"/>
        <scheme val="minor"/>
      </rPr>
      <t>COLD CHAIN</t>
    </r>
    <r>
      <rPr>
        <sz val="11"/>
        <rFont val="Calibri"/>
        <family val="2"/>
        <scheme val="minor"/>
      </rPr>
      <t>:  Is this mode of transit used exclusively for cold chain products (e.g. refrigerated truck)?</t>
    </r>
  </si>
  <si>
    <t>Other Personnel Type #1</t>
  </si>
  <si>
    <t>Other Personnel Type #2</t>
  </si>
  <si>
    <t>Other Personnel Type #3</t>
  </si>
  <si>
    <t>Space to document interpretations or changes to existing personnel descriptions</t>
  </si>
  <si>
    <r>
      <rPr>
        <b/>
        <i/>
        <sz val="11"/>
        <rFont val="Calibri"/>
        <family val="2"/>
        <scheme val="minor"/>
      </rPr>
      <t xml:space="preserve">NOTES: </t>
    </r>
    <r>
      <rPr>
        <i/>
        <sz val="11"/>
        <rFont val="Calibri"/>
        <family val="2"/>
        <scheme val="minor"/>
      </rPr>
      <t>Space to document interpretations or changes to existing vehicle descriptions</t>
    </r>
  </si>
  <si>
    <t>Boat</t>
  </si>
  <si>
    <t>Distance btw HC</t>
  </si>
  <si>
    <t>ServiceDistance</t>
  </si>
  <si>
    <t>Note: distances between HC with fridges and without fridges (not all HC), calculated using circuity factors</t>
  </si>
  <si>
    <t>Distance btw District and HC</t>
  </si>
  <si>
    <t>Note: Distances between Districts and HC with fridges as proxy</t>
  </si>
  <si>
    <t>Speed btw HC</t>
  </si>
  <si>
    <t>ServiceHours</t>
  </si>
  <si>
    <t>km/hr</t>
  </si>
  <si>
    <t>avg</t>
  </si>
  <si>
    <t>moto</t>
  </si>
  <si>
    <t>Value of products</t>
  </si>
  <si>
    <t>vol/year</t>
  </si>
  <si>
    <t>$/m3</t>
  </si>
  <si>
    <t>m3 from modelling</t>
  </si>
  <si>
    <t>Value</t>
  </si>
  <si>
    <t>commodity value from costing study:</t>
  </si>
  <si>
    <t>Weighting source-destination distance for last-mile distribution to include vaccination sites without CCE</t>
  </si>
  <si>
    <t>HC w/ CCE</t>
  </si>
  <si>
    <t>HC w/o CCE</t>
  </si>
  <si>
    <t>Avg inter-HC distance</t>
  </si>
  <si>
    <t>trips/distribution period</t>
  </si>
  <si>
    <t>Weighting factor</t>
  </si>
  <si>
    <t>Additional distance for VS/period</t>
  </si>
  <si>
    <t xml:space="preserve">Weighted source-destination distance </t>
  </si>
  <si>
    <t>source-destination distance</t>
  </si>
  <si>
    <t>rate/km for boat travel</t>
  </si>
  <si>
    <t>km</t>
  </si>
  <si>
    <t>cost/km</t>
  </si>
  <si>
    <t>for vehicle travel</t>
  </si>
  <si>
    <t>S2 Weighting source-destination distance for last-mile distribution to include vaccination sites without CCE</t>
  </si>
  <si>
    <t>Total kilometers Traveled per cubic meter delivered</t>
  </si>
  <si>
    <t>Number of Supply Chain Tiers</t>
  </si>
  <si>
    <t>Number of Facilities Served at Last-mile Tier</t>
  </si>
  <si>
    <t>Total Volume (m^3) Delivered to  Facilities (Ambient + Cold Chain Commodities):</t>
  </si>
  <si>
    <t>Total Number of Travel Days</t>
  </si>
  <si>
    <t>Table 1: High-level Scenario Overview</t>
  </si>
  <si>
    <t>Table 2: Supply Chain Efficiency Metrics</t>
  </si>
  <si>
    <t>Table 3: Operational Stats - Warehousing</t>
  </si>
  <si>
    <t>Table 5: Detailed Cost Breakdown by Functional Category and Tier</t>
  </si>
  <si>
    <t>Table 6: Detailed operational statistics for transportation function</t>
  </si>
  <si>
    <t>Equipment &amp; Depreciation Costs</t>
  </si>
  <si>
    <t>Fuel, Maintenance, &amp; Other Travel Costs</t>
  </si>
  <si>
    <t>Functional Areas</t>
  </si>
  <si>
    <t>Overall System Efficiency</t>
  </si>
  <si>
    <t>Passive Storage Devices (e.g. vaccine carriers, cold boxes) for transport</t>
  </si>
  <si>
    <r>
      <t xml:space="preserve">^^NOTE: Calculation assumes cold boxes are a pooled resource with no constraints on availability for distribution activities. If the SC design imposes other constraints (e.g. if every facility requires its own cold box to retrieve product from upstream), then this metric may not reflect true need for cold box capacity. In that case the user should manage the other constraints directly (e.g. inputting </t>
    </r>
    <r>
      <rPr>
        <i/>
        <u val="singleAccounting"/>
        <sz val="11"/>
        <color theme="1"/>
        <rFont val="Calibri"/>
        <family val="2"/>
        <scheme val="minor"/>
      </rPr>
      <t>&gt;</t>
    </r>
    <r>
      <rPr>
        <i/>
        <sz val="11"/>
        <color theme="1"/>
        <rFont val="Calibri"/>
        <family val="2"/>
        <scheme val="minor"/>
      </rPr>
      <t xml:space="preserve"> 1 cold box per facility)</t>
    </r>
  </si>
  <si>
    <t>Utilization of Transport Resources</t>
  </si>
  <si>
    <t>Total Number of Travel or Storage Modes that are over- or under-utilized:</t>
  </si>
  <si>
    <t>Name of Selected Scenario:</t>
  </si>
  <si>
    <t>Per-Diems</t>
  </si>
  <si>
    <t>Number of Storage Types Outside Ideal Range (50-90%)</t>
  </si>
  <si>
    <t>Totals</t>
  </si>
  <si>
    <t># over/under-utilized modes</t>
  </si>
  <si>
    <t>Table 4: Summary of Annual Operating Costs by Supply Chain Functional Area and Cost Type</t>
  </si>
  <si>
    <t>Storage - Cost Categories</t>
  </si>
  <si>
    <t>Transportation - Cost Categories</t>
  </si>
  <si>
    <t>Utilities, repairs, insurance, &amp; other warehouse operations</t>
  </si>
  <si>
    <t>Storage</t>
  </si>
  <si>
    <t>Transport</t>
  </si>
  <si>
    <t>Overall Average Vehicle Time Utilization</t>
  </si>
  <si>
    <t>Average across modes and transport purpose</t>
  </si>
  <si>
    <t>Overutilization: Any utilization exceeding specified percent is considered overutilized</t>
  </si>
  <si>
    <t>Underutilization: Any utilization less than specified percent is considered underutilized</t>
  </si>
  <si>
    <t>Ambient &amp; Cold Storage - Operating Expenses</t>
  </si>
  <si>
    <t>Number of Scenarios to Compare</t>
  </si>
  <si>
    <t>Inputs Worksheet Name</t>
  </si>
  <si>
    <t>Outputs Worksheet Name</t>
  </si>
  <si>
    <r>
      <rPr>
        <b/>
        <i/>
        <sz val="11"/>
        <color theme="1"/>
        <rFont val="Calibri"/>
        <family val="2"/>
        <scheme val="minor"/>
      </rPr>
      <t>Overutilization</t>
    </r>
    <r>
      <rPr>
        <sz val="11"/>
        <color theme="1"/>
        <rFont val="Calibri"/>
        <family val="2"/>
        <scheme val="minor"/>
      </rPr>
      <t>: Any utilization exceeding specified percent is considered overutilized</t>
    </r>
  </si>
  <si>
    <r>
      <rPr>
        <b/>
        <i/>
        <sz val="11"/>
        <color theme="1"/>
        <rFont val="Calibri"/>
        <family val="2"/>
        <scheme val="minor"/>
      </rPr>
      <t>Underutilization</t>
    </r>
    <r>
      <rPr>
        <sz val="11"/>
        <color theme="1"/>
        <rFont val="Calibri"/>
        <family val="2"/>
        <scheme val="minor"/>
      </rPr>
      <t>: Any utilization less than specified percent is considered underutilized</t>
    </r>
  </si>
  <si>
    <t>Scenario 1</t>
  </si>
  <si>
    <t>Scenario 2</t>
  </si>
  <si>
    <t>Scenario 3</t>
  </si>
  <si>
    <t>Scenario 4</t>
  </si>
  <si>
    <t>Scenario 5</t>
  </si>
  <si>
    <t>Scenario 6</t>
  </si>
  <si>
    <t>High-level Descriptive Information</t>
  </si>
  <si>
    <t>Cell(s) in Worksheet</t>
  </si>
  <si>
    <t>Select efficiency metric to display in graph below:</t>
  </si>
  <si>
    <t>Number of Tiers</t>
  </si>
  <si>
    <t>Annual cost as percentage of commodity value</t>
  </si>
  <si>
    <t>Number of facilities served at final tier</t>
  </si>
  <si>
    <t>Total Ambient Volume (m^3) Delivered to final tier</t>
  </si>
  <si>
    <t>H10</t>
  </si>
  <si>
    <t>Total Cold Chain Volume Delivered to Final Tier</t>
  </si>
  <si>
    <t>Total annual operating cost</t>
  </si>
  <si>
    <t>High-Level Efficiency Metrics</t>
  </si>
  <si>
    <t>Annual cost per m^3 delivered</t>
  </si>
  <si>
    <t>Kilometers traveled per m^3 delivered</t>
  </si>
  <si>
    <t>Utilization of Ambient Storage Capacity by Tier</t>
  </si>
  <si>
    <t>Tier 1 - Storage utilization</t>
  </si>
  <si>
    <t>Tier 2 - Storage utilization</t>
  </si>
  <si>
    <t>Tier 3 - Storage utilization</t>
  </si>
  <si>
    <t>Tier 4 - Storage utilization</t>
  </si>
  <si>
    <t>Tier 5 - Storage utilization</t>
  </si>
  <si>
    <t>Tier 6 - Storage utilization</t>
  </si>
  <si>
    <t>Utilization of Cold Storage Capacity by Tier</t>
  </si>
  <si>
    <t>Tier 1 - Cold Storage utilization</t>
  </si>
  <si>
    <t>Tier 2 - Cold Storage utilization</t>
  </si>
  <si>
    <t>Tier 3 - Cold Storage utilization</t>
  </si>
  <si>
    <t>Tier 4 - Cold Storage utilization</t>
  </si>
  <si>
    <t>Tier 5 - Cold Storage utilization</t>
  </si>
  <si>
    <t>Tier 6 - Cold Storage utilization</t>
  </si>
  <si>
    <t>Utilization of Transport Resources by Tier</t>
  </si>
  <si>
    <t>Tier 1 - Average vehicle utilization</t>
  </si>
  <si>
    <t>Tier 2 - Average vehicle utilization</t>
  </si>
  <si>
    <t>Tier 3 - Average vehicle utilization</t>
  </si>
  <si>
    <t>Tier 4 - Average vehicle utilization</t>
  </si>
  <si>
    <t>Tier 5 - Average vehicle utilization</t>
  </si>
  <si>
    <t>Tier 6 - Average vehicle utilization</t>
  </si>
  <si>
    <t xml:space="preserve">Number of Over- or Under-utilized Transport Modes by Tier </t>
  </si>
  <si>
    <t>Breakdown of Total Annual Cost by function</t>
  </si>
  <si>
    <t>Warehousing/Storage Cost Breakdown by Tier</t>
  </si>
  <si>
    <t>Tier 1 - Warehousing Costs</t>
  </si>
  <si>
    <t>Tier 2 - Warehousing Costs</t>
  </si>
  <si>
    <t>Tier 3 - Warehousing Costs</t>
  </si>
  <si>
    <t>Tier 4 - Warehousing Costs</t>
  </si>
  <si>
    <t>Tier 5 - Warehousing Costs</t>
  </si>
  <si>
    <t>Tier 6 - Warehousing Costs</t>
  </si>
  <si>
    <t>Transportation Cost Breakdown by Tier</t>
  </si>
  <si>
    <t>Tier 1 - Transportation Costs</t>
  </si>
  <si>
    <t>Tier 2 - Transportation Costs</t>
  </si>
  <si>
    <t>Tier 3 - Transportation Costs</t>
  </si>
  <si>
    <t>Tier 4 - Transportation Costs</t>
  </si>
  <si>
    <t>Tier 5 - Transportation Costs</t>
  </si>
  <si>
    <t>Tier 6 - Transportation Costs</t>
  </si>
  <si>
    <t>System Management/Supervision Cost Breakdown by tier</t>
  </si>
  <si>
    <t>Tier 1 - System Management/Supervision costs</t>
  </si>
  <si>
    <t>Tier 2 - System Management/Supervision costs</t>
  </si>
  <si>
    <t>Tier 3 - System Management/Supervision costs</t>
  </si>
  <si>
    <t>Tier 4 - System Management/Supervision costs</t>
  </si>
  <si>
    <t>Tier 5 - System Management/Supervision costs</t>
  </si>
  <si>
    <t>Tier 6 - System Management/Supervision costs</t>
  </si>
  <si>
    <t>H11</t>
  </si>
  <si>
    <t>Total Cold Chain Volume (m^3) Delivered to Facilities</t>
  </si>
  <si>
    <t>H12</t>
  </si>
  <si>
    <t>H18</t>
  </si>
  <si>
    <t>H46</t>
  </si>
  <si>
    <t>N46</t>
  </si>
  <si>
    <t>K46</t>
  </si>
  <si>
    <t>Q46</t>
  </si>
  <si>
    <t>T46</t>
  </si>
  <si>
    <t>W46</t>
  </si>
  <si>
    <t>Delivery - Number of over/underutilized transport modes</t>
  </si>
  <si>
    <t>Ordering - Number of over/underutilized transport modes</t>
  </si>
  <si>
    <t>Additional - Number of over/underutilized transport modes</t>
  </si>
  <si>
    <t>Total transportation costs - Delivery, Ordering, &amp; Other Travel</t>
  </si>
  <si>
    <t>Total warehousing &amp; commodity storage costs</t>
  </si>
  <si>
    <t>Total system management &amp; supervision costs</t>
  </si>
  <si>
    <t>H78</t>
  </si>
  <si>
    <t>K78</t>
  </si>
  <si>
    <t>N78</t>
  </si>
  <si>
    <t>Q78</t>
  </si>
  <si>
    <t>T78</t>
  </si>
  <si>
    <t>W78</t>
  </si>
  <si>
    <t>H79</t>
  </si>
  <si>
    <t>K79</t>
  </si>
  <si>
    <t>N79</t>
  </si>
  <si>
    <t>Q79</t>
  </si>
  <si>
    <t>T79</t>
  </si>
  <si>
    <t>W79</t>
  </si>
  <si>
    <t xml:space="preserve">Sub ReplaceInputParameters()
'GOAL: Enable user to dynamically enter an Inputs worksheet name into the Outputs worksheet formulas
'METHOD: For a selected cell, replace the Input worksheet name in the cell's formula text with an INDIRECT function that pulls a worksheet name from the text value of a different cell on the worksheet
'TO USE: 1. Update required text in macro, 2. Assign macro to keyboard command, 3. Select a cell in Outputs worksheet that contains a formula referencing the Inputs worksheet, 4. enter macro keyboard command, 5. Repeat steps 3 and 4 for every relevant Outputs worksheet cell
'TEXT TO UPDATE:  1. Name of active Outputs worksheet, 2. Name of active Inputs worksheet, 3. Reference of cell where user will enter dynamic Inputs worksheet name, 4. Personnel/Vehicle search ranges at end of macro
'NOTE: To function properly, all Inputs worksheet cell references in Outputs worksheet formulas must be either 4 or 5 characters, e.g. INPUTS!$H$5, INPUTS!H$55, INPUTS!H555, INPUTS!H$555, but not INPUTS!H5 (too few) or INPUTS!$H$555 (too many)
Dim ws As Worksheet
Dim OldText As String
Dim NewText As String
Dim Ending As String
Dim CellFormula As String
Dim NewLeft As String
Dim NewRight As String
Dim temp As String
Dim i As Integer
Dim StringLocation As Integer
Set ws = ActiveWorkbook.Worksheets("OUTPUTS")
'Reference Text: INDIRECT("'"&amp;$H$2&amp;"'!K$52
'Set string variables for the To-Find and To-Replace-With text
OldText = "'Input Parameters'!"
NewText = "INDIRECT(" &amp; Chr(34) &amp; "'" &amp; Chr(34) &amp; "&amp;$H$3&amp;" &amp; Chr(34) &amp; "'!"
Ending = Chr(34) &amp; ")"
'Set Counter variables to track string position
i = 1
StringLocation = 1
'Set CellFormula equal to active cell contents and replace "Input Parameters" with "INDIRECT"
'Excluding ending ") text
CellFormula = ActiveCell.Formula
CellFormula = Replace(CellFormula, OldText, NewText, 1)
'Loop through string to insert ") after each "INDIRECT" insertion
Do While i &lt; Len(CellFormula)
    'Find next "INDIRECT insertion"
    i = InStr(i, CellFormula, "INDIRECT")
    'Move string position to first possible ") position
    StringLocation = i + 25
    'If current position is still numeric, move string position one further and check again
    If IsNumeric(Mid(CellFormula, StringLocation, 1)) Then
        StringLocation = StringLocation + 1
        If IsNumeric(Mid(CellFormula, StringLocation, 1)) Then
            MsgBox "error: don't insert text between numbers"
        End If
    End If
    'Break string into two, insert "), and rejoin string
    If StringLocation &gt; 26 Then
        NewLeft = Left(CellFormula, StringLocation - 1)
        NewRight = Right(CellFormula, Len(CellFormula) - (StringLocation - 1))
        CellFormula = NewLeft &amp; Ending &amp; NewRight
    End If
   If i = 0 Then
   Exit Do
   End If
   i = i + 1
Loop
'Fix errors that result from above formula incorrectly placing the ") in the middle of a cell range
CellFormula = Replace(CellFormula, "!$B$39" &amp; Chr(34) &amp; "):$B$49", "!$B$39:$B$49" &amp; Chr(34) &amp; ")", 1)
CellFormula = Replace(CellFormula, "!$H$39" &amp; Chr(34) &amp; "):$H$49", "!$H$39:$H$49" &amp; Chr(34) &amp; ")", 1)
CellFormula = Replace(CellFormula, "!$K$39" &amp; Chr(34) &amp; "):$K$49", "!$K$39:$K$49" &amp; Chr(34) &amp; ")", 1)
CellFormula = Replace(CellFormula, "!$N$39" &amp; Chr(34) &amp; "):$N$49", "!$N$39:$N$49" &amp; Chr(34) &amp; ")", 1)
CellFormula = Replace(CellFormula, "!$Q$39" &amp; Chr(34) &amp; "):$Q$49", "!$Q$39:$Q$49" &amp; Chr(34) &amp; ")", 1)
CellFormula = Replace(CellFormula, "!$F$66" &amp; Chr(34) &amp; "):$F$95", "!$F$66:$F$95" &amp; Chr(34) &amp; ")", 1)
CellFormula = Replace(CellFormula, "!$H$66" &amp; Chr(34) &amp; "):$H$95", "!$H$66:$H$95" &amp; Chr(34) &amp; ")", 1)
CellFormula = Replace(CellFormula, "!$K$66" &amp; Chr(34) &amp; "):$K$95", "!$K$66:$K$95" &amp; Chr(34) &amp; ")", 1)
CellFormula = Replace(CellFormula, "!$N$66" &amp; Chr(34) &amp; "):$N$95", "!$N$66:$N$95" &amp; Chr(34) &amp; ")", 1)
CellFormula = Replace(CellFormula, "!$Q$66" &amp; Chr(34) &amp; "):$Q$95", "!$Q$66:$Q$95" &amp; Chr(34) &amp; ")", 1)
CellFormula = Replace(CellFormula, "!$F$54" &amp; Chr(34) &amp; "):$F$95", "!$F$54:$F$95" &amp; Chr(34) &amp; ")", 1)
CellFormula = Replace(CellFormula, "!$H$54" &amp; Chr(34) &amp; "):$H$95", "!$H$54:$H$95" &amp; Chr(34) &amp; ")", 1)
CellFormula = Replace(CellFormula, "!$K$54" &amp; Chr(34) &amp; "):$K$95", "!$K$54:$K$95" &amp; Chr(34) &amp; ")", 1)
CellFormula = Replace(CellFormula, "!$N$54" &amp; Chr(34) &amp; "):$N$95", "!$N$54:$N$95" &amp; Chr(34) &amp; ")", 1)
CellFormula = Replace(CellFormula, "!$Q$54" &amp; Chr(34) &amp; "):$Q$95", "!$Q$54:$Q$95" &amp; Chr(34) &amp; ")", 1)
'MsgBox CellFormula
ActiveCell.Formula = CellFormula
End Sub
</t>
  </si>
  <si>
    <t>Health Facility</t>
  </si>
  <si>
    <t>Regional WH</t>
  </si>
  <si>
    <t>Storage/Transport Utilization - Conditional Formatting Color Thresholds</t>
  </si>
  <si>
    <t>Scenario Comparison</t>
  </si>
  <si>
    <t>Used for upstream collection or downstream delivery?</t>
  </si>
  <si>
    <t>Downstream</t>
  </si>
  <si>
    <t>Upstream</t>
  </si>
  <si>
    <t>Overall Average Utilization</t>
  </si>
  <si>
    <t>Total:</t>
  </si>
  <si>
    <t>Safety Stock + [Max inv - Min Inv]/2</t>
  </si>
  <si>
    <t>Safety Stock + expected demand volume per period</t>
  </si>
  <si>
    <t>[#Periods per year] * [#Trips per period]  *  [Distance traveled per trip]</t>
  </si>
  <si>
    <t># Simultaneous Trips ~= [Total # Delivery Trips needed per year] * [Avg working time per trip] / [ Total working time available per year]</t>
  </si>
  <si>
    <t>[Total # Trips per period]*[# Order Periods per year]</t>
  </si>
  <si>
    <t>[Total # Days on public Transit per Period]*[# Order Periods per year]</t>
  </si>
  <si>
    <t>[Total # Facilities in Tier]*[% Facilities covered by this Transport Mode]</t>
  </si>
  <si>
    <t>Daily throughput capacity per person: Maximum volume (m^3) that a person can process per day</t>
  </si>
  <si>
    <t>Average Combined Storage Utilization across storage types</t>
  </si>
  <si>
    <t>Utilization of labor resources (throughput)</t>
  </si>
  <si>
    <r>
      <t>Circuity Factor (</t>
    </r>
    <r>
      <rPr>
        <i/>
        <sz val="11"/>
        <color theme="1"/>
        <rFont val="Calibri"/>
        <family val="2"/>
        <scheme val="minor"/>
      </rPr>
      <t>Ratio of road distance to straight-line distance between two points at this tier</t>
    </r>
    <r>
      <rPr>
        <sz val="11"/>
        <color theme="1"/>
        <rFont val="Calibri"/>
        <family val="2"/>
        <scheme val="minor"/>
      </rPr>
      <t>)</t>
    </r>
  </si>
  <si>
    <t xml:space="preserve">5.4. Management/System Support </t>
  </si>
  <si>
    <t>3PL Operator (No Salary/Perdiem; included in 3PL rate)</t>
  </si>
  <si>
    <t>3PL Operator (no salary/Perdiem; included in 3PL rate)</t>
  </si>
  <si>
    <t>6. Tier-by-Tier Transportation Information</t>
  </si>
  <si>
    <t>5. Tier-by-Tier Network &amp; Storage Information</t>
  </si>
  <si>
    <t>5.2. Overall Network Information</t>
  </si>
  <si>
    <t>Transportation of Commodities - Mode 1</t>
  </si>
  <si>
    <t>Transportation of Commodities - Mode 2</t>
  </si>
  <si>
    <t>Transportation of Commodities - Mode 3</t>
  </si>
  <si>
    <t>Which data template to use for  baseline proxy data?</t>
  </si>
  <si>
    <t>5.1. Tier Names &amp; Data Sources</t>
  </si>
  <si>
    <t>5.3. Storage &amp; Warehousing of Commodities</t>
  </si>
  <si>
    <t>6.1. Transportation of commodities (for delivery or pickup)</t>
  </si>
  <si>
    <t>Transportation for Ordering - Mode 1</t>
  </si>
  <si>
    <t>Transportation for Ordering - Mode 2</t>
  </si>
  <si>
    <t>Transportation for Ordering - Mode 3</t>
  </si>
  <si>
    <t>Additional Transportation - Mode 1</t>
  </si>
  <si>
    <t>Additional Transportation - Mode 2</t>
  </si>
  <si>
    <t>Additional Transportation - Mode 3</t>
  </si>
  <si>
    <t>Additional Transportation  - Mode 1</t>
  </si>
  <si>
    <t>Additional Transportation  - Mode 2</t>
  </si>
  <si>
    <t>Additional Transportation  - Mode 3</t>
  </si>
  <si>
    <r>
      <rPr>
        <b/>
        <sz val="11"/>
        <rFont val="Calibri"/>
        <family val="2"/>
        <scheme val="minor"/>
      </rPr>
      <t>1.</t>
    </r>
    <r>
      <rPr>
        <sz val="11"/>
        <rFont val="Calibri"/>
        <family val="2"/>
        <scheme val="minor"/>
      </rPr>
      <t xml:space="preserve"> What percentage of facilities are covered by this mode</t>
    </r>
  </si>
  <si>
    <t>2. What type of vehicle is used for this mode?</t>
  </si>
  <si>
    <r>
      <rPr>
        <b/>
        <sz val="11"/>
        <rFont val="Calibri"/>
        <family val="2"/>
        <scheme val="minor"/>
      </rPr>
      <t>3.</t>
    </r>
    <r>
      <rPr>
        <sz val="11"/>
        <rFont val="Calibri"/>
        <family val="2"/>
        <scheme val="minor"/>
      </rPr>
      <t xml:space="preserve"> For this mode of transport, are vehicles owned directly, rented, or used by a 3rd Party Logistics Provider?</t>
    </r>
  </si>
  <si>
    <r>
      <rPr>
        <b/>
        <sz val="11"/>
        <rFont val="Calibri"/>
        <family val="2"/>
        <scheme val="minor"/>
      </rPr>
      <t>3a.</t>
    </r>
    <r>
      <rPr>
        <sz val="11"/>
        <rFont val="Calibri"/>
        <family val="2"/>
        <scheme val="minor"/>
      </rPr>
      <t xml:space="preserve"> If vehicles are rented or used by a 3PL, how is payment for the vehicles/services structured?</t>
    </r>
  </si>
  <si>
    <r>
      <rPr>
        <b/>
        <sz val="11"/>
        <rFont val="Calibri"/>
        <family val="2"/>
        <scheme val="minor"/>
      </rPr>
      <t>3b</t>
    </r>
    <r>
      <rPr>
        <sz val="11"/>
        <rFont val="Calibri"/>
        <family val="2"/>
        <scheme val="minor"/>
      </rPr>
      <t>. If vehicles are rented or used by a 3PL, what is the unit price for the above payment structure (e.g. $ per kg or $ per day)?</t>
    </r>
  </si>
  <si>
    <r>
      <rPr>
        <b/>
        <sz val="11"/>
        <rFont val="Calibri"/>
        <family val="2"/>
        <scheme val="minor"/>
      </rPr>
      <t xml:space="preserve">4. </t>
    </r>
    <r>
      <rPr>
        <sz val="11"/>
        <rFont val="Calibri"/>
        <family val="2"/>
        <scheme val="minor"/>
      </rPr>
      <t>How many vehicles are used for this mode?</t>
    </r>
  </si>
  <si>
    <r>
      <rPr>
        <b/>
        <sz val="11"/>
        <rFont val="Calibri"/>
        <family val="2"/>
        <scheme val="minor"/>
      </rPr>
      <t>1.</t>
    </r>
    <r>
      <rPr>
        <sz val="11"/>
        <rFont val="Calibri"/>
        <family val="2"/>
        <scheme val="minor"/>
      </rPr>
      <t xml:space="preserve"> What percentage of facilities are covered by this mode?</t>
    </r>
  </si>
  <si>
    <r>
      <rPr>
        <b/>
        <sz val="11"/>
        <rFont val="Calibri"/>
        <family val="2"/>
        <scheme val="minor"/>
      </rPr>
      <t xml:space="preserve">4. </t>
    </r>
    <r>
      <rPr>
        <sz val="11"/>
        <rFont val="Calibri"/>
        <family val="2"/>
        <scheme val="minor"/>
      </rPr>
      <t>How many vehicles of this type are used for this mode?</t>
    </r>
  </si>
  <si>
    <r>
      <rPr>
        <b/>
        <sz val="11"/>
        <rFont val="Calibri"/>
        <family val="2"/>
        <scheme val="minor"/>
      </rPr>
      <t>2</t>
    </r>
    <r>
      <rPr>
        <sz val="11"/>
        <rFont val="Calibri"/>
        <family val="2"/>
        <scheme val="minor"/>
      </rPr>
      <t>. What type of vehicle is used for this mode?</t>
    </r>
  </si>
  <si>
    <r>
      <rPr>
        <b/>
        <sz val="11"/>
        <rFont val="Calibri"/>
        <family val="2"/>
        <scheme val="minor"/>
      </rPr>
      <t>4a.</t>
    </r>
    <r>
      <rPr>
        <sz val="11"/>
        <rFont val="Calibri"/>
        <family val="2"/>
        <scheme val="minor"/>
      </rPr>
      <t xml:space="preserve"> Are the same vehicles being used for ordering and transportation of commodities?</t>
    </r>
  </si>
  <si>
    <t>District</t>
  </si>
  <si>
    <r>
      <t xml:space="preserve">6.2. Transportation for Ordering </t>
    </r>
    <r>
      <rPr>
        <i/>
        <sz val="14"/>
        <color theme="0"/>
        <rFont val="Calibri"/>
        <family val="2"/>
        <scheme val="minor"/>
      </rPr>
      <t>(</t>
    </r>
    <r>
      <rPr>
        <i/>
        <sz val="12"/>
        <color theme="0"/>
        <rFont val="Calibri"/>
        <family val="2"/>
        <scheme val="minor"/>
      </rPr>
      <t>if ordering occurs during a separate trip from Transportation of Commodities</t>
    </r>
    <r>
      <rPr>
        <i/>
        <sz val="14"/>
        <color theme="0"/>
        <rFont val="Calibri"/>
        <family val="2"/>
        <scheme val="minor"/>
      </rPr>
      <t>)</t>
    </r>
  </si>
  <si>
    <t>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</si>
  <si>
    <t>The user should enter an assumed number of working hours in a single work day, averaged across all relevant organizations included in this analysis.</t>
  </si>
  <si>
    <t>The user should enter an assumed number of working days in a calendar year, excluding weekends, holidays, vacation time, sick leave, etc., averaged across all relevant organizations included in this analysis.</t>
  </si>
  <si>
    <t xml:space="preserve">Enter a name for each tier, to be used in the headings of the sections below. </t>
  </si>
  <si>
    <t>Which tier from the above data template do you wish to use to populate each tier of this analysis?</t>
  </si>
  <si>
    <t>Number of facilities at each tier</t>
  </si>
  <si>
    <t>Average number of resupply shipments per year per product</t>
  </si>
  <si>
    <t>Average Distance (km) to nearest upstream facility (supplier)</t>
  </si>
  <si>
    <r>
      <t xml:space="preserve">Average Distance (km) between facilities at each tier </t>
    </r>
    <r>
      <rPr>
        <i/>
        <sz val="11"/>
        <color theme="1"/>
        <rFont val="Calibri"/>
        <family val="2"/>
        <scheme val="minor"/>
      </rPr>
      <t>(if only 1 facility, distance should be "0")</t>
    </r>
  </si>
  <si>
    <t>4. Vehicle Information</t>
  </si>
  <si>
    <r>
      <t xml:space="preserve">&lt;--- Click </t>
    </r>
    <r>
      <rPr>
        <b/>
        <sz val="11"/>
        <color theme="0" tint="-0.34998626667073579"/>
        <rFont val="Calibri"/>
        <family val="2"/>
        <scheme val="minor"/>
      </rPr>
      <t>[+]</t>
    </r>
    <r>
      <rPr>
        <i/>
        <sz val="11"/>
        <color theme="0" tint="-0.34998626667073579"/>
        <rFont val="Calibri"/>
        <family val="2"/>
        <scheme val="minor"/>
      </rPr>
      <t xml:space="preserve"> to expand Vehicle Information Section</t>
    </r>
  </si>
  <si>
    <r>
      <rPr>
        <b/>
        <sz val="11"/>
        <rFont val="Calibri"/>
        <family val="2"/>
        <scheme val="minor"/>
      </rPr>
      <t>12.</t>
    </r>
    <r>
      <rPr>
        <sz val="11"/>
        <rFont val="Calibri"/>
        <family val="2"/>
        <scheme val="minor"/>
      </rPr>
      <t xml:space="preserve"> Average vehicle speed between facilities at this tier (km/hr)</t>
    </r>
  </si>
  <si>
    <r>
      <rPr>
        <b/>
        <sz val="11"/>
        <rFont val="Calibri"/>
        <family val="2"/>
        <scheme val="minor"/>
      </rPr>
      <t xml:space="preserve">13.  </t>
    </r>
    <r>
      <rPr>
        <sz val="11"/>
        <rFont val="Calibri"/>
        <family val="2"/>
        <scheme val="minor"/>
      </rPr>
      <t>Average vehicle speed from a facility at this tier to its supplier (upstream) facility (km/hr)</t>
    </r>
  </si>
  <si>
    <t>12. Average vehicle speed between facilities at this tier (km/hr)</t>
  </si>
  <si>
    <t>13.  Average vehicle speed from a facility at this tier to its supplier (upstream) facility (km/hr)</t>
  </si>
  <si>
    <r>
      <t xml:space="preserve">&lt;--- Click </t>
    </r>
    <r>
      <rPr>
        <b/>
        <sz val="11"/>
        <color theme="0" tint="-0.34998626667073579"/>
        <rFont val="Calibri"/>
        <family val="2"/>
        <scheme val="minor"/>
      </rPr>
      <t>[+]</t>
    </r>
    <r>
      <rPr>
        <i/>
        <sz val="11"/>
        <color theme="0" tint="-0.34998626667073579"/>
        <rFont val="Calibri"/>
        <family val="2"/>
        <scheme val="minor"/>
      </rPr>
      <t xml:space="preserve"> to expand Tier Names &amp; Data Sources Section</t>
    </r>
  </si>
  <si>
    <r>
      <t xml:space="preserve">&lt;--- Click </t>
    </r>
    <r>
      <rPr>
        <b/>
        <sz val="11"/>
        <color theme="0" tint="-0.34998626667073579"/>
        <rFont val="Calibri"/>
        <family val="2"/>
        <scheme val="minor"/>
      </rPr>
      <t>[+]</t>
    </r>
    <r>
      <rPr>
        <i/>
        <sz val="11"/>
        <color theme="0" tint="-0.34998626667073579"/>
        <rFont val="Calibri"/>
        <family val="2"/>
        <scheme val="minor"/>
      </rPr>
      <t xml:space="preserve"> to expand Overall Network Information Section</t>
    </r>
  </si>
  <si>
    <r>
      <t xml:space="preserve">&lt;--- Click </t>
    </r>
    <r>
      <rPr>
        <b/>
        <sz val="11"/>
        <color theme="0" tint="-0.34998626667073579"/>
        <rFont val="Calibri"/>
        <family val="2"/>
        <scheme val="minor"/>
      </rPr>
      <t>[+]</t>
    </r>
    <r>
      <rPr>
        <i/>
        <sz val="11"/>
        <color theme="0" tint="-0.34998626667073579"/>
        <rFont val="Calibri"/>
        <family val="2"/>
        <scheme val="minor"/>
      </rPr>
      <t xml:space="preserve"> to expand Storage &amp; Warehousing of Commodities Section</t>
    </r>
  </si>
  <si>
    <t>H62</t>
  </si>
  <si>
    <t>K62</t>
  </si>
  <si>
    <t>N62</t>
  </si>
  <si>
    <t>Q62</t>
  </si>
  <si>
    <t>T62</t>
  </si>
  <si>
    <t>W62</t>
  </si>
  <si>
    <t>H69</t>
  </si>
  <si>
    <t>K69</t>
  </si>
  <si>
    <t>N69</t>
  </si>
  <si>
    <t>Q69</t>
  </si>
  <si>
    <t>T69</t>
  </si>
  <si>
    <t>W69</t>
  </si>
  <si>
    <t>H80</t>
  </si>
  <si>
    <t>K80</t>
  </si>
  <si>
    <t>N80</t>
  </si>
  <si>
    <t>Q80</t>
  </si>
  <si>
    <t>T80</t>
  </si>
  <si>
    <t>W80</t>
  </si>
  <si>
    <r>
      <rPr>
        <b/>
        <i/>
        <sz val="11"/>
        <rFont val="Calibri"/>
        <family val="2"/>
        <scheme val="minor"/>
      </rPr>
      <t xml:space="preserve">NOTES: </t>
    </r>
    <r>
      <rPr>
        <i/>
        <sz val="11"/>
        <rFont val="Calibri"/>
        <family val="2"/>
        <scheme val="minor"/>
      </rPr>
      <t>Space to document interpretations or changes to parameters or parameter values</t>
    </r>
  </si>
  <si>
    <t>Scroll over to Column Y to see or enter Notes for this section ----&gt;</t>
  </si>
  <si>
    <r>
      <t xml:space="preserve">Storage &amp; Transport Utilization Formatting Thresholds
 </t>
    </r>
    <r>
      <rPr>
        <i/>
        <sz val="11"/>
        <color theme="1"/>
        <rFont val="Calibri"/>
        <family val="2"/>
        <scheme val="minor"/>
      </rPr>
      <t>(From Scenario Manager)</t>
    </r>
  </si>
  <si>
    <t>Baseline_Inputs</t>
  </si>
  <si>
    <t>CMS</t>
  </si>
  <si>
    <t>Total Demand Volume (m^3) per year - Cold Chain products (optional)</t>
  </si>
  <si>
    <t>operating costs from costing study divided by ambient + cold m3</t>
  </si>
  <si>
    <t>most BCZS have 1 TCW 3000</t>
  </si>
  <si>
    <t>didn't collect this data, based on Nora's best guesses</t>
  </si>
  <si>
    <t>Looked at largest demand for each level, know that a person can process in 1 day</t>
  </si>
  <si>
    <t>7. What is the typical profession of the primary vehicle operator?</t>
  </si>
  <si>
    <t>14. COLD CHAIN:  Is this mode of transit used exclusively for cold chain products (e.g. refrigerated truck)?</t>
  </si>
  <si>
    <t>Point-to-Point</t>
  </si>
  <si>
    <t>Assuming that each facility that uses this mode has access to the mode</t>
  </si>
  <si>
    <t>Need drop-down for this field</t>
  </si>
  <si>
    <t>Source: Distribution detail by scenario_Interlocation details</t>
  </si>
  <si>
    <t>Weighted average of wastage rates for each antigen, weighted by the number of doses/child. System average wastage rate = 14%. Guess for dividing wastage across levels</t>
  </si>
  <si>
    <t>source: Wikipedia</t>
  </si>
  <si>
    <t>Health Clinic</t>
  </si>
  <si>
    <t>Province</t>
  </si>
  <si>
    <t>Vaccination sites</t>
  </si>
  <si>
    <t>HC</t>
  </si>
  <si>
    <t>Zone</t>
  </si>
  <si>
    <t>7 yr lifespan</t>
  </si>
  <si>
    <t>From PEV Antenne baseline survey, costing study</t>
  </si>
  <si>
    <t>Motorized canoe</t>
  </si>
  <si>
    <t>m3</t>
  </si>
  <si>
    <t>cm3</t>
  </si>
  <si>
    <t>4 yr lifespan</t>
  </si>
  <si>
    <t>Canoe/Pirogue/Bike</t>
  </si>
  <si>
    <t>District/zone manager</t>
  </si>
  <si>
    <t>Extrapolated from costing data, which uses a higher throughput than we used for modelling. See scratch worksheet</t>
  </si>
  <si>
    <t>9 vaccines, 3 diluents, 5 consumables</t>
  </si>
  <si>
    <t>vaccines + diluents (in reality, diluents are stored in CC only at SDP, but I included them in CC products to show max possible CC utilization)</t>
  </si>
  <si>
    <t>cmyp</t>
  </si>
  <si>
    <t>From costing data, life for 4x4</t>
  </si>
  <si>
    <t>Average of diesel (2.5) and petrol (2)</t>
  </si>
  <si>
    <t>All costs collected in USD, exchange for CDF at the time of data collection was 1182 for reference</t>
  </si>
  <si>
    <r>
      <rPr>
        <b/>
        <sz val="11"/>
        <rFont val="Calibri"/>
        <family val="2"/>
        <scheme val="minor"/>
      </rPr>
      <t>Demographic Template Country Info</t>
    </r>
    <r>
      <rPr>
        <sz val="11"/>
        <rFont val="Calibri"/>
        <family val="2"/>
        <scheme val="minor"/>
      </rPr>
      <t xml:space="preserve">
-- </t>
    </r>
  </si>
  <si>
    <t>unknown, inc in 3PL per km cost below</t>
  </si>
  <si>
    <t>changed 12/01/18 - from land cruiser specs online</t>
  </si>
  <si>
    <t>Row 106 and 107 are basically for notes only, but I changed these to align with Number of Destination Facilities</t>
  </si>
  <si>
    <t>Switched to percentages…INPUTS was reading 10000%</t>
  </si>
  <si>
    <t>Switched to percentages…INPUTS was reading 200/400/800%</t>
  </si>
  <si>
    <t>Originally read "18, 184, #" but I think this is what should be here based on our call.  Can't leave # facilities blank</t>
  </si>
  <si>
    <t>3PL</t>
  </si>
  <si>
    <t>Switched to percentage values</t>
  </si>
  <si>
    <t>Can be 0 or blank, but apparently can't be "#"</t>
  </si>
  <si>
    <t>forcing overnight stay for dwell time</t>
  </si>
  <si>
    <t>Can be 0 or blank, but apparently can't be "#". ALSO are these owned entirely by the vaccines program? If not, you can indicate an X% external ownership in the line above. IN that case the vaccines SC would only be responsible for (1-X%) of the cost, and only have access to (1-X%) of the available capacity</t>
  </si>
  <si>
    <t>Might want to make this less than 1 at least for facility staff, maybe for district too. Model is currently paying for 1 FTE per facility</t>
  </si>
  <si>
    <t>Storage Sites</t>
  </si>
  <si>
    <t>3. For this mode of transport, are vehicles owned directly, rented, or used by a 3rd Party Logistics Provider?</t>
  </si>
  <si>
    <t>3a. If vehicles are rented or used by a 3PL, how is payment for the vehicles/services structured?</t>
  </si>
  <si>
    <t>3b. If vehicles are rented or used by a 3PL, what is the unit price for the above payment structure (e.g. $ per kg or $ per day)?</t>
  </si>
  <si>
    <t>5. Percentage of total transport costs shared with an external organization or program</t>
  </si>
  <si>
    <t>1. What percentage of facilities are covered by this mode</t>
  </si>
  <si>
    <t>4a. Are the same vehicles being used for ordering and transportation of commodities?</t>
  </si>
  <si>
    <t>1. What percentage of facilities are covered by this mode?</t>
  </si>
  <si>
    <t>4. How many vehicles of this type are used for this mode?</t>
  </si>
  <si>
    <r>
      <t xml:space="preserve">6.3. Additional Travel </t>
    </r>
    <r>
      <rPr>
        <i/>
        <sz val="14"/>
        <color theme="0"/>
        <rFont val="Calibri"/>
        <family val="2"/>
        <scheme val="minor"/>
      </rPr>
      <t>(If separate from delivery and/or ordering)</t>
    </r>
  </si>
  <si>
    <r>
      <rPr>
        <b/>
        <sz val="11"/>
        <rFont val="Calibri"/>
        <family val="2"/>
        <scheme val="minor"/>
      </rPr>
      <t>13</t>
    </r>
    <r>
      <rPr>
        <sz val="11"/>
        <rFont val="Calibri"/>
        <family val="2"/>
        <scheme val="minor"/>
      </rPr>
      <t>.  Average vehicle speed from a facility at this tier to its supplier (upstream) facility (km/hr)</t>
    </r>
  </si>
  <si>
    <r>
      <rPr>
        <b/>
        <sz val="11"/>
        <rFont val="Calibri"/>
        <family val="2"/>
        <scheme val="minor"/>
      </rPr>
      <t>12</t>
    </r>
    <r>
      <rPr>
        <sz val="11"/>
        <rFont val="Calibri"/>
        <family val="2"/>
        <scheme val="minor"/>
      </rPr>
      <t>. Average vehicle speed between facilities at this tier (km/hr)</t>
    </r>
  </si>
  <si>
    <t>moto taxi cost/km*avg distance hc-district, inc distance to vaccination sites; cost per KM includes vehicle rental cost, cost of fuel/oil, driver fees, maintenance, port taxes and travel documents</t>
  </si>
  <si>
    <t>Last Mile</t>
  </si>
  <si>
    <t>Avila Mission</t>
  </si>
  <si>
    <t>Nyanga</t>
  </si>
  <si>
    <t>Ruchera</t>
  </si>
  <si>
    <t>Bingaguru</t>
  </si>
  <si>
    <t>Sherukuru</t>
  </si>
  <si>
    <t>Mutasa</t>
  </si>
  <si>
    <t>Old Mutare Mission</t>
  </si>
  <si>
    <t>Rupinda</t>
  </si>
  <si>
    <t>Nyahowe</t>
  </si>
  <si>
    <t>Makoni</t>
  </si>
  <si>
    <t>Chiduku</t>
  </si>
  <si>
    <t>Matotwe</t>
  </si>
  <si>
    <t>Mutema</t>
  </si>
  <si>
    <t>Chipinge</t>
  </si>
  <si>
    <t>Rimbi</t>
  </si>
  <si>
    <t>Mutandahwe</t>
  </si>
  <si>
    <t>Mutambara</t>
  </si>
  <si>
    <t>Chimanimani</t>
  </si>
  <si>
    <t>Nyanyadzi</t>
  </si>
  <si>
    <t>Rusitu Mission</t>
  </si>
  <si>
    <t>Munyanyi</t>
  </si>
  <si>
    <t>Buhera</t>
  </si>
  <si>
    <t>Chapanduka</t>
  </si>
  <si>
    <t>Nyashanu</t>
  </si>
  <si>
    <t>Tier2-Tier3</t>
  </si>
  <si>
    <t>Mutare</t>
  </si>
  <si>
    <t>Tier2-3</t>
  </si>
  <si>
    <t>Tier 1-Tier2</t>
  </si>
  <si>
    <t>Harare</t>
  </si>
  <si>
    <t>Tier1-2</t>
  </si>
  <si>
    <t>Circuity</t>
  </si>
  <si>
    <t>Category</t>
  </si>
  <si>
    <t>Straightline KM</t>
  </si>
  <si>
    <t>Road KM</t>
  </si>
  <si>
    <t>Destination</t>
  </si>
  <si>
    <t>Start</t>
  </si>
  <si>
    <t>Avg Circuity</t>
  </si>
  <si>
    <t>Straightline km</t>
  </si>
  <si>
    <t>Road km</t>
  </si>
  <si>
    <t>SC Level</t>
  </si>
  <si>
    <t>Manicaland, Zimbabwe</t>
  </si>
  <si>
    <t>Chifwenge</t>
  </si>
  <si>
    <t>Chilubi</t>
  </si>
  <si>
    <t>Mubili</t>
  </si>
  <si>
    <t>Makasa</t>
  </si>
  <si>
    <t>Mungwi</t>
  </si>
  <si>
    <t>Chimba</t>
  </si>
  <si>
    <t>Mulekatembo</t>
  </si>
  <si>
    <t>Mafinga</t>
  </si>
  <si>
    <t>Mweniwisi</t>
  </si>
  <si>
    <t>Nsombo</t>
  </si>
  <si>
    <t>Luwingu</t>
  </si>
  <si>
    <t>Lufubu</t>
  </si>
  <si>
    <t>Nawaitwika</t>
  </si>
  <si>
    <t>Nakonde</t>
  </si>
  <si>
    <t>Mwenechaka</t>
  </si>
  <si>
    <t>Kampumbu</t>
  </si>
  <si>
    <t>Isoka</t>
  </si>
  <si>
    <t>Kafwimbi</t>
  </si>
  <si>
    <t>Lukaka</t>
  </si>
  <si>
    <t>Chinsali</t>
  </si>
  <si>
    <t>Shiwang'andu</t>
  </si>
  <si>
    <t>Nabwalya</t>
  </si>
  <si>
    <t>Mpika</t>
  </si>
  <si>
    <t>Mpepo</t>
  </si>
  <si>
    <t>Chitimbwa</t>
  </si>
  <si>
    <t>Mpulungu</t>
  </si>
  <si>
    <t>Chinakila</t>
  </si>
  <si>
    <t>Senga</t>
  </si>
  <si>
    <t>Mbala</t>
  </si>
  <si>
    <t>Mpande</t>
  </si>
  <si>
    <t>Kampinda</t>
  </si>
  <si>
    <t>Kaputa</t>
  </si>
  <si>
    <t>Nsumbu</t>
  </si>
  <si>
    <t>Kapatu Mission</t>
  </si>
  <si>
    <t>Mporokoso</t>
  </si>
  <si>
    <t>Mukupa Kaoma</t>
  </si>
  <si>
    <t>Mukabala</t>
  </si>
  <si>
    <t>Kasama</t>
  </si>
  <si>
    <t>Chiombo</t>
  </si>
  <si>
    <t>Tier 2-3</t>
  </si>
  <si>
    <t>Tier 1-2</t>
  </si>
  <si>
    <t>Tier1-Tier2</t>
  </si>
  <si>
    <t>Lusaka</t>
  </si>
  <si>
    <t>Northern Province, Zambia (reference)</t>
  </si>
  <si>
    <t>Storage Capacity (m^3)</t>
  </si>
  <si>
    <t>Passive cold storage devices for transport activities</t>
  </si>
  <si>
    <t>Average number of passive cold storage containers per facility used for vaccine transportation</t>
  </si>
  <si>
    <t>Average capacity (m^3) per passive storage container</t>
  </si>
  <si>
    <t>Average purchase price per passive storage container</t>
  </si>
  <si>
    <t>If applicable, average annual operating cost per passive storage container</t>
  </si>
  <si>
    <t>Are passive storage containers used to collect product from upstream facilities or distribute product to downstream facilities?</t>
  </si>
  <si>
    <t>Total Kilometers Traveled per year by owned, rented, or contracted vehicles (excludes public transport)</t>
  </si>
  <si>
    <t>T</t>
  </si>
  <si>
    <t>W</t>
  </si>
  <si>
    <t>Vaccine Type</t>
  </si>
  <si>
    <t>Yes</t>
  </si>
  <si>
    <t>BCG</t>
  </si>
  <si>
    <t>Varicella</t>
  </si>
  <si>
    <t>Yellow Fever</t>
  </si>
  <si>
    <t>Total value of commodities procured</t>
  </si>
  <si>
    <r>
      <rPr>
        <b/>
        <sz val="11"/>
        <rFont val="Calibri"/>
        <family val="2"/>
        <scheme val="minor"/>
      </rPr>
      <t>7.</t>
    </r>
    <r>
      <rPr>
        <sz val="11"/>
        <rFont val="Calibri"/>
        <family val="2"/>
        <scheme val="minor"/>
      </rPr>
      <t xml:space="preserve"> What is the typical profession of the primary vehicle operator (or primary public transport traveler)?</t>
    </r>
  </si>
  <si>
    <t>Point-to-Point Travel - Public Transport</t>
  </si>
  <si>
    <t xml:space="preserve">Point-to-Point Travel - Public Transport </t>
  </si>
  <si>
    <t>Tier 1 --&gt; 2</t>
  </si>
  <si>
    <t>Tier 2 --&gt; 3</t>
  </si>
  <si>
    <t>Tier 3 --&gt; 4</t>
  </si>
  <si>
    <t>Tier 4 --&gt; 5</t>
  </si>
  <si>
    <t>Tier 5 --&gt; 6</t>
  </si>
  <si>
    <t>Vaccine Information</t>
  </si>
  <si>
    <t>Vaccine product</t>
  </si>
  <si>
    <t>Vaccine initials</t>
  </si>
  <si>
    <t>Vaccine formulation</t>
  </si>
  <si>
    <t>Admin route</t>
  </si>
  <si>
    <t>Manufacturer's ID or trade name</t>
  </si>
  <si>
    <t>Vaccine presentation and packaging description</t>
  </si>
  <si>
    <t>Diluents</t>
  </si>
  <si>
    <t>Doses/vial or device</t>
  </si>
  <si>
    <t>Vaccine cm³/dose</t>
  </si>
  <si>
    <t>Diluents/ dropper cm³/dose</t>
  </si>
  <si>
    <t>VVM type (N if none)</t>
  </si>
  <si>
    <t>MDVP status</t>
  </si>
  <si>
    <t>Manufacturer or source of data</t>
  </si>
  <si>
    <t>Qualification date (WHO, NRA)</t>
  </si>
  <si>
    <t>Data source notes</t>
  </si>
  <si>
    <t>BCG vaccine</t>
  </si>
  <si>
    <t>freeze-dried</t>
  </si>
  <si>
    <t>ID</t>
  </si>
  <si>
    <t>Dried BCG</t>
  </si>
  <si>
    <t>boxes of 100 vials of 20-doses of vaccine + diluents</t>
  </si>
  <si>
    <t>w/o diluents</t>
  </si>
  <si>
    <t>20*</t>
  </si>
  <si>
    <t>VVM-30</t>
  </si>
  <si>
    <t>Japan BCG Laboratory</t>
  </si>
  <si>
    <t>BCG Vacc</t>
  </si>
  <si>
    <t>boxes of 20 vials of 10-doses of vaccine + diluents</t>
  </si>
  <si>
    <t>BB-NCIPD Ltd.</t>
  </si>
  <si>
    <t>IVB/PQ_74_BCG_10_dose</t>
  </si>
  <si>
    <t>boxes of 20 vials of 20-doses of vaccine + diluents</t>
  </si>
  <si>
    <t>IVB/PQ_75_BCG_20_dose</t>
  </si>
  <si>
    <t>BCG Vaccine</t>
  </si>
  <si>
    <t>boxes of 50 vials of 20-doses of vaccine + diluents</t>
  </si>
  <si>
    <t>Serum Institute of India Ltd, India</t>
  </si>
  <si>
    <t>IVB/PQ_118_bcg</t>
  </si>
  <si>
    <t>BCG Vaccine SSI</t>
  </si>
  <si>
    <t>boxes of 50 vials of 10-doses of vaccine + diluents</t>
  </si>
  <si>
    <t>VVM-14</t>
  </si>
  <si>
    <t>Statens Serum Institut</t>
  </si>
  <si>
    <t>IVB/PQ_165_bcg</t>
  </si>
  <si>
    <t>Cholera vaccine</t>
  </si>
  <si>
    <t>OCV</t>
  </si>
  <si>
    <t>liquid</t>
  </si>
  <si>
    <t>Oral</t>
  </si>
  <si>
    <t>Dukoral</t>
  </si>
  <si>
    <t>pack of 1 dose of vaccine + buffer</t>
  </si>
  <si>
    <t>with buffer</t>
  </si>
  <si>
    <t>1*</t>
  </si>
  <si>
    <t>None</t>
  </si>
  <si>
    <t>Crucell SBL Vaccin AB</t>
  </si>
  <si>
    <t>IVB/PQ_117_cholera</t>
  </si>
  <si>
    <t>pack of 2 dose of vaccine + buffer</t>
  </si>
  <si>
    <t>pack of 20 doses of vaccine + buffer</t>
  </si>
  <si>
    <t>pack of 170 doses of vaccine + buffer</t>
  </si>
  <si>
    <t>Shanchol</t>
  </si>
  <si>
    <t>carton of 35 single-dose vials</t>
  </si>
  <si>
    <t>Shantha Biotechnics  Private Ltd.</t>
  </si>
  <si>
    <t>http://www.who.int/immunization_standards/vaccine_quality/pq_250_cholera_1dose_shantha/en/index.html</t>
  </si>
  <si>
    <t>DT vaccine</t>
  </si>
  <si>
    <t>DT</t>
  </si>
  <si>
    <t>IM</t>
  </si>
  <si>
    <t>pack of 25 vials</t>
  </si>
  <si>
    <t>http://www.who.int/immunization_standards/vaccine_quality/pq_121_diptet_20dose_sii/en/index.html</t>
  </si>
  <si>
    <t>pack of 50 vials</t>
  </si>
  <si>
    <t>http://www.who.int/immunization_standards/vaccine_quality/pq_120_diptet_10dose_sii/en/index.html</t>
  </si>
  <si>
    <t>pack of 50 ampoules</t>
  </si>
  <si>
    <t>http://www.who.int/immunization_standards/vaccine_quality/pq_119_diptet_1dose_sii/en/index.html</t>
  </si>
  <si>
    <t>Sanofi pasteur</t>
  </si>
  <si>
    <t>http://www.who.int/immunization_standards/vaccine_quality/PQ_92_DT_20_dose_vial_Sanofi_Pasteur/en/index.html</t>
  </si>
  <si>
    <t>pack of 10 vials</t>
  </si>
  <si>
    <t>http://www.who.int/immunization_standards/vaccine_quality/PQ_91_DT_10_dose_vial_Sanofi_Pasteur/en/index.html</t>
  </si>
  <si>
    <t>Adsorbed DT vaccine</t>
  </si>
  <si>
    <t>Bio Farma</t>
  </si>
  <si>
    <t>http://www.who.int/immunization_standards/vaccine_quality/08_diptet/en/index.html</t>
  </si>
  <si>
    <t>Diftet</t>
  </si>
  <si>
    <t>http://www.who.int/immunization_standards/vaccine_quality/78_diptet/en/index.html</t>
  </si>
  <si>
    <t>http://www.who.int/immunization_standards/vaccine_quality/79_diptet/en/index.html</t>
  </si>
  <si>
    <t>DTP vaccine (whole cell)</t>
  </si>
  <si>
    <t>DTP</t>
  </si>
  <si>
    <t>http://www.who.int/immunization_standards/vaccine_quality/pq_127_dtp_20dose_sii/en/index.html</t>
  </si>
  <si>
    <t>http://www.who.int/immunization_standards/vaccine_quality/pq_126_dtp_10dose_sii/en/index.html</t>
  </si>
  <si>
    <t>http://www.who.int/immunization_standards/vaccine_quality/pq_125_dtp_1dose_sii/en/index.html</t>
  </si>
  <si>
    <t>D.T. COQ/D.T.P</t>
  </si>
  <si>
    <t>http://www.who.int/immunization_standards/vaccine_quality/PQ_96_dtp_20_dose_sanofi_pasteur/en/index.html</t>
  </si>
  <si>
    <t>http://www.who.int/immunization_standards/vaccine_quality/PQ_95_dtp_10_dose_vial_sanofi_pasteur/en/</t>
  </si>
  <si>
    <t>pack of 20 ampoules</t>
  </si>
  <si>
    <t>http://www.who.int/immunization_standards/vaccine_quality/PQ_94_dtp_1_dose_sanofi_pasteur/en/index.html</t>
  </si>
  <si>
    <t>http://www.who.int/immunization_standards/vaccine_quality/09_dtp/en/index.html</t>
  </si>
  <si>
    <t>DTP vaccine (acellular)</t>
  </si>
  <si>
    <t>DTaP</t>
  </si>
  <si>
    <t>Boostrix™</t>
  </si>
  <si>
    <t>pack of 100 vials</t>
  </si>
  <si>
    <t>GlaxoSmithKline</t>
  </si>
  <si>
    <t>http://www.who.int/immunization_standards/vaccine_quality/pq_265_dTaP_1dose_gsk/en/index.html</t>
  </si>
  <si>
    <t>DT-IPV combined</t>
  </si>
  <si>
    <t>DT-IPV</t>
  </si>
  <si>
    <t>REVAXIS®</t>
  </si>
  <si>
    <t>pack of 10 single-dose vials</t>
  </si>
  <si>
    <t>Prefilled syringe</t>
  </si>
  <si>
    <t>PFS</t>
  </si>
  <si>
    <t>HUG (Médecine Tropicale et des Voyages)</t>
  </si>
  <si>
    <t>DTP+HepB + AD syringe (2 separate vials, but packed together)</t>
  </si>
  <si>
    <t>DTP+HepB</t>
  </si>
  <si>
    <t>2 vials + syringe</t>
  </si>
  <si>
    <t>with syringe</t>
  </si>
  <si>
    <t xml:space="preserve">Green Cross Vaccines Cooperation </t>
  </si>
  <si>
    <t>DTP+HepB (2 separate vials, but packed together)</t>
  </si>
  <si>
    <t>2 vials</t>
  </si>
  <si>
    <t>DTPw+Hib combined freeze dried + AD syringe</t>
  </si>
  <si>
    <t>DTP+Hib</t>
  </si>
  <si>
    <t>liquid+freeze-dried</t>
  </si>
  <si>
    <t>2 vials (Hib tb reconstituted with DTP) + syringe</t>
  </si>
  <si>
    <t>AD syringe</t>
  </si>
  <si>
    <t>Aventis Pasteur</t>
  </si>
  <si>
    <t>DTPw+Hib combined freeze dried</t>
  </si>
  <si>
    <t>box of 1 vial (Hiv) + 1 ampoule (DTP)</t>
  </si>
  <si>
    <t>VVM-7</t>
  </si>
  <si>
    <t>http://www.who.int/immunization_standards/vaccine_quality/pq_217_dtpwhib_1dose_sii/en/index.html</t>
  </si>
  <si>
    <t>Liquid + Lyophilized</t>
  </si>
  <si>
    <t>TETRAct-HIB</t>
  </si>
  <si>
    <t>box of 1 vial of 10 dose + 1 ampoule of diluents</t>
  </si>
  <si>
    <t>Sanofi Pasteur</t>
  </si>
  <si>
    <t>http://www.who.int/immunization_standards/vaccine_quality/PQ_97_dtphib_10_dose_sanofi_pasteur/en/</t>
  </si>
  <si>
    <t>box of 10 single-dose vials (Hib) + 10 ampoules (DTP)</t>
  </si>
  <si>
    <t>http://www.who.int/immunization_standards/vaccine_quality/PQ_98_dtphib_1_dose_sanofi_pasteur/en/index.html</t>
  </si>
  <si>
    <t>DTPa-HepB combined in syringe</t>
  </si>
  <si>
    <t>DTP-HepB</t>
  </si>
  <si>
    <t>1 vial + syringe</t>
  </si>
  <si>
    <t xml:space="preserve">Diphtheria-Tetanus-Pertussis (whole cell)-Hepatitis B
(5ug)
</t>
  </si>
  <si>
    <t>Liquid</t>
  </si>
  <si>
    <t>DTP - Hep B 5</t>
  </si>
  <si>
    <t>box of 10 vials of 5-dose</t>
  </si>
  <si>
    <t>http://www.who.int/immunization_standards/vaccine_quality/11_dtphep/en/index.html</t>
  </si>
  <si>
    <t>DTP - Hep B 10</t>
  </si>
  <si>
    <t>box of 10 vials of 10-dose</t>
  </si>
  <si>
    <t>http://www.who.int/immunization_standards/vaccine_quality/12_dtphep/en/index.html</t>
  </si>
  <si>
    <t>Diphtheria-Tetanus-Pertussis (whole cell)-Hepatitis B</t>
  </si>
  <si>
    <t>Tritanrix Hb</t>
  </si>
  <si>
    <t>Not specified!</t>
  </si>
  <si>
    <t>April ,1998</t>
  </si>
  <si>
    <t>IVB/PQ_53_dtphteta</t>
  </si>
  <si>
    <t>2*</t>
  </si>
  <si>
    <t>IVB/PQ_54_dtphteta</t>
  </si>
  <si>
    <t>10*</t>
  </si>
  <si>
    <t>IVB/PQ_55_dtphteta</t>
  </si>
  <si>
    <t>box of 50 single-dose vials</t>
  </si>
  <si>
    <t>http://www.who.int/immunization_standards/vaccine_quality/pq_128_dtphep_1dose_sii/en/index.html</t>
  </si>
  <si>
    <t>box of 50 vials of 10 doses</t>
  </si>
  <si>
    <t>http://www.who.int/immunization_standards/vaccine_quality/pq_129_dtphep_10dose_sii/en/index.html</t>
  </si>
  <si>
    <t>box of 25 vials of 20 doses</t>
  </si>
  <si>
    <t>http://www.who.int/immunization_standards/vaccine_quality/pq_130_dtphepb_20dose_sii/en/index.html</t>
  </si>
  <si>
    <t>Diphtheria-Tetanus-Pertussis (whole cell)-Hepatitis B-Haemophilus influenzae type b</t>
  </si>
  <si>
    <t>Tritanrix HB+Hib</t>
  </si>
  <si>
    <t>pack of 50 vials of tetra + 50 vials of Hib clipped together)</t>
  </si>
  <si>
    <t>http://www.who.int/immunization_standards/vaccine_quality/PQ_56_penta_GSK_1_dose/en/</t>
  </si>
  <si>
    <t>Tritanrix-Hib</t>
  </si>
  <si>
    <t>http://www.who.int/immunization_standards/vaccine_quality/PQ_57_Penta_GSK_2_dose/en/</t>
  </si>
  <si>
    <t>carton of 144 vials of Hib + 144 vials of DTP-HepB</t>
  </si>
  <si>
    <t>Biological E Limited</t>
  </si>
  <si>
    <t>http://www.who.int/immunization_standards/vaccine_quality/pq_249_dtp_hepb_hib_10dose_biologicale/en/index.html</t>
  </si>
  <si>
    <t>carton of 216 vials of Hib + 216 vials of DTP-HepB</t>
  </si>
  <si>
    <t>http://www.who.int/immunization_standards/vaccine_quality/pq_248_dtp_hepb_hib_1dose_biologicale/en/index.html</t>
  </si>
  <si>
    <t>carton of 150 vials of Hib + 150 vials of DTP-HepB</t>
  </si>
  <si>
    <t>http://www.who.int/immunization_standards/vaccine_quality/pq_205_dtp_hepb_hib_10dose_sii/en/index.html</t>
  </si>
  <si>
    <t>carton of 200 vials of Hib + 200 ampoules of DTP-HepB</t>
  </si>
  <si>
    <t>http://www.who.int/immunization_standards/vaccine_quality/pq_204_dtp_hepb_hib_2dose_sii/en/index.html</t>
  </si>
  <si>
    <t>http://www.who.int/immunization_standards/vaccine_quality/pq_195_dtp_hepb_hib_1dose_sii/en/index.html</t>
  </si>
  <si>
    <t xml:space="preserve">Diphtheria-Tetanus-Pertussis (whole cell)-Hepatitis B-Haemophilus influenzae type b </t>
  </si>
  <si>
    <t>DTP-HepB-Hib</t>
  </si>
  <si>
    <t>Quinvaxem</t>
  </si>
  <si>
    <t>Crucell Korea</t>
  </si>
  <si>
    <t>IVB/PQ_07_dtphephib</t>
  </si>
  <si>
    <t>tray of 20 single-dose cPADs</t>
  </si>
  <si>
    <t>Uniject</t>
  </si>
  <si>
    <t>Berna Biotech Korea Corp. (Crucell Company)</t>
  </si>
  <si>
    <t>http://www.who.int/immunization_standards/vaccine_quality/pq_283_dtphepbhib_1dose_uniject_Crucell_Korea/en/</t>
  </si>
  <si>
    <t>carton of 12 trays of 240 single-dose cPADs</t>
  </si>
  <si>
    <t>Zilbrix-Hib</t>
  </si>
  <si>
    <t>Easy Five</t>
  </si>
  <si>
    <t>Panacea Biotec</t>
  </si>
  <si>
    <t>IVB/PQ_88_dtphephib</t>
  </si>
  <si>
    <t>IVB/PQ_224_dtphephib</t>
  </si>
  <si>
    <t>IVB/PQ_225_dtphephib</t>
  </si>
  <si>
    <t>IVB/PQ_226_dtphephib</t>
  </si>
  <si>
    <t>DTPw-Hib combined liquid</t>
  </si>
  <si>
    <t>DTP-Hib</t>
  </si>
  <si>
    <t>Chiron</t>
  </si>
  <si>
    <t>DTP-Hib combined liquid</t>
  </si>
  <si>
    <t>Diphtheria-Tetanus-Pertussis (whole cell)-Haemophilus influenzae type b</t>
  </si>
  <si>
    <t>Quattvaxem</t>
  </si>
  <si>
    <t>box of 10 single-dose vials</t>
  </si>
  <si>
    <t>Novartis Vaccines and Diagnostics S.r.l (formerly Chiron Vaccines)</t>
  </si>
  <si>
    <t>box of 10 vials of 10 doses</t>
  </si>
  <si>
    <t>http://www.who.int/immunization_standards/vaccine_quality/PQ_38_DTPHib_Novartis_10_dose/en/</t>
  </si>
  <si>
    <t>Easy Four</t>
  </si>
  <si>
    <t>box of 50 vials of 1-dose</t>
  </si>
  <si>
    <t>http://www.who.int/immunization_standards/vaccine_quality/86_dtphib/en/index.html</t>
  </si>
  <si>
    <t>DaTP-HepB-Hib-IPV</t>
  </si>
  <si>
    <t>Hexaxim</t>
  </si>
  <si>
    <t>carton of 10 vials</t>
  </si>
  <si>
    <t>http://www.who.int/immunization_standards/vaccine_quality/pq_284_hexaxim_SP_1dose_vial/en/</t>
  </si>
  <si>
    <t>DaTP-IPV+Hib</t>
  </si>
  <si>
    <t>DTP-IPV+Hib</t>
  </si>
  <si>
    <t>PENTAXAM</t>
  </si>
  <si>
    <t>pack of 1 prefilled syringe</t>
  </si>
  <si>
    <t>Discussions with Lansley (SOA), Log Workshop Mombassa, Oct 08</t>
  </si>
  <si>
    <t>Influenza A vaccine</t>
  </si>
  <si>
    <t>H1N1</t>
  </si>
  <si>
    <t>Panenza</t>
  </si>
  <si>
    <t>‘Box of 10 vials (100 doses). Outer box of 20 boxes (2000 doses) - Dimensions: 220 x 246 x 113 mm. Parcel of 6 outer boxes (12,000 doses) - Dimensions: 700 x 605 x 595 mm. Pallet of 12 parcels (144,000 doses) - Dimensions: 1215(L) x 1200 (W) x 2220 (H) mm.</t>
  </si>
  <si>
    <t>IVB/PQ_214_h1n1</t>
  </si>
  <si>
    <t>Influenza A (H1N1)</t>
  </si>
  <si>
    <t>Carton of 1 vial</t>
  </si>
  <si>
    <t>IVB/PQ_214_h1n1 (for USA)</t>
  </si>
  <si>
    <t>Carton of 10 vials</t>
  </si>
  <si>
    <t>IVB/PQ_215_h1n1 (for USA)</t>
  </si>
  <si>
    <t>liquid+liquid</t>
  </si>
  <si>
    <t xml:space="preserve">Box "Antigen" composed of 10 vials of 10 doses of antigen, Box "Adjuvant" composed of 10 vials of 10 doses of adjuvant. One box "Antigen" and one box "Adjuvant" grouped in an outer box composed of a total of 20 vials of antigen and adjuvant (100 doses once reconstituted) - Dimensions: 220 x 246 x 113 mm </t>
  </si>
  <si>
    <t>IVB/PQ_219_h1n1</t>
  </si>
  <si>
    <t>FLUVAL (P)</t>
  </si>
  <si>
    <t>20 vials per box</t>
  </si>
  <si>
    <t>Hungary</t>
  </si>
  <si>
    <t>Communication with Team from Hungary during EURO Pandemic workshop (Aug 09)</t>
  </si>
  <si>
    <t>CELVAPAN</t>
  </si>
  <si>
    <t>box of 20 vials of 10 doses, Shipping carton of 20 boxes</t>
  </si>
  <si>
    <t>Baxter</t>
  </si>
  <si>
    <t>Communication with Team from Austria during EURO Pandemic workshop, Aug 09 (Dr Heimo Wallenko)</t>
  </si>
  <si>
    <t>Pandemrix</t>
  </si>
  <si>
    <t>carton containing 1 box of 50 vials of 10 doses plus 2 boxes of 25 vials of adjuvant each</t>
  </si>
  <si>
    <t>with adjuvant</t>
  </si>
  <si>
    <t>IVB/PQ_h1n1_gsk_ger</t>
  </si>
  <si>
    <t>Panvax</t>
  </si>
  <si>
    <t>Secondary box of 10 vials of 10 doses, dimensions are: 111mm width x 54mm length x 56mm height. Total weight incl of label insert and leaflets = 190g average</t>
  </si>
  <si>
    <t>CSL Limited</t>
  </si>
  <si>
    <t>IVB/PQ_206_h1n1</t>
  </si>
  <si>
    <t>Focetria</t>
  </si>
  <si>
    <t>Carton contains 1 box of 10 vials of 10 doses (107 mm length X 47 mm wide X 49 mm width). Total weight is about 190 gram</t>
  </si>
  <si>
    <t>IVB/PQ_212_h1n1</t>
  </si>
  <si>
    <t>Fluvirin-H1N1</t>
  </si>
  <si>
    <t>Carton holding 1 vial (glass); brick holding 10 cartons; case holding 108 bricks (10,800 doses) - Case dimensions: 44 x 35 x 42 cm; Shipper holding 8 cases (86,400 doses); Shipper dimensions: 125 x 105 x 132 cm (including passive cooling materials)</t>
  </si>
  <si>
    <t>IVB/PQ_213_h1n1</t>
  </si>
  <si>
    <t>Celtura</t>
  </si>
  <si>
    <t>‘10 x 17 multi-dose vials - Inner carton holding 800 vials (13,600 doses); Standard inner carton packing dimensions: 38.9 x 24.4 x 24.7 cm; Export packing holding 12 inner cartons, meaning 9,600 vials (163,200 doses); Shipper dimensions: 120 x 100 x 125 cm (packed with ice packs)</t>
  </si>
  <si>
    <t>IVB/PQ_211_h1n1</t>
  </si>
  <si>
    <t>Nasal</t>
  </si>
  <si>
    <t>Flumist</t>
  </si>
  <si>
    <t xml:space="preserve">The package contains 10 pre-filled sprayers (5x2). </t>
  </si>
  <si>
    <t>Prefilled sprayer</t>
  </si>
  <si>
    <t>MedImmune</t>
  </si>
  <si>
    <t>IVB/PQ_210_H1N1</t>
  </si>
  <si>
    <t>Hepatitis A</t>
  </si>
  <si>
    <t>HepA</t>
  </si>
  <si>
    <t>Epaxal®</t>
  </si>
  <si>
    <t>Berna Biotech Korea Corp.</t>
  </si>
  <si>
    <t>Havrix™ 720 Junior</t>
  </si>
  <si>
    <t>http://www.who.int/immunization_standards/vaccine_quality/pq_267_hepa_1dose_gsk/en/index.html</t>
  </si>
  <si>
    <t>Havrix™ 1440 Adult</t>
  </si>
  <si>
    <t>http://www.who.int/immunization_standards/vaccine_quality/pq_268_hepa_1dose_gsk/en/index.html</t>
  </si>
  <si>
    <t xml:space="preserve">Hepatitis B </t>
  </si>
  <si>
    <t>HepB</t>
  </si>
  <si>
    <t xml:space="preserve">Hepavax          </t>
  </si>
  <si>
    <t>boxes of 50 vials of single-doses of vaccine</t>
  </si>
  <si>
    <t>IVB/PQ_04_hepb</t>
  </si>
  <si>
    <t>boxes of 50 vials of 2-doses of vaccine</t>
  </si>
  <si>
    <t>IVB/PQ_05_hepb</t>
  </si>
  <si>
    <t>boxes of 20 vials of 10-doses of vaccine</t>
  </si>
  <si>
    <t>IVB/PQ_06_hepb</t>
  </si>
  <si>
    <t xml:space="preserve">Hepatitis B  Vaccine Recombinant </t>
  </si>
  <si>
    <t>boxes of 100 Uniject of single-dose</t>
  </si>
  <si>
    <t>IVB/PQ_10_hepb</t>
  </si>
  <si>
    <t>Heberbiovac HB</t>
  </si>
  <si>
    <t>boxes of 10 vials of single-doses of vaccine</t>
  </si>
  <si>
    <t>Center for Genetic Engineering and Biotechnology</t>
  </si>
  <si>
    <t>IVB/PQ_24_hepb</t>
  </si>
  <si>
    <t>IVB/PQ_25_hepb</t>
  </si>
  <si>
    <t>rDNA</t>
  </si>
  <si>
    <t>http://www.who.int/immunization_standards/vaccine_quality/pq_134_hepb_1doseped_sii/en/index.html</t>
  </si>
  <si>
    <t>boxes of 50 ampoules of single-doses of vaccine</t>
  </si>
  <si>
    <t>boxes of 50 vials of 10-doses of vaccine</t>
  </si>
  <si>
    <t>http://www.who.int/immunization_standards/vaccine_quality/pq_133_hepb_10doseped_sii/en/index.html</t>
  </si>
  <si>
    <t>Engerix</t>
  </si>
  <si>
    <t>IVB/PQ_39_hepb</t>
  </si>
  <si>
    <t>IVB/PQ_40_hepb</t>
  </si>
  <si>
    <t>IVB/PQ_41_hepb</t>
  </si>
  <si>
    <t>Euvax B</t>
  </si>
  <si>
    <t>boxes of 10 vials of 10-doses of vaccine</t>
  </si>
  <si>
    <t>LG Life Sciences Ltd.</t>
  </si>
  <si>
    <t>IVB/PQ_69_hepB</t>
  </si>
  <si>
    <t>IVB/PQ_70_hepB</t>
  </si>
  <si>
    <t>IVB/PQ_71_hepB</t>
  </si>
  <si>
    <t>IVB/PQ_72_hepB</t>
  </si>
  <si>
    <t>EnivacHB</t>
  </si>
  <si>
    <t>boxes of 50 vials of single-dose of vaccine</t>
  </si>
  <si>
    <t>IVB/PQ_82_hepb</t>
  </si>
  <si>
    <t>IVB/PQ_83_hepb</t>
  </si>
  <si>
    <t>boxes of 25 vials of 10-doses of vaccine</t>
  </si>
  <si>
    <t>IVB/PQ_84_hepb</t>
  </si>
  <si>
    <t>IVB/PQ_85_hepb</t>
  </si>
  <si>
    <t>Shanvac-B</t>
  </si>
  <si>
    <t>boxes of 35 vials of single-dose of vaccine</t>
  </si>
  <si>
    <t>IVB/PQ_154_hepb</t>
  </si>
  <si>
    <t>boxes of 35 vials of 2-dose of vaccine</t>
  </si>
  <si>
    <t>IVB/PQ_155_hepb</t>
  </si>
  <si>
    <t>boxes of 35 vials of 6-dose of vaccine</t>
  </si>
  <si>
    <t>IVB/PQ_156_hepb</t>
  </si>
  <si>
    <t>boxes of 30 vials of 10-doses of vaccine</t>
  </si>
  <si>
    <t>IVB/PQ_157_hepb</t>
  </si>
  <si>
    <t>boxes of 30 vials of 20-doses of vaccine</t>
  </si>
  <si>
    <t>IVB/PQ_158_hepb</t>
  </si>
  <si>
    <t>Revac-B+</t>
  </si>
  <si>
    <t>boxes of 36 vials of single-dose of vaccine</t>
  </si>
  <si>
    <t>Bharat Biotech International Ltd.</t>
  </si>
  <si>
    <t>IVB/PQ_169_hepb</t>
  </si>
  <si>
    <t>boxes of 36 vials of 2-dose of vaccine</t>
  </si>
  <si>
    <t>IVB/PQ_170_hepb</t>
  </si>
  <si>
    <t>boxes of 30 vials of 6-dose of vaccine</t>
  </si>
  <si>
    <t>IVB/PQ_171_hepb</t>
  </si>
  <si>
    <t>boxes of 30 vials of 10-dose of vaccine</t>
  </si>
  <si>
    <t>IVB/PQ_172_hepb</t>
  </si>
  <si>
    <t>boxes of 30 vials of 20-dose of vaccine</t>
  </si>
  <si>
    <t>IVB/PQ_173_hepb</t>
  </si>
  <si>
    <t xml:space="preserve">Hib liquid </t>
  </si>
  <si>
    <t>Hib_liq</t>
  </si>
  <si>
    <t>Quimi-Hib</t>
  </si>
  <si>
    <t>carton of 25 vials</t>
  </si>
  <si>
    <t>VVM14</t>
  </si>
  <si>
    <t>http://www.who.int/immunization_standards/vaccine_quality/PQ_198_Hib_1_dose_Vial_CIGB/en/index.html</t>
  </si>
  <si>
    <t>Vaxem HIB</t>
  </si>
  <si>
    <t>VVM30</t>
  </si>
  <si>
    <t>Novartis Vaccines and Diangnostics S.r.l</t>
  </si>
  <si>
    <t>http://www.who.int/immunization_standards/vaccine_quality/PQ_35_hib_Novartis_1_dose/en/</t>
  </si>
  <si>
    <t>http://www.who.int/immunization_standards/vaccine_quality/PQ_36_hib_novartis_10_dose/en/</t>
  </si>
  <si>
    <t>Pevdax HIB</t>
  </si>
  <si>
    <t>Merck Sharp &amp; Dohme Corp</t>
  </si>
  <si>
    <t>http://www.who.int/immunization_standards/vaccine_quality/PQ_73_Haemophilus_influenzae_type_b_1_dose_Vial_MSD/en/index.html</t>
  </si>
  <si>
    <t>Hib liquid</t>
  </si>
  <si>
    <t>1 vial</t>
  </si>
  <si>
    <t>Wyeth</t>
  </si>
  <si>
    <t>Hib freeze dried vaccine</t>
  </si>
  <si>
    <t>Hib_lyo</t>
  </si>
  <si>
    <t>10 vial of 1-dose</t>
  </si>
  <si>
    <t>April, 1998</t>
  </si>
  <si>
    <t>http://www.who.int/immunization_standards/vaccine_quality/PQ_110_hib_1_dose_sanofi_pasteur/en/index.html</t>
  </si>
  <si>
    <t xml:space="preserve">GlaxoSmithKline </t>
  </si>
  <si>
    <t>http://www.who.int/immunization_standards/vaccine_quality/pq_44_hib_10dose_gsk/en/index.html</t>
  </si>
  <si>
    <t>http://www.who.int/immunization_standards/vaccine_quality/pq_42_hib_1dose_gsk/en/index.html</t>
  </si>
  <si>
    <t>http://www.who.int/immunization_standards/vaccine_quality/pq_43_hib_2dose_gsk/en/index.html</t>
  </si>
  <si>
    <t>Human Papiloma Virus vaccine</t>
  </si>
  <si>
    <t>HPV</t>
  </si>
  <si>
    <t>HPV - Gardasil</t>
  </si>
  <si>
    <t>one pack of single-dose vial</t>
  </si>
  <si>
    <t>IVB/PQ_179_HPV_Merck</t>
  </si>
  <si>
    <t>one pack of 10 single-dose vials</t>
  </si>
  <si>
    <t>HPV - Cervarix</t>
  </si>
  <si>
    <t>one pack of 1 single-dose vial</t>
  </si>
  <si>
    <t>IVB/PQ_180_HPV_GSK</t>
  </si>
  <si>
    <t>one pack of 100 single-dose vials</t>
  </si>
  <si>
    <t>one pack of 1 two-dose vial</t>
  </si>
  <si>
    <t>IVB/PQ_181_HPV_GSK</t>
  </si>
  <si>
    <t>one pack of 10 two-dose vials</t>
  </si>
  <si>
    <t>one pack of 100 two-dose vials</t>
  </si>
  <si>
    <t>Polio Vaccine - Injectable</t>
  </si>
  <si>
    <t>IPV</t>
  </si>
  <si>
    <t>IMOVAX POLIO</t>
  </si>
  <si>
    <t>pack of 50 single-dose prefilled syringes</t>
  </si>
  <si>
    <t>Ukraine (Measurement made on the filed 31/10/08)</t>
  </si>
  <si>
    <t>http://www.who.int/immunization_standards/vaccine_quality/PQ_99_ipv_10_dose_sanofi_pasteur/en/</t>
  </si>
  <si>
    <t>Poliomeltis vaccine</t>
  </si>
  <si>
    <t>akylux tray of 360 vials</t>
  </si>
  <si>
    <t>Bilthoven Biologicals B.V. (Netherlands Vaccine Institute)</t>
  </si>
  <si>
    <t>http://www.who.int/immunization_standards/vaccine_quality/pq_231_ipv_1dose_nvi/en/</t>
  </si>
  <si>
    <t>Poliorix</t>
  </si>
  <si>
    <t>carton of 100vials</t>
  </si>
  <si>
    <t>http://www.who.int/immunization_standards/vaccine_quality/PQ_220_ipv_1dose_gsk/en/</t>
  </si>
  <si>
    <t>http://www.who.int/immunization_standards/vaccine_quality/PQ_221_ipv_2dose_gsk/en/</t>
  </si>
  <si>
    <t>IPV Vaccine SSI</t>
  </si>
  <si>
    <t>pack of 1 vial</t>
  </si>
  <si>
    <t>http://www.who.int/immunization_standards/vaccine_quality/pq_232_ipv_1dose_ssi/en/</t>
  </si>
  <si>
    <t>Pack of 50 vials</t>
  </si>
  <si>
    <t>akylux tray of 280 vials</t>
  </si>
  <si>
    <t>Bilthoven Biologicals B.V.</t>
  </si>
  <si>
    <t>http://www.who.int/immunization_standards/vaccine_quality/pq_282_ipv_5dose_bbio/en/</t>
  </si>
  <si>
    <t>5*</t>
  </si>
  <si>
    <t>Japanese Encephalitis</t>
  </si>
  <si>
    <t>JE_liq</t>
  </si>
  <si>
    <t>SC</t>
  </si>
  <si>
    <t>Vaccine-GCC®</t>
  </si>
  <si>
    <t>pack of 1 single-dose vial</t>
  </si>
  <si>
    <t>pack of one 5-dose vial</t>
  </si>
  <si>
    <t>pack of one 10-dose vial</t>
  </si>
  <si>
    <t>JEEV</t>
  </si>
  <si>
    <t>pack of 48 single-dose vials</t>
  </si>
  <si>
    <t>http://www.who.int/immunization_standards/vaccine_quality/pq266_je_1dose_biologicale/en/index.html</t>
  </si>
  <si>
    <t>JE_lyo</t>
  </si>
  <si>
    <t>1 vial + diluents</t>
  </si>
  <si>
    <t>Biken</t>
  </si>
  <si>
    <t>CD.JEVAX (SA14-14-2-Live)</t>
  </si>
  <si>
    <t>pack of 100 single-dose vials</t>
  </si>
  <si>
    <t>ChengduVaccine (China)</t>
  </si>
  <si>
    <t>http://www.who.int/immunization_standards/vaccine_quality/pq_270_je_1dose_chengdu/en/index.html</t>
  </si>
  <si>
    <t>pack of 100 five-dose vials</t>
  </si>
  <si>
    <t>http://www.who.int/immunization_standards/vaccine_quality/pq_271_je_5dose_chengdu/en/index.html</t>
  </si>
  <si>
    <t>Measles vaccine</t>
  </si>
  <si>
    <t>Measles</t>
  </si>
  <si>
    <t>Measles Vaccine ,Live,attenuated</t>
  </si>
  <si>
    <t>boxes of 50 vials + diluents</t>
  </si>
  <si>
    <t>with diluents</t>
  </si>
  <si>
    <t>http://www.who.int/immunization_standards/vaccine_quality/pq_146_measles_1dose_sii/en/index.html</t>
  </si>
  <si>
    <t>http://www.who.int/immunization_standards/vaccine_quality/pq_147_measles_2dose_sii/en/index.html</t>
  </si>
  <si>
    <t>http://www.who.int/immunization_standards/vaccine_quality/pq_148_measles_5dose_sii/en/index.html</t>
  </si>
  <si>
    <t>http://www.who.int/immunization_standards/vaccine_quality/pq_149_measles_10dose_sii/en/index.html</t>
  </si>
  <si>
    <t>ROUVAX</t>
  </si>
  <si>
    <t>boxes of 10 vials of 10-doses vaccine+10 vials of 5ml diluent.</t>
  </si>
  <si>
    <t>http://www.who.int/immunization_standards/vaccine_quality/PQ_107_measles_10_dose_sanofi_pasteur/en/index.html</t>
  </si>
  <si>
    <t>GPO-MBP (Government Pharmaceutical Organization Merieux Biological Products Company Limited)</t>
  </si>
  <si>
    <t>http://www.who.int/immunization_standards/vaccine_quality/PQ_223_measles_10dose_gpombp/en/index.html</t>
  </si>
  <si>
    <t>Rimevix</t>
  </si>
  <si>
    <t>???</t>
  </si>
  <si>
    <t>??</t>
  </si>
  <si>
    <t>April,1998</t>
  </si>
  <si>
    <t>http://www.who.int/immunization_standards/vaccine_quality/18_measles/en/index.html</t>
  </si>
  <si>
    <t>boxes of 10 vials of 20-doses vaccine+10 vials of 5ml diluent.</t>
  </si>
  <si>
    <t>http://www.who.int/immunization_standards/vaccine_quality/19_measles/en/index.html</t>
  </si>
  <si>
    <t>Meningococcal A conjugate</t>
  </si>
  <si>
    <t>Men A</t>
  </si>
  <si>
    <t>MenAfricVac</t>
  </si>
  <si>
    <t>pack of 50 vial (active) + pack of 50 ampoules (diluents)</t>
  </si>
  <si>
    <t>http://www.who.int/immunization_standards/vaccine_quality/PQ_197_MenAconjugate_10dose_SII/en/</t>
  </si>
  <si>
    <t>Meningococcal A conjugate (pediatric)</t>
  </si>
  <si>
    <t>http://www.who.int/immunization_standards/vaccine_quality/PQ_285_MenAconjugate_paediatric_10dose_SII/en/</t>
  </si>
  <si>
    <t>Measles-Mumps-Rubella vaccine</t>
  </si>
  <si>
    <t>MMR</t>
  </si>
  <si>
    <t>Priorix®</t>
  </si>
  <si>
    <t>pack of 2 blisters of 5 single-dose vials + diluents</t>
  </si>
  <si>
    <t>Monovalent Oral polio type 1</t>
  </si>
  <si>
    <t>mOPV1</t>
  </si>
  <si>
    <t>boxes of 100 vials of 20 doses</t>
  </si>
  <si>
    <t>VVM-2</t>
  </si>
  <si>
    <t>IVB/PQ_33_opv</t>
  </si>
  <si>
    <t>boxes of 10 vials of 20 doses</t>
  </si>
  <si>
    <t>IVB/PQ_116_mopv1</t>
  </si>
  <si>
    <t>Monovalent Oral polio type 3</t>
  </si>
  <si>
    <t>mOPV3</t>
  </si>
  <si>
    <t>IVB/PQ_227_mopv3</t>
  </si>
  <si>
    <t>Bivalent Oral polio type 1&amp;3</t>
  </si>
  <si>
    <t>bOPV</t>
  </si>
  <si>
    <t>Assumption Berenger 2009</t>
  </si>
  <si>
    <t>IVB/PQ_196_bOPV13</t>
  </si>
  <si>
    <t>pack of 100 vials of 10 doses</t>
  </si>
  <si>
    <t>http://www.who.int/immunization_standards/vaccine_quality/PQ_184_bOPV13_GSK_10_dose/en/</t>
  </si>
  <si>
    <t>pack of 100 vials of 20 doses</t>
  </si>
  <si>
    <t>IVB/PQ_185_bOPV13</t>
  </si>
  <si>
    <t>Haffkine Bio Pharmaceutical Corporation Ltd, India</t>
  </si>
  <si>
    <t>IVB/PQ_201_bOPV13</t>
  </si>
  <si>
    <t>IVB/PQ_194_bOPV13</t>
  </si>
  <si>
    <t>Measles-Rubella vaccine</t>
  </si>
  <si>
    <t>MR</t>
  </si>
  <si>
    <t>pack of 50 vials + separate pack of 50 ampoules (diluents)</t>
  </si>
  <si>
    <t>http://www.who.int/immunization_standards/vaccine_quality/138_mr.jpg</t>
  </si>
  <si>
    <t>http://www.who.int/immunization_standards/vaccine_quality/pq_139_mr_2dose_sii/en/index.html</t>
  </si>
  <si>
    <t>http://www.who.int/immunization_standards/vaccine_quality/pq_140_mr_5dose_sii/en/index.html</t>
  </si>
  <si>
    <t>http://www.who.int/immunization_standards/vaccine_quality/pq_141_mr_10dose_sii/en/index.html</t>
  </si>
  <si>
    <t>MoRu-Viraten</t>
  </si>
  <si>
    <t>Crucell Switzerland AG</t>
  </si>
  <si>
    <t>http://www.who.int/immunization_standards/vaccine_quality/03_measles/en/index.html</t>
  </si>
  <si>
    <t>IVB/PQ_62_measles</t>
  </si>
  <si>
    <t>rHA M-M-R II</t>
  </si>
  <si>
    <t>http://www.who.int/immunization_standards/vaccine_quality/PQ_168_MMR_1_dose_Vial_MSD/en/index.html</t>
  </si>
  <si>
    <t>TRIMOVAX MERIEUX</t>
  </si>
  <si>
    <t>pack of 10 vials + 10 ampoules of 0.5ml (diluent)</t>
  </si>
  <si>
    <t>http://www.who.int/immunization_standards/vaccine_quality/PQ_108_mmr_1_dose_sanofi_pasteur/en/</t>
  </si>
  <si>
    <t>pack of 10 vials + 10 ampoules of 5ml (diluent)</t>
  </si>
  <si>
    <t>http://www.who.int/immunization_standards/vaccine_quality/PQ_109_mmr_10_dose_sanofi_pasteur/en/</t>
  </si>
  <si>
    <t>pack of 50 vials (active) + separate 10 ampoules of 5ml (diluent)</t>
  </si>
  <si>
    <t>http://www.who.int/immunization_standards/vaccine_quality/pq_145_mmr_10dose_sii/en/index.html</t>
  </si>
  <si>
    <t>http://www.who.int/immunization_standards/vaccine_quality/pq_143_mmr_2dose_sii/en/index.html</t>
  </si>
  <si>
    <t>http://www.who.int/immunization_standards/vaccine_quality/pq_144_mmr_5dose_sii/en/index.html</t>
  </si>
  <si>
    <t>http://www.who.int/immunization_standards/vaccine_quality/pq_142_mmr_1dose_sii/en/index.html</t>
  </si>
  <si>
    <t xml:space="preserve">Meningococcal A/C </t>
  </si>
  <si>
    <t>MV A&amp;C</t>
  </si>
  <si>
    <t>Polys Men A+C</t>
  </si>
  <si>
    <t>Bio-Manguinhos</t>
  </si>
  <si>
    <t>IVB/PQ_23_men</t>
  </si>
  <si>
    <t>IVB/PQ_114_menAC</t>
  </si>
  <si>
    <t xml:space="preserve">Meningococcal A/C7W/Y </t>
  </si>
  <si>
    <t>MV ACWY</t>
  </si>
  <si>
    <t>MV ACYW-135</t>
  </si>
  <si>
    <t>Menactra</t>
  </si>
  <si>
    <t>carton of 5 vials</t>
  </si>
  <si>
    <t>http://www.who.int/immunization_standards/vaccine_quality/pq_274_menactra_1dose_SP/en/</t>
  </si>
  <si>
    <t>carton of 1 vial</t>
  </si>
  <si>
    <t>Menomune</t>
  </si>
  <si>
    <t>Carton containing one vial of active and one vial of diluent</t>
  </si>
  <si>
    <t>http://www.who.int/immunization_standards/vaccine_quality/PQ264_Menomune_SP_10_dose/en/</t>
  </si>
  <si>
    <t>Carton containing 100 secondary cartons</t>
  </si>
  <si>
    <t xml:space="preserve">Pneumococcal Conjugate Vaccine 7-valent </t>
  </si>
  <si>
    <t>PCV-7</t>
  </si>
  <si>
    <t>Prevnar®</t>
  </si>
  <si>
    <t>packs of 10 single doses+ syringe</t>
  </si>
  <si>
    <t>From Wyeth proposal, June 2006</t>
  </si>
  <si>
    <t>Prevenar</t>
  </si>
  <si>
    <t>Primary Pack - 5-vial Carton - Length= 3-9/16" x Width= 1-1/8" x Height=1-3/4"</t>
  </si>
  <si>
    <t>Pfizer</t>
  </si>
  <si>
    <t>http://www.who.int/immunization_standards/vaccine_quality/PQ_218_pneumococcal7_1dose_pfizer/en/</t>
  </si>
  <si>
    <t xml:space="preserve">Pneumococcal Conjugate Vaccine 13-valent </t>
  </si>
  <si>
    <t>PCV-13</t>
  </si>
  <si>
    <t>Prevenar 13</t>
  </si>
  <si>
    <t>Pack of 25 vials of single-dose</t>
  </si>
  <si>
    <t>http://www.who.int/immunization_standards/vaccine_quality/PQ_222_pneumococcal13_1dose_pfizer/en/</t>
  </si>
  <si>
    <t>Pack of 50 vials of single-dose Length= 17.3cm, Width= 8.7cm, Height= 3.97cm</t>
  </si>
  <si>
    <t>March</t>
  </si>
  <si>
    <t xml:space="preserve">Pneumococcal Conjugate Vaccine 10-valent </t>
  </si>
  <si>
    <t>PCV-10</t>
  </si>
  <si>
    <t>Synflorix</t>
  </si>
  <si>
    <t>IVB/PQ_192_pneumococcal_gsk</t>
  </si>
  <si>
    <t>IVB/PQ_199_pneumococcal_gsk</t>
  </si>
  <si>
    <t xml:space="preserve">Pneumococcal Conjugate Vaccine xxx-valent </t>
  </si>
  <si>
    <t>PCV-xxx</t>
  </si>
  <si>
    <t>to be defined</t>
  </si>
  <si>
    <t>Compact AD-PFD</t>
  </si>
  <si>
    <t>Assumption (WHO TPP)</t>
  </si>
  <si>
    <t>Compact AD prefilled device</t>
  </si>
  <si>
    <t>Assumptions based on penta liquid single-dose vial</t>
  </si>
  <si>
    <t>Assumption (WHO, GAVI)</t>
  </si>
  <si>
    <t>Draft file of unpreserved 2-dose PCV-10 from GSK</t>
  </si>
  <si>
    <t>Rabies vaccine</t>
  </si>
  <si>
    <t>Rabies</t>
  </si>
  <si>
    <t>Rabipur</t>
  </si>
  <si>
    <t>pack of 1 vial (active) and diluent, incl. Syringe</t>
  </si>
  <si>
    <t>Novartis Vaccines and Diagnostics GmbH &amp; Co.KG (formerly Chiron Behring)</t>
  </si>
  <si>
    <t>http://www.who.int/immunization_standards/vaccine_quality/28_rabies/en/index.html</t>
  </si>
  <si>
    <t>pack of 1 vial (active) and diluent incl. Syringe</t>
  </si>
  <si>
    <t>Chiron Behring Vaccines Private Ltd</t>
  </si>
  <si>
    <t>http://www.who.int/immunization_standards/vaccine_quality/29_rabies/en/index.html</t>
  </si>
  <si>
    <t>VERORAB</t>
  </si>
  <si>
    <t>5 vials 1 dose + 5 ampoules of diluent</t>
  </si>
  <si>
    <t>http://www.who.int/immunization_standards/vaccine_quality/PQ_112_rabies_1_dose_sanofi_pasteur/en/</t>
  </si>
  <si>
    <t>Lyssavac N</t>
  </si>
  <si>
    <t>pack of 10 vials and diluent</t>
  </si>
  <si>
    <t>Zydus Cadila, India</t>
  </si>
  <si>
    <t>http://www.who.int/immunization_standards/vaccine_quality/166_rabies/en/index.html</t>
  </si>
  <si>
    <t>Rotavirus vaccine</t>
  </si>
  <si>
    <t>Rota_liq</t>
  </si>
  <si>
    <t>Rotarix®</t>
  </si>
  <si>
    <t>box of 50 single-dose polyethylene tubes with 5 rows of 10 tubes</t>
  </si>
  <si>
    <t>IVB/PQ_175_rotavirus</t>
  </si>
  <si>
    <t>box of 10 single-dose polyethylene tubes with 2 rows of 5 tubes</t>
  </si>
  <si>
    <t>box of one single-dose polyethylene tube</t>
  </si>
  <si>
    <t>box of one blister of one oral applicator</t>
  </si>
  <si>
    <t>IVB/PQ_174_rotavirus</t>
  </si>
  <si>
    <t>box of 2 blisters with 5 oral applicators</t>
  </si>
  <si>
    <t>RotaTeq®</t>
  </si>
  <si>
    <t>one pack of 1 single-dose vials</t>
  </si>
  <si>
    <t>Merck</t>
  </si>
  <si>
    <t>Bilateral meeting, July 2007</t>
  </si>
  <si>
    <t>IVB/PQ_167_rotavirus</t>
  </si>
  <si>
    <t>one pack of 25 single-dose vials</t>
  </si>
  <si>
    <t>Rota_lyo</t>
  </si>
  <si>
    <t>box of 1 vial of vaccine + diluents + transfer adapter</t>
  </si>
  <si>
    <t>GlaxoSmithKline (WHO P/Q file)</t>
  </si>
  <si>
    <t>IVB/PQ_63_rotavirus</t>
  </si>
  <si>
    <t>box with 2 blisters of 5 syringes of diluents, 1 plastic bag with ten transfer adapter + 1 box with ten vials of vaccine</t>
  </si>
  <si>
    <t xml:space="preserve">one pack of 25 single-dose vaccine + diluents in cold chain </t>
  </si>
  <si>
    <t>Rotarix packaging discussions, 03 Dec.07</t>
  </si>
  <si>
    <t>one pack of 25 single-dose vaccine w/o diluents</t>
  </si>
  <si>
    <t>Tetanus toxoid</t>
  </si>
  <si>
    <t>TT</t>
  </si>
  <si>
    <t>TT vaccine</t>
  </si>
  <si>
    <t>pack of 100 Uniject</t>
  </si>
  <si>
    <t>IVB/PQ_17_tet</t>
  </si>
  <si>
    <t>Typhoid</t>
  </si>
  <si>
    <t>Typhim</t>
  </si>
  <si>
    <t>TYPHIM VI®</t>
  </si>
  <si>
    <t>http://www.who.int/immunization_standards/vaccine_quality/pq_238_typhoid_20dose_sanofi_pasteur/en/</t>
  </si>
  <si>
    <t>pack of 1-dose vial + diluents in prefilled syringe</t>
  </si>
  <si>
    <t>YF</t>
  </si>
  <si>
    <t>STAMARIL®</t>
  </si>
  <si>
    <t>10 Vials 10 doses + 10 vials 5 ml (diluent) - 0.9% Sodium Chloride</t>
  </si>
  <si>
    <t>IVB/PQ_113_yf</t>
  </si>
  <si>
    <t>50 Vials 5 doses + water for injection diluent</t>
  </si>
  <si>
    <t>IVB/PQ_20_yf</t>
  </si>
  <si>
    <t>10 Vials 10 doses + water for injection diluent</t>
  </si>
  <si>
    <t>IVB/PQ_21_yf</t>
  </si>
  <si>
    <t>50 Vials of 50 doses</t>
  </si>
  <si>
    <t>IVB/PQ_22_yf</t>
  </si>
  <si>
    <t>Stabilized Yellow Fever Vaccine</t>
  </si>
  <si>
    <t>10 Vials 5 doses + 10 vials 5 ml (diluent)</t>
  </si>
  <si>
    <t>Institut Pasteur Dakar</t>
  </si>
  <si>
    <t>IVB/PQ_65_yf</t>
  </si>
  <si>
    <t>pack of 10 ampoules + 10 vials 10 ml (diluent) separate</t>
  </si>
  <si>
    <t>IVB/PQ_66_yf</t>
  </si>
  <si>
    <t>pack of 10 ampoules + 10 vials 5 ml (diluent) separate</t>
  </si>
  <si>
    <t>IVB/PQ_67_yf</t>
  </si>
  <si>
    <t>pack of 10 ampoules active + 10 ampoules (diluent)</t>
  </si>
  <si>
    <t>Federal State Unitary Enterprise on Manufacture of Bacterial and Viral Preparations, Chumakov Institute of Poliomyelitis and Viral Encephalitidies, Russian Academy of Medical Sciences</t>
  </si>
  <si>
    <t>IVB/PQ_176_yf</t>
  </si>
  <si>
    <t>IVB/PQ_177_yf</t>
  </si>
  <si>
    <t>IVB/PQ_178_yf</t>
  </si>
  <si>
    <t>Rubella vaccine</t>
  </si>
  <si>
    <t>Rubella</t>
  </si>
  <si>
    <t>IVB/PQ_150_rubella</t>
  </si>
  <si>
    <t>IVB/PQ_151_rubella</t>
  </si>
  <si>
    <t>IVB/PQ_152_rubella</t>
  </si>
  <si>
    <t>IVB/PQ_153_rubella</t>
  </si>
  <si>
    <t>boxes of 25 vials of 20 doses</t>
  </si>
  <si>
    <t>IVB/PQ_189_mopv1</t>
  </si>
  <si>
    <t>boxes of 50 vials of 20 doses</t>
  </si>
  <si>
    <t>IVB/PQ_187_mopv1</t>
  </si>
  <si>
    <t>IVB/PQ_183_mopv1</t>
  </si>
  <si>
    <t>boxes of 100 vials of 10 doses</t>
  </si>
  <si>
    <t>IVB/PQ_182_mopv1</t>
  </si>
  <si>
    <t>IVB/PQ_190_mopv1</t>
  </si>
  <si>
    <t>Monovalent Oral polio type 2</t>
  </si>
  <si>
    <t>mOPV2</t>
  </si>
  <si>
    <t>http://www.who.int/immunization_standards/vaccine_quality/pq_235_mopv2_20dose_gsk/en/index.html</t>
  </si>
  <si>
    <t>http://www.who.int/immunization_standards/vaccine_quality/pq_236_mopv2_10dose_gsk/en/index.html</t>
  </si>
  <si>
    <t>IVB/PQ_228_mopv3</t>
  </si>
  <si>
    <t>IVB/PQ_229_mopv3</t>
  </si>
  <si>
    <t>IVB/PQ_230_mopv3</t>
  </si>
  <si>
    <t>IVB/PQ_15_tet</t>
  </si>
  <si>
    <t>IVB/PQ_16_tet</t>
  </si>
  <si>
    <t>Tetatox TT vaccine</t>
  </si>
  <si>
    <t>IVB/PQ_76_tet</t>
  </si>
  <si>
    <t>IVB/PQ_77_tet</t>
  </si>
  <si>
    <t>Tetanus Toxoid</t>
  </si>
  <si>
    <t>pack of 20 vials</t>
  </si>
  <si>
    <t>IVB/PQ_191_TT</t>
  </si>
  <si>
    <t>TETAVAX</t>
  </si>
  <si>
    <t>IVB/PQ_105_tet</t>
  </si>
  <si>
    <t>IVB/PQ_137_tet</t>
  </si>
  <si>
    <t>IVB/PQ_136_tet</t>
  </si>
  <si>
    <t>ShanTT</t>
  </si>
  <si>
    <t>pack of 30 vials</t>
  </si>
  <si>
    <t>IVB/PQ_160_tet</t>
  </si>
  <si>
    <t>IVB/PQ_159_tet</t>
  </si>
  <si>
    <t>Trivalent Oral Polio Vaccine</t>
  </si>
  <si>
    <t>tOPV</t>
  </si>
  <si>
    <t>Oral polio</t>
  </si>
  <si>
    <t>http://www.who.int/immunization_standards/vaccine_quality/PQ_13_OPV_trivalent_10_dose_Vial/en/index.html</t>
  </si>
  <si>
    <t>http://www.who.int/immunization_standards/vaccine_quality/14_opv/en/index.html</t>
  </si>
  <si>
    <t>Polio sabin</t>
  </si>
  <si>
    <t>http://www.who.int/immunization_standards/vaccine_quality/45_opv/en/index.html</t>
  </si>
  <si>
    <t>http://www.who.int/immunization_standards/vaccine_quality/46_opv/en/index.html</t>
  </si>
  <si>
    <t>Polioral</t>
  </si>
  <si>
    <t>pack of 10 or 100 tubes</t>
  </si>
  <si>
    <t>http://www.who.int/immunization_standards/vaccine_quality/31_opv/en/index.html</t>
  </si>
  <si>
    <t>http://www.who.int/immunization_standards/vaccine_quality/32_opv/en/index.html</t>
  </si>
  <si>
    <t>OPVERO</t>
  </si>
  <si>
    <t>http://www.who.int/immunization_standards/vaccine_quality/PQ_101_opv_10_dose_sanofi_pasteur/en/index.html</t>
  </si>
  <si>
    <t>http://www.who.int/immunization_standards/vaccine_quality/PQ_102_opv_20_dose_sanofi_pasteur/en/index.html</t>
  </si>
  <si>
    <t>OPV trivalent 1, 2 and 3</t>
  </si>
  <si>
    <t>http://www.who.int/immunization_standards/vaccine_quality/pq_263_topv_20dose_sii/en/index.html</t>
  </si>
  <si>
    <t>Polioviral vaccine</t>
  </si>
  <si>
    <t>http://www.who.int/immunization_standards/vaccine_quality/64_opv/en/index.html</t>
  </si>
  <si>
    <t>Td vaccine</t>
  </si>
  <si>
    <t>Td</t>
  </si>
  <si>
    <t>http://www.who.int/immunization_standards/vaccine_quality/pq_124_diptetadult_20dose_sii/en/index.html</t>
  </si>
  <si>
    <t>http://www.who.int/immunization_standards/vaccine_quality/pq_123_diptetadult_10dose_sii/en/index.html</t>
  </si>
  <si>
    <t>http://www.who.int/immunization_standards/vaccine_quality/pq_122_diptetadult_1dose_sii/en/index.html</t>
  </si>
  <si>
    <t>http://www.who.int//immunization_standards/vaccine_quality/PQ_93_diptetadult_10_dose_vial_sanofi_pasteur/en/index.html</t>
  </si>
  <si>
    <t>http://www.who.int/immunization_standards/vaccine_quality/pq_246_td_10dose_biofarma/en/index.html</t>
  </si>
  <si>
    <t>Tetadif</t>
  </si>
  <si>
    <t>http://www.who.int/immunization_standards/vaccine_quality/80_diptetadult/en/index.html</t>
  </si>
  <si>
    <t>http://www.who.int/immunization_standards/vaccine_quality/81_diptetadult/en/index.html</t>
  </si>
  <si>
    <t>Integrated delivery device</t>
  </si>
  <si>
    <t>Data Source: WHO EVM Assistant Tool 2018.  Worksheet "Vaccines". Available via https://www.who.int/immunization/programmes_systems/supply_chain/evm/en/index3.html</t>
  </si>
  <si>
    <t>Unique Vaccine Initials</t>
  </si>
  <si>
    <t>Unique Dose Values</t>
  </si>
  <si>
    <t>Unique Admin Routes</t>
  </si>
  <si>
    <t>Sorted Unique Doses</t>
  </si>
  <si>
    <t>Raw Data Table</t>
  </si>
  <si>
    <t>Summary of Raw Data Table</t>
  </si>
  <si>
    <r>
      <rPr>
        <b/>
        <sz val="11"/>
        <color theme="1"/>
        <rFont val="Calibri"/>
        <family val="2"/>
        <scheme val="minor"/>
      </rPr>
      <t xml:space="preserve">Size of Overall Population
     </t>
    </r>
    <r>
      <rPr>
        <i/>
        <sz val="11"/>
        <color theme="1"/>
        <rFont val="Calibri"/>
        <family val="2"/>
        <scheme val="minor"/>
      </rPr>
      <t xml:space="preserve">Number of people living in target region </t>
    </r>
  </si>
  <si>
    <r>
      <rPr>
        <b/>
        <sz val="11"/>
        <color theme="1"/>
        <rFont val="Calibri"/>
        <family val="2"/>
        <scheme val="minor"/>
      </rPr>
      <t>Calculation method for vaccine unit volumes</t>
    </r>
    <r>
      <rPr>
        <sz val="11"/>
        <color theme="1"/>
        <rFont val="Calibri"/>
        <family val="2"/>
        <scheme val="minor"/>
      </rPr>
      <t xml:space="preserve">
     </t>
    </r>
    <r>
      <rPr>
        <i/>
        <sz val="11"/>
        <color theme="1"/>
        <rFont val="Calibri"/>
        <family val="2"/>
        <scheme val="minor"/>
      </rPr>
      <t>Each vaccine presentation has up to several volume data points in the
     raw data table. Do you want to use the average, minimum, or maximum
     of these data points? "Average" is likely the most common selection, 
     and "Maximum" is likely the most conservative for planning purposes</t>
    </r>
  </si>
  <si>
    <t>Average</t>
  </si>
  <si>
    <r>
      <t xml:space="preserve">Presentation </t>
    </r>
    <r>
      <rPr>
        <i/>
        <sz val="11"/>
        <color theme="1"/>
        <rFont val="Calibri"/>
        <family val="2"/>
        <scheme val="minor"/>
      </rPr>
      <t>Number of doses per vial/unit</t>
    </r>
  </si>
  <si>
    <t>Administration Route</t>
  </si>
  <si>
    <t>Optional: Enter your own values</t>
  </si>
  <si>
    <t>Values used in Model</t>
  </si>
  <si>
    <t>Vaccine volume (cm³/dose)</t>
  </si>
  <si>
    <t>Diluent volume (cm³/dose)</t>
  </si>
  <si>
    <r>
      <t xml:space="preserve">Values used in Model </t>
    </r>
    <r>
      <rPr>
        <i/>
        <sz val="11"/>
        <color theme="1"/>
        <rFont val="Calibri"/>
        <family val="2"/>
        <scheme val="minor"/>
      </rPr>
      <t>(default values from database if adjacent cells blank)</t>
    </r>
  </si>
  <si>
    <t>Optional: Enter your own value if known</t>
  </si>
  <si>
    <t>Wastage Rate (%)</t>
  </si>
  <si>
    <t xml:space="preserve">Wastage Rate (%) </t>
  </si>
  <si>
    <r>
      <t xml:space="preserve">Values used in Model </t>
    </r>
    <r>
      <rPr>
        <i/>
        <sz val="11"/>
        <color theme="1"/>
        <rFont val="Calibri"/>
        <family val="2"/>
        <scheme val="minor"/>
      </rPr>
      <t>(default values from WHO/Gavi used if adjacent cells blank)</t>
    </r>
  </si>
  <si>
    <t>Syringe volume - Injection (cm³/dose)</t>
  </si>
  <si>
    <t>Syringe volume - Reconstitution (cm³/dose)</t>
  </si>
  <si>
    <t>Net Volume per Injection (cm³)</t>
  </si>
  <si>
    <t>Percent of overall population immunized</t>
  </si>
  <si>
    <t>Step 1: Define Target Population &amp; Calculation Parameters</t>
  </si>
  <si>
    <t>Formulation</t>
  </si>
  <si>
    <t>MDVP Status</t>
  </si>
  <si>
    <t>Safety Box Volume (cm³/dose)</t>
  </si>
  <si>
    <r>
      <t xml:space="preserve">Values used in Model </t>
    </r>
    <r>
      <rPr>
        <i/>
        <sz val="11"/>
        <color theme="1"/>
        <rFont val="Calibri"/>
        <family val="2"/>
        <scheme val="minor"/>
      </rPr>
      <t>(default values from Step 1 if adjacent cells blank)</t>
    </r>
  </si>
  <si>
    <r>
      <t xml:space="preserve">Schedule
</t>
    </r>
    <r>
      <rPr>
        <i/>
        <sz val="11"/>
        <color theme="1"/>
        <rFont val="Calibri"/>
        <family val="2"/>
        <scheme val="minor"/>
      </rPr>
      <t>Number of doses per person</t>
    </r>
  </si>
  <si>
    <t>Wastage Multiplier (# doses procured per dose administered)</t>
  </si>
  <si>
    <t>Packed Volume (cm³)</t>
  </si>
  <si>
    <t>Purchase Price ($)</t>
  </si>
  <si>
    <t>Default AD Syringe values per unit</t>
  </si>
  <si>
    <t>Default Reconstitution Syringe values per unit</t>
  </si>
  <si>
    <t>Default Safety Box packed values per unit</t>
  </si>
  <si>
    <t>Total number of vaccine products included</t>
  </si>
  <si>
    <t>Total number of diluent &amp; injection products included</t>
  </si>
  <si>
    <t>5a. Percentage of FIXED transport costs (vehicle depreciation, insurance) shared with an external organization or program</t>
  </si>
  <si>
    <t>5b. Percentage of VARIABLE transport costs (Fuel, Maintenance, Labor, Perdiems) shared with an external organization or program</t>
  </si>
  <si>
    <t>48MT</t>
  </si>
  <si>
    <t>All costs in both MT and USD</t>
  </si>
  <si>
    <t>Hermes</t>
  </si>
  <si>
    <t>Province Field Coordinator</t>
  </si>
  <si>
    <t>Health Worker - HF</t>
  </si>
  <si>
    <t>Province Logistician</t>
  </si>
  <si>
    <t>Driver</t>
  </si>
  <si>
    <t>District personnel - EPI Manager</t>
  </si>
  <si>
    <t>Central Level - EPI Logistics Officer</t>
  </si>
  <si>
    <t>Bicycle at HF Level</t>
  </si>
  <si>
    <t xml:space="preserve">Moto-bike cMYP data </t>
  </si>
  <si>
    <t>Assuming it is equal for 4 years</t>
  </si>
  <si>
    <t>Assumption</t>
  </si>
  <si>
    <t>Hermes Data</t>
  </si>
  <si>
    <t>4WD Toyota Landcruiser - province</t>
  </si>
  <si>
    <t>if thinking 7 years and equal distribution</t>
  </si>
  <si>
    <t>cMYP</t>
  </si>
  <si>
    <t>pulling from the data template</t>
  </si>
  <si>
    <t>Bus - district to health facility</t>
  </si>
  <si>
    <t>It's 3.4 L based on data from Hermes</t>
  </si>
  <si>
    <t>Bus health facility to district</t>
  </si>
  <si>
    <t>4WD Toyota Landcruiser - district</t>
  </si>
  <si>
    <t>7 yrs equal distribution of depreciation costs</t>
  </si>
  <si>
    <t>Health Facilities</t>
  </si>
  <si>
    <t>Nissan UD-80 Trucks</t>
  </si>
  <si>
    <t>Intrauterine Devices (IUDs)</t>
  </si>
  <si>
    <t>Pills (Progesterone only + Combined low-dose OC)</t>
  </si>
  <si>
    <t>Injectable contraceptives</t>
  </si>
  <si>
    <t>Subdermal Implants</t>
  </si>
  <si>
    <t>Optional: Enter your own value</t>
  </si>
  <si>
    <t>Angola</t>
  </si>
  <si>
    <t>Benin</t>
  </si>
  <si>
    <t>Botswana</t>
  </si>
  <si>
    <t>Burkina Faso</t>
  </si>
  <si>
    <t>Burundi</t>
  </si>
  <si>
    <t>Cameroon</t>
  </si>
  <si>
    <t>Central African Republic</t>
  </si>
  <si>
    <t>Chad</t>
  </si>
  <si>
    <t>Republic of the Congo</t>
  </si>
  <si>
    <t>Côte d'Ivoire</t>
  </si>
  <si>
    <t>Democratic Republic of Congo</t>
  </si>
  <si>
    <t>Eritrea</t>
  </si>
  <si>
    <t>Ethiopia</t>
  </si>
  <si>
    <t>Gabon</t>
  </si>
  <si>
    <t>Gambia</t>
  </si>
  <si>
    <t>Ghana</t>
  </si>
  <si>
    <t>Guinea</t>
  </si>
  <si>
    <t>Guinea-Bissau</t>
  </si>
  <si>
    <t>Kenya</t>
  </si>
  <si>
    <t>Lesotho</t>
  </si>
  <si>
    <t>Liberia</t>
  </si>
  <si>
    <t>Madagascar</t>
  </si>
  <si>
    <t>Malawi</t>
  </si>
  <si>
    <t>Mali</t>
  </si>
  <si>
    <t>Mauritania</t>
  </si>
  <si>
    <t>Mauritius</t>
  </si>
  <si>
    <t>Mozambique</t>
  </si>
  <si>
    <t>Namibia</t>
  </si>
  <si>
    <t>Niger</t>
  </si>
  <si>
    <t>Nigeria</t>
  </si>
  <si>
    <t>Rwanda</t>
  </si>
  <si>
    <t>Senegal</t>
  </si>
  <si>
    <t>Sierra Leone</t>
  </si>
  <si>
    <t>Somalia</t>
  </si>
  <si>
    <t>South Africa</t>
  </si>
  <si>
    <t>South Sudan</t>
  </si>
  <si>
    <t>Sudan</t>
  </si>
  <si>
    <t>Swaziland</t>
  </si>
  <si>
    <t>Tanzania</t>
  </si>
  <si>
    <t>Togo</t>
  </si>
  <si>
    <t>Uganda</t>
  </si>
  <si>
    <t>Zambia</t>
  </si>
  <si>
    <t>Zimbabwe</t>
  </si>
  <si>
    <t>Algeria</t>
  </si>
  <si>
    <t>Egypt Arab Rep</t>
  </si>
  <si>
    <t>Iran</t>
  </si>
  <si>
    <t>Iraq</t>
  </si>
  <si>
    <t>Jordan</t>
  </si>
  <si>
    <t>Lebanon</t>
  </si>
  <si>
    <t>Morocco</t>
  </si>
  <si>
    <t>Syria</t>
  </si>
  <si>
    <t>Tunisia</t>
  </si>
  <si>
    <t>Yemen Rep</t>
  </si>
  <si>
    <t>Argentina</t>
  </si>
  <si>
    <t>Bolivia</t>
  </si>
  <si>
    <t>Brazil</t>
  </si>
  <si>
    <t>Chile</t>
  </si>
  <si>
    <t>Colombia</t>
  </si>
  <si>
    <t>Costa Rica</t>
  </si>
  <si>
    <t>Cuba</t>
  </si>
  <si>
    <t>Dominican Republic</t>
  </si>
  <si>
    <t>Ecuador</t>
  </si>
  <si>
    <t>El Salvador</t>
  </si>
  <si>
    <t>Guatemala</t>
  </si>
  <si>
    <t>Haiti</t>
  </si>
  <si>
    <t>Honduras</t>
  </si>
  <si>
    <t>Jamaica</t>
  </si>
  <si>
    <t>Mexico</t>
  </si>
  <si>
    <t>Nicaragua</t>
  </si>
  <si>
    <t>Panama</t>
  </si>
  <si>
    <t>Paraguay</t>
  </si>
  <si>
    <t>Peru</t>
  </si>
  <si>
    <t>Uruguay</t>
  </si>
  <si>
    <t>Afghanistan</t>
  </si>
  <si>
    <t>Bangladesh</t>
  </si>
  <si>
    <t>Cambodia</t>
  </si>
  <si>
    <t>China</t>
  </si>
  <si>
    <t>India</t>
  </si>
  <si>
    <t>Indonesia</t>
  </si>
  <si>
    <t>Lao PDR</t>
  </si>
  <si>
    <t>Malaysia</t>
  </si>
  <si>
    <t>Mongolia</t>
  </si>
  <si>
    <t>Myanmar</t>
  </si>
  <si>
    <t>Nepal</t>
  </si>
  <si>
    <t>DPR Korea</t>
  </si>
  <si>
    <t>Pakistan</t>
  </si>
  <si>
    <t>Philippines</t>
  </si>
  <si>
    <t>Sri Lanka</t>
  </si>
  <si>
    <t>Timor-Leste</t>
  </si>
  <si>
    <t>Thailand</t>
  </si>
  <si>
    <t>Viet Nam</t>
  </si>
  <si>
    <t>Albania</t>
  </si>
  <si>
    <t>Armenia</t>
  </si>
  <si>
    <t>Azerbaijan</t>
  </si>
  <si>
    <t>Belarus</t>
  </si>
  <si>
    <t>Bosnia and Herzegovina</t>
  </si>
  <si>
    <t>Georgia</t>
  </si>
  <si>
    <t>Kazakhstan</t>
  </si>
  <si>
    <t xml:space="preserve">Kyrgyzstan </t>
  </si>
  <si>
    <t>Macedonia FYR</t>
  </si>
  <si>
    <t>Moldova</t>
  </si>
  <si>
    <t>Romania</t>
  </si>
  <si>
    <t>Russian Federation</t>
  </si>
  <si>
    <t>Serbia</t>
  </si>
  <si>
    <t>Tajikistan</t>
  </si>
  <si>
    <t>Turkey</t>
  </si>
  <si>
    <t>Turkmenistan</t>
  </si>
  <si>
    <t>Ukraine</t>
  </si>
  <si>
    <t>Uzbekistan</t>
  </si>
  <si>
    <t>Country Name</t>
  </si>
  <si>
    <t xml:space="preserve">Survey </t>
  </si>
  <si>
    <t>Survey Year</t>
  </si>
  <si>
    <t>Pill</t>
  </si>
  <si>
    <t>Injectable</t>
  </si>
  <si>
    <t>IUD</t>
  </si>
  <si>
    <t>Condom</t>
  </si>
  <si>
    <t>Implant</t>
  </si>
  <si>
    <t>MICS</t>
  </si>
  <si>
    <t>NS</t>
  </si>
  <si>
    <t>DHS</t>
  </si>
  <si>
    <t>DHS-P</t>
  </si>
  <si>
    <t>PAPFAM</t>
  </si>
  <si>
    <t>RHS</t>
  </si>
  <si>
    <t>DHS-M</t>
  </si>
  <si>
    <t>LSMS</t>
  </si>
  <si>
    <t>Source</t>
  </si>
  <si>
    <t>Bertrand et al 2012</t>
  </si>
  <si>
    <t>StatCompiler Feb2015</t>
  </si>
  <si>
    <t>mCPR-Any method</t>
  </si>
  <si>
    <t>Other Modern</t>
  </si>
  <si>
    <t>Survey Type</t>
  </si>
  <si>
    <t>Concatenated Name&amp;Year</t>
  </si>
  <si>
    <r>
      <t xml:space="preserve">Raw Country CPR &amp; Method Mix Data </t>
    </r>
    <r>
      <rPr>
        <i/>
        <sz val="16"/>
        <color theme="1"/>
        <rFont val="Calibri"/>
        <family val="2"/>
        <scheme val="minor"/>
      </rPr>
      <t>(Note: you can append additional data to bottom of table up to row 1000)</t>
    </r>
  </si>
  <si>
    <t>Standardized Country Name</t>
  </si>
  <si>
    <t xml:space="preserve">Overall Method Mix (Percent of all contraception users) </t>
  </si>
  <si>
    <t>Antigua and Barbuda</t>
  </si>
  <si>
    <t>Aruba</t>
  </si>
  <si>
    <t>Australia</t>
  </si>
  <si>
    <t>Austria</t>
  </si>
  <si>
    <t>Bahamas</t>
  </si>
  <si>
    <t>Bahrain</t>
  </si>
  <si>
    <t>Barbados</t>
  </si>
  <si>
    <t>Belgium</t>
  </si>
  <si>
    <t>Belize</t>
  </si>
  <si>
    <t>Bhutan</t>
  </si>
  <si>
    <t/>
  </si>
  <si>
    <t>Brunei Darussalam</t>
  </si>
  <si>
    <t>Bulgaria</t>
  </si>
  <si>
    <t>Canada</t>
  </si>
  <si>
    <t>Cabo Verde</t>
  </si>
  <si>
    <t>Hong Kong SAR China</t>
  </si>
  <si>
    <t>Macao SAR China</t>
  </si>
  <si>
    <t>Comoros</t>
  </si>
  <si>
    <t>Croatia</t>
  </si>
  <si>
    <t>Cyprus</t>
  </si>
  <si>
    <t>Denmark</t>
  </si>
  <si>
    <t>Djibouti</t>
  </si>
  <si>
    <t>Equatorial Guinea</t>
  </si>
  <si>
    <t>Estonia</t>
  </si>
  <si>
    <t>Fiji</t>
  </si>
  <si>
    <t>Finland</t>
  </si>
  <si>
    <t>France</t>
  </si>
  <si>
    <t>French Guiana</t>
  </si>
  <si>
    <t>French Polynesia</t>
  </si>
  <si>
    <t>Germany</t>
  </si>
  <si>
    <t>Greece</t>
  </si>
  <si>
    <t>Grenada</t>
  </si>
  <si>
    <t>Guadeloupe</t>
  </si>
  <si>
    <t>Guam</t>
  </si>
  <si>
    <t>Guyana</t>
  </si>
  <si>
    <t>Iceland</t>
  </si>
  <si>
    <t>Ireland</t>
  </si>
  <si>
    <t>Israel</t>
  </si>
  <si>
    <t>Italy</t>
  </si>
  <si>
    <t>Japan</t>
  </si>
  <si>
    <t>Kiribati</t>
  </si>
  <si>
    <t>Kuwait</t>
  </si>
  <si>
    <t>Latvia</t>
  </si>
  <si>
    <t>Libya</t>
  </si>
  <si>
    <t>Lithuania</t>
  </si>
  <si>
    <t>Luxembourg</t>
  </si>
  <si>
    <t>Maldives</t>
  </si>
  <si>
    <t>Malta</t>
  </si>
  <si>
    <t>Martinique</t>
  </si>
  <si>
    <t>Mayotte</t>
  </si>
  <si>
    <t>Micronesia Fed Sts</t>
  </si>
  <si>
    <t>Montenegro</t>
  </si>
  <si>
    <t>Netherlands</t>
  </si>
  <si>
    <t>New Caledonia</t>
  </si>
  <si>
    <t>New Zealand</t>
  </si>
  <si>
    <t>Norway</t>
  </si>
  <si>
    <t>Oman</t>
  </si>
  <si>
    <t>Papua New Guinea</t>
  </si>
  <si>
    <t>Poland</t>
  </si>
  <si>
    <t>Portugal</t>
  </si>
  <si>
    <t>Puerto Rico</t>
  </si>
  <si>
    <t>Qatar</t>
  </si>
  <si>
    <t>Korea Rep</t>
  </si>
  <si>
    <t>Reunion</t>
  </si>
  <si>
    <t>St Lucia</t>
  </si>
  <si>
    <t>St Vincent and the Grenadines</t>
  </si>
  <si>
    <t>Samoa</t>
  </si>
  <si>
    <t>Sao Tome and Principe</t>
  </si>
  <si>
    <t>Saudi Arabia</t>
  </si>
  <si>
    <t>Seychelles</t>
  </si>
  <si>
    <t>Singapore</t>
  </si>
  <si>
    <t>Slovak Republic</t>
  </si>
  <si>
    <t>Slovenia</t>
  </si>
  <si>
    <t>Solomon Islands</t>
  </si>
  <si>
    <t>Spain</t>
  </si>
  <si>
    <t>State of Palestine</t>
  </si>
  <si>
    <t>Suriname</t>
  </si>
  <si>
    <t>Sweden</t>
  </si>
  <si>
    <t>Switzerland</t>
  </si>
  <si>
    <t>Tonga</t>
  </si>
  <si>
    <t>Trinidad and Tobago</t>
  </si>
  <si>
    <t>United Arab Emirates</t>
  </si>
  <si>
    <t>United Kingdom</t>
  </si>
  <si>
    <t>United States</t>
  </si>
  <si>
    <t>Virgin Islands</t>
  </si>
  <si>
    <t>Vanuatu</t>
  </si>
  <si>
    <t>Venezuela RB</t>
  </si>
  <si>
    <t>Western Sahara</t>
  </si>
  <si>
    <t>Bolivia (Plurinational State of)</t>
  </si>
  <si>
    <t>China, Hong Kong SAR</t>
  </si>
  <si>
    <t>China, Macao SAR</t>
  </si>
  <si>
    <t>Congo</t>
  </si>
  <si>
    <t>Dem. People's Republic of Korea</t>
  </si>
  <si>
    <t>Democratic Republic of the Congo</t>
  </si>
  <si>
    <t>Egypt</t>
  </si>
  <si>
    <t>Iran (Islamic Republic of)</t>
  </si>
  <si>
    <t>Kyrgyzstan</t>
  </si>
  <si>
    <t>Lao People's Democratic Republic</t>
  </si>
  <si>
    <t>Micronesia (Fed. States of)</t>
  </si>
  <si>
    <t>Republic of Korea</t>
  </si>
  <si>
    <t>Republic of Moldova</t>
  </si>
  <si>
    <t>Réunion</t>
  </si>
  <si>
    <t>Saint Lucia</t>
  </si>
  <si>
    <t>Saint Vincent and the Grenadines</t>
  </si>
  <si>
    <t>Slovakia</t>
  </si>
  <si>
    <t>Syrian Arab Republic</t>
  </si>
  <si>
    <t>TFYR Macedonia</t>
  </si>
  <si>
    <t>United Republic of Tanzania</t>
  </si>
  <si>
    <t>United States of America</t>
  </si>
  <si>
    <t>United States Virgin Islands</t>
  </si>
  <si>
    <t>Venezuela (Bolivarian Republic of)</t>
  </si>
  <si>
    <t>Yemen</t>
  </si>
  <si>
    <t>Index</t>
  </si>
  <si>
    <t>Region, subregion, country or area *</t>
  </si>
  <si>
    <t>Reference date (as of 1 July)</t>
  </si>
  <si>
    <t>WORLD</t>
  </si>
  <si>
    <t>More developed regions</t>
  </si>
  <si>
    <t>Less developed regions</t>
  </si>
  <si>
    <t>Least developed countries</t>
  </si>
  <si>
    <t>Less developed regions, excluding least developed countries</t>
  </si>
  <si>
    <t>Less developed regions, excluding China</t>
  </si>
  <si>
    <t>High-income countries</t>
  </si>
  <si>
    <t>Middle-income countries</t>
  </si>
  <si>
    <t>Upper-middle-income countries</t>
  </si>
  <si>
    <t>Lower-middle-income countries</t>
  </si>
  <si>
    <t>Low-income countries</t>
  </si>
  <si>
    <t>Sub-Saharan Africa</t>
  </si>
  <si>
    <t>AFRICA</t>
  </si>
  <si>
    <t>Eastern Africa</t>
  </si>
  <si>
    <t>Middle Africa</t>
  </si>
  <si>
    <t>Northern Africa</t>
  </si>
  <si>
    <t>Southern Africa</t>
  </si>
  <si>
    <t>Western Africa</t>
  </si>
  <si>
    <t>ASIA</t>
  </si>
  <si>
    <t>Eastern Asia</t>
  </si>
  <si>
    <t>China, Taiwan Province of China</t>
  </si>
  <si>
    <t>South-Central Asia</t>
  </si>
  <si>
    <t>Central Asia</t>
  </si>
  <si>
    <t>Southern Asia</t>
  </si>
  <si>
    <t>South-Eastern Asia</t>
  </si>
  <si>
    <t>Western Asia</t>
  </si>
  <si>
    <t>EUROPE</t>
  </si>
  <si>
    <t>Eastern Europe</t>
  </si>
  <si>
    <t>Czechia</t>
  </si>
  <si>
    <t>Northern Europe</t>
  </si>
  <si>
    <t>Channel Islands</t>
  </si>
  <si>
    <t>Southern Europe</t>
  </si>
  <si>
    <t>Western Europe</t>
  </si>
  <si>
    <t>LATIN AMERICA AND THE CARIBBEAN</t>
  </si>
  <si>
    <t>Caribbean</t>
  </si>
  <si>
    <t>Curaçao</t>
  </si>
  <si>
    <t>Central America</t>
  </si>
  <si>
    <t>South America</t>
  </si>
  <si>
    <t>NORTHERN AMERICA</t>
  </si>
  <si>
    <t>OCEANIA</t>
  </si>
  <si>
    <t>Australia/New Zealand</t>
  </si>
  <si>
    <t>Melanesia</t>
  </si>
  <si>
    <t>Micronesia</t>
  </si>
  <si>
    <t>Polynesia</t>
  </si>
  <si>
    <t>Women of reproductive Age (age 15-49)</t>
  </si>
  <si>
    <t>Total WRA</t>
  </si>
  <si>
    <t>Suggested citation: United Nations, Department of Economic and Social Affairs, Population Division (2013). World Population Prospects: The 2012 Revision, DVD Edition.</t>
  </si>
  <si>
    <t>Most Recent Demographic Survey Year</t>
  </si>
  <si>
    <r>
      <t xml:space="preserve">2015 Population - WRA </t>
    </r>
    <r>
      <rPr>
        <i/>
        <sz val="11"/>
        <color theme="1"/>
        <rFont val="Calibri"/>
        <family val="2"/>
        <scheme val="minor"/>
      </rPr>
      <t>(Women aged 15-49)</t>
    </r>
  </si>
  <si>
    <t>Summary of Country Population, CPR &amp; Method Mix Data</t>
  </si>
  <si>
    <t>Optional: Percent of country's population included in this analysis</t>
  </si>
  <si>
    <t>Optional: Country included in this analysis</t>
  </si>
  <si>
    <t>Other modern methods</t>
  </si>
  <si>
    <t>Male &amp; Female condoms</t>
  </si>
  <si>
    <r>
      <rPr>
        <b/>
        <sz val="11"/>
        <color theme="1"/>
        <rFont val="Calibri"/>
        <family val="2"/>
        <scheme val="minor"/>
      </rPr>
      <t>Overall Number of Women of Reproductive Age (WRA) included in analysis</t>
    </r>
    <r>
      <rPr>
        <sz val="11"/>
        <color theme="1"/>
        <rFont val="Calibri"/>
        <family val="2"/>
        <scheme val="minor"/>
      </rPr>
      <t xml:space="preserve">
</t>
    </r>
    <r>
      <rPr>
        <i/>
        <sz val="11"/>
        <color theme="1"/>
        <rFont val="Calibri"/>
        <family val="2"/>
        <scheme val="minor"/>
      </rPr>
      <t>-- Typically includes all women between the ages of 15 and 49 years</t>
    </r>
    <r>
      <rPr>
        <sz val="11"/>
        <color theme="1"/>
        <rFont val="Calibri"/>
        <family val="2"/>
        <scheme val="minor"/>
      </rPr>
      <t xml:space="preserve">
</t>
    </r>
    <r>
      <rPr>
        <i/>
        <sz val="11"/>
        <color theme="1"/>
        <rFont val="Calibri"/>
        <family val="2"/>
        <scheme val="minor"/>
      </rPr>
      <t>-- Model default data uses U.N. population estimates from 2015</t>
    </r>
  </si>
  <si>
    <t xml:space="preserve">Product </t>
  </si>
  <si>
    <t>Estimated Unit Volume (m^3)*</t>
  </si>
  <si>
    <t>Unit Volume - conservative (m^3)</t>
  </si>
  <si>
    <t>1. Copper T 380 A</t>
  </si>
  <si>
    <t>2. Jadelle</t>
  </si>
  <si>
    <t>3. Dépo-Provera</t>
  </si>
  <si>
    <t>4. Noristérat</t>
  </si>
  <si>
    <t>5. Microgynon 30</t>
  </si>
  <si>
    <t>6. Exluton</t>
  </si>
  <si>
    <t>7. Condom M No logo</t>
  </si>
  <si>
    <t>8. Femidom</t>
  </si>
  <si>
    <t>9. Postinor</t>
  </si>
  <si>
    <t>Box of 144</t>
  </si>
  <si>
    <t>Unit CYP (descriptive)</t>
  </si>
  <si>
    <t>Unit CYP</t>
  </si>
  <si>
    <t>4.6 years per IUD inserted</t>
  </si>
  <si>
    <t>3.8 years per Implant</t>
  </si>
  <si>
    <t>4 injections per year</t>
  </si>
  <si>
    <t>6 injections per year</t>
  </si>
  <si>
    <t>15 plaquettes per year</t>
  </si>
  <si>
    <t>120 condoms per year</t>
  </si>
  <si>
    <t>20 plaquettes per year</t>
  </si>
  <si>
    <t>* Couple Years Protection = estimated number of years of contraceptive protection provided by one unit of a particular contraceptive type</t>
  </si>
  <si>
    <t>Source: USAID https://www.usaid.gov/what-we-do/global-health/family-planning/couple-years-protection-cyp</t>
  </si>
  <si>
    <t>Contraceptive Method Type</t>
  </si>
  <si>
    <t>Relative "market share" within Method Type</t>
  </si>
  <si>
    <t>Raw Data: Total Women of Reproductive Age by Country/Region</t>
  </si>
  <si>
    <t>Estimated Unit Volumes for Reproductive Health products</t>
  </si>
  <si>
    <t>Estimated Unit Couple Years Protection (CYP)* values for Reproductive Health products</t>
  </si>
  <si>
    <t>Male condom, standard</t>
  </si>
  <si>
    <t>Piece</t>
  </si>
  <si>
    <t>Set</t>
  </si>
  <si>
    <t>Cycle</t>
  </si>
  <si>
    <t>Levonorgestrel 0.03mg</t>
  </si>
  <si>
    <t>Lynestrenol 0.5mg</t>
  </si>
  <si>
    <t>Norethindrone 350mg</t>
  </si>
  <si>
    <t>Desogestrel 0.15mg + Ethinyle Estradiol 0.03mg</t>
  </si>
  <si>
    <t>Pack</t>
  </si>
  <si>
    <t>Levonorgestrel 0.75mg x2</t>
  </si>
  <si>
    <t>Levonorgestrel 1.5mg</t>
  </si>
  <si>
    <t>Vial</t>
  </si>
  <si>
    <t>Norethisterone enanthate 200mg</t>
  </si>
  <si>
    <t>Ampoule</t>
  </si>
  <si>
    <t>Norethisterone enanthate 50mg + Estradriol valerate 5mg</t>
  </si>
  <si>
    <t>Etonogestrel 68mg x 1</t>
  </si>
  <si>
    <t>Levonorgestrel 75mg x 2</t>
  </si>
  <si>
    <t>Male condom, special</t>
  </si>
  <si>
    <t>Female condom, latex sheath, sponge, 145mm</t>
  </si>
  <si>
    <t>Female condom, latex sheath, ring, 170mm</t>
  </si>
  <si>
    <t>Female condom, nitrile sheath, ring, 175mm</t>
  </si>
  <si>
    <t>TcU380A Copper IUD</t>
  </si>
  <si>
    <t>Levonorgestrel 0.15mg + Ethinyle Estriadole 0.03mg</t>
  </si>
  <si>
    <t>Sterile Medroxyprogesterone (104mg/0.65ml)</t>
  </si>
  <si>
    <t>Medroxyprogesterone acetate (150mg/ml)</t>
  </si>
  <si>
    <t>Etonogestrel 68mg x 1 TPP</t>
  </si>
  <si>
    <t>Product</t>
  </si>
  <si>
    <t>Injection</t>
  </si>
  <si>
    <t>Source: UNFPA Contraceptives Price Indicator Year 2017: Key Contraceptives Cost and Comparison</t>
  </si>
  <si>
    <t>Unit of Measure</t>
  </si>
  <si>
    <t>CYP per Unit</t>
  </si>
  <si>
    <t>Raw Data: Estimated Unit Prices and Couple Years' Protection (CYP) for Reproductive Health Products</t>
  </si>
  <si>
    <t>MIN Unit Cost</t>
  </si>
  <si>
    <t>AVG Unit Cost</t>
  </si>
  <si>
    <t>MAX Unit Cost</t>
  </si>
  <si>
    <t>AVG Cost per CYP</t>
  </si>
  <si>
    <t>Total CYP procured 2017)</t>
  </si>
  <si>
    <t>Summary of Price, Volume, and CYP data per Method Type</t>
  </si>
  <si>
    <t>Method Type</t>
  </si>
  <si>
    <t>MAX Cost per CYP</t>
  </si>
  <si>
    <t>MIN Cost per CYP</t>
  </si>
  <si>
    <t>AVG Unit Volume</t>
  </si>
  <si>
    <t>MIN Unit Volume</t>
  </si>
  <si>
    <t>MAX Unit Volume</t>
  </si>
  <si>
    <t>MIN Volume per CYP</t>
  </si>
  <si>
    <t>AVG Volume per CYP</t>
  </si>
  <si>
    <t>MAX Volume per CYP</t>
  </si>
  <si>
    <t>Min Weighted Volume per CYP</t>
  </si>
  <si>
    <t>Avg Weighted Volume per CYP</t>
  </si>
  <si>
    <t>Max Weighted Volume per CYP</t>
  </si>
  <si>
    <t>Min Weighted Price per CYP</t>
  </si>
  <si>
    <t>Avg Weighted Price per CYP</t>
  </si>
  <si>
    <t>Max Weighted Price per CYP</t>
  </si>
  <si>
    <t>Other (Use Overall Weighted Avg)</t>
  </si>
  <si>
    <t>Packaged volume per CYP (cm^3)</t>
  </si>
  <si>
    <t>Product cost per CYP ($USD)</t>
  </si>
  <si>
    <t>Product Cost: Use Minimum, Average, or Maximum data points?</t>
  </si>
  <si>
    <t>Packaged Volumes: Use Minimum, Average, or Maximum data points?</t>
  </si>
  <si>
    <t>Other modern methods (Default data uses overall weighted average of other five method types)</t>
  </si>
  <si>
    <t>#WRA using method</t>
  </si>
  <si>
    <t>#CYP Annual Demand</t>
  </si>
  <si>
    <t>Step 3: Calculate Estimated Consumption of Reproductive Health Commodities</t>
  </si>
  <si>
    <t>Estimated annual cost ($) of demand volume</t>
  </si>
  <si>
    <t>TOTALS:</t>
  </si>
  <si>
    <r>
      <t xml:space="preserve">Assumed wastage rate of procured commodities </t>
    </r>
    <r>
      <rPr>
        <i/>
        <sz val="11"/>
        <color theme="1"/>
        <rFont val="Calibri"/>
        <family val="2"/>
        <scheme val="minor"/>
      </rPr>
      <t>(% of commodities procured that are not administered to clients due to loss, expiry, etc)</t>
    </r>
  </si>
  <si>
    <t>#CYP Annual Demand, adjusted for wastage</t>
  </si>
  <si>
    <t>Estimated total annual demand volume (m^3)</t>
  </si>
  <si>
    <r>
      <rPr>
        <b/>
        <sz val="11"/>
        <color theme="1"/>
        <rFont val="Calibri"/>
        <family val="2"/>
        <scheme val="minor"/>
      </rPr>
      <t>Overall Contraceptive Prevalence Rate (CPR) for any method of contraception</t>
    </r>
    <r>
      <rPr>
        <sz val="11"/>
        <color theme="1"/>
        <rFont val="Calibri"/>
        <family val="2"/>
        <scheme val="minor"/>
      </rPr>
      <t xml:space="preserve">
</t>
    </r>
    <r>
      <rPr>
        <i/>
        <sz val="11"/>
        <color theme="1"/>
        <rFont val="Calibri"/>
        <family val="2"/>
        <scheme val="minor"/>
      </rPr>
      <t xml:space="preserve"> -- Default model data uses CPR among married women since it is more widely available, but ideally this rate would factor in both married and unmarried women
 -- If CPR data is method-specific, then enter 100% here and enter that data in the "Method Mix" section below</t>
    </r>
  </si>
  <si>
    <r>
      <rPr>
        <b/>
        <sz val="11"/>
        <color theme="1"/>
        <rFont val="Calibri"/>
        <family val="2"/>
        <scheme val="minor"/>
      </rPr>
      <t>Method mix (MM) for specific types of modern contraception</t>
    </r>
    <r>
      <rPr>
        <sz val="11"/>
        <color theme="1"/>
        <rFont val="Calibri"/>
        <family val="2"/>
        <scheme val="minor"/>
      </rPr>
      <t xml:space="preserve">
</t>
    </r>
    <r>
      <rPr>
        <i/>
        <sz val="11"/>
        <color theme="1"/>
        <rFont val="Calibri"/>
        <family val="2"/>
        <scheme val="minor"/>
      </rPr>
      <t>-- Percentage of all contraceptive users who use the specified method 
--NOTE: percentages do not need to sum to 100% if CPR value above includes traditional methods</t>
    </r>
  </si>
  <si>
    <t>PRA</t>
  </si>
  <si>
    <t>PNA(National)</t>
  </si>
  <si>
    <t>Axe</t>
  </si>
  <si>
    <t>Région</t>
  </si>
  <si>
    <t>District sanitaire</t>
  </si>
  <si>
    <t>Distance AS PRA-DD</t>
  </si>
  <si>
    <t>Distance A/R PRA-DD</t>
  </si>
  <si>
    <t>Nuitées JN</t>
  </si>
  <si>
    <t>Distance boucle DD-PPSs</t>
  </si>
  <si>
    <t>Nombre de PPS</t>
  </si>
  <si>
    <t>Distance moyenne/PPS</t>
  </si>
  <si>
    <t>Number of SDPs delivered/day</t>
  </si>
  <si>
    <t>PRA de référence</t>
  </si>
  <si>
    <t>District Sanitaire</t>
  </si>
  <si>
    <t>Km</t>
  </si>
  <si>
    <t>unités</t>
  </si>
  <si>
    <t>Unités</t>
  </si>
  <si>
    <t>Dakar</t>
  </si>
  <si>
    <t>Kaffrine</t>
  </si>
  <si>
    <t>Sedhiou</t>
  </si>
  <si>
    <t>Kedougou</t>
  </si>
  <si>
    <t>Nombre de districts sanitaires</t>
  </si>
  <si>
    <t>Distance boucle A/R PRA-&gt;DD</t>
  </si>
  <si>
    <t># jours supervision PNA</t>
  </si>
  <si>
    <t># nuitées supervision PNA</t>
  </si>
  <si>
    <t xml:space="preserve">Nombre de PPS par région </t>
  </si>
  <si>
    <t>Nombre de PPS livrables par jour depuis la PRA</t>
  </si>
  <si>
    <t>Nuitées livraison PRA &gt; PPS</t>
  </si>
  <si>
    <t>Distance Boucle A/R PRA-&gt;PPS</t>
  </si>
  <si>
    <t>Jours/an</t>
  </si>
  <si>
    <t>Jours</t>
  </si>
  <si>
    <t>Distance PRA-District</t>
  </si>
  <si>
    <t>Distance District-SDP</t>
  </si>
  <si>
    <t>NumFacilities - Districts</t>
  </si>
  <si>
    <t>NumFacilities - SDPs</t>
  </si>
  <si>
    <t>&lt;--- Adjust Circuity Factor Until Facility "distance to upstream supplier" matches this value</t>
  </si>
  <si>
    <t>See calcluation Table to the Right</t>
  </si>
  <si>
    <t>Circuity Factor</t>
  </si>
  <si>
    <t>Distance PNA-PRA</t>
  </si>
  <si>
    <t>&lt;--- Adjust Circuity Factor Until PRA "distance to upstream supplier" matches this value</t>
  </si>
  <si>
    <t>Distance/Circuity Factor Calculations</t>
  </si>
  <si>
    <t>How many times per year does this additional travel typically occur? (Note: if left blank, model will default to the number of shipments per year as the value used here)</t>
  </si>
  <si>
    <t>Camion 60m^3 capacity</t>
  </si>
  <si>
    <t>Camion 30m^3 capacity</t>
  </si>
  <si>
    <t>Toyota Land Cruiser Prado</t>
  </si>
  <si>
    <t>Maintenance costs per km traveled Delivery</t>
  </si>
  <si>
    <t>Parameters</t>
  </si>
  <si>
    <t>Cost/L Fuel</t>
  </si>
  <si>
    <t>L/Km JN</t>
  </si>
  <si>
    <t>L/Kn YN</t>
  </si>
  <si>
    <t>Routing Coeff</t>
  </si>
  <si>
    <t>Km Traveled/Mo</t>
  </si>
  <si>
    <t>Total flotte/Mo</t>
  </si>
  <si>
    <t>Total Carburant/Mo</t>
  </si>
  <si>
    <t>Total Amortissement/MO</t>
  </si>
  <si>
    <t>Maintenance/Mo</t>
  </si>
  <si>
    <t>Pick-up Maintenance cost/km</t>
  </si>
  <si>
    <t>Camion maintenance cost/km</t>
  </si>
  <si>
    <t>Number of Days to Complete Deliveries</t>
  </si>
  <si>
    <t>Avg days/mo</t>
  </si>
  <si>
    <t>Avg % time spent on SC</t>
  </si>
  <si>
    <t>Avg % vehicle allocated to SC</t>
  </si>
  <si>
    <t>* 1-([Average # Days spent on IPM per adminisrative region per month]/[Total working days per month])</t>
  </si>
  <si>
    <t>* Assume 1 per administrative unit of the supplier (e.g. Region, District)</t>
  </si>
  <si>
    <t>% of delivery days that involve overnight stays</t>
  </si>
  <si>
    <t xml:space="preserve">Assumption1: 10,000/day baseline perdiem from Modelisation de couts --&gt; Autres --&gt; Forfait repas
</t>
  </si>
  <si>
    <t>Assumption2: adding 200/day to account for overnight stays = average of 20,000 per night x 1% of travel days needing overnight stay</t>
  </si>
  <si>
    <t>from Model Economique English Output</t>
  </si>
  <si>
    <t>Assume 20km between clinics  and 0.875hrs (time from McKinsey english model estimate - semi-urban)</t>
  </si>
  <si>
    <t>Assume higher levels have access to faster tarmac roads</t>
  </si>
  <si>
    <r>
      <t xml:space="preserve">Value used in model </t>
    </r>
    <r>
      <rPr>
        <i/>
        <sz val="11"/>
        <color theme="1"/>
        <rFont val="Calibri"/>
        <family val="2"/>
        <scheme val="minor"/>
      </rPr>
      <t>(default values from UNFPA 2017 Procurement Data)</t>
    </r>
  </si>
  <si>
    <t>Step 2: Input Product Volume, Value, and CYP data</t>
  </si>
  <si>
    <r>
      <t xml:space="preserve">Value used in model </t>
    </r>
    <r>
      <rPr>
        <i/>
        <sz val="11"/>
        <color theme="1"/>
        <rFont val="Calibri"/>
        <family val="2"/>
        <scheme val="minor"/>
      </rPr>
      <t>(default values from DHS survey and 2015 World Bank Projections)</t>
    </r>
  </si>
  <si>
    <t>Step 1: Input Population Demographic Data</t>
  </si>
  <si>
    <r>
      <rPr>
        <b/>
        <sz val="11"/>
        <color theme="1"/>
        <rFont val="Calibri"/>
        <family val="2"/>
        <scheme val="minor"/>
      </rPr>
      <t>Calculation method for vaccine procurement values</t>
    </r>
    <r>
      <rPr>
        <sz val="11"/>
        <color theme="1"/>
        <rFont val="Calibri"/>
        <family val="2"/>
        <scheme val="minor"/>
      </rPr>
      <t xml:space="preserve">
     </t>
    </r>
    <r>
      <rPr>
        <i/>
        <sz val="11"/>
        <color theme="1"/>
        <rFont val="Calibri"/>
        <family val="2"/>
        <scheme val="minor"/>
      </rPr>
      <t xml:space="preserve">Each vaccine presentation has up to several price data points in the
     raw data table. Do you want to use the average, minimum, or maximum
     of these data points? </t>
    </r>
  </si>
  <si>
    <r>
      <t xml:space="preserve">Default wastage rate for injection syringes
</t>
    </r>
    <r>
      <rPr>
        <i/>
        <sz val="11"/>
        <color theme="1"/>
        <rFont val="Calibri"/>
        <family val="2"/>
        <scheme val="minor"/>
      </rPr>
      <t xml:space="preserve">     Percent of syringes procured that are never administered 
     due to breakage/wastage. WHO EVM default rate is 11% </t>
    </r>
  </si>
  <si>
    <t>Reproductive Health</t>
  </si>
  <si>
    <t>Total cold-chain volume for target population (m³)</t>
  </si>
  <si>
    <t>Total ambient temperature volume for target population (m³)</t>
  </si>
  <si>
    <t>MK: If they truly have 3 vehicles for the delivery loops then 7 years is too long….they're depreciating almost 1 vehicle per year based on number of KM traveled</t>
  </si>
  <si>
    <t>cMYP suggests default maintenance cost of 15% x Fuel Costs</t>
  </si>
  <si>
    <t>Storage Costs per cbm cold chain and ambient capacity</t>
  </si>
  <si>
    <t>CC ONLY</t>
  </si>
  <si>
    <t>CC+Ambient</t>
  </si>
  <si>
    <t>Ambient Only</t>
  </si>
  <si>
    <t>CC Capacity total</t>
  </si>
  <si>
    <t>Ambient Capacity</t>
  </si>
  <si>
    <t>CC Purchase cost/m^3 CC</t>
  </si>
  <si>
    <t>CC Depreciation annual/m^3 CC</t>
  </si>
  <si>
    <t>CC Maintenance Cost annual/total m^3</t>
  </si>
  <si>
    <t xml:space="preserve"> Building Depreciation</t>
  </si>
  <si>
    <t>Building OpEx</t>
  </si>
  <si>
    <t>% of total CC Capacity used for EPI</t>
  </si>
  <si>
    <t>% of total ambient capacity</t>
  </si>
  <si>
    <t>Total EPI CC Cap</t>
  </si>
  <si>
    <t>Total Amb Cap</t>
  </si>
  <si>
    <t>Estimating Facility-level Gas Consumption</t>
  </si>
  <si>
    <t>Estimating Facility-level Building Depreciation costs</t>
  </si>
  <si>
    <t>Assumption: $25,000 cost of new health clinic  (estimated based on CMYP values for EPI office space)</t>
  </si>
  <si>
    <t>Assumed mix of fridge types</t>
  </si>
  <si>
    <t>Kerosene</t>
  </si>
  <si>
    <t>Assumption: 25 year useful life (based on CMYP values)</t>
  </si>
  <si>
    <t xml:space="preserve">(From cMYP --&gt;Data Entry </t>
  </si>
  <si>
    <t>Electric/Gas</t>
  </si>
  <si>
    <t>Assumption: 10% facility space allocated to immunization activities (e.g. 2 days per month)</t>
  </si>
  <si>
    <t>Assume "Electric/Gas" split 50/50</t>
  </si>
  <si>
    <t>Solar</t>
  </si>
  <si>
    <t>Building Cost</t>
  </si>
  <si>
    <t>Useful Life</t>
  </si>
  <si>
    <t>Liters of fuel per year per kerosene/gas fridge:</t>
  </si>
  <si>
    <t>Percent Immunization</t>
  </si>
  <si>
    <t>Liters of fuel per year per m^3 storage space</t>
  </si>
  <si>
    <t>Weighted Avg Liters kerosene/gas consuption per m^3 capacity</t>
  </si>
  <si>
    <t>Annual Depreciation per clinic</t>
  </si>
  <si>
    <t>Weighted Avg Operating cost per m^3 capcity</t>
  </si>
  <si>
    <t>Immunization Depreciation per clinic</t>
  </si>
  <si>
    <t>Weighted Avg adjusted for Ambient Capacity</t>
  </si>
  <si>
    <t>Adjusted for storage capacity</t>
  </si>
  <si>
    <t>Doses/vial</t>
  </si>
  <si>
    <t>Vaccine</t>
  </si>
  <si>
    <t>Manufacturer</t>
  </si>
  <si>
    <t>2018 price per dose</t>
  </si>
  <si>
    <t>GreenSignal Bio Pharma Pvt Ltd</t>
  </si>
  <si>
    <t>Intervax Ltd.</t>
  </si>
  <si>
    <t>Serum Institute of India Pvt Ltd.</t>
  </si>
  <si>
    <t>P.T. Bio Farma (Persero)</t>
  </si>
  <si>
    <t>Biological E</t>
  </si>
  <si>
    <t>Shantha Biotechnics Ltd</t>
  </si>
  <si>
    <t>UNICEF 2018 Long-term Agreement Vaccine Price Data</t>
  </si>
  <si>
    <t>Source: UNICEF Supplies &amp; Logistics Vaccine Price Data   https://www.unicef.org/supply/index_57476.html</t>
  </si>
  <si>
    <t>GlaxoSmithKline Biologicals</t>
  </si>
  <si>
    <t>Merck Sharpe and Dome Corp</t>
  </si>
  <si>
    <t>Bilthoven Biologicals</t>
  </si>
  <si>
    <t>Bilthoven Biologicals/Serum Institute of India</t>
  </si>
  <si>
    <t>Shantha Biotechnics</t>
  </si>
  <si>
    <t>* Assume 1.155 USD per Euro average for 2018</t>
  </si>
  <si>
    <t>Sanofi Pasteur (tier 1)</t>
  </si>
  <si>
    <t>Sanofi Pasteur (GAVI)</t>
  </si>
  <si>
    <t>Sanofi Pasteur (tier 2)</t>
  </si>
  <si>
    <t>Sanofi Pasteur (tier 3)</t>
  </si>
  <si>
    <t>CDIBP</t>
  </si>
  <si>
    <t>Bio Manguinhos / Finlay Institute</t>
  </si>
  <si>
    <t>GlaxoSmithKline Biologicals S.A</t>
  </si>
  <si>
    <t>EuBiologics Co., Ltd.</t>
  </si>
  <si>
    <t>Bharat Biotech</t>
  </si>
  <si>
    <t>Beijing Bio-Institute Biological</t>
  </si>
  <si>
    <t>Haffkine Bio-Pharmaceutical Corp</t>
  </si>
  <si>
    <t>Pfizer Inc.</t>
  </si>
  <si>
    <t>** Last known price from 2016</t>
  </si>
  <si>
    <t>Merck &amp; Co.</t>
  </si>
  <si>
    <t>** First offered in 2019; using 2019 price</t>
  </si>
  <si>
    <t>BE Vaccines Pte Ltd</t>
  </si>
  <si>
    <t>FSUE of Chumakov IPVE, RAMS</t>
  </si>
  <si>
    <t>Institut Pasteur de Dakar</t>
  </si>
  <si>
    <t>Price per unit</t>
  </si>
  <si>
    <r>
      <t xml:space="preserve">Values used in Model </t>
    </r>
    <r>
      <rPr>
        <i/>
        <sz val="11"/>
        <color theme="1"/>
        <rFont val="Calibri"/>
        <family val="2"/>
        <scheme val="minor"/>
      </rPr>
      <t>(default values from UNICEF price data)</t>
    </r>
  </si>
  <si>
    <t>Price per dose (USD)</t>
  </si>
  <si>
    <t>DTP-HepB-Hib-lyo</t>
  </si>
  <si>
    <t>AD Syringe</t>
  </si>
  <si>
    <t>Amson Vaccines &amp; Pharma Pvt Ltd</t>
  </si>
  <si>
    <t>Anhui Tiangkan Medical Products</t>
  </si>
  <si>
    <t>Becton Dickinson International</t>
  </si>
  <si>
    <t>Helm Medical GmbH</t>
  </si>
  <si>
    <t>Hindustan Syringes &amp; Medical Devices Ltd</t>
  </si>
  <si>
    <t>KD Medical GmbH Hospital Products</t>
  </si>
  <si>
    <t>Size</t>
  </si>
  <si>
    <t>0.5ml</t>
  </si>
  <si>
    <t>Type of injection product</t>
  </si>
  <si>
    <t>0.05ml</t>
  </si>
  <si>
    <t>0.1ml</t>
  </si>
  <si>
    <t>Safety Box</t>
  </si>
  <si>
    <t>5L</t>
  </si>
  <si>
    <t>Smurfit Kappa Lagamill AB/ Smurfit Kappa Sverige AB</t>
  </si>
  <si>
    <t>Reconstitution Syringe</t>
  </si>
  <si>
    <t>5ml</t>
  </si>
  <si>
    <t>** Could not find UNICEF Price data so assuming $0.05 per syringe</t>
  </si>
  <si>
    <t>** No UNICEF price data available; assume similar price to AD syringe</t>
  </si>
  <si>
    <t>Total value (USD) of cold chain &amp; ambient supplies</t>
  </si>
  <si>
    <t>Vaccine Price per dose ($USD)</t>
  </si>
  <si>
    <t>Cost per dose for injection materials ($USD)</t>
  </si>
  <si>
    <t>Volume of vaccines required, per fully immunized child (cm³)</t>
  </si>
  <si>
    <t>Volume of diluents required, per fully immunized child (cm³)</t>
  </si>
  <si>
    <t>Volume of injection syringes required, per fully immunized child (cm³)</t>
  </si>
  <si>
    <t>Volume of reconstitution syringes required, per fully immunized child (cm³)</t>
  </si>
  <si>
    <t>Safety box volume required, per fully immunized child (cm³)</t>
  </si>
  <si>
    <t>Cercado</t>
  </si>
  <si>
    <t>Bermejo</t>
  </si>
  <si>
    <t>Entre Rios</t>
  </si>
  <si>
    <t>Padcaya</t>
  </si>
  <si>
    <t>Villa Montes</t>
  </si>
  <si>
    <t>Yacuiba</t>
  </si>
  <si>
    <t>Yunchara</t>
  </si>
  <si>
    <t>FR Name</t>
  </si>
  <si>
    <t>Y</t>
  </si>
  <si>
    <t>Delivers to SDPs?</t>
  </si>
  <si>
    <t># SDPs</t>
  </si>
  <si>
    <t># Order Periods/yr</t>
  </si>
  <si>
    <t>CS/PS Name</t>
  </si>
  <si>
    <t>Pampa Redonda</t>
  </si>
  <si>
    <t>Papachacra</t>
  </si>
  <si>
    <t>Yesera Norte</t>
  </si>
  <si>
    <t>Santa Ana</t>
  </si>
  <si>
    <t>Alto Espana</t>
  </si>
  <si>
    <t>Los Pinos</t>
  </si>
  <si>
    <t>Aranjuez</t>
  </si>
  <si>
    <t>Junacas</t>
  </si>
  <si>
    <t>Barredero</t>
  </si>
  <si>
    <t>Colonia Linares</t>
  </si>
  <si>
    <t>Moto Mendez</t>
  </si>
  <si>
    <t>Campo Grande</t>
  </si>
  <si>
    <t>Valle del Medio</t>
  </si>
  <si>
    <t>Serere Sud</t>
  </si>
  <si>
    <t>Pampa Redonda ER</t>
  </si>
  <si>
    <t>Chiquiaca</t>
  </si>
  <si>
    <t>Vallecito los Lapachos</t>
  </si>
  <si>
    <t>Salinas</t>
  </si>
  <si>
    <t>La Cueva</t>
  </si>
  <si>
    <t>Padacaya</t>
  </si>
  <si>
    <t>San Roque</t>
  </si>
  <si>
    <t>San Telmo</t>
  </si>
  <si>
    <t>Valle Dorado</t>
  </si>
  <si>
    <t>El Limal</t>
  </si>
  <si>
    <t>Rejara</t>
  </si>
  <si>
    <t>La Huerta</t>
  </si>
  <si>
    <t>Camacho</t>
  </si>
  <si>
    <t>Capirendita</t>
  </si>
  <si>
    <t>Cutarqui</t>
  </si>
  <si>
    <t>Ibibobo</t>
  </si>
  <si>
    <t>Resistencia</t>
  </si>
  <si>
    <t>Esmeralda</t>
  </si>
  <si>
    <t>Pocitos</t>
  </si>
  <si>
    <t>Sanandita</t>
  </si>
  <si>
    <t>Tierras Nuevas</t>
  </si>
  <si>
    <t>Yaguacua</t>
  </si>
  <si>
    <t>Barrio Nuevo</t>
  </si>
  <si>
    <t>Caiza</t>
  </si>
  <si>
    <t>El Palmar</t>
  </si>
  <si>
    <t>Huayllajara</t>
  </si>
  <si>
    <t>Type of Vehicle</t>
  </si>
  <si>
    <t>Public Transport</t>
  </si>
  <si>
    <t>cuadratrac</t>
  </si>
  <si>
    <t># Order Periods/year</t>
  </si>
  <si>
    <t>Ambulance</t>
  </si>
  <si>
    <t>Distance (km) One-Way</t>
  </si>
  <si>
    <t>moto y flota</t>
  </si>
  <si>
    <t>amb &amp; pub trans</t>
  </si>
  <si>
    <t>camioneta</t>
  </si>
  <si>
    <t>ambulance</t>
  </si>
  <si>
    <t>AVERAGES:</t>
  </si>
  <si>
    <t>from Costing Study Surveys, "Costos de Transporte 4" section</t>
  </si>
  <si>
    <t>3.74 Bolivianos x 0.145 bolivianos per dollar</t>
  </si>
  <si>
    <t>CS/PS Responsable</t>
  </si>
  <si>
    <t>CS/PS Storage Avg Salary</t>
  </si>
  <si>
    <t>FIM Storage Avg Salary</t>
  </si>
  <si>
    <t>Chofer</t>
  </si>
  <si>
    <t>Auxilir de enfermeria</t>
  </si>
  <si>
    <t>Apoyo tecnico</t>
  </si>
  <si>
    <t>FIM Responsible</t>
  </si>
  <si>
    <t>Farmaceutica/Medico</t>
  </si>
  <si>
    <t>Responsable Laborotorio</t>
  </si>
  <si>
    <t>Odontologo</t>
  </si>
  <si>
    <t>Average number of FTE (full-time equivalent) who pick and process inventory per warehouse</t>
  </si>
  <si>
    <t>From SUMMARY_MK worksheet - based on estimates for Avg # People working in each location x  Avg hrs/wk worked</t>
  </si>
  <si>
    <t>Cost as % commodity value</t>
  </si>
  <si>
    <t>From Bolivia Surveys workbook, "Cost SC Sample" worksheet</t>
  </si>
  <si>
    <t>From SUMMARY_MK worksheet - Total Admin/Mgmt/Support costs as % of commodity value - All Products</t>
  </si>
  <si>
    <t>See estimates to the right of this worksheet</t>
  </si>
  <si>
    <t>Not mentioned in Bolivia Surveys; pulled from DRC template</t>
  </si>
  <si>
    <t>Survey appeared to assume 365 working days/yr; this model calibrated labor costs to a 260 day working year</t>
  </si>
  <si>
    <t>weighted average of vehicles listed in survey</t>
  </si>
  <si>
    <t>Assumed based on general experience</t>
  </si>
  <si>
    <t>from "FlujoMedicFIM REF MUESTRA" worksheet; Average of count of products listed</t>
  </si>
  <si>
    <t>from "FlujoMedicFIM REF MUESTRA" worksheet + "Product Unit Volumes_MK": Estimated volumes for FIM products; scaled to FIM+CS/PS using same ratio as product values</t>
  </si>
  <si>
    <t>Estimated based on size of typical duffel bag or large box</t>
  </si>
  <si>
    <t>from SUMMARY_MK: Average trip = 47.125km, assume 25km/hr speed</t>
  </si>
  <si>
    <t>from SUMMARY_MK: Average cost per trip</t>
  </si>
  <si>
    <t>FIM de Referencia</t>
  </si>
  <si>
    <t>CS/PS</t>
  </si>
  <si>
    <t>Name of facility type</t>
  </si>
  <si>
    <t>from SUMMARY_MK:  Total Maintenance:Total Fuel cost ratio x cost/km fuel  (i.e. $3.74/L  /  34km/L)</t>
  </si>
  <si>
    <t>34km/gal assumption stated in Cost Surveys; 34km/L actually used</t>
  </si>
  <si>
    <t>Weighted Average of "Moto" and "Cuadratrac" from Bolivia Surveys</t>
  </si>
  <si>
    <t>Weighted Average of "Camioneta", "Ambulancia", "Vagoneta", and "Camion" from Bolivia Surveys (first three are similar vehicle types; camion included because there's only one and its data is weird)</t>
  </si>
  <si>
    <t>Weighted Average of "Camioneta", "Ambulancia", "Vagoneta", and "Camion" from SUMMARY_MK worksheet in Bolivia Surveys (first three are similar vehicle types; camion included because there's only one and its data is weird)</t>
  </si>
  <si>
    <t>Not mentioned in Bolivia Surveys; Estimated based on known size of vehicles listed by name in Bolivia survey: Nissan Pilot, Toyota Hilux</t>
  </si>
  <si>
    <t>From SUMMARY_MK Worksheet - Warehouse Annual Operating Costs taken from "Gastos Administrativos 2"</t>
  </si>
  <si>
    <t>Weighted Avg of diesel prices Alta Verapaz surveys</t>
  </si>
  <si>
    <t>Encargado del territorio</t>
  </si>
  <si>
    <t>Encargado del puesto de salud</t>
  </si>
  <si>
    <t>Enfermero</t>
  </si>
  <si>
    <t>Piloto</t>
  </si>
  <si>
    <t>Average of "pick-up" and "camioneta" from SUMMARY_MK worksheet</t>
  </si>
  <si>
    <t>30km/gal assumption stated in Cost Surveys; 30km/L actually used</t>
  </si>
  <si>
    <t>Not mentioned in Bolivia Surveys; Estimated based on typical size of vehicles listed by name in Alta Verapaz surveys</t>
  </si>
  <si>
    <t>Average of 4.71 years from SUMMARY_MK worksheet</t>
  </si>
  <si>
    <t xml:space="preserve">One Isuzu truck listed at DAS </t>
  </si>
  <si>
    <t>Average of "ambulancia" from SUMMARY_MK worksheet</t>
  </si>
  <si>
    <t>DAS</t>
  </si>
  <si>
    <t>DMS</t>
  </si>
  <si>
    <t>PS/Hospital</t>
  </si>
  <si>
    <t>Auxiliar del puesto de salud</t>
  </si>
  <si>
    <t>Auxiliar - General</t>
  </si>
  <si>
    <t>DAS-Avg</t>
  </si>
  <si>
    <t>From SUMMARY_MK Worksheet - Warehouse Annual Operating Costs taken from "Costos de Almacenamiento 1&amp;2"</t>
  </si>
  <si>
    <t>Roughly equal to average salary of Auxiliar (29%), Piloto (21%), Enfermero (14%) and Encargado del Terriorio (12%) weighted by proportion of km traveled</t>
  </si>
  <si>
    <t>Assumption based on average size per delivery, and tasks to be completed during deliveries at each level</t>
  </si>
  <si>
    <t>Assumption based on typical travel speeds on a mix of paved and unpaved roads</t>
  </si>
  <si>
    <t>Assumption based on typical travel speeds on unpaved roads at Tier 3, mix of unpaved and paved at Tier 2</t>
  </si>
  <si>
    <t>Based on vehicle type and assumption of a mix of paved and unpaved roads</t>
  </si>
  <si>
    <t>From SUMMARY_MK sheet; "KM traveled by Raw &amp; Standardized Vehicle Type" tables</t>
  </si>
  <si>
    <t>Encargado de bodega</t>
  </si>
  <si>
    <t>DMS-Avg</t>
  </si>
  <si>
    <t>from SUMMARY_MK: Average trip = 72.8km, assume 35km/hr avg speed</t>
  </si>
  <si>
    <t>from SUMMARY_MK: Average cost per public transport trip</t>
  </si>
  <si>
    <t>Average of 5 years for vehicles labeled "pick-up" or "camioneta" from SUMMARY_MK worksheet</t>
  </si>
  <si>
    <t xml:space="preserve">One Toyota Hiace truck listed at DAS </t>
  </si>
  <si>
    <t>Assumption of 5 years listed for Hiace truck at DAS</t>
  </si>
  <si>
    <t>from SUMMARY_MK:  Total Maintenance:Total Fuel cost ratio x cost/km fuel  (i.e. 22.92/L  /  30km/L)</t>
  </si>
  <si>
    <t>Average of vehicles labeled "moto" from SUMMARY_MK worksheet</t>
  </si>
  <si>
    <t>Average of 5 years for vehicles labeled "moto", from SUMMARY_MK worksheet</t>
  </si>
  <si>
    <t>Not mentioned in Quiche Surveys; Estimated based on typical size of vehicles listed by name in Quiche surveys</t>
  </si>
  <si>
    <t>Not mentioned in Quiche Surveys; Estimated based on known size of vehicles listed by name in Quiche survey: Nissan Pilot, Toyota Hilux</t>
  </si>
  <si>
    <t>Average of vehicles labeled "ambulancia" from SUMMARY_MK worksheet - Vehicle costs</t>
  </si>
  <si>
    <t>Not mentioned in Quiche Surveys; Estimated based on known size of motos listed in Quiche survey</t>
  </si>
  <si>
    <t>Quiche Department in Guatemala = 8378km^2</t>
  </si>
  <si>
    <t>Quiche sample from JSI costing study: 1 DAS, 10 DMSs, and 14 Puestos de Salud (NOTE: Not every facility in the department)</t>
  </si>
  <si>
    <t>From PRODUCT_VOLUMES_MK worksheet - multiplied unit sales by average unit volumes from USAID Product Volume Guide</t>
  </si>
  <si>
    <t>From "Flujo med muestra" worksheet</t>
  </si>
  <si>
    <t>From PRODUCT_VOLUMES_MK Worksheet - multiplied unit flujo by unit volumes from USAID Product Volume Guide</t>
  </si>
  <si>
    <t>From "Flujo medic Muestra" worksheet on AltaVerapaz surveys</t>
  </si>
  <si>
    <t>from SUMMARY_MK: Average trip = 166.05km, assume 60km/hr speed</t>
  </si>
  <si>
    <t>Province Logistician - assume same perdiem as Province Field Coordinator</t>
  </si>
  <si>
    <t>cMYP suggests 15% of fuel costs as maintenance cost proxy</t>
  </si>
  <si>
    <t xml:space="preserve">Assumption: 20L/mo kerosene/gas consumption for ~50L kerosene/gas fridges, </t>
  </si>
  <si>
    <t>Baseline</t>
  </si>
  <si>
    <t>Input Parameters</t>
  </si>
  <si>
    <t>Overview and brief summary of all the worksheets contained in this tool</t>
  </si>
  <si>
    <t xml:space="preserve">Introduces the logistics system design process.  Discusses the modeling methodology used in this tool, including intended audience, use cases, as well as the strengths and limitations of that methodology </t>
  </si>
  <si>
    <t>Provides a high-level process map and basic instructions (with accompanying screenshots) on how to define scenarios for analysis, enter input data into the tool, interpret the resulting outputs, and validate the analysis using supply chain principles and available data</t>
  </si>
  <si>
    <t>Scenario Manager</t>
  </si>
  <si>
    <t>Main worksheet where the user can ORGANIZE and COMPARE the different supply chain design scenarios they create in their analysis</t>
  </si>
  <si>
    <t xml:space="preserve">RH Demand Volume &amp; Value </t>
  </si>
  <si>
    <t xml:space="preserve">Vaccine Demand Volume &amp; Value </t>
  </si>
  <si>
    <t>"Market share" of Method Type</t>
  </si>
  <si>
    <t>NOTE: Country list organized by UN Sub-region</t>
  </si>
  <si>
    <t>Circuity Factor Benchmarks</t>
  </si>
  <si>
    <t>Provides several real-world reference data sets for estimating "circuity factor", the ratio between the road distance and straight-line distance between two points. This factor is one of the model's input parameters, and is used in estimating the total driving distance (km) required to order and transport commodities for a specified supply chain scenario</t>
  </si>
  <si>
    <t>A series of worksheets, each structured identically to the Input Parameters worksheet and pre-filled with input data drawn from an existing global health supply chain study.  Each worksheet also contains some descriptive information about the country/supply chain whose data is represented. 
Together these worksheets provide a database of proxy data that can be used as a quick source of input data in an analysis if needed.</t>
  </si>
  <si>
    <t>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</si>
  <si>
    <t>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</si>
  <si>
    <t>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</si>
  <si>
    <t>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</si>
  <si>
    <t>Useful Life - Other equipment (e.g. Cold Storage Boxes)</t>
  </si>
  <si>
    <t>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</si>
  <si>
    <t>Total System Demand Volume (m^3) per year - Ambient Temperature</t>
  </si>
  <si>
    <t>Use data from Reproductive Health (RH) or Vaccine Demand Volume &amp; Value worksheets to estimate Total System Demand Volume in this section?</t>
  </si>
  <si>
    <t>Included in the tool are two heuristics - one for vaccines and one for reproductive health commodities - that allow the user to  estimate the annual demand volume (m^3) and value ($ USD) of needed commodities based on the demographic details of the target population being served by the supply chain under analysis. This question asks whether the user wants to use either of those worksheets in the analyis, overriding any value from the selected data template.  
Select "YES" to use one of the demand estimation worksheets, and select "NO" to continue with the data template value or your own value.  
---If "YES" is selected, the data inputs for this section (cells H21:H26) will automatically pull from the table "Data from RH or Vaccines Demand Volume &amp; Value Worksheet" (cells N21:N26 respectively). In that table the user should then select whether they want to model RH or Vaccines commodities (cell N20), and then complete either the worksheet "RH Demand Volume &amp; Value" or "Vaccines Demand Volume &amp; Value" in keeping with the selected program area.  NOTE: The user can still manually override any of the values by entering data in cells G21:G26.
-- If "NO" is selected, the data table "Data from RH or Vaccines Demand Volume &amp; Value" will be greyed out, and the data inputs for this section will default to the values in the selected data template</t>
  </si>
  <si>
    <t>Total System Demand Volume (m^3) per year - Cold Chain Products (Optional)</t>
  </si>
  <si>
    <t xml:space="preserve">Like the above data input, this value represents the volume in cubic meters (m^3) of product flowing through the system in a given year.  However, this line refers specifically to the volume of cold chain products (those which must be kept in cold storage). Include both refrigerator- + freezer-based commodities in this total
NOTE: Unlike the above value, this value can be set to zero if the user does not wish to model any cold chain products </t>
  </si>
  <si>
    <t>This number represents the total number of distinct, individual product types that are managed by the supply chain.  It is used to estimate the amount of time spent at facilities managing product ordering, stocking, and inventory physical counts.
Each supply chain may have a slightly different method for counting distinct product types, so a high-level estimate should be sufficient. In general, different formulations, dosages, and delivery mechanisms of a drug are considered distinct, whereas different brands within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</si>
  <si>
    <t>Total Value (USD) per year of commodities delivered (optional)</t>
  </si>
  <si>
    <t>This number represents the estimated procurement value corresponding with the Total System Demand Volume above.  For example, if a user enters "1000 m^3" for the total system demand volume, in this row they would enter the procurement value of that 1000 m^3 of commodities, e.g. "$5,100,000".   This value is not necessary for the model to funtion properly; it is used only to calculate "supply chain cost as a percentage of procurement value", an efficiency metric common in global health supply chains.</t>
  </si>
  <si>
    <t>The categories in this section are the same as in the section above, except they are intended to apply to a car, truck, van, sport-utility vehicle or other consumer vehicle (i.e. a type of vehicle that an individual or family might purchase for their own use).  Such vehicles could include a four-door sedan, a passenger van, or an off-road vehicle like a Toyota LandCruiser or Nissan Patrol.  If multiple such vehicles are used in the supply chain, the user should enter an average price, or enter details for the most commonly-used type of vehicle</t>
  </si>
  <si>
    <t>The categories in this section are the same as in the section above, except they are intended to apply to a commercially-oriented box truck or flatbed truck, such as a Mitsubishi Fuso Canter, Mitsubishi Fuso Fighter, or a Nissan UD-80.  If multiple such vehicles of this type are used in the supply chain, the user should enter an average price, or enter details for the most commonly-used type of vehicle</t>
  </si>
  <si>
    <t>The categories in this section are the same as in the section above, except they ask the user to fill in details for an additional vehicle type not covered above. This could include an airplane, boat, or simply a second option from one of the above categories. 
NOTE: For this and other vehicle types, the vehicle type name is for reference only. Only the vehicle costs, fuel efficiency, and capacity are actually used in the model. If the available vehicle type names do not fit the types of vehicles available on-the-ground, you can note any such interpretation differences in the Notes section</t>
  </si>
  <si>
    <t>Enter a name for each tier, to be used in the headings of the sections below (Label only)</t>
  </si>
  <si>
    <t>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</si>
  <si>
    <t>This data input is for labeling purposes only - it determines what each of the tiers are called in subsequent sections of thw model. Names should generally correspond with a type of facility, e.g. central medical stores, regional or district warehouse, health facility.  Tier 1 should represent the most central tier being modeled, e.g. a central medical stores if modeling an entire country, or a regional medical stores if modeling a specific province or region.</t>
  </si>
  <si>
    <t>Circuity Factor (Ratio of road distance to straight-line distance between two points at this tier)</t>
  </si>
  <si>
    <t>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</si>
  <si>
    <t>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</si>
  <si>
    <t>Average warehouse fixed operating costs (building + equipment depreciation) per cubic meter storage capacity</t>
  </si>
  <si>
    <t>Average warehouse variable operating costs (e.g. utilities, maintenance) per cubic meter capacity</t>
  </si>
  <si>
    <t>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t>
  </si>
  <si>
    <r>
      <t xml:space="preserve">Annual </t>
    </r>
    <r>
      <rPr>
        <b/>
        <sz val="11"/>
        <color theme="1"/>
        <rFont val="Calibri"/>
        <family val="2"/>
        <scheme val="minor"/>
      </rPr>
      <t>COLD STORAGE</t>
    </r>
    <r>
      <rPr>
        <sz val="11"/>
        <color theme="1"/>
        <rFont val="Calibri"/>
        <family val="2"/>
        <scheme val="minor"/>
      </rPr>
      <t xml:space="preserve"> equipment depreciation cost per cbm storage capacity</t>
    </r>
  </si>
  <si>
    <r>
      <t xml:space="preserve">Average </t>
    </r>
    <r>
      <rPr>
        <b/>
        <sz val="11"/>
        <color theme="1"/>
        <rFont val="Calibri"/>
        <family val="2"/>
        <scheme val="minor"/>
      </rPr>
      <t>COLD</t>
    </r>
    <r>
      <rPr>
        <sz val="11"/>
        <color theme="1"/>
        <rFont val="Calibri"/>
        <family val="2"/>
        <scheme val="minor"/>
      </rPr>
      <t xml:space="preserve"> Storage capacity (m^3) per facility at each tier 
(Do not include cold storage capacity used for other purposes, e.g. ice packs) </t>
    </r>
  </si>
  <si>
    <t>Passive Cold Storage Devices for Transport Activities</t>
  </si>
  <si>
    <t xml:space="preserve">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</si>
  <si>
    <t>This question asks the user to enter the volume of product (m^3 that can fit in the typical passive cold storage container used at each tier of the supply chain.
NOTE: often these devices are measured in liters.  Note that 1000 Liters = 1 m^3</t>
  </si>
  <si>
    <t>The typical local price paid for one passive cold storage container of the type described in the parameters above</t>
  </si>
  <si>
    <t xml:space="preserve">If the device is electrically powered, requires other external inputs, or incurs maintenance costs, enter the average annual amount spent per device to ensure that they remain operational. </t>
  </si>
  <si>
    <t xml:space="preserve">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</si>
  <si>
    <t>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</si>
  <si>
    <t>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</si>
  <si>
    <t>Average Distance (km) between facilities at each tier (if only 1 facility, distance should be "0")</t>
  </si>
  <si>
    <t>Total Land Area covered by facilities in each tier (km^2)</t>
  </si>
  <si>
    <t>Total Land Area covered by facilities in each tier (km^2)Total Land Area</t>
  </si>
  <si>
    <t>Desired safety stock level per commodity (Number of months' supply)</t>
  </si>
  <si>
    <t>For each tier, the user should specify how many different methods for delivery (i.e. modes of transport) are used at this tier. 
EXAMPLE:  A Ministry of Health manages 2000 health facilities in Tier 3 of its supply chain. For 1500 (75%) of those facilities, deliveries are typically made using a Land Cruiser dispatched from Tier 2, while the remaining 500 facilities (25%) must use public transport to travel to Tier 2 and collect.  
--For this question, the user would answer "2" under the Tier 3 column, as they use two distinct methods for delivery at Tier 3.  
--The user would then proceed to answer the following set of questions for both "Delivery Mode 1" and "Delivery Mode 2" sections below.</t>
  </si>
  <si>
    <t>5a. Percentage of FIXED transport costs shared with an external organization or program</t>
  </si>
  <si>
    <t>5b. Percentage of VARIABLE transport costs shared with an external organization or program</t>
  </si>
  <si>
    <t>For the type of vehicle mentioned above in Question 2, how many of these vehicles are typically needed or regularly used for this mode of transport?  
NOTES:
--By "regularly used" we mean the number of vehicles that are used for a typical order/delivery cycle, rather than every vehicle that has ever been used.  For example, if a regional office owns three vehicles, uses them all interchangeably, but only ever sends two of the three out for any given order/delivery period, then for the purposes of this question the user would answer "2"
--This question does not apply to the "Public Transport" option, and may be left blank if that option is selcted for Question 2</t>
  </si>
  <si>
    <t>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fixed costs, such as vehicle depreciation and insurance, which don't depend on the number of kilometers traveled.  Use this line when ownership of a vehicle is shared. 
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removed from the total cost estimate in this analysis.</t>
  </si>
  <si>
    <t>&lt;&lt;Same set of questions as above&gt;&gt;</t>
  </si>
  <si>
    <t>6.2 - Travel for Ordering (if separate from transport of commodities)</t>
  </si>
  <si>
    <t>This set of questions is identical to those in the previous section above, except they pertain to Delivery Transporation Mode #2 instead of Mode #1.  This section only needs to be completed for a particular tier if the supply chain regularly utilizes more than one mode of transportation for deliveries.  
EXAMPLE: A Ministry of Health manages 2000 health facilities in Tier 3 of its supply chain, and 1500 of those facilities (75%) rely on a Land Cruiser dispatched from an upstream facility for deliveries, while the remaining 500 facilities (25%) must use public transport to travel upstream and collect their product.  The user could complete the above Mode #1 questions for the Land Cruiser portion of the supply chain, and complete these Mode #2 questions for the public transport portion.</t>
  </si>
  <si>
    <t>This set of questions is identical to those in the previous section above, except they pertain to Delivery Transporation Mode #3 instead of Mode #1 or #2.  This section only needs to be completed for a particular tier if the supply chain regularly utilizes three different modes of transportation for deliveries within this tier.  
EXAMPLE: A Ministry of Health manages 2000 health facilities in Tier 3 of its supply chain, and 1000 of those facilities (50%) rely on a Land Cruiser dispatched from an upstream facility for deliveries, an additional 500 (25%) must use public transport to travel upstream and collect their product, and the remaining 500 (25%) rely on deliveries from upstream using a commercial box truck.  The user could focus this set of Mode #3 questions only on those final 25% of facilities that use a box truck for deliveries, relying on the Mode #1 and #2 sections to cover the other two modes.</t>
  </si>
  <si>
    <t>This question asks the user to specify the type of person who most commonly drives the vehicle for delivery purposes. Key data for each position (e.g. salary, per diem rates) are drawn from Section 3 above.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t>
  </si>
  <si>
    <t>6.1 - Transportation of commodities (for delivery or pickup)</t>
  </si>
  <si>
    <r>
      <t xml:space="preserve">For each tier, the user should specify how many different methods of travel are used specifically to </t>
    </r>
    <r>
      <rPr>
        <u/>
        <sz val="11"/>
        <color theme="1"/>
        <rFont val="Calibri"/>
        <family val="2"/>
        <scheme val="minor"/>
      </rPr>
      <t>order</t>
    </r>
    <r>
      <rPr>
        <sz val="11"/>
        <color theme="1"/>
        <rFont val="Calibri"/>
        <family val="2"/>
        <scheme val="minor"/>
      </rPr>
      <t xml:space="preserve"> commodities. For example, say a Ministry of Health manages 2000 health facilities in Tier 3 of its supply chain. For 1500 of those facilities (75%), the facility in-charge phones in an order to the upstream Tier 2 facility, while the remaining 500 facilities (25%) do not have cell signal and must must use public transport to travel to Tier 2 and order.  For this question, the user would answer "1" under the Tier 3 column, as only the 25% of facilities without cell signal are required to travel, and they all use a similar mode of transit (public transportation)</t>
    </r>
  </si>
  <si>
    <t>4a. Are the same vehicles being used for ordering and delivery?</t>
  </si>
  <si>
    <t>&lt;&lt;All questions the same as Section 6.2 above&gt;&gt;</t>
  </si>
  <si>
    <t>This question allows the user to specify a different travel frequency for Additional Travel than was assumed for Ordering/Delivery of commodities.  The user should specify the average number of times per year that this type of travel occurs (e.g. Monthly = 12, Quarterly = 4). If the value is left blank, the model will assume that any specified Additional Travel occurs at the same frequency as the Transportation for Ordering  and Transportation of Commodities</t>
  </si>
  <si>
    <t>6.3 - Additional Travel (if separate from transport of commodities and transport for ordering)</t>
  </si>
  <si>
    <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EXAMPLE: Same as above,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t>
    </r>
    <r>
      <rPr>
        <b/>
        <sz val="11"/>
        <rFont val="Calibri"/>
        <family val="2"/>
        <scheme val="minor"/>
      </rPr>
      <t>75%</t>
    </r>
    <r>
      <rPr>
        <sz val="11"/>
        <rFont val="Calibri"/>
        <family val="2"/>
        <scheme val="minor"/>
      </rPr>
      <t>" for this question. We could then address the Public Transport travel option under the Tier 3, Delivery, Mode #2 section below.</t>
    </r>
  </si>
  <si>
    <r>
      <t xml:space="preserve">In this question the user should specify which type of vehicles are most typically used for this tier and transport mode.  Key data points for each vehicle type, e.g. purchase price, fuel efficiency, delivery capacity, are defined in Section 4 above. Common vehicle types include:
</t>
    </r>
    <r>
      <rPr>
        <b/>
        <sz val="11"/>
        <rFont val="Calibri"/>
        <family val="2"/>
        <scheme val="minor"/>
      </rPr>
      <t>1. Public Transport,</t>
    </r>
    <r>
      <rPr>
        <sz val="11"/>
        <rFont val="Calibri"/>
        <family val="2"/>
        <scheme val="minor"/>
      </rPr>
      <t xml:space="preserve"> including a coach- or mini-bus, car or motorcycle hire, ferry, etc.
</t>
    </r>
    <r>
      <rPr>
        <b/>
        <sz val="11"/>
        <rFont val="Calibri"/>
        <family val="2"/>
        <scheme val="minor"/>
      </rPr>
      <t xml:space="preserve">2. Motorcycle </t>
    </r>
    <r>
      <rPr>
        <sz val="11"/>
        <rFont val="Calibri"/>
        <family val="2"/>
        <scheme val="minor"/>
      </rPr>
      <t>or other small two-wheeled transport methods</t>
    </r>
    <r>
      <rPr>
        <b/>
        <sz val="11"/>
        <rFont val="Calibri"/>
        <family val="2"/>
        <scheme val="minor"/>
      </rPr>
      <t xml:space="preserve">
3. Car or other consumer vehicle, </t>
    </r>
    <r>
      <rPr>
        <sz val="11"/>
        <rFont val="Calibri"/>
        <family val="2"/>
        <scheme val="minor"/>
      </rPr>
      <t xml:space="preserve">such as van, truck, or off-road vehicle (e.g. Jeep, Toyota LandCruiser, Toyota Hilux, Nissan Patrol)
</t>
    </r>
    <r>
      <rPr>
        <b/>
        <sz val="11"/>
        <rFont val="Calibri"/>
        <family val="2"/>
        <scheme val="minor"/>
      </rPr>
      <t xml:space="preserve">4. Commercial truck, </t>
    </r>
    <r>
      <rPr>
        <sz val="11"/>
        <rFont val="Calibri"/>
        <family val="2"/>
        <scheme val="minor"/>
      </rPr>
      <t xml:space="preserve">such as a Mitsubishi Fuso Canter, or Nissan UD-80. Typically equipped with a flatbed or cargo container at least 3+ meters long
</t>
    </r>
    <r>
      <rPr>
        <b/>
        <sz val="11"/>
        <rFont val="Calibri"/>
        <family val="2"/>
        <scheme val="minor"/>
      </rPr>
      <t>5. Refrigerated Vehicle</t>
    </r>
    <r>
      <rPr>
        <sz val="11"/>
        <rFont val="Calibri"/>
        <family val="2"/>
        <scheme val="minor"/>
      </rPr>
      <t xml:space="preserve">, typically a commercial truck with additional insulation and refrigeration equipment installed
</t>
    </r>
    <r>
      <rPr>
        <b/>
        <sz val="11"/>
        <rFont val="Calibri"/>
        <family val="2"/>
        <scheme val="minor"/>
      </rPr>
      <t>6. Other vehicle</t>
    </r>
    <r>
      <rPr>
        <sz val="11"/>
        <rFont val="Calibri"/>
        <family val="2"/>
        <scheme val="minor"/>
      </rPr>
      <t>: If the user has defined an additional vehicle option in the Vehicle Information section above, they may select it here.</t>
    </r>
  </si>
  <si>
    <r>
      <t xml:space="preserve">This question seeks to identify the owner of the vehicles used for this particular mode of transport, as vehicle ownership is typically one of the primary determinants of how vehicle operating costs are structured. Three possible responses include:
  </t>
    </r>
    <r>
      <rPr>
        <b/>
        <sz val="11"/>
        <rFont val="Calibri"/>
        <family val="2"/>
        <scheme val="minor"/>
      </rPr>
      <t>1. Owned Directly</t>
    </r>
    <r>
      <rPr>
        <sz val="11"/>
        <rFont val="Calibri"/>
        <family val="2"/>
        <scheme val="minor"/>
      </rPr>
      <t xml:space="preserve"> by the user of this tool (e.g. MOH or NGO), in which case the tool will estimate depreciation and insurance  costs for owning the vehicle, as well as fuel, maintenance and labor costs of operating the vehicle, all as direct costs to the user
  </t>
    </r>
    <r>
      <rPr>
        <b/>
        <sz val="11"/>
        <rFont val="Calibri"/>
        <family val="2"/>
        <scheme val="minor"/>
      </rPr>
      <t>2. Rented</t>
    </r>
    <r>
      <rPr>
        <sz val="11"/>
        <rFont val="Calibri"/>
        <family val="2"/>
        <scheme val="minor"/>
      </rPr>
      <t xml:space="preserve"> by the user of this tool. In this case the tool will assume that depreciation, insurance, and maintenance costs are bundled into a contracted rental rate (e.g. per km or per day), but will assume that fuel and labor are still calculated separately as a direct cost to the user.
  </t>
    </r>
    <r>
      <rPr>
        <b/>
        <sz val="11"/>
        <rFont val="Calibri"/>
        <family val="2"/>
        <scheme val="minor"/>
      </rPr>
      <t xml:space="preserve">3. Contracted to a 3rd Party Logistics (3PL) provider. </t>
    </r>
    <r>
      <rPr>
        <sz val="11"/>
        <rFont val="Calibri"/>
        <family val="2"/>
        <scheme val="minor"/>
      </rPr>
      <t>In this case the tool will assume that all relevant vehicle ownership/operating costs (depreciation, insurance, maintenance, fuel, labor) are bundled into a single contracted rate (e.g. per m^3 delivered, per facility served).</t>
    </r>
  </si>
  <si>
    <r>
      <t xml:space="preserve">For users who answered "Rented" or "Contracted to 3PL" to Question #1, this question asks for the unit price corresponding with the answer to Question 1a above.  For example:
</t>
    </r>
    <r>
      <rPr>
        <b/>
        <sz val="11"/>
        <rFont val="Calibri"/>
        <family val="2"/>
        <scheme val="minor"/>
      </rPr>
      <t xml:space="preserve">1. </t>
    </r>
    <r>
      <rPr>
        <sz val="11"/>
        <rFont val="Calibri"/>
        <family val="2"/>
        <scheme val="minor"/>
      </rPr>
      <t xml:space="preserve">If vehicles are currently rented for the price of $50USD per vehicle per day, then the user should enter "$ per day" for Question 1a and "50" for Question 1b.  
</t>
    </r>
    <r>
      <rPr>
        <b/>
        <sz val="11"/>
        <rFont val="Calibri"/>
        <family val="2"/>
        <scheme val="minor"/>
      </rPr>
      <t>2.</t>
    </r>
    <r>
      <rPr>
        <sz val="11"/>
        <rFont val="Calibri"/>
        <family val="2"/>
        <scheme val="minor"/>
      </rPr>
      <t xml:space="preserve"> If vehicles are contracted to a 3PL for the price of $250USD per cubic meter delivered, then the user should enter "$ per m^3" for Question 3a and "250" for Question 3b</t>
    </r>
  </si>
  <si>
    <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variable costs,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11"/>
        <rFont val="Calibri"/>
        <family val="2"/>
        <scheme val="minor"/>
      </rPr>
      <t>If you enter a nonzero percentage for this value, typically you will also enter a nonzero percentage for the fixed cost question above</t>
    </r>
    <r>
      <rPr>
        <sz val="11"/>
        <rFont val="Calibri"/>
        <family val="2"/>
        <scheme val="minor"/>
      </rPr>
      <t xml:space="preserve">
The percentage value entered here represents the portion of vehicle operating costs that are borne by outside programs or organizations.  This percentage  will be removed from the total cost estimate in this analysis.</t>
    </r>
  </si>
  <si>
    <r>
      <t>For each tier, the user should specify the maximum volume of non-cold-chain inventory (in cubic meters) that can be stored within a typical</t>
    </r>
    <r>
      <rPr>
        <i/>
        <sz val="11"/>
        <rFont val="Calibri"/>
        <family val="2"/>
        <scheme val="minor"/>
      </rPr>
      <t xml:space="preserve"> </t>
    </r>
    <r>
      <rPr>
        <sz val="11"/>
        <rFont val="Calibri"/>
        <family val="2"/>
        <scheme val="minor"/>
      </rPr>
      <t>facility at any given time. This should include regularly utilized spaces such as storeroom shelves or designated storage areas, and should NOT include emergency overflow methods (like storing product in hallways or in the aisles of warehouse shelves)</t>
    </r>
  </si>
  <si>
    <r>
      <t xml:space="preserve">For each tier, the user should enter the expected percentage of commodity volume that is lost to expiry or wastage during storage/delivery from the upstream facilities.  This amount is then subtracted from the Total Annual Demand stored/distributed to facilities at the current tier.
</t>
    </r>
    <r>
      <rPr>
        <b/>
        <sz val="11"/>
        <rFont val="Calibri"/>
        <family val="2"/>
        <scheme val="minor"/>
      </rPr>
      <t xml:space="preserve">NOTES:
</t>
    </r>
    <r>
      <rPr>
        <sz val="11"/>
        <rFont val="Calibri"/>
        <family val="2"/>
        <scheme val="minor"/>
      </rPr>
      <t xml:space="preserve">--The value for Tier 1 can be left blank since the model generally does not consider distribution </t>
    </r>
    <r>
      <rPr>
        <i/>
        <sz val="11"/>
        <rFont val="Calibri"/>
        <family val="2"/>
        <scheme val="minor"/>
      </rPr>
      <t xml:space="preserve">into </t>
    </r>
    <r>
      <rPr>
        <sz val="11"/>
        <rFont val="Calibri"/>
        <family val="2"/>
        <scheme val="minor"/>
      </rPr>
      <t>Tier 1 facilities (e.g. international shipments into a Central Medical Stores)
-- Often expiry/wastage is calculated as a single percentage number for the entire supply chain. In such cases the user has two options: 1) the simplest but least accurate way is to enter the whole percentage number in a single tier. 2) the user can also attempt to distribute the whole percentage across the tiers based on where expiries actually occur. For example, if overall SC expiration rate is estimated at 10% per year, the user may choose to enter 7% at the facility level and 3% at the regional warehouse level.</t>
    </r>
  </si>
  <si>
    <r>
      <t xml:space="preserve">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t>
    </r>
    <r>
      <rPr>
        <b/>
        <sz val="11"/>
        <rFont val="Calibri"/>
        <family val="2"/>
        <scheme val="minor"/>
      </rPr>
      <t>NOTE</t>
    </r>
    <r>
      <rPr>
        <sz val="11"/>
        <rFont val="Calibri"/>
        <family val="2"/>
        <scheme val="minor"/>
      </rPr>
      <t xml:space="preserve">: The question asks for the number of order periods </t>
    </r>
    <r>
      <rPr>
        <i/>
        <sz val="11"/>
        <rFont val="Calibri"/>
        <family val="2"/>
        <scheme val="minor"/>
      </rPr>
      <t>per product</t>
    </r>
    <r>
      <rPr>
        <sz val="11"/>
        <rFont val="Calibri"/>
        <family val="2"/>
        <scheme val="minor"/>
      </rPr>
      <t xml:space="preserve"> not per facility. We anticipate that for many larger facilities, product orders/shipments may be staggered to achieve a more even workload.  For example a regional warehouse may receive a resupply shipment weekly, but may only reorder a particular product monthly (i.e. each week they replenish 1/4 of their managed products). In this case the user would enter "12" corresponding with monthly product orders.</t>
    </r>
  </si>
  <si>
    <r>
      <t xml:space="preserve">The categories in this section are the same as in the section above, except they are intended to apply to a commercially-oriented </t>
    </r>
    <r>
      <rPr>
        <i/>
        <sz val="11"/>
        <rFont val="Calibri"/>
        <family val="2"/>
        <scheme val="minor"/>
      </rPr>
      <t>refrigerated</t>
    </r>
    <r>
      <rPr>
        <sz val="11"/>
        <rFont val="Calibri"/>
        <family val="2"/>
        <scheme val="minor"/>
      </rPr>
      <t xml:space="preserve"> box truck. May be based on trucks like the Mitsubishi Fuso Canter, Mitsubishi Fuso Fighter, or a Nissan UD-80, but with insulated walls and a built-in refrigeration unit that typically changes fuel mileage and maintenance/purchase costs.  If multiple such vehicles of this type are used in the supply chain, the user should enter an average price, or enter details for the most commonly-used type of vehicle</t>
    </r>
  </si>
  <si>
    <r>
      <t xml:space="preserve">For each position type that is actually used in the model (in the Storage/Warehousing and Transportation sections), the user should enter both an average hourly salary rate and a daily travel perdiem rate.  These values are used to calculate labor costs of storage, delivery, and other supply chain activities. 
-- </t>
    </r>
    <r>
      <rPr>
        <b/>
        <sz val="11"/>
        <rFont val="Calibri"/>
        <family val="2"/>
        <scheme val="minor"/>
      </rPr>
      <t>Average Hourly Salary Rate:</t>
    </r>
    <r>
      <rPr>
        <sz val="11"/>
        <rFont val="Calibri"/>
        <family val="2"/>
        <scheme val="minor"/>
      </rPr>
      <t xml:space="preserve"> Often this is calculated by dividing an average annual salary by the number of working days in a year and then by the number of working hours in a day.  The value should be averaged across any variation based on seniority and geographic differences.
--</t>
    </r>
    <r>
      <rPr>
        <b/>
        <sz val="11"/>
        <rFont val="Calibri"/>
        <family val="2"/>
        <scheme val="minor"/>
      </rPr>
      <t xml:space="preserve"> Travel Per-diem Rate</t>
    </r>
    <r>
      <rPr>
        <sz val="11"/>
        <rFont val="Calibri"/>
        <family val="2"/>
        <scheme val="minor"/>
      </rPr>
      <t xml:space="preserve">: This value includes any meals and incidental expenses (M&amp;IE). as well as hotel allowance, that are paid for a full day's travel. Hotel costs should be prorated for the percentage of paid travel days requiring an overnight stay. For example, if overnight stays are only needed on roughly 50% of paid travel days, then this value should be the daily M&amp;IE rate + 50% of the hotel allowance. 
NOTES: 
-- </t>
    </r>
    <r>
      <rPr>
        <b/>
        <sz val="11"/>
        <rFont val="Calibri"/>
        <family val="2"/>
        <scheme val="minor"/>
      </rPr>
      <t>DO NOT prorate salaries</t>
    </r>
    <r>
      <rPr>
        <sz val="11"/>
        <rFont val="Calibri"/>
        <family val="2"/>
        <scheme val="minor"/>
      </rPr>
      <t xml:space="preserve"> or per-diems based on the proportion of time spent on SC activities. The model does this automatically. Enter the full salary/per-diem info, and the model will automatically calculate the number of labor hours/travel days specific to SC activities
-- </t>
    </r>
    <r>
      <rPr>
        <b/>
        <sz val="11"/>
        <rFont val="Calibri"/>
        <family val="2"/>
        <scheme val="minor"/>
      </rPr>
      <t>Only positions that are actually used in the analysis need to be completed</t>
    </r>
    <r>
      <rPr>
        <sz val="11"/>
        <rFont val="Calibri"/>
        <family val="2"/>
        <scheme val="minor"/>
      </rPr>
      <t>. Positions that are unused in the Storage/Warehousing and Transportation sections can be left blank without disrupting model calculations. However, it may be helpful to complete all position types to allow easy changing of roles and responsibilities in any analysis scenarios.
--</t>
    </r>
    <r>
      <rPr>
        <b/>
        <sz val="11"/>
        <rFont val="Calibri"/>
        <family val="2"/>
        <scheme val="minor"/>
      </rPr>
      <t>The position type descriptions are for reference only</t>
    </r>
    <r>
      <rPr>
        <sz val="11"/>
        <rFont val="Calibri"/>
        <family val="2"/>
        <scheme val="minor"/>
      </rPr>
      <t xml:space="preserve">. Only the salary and per-diem info is actually used in the model. Thus if two different positions have similar salary and perdiem characteristics, they can be combined into a single line and used interchangeably, using the Notes section to document the combination.
</t>
    </r>
  </si>
  <si>
    <r>
      <t xml:space="preserve">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
NOTE: This value must be </t>
    </r>
    <r>
      <rPr>
        <b/>
        <i/>
        <sz val="11"/>
        <rFont val="Calibri"/>
        <family val="2"/>
        <scheme val="minor"/>
      </rPr>
      <t>greater than zero</t>
    </r>
    <r>
      <rPr>
        <sz val="11"/>
        <rFont val="Calibri"/>
        <family val="2"/>
        <scheme val="minor"/>
      </rPr>
      <t xml:space="preserve"> for the model to function properly (i.e. the supply chain must have at least some demand volume)</t>
    </r>
  </si>
  <si>
    <r>
      <t xml:space="preserve">In addition to entering a Total System Demand Volume (m^3) in the cells above, the user must also specify where in the supply chain that volume is being measured.  Does that value represent the volume </t>
    </r>
    <r>
      <rPr>
        <b/>
        <i/>
        <sz val="11"/>
        <rFont val="Calibri"/>
        <family val="2"/>
        <scheme val="minor"/>
      </rPr>
      <t xml:space="preserve">delivered </t>
    </r>
    <r>
      <rPr>
        <sz val="11"/>
        <rFont val="Calibri"/>
        <family val="2"/>
        <scheme val="minor"/>
      </rPr>
      <t xml:space="preserve">to health facilities at the last mile, or does it represent the volume </t>
    </r>
    <r>
      <rPr>
        <b/>
        <i/>
        <sz val="11"/>
        <rFont val="Calibri"/>
        <family val="2"/>
        <scheme val="minor"/>
      </rPr>
      <t xml:space="preserve">procured </t>
    </r>
    <r>
      <rPr>
        <sz val="11"/>
        <rFont val="Calibri"/>
        <family val="2"/>
        <scheme val="minor"/>
      </rPr>
      <t xml:space="preserve">at the national level?  This distinction is important when paired with the expiry/wastage parameter below.  
-- For example, if a user specifies a Total System Demand Volume of 1000 m^3, </t>
    </r>
    <r>
      <rPr>
        <b/>
        <i/>
        <sz val="11"/>
        <rFont val="Calibri"/>
        <family val="2"/>
        <scheme val="minor"/>
      </rPr>
      <t xml:space="preserve">procured </t>
    </r>
    <r>
      <rPr>
        <sz val="11"/>
        <rFont val="Calibri"/>
        <family val="2"/>
        <scheme val="minor"/>
      </rPr>
      <t xml:space="preserve">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t>
    </r>
    <r>
      <rPr>
        <b/>
        <i/>
        <sz val="11"/>
        <rFont val="Calibri"/>
        <family val="2"/>
        <scheme val="minor"/>
      </rPr>
      <t xml:space="preserve">delivered </t>
    </r>
    <r>
      <rPr>
        <sz val="11"/>
        <rFont val="Calibri"/>
        <family val="2"/>
        <scheme val="minor"/>
      </rPr>
      <t>to health clinics, then we know that upstream tiers must be handling/procuring more than 1000 m^3 (1050, 1102.5, etc. depending on how many tiers are in the user's supply chain)</t>
    </r>
  </si>
  <si>
    <t xml:space="preserve">This Yes-or-No question asks the user to specify if this mode of transport is used only to transport cold-chain products (as opposed to transporting ambient temperature commodities). </t>
  </si>
  <si>
    <t>&lt;&lt;All questions the same as Section 6.1 above, with the exception of Question 4a, which is detailed below&gt;&gt;</t>
  </si>
  <si>
    <t xml:space="preserve">Total annual cubic meters (m^3) of health commodities delivered to the final tier of the supply chain (May be less than the total volume procured if the user assumed an expiry/wastage rate at one or more tiers) </t>
  </si>
  <si>
    <t>The number of kilometers (km) traveled per year to fulfill all ordering, delivery, and additional travel activities, summed over all tiers in the supply chain. Includes only vehicles that are owned/rented/contracted, and does NOT include km traveled by public transport</t>
  </si>
  <si>
    <t>Total Volume delivered to final tier (m^3 of ambient and cold chain commodities):</t>
  </si>
  <si>
    <t>Total Cold Chain Volume (m^3) Delivered to final tier</t>
  </si>
  <si>
    <t xml:space="preserve">Total annual cubic meters (m^3) of cold-chain specific commodities delivered to the final tier of the supply chain (May be less than the total volume procured if the user assumed an expiry/wastage rate at one or more tiers) </t>
  </si>
  <si>
    <t xml:space="preserve">The total procurement or sales value of the commodities delivered to the final tier. </t>
  </si>
  <si>
    <t>The total number of person-days of travel needed to complete all ordering/delivery/additional activities, summed over all tiers in the supply chain</t>
  </si>
  <si>
    <t>The total number of levels at which inventory is stored and distributed, as specified by the user</t>
  </si>
  <si>
    <t>A high-level summary of Tables 2 and 3 below; a count of all storage and transportation modes that are outside the ideal utilization window (user specified, but a common ideal utilization range is between 50% and 90%)</t>
  </si>
  <si>
    <t>Estimated annual cost to operate the supply chain defined by the user in the "Input Parameters" worksheet.   The answer is given in the units of currency specified by the user. Changes to the "Input Parameters" worksheet will update Total Operating Cost (and every other parameter on this page) instantly; there is no need to run a script or macro to update this worksheet</t>
  </si>
  <si>
    <t>The user should select a data template to use for default values in Sections 5 and 6 of the Inputs page. You may select a different data template for each tier of these sections. This selection will load data into the "Value used in Model" column, which can be used as-is or overridden with your own data by entering it into the green cells to the immediate left of the data point in question</t>
  </si>
  <si>
    <r>
      <rPr>
        <i/>
        <sz val="11"/>
        <rFont val="Calibri"/>
        <family val="2"/>
        <scheme val="minor"/>
      </rPr>
      <t xml:space="preserve">-- For each tier of the supply chain, the percent of total availlable delivery days (# vehicles x # working days per vehicle per year) that are actually being used for deliveries. 
</t>
    </r>
    <r>
      <rPr>
        <sz val="11"/>
        <rFont val="Calibri"/>
        <family val="2"/>
        <scheme val="minor"/>
      </rPr>
      <t xml:space="preserve">
--</t>
    </r>
    <r>
      <rPr>
        <b/>
        <sz val="11"/>
        <rFont val="Calibri"/>
        <family val="2"/>
        <scheme val="minor"/>
      </rPr>
      <t xml:space="preserve"> Interpretation:</t>
    </r>
    <r>
      <rPr>
        <sz val="11"/>
        <rFont val="Calibri"/>
        <family val="2"/>
        <scheme val="minor"/>
      </rPr>
      <t xml:space="preserve">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t>
    </r>
    <r>
      <rPr>
        <b/>
        <sz val="11"/>
        <rFont val="Calibri"/>
        <family val="2"/>
        <scheme val="minor"/>
      </rPr>
      <t>NOTE:</t>
    </r>
    <r>
      <rPr>
        <sz val="11"/>
        <rFont val="Calibri"/>
        <family val="2"/>
        <scheme val="minor"/>
      </rPr>
      <t xml:space="preserve"> Ordering Vehicle Utilization and Additional Vehicle Utilization are only calculated if they use separate vehicles; otherwise the Delivery Vehicle Time Utilization statistics will incorporate any ordering/additional vehicle time requirements.  </t>
    </r>
  </si>
  <si>
    <r>
      <t>--</t>
    </r>
    <r>
      <rPr>
        <i/>
        <sz val="11"/>
        <rFont val="Calibri"/>
        <family val="2"/>
        <scheme val="minor"/>
      </rPr>
      <t xml:space="preserve"> For each tier of the supply chain, the percent of available vehicle delivery capacity (m^3) that is actually being used on deliveries. 
</t>
    </r>
    <r>
      <rPr>
        <sz val="11"/>
        <rFont val="Calibri"/>
        <family val="2"/>
        <scheme val="minor"/>
      </rPr>
      <t xml:space="preserve">
-- </t>
    </r>
    <r>
      <rPr>
        <b/>
        <sz val="11"/>
        <rFont val="Calibri"/>
        <family val="2"/>
        <scheme val="minor"/>
      </rPr>
      <t>Interpretation</t>
    </r>
    <r>
      <rPr>
        <sz val="11"/>
        <rFont val="Calibri"/>
        <family val="2"/>
        <scheme val="minor"/>
      </rPr>
      <t>: In general, 75% - 85% capacity utiliztion is ideal. Anything above 90-95% likely indicates that delivery resources will frequently be overburdened - vehicles aren't big enough, or there aren't enough of them.  Anything below 50% indicates much of the available space on delivery vehicles is being left empty, and thus the supply chain is paying for vehicle space that it isn't using
--</t>
    </r>
    <r>
      <rPr>
        <b/>
        <sz val="11"/>
        <rFont val="Calibri"/>
        <family val="2"/>
        <scheme val="minor"/>
      </rPr>
      <t>NOTE:</t>
    </r>
    <r>
      <rPr>
        <sz val="11"/>
        <rFont val="Calibri"/>
        <family val="2"/>
        <scheme val="minor"/>
      </rPr>
      <t xml:space="preserve">  if the user has specified a "route-based" delivery pattern, this value may default to 99% or 100%. In this case, it is the Delivery Vehicle Time Utilization that more accurately reflects overall utilization of delivery resources.</t>
    </r>
  </si>
  <si>
    <t>Average Vehicle Time Utilization</t>
  </si>
  <si>
    <r>
      <t xml:space="preserve">-- </t>
    </r>
    <r>
      <rPr>
        <i/>
        <sz val="11"/>
        <color theme="1"/>
        <rFont val="Calibri"/>
        <family val="2"/>
        <scheme val="minor"/>
      </rPr>
      <t>Ratio of [Total kilometers traveled for ordering/delivery/additional activities] / [Total volume of commodities delivered to final tier]
--</t>
    </r>
    <r>
      <rPr>
        <b/>
        <sz val="11"/>
        <color theme="1"/>
        <rFont val="Calibri"/>
        <family val="2"/>
        <scheme val="minor"/>
      </rPr>
      <t>Interpretation:</t>
    </r>
    <r>
      <rPr>
        <sz val="11"/>
        <color theme="1"/>
        <rFont val="Calibri"/>
        <family val="2"/>
        <scheme val="minor"/>
      </rPr>
      <t xml:space="preserve"> Some travel will always be required to distribute commodities from upstream to downstream tiers, but travel is generally costly. This value can help users identify SC design options that can deliver commodities with a minimum of travel. Higher values are likely caused by 
   </t>
    </r>
    <r>
      <rPr>
        <b/>
        <sz val="11"/>
        <color theme="1"/>
        <rFont val="Calibri"/>
        <family val="2"/>
        <scheme val="minor"/>
      </rPr>
      <t>a)</t>
    </r>
    <r>
      <rPr>
        <sz val="11"/>
        <color theme="1"/>
        <rFont val="Calibri"/>
        <family val="2"/>
        <scheme val="minor"/>
      </rPr>
      <t xml:space="preserve"> additional activities that require travel, e.g. ordering
   </t>
    </r>
    <r>
      <rPr>
        <b/>
        <sz val="11"/>
        <color theme="1"/>
        <rFont val="Calibri"/>
        <family val="2"/>
        <scheme val="minor"/>
      </rPr>
      <t>b)</t>
    </r>
    <r>
      <rPr>
        <sz val="11"/>
        <color theme="1"/>
        <rFont val="Calibri"/>
        <family val="2"/>
        <scheme val="minor"/>
      </rPr>
      <t xml:space="preserve"> delivery vehicles with a small capacity (m^3), thus requiring multiple trips to each facility every resupply period
   </t>
    </r>
    <r>
      <rPr>
        <b/>
        <sz val="11"/>
        <color theme="1"/>
        <rFont val="Calibri"/>
        <family val="2"/>
        <scheme val="minor"/>
      </rPr>
      <t>c)</t>
    </r>
    <r>
      <rPr>
        <sz val="11"/>
        <color theme="1"/>
        <rFont val="Calibri"/>
        <family val="2"/>
        <scheme val="minor"/>
      </rPr>
      <t xml:space="preserve"> low maximum allowable days per travel route (e.g. 1 or 2 days) in a country with long driving/dwell times, creating routes 
       that only reach a couple of clinics at a time, which leads to excessive (and inefficient) driving between tiers. 
</t>
    </r>
    <r>
      <rPr>
        <b/>
        <sz val="11"/>
        <color theme="1"/>
        <rFont val="Calibri"/>
        <family val="2"/>
        <scheme val="minor"/>
      </rPr>
      <t>NOTE:</t>
    </r>
    <r>
      <rPr>
        <sz val="11"/>
        <color theme="1"/>
        <rFont val="Calibri"/>
        <family val="2"/>
        <scheme val="minor"/>
      </rPr>
      <t xml:space="preserve"> This value obviously increases for countries with larger land area, so it is best used when comparing supply chain design options within a single geography.</t>
    </r>
  </si>
  <si>
    <t>For each tier, the user should specify the maximum volume of inventory (in cubic meters) that a typical person can process in a given day.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adjusting based on how busy the staff were that period (i.e. divide total processed volume by an estimated "percent of capacity utilized")</t>
  </si>
  <si>
    <t>Ratio of time spent processing commodities at storage facilities, divided by total available time for processing. Based on user inputs for 1) total number of full-time-equivalent (FTE) workers per storage point, and 2) average throughput capacity (m^3/day) per person</t>
  </si>
  <si>
    <t>Ratio of average inventory levels (m^3) divided by total available storage capacity per facility. Based on user input for 1) overall system demand, 2) resupply frequency, 3) safety stock levels, and 4) average storage capacity per facility</t>
  </si>
  <si>
    <t>A count of the number of tiers in which average storage utilization is outside an ideal range.  Range is user-specified, but 50% to 90% utilization is a common target range in global health applications</t>
  </si>
  <si>
    <t>Within a given supply chain tier, the total number of cubic meters (m^3) of product expected to be ordered by each facility in a given order period.  This value is the same for each facility within that tier, and includes ambient and cold chain commodities.</t>
  </si>
  <si>
    <t>Within a given supply chain tier, the total number of cubic meters (m^3) of ambient-temperature product expected to be ordered by each facility in a given order period.  This value is the same for each facility within that tier.</t>
  </si>
  <si>
    <t>Same values as the Ambient Temperature Products section above, but applicable to cold-chain-specific commodities rather than ambient temperature commodities</t>
  </si>
  <si>
    <t>Average annual demand per facility divided by the number of resupply periods</t>
  </si>
  <si>
    <t xml:space="preserve">Overall average level of inventory expected at storage facilties over the course of a year. This tool assumes a constant daily demand, thus average inventory is equal to safety stock plus one-half of the average demand volume per resupply period </t>
  </si>
  <si>
    <t>Maximum level of inventory expected at storage facilities at any time. This tool assumes constant daily demand, thus max inventory is equal to safety stock plus average demand volume per resupply period</t>
  </si>
  <si>
    <t>For each tier, the average volume (m^3) of passive storage devices in use at any given time, divided by the total volume of available passive storage devices.
NOTE: Calculation assumes cold boxes are a pooled resource with no constraints on availability for distribution activities. If the SC design imposes other constraints (e.g. if every facility requires its own cold box to retrieve product from upstream), then this metric may not reflect true need for cold box capacity. In that case the user should manage the other constraints directly (e.g. inputting &gt; 1 cold box per facility)</t>
  </si>
  <si>
    <t>Total capital and operating expenses associated with storage of health commodities and processing/packing facility orders</t>
  </si>
  <si>
    <t>Total capital and operating expenses associated with transport of health commodities between storage locations</t>
  </si>
  <si>
    <t>Total costs related to supervision, management, training, analysis/forecasting, and other indirect supply chain functions</t>
  </si>
  <si>
    <t>The ongoing operating costs needed to keep the people, equipment, buildings, etc running smoothly (i.e. Operating Expenditures)</t>
  </si>
  <si>
    <t>The purchase cost of buildings and other equipment necessary to operate the supply chain (i.e. Capital Expenditures)</t>
  </si>
  <si>
    <t>The purchase cost of vehicles and other equipment necessary to operate the supply chain (i.e. Capital Expenditures)</t>
  </si>
  <si>
    <t>The cost of the time that supply chain workers spend managing warehouse functions, based on their annual salary</t>
  </si>
  <si>
    <t>The cost of the time that supply chain workers spend traveling to order and transport health commodities, based on annual salary</t>
  </si>
  <si>
    <t>The amount paid to traveling supply chain workers to cover meals, incidentals, and lodging costs.</t>
  </si>
  <si>
    <t>The ongoing operating costs needed to keep vehicles and other equpiment running smoothly (i.e. Operating Expenditures)</t>
  </si>
  <si>
    <t>-------------------&gt;</t>
  </si>
  <si>
    <t xml:space="preserve"> Additional Travel</t>
  </si>
  <si>
    <t>Transportation for Ordering</t>
  </si>
  <si>
    <t>Transportation of Commodities</t>
  </si>
  <si>
    <t>Additional Travel</t>
  </si>
  <si>
    <t>If any modes of transport used for ordering are involve rented vehicles, the vehicle rental costs will appear here under the appropriate tier</t>
  </si>
  <si>
    <t>If any modes of transport used for ordering are outsourced to a third party logistics provider, their costs will appear here under the appropriate tier</t>
  </si>
  <si>
    <r>
      <t xml:space="preserve">Personnel salary costs associated with travel for ordering: </t>
    </r>
    <r>
      <rPr>
        <i/>
        <sz val="11"/>
        <color theme="1"/>
        <rFont val="Calibri"/>
        <family val="2"/>
        <scheme val="minor"/>
      </rPr>
      <t xml:space="preserve"> [Number of hours spent traveling] x [hourly salary]</t>
    </r>
  </si>
  <si>
    <t>Cost of gasoline/diesel to fuel the ordering vehicles. Based on number of kilometers traveled and the fuel efficiency of the vehicle types used</t>
  </si>
  <si>
    <t>Cost of meals, incidentals, and lodging associated with days spent traveling to order commodities:  [Number of days of travel] x [daily per diem rate]</t>
  </si>
  <si>
    <t>Total annual cost to insure the vehicles used for ordering, based on the number and type of vehicles used</t>
  </si>
  <si>
    <t>Cost of maintaining the vehicles used for ordering, based on the number of kilometers traveled and the average per-km maintenance costs of the vehicle types used</t>
  </si>
  <si>
    <t>If any modes of transport used for ordering involve public transport, the direct public transport costs (i.e. ticket prices) are included here.</t>
  </si>
  <si>
    <t>A fraction of the purchase price of the vehicles used for ordering. Total purchase price is spread over a number of years using straightline depreciation method</t>
  </si>
  <si>
    <t>&lt;&lt;Same cost line items as above, except for modes of transport used to deliver commodities&gt;&gt;</t>
  </si>
  <si>
    <t>&lt;&lt;Same cost line items as above, except for modes of transport used in any additional travel beyond ordering/delivery&gt;&gt;</t>
  </si>
  <si>
    <t xml:space="preserve">The depreciated purchase cost of buildings and other equipment necessary to operate a typical ambient-temperature warehouse </t>
  </si>
  <si>
    <t>The depreciated purchase cost of cold-chain specific equipment (e.g. cold room, freezer)</t>
  </si>
  <si>
    <t>If applicable, the average annual cost to operate any cold boxes  owned by storage facilities (e.g. electricity, fuel, maintenance)</t>
  </si>
  <si>
    <t>The depreciated purchase cost of cold boxes used to transport cold-chain commodities to/from the storage facility</t>
  </si>
  <si>
    <t>Total annual cold chain volume for this mode, divided by the total number of trips needed per year. Used to estimate the amount of cold box capacity needed per trip</t>
  </si>
  <si>
    <t>Total number of days spent traveling per year for this mode, divided by the number of available work days. Used to estimate how many vehicles will be out for delivery at any given time, which can determine how many cold boxes a facility must have on hand</t>
  </si>
  <si>
    <t>Based on 1) number of facilities using public transit, 2) number of resupply periods in a year, and 3) volume of commodities that can be carried on one public transit trip.</t>
  </si>
  <si>
    <t>Same values as in Table 3 above, but can be either Total Annual Demand per Facility, Total Ambient Temp. Demand per Facility, or  Total Cold Chain Demand per Facility, depending on whether the user has indicated an exclusive cold chain mode of transport.</t>
  </si>
  <si>
    <t>Total number of facilities at this tier, multiplied by the percentage that are using this mode of transport</t>
  </si>
  <si>
    <t>Volume of commodities that can be carried on one public transit trip, divided by the total annual demand per facility for this mode</t>
  </si>
  <si>
    <t># Facility Visits reachable in a single workday</t>
  </si>
  <si>
    <t>Number of hours per workday divided by total visit time per facility (travel time + dwell time)</t>
  </si>
  <si>
    <t>Total number of facilities to visit per period, divided by the maximum number of facilities visited per route</t>
  </si>
  <si>
    <t>Number of individual trips needed.  For each route, the model estimates two trips needed to travel between the upstream warehouse and the first destination facility, and one additional trip for each additional facility visited on the route.</t>
  </si>
  <si>
    <t>Either the Max # facilities based on delivery capacity, or the Max # facilities based on time limits (Max # facilities per day * Max # days per route), whichever value is smaller</t>
  </si>
  <si>
    <t>Number of trips needed per year multiplied by the average duration (travel time + dwell time at facility) per trip;  Will be based on either the point-to-point or route-based values below, depending on which option the user has selected for this mode</t>
  </si>
  <si>
    <t>Number of trips needed per period multiplied by the average duration (travel time + dwell time at facility) per trip, for route-based public transit travel</t>
  </si>
  <si>
    <t>Number of individual trips needed. For point-to-point travel, the model assumes two trips per facility per resupply period</t>
  </si>
  <si>
    <t>Number of trips needed per period multiplied by the average duration (travel time + dwell time at facility) per trip, for point-to-point public transit travel</t>
  </si>
  <si>
    <t>Distance traveled per trip, multiplied by the number of trips needed per year; will be based on either the point-to-point or route-based values below, dependign on which option the user has selected for this mode</t>
  </si>
  <si>
    <t>Number of individual travel trips needed, based on 1) number of facilities to visit, 2) number of resupply periods in a year, and 3) the number of facilities that can be visited in one trip. Will be based on etiher the point-to-point or route-based values below</t>
  </si>
  <si>
    <t>Number of trips needed per year, multiplied by number of days needed per trip</t>
  </si>
  <si>
    <t>Total volume (m^3) to deliver per trip, divided by total capacity of delivery vehicles (NOTE: if user has selected route-based travel, and the max # of facilities is limited by capacity rather than by user policies, then this value will automatically be 100%)</t>
  </si>
  <si>
    <t>Number of days out on delivery per year, divided by the total number of vehicle-days availble for delivery (i.e. Number of working days per year * Number of available vehicles)</t>
  </si>
  <si>
    <t>Delivery capacity of selected vehicle type (m^3) divided by average demand volume per facility per period</t>
  </si>
  <si>
    <t>Maximum allowable days per delivery route (A user input from Section 6.1) multiplied by the number of facilities that can be visited in a single workday based on distance, driving speed, dwell time at facilities, etc.</t>
  </si>
  <si>
    <t>Minimum of the above two numbers (i.e. the max # facilities will either be constrained by delivery capacity of the vehicle or by time available for a single route)</t>
  </si>
  <si>
    <t>Total number of facilities to visit per year, divided by the maximum number of facility visits per trip</t>
  </si>
  <si>
    <t>2*[Distance to nearest upstream facility]  +  [N-1]*[Distance bewteen facilities at this tier],  where "N" equals the maximum number of facility visits per trip</t>
  </si>
  <si>
    <r>
      <rPr>
        <b/>
        <sz val="11"/>
        <rFont val="Calibri"/>
        <family val="2"/>
        <scheme val="minor"/>
      </rPr>
      <t>Total time spent in-facility</t>
    </r>
    <r>
      <rPr>
        <sz val="11"/>
        <rFont val="Calibri"/>
        <family val="2"/>
        <scheme val="minor"/>
      </rPr>
      <t xml:space="preserve"> (Number of facility deliveries per trip * dwell time per facility ) plus </t>
    </r>
    <r>
      <rPr>
        <b/>
        <sz val="11"/>
        <rFont val="Calibri"/>
        <family val="2"/>
        <scheme val="minor"/>
      </rPr>
      <t xml:space="preserve">Total driving time between facilities </t>
    </r>
    <r>
      <rPr>
        <sz val="11"/>
        <rFont val="Calibri"/>
        <family val="2"/>
        <scheme val="minor"/>
      </rPr>
      <t>(Distance traveled * Average speed)</t>
    </r>
  </si>
  <si>
    <t>Total available vehicle-days (number of working days per year * number of available vehicles) divided by total time needed per trip</t>
  </si>
  <si>
    <r>
      <t xml:space="preserve">Table 6 provides a detailed breakdown of the travel activities required at each tier and mode of transport. These estimated activities (e.g. # trips needed, # travel days, # kilometers traveled) provide the basis for cost and utilization calculations in Tables 1-5 above. This table can be used to validate the accuracy of the Input Parameters data, by checking that key values (e.g. # Facility visits per trip, # Trips needed per year) are reasonable given the distances, number of facilities and number of resupply periods specified.
NOTE: </t>
    </r>
    <r>
      <rPr>
        <b/>
        <sz val="11"/>
        <color theme="1"/>
        <rFont val="Calibri"/>
        <family val="2"/>
        <scheme val="minor"/>
      </rPr>
      <t>This table does contain calculations that are unused in the final costing model.</t>
    </r>
    <r>
      <rPr>
        <sz val="11"/>
        <color theme="1"/>
        <rFont val="Calibri"/>
        <family val="2"/>
        <scheme val="minor"/>
      </rPr>
      <t xml:space="preserve"> For each transport mode, the table automatically calculates details for several different design options (public transport vs owned vehicles, route-based vs. point-to-point travel), with Tables 1-5 above selecting/using only the set of calculations that matches the design specified in the Input Parameters page.  Thus when using this table for validation, the user should be careful to focus only on that same set of calculations.</t>
    </r>
  </si>
  <si>
    <t>Total number of facilities to visit per year, divided by the maximum number of facility visits per trip (will be equal to one trip per facility per period, unless the delivery capacity of the vehicle is less than the facility's demand volume)</t>
  </si>
  <si>
    <t>Equal to twice the distance between a facility and its upstream supplier</t>
  </si>
  <si>
    <t>&lt;&lt;The above calculations repeat for each transport mode and function&gt;&gt;</t>
  </si>
  <si>
    <t>Ordering - Transport Mode 1</t>
  </si>
  <si>
    <t>Ordering - Transport Mode 2</t>
  </si>
  <si>
    <t>Ordering - Transport Mode 3</t>
  </si>
  <si>
    <t>Commodity Transport - Mode 3</t>
  </si>
  <si>
    <t>Commodity Transport - Mode 2</t>
  </si>
  <si>
    <t>Commodity Transport - Mode 1</t>
  </si>
  <si>
    <t>Overivew of Tool Workflow</t>
  </si>
  <si>
    <r>
      <t xml:space="preserve">6.1. Transportation of commodities </t>
    </r>
    <r>
      <rPr>
        <i/>
        <sz val="12"/>
        <color theme="0"/>
        <rFont val="Calibri"/>
        <family val="2"/>
        <scheme val="minor"/>
      </rPr>
      <t>(for delivery or pickup)</t>
    </r>
  </si>
  <si>
    <r>
      <t xml:space="preserve">6.3. Additional Travel </t>
    </r>
    <r>
      <rPr>
        <i/>
        <sz val="12"/>
        <color theme="0"/>
        <rFont val="Calibri"/>
        <family val="2"/>
        <scheme val="minor"/>
      </rPr>
      <t>(If separate from ordering and/or transport of commodities)</t>
    </r>
  </si>
  <si>
    <t>Transport of Commodities - Mode 1</t>
  </si>
  <si>
    <t>Transport of Commodities - Mode 2</t>
  </si>
  <si>
    <t>Transport of Commodities - Mode 3</t>
  </si>
  <si>
    <t>Transport for Ordering - Mode 1</t>
  </si>
  <si>
    <t>Transport for Ordering - Mode 2</t>
  </si>
  <si>
    <t>Transport for Ordering - Mode 3</t>
  </si>
  <si>
    <t>Number of RH products Managed</t>
  </si>
  <si>
    <t>Which program do you want to model?</t>
  </si>
  <si>
    <t>Number of products included</t>
  </si>
  <si>
    <t>How many different modes of transportation are regularly used to transport health commodities at each tier? [enter value between 1 and 3 for each tier]</t>
  </si>
  <si>
    <t>Value used in Model, if own value not known</t>
  </si>
  <si>
    <t>Maximum delivery capacity (m^3)</t>
  </si>
  <si>
    <t>Total Value ($) per year of commodities delivered (Optional - see interpretation comment)</t>
  </si>
  <si>
    <t>Depreciation Cost / yr ($)</t>
  </si>
  <si>
    <t>Insurance cost /yr ($)</t>
  </si>
  <si>
    <t>Maintenance cost/km ($)</t>
  </si>
  <si>
    <t>If your own data is not available, which Data Template would you like to use for Sections 1-4 (general, commodity, personnel, and vehicle information)?</t>
  </si>
  <si>
    <r>
      <rPr>
        <b/>
        <sz val="11"/>
        <rFont val="Calibri"/>
        <family val="2"/>
        <scheme val="minor"/>
      </rPr>
      <t>3.</t>
    </r>
    <r>
      <rPr>
        <sz val="11"/>
        <rFont val="Calibri"/>
        <family val="2"/>
        <scheme val="minor"/>
      </rPr>
      <t xml:space="preserve"> For this mode of transport, are vehicles owned directly, rented, or contracted through a 3rd Party Logistics Provider?</t>
    </r>
  </si>
  <si>
    <t>How many different types of vehicles (i.e. modes of transport) are regularly used for ordering at each tier? [enter value between 1 and 3 for each tier]</t>
  </si>
  <si>
    <r>
      <rPr>
        <b/>
        <sz val="11"/>
        <rFont val="Calibri"/>
        <family val="2"/>
        <scheme val="minor"/>
      </rPr>
      <t>7.</t>
    </r>
    <r>
      <rPr>
        <sz val="11"/>
        <rFont val="Calibri"/>
        <family val="2"/>
        <scheme val="minor"/>
      </rPr>
      <t xml:space="preserve"> Who typically drives the vehicle or who is the primary public transport traveler?</t>
    </r>
  </si>
  <si>
    <t>3. For this mode of transport, are vehicles owned directly, rented, or contracted through a 3rd Party Logistics Provider?</t>
  </si>
  <si>
    <t>5a. Percentage of FIXED transport costs (vehicle depreciation, insurance) borne by other programs</t>
  </si>
  <si>
    <t>5b. Percentage of VARIABLE transport costs (Fuel, Maintenance, Labor, Per diems) borne by other programs</t>
  </si>
  <si>
    <t>7. Who typically drives the vehicle or who is the primary public transport traveler?</t>
  </si>
  <si>
    <t>8. How many additional people typically travel with the driver or primary traveler?</t>
  </si>
  <si>
    <t>8a.  What is the typical profession of the additional traveler?</t>
  </si>
  <si>
    <t xml:space="preserve">9. Dwell time 1: Minimum # minutes per facility visit (regardless of amount of product or number of commodities) </t>
  </si>
  <si>
    <t>10. Dwell Time 2 (if applicable): # minutes to dependent on number of health commodities (e.g. time to complete relevant paperwork, reconciling stock cards, completing Order Forms for one commodity)</t>
  </si>
  <si>
    <t>11. Dwell Time 3 (If applicable): # minutes to dependent on volume of product (e.g. count and/or stock per m^3 of product )</t>
  </si>
  <si>
    <t>6a.  If Route-based, what is the max # days for one route/loop?</t>
  </si>
  <si>
    <r>
      <t xml:space="preserve">6.2. Transportation for Ordering </t>
    </r>
    <r>
      <rPr>
        <i/>
        <sz val="12"/>
        <color theme="0"/>
        <rFont val="Calibri"/>
        <family val="2"/>
        <scheme val="minor"/>
      </rPr>
      <t>(</t>
    </r>
    <r>
      <rPr>
        <i/>
        <u/>
        <sz val="12"/>
        <color theme="0"/>
        <rFont val="Calibri"/>
        <family val="2"/>
        <scheme val="minor"/>
      </rPr>
      <t xml:space="preserve">OPTIONAL </t>
    </r>
    <r>
      <rPr>
        <i/>
        <sz val="12"/>
        <color theme="0"/>
        <rFont val="Calibri"/>
        <family val="2"/>
        <scheme val="minor"/>
      </rPr>
      <t xml:space="preserve">- use only if a </t>
    </r>
    <r>
      <rPr>
        <b/>
        <i/>
        <sz val="12"/>
        <color theme="0"/>
        <rFont val="Calibri"/>
        <family val="2"/>
        <scheme val="minor"/>
      </rPr>
      <t>separate trip is made for ordering</t>
    </r>
    <r>
      <rPr>
        <i/>
        <sz val="12"/>
        <color theme="0"/>
        <rFont val="Calibri"/>
        <family val="2"/>
        <scheme val="minor"/>
      </rPr>
      <t>)</t>
    </r>
  </si>
  <si>
    <t>How many different types of vehicles (i.e. modes of transport) are regularly used for additional travel at each tier? [enter value between 1 and 3 for each tier]</t>
  </si>
  <si>
    <t xml:space="preserve">How many times per year does this additional travel typically occur? (Note: if left blank, model will default to the number of shipments per year as the value used here) </t>
  </si>
  <si>
    <t>Select Input Sheet to Analyze:</t>
  </si>
  <si>
    <t>Number of Facilities Served at Last Tier</t>
  </si>
  <si>
    <t>Cost per m^3 of Commodities Delivered</t>
  </si>
  <si>
    <t>Total kilometers Traveled per m^3 delivered</t>
  </si>
  <si>
    <t>Step 4: Summary - Estimated Demand Volume</t>
  </si>
  <si>
    <t>For Reference only: Average Volume in Liters instead of m^3</t>
  </si>
  <si>
    <t>Override USAID Product Volume Database average? If yes, enter your own value here (m^3)</t>
  </si>
  <si>
    <t>Volume to use in calculations (m^3)</t>
  </si>
  <si>
    <t>Product Name</t>
  </si>
  <si>
    <t>Number of units consumed annually</t>
  </si>
  <si>
    <t xml:space="preserve">Proxy Volume from USAID Product Volume Database averages (m^3) </t>
  </si>
  <si>
    <t>Override Proxy Unit Volume (e.g. if volume listed in product description) (m^3)</t>
  </si>
  <si>
    <t>Master Listing of Product Volumes and Weights</t>
  </si>
  <si>
    <t xml:space="preserve">Note to user: The following list provides representative volumes and weights for most pharma and medical supplies in use.  Three sources (UNICEF, MissionPharma, and IDA) were used to compile this list, and accordingly each source may have different volumes and weights associated with the same product.  </t>
  </si>
  <si>
    <t>Bottle of Liquid - Med</t>
  </si>
  <si>
    <t>Total number of units consumed</t>
  </si>
  <si>
    <t>If you would like further information on this list, please contact James Gibney or Kelly Hamblin of the USAID | DELIVER PROJECT SCM Team.</t>
  </si>
  <si>
    <t>Total Number of Products Managed</t>
  </si>
  <si>
    <t>The list has been alphabetized by Product Name as given by the supplier.  However, it may still be necessary to use the 'find' function in excel to locate a specific product.</t>
  </si>
  <si>
    <t>Vaccine Volume Data Table</t>
  </si>
  <si>
    <t>Master List - Mapping to Standardized Product Types</t>
  </si>
  <si>
    <t>Summary - Volume of Standard Product Types</t>
  </si>
  <si>
    <t>Units of Measure</t>
  </si>
  <si>
    <t>Volume</t>
  </si>
  <si>
    <t>STANDARDIZED VOLUME - package (M^3)</t>
  </si>
  <si>
    <t>STANDARDIZED VOLUME - unit (M^3)</t>
  </si>
  <si>
    <t>UOM + Description</t>
  </si>
  <si>
    <t>Standardized Product Type</t>
  </si>
  <si>
    <t>Unique UOM+DESCRIPTIONS From Table</t>
  </si>
  <si>
    <t>Expanded Product Type</t>
  </si>
  <si>
    <t>Average Volume (m^3)</t>
  </si>
  <si>
    <t>Total cm^3 per dose</t>
  </si>
  <si>
    <t>Total cm^3 per vial</t>
  </si>
  <si>
    <t>Source Date</t>
  </si>
  <si>
    <t>Source Product Number</t>
  </si>
  <si>
    <t>Product Name / Description</t>
  </si>
  <si>
    <t>Quantity</t>
  </si>
  <si>
    <t>UOM</t>
  </si>
  <si>
    <t>MatGrp Desc.</t>
  </si>
  <si>
    <t>Vol. unit</t>
  </si>
  <si>
    <t>Bottle of Tablets</t>
  </si>
  <si>
    <t>Aerosol Inhaler</t>
  </si>
  <si>
    <t>UNICEF</t>
  </si>
  <si>
    <t>S0003656</t>
  </si>
  <si>
    <t>3TC 30mg+NVP 50mg+d4T 6mg ds.tab/P-60</t>
  </si>
  <si>
    <t>see product name</t>
  </si>
  <si>
    <t>EA</t>
  </si>
  <si>
    <t>Antiretrovirals</t>
  </si>
  <si>
    <t>CDM</t>
  </si>
  <si>
    <t>Injection Vial</t>
  </si>
  <si>
    <t>Blister Pack of Tablets</t>
  </si>
  <si>
    <t>S0003657</t>
  </si>
  <si>
    <t>3TC60mg+NVP100mg+d4T12mg ds.tab/P-60</t>
  </si>
  <si>
    <t>Bottle of Liquid</t>
  </si>
  <si>
    <t>Bottle of Liquid - Small</t>
  </si>
  <si>
    <t>IDA</t>
  </si>
  <si>
    <t>302801</t>
  </si>
  <si>
    <t>5-fluorouracil 250mg/5ml, for injection</t>
  </si>
  <si>
    <t>vial</t>
  </si>
  <si>
    <t>CCM</t>
  </si>
  <si>
    <t>MissionPharma</t>
  </si>
  <si>
    <t>F0679</t>
  </si>
  <si>
    <t>Abacavir 100mg/5ml, 240ml, syrup</t>
  </si>
  <si>
    <t>bottle</t>
  </si>
  <si>
    <t>M3</t>
  </si>
  <si>
    <t>Bottle of Liquid - Large</t>
  </si>
  <si>
    <t>A4366</t>
  </si>
  <si>
    <t>Abacavir 300mg</t>
  </si>
  <si>
    <t>tablets</t>
  </si>
  <si>
    <t>Bottle of Tablets - Small</t>
  </si>
  <si>
    <t>S0003600</t>
  </si>
  <si>
    <t>Abacavir 300mg tabs/PAC-60</t>
  </si>
  <si>
    <t>Bottle of Tablets - Med</t>
  </si>
  <si>
    <t>S0003601</t>
  </si>
  <si>
    <t>Abacavir oral sol.20mg/ml/BOT-240ml</t>
  </si>
  <si>
    <t>Tube of ointment</t>
  </si>
  <si>
    <t>Bottle of Tablets - Large</t>
  </si>
  <si>
    <t>S0003644</t>
  </si>
  <si>
    <t>ABC+3TC+ZDV 300+150+300mg tabs/PAC-60</t>
  </si>
  <si>
    <t>Box of bandages</t>
  </si>
  <si>
    <t>541500</t>
  </si>
  <si>
    <t>acetazolamide 250mg</t>
  </si>
  <si>
    <t>tabs</t>
  </si>
  <si>
    <t>Box of condoms</t>
  </si>
  <si>
    <t>A0614</t>
  </si>
  <si>
    <t>Acetazolamide 250mg</t>
  </si>
  <si>
    <t>Roll of tape/gauze</t>
  </si>
  <si>
    <t>Injection needle</t>
  </si>
  <si>
    <t>024500</t>
  </si>
  <si>
    <t>acetylsalicylic acid 100mg</t>
  </si>
  <si>
    <t>Injection syringe</t>
  </si>
  <si>
    <t>A0244</t>
  </si>
  <si>
    <t>Acetylsalicylic Acid 100mg</t>
  </si>
  <si>
    <t>Injection vial</t>
  </si>
  <si>
    <t>024600</t>
  </si>
  <si>
    <t>acetylsalicylic acid 300mg</t>
  </si>
  <si>
    <t>Intravenous bag</t>
  </si>
  <si>
    <t>A0005</t>
  </si>
  <si>
    <t>Acetylsalicylic Acid 300mg</t>
  </si>
  <si>
    <t>Medical equipment</t>
  </si>
  <si>
    <t>Medical equipment - Small</t>
  </si>
  <si>
    <t>A4370</t>
  </si>
  <si>
    <t>Medical equipment - Med</t>
  </si>
  <si>
    <t>S1506003</t>
  </si>
  <si>
    <t>Acetylsalicylic acid 300mg tabs/PAC-100</t>
  </si>
  <si>
    <t>PAC</t>
  </si>
  <si>
    <t>Analg., non opioids</t>
  </si>
  <si>
    <t>Sachet of powder</t>
  </si>
  <si>
    <t>Medical equipment - Large</t>
  </si>
  <si>
    <t>S1506002</t>
  </si>
  <si>
    <t>Acetylsalicylic acid 300mg tabs/PAC-1000</t>
  </si>
  <si>
    <t>Mosquito net</t>
  </si>
  <si>
    <t>024800</t>
  </si>
  <si>
    <t>acetylsalicylic acid 500mg</t>
  </si>
  <si>
    <t>PEP Kit</t>
  </si>
  <si>
    <t>A0006</t>
  </si>
  <si>
    <t>Acetylsalicylic Acid 500mg</t>
  </si>
  <si>
    <t>Rapid test</t>
  </si>
  <si>
    <t>S1506005</t>
  </si>
  <si>
    <t>Acetylsalicylic acid 500mg tabs/PAC-100</t>
  </si>
  <si>
    <t>342001</t>
  </si>
  <si>
    <t>aciclovir 200mg</t>
  </si>
  <si>
    <t>A0767</t>
  </si>
  <si>
    <t>Aciclovir 200mg</t>
  </si>
  <si>
    <t>Suppository</t>
  </si>
  <si>
    <t>S1521015</t>
  </si>
  <si>
    <t>Aciclovir 200mg tablets/PAC-25</t>
  </si>
  <si>
    <t>Antivirals</t>
  </si>
  <si>
    <t>342101</t>
  </si>
  <si>
    <t>aciclovir 200mg, dispersible</t>
  </si>
  <si>
    <t>Vaccine vial</t>
  </si>
  <si>
    <t>Vaccine vial - Small</t>
  </si>
  <si>
    <t>F0014</t>
  </si>
  <si>
    <t>Aciclovir 200mg/5ml, 125ml</t>
  </si>
  <si>
    <t>Vaccine vial - Med</t>
  </si>
  <si>
    <t>1. Source data from USAID|DELIVER PROJECT. Master Listing of Product Volumes and Weights. Arlington, VA:USAID | DELIVER PROJECT, Task Order 1; 2008.</t>
  </si>
  <si>
    <t>329703</t>
  </si>
  <si>
    <t>aciclovir 3% eye ointment, 4.5g</t>
  </si>
  <si>
    <t>tubes</t>
  </si>
  <si>
    <t>Vaccine vial - Large</t>
  </si>
  <si>
    <t>2. Condoms not listed in USAID Master Listing; value for the product type "Box of Condoms" based instead on direct measurement of products (average of two different brands)</t>
  </si>
  <si>
    <t>I0012</t>
  </si>
  <si>
    <t>Aciclovir 3%, 4.5g, eye ointment</t>
  </si>
  <si>
    <t>tube</t>
  </si>
  <si>
    <t>3. Vaccines volume data missing from USAID Master Listing; values for "Vaccine Vial" instead taken from WHO EVM Assistant Tool. Scroll right to raw data table for more source information</t>
  </si>
  <si>
    <t>S1521010</t>
  </si>
  <si>
    <t>Aciclovir 30mg/g,ophth.ointment/TBE-4.5g</t>
  </si>
  <si>
    <t>TBE</t>
  </si>
  <si>
    <t>A4304</t>
  </si>
  <si>
    <t>Aciclovir 400mg</t>
  </si>
  <si>
    <t>370401</t>
  </si>
  <si>
    <t>aciclovir 5% cream, 2g</t>
  </si>
  <si>
    <t>A4352</t>
  </si>
  <si>
    <t>Aciclovir 800mg</t>
  </si>
  <si>
    <t>L1311</t>
  </si>
  <si>
    <t>Adhesive fixing tape 2.5cm x 5m</t>
  </si>
  <si>
    <t>roll</t>
  </si>
  <si>
    <t>L1475</t>
  </si>
  <si>
    <t>Adhesive fixing tape 5cm x 5m</t>
  </si>
  <si>
    <t>M3318</t>
  </si>
  <si>
    <t>Adhesive fixing tape 7.5cm x 5m</t>
  </si>
  <si>
    <t>M1365</t>
  </si>
  <si>
    <t>Adhesive plaster 18cm x 5m, perforated * Z.O.P.</t>
  </si>
  <si>
    <t>M1363</t>
  </si>
  <si>
    <t>Adhesive plaster 5cm x 5m, perforated  * Z.O.P.</t>
  </si>
  <si>
    <t>948902</t>
  </si>
  <si>
    <t>adhesive tape 1.25cm x 5m</t>
  </si>
  <si>
    <t>rolls</t>
  </si>
  <si>
    <t>949302</t>
  </si>
  <si>
    <t>adhesive tape 10cm x 5m</t>
  </si>
  <si>
    <t>949400</t>
  </si>
  <si>
    <t>adhesive tape 10cm x 5m, perforated woven tearable</t>
  </si>
  <si>
    <t>948600</t>
  </si>
  <si>
    <t>adhesive tape 18cm x 5m, perforated woven tearable</t>
  </si>
  <si>
    <t>949002</t>
  </si>
  <si>
    <t>adhesive tape 2.50cm x 5m</t>
  </si>
  <si>
    <t>L0226</t>
  </si>
  <si>
    <t>Adhesive tape 2.5cm x 5m, Z.O.P. white</t>
  </si>
  <si>
    <t>949102</t>
  </si>
  <si>
    <t>adhesive tape 5cm x 5m</t>
  </si>
  <si>
    <t>948800</t>
  </si>
  <si>
    <t>adhesive tape 5cm x 5m, perforated woven tearable</t>
  </si>
  <si>
    <t>L0227</t>
  </si>
  <si>
    <t>Adhesive tape 5cm x 5m, Z.O.P.</t>
  </si>
  <si>
    <t>Roll of Tape/Gauze</t>
  </si>
  <si>
    <t>949202</t>
  </si>
  <si>
    <t>adhesive tape 7.50cm x 5m</t>
  </si>
  <si>
    <t>L0595</t>
  </si>
  <si>
    <t>Adhesive tape 7.5cm x 5m, Z.O.P.</t>
  </si>
  <si>
    <t>941300</t>
  </si>
  <si>
    <t>adhesive woundplaster, 6cmx 5m</t>
  </si>
  <si>
    <t>pce</t>
  </si>
  <si>
    <t>E1651</t>
  </si>
  <si>
    <t>Adrenaline 1mg/ml, 1ml</t>
  </si>
  <si>
    <t>ampoules</t>
  </si>
  <si>
    <t>S0700900</t>
  </si>
  <si>
    <t>Airway,Guedel,rubber,adult,82mm</t>
  </si>
  <si>
    <t>Tube/catheter/drain</t>
  </si>
  <si>
    <t>Vaccine Vial</t>
  </si>
  <si>
    <t>S0700700</t>
  </si>
  <si>
    <t>Airway,Guedel,rubber,infant,54mm</t>
  </si>
  <si>
    <t>S0390020</t>
  </si>
  <si>
    <t>Airway,Guedel,size 0</t>
  </si>
  <si>
    <t>S0390010</t>
  </si>
  <si>
    <t>Airway,Guedel,size 00</t>
  </si>
  <si>
    <t>S0390030</t>
  </si>
  <si>
    <t>Airway,Guedel,size 1</t>
  </si>
  <si>
    <t>S0390040</t>
  </si>
  <si>
    <t>Airway,Guedel,size 2</t>
  </si>
  <si>
    <t>Bottle of liquid</t>
  </si>
  <si>
    <t>S0390050</t>
  </si>
  <si>
    <t>Airway,Guedel,size 3</t>
  </si>
  <si>
    <t>S0390060</t>
  </si>
  <si>
    <t>Airway,Guedel,size 4</t>
  </si>
  <si>
    <t>133900</t>
  </si>
  <si>
    <t>albendazole 200mg</t>
  </si>
  <si>
    <t>Intravenous Bag</t>
  </si>
  <si>
    <t>A1974</t>
  </si>
  <si>
    <t>Albendazole 200mg, chewable</t>
  </si>
  <si>
    <t>F0700</t>
  </si>
  <si>
    <t>Albendazole 200mg/5ml, 10ml, syrup</t>
  </si>
  <si>
    <t>133800</t>
  </si>
  <si>
    <t>albendazole 400mg</t>
  </si>
  <si>
    <t>S1555370</t>
  </si>
  <si>
    <t>Albendazole 400mg tabs/PAC-100</t>
  </si>
  <si>
    <t>Anthelmintics</t>
  </si>
  <si>
    <t>A1888</t>
  </si>
  <si>
    <t>Albendazole 400mg, chewable</t>
  </si>
  <si>
    <t>370700</t>
  </si>
  <si>
    <t>alcohol disinfectant, propanol 70% + det.(UN1274), 5 liter</t>
  </si>
  <si>
    <t>580101</t>
  </si>
  <si>
    <t>allopurinol 100mg</t>
  </si>
  <si>
    <t>Sachet of Powder</t>
  </si>
  <si>
    <t>A0968</t>
  </si>
  <si>
    <t>Allopurinol 100mg</t>
  </si>
  <si>
    <t>M2816</t>
  </si>
  <si>
    <t>Alphacypermetrine 10% SC, for       *    mosquito net impregnation, 10ml</t>
  </si>
  <si>
    <t>sachet</t>
  </si>
  <si>
    <t>M2815</t>
  </si>
  <si>
    <t>Alphacypermetrine 10% SC, for walls,   * floors and net impregnation, 250ml</t>
  </si>
  <si>
    <t>S1504002</t>
  </si>
  <si>
    <t>Alu.hydrox.oral sus 320mg/5ml/BOT-500ml</t>
  </si>
  <si>
    <t>BOT</t>
  </si>
  <si>
    <t>Gastrointestinal</t>
  </si>
  <si>
    <t>431500</t>
  </si>
  <si>
    <t>aluminium hydroxide 500mg</t>
  </si>
  <si>
    <t>S1504000</t>
  </si>
  <si>
    <t>Aluminium hydroxide 500mg tabs/PAC-1000</t>
  </si>
  <si>
    <t>A0183</t>
  </si>
  <si>
    <t>Aluminium Hydroxide 500mg, chewable</t>
  </si>
  <si>
    <t>A4360</t>
  </si>
  <si>
    <t>840200</t>
  </si>
  <si>
    <t>Ambu baby resuscitator + mask OA</t>
  </si>
  <si>
    <t>880600</t>
  </si>
  <si>
    <t>Ambu resuscitator, Mark III., incl.mask no. 2+5</t>
  </si>
  <si>
    <t>114000</t>
  </si>
  <si>
    <t>amidotrizoate 76%, 20ml (urografin)</t>
  </si>
  <si>
    <t>amps</t>
  </si>
  <si>
    <t>E1272</t>
  </si>
  <si>
    <t>Amidotrizoate 76%, contrast media, 20ml</t>
  </si>
  <si>
    <t>E1634</t>
  </si>
  <si>
    <t>Amikacin 250mg/ml, 2ml</t>
  </si>
  <si>
    <t>vials</t>
  </si>
  <si>
    <t>562500</t>
  </si>
  <si>
    <t>aminophylline 100mg</t>
  </si>
  <si>
    <t>A0002</t>
  </si>
  <si>
    <t>Aminophylline 100mg</t>
  </si>
  <si>
    <t>563000</t>
  </si>
  <si>
    <t>aminophylline 250mg/10ml inj</t>
  </si>
  <si>
    <t>E1652</t>
  </si>
  <si>
    <t>Aminophylline 25mg/ml, 10ml</t>
  </si>
  <si>
    <t>Rapid Test</t>
  </si>
  <si>
    <t>271700</t>
  </si>
  <si>
    <t>amitriptyline HCl 25mg, coated</t>
  </si>
  <si>
    <t>A0235</t>
  </si>
  <si>
    <t>Amitriptyline HCl 25mg, coated</t>
  </si>
  <si>
    <t>G0114</t>
  </si>
  <si>
    <t>Amitriptyline HCl 4%, 20ml, oral drops</t>
  </si>
  <si>
    <t>A4302</t>
  </si>
  <si>
    <t>Amodiaquine 100mg (3 tabs) +Sulfadoxine* 250mg/Pyrimethamine 12.5mg (1 tab), PHD</t>
  </si>
  <si>
    <t>treatmen</t>
  </si>
  <si>
    <t>A5006</t>
  </si>
  <si>
    <t>Amodiaquine 200mg (3 tabs) +Sulfadoxine* 500mg / Pyrimethamine 25mg (1 tab), PHD</t>
  </si>
  <si>
    <t>treatment</t>
  </si>
  <si>
    <t>A5005</t>
  </si>
  <si>
    <t>Amodiaquine 200mg (6 tabs) +Sulfadoxine* 500mg / Pyrimethamine 25mg (2 tabs), PHD</t>
  </si>
  <si>
    <t>A5004</t>
  </si>
  <si>
    <t>Amodiaquine 200mg (9 tabs) +Sulfadoxine* 500mg / Pyrimethamine 25mg (3 tabs), PHD</t>
  </si>
  <si>
    <t>A0084</t>
  </si>
  <si>
    <t>Amodiaquine 200mg, as HCl</t>
  </si>
  <si>
    <t>A4342</t>
  </si>
  <si>
    <t>S1300050</t>
  </si>
  <si>
    <t>Amodiaquine HCL 200mg tabs/PAC-120</t>
  </si>
  <si>
    <t>Antimalarial drugs</t>
  </si>
  <si>
    <t>S1300052</t>
  </si>
  <si>
    <t>Amodiaquine HCL 200mg tabs/PAC-1200</t>
  </si>
  <si>
    <t>163000</t>
  </si>
  <si>
    <t>amodiaquine HCl, equivalent to 200mg base</t>
  </si>
  <si>
    <t>S1505046</t>
  </si>
  <si>
    <t>Amoxici.pdr/oral sus 125mg/5ml/BOT-100ml</t>
  </si>
  <si>
    <t>ß-lactams</t>
  </si>
  <si>
    <t>472502</t>
  </si>
  <si>
    <t>amoxicillin 125mg/5ml, powder for suspension, 100ml</t>
  </si>
  <si>
    <t>btls</t>
  </si>
  <si>
    <t>472100</t>
  </si>
  <si>
    <t>amoxicillin 250mg</t>
  </si>
  <si>
    <t>caps</t>
  </si>
  <si>
    <t>S1505040</t>
  </si>
  <si>
    <t>Amoxicillin 250mg caps/tabs/PAC-1000</t>
  </si>
  <si>
    <t>472110</t>
  </si>
  <si>
    <t>amoxicillin 250mg, blister</t>
  </si>
  <si>
    <t>100x10</t>
  </si>
  <si>
    <t>472602</t>
  </si>
  <si>
    <t>amoxicillin 250mg/5ml, powder for suspension, 100ml</t>
  </si>
  <si>
    <t>472200</t>
  </si>
  <si>
    <t>amoxicillin 500mg</t>
  </si>
  <si>
    <t>472900</t>
  </si>
  <si>
    <t>amoxicillin 500mg + clavulanic acid 125mg, blister</t>
  </si>
  <si>
    <t>10x5</t>
  </si>
  <si>
    <t>S1505048</t>
  </si>
  <si>
    <t>Amoxicillin 500mg caps/tabs/PAC-100</t>
  </si>
  <si>
    <t>472210</t>
  </si>
  <si>
    <t>amoxicillin 500mg, blister</t>
  </si>
  <si>
    <t>F0047</t>
  </si>
  <si>
    <t>Amoxycillin 125mg/5ml, 100ml</t>
  </si>
  <si>
    <t>F0141</t>
  </si>
  <si>
    <t>Amoxycillin 125mg/5ml, 60ml</t>
  </si>
  <si>
    <t>E1407</t>
  </si>
  <si>
    <t>Amoxycillin 1g</t>
  </si>
  <si>
    <t>D0034</t>
  </si>
  <si>
    <t>Amoxycillin 250mg</t>
  </si>
  <si>
    <t>capsules</t>
  </si>
  <si>
    <t>A1856</t>
  </si>
  <si>
    <t>D0299</t>
  </si>
  <si>
    <t>F0214</t>
  </si>
  <si>
    <t>Amoxycillin 250mg/5ml, 100ml</t>
  </si>
  <si>
    <t>F0317</t>
  </si>
  <si>
    <t>Amoxycillin 250mg/5ml, 60ml</t>
  </si>
  <si>
    <t>D0032</t>
  </si>
  <si>
    <t>Amoxycillin 500mg</t>
  </si>
  <si>
    <t>A2048</t>
  </si>
  <si>
    <t>A3012</t>
  </si>
  <si>
    <t>D0283</t>
  </si>
  <si>
    <t>A5002</t>
  </si>
  <si>
    <t>Amoxycillin 500mg+Clavulanic Acid 125mg</t>
  </si>
  <si>
    <t>E0059</t>
  </si>
  <si>
    <t>Amphotericin B 50mg</t>
  </si>
  <si>
    <t>150500</t>
  </si>
  <si>
    <t>amphotericin b, 50mg dry powder for injection (10ml)   (**)</t>
  </si>
  <si>
    <t>475301</t>
  </si>
  <si>
    <t>ampicillin 1 gram, powder for inj</t>
  </si>
  <si>
    <t>F0001</t>
  </si>
  <si>
    <t>Ampicillin 125mg/5ml, 100ml</t>
  </si>
  <si>
    <t>E0858</t>
  </si>
  <si>
    <t>Ampicillin 1g, as Sodium</t>
  </si>
  <si>
    <t>474600</t>
  </si>
  <si>
    <t>ampicillin 250mg</t>
  </si>
  <si>
    <t>D0001</t>
  </si>
  <si>
    <t>Ampicillin 250mg</t>
  </si>
  <si>
    <t>D0314</t>
  </si>
  <si>
    <t>474800</t>
  </si>
  <si>
    <t>ampicillin 500mg</t>
  </si>
  <si>
    <t>D0013</t>
  </si>
  <si>
    <t>Ampicillin 500mg</t>
  </si>
  <si>
    <t>E0753</t>
  </si>
  <si>
    <t>Ampicillin 500mg, as Sodium</t>
  </si>
  <si>
    <t>475202</t>
  </si>
  <si>
    <t>ampicillin 500mg, powder for inj</t>
  </si>
  <si>
    <t>S1505098</t>
  </si>
  <si>
    <t>Ampicillin pdr/inj 500mg vial/BOX-25</t>
  </si>
  <si>
    <t>BOX</t>
  </si>
  <si>
    <t>432000</t>
  </si>
  <si>
    <t>antacida suspension (aluminium+magnesiumhydroxide), 300ml</t>
  </si>
  <si>
    <t>E1160</t>
  </si>
  <si>
    <t>Anti snake venom/Africa 10ml</t>
  </si>
  <si>
    <t>683600</t>
  </si>
  <si>
    <t>anti-haemorrhoid ointment, 30g</t>
  </si>
  <si>
    <t>683300</t>
  </si>
  <si>
    <t>anti-haemorrhoid suppositories    (*a)</t>
  </si>
  <si>
    <t>supps</t>
  </si>
  <si>
    <t>H2988</t>
  </si>
  <si>
    <t>Anti-haemorrhoidal 30g, ointment</t>
  </si>
  <si>
    <t>C0006</t>
  </si>
  <si>
    <t>Anti-haemorrhoidal suppositories</t>
  </si>
  <si>
    <t>L2606</t>
  </si>
  <si>
    <t>Anti-Human Globulin test, Polyclonal     10ml</t>
  </si>
  <si>
    <t>290700</t>
  </si>
  <si>
    <t>anti-rabies immunoglobuline, human 300iu/2ml, for injection    (***)</t>
  </si>
  <si>
    <t>291200</t>
  </si>
  <si>
    <t>anti-snake bite serum, Africa (10 snakes), 10ml for injection  (**)</t>
  </si>
  <si>
    <t>E1068</t>
  </si>
  <si>
    <t>Antitoxin, Tetanus 1.500IU/ml, 1ml</t>
  </si>
  <si>
    <t>720100</t>
  </si>
  <si>
    <t>applicator stick, wood, with cotton tip, 15cm</t>
  </si>
  <si>
    <t>pcs</t>
  </si>
  <si>
    <t>M1413</t>
  </si>
  <si>
    <t>Applicator, cotton tipped</t>
  </si>
  <si>
    <t>pieces</t>
  </si>
  <si>
    <t>L0647</t>
  </si>
  <si>
    <t>Apron pvc coated nylon, washable</t>
  </si>
  <si>
    <t>piece</t>
  </si>
  <si>
    <t>876901</t>
  </si>
  <si>
    <t>apron utility, opaque, plastic, reusable, 120cm</t>
  </si>
  <si>
    <t>876902</t>
  </si>
  <si>
    <t>apron with neckband, opaque, plastic, disposable</t>
  </si>
  <si>
    <t>S0305020</t>
  </si>
  <si>
    <t>Apron,protection,plastic,dispos/BOX-100</t>
  </si>
  <si>
    <t>Clothing and access.</t>
  </si>
  <si>
    <t>S0305000</t>
  </si>
  <si>
    <t>Apron,protection,plastic,reusable</t>
  </si>
  <si>
    <t>S1300060</t>
  </si>
  <si>
    <t>Arteme.+Lumefan,20+120mg tab,6x1/PAC-180</t>
  </si>
  <si>
    <t>S1300061</t>
  </si>
  <si>
    <t>Arteme.+Lumefan,20+120mg tab,6x2/PAC-360</t>
  </si>
  <si>
    <t>S1300062</t>
  </si>
  <si>
    <t>Arteme.+Lumefan,20+120mg tab,6x3/PAC-540</t>
  </si>
  <si>
    <t>S1300063</t>
  </si>
  <si>
    <t>Arteme.+Lumefan,20+120mg tab,6x4/PAC-720</t>
  </si>
  <si>
    <t>A0992</t>
  </si>
  <si>
    <t>Artemether 20mg + Lumefantrine 120mg   * (&gt;35kg)</t>
  </si>
  <si>
    <t>A0112</t>
  </si>
  <si>
    <t>Artemether 20mg + Lumefantrine 120mg   * (15-24kg)</t>
  </si>
  <si>
    <t>A0960</t>
  </si>
  <si>
    <t>Artemether 20mg + Lumefantrine 120mg   * (25-34kg)</t>
  </si>
  <si>
    <t>A0111</t>
  </si>
  <si>
    <t>Artemether 20mg + Lumefantrine 120mg   * (5-14kg)</t>
  </si>
  <si>
    <t>166505</t>
  </si>
  <si>
    <t>artemether 20mg + lumefantrine 120mg, 6 x 1 tabs (Coartem)</t>
  </si>
  <si>
    <t>166506</t>
  </si>
  <si>
    <t>artemether 20mg + lumefantrine 120mg, 6 x 2 tabs (Coartem)</t>
  </si>
  <si>
    <t>166507</t>
  </si>
  <si>
    <t>artemether 20mg + lumefantrine 120mg, 6 x 3 tabs (Coartem)</t>
  </si>
  <si>
    <t>166508</t>
  </si>
  <si>
    <t>artemether 20mg + lumefantrine 120mg, 6 x 4 tabs (Coartem)</t>
  </si>
  <si>
    <t>E1865</t>
  </si>
  <si>
    <t>Artemether 20mg/ml, 1ml</t>
  </si>
  <si>
    <t>165400</t>
  </si>
  <si>
    <t>artemether 20mg/ml, 1ml, for injection</t>
  </si>
  <si>
    <t>D0311</t>
  </si>
  <si>
    <t>Artemether 40mg</t>
  </si>
  <si>
    <t>A4338</t>
  </si>
  <si>
    <t>Artemether 50mg</t>
  </si>
  <si>
    <t>E1843</t>
  </si>
  <si>
    <t>Artemether 80mg/ml, 1ml</t>
  </si>
  <si>
    <t>165501</t>
  </si>
  <si>
    <t>artemether 80mg/ml, 1ml, for injection</t>
  </si>
  <si>
    <t>S1300065</t>
  </si>
  <si>
    <t>Artemether inj 20mg/ml,1ml amp/BOX-10</t>
  </si>
  <si>
    <t>S1300068</t>
  </si>
  <si>
    <t>Artemether inj 20mg/ml,1ml amp/BOX-3</t>
  </si>
  <si>
    <t>S1300066</t>
  </si>
  <si>
    <t>Artemether inj 80mg/ml,1ml amp/BOX-5</t>
  </si>
  <si>
    <t>S1300069</t>
  </si>
  <si>
    <t>Artemether inj 80mg/ml,1ml amp/BOX-8</t>
  </si>
  <si>
    <t>S1300082</t>
  </si>
  <si>
    <t>Artemotil IM inj,150mg/ml,1ml amp/BOX-10</t>
  </si>
  <si>
    <t>S1300083</t>
  </si>
  <si>
    <t>Artemotil IM inj,150mg/ml,1ml amp/BOX100</t>
  </si>
  <si>
    <t>S1300080</t>
  </si>
  <si>
    <t>Artemotil IM inj,50mg/ml,1ml amp/BOX-10</t>
  </si>
  <si>
    <t>S1300081</t>
  </si>
  <si>
    <t>Artemotil IM inj,50mg/ml,1ml amp/BOX-100</t>
  </si>
  <si>
    <t>S1300006</t>
  </si>
  <si>
    <t>Artesun100mg+SP500mg/25mg co-bl,tabs/6+3</t>
  </si>
  <si>
    <t>S1300022</t>
  </si>
  <si>
    <t>Artesun50+Amod153 co-bl,tab/12+12/PAC-10</t>
  </si>
  <si>
    <t>S1300020</t>
  </si>
  <si>
    <t>Artesun50+Amod153 co-bl,tab/12+12/PAC-25</t>
  </si>
  <si>
    <t>S1300011</t>
  </si>
  <si>
    <t>Artesun50+Amod153 co-bl,tabs/3+3/PAC-100</t>
  </si>
  <si>
    <t>S1300016</t>
  </si>
  <si>
    <t>Artesun50+Amod153 co-bl,tabs/6+6/PAC-100</t>
  </si>
  <si>
    <t>S1300021</t>
  </si>
  <si>
    <t>Artesun50+Amod153 co-bl,tb/12+12/PAC-100</t>
  </si>
  <si>
    <t>S1300012</t>
  </si>
  <si>
    <t>Artesun50+Amod153 co-bl.,tabs/3+3/PAC-10</t>
  </si>
  <si>
    <t>S1300010</t>
  </si>
  <si>
    <t>Artesun50+Amod153 co-bl.,tabs/3+3/PAC-25</t>
  </si>
  <si>
    <t>S1300017</t>
  </si>
  <si>
    <t>Artesun50+Amod153 co-bl.,tabs/6+6/PAC-10</t>
  </si>
  <si>
    <t>S1300015</t>
  </si>
  <si>
    <t>Artesun50+Amod153 co-bl.,tabs/6+6/PAC-25</t>
  </si>
  <si>
    <t>S1300025</t>
  </si>
  <si>
    <t>Artesun50+SP500/25,co-bl,tabs/3+1/PAC-10</t>
  </si>
  <si>
    <t>S1300030</t>
  </si>
  <si>
    <t>Artesun50+SP500/25,co-bl,tabs/6+2/PAC-10</t>
  </si>
  <si>
    <t>S1300035</t>
  </si>
  <si>
    <t>Artesun50+SP500/25,co-bl,tbs/12+3/PAC-10</t>
  </si>
  <si>
    <t>S1300002</t>
  </si>
  <si>
    <t>Artesun50mg+Amod153mg co-bl.,tabs/12+12</t>
  </si>
  <si>
    <t>S1300000</t>
  </si>
  <si>
    <t>Artesun50mg+Amod153mg co-bl.,tabs/3+3</t>
  </si>
  <si>
    <t>S1300001</t>
  </si>
  <si>
    <t>Artesun50mg+Amod153mg co-bl.,tabs/6+6</t>
  </si>
  <si>
    <t>S1300004</t>
  </si>
  <si>
    <t>Artesun50mg+SP500mg/25mg co-bl.,tabs/6+2</t>
  </si>
  <si>
    <t>165603</t>
  </si>
  <si>
    <t>artesunate 100mg</t>
  </si>
  <si>
    <t>A5022</t>
  </si>
  <si>
    <t>Artesunate 100mg (6 tabs) + Sulfadoxine* 500mg/Pyrimethamine 25mg (3 tabs)</t>
  </si>
  <si>
    <t>165602</t>
  </si>
  <si>
    <t>artesunate 100mg, blister</t>
  </si>
  <si>
    <t>10x6</t>
  </si>
  <si>
    <t>A4350</t>
  </si>
  <si>
    <t>Artesunate 200mg (3 tabs) + Mefloquine * 250mg base (4 tabs)</t>
  </si>
  <si>
    <t>S1300072</t>
  </si>
  <si>
    <t>Artesunate 200mg suppository/PAC-6</t>
  </si>
  <si>
    <t>C0062</t>
  </si>
  <si>
    <t>Artesunate 200mg, rectocaps</t>
  </si>
  <si>
    <t>A5077</t>
  </si>
  <si>
    <t>Artesunate 50mg (12 tabs) + Amodiaquine* 153mg, as HCl (12 tabs)</t>
  </si>
  <si>
    <t>A5086</t>
  </si>
  <si>
    <t>Artesunate 50mg (3 tabs) + Amodiaquine*  153mg, as HCl (3 tabs)</t>
  </si>
  <si>
    <t>A5085</t>
  </si>
  <si>
    <t>Artesunate 50mg (6 tabs) + Amodiaquine*  153mg, as HCl (6 tabs)</t>
  </si>
  <si>
    <t>A4349</t>
  </si>
  <si>
    <t>Artesunate 50mg (6 tabs) + Mefloquine  * 250mg base (2 tabs)</t>
  </si>
  <si>
    <t>A5023</t>
  </si>
  <si>
    <t>Artesunate 50mg (6 tabs) + Sulfadoxine * 500mg/Pyrimethamine 25mg (2 tabs)</t>
  </si>
  <si>
    <t>162402</t>
  </si>
  <si>
    <t>artesunate 50mg + amodiaquine 153mg, co-blister</t>
  </si>
  <si>
    <t>3+3</t>
  </si>
  <si>
    <t>162401</t>
  </si>
  <si>
    <t>6+6</t>
  </si>
  <si>
    <t>162400</t>
  </si>
  <si>
    <t>12+12</t>
  </si>
  <si>
    <t>S1300070</t>
  </si>
  <si>
    <t>Artesunate 50mg suppository/PAC-6</t>
  </si>
  <si>
    <t>165704</t>
  </si>
  <si>
    <t>artesunate 50mg, blister</t>
  </si>
  <si>
    <t>1x12</t>
  </si>
  <si>
    <t>C0061</t>
  </si>
  <si>
    <t>Artesunate 50mg, rectocaps</t>
  </si>
  <si>
    <t>E1879</t>
  </si>
  <si>
    <t>Artesunate 60mg w/solvent</t>
  </si>
  <si>
    <t>S1300055</t>
  </si>
  <si>
    <t>AS100mg+MQ250mg co-bl.,tab/3+3/PAC-1</t>
  </si>
  <si>
    <t>S1300056</t>
  </si>
  <si>
    <t>AS200mg+MQ250mg co-bl.,tab/3+6/PAC-1</t>
  </si>
  <si>
    <t>S1580005</t>
  </si>
  <si>
    <t>Ascorbic acid 250mg tabs/PAC-1000</t>
  </si>
  <si>
    <t>Minerals &amp; vitamins</t>
  </si>
  <si>
    <t>S1580000</t>
  </si>
  <si>
    <t>Ascorbic acid 50mg tabs/PAC-1000</t>
  </si>
  <si>
    <t>381703</t>
  </si>
  <si>
    <t>atenolol 100mg</t>
  </si>
  <si>
    <t>A0838</t>
  </si>
  <si>
    <t>Atenolol 100mg</t>
  </si>
  <si>
    <t>381503</t>
  </si>
  <si>
    <t>atenolol 50mg</t>
  </si>
  <si>
    <t>A2015</t>
  </si>
  <si>
    <t>Atenolol 50mg</t>
  </si>
  <si>
    <t>S1552411</t>
  </si>
  <si>
    <t>Atenolol 50mg tabs/PAC-1000</t>
  </si>
  <si>
    <t>Cardiovascular drugs</t>
  </si>
  <si>
    <t>S1514010</t>
  </si>
  <si>
    <t>Atropine inj 1mg/ml 1ml amp/BOX-10</t>
  </si>
  <si>
    <t>Antidotes</t>
  </si>
  <si>
    <t>E0004</t>
  </si>
  <si>
    <t>Atropine Sulphate 0.5mg/ml, 1ml</t>
  </si>
  <si>
    <t>320101</t>
  </si>
  <si>
    <t>atropine sulphate 1% eye drops, 5ml</t>
  </si>
  <si>
    <t>G0030</t>
  </si>
  <si>
    <t>Atropine Sulphate 1%, 5ml, eye drops</t>
  </si>
  <si>
    <t>E1689</t>
  </si>
  <si>
    <t>Atropine Sulphate 1mg/ml, 1ml</t>
  </si>
  <si>
    <t>042500</t>
  </si>
  <si>
    <t>atropine sulphate 1mg/ml, 1ml, for injection</t>
  </si>
  <si>
    <t>812700</t>
  </si>
  <si>
    <t>autoclave "Uniclave 88" 75ltr, 40x60cm, 220v-50hz</t>
  </si>
  <si>
    <t>L0188</t>
  </si>
  <si>
    <t>Autoclave tape 19mm x 50m</t>
  </si>
  <si>
    <t>730500</t>
  </si>
  <si>
    <t>autoclave tape, steam sterilization, 18mmx50m</t>
  </si>
  <si>
    <t>842743</t>
  </si>
  <si>
    <t>autodisable syringe 0.5ml + mounted needle 23gx1" (2pcs)</t>
  </si>
  <si>
    <t>M3028</t>
  </si>
  <si>
    <t>Automated ELISA micro-plate reader       "Chaine ELISA"</t>
  </si>
  <si>
    <t>304500</t>
  </si>
  <si>
    <t>azathioprine 50mg</t>
  </si>
  <si>
    <t>A0800</t>
  </si>
  <si>
    <t>Azathioprine 50mg</t>
  </si>
  <si>
    <t>F0669</t>
  </si>
  <si>
    <t>Azithromycin 200mg/5ml,15ml, syrup     * as Dihydrate</t>
  </si>
  <si>
    <t>A4075</t>
  </si>
  <si>
    <t>Azithromycin 250mg</t>
  </si>
  <si>
    <t>S1531001</t>
  </si>
  <si>
    <t>Azithromycin 500mg tablets/PAC-10</t>
  </si>
  <si>
    <t>Other antibacterials</t>
  </si>
  <si>
    <t>S1531011</t>
  </si>
  <si>
    <t>Azithromycin pdr/or s 200mg/5ml/BOT-15ml</t>
  </si>
  <si>
    <t>160301</t>
  </si>
  <si>
    <t>azithromycine 200mg/5ml, oral suspension,15ml</t>
  </si>
  <si>
    <t>160107</t>
  </si>
  <si>
    <t>azithromycine 250 mg, blister</t>
  </si>
  <si>
    <t>S0315000</t>
  </si>
  <si>
    <t>Bag,rubber,ice/hot water,2L</t>
  </si>
  <si>
    <t>Plastic utensils</t>
  </si>
  <si>
    <t>S0330500</t>
  </si>
  <si>
    <t>Bag,urine,collecting,2000ml</t>
  </si>
  <si>
    <t>Misc. renew. plastic</t>
  </si>
  <si>
    <t>944600</t>
  </si>
  <si>
    <t>bandage crepe, 10cm x 4m</t>
  </si>
  <si>
    <t>944200</t>
  </si>
  <si>
    <t>bandage crepe, 6cm x 4m</t>
  </si>
  <si>
    <t>944400</t>
  </si>
  <si>
    <t>bandage crepe, 8cm x 4m</t>
  </si>
  <si>
    <t>947000</t>
  </si>
  <si>
    <t>bandage, hydrophilic 5cmx10m w.o.w.</t>
  </si>
  <si>
    <t>947100</t>
  </si>
  <si>
    <t>bandage, hydrophilic 7.5cmx10m w.o.w.</t>
  </si>
  <si>
    <t>947107</t>
  </si>
  <si>
    <t>bandage, hydrophilic 7.5cmx5m selfedged</t>
  </si>
  <si>
    <t>940402</t>
  </si>
  <si>
    <t>bandage, hydrophilic 8.0cmx4m selfedged</t>
  </si>
  <si>
    <t>M2264</t>
  </si>
  <si>
    <t>Bandage, triangular N/W, 91 x 91 x 127cm</t>
  </si>
  <si>
    <t>S0503025</t>
  </si>
  <si>
    <t>Bandage,elastic,7.5cmx5m,roll</t>
  </si>
  <si>
    <t>Comp/bandage/tape</t>
  </si>
  <si>
    <t>S0512110</t>
  </si>
  <si>
    <t>Bandage,gauze,5cmx5m,roll</t>
  </si>
  <si>
    <t>S0512111</t>
  </si>
  <si>
    <t>Bandage,gauze,8cmx4m,roll</t>
  </si>
  <si>
    <t>S0512200</t>
  </si>
  <si>
    <t>Bandage,tricot,tubular,5cmx25m</t>
  </si>
  <si>
    <t>744100</t>
  </si>
  <si>
    <t>barium sulphate BP/EP, for x-ray diagnosis</t>
  </si>
  <si>
    <t>kg</t>
  </si>
  <si>
    <t>N0187</t>
  </si>
  <si>
    <t>Barium Sulphate, 25kg, for x-ray</t>
  </si>
  <si>
    <t>drum</t>
  </si>
  <si>
    <t>W0065</t>
  </si>
  <si>
    <t>Basic Kit (NEHK)</t>
  </si>
  <si>
    <t>kit</t>
  </si>
  <si>
    <t>S0210020</t>
  </si>
  <si>
    <t>Basin,kidney,polypropylene,475ml</t>
  </si>
  <si>
    <t>S0211000</t>
  </si>
  <si>
    <t>Basin,kidney,stainless steel,825ml</t>
  </si>
  <si>
    <t>Steel utensils</t>
  </si>
  <si>
    <t>M0766</t>
  </si>
  <si>
    <t>Battery, Alkaline AA - LR6 1,5V</t>
  </si>
  <si>
    <t>M3803</t>
  </si>
  <si>
    <t>Battery, Alkaline D - LR20 1,5V</t>
  </si>
  <si>
    <t>S359114</t>
  </si>
  <si>
    <t>BCG vaccine,vial of 20 doses</t>
  </si>
  <si>
    <t>EPI vaccines</t>
  </si>
  <si>
    <t>S1511500</t>
  </si>
  <si>
    <t>Beclometa.oral inh. 0.05mg/ds 200ds</t>
  </si>
  <si>
    <t>Respiratory drugs</t>
  </si>
  <si>
    <t>231500</t>
  </si>
  <si>
    <t>beclometasone oral inhaler, 50mcg/dose, 200 doses (UN1950)</t>
  </si>
  <si>
    <t>K1428</t>
  </si>
  <si>
    <t>Beclomethasone 50mcg/dose, 200 doses   * CFC-free</t>
  </si>
  <si>
    <t>inhal</t>
  </si>
  <si>
    <t>L1180</t>
  </si>
  <si>
    <t>Bed pan, adult, autoclavable, plastic</t>
  </si>
  <si>
    <t>L2392</t>
  </si>
  <si>
    <t>Bed, delivery, 2 section, w/ adjust. leg holders, ss bowl incl. mattress</t>
  </si>
  <si>
    <t>L1612</t>
  </si>
  <si>
    <t>Bed, delivery, 3 section, adjust. back * w/ leg holders, ss bowl</t>
  </si>
  <si>
    <t>S0101010</t>
  </si>
  <si>
    <t>Bed,hospital,ICU,w/mattress</t>
  </si>
  <si>
    <t>Other hosp. equip.</t>
  </si>
  <si>
    <t>S0101005</t>
  </si>
  <si>
    <t>Bed,hospital,standard,w/mattress</t>
  </si>
  <si>
    <t>S0101000</t>
  </si>
  <si>
    <t>Bed,labour/delivery,w/access</t>
  </si>
  <si>
    <t>S0222020</t>
  </si>
  <si>
    <t>Bedpan,polypropylene,adult</t>
  </si>
  <si>
    <t>S0101015</t>
  </si>
  <si>
    <t>Bedscreen,hospital,on castors</t>
  </si>
  <si>
    <t>S1557985</t>
  </si>
  <si>
    <t>Ben.penicillin pdr/inj 0.6g vial/BOX-50</t>
  </si>
  <si>
    <t>S1515020</t>
  </si>
  <si>
    <t>Benz.acid 6%+salic.acid 3% oint./TBE-40g</t>
  </si>
  <si>
    <t>Dermatological drugs</t>
  </si>
  <si>
    <t>S1559005</t>
  </si>
  <si>
    <t>Benz.benzylpeni.pdr/inj 1.44g vl/BOX-50</t>
  </si>
  <si>
    <t>E0785</t>
  </si>
  <si>
    <t>Benzathine Benzylpenicillin 1.2M IU</t>
  </si>
  <si>
    <t>E0413</t>
  </si>
  <si>
    <t>Benzathine Benzylpenicillin 2.4M IU</t>
  </si>
  <si>
    <t>476301</t>
  </si>
  <si>
    <t>benzathine penicillin 1.2 miu, powder for inj</t>
  </si>
  <si>
    <t>476501</t>
  </si>
  <si>
    <t>benzathine penicillin 2.4 miu, powder for inj</t>
  </si>
  <si>
    <t>370200</t>
  </si>
  <si>
    <t>benzoic acid 6% + salicylic acid 3% ointment, 40g</t>
  </si>
  <si>
    <t>370300</t>
  </si>
  <si>
    <t>benzoic acid 6% + salicylic acid 3% ointment, 800g</t>
  </si>
  <si>
    <t>jar</t>
  </si>
  <si>
    <t>H0085</t>
  </si>
  <si>
    <t>Benzoic Acid comp., 40g, ointment</t>
  </si>
  <si>
    <t>H0160</t>
  </si>
  <si>
    <t>Benzoic Acid comp., 800g, ointment</t>
  </si>
  <si>
    <t>S1519500</t>
  </si>
  <si>
    <t>Benzyl benzoate 25% lotion /BOT-1000ml</t>
  </si>
  <si>
    <t>H2912</t>
  </si>
  <si>
    <t>Benzyl Benzoate 25%, 1L, application</t>
  </si>
  <si>
    <t>K1477</t>
  </si>
  <si>
    <t>Benzyl Benzoate 90%, 1L, saponated</t>
  </si>
  <si>
    <t>370600</t>
  </si>
  <si>
    <t>benzylbenzoate 25% application, 1 liter</t>
  </si>
  <si>
    <t>370800</t>
  </si>
  <si>
    <t>benzylbenzoate 90% saponated, 1 liter</t>
  </si>
  <si>
    <t>476801</t>
  </si>
  <si>
    <t>benzylpenicillin 1 miu, powder for injection</t>
  </si>
  <si>
    <t>477001</t>
  </si>
  <si>
    <t>benzylpenicillin 5 miu, powder for injection</t>
  </si>
  <si>
    <t>E0412</t>
  </si>
  <si>
    <t>Benzylpenicillin Sodium 1M IU</t>
  </si>
  <si>
    <t>E0942</t>
  </si>
  <si>
    <t>Benzylpenicillin Sodium 5M IU</t>
  </si>
  <si>
    <t>375002</t>
  </si>
  <si>
    <t>betamethasone 0.1% (as valerate) cream, 15g</t>
  </si>
  <si>
    <t>H0105</t>
  </si>
  <si>
    <t>Betamethasone 0.1%, 15g, cream,        * as Valerate</t>
  </si>
  <si>
    <t>S1552225</t>
  </si>
  <si>
    <t>Betamethasone valerate cream 0.1%/TB-20g</t>
  </si>
  <si>
    <t>042803</t>
  </si>
  <si>
    <t>biperiden HCl 2mg</t>
  </si>
  <si>
    <t>A0517</t>
  </si>
  <si>
    <t>Biperiden HCl 2mg</t>
  </si>
  <si>
    <t>451000</t>
  </si>
  <si>
    <t>bisacodyl 5mg, enteric coated</t>
  </si>
  <si>
    <t>A0008</t>
  </si>
  <si>
    <t>Bisacodyl 5mg, enteric coated</t>
  </si>
  <si>
    <t>700000</t>
  </si>
  <si>
    <t>blade for surgical knives size 10</t>
  </si>
  <si>
    <t>700100</t>
  </si>
  <si>
    <t>blade for surgical knives size 11</t>
  </si>
  <si>
    <t>700200</t>
  </si>
  <si>
    <t>blade for surgical knives size 12</t>
  </si>
  <si>
    <t>700400</t>
  </si>
  <si>
    <t>blade for surgical knives size 15</t>
  </si>
  <si>
    <t>700500</t>
  </si>
  <si>
    <t>blade for surgical knives size 20</t>
  </si>
  <si>
    <t>700600</t>
  </si>
  <si>
    <t>blade for surgical knives size 21</t>
  </si>
  <si>
    <t>700700</t>
  </si>
  <si>
    <t>blade for surgical knives size 22</t>
  </si>
  <si>
    <t>700800</t>
  </si>
  <si>
    <t>blade for surgical knives size 23</t>
  </si>
  <si>
    <t>700900</t>
  </si>
  <si>
    <t>blade for surgical knives size 24</t>
  </si>
  <si>
    <t>S0572510</t>
  </si>
  <si>
    <t>Blanket,survival,220x140cm</t>
  </si>
  <si>
    <t>Misc. dressing</t>
  </si>
  <si>
    <t>E1780</t>
  </si>
  <si>
    <t>Bleomycin 15 IU w/solvent</t>
  </si>
  <si>
    <t>302901</t>
  </si>
  <si>
    <t>bleomycin powder, 15.000 IU</t>
  </si>
  <si>
    <t>M0297</t>
  </si>
  <si>
    <t>Blood bag, double, CPDA-1, 450/300ml</t>
  </si>
  <si>
    <t>M0641</t>
  </si>
  <si>
    <t>Blood bag, quadruple, CPDA-1           * 450/300/300/300ml</t>
  </si>
  <si>
    <t>M3544</t>
  </si>
  <si>
    <t>Blood bag, single, CPDA-1, 450ml</t>
  </si>
  <si>
    <t>M3426</t>
  </si>
  <si>
    <t>Blood bag, triple, CPDA-1, 450/300/300ml</t>
  </si>
  <si>
    <t>H10300</t>
  </si>
  <si>
    <t>blood collecting tube 5ml, EDTA-K, purple (VacutainerTM)</t>
  </si>
  <si>
    <t>H10600</t>
  </si>
  <si>
    <t>blood collecting tube 5ml, plain silicon, red  (VacutainerTM)</t>
  </si>
  <si>
    <t>M3021</t>
  </si>
  <si>
    <t>Blood collecting tube, 10ml, plain</t>
  </si>
  <si>
    <t>M3023</t>
  </si>
  <si>
    <t>Blood collecting tube, 4ml, plain, red</t>
  </si>
  <si>
    <t>M3022</t>
  </si>
  <si>
    <t>Blood collecting tube, 5ml, EDTA, purple</t>
  </si>
  <si>
    <t>719000</t>
  </si>
  <si>
    <t>blood counting chamber coverslips, optical plane</t>
  </si>
  <si>
    <t>713500</t>
  </si>
  <si>
    <t>blood counting chamber, Neubauer (improved)</t>
  </si>
  <si>
    <t>L2538</t>
  </si>
  <si>
    <t>Blood counting chamber, Neubauer type</t>
  </si>
  <si>
    <t>L0074</t>
  </si>
  <si>
    <t>Blood giv. set w/o air inlet, 18Gx1 1/2  transfusion set, 150cm</t>
  </si>
  <si>
    <t>713301</t>
  </si>
  <si>
    <t>blood giving set with airinlet and needle, disposable</t>
  </si>
  <si>
    <t>M2467</t>
  </si>
  <si>
    <t>Blood grouping test serum, anti-A, 10ml  200 tests</t>
  </si>
  <si>
    <t>M2468</t>
  </si>
  <si>
    <t>Blood grouping test serum, anti-AB, 10ml 200 tests</t>
  </si>
  <si>
    <t>M2470</t>
  </si>
  <si>
    <t>Blood grouping test serum, anti-B, 10ml  200 tests</t>
  </si>
  <si>
    <t>M2469</t>
  </si>
  <si>
    <t>Blood grouping test serum, anti-D, 10ml  200 tests</t>
  </si>
  <si>
    <t>M3311</t>
  </si>
  <si>
    <t>Blood grouping test serum, anti-O, 2ml   40 tests (eq. to Anti-H)</t>
  </si>
  <si>
    <t>718402</t>
  </si>
  <si>
    <t>blood lancets, disposable</t>
  </si>
  <si>
    <t>L0503</t>
  </si>
  <si>
    <t>Blood lancets, disposable, sterile       individually packed</t>
  </si>
  <si>
    <t>M3593</t>
  </si>
  <si>
    <t>713201</t>
  </si>
  <si>
    <t>blood taking set with needle, disposable</t>
  </si>
  <si>
    <t>L0798</t>
  </si>
  <si>
    <t>Blood taking set, donor set</t>
  </si>
  <si>
    <t>696002</t>
  </si>
  <si>
    <t>bloodgroup anti A 200 tests, monoclonal, 10ml    (**)</t>
  </si>
  <si>
    <t>696202</t>
  </si>
  <si>
    <t>bloodgroup anti A/B 200 tests, monoclonal, 10ml    (**)</t>
  </si>
  <si>
    <t>696102</t>
  </si>
  <si>
    <t>bloodgroup anti B 200 tests, monoclonal, 10ml    (**)</t>
  </si>
  <si>
    <t>696302</t>
  </si>
  <si>
    <t>bloodgroup anti D 200 tests, monoclonal, 10ml    (**)</t>
  </si>
  <si>
    <t>716500</t>
  </si>
  <si>
    <t>BMS haemoglobinometer</t>
  </si>
  <si>
    <t>841852</t>
  </si>
  <si>
    <t>BMS haemoglobinometer haemolysis applicators</t>
  </si>
  <si>
    <t>931501</t>
  </si>
  <si>
    <t>microscope slides 76x26mm tropical packing</t>
  </si>
  <si>
    <t>848153</t>
  </si>
  <si>
    <t xml:space="preserve">microscope slides 76x26mm, tropical pack., frosted end </t>
  </si>
  <si>
    <t>L0501</t>
  </si>
  <si>
    <t>Microscope slides, 18 x 18mm</t>
  </si>
  <si>
    <t>L0247</t>
  </si>
  <si>
    <t>Microscope slides, 22 x 22mm</t>
  </si>
  <si>
    <t>L1856</t>
  </si>
  <si>
    <t>Microscope slides, 76 x 26 x 1mm         ground edge, cellophanized</t>
  </si>
  <si>
    <t>M3233</t>
  </si>
  <si>
    <t>Microscope slides, 76 x 26 x 1mm         ground edge, frosted field,cellophanized</t>
  </si>
  <si>
    <t>M2776</t>
  </si>
  <si>
    <t>Microscope, binocular, 220V</t>
  </si>
  <si>
    <t>L2555</t>
  </si>
  <si>
    <t>Microscope, monocular, type L-1000 A     incl. wooden case, 220V</t>
  </si>
  <si>
    <t>M3020</t>
  </si>
  <si>
    <t>Microscope, Olympus CX21, 4-10-40-100x</t>
  </si>
  <si>
    <t>M2779</t>
  </si>
  <si>
    <t>Microscope, Olympus CX21, 4-10-40x</t>
  </si>
  <si>
    <t>M2778</t>
  </si>
  <si>
    <t>Microscope, Olympus CX31, 4-10-40x</t>
  </si>
  <si>
    <t>Q0182</t>
  </si>
  <si>
    <t>Minigrip bags for medicaments 8cm x 6cm  0,025mm - 2,5my</t>
  </si>
  <si>
    <t>bags</t>
  </si>
  <si>
    <t>K13000</t>
  </si>
  <si>
    <t>Minor Dressings Kit</t>
  </si>
  <si>
    <t>M3043</t>
  </si>
  <si>
    <t>Mixer macro (RPR), mechanical            Polymax 1040</t>
  </si>
  <si>
    <t>M3042</t>
  </si>
  <si>
    <t>Mixer, mechanical, for 4 pipettes</t>
  </si>
  <si>
    <t>S359343</t>
  </si>
  <si>
    <t>MMR vaccine,vial of 10 doses</t>
  </si>
  <si>
    <t>S359341</t>
  </si>
  <si>
    <t>MMR vaccine,vial of single dose</t>
  </si>
  <si>
    <t>A0646</t>
  </si>
  <si>
    <t>Morphine HCl 10mg</t>
  </si>
  <si>
    <t>A0623</t>
  </si>
  <si>
    <t>Morphine HCl 30mg</t>
  </si>
  <si>
    <t>028600</t>
  </si>
  <si>
    <t>morphine sulfate 10mg/ml, 1ml, for injection   (nt)</t>
  </si>
  <si>
    <t>S1555950</t>
  </si>
  <si>
    <t>Morphine sulph.inj 10mg/ml 1ml/BOX-10 nt</t>
  </si>
  <si>
    <t>Analgesics, opioids</t>
  </si>
  <si>
    <t>E1496</t>
  </si>
  <si>
    <t>Morphine Sulphate 10mg/ml, 1ml</t>
  </si>
  <si>
    <t>894000</t>
  </si>
  <si>
    <t>mortar and pestle, 10cm</t>
  </si>
  <si>
    <t>M3572</t>
  </si>
  <si>
    <t>Mosquito net 1050 x 220cm x 56cm         impregnated LLIN, 75 deniers, conical</t>
  </si>
  <si>
    <t>net</t>
  </si>
  <si>
    <t>M3784</t>
  </si>
  <si>
    <t>Mosquito net 130 x 180 x 150cm           impregnated LLIN, 100 denier, white</t>
  </si>
  <si>
    <t>M3431</t>
  </si>
  <si>
    <t>Mosquito net 130 x 180 x 150cm           impregnated LLIN, 75 deniers</t>
  </si>
  <si>
    <t>Q86200</t>
  </si>
  <si>
    <t>mosquito net 130x180x150cm, INT</t>
  </si>
  <si>
    <t>Q88200</t>
  </si>
  <si>
    <t>mosquito net 130x180x150cm, LLIN, polyester</t>
  </si>
  <si>
    <t>Q89000</t>
  </si>
  <si>
    <t>mosquito net 130x180x150cm, LLIN, polyethylene</t>
  </si>
  <si>
    <t>Q86000</t>
  </si>
  <si>
    <t>mosquito net 130x180x150cm, untreated</t>
  </si>
  <si>
    <t>M3053</t>
  </si>
  <si>
    <t>Mosquito net 160 x 180 x 150cm           impregnated LLIN, 100 denier, white</t>
  </si>
  <si>
    <t>M3706</t>
  </si>
  <si>
    <t>Mosquito net 160 x 180 x 150cm           impregnated LLIN, 75 deniers, white</t>
  </si>
  <si>
    <t>Q88300</t>
  </si>
  <si>
    <t>mosquito net 160x180x150cm, LLIN, polyester</t>
  </si>
  <si>
    <t>Q89100</t>
  </si>
  <si>
    <t>mosquito net 160x180x150cm, LLIN, polyethylene</t>
  </si>
  <si>
    <t>M3783</t>
  </si>
  <si>
    <t>Mosquito net 190 x 180 x 150cm           impregnated LLIN, 100 denier, white</t>
  </si>
  <si>
    <t>M3429</t>
  </si>
  <si>
    <t>Mosquito net 190 x 180 x 150cm           impregnated LLIN, 75 deniers, white</t>
  </si>
  <si>
    <t>M3430</t>
  </si>
  <si>
    <t>Mosquito net 190 x 180 x 150cm           non-impregnated, 75 deniers</t>
  </si>
  <si>
    <t>Q86600</t>
  </si>
  <si>
    <t>mosquito net 190x180x150cm, INT</t>
  </si>
  <si>
    <t>Q88400</t>
  </si>
  <si>
    <t>mosquito net 190x180x150cm, LLIN, polyester</t>
  </si>
  <si>
    <t>Q89200</t>
  </si>
  <si>
    <t>mosquito net 190x180x150cm, LLIN, polyethylene</t>
  </si>
  <si>
    <t>Q86400</t>
  </si>
  <si>
    <t>mosquito net 190x180x150cm, untreated</t>
  </si>
  <si>
    <t>M2503</t>
  </si>
  <si>
    <t>Mosquito net, rectangular, 130x180x150cm 75 deniers, non-impregnated</t>
  </si>
  <si>
    <t>M2502</t>
  </si>
  <si>
    <t>Mosquito net, rectangular, 160x180x150cm 75 deniers, non-impregnated</t>
  </si>
  <si>
    <t>S359348</t>
  </si>
  <si>
    <t>MR vaccine,vial of 10 doses</t>
  </si>
  <si>
    <t>S359346</t>
  </si>
  <si>
    <t>MR vaccine,vial of single dose</t>
  </si>
  <si>
    <t>841622</t>
  </si>
  <si>
    <t>mucus extractor type De Lee, disposable, ch10 + filter</t>
  </si>
  <si>
    <t>L1579</t>
  </si>
  <si>
    <t>Mucus extractor, CH10, with filter</t>
  </si>
  <si>
    <t>F0712</t>
  </si>
  <si>
    <t>Multivitamin 100ml, syrup</t>
  </si>
  <si>
    <t>620602</t>
  </si>
  <si>
    <t>multivitamin, coated</t>
  </si>
  <si>
    <t>620600</t>
  </si>
  <si>
    <t>A0082</t>
  </si>
  <si>
    <t>Multivitamin, sugar-coated</t>
  </si>
  <si>
    <t>531000</t>
  </si>
  <si>
    <t>nalidixic acid 500mg</t>
  </si>
  <si>
    <t>A0237</t>
  </si>
  <si>
    <t>Nalidixic Acid 500mg</t>
  </si>
  <si>
    <t>A4372</t>
  </si>
  <si>
    <t>025800</t>
  </si>
  <si>
    <t>naloxone 0.4mg/ml, 1ml, for injection</t>
  </si>
  <si>
    <t>E0724</t>
  </si>
  <si>
    <t>Naloxone HCl 0.4mg/ml, 1ml</t>
  </si>
  <si>
    <t>S1569650</t>
  </si>
  <si>
    <t>Naloxone inj 400mcg/ml 1ml amp/BOX-10</t>
  </si>
  <si>
    <t>S0002057</t>
  </si>
  <si>
    <t>Nebuliser,atomiser,w/elec.compressor/SET</t>
  </si>
  <si>
    <t>Electrical equipment</t>
  </si>
  <si>
    <t>S0002058</t>
  </si>
  <si>
    <t>Nebulizer footpump set,with spare parts</t>
  </si>
  <si>
    <t>876549</t>
  </si>
  <si>
    <t>needle 21g x 1.5" (VacutainerTM)</t>
  </si>
  <si>
    <t>M0723</t>
  </si>
  <si>
    <t>Needle disp. 0.4 x 19 = 27G x 3/4</t>
  </si>
  <si>
    <t>L0509</t>
  </si>
  <si>
    <t>Needle disp. 0.45 x 12.7 =  26G x 1/2</t>
  </si>
  <si>
    <t>L0739</t>
  </si>
  <si>
    <t>Needle disp. 0.5 x 16 = 25G x 5/8</t>
  </si>
  <si>
    <t>L0990</t>
  </si>
  <si>
    <t>Needle disp. 0.55 x 25 = 24G x 1</t>
  </si>
  <si>
    <t>L0597</t>
  </si>
  <si>
    <t>Needle disp. 0.65 x 25 = 23G x 1</t>
  </si>
  <si>
    <t>L0991</t>
  </si>
  <si>
    <t>Needle disp. 0.7 x 32 = 22G x 1 1/4</t>
  </si>
  <si>
    <t>L0053</t>
  </si>
  <si>
    <t>Needle disp. 0.8 x 40 = 21G x 1 1/2</t>
  </si>
  <si>
    <t>L0054</t>
  </si>
  <si>
    <t>Needle disp. 0.9 x 40 = 20G x 1 1/2</t>
  </si>
  <si>
    <t>L0259</t>
  </si>
  <si>
    <t>Needle disp. 1.1 x 40 = 19G x 1 1/2</t>
  </si>
  <si>
    <t>L0548</t>
  </si>
  <si>
    <t>Needle disp. 1.2 x 40 = 18G x 1 1/2</t>
  </si>
  <si>
    <t>708900</t>
  </si>
  <si>
    <t>needle holder Mayo-Hegar, 16cm, straight</t>
  </si>
  <si>
    <t>M2589</t>
  </si>
  <si>
    <t>Needle holder, Mathieu, 17cm, ss</t>
  </si>
  <si>
    <t>M0373</t>
  </si>
  <si>
    <t>Needle holder, Mayo-Hegar, 16cm, ss</t>
  </si>
  <si>
    <t>L1125</t>
  </si>
  <si>
    <t>Needle holder, Mayo-Hegar, 18.5cm, ss</t>
  </si>
  <si>
    <t>S0743600</t>
  </si>
  <si>
    <t>Needle holder,Mayo-Hegar,180mm,str</t>
  </si>
  <si>
    <t>Press., force/sprin</t>
  </si>
  <si>
    <t>706000</t>
  </si>
  <si>
    <t xml:space="preserve">needle luer 18g x 1.1/2" (1.2x38mm), disposable </t>
  </si>
  <si>
    <t>706100</t>
  </si>
  <si>
    <t xml:space="preserve">needle luer 19g x 1.1/2" (1.1x38mm), disposable </t>
  </si>
  <si>
    <t>706200</t>
  </si>
  <si>
    <t xml:space="preserve">needle luer 20g x 1.1/2" (0.9x38mm), disposable </t>
  </si>
  <si>
    <t>706300</t>
  </si>
  <si>
    <t xml:space="preserve">needle luer 21g x 1.1/2" (0.8x38mm), disposable </t>
  </si>
  <si>
    <t>706500</t>
  </si>
  <si>
    <t xml:space="preserve">needle luer 22g x 1.1/4" (0.7x32mm), disposable </t>
  </si>
  <si>
    <t>706600</t>
  </si>
  <si>
    <t xml:space="preserve">needle luer 23g x 1" (0.6x25mm), disposable </t>
  </si>
  <si>
    <t>708100</t>
  </si>
  <si>
    <t>needle luer 23g x 1.1/4" (0.6x30mm), disposable</t>
  </si>
  <si>
    <t>706900</t>
  </si>
  <si>
    <t xml:space="preserve">needle luer 24g x 1" (0.55x25mm), disposable </t>
  </si>
  <si>
    <t>706700</t>
  </si>
  <si>
    <t xml:space="preserve">needle luer 25g x 5/8" (0.5x16mm), disposable </t>
  </si>
  <si>
    <t>706800</t>
  </si>
  <si>
    <t xml:space="preserve">needle luer 26g x 1/2" (0.45x12mm), sterile, disposable </t>
  </si>
  <si>
    <t>M1670</t>
  </si>
  <si>
    <t>Needle spinal 19G (1.1 x 90mm)</t>
  </si>
  <si>
    <t>L1040</t>
  </si>
  <si>
    <t>Needle spinal 20G (0.9 x 75mm)</t>
  </si>
  <si>
    <t>M2069</t>
  </si>
  <si>
    <t>Needle spinal 22G (0.7 x 75mm)</t>
  </si>
  <si>
    <t>M0689</t>
  </si>
  <si>
    <t>Needle spinal 22G (0.7 x 90mm)</t>
  </si>
  <si>
    <t>M0690</t>
  </si>
  <si>
    <t>Needle spinal 25G (0.5 x 90mm)</t>
  </si>
  <si>
    <t>S0747420</t>
  </si>
  <si>
    <t>Needle,disp,19G(1.0x38mm),ster/BOX-100</t>
  </si>
  <si>
    <t>Needles/cannulae</t>
  </si>
  <si>
    <t>S0747432</t>
  </si>
  <si>
    <t>Needle,disp,21G(0.8x40mm),ster/BOX-100</t>
  </si>
  <si>
    <t>S0747440</t>
  </si>
  <si>
    <t>Needle,disp,22G(0.7x32mm),ster/BOX-100</t>
  </si>
  <si>
    <t>S0747452</t>
  </si>
  <si>
    <t>Needle,disp,23G(0.6x25mm),ster/BOX-100</t>
  </si>
  <si>
    <t>S0747445</t>
  </si>
  <si>
    <t>Needle,disp,25G(0.5x16mm),ster/BOX-100</t>
  </si>
  <si>
    <t>S0744400</t>
  </si>
  <si>
    <t>Needle,scalp vein,21G,ster,disp</t>
  </si>
  <si>
    <t>S0744300</t>
  </si>
  <si>
    <t>Needle,scalp vein,25G,ster,disp</t>
  </si>
  <si>
    <t>S0748300</t>
  </si>
  <si>
    <t>Needle,spinal,20G(0.9x90mm),ster,disp</t>
  </si>
  <si>
    <t>S0747995</t>
  </si>
  <si>
    <t>Needle,spinal,22G(0.7x40mm),ster,disp</t>
  </si>
  <si>
    <t>S0748100</t>
  </si>
  <si>
    <t>Needle,spinal,22G(0.7x90mm),ster,disp</t>
  </si>
  <si>
    <t>S0003626</t>
  </si>
  <si>
    <t>Nelfinavir 250mg tabs/PAC-270</t>
  </si>
  <si>
    <t>A4379</t>
  </si>
  <si>
    <t>Nelfinavir 250mg, as Mesilate</t>
  </si>
  <si>
    <t>S0003628</t>
  </si>
  <si>
    <t>Nelfinavir 50mg/g powder/BOT-144g</t>
  </si>
  <si>
    <t>F0680</t>
  </si>
  <si>
    <t>Nelfinavir 50mg/g, 144g, as Mesilate</t>
  </si>
  <si>
    <t>S1505120</t>
  </si>
  <si>
    <t>Neomyc.+bacitr.oint. 5mg+500IU/g/TBE-20g</t>
  </si>
  <si>
    <t>375502</t>
  </si>
  <si>
    <t>neomycin 0.5% + bacitracin 500 iu/g ointment, 15g</t>
  </si>
  <si>
    <t>H0288</t>
  </si>
  <si>
    <t>Neomycin 5mg/g +Bacitracin 500 IU/g,15g* ointment</t>
  </si>
  <si>
    <t>E0131</t>
  </si>
  <si>
    <t>Neostigmine Methylsulphate 0.5mg/ml, 1ml</t>
  </si>
  <si>
    <t>E0229</t>
  </si>
  <si>
    <t>Neostigmine Methylsulphate 2.5mg/ml, 1ml</t>
  </si>
  <si>
    <t>A4258</t>
  </si>
  <si>
    <t>Nevirapine 200mg</t>
  </si>
  <si>
    <t>S0003629</t>
  </si>
  <si>
    <t>Nevirapine 200mg tabs/PAC-60</t>
  </si>
  <si>
    <t>F0674</t>
  </si>
  <si>
    <t>Nevirapine 50mg/5ml, 100ml</t>
  </si>
  <si>
    <t>F0688</t>
  </si>
  <si>
    <t>Nevirapine 50mg/5ml, 240ml</t>
  </si>
  <si>
    <t>S0003630</t>
  </si>
  <si>
    <t>Nevirapine oral sol.10mg/ml/BOT-240ml</t>
  </si>
  <si>
    <t>W0165</t>
  </si>
  <si>
    <t>New Emergency Health Kit</t>
  </si>
  <si>
    <t>S1561121</t>
  </si>
  <si>
    <t>New form. Oral reh.salts,1Ls/CAR-10x100</t>
  </si>
  <si>
    <t>CAR</t>
  </si>
  <si>
    <t>Water &amp; electrolytes</t>
  </si>
  <si>
    <t>S1561120</t>
  </si>
  <si>
    <t>New formula Oral reh.salts,1L s/CAR-100</t>
  </si>
  <si>
    <t>A0048</t>
  </si>
  <si>
    <t>Niclosamide 500mg, chewable</t>
  </si>
  <si>
    <t>A0240</t>
  </si>
  <si>
    <t>Nifedipine 10mg, film-coated</t>
  </si>
  <si>
    <t>A4167</t>
  </si>
  <si>
    <t>Nifedipine 20mg, slow release</t>
  </si>
  <si>
    <t>124200</t>
  </si>
  <si>
    <t>nifedipine retard 20mg</t>
  </si>
  <si>
    <t>A0053</t>
  </si>
  <si>
    <t>Nitrofurantoin 100mg</t>
  </si>
  <si>
    <t>565002</t>
  </si>
  <si>
    <t>nitroglycerine 0.5mg (glyceryl trinitrate)</t>
  </si>
  <si>
    <t>226501</t>
  </si>
  <si>
    <t>norethisterone 5mg</t>
  </si>
  <si>
    <t>A0915</t>
  </si>
  <si>
    <t>Norethisterone 5mg</t>
  </si>
  <si>
    <t>A0233</t>
  </si>
  <si>
    <t>Noscapin 15mg</t>
  </si>
  <si>
    <t>S0538001</t>
  </si>
  <si>
    <t>Notebook,ruled,wirebound,100 pgs/PAC-10</t>
  </si>
  <si>
    <t>Medical stationery</t>
  </si>
  <si>
    <t>S1555924</t>
  </si>
  <si>
    <t>Nystatin 100,000IU oral tablets/PAC-1000</t>
  </si>
  <si>
    <t>Antifungus</t>
  </si>
  <si>
    <t>S1555910</t>
  </si>
  <si>
    <t>Nystatin 100,000IU pess. with app/PAC-15</t>
  </si>
  <si>
    <t>A0100</t>
  </si>
  <si>
    <t>Nystatin 100.000 IU</t>
  </si>
  <si>
    <t>152101</t>
  </si>
  <si>
    <t>nystatin 100.000 iu oral non-coated</t>
  </si>
  <si>
    <t>152000</t>
  </si>
  <si>
    <t>nystatin 100.000 iu vaginal</t>
  </si>
  <si>
    <t>B0005</t>
  </si>
  <si>
    <t>Nystatin 100.000 IU, pessaries</t>
  </si>
  <si>
    <t>vags</t>
  </si>
  <si>
    <t>H2848</t>
  </si>
  <si>
    <t>Nystatin 100.000 IU/g, 30g, cream</t>
  </si>
  <si>
    <t>H0115</t>
  </si>
  <si>
    <t>Nystatin 100.000 IU/g, 30g, ointment</t>
  </si>
  <si>
    <t>152503</t>
  </si>
  <si>
    <t>nystatin 100.000 iu/ml oral suspension, 30ml</t>
  </si>
  <si>
    <t>F0611</t>
  </si>
  <si>
    <t>Nystatin 100.000 IU/ml, 30ml</t>
  </si>
  <si>
    <t>S1555920</t>
  </si>
  <si>
    <t>Nystatin 500,000IU tabs/PAC-100</t>
  </si>
  <si>
    <t>152200</t>
  </si>
  <si>
    <t>nystatin 500.000 iu oral coated</t>
  </si>
  <si>
    <t>A0251</t>
  </si>
  <si>
    <t>Nystatin 500.000 IU, coated</t>
  </si>
  <si>
    <t>A4363</t>
  </si>
  <si>
    <t>375802</t>
  </si>
  <si>
    <t>nystatin ointment 100.000 iu/g, 30g</t>
  </si>
  <si>
    <t>S1555930</t>
  </si>
  <si>
    <t>Nystatin oral sus 100,000IU/ml/BOT-30ml</t>
  </si>
  <si>
    <t>504301</t>
  </si>
  <si>
    <t>ofloxacin 200mg</t>
  </si>
  <si>
    <t>A1211</t>
  </si>
  <si>
    <t>Ofloxacin 200mg</t>
  </si>
  <si>
    <t>A4336</t>
  </si>
  <si>
    <t>Ofloxacin 400mg</t>
  </si>
  <si>
    <t>083000</t>
  </si>
  <si>
    <t>omeprazole 20mg</t>
  </si>
  <si>
    <t>720200</t>
  </si>
  <si>
    <t>ophthalmoscope "mini", with battery handle</t>
  </si>
  <si>
    <t>S0661500</t>
  </si>
  <si>
    <t>Ophthalmoscope,set</t>
  </si>
  <si>
    <t>Other diag. equip.</t>
  </si>
  <si>
    <t>S359186</t>
  </si>
  <si>
    <t>OPV1,monovalent type 1,vial of 20 doses</t>
  </si>
  <si>
    <t>S359188</t>
  </si>
  <si>
    <t>OPV3,monovalent type 3,vial of 20 doses</t>
  </si>
  <si>
    <t>S359183</t>
  </si>
  <si>
    <t>Oral Polio Vaccine,vial of 10 doses</t>
  </si>
  <si>
    <t>S359184</t>
  </si>
  <si>
    <t>Oral Polio Vaccine,vial of 20 doses</t>
  </si>
  <si>
    <t>F0678</t>
  </si>
  <si>
    <t>Oral Rehydration Salts 20.5g, WHO mod. * Reduced Osmolarity Formulation</t>
  </si>
  <si>
    <t>sachets</t>
  </si>
  <si>
    <t>685500</t>
  </si>
  <si>
    <t>Oral Rehydration Salts 20.5g/liter (low osmolarity)</t>
  </si>
  <si>
    <t>sacs</t>
  </si>
  <si>
    <t>F0601</t>
  </si>
  <si>
    <t>Oral Rehydration Salts 27.9g, WHO form.</t>
  </si>
  <si>
    <t>685403</t>
  </si>
  <si>
    <t>Oral Rehydration Salts 27.9g/liter BP</t>
  </si>
  <si>
    <t>720500</t>
  </si>
  <si>
    <t>oto/ophthalmoscope "mini" with battery handle, small</t>
  </si>
  <si>
    <t>713900</t>
  </si>
  <si>
    <t>otoscope "mini" with battery handle, small</t>
  </si>
  <si>
    <t>M0190</t>
  </si>
  <si>
    <t>Otoscope w/battery</t>
  </si>
  <si>
    <t>S0660050</t>
  </si>
  <si>
    <t>Otoscope, set.</t>
  </si>
  <si>
    <t>841209</t>
  </si>
  <si>
    <t>oxygen concentrator DeVilbiss 515 KS</t>
  </si>
  <si>
    <t>S0002047</t>
  </si>
  <si>
    <t>Oxygen concentrator/SET</t>
  </si>
  <si>
    <t>E0020</t>
  </si>
  <si>
    <t>Oxytocin 10 IU/ml, 1ml</t>
  </si>
  <si>
    <t>553700</t>
  </si>
  <si>
    <t>oxytocin 10 iu/ml, 1ml, for injection   (*)</t>
  </si>
  <si>
    <t>E0235</t>
  </si>
  <si>
    <t>Oxytocin 5 IU/ml, 1ml</t>
  </si>
  <si>
    <t>S1545300</t>
  </si>
  <si>
    <t>Oxytocin inj 10 IU 1ml amp/BOX-10</t>
  </si>
  <si>
    <t>Drgs/obstetr(Oxytoc)</t>
  </si>
  <si>
    <t>S0538101</t>
  </si>
  <si>
    <t>Pad,note,plain,100 sheets,A6 size/PAC-10</t>
  </si>
  <si>
    <t>S0263800</t>
  </si>
  <si>
    <t>Pail,stainless steel,12L,w/cover</t>
  </si>
  <si>
    <t>E0440</t>
  </si>
  <si>
    <t>Pancuronium Bromide 2mg/ml, 2ml</t>
  </si>
  <si>
    <t>351301</t>
  </si>
  <si>
    <t>pancuronium bromide 4mg/2ml, for injectionj    (**)</t>
  </si>
  <si>
    <t>027500</t>
  </si>
  <si>
    <t>paracetamol 100mg</t>
  </si>
  <si>
    <t>A0156</t>
  </si>
  <si>
    <t>Paracetamol 100mg</t>
  </si>
  <si>
    <t>S1555978</t>
  </si>
  <si>
    <t>Paracetamol 100mg tabs/PAC-1000</t>
  </si>
  <si>
    <t>026800</t>
  </si>
  <si>
    <t>paracetamol 120mg, suppositories     (*a)</t>
  </si>
  <si>
    <t>027900</t>
  </si>
  <si>
    <t>paracetamol 120mg/5ml oral solution, 5 liter</t>
  </si>
  <si>
    <t>027601</t>
  </si>
  <si>
    <t>paracetamol 120mg/5ml oral solution, 60ml</t>
  </si>
  <si>
    <t>F0421</t>
  </si>
  <si>
    <t>Paracetamol 120mg/5ml, 100ml</t>
  </si>
  <si>
    <t>F0031</t>
  </si>
  <si>
    <t>Paracetamol 120mg/5ml, 100ml, syrup</t>
  </si>
  <si>
    <t>F0200</t>
  </si>
  <si>
    <t>Paracetamol 120mg/5ml, 60ml syrup</t>
  </si>
  <si>
    <t>S1555990</t>
  </si>
  <si>
    <t>Paracetamol 125mg/5ml elixir/BOT-60ml</t>
  </si>
  <si>
    <t>027300</t>
  </si>
  <si>
    <t>paracetamol 500mg</t>
  </si>
  <si>
    <t>A0055</t>
  </si>
  <si>
    <t>Paracetamol 500mg</t>
  </si>
  <si>
    <t>S1555965</t>
  </si>
  <si>
    <t>Paracetamol 500mg tabs/PAC-1000</t>
  </si>
  <si>
    <t>027310</t>
  </si>
  <si>
    <t>paracetamol 500mg, blister</t>
  </si>
  <si>
    <t>767200</t>
  </si>
  <si>
    <t>paraffin liquid BP/EP, 1 liter</t>
  </si>
  <si>
    <t>767610</t>
  </si>
  <si>
    <t>paraffin soft white (petroleum jelly) BP, 2.5kg</t>
  </si>
  <si>
    <t>374701</t>
  </si>
  <si>
    <t>paraformaldehyde 1g 3G022   (UN2213)</t>
  </si>
  <si>
    <t>M3051</t>
  </si>
  <si>
    <t>PBS, BSA and Sodium Azide</t>
  </si>
  <si>
    <t>S0667000</t>
  </si>
  <si>
    <t>Pelvimeter,Collyer,external</t>
  </si>
  <si>
    <t>846060</t>
  </si>
  <si>
    <t>pencil for marking smooth materials (slides) red</t>
  </si>
  <si>
    <t>E1521</t>
  </si>
  <si>
    <t>Pentamidine Isethionate 300mg</t>
  </si>
  <si>
    <t>E0091</t>
  </si>
  <si>
    <t>Pentazocine 30mg/ml, 1ml</t>
  </si>
  <si>
    <t>028500</t>
  </si>
  <si>
    <t>pentazocine 30mg/ml, 1ml, for injection    (pt)</t>
  </si>
  <si>
    <t>S9901000</t>
  </si>
  <si>
    <t>PEP kit</t>
  </si>
  <si>
    <t>Anti-infective drugs</t>
  </si>
  <si>
    <t>S0759700</t>
  </si>
  <si>
    <t>Perforator,Smellie,250mm</t>
  </si>
  <si>
    <t>Cutting/shearing</t>
  </si>
  <si>
    <t>371000</t>
  </si>
  <si>
    <t xml:space="preserve">permethin 1% lotion, 100ml </t>
  </si>
  <si>
    <t>H2903</t>
  </si>
  <si>
    <t>Permethrin 1%, 100ml shampoo</t>
  </si>
  <si>
    <t>M2813</t>
  </si>
  <si>
    <t>Permethrin 50% EC, 1L, for             * mosquito net impregnation</t>
  </si>
  <si>
    <t>S1568200</t>
  </si>
  <si>
    <t>Permethrin shampoo/solution 1%/BOT-100ml</t>
  </si>
  <si>
    <t>E1280</t>
  </si>
  <si>
    <t>Pethidine HCl 50mg/ml, 1ml</t>
  </si>
  <si>
    <t>E0761</t>
  </si>
  <si>
    <t>Pethidine HCl 50mg/ml, 2ml</t>
  </si>
  <si>
    <t>029000</t>
  </si>
  <si>
    <t>pethidine hydrochloride 50mg/ml, 1ml, for injection    (nt)</t>
  </si>
  <si>
    <t>029100</t>
  </si>
  <si>
    <t>pethidine hydrochloride100mg/2ml, for injection    (nt)</t>
  </si>
  <si>
    <t>S1559090</t>
  </si>
  <si>
    <t>Phe.penicil.pdr/o.sus250mg/5ml/BOT-100ml</t>
  </si>
  <si>
    <t>A0401</t>
  </si>
  <si>
    <t>Phenobarbital 100mg</t>
  </si>
  <si>
    <t>S1559305</t>
  </si>
  <si>
    <t>Phenobarbital 100mg tabs/PAC-100      pt</t>
  </si>
  <si>
    <t>Anticonvulsants</t>
  </si>
  <si>
    <t>A0228</t>
  </si>
  <si>
    <t>Phenobarbital 50mg</t>
  </si>
  <si>
    <t>254200</t>
  </si>
  <si>
    <t>phenobarbital sodium 200mg/2ml, for injection    (pt)</t>
  </si>
  <si>
    <t>E1134</t>
  </si>
  <si>
    <t>Phenobarbital Sodium 200mg/ml, 1ml</t>
  </si>
  <si>
    <t>S1559080</t>
  </si>
  <si>
    <t>Phenoxymethylpenicil.250mg tabs/PAC-1000</t>
  </si>
  <si>
    <t>F0017</t>
  </si>
  <si>
    <t>Phenoxymethylpenicillin 125mg/5ml, 100ml</t>
  </si>
  <si>
    <t>478702</t>
  </si>
  <si>
    <t>phenoxymethylpenicillin 125mg/5ml, powder for suspension, 100ml</t>
  </si>
  <si>
    <t>478400</t>
  </si>
  <si>
    <t>phenoxymethylpenicillin 250mg</t>
  </si>
  <si>
    <t>A0058</t>
  </si>
  <si>
    <t>Phenoxymethylpenicillin 250mg</t>
  </si>
  <si>
    <t>478410</t>
  </si>
  <si>
    <t>phenoxymethylpenicillin 250mg, blister</t>
  </si>
  <si>
    <t>071400</t>
  </si>
  <si>
    <t>phenytoin 250mg/5ml, for injection</t>
  </si>
  <si>
    <t>A0231</t>
  </si>
  <si>
    <t>Phenytoin Sodium 100mg, coated</t>
  </si>
  <si>
    <t>325701</t>
  </si>
  <si>
    <t>pilocarpine HCl 2% eye drops, 5ml</t>
  </si>
  <si>
    <t>I0077</t>
  </si>
  <si>
    <t>Pilocarpine HCl 2%, 10ml, eye drops</t>
  </si>
  <si>
    <t>I0051</t>
  </si>
  <si>
    <t>Pilocarpine HCl 4%, 10ml, eye drops</t>
  </si>
  <si>
    <t>S0539000</t>
  </si>
  <si>
    <t>Pin,safety,medium size/PAC-12</t>
  </si>
  <si>
    <t>M2129</t>
  </si>
  <si>
    <t>Pipette, micro, 100-1000 microlitre</t>
  </si>
  <si>
    <t>M3045</t>
  </si>
  <si>
    <t>Pipette, micro, 20-200 microlitre</t>
  </si>
  <si>
    <t>M3580</t>
  </si>
  <si>
    <t>Pipette, micro, 30-300 microlitre</t>
  </si>
  <si>
    <t>M3049</t>
  </si>
  <si>
    <t>Pipette, micro, 50-300 microlitre, 8 ch</t>
  </si>
  <si>
    <t>M3579</t>
  </si>
  <si>
    <t>Pipette, micro, 5-50 microlitre</t>
  </si>
  <si>
    <t>M3566</t>
  </si>
  <si>
    <t>Pipette, Pasteur, 1.5ml w/bulb</t>
  </si>
  <si>
    <t>M3050</t>
  </si>
  <si>
    <t>Pipette, Pasteur, 150mm, glass</t>
  </si>
  <si>
    <t>M3567</t>
  </si>
  <si>
    <t>Pipette, Pasteur, 3ml/ cap 7ml, plastic</t>
  </si>
  <si>
    <t>M3052</t>
  </si>
  <si>
    <t>Pipette, RBC, w/tubing &amp; mouthpiece</t>
  </si>
  <si>
    <t>727100</t>
  </si>
  <si>
    <t>pipette, RBC, with tubing and mouthpiece</t>
  </si>
  <si>
    <t>727000</t>
  </si>
  <si>
    <t>pipette, WBC, with tubing and mouthpiece</t>
  </si>
  <si>
    <t>894700</t>
  </si>
  <si>
    <t>pipette, Westergreen, ø 2.5mmx300mm, macromethode</t>
  </si>
  <si>
    <t>L0257</t>
  </si>
  <si>
    <t>Plaster of Paris 10cm x 2.7m</t>
  </si>
  <si>
    <t>L0196</t>
  </si>
  <si>
    <t>Plaster of Paris 15cm x 2.7m</t>
  </si>
  <si>
    <t>L0434</t>
  </si>
  <si>
    <t>Plaster of Paris 20cm x 2.7m</t>
  </si>
  <si>
    <t>L0966</t>
  </si>
  <si>
    <t>Plaster of Paris 7.5cm x 2.7m</t>
  </si>
  <si>
    <t>948200</t>
  </si>
  <si>
    <t>plaster of Paris bandage 10.0cm x 2.7 m</t>
  </si>
  <si>
    <t>948400</t>
  </si>
  <si>
    <t>plaster of Paris bandage 15.0cm x 2.7 m</t>
  </si>
  <si>
    <t>948500</t>
  </si>
  <si>
    <t>plaster of Paris bandage 20.0cm x 2.7 m</t>
  </si>
  <si>
    <t>948100</t>
  </si>
  <si>
    <t>plaster of Paris bandage 7.5cm x 2.7 m</t>
  </si>
  <si>
    <t>S0541055</t>
  </si>
  <si>
    <t>Plaster of paris,10cmx3m</t>
  </si>
  <si>
    <t>S0541050</t>
  </si>
  <si>
    <t>Plaster of paris,7.5cmx3m</t>
  </si>
  <si>
    <t>M2111</t>
  </si>
  <si>
    <t>Plaster strips, 72mm x 19mm, w/woundpad  first aid plaster</t>
  </si>
  <si>
    <t>S0003340</t>
  </si>
  <si>
    <t>Podophyllum sol.,w/applicator/BOT-3.5ml</t>
  </si>
  <si>
    <t>M2792</t>
  </si>
  <si>
    <t>Polyamide 0, 75cm w/needle</t>
  </si>
  <si>
    <t>M2791</t>
  </si>
  <si>
    <t>Polyamide 1, 75cm w/needle</t>
  </si>
  <si>
    <t>L1538</t>
  </si>
  <si>
    <t>Polyamide 10/0, 30cm w/needle          * 6mm spatula, 1/2 micro-point needle</t>
  </si>
  <si>
    <t>M1976</t>
  </si>
  <si>
    <t>Polyamide 2, 75cm w/needle</t>
  </si>
  <si>
    <t>L0101</t>
  </si>
  <si>
    <t>Polyamide 2/0, 75cm w/needle</t>
  </si>
  <si>
    <t>L0126</t>
  </si>
  <si>
    <t>Polyamide 3/0, 75cm w/needle</t>
  </si>
  <si>
    <t>L0125</t>
  </si>
  <si>
    <t>Polyamide 4/0, 75cm w/needle</t>
  </si>
  <si>
    <t>677400</t>
  </si>
  <si>
    <t>polygeline 4% in saline, 500ml (gelofusin)</t>
  </si>
  <si>
    <t>J0187</t>
  </si>
  <si>
    <t>Polygeline Solution 3.5%, 500ml</t>
  </si>
  <si>
    <t>M2800</t>
  </si>
  <si>
    <t>Polyglycolic Acid 0, 75cm w/needle</t>
  </si>
  <si>
    <t>M2799</t>
  </si>
  <si>
    <t>Polyglycolic Acid 1, 75cm w/needle</t>
  </si>
  <si>
    <t>M2798</t>
  </si>
  <si>
    <t>Polyglycolic Acid 2, 75cm w/needle</t>
  </si>
  <si>
    <t>M2773</t>
  </si>
  <si>
    <t>Polyglycolic Acid 2/0, 75cm w/needle</t>
  </si>
  <si>
    <t>M2334</t>
  </si>
  <si>
    <t>Polyglycolic Acid 2/0, 75cm w/needle     cutting 37mm, 3/8 circle</t>
  </si>
  <si>
    <t>M2802</t>
  </si>
  <si>
    <t>Polyglycolic Acid 4/0, 75cm w/needle</t>
  </si>
  <si>
    <t>678100</t>
  </si>
  <si>
    <t>potassium chloride 1 g/10ml, for injection</t>
  </si>
  <si>
    <t>E1110</t>
  </si>
  <si>
    <t>Potassium Chloride 10%, 10ml</t>
  </si>
  <si>
    <t>604201</t>
  </si>
  <si>
    <t>potassium chloride 600mg, slow release</t>
  </si>
  <si>
    <t>A0788</t>
  </si>
  <si>
    <t>Potassium Chloride 600mg, slow release</t>
  </si>
  <si>
    <t>S0003212</t>
  </si>
  <si>
    <t>Potassium chloride,bulk/KG</t>
  </si>
  <si>
    <t>KG</t>
  </si>
  <si>
    <t>Pharma raw materials</t>
  </si>
  <si>
    <t>K1490</t>
  </si>
  <si>
    <t>Potassium Permanganate 500mg</t>
  </si>
  <si>
    <t>H2913</t>
  </si>
  <si>
    <t>Povidone Iodine 10%, 200ml</t>
  </si>
  <si>
    <t>H2850</t>
  </si>
  <si>
    <t>Povidone Iodine 10%, 500g, ointment</t>
  </si>
  <si>
    <t>S1553105</t>
  </si>
  <si>
    <t>Povidone iodine sol 10%/BOT-500ml</t>
  </si>
  <si>
    <t>Disinf./antiseptics</t>
  </si>
  <si>
    <t>132006</t>
  </si>
  <si>
    <t>praziquantel 600mg</t>
  </si>
  <si>
    <t>A0302</t>
  </si>
  <si>
    <t>Praziquantel 600mg</t>
  </si>
  <si>
    <t>S1560250</t>
  </si>
  <si>
    <t>Praziquantel 600mg tabs/PAC-100</t>
  </si>
  <si>
    <t>235000</t>
  </si>
  <si>
    <t>prednisolone 5mg</t>
  </si>
  <si>
    <t>A0063</t>
  </si>
  <si>
    <t>Prednisolone 5mg</t>
  </si>
  <si>
    <t>S1560310</t>
  </si>
  <si>
    <t>Prednisolone 5mg tabs/PAC-100</t>
  </si>
  <si>
    <t>Hormones/endocrine</t>
  </si>
  <si>
    <t>227202</t>
  </si>
  <si>
    <t>pregnancy test hCG, 2.5mm strips</t>
  </si>
  <si>
    <t>tests</t>
  </si>
  <si>
    <t>L1200</t>
  </si>
  <si>
    <t>Pregnancy test, hCG Urine                2.5mm strip, rapid test</t>
  </si>
  <si>
    <t>810200</t>
  </si>
  <si>
    <t>pressure cooker, 21 ltr, incl. manometer, excl. busket</t>
  </si>
  <si>
    <t>L2560</t>
  </si>
  <si>
    <t>Pressure cooker, 21L, non electric</t>
  </si>
  <si>
    <t>A0166</t>
  </si>
  <si>
    <t>Primaquine 15mg</t>
  </si>
  <si>
    <t>166000</t>
  </si>
  <si>
    <t>primaquine 15mg base</t>
  </si>
  <si>
    <t>A4249</t>
  </si>
  <si>
    <t>Primaquine 7.5mg</t>
  </si>
  <si>
    <t>S1300049</t>
  </si>
  <si>
    <t>Primaquine 7.5mg tablets/PAC-1000</t>
  </si>
  <si>
    <t>S0759820</t>
  </si>
  <si>
    <t>Probe,double-ended,14.5cm</t>
  </si>
  <si>
    <t>Static function</t>
  </si>
  <si>
    <t>S1560678</t>
  </si>
  <si>
    <t>Procaine benzylpeni.pdr/inj 1g vl/BOX-50</t>
  </si>
  <si>
    <t>S1560685</t>
  </si>
  <si>
    <t>Procaine benzylpeni.pdr/inj 3g vl/BOX-50</t>
  </si>
  <si>
    <t>479300</t>
  </si>
  <si>
    <t>procaine penicillin 1 miu, powder for injection</t>
  </si>
  <si>
    <t>E0686</t>
  </si>
  <si>
    <t>Procaine Penicillin 1M IU</t>
  </si>
  <si>
    <t>479401</t>
  </si>
  <si>
    <t>procaine penicillin 3 miu / benzylpenicillin 1 miu, powder for injection</t>
  </si>
  <si>
    <t>479703</t>
  </si>
  <si>
    <t>procaine penicillin 3 miu, powder for injection</t>
  </si>
  <si>
    <t>E0999</t>
  </si>
  <si>
    <t>Procaine Penicillin 3M IU</t>
  </si>
  <si>
    <t>E0936</t>
  </si>
  <si>
    <t>Procaine Penicillin 4M IU, fortified</t>
  </si>
  <si>
    <t>227701</t>
  </si>
  <si>
    <t>progesterone 25mg/ml, 1ml in oil, for injection</t>
  </si>
  <si>
    <t>166302</t>
  </si>
  <si>
    <t>proguanil 100mg</t>
  </si>
  <si>
    <t>A7553</t>
  </si>
  <si>
    <t>Proguanil HCl 100mg</t>
  </si>
  <si>
    <t>tablet</t>
  </si>
  <si>
    <t>S1559200</t>
  </si>
  <si>
    <t>Promethazine 25mg tabs/PAC-100</t>
  </si>
  <si>
    <t>S1559205</t>
  </si>
  <si>
    <t>Promethazine elixir 5mg/5ml/BOT-250ml</t>
  </si>
  <si>
    <t>087200</t>
  </si>
  <si>
    <t>promethazine HCl 25mg coated</t>
  </si>
  <si>
    <t>A0065</t>
  </si>
  <si>
    <t>Promethazine HCl 25mg, coated</t>
  </si>
  <si>
    <t>E1673</t>
  </si>
  <si>
    <t>Promethazine HCl 25mg/ml, 2ml</t>
  </si>
  <si>
    <t>087800</t>
  </si>
  <si>
    <t>promethazine HCl 50mg/2ml, for injection</t>
  </si>
  <si>
    <t>088303</t>
  </si>
  <si>
    <t>promethazine HCl 5mg/5ml oral solution, 100ml</t>
  </si>
  <si>
    <t>088200</t>
  </si>
  <si>
    <t>promethazine HCl 5mg/5ml oral solution, 5 liter</t>
  </si>
  <si>
    <t>S1559211</t>
  </si>
  <si>
    <t>Promethazine inj 25mg/ml 2ml amp/BOX-10</t>
  </si>
  <si>
    <t>A0146</t>
  </si>
  <si>
    <t>Propranolol HCl 40mg</t>
  </si>
  <si>
    <t>463810</t>
  </si>
  <si>
    <t>propranolol HCl 40mg, blister</t>
  </si>
  <si>
    <t>E1287</t>
  </si>
  <si>
    <t>Protamine Sulphate 10mg/ml, 5ml</t>
  </si>
  <si>
    <t>520602</t>
  </si>
  <si>
    <t>protamine sulphate 50mg/5ml, for injection</t>
  </si>
  <si>
    <t>732400</t>
  </si>
  <si>
    <t>pulse counter (1/2 minute)</t>
  </si>
  <si>
    <t>M3141</t>
  </si>
  <si>
    <t>Pulsometer, half minute</t>
  </si>
  <si>
    <t>S0345200</t>
  </si>
  <si>
    <t>Pump,breast,manual,w/accessories</t>
  </si>
  <si>
    <t>S0760640</t>
  </si>
  <si>
    <t>Pump,suction,foot-operated</t>
  </si>
  <si>
    <t>Other equipment</t>
  </si>
  <si>
    <t>S0760605</t>
  </si>
  <si>
    <t>Pump,suction,portable,220V,w/access</t>
  </si>
  <si>
    <t>338600</t>
  </si>
  <si>
    <t>pvp iodine 10% ointment, 500g</t>
  </si>
  <si>
    <t>338501</t>
  </si>
  <si>
    <t>pvp iodine 10% solution, 200ml</t>
  </si>
  <si>
    <t>137801</t>
  </si>
  <si>
    <t>pyrantel 250mg, blister</t>
  </si>
  <si>
    <t>17x6</t>
  </si>
  <si>
    <t>196100</t>
  </si>
  <si>
    <t>pyrazinamide 400mg</t>
  </si>
  <si>
    <t>A1627</t>
  </si>
  <si>
    <t>Pyrazinamide 400mg</t>
  </si>
  <si>
    <t>S1560140</t>
  </si>
  <si>
    <t>Pyrazinamide 400mg tabs/PAC-100</t>
  </si>
  <si>
    <t>Antituberculosis</t>
  </si>
  <si>
    <t>A0142</t>
  </si>
  <si>
    <t>Pyrazinamide 500mg</t>
  </si>
  <si>
    <t>A4305</t>
  </si>
  <si>
    <t>S1560185</t>
  </si>
  <si>
    <t>Pyridoxine 25mg tabs/PAC-100</t>
  </si>
  <si>
    <t>A0067</t>
  </si>
  <si>
    <t>Pyrimethamine 25mg</t>
  </si>
  <si>
    <t>S1560610</t>
  </si>
  <si>
    <t>Quinine 300mg tabs/PAC-100</t>
  </si>
  <si>
    <t>E0130</t>
  </si>
  <si>
    <t>Quinine diHCl 300mg/ml, 2ml</t>
  </si>
  <si>
    <t>168000</t>
  </si>
  <si>
    <t>quinine di-HCl 600mg/2ml, for injection</t>
  </si>
  <si>
    <t>10x10</t>
  </si>
  <si>
    <t>S1560600</t>
  </si>
  <si>
    <t>Quinine inj 300mg/ml 2ml amp/BOX-10</t>
  </si>
  <si>
    <t>E0857</t>
  </si>
  <si>
    <t>Quinine Resorcine compound 100mg/ml, 2ml</t>
  </si>
  <si>
    <t>E0239</t>
  </si>
  <si>
    <t>Quinine Resorcine compound 100mg/ml, 4ml</t>
  </si>
  <si>
    <t>A0107</t>
  </si>
  <si>
    <t>Quinine Sulphate 200mg, coated</t>
  </si>
  <si>
    <t>167600</t>
  </si>
  <si>
    <t>quinine sulphate 200mg, film coated</t>
  </si>
  <si>
    <t>167801</t>
  </si>
  <si>
    <t>quinine sulphate 300mg, film coated</t>
  </si>
  <si>
    <t>A4413</t>
  </si>
  <si>
    <t>Quinine Sulphate 300mg, film-coated</t>
  </si>
  <si>
    <t>296002</t>
  </si>
  <si>
    <t>rabies vaccine (vero cells) + solvent 0.5 ml   (***)</t>
  </si>
  <si>
    <t>083600</t>
  </si>
  <si>
    <t>ranitidine 150mg</t>
  </si>
  <si>
    <t>S0003362</t>
  </si>
  <si>
    <t>Ranitidine 150mg tablets/PAC-60</t>
  </si>
  <si>
    <t>E1738</t>
  </si>
  <si>
    <t>Ranitidine 25mg/ml, 2ml</t>
  </si>
  <si>
    <t>M2447</t>
  </si>
  <si>
    <t>Razor blades</t>
  </si>
  <si>
    <t>900400</t>
  </si>
  <si>
    <t>razor blades, disposable</t>
  </si>
  <si>
    <t>S0544200</t>
  </si>
  <si>
    <t>Razor blades,double-edged/PAC-5</t>
  </si>
  <si>
    <t>900300</t>
  </si>
  <si>
    <t>razor, with blade &amp; handle, disposable</t>
  </si>
  <si>
    <t>S0544000</t>
  </si>
  <si>
    <t>Razor,safety,metal,3-piece</t>
  </si>
  <si>
    <t>M3564</t>
  </si>
  <si>
    <t>Reaction vessel, 1.5ml, PP, w/lid</t>
  </si>
  <si>
    <t>M3541</t>
  </si>
  <si>
    <t>Reagents, Supplementary for              Test kit, HIV 1+2 (Enzygnost), ELISA</t>
  </si>
  <si>
    <t>S0190000</t>
  </si>
  <si>
    <t>Receptacle,waste,pedal action,20L</t>
  </si>
  <si>
    <t>L1405</t>
  </si>
  <si>
    <t>Refrigerator, RKE400, kerosene/electric* 120V/230V,50/60HZ,177L/47L Ref./Freeze</t>
  </si>
  <si>
    <t>S0544210</t>
  </si>
  <si>
    <t>Register,A4,squared,80 pgs/PAC-10</t>
  </si>
  <si>
    <t>A0068</t>
  </si>
  <si>
    <t>Reserpine 0.25mg</t>
  </si>
  <si>
    <t>A5054</t>
  </si>
  <si>
    <t>S0845001</t>
  </si>
  <si>
    <t>Resuscitator,hand-oper.,adult,set</t>
  </si>
  <si>
    <t>S0845000</t>
  </si>
  <si>
    <t>Resuscitator,hand-oper.,infant/child,set</t>
  </si>
  <si>
    <t>S1583015</t>
  </si>
  <si>
    <t>Retinol 100,000IU soft gel.caps/PAC-500</t>
  </si>
  <si>
    <t>S1583000</t>
  </si>
  <si>
    <t>Retinol 200,000IU soft gel.caps/PAC-500</t>
  </si>
  <si>
    <t>S0767500</t>
  </si>
  <si>
    <t>Retractor,abdo,Balfour,3 blades</t>
  </si>
  <si>
    <t>S0767800</t>
  </si>
  <si>
    <t>Retractor,abdo,Collin,3 blades</t>
  </si>
  <si>
    <t>S0768930</t>
  </si>
  <si>
    <t>Retractor,Farabeuf,d-e,120mm,pair</t>
  </si>
  <si>
    <t>S0768960</t>
  </si>
  <si>
    <t>Retractor,Farabeuf,d-e,150mm,pair</t>
  </si>
  <si>
    <t>S0779500</t>
  </si>
  <si>
    <t>Retractor,vaginal,Auvard,38x80mm</t>
  </si>
  <si>
    <t>S0768400</t>
  </si>
  <si>
    <t>Retractor,vaginal,Doyen,45x85mm</t>
  </si>
  <si>
    <t>505500</t>
  </si>
  <si>
    <t>rif 150mg + iso 75mg + pyr 400mg + ethambutol 275mg</t>
  </si>
  <si>
    <t>D0197</t>
  </si>
  <si>
    <t>Rifampicin 150mg</t>
  </si>
  <si>
    <t>A0547</t>
  </si>
  <si>
    <t>Rifampicin 150mg + Isoniazid 100mg</t>
  </si>
  <si>
    <t>A4334</t>
  </si>
  <si>
    <t>Rifampicin 150mg + Isoniazid 50mg +    * Pyrazinamide 300mg</t>
  </si>
  <si>
    <t>506400</t>
  </si>
  <si>
    <t>rifampicin 150mg + isoniazid 75mg</t>
  </si>
  <si>
    <t>A4192</t>
  </si>
  <si>
    <t>Rifampicin 150mg + Isoniazid 75mg</t>
  </si>
  <si>
    <t>A4365</t>
  </si>
  <si>
    <t>Rifampicin 150mg + Isoniazid 75mg +    * Pyrazinamide 400mg</t>
  </si>
  <si>
    <t>A4315</t>
  </si>
  <si>
    <t>Rifampicin 150mg + Isoniazid 75mg +    * Pyrazinamide 400mg + Ethambutol 275mg</t>
  </si>
  <si>
    <t>505800</t>
  </si>
  <si>
    <t>rifampicin 150mg+isoniazid 75mg+pyrazinamide 400mg</t>
  </si>
  <si>
    <t>D0116</t>
  </si>
  <si>
    <t>Rifampicin 300mg</t>
  </si>
  <si>
    <t>D0145</t>
  </si>
  <si>
    <t>A0802</t>
  </si>
  <si>
    <t>Rifampicin 300mg + Isonazid 150mg</t>
  </si>
  <si>
    <t>506900</t>
  </si>
  <si>
    <t>rifampicin 300mg + isoniazid 150mg, coated</t>
  </si>
  <si>
    <t>S1560710</t>
  </si>
  <si>
    <t>Rifampicin 300mg caps/PAC-100</t>
  </si>
  <si>
    <t>677700</t>
  </si>
  <si>
    <t>Ringer's lactate (Hartmann's solution), 1000ml laminate bag, no IV set</t>
  </si>
  <si>
    <t>678200</t>
  </si>
  <si>
    <t>Ringer's lactate (Hartmann's solution), 1000ml nipple-headed bottle, no IV set</t>
  </si>
  <si>
    <t>677600</t>
  </si>
  <si>
    <t>Ringer's lactate (Hartmann's solution), 500ml laminate bag, no IV set</t>
  </si>
  <si>
    <t>678000</t>
  </si>
  <si>
    <t>Ringer's lactate (Hartmann's solution), 500ml nipple-headed bottle, no IV set</t>
  </si>
  <si>
    <t>J0007</t>
  </si>
  <si>
    <t>Ringers Lactate 1000ml</t>
  </si>
  <si>
    <t>J0184</t>
  </si>
  <si>
    <t>J0005</t>
  </si>
  <si>
    <t>Ringers Lactate 500ml</t>
  </si>
  <si>
    <t>J0125</t>
  </si>
  <si>
    <t>D0308</t>
  </si>
  <si>
    <t>Ritonavir 100mg</t>
  </si>
  <si>
    <t>S0003631</t>
  </si>
  <si>
    <t>Ritonavir 100mg caps/PAC-4x84</t>
  </si>
  <si>
    <t>S0003632</t>
  </si>
  <si>
    <t>Ritonavir oral sol.80mg/ml/BOT-5x90ml</t>
  </si>
  <si>
    <t>S0145572</t>
  </si>
  <si>
    <t>Sachet,health card,11x25cm/BOX-500</t>
  </si>
  <si>
    <t>S0521425</t>
  </si>
  <si>
    <t>Sachet,tablet,plastic,10x16cm/PAC-100</t>
  </si>
  <si>
    <t>S0782208</t>
  </si>
  <si>
    <t>Safety box f.used syrgs/ndls 5lt/BOX-25</t>
  </si>
  <si>
    <t>Waste disposal</t>
  </si>
  <si>
    <t>M3433</t>
  </si>
  <si>
    <t>Safety box for used needles/syringes   * inflammable, 10L</t>
  </si>
  <si>
    <t>L1511</t>
  </si>
  <si>
    <t>Safety box for used needles/syringes   * inflammable, 5L</t>
  </si>
  <si>
    <t>840774</t>
  </si>
  <si>
    <t>safety box, to dispose used syringes &amp; needles, 5 ltr</t>
  </si>
  <si>
    <t>E1758</t>
  </si>
  <si>
    <t>Salbutamol 0.5mg/ml, 1ml</t>
  </si>
  <si>
    <t>016001</t>
  </si>
  <si>
    <t>salbutamol 0.5mg/ml, 1ml, for injection</t>
  </si>
  <si>
    <t>K0009</t>
  </si>
  <si>
    <t>Salbutamol 100mcg/dose, 200 doses</t>
  </si>
  <si>
    <t>015400</t>
  </si>
  <si>
    <t>salbutamol 2mg</t>
  </si>
  <si>
    <t>A0280</t>
  </si>
  <si>
    <t>Salbutamol 2mg</t>
  </si>
  <si>
    <t>F0125</t>
  </si>
  <si>
    <t>Salbutamol 2mg/5ml, 100ml, syrup</t>
  </si>
  <si>
    <t>016802</t>
  </si>
  <si>
    <t>salbutamol 2mg/5ml, oral solution, 100ml</t>
  </si>
  <si>
    <t>015600</t>
  </si>
  <si>
    <t>salbutamol 4mg</t>
  </si>
  <si>
    <t>A0238</t>
  </si>
  <si>
    <t>Salbutamol 4mg</t>
  </si>
  <si>
    <t>A4362</t>
  </si>
  <si>
    <t>S1562015</t>
  </si>
  <si>
    <t>Salbutamol 4mg tabs/PAC-1000</t>
  </si>
  <si>
    <t>S1562020</t>
  </si>
  <si>
    <t>Salbutamol oral inh. 0.1mg/ds 200ds</t>
  </si>
  <si>
    <t>016400</t>
  </si>
  <si>
    <t>salbutamol oral inhaler, 0.1 mg/dose, 200 doses    (UN1950)</t>
  </si>
  <si>
    <t>016700</t>
  </si>
  <si>
    <t>salbutamol respirator solution 5mg/ml, 30ml</t>
  </si>
  <si>
    <t>S1562040</t>
  </si>
  <si>
    <t>Salbutamol syrup 2mg/5ml/BOT-150ml</t>
  </si>
  <si>
    <t>S0003633</t>
  </si>
  <si>
    <t>Saquinavir 200 mg (hard)caps/PAC-270</t>
  </si>
  <si>
    <t>D0339</t>
  </si>
  <si>
    <t>Saquinavir 200mg</t>
  </si>
  <si>
    <t>S0003655</t>
  </si>
  <si>
    <t>Saquinavir 500 mg tabs/PAC-120</t>
  </si>
  <si>
    <t>718000</t>
  </si>
  <si>
    <t>scale baby, 16kgx10g, tablemodel + pan (Seca 725)</t>
  </si>
  <si>
    <t>718300</t>
  </si>
  <si>
    <t xml:space="preserve">scale electronic, mother and child, 150kg x 100g </t>
  </si>
  <si>
    <t>M3149</t>
  </si>
  <si>
    <t>Scale, baby, 25kg-100g, Salter type</t>
  </si>
  <si>
    <t>L0805</t>
  </si>
  <si>
    <t>Scale, hanging balance, 25kg</t>
  </si>
  <si>
    <t>L1923</t>
  </si>
  <si>
    <t>Scale, infant max. 5kg, spring type</t>
  </si>
  <si>
    <t>M0624</t>
  </si>
  <si>
    <t>Scale, mechanical, adult, bathroom type</t>
  </si>
  <si>
    <t>718200</t>
  </si>
  <si>
    <t>scale, metric, adults, bathroom type</t>
  </si>
  <si>
    <t>718102</t>
  </si>
  <si>
    <t>scale, salter type, 25kg x 100gr, with +5 trousers</t>
  </si>
  <si>
    <t>713600</t>
  </si>
  <si>
    <t xml:space="preserve">scalp vein infusion set 19g  </t>
  </si>
  <si>
    <t>713700</t>
  </si>
  <si>
    <t xml:space="preserve">scalp vein infusion set 21g  </t>
  </si>
  <si>
    <t>713800</t>
  </si>
  <si>
    <t xml:space="preserve">scalp vein infusion set 23g  </t>
  </si>
  <si>
    <t>715900</t>
  </si>
  <si>
    <t xml:space="preserve">scalp vein infusion set 25g  </t>
  </si>
  <si>
    <t>M0715</t>
  </si>
  <si>
    <t>Scalp vein set 0.5mm = 25G</t>
  </si>
  <si>
    <t>L1594</t>
  </si>
  <si>
    <t>Scalp vein set 0.6mm = 23G</t>
  </si>
  <si>
    <t>L0471</t>
  </si>
  <si>
    <t>Scalp vein set 0.8mm = 21G</t>
  </si>
  <si>
    <t>L0470</t>
  </si>
  <si>
    <t>Scalp vein set 1.1mm = 19G</t>
  </si>
  <si>
    <t>S0746010</t>
  </si>
  <si>
    <t>Scalpel blade,ster,disp,no.10</t>
  </si>
  <si>
    <t>Misc. surg. instrum.</t>
  </si>
  <si>
    <t>S0746110</t>
  </si>
  <si>
    <t>Scalpel blade,ster,disp,no.11</t>
  </si>
  <si>
    <t>S0746510</t>
  </si>
  <si>
    <t>Scalpel blade,ster,disp,no.22</t>
  </si>
  <si>
    <t>L0076</t>
  </si>
  <si>
    <t>Scalpel blades, size 10, sterile         Disposable</t>
  </si>
  <si>
    <t>L0077</t>
  </si>
  <si>
    <t>Scalpel blades, size 11, sterile         Disposable</t>
  </si>
  <si>
    <t>L0288</t>
  </si>
  <si>
    <t>Scalpel blades, size 12, sterile         Disposable</t>
  </si>
  <si>
    <t>L0078</t>
  </si>
  <si>
    <t>Scalpel blades, size 15, sterile         Disposable</t>
  </si>
  <si>
    <t>L0079</t>
  </si>
  <si>
    <t>Scalpel blades, size 20, sterile         Disposable</t>
  </si>
  <si>
    <t>L0112</t>
  </si>
  <si>
    <t>Scalpel blades, size 21, sterile         Disposable</t>
  </si>
  <si>
    <t>L0080</t>
  </si>
  <si>
    <t>Scalpel blades, size 22, sterile         Disposable</t>
  </si>
  <si>
    <t>L0525</t>
  </si>
  <si>
    <t>Scalpel blades, size 23, sterile         Disposable</t>
  </si>
  <si>
    <t>L0812</t>
  </si>
  <si>
    <t>Scalpel blades, size 24, sterile         Disposable</t>
  </si>
  <si>
    <t>L0408</t>
  </si>
  <si>
    <t>Scalpel handle No. 3, ss</t>
  </si>
  <si>
    <t>M0101</t>
  </si>
  <si>
    <t>Scalpel handle No. 4, ss</t>
  </si>
  <si>
    <t>S0745000</t>
  </si>
  <si>
    <t>Scalpel handle,no.3</t>
  </si>
  <si>
    <t>S0745500</t>
  </si>
  <si>
    <t>Scalpel handle,no.4</t>
  </si>
  <si>
    <t>S0002063</t>
  </si>
  <si>
    <t>Scanner,ultrasound,portable/SET</t>
  </si>
  <si>
    <t>730200</t>
  </si>
  <si>
    <t>scissors surgical,  blunt/blunt, straight, 14cm</t>
  </si>
  <si>
    <t>729400</t>
  </si>
  <si>
    <t>scissors surgical, sharp/blunt, straight, 14cm</t>
  </si>
  <si>
    <t>726400</t>
  </si>
  <si>
    <t>scissors surgical, sharp/sharp, straight, 14cm</t>
  </si>
  <si>
    <t>M0233</t>
  </si>
  <si>
    <t>Scissors, bandage, Lister, 16cm, ss</t>
  </si>
  <si>
    <t>M1540</t>
  </si>
  <si>
    <t>Scissors, bandage, Lister, 18cm, ss</t>
  </si>
  <si>
    <t>L1958</t>
  </si>
  <si>
    <t>Scissors, dissecting, Mayo, 14cm, ss   * straight</t>
  </si>
  <si>
    <t>M0819</t>
  </si>
  <si>
    <t>Scissors, operating, 14cm, curved, ss  * sharp/blunt</t>
  </si>
  <si>
    <t>L2199</t>
  </si>
  <si>
    <t>Scissors, surgical 14cm, s/b, straight * ss</t>
  </si>
  <si>
    <t>M0949</t>
  </si>
  <si>
    <t>Scissors, surgical, straight, 14cm, ss * blunt/blunt</t>
  </si>
  <si>
    <t>L1034</t>
  </si>
  <si>
    <t>Scissors, surgical, straight, 14cm, ss * sharp/sharp</t>
  </si>
  <si>
    <t>S0772000</t>
  </si>
  <si>
    <t>Scissors,bandage,200mm,str</t>
  </si>
  <si>
    <t>S0773550</t>
  </si>
  <si>
    <t>Scissors,Deaver,140mm,cvd,s/b</t>
  </si>
  <si>
    <t>S0773500</t>
  </si>
  <si>
    <t>Scissors,Deaver,140mm,str,s/b</t>
  </si>
  <si>
    <t>S0774700</t>
  </si>
  <si>
    <t>Scissors,gyneco,200mm,cvd,b/b</t>
  </si>
  <si>
    <t>S0770500</t>
  </si>
  <si>
    <t>Scissors,Mayo,140mm,cvd,b/b</t>
  </si>
  <si>
    <t>S0770600</t>
  </si>
  <si>
    <t>Scissors,Mayo,170mm,cvd,b/b</t>
  </si>
  <si>
    <t>S0770800</t>
  </si>
  <si>
    <t>Scissors,Mayo,230mm,cvd,b/b</t>
  </si>
  <si>
    <t>S0771350</t>
  </si>
  <si>
    <t>Scissors,Metzem/Nelson,180mm,cvd,b/b</t>
  </si>
  <si>
    <t>S0771450</t>
  </si>
  <si>
    <t>Scissors,Metzem/Nelson,230mm,cvd,b/b</t>
  </si>
  <si>
    <t>S0771250</t>
  </si>
  <si>
    <t>Scissors,Metzembaum,140mm,cvd,b/b</t>
  </si>
  <si>
    <t>S0715300</t>
  </si>
  <si>
    <t>Scoop,uterine,Simon,12mm,sharp</t>
  </si>
  <si>
    <t>L1776</t>
  </si>
  <si>
    <t>Screw cap for 100ml bottle (for L1775)</t>
  </si>
  <si>
    <t>A0286</t>
  </si>
  <si>
    <t>Senna 7.5mg</t>
  </si>
  <si>
    <t>453600</t>
  </si>
  <si>
    <t>senna 7.5mg sennosides</t>
  </si>
  <si>
    <t>S0770200</t>
  </si>
  <si>
    <t>Shears,P.O.P.,Stille,370mm</t>
  </si>
  <si>
    <t>S0363000</t>
  </si>
  <si>
    <t>Shield,nipple,silicone</t>
  </si>
  <si>
    <t>851000</t>
  </si>
  <si>
    <t>Sibir V170 GE vaccine fridge, operated on electricity and/or gas</t>
  </si>
  <si>
    <t>851300</t>
  </si>
  <si>
    <t>Sibir V170 KE vaccine fridge, operated on electricity and/or kerosene</t>
  </si>
  <si>
    <t>L1151</t>
  </si>
  <si>
    <t>Silk 0, 150cm</t>
  </si>
  <si>
    <t>L0015</t>
  </si>
  <si>
    <t>Silk 0, 75cm w/needle</t>
  </si>
  <si>
    <t>M1447</t>
  </si>
  <si>
    <t>Silk 1, 150cm</t>
  </si>
  <si>
    <t>M2794</t>
  </si>
  <si>
    <t>Silk 1, 75cm w/needle</t>
  </si>
  <si>
    <t>M2793</t>
  </si>
  <si>
    <t>Silk 2, 150cm</t>
  </si>
  <si>
    <t>L1355</t>
  </si>
  <si>
    <t>Silk 2, 75cm w/needle</t>
  </si>
  <si>
    <t>M1536</t>
  </si>
  <si>
    <t>Silk 2/0, 150cm</t>
  </si>
  <si>
    <t>M2795</t>
  </si>
  <si>
    <t>Silk 2/0, 75cm w/needle</t>
  </si>
  <si>
    <t>M2797</t>
  </si>
  <si>
    <t>Silk 3/0, 150cm</t>
  </si>
  <si>
    <t>M2796</t>
  </si>
  <si>
    <t>Silk 3/0, 75cm w/needle</t>
  </si>
  <si>
    <t>M2422</t>
  </si>
  <si>
    <t>Silk 9/0, virgin w/needle                (needle in both ends)</t>
  </si>
  <si>
    <t>377206</t>
  </si>
  <si>
    <t>silver sulfadiazine 1% cream, 50g</t>
  </si>
  <si>
    <t>S1505121</t>
  </si>
  <si>
    <t>Silver sulfadiazine 1% cream/TBE-50g</t>
  </si>
  <si>
    <t>H0080</t>
  </si>
  <si>
    <t>Silver Sulphadiazine 1%, 50g, cream</t>
  </si>
  <si>
    <t>Q0083</t>
  </si>
  <si>
    <t>Soap bar, 100g, individually wrapped</t>
  </si>
  <si>
    <t>Q0013</t>
  </si>
  <si>
    <t>Soap box</t>
  </si>
  <si>
    <t>S0552000</t>
  </si>
  <si>
    <t>Soap,toilet,bar,approx.110g,wrapped</t>
  </si>
  <si>
    <t>S1560812</t>
  </si>
  <si>
    <t>Sod.lact.comp.inj 1000ml w/g.set/BOX-10</t>
  </si>
  <si>
    <t>S1560811</t>
  </si>
  <si>
    <t>Sod.lactat.comp.inj 500ml w/g.set/BOX-20</t>
  </si>
  <si>
    <t>E1003</t>
  </si>
  <si>
    <t>Sodium Bicarbonate 8.4%, 10ml</t>
  </si>
  <si>
    <t>678800</t>
  </si>
  <si>
    <t>sodium bicarbonate 8.4%, 20ml</t>
  </si>
  <si>
    <t>S1564326</t>
  </si>
  <si>
    <t>Sodium chl.inj 0.9% 500ml w/giv.s/B0X-20</t>
  </si>
  <si>
    <t>J0003</t>
  </si>
  <si>
    <t>Sodium Chloride 0.9%, 1000ml</t>
  </si>
  <si>
    <t>J0181</t>
  </si>
  <si>
    <t>679800</t>
  </si>
  <si>
    <t>sodium chloride 0.9%, 1000ml laminate bag, IV set is not included</t>
  </si>
  <si>
    <t>679100</t>
  </si>
  <si>
    <t>sodium chloride 0.9%, 1000ml nipple-headed bottle, IV set is not included</t>
  </si>
  <si>
    <t>J0006</t>
  </si>
  <si>
    <t>Sodium Chloride 0.9%, 500ml</t>
  </si>
  <si>
    <t>J0124</t>
  </si>
  <si>
    <t>679600</t>
  </si>
  <si>
    <t>sodium chloride 0.9%, 500ml laminate bag, IV set is not included</t>
  </si>
  <si>
    <t>679000</t>
  </si>
  <si>
    <t>sodium chloride 0.9%, 500ml nipple-headed bottle, IV set is not included</t>
  </si>
  <si>
    <t>S0003213</t>
  </si>
  <si>
    <t>Sodium chloride,bulk/KG</t>
  </si>
  <si>
    <t>332700</t>
  </si>
  <si>
    <t>sodium dichloroisocyanurate 1.67gr (NaDCC)</t>
  </si>
  <si>
    <t>332600</t>
  </si>
  <si>
    <t>sodium dichloroisocyanurate 167mg (NaDCC)</t>
  </si>
  <si>
    <t>332802</t>
  </si>
  <si>
    <t>sodium dichloroisocyanurate 8.5mg (NaDCC), blister</t>
  </si>
  <si>
    <t>5x10</t>
  </si>
  <si>
    <t>S0003239</t>
  </si>
  <si>
    <t>Sodium hypochlorite,5-7% chlorine/BOT-1L</t>
  </si>
  <si>
    <t>E1621</t>
  </si>
  <si>
    <t>Sodium Stibogluconate 100mg/ml, 30ml</t>
  </si>
  <si>
    <t>138301</t>
  </si>
  <si>
    <t>sodium stibogluconate 33%, 30ml, for injection (10% antimony)</t>
  </si>
  <si>
    <t>A1607</t>
  </si>
  <si>
    <t>Sodium Valproate 200mg, enteric coated</t>
  </si>
  <si>
    <t>S0775200</t>
  </si>
  <si>
    <t>Sound,uterine,Martin,320mm</t>
  </si>
  <si>
    <t>896100</t>
  </si>
  <si>
    <t>spare filter candle, super sterasyl, for Berkefeld filter</t>
  </si>
  <si>
    <t>S0779700</t>
  </si>
  <si>
    <t>Spatula,abdo,malleable,250mm</t>
  </si>
  <si>
    <t>E1400</t>
  </si>
  <si>
    <t>Spectinomycin 2g w/solvent</t>
  </si>
  <si>
    <t>507000</t>
  </si>
  <si>
    <t>spectinomycin 2g, powder for injection + solvent</t>
  </si>
  <si>
    <t>S0003323</t>
  </si>
  <si>
    <t>Spectinomycin pdr/inj 2g vl w/sol/BOX-60</t>
  </si>
  <si>
    <t>M3574</t>
  </si>
  <si>
    <t>Spectophotometer, excluding reagents</t>
  </si>
  <si>
    <t>713910</t>
  </si>
  <si>
    <t>speculum reusable set, 4 sizes, for otoscope "mini"</t>
  </si>
  <si>
    <t>set</t>
  </si>
  <si>
    <t>730700</t>
  </si>
  <si>
    <t>speculum vaginal, Graves, large 115x35mm, adjustable</t>
  </si>
  <si>
    <t>730701</t>
  </si>
  <si>
    <t>speculum vaginal, Graves, medium 100x30mm, adjustable</t>
  </si>
  <si>
    <t>730702</t>
  </si>
  <si>
    <t>speculum vaginal, Graves, small 75x20mm, adjustable</t>
  </si>
  <si>
    <t>M0546</t>
  </si>
  <si>
    <t>Speculum, nasal, large, Hartmann type</t>
  </si>
  <si>
    <t>L0909</t>
  </si>
  <si>
    <t>Speculum, nasal, small, Hartmann type</t>
  </si>
  <si>
    <t>L1111</t>
  </si>
  <si>
    <t>Speculum, vaginal, large, Graves type</t>
  </si>
  <si>
    <t>L1110</t>
  </si>
  <si>
    <t>Speculum, vaginal, medium, Graves type</t>
  </si>
  <si>
    <t>L1035</t>
  </si>
  <si>
    <t>Speculum, vaginal, small, Graves type</t>
  </si>
  <si>
    <t>S0677500</t>
  </si>
  <si>
    <t>Speculum,ear,Gruber/SET-4</t>
  </si>
  <si>
    <t>SET</t>
  </si>
  <si>
    <t>S0681005</t>
  </si>
  <si>
    <t>Speculum,nasal,infant/child,Martin</t>
  </si>
  <si>
    <t>S0778000</t>
  </si>
  <si>
    <t>Speculum,vaginal,Graves,115x35mm</t>
  </si>
  <si>
    <t>S0777000</t>
  </si>
  <si>
    <t>Speculum,vaginal,Graves,75x20mm</t>
  </si>
  <si>
    <t>S0777500</t>
  </si>
  <si>
    <t>Speculum,vaginal,Graves,95x35mm</t>
  </si>
  <si>
    <t>716000</t>
  </si>
  <si>
    <t>sphygmomanometer anaeroid for adults, s.k.</t>
  </si>
  <si>
    <t>716100</t>
  </si>
  <si>
    <t>sphygmomanometer anaeroid for children</t>
  </si>
  <si>
    <t>733000</t>
  </si>
  <si>
    <t>sphygmomanometer anaeroid simple</t>
  </si>
  <si>
    <t>L0880</t>
  </si>
  <si>
    <t>Sphygmomanometer, anaeroid, w/paed. cuff with metal hook and velcro</t>
  </si>
  <si>
    <t>L0553</t>
  </si>
  <si>
    <t>Sphygmomanometer, aneroid, w/adult cuff  with metal hook and velcro</t>
  </si>
  <si>
    <t>S0683200</t>
  </si>
  <si>
    <t>Sphygmomanometer,(adult),aneroid</t>
  </si>
  <si>
    <t>S0683300</t>
  </si>
  <si>
    <t>Sphygmomanometer,(child),aneroid</t>
  </si>
  <si>
    <t>840771</t>
  </si>
  <si>
    <t>spinal needle 20g x 90mm, disposable</t>
  </si>
  <si>
    <t>841731</t>
  </si>
  <si>
    <t>spinal needle 22g x 40mm disposable</t>
  </si>
  <si>
    <t>874389</t>
  </si>
  <si>
    <t>spinal needle 22g x 90mm, disposable</t>
  </si>
  <si>
    <t>843546</t>
  </si>
  <si>
    <t>spinal needle 25g x 90mm, disposable</t>
  </si>
  <si>
    <t>545500</t>
  </si>
  <si>
    <t>spironolactone 25mg</t>
  </si>
  <si>
    <t>A0200</t>
  </si>
  <si>
    <t>Spironolactone 25mg</t>
  </si>
  <si>
    <t>U58000</t>
  </si>
  <si>
    <t>sputum container 30ml, plastic, with lid</t>
  </si>
  <si>
    <t>L2536</t>
  </si>
  <si>
    <t>Sputum cup with screw cap, PP, 40ml</t>
  </si>
  <si>
    <t>S0150000</t>
  </si>
  <si>
    <t>Stand,infusion,double hook,on castors</t>
  </si>
  <si>
    <t>S0151005</t>
  </si>
  <si>
    <t>Stand,single bowl,on castors</t>
  </si>
  <si>
    <t>S0151001</t>
  </si>
  <si>
    <t>Stand,single bowl,wheel,w/o bowl</t>
  </si>
  <si>
    <t>S0003634</t>
  </si>
  <si>
    <t>Stavudine 15 mg caps/PAC-60</t>
  </si>
  <si>
    <t>S0003635</t>
  </si>
  <si>
    <t>Stavudine 20 mg caps/PAC-60</t>
  </si>
  <si>
    <t>S0003636</t>
  </si>
  <si>
    <t>Stavudine 30 mg caps/PAC-60</t>
  </si>
  <si>
    <t>D0297</t>
  </si>
  <si>
    <t>Stavudine 30mg</t>
  </si>
  <si>
    <t>S0003637</t>
  </si>
  <si>
    <t>Stavudine 40 mg caps/PAC-60</t>
  </si>
  <si>
    <t>D0298</t>
  </si>
  <si>
    <t>Stavudine 40mg</t>
  </si>
  <si>
    <t>F0720</t>
  </si>
  <si>
    <t>Stavudine 5mg/5ml, 200ml</t>
  </si>
  <si>
    <t>S0003638</t>
  </si>
  <si>
    <t>Stavudine oral sol.1mg/ml/BOT-200ml</t>
  </si>
  <si>
    <t>K13400</t>
  </si>
  <si>
    <t>Sterilization Equipment Kit  (max. 30 beds hospital/dispensary)</t>
  </si>
  <si>
    <t>790500</t>
  </si>
  <si>
    <t xml:space="preserve">sterilization tape, dry heat sterilization, 18mmx50m </t>
  </si>
  <si>
    <t>L1062</t>
  </si>
  <si>
    <t>Sterilizer, pressure, fuel heating, 24L  Aluminium, steam type</t>
  </si>
  <si>
    <t>M3240</t>
  </si>
  <si>
    <t>Sterilizer, pressure, fuel heating, 39L  Aluminium, steam type</t>
  </si>
  <si>
    <t>S0154000</t>
  </si>
  <si>
    <t>Sterilizer,steam,14L,electric</t>
  </si>
  <si>
    <t>Sterilizers</t>
  </si>
  <si>
    <t>S0157000</t>
  </si>
  <si>
    <t>Sterilizer,steam,24L</t>
  </si>
  <si>
    <t>S0156000</t>
  </si>
  <si>
    <t>Sterilizer,steam,39L</t>
  </si>
  <si>
    <t>M0395</t>
  </si>
  <si>
    <t>Stethoscope, dual-cup</t>
  </si>
  <si>
    <t>L1426</t>
  </si>
  <si>
    <t>Stethoscope, foetal metal</t>
  </si>
  <si>
    <t>714500</t>
  </si>
  <si>
    <t>stethoscope, foetal, metal</t>
  </si>
  <si>
    <t>714000</t>
  </si>
  <si>
    <t>stethoscope, littman type, double lightweight + spares</t>
  </si>
  <si>
    <t>732200</t>
  </si>
  <si>
    <t>stethoscope, nurse type, lightweight, single cup</t>
  </si>
  <si>
    <t>L0552</t>
  </si>
  <si>
    <t>Stethoscope, nurse type, single cup</t>
  </si>
  <si>
    <t>S0686000</t>
  </si>
  <si>
    <t>Stethoscope,binaural,complete</t>
  </si>
  <si>
    <t>S0686500</t>
  </si>
  <si>
    <t>Stethoscope,foetal,Pinard</t>
  </si>
  <si>
    <t>840429</t>
  </si>
  <si>
    <t>stomach tube, Ch 10, disposbale, 125cm (06SGx03)</t>
  </si>
  <si>
    <t>840430</t>
  </si>
  <si>
    <t>stomach tube, Ch 12, disposbale, 125cm (06SGx03)</t>
  </si>
  <si>
    <t>728601</t>
  </si>
  <si>
    <t xml:space="preserve">stomach tube, Ch 12, plastic, disposable, 80cm </t>
  </si>
  <si>
    <t>840433</t>
  </si>
  <si>
    <t>stomach tube, Ch 14, disposbale, 125cm (06SGx03)</t>
  </si>
  <si>
    <t>724701</t>
  </si>
  <si>
    <t xml:space="preserve">stomach tube, Ch 14, plastic, disposable, 80cm </t>
  </si>
  <si>
    <t>840431</t>
  </si>
  <si>
    <t>stomach tube, Ch 16, disposbale, 125cm (06SGx03)</t>
  </si>
  <si>
    <t>728704</t>
  </si>
  <si>
    <t xml:space="preserve">stomach tube, Ch 16, plastic, disposable, 80cm </t>
  </si>
  <si>
    <t>840427</t>
  </si>
  <si>
    <t>stomach tube, Ch 6, disposbale, 125cm (06SGx03)</t>
  </si>
  <si>
    <t>840428</t>
  </si>
  <si>
    <t>stomach tube, Ch 8, disposbale, 125cm (06SGx03)</t>
  </si>
  <si>
    <t>S0169005</t>
  </si>
  <si>
    <t>Stool,adjustable,on castors</t>
  </si>
  <si>
    <t>876113</t>
  </si>
  <si>
    <t>stove kerosene for sterilizer</t>
  </si>
  <si>
    <t>S0170000</t>
  </si>
  <si>
    <t>Stove,kerosene,single-burner,pressure</t>
  </si>
  <si>
    <t>Other ster. equip.</t>
  </si>
  <si>
    <t>E0688</t>
  </si>
  <si>
    <t>Streptomycin 1g</t>
  </si>
  <si>
    <t>507500</t>
  </si>
  <si>
    <t>streptomycin 1g,  powder for injection</t>
  </si>
  <si>
    <t>S1565010</t>
  </si>
  <si>
    <t>Streptomycin pdr/inj 1g vial/BOX-50</t>
  </si>
  <si>
    <t>S0180000</t>
  </si>
  <si>
    <t>Stretcher,foldable</t>
  </si>
  <si>
    <t>S0181005</t>
  </si>
  <si>
    <t>Stretcher,patient,w/side rails</t>
  </si>
  <si>
    <t>S0181004</t>
  </si>
  <si>
    <t>Stretcher,wheel/carrying combination</t>
  </si>
  <si>
    <t>S1543220</t>
  </si>
  <si>
    <t>Succiny.gelatine 4% IV sol/500ml/BOX-10</t>
  </si>
  <si>
    <t>Blood/plasma prod.</t>
  </si>
  <si>
    <t>880800</t>
  </si>
  <si>
    <t>suction pump, foot/ahnd operated, "Twin", 600ml</t>
  </si>
  <si>
    <t>733601</t>
  </si>
  <si>
    <t>suction tube no.10, disposable</t>
  </si>
  <si>
    <t>733701</t>
  </si>
  <si>
    <t>suction tube no.14, disposable</t>
  </si>
  <si>
    <t>728201</t>
  </si>
  <si>
    <t>suction tube no.16, disposable</t>
  </si>
  <si>
    <t>733501</t>
  </si>
  <si>
    <t>suction tube no.8, disposable</t>
  </si>
  <si>
    <t>S1537130</t>
  </si>
  <si>
    <t>Sul.met.+trim.pdr/o.s.240mg/5ml/BOT100ml</t>
  </si>
  <si>
    <t>A4094</t>
  </si>
  <si>
    <t>Sulfadiazine 500mg</t>
  </si>
  <si>
    <t>517103</t>
  </si>
  <si>
    <t xml:space="preserve">sulfadiazine 500mg </t>
  </si>
  <si>
    <t>S1568040</t>
  </si>
  <si>
    <t>Sulfadox+Pyrimeth 500+25mg tabs/PAC-100</t>
  </si>
  <si>
    <t>S1568045</t>
  </si>
  <si>
    <t>Sulfadox+Pyrimeth 500+25mg tabs/PAC-1000</t>
  </si>
  <si>
    <t>168300</t>
  </si>
  <si>
    <t>sulfadoxine 500mg + pyrimethamine 25mg</t>
  </si>
  <si>
    <t>A0250</t>
  </si>
  <si>
    <t>Sulfadoxine 500mg + Pyrimethamine 25mg</t>
  </si>
  <si>
    <t>A4358</t>
  </si>
  <si>
    <t>168303</t>
  </si>
  <si>
    <t>sulfadoxine 500mg + pyrimethamine 25mg, blister</t>
  </si>
  <si>
    <t>10x3</t>
  </si>
  <si>
    <t>S1537115</t>
  </si>
  <si>
    <t>Sulfameth.+trimeth.100+20mg tabs/PAC-100</t>
  </si>
  <si>
    <t>S1537110</t>
  </si>
  <si>
    <t>Sulfameth.+trimeth.400+80mg tabs/PAC-100</t>
  </si>
  <si>
    <t>S1537100</t>
  </si>
  <si>
    <t>Sulfameth.+trimeth.400+80mg tabs/PAC-500</t>
  </si>
  <si>
    <t>S1537120</t>
  </si>
  <si>
    <t>Sulfameth.+trimeth.800+160mg tbs/PAC-100</t>
  </si>
  <si>
    <t>W0066</t>
  </si>
  <si>
    <t>Supplementary Kit (NEHK)</t>
  </si>
  <si>
    <t>D67600</t>
  </si>
  <si>
    <t>Supplementary reagents for Enzygnost TMB    (***)</t>
  </si>
  <si>
    <t>891300</t>
  </si>
  <si>
    <t>surgical face mask, disposable, with metal nose piece</t>
  </si>
  <si>
    <t>711000</t>
  </si>
  <si>
    <t xml:space="preserve">surgical gloves, sterile, latex, size 6.0 </t>
  </si>
  <si>
    <t>pairs</t>
  </si>
  <si>
    <t>711100</t>
  </si>
  <si>
    <t xml:space="preserve">surgical gloves, sterile, latex, size 6.5 </t>
  </si>
  <si>
    <t>711200</t>
  </si>
  <si>
    <t xml:space="preserve">surgical gloves, sterile, latex, size 7.0 </t>
  </si>
  <si>
    <t>711300</t>
  </si>
  <si>
    <t xml:space="preserve">surgical gloves, sterile, latex, size 7.5 </t>
  </si>
  <si>
    <t>711400</t>
  </si>
  <si>
    <t xml:space="preserve">surgical gloves, sterile, latex, size 8.0 </t>
  </si>
  <si>
    <t>711500</t>
  </si>
  <si>
    <t xml:space="preserve">surgical gloves, sterile, latex, size 8.5 </t>
  </si>
  <si>
    <t>894200</t>
  </si>
  <si>
    <t>surgical scrub brush, sterilisable,  plastic</t>
  </si>
  <si>
    <t>S0564010</t>
  </si>
  <si>
    <t>Sut,abs,DEC1,need 1/2,18mm,round/BOX-36</t>
  </si>
  <si>
    <t>Sutures, absorbable</t>
  </si>
  <si>
    <t>S0564011</t>
  </si>
  <si>
    <t>Sut,abs,DEC2,need 3/8 18mm,round/BOX-36</t>
  </si>
  <si>
    <t>S0564004</t>
  </si>
  <si>
    <t>Sut,abs,DEC2,need 3/8,26mm,tri/BOX-36</t>
  </si>
  <si>
    <t>S0564012</t>
  </si>
  <si>
    <t>Sut,abs,DEC3,need 1/2 30mm,round/BOX-36</t>
  </si>
  <si>
    <t>S0564013</t>
  </si>
  <si>
    <t>Sut,abs,DEC3,need 3/8 50mm,round/BOX-36</t>
  </si>
  <si>
    <t>S0564030</t>
  </si>
  <si>
    <t>Sut,abs,DEC3,spool/BOX-36</t>
  </si>
  <si>
    <t>S0564050</t>
  </si>
  <si>
    <t>Sut,abs,DEC4,need 1/2 30mm,round/BOX-36</t>
  </si>
  <si>
    <t>S0564020</t>
  </si>
  <si>
    <t>Sut,abs,DEC4,need 3/8 36mm,tri/BOX-36</t>
  </si>
  <si>
    <t>S0564040</t>
  </si>
  <si>
    <t>Sut,abs,DEC4,need 3/8 50mm,round/BOX-36</t>
  </si>
  <si>
    <t>S0565020</t>
  </si>
  <si>
    <t>Sut,nonabs,DEC1,need 1/2 13mm,rnd/BOX-36</t>
  </si>
  <si>
    <t>Sut., non-absorbable</t>
  </si>
  <si>
    <t>S0565010</t>
  </si>
  <si>
    <t>Sut,nonabs,DEC2,need 3/8 13mm,tri/BOX-36</t>
  </si>
  <si>
    <t>S0565030</t>
  </si>
  <si>
    <t>Sut,nonabs,DEC2,need 3/8 18mm,tri/BOX-36</t>
  </si>
  <si>
    <t>S0565011</t>
  </si>
  <si>
    <t>Sut,nonabs,DEC3,need 3/8 30mm,tri/BOX-36</t>
  </si>
  <si>
    <t>S0565040</t>
  </si>
  <si>
    <t>Sut,nonabs,DEC4,need 1/2 30mm,rnd/BOX-36</t>
  </si>
  <si>
    <t>966002</t>
  </si>
  <si>
    <t>suture catgut chromic 0, 1x150cm S114H</t>
  </si>
  <si>
    <t>966102</t>
  </si>
  <si>
    <t>suture catgut chromic 1, 1x150cm</t>
  </si>
  <si>
    <t>966202</t>
  </si>
  <si>
    <t>suture catgut chromic 2, 1x150cm</t>
  </si>
  <si>
    <t>967102</t>
  </si>
  <si>
    <t>suture catgut chromic 2/0, 1x150cm S113H</t>
  </si>
  <si>
    <t>967202</t>
  </si>
  <si>
    <t>suture catgut chromic 3/0, 1x150cm S112H</t>
  </si>
  <si>
    <t>S0781000</t>
  </si>
  <si>
    <t>Suture clip,Michel,3x14mm/BOX-1000</t>
  </si>
  <si>
    <t>709000</t>
  </si>
  <si>
    <t>suture needles, assorted sizes, cutting</t>
  </si>
  <si>
    <t>709100</t>
  </si>
  <si>
    <t>suture needles, assorted sizes, round body</t>
  </si>
  <si>
    <t>870855</t>
  </si>
  <si>
    <t>suture polyamide (1) 100cm, with 1/2 rnd body ndl 30 mm, W745</t>
  </si>
  <si>
    <t>842597</t>
  </si>
  <si>
    <t>suture polyamide 2/0 75cm, with 3/8 cut.ndl 30mm, EH7798H</t>
  </si>
  <si>
    <t>870842</t>
  </si>
  <si>
    <t>suture polyamide 3/0 45cm, with 3/8 cut.ndl 18mm, EH7506H</t>
  </si>
  <si>
    <t>960003</t>
  </si>
  <si>
    <t>suture polyester 2/0, non-absorbable, braided, 150cm</t>
  </si>
  <si>
    <t>960302</t>
  </si>
  <si>
    <t>suture polyester 3/0, non-absorbable, braided, 150cm</t>
  </si>
  <si>
    <t>842592</t>
  </si>
  <si>
    <t>suture silk 2/0 45cm, with 3/8 cut.ndl 24.5mm EH7633H</t>
  </si>
  <si>
    <t>840278</t>
  </si>
  <si>
    <t>suture silk 4/0 45cm, with 3/8 cut.ndl 18.5mm, 683H</t>
  </si>
  <si>
    <t>961501</t>
  </si>
  <si>
    <t>suture vicryl 0, 2x70cm, V626E</t>
  </si>
  <si>
    <t>842669</t>
  </si>
  <si>
    <t>suture vicryl 1 70cm, with 1/2 round body needle 48mm, V365H</t>
  </si>
  <si>
    <t>842564</t>
  </si>
  <si>
    <t>suture vicryl 1 90cm, with 1/2 cut. ndl 36.5mm, V519H</t>
  </si>
  <si>
    <t>961300</t>
  </si>
  <si>
    <t>suture vicryl 1, 2x70cm, V627H</t>
  </si>
  <si>
    <t>840284</t>
  </si>
  <si>
    <t>suture vicryl 2/0 70cm, with 1/2 rnd body ndl 26mm, V317H</t>
  </si>
  <si>
    <t>842549</t>
  </si>
  <si>
    <t>suture vicryl 2/0 70cm, with 3/8 cut. ndl 30mm, V586H</t>
  </si>
  <si>
    <t>961601</t>
  </si>
  <si>
    <t>suture vicryl 2/0, 2x70cm V625H</t>
  </si>
  <si>
    <t>874380</t>
  </si>
  <si>
    <t>suture vicryl 3/0 45cm, with 3/8 cut.ndl 18.5mm, V393H</t>
  </si>
  <si>
    <t>961700</t>
  </si>
  <si>
    <t>suture vicryl 3/0, 2x70cm V624H</t>
  </si>
  <si>
    <t>M0224</t>
  </si>
  <si>
    <t>Suture, needles, cutting                 Assortment sizes</t>
  </si>
  <si>
    <t>M0223</t>
  </si>
  <si>
    <t>Suture, needles, round bodied            Assortment sizes</t>
  </si>
  <si>
    <t>353000</t>
  </si>
  <si>
    <t>suxamethonium chloride 100mg/2ml, for injection    (**)</t>
  </si>
  <si>
    <t>E0181</t>
  </si>
  <si>
    <t>Suxamethonium Chloride 50mg/ml, 2ml</t>
  </si>
  <si>
    <t>M0116</t>
  </si>
  <si>
    <t>Swab, gauze, w/Isopropyl Alcohol 70%     30x30mm</t>
  </si>
  <si>
    <t>698800</t>
  </si>
  <si>
    <t>syphilis determine   (*a)</t>
  </si>
  <si>
    <t>298800</t>
  </si>
  <si>
    <t>syphilis rpr (vd32)    (**)</t>
  </si>
  <si>
    <t>299000</t>
  </si>
  <si>
    <t>syphilis rpr (vd33)    (**)</t>
  </si>
  <si>
    <t>901002</t>
  </si>
  <si>
    <t>syringe 60ml catheter tip+luer adapter, disposable</t>
  </si>
  <si>
    <t>L1748</t>
  </si>
  <si>
    <t>Syringe disp. 10ml, 3 part</t>
  </si>
  <si>
    <t>M1819</t>
  </si>
  <si>
    <t>Syringe disp. 10ml, 3-part w/needle   *  21G x 1 1/2</t>
  </si>
  <si>
    <t>M1357</t>
  </si>
  <si>
    <t>Syringe disp. 1ml insulin, 100 IU        w/needle 30G</t>
  </si>
  <si>
    <t>M2829</t>
  </si>
  <si>
    <t>Syringe disp. 20ml, 3 part</t>
  </si>
  <si>
    <t>M2830</t>
  </si>
  <si>
    <t>Syringe disp. 20ml, 3 part w/needle      21g x 1 1/2</t>
  </si>
  <si>
    <t>L1996</t>
  </si>
  <si>
    <t>Syringe disp. 2ml, 3 part</t>
  </si>
  <si>
    <t>M1746</t>
  </si>
  <si>
    <t>Syringe disp. 2ml, 3 part w/needle     * 21G x 1 1/2</t>
  </si>
  <si>
    <t>L2289</t>
  </si>
  <si>
    <t>Syringe disp. 2ml, 3-part w/needle   *   23G x 1</t>
  </si>
  <si>
    <t>M1585</t>
  </si>
  <si>
    <t>Syringe disp. 50/60ml, Luer slip</t>
  </si>
  <si>
    <t>M1747</t>
  </si>
  <si>
    <t>Syringe disp. 5ml, 3 part</t>
  </si>
  <si>
    <t>M2174</t>
  </si>
  <si>
    <t>Syringe disp. 5ml, 3-part w/needle *     21G x 1 1/2</t>
  </si>
  <si>
    <t>704600</t>
  </si>
  <si>
    <t>syringe insulin 100iu/ml, 1ml, disposable + 26g needle</t>
  </si>
  <si>
    <t>702200</t>
  </si>
  <si>
    <t>syringe luer 10ml disposable, without needle</t>
  </si>
  <si>
    <t>702600</t>
  </si>
  <si>
    <t>syringe luer 10ml, with bypacked needle 21g x 1.5"</t>
  </si>
  <si>
    <t>702304</t>
  </si>
  <si>
    <t>syringe luer 20ml, sterile, disposable, without needle</t>
  </si>
  <si>
    <t>702000</t>
  </si>
  <si>
    <t>syringe luer 2ml disposable, without needle</t>
  </si>
  <si>
    <t>702400</t>
  </si>
  <si>
    <t>syringe luer 2ml, with bypacked needle 23g x 1.1/4</t>
  </si>
  <si>
    <t>702100</t>
  </si>
  <si>
    <t>syringe luer 5ml disposable, without needle</t>
  </si>
  <si>
    <t>702501</t>
  </si>
  <si>
    <t>syringe luer 5ml, with bypacked needle 21g x 1.5"</t>
  </si>
  <si>
    <t>702500</t>
  </si>
  <si>
    <t>syringe luer 5ml, with bypacked needle 22g x 1.1/4</t>
  </si>
  <si>
    <t>702900</t>
  </si>
  <si>
    <t>syringe luer tuberculin, 1ml, disposable, without needle</t>
  </si>
  <si>
    <t>L1165</t>
  </si>
  <si>
    <t>Syringe, autodestructable 0.5ml  *       23G needle, fixed needle</t>
  </si>
  <si>
    <t>M2780</t>
  </si>
  <si>
    <t>Syringe, autodestructable 10ml   *       21G x 1 1/2, detachable needle</t>
  </si>
  <si>
    <t>M2760</t>
  </si>
  <si>
    <t>Syringe, autodestructable 2ml            21G x 1 1/2, detachable needle</t>
  </si>
  <si>
    <t>M2781</t>
  </si>
  <si>
    <t>Syringe, autodestructable 2ml          * 21G x 1 1/2, fixed needle</t>
  </si>
  <si>
    <t>M2977</t>
  </si>
  <si>
    <t>Syringe, autodestructable 5ml            21G x 1 1/2, detachable needle</t>
  </si>
  <si>
    <t>M2782</t>
  </si>
  <si>
    <t>Syringe, autodestructable 5ml            21G x 1 1/2, fixed needle</t>
  </si>
  <si>
    <t>S0782112</t>
  </si>
  <si>
    <t>Syringe,10ml,w/needle,21Gx1.5"/BOX-100</t>
  </si>
  <si>
    <t>Syringe/Immunization</t>
  </si>
  <si>
    <t>S0782110</t>
  </si>
  <si>
    <t>Syringe,2ml,w/needle,21Gx1.5"/BOX-100</t>
  </si>
  <si>
    <t>S0782111</t>
  </si>
  <si>
    <t>Syringe,5ml,w/needle,21Gx1.5"/BOX-100</t>
  </si>
  <si>
    <t>S0782413</t>
  </si>
  <si>
    <t>Syringe,dispos,10ml,ster/BOX-100</t>
  </si>
  <si>
    <t>Syringe/other</t>
  </si>
  <si>
    <t>S0782203</t>
  </si>
  <si>
    <t>Syringe,dispos,1ml,ster/BOX-100</t>
  </si>
  <si>
    <t>S0782425</t>
  </si>
  <si>
    <t>Syringe,dispos,20ml,sterile/BOX-100</t>
  </si>
  <si>
    <t>S0782420</t>
  </si>
  <si>
    <t>Syringe,dispos,20ml,sterile/BOX-80</t>
  </si>
  <si>
    <t>S0782205</t>
  </si>
  <si>
    <t>Syringe,dispos,2ml,ster/BOX-100</t>
  </si>
  <si>
    <t>S0782405</t>
  </si>
  <si>
    <t>Syringe,dispos,5ml,ster/BOX-100</t>
  </si>
  <si>
    <t>S0366010</t>
  </si>
  <si>
    <t>Syringe,feeding,50ml,catheter tip,ster</t>
  </si>
  <si>
    <t>S0366020</t>
  </si>
  <si>
    <t>Syringe,feeding,50ml,luer tip,ster</t>
  </si>
  <si>
    <t>S0782302</t>
  </si>
  <si>
    <t>Syringe,RUP-1,10ml,w/fixed ndl/BOX-100</t>
  </si>
  <si>
    <t>S0782303</t>
  </si>
  <si>
    <t>Syringe,RUP-1,2ml,w/fixed ndl/BOX-100</t>
  </si>
  <si>
    <t>S0782300</t>
  </si>
  <si>
    <t>Syringe,RUP-1,5ml,w/fixed ndl/BOX-100</t>
  </si>
  <si>
    <t>S0782301</t>
  </si>
  <si>
    <t>S0184510</t>
  </si>
  <si>
    <t>Table,baby dressing</t>
  </si>
  <si>
    <t>S0184505</t>
  </si>
  <si>
    <t>Table,examination</t>
  </si>
  <si>
    <t>S0184500</t>
  </si>
  <si>
    <t>Table,examination,dismant,w/access</t>
  </si>
  <si>
    <t>S0185005</t>
  </si>
  <si>
    <t>Table,gynaeco,delivery,w/access</t>
  </si>
  <si>
    <t>S0185000</t>
  </si>
  <si>
    <t>Table,gynaeco,dismant,w/access</t>
  </si>
  <si>
    <t>S0186502</t>
  </si>
  <si>
    <t>Table,instr,Mayo type,ss,on castors</t>
  </si>
  <si>
    <t>S0187004</t>
  </si>
  <si>
    <t>Table,instr,ss,2 trays,on castors</t>
  </si>
  <si>
    <t>S0184515</t>
  </si>
  <si>
    <t>Table,Oper.theatre,w/access.</t>
  </si>
  <si>
    <t>874813</t>
  </si>
  <si>
    <t>tablet counting tray, tri-angular, 15cm</t>
  </si>
  <si>
    <t>870352</t>
  </si>
  <si>
    <t xml:space="preserve">tabletbag reseable, 10 x 15 cm  </t>
  </si>
  <si>
    <t>728000</t>
  </si>
  <si>
    <t>tabletbags resealable, 60x80mm</t>
  </si>
  <si>
    <t>748000</t>
  </si>
  <si>
    <t>tabletbags resealable, 80x100mm</t>
  </si>
  <si>
    <t>781600</t>
  </si>
  <si>
    <t>talc purified BP/EP, 1.0kg</t>
  </si>
  <si>
    <t>N0031</t>
  </si>
  <si>
    <t>Talcum powder 1kg</t>
  </si>
  <si>
    <t>tin</t>
  </si>
  <si>
    <t>N0183</t>
  </si>
  <si>
    <t>Talcum powder 2.5 kg</t>
  </si>
  <si>
    <t>S0566005</t>
  </si>
  <si>
    <t>Tape umbilical,3mmx50m,non-ster</t>
  </si>
  <si>
    <t>L1177</t>
  </si>
  <si>
    <t>Tape, 3mm x 100m, umbilical</t>
  </si>
  <si>
    <t>M1458</t>
  </si>
  <si>
    <t>Tape, 3mm x 20m, umbilical</t>
  </si>
  <si>
    <t>M2068</t>
  </si>
  <si>
    <t>Tape, 3mm x 50m, Umbilical</t>
  </si>
  <si>
    <t>Q0046</t>
  </si>
  <si>
    <t>Tape, measure</t>
  </si>
  <si>
    <t>S0504000</t>
  </si>
  <si>
    <t>Tape,adhesive,Z.O,perforated,10cmx5m</t>
  </si>
  <si>
    <t>S0503010</t>
  </si>
  <si>
    <t>Tape,adhesive,Z.O.,2.5cmx5m</t>
  </si>
  <si>
    <t>S0567000</t>
  </si>
  <si>
    <t>Tape,measure,vinyl-coated,1.5m.</t>
  </si>
  <si>
    <t>S359143</t>
  </si>
  <si>
    <t>Td vaccine for adults,vial of 10 doses</t>
  </si>
  <si>
    <t>S359144</t>
  </si>
  <si>
    <t>Td vaccine for adults,vial of 20 doses</t>
  </si>
  <si>
    <t>M2810</t>
  </si>
  <si>
    <t>Temephos 1% SG, 20kg</t>
  </si>
  <si>
    <t>S0003639</t>
  </si>
  <si>
    <t>Tenofovir 300mg tabs/PAC-30</t>
  </si>
  <si>
    <t>A7566</t>
  </si>
  <si>
    <t>Tenofovir Disoproxil Fumerate 300mg  + * Lamivudine 300mg FDC</t>
  </si>
  <si>
    <t>A5120</t>
  </si>
  <si>
    <t>Tenofovir Disoproxil Fumerate 300mg *    eq to 245mg Tenofovir Disoproxil</t>
  </si>
  <si>
    <t>A7564</t>
  </si>
  <si>
    <t>Tenofovir Disoproxil Fumerate 300mg +  * Emtricitabine 200mg FDC</t>
  </si>
  <si>
    <t>L2605</t>
  </si>
  <si>
    <t>Test kit, GOT complete, 10 x 10ml</t>
  </si>
  <si>
    <t>strips</t>
  </si>
  <si>
    <t>L2604</t>
  </si>
  <si>
    <t>Test kit, GPT complete, 10 x 10ml</t>
  </si>
  <si>
    <t>M2193</t>
  </si>
  <si>
    <t>Test kit, HBsAg (Determine), 100 tests * Rapid test, without chasebuffer</t>
  </si>
  <si>
    <t>M3811</t>
  </si>
  <si>
    <t>Test kit, HBsAg, Rapid, 25 tests         Hepatitis B, Casette</t>
  </si>
  <si>
    <t>M1820</t>
  </si>
  <si>
    <t>Test kit, HIV 1+2 (Capillus), 100 tests  Rapid test</t>
  </si>
  <si>
    <t>M2764</t>
  </si>
  <si>
    <t>Test kit, HIV 1+2 (ClearView), Rapid     test, 25 tests/kit (1 test/pouch)</t>
  </si>
  <si>
    <t>L2497</t>
  </si>
  <si>
    <t>Test kit, HIV 1+2 (Determine), 100 tests without chasebuffer</t>
  </si>
  <si>
    <t>M2806</t>
  </si>
  <si>
    <t>Test kit, HIV 1+2 (DoubleCheck), 100 *   tests, Rapid test</t>
  </si>
  <si>
    <t>M1821</t>
  </si>
  <si>
    <t>Test kit, HIV 1+2 (ELISA), 192 tests     Vironostica Uniform II Plus 0</t>
  </si>
  <si>
    <t>M2655</t>
  </si>
  <si>
    <t>Test kit, HIV 1+2 (Genie II), 40 tests   Rapid test, Enzyme Immunoassay</t>
  </si>
  <si>
    <t>M2615</t>
  </si>
  <si>
    <t>Test kit, HIV 1+2 (Genscreen), 96 tests  Ultra version Ag/Ab</t>
  </si>
  <si>
    <t>M2452</t>
  </si>
  <si>
    <t>Test kit, HIV 1+2 (ImmunoComb), 36 tests Bi-Spot</t>
  </si>
  <si>
    <t>M3039</t>
  </si>
  <si>
    <t>Test kit, HIV 1+2 (Oraquick), 100 tests</t>
  </si>
  <si>
    <t>M3702</t>
  </si>
  <si>
    <t>Test kit, HIV 1+2 (Retrocheck), 25 tests whole blood/serum, Rapid test</t>
  </si>
  <si>
    <t>M2947</t>
  </si>
  <si>
    <t>Test kit, HIV 1+2 (Stat-Pak), 20 tests   cassette</t>
  </si>
  <si>
    <t>M2616</t>
  </si>
  <si>
    <t>Test kit, HIV 1+2 (Uni-Gold), 20 tests   Rapid test</t>
  </si>
  <si>
    <t>M2805</t>
  </si>
  <si>
    <t>Test kit, Malaria (Hexagon), 20 tests    Rapid test</t>
  </si>
  <si>
    <t>M2942</t>
  </si>
  <si>
    <t>Test kit, Malaria (Paracheck), 25 tests  cassette device, Rapid test</t>
  </si>
  <si>
    <t>L1779</t>
  </si>
  <si>
    <t>Test kit, Syphilis, RPR, 100 tests</t>
  </si>
  <si>
    <t>M3006</t>
  </si>
  <si>
    <t>Test kit, Syphilis, RPR, 250 tests</t>
  </si>
  <si>
    <t>L2611</t>
  </si>
  <si>
    <t>Test kit, Syphilis, RPR, 500 tests</t>
  </si>
  <si>
    <t>M3040</t>
  </si>
  <si>
    <t>Test kit, Syphilis, TP-PA, 220 tests     (Serodia - 55 x 4 tests)</t>
  </si>
  <si>
    <t>L2608</t>
  </si>
  <si>
    <t>Test strips (urine), combi-2             Glucose + Protein</t>
  </si>
  <si>
    <t>M3620</t>
  </si>
  <si>
    <t>Test strips (urine), combi-8             Gluc,Bilb,Ket,Blood,pH,Prot,Urobil,Nitr.</t>
  </si>
  <si>
    <t>L1477</t>
  </si>
  <si>
    <t>Test strips (urine), Glucose</t>
  </si>
  <si>
    <t>M1550</t>
  </si>
  <si>
    <t>Test strips (urine), Keton</t>
  </si>
  <si>
    <t>L1795</t>
  </si>
  <si>
    <t>Test strips (urine), Protein</t>
  </si>
  <si>
    <t>916000</t>
  </si>
  <si>
    <t>test tubes, glass, 160 x16mm</t>
  </si>
  <si>
    <t>296202</t>
  </si>
  <si>
    <t>tetanus antitoxin 1.500 iu, 1ml, for injection     (***)</t>
  </si>
  <si>
    <t>296902</t>
  </si>
  <si>
    <t>tetanus vaccine 20doses/vial (tetanus toxoid)    (***)</t>
  </si>
  <si>
    <t>I0093</t>
  </si>
  <si>
    <t>Tetracaine 0.5%, 10ml, eye drops</t>
  </si>
  <si>
    <t>bottles</t>
  </si>
  <si>
    <t>328203</t>
  </si>
  <si>
    <t>tetracaine HCl 0.5% eye drops, 10ml (amethocaine)</t>
  </si>
  <si>
    <t>S1510000</t>
  </si>
  <si>
    <t>Tetracycline eye ointment 1%/TBE-5g</t>
  </si>
  <si>
    <t>Ophtalmological</t>
  </si>
  <si>
    <t>328404</t>
  </si>
  <si>
    <t>tetracycline HCl 1% eye ointment, 5g</t>
  </si>
  <si>
    <t>I0078</t>
  </si>
  <si>
    <t>Tetracycline HCl 1%, 5g, eye ointment</t>
  </si>
  <si>
    <t>D0004</t>
  </si>
  <si>
    <t>Tetracycline HCl 250mg</t>
  </si>
  <si>
    <t>379003</t>
  </si>
  <si>
    <t>tetracycline HCl 3% skin ointment, 15g</t>
  </si>
  <si>
    <t>H0006</t>
  </si>
  <si>
    <t>Tetracycline HCl 3%, 15g, ointment</t>
  </si>
  <si>
    <t>842150</t>
  </si>
  <si>
    <t>thermometer digital</t>
  </si>
  <si>
    <t>M2384</t>
  </si>
  <si>
    <t>Thermometer, clinical, flat type</t>
  </si>
  <si>
    <t>M1601</t>
  </si>
  <si>
    <t>Thermometer, clinical, oral w/cover</t>
  </si>
  <si>
    <t>L0905</t>
  </si>
  <si>
    <t>Thermometer, digital</t>
  </si>
  <si>
    <t>S0480900</t>
  </si>
  <si>
    <t>Thermometer,clinical,30-40C           **</t>
  </si>
  <si>
    <t>S0481053</t>
  </si>
  <si>
    <t>Thermometer,clinical,digital,32-43ºC</t>
  </si>
  <si>
    <t>A0259</t>
  </si>
  <si>
    <t>Thiacethazone 50mg + Isoniazid 100mg</t>
  </si>
  <si>
    <t>S1572010</t>
  </si>
  <si>
    <t>Thiamine 50mg tabs/PAC-100</t>
  </si>
  <si>
    <t>S1569600</t>
  </si>
  <si>
    <t>Thiopental pdr/inj 1g vial/BOX-25</t>
  </si>
  <si>
    <t>Anaesthetics</t>
  </si>
  <si>
    <t>634200</t>
  </si>
  <si>
    <t>thiopental sodium 1g, powder for injection</t>
  </si>
  <si>
    <t>634000</t>
  </si>
  <si>
    <t>thiopental sodium, 500mg, powder for injection</t>
  </si>
  <si>
    <t>E0738</t>
  </si>
  <si>
    <t>Thiopentone Sodium 1g</t>
  </si>
  <si>
    <t>E1204</t>
  </si>
  <si>
    <t>Thiopentone Sodium 500mg</t>
  </si>
  <si>
    <t>M1040</t>
  </si>
  <si>
    <t>Thoracic drain with trocar, CH 16</t>
  </si>
  <si>
    <t>M0315</t>
  </si>
  <si>
    <t>Thoracic drain with trocar, CH 20</t>
  </si>
  <si>
    <t>M0403</t>
  </si>
  <si>
    <t>Thoracic drain with trocar, CH 24</t>
  </si>
  <si>
    <t>M0316</t>
  </si>
  <si>
    <t>Thoracic drain with trocar, CH 28</t>
  </si>
  <si>
    <t>M2003</t>
  </si>
  <si>
    <t>Thoracic drain with trocar, CH 30</t>
  </si>
  <si>
    <t>M0404</t>
  </si>
  <si>
    <t>Thoracic drain with trocar, CH 32</t>
  </si>
  <si>
    <t>840646</t>
  </si>
  <si>
    <t>timer 60 min. + signal 1975</t>
  </si>
  <si>
    <t>L2278</t>
  </si>
  <si>
    <t>Timer, interval 0-60min, w/audible       signal</t>
  </si>
  <si>
    <t>S0983400</t>
  </si>
  <si>
    <t>Timer,60 min</t>
  </si>
  <si>
    <t>S0845010</t>
  </si>
  <si>
    <t>Timer,respiration for ARI</t>
  </si>
  <si>
    <t>328502</t>
  </si>
  <si>
    <t>timolol 0.25% eye-drops, 5ml</t>
  </si>
  <si>
    <t>I0063</t>
  </si>
  <si>
    <t>Timolol 0.25%, 5ml, eye drops</t>
  </si>
  <si>
    <t>328701</t>
  </si>
  <si>
    <t>timolol 0.5 % eye drops, 5ml</t>
  </si>
  <si>
    <t>187602</t>
  </si>
  <si>
    <t>tinidazole 500mg</t>
  </si>
  <si>
    <t>S0003333</t>
  </si>
  <si>
    <t>Tinidazole 500mg tablets/PAC-12</t>
  </si>
  <si>
    <t>Antiprotozoal</t>
  </si>
  <si>
    <t>M3024</t>
  </si>
  <si>
    <t>Tips, pipette, 1000 microl., blue</t>
  </si>
  <si>
    <t>M3570</t>
  </si>
  <si>
    <t>Tips, pipette, 200 microl., yellow</t>
  </si>
  <si>
    <t>843295</t>
  </si>
  <si>
    <t>toilet soap in wrapper, 100g</t>
  </si>
  <si>
    <t>L0442</t>
  </si>
  <si>
    <t>Tongue depressor, wood</t>
  </si>
  <si>
    <t>721000</t>
  </si>
  <si>
    <t>tongue depressor, wood, 15cmx18mm</t>
  </si>
  <si>
    <t>S0621000</t>
  </si>
  <si>
    <t>Tongue depressor,wooden,dispos./BOX-500</t>
  </si>
  <si>
    <t>901100</t>
  </si>
  <si>
    <t>tourniquet (arm), cotton white, with buckle</t>
  </si>
  <si>
    <t>M2653</t>
  </si>
  <si>
    <t>Tourniquet, fabric, app. 50 x 2cm</t>
  </si>
  <si>
    <t>872580</t>
  </si>
  <si>
    <t>tourniquet, latex rubber, 50 x 1.8 cm</t>
  </si>
  <si>
    <t>L0796</t>
  </si>
  <si>
    <t>Tourniquet, latex, 1m</t>
  </si>
  <si>
    <t>S0385000</t>
  </si>
  <si>
    <t>Tourniquet,latex rubber,75cm</t>
  </si>
  <si>
    <t>028002</t>
  </si>
  <si>
    <t>tramadol HCl 100mg/2ml, for injection</t>
  </si>
  <si>
    <t>D0081</t>
  </si>
  <si>
    <t>Tramadol HCl 50mg</t>
  </si>
  <si>
    <t>E0304</t>
  </si>
  <si>
    <t>Tramadol HCl 50mg/ml, 2ml</t>
  </si>
  <si>
    <t>S0279000</t>
  </si>
  <si>
    <t>Tray,dressing,ss,300x200x30mm</t>
  </si>
  <si>
    <t>S0270000</t>
  </si>
  <si>
    <t>Tray,instr,ss,225x125x50mm,w/cover</t>
  </si>
  <si>
    <t>S0276500</t>
  </si>
  <si>
    <t>Tray,instr,ss,310x195x63mm,w/cover</t>
  </si>
  <si>
    <t>S0278000</t>
  </si>
  <si>
    <t>Tray,Mayo table,ss,480x330x19mm</t>
  </si>
  <si>
    <t>S0003214</t>
  </si>
  <si>
    <t>Trisodium citrate,bulk/KG</t>
  </si>
  <si>
    <t>S0101605</t>
  </si>
  <si>
    <t>Trolley,dressing,ss,2 trays</t>
  </si>
  <si>
    <t>S0101610</t>
  </si>
  <si>
    <t>Trolley,emergency,w/drawers</t>
  </si>
  <si>
    <t>S0101615</t>
  </si>
  <si>
    <t>Trolley,soiled linen</t>
  </si>
  <si>
    <t>329001</t>
  </si>
  <si>
    <t>tropicamide 0.5% eye drops, 5ml</t>
  </si>
  <si>
    <t>L1067</t>
  </si>
  <si>
    <t>Trousers, for hanging balance</t>
  </si>
  <si>
    <t>pair</t>
  </si>
  <si>
    <t>872114</t>
  </si>
  <si>
    <t>TST (time,steam,temperature) indicator spots</t>
  </si>
  <si>
    <t>850202</t>
  </si>
  <si>
    <t>TST (time,steam,temperature) indicator strips (PIS E10/06)</t>
  </si>
  <si>
    <t>S359153</t>
  </si>
  <si>
    <t>TT vaccine,adsorbed,vial of 10 doses</t>
  </si>
  <si>
    <t>S359154</t>
  </si>
  <si>
    <t>TT vaccine,adsorbed,vial of 20 doses</t>
  </si>
  <si>
    <t>S0760800</t>
  </si>
  <si>
    <t>Tube suction,Yankauer,270mm</t>
  </si>
  <si>
    <t>L1146</t>
  </si>
  <si>
    <t>Tube, Duodenal, Levin, CH 12</t>
  </si>
  <si>
    <t>L1147</t>
  </si>
  <si>
    <t>Tube, Duodenal, Levin, CH 14</t>
  </si>
  <si>
    <t>L1148</t>
  </si>
  <si>
    <t>Tube, Duodenal, Levin, CH 16</t>
  </si>
  <si>
    <t>L1149</t>
  </si>
  <si>
    <t>Tube, Duodenal, Levin, CH 18</t>
  </si>
  <si>
    <t>L0292</t>
  </si>
  <si>
    <t>Tube, Feeding, CH 05</t>
  </si>
  <si>
    <t>L0267</t>
  </si>
  <si>
    <t>Tube, Feeding, CH 06</t>
  </si>
  <si>
    <t>L0268</t>
  </si>
  <si>
    <t>Tube, Feeding, CH 08</t>
  </si>
  <si>
    <t>L0336</t>
  </si>
  <si>
    <t>Tube, Feeding, CH 10</t>
  </si>
  <si>
    <t>M3037</t>
  </si>
  <si>
    <t>Tube, hematrocite, 7 microlitres, *      with heparine</t>
  </si>
  <si>
    <t>S0372000</t>
  </si>
  <si>
    <t>Tube,asp/feed,CH06,L125cm,ster,disp</t>
  </si>
  <si>
    <t>S0372010</t>
  </si>
  <si>
    <t>Tube,asp/feed,CH08,L125cm,ster,disp</t>
  </si>
  <si>
    <t>S0372020</t>
  </si>
  <si>
    <t>Tube,asp/feed,CH12,L125cm,ster,disp</t>
  </si>
  <si>
    <t>S0370500</t>
  </si>
  <si>
    <t>Tube,asp/feed,CH16,L125cm,ster,disp</t>
  </si>
  <si>
    <t>S0383000</t>
  </si>
  <si>
    <t>Tube,endotrach,3,w/o cuff,ster,disp</t>
  </si>
  <si>
    <t>S0383010</t>
  </si>
  <si>
    <t>Tube,endotrach,3.5,w/o cuff,ster,disp</t>
  </si>
  <si>
    <t>S0383020</t>
  </si>
  <si>
    <t>Tube,endotrach,6.5,w/cuff,ster,disp</t>
  </si>
  <si>
    <t>S0383030</t>
  </si>
  <si>
    <t>Tube,endotrach,7,w/cuff,ster,disp</t>
  </si>
  <si>
    <t>S0383040</t>
  </si>
  <si>
    <t>Tube,endotrach,7.5,w/cuff,ster,disp</t>
  </si>
  <si>
    <t>S0383050</t>
  </si>
  <si>
    <t>Tube,endotrach,8,w/cuff,ster,disp</t>
  </si>
  <si>
    <t>S0373500</t>
  </si>
  <si>
    <t>Tube,feeding,CH05,L40cm,ster,disp</t>
  </si>
  <si>
    <t>S0373000</t>
  </si>
  <si>
    <t>Tube,feeding,CH08,L40cm,ster,disp</t>
  </si>
  <si>
    <t>S0378010</t>
  </si>
  <si>
    <t>Tube,rectal,CH20,L30cm,ster,disp</t>
  </si>
  <si>
    <t>S0379010</t>
  </si>
  <si>
    <t>Tube,rectal,CH24,L30cm,ster,disp</t>
  </si>
  <si>
    <t>S0382000</t>
  </si>
  <si>
    <t>Tube,rubber,ID 7mm,L1.5m</t>
  </si>
  <si>
    <t>S0374010</t>
  </si>
  <si>
    <t>Tube,suction,CH08,L50cm,ster,disp</t>
  </si>
  <si>
    <t>S0374015</t>
  </si>
  <si>
    <t>Tube,suction,CH10,L50cm,ster,disp</t>
  </si>
  <si>
    <t>S0374025</t>
  </si>
  <si>
    <t>Tube,suction,CH14,L50cm,ster,disp</t>
  </si>
  <si>
    <t>S0374030</t>
  </si>
  <si>
    <t>Tube,suction,CH16,L50cm,ster,disp</t>
  </si>
  <si>
    <t>297406</t>
  </si>
  <si>
    <t>tuberculin (ppd) 10 iu/0.1ml, 1.5ml powder for injection (*)</t>
  </si>
  <si>
    <t>M3568</t>
  </si>
  <si>
    <t>Turk solution, 1000ml</t>
  </si>
  <si>
    <t>736502</t>
  </si>
  <si>
    <t>umbilical cord clamp, disposable</t>
  </si>
  <si>
    <t>848327</t>
  </si>
  <si>
    <t>umbilical cord tie, 3mm non-sterile, 100m</t>
  </si>
  <si>
    <t>950300</t>
  </si>
  <si>
    <t>undercast padding, synthetic 7,5cm x 2,7m</t>
  </si>
  <si>
    <t>M1784</t>
  </si>
  <si>
    <t>Urinal, male, ss</t>
  </si>
  <si>
    <t>691800</t>
  </si>
  <si>
    <t>urine 7 teststrip (Combur7, Gen7) U27</t>
  </si>
  <si>
    <t>693900</t>
  </si>
  <si>
    <t>urine 9 teststrips (Combur/9 )</t>
  </si>
  <si>
    <t>L0700</t>
  </si>
  <si>
    <t>Urine bag, with NRV, 90cm tube, 2L</t>
  </si>
  <si>
    <t>719901</t>
  </si>
  <si>
    <t>urine collecting bag 2000ml, with tap and valve</t>
  </si>
  <si>
    <t>840352</t>
  </si>
  <si>
    <t>urine specimen container with lid, 150ml</t>
  </si>
  <si>
    <t>692200</t>
  </si>
  <si>
    <t>urine test strips, glucose (U19)</t>
  </si>
  <si>
    <t>692400</t>
  </si>
  <si>
    <t>urine test strips, ketones (ketur/keto/keto U15)</t>
  </si>
  <si>
    <t>692100</t>
  </si>
  <si>
    <t>urine test strips, protein</t>
  </si>
  <si>
    <t>692800</t>
  </si>
  <si>
    <t>urine test strips, protein/glucose (GP2 020)</t>
  </si>
  <si>
    <t>692700</t>
  </si>
  <si>
    <t>urine test strips, protein/glucose/pH</t>
  </si>
  <si>
    <t>M3527</t>
  </si>
  <si>
    <t>Vaccine cold box (large), capacity 20L</t>
  </si>
  <si>
    <t>M3427</t>
  </si>
  <si>
    <t>Vaccine cold box (small), capacity 0.9L</t>
  </si>
  <si>
    <t>M3537</t>
  </si>
  <si>
    <t>Vaccine cold box, capacity 7.2L</t>
  </si>
  <si>
    <t>M3536</t>
  </si>
  <si>
    <t>Vaccine cold box, capacity 8.6L</t>
  </si>
  <si>
    <t>E0794</t>
  </si>
  <si>
    <t>Vaccine, DTP, 20 doses</t>
  </si>
  <si>
    <t>E0775</t>
  </si>
  <si>
    <t>Vaccine, Rabies, 1 dose w/diluent</t>
  </si>
  <si>
    <t>E0604</t>
  </si>
  <si>
    <t>Vaccine, Tetanus, 20 doses</t>
  </si>
  <si>
    <t>717000</t>
  </si>
  <si>
    <t>vacuum extractor Malmstrom, complete</t>
  </si>
  <si>
    <t>S0791500</t>
  </si>
  <si>
    <t>Vacuum extractor,Bird,manual,comple.set</t>
  </si>
  <si>
    <t>074001</t>
  </si>
  <si>
    <t>valproic acid 150mg, enteric coated</t>
  </si>
  <si>
    <t>H0284</t>
  </si>
  <si>
    <t>Vaseline 500g, sterilized</t>
  </si>
  <si>
    <t>298900</t>
  </si>
  <si>
    <t>VDRL carbon antigen (vd24), 5ml   (**)</t>
  </si>
  <si>
    <t>amp</t>
  </si>
  <si>
    <t>E1671</t>
  </si>
  <si>
    <t>Vecuronium Bromide 10mg</t>
  </si>
  <si>
    <t>350504</t>
  </si>
  <si>
    <t>vecuronium bromide 10mg, powder for injection</t>
  </si>
  <si>
    <t>E1009</t>
  </si>
  <si>
    <t>Vecuronium Bromide 4mg w/solvent</t>
  </si>
  <si>
    <t>350402</t>
  </si>
  <si>
    <t>vecuronium bromide 4mg, powder for injection</t>
  </si>
  <si>
    <t>464100</t>
  </si>
  <si>
    <t>verapamil HCl 40mg, coated</t>
  </si>
  <si>
    <t>A0784</t>
  </si>
  <si>
    <t>Verapamil HCl 40mg, coated</t>
  </si>
  <si>
    <t>303701</t>
  </si>
  <si>
    <t>vinblastine sulphate 10mg/10ml, for injection    (**)</t>
  </si>
  <si>
    <t>E1553</t>
  </si>
  <si>
    <t>Vincristine 1mg w/solvent (combi-pack)</t>
  </si>
  <si>
    <t>E1433</t>
  </si>
  <si>
    <t>Vincristine 2mg w/solvent (combi-pack)</t>
  </si>
  <si>
    <t>S0003335</t>
  </si>
  <si>
    <t>Vincristine pdr/inj,1mg,vial</t>
  </si>
  <si>
    <t>Antineoplastics</t>
  </si>
  <si>
    <t>S0003336</t>
  </si>
  <si>
    <t>Vincristine solution/inj,1mg/ml,vial</t>
  </si>
  <si>
    <t>304000</t>
  </si>
  <si>
    <t>vincristine sulphate 1mg, powder for injection + 10 ml solvent    (**)</t>
  </si>
  <si>
    <t>621800</t>
  </si>
  <si>
    <t>vitamin A  50.000 iu (retinol)</t>
  </si>
  <si>
    <t>622001</t>
  </si>
  <si>
    <t>vitamin A 100.000 IU (retinol)</t>
  </si>
  <si>
    <t>621900</t>
  </si>
  <si>
    <t>vitamin A 200.000 iu (retinol)</t>
  </si>
  <si>
    <t>D0031</t>
  </si>
  <si>
    <t>Vitamin A 200.000IU (Retinol)</t>
  </si>
  <si>
    <t>D0005</t>
  </si>
  <si>
    <t>Vitamin A 50.000 IU (Retinol)</t>
  </si>
  <si>
    <t>623400</t>
  </si>
  <si>
    <t>vitamin B compound</t>
  </si>
  <si>
    <t>A0080</t>
  </si>
  <si>
    <t>Vitamin B compound</t>
  </si>
  <si>
    <t>E0032</t>
  </si>
  <si>
    <t>Vitamin B compound 2ml</t>
  </si>
  <si>
    <t>625500</t>
  </si>
  <si>
    <t>vitamin B1  100mg/2ml, for injection (thiamine HCl)</t>
  </si>
  <si>
    <t>A0133</t>
  </si>
  <si>
    <t>Vitamin B1 50mg (Thiamine)</t>
  </si>
  <si>
    <t>E0729</t>
  </si>
  <si>
    <t>Vitamin B1 50mg/ml, 2ml (Thiamine)</t>
  </si>
  <si>
    <t>626000</t>
  </si>
  <si>
    <t>vitamin B12  1mg/ml, 1ml, for injection (cyanocobalamine)</t>
  </si>
  <si>
    <t>E1806</t>
  </si>
  <si>
    <t>Vitamin B12 1mg/ml, 1ml (Cyanocobalamin)</t>
  </si>
  <si>
    <t>627800</t>
  </si>
  <si>
    <t>vitamin B6  100mg/2ml, for injection (pyridoxine HCl)</t>
  </si>
  <si>
    <t>627200</t>
  </si>
  <si>
    <t>vitamin B6  50mg (pyridoxine HCl)</t>
  </si>
  <si>
    <t>A0135</t>
  </si>
  <si>
    <t>Vitamin B6 50mg (Pyridoxine)</t>
  </si>
  <si>
    <t>E1807</t>
  </si>
  <si>
    <t>Vitamin B6 50mg/ml, 2ml (Pyridoxine)</t>
  </si>
  <si>
    <t>E0206</t>
  </si>
  <si>
    <t>Vitamin C 100mg/ml, 5ml (Ascorbic Acid)</t>
  </si>
  <si>
    <t>628200</t>
  </si>
  <si>
    <t>vitamin C 250mg (ascorbic acid)</t>
  </si>
  <si>
    <t>A0741</t>
  </si>
  <si>
    <t>Vitamin C 250mg (Ascorbic Acid)</t>
  </si>
  <si>
    <t>A4343</t>
  </si>
  <si>
    <t>Vitamin C 500mg (Ascorbic Acid)</t>
  </si>
  <si>
    <t>E0036</t>
  </si>
  <si>
    <t>Vitamin K1 10mg/ml, 1ml (Phytomenadione)</t>
  </si>
  <si>
    <t>E1772</t>
  </si>
  <si>
    <t>Vitamin K1 1mg/ml, 1ml (Phytomenadione)</t>
  </si>
  <si>
    <t>521000</t>
  </si>
  <si>
    <t>vitamin K1 1mg/ml, 1ml, for injection (phytomenadione)</t>
  </si>
  <si>
    <t>A1050</t>
  </si>
  <si>
    <t>Warfarin Sodium 5mg</t>
  </si>
  <si>
    <t>052011</t>
  </si>
  <si>
    <t>warfarin sodium 5mg, blister</t>
  </si>
  <si>
    <t>S0002043</t>
  </si>
  <si>
    <t>Warmer,baby,electric/SET</t>
  </si>
  <si>
    <t>846054</t>
  </si>
  <si>
    <t>washbottle plastic 250ml, complete squeeze type</t>
  </si>
  <si>
    <t>M3569</t>
  </si>
  <si>
    <t>Water bath, electronic</t>
  </si>
  <si>
    <t>M2158</t>
  </si>
  <si>
    <t>Water distillation machine, 7L/hr.</t>
  </si>
  <si>
    <t>M2332</t>
  </si>
  <si>
    <t>Water filter w/3 candles</t>
  </si>
  <si>
    <t>896000</t>
  </si>
  <si>
    <t>water filter, Berkefeld</t>
  </si>
  <si>
    <t>S1543805</t>
  </si>
  <si>
    <t>Water for inj 10ml amp/BOX-50</t>
  </si>
  <si>
    <t>S1543815</t>
  </si>
  <si>
    <t>Water for inj 5ml amp/BOX-10</t>
  </si>
  <si>
    <t>S1543803</t>
  </si>
  <si>
    <t>Water for inj 5ml amp/BOX-50</t>
  </si>
  <si>
    <t>E0539</t>
  </si>
  <si>
    <t>Water for inj., 10ml</t>
  </si>
  <si>
    <t>E0538</t>
  </si>
  <si>
    <t>Water for inj., 5ml</t>
  </si>
  <si>
    <t>687502</t>
  </si>
  <si>
    <t>water for injection, 10ml</t>
  </si>
  <si>
    <t>687204</t>
  </si>
  <si>
    <t>water for injection, 5ml</t>
  </si>
  <si>
    <t>K1421</t>
  </si>
  <si>
    <t>Water Purification tablet 1.67g        * 1g free available Chlorine</t>
  </si>
  <si>
    <t>K1442</t>
  </si>
  <si>
    <t>Water Purification tablet 167mg        * 100mg free available Chlorine</t>
  </si>
  <si>
    <t>K1412</t>
  </si>
  <si>
    <t>Water Purification tablet 8.5mg        * 5mg free available Chlorine</t>
  </si>
  <si>
    <t>847249</t>
  </si>
  <si>
    <t>waterbag foldable, 20ltr, strong quality with tap</t>
  </si>
  <si>
    <t>S0101700</t>
  </si>
  <si>
    <t>Wheelchair,adult</t>
  </si>
  <si>
    <t>855254</t>
  </si>
  <si>
    <t>wire-basket, incl. feet and handle for 21 ltr cooker</t>
  </si>
  <si>
    <t>M0406</t>
  </si>
  <si>
    <t>X-ray cassette 18 x 24cm</t>
  </si>
  <si>
    <t>M0682</t>
  </si>
  <si>
    <t>X-ray cassette 24 x 30cm</t>
  </si>
  <si>
    <t>M0409</t>
  </si>
  <si>
    <t>X-ray cassette 30 x 40cm</t>
  </si>
  <si>
    <t>M0410</t>
  </si>
  <si>
    <t>X-ray cassette 35 x 35cm</t>
  </si>
  <si>
    <t>M0681</t>
  </si>
  <si>
    <t>X-ray cassette 35 x 43cm</t>
  </si>
  <si>
    <t>M2650</t>
  </si>
  <si>
    <t>X-ray developer powder for 22,5L      *  manual processing</t>
  </si>
  <si>
    <t>918000</t>
  </si>
  <si>
    <t>x-ray developer powder for 22.5 ltr (for manual use)</t>
  </si>
  <si>
    <t>2.6</t>
  </si>
  <si>
    <t>M2943</t>
  </si>
  <si>
    <t>X-ray developer powder for 8 x 10L *     manual processing</t>
  </si>
  <si>
    <t>box</t>
  </si>
  <si>
    <t>M1476</t>
  </si>
  <si>
    <t>X-ray developer, 2 x 20L working sol. *  automatic, liquid, box of 3 parts</t>
  </si>
  <si>
    <t>919300</t>
  </si>
  <si>
    <t>x-ray film 18 x 24cm green sensitive, non-interleaved</t>
  </si>
  <si>
    <t>913001</t>
  </si>
  <si>
    <t>x-ray film 18x24cm blue sensitive, interleaved</t>
  </si>
  <si>
    <t>919100</t>
  </si>
  <si>
    <t>x-ray film 24 x 30cm green sensitive, non-interleaved</t>
  </si>
  <si>
    <t>913501</t>
  </si>
  <si>
    <t>x-ray film 24x30cm blue sensitive, interleaved</t>
  </si>
  <si>
    <t>919200</t>
  </si>
  <si>
    <t>x-ray film 30 x 40cm green sensitive, non-interleaved</t>
  </si>
  <si>
    <t>914501</t>
  </si>
  <si>
    <t>x-ray film 30x40cm blue sensitive, interleaved</t>
  </si>
  <si>
    <t>919400</t>
  </si>
  <si>
    <t>x-ray film 35 x 35cm green sensitive, non-interleaved</t>
  </si>
  <si>
    <t>919600</t>
  </si>
  <si>
    <t>x-ray film 35 x 43cm green sensitive, non-interleaved</t>
  </si>
  <si>
    <t>915001</t>
  </si>
  <si>
    <t>x-ray film 35x35cm blue sensitive, interleaved</t>
  </si>
  <si>
    <t>915501</t>
  </si>
  <si>
    <t>x-ray film 35x43cm blue sensitive, interleaved</t>
  </si>
  <si>
    <t>M0718</t>
  </si>
  <si>
    <t>X-ray film, 13 x 18cm (blue sensitive)</t>
  </si>
  <si>
    <t>M0507</t>
  </si>
  <si>
    <t>X-ray film, 15 x 30cm (blue sensitive)</t>
  </si>
  <si>
    <t>M2319</t>
  </si>
  <si>
    <t>X-ray film, 15 x 30cm (green sensitive)</t>
  </si>
  <si>
    <t>M0506</t>
  </si>
  <si>
    <t>X-ray film, 15 x 40cm (blue sensitive)</t>
  </si>
  <si>
    <t>M2318</t>
  </si>
  <si>
    <t>X-ray film, 15 x 40cm (green sensitive)</t>
  </si>
  <si>
    <t>M0503</t>
  </si>
  <si>
    <t>X-ray film, 18 x 24cm (blue sensitive)</t>
  </si>
  <si>
    <t>M0679</t>
  </si>
  <si>
    <t>X-ray film, 18 x 24cm (green sensitive)</t>
  </si>
  <si>
    <t>M3550</t>
  </si>
  <si>
    <t>X-ray film, 20 x 40cm (blue sensitive)</t>
  </si>
  <si>
    <t>M0680</t>
  </si>
  <si>
    <t>X-ray film, 20 x 40cm (green sensitive)</t>
  </si>
  <si>
    <t>M0504</t>
  </si>
  <si>
    <t>X-ray film, 24 x 30cm (blue sensitive)</t>
  </si>
  <si>
    <t>M0678</t>
  </si>
  <si>
    <t>X-ray film, 24 x 30cm (green sensitive)</t>
  </si>
  <si>
    <t>L2375</t>
  </si>
  <si>
    <t>X-ray film, 3 x 4cm, dental</t>
  </si>
  <si>
    <t>M0505</t>
  </si>
  <si>
    <t>X-ray film, 30 x 40cm (blue sensitive)</t>
  </si>
  <si>
    <t>M0677</t>
  </si>
  <si>
    <t>X-ray film, 30 x 40cm (green sensitive)</t>
  </si>
  <si>
    <t>M0676</t>
  </si>
  <si>
    <t>X-ray film, 35 x 35cm (blue sensitive)</t>
  </si>
  <si>
    <t>M2316</t>
  </si>
  <si>
    <t>X-ray film, 35 x 35cm (green sensitive)</t>
  </si>
  <si>
    <t>M0675</t>
  </si>
  <si>
    <t>X-ray film, 35 x 43cm (blue sensitive)</t>
  </si>
  <si>
    <t>M2317</t>
  </si>
  <si>
    <t>X-ray film, 35 x 43cm (green sensitive)</t>
  </si>
  <si>
    <t>919000</t>
  </si>
  <si>
    <t>x-ray fixer powder for 22.5 ltr ( for manual use)</t>
  </si>
  <si>
    <t>3.3</t>
  </si>
  <si>
    <t>M1515</t>
  </si>
  <si>
    <t>X-ray fixer salt for 22.5L           *   for manual processing</t>
  </si>
  <si>
    <t>bag</t>
  </si>
  <si>
    <t>M2944</t>
  </si>
  <si>
    <t>X-ray fixer salt for 8 x 10L           * manual processing</t>
  </si>
  <si>
    <t>M1475</t>
  </si>
  <si>
    <t>X-ray fixer, 2 x 20L working solution  * automatic, liquid, box of 2 parts</t>
  </si>
  <si>
    <t>M2321</t>
  </si>
  <si>
    <t>X-ray fixer, 2 x 25L working solution  * automatic, liquid, box of 2 parts</t>
  </si>
  <si>
    <t>S359373</t>
  </si>
  <si>
    <t>Yellow fever vaccine,vial of 10 doses</t>
  </si>
  <si>
    <t>Non-EPI vaccines</t>
  </si>
  <si>
    <t>S359374</t>
  </si>
  <si>
    <t>Yellow fever vaccine,vial of 20 doses</t>
  </si>
  <si>
    <t>S359372</t>
  </si>
  <si>
    <t>Yellow fever vaccine,vial of 5 doses</t>
  </si>
  <si>
    <t>S359375</t>
  </si>
  <si>
    <t>Yellow fever vaccine,vial of 50 doses</t>
  </si>
  <si>
    <t>S0003649</t>
  </si>
  <si>
    <t>ZDV + 3TC 300+150mg tabs/PAC-60</t>
  </si>
  <si>
    <t>S0003650</t>
  </si>
  <si>
    <t>ZDV+3TC+NVP 300+150+200mg tabs/PAC-60</t>
  </si>
  <si>
    <t>D0067</t>
  </si>
  <si>
    <t>Zidovudine 100mg</t>
  </si>
  <si>
    <t>S0003640</t>
  </si>
  <si>
    <t>Zidovudine 100mg caps/PAC-100</t>
  </si>
  <si>
    <t>S0003641</t>
  </si>
  <si>
    <t>Zidovudine 250mg caps/PAC-40</t>
  </si>
  <si>
    <t>A3092</t>
  </si>
  <si>
    <t>Zidovudine 300mg</t>
  </si>
  <si>
    <t>S0003642</t>
  </si>
  <si>
    <t>Zidovudine 300mg tabs/PAC-60</t>
  </si>
  <si>
    <t>F0675</t>
  </si>
  <si>
    <t>Zidovudine 50mg/5ml, 100ml</t>
  </si>
  <si>
    <t>F0723</t>
  </si>
  <si>
    <t>Zidovudine 50mg/5ml, 240ml</t>
  </si>
  <si>
    <t>S0003700</t>
  </si>
  <si>
    <t>Zidovudine IV,10mg/ml,inf.,20ml vl/PAC-5</t>
  </si>
  <si>
    <t>S0003643</t>
  </si>
  <si>
    <t>Zidovudine oral sol.10mg/ml/BOT-200ml</t>
  </si>
  <si>
    <t>M3547</t>
  </si>
  <si>
    <t>Ziehl-Neelsen Stain, 500ml</t>
  </si>
  <si>
    <t>S1580020</t>
  </si>
  <si>
    <t>Zinc 20mg tablets/PAC-100</t>
  </si>
  <si>
    <t>603200</t>
  </si>
  <si>
    <t>zinc dispersable tablets 20mg (as zinc sulphate), blister</t>
  </si>
  <si>
    <t>H0252</t>
  </si>
  <si>
    <t>Zinc Oxide 10%, 800g, ointment</t>
  </si>
  <si>
    <t>379303</t>
  </si>
  <si>
    <t>zinc oxide ointment 10%, 100g</t>
  </si>
  <si>
    <t>379300</t>
  </si>
  <si>
    <t>zinc oxide ointment 10%, 800g</t>
  </si>
  <si>
    <t>S1552510</t>
  </si>
  <si>
    <t>Zinc oxide ointment 10%/TBE-100g</t>
  </si>
  <si>
    <t xml:space="preserve">This publication was produced for review by the U.S. Agency for International Development. It was prepared by the USAID | DELIVER PROJECT, Task Order 1. </t>
  </si>
  <si>
    <t>The authors' views expressed in this publication do not necessarily reflect the views of the U.S. Agency for International Development or the United States Government.</t>
  </si>
  <si>
    <t>Click on the colored box to jump to that section:</t>
  </si>
  <si>
    <t>Click here to return to the top of this page</t>
  </si>
  <si>
    <t>Do overall numbers seem well-balanced between different tiers and functions? Do changes to the input data result in proporional changes to output values?</t>
  </si>
  <si>
    <r>
      <rPr>
        <i/>
        <sz val="11"/>
        <color theme="1"/>
        <rFont val="Calibri"/>
        <family val="2"/>
        <scheme val="minor"/>
      </rPr>
      <t>1. Overall Operating Costs</t>
    </r>
    <r>
      <rPr>
        <sz val="11"/>
        <color theme="1"/>
        <rFont val="Calibri"/>
        <family val="2"/>
        <scheme val="minor"/>
      </rPr>
      <t xml:space="preserve">: Are overall costs modeled in this tool within a reasonable percentage of prior study data  </t>
    </r>
    <r>
      <rPr>
        <sz val="11"/>
        <rFont val="Calibri"/>
        <family val="2"/>
        <scheme val="minor"/>
      </rPr>
      <t>(e.g. within 10-15%</t>
    </r>
    <r>
      <rPr>
        <sz val="11"/>
        <color theme="1"/>
        <rFont val="Calibri"/>
        <family val="2"/>
        <scheme val="minor"/>
      </rPr>
      <t>)?  If there is significant discrepancy between the results, is there some obvious explanation for the discrepancy (e.g. a health system emergency that increased costs, or a change in demand or supply chain design)?</t>
    </r>
  </si>
  <si>
    <r>
      <rPr>
        <i/>
        <sz val="11"/>
        <color theme="1"/>
        <rFont val="Calibri"/>
        <family val="2"/>
        <scheme val="minor"/>
      </rPr>
      <t>2. Detailed Cost Breakdowns by tier and function</t>
    </r>
    <r>
      <rPr>
        <sz val="11"/>
        <color theme="1"/>
        <rFont val="Calibri"/>
        <family val="2"/>
        <scheme val="minor"/>
      </rPr>
      <t>: For each supply chain tier, and for each major functional area (e.g. Storage, Distribution, Management/supervision), are costs modeled in this tool within a reasonable percentage of prior study data  (</t>
    </r>
    <r>
      <rPr>
        <sz val="11"/>
        <rFont val="Calibri"/>
        <family val="2"/>
        <scheme val="minor"/>
      </rPr>
      <t>e.g 10-15%</t>
    </r>
    <r>
      <rPr>
        <sz val="11"/>
        <color theme="1"/>
        <rFont val="Calibri"/>
        <family val="2"/>
        <scheme val="minor"/>
      </rPr>
      <t>)? If not, is there an obvious explanation for the difference? If not, it may indicate an input parameter in this tool that needs adjustment</t>
    </r>
  </si>
  <si>
    <t>Possible Input Parameters to investigate if model results differ from actual study data:</t>
  </si>
  <si>
    <r>
      <rPr>
        <b/>
        <i/>
        <sz val="11"/>
        <color theme="1"/>
        <rFont val="Calibri"/>
        <family val="2"/>
        <scheme val="minor"/>
      </rPr>
      <t>1. Circuity Factor / Distance Between Facilities</t>
    </r>
    <r>
      <rPr>
        <i/>
        <sz val="11"/>
        <color theme="1"/>
        <rFont val="Calibri"/>
        <family val="2"/>
        <scheme val="minor"/>
      </rPr>
      <t>:</t>
    </r>
    <r>
      <rPr>
        <sz val="11"/>
        <color theme="1"/>
        <rFont val="Calibri"/>
        <family val="2"/>
        <scheme val="minor"/>
      </rPr>
      <t xml:space="preserve">  If kilometers traveled, vehicle utilization, and/or transportation costs are consistently high or low across all tiers, one possibility is that the model is assuming to great or little distance between facilities - either within the same tier or between tiers. Consider revising the circuity factor or distance between facilities (source-destination and destination-destination)</t>
    </r>
  </si>
  <si>
    <r>
      <rPr>
        <b/>
        <i/>
        <sz val="11"/>
        <color theme="1"/>
        <rFont val="Calibri"/>
        <family val="2"/>
        <scheme val="minor"/>
      </rPr>
      <t>2. Vehicle Capacity:</t>
    </r>
    <r>
      <rPr>
        <sz val="11"/>
        <color theme="1"/>
        <rFont val="Calibri"/>
        <family val="2"/>
        <scheme val="minor"/>
      </rPr>
      <t xml:space="preserve"> Another possiblity if transportation statistics are higher or lower than expected; particularly if the problem seems confined to tiers/modes with a particular vehicle type.  Actual vehicle delivery capcities are often lower than direct measurements might indicate, due to the need to shuffle/arrange/access inventory along the way. Alternatively, if delivery staff are using the vehicle in an unconventional way (e.g. storing inventory in passenger seats or on a roof rack), then effective capacity could be greater than expected</t>
    </r>
  </si>
  <si>
    <r>
      <rPr>
        <b/>
        <i/>
        <sz val="11"/>
        <color theme="1"/>
        <rFont val="Calibri"/>
        <family val="2"/>
        <scheme val="minor"/>
      </rPr>
      <t>3. Expiry/Wastage rate</t>
    </r>
    <r>
      <rPr>
        <i/>
        <sz val="11"/>
        <color theme="1"/>
        <rFont val="Calibri"/>
        <family val="2"/>
        <scheme val="minor"/>
      </rPr>
      <t>:</t>
    </r>
    <r>
      <rPr>
        <sz val="11"/>
        <color theme="1"/>
        <rFont val="Calibri"/>
        <family val="2"/>
        <scheme val="minor"/>
      </rPr>
      <t xml:space="preserve"> Expiry and wasted product drive increases in both storage and delivery costs. If this rate is underestimated, it could lead to lower cost estimates than what is observed in practice</t>
    </r>
  </si>
  <si>
    <r>
      <rPr>
        <b/>
        <i/>
        <sz val="11"/>
        <color theme="1"/>
        <rFont val="Calibri"/>
        <family val="2"/>
        <scheme val="minor"/>
      </rPr>
      <t>4. Facility Dwell Times:</t>
    </r>
    <r>
      <rPr>
        <sz val="11"/>
        <color theme="1"/>
        <rFont val="Calibri"/>
        <family val="2"/>
        <scheme val="minor"/>
      </rPr>
      <t xml:space="preserve"> The longer a team spends at a facility conducting ordering and delivery, the fewer facilities they can visit in a single trip.  It is easy to underestimate how much time it actually requires in a facility to make introductions and goodbyes, prepare order and delivery forms, count inventory, etc.  If delivery trips are time-limited (as opposed to vehicle capacity-limited), then facility dwell time becomes an important driver of overall transportation cost</t>
    </r>
  </si>
  <si>
    <r>
      <rPr>
        <b/>
        <i/>
        <sz val="11"/>
        <color theme="1"/>
        <rFont val="Calibri"/>
        <family val="2"/>
        <scheme val="minor"/>
      </rPr>
      <t>5. Average Vehicle Speed:</t>
    </r>
    <r>
      <rPr>
        <sz val="11"/>
        <color theme="1"/>
        <rFont val="Calibri"/>
        <family val="2"/>
        <scheme val="minor"/>
      </rPr>
      <t xml:space="preserve"> This parameter affects how long vehicles are on the road, as well as the number of facilities a vehicle can visit on a single trip. If road conditions are highly variable, it can be easy to under- or overestimate how fast vehicles can actually travel.</t>
    </r>
  </si>
  <si>
    <t xml:space="preserve">General Demand Volume </t>
  </si>
  <si>
    <r>
      <t xml:space="preserve">3. Supply Chain Personnel Information 
</t>
    </r>
    <r>
      <rPr>
        <i/>
        <sz val="14"/>
        <color theme="0"/>
        <rFont val="Calibri"/>
        <family val="2"/>
        <scheme val="minor"/>
      </rPr>
      <t>For reference; can select which personnel are used in sections 5 and 6</t>
    </r>
  </si>
  <si>
    <r>
      <t xml:space="preserve">Basic Scenario Information -- </t>
    </r>
    <r>
      <rPr>
        <i/>
        <sz val="12"/>
        <color theme="1"/>
        <rFont val="Calibri"/>
        <family val="2"/>
        <scheme val="minor"/>
      </rPr>
      <t>Fill out this top section before entering data on any of the Input Parameters or Output Statistics worksheets</t>
    </r>
  </si>
  <si>
    <t>Scenario Name (Optional)</t>
  </si>
  <si>
    <t>Description of Scenario (Optional)</t>
  </si>
  <si>
    <t>Current state supply chain. Every 3 months facilities submit orders and receive resupply shipments</t>
  </si>
  <si>
    <t>Same as baseline but with overall supply chain demand increased to 1.5x baseline levels</t>
  </si>
  <si>
    <t>Monthly ordering cycles instead of quarterly, with overall supply chain demand increased to 1.5x baseline levels</t>
  </si>
  <si>
    <t>Maintain baseline quarterly ordering; overall SC demand increased to 1.5x baseline levels; storage at all levels also increased by 1.5x</t>
  </si>
  <si>
    <t>H9</t>
  </si>
  <si>
    <t>Y25</t>
  </si>
  <si>
    <t>Value of average system inventory levels</t>
  </si>
  <si>
    <t>Y27</t>
  </si>
  <si>
    <t>Y26</t>
  </si>
  <si>
    <t>Y28</t>
  </si>
  <si>
    <t>Z34</t>
  </si>
  <si>
    <t>Z38</t>
  </si>
  <si>
    <t>Z42</t>
  </si>
  <si>
    <t>Y78</t>
  </si>
  <si>
    <t>Y79</t>
  </si>
  <si>
    <t>Y80</t>
  </si>
  <si>
    <t>a. Vaccines Demand V&amp;V</t>
  </si>
  <si>
    <t>b. RH Demand V&amp;V</t>
  </si>
  <si>
    <t>a. Vaccine Demand Volume &amp; Value</t>
  </si>
  <si>
    <t>b. RH Demand Volume &amp; Value</t>
  </si>
  <si>
    <t>Annual warehouse variable operating costs (e.g. utilities, maintenance) per m^3 total ambient + cold storage capacity ($/m^3)</t>
  </si>
  <si>
    <t>Annual warehouse fixed operating costs (e.g. building/equipment depreciation) per m^3 total ambient + cold storage capacity ($/m^3)</t>
  </si>
  <si>
    <r>
      <t xml:space="preserve">Annual </t>
    </r>
    <r>
      <rPr>
        <b/>
        <sz val="11"/>
        <color theme="1"/>
        <rFont val="Calibri"/>
        <family val="2"/>
        <scheme val="minor"/>
      </rPr>
      <t>COLD</t>
    </r>
    <r>
      <rPr>
        <sz val="11"/>
        <color theme="1"/>
        <rFont val="Calibri"/>
        <family val="2"/>
        <scheme val="minor"/>
      </rPr>
      <t xml:space="preserve"> </t>
    </r>
    <r>
      <rPr>
        <b/>
        <sz val="11"/>
        <color theme="1"/>
        <rFont val="Calibri"/>
        <family val="2"/>
        <scheme val="minor"/>
      </rPr>
      <t>STORAGE</t>
    </r>
    <r>
      <rPr>
        <sz val="11"/>
        <color theme="1"/>
        <rFont val="Calibri"/>
        <family val="2"/>
        <scheme val="minor"/>
      </rPr>
      <t xml:space="preserve"> equipment depreciation cost per m^3 storage cold capacity ($/m^3)</t>
    </r>
  </si>
  <si>
    <t>Percent of product included in distribution modeling (%)</t>
  </si>
  <si>
    <t>Expiry/Wastage Rate from previous tier (%)</t>
  </si>
  <si>
    <t>Average number of resupply shipments per year, for a given product at each tier</t>
  </si>
  <si>
    <t>Utilization of Warehouse Throughput (Labor) Capacity by Tier</t>
  </si>
  <si>
    <t>Tier 1 - Throughput utilization</t>
  </si>
  <si>
    <t>Tier 2 - Throughput utilization</t>
  </si>
  <si>
    <t>Tier 3 - Throughput utilization</t>
  </si>
  <si>
    <t>Tier 4 - Throughput utilization</t>
  </si>
  <si>
    <t>Tier 5 - Throughput utilization</t>
  </si>
  <si>
    <t>Tier 6 - Throughput utilization</t>
  </si>
  <si>
    <t>H53</t>
  </si>
  <si>
    <t>K53</t>
  </si>
  <si>
    <t>N53</t>
  </si>
  <si>
    <t>Q53</t>
  </si>
  <si>
    <t>T53</t>
  </si>
  <si>
    <t>W53</t>
  </si>
  <si>
    <t>If indirect system management and support costs are included in the analysis, select a method for estimating their value:  1) an annual cost per-facility, or 2) an annual percentage of overall commodity value</t>
  </si>
  <si>
    <t>If "Cost per facility" is selected, enter an estimated annual cost ($) of management &amp; support activities for an average facility at each SC tier</t>
  </si>
  <si>
    <t>If "Cost as % commodity value" is selected, enter a percentage (%) of total commodity value for each SC tier that reflects overall annual management &amp; support costs at that tier</t>
  </si>
  <si>
    <t>Cost per facility</t>
  </si>
  <si>
    <t>Annual cost of mgmt/supervision per facility at each tier</t>
  </si>
  <si>
    <t>Should mgmt/supervision be calculated per facility or based on commodity value?</t>
  </si>
  <si>
    <t>Blank Data Template</t>
  </si>
  <si>
    <t>A blank version of the above data templates, allowing the user to create a new data template for use in an analysis.  The primary value of creating a new data template is to speed up the data input process and make it simpler to adjust Input parameters when defining a new scenario</t>
  </si>
  <si>
    <t xml:space="preserve">NOTE: To preserve the blank template for future use, we suggest 1) creating a copy of this blank template, 2) renaming that copy, 3) then entering data into that copy </t>
  </si>
  <si>
    <t xml:space="preserve">Do you want to use supporting worksheets to help estimate demand volumes and/or values? </t>
  </si>
  <si>
    <t>If your own data is not available, which Data Template would you like to use for Sections 5 &amp; 6 (Tier-by-tier network &amp; storage information, tier-by-tier transportation information)?</t>
  </si>
  <si>
    <t>Which tier from the above Data Template would you like to use for each tier in this model?</t>
  </si>
  <si>
    <r>
      <rPr>
        <b/>
        <sz val="11"/>
        <rFont val="Calibri"/>
        <family val="2"/>
        <scheme val="minor"/>
      </rPr>
      <t>8.</t>
    </r>
    <r>
      <rPr>
        <sz val="11"/>
        <rFont val="Calibri"/>
        <family val="2"/>
        <scheme val="minor"/>
      </rPr>
      <t xml:space="preserve"> How many additional people typically travel with the driver or primary traveler?</t>
    </r>
  </si>
  <si>
    <r>
      <rPr>
        <b/>
        <sz val="11"/>
        <rFont val="Calibri"/>
        <family val="2"/>
        <scheme val="minor"/>
      </rPr>
      <t xml:space="preserve">8a.  </t>
    </r>
    <r>
      <rPr>
        <sz val="11"/>
        <rFont val="Calibri"/>
        <family val="2"/>
        <scheme val="minor"/>
      </rPr>
      <t>What is a typical (most common) profession of the additional traveler?</t>
    </r>
  </si>
  <si>
    <r>
      <rPr>
        <b/>
        <sz val="11"/>
        <rFont val="Calibri"/>
        <family val="2"/>
        <scheme val="minor"/>
      </rPr>
      <t>5a.</t>
    </r>
    <r>
      <rPr>
        <sz val="11"/>
        <rFont val="Calibri"/>
        <family val="2"/>
        <scheme val="minor"/>
      </rPr>
      <t xml:space="preserve"> </t>
    </r>
    <r>
      <rPr>
        <b/>
        <sz val="11"/>
        <rFont val="Calibri"/>
        <family val="2"/>
        <scheme val="minor"/>
      </rPr>
      <t>Shared ownership:</t>
    </r>
    <r>
      <rPr>
        <sz val="11"/>
        <rFont val="Calibri"/>
        <family val="2"/>
        <scheme val="minor"/>
      </rPr>
      <t xml:space="preserve"> If vehicles are co-owned with other programs, what percentage of </t>
    </r>
    <r>
      <rPr>
        <b/>
        <sz val="11"/>
        <rFont val="Calibri"/>
        <family val="2"/>
        <scheme val="minor"/>
      </rPr>
      <t>FIXED</t>
    </r>
    <r>
      <rPr>
        <sz val="11"/>
        <rFont val="Calibri"/>
        <family val="2"/>
        <scheme val="minor"/>
      </rPr>
      <t xml:space="preserve"> vehicle costs (vehicle depreciation, insurance) are allocated to those other non-supply-chain programs?</t>
    </r>
  </si>
  <si>
    <r>
      <rPr>
        <b/>
        <sz val="11"/>
        <rFont val="Calibri"/>
        <family val="2"/>
        <scheme val="minor"/>
      </rPr>
      <t>5b.</t>
    </r>
    <r>
      <rPr>
        <sz val="11"/>
        <rFont val="Calibri"/>
        <family val="2"/>
        <scheme val="minor"/>
      </rPr>
      <t xml:space="preserve"> </t>
    </r>
    <r>
      <rPr>
        <b/>
        <sz val="11"/>
        <rFont val="Calibri"/>
        <family val="2"/>
        <scheme val="minor"/>
      </rPr>
      <t>Shared operation</t>
    </r>
    <r>
      <rPr>
        <sz val="11"/>
        <rFont val="Calibri"/>
        <family val="2"/>
        <scheme val="minor"/>
      </rPr>
      <t xml:space="preserve">: If trips typically involve supply chain AND other program personnel/activities, what percentage of </t>
    </r>
    <r>
      <rPr>
        <b/>
        <sz val="11"/>
        <rFont val="Calibri"/>
        <family val="2"/>
        <scheme val="minor"/>
      </rPr>
      <t>VARIABLE</t>
    </r>
    <r>
      <rPr>
        <sz val="11"/>
        <rFont val="Calibri"/>
        <family val="2"/>
        <scheme val="minor"/>
      </rPr>
      <t xml:space="preserve"> travel costs (Fuel, Maintenance, Labor, Per diems) should be allocated to those other programs? </t>
    </r>
  </si>
  <si>
    <r>
      <rPr>
        <b/>
        <sz val="11"/>
        <rFont val="Calibri"/>
        <family val="2"/>
        <scheme val="minor"/>
      </rPr>
      <t xml:space="preserve">9. </t>
    </r>
    <r>
      <rPr>
        <sz val="11"/>
        <rFont val="Calibri"/>
        <family val="2"/>
        <scheme val="minor"/>
      </rPr>
      <t xml:space="preserve">Dwell time 1: Minimum # minutes needed per facility visit (e.g. for introductions, which don't depend on amount of product or  # commodities) </t>
    </r>
  </si>
  <si>
    <r>
      <rPr>
        <b/>
        <sz val="11"/>
        <rFont val="Calibri"/>
        <family val="2"/>
        <scheme val="minor"/>
      </rPr>
      <t>10.</t>
    </r>
    <r>
      <rPr>
        <sz val="11"/>
        <rFont val="Calibri"/>
        <family val="2"/>
        <scheme val="minor"/>
      </rPr>
      <t xml:space="preserve"> Dwell Time 2 (Optional): # Minutes needed to process a single commodity (e.g. time to complete paperwork, reconcile stock cards, complete order forms). This value is important if you plan to vary the number of commodities managed </t>
    </r>
  </si>
  <si>
    <r>
      <rPr>
        <b/>
        <sz val="11"/>
        <rFont val="Calibri"/>
        <family val="2"/>
        <scheme val="minor"/>
      </rPr>
      <t>11</t>
    </r>
    <r>
      <rPr>
        <sz val="11"/>
        <rFont val="Calibri"/>
        <family val="2"/>
        <scheme val="minor"/>
      </rPr>
      <t>. Dwell Time 3 (Optional): # Minutes needed to count and stock one m^3 (pallet) worth of product. This value is important if you plan to vary overall demand volume in any analysis scenarios</t>
    </r>
  </si>
  <si>
    <t>Example Product 1</t>
  </si>
  <si>
    <t>Example Product 2</t>
  </si>
  <si>
    <t>Example Product 3</t>
  </si>
  <si>
    <t>Example Product 4</t>
  </si>
  <si>
    <t>Example Product 5</t>
  </si>
  <si>
    <t>Example Product 6</t>
  </si>
  <si>
    <t>Example Product 7</t>
  </si>
  <si>
    <t>Example Product 8</t>
  </si>
  <si>
    <t>Example Product 9</t>
  </si>
  <si>
    <t>Example Product 10</t>
  </si>
  <si>
    <t>Total ambient volume (m^3) of commodities consumed</t>
  </si>
  <si>
    <t>Enter "Yes" if product must be stored in a cold chain</t>
  </si>
  <si>
    <t>Total Cold Chain Volume (m^3) of commodities consumed</t>
  </si>
  <si>
    <t xml:space="preserve">Average volume of product types from USAID Product Volume Database (m^3) </t>
  </si>
  <si>
    <t>Step 3: Adjust final per-product volume estimates (Optional)</t>
  </si>
  <si>
    <t>Step 1: Enter Product Names, Types, and Consumption (Required)</t>
  </si>
  <si>
    <r>
      <t xml:space="preserve">General Product Types </t>
    </r>
    <r>
      <rPr>
        <i/>
        <sz val="9"/>
        <rFont val="Arial"/>
        <family val="2"/>
      </rPr>
      <t>(consolidated from USAID Product Volume Database</t>
    </r>
    <r>
      <rPr>
        <i/>
        <vertAlign val="superscript"/>
        <sz val="9"/>
        <rFont val="Arial"/>
        <family val="2"/>
      </rPr>
      <t>1</t>
    </r>
    <r>
      <rPr>
        <i/>
        <sz val="9"/>
        <rFont val="Arial"/>
        <family val="2"/>
      </rPr>
      <t>)</t>
    </r>
  </si>
  <si>
    <r>
      <t xml:space="preserve">General Product Type 
</t>
    </r>
    <r>
      <rPr>
        <i/>
        <sz val="9"/>
        <rFont val="Arial"/>
        <family val="2"/>
      </rPr>
      <t>(consolidated from USAID Product Volume Database</t>
    </r>
    <r>
      <rPr>
        <i/>
        <vertAlign val="superscript"/>
        <sz val="9"/>
        <rFont val="Arial"/>
        <family val="2"/>
      </rPr>
      <t>1</t>
    </r>
    <r>
      <rPr>
        <i/>
        <sz val="9"/>
        <rFont val="Arial"/>
        <family val="2"/>
      </rPr>
      <t>)</t>
    </r>
  </si>
  <si>
    <t>Step 2: Adjust Default List of General Product Types (Optional)</t>
  </si>
  <si>
    <t>1. Select RH, Vaccines, or General Commodities at the top of the table on the right</t>
  </si>
  <si>
    <t>c. General Demand Vol.</t>
  </si>
  <si>
    <t>c. General Demand Volume</t>
  </si>
  <si>
    <t>Total Annual Demand Volume (m^3) - Ambient</t>
  </si>
  <si>
    <t>Total Annual Demand Volume (m^3) - Cold</t>
  </si>
  <si>
    <t>Estimates based on procured or delivered volumes?</t>
  </si>
  <si>
    <r>
      <t xml:space="preserve">Summary of data from </t>
    </r>
    <r>
      <rPr>
        <b/>
        <u/>
        <sz val="12"/>
        <color theme="1"/>
        <rFont val="Calibri"/>
        <family val="2"/>
        <scheme val="minor"/>
      </rPr>
      <t>Demand Volume &amp; Value</t>
    </r>
    <r>
      <rPr>
        <b/>
        <sz val="12"/>
        <color theme="1"/>
        <rFont val="Calibri"/>
        <family val="2"/>
        <scheme val="minor"/>
      </rPr>
      <t xml:space="preserve"> supporting worksheets 
</t>
    </r>
    <r>
      <rPr>
        <i/>
        <sz val="12"/>
        <color theme="1"/>
        <rFont val="Calibri"/>
        <family val="2"/>
        <scheme val="minor"/>
      </rPr>
      <t>(Please fill either the Vaccine, RH, or General supporting worksheets separately)</t>
    </r>
  </si>
  <si>
    <t>This table pulls data from the Summary section of one of three worksheets (click to follow link to worksheet):</t>
  </si>
  <si>
    <t>2.Click one of the links below and complete the corresponding "demand volume &amp; value: worksheet:</t>
  </si>
  <si>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Central Africa
</t>
    </r>
    <r>
      <rPr>
        <b/>
        <sz val="11"/>
        <rFont val="Calibri"/>
        <family val="2"/>
        <scheme val="minor"/>
      </rPr>
      <t xml:space="preserve">  Scope</t>
    </r>
    <r>
      <rPr>
        <sz val="11"/>
        <rFont val="Calibri"/>
        <family val="2"/>
        <scheme val="minor"/>
      </rPr>
      <t xml:space="preserve">:                       One region of a country
</t>
    </r>
    <r>
      <rPr>
        <b/>
        <sz val="11"/>
        <rFont val="Calibri"/>
        <family val="2"/>
        <scheme val="minor"/>
      </rPr>
      <t xml:space="preserve">  Population:                </t>
    </r>
    <r>
      <rPr>
        <sz val="11"/>
        <rFont val="Calibri"/>
        <family val="2"/>
        <scheme val="minor"/>
      </rPr>
      <t xml:space="preserve">1,650,000 
  </t>
    </r>
    <r>
      <rPr>
        <b/>
        <sz val="11"/>
        <rFont val="Calibri"/>
        <family val="2"/>
        <scheme val="minor"/>
      </rPr>
      <t>Urban-Rural split</t>
    </r>
    <r>
      <rPr>
        <sz val="11"/>
        <rFont val="Calibri"/>
        <family val="2"/>
        <scheme val="minor"/>
      </rPr>
      <t xml:space="preserve">:     25% of population urban, 75% rural
</t>
    </r>
    <r>
      <rPr>
        <b/>
        <sz val="11"/>
        <rFont val="Calibri"/>
        <family val="2"/>
        <scheme val="minor"/>
      </rPr>
      <t xml:space="preserve">  Geographic area</t>
    </r>
    <r>
      <rPr>
        <sz val="11"/>
        <rFont val="Calibri"/>
        <family val="2"/>
        <scheme val="minor"/>
      </rPr>
      <t xml:space="preserve">:      100,000 km^2
</t>
    </r>
    <r>
      <rPr>
        <b/>
        <sz val="11"/>
        <rFont val="Calibri"/>
        <family val="2"/>
        <scheme val="minor"/>
      </rPr>
      <t xml:space="preserve">  Number of clinics</t>
    </r>
    <r>
      <rPr>
        <sz val="11"/>
        <rFont val="Calibri"/>
        <family val="2"/>
        <scheme val="minor"/>
      </rPr>
      <t>:    184</t>
    </r>
    <r>
      <rPr>
        <b/>
        <sz val="11"/>
        <rFont val="Calibri"/>
        <family val="2"/>
        <scheme val="minor"/>
      </rPr>
      <t xml:space="preserve">
  Number of Tiers:      </t>
    </r>
    <r>
      <rPr>
        <sz val="11"/>
        <rFont val="Calibri"/>
        <family val="2"/>
        <scheme val="minor"/>
      </rPr>
      <t>3</t>
    </r>
    <r>
      <rPr>
        <b/>
        <sz val="11"/>
        <rFont val="Calibri"/>
        <family val="2"/>
        <scheme val="minor"/>
      </rPr>
      <t xml:space="preserve">
  Program Areas:        </t>
    </r>
    <r>
      <rPr>
        <sz val="11"/>
        <rFont val="Calibri"/>
        <family val="2"/>
        <scheme val="minor"/>
      </rPr>
      <t xml:space="preserve">Vaccines
 </t>
    </r>
    <r>
      <rPr>
        <b/>
        <sz val="11"/>
        <rFont val="Calibri"/>
        <family val="2"/>
        <scheme val="minor"/>
      </rPr>
      <t xml:space="preserve"> SC Strategy</t>
    </r>
    <r>
      <rPr>
        <sz val="11"/>
        <rFont val="Calibri"/>
        <family val="2"/>
        <scheme val="minor"/>
      </rPr>
      <t xml:space="preserve">:             Region-District deliveries occur in out-and-back fashion with a mix of 
                                   different vehicle types, many of which are rented at a per-km rate. 
                                   Facilities generally travel to the district to place orders and collect product, 
                                   also using a mix of vehicle types including bicycles and boats. 
</t>
    </r>
    <r>
      <rPr>
        <b/>
        <sz val="11"/>
        <rFont val="Calibri"/>
        <family val="2"/>
        <scheme val="minor"/>
      </rPr>
      <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</si>
  <si>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Central Africa
</t>
    </r>
    <r>
      <rPr>
        <b/>
        <sz val="11"/>
        <rFont val="Calibri"/>
        <family val="2"/>
        <scheme val="minor"/>
      </rPr>
      <t xml:space="preserve">  Scope</t>
    </r>
    <r>
      <rPr>
        <sz val="11"/>
        <rFont val="Calibri"/>
        <family val="2"/>
        <scheme val="minor"/>
      </rPr>
      <t xml:space="preserve">:                       One region of a country
</t>
    </r>
    <r>
      <rPr>
        <b/>
        <sz val="11"/>
        <rFont val="Calibri"/>
        <family val="2"/>
        <scheme val="minor"/>
      </rPr>
      <t xml:space="preserve">  Population:                </t>
    </r>
    <r>
      <rPr>
        <sz val="11"/>
        <rFont val="Calibri"/>
        <family val="2"/>
        <scheme val="minor"/>
      </rPr>
      <t xml:space="preserve">1,650,000 
  </t>
    </r>
    <r>
      <rPr>
        <b/>
        <sz val="11"/>
        <rFont val="Calibri"/>
        <family val="2"/>
        <scheme val="minor"/>
      </rPr>
      <t>Urban-Rural split</t>
    </r>
    <r>
      <rPr>
        <sz val="11"/>
        <rFont val="Calibri"/>
        <family val="2"/>
        <scheme val="minor"/>
      </rPr>
      <t xml:space="preserve">:     25% of population urban, 75% rural
</t>
    </r>
    <r>
      <rPr>
        <b/>
        <sz val="11"/>
        <rFont val="Calibri"/>
        <family val="2"/>
        <scheme val="minor"/>
      </rPr>
      <t xml:space="preserve">  Geographic area</t>
    </r>
    <r>
      <rPr>
        <sz val="11"/>
        <rFont val="Calibri"/>
        <family val="2"/>
        <scheme val="minor"/>
      </rPr>
      <t xml:space="preserve">:      100,000 km^2
</t>
    </r>
    <r>
      <rPr>
        <b/>
        <sz val="11"/>
        <rFont val="Calibri"/>
        <family val="2"/>
        <scheme val="minor"/>
      </rPr>
      <t xml:space="preserve">  Number of clinics</t>
    </r>
    <r>
      <rPr>
        <sz val="11"/>
        <rFont val="Calibri"/>
        <family val="2"/>
        <scheme val="minor"/>
      </rPr>
      <t>:    184</t>
    </r>
    <r>
      <rPr>
        <b/>
        <sz val="11"/>
        <rFont val="Calibri"/>
        <family val="2"/>
        <scheme val="minor"/>
      </rPr>
      <t xml:space="preserve">
  Number of Tiers:      2
  Program Areas:        </t>
    </r>
    <r>
      <rPr>
        <sz val="11"/>
        <rFont val="Calibri"/>
        <family val="2"/>
        <scheme val="minor"/>
      </rPr>
      <t xml:space="preserve">Vaccines
 </t>
    </r>
    <r>
      <rPr>
        <b/>
        <sz val="11"/>
        <rFont val="Calibri"/>
        <family val="2"/>
        <scheme val="minor"/>
      </rPr>
      <t xml:space="preserve"> SC Strategy</t>
    </r>
    <r>
      <rPr>
        <sz val="11"/>
        <rFont val="Calibri"/>
        <family val="2"/>
        <scheme val="minor"/>
      </rPr>
      <t xml:space="preserve">:             Region delivers directly to health facilities, skipping the district office. A 
                                   mix of vehicles and boats are used to travel to several health facilities 
                                   along a single route, gathering order information at each facility and filling 
                                   resupply orders at the same time.
</t>
    </r>
    <r>
      <rPr>
        <b/>
        <sz val="11"/>
        <rFont val="Calibri"/>
        <family val="2"/>
        <scheme val="minor"/>
      </rPr>
      <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</si>
  <si>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East Africa
</t>
    </r>
    <r>
      <rPr>
        <b/>
        <sz val="11"/>
        <rFont val="Calibri"/>
        <family val="2"/>
        <scheme val="minor"/>
      </rPr>
      <t xml:space="preserve">  Scope</t>
    </r>
    <r>
      <rPr>
        <sz val="11"/>
        <rFont val="Calibri"/>
        <family val="2"/>
        <scheme val="minor"/>
      </rPr>
      <t xml:space="preserve">:                       One region of a country + Central Warehouse in capital city
</t>
    </r>
    <r>
      <rPr>
        <b/>
        <sz val="11"/>
        <rFont val="Calibri"/>
        <family val="2"/>
        <scheme val="minor"/>
      </rPr>
      <t xml:space="preserve">  Population:                </t>
    </r>
    <r>
      <rPr>
        <sz val="11"/>
        <rFont val="Calibri"/>
        <family val="2"/>
        <scheme val="minor"/>
      </rPr>
      <t xml:space="preserve">2,750,000 
  </t>
    </r>
    <r>
      <rPr>
        <b/>
        <sz val="11"/>
        <rFont val="Calibri"/>
        <family val="2"/>
        <scheme val="minor"/>
      </rPr>
      <t>Urban-Rural split</t>
    </r>
    <r>
      <rPr>
        <sz val="11"/>
        <rFont val="Calibri"/>
        <family val="2"/>
        <scheme val="minor"/>
      </rPr>
      <t xml:space="preserve">:     33% of population urban, 67% rural
</t>
    </r>
    <r>
      <rPr>
        <b/>
        <sz val="11"/>
        <rFont val="Calibri"/>
        <family val="2"/>
        <scheme val="minor"/>
      </rPr>
      <t xml:space="preserve">  Geographic area</t>
    </r>
    <r>
      <rPr>
        <sz val="11"/>
        <rFont val="Calibri"/>
        <family val="2"/>
        <scheme val="minor"/>
      </rPr>
      <t xml:space="preserve">:      100,000 km^2
</t>
    </r>
    <r>
      <rPr>
        <b/>
        <sz val="11"/>
        <rFont val="Calibri"/>
        <family val="2"/>
        <scheme val="minor"/>
      </rPr>
      <t xml:space="preserve">  Number of clinics</t>
    </r>
    <r>
      <rPr>
        <sz val="11"/>
        <rFont val="Calibri"/>
        <family val="2"/>
        <scheme val="minor"/>
      </rPr>
      <t>:    115</t>
    </r>
    <r>
      <rPr>
        <b/>
        <sz val="11"/>
        <rFont val="Calibri"/>
        <family val="2"/>
        <scheme val="minor"/>
      </rPr>
      <t xml:space="preserve">
  Number of Tiers:      </t>
    </r>
    <r>
      <rPr>
        <sz val="11"/>
        <rFont val="Calibri"/>
        <family val="2"/>
        <scheme val="minor"/>
      </rPr>
      <t>3 within the region + 1 at national level</t>
    </r>
    <r>
      <rPr>
        <b/>
        <sz val="11"/>
        <rFont val="Calibri"/>
        <family val="2"/>
        <scheme val="minor"/>
      </rPr>
      <t xml:space="preserve"> 
  Program Areas:        </t>
    </r>
    <r>
      <rPr>
        <sz val="11"/>
        <rFont val="Calibri"/>
        <family val="2"/>
        <scheme val="minor"/>
      </rPr>
      <t xml:space="preserve">Vaccines
 </t>
    </r>
    <r>
      <rPr>
        <b/>
        <sz val="11"/>
        <rFont val="Calibri"/>
        <family val="2"/>
        <scheme val="minor"/>
      </rPr>
      <t xml:space="preserve"> SC Strategy</t>
    </r>
    <r>
      <rPr>
        <sz val="11"/>
        <rFont val="Calibri"/>
        <family val="2"/>
        <scheme val="minor"/>
      </rPr>
      <t xml:space="preserve">:             National--&gt;Regional deliveries are made by airplane roughly once per month. 
                                   50% of districts travel up to the region to collect their product; the region delivers 
                                   to the other half in an out-and-back fashion. Facilities all travel to collect product
                                   from teh district, using a variety of transport methods including cars, motorcycles,
                                   and public transport.
</t>
    </r>
    <r>
      <rPr>
        <b/>
        <sz val="11"/>
        <rFont val="Calibri"/>
        <family val="2"/>
        <scheme val="minor"/>
      </rPr>
      <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</si>
  <si>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East Africa
</t>
    </r>
    <r>
      <rPr>
        <b/>
        <sz val="11"/>
        <rFont val="Calibri"/>
        <family val="2"/>
        <scheme val="minor"/>
      </rPr>
      <t xml:space="preserve">  Scope</t>
    </r>
    <r>
      <rPr>
        <sz val="11"/>
        <rFont val="Calibri"/>
        <family val="2"/>
        <scheme val="minor"/>
      </rPr>
      <t xml:space="preserve">:                       One region of a country + Central Warehouse in capital city
</t>
    </r>
    <r>
      <rPr>
        <b/>
        <sz val="11"/>
        <rFont val="Calibri"/>
        <family val="2"/>
        <scheme val="minor"/>
      </rPr>
      <t xml:space="preserve">  Population:                </t>
    </r>
    <r>
      <rPr>
        <sz val="11"/>
        <rFont val="Calibri"/>
        <family val="2"/>
        <scheme val="minor"/>
      </rPr>
      <t xml:space="preserve">2,750,000 
  </t>
    </r>
    <r>
      <rPr>
        <b/>
        <sz val="11"/>
        <rFont val="Calibri"/>
        <family val="2"/>
        <scheme val="minor"/>
      </rPr>
      <t>Urban-Rural split</t>
    </r>
    <r>
      <rPr>
        <sz val="11"/>
        <rFont val="Calibri"/>
        <family val="2"/>
        <scheme val="minor"/>
      </rPr>
      <t xml:space="preserve">:     33% of population urban, 67% rural
</t>
    </r>
    <r>
      <rPr>
        <b/>
        <sz val="11"/>
        <rFont val="Calibri"/>
        <family val="2"/>
        <scheme val="minor"/>
      </rPr>
      <t xml:space="preserve">  Geographic area</t>
    </r>
    <r>
      <rPr>
        <sz val="11"/>
        <rFont val="Calibri"/>
        <family val="2"/>
        <scheme val="minor"/>
      </rPr>
      <t xml:space="preserve">:      100,000 km^2
</t>
    </r>
    <r>
      <rPr>
        <b/>
        <sz val="11"/>
        <rFont val="Calibri"/>
        <family val="2"/>
        <scheme val="minor"/>
      </rPr>
      <t xml:space="preserve">  Number of clinics</t>
    </r>
    <r>
      <rPr>
        <sz val="11"/>
        <rFont val="Calibri"/>
        <family val="2"/>
        <scheme val="minor"/>
      </rPr>
      <t>:    115</t>
    </r>
    <r>
      <rPr>
        <b/>
        <sz val="11"/>
        <rFont val="Calibri"/>
        <family val="2"/>
        <scheme val="minor"/>
      </rPr>
      <t xml:space="preserve">
  Number of Tiers:      </t>
    </r>
    <r>
      <rPr>
        <sz val="11"/>
        <rFont val="Calibri"/>
        <family val="2"/>
        <scheme val="minor"/>
      </rPr>
      <t>2 within the region + 1 at national level</t>
    </r>
    <r>
      <rPr>
        <b/>
        <sz val="11"/>
        <rFont val="Calibri"/>
        <family val="2"/>
        <scheme val="minor"/>
      </rPr>
      <t xml:space="preserve"> 
  Program Areas:        </t>
    </r>
    <r>
      <rPr>
        <sz val="11"/>
        <rFont val="Calibri"/>
        <family val="2"/>
        <scheme val="minor"/>
      </rPr>
      <t xml:space="preserve">Vaccines
 </t>
    </r>
    <r>
      <rPr>
        <b/>
        <sz val="11"/>
        <rFont val="Calibri"/>
        <family val="2"/>
        <scheme val="minor"/>
      </rPr>
      <t xml:space="preserve"> SC Strategy</t>
    </r>
    <r>
      <rPr>
        <sz val="11"/>
        <rFont val="Calibri"/>
        <family val="2"/>
        <scheme val="minor"/>
      </rPr>
      <t xml:space="preserve">:             National--&gt;Regional deliveries are made by airplane roughly once per month. 
                                   Regions deliver directly to facilities, skipping the district level. Small trucks (Land 
                                   Cruisers) are used to travel to several health facilities along a single route, 
                                   gathering order information at each facility and filling resupply orders.
</t>
    </r>
    <r>
      <rPr>
        <b/>
        <sz val="11"/>
        <rFont val="Calibri"/>
        <family val="2"/>
        <scheme val="minor"/>
      </rPr>
      <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</si>
  <si>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Southern Africa
</t>
    </r>
    <r>
      <rPr>
        <b/>
        <sz val="11"/>
        <rFont val="Calibri"/>
        <family val="2"/>
        <scheme val="minor"/>
      </rPr>
      <t xml:space="preserve">  Scope</t>
    </r>
    <r>
      <rPr>
        <sz val="11"/>
        <rFont val="Calibri"/>
        <family val="2"/>
        <scheme val="minor"/>
      </rPr>
      <t xml:space="preserve">:                        One region of a country + Central Warehouse in capital city
</t>
    </r>
    <r>
      <rPr>
        <b/>
        <sz val="11"/>
        <rFont val="Calibri"/>
        <family val="2"/>
        <scheme val="minor"/>
      </rPr>
      <t xml:space="preserve">  Population:               </t>
    </r>
    <r>
      <rPr>
        <sz val="11"/>
        <rFont val="Calibri"/>
        <family val="2"/>
        <scheme val="minor"/>
      </rPr>
      <t xml:space="preserve">1,900,000 
  </t>
    </r>
    <r>
      <rPr>
        <b/>
        <sz val="11"/>
        <rFont val="Calibri"/>
        <family val="2"/>
        <scheme val="minor"/>
      </rPr>
      <t>Urban-Rural split</t>
    </r>
    <r>
      <rPr>
        <sz val="11"/>
        <rFont val="Calibri"/>
        <family val="2"/>
        <scheme val="minor"/>
      </rPr>
      <t xml:space="preserve">:     20% of population urban, 80% rural
</t>
    </r>
    <r>
      <rPr>
        <b/>
        <sz val="11"/>
        <rFont val="Calibri"/>
        <family val="2"/>
        <scheme val="minor"/>
      </rPr>
      <t xml:space="preserve">  Geographic area</t>
    </r>
    <r>
      <rPr>
        <sz val="11"/>
        <rFont val="Calibri"/>
        <family val="2"/>
        <scheme val="minor"/>
      </rPr>
      <t xml:space="preserve">:     36,000 km^2
</t>
    </r>
    <r>
      <rPr>
        <b/>
        <sz val="11"/>
        <rFont val="Calibri"/>
        <family val="2"/>
        <scheme val="minor"/>
      </rPr>
      <t xml:space="preserve">  Number of clinics</t>
    </r>
    <r>
      <rPr>
        <sz val="11"/>
        <rFont val="Calibri"/>
        <family val="2"/>
        <scheme val="minor"/>
      </rPr>
      <t>:   345</t>
    </r>
    <r>
      <rPr>
        <b/>
        <sz val="11"/>
        <rFont val="Calibri"/>
        <family val="2"/>
        <scheme val="minor"/>
      </rPr>
      <t xml:space="preserve">
  Number of Tiers:     </t>
    </r>
    <r>
      <rPr>
        <sz val="11"/>
        <rFont val="Calibri"/>
        <family val="2"/>
        <scheme val="minor"/>
      </rPr>
      <t>2 within the region + 1 at national level</t>
    </r>
    <r>
      <rPr>
        <b/>
        <sz val="11"/>
        <rFont val="Calibri"/>
        <family val="2"/>
        <scheme val="minor"/>
      </rPr>
      <t xml:space="preserve"> 
  Program Areas:       </t>
    </r>
    <r>
      <rPr>
        <sz val="11"/>
        <rFont val="Calibri"/>
        <family val="2"/>
        <scheme val="minor"/>
      </rPr>
      <t xml:space="preserve">Essential Medicines, RMNCH, HIV, Malaria
 </t>
    </r>
    <r>
      <rPr>
        <b/>
        <sz val="11"/>
        <rFont val="Calibri"/>
        <family val="2"/>
        <scheme val="minor"/>
      </rPr>
      <t xml:space="preserve"> SC Strategy</t>
    </r>
    <r>
      <rPr>
        <sz val="11"/>
        <rFont val="Calibri"/>
        <family val="2"/>
        <scheme val="minor"/>
      </rPr>
      <t xml:space="preserve">:              Each period a Regional logistics team travels to each health facility along pre-set 
                                     routes to count inventory, calculate order quantities, and perform supervisory 
                                     duties. These orders are processed and packed at the regional warehouse, 
                                     individually for each facility.  The logistics team then embarks on a second round of              
                                     facility visits to deliver resupply packages directly to facilities.
</t>
    </r>
    <r>
      <rPr>
        <b/>
        <sz val="11"/>
        <rFont val="Calibri"/>
        <family val="2"/>
        <scheme val="minor"/>
      </rPr>
      <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</si>
  <si>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South America
</t>
    </r>
    <r>
      <rPr>
        <b/>
        <sz val="11"/>
        <rFont val="Calibri"/>
        <family val="2"/>
        <scheme val="minor"/>
      </rPr>
      <t xml:space="preserve">  Scope</t>
    </r>
    <r>
      <rPr>
        <sz val="11"/>
        <rFont val="Calibri"/>
        <family val="2"/>
        <scheme val="minor"/>
      </rPr>
      <t xml:space="preserve">:                       One region in a country
</t>
    </r>
    <r>
      <rPr>
        <b/>
        <sz val="11"/>
        <rFont val="Calibri"/>
        <family val="2"/>
        <scheme val="minor"/>
      </rPr>
      <t xml:space="preserve">  Population:               </t>
    </r>
    <r>
      <rPr>
        <sz val="11"/>
        <rFont val="Calibri"/>
        <family val="2"/>
        <scheme val="minor"/>
      </rPr>
      <t xml:space="preserve">560,000 
  </t>
    </r>
    <r>
      <rPr>
        <b/>
        <sz val="11"/>
        <rFont val="Calibri"/>
        <family val="2"/>
        <scheme val="minor"/>
      </rPr>
      <t>Urban-Rural split</t>
    </r>
    <r>
      <rPr>
        <sz val="11"/>
        <rFont val="Calibri"/>
        <family val="2"/>
        <scheme val="minor"/>
      </rPr>
      <t xml:space="preserve">:     40% of population urban, 60% rural
</t>
    </r>
    <r>
      <rPr>
        <b/>
        <sz val="11"/>
        <rFont val="Calibri"/>
        <family val="2"/>
        <scheme val="minor"/>
      </rPr>
      <t xml:space="preserve">  Geographic area</t>
    </r>
    <r>
      <rPr>
        <sz val="11"/>
        <rFont val="Calibri"/>
        <family val="2"/>
        <scheme val="minor"/>
      </rPr>
      <t xml:space="preserve">:      37,623 km^2
</t>
    </r>
    <r>
      <rPr>
        <b/>
        <sz val="11"/>
        <rFont val="Calibri"/>
        <family val="2"/>
        <scheme val="minor"/>
      </rPr>
      <t xml:space="preserve">  Number of clinics</t>
    </r>
    <r>
      <rPr>
        <sz val="11"/>
        <rFont val="Calibri"/>
        <family val="2"/>
        <scheme val="minor"/>
      </rPr>
      <t>:    206</t>
    </r>
    <r>
      <rPr>
        <b/>
        <sz val="11"/>
        <rFont val="Calibri"/>
        <family val="2"/>
        <scheme val="minor"/>
      </rPr>
      <t xml:space="preserve">
  Number of Tiers:      </t>
    </r>
    <r>
      <rPr>
        <sz val="11"/>
        <rFont val="Calibri"/>
        <family val="2"/>
        <scheme val="minor"/>
      </rPr>
      <t>2</t>
    </r>
    <r>
      <rPr>
        <b/>
        <sz val="11"/>
        <rFont val="Calibri"/>
        <family val="2"/>
        <scheme val="minor"/>
      </rPr>
      <t xml:space="preserve">
  Program Areas:        </t>
    </r>
    <r>
      <rPr>
        <sz val="11"/>
        <rFont val="Calibri"/>
        <family val="2"/>
        <scheme val="minor"/>
      </rPr>
      <t xml:space="preserve">Essential Medicines, RMNCH, HIV, Malaria, Vaccines
 </t>
    </r>
    <r>
      <rPr>
        <b/>
        <sz val="11"/>
        <rFont val="Calibri"/>
        <family val="2"/>
        <scheme val="minor"/>
      </rPr>
      <t xml:space="preserve"> SC Strategy</t>
    </r>
    <r>
      <rPr>
        <sz val="11"/>
        <rFont val="Calibri"/>
        <family val="2"/>
        <scheme val="minor"/>
      </rPr>
      <t>:             Health Facilities travel to collect product from a district-level pharmacy
                                   in several ways: 60% using a car or small truck, 20% using a motorcycle, 
                                   and 20% using public transportation</t>
    </r>
  </si>
  <si>
    <t>Total Volume (m^3) Delivered to last tier (Ambient + Cold Chain Commodities):</t>
  </si>
  <si>
    <t xml:space="preserve">Total Cold Chain Volume (m^3) Delivered to last tier </t>
  </si>
  <si>
    <t>11 Municipal Pharmacies, 206 SDPs (6 hospitals, 167 health centers, 33 health posts)</t>
  </si>
  <si>
    <t>CS/PS/Hosp</t>
  </si>
  <si>
    <t>Sample %</t>
  </si>
  <si>
    <t>Farmacias</t>
  </si>
  <si>
    <t>Sample</t>
  </si>
  <si>
    <t>Surveys allocated 20% of vehicle costs to supply chain-related transportation</t>
  </si>
  <si>
    <t>Rapid Supply Chain Modeling Tool</t>
  </si>
  <si>
    <t>In partnership with:</t>
  </si>
  <si>
    <t>With generous support from:</t>
  </si>
  <si>
    <r>
      <rPr>
        <b/>
        <sz val="11"/>
        <color theme="1"/>
        <rFont val="Calibri"/>
        <family val="2"/>
        <scheme val="minor"/>
      </rPr>
      <t xml:space="preserve">This sheet is intended for reference only and does not accept any user inputs.  </t>
    </r>
    <r>
      <rPr>
        <sz val="11"/>
        <color theme="1"/>
        <rFont val="Calibri"/>
        <family val="2"/>
        <scheme val="minor"/>
      </rPr>
      <t xml:space="preserve">This worksheet provides in-depth explanations and examples for each of the questions and parameters listed on the "Input Parameters" worksheet, mirroring that worksheet's layout and question order. </t>
    </r>
    <r>
      <rPr>
        <b/>
        <sz val="11"/>
        <color theme="1"/>
        <rFont val="Calibri"/>
        <family val="2"/>
        <scheme val="minor"/>
      </rPr>
      <t xml:space="preserve"> </t>
    </r>
  </si>
  <si>
    <r>
      <rPr>
        <b/>
        <sz val="11"/>
        <color theme="1"/>
        <rFont val="Calibri"/>
        <family val="2"/>
        <scheme val="minor"/>
      </rPr>
      <t xml:space="preserve">This sheet is intended for reference only and does not accept any user inputs. </t>
    </r>
    <r>
      <rPr>
        <sz val="11"/>
        <color theme="1"/>
        <rFont val="Calibri"/>
        <family val="2"/>
        <scheme val="minor"/>
      </rPr>
      <t xml:space="preserve">This worksheet provides in-depth explanations and interpretation notes for each of the cost line items and metrics listed on the "Output Statistics" worksheet, mirroring that worksheet's layout and question order.  </t>
    </r>
  </si>
  <si>
    <r>
      <t xml:space="preserve">Contains all of the needed inputs to model a SINGLE supply chain design scenario, including general country &amp; network information, unit costs for labor, fuel, equipment, and other inputs, and transportation/warehousing policies. Allows the user to draw from pre-defined data templates for any input values that lack sufficient data 
</t>
    </r>
    <r>
      <rPr>
        <b/>
        <i/>
        <sz val="11"/>
        <color theme="1"/>
        <rFont val="Calibri"/>
        <family val="2"/>
        <scheme val="minor"/>
      </rPr>
      <t>NOTE: User can copy and rename this worksheet multiple times to create inputs for multiple SC design scenarios</t>
    </r>
  </si>
  <si>
    <r>
      <t xml:space="preserve">Displays a variety of cost and operational statistics for a SINGLE supply chain design scenario that has been defined in an Input Parameters worksheet. Statistics include a breakdown of annual operating costs by tier and functional area, as well as estimates of kilometers and days traveled, vehicle time and capacity utilization, and storage utilization
</t>
    </r>
    <r>
      <rPr>
        <b/>
        <i/>
        <sz val="11"/>
        <color theme="1"/>
        <rFont val="Calibri"/>
        <family val="2"/>
        <scheme val="minor"/>
      </rPr>
      <t>NOTE: User can copy and rename this worksheet multiple times to display outputs for multiple SC design scenarios</t>
    </r>
  </si>
  <si>
    <r>
      <t>For vaccines-specific supply chains. This worksheet estimates the overall volume (m</t>
    </r>
    <r>
      <rPr>
        <vertAlign val="superscript"/>
        <sz val="11"/>
        <color theme="1"/>
        <rFont val="Calibri"/>
        <family val="2"/>
        <scheme val="minor"/>
      </rPr>
      <t>3</t>
    </r>
    <r>
      <rPr>
        <sz val="11"/>
        <color theme="1"/>
        <rFont val="Calibri"/>
        <family val="2"/>
        <scheme val="minor"/>
      </rPr>
      <t>) and value ($ USD) of vaccines and consummables needed for a user-specified target population and set of vaccines. Draws from UNICEF historical price and vial size data</t>
    </r>
  </si>
  <si>
    <r>
      <t>For reproductive health-specific supply chains. This worksheet estimates the overall volume (m</t>
    </r>
    <r>
      <rPr>
        <vertAlign val="superscript"/>
        <sz val="11"/>
        <color theme="1"/>
        <rFont val="Calibri"/>
        <family val="2"/>
        <scheme val="minor"/>
      </rPr>
      <t>3</t>
    </r>
    <r>
      <rPr>
        <sz val="11"/>
        <color theme="1"/>
        <rFont val="Calibri"/>
        <family val="2"/>
        <scheme val="minor"/>
      </rPr>
      <t xml:space="preserve">) and value ($ USD) of contraceptive products needed to support a user-specified target population, based on overall contraceptive prevalence rate and modern method share. Draws from UNFPA historical price and product size data. </t>
    </r>
  </si>
  <si>
    <r>
      <t>For any type of commodity. This worksheet converts product consumption data (e.g. eLMIS) from "Number of Units Consumed" into "Volume (m</t>
    </r>
    <r>
      <rPr>
        <vertAlign val="superscript"/>
        <sz val="11"/>
        <rFont val="Calibri"/>
        <family val="2"/>
        <scheme val="minor"/>
      </rPr>
      <t>3</t>
    </r>
    <r>
      <rPr>
        <sz val="11"/>
        <rFont val="Calibri"/>
        <family val="2"/>
        <scheme val="minor"/>
      </rPr>
      <t>) consumed", using a summary of the USAID Product Volume Database</t>
    </r>
  </si>
  <si>
    <t>Instructions &amp; Workflow</t>
  </si>
  <si>
    <t>Details - Inputs</t>
  </si>
  <si>
    <t>Details - Outputs</t>
  </si>
  <si>
    <r>
      <t xml:space="preserve">Includes explanations, comments, and tips for each section and data value in the Input Parameters worksheet(s)
</t>
    </r>
    <r>
      <rPr>
        <b/>
        <i/>
        <sz val="11"/>
        <color theme="1"/>
        <rFont val="Calibri"/>
        <family val="2"/>
        <scheme val="minor"/>
      </rPr>
      <t>NOTE: "Inputs" is the default name for this worksheet type, but actual worksheet can be replicated and renamed by the user</t>
    </r>
  </si>
  <si>
    <r>
      <t xml:space="preserve">Includes explanations, comments, and tips for each section and data value in the Scenario Manager worksheet
</t>
    </r>
    <r>
      <rPr>
        <b/>
        <i/>
        <sz val="11"/>
        <color theme="1"/>
        <rFont val="Calibri"/>
        <family val="2"/>
        <scheme val="minor"/>
      </rPr>
      <t>NOTE: "Outputs" is the default name for this worksheet type, but actual worksheet can be replicated and renamed by the user</t>
    </r>
  </si>
  <si>
    <r>
      <t xml:space="preserve">The William Davidson Institute's Rapid Supply Chain Modeling Tool is a quantitative model designed to help quickly estimate high-level supply chain operating costs &amp; basic performance statistics without the need for a detailed costing study or data collection. The tool employs three basic mechanisms to rapidly model a given supply chain design: 
     </t>
    </r>
    <r>
      <rPr>
        <b/>
        <sz val="11"/>
        <color theme="1"/>
        <rFont val="Calibri"/>
        <family val="2"/>
        <scheme val="minor"/>
      </rPr>
      <t>1.</t>
    </r>
    <r>
      <rPr>
        <sz val="11"/>
        <color theme="1"/>
        <rFont val="Calibri"/>
        <family val="2"/>
        <scheme val="minor"/>
      </rPr>
      <t xml:space="preserve"> A model design that allows the user to select different standardized supply chain structures and policies, tailoring the chosen 
          structures to match their country’s specific context (e.g. number of facilities, geographic area, overall demand level) 
  </t>
    </r>
    <r>
      <rPr>
        <b/>
        <sz val="11"/>
        <color theme="1"/>
        <rFont val="Calibri"/>
        <family val="2"/>
        <scheme val="minor"/>
      </rPr>
      <t xml:space="preserve">   2.</t>
    </r>
    <r>
      <rPr>
        <sz val="11"/>
        <color theme="1"/>
        <rFont val="Calibri"/>
        <family val="2"/>
        <scheme val="minor"/>
      </rPr>
      <t xml:space="preserve"> Proxy data from prior health supply chain costing studies, which the user can employ selectively to fill any data gaps that may exist 
          for harder-to-measure parameters (e.g. average storeroom capacity, management and supervision costs) 
    </t>
    </r>
    <r>
      <rPr>
        <b/>
        <sz val="11"/>
        <color theme="1"/>
        <rFont val="Calibri"/>
        <family val="2"/>
        <scheme val="minor"/>
      </rPr>
      <t xml:space="preserve"> 3. </t>
    </r>
    <r>
      <rPr>
        <sz val="11"/>
        <color theme="1"/>
        <rFont val="Calibri"/>
        <family val="2"/>
        <scheme val="minor"/>
      </rPr>
      <t>Easily-adjustable supply chain parameters that facilitate the creation of different design scenarios
Through these mechanisms the Rapid Supply Chain Modeling Tool helps decision-makers quickly understand the high-level impact of specific design decisions, such as changing delivery frequency, increasing demand volume, or skipping a supply chain tier, all without requiring a time-intensive costing analysis.</t>
    </r>
  </si>
  <si>
    <r>
      <t>The tool works by asking the user to define the context of their supply chain analysis. The user does this by entering in a variety of data onto the "Input Parameters" worksheet, such as:
     -- General</t>
    </r>
    <r>
      <rPr>
        <b/>
        <sz val="11"/>
        <color theme="1"/>
        <rFont val="Calibri"/>
        <family val="2"/>
        <scheme val="minor"/>
      </rPr>
      <t xml:space="preserve"> Country Context </t>
    </r>
    <r>
      <rPr>
        <sz val="11"/>
        <color theme="1"/>
        <rFont val="Calibri"/>
        <family val="2"/>
        <scheme val="minor"/>
      </rPr>
      <t>information such as geographic area, demand volume or number of facilities
     -- Specific</t>
    </r>
    <r>
      <rPr>
        <b/>
        <sz val="11"/>
        <color theme="1"/>
        <rFont val="Calibri"/>
        <family val="2"/>
        <scheme val="minor"/>
      </rPr>
      <t xml:space="preserve"> Cost Inputs </t>
    </r>
    <r>
      <rPr>
        <sz val="11"/>
        <color theme="1"/>
        <rFont val="Calibri"/>
        <family val="2"/>
        <scheme val="minor"/>
      </rPr>
      <t>including fuel, vehicle or labor unit costs 
     -- Supply Chain</t>
    </r>
    <r>
      <rPr>
        <b/>
        <sz val="11"/>
        <color theme="1"/>
        <rFont val="Calibri"/>
        <family val="2"/>
        <scheme val="minor"/>
      </rPr>
      <t xml:space="preserve"> Policy &amp; Strategy </t>
    </r>
    <r>
      <rPr>
        <sz val="11"/>
        <color theme="1"/>
        <rFont val="Calibri"/>
        <family val="2"/>
        <scheme val="minor"/>
      </rPr>
      <t>inputs like safety stock levels, number of tiers, or delivery travel patterns. 
The model uses these data to generate an estimate of output statistics such as expected operating costs, vehicle utilization, and average inventory levels for a supply chain with those given specifications. 
We do not expect the user to have data on hand for all input parameters; however, it is important to note that they can directly enter any data they do possess. For the input parameters that may be missing, the user can fill those gaps by selecting from a number of prepopulated data “templates”, each of which contain proxy data collected from a different global health supply chain cost evaluation. We will highlight key demographic information about each of the data templates (e.g. country land area, population size, program areas, supply chain design, etc.), so that the user can easily select the dataset that best fits their own context.
In most cases, "proxy data" refers to actual field data collected by various governments, donors, and partner organizations. These data are intended for use in existing global health supply chain costing evaluations. Furthermore, these studies are generally conducted using a facility-level activity-based costing approach—which is often considered to be the gold standard for measuring point-in-time supply chain costs.</t>
    </r>
  </si>
  <si>
    <r>
      <t xml:space="preserve">The above supply chain design process covers three broad phases:
       1. </t>
    </r>
    <r>
      <rPr>
        <b/>
        <sz val="11"/>
        <color theme="1"/>
        <rFont val="Calibri"/>
        <family val="2"/>
        <scheme val="minor"/>
      </rPr>
      <t>Complete an assessment and determine the need for design.</t>
    </r>
    <r>
      <rPr>
        <sz val="11"/>
        <color theme="1"/>
        <rFont val="Calibri"/>
        <family val="2"/>
        <scheme val="minor"/>
      </rPr>
      <t xml:space="preserve"> The assessment phase serves multiple purposes. It allows for an understanding of the 
            current supply chain’s strengths and weaknesses, as well as an understanding of the context in which the supply chain will operate. These issues 
            include Ministry of Health strategy and broader government policies/regulations, number/type of clinics and products covered, and availability of key 
            human, financial, and technological resources.  
       2. </t>
    </r>
    <r>
      <rPr>
        <b/>
        <sz val="11"/>
        <color theme="1"/>
        <rFont val="Calibri"/>
        <family val="2"/>
        <scheme val="minor"/>
      </rPr>
      <t>Plan and conduct the system design activity.</t>
    </r>
    <r>
      <rPr>
        <sz val="11"/>
        <color theme="1"/>
        <rFont val="Calibri"/>
        <family val="2"/>
        <scheme val="minor"/>
      </rPr>
      <t xml:space="preserve"> The traditional recommendation for this step is that it be conducted “in an organized and participatory 
            manner, preferably during a workshop.” This approach traditionally emphasizes the participation of a variety of stakeholders in the workshop setting,        
            including those who will be implementing the system and those providing resources for the system. Some more recent system design process 
            approaches, such as UNICEF’s “Stages of System Design” for immunization supply chains , divide this phase into three sub-activities to 1) introduce key 
            design and analysis concepts, 2) collect/validate needed data and conduct analysis/modeling activities, and 3) identify specific design changes based 
            on assessment and modeling results.
        3. </t>
    </r>
    <r>
      <rPr>
        <b/>
        <sz val="11"/>
        <color theme="1"/>
        <rFont val="Calibri"/>
        <family val="2"/>
        <scheme val="minor"/>
      </rPr>
      <t>Implement the newly-designed system</t>
    </r>
    <r>
      <rPr>
        <sz val="11"/>
        <color theme="1"/>
        <rFont val="Calibri"/>
        <family val="2"/>
        <scheme val="minor"/>
      </rPr>
      <t xml:space="preserve">. The final step brings the designed system into a full realized and executed activity. The implementation plan 
            that guides this step of the system will include milestones, roles and responsibilities and address such activities as trainings, whether a design will be 
            piloted before full scale implementation, resources needed and a monitoring and evaluation plan. 
</t>
    </r>
    <r>
      <rPr>
        <b/>
        <i/>
        <sz val="11"/>
        <color theme="1"/>
        <rFont val="Calibri"/>
        <family val="2"/>
        <scheme val="minor"/>
      </rPr>
      <t>This tool is designed to integrate into the second phase described above</t>
    </r>
    <r>
      <rPr>
        <sz val="11"/>
        <color theme="1"/>
        <rFont val="Calibri"/>
        <family val="2"/>
        <scheme val="minor"/>
      </rPr>
      <t>: planning and conducting a system design activity. It is designed to allow decisionmakers to quickly get a sense of the most important design issues (e.g. key problem areas, important data gaps, likely-successful design options) without requiring intensive data collection or specialized software. As such it may be especially useful in the initial stages of this second phase, when stakeholders are still exploring and evaluating a wide range of design options, and still assessing where best to allocate system design-related resources.  In this way the tool can support both a more comprehensive and more efficient supply chain design process.</t>
    </r>
  </si>
  <si>
    <r>
      <t xml:space="preserve">The design/methodology behind the Rapid Supply Chain Modeling Tool contains two main limitations that the user should be aware of as they are conducting supply chain design analyses:
</t>
    </r>
    <r>
      <rPr>
        <b/>
        <sz val="11"/>
        <rFont val="Calibri"/>
        <family val="2"/>
        <scheme val="minor"/>
      </rPr>
      <t>1. Speed - Precision Tradeoff</t>
    </r>
    <r>
      <rPr>
        <sz val="11"/>
        <rFont val="Calibri"/>
        <family val="2"/>
        <scheme val="minor"/>
      </rPr>
      <t xml:space="preserve">: The tool uses a relatively generalized model of a supply chain structure in order to estimate costs and performance statistics. It is also designed to allow the user to easily fill in supply chain data gaps with proxy or analogue data from other countries.  Both of these decisions are intentional - they make the tool faster to use than other supply chain design tools, and make it flexible enough to represent a wide range of supply chain designs. However, these advantages come with a tradeoff - the tool is not designed to model a supply chain with as much detail and precision as other, more sophisticated supply chain design software.  And extrapolating data to a new context carries an inherent risk of inaccuracy. Thus the user must manage a tradeoff between speed/flexibility and the accuracy/detail.  There are several ways we can minimize the impact of this tradeoff:
First, we can focus analyses on settings and situations in which speed and flexibility are critical, i.e. when the objective is to quickly get a sense of the most important issues affecting a decision, rather than to obtain a definitive answer to a very specific problem. Such situations might include:
     -- Evaluating a wide range of initial supply chain design options in order to ultimately pare down and focus on a few high-potential designs for more 
         intensive data analysis.
     -- Assessing a range of data or knowledge gaps to determine which ones are most likely key drivers of supply chain cost, and, therefore, most valuable to 
         spend time and resources addressing.
     -- Instances in which detailed, country-specific field data are either unavailable, prohibitively expensive and/or unjustifiably difficult to collect, and in 
        which a more generalized estimation of costs is the best option available for initial design, education, and/or advocacy purposes.
Second, we can focus on relative rather than absolute analyses. For example, claiming that “Supply Chain X would cost $2.341 million per year to operate” leaves us highly exposed to data inaccuracies, whereas a more relative analysis (e.g. “Number of supply chain tiers was the most significant cost driver in 75% of the evaluated scenarios” or “Integrated SCs are, on average, 10% more cost efficient than parallel SCs in the evaluated scenarios”) tend to be more resilient to data accuracy concerns, since data imperfections are consistent across both parts of the comparison.
Third, the tool enables users to evaluate the context behind specific proxy data values and select/tailor them accordingly. For example, a user may not directly know their own supply chain management/supervision costs but may know the types of management/supervision activities they conduct. For each proxy dataset in our tool, we try to capture both the specific management/supervision cost value as well as the activities driving that value. Thus, the user can a) select the proxy value that most closely matches their own set of activities, and b) further adjust that value up or down by a certain percentage—if they feel that doing so is warranted. In this way, we can maximize the degree of fit between proxy data and the user’s country context.
Finally, in the long term our goal is to incorporate additional proxy data from costing evaluations. The more numerous and diverse our model’s data templates, the better we can understand the cross-country variation in specific input parameters, and, furthermore, the more likely that our users will be able to identify a data template that closely resembles their own context, thereby minimizing the degree of extrapolation.
</t>
    </r>
    <r>
      <rPr>
        <b/>
        <sz val="11"/>
        <rFont val="Calibri"/>
        <family val="2"/>
        <scheme val="minor"/>
      </rPr>
      <t/>
    </r>
  </si>
  <si>
    <t>Quickly create customized supply chain design scenarios, and compare their expected cost and efficiency</t>
  </si>
  <si>
    <t>Introduction</t>
  </si>
  <si>
    <t>Currency Conversion Factor for Data Template values (amount of local currency per $1 USD) if final model output is not in US Dollars</t>
  </si>
  <si>
    <r>
      <t xml:space="preserve">Value used in model </t>
    </r>
    <r>
      <rPr>
        <i/>
        <sz val="11"/>
        <color theme="1"/>
        <rFont val="Calibri"/>
        <family val="2"/>
        <scheme val="minor"/>
      </rPr>
      <t>(</t>
    </r>
    <r>
      <rPr>
        <i/>
        <sz val="11"/>
        <rFont val="Calibri"/>
        <family val="2"/>
        <scheme val="minor"/>
      </rPr>
      <t>defaults based on UNFPA 2017 Procurement portfolio</t>
    </r>
    <r>
      <rPr>
        <i/>
        <sz val="11"/>
        <color theme="1"/>
        <rFont val="Calibri"/>
        <family val="2"/>
        <scheme val="minor"/>
      </rPr>
      <t>)</t>
    </r>
  </si>
  <si>
    <t>*Source: Hand measurement of UNFPA-procured product during facility visits in Maritime Region, Togo, 26 Aug - 3 Sept 2015</t>
  </si>
  <si>
    <t>SouthernAfricaProvince1</t>
  </si>
  <si>
    <t>Enter names of any data templates you plan to use (extra templates listed here will not affect analysis)</t>
  </si>
  <si>
    <t>0. Defining scenarios to Analyze</t>
  </si>
  <si>
    <r>
      <t xml:space="preserve">This tool allows users to quickly create and compare different supply chain designs or scenarios.  While scenarios can be added or editing at any time during an analysis, it is easiest to do at the beginning.  The choice of scenarios are determined by the user, but the most common scenarios fall into one of three categories:
</t>
    </r>
    <r>
      <rPr>
        <b/>
        <sz val="11"/>
        <rFont val="Calibri"/>
        <family val="2"/>
        <scheme val="minor"/>
      </rPr>
      <t>1. Baseline</t>
    </r>
    <r>
      <rPr>
        <sz val="11"/>
        <rFont val="Calibri"/>
        <family val="2"/>
        <scheme val="minor"/>
      </rPr>
      <t xml:space="preserve">: A representation of the current state supply chain. In almost all cases, this is the first scenario that needs to be filled.
</t>
    </r>
    <r>
      <rPr>
        <b/>
        <sz val="11"/>
        <rFont val="Calibri"/>
        <family val="2"/>
        <scheme val="minor"/>
      </rPr>
      <t>2. Changes to supply chain design or strategy</t>
    </r>
    <r>
      <rPr>
        <sz val="11"/>
        <rFont val="Calibri"/>
        <family val="2"/>
        <scheme val="minor"/>
      </rPr>
      <t xml:space="preserve">:  Changing some aspect the supply chain, such as:
          -- </t>
    </r>
    <r>
      <rPr>
        <b/>
        <sz val="11"/>
        <rFont val="Calibri"/>
        <family val="2"/>
        <scheme val="minor"/>
      </rPr>
      <t>Level skipping:</t>
    </r>
    <r>
      <rPr>
        <sz val="11"/>
        <rFont val="Calibri"/>
        <family val="2"/>
        <scheme val="minor"/>
      </rPr>
      <t xml:space="preserve">  Eliminating one tier or level from the supply chain product flow, usually a regional or district warehouse.
          --</t>
    </r>
    <r>
      <rPr>
        <b/>
        <sz val="11"/>
        <rFont val="Calibri"/>
        <family val="2"/>
        <scheme val="minor"/>
      </rPr>
      <t xml:space="preserve"> Frequency of delivery</t>
    </r>
    <r>
      <rPr>
        <sz val="11"/>
        <rFont val="Calibri"/>
        <family val="2"/>
        <scheme val="minor"/>
      </rPr>
      <t>: Changing shipment frequency at any level, e.g. shifting from a quarterly ordering-delivery cycle to a monthly cycle. 
          --</t>
    </r>
    <r>
      <rPr>
        <b/>
        <sz val="11"/>
        <rFont val="Calibri"/>
        <family val="2"/>
        <scheme val="minor"/>
      </rPr>
      <t xml:space="preserve"> Integration/decentralization:</t>
    </r>
    <r>
      <rPr>
        <sz val="11"/>
        <rFont val="Calibri"/>
        <family val="2"/>
        <scheme val="minor"/>
      </rPr>
      <t xml:space="preserve">  Changing overall demand, numbers of commodities, and/or number and type of tiers 
          -- </t>
    </r>
    <r>
      <rPr>
        <b/>
        <sz val="11"/>
        <rFont val="Calibri"/>
        <family val="2"/>
        <scheme val="minor"/>
      </rPr>
      <t>Last mile delivery strategy</t>
    </r>
    <r>
      <rPr>
        <sz val="11"/>
        <rFont val="Calibri"/>
        <family val="2"/>
        <scheme val="minor"/>
      </rPr>
      <t xml:space="preserve">: Changing the way commodities are transported to last mile facilities, e.g. health facilities traveling to collect their own resupply vs. upstream suppliers 
              delivering to the health facilities (e.g. a Direct Delivery , vendor-managed, or "Informed Push" -style approach). This typically involves changes to travel patterns, types of vehicles 
              used, and types of staff involved in ordering/delivery.
</t>
    </r>
    <r>
      <rPr>
        <b/>
        <sz val="11"/>
        <rFont val="Calibri"/>
        <family val="2"/>
        <scheme val="minor"/>
      </rPr>
      <t>3. "What-if" scenarios, or changes to country context</t>
    </r>
    <r>
      <rPr>
        <sz val="11"/>
        <rFont val="Calibri"/>
        <family val="2"/>
        <scheme val="minor"/>
      </rPr>
      <t>: Changing some aspect of the environment in which the supply chain operates, such as: 
          -- Changes to demand for products, e.g. due to population growth, changes in disease incidence, etc
          -- Changes to cost inputs, e.g. price of fuel, price of labor, price of buildings/equipment/vehicles
          -- Changes to infrastructure, affecting distance and travel speed between tiers and between facilities</t>
    </r>
  </si>
  <si>
    <t>1a. Creating Inputs and Outputs sheets for each scenario</t>
  </si>
  <si>
    <r>
      <t xml:space="preserve">Each scenario defined in the above step will require its own individual Input and Output worksheets. To create these you simply need to COPY and RENAME the Input and Output worksheets already in this file.
</t>
    </r>
    <r>
      <rPr>
        <b/>
        <sz val="11"/>
        <rFont val="Calibri"/>
        <family val="2"/>
        <scheme val="minor"/>
      </rPr>
      <t>1. COPY:</t>
    </r>
    <r>
      <rPr>
        <sz val="11"/>
        <rFont val="Calibri"/>
        <family val="2"/>
        <scheme val="minor"/>
      </rPr>
      <t xml:space="preserve">  </t>
    </r>
    <r>
      <rPr>
        <b/>
        <sz val="11"/>
        <rFont val="Calibri"/>
        <family val="2"/>
        <scheme val="minor"/>
      </rPr>
      <t>(i)</t>
    </r>
    <r>
      <rPr>
        <sz val="11"/>
        <rFont val="Calibri"/>
        <family val="2"/>
        <scheme val="minor"/>
      </rPr>
      <t xml:space="preserve"> Right-click an Input or Output worksheet. Select "Move or Copy". On the resulting dialog box, </t>
    </r>
    <r>
      <rPr>
        <b/>
        <sz val="11"/>
        <rFont val="Calibri"/>
        <family val="2"/>
        <scheme val="minor"/>
      </rPr>
      <t>(ii)</t>
    </r>
    <r>
      <rPr>
        <sz val="11"/>
        <rFont val="Calibri"/>
        <family val="2"/>
        <scheme val="minor"/>
      </rPr>
      <t xml:space="preserve"> Under the "To Book:" heading, make sure this workbook is selected, </t>
    </r>
    <r>
      <rPr>
        <b/>
        <sz val="11"/>
        <rFont val="Calibri"/>
        <family val="2"/>
        <scheme val="minor"/>
      </rPr>
      <t>(iii)</t>
    </r>
    <r>
      <rPr>
        <sz val="11"/>
        <rFont val="Calibri"/>
        <family val="2"/>
        <scheme val="minor"/>
      </rPr>
      <t xml:space="preserve"> In the "Before Sheet:" select the location in this workbook where you'd like the new worksheet to appear, and </t>
    </r>
    <r>
      <rPr>
        <b/>
        <sz val="11"/>
        <rFont val="Calibri"/>
        <family val="2"/>
        <scheme val="minor"/>
      </rPr>
      <t xml:space="preserve">(iv) </t>
    </r>
    <r>
      <rPr>
        <sz val="11"/>
        <rFont val="Calibri"/>
        <family val="2"/>
        <scheme val="minor"/>
      </rPr>
      <t xml:space="preserve">Check the "Create a Copy" checkbox and select "OK".  
A new worksheet should appear on the Worksheets toolbar below.
</t>
    </r>
    <r>
      <rPr>
        <b/>
        <sz val="11"/>
        <rFont val="Calibri"/>
        <family val="2"/>
        <scheme val="minor"/>
      </rPr>
      <t>2. RENAME:</t>
    </r>
    <r>
      <rPr>
        <sz val="11"/>
        <rFont val="Calibri"/>
        <family val="2"/>
        <scheme val="minor"/>
      </rPr>
      <t xml:space="preserve">  (i) Double-click on one of the newly-created worksheets. The text of the worksheet name should now appear with grey highlights. (ii) Delete and type a new worksheet name.  
Typically these names will define the scenario and whether it is an Input Parameters or Output Statistics sheet.  Ideas include something general, like "Scenario1_Inputs" or something more descriptive, like "Monthly Orders_INPUTS".
</t>
    </r>
    <r>
      <rPr>
        <b/>
        <sz val="11"/>
        <rFont val="Calibri"/>
        <family val="2"/>
        <scheme val="minor"/>
      </rPr>
      <t xml:space="preserve">3. REPEAT: </t>
    </r>
    <r>
      <rPr>
        <sz val="11"/>
        <rFont val="Calibri"/>
        <family val="2"/>
        <scheme val="minor"/>
      </rPr>
      <t>repeat the above two steps until you have one Inputs and one Outputs sheet for each of the scenarios you've defined.</t>
    </r>
  </si>
  <si>
    <t>1b. Setting up scenarios in Scenario Manager worksheet</t>
  </si>
  <si>
    <r>
      <t xml:space="preserve">Once the Inputs and Outputs worksheets for each scenario have been created and renamed, the next step is to add the names and descriptions of those worksheets to the Scenario Manager so that their data can be accessed by other worksheets in the tool.
Go to the "Scenario Manager" worksheet and find the "Basic Scenario Information" table at the top of the worksheet. Enter: 
     </t>
    </r>
    <r>
      <rPr>
        <b/>
        <sz val="11"/>
        <rFont val="Calibri"/>
        <family val="2"/>
        <scheme val="minor"/>
      </rPr>
      <t>1.</t>
    </r>
    <r>
      <rPr>
        <sz val="11"/>
        <rFont val="Calibri"/>
        <family val="2"/>
        <scheme val="minor"/>
      </rPr>
      <t xml:space="preserve"> In the first drop-down menu, select the number of scenarios that you plan to analyze (should be an whole number between 1 and 6).  
That same number of rows should appear in the table immediately below.  Complete that table, one row per scenario, by entering:
     </t>
    </r>
    <r>
      <rPr>
        <b/>
        <sz val="11"/>
        <rFont val="Calibri"/>
        <family val="2"/>
        <scheme val="minor"/>
      </rPr>
      <t>2.</t>
    </r>
    <r>
      <rPr>
        <sz val="11"/>
        <rFont val="Calibri"/>
        <family val="2"/>
        <scheme val="minor"/>
      </rPr>
      <t xml:space="preserve"> Scenario Name (optional - used only for labeling in the model)
     </t>
    </r>
    <r>
      <rPr>
        <b/>
        <sz val="11"/>
        <rFont val="Calibri"/>
        <family val="2"/>
        <scheme val="minor"/>
      </rPr>
      <t>3.</t>
    </r>
    <r>
      <rPr>
        <sz val="11"/>
        <rFont val="Calibri"/>
        <family val="2"/>
        <scheme val="minor"/>
      </rPr>
      <t xml:space="preserve"> Input Worksheet Name for the scenario (the name should match exactly with the name given in 1a and appearing in the Worksheet Toolbar at the bottom of your Excel screen)
     </t>
    </r>
    <r>
      <rPr>
        <b/>
        <sz val="11"/>
        <rFont val="Calibri"/>
        <family val="2"/>
        <scheme val="minor"/>
      </rPr>
      <t>4.</t>
    </r>
    <r>
      <rPr>
        <sz val="11"/>
        <rFont val="Calibri"/>
        <family val="2"/>
        <scheme val="minor"/>
      </rPr>
      <t xml:space="preserve"> Output Worksheet Name for the scenario (the name should match exactly with the name given in 1a and appearing in the Worksheet Toolbar at the bottom of your Excel screen)
    </t>
    </r>
    <r>
      <rPr>
        <b/>
        <sz val="11"/>
        <rFont val="Calibri"/>
        <family val="2"/>
        <scheme val="minor"/>
      </rPr>
      <t xml:space="preserve"> 5. </t>
    </r>
    <r>
      <rPr>
        <sz val="11"/>
        <rFont val="Calibri"/>
        <family val="2"/>
        <scheme val="minor"/>
      </rPr>
      <t>Desription of Scenario (optional - only needed so that other users can quickly understand the nature of each scenario)</t>
    </r>
  </si>
  <si>
    <t>2a. Selecting data template(s) to use as proxy data source in "Input" worksheet</t>
  </si>
  <si>
    <t>Select a data template that most closely resembles your own supply chain context. This will populate the column 'value used in model' in the "Input" worksheet so it can fill in any data gaps. Select a template using the following steps:</t>
  </si>
  <si>
    <r>
      <rPr>
        <b/>
        <sz val="11"/>
        <color theme="1"/>
        <rFont val="Calibri"/>
        <family val="2"/>
        <scheme val="minor"/>
      </rPr>
      <t>2.</t>
    </r>
    <r>
      <rPr>
        <sz val="11"/>
        <color theme="1"/>
        <rFont val="Calibri"/>
        <family val="2"/>
        <scheme val="minor"/>
      </rPr>
      <t xml:space="preserve"> Go to the</t>
    </r>
    <r>
      <rPr>
        <b/>
        <sz val="11"/>
        <color theme="1"/>
        <rFont val="Calibri"/>
        <family val="2"/>
        <scheme val="minor"/>
      </rPr>
      <t xml:space="preserve"> Input </t>
    </r>
    <r>
      <rPr>
        <sz val="11"/>
        <color theme="1"/>
        <rFont val="Calibri"/>
        <family val="2"/>
        <scheme val="minor"/>
      </rPr>
      <t>Worksheet</t>
    </r>
  </si>
  <si>
    <r>
      <rPr>
        <b/>
        <sz val="11"/>
        <color theme="1"/>
        <rFont val="Calibri"/>
        <family val="2"/>
        <scheme val="minor"/>
      </rPr>
      <t>3</t>
    </r>
    <r>
      <rPr>
        <sz val="11"/>
        <color theme="1"/>
        <rFont val="Calibri"/>
        <family val="2"/>
        <scheme val="minor"/>
      </rPr>
      <t>. Select template from list under Section 1. 'General Information'</t>
    </r>
  </si>
  <si>
    <r>
      <rPr>
        <b/>
        <sz val="11"/>
        <color theme="1"/>
        <rFont val="Calibri"/>
        <family val="2"/>
        <scheme val="minor"/>
      </rPr>
      <t>Step 3:</t>
    </r>
    <r>
      <rPr>
        <sz val="11"/>
        <color theme="1"/>
        <rFont val="Calibri"/>
        <family val="2"/>
        <scheme val="minor"/>
      </rPr>
      <t xml:space="preserve"> Select template from list in 'General Information' section</t>
    </r>
  </si>
  <si>
    <r>
      <rPr>
        <b/>
        <sz val="11"/>
        <color theme="1"/>
        <rFont val="Calibri"/>
        <family val="2"/>
        <scheme val="minor"/>
      </rPr>
      <t>4</t>
    </r>
    <r>
      <rPr>
        <sz val="11"/>
        <color theme="1"/>
        <rFont val="Calibri"/>
        <family val="2"/>
        <scheme val="minor"/>
      </rPr>
      <t>. Select template for EACH TIER under Section 5. 'Supply Chain System Information'.  
NOTE: In most cases we expect the user to select the same proxy data template for each tier in Step 4, but there may be cases where it makes sense to select different templates for different parts of the model. The tool should still function normally, though the user should be alert for possible data conflicts (e.g. if supply chain roles or vehicle types mean different things in different places)</t>
    </r>
  </si>
  <si>
    <r>
      <rPr>
        <b/>
        <sz val="11"/>
        <color theme="1"/>
        <rFont val="Calibri"/>
        <family val="2"/>
        <scheme val="minor"/>
      </rPr>
      <t>Step 4:</t>
    </r>
    <r>
      <rPr>
        <sz val="11"/>
        <color theme="1"/>
        <rFont val="Calibri"/>
        <family val="2"/>
        <scheme val="minor"/>
      </rPr>
      <t xml:space="preserve"> Select template for EACH TIER under 'Supply Chain System Information'</t>
    </r>
  </si>
  <si>
    <r>
      <rPr>
        <b/>
        <sz val="11"/>
        <color theme="1"/>
        <rFont val="Calibri"/>
        <family val="2"/>
        <scheme val="minor"/>
      </rPr>
      <t>5</t>
    </r>
    <r>
      <rPr>
        <sz val="11"/>
        <color theme="1"/>
        <rFont val="Calibri"/>
        <family val="2"/>
        <scheme val="minor"/>
      </rPr>
      <t>. After selecting the data template for each tier, select corresponding TIER under Supply Chain System Information.  
For example: if the template dataset has three tiers (National -&gt; Regional -&gt; Clinic) but the user's supply chain only has two (National -&gt; Clinic), the user might select "Tier 1" and "Tier 3" for this parameter, corresponding with Tier 1 and Tier 2 of their own supply chain</t>
    </r>
  </si>
  <si>
    <t xml:space="preserve">2b. Enter data directly into "Input" worksheet </t>
  </si>
  <si>
    <t>Regardless of whether a data template is selected in the section above, the user can always enter their own data directly into the "Input" worksheet.  This can be done in any green-colored cell on the Input worksheet using the following steps:</t>
  </si>
  <si>
    <r>
      <rPr>
        <b/>
        <sz val="11"/>
        <color theme="1"/>
        <rFont val="Calibri"/>
        <family val="2"/>
        <scheme val="minor"/>
      </rPr>
      <t xml:space="preserve">1. </t>
    </r>
    <r>
      <rPr>
        <sz val="11"/>
        <color theme="1"/>
        <rFont val="Calibri"/>
        <family val="2"/>
        <scheme val="minor"/>
      </rPr>
      <t>Review values from data template and identify which values should be customized. For each value to be changed</t>
    </r>
  </si>
  <si>
    <r>
      <rPr>
        <b/>
        <sz val="11"/>
        <color theme="1"/>
        <rFont val="Calibri"/>
        <family val="2"/>
        <scheme val="minor"/>
      </rPr>
      <t xml:space="preserve">a. </t>
    </r>
    <r>
      <rPr>
        <sz val="11"/>
        <color theme="1"/>
        <rFont val="Calibri"/>
        <family val="2"/>
        <scheme val="minor"/>
      </rPr>
      <t>Select the adjacent green cell under the column "Enter your own value if known" 
NOTE: in Section 5 there may be multiple green cells per row - one corresponding to each tier of the supply chain)</t>
    </r>
  </si>
  <si>
    <r>
      <rPr>
        <b/>
        <sz val="11"/>
        <color theme="1"/>
        <rFont val="Calibri"/>
        <family val="2"/>
        <scheme val="minor"/>
      </rPr>
      <t xml:space="preserve">b. </t>
    </r>
    <r>
      <rPr>
        <sz val="11"/>
        <color theme="1"/>
        <rFont val="Calibri"/>
        <family val="2"/>
        <scheme val="minor"/>
      </rPr>
      <t xml:space="preserve">Enter the value or select from drop-down list. Press the Enter/Return key. </t>
    </r>
  </si>
  <si>
    <r>
      <rPr>
        <b/>
        <sz val="11"/>
        <color theme="1"/>
        <rFont val="Calibri"/>
        <family val="2"/>
        <scheme val="minor"/>
      </rPr>
      <t xml:space="preserve">c. </t>
    </r>
    <r>
      <rPr>
        <sz val="11"/>
        <color theme="1"/>
        <rFont val="Calibri"/>
        <family val="2"/>
        <scheme val="minor"/>
      </rPr>
      <t>Verify that the value has been customized by checking the cell immediately to the right of the green cell, under the column "Value used in Model".  This value should match with the value in the green cell</t>
    </r>
  </si>
  <si>
    <r>
      <rPr>
        <b/>
        <sz val="11"/>
        <color theme="1"/>
        <rFont val="Calibri"/>
        <family val="2"/>
        <scheme val="minor"/>
      </rPr>
      <t>Step 1a example:</t>
    </r>
    <r>
      <rPr>
        <sz val="11"/>
        <color theme="1"/>
        <rFont val="Calibri"/>
        <family val="2"/>
        <scheme val="minor"/>
      </rPr>
      <t xml:space="preserve"> Select the green cell adjacent to the value you wish to change, in this case the average cost per liter of fuel</t>
    </r>
  </si>
  <si>
    <r>
      <rPr>
        <b/>
        <sz val="11"/>
        <color theme="1"/>
        <rFont val="Calibri"/>
        <family val="2"/>
        <scheme val="minor"/>
      </rPr>
      <t>Step 1b and ac example:</t>
    </r>
    <r>
      <rPr>
        <sz val="11"/>
        <color theme="1"/>
        <rFont val="Calibri"/>
        <family val="2"/>
        <scheme val="minor"/>
      </rPr>
      <t xml:space="preserve"> Once the user types in a value in the green column and presses "Enter" or "Return" on the keyboard, the 'Value Used in Model' column updates as well. In this case the user has changed the price of fuel in the model from $1.37 per liter to $1.89 per liter</t>
    </r>
  </si>
  <si>
    <t>2c. Estimate values for some inputs using the Supporting Worksheets</t>
  </si>
  <si>
    <t xml:space="preserve">For any input values that are not readily available, the user should consider whether it is worth spending time and effort collecting precise data or make a reasonable guess of that value. 
The tool provides several "Supporting Worksheets" designed to help users estimate some values:
     -- Demand volume (m^3) and value (USD) of VACCINES and related materials, based on a user-defined target population's size and desired coverage levels
     -- Demand volume (m^3) and value (USD) of REPRODUCTIVE HEALTH commodities (contraceptives only), based on country-specific Demographic &amp; Health Survey data
     -- Demand volume (m^3) for any health commodities, provided some information about the number of units consumed for each commodity
     -- Ratio of road distance to straightline distance (i.e. circuity factor) using Google Maps and/or limited pre-existing benchmark data
     -- Storage capacity (m^3) of warehouses and storerooms, based on general room/building dimensions
     -- Benchmarks for warehouse construction and operating costs (USD)
These worksheets are all available under the "Supporting worksheets" section of the Worksheet Toolbar at the bottom of the screen.  Each worksheet has instructions for how to use the worksheet.  Unless otherwise specified, the data on those worksheets does NOT transfer over to the actual Input worksheets and should be entered manually. </t>
  </si>
  <si>
    <t>3a. Select the "Input" worksheet name to use for analysis to fill the "Output" worksheet</t>
  </si>
  <si>
    <r>
      <t xml:space="preserve">For each scenario, after completing the "Input" worksheet, user must select the "Input" sheet onto the relevant "Output" worksheet using the following steps: 
</t>
    </r>
    <r>
      <rPr>
        <b/>
        <sz val="11"/>
        <color theme="1"/>
        <rFont val="Calibri"/>
        <family val="2"/>
        <scheme val="minor"/>
      </rPr>
      <t xml:space="preserve">1. </t>
    </r>
    <r>
      <rPr>
        <sz val="11"/>
        <color theme="1"/>
        <rFont val="Calibri"/>
        <family val="2"/>
        <scheme val="minor"/>
      </rPr>
      <t xml:space="preserve">Click on the "Output" worksheet that corresponds to your "Input" worksheet (i.e. if you completed "Scenario1_Inputs", click on "Scenario1_Outputs). 
</t>
    </r>
    <r>
      <rPr>
        <b/>
        <sz val="11"/>
        <color theme="1"/>
        <rFont val="Calibri"/>
        <family val="2"/>
        <scheme val="minor"/>
      </rPr>
      <t xml:space="preserve">2. </t>
    </r>
    <r>
      <rPr>
        <sz val="11"/>
        <color theme="1"/>
        <rFont val="Calibri"/>
        <family val="2"/>
        <scheme val="minor"/>
      </rPr>
      <t xml:space="preserve">At the top of the worksheet, click on green drop-down box next to the "Select Input Parameters sheet to analyze:".  If you completed Part 1b above, then the name of your Input sheet should appear in the drop-down.  Select that name, and the rest of the Output worksheet should load accordingly. </t>
    </r>
  </si>
  <si>
    <t>3b. Check for error messages and ensure valid data inputs</t>
  </si>
  <si>
    <r>
      <t xml:space="preserve">User must check the "Output" worksheet to ensure that the inputs are correctly entered and consistent. Incorrect or inconsistent inputs can cause the "Output" worksheet to display a </t>
    </r>
    <r>
      <rPr>
        <b/>
        <sz val="11"/>
        <color theme="1"/>
        <rFont val="Calibri"/>
        <family val="2"/>
        <scheme val="minor"/>
      </rPr>
      <t>#VALUE</t>
    </r>
    <r>
      <rPr>
        <sz val="11"/>
        <color theme="1"/>
        <rFont val="Calibri"/>
        <family val="2"/>
        <scheme val="minor"/>
      </rPr>
      <t xml:space="preserve"> or </t>
    </r>
    <r>
      <rPr>
        <b/>
        <sz val="11"/>
        <color theme="1"/>
        <rFont val="Calibri"/>
        <family val="2"/>
        <scheme val="minor"/>
      </rPr>
      <t>#REF</t>
    </r>
    <r>
      <rPr>
        <sz val="11"/>
        <color theme="1"/>
        <rFont val="Calibri"/>
        <family val="2"/>
        <scheme val="minor"/>
      </rPr>
      <t xml:space="preserve"> error message, or omit certain inconsistently-defined costs/activities. The tool attempts to catch and highlight many common input errors, but user must check for possible error messages. </t>
    </r>
  </si>
  <si>
    <r>
      <rPr>
        <b/>
        <sz val="12"/>
        <color theme="1"/>
        <rFont val="Calibri"/>
        <family val="2"/>
        <scheme val="minor"/>
      </rPr>
      <t>Avoid invalid data entries</t>
    </r>
    <r>
      <rPr>
        <sz val="11"/>
        <color theme="1"/>
        <rFont val="Calibri"/>
        <family val="2"/>
        <scheme val="minor"/>
      </rPr>
      <t xml:space="preserve"> that will result in an Excel error in the cost/performance calculations. Examples could include:</t>
    </r>
  </si>
  <si>
    <t>3. Entering values outside of a specified number range</t>
  </si>
  <si>
    <t>4. Switching to a setting for which there is no data loaded, e.g. selecting the "public transit" vehicle option with a template that has no public transit data
    (NOTE: We attempt to make data templates as complete as possible, but it is not be possible to fill every value for every template, especially those which the user is likely to have good data, e.g. 
    public transit costs)</t>
  </si>
  <si>
    <r>
      <rPr>
        <b/>
        <sz val="12"/>
        <color theme="1"/>
        <rFont val="Calibri"/>
        <family val="2"/>
        <scheme val="minor"/>
      </rPr>
      <t xml:space="preserve">Avoid conflicting data entries </t>
    </r>
    <r>
      <rPr>
        <sz val="12"/>
        <color theme="1"/>
        <rFont val="Calibri"/>
        <family val="2"/>
        <scheme val="minor"/>
      </rPr>
      <t xml:space="preserve">leading to </t>
    </r>
    <r>
      <rPr>
        <sz val="11"/>
        <color theme="1"/>
        <rFont val="Calibri"/>
        <family val="2"/>
        <scheme val="minor"/>
      </rPr>
      <t>results that do not make sense. Some example of conflicting data inputs could include:</t>
    </r>
  </si>
  <si>
    <t>1. Multiple currency types used throughout input values</t>
  </si>
  <si>
    <t>2. 'Number of Tiers' not aligned with number of tiers of input data</t>
  </si>
  <si>
    <t>-- Selecting "Route-based distribution" to a tier with only one facility (does not affect calculations, but may indicate inconsistent user design objectives)</t>
  </si>
  <si>
    <t>-- Selecting "Public Transit" but also entering a unit price for "Rent" or "Contract to 3PL" (Model will ignore Rent/3PL price, but again may indicate inconsistent design approach)</t>
  </si>
  <si>
    <t>3c. Check outputs are valid and reasonable</t>
  </si>
  <si>
    <r>
      <rPr>
        <b/>
        <sz val="12"/>
        <color theme="1"/>
        <rFont val="Calibri"/>
        <family val="2"/>
        <scheme val="minor"/>
      </rPr>
      <t>Check for consistent and expected outputs</t>
    </r>
    <r>
      <rPr>
        <b/>
        <sz val="11"/>
        <color theme="1"/>
        <rFont val="Calibri"/>
        <family val="2"/>
        <scheme val="minor"/>
      </rPr>
      <t xml:space="preserve">:  </t>
    </r>
    <r>
      <rPr>
        <sz val="11"/>
        <color theme="1"/>
        <rFont val="Calibri"/>
        <family val="2"/>
        <scheme val="minor"/>
      </rPr>
      <t>A few common-sense checks to the "Outputs" can confirm that data is valid and aligned with the supply chain system. These checks could include:</t>
    </r>
  </si>
  <si>
    <r>
      <rPr>
        <i/>
        <sz val="11"/>
        <color theme="1"/>
        <rFont val="Calibri"/>
        <family val="2"/>
        <scheme val="minor"/>
      </rPr>
      <t>1. Do all expected cost lines appear in "Output" worksheet, Tables 4 and 5?</t>
    </r>
    <r>
      <rPr>
        <sz val="11"/>
        <color theme="1"/>
        <rFont val="Calibri"/>
        <family val="2"/>
        <scheme val="minor"/>
      </rPr>
      <t xml:space="preserve">
For example: most supply chains will have storage costs at every tier and transport costs everywhere except National Tier. Where user-owned vehicles are used, we expect to see costs for depreciation, fuel, maintenance, insurance, and labor; where they are contracted to a 3PL we expect to see contract costs.</t>
    </r>
  </si>
  <si>
    <r>
      <rPr>
        <i/>
        <sz val="11"/>
        <color theme="1"/>
        <rFont val="Calibri"/>
        <family val="2"/>
        <scheme val="minor"/>
      </rPr>
      <t>2. Are there any unexpected costs in the "Output" worksheet, Tables 4 and 5?</t>
    </r>
    <r>
      <rPr>
        <sz val="11"/>
        <color theme="1"/>
        <rFont val="Calibri"/>
        <family val="2"/>
        <scheme val="minor"/>
      </rPr>
      <t xml:space="preserve"> 
For example: if no travel is needed for ordering</t>
    </r>
    <r>
      <rPr>
        <sz val="11"/>
        <rFont val="Calibri"/>
        <family val="2"/>
        <scheme val="minor"/>
      </rPr>
      <t xml:space="preserve"> there should be no costs under 'transportation for ordering' in Table 5</t>
    </r>
    <r>
      <rPr>
        <sz val="11"/>
        <color theme="1"/>
        <rFont val="Calibri"/>
        <family val="2"/>
        <scheme val="minor"/>
      </rPr>
      <t>. If delivery is contracted to a 3PL, we should not see cost lines for vehicle depreciation, maintenance, fuel, insurance, or labor at that tier.</t>
    </r>
  </si>
  <si>
    <r>
      <rPr>
        <i/>
        <sz val="11"/>
        <color theme="1"/>
        <rFont val="Calibri"/>
        <family val="2"/>
        <scheme val="minor"/>
      </rPr>
      <t xml:space="preserve">3. Do changes to inputs result in proportional changes to outputs?
</t>
    </r>
    <r>
      <rPr>
        <sz val="11"/>
        <color theme="1"/>
        <rFont val="Calibri"/>
        <family val="2"/>
        <scheme val="minor"/>
      </rPr>
      <t xml:space="preserve">For example: we wouldn't expect a 10% increase in demand volume to cause a 250% increase in total cost. Or a reduction in the number of supply chain tiers to cause an increase in total storage costs. </t>
    </r>
  </si>
  <si>
    <r>
      <rPr>
        <i/>
        <sz val="11"/>
        <color theme="1"/>
        <rFont val="Calibri"/>
        <family val="2"/>
        <scheme val="minor"/>
      </rPr>
      <t xml:space="preserve">4. Are costs distributed between different tiers and functional categories?
</t>
    </r>
    <r>
      <rPr>
        <sz val="11"/>
        <color theme="1"/>
        <rFont val="Calibri"/>
        <family val="2"/>
        <scheme val="minor"/>
      </rPr>
      <t>Supply chains vary widely in their cost distribution, but in general we expect to see a reasonable balance between different cost functions (e.g. warehousing, transportation) and different tiers.  If one of those areas is small relative to the others (e.g. less than 10% of the total), review the "Input" worksheet to ensure that there are no missing or conflicted inputs.</t>
    </r>
  </si>
  <si>
    <r>
      <rPr>
        <i/>
        <sz val="11"/>
        <color theme="1"/>
        <rFont val="Calibri"/>
        <family val="2"/>
        <scheme val="minor"/>
      </rPr>
      <t xml:space="preserve">5. Are operational performance statistics within an appropriate range?
</t>
    </r>
    <r>
      <rPr>
        <sz val="11"/>
        <color theme="1"/>
        <rFont val="Calibri"/>
        <family val="2"/>
        <scheme val="minor"/>
      </rPr>
      <t>If vehicle, storage, or throughput utilization numbers are above 80-100%, it indicates that the specified transportation &amp; storage resources are likely insufficient to manage current demand volumes. Or if they are less than ~30-40%, it may indicate that the user has reduced system volume and not adjusted the number or capacity of vehicles accordingly</t>
    </r>
  </si>
  <si>
    <t>Do overall utilization rates for storage capacity, throughput capacity, and vehicle delivery capacity indicate a good match between supply chain resources and demand?</t>
  </si>
  <si>
    <t>Are there any cost lines that shouldn't be appearing in the outputs? If delivery is contracted to a 3PL, we should not see cost lines for vehicle depreciation, maintenance, fuel, insurance, or labor at that tier.</t>
  </si>
  <si>
    <t>Are there any expected cost lines that are missing from the outputs? In this example, tier 1 costs are missing</t>
  </si>
  <si>
    <t>3d. Check outputs against other cost study results (optional)</t>
  </si>
  <si>
    <t xml:space="preserve">If a supply chain costing study was done in recent years, it is valuable to compare the results of this tool with those from the prior costing study before conducting any further design analyses.  Assuming that the existing data covers the same supply chain and same cost categories, this type of benchmarking can help further validate the Input Parameters that are used in this tool, and highlight any areas where further changes to the inputs are warranted. </t>
  </si>
  <si>
    <t>4a. Check results load onto the "Scenario Manager" worksheet</t>
  </si>
  <si>
    <t>If worksheet names were entered into the Scenario Manager in Step 1b, then output data should load automatically.</t>
  </si>
  <si>
    <t>4b. Compare and interpret results across scenarios</t>
  </si>
  <si>
    <t>Analyze results and compare them across scenarios to answer design questions outlined beforehand. Below are some general analysis questions to prompt thought and discussion:</t>
  </si>
  <si>
    <r>
      <rPr>
        <b/>
        <sz val="11"/>
        <color theme="1"/>
        <rFont val="Calibri"/>
        <family val="2"/>
        <scheme val="minor"/>
      </rPr>
      <t xml:space="preserve">1. </t>
    </r>
    <r>
      <rPr>
        <sz val="11"/>
        <color theme="1"/>
        <rFont val="Calibri"/>
        <family val="2"/>
        <scheme val="minor"/>
      </rPr>
      <t xml:space="preserve">When scenarios in the tool have different numbers of tiers: 
     The tool always starts with Tier #1, and a tier cannot be left blank in inputs. For example, if the Baseline system has 4 tiers and the for the Scenario a tier is skipped as shown in the table below: </t>
    </r>
  </si>
  <si>
    <t xml:space="preserve">     This means that "Tier 3" has a different meaning in the baseline and the scenario, and user should carefully interpret the results.
</t>
  </si>
  <si>
    <r>
      <rPr>
        <b/>
        <sz val="11"/>
        <color theme="1"/>
        <rFont val="Calibri"/>
        <family val="2"/>
        <scheme val="minor"/>
      </rPr>
      <t xml:space="preserve">2. </t>
    </r>
    <r>
      <rPr>
        <sz val="11"/>
        <color theme="1"/>
        <rFont val="Calibri"/>
        <family val="2"/>
        <scheme val="minor"/>
      </rPr>
      <t xml:space="preserve">Model always assigns costs based on where the activities occurred. Thus at each tier the model measures costs for 1) storage and management of commodities at that tier, and 2) transportation of commodities </t>
    </r>
    <r>
      <rPr>
        <u/>
        <sz val="11"/>
        <color theme="1"/>
        <rFont val="Calibri"/>
        <family val="2"/>
        <scheme val="minor"/>
      </rPr>
      <t>into</t>
    </r>
    <r>
      <rPr>
        <sz val="11"/>
        <color theme="1"/>
        <rFont val="Calibri"/>
        <family val="2"/>
        <scheme val="minor"/>
      </rPr>
      <t xml:space="preserve"> that tier.  In some cases (e.g. informing a Ministry budget allocation), identifying </t>
    </r>
    <r>
      <rPr>
        <b/>
        <sz val="11"/>
        <color theme="1"/>
        <rFont val="Calibri"/>
        <family val="2"/>
        <scheme val="minor"/>
      </rPr>
      <t xml:space="preserve">who owns the supply chain resources </t>
    </r>
    <r>
      <rPr>
        <sz val="11"/>
        <color theme="1"/>
        <rFont val="Calibri"/>
        <family val="2"/>
        <scheme val="minor"/>
      </rPr>
      <t>is more important than identifying where they are used. This also may require the user to manually re-assign certain cost lines where there is a discrepancy between ownership and use. Common cases include:
     -- If last mile delivery is managed by the upstream supplier (e.g. a Direct Delivery or Informed Push), then vehicle ownership, maintenance and fuel costs, and/or labor costs all may
         need to be shifted upstream by one tier
     -- If certain functions, e.g. a warehouse or fleet of vehicles, are owned by a partner organization, the costs for those specific functions may need to be extracted and placed in a
         different budget category than other costs for that same SC function.</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</si>
  <si>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Central America
</t>
    </r>
    <r>
      <rPr>
        <b/>
        <sz val="11"/>
        <rFont val="Calibri"/>
        <family val="2"/>
        <scheme val="minor"/>
      </rPr>
      <t xml:space="preserve">  Scope</t>
    </r>
    <r>
      <rPr>
        <sz val="11"/>
        <rFont val="Calibri"/>
        <family val="2"/>
        <scheme val="minor"/>
      </rPr>
      <t xml:space="preserve">:                       One region in a country
</t>
    </r>
    <r>
      <rPr>
        <b/>
        <sz val="11"/>
        <rFont val="Calibri"/>
        <family val="2"/>
        <scheme val="minor"/>
      </rPr>
      <t xml:space="preserve">  Population:               </t>
    </r>
    <r>
      <rPr>
        <sz val="11"/>
        <rFont val="Calibri"/>
        <family val="2"/>
        <scheme val="minor"/>
      </rPr>
      <t xml:space="preserve">850,000
  </t>
    </r>
    <r>
      <rPr>
        <b/>
        <sz val="11"/>
        <rFont val="Calibri"/>
        <family val="2"/>
        <scheme val="minor"/>
      </rPr>
      <t>Urban-Rural split</t>
    </r>
    <r>
      <rPr>
        <sz val="11"/>
        <rFont val="Calibri"/>
        <family val="2"/>
        <scheme val="minor"/>
      </rPr>
      <t xml:space="preserve">:     20% of population urban, 80% rural
</t>
    </r>
    <r>
      <rPr>
        <b/>
        <sz val="11"/>
        <rFont val="Calibri"/>
        <family val="2"/>
        <scheme val="minor"/>
      </rPr>
      <t xml:space="preserve">  Geographic area</t>
    </r>
    <r>
      <rPr>
        <sz val="11"/>
        <rFont val="Calibri"/>
        <family val="2"/>
        <scheme val="minor"/>
      </rPr>
      <t xml:space="preserve">:      8378 km^2
</t>
    </r>
    <r>
      <rPr>
        <b/>
        <sz val="11"/>
        <rFont val="Calibri"/>
        <family val="2"/>
        <scheme val="minor"/>
      </rPr>
      <t xml:space="preserve">  Number of clinics</t>
    </r>
    <r>
      <rPr>
        <sz val="11"/>
        <rFont val="Calibri"/>
        <family val="2"/>
        <scheme val="minor"/>
      </rPr>
      <t>:    72</t>
    </r>
    <r>
      <rPr>
        <b/>
        <sz val="11"/>
        <rFont val="Calibri"/>
        <family val="2"/>
        <scheme val="minor"/>
      </rPr>
      <t xml:space="preserve">
  Number of Tiers:      </t>
    </r>
    <r>
      <rPr>
        <sz val="11"/>
        <rFont val="Calibri"/>
        <family val="2"/>
        <scheme val="minor"/>
      </rPr>
      <t>3</t>
    </r>
    <r>
      <rPr>
        <b/>
        <sz val="11"/>
        <rFont val="Calibri"/>
        <family val="2"/>
        <scheme val="minor"/>
      </rPr>
      <t xml:space="preserve">
  Program Areas:        </t>
    </r>
    <r>
      <rPr>
        <sz val="11"/>
        <rFont val="Calibri"/>
        <family val="2"/>
        <scheme val="minor"/>
      </rPr>
      <t xml:space="preserve">Essential Medicines, RMNCH, HIV, Malaria, Vaccines
 </t>
    </r>
    <r>
      <rPr>
        <b/>
        <sz val="11"/>
        <rFont val="Calibri"/>
        <family val="2"/>
        <scheme val="minor"/>
      </rPr>
      <t xml:space="preserve"> SC Strategy</t>
    </r>
    <r>
      <rPr>
        <sz val="11"/>
        <rFont val="Calibri"/>
        <family val="2"/>
        <scheme val="minor"/>
      </rPr>
      <t>:             Region does its own procurement; Region delivers to ~20% of 
                                   districts using large box truck; other 80% of districts collect product 
                                   from region using their own vehicle. Clinics collect from districts 
                                   using public transporation.</t>
    </r>
  </si>
  <si>
    <t>DAS = Dirección de Area de Salud = Health Area Management; DMS = Distrito Municipal de Salud = Municipal Health District; PS = Puesto de Salud = Health Post/Health Clinic</t>
  </si>
  <si>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Central America
</t>
    </r>
    <r>
      <rPr>
        <b/>
        <sz val="11"/>
        <rFont val="Calibri"/>
        <family val="2"/>
        <scheme val="minor"/>
      </rPr>
      <t xml:space="preserve">  Scope</t>
    </r>
    <r>
      <rPr>
        <sz val="11"/>
        <rFont val="Calibri"/>
        <family val="2"/>
        <scheme val="minor"/>
      </rPr>
      <t xml:space="preserve">:                       One region in a country
</t>
    </r>
    <r>
      <rPr>
        <b/>
        <sz val="11"/>
        <rFont val="Calibri"/>
        <family val="2"/>
        <scheme val="minor"/>
      </rPr>
      <t xml:space="preserve">  Population:               </t>
    </r>
    <r>
      <rPr>
        <sz val="11"/>
        <rFont val="Calibri"/>
        <family val="2"/>
        <scheme val="minor"/>
      </rPr>
      <t xml:space="preserve">1,375,000 
  </t>
    </r>
    <r>
      <rPr>
        <b/>
        <sz val="11"/>
        <rFont val="Calibri"/>
        <family val="2"/>
        <scheme val="minor"/>
      </rPr>
      <t>Urban-Rural split</t>
    </r>
    <r>
      <rPr>
        <sz val="11"/>
        <rFont val="Calibri"/>
        <family val="2"/>
        <scheme val="minor"/>
      </rPr>
      <t xml:space="preserve">:     25% of population urban, 75% rural
</t>
    </r>
    <r>
      <rPr>
        <b/>
        <sz val="11"/>
        <rFont val="Calibri"/>
        <family val="2"/>
        <scheme val="minor"/>
      </rPr>
      <t xml:space="preserve">  Geographic area</t>
    </r>
    <r>
      <rPr>
        <sz val="11"/>
        <rFont val="Calibri"/>
        <family val="2"/>
        <scheme val="minor"/>
      </rPr>
      <t xml:space="preserve">:      8686 km^2
</t>
    </r>
    <r>
      <rPr>
        <b/>
        <sz val="11"/>
        <rFont val="Calibri"/>
        <family val="2"/>
        <scheme val="minor"/>
      </rPr>
      <t xml:space="preserve">  Number of clinics</t>
    </r>
    <r>
      <rPr>
        <sz val="11"/>
        <rFont val="Calibri"/>
        <family val="2"/>
        <scheme val="minor"/>
      </rPr>
      <t>:    271</t>
    </r>
    <r>
      <rPr>
        <b/>
        <sz val="11"/>
        <rFont val="Calibri"/>
        <family val="2"/>
        <scheme val="minor"/>
      </rPr>
      <t xml:space="preserve">
  Number of Tiers:      </t>
    </r>
    <r>
      <rPr>
        <sz val="11"/>
        <rFont val="Calibri"/>
        <family val="2"/>
        <scheme val="minor"/>
      </rPr>
      <t>3</t>
    </r>
    <r>
      <rPr>
        <b/>
        <sz val="11"/>
        <rFont val="Calibri"/>
        <family val="2"/>
        <scheme val="minor"/>
      </rPr>
      <t xml:space="preserve">
  Program Areas:        </t>
    </r>
    <r>
      <rPr>
        <sz val="11"/>
        <rFont val="Calibri"/>
        <family val="2"/>
        <scheme val="minor"/>
      </rPr>
      <t xml:space="preserve">Essential Medicines, RMNCH, HIV, Malaria, Vaccines
 </t>
    </r>
    <r>
      <rPr>
        <b/>
        <sz val="11"/>
        <rFont val="Calibri"/>
        <family val="2"/>
        <scheme val="minor"/>
      </rPr>
      <t xml:space="preserve"> SC Strategy</t>
    </r>
    <r>
      <rPr>
        <sz val="11"/>
        <rFont val="Calibri"/>
        <family val="2"/>
        <scheme val="minor"/>
      </rPr>
      <t>:             Region does its own procurement; Region delivers to ~20% of 
                                   districts using large box truck; other 80% of districts collect product 
                                   from region using their own vehicle. Clinics collect from districts 
                                   using public transporation.</t>
    </r>
  </si>
  <si>
    <t>FIM = Farmacia Institucional Municipal = Municipal Institutional Pharmacy; CS = Centro de Salud = Health Center; PS = Puesto de Salud = Health Post</t>
  </si>
  <si>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West Africa
</t>
    </r>
    <r>
      <rPr>
        <b/>
        <sz val="11"/>
        <rFont val="Calibri"/>
        <family val="2"/>
        <scheme val="minor"/>
      </rPr>
      <t xml:space="preserve">  Scope</t>
    </r>
    <r>
      <rPr>
        <sz val="11"/>
        <rFont val="Calibri"/>
        <family val="2"/>
        <scheme val="minor"/>
      </rPr>
      <t xml:space="preserve">:                       Whole country
</t>
    </r>
    <r>
      <rPr>
        <b/>
        <sz val="11"/>
        <rFont val="Calibri"/>
        <family val="2"/>
        <scheme val="minor"/>
      </rPr>
      <t xml:space="preserve">  Population:               ~</t>
    </r>
    <r>
      <rPr>
        <sz val="11"/>
        <rFont val="Calibri"/>
        <family val="2"/>
        <scheme val="minor"/>
      </rPr>
      <t xml:space="preserve">16,000,000
  </t>
    </r>
    <r>
      <rPr>
        <b/>
        <sz val="11"/>
        <rFont val="Calibri"/>
        <family val="2"/>
        <scheme val="minor"/>
      </rPr>
      <t>Urban-Rural split</t>
    </r>
    <r>
      <rPr>
        <sz val="11"/>
        <rFont val="Calibri"/>
        <family val="2"/>
        <scheme val="minor"/>
      </rPr>
      <t xml:space="preserve">:     45% of population urban, 55% rural
</t>
    </r>
    <r>
      <rPr>
        <b/>
        <sz val="11"/>
        <rFont val="Calibri"/>
        <family val="2"/>
        <scheme val="minor"/>
      </rPr>
      <t xml:space="preserve">  Geographic area</t>
    </r>
    <r>
      <rPr>
        <sz val="11"/>
        <rFont val="Calibri"/>
        <family val="2"/>
        <scheme val="minor"/>
      </rPr>
      <t xml:space="preserve">:      ~200,000 km^2
</t>
    </r>
    <r>
      <rPr>
        <b/>
        <sz val="11"/>
        <rFont val="Calibri"/>
        <family val="2"/>
        <scheme val="minor"/>
      </rPr>
      <t xml:space="preserve">  Number of clinics</t>
    </r>
    <r>
      <rPr>
        <sz val="11"/>
        <rFont val="Calibri"/>
        <family val="2"/>
        <scheme val="minor"/>
      </rPr>
      <t>:    1319</t>
    </r>
    <r>
      <rPr>
        <b/>
        <sz val="11"/>
        <rFont val="Calibri"/>
        <family val="2"/>
        <scheme val="minor"/>
      </rPr>
      <t xml:space="preserve">
  Number of Tiers:      </t>
    </r>
    <r>
      <rPr>
        <sz val="11"/>
        <rFont val="Calibri"/>
        <family val="2"/>
        <scheme val="minor"/>
      </rPr>
      <t>4 (Only 3 tiers - Regional-District-Facility - costed for this study)</t>
    </r>
    <r>
      <rPr>
        <b/>
        <sz val="11"/>
        <rFont val="Calibri"/>
        <family val="2"/>
        <scheme val="minor"/>
      </rPr>
      <t xml:space="preserve">
  Program Areas:        </t>
    </r>
    <r>
      <rPr>
        <sz val="11"/>
        <rFont val="Calibri"/>
        <family val="2"/>
        <scheme val="minor"/>
      </rPr>
      <t xml:space="preserve">Reproductive Health
 </t>
    </r>
    <r>
      <rPr>
        <b/>
        <sz val="11"/>
        <rFont val="Calibri"/>
        <family val="2"/>
        <scheme val="minor"/>
      </rPr>
      <t xml:space="preserve"> SC Strategy</t>
    </r>
    <r>
      <rPr>
        <sz val="11"/>
        <rFont val="Calibri"/>
        <family val="2"/>
        <scheme val="minor"/>
      </rPr>
      <t xml:space="preserve">:             Regions deliver to districts in out-and-back fashion using large trucks.
                                   Districts travel to several facilities along a pre-set route, collecting order 
                                   information and resupplying facilities on-the-spot
</t>
    </r>
    <r>
      <rPr>
        <b/>
        <sz val="11"/>
        <color rgb="FFFF0000"/>
        <rFont val="Calibri"/>
        <family val="2"/>
        <scheme val="minor"/>
      </rPr>
      <t>Other Notes</t>
    </r>
    <r>
      <rPr>
        <sz val="11"/>
        <color rgb="FFFF0000"/>
        <rFont val="Calibri"/>
        <family val="2"/>
        <scheme val="minor"/>
      </rPr>
      <t>:              Template captures ONLY transportation costs, not warehousing or system 
                                   management and support costs</t>
    </r>
  </si>
  <si>
    <t>All costs in USD</t>
  </si>
  <si>
    <t>** Assuming same maintenance/km as 30m^3 camion</t>
  </si>
  <si>
    <t xml:space="preserve">Avg # Days/mo </t>
  </si>
  <si>
    <t>Straightline distance from capital</t>
  </si>
  <si>
    <t>Road Distance from capital</t>
  </si>
  <si>
    <t>Nuitées</t>
  </si>
  <si>
    <t xml:space="preserve"># jours de livraison </t>
  </si>
  <si>
    <t>2*Distance A/R Capital-District</t>
  </si>
  <si>
    <t>Route:</t>
  </si>
  <si>
    <t>DOES NOT APPEAR THAT MCKINSEY COSTED NATIONAL-REGIONAL DELIVERIES --&gt; "0" for Tier 1-2</t>
  </si>
  <si>
    <t>VALUES ARE ALL IN USD  @ 600FCFA/USD</t>
  </si>
  <si>
    <t>Dakar-PNA</t>
  </si>
  <si>
    <t>Diourbel - PRA</t>
  </si>
  <si>
    <t>Fatick - PRA</t>
  </si>
  <si>
    <t>Kaolack - PRA</t>
  </si>
  <si>
    <t>Kolda-PRA</t>
  </si>
  <si>
    <t>Louga-PRA</t>
  </si>
  <si>
    <t>Matam-PRA</t>
  </si>
  <si>
    <t>St Louis-PRA</t>
  </si>
  <si>
    <t>Tamba-PRA</t>
  </si>
  <si>
    <t>Thies-PRA</t>
  </si>
  <si>
    <t>Ziguinchor-PRA</t>
  </si>
  <si>
    <r>
      <t xml:space="preserve">4. Vehicle Information 
</t>
    </r>
    <r>
      <rPr>
        <i/>
        <sz val="14"/>
        <color theme="0"/>
        <rFont val="Calibri"/>
        <family val="2"/>
        <scheme val="minor"/>
      </rPr>
      <t>Only enter info for vehicles used in analysis; go to sections 5 &amp; 6 to select vehicles used</t>
    </r>
  </si>
  <si>
    <t>Enter your value in the green cells below</t>
  </si>
  <si>
    <r>
      <t xml:space="preserve">What is the total area (square meters) of the warehouse or storeroom footprint?
</t>
    </r>
    <r>
      <rPr>
        <i/>
        <sz val="11"/>
        <color theme="1"/>
        <rFont val="Calibri"/>
        <family val="2"/>
        <scheme val="minor"/>
      </rPr>
      <t>To get this value, multiply the overall length and width of the warehouse or storeroom. For example, if a regional warehouse building is 10m wide and 25m long, the user should enter '250' in this cell.  If the warehouse is a complex shape or contains multiple rooms, complete the above step for each room and enter the sum of the area of all rooms</t>
    </r>
  </si>
  <si>
    <t>Total functional floor space (m^2):</t>
  </si>
  <si>
    <r>
      <rPr>
        <b/>
        <sz val="11"/>
        <color theme="1"/>
        <rFont val="Calibri"/>
        <family val="2"/>
        <scheme val="minor"/>
      </rPr>
      <t xml:space="preserve">What percentage of functional floor space is actually used for storage shelving units? </t>
    </r>
    <r>
      <rPr>
        <sz val="11"/>
        <color theme="1"/>
        <rFont val="Calibri"/>
        <family val="2"/>
        <scheme val="minor"/>
      </rPr>
      <t xml:space="preserve">
</t>
    </r>
    <r>
      <rPr>
        <i/>
        <sz val="11"/>
        <color theme="1"/>
        <rFont val="Calibri"/>
        <family val="2"/>
        <scheme val="minor"/>
      </rPr>
      <t xml:space="preserve">For warehouses, this value is </t>
    </r>
    <r>
      <rPr>
        <i/>
        <u/>
        <sz val="11"/>
        <color theme="1"/>
        <rFont val="Calibri"/>
        <family val="2"/>
        <scheme val="minor"/>
      </rPr>
      <t>typically between 22% and 27%</t>
    </r>
    <r>
      <rPr>
        <i/>
        <sz val="11"/>
        <color theme="1"/>
        <rFont val="Calibri"/>
        <family val="2"/>
        <scheme val="minor"/>
      </rPr>
      <t>; for smaller storerooms the value might be slightly higher, e.g. 30-50%. These values are suprisingly low because much of the floor space in a warehouse is taken up by aisles or staging areas to load/unload trucks, rather than actual storage shelves.</t>
    </r>
  </si>
  <si>
    <t>Method 1: Storage capacity based on overall building dimensions</t>
  </si>
  <si>
    <t>Method 2: Storage capacity based on number of pallet spaces</t>
  </si>
  <si>
    <r>
      <rPr>
        <b/>
        <sz val="11"/>
        <color theme="1"/>
        <rFont val="Calibri"/>
        <family val="2"/>
        <scheme val="minor"/>
      </rPr>
      <t xml:space="preserve">How many total pallet spaces are available in the warehouse? </t>
    </r>
    <r>
      <rPr>
        <sz val="11"/>
        <color theme="1"/>
        <rFont val="Calibri"/>
        <family val="2"/>
        <scheme val="minor"/>
      </rPr>
      <t xml:space="preserve">
</t>
    </r>
    <r>
      <rPr>
        <i/>
        <sz val="11"/>
        <color theme="1"/>
        <rFont val="Calibri"/>
        <family val="2"/>
        <scheme val="minor"/>
      </rPr>
      <t>For warehouses, this typically includes only the number of long-term storage spaces available for pallets. It does not typically include spaces for temporary loading/unloading/staging of pallets.</t>
    </r>
  </si>
  <si>
    <r>
      <t xml:space="preserve">What percentage of storage shelving space is actually useable? 
</t>
    </r>
    <r>
      <rPr>
        <i/>
        <sz val="11"/>
        <color theme="1"/>
        <rFont val="Calibri"/>
        <family val="2"/>
        <scheme val="minor"/>
      </rPr>
      <t xml:space="preserve">For most warehouses this value is </t>
    </r>
    <r>
      <rPr>
        <i/>
        <u/>
        <sz val="11"/>
        <color theme="1"/>
        <rFont val="Calibri"/>
        <family val="2"/>
        <scheme val="minor"/>
      </rPr>
      <t xml:space="preserve">typically between 80% and 90% </t>
    </r>
    <r>
      <rPr>
        <i/>
        <sz val="11"/>
        <color theme="1"/>
        <rFont val="Calibri"/>
        <family val="2"/>
        <scheme val="minor"/>
      </rPr>
      <t>, for two main reasons: 
1) The shelving racks themselves take up some useable space
2) Some buffer space is needed to rearrange/re-organize products when picking orders</t>
    </r>
  </si>
  <si>
    <r>
      <t xml:space="preserve">What percentage of the pallet spaces are actually useable at any given time? 
</t>
    </r>
    <r>
      <rPr>
        <i/>
        <sz val="11"/>
        <color theme="1"/>
        <rFont val="Calibri"/>
        <family val="2"/>
        <scheme val="minor"/>
      </rPr>
      <t xml:space="preserve">For most warehouses this value is </t>
    </r>
    <r>
      <rPr>
        <i/>
        <u/>
        <sz val="11"/>
        <color theme="1"/>
        <rFont val="Calibri"/>
        <family val="2"/>
        <scheme val="minor"/>
      </rPr>
      <t xml:space="preserve">typically between 85% and 95% </t>
    </r>
    <r>
      <rPr>
        <i/>
        <sz val="11"/>
        <color theme="1"/>
        <rFont val="Calibri"/>
        <family val="2"/>
        <scheme val="minor"/>
      </rPr>
      <t>, because some buffer space is needed to rearrange/re-organize pallets when picking orders</t>
    </r>
  </si>
  <si>
    <r>
      <rPr>
        <b/>
        <sz val="11"/>
        <color theme="1"/>
        <rFont val="Calibri"/>
        <family val="2"/>
        <scheme val="minor"/>
      </rPr>
      <t xml:space="preserve">What is the average height (meters) of the storage area? </t>
    </r>
    <r>
      <rPr>
        <sz val="11"/>
        <color theme="1"/>
        <rFont val="Calibri"/>
        <family val="2"/>
        <scheme val="minor"/>
      </rPr>
      <t xml:space="preserve">
</t>
    </r>
    <r>
      <rPr>
        <i/>
        <sz val="11"/>
        <color theme="1"/>
        <rFont val="Calibri"/>
        <family val="2"/>
        <scheme val="minor"/>
      </rPr>
      <t xml:space="preserve">This is typically the height up to the ceiling, major roof beam, or highest shelving unit
</t>
    </r>
  </si>
  <si>
    <r>
      <t xml:space="preserve">What is the average volume (cubic meters) per pallet? 
</t>
    </r>
    <r>
      <rPr>
        <i/>
        <sz val="11"/>
        <color theme="1"/>
        <rFont val="Calibri"/>
        <family val="2"/>
        <scheme val="minor"/>
      </rPr>
      <t>Multiply length x width x height.  A standard pharmaceutical pallet is 1m wide x 1.2m long, and is stacked to a height of 1.0 - 1.5m. This gives a typical pallet volume of 1.0 - 1.8m^3</t>
    </r>
    <r>
      <rPr>
        <b/>
        <sz val="11"/>
        <color theme="1"/>
        <rFont val="Calibri"/>
        <family val="2"/>
        <scheme val="minor"/>
      </rPr>
      <t xml:space="preserve">
</t>
    </r>
    <r>
      <rPr>
        <i/>
        <sz val="11"/>
        <color theme="1"/>
        <rFont val="Calibri"/>
        <family val="2"/>
        <scheme val="minor"/>
      </rPr>
      <t/>
    </r>
  </si>
  <si>
    <r>
      <t xml:space="preserve">What percentage of the above floor space, if any, is dedicated to offices, desks, or other administrative functions?  </t>
    </r>
    <r>
      <rPr>
        <i/>
        <sz val="11"/>
        <color theme="1"/>
        <rFont val="Calibri"/>
        <family val="2"/>
        <scheme val="minor"/>
      </rPr>
      <t xml:space="preserve">We do </t>
    </r>
    <r>
      <rPr>
        <i/>
        <u/>
        <sz val="11"/>
        <color theme="1"/>
        <rFont val="Calibri"/>
        <family val="2"/>
        <scheme val="minor"/>
      </rPr>
      <t>not</t>
    </r>
    <r>
      <rPr>
        <i/>
        <sz val="11"/>
        <color theme="1"/>
        <rFont val="Calibri"/>
        <family val="2"/>
        <scheme val="minor"/>
      </rPr>
      <t xml:space="preserve"> factor in floor space that is dedicated solely to adminisrative tasks, such as desk or office space.</t>
    </r>
  </si>
  <si>
    <r>
      <t xml:space="preserve">The purpose of this worksheet is to assist the user in estimating the functional storage capacity of a warehouse or storeroom, which can be entered into </t>
    </r>
    <r>
      <rPr>
        <b/>
        <sz val="11"/>
        <color theme="1"/>
        <rFont val="Calibri"/>
        <family val="2"/>
        <scheme val="minor"/>
      </rPr>
      <t>Row 108 or 109 of the Inputs worksheet.</t>
    </r>
    <r>
      <rPr>
        <sz val="11"/>
        <color theme="1"/>
        <rFont val="Calibri"/>
        <family val="2"/>
        <scheme val="minor"/>
      </rPr>
      <t xml:space="preserve"> 
The worksheet provides two separate methods for estimating storage capacity depending on the data that is available to the user: 
1) Entering overall building dimensions and estimating the proportion of the building that is actually useable for storing products, 
2) Starting with the number of pallet spaces (a common metric in larger warehouses) and estimating the volume per pallet</t>
    </r>
  </si>
  <si>
    <t>Estimated Storage Capacity per Warehouse (m^3)</t>
  </si>
  <si>
    <r>
      <t xml:space="preserve">This worksheet provides several benchmark data points to assist the user in estimating Circuity Factor, which can be </t>
    </r>
    <r>
      <rPr>
        <b/>
        <sz val="11"/>
        <color theme="1"/>
        <rFont val="Calibri"/>
        <family val="2"/>
        <scheme val="minor"/>
      </rPr>
      <t xml:space="preserve">entered in Row  97 of the Inputs worksheet. 
</t>
    </r>
    <r>
      <rPr>
        <sz val="11"/>
        <color theme="1"/>
        <rFont val="Calibri"/>
        <family val="2"/>
        <scheme val="minor"/>
      </rPr>
      <t>Circuity Factor is the ratio of the road distance and the straightline distance between two points. Thus if two facilities are 100km apart by air, but the road distance between them is 150km, we would estimate a circuity factor of 150/100 = 1.5 for that road network.
Circuity Factor can be estimated for many locations using Google Maps (https://www.google.com/maps/). 
1) Use the Directions feature to find driving directions between two points (e.g. a regional warehouse and a health facility). This will tell you the Road Distance. 
2) On the map of driving directions, right-click one of the two endpoints and select "Measure Distance". Left-click on the other point and you should see a black line appear with a distance measurement. 
3) Divide the distance from Step 1 by the distance from Step 2 to estimate Circuity Factor</t>
    </r>
  </si>
  <si>
    <t>--</t>
  </si>
  <si>
    <t>Country</t>
  </si>
  <si>
    <t>Other notes</t>
  </si>
  <si>
    <t>Location/Level</t>
  </si>
  <si>
    <t>Based on inflation-adjusted cost estimates for maize storage warehouses: Coulter et al. 2000. Economics of Grain Warehousing in Sub Saharan Africa. African Review of Money, Finance, and Banking</t>
  </si>
  <si>
    <t>Based on 2015 annual rental cost for turn-key warehouse from Speedlink Cargo, LTD</t>
  </si>
  <si>
    <t>Typically a storeroom within a health facility</t>
  </si>
  <si>
    <t>Typically a storeroom that is part of a broader administrative office complex</t>
  </si>
  <si>
    <t>DRC</t>
  </si>
  <si>
    <t>Includes 20m^3 of cold storage and 125m^3 of ambient temp storage</t>
  </si>
  <si>
    <t>Includes 56m^3 of cold storage space and  84m^3 of ambient storage space</t>
  </si>
  <si>
    <t>Includes 30m^3 of cold storage space and  7.5m^3 of ambient storage space</t>
  </si>
  <si>
    <t>Level</t>
  </si>
  <si>
    <t>Avg storage capacity (m^3)</t>
  </si>
  <si>
    <t xml:space="preserve">Regional </t>
  </si>
  <si>
    <t xml:space="preserve">Central </t>
  </si>
  <si>
    <t>Depreciation costs as % of total costs</t>
  </si>
  <si>
    <t>Total Annual Cost per m^3 (USD, Depreciation + operating)</t>
  </si>
  <si>
    <t>Avg Total Cost per m^3 capacity (USD)</t>
  </si>
  <si>
    <t>Supplier Name</t>
  </si>
  <si>
    <t>Product Type</t>
  </si>
  <si>
    <t>Drive</t>
  </si>
  <si>
    <t>Capacity</t>
  </si>
  <si>
    <t>Midpoint 2018 Price (USD)</t>
  </si>
  <si>
    <t>Refrigerator</t>
  </si>
  <si>
    <t>SDD</t>
  </si>
  <si>
    <t>&lt;30L</t>
  </si>
  <si>
    <t>30-60L</t>
  </si>
  <si>
    <t>60-90L</t>
  </si>
  <si>
    <t>90-120L</t>
  </si>
  <si>
    <t>&gt;120L</t>
  </si>
  <si>
    <t>Refrigerator/Freezer</t>
  </si>
  <si>
    <t>Freezer</t>
  </si>
  <si>
    <t>Mains</t>
  </si>
  <si>
    <t>Warehouse Depreciation &amp; Operating Cost Summary</t>
  </si>
  <si>
    <t>Avg Depreciation Cost per m^3 Capacity</t>
  </si>
  <si>
    <t>Avg Operating Expenses per m^3 Capacity</t>
  </si>
  <si>
    <t>Warehouse Depreciation &amp; Operating Costs - Raw Data</t>
  </si>
  <si>
    <t>Cold Chain Equipment - 2018 Purchase Price Raw Data</t>
  </si>
  <si>
    <t>From UNICEF Supply Division website - Cold Chain Products Price Data -- https://www.unicef.org/supply/index_81828.html</t>
  </si>
  <si>
    <t>Avg 2018 Price (USD)</t>
  </si>
  <si>
    <t>Averages below are taken from 3 regions in Latin America, 3 regions in Southern &amp; Central Africa, and 3 additional 
estimates from other Southern &amp; West African countries. For individual data points see the Raw Data table to the right</t>
  </si>
  <si>
    <t>Cold Chain Equipment - 2018 UNICEF Purchase Price Summary</t>
  </si>
  <si>
    <t>B-Medical</t>
  </si>
  <si>
    <t>Dulas</t>
  </si>
  <si>
    <t>Haier</t>
  </si>
  <si>
    <t>SunDanzer</t>
  </si>
  <si>
    <t>SureChill / Zero</t>
  </si>
  <si>
    <t>Vestfrost</t>
  </si>
  <si>
    <t>Sure Chill / Godrej</t>
  </si>
  <si>
    <t>Aucuma</t>
  </si>
  <si>
    <t>SureChill / Godrej</t>
  </si>
  <si>
    <r>
      <rPr>
        <sz val="11"/>
        <rFont val="Calibri"/>
        <family val="2"/>
        <scheme val="minor"/>
      </rPr>
      <t>TCW15RSDD
(PQS E003/067)</t>
    </r>
  </si>
  <si>
    <r>
      <rPr>
        <sz val="11"/>
        <rFont val="Calibri"/>
        <family val="2"/>
        <scheme val="minor"/>
      </rPr>
      <t>VC 30 SDD
(PQS E003/085)</t>
    </r>
  </si>
  <si>
    <r>
      <rPr>
        <sz val="11"/>
        <rFont val="Calibri"/>
        <family val="2"/>
        <scheme val="minor"/>
      </rPr>
      <t>HTC-40
(PQS E003/075)</t>
    </r>
  </si>
  <si>
    <r>
      <rPr>
        <sz val="11"/>
        <rFont val="Calibri"/>
        <family val="2"/>
        <scheme val="minor"/>
      </rPr>
      <t>BFRV15
(PQS E003/039)</t>
    </r>
  </si>
  <si>
    <r>
      <rPr>
        <sz val="11"/>
        <rFont val="Calibri"/>
        <family val="2"/>
        <scheme val="minor"/>
      </rPr>
      <t>ZLF 30 DC
(PQS E003/055)</t>
    </r>
  </si>
  <si>
    <r>
      <rPr>
        <sz val="11"/>
        <rFont val="Calibri"/>
        <family val="2"/>
        <scheme val="minor"/>
      </rPr>
      <t>VLS 024 SDD
(PQS E003/069 - Garde A)</t>
    </r>
  </si>
  <si>
    <r>
      <rPr>
        <sz val="11"/>
        <rFont val="Calibri"/>
        <family val="2"/>
        <scheme val="minor"/>
      </rPr>
      <t>TCW40RSDD
(PQS E003/068)</t>
    </r>
  </si>
  <si>
    <r>
      <rPr>
        <sz val="11"/>
        <rFont val="Calibri"/>
        <family val="2"/>
        <scheme val="minor"/>
      </rPr>
      <t>VC50SDD
(PQS E003/078)</t>
    </r>
  </si>
  <si>
    <r>
      <rPr>
        <sz val="11"/>
        <rFont val="Calibri"/>
        <family val="2"/>
        <scheme val="minor"/>
      </rPr>
      <t>HTC-110
(PQS E003/076)</t>
    </r>
  </si>
  <si>
    <r>
      <rPr>
        <sz val="11"/>
        <rFont val="Calibri"/>
        <family val="2"/>
        <scheme val="minor"/>
      </rPr>
      <t>BFRV55
(PQS E003/020)</t>
    </r>
  </si>
  <si>
    <r>
      <rPr>
        <sz val="11"/>
        <rFont val="Calibri"/>
        <family val="2"/>
        <scheme val="minor"/>
      </rPr>
      <t>GVR 50 DC
(PQS E003/049)</t>
    </r>
  </si>
  <si>
    <r>
      <rPr>
        <sz val="11"/>
        <rFont val="Calibri"/>
        <family val="2"/>
        <scheme val="minor"/>
      </rPr>
      <t>VLS 054 SDD
(PQS E003/041 - Grade A)</t>
    </r>
  </si>
  <si>
    <r>
      <rPr>
        <sz val="11"/>
        <rFont val="Calibri"/>
        <family val="2"/>
        <scheme val="minor"/>
      </rPr>
      <t>TCW3043SDD
(PQS E003/045)</t>
    </r>
  </si>
  <si>
    <r>
      <rPr>
        <sz val="11"/>
        <rFont val="Calibri"/>
        <family val="2"/>
        <scheme val="minor"/>
      </rPr>
      <t>VC88SDD
(PQS E003/059)</t>
    </r>
  </si>
  <si>
    <r>
      <rPr>
        <sz val="11"/>
        <rFont val="Calibri"/>
        <family val="2"/>
        <scheme val="minor"/>
      </rPr>
      <t>VC110SDD
(PQS E003/058)</t>
    </r>
  </si>
  <si>
    <r>
      <rPr>
        <sz val="11"/>
        <rFont val="Calibri"/>
        <family val="2"/>
        <scheme val="minor"/>
      </rPr>
      <t>ZLF 100 DC
(PQS E003/037)</t>
    </r>
  </si>
  <si>
    <r>
      <rPr>
        <sz val="11"/>
        <rFont val="Calibri"/>
        <family val="2"/>
        <scheme val="minor"/>
      </rPr>
      <t>GVR 100 DC
(PQS E003/050)</t>
    </r>
  </si>
  <si>
    <r>
      <rPr>
        <sz val="11"/>
        <rFont val="Calibri"/>
        <family val="2"/>
        <scheme val="minor"/>
      </rPr>
      <t>VLS 094 SDD
(PQS E003/053 - Grade A)</t>
    </r>
  </si>
  <si>
    <r>
      <rPr>
        <sz val="11"/>
        <rFont val="Calibri"/>
        <family val="2"/>
        <scheme val="minor"/>
      </rPr>
      <t>TCW3000SDD
(PQS E003/030)</t>
    </r>
  </si>
  <si>
    <r>
      <rPr>
        <sz val="11"/>
        <rFont val="Calibri"/>
        <family val="2"/>
        <scheme val="minor"/>
      </rPr>
      <t>VC200SDD
(PQS E003/040)</t>
    </r>
  </si>
  <si>
    <r>
      <rPr>
        <sz val="11"/>
        <rFont val="Calibri"/>
        <family val="2"/>
        <scheme val="minor"/>
      </rPr>
      <t>ZLF 150 DC
(PQS E003/052)</t>
    </r>
  </si>
  <si>
    <r>
      <rPr>
        <sz val="11"/>
        <rFont val="Calibri"/>
        <family val="2"/>
        <scheme val="minor"/>
      </rPr>
      <t>VLS 154 SDD
(PQS E003/054 - Garde A)</t>
    </r>
  </si>
  <si>
    <r>
      <rPr>
        <sz val="11"/>
        <rFont val="Calibri"/>
        <family val="2"/>
        <scheme val="minor"/>
      </rPr>
      <t>TCW155SDD
(PQS E003/077)</t>
    </r>
  </si>
  <si>
    <r>
      <rPr>
        <sz val="11"/>
        <rFont val="Calibri"/>
        <family val="2"/>
        <scheme val="minor"/>
      </rPr>
      <t>TCW40SDD
(PQS E003/042)</t>
    </r>
  </si>
  <si>
    <r>
      <rPr>
        <sz val="11"/>
        <rFont val="Calibri"/>
        <family val="2"/>
        <scheme val="minor"/>
      </rPr>
      <t>VC60SDD-1
(PQS E003/084)</t>
    </r>
  </si>
  <si>
    <r>
      <rPr>
        <sz val="11"/>
        <rFont val="Calibri"/>
        <family val="2"/>
        <scheme val="minor"/>
      </rPr>
      <t>HTC-90
(PQS E003/074)</t>
    </r>
  </si>
  <si>
    <r>
      <rPr>
        <sz val="11"/>
        <rFont val="Calibri"/>
        <family val="2"/>
        <scheme val="minor"/>
      </rPr>
      <t>TCW2043SDD
(PQS E003/043)</t>
    </r>
  </si>
  <si>
    <r>
      <rPr>
        <sz val="11"/>
        <rFont val="Calibri"/>
        <family val="2"/>
        <scheme val="minor"/>
      </rPr>
      <t>TCW2000SDD
(PQS E003/035)</t>
    </r>
  </si>
  <si>
    <r>
      <rPr>
        <sz val="11"/>
        <rFont val="Calibri"/>
        <family val="2"/>
        <scheme val="minor"/>
      </rPr>
      <t>VC150SDD
(PQS E003/048)</t>
    </r>
  </si>
  <si>
    <r>
      <rPr>
        <sz val="11"/>
        <rFont val="Calibri"/>
        <family val="2"/>
        <scheme val="minor"/>
      </rPr>
      <t>HTC-160
(PQS E003/057)</t>
    </r>
  </si>
  <si>
    <r>
      <rPr>
        <sz val="11"/>
        <rFont val="Calibri"/>
        <family val="2"/>
        <scheme val="minor"/>
      </rPr>
      <t>TFW40SDD
(PQS E003/073)</t>
    </r>
  </si>
  <si>
    <r>
      <rPr>
        <sz val="11"/>
        <rFont val="Calibri"/>
        <family val="2"/>
        <scheme val="minor"/>
      </rPr>
      <t>HTC-60H
(PQS E003/056)</t>
    </r>
  </si>
  <si>
    <r>
      <rPr>
        <sz val="11"/>
        <rFont val="Calibri"/>
        <family val="2"/>
        <scheme val="minor"/>
      </rPr>
      <t>HTD-40
(PQS E003/086)</t>
    </r>
  </si>
  <si>
    <r>
      <rPr>
        <sz val="11"/>
        <rFont val="Calibri"/>
        <family val="2"/>
        <scheme val="minor"/>
      </rPr>
      <t>ZLF 30 AC-M1
(PQS E003/051)</t>
    </r>
  </si>
  <si>
    <r>
      <rPr>
        <sz val="11"/>
        <rFont val="Calibri"/>
        <family val="2"/>
        <scheme val="minor"/>
      </rPr>
      <t>MF/CFD-50
(PQS E003/079)</t>
    </r>
  </si>
  <si>
    <r>
      <rPr>
        <sz val="11"/>
        <rFont val="Calibri"/>
        <family val="2"/>
        <scheme val="minor"/>
      </rPr>
      <t>HBC-70
(PQS E003/005)</t>
    </r>
  </si>
  <si>
    <r>
      <rPr>
        <sz val="11"/>
        <rFont val="Calibri"/>
        <family val="2"/>
        <scheme val="minor"/>
      </rPr>
      <t>GVR 51 Lite AC-M1
(PQS E003/080)</t>
    </r>
  </si>
  <si>
    <r>
      <rPr>
        <sz val="11"/>
        <rFont val="Calibri"/>
        <family val="2"/>
        <scheme val="minor"/>
      </rPr>
      <t>GVR 50 AC-M1
(PQS E003/046)</t>
    </r>
  </si>
  <si>
    <r>
      <rPr>
        <sz val="11"/>
        <rFont val="Calibri"/>
        <family val="2"/>
        <scheme val="minor"/>
      </rPr>
      <t>MK 144
(PQS E003/022)</t>
    </r>
  </si>
  <si>
    <r>
      <rPr>
        <sz val="11"/>
        <rFont val="Calibri"/>
        <family val="2"/>
        <scheme val="minor"/>
      </rPr>
      <t>HBC-80
(PQS E003/089)</t>
    </r>
  </si>
  <si>
    <r>
      <rPr>
        <sz val="11"/>
        <rFont val="Calibri"/>
        <family val="2"/>
        <scheme val="minor"/>
      </rPr>
      <t>GVR 75 Lite AC-M1
(PQS E003/081)</t>
    </r>
  </si>
  <si>
    <r>
      <rPr>
        <sz val="11"/>
        <rFont val="Calibri"/>
        <family val="2"/>
        <scheme val="minor"/>
      </rPr>
      <t>VLS 200A AC
(PQS E003/062 - Grade A)</t>
    </r>
  </si>
  <si>
    <r>
      <rPr>
        <sz val="11"/>
        <rFont val="Calibri"/>
        <family val="2"/>
        <scheme val="minor"/>
      </rPr>
      <t>MK 204
(PQS E003/011)</t>
    </r>
  </si>
  <si>
    <r>
      <rPr>
        <sz val="11"/>
        <rFont val="Calibri"/>
        <family val="2"/>
        <scheme val="minor"/>
      </rPr>
      <t>HBC-200
(PQS E003/006)</t>
    </r>
  </si>
  <si>
    <r>
      <rPr>
        <sz val="11"/>
        <rFont val="Calibri"/>
        <family val="2"/>
        <scheme val="minor"/>
      </rPr>
      <t>ZLF 100 AC-M1
(PQS E003/036)</t>
    </r>
  </si>
  <si>
    <r>
      <rPr>
        <sz val="11"/>
        <rFont val="Calibri"/>
        <family val="2"/>
        <scheme val="minor"/>
      </rPr>
      <t>GVR 99 Lite AC-M1
(PQS E003/082)</t>
    </r>
  </si>
  <si>
    <r>
      <rPr>
        <sz val="11"/>
        <rFont val="Calibri"/>
        <family val="2"/>
        <scheme val="minor"/>
      </rPr>
      <t>GVR 100 AC-M1
(PQS E003/047)</t>
    </r>
  </si>
  <si>
    <r>
      <rPr>
        <sz val="11"/>
        <rFont val="Calibri"/>
        <family val="2"/>
        <scheme val="minor"/>
      </rPr>
      <t>VLS 300A AC
(PQS E003/063 - Garde A)</t>
    </r>
  </si>
  <si>
    <r>
      <rPr>
        <sz val="11"/>
        <rFont val="Calibri"/>
        <family val="2"/>
        <scheme val="minor"/>
      </rPr>
      <t>MK 304
(PQS E003/007)</t>
    </r>
  </si>
  <si>
    <r>
      <rPr>
        <sz val="11"/>
        <rFont val="Calibri"/>
        <family val="2"/>
        <scheme val="minor"/>
      </rPr>
      <t>TCW4000AC
(PQS E003/066)</t>
    </r>
  </si>
  <si>
    <r>
      <rPr>
        <sz val="11"/>
        <rFont val="Calibri"/>
        <family val="2"/>
        <scheme val="minor"/>
      </rPr>
      <t>TCW3000AC
(PQS E003/017)</t>
    </r>
  </si>
  <si>
    <r>
      <rPr>
        <sz val="11"/>
        <rFont val="Calibri"/>
        <family val="2"/>
        <scheme val="minor"/>
      </rPr>
      <t>VC225ILR
(PQS E003/072)</t>
    </r>
  </si>
  <si>
    <r>
      <rPr>
        <sz val="11"/>
        <rFont val="Calibri"/>
        <family val="2"/>
        <scheme val="minor"/>
      </rPr>
      <t>HBC-150
(PQS E003/088)</t>
    </r>
  </si>
  <si>
    <r>
      <rPr>
        <sz val="11"/>
        <rFont val="Calibri"/>
        <family val="2"/>
        <scheme val="minor"/>
      </rPr>
      <t>HBC-260
(PQS E003/087)</t>
    </r>
  </si>
  <si>
    <r>
      <rPr>
        <sz val="11"/>
        <rFont val="Calibri"/>
        <family val="2"/>
        <scheme val="minor"/>
      </rPr>
      <t>ZLF 150 AC-M1
(PQS E003/044)</t>
    </r>
  </si>
  <si>
    <r>
      <rPr>
        <sz val="11"/>
        <rFont val="Calibri"/>
        <family val="2"/>
        <scheme val="minor"/>
      </rPr>
      <t>GVR 255 AC-M1
(PQS E003/083)</t>
    </r>
  </si>
  <si>
    <r>
      <rPr>
        <sz val="11"/>
        <rFont val="Calibri"/>
        <family val="2"/>
        <scheme val="minor"/>
      </rPr>
      <t>VLS 400A AC
(PQS E003/065 - Garde A)</t>
    </r>
  </si>
  <si>
    <r>
      <rPr>
        <sz val="11"/>
        <rFont val="Calibri"/>
        <family val="2"/>
        <scheme val="minor"/>
      </rPr>
      <t>VLS 350A AC
(PQS E003/064 - Garde A)</t>
    </r>
  </si>
  <si>
    <r>
      <rPr>
        <sz val="11"/>
        <rFont val="Calibri"/>
        <family val="2"/>
        <scheme val="minor"/>
      </rPr>
      <t>VLS 064A RF AC
(PQS E003/070 - Garde A)</t>
    </r>
  </si>
  <si>
    <r>
      <rPr>
        <sz val="11"/>
        <rFont val="Calibri"/>
        <family val="2"/>
        <scheme val="minor"/>
      </rPr>
      <t>TCW2000AC
(PQS E003/014)</t>
    </r>
  </si>
  <si>
    <r>
      <rPr>
        <sz val="11"/>
        <rFont val="Calibri"/>
        <family val="2"/>
        <scheme val="minor"/>
      </rPr>
      <t>MF 114
(PQS E003/024)</t>
    </r>
  </si>
  <si>
    <r>
      <rPr>
        <sz val="11"/>
        <rFont val="Calibri"/>
        <family val="2"/>
        <scheme val="minor"/>
      </rPr>
      <t>TCW3000AC
(PQS E003/071)</t>
    </r>
  </si>
  <si>
    <r>
      <rPr>
        <sz val="11"/>
        <rFont val="Calibri"/>
        <family val="2"/>
        <scheme val="minor"/>
      </rPr>
      <t>HBD-116
(PQS E003/002)</t>
    </r>
  </si>
  <si>
    <r>
      <rPr>
        <sz val="11"/>
        <rFont val="Calibri"/>
        <family val="2"/>
        <scheme val="minor"/>
      </rPr>
      <t>MF 214
(PQS E003/025)</t>
    </r>
  </si>
  <si>
    <r>
      <rPr>
        <sz val="11"/>
        <rFont val="Calibri"/>
        <family val="2"/>
        <scheme val="minor"/>
      </rPr>
      <t>DW/DW25-300L
(PQS E003/061)</t>
    </r>
  </si>
  <si>
    <r>
      <rPr>
        <sz val="11"/>
        <rFont val="Calibri"/>
        <family val="2"/>
        <scheme val="minor"/>
      </rPr>
      <t>DW/DW25-147L
(PQS E003/060)</t>
    </r>
  </si>
  <si>
    <r>
      <rPr>
        <sz val="11"/>
        <rFont val="Calibri"/>
        <family val="2"/>
        <scheme val="minor"/>
      </rPr>
      <t>HBD-286
(PQS E003/003)</t>
    </r>
  </si>
  <si>
    <r>
      <rPr>
        <sz val="11"/>
        <rFont val="Calibri"/>
        <family val="2"/>
        <scheme val="minor"/>
      </rPr>
      <t>MF 314
(PQS E003/023)</t>
    </r>
  </si>
  <si>
    <t xml:space="preserve">Model Name </t>
  </si>
  <si>
    <t>Vehicle Purchase Price Summary</t>
  </si>
  <si>
    <t>Vehicle purchase prices - Raw Data</t>
  </si>
  <si>
    <t>Vehicle type</t>
  </si>
  <si>
    <t>Avg Purchase price (USD)</t>
  </si>
  <si>
    <t>Make &amp; Model (if given)</t>
  </si>
  <si>
    <t>Primary makes: Suzuki, Honda</t>
  </si>
  <si>
    <t>Budgeted amount in immunization costed multi-year plan</t>
  </si>
  <si>
    <t>Toyota LandCruiser</t>
  </si>
  <si>
    <t>District estimate</t>
  </si>
  <si>
    <t>Province Estimate</t>
  </si>
  <si>
    <t>Toyota LandCruiser Prado</t>
  </si>
  <si>
    <t>West Africa</t>
  </si>
  <si>
    <t>Toyota Hilux, Toyota LandCruiser</t>
  </si>
  <si>
    <t>Nissan Patrol, Toyota Hilux, Toyota Landcruiser</t>
  </si>
  <si>
    <t>Toyota Hiace</t>
  </si>
  <si>
    <t>Hiace is typically a mini-bus model rather than a flatbed truck</t>
  </si>
  <si>
    <t>30 m^3 capacity</t>
  </si>
  <si>
    <t>60 m^3 capacity</t>
  </si>
  <si>
    <t>Nissan UD-80 flatbed</t>
  </si>
  <si>
    <t>Car/Sport Utility/Consumer vehicle</t>
  </si>
  <si>
    <t>Typical Makes/Models</t>
  </si>
  <si>
    <t>Suzuki, Honda makes</t>
  </si>
  <si>
    <t>Toyota Land Cruiser/Prado/Hilux; Nissan Patrol</t>
  </si>
  <si>
    <t>Isuzu HVR</t>
  </si>
  <si>
    <t>Nissan UD-80; Mitsubishi Fuso/Canter; Isuzu HVR</t>
  </si>
  <si>
    <t>(converted versions of commercial truck models)</t>
  </si>
  <si>
    <t>Averages below are taken from 3 regions in Latin America and 3 regions in Southern, Central, and West Africa. For individual data points see the Raw Data table to the right</t>
  </si>
  <si>
    <t>Warehouse-Vehicle-CCE costs</t>
  </si>
  <si>
    <t>Storage Capacity Estimator</t>
  </si>
  <si>
    <r>
      <t xml:space="preserve">This worksheet lists the main sections contained in this tool, and summarizes all the worksheets contained in those sections. It is intended to serve as a reference for navigating the tool, and as an initial starting point for users to familiarize themselves with the tool
</t>
    </r>
    <r>
      <rPr>
        <b/>
        <sz val="11"/>
        <color theme="1"/>
        <rFont val="Calibri"/>
        <family val="2"/>
        <scheme val="minor"/>
      </rPr>
      <t>NOTE:</t>
    </r>
    <r>
      <rPr>
        <sz val="11"/>
        <color theme="1"/>
        <rFont val="Calibri"/>
        <family val="2"/>
        <scheme val="minor"/>
      </rPr>
      <t xml:space="preserve"> All worksheets are currently protected (</t>
    </r>
    <r>
      <rPr>
        <b/>
        <sz val="11"/>
        <color theme="1"/>
        <rFont val="Calibri"/>
        <family val="2"/>
        <scheme val="minor"/>
      </rPr>
      <t>password = "password"</t>
    </r>
    <r>
      <rPr>
        <sz val="11"/>
        <color theme="1"/>
        <rFont val="Calibri"/>
        <family val="2"/>
        <scheme val="minor"/>
      </rPr>
      <t>) so that the user can only alter green cells intended for direct input.  To unprotect a worksheet, click on the "Review" tab, "Unprotect Sheet" and enter the password "password".</t>
    </r>
    <r>
      <rPr>
        <b/>
        <sz val="11"/>
        <color theme="1"/>
        <rFont val="Calibri"/>
        <family val="2"/>
        <scheme val="minor"/>
      </rPr>
      <t xml:space="preserve"> Please only unprotect a worksheet if you are confident in making a specific change, and before you do, save an unaltered copy.</t>
    </r>
  </si>
  <si>
    <t>NOTE: The password to unprotect this worksheet is "password".  Please do not unprotect this worksheet unless you are confident of the change you are making.</t>
  </si>
  <si>
    <t>NOTE: You can use the data grouping feature (the [+] and [-] signs to the left of the row numbers) to collapse unused sections, but you must first unprotect the worksheet
The password to unprotect this worksheet is "password".  Please do not unprotect this worksheet unless you are confident of the change you are making.</t>
  </si>
  <si>
    <r>
      <t xml:space="preserve">The purpose of this worksheet is to provide benchmark data points for various resources and assets that are used in the Inputs worksheet. These benchmarks DO NOT constitute a comprehensive review of prices/costs across all relevant geographies and influencing factors; rather they are a summary of the costing data that is featured in this model. Inputs include: 
  1) Warehousing Storage Capacity, Operating Costs &amp; Depreciation - </t>
    </r>
    <r>
      <rPr>
        <b/>
        <sz val="11"/>
        <color theme="1"/>
        <rFont val="Calibri"/>
        <family val="2"/>
        <scheme val="minor"/>
      </rPr>
      <t>Rows 108-111 of the Inputs Worksheet</t>
    </r>
    <r>
      <rPr>
        <sz val="11"/>
        <color theme="1"/>
        <rFont val="Calibri"/>
        <family val="2"/>
        <scheme val="minor"/>
      </rPr>
      <t xml:space="preserve">
  2) Cold Chain equipment cost and capacity - </t>
    </r>
    <r>
      <rPr>
        <b/>
        <sz val="11"/>
        <color theme="1"/>
        <rFont val="Calibri"/>
        <family val="2"/>
        <scheme val="minor"/>
      </rPr>
      <t>Row 109 &amp; 112 of the Inputs Worksheet</t>
    </r>
    <r>
      <rPr>
        <sz val="11"/>
        <color theme="1"/>
        <rFont val="Calibri"/>
        <family val="2"/>
        <scheme val="minor"/>
      </rPr>
      <t xml:space="preserve">
  3) Vehicle purchase costs, </t>
    </r>
    <r>
      <rPr>
        <b/>
        <sz val="11"/>
        <color theme="1"/>
        <rFont val="Calibri"/>
        <family val="2"/>
        <scheme val="minor"/>
      </rPr>
      <t>Rows 49/55/61/67/73 of the Inputs Worksheet</t>
    </r>
  </si>
  <si>
    <r>
      <t xml:space="preserve">Inputs worksheets
</t>
    </r>
    <r>
      <rPr>
        <i/>
        <sz val="11"/>
        <color theme="1"/>
        <rFont val="Calibri"/>
        <family val="2"/>
        <scheme val="minor"/>
      </rPr>
      <t>May be multiple sheets with different names</t>
    </r>
  </si>
  <si>
    <r>
      <t xml:space="preserve">Output worksheets
</t>
    </r>
    <r>
      <rPr>
        <i/>
        <sz val="11"/>
        <color theme="1"/>
        <rFont val="Calibri"/>
        <family val="2"/>
        <scheme val="minor"/>
      </rPr>
      <t>May be multiple sheets with different names</t>
    </r>
  </si>
  <si>
    <r>
      <t xml:space="preserve">Completed Data Templates
</t>
    </r>
    <r>
      <rPr>
        <i/>
        <sz val="11"/>
        <color theme="1"/>
        <rFont val="Calibri"/>
        <family val="2"/>
        <scheme val="minor"/>
      </rPr>
      <t>Multiple worksheets with different names</t>
    </r>
  </si>
  <si>
    <r>
      <t>Provides two simple methods for estimating the storage capacity (m</t>
    </r>
    <r>
      <rPr>
        <vertAlign val="superscript"/>
        <sz val="11"/>
        <rFont val="Calibri"/>
        <family val="2"/>
        <scheme val="minor"/>
      </rPr>
      <t>3</t>
    </r>
    <r>
      <rPr>
        <sz val="11"/>
        <rFont val="Calibri"/>
        <family val="2"/>
        <scheme val="minor"/>
      </rPr>
      <t>) of a warehouse facility, given some initial information about that facility (e.g. overall building/room dimensions, number of pallet spaces)</t>
    </r>
  </si>
  <si>
    <t>Provides real-world benchmark/reference points for the cost of various types of supply chain assets and input resources, such as warehousing space, vehicles, cold chain equipment (CCE), etc.</t>
  </si>
  <si>
    <t>1. User Guide</t>
  </si>
  <si>
    <t>2. Main Tool Worksheets</t>
  </si>
  <si>
    <t>3. Supporting Worksheets</t>
  </si>
  <si>
    <t>4. Proxy Data Templates</t>
  </si>
  <si>
    <r>
      <t xml:space="preserve">3. Supply Chain Personnel Information 
</t>
    </r>
    <r>
      <rPr>
        <i/>
        <sz val="14"/>
        <color theme="4" tint="-0.499984740745262"/>
        <rFont val="Calibri"/>
        <family val="2"/>
        <scheme val="minor"/>
      </rPr>
      <t>For reference; can select which personnel are used in sections 5 and 6</t>
    </r>
  </si>
  <si>
    <r>
      <t xml:space="preserve">4. Vehicle Information 
</t>
    </r>
    <r>
      <rPr>
        <i/>
        <sz val="14"/>
        <color theme="4" tint="-0.499984740745262"/>
        <rFont val="Calibri"/>
        <family val="2"/>
        <scheme val="minor"/>
      </rPr>
      <t>Only enter info for vehicles used in analysis; go to sections 5 &amp; 6 to select vehicles used</t>
    </r>
  </si>
  <si>
    <t>1_Inputs</t>
  </si>
  <si>
    <t>Step 4: Calculate per-capita &amp; overall volume requirements</t>
  </si>
  <si>
    <t>Total vaccine cost per fully immunized child, for Routine Immunization services</t>
  </si>
  <si>
    <t>Total cost of injection supplies per fully immunized child, for Routine Immunization services</t>
  </si>
  <si>
    <t>Total cost of immunizations for Supplemental Immunization Activities (SIAs)</t>
  </si>
  <si>
    <t>Total cost of injection supplies required for Supplemental Immunization Activities (SIAs)</t>
  </si>
  <si>
    <t>Total cold chain volume (cm³) required, per fully immunized child (vaccines &amp; diluents), for Routine Immunization services</t>
  </si>
  <si>
    <t>Total ambient temp. volume (cm³) required, per fully immunized child (injection supplies), for Routine Immunization services</t>
  </si>
  <si>
    <r>
      <t xml:space="preserve">Step 2: Define </t>
    </r>
    <r>
      <rPr>
        <b/>
        <u/>
        <sz val="16"/>
        <color theme="1"/>
        <rFont val="Calibri"/>
        <family val="2"/>
        <scheme val="minor"/>
      </rPr>
      <t>Routine Immunization</t>
    </r>
    <r>
      <rPr>
        <b/>
        <sz val="16"/>
        <color theme="1"/>
        <rFont val="Calibri"/>
        <family val="2"/>
        <scheme val="minor"/>
      </rPr>
      <t xml:space="preserve"> vaccines to include in analysis</t>
    </r>
  </si>
  <si>
    <r>
      <t xml:space="preserve">Step 3: Define </t>
    </r>
    <r>
      <rPr>
        <b/>
        <u/>
        <sz val="16"/>
        <color theme="1"/>
        <rFont val="Calibri"/>
        <family val="2"/>
        <scheme val="minor"/>
      </rPr>
      <t>Supplemental Immunization</t>
    </r>
    <r>
      <rPr>
        <b/>
        <sz val="16"/>
        <color theme="1"/>
        <rFont val="Calibri"/>
        <family val="2"/>
        <scheme val="minor"/>
      </rPr>
      <t xml:space="preserve"> vaccines to include in analysis</t>
    </r>
  </si>
  <si>
    <t>Total number of additional doses procured for Supplemental Immunization Activities (SIAs)</t>
  </si>
  <si>
    <t>Total cold chain volume (m³) required for Supplemental Immunization Activities (SIAs)</t>
  </si>
  <si>
    <t>Total ambient temp. volume (m³) required for Supplemental Immunization Activities (SIAs)</t>
  </si>
  <si>
    <t>Release Version 1.1</t>
  </si>
  <si>
    <t>Revision History</t>
  </si>
  <si>
    <t>Version</t>
  </si>
  <si>
    <t>Summary of Key Changes</t>
  </si>
  <si>
    <t>Initial Release Version</t>
  </si>
  <si>
    <t>Added section on Supplemental Immunizations to the Vaccine Demand Volume &amp; Value supporting worksheet</t>
  </si>
  <si>
    <t>Changed worksheet protections to allow editing/copying graphs on Outputs and Scenario Manager worksheets while the worksheet is still protected</t>
  </si>
  <si>
    <t>Fixed bug in Scenario Manager formulas - will now display Outputs worksheet names that contain spaces</t>
  </si>
  <si>
    <t xml:space="preserve">Fixed bug in Passive Cold Storage utilization calculation - Tiers with no passive cold storage devices should display "-" for the utilization value, but were not always doing so if a higher tier was using cold boxes to deliver into the tier in question </t>
  </si>
  <si>
    <t>1_Outputs</t>
  </si>
  <si>
    <t>2_Inputs</t>
  </si>
  <si>
    <t>3_Inputs</t>
  </si>
  <si>
    <t>4_Inputs</t>
  </si>
  <si>
    <t>2_Outputs</t>
  </si>
  <si>
    <t>3_Outputs</t>
  </si>
  <si>
    <t>4_Outputs</t>
  </si>
  <si>
    <t>Baseline + High Demand</t>
  </si>
  <si>
    <t>Monthly Ordering + High Demand</t>
  </si>
  <si>
    <t>More Storage + High Demand</t>
  </si>
  <si>
    <t xml:space="preserve">Max storage capacity utilization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</si>
</sst>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
    <numFmt numFmtId="166" formatCode="0.0"/>
    <numFmt numFmtId="167" formatCode="_(&quot;$&quot;* #,##0.000_);_(&quot;$&quot;* \(#,##0.000\);_(&quot;$&quot;* &quot;-&quot;??_);_(@_)"/>
    <numFmt numFmtId="168" formatCode="_(&quot;$&quot;* #,##0.00000_);_(&quot;$&quot;* \(#,##0.00000\);_(&quot;$&quot;* &quot;-&quot;??_);_(@_)"/>
    <numFmt numFmtId="169" formatCode="0.00000"/>
    <numFmt numFmtId="170" formatCode="0.0000"/>
    <numFmt numFmtId="171" formatCode="_(* #,##0_);_(* \(#,##0\);_(* &quot;-&quot;??_);_(@_)"/>
    <numFmt numFmtId="172" formatCode="0%;\-0%;&quot;-&quot;"/>
    <numFmt numFmtId="173" formatCode="0.000"/>
    <numFmt numFmtId="174" formatCode="_(&quot;$&quot;\ #,##0_);_(&quot;$&quot;\ \(#,##0\);_(&quot;$&quot;\ &quot;-&quot;??_);_(@_)"/>
    <numFmt numFmtId="175" formatCode="_(&quot;$&quot;\ #,##0.00_);_(&quot;$&quot;\ \(#,##0.00\);_(&quot;$&quot;\ &quot;-&quot;??_);_(@_)"/>
    <numFmt numFmtId="176" formatCode="_(\ #,##0.0_);_(\ \(#,##0.0\);_(\ &quot;-&quot;??_);_(@_)"/>
    <numFmt numFmtId="177" formatCode="_(\ #,##0_);_(\ \(#,##0\);_(\ &quot;-&quot;??_);_(@_)"/>
    <numFmt numFmtId="178" formatCode="_(\ #,##0.0_);_(\ \(#,##0.0\);_(\ &quot;-&quot;_);_(@_)"/>
    <numFmt numFmtId="179" formatCode="0.0%;\-0.0%;&quot;-&quot;"/>
    <numFmt numFmtId="180" formatCode="0.0;\-0.0;&quot;-&quot;"/>
    <numFmt numFmtId="181" formatCode="0;\-0;&quot;-&quot;"/>
    <numFmt numFmtId="182" formatCode="0.00;\-0.00;&quot;-&quot;"/>
    <numFmt numFmtId="183" formatCode="0.000;\-0.000;&quot;-&quot;"/>
    <numFmt numFmtId="184" formatCode="0.00000;\-0.00000;&quot;-&quot;"/>
    <numFmt numFmtId="185" formatCode="_(&quot;$&quot;* #,##0.0000_);_(&quot;$&quot;* \(#,##0.0000\);_(&quot;$&quot;* &quot;-&quot;??_);_(@_)"/>
    <numFmt numFmtId="186" formatCode="#\ ###\ ###\ ##0;\-#\ ###\ ###\ ##0;0"/>
    <numFmt numFmtId="187" formatCode="_-* #,##0\ _€_-;\-* #,##0\ _€_-;_-* &quot;-&quot;??\ _€_-;_-@_-"/>
    <numFmt numFmtId="188" formatCode="_-* #,##0.0\ _€_-;\-* #,##0.0\ _€_-;_-* &quot;-&quot;??\ _€_-;_-@_-"/>
    <numFmt numFmtId="189" formatCode="0.000000000"/>
    <numFmt numFmtId="190" formatCode="_(* #,##0.0_);_(* \(#,##0.0\);_(* &quot;-&quot;?_);_(@_)"/>
    <numFmt numFmtId="191" formatCode="0.0000000000"/>
    <numFmt numFmtId="192" formatCode="0.0000000"/>
    <numFmt numFmtId="193" formatCode="_(* #,##0.00000000_);_(* \(#,##0.00000000\);_(* &quot;-&quot;??_);_(@_)"/>
    <numFmt numFmtId="194" formatCode="0.00000000"/>
    <numFmt numFmtId="195" formatCode="[$-409]mmmm\ d\,\ yyyy;@"/>
    <numFmt numFmtId="196" formatCode="_(* #,##0.00000_);_(* \(#,##0.00000\);_(* &quot;-&quot;?????_);_(@_)"/>
  </numFmts>
  <fonts count="148">
    <font>
      <sz val="11"/>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1"/>
      <name val="Calibri"/>
      <family val="2"/>
      <scheme val="minor"/>
    </font>
    <font>
      <b/>
      <sz val="14"/>
      <color theme="1"/>
      <name val="Calibri"/>
      <family val="2"/>
      <scheme val="minor"/>
    </font>
    <font>
      <sz val="11"/>
      <color theme="0" tint="-0.34998626667073579"/>
      <name val="Calibri"/>
      <family val="2"/>
      <scheme val="minor"/>
    </font>
    <font>
      <sz val="11"/>
      <color theme="1" tint="0.499984740745262"/>
      <name val="Calibri"/>
      <family val="2"/>
      <scheme val="minor"/>
    </font>
    <font>
      <u/>
      <sz val="11"/>
      <color theme="10"/>
      <name val="Calibri"/>
      <family val="2"/>
      <scheme val="minor"/>
    </font>
    <font>
      <u/>
      <sz val="11"/>
      <color theme="11"/>
      <name val="Calibri"/>
      <family val="2"/>
      <scheme val="minor"/>
    </font>
    <font>
      <sz val="11"/>
      <color theme="5"/>
      <name val="Calibri"/>
      <family val="2"/>
      <scheme val="minor"/>
    </font>
    <font>
      <sz val="11"/>
      <color rgb="FFC00000"/>
      <name val="Calibri"/>
      <family val="2"/>
      <scheme val="minor"/>
    </font>
    <font>
      <b/>
      <sz val="11"/>
      <color theme="0" tint="-0.499984740745262"/>
      <name val="Calibri"/>
      <family val="2"/>
      <scheme val="minor"/>
    </font>
    <font>
      <sz val="11"/>
      <color theme="0"/>
      <name val="Calibri"/>
      <family val="2"/>
      <scheme val="minor"/>
    </font>
    <font>
      <b/>
      <sz val="16"/>
      <color theme="1"/>
      <name val="Calibri"/>
      <family val="2"/>
      <scheme val="minor"/>
    </font>
    <font>
      <sz val="14"/>
      <color theme="1"/>
      <name val="Calibri"/>
      <family val="2"/>
      <scheme val="minor"/>
    </font>
    <font>
      <i/>
      <sz val="11"/>
      <color theme="1"/>
      <name val="Calibri"/>
      <family val="2"/>
      <scheme val="minor"/>
    </font>
    <font>
      <b/>
      <sz val="14"/>
      <color theme="0"/>
      <name val="Calibri"/>
      <family val="2"/>
      <scheme val="minor"/>
    </font>
    <font>
      <sz val="12"/>
      <color rgb="FF242729"/>
      <name val="MathJax_Math-italic"/>
    </font>
    <font>
      <b/>
      <sz val="11"/>
      <name val="Calibri"/>
      <family val="2"/>
      <scheme val="minor"/>
    </font>
    <font>
      <sz val="11"/>
      <color theme="2" tint="-0.249977111117893"/>
      <name val="Calibri"/>
      <family val="2"/>
      <scheme val="minor"/>
    </font>
    <font>
      <sz val="11"/>
      <color rgb="FF000000"/>
      <name val="Calibri"/>
      <family val="2"/>
      <scheme val="minor"/>
    </font>
    <font>
      <b/>
      <sz val="11"/>
      <color theme="0"/>
      <name val="Calibri"/>
      <family val="2"/>
      <scheme val="minor"/>
    </font>
    <font>
      <b/>
      <sz val="12"/>
      <color theme="0"/>
      <name val="Calibri"/>
      <family val="2"/>
      <scheme val="minor"/>
    </font>
    <font>
      <b/>
      <sz val="11"/>
      <color rgb="FF000000"/>
      <name val="Calibri"/>
      <family val="2"/>
      <scheme val="minor"/>
    </font>
    <font>
      <b/>
      <sz val="11"/>
      <color rgb="FFFF0000"/>
      <name val="Calibri"/>
      <family val="2"/>
      <scheme val="minor"/>
    </font>
    <font>
      <sz val="11"/>
      <color rgb="FFC0F1CE"/>
      <name val="Calibri"/>
      <family val="2"/>
      <scheme val="minor"/>
    </font>
    <font>
      <b/>
      <sz val="12"/>
      <color rgb="FFFF0000"/>
      <name val="Calibri"/>
      <family val="2"/>
      <scheme val="minor"/>
    </font>
    <font>
      <sz val="11"/>
      <color theme="1"/>
      <name val="Calibri (Body)"/>
    </font>
    <font>
      <b/>
      <sz val="14"/>
      <name val="Calibri"/>
      <family val="2"/>
      <scheme val="minor"/>
    </font>
    <font>
      <sz val="11"/>
      <color theme="0" tint="-0.14999847407452621"/>
      <name val="Calibri"/>
      <family val="2"/>
      <scheme val="minor"/>
    </font>
    <font>
      <b/>
      <sz val="10"/>
      <color theme="1"/>
      <name val="Calibri"/>
      <family val="2"/>
      <scheme val="minor"/>
    </font>
    <font>
      <sz val="11"/>
      <color theme="4" tint="-0.249977111117893"/>
      <name val="Calibri"/>
      <family val="2"/>
      <scheme val="minor"/>
    </font>
    <font>
      <sz val="11"/>
      <color theme="4" tint="-0.499984740745262"/>
      <name val="Calibri"/>
      <family val="2"/>
      <scheme val="minor"/>
    </font>
    <font>
      <b/>
      <sz val="11"/>
      <color theme="4" tint="-0.499984740745262"/>
      <name val="Calibri"/>
      <family val="2"/>
      <scheme val="minor"/>
    </font>
    <font>
      <b/>
      <sz val="11"/>
      <color rgb="FF7030A0"/>
      <name val="Calibri"/>
      <family val="2"/>
      <scheme val="minor"/>
    </font>
    <font>
      <b/>
      <sz val="11"/>
      <color theme="9" tint="-0.499984740745262"/>
      <name val="Calibri"/>
      <family val="2"/>
      <scheme val="minor"/>
    </font>
    <font>
      <sz val="11"/>
      <color theme="9" tint="-0.499984740745262"/>
      <name val="Calibri"/>
      <family val="2"/>
      <scheme val="minor"/>
    </font>
    <font>
      <b/>
      <u/>
      <sz val="11"/>
      <color theme="1"/>
      <name val="Calibri"/>
      <family val="2"/>
      <scheme val="minor"/>
    </font>
    <font>
      <sz val="11"/>
      <color rgb="FF00B050"/>
      <name val="Calibri"/>
      <family val="2"/>
      <scheme val="minor"/>
    </font>
    <font>
      <b/>
      <sz val="11"/>
      <color theme="9" tint="-0.249977111117893"/>
      <name val="Calibri"/>
      <family val="2"/>
      <scheme val="minor"/>
    </font>
    <font>
      <sz val="11"/>
      <color theme="0" tint="-0.249977111117893"/>
      <name val="Calibri"/>
      <family val="2"/>
      <scheme val="minor"/>
    </font>
    <font>
      <i/>
      <sz val="11"/>
      <name val="Calibri"/>
      <family val="2"/>
      <scheme val="minor"/>
    </font>
    <font>
      <strike/>
      <sz val="11"/>
      <color theme="1"/>
      <name val="Calibri"/>
      <family val="2"/>
      <scheme val="minor"/>
    </font>
    <font>
      <i/>
      <sz val="11"/>
      <color theme="9" tint="-0.499984740745262"/>
      <name val="Calibri"/>
      <family val="2"/>
      <scheme val="minor"/>
    </font>
    <font>
      <sz val="11"/>
      <color rgb="FF9C6500"/>
      <name val="Calibri"/>
      <family val="2"/>
      <scheme val="minor"/>
    </font>
    <font>
      <u/>
      <sz val="11"/>
      <color theme="1"/>
      <name val="Calibri"/>
      <family val="2"/>
      <scheme val="minor"/>
    </font>
    <font>
      <b/>
      <i/>
      <sz val="11"/>
      <color theme="1"/>
      <name val="Calibri"/>
      <family val="2"/>
      <scheme val="minor"/>
    </font>
    <font>
      <sz val="14"/>
      <name val="Calibri"/>
      <family val="2"/>
      <scheme val="minor"/>
    </font>
    <font>
      <i/>
      <sz val="11"/>
      <color theme="0" tint="-0.34998626667073579"/>
      <name val="Calibri"/>
      <family val="2"/>
      <scheme val="minor"/>
    </font>
    <font>
      <b/>
      <sz val="11"/>
      <color theme="0" tint="-0.34998626667073579"/>
      <name val="Calibri"/>
      <family val="2"/>
      <scheme val="minor"/>
    </font>
    <font>
      <i/>
      <sz val="14"/>
      <color theme="0"/>
      <name val="Calibri"/>
      <family val="2"/>
      <scheme val="minor"/>
    </font>
    <font>
      <b/>
      <sz val="14"/>
      <color rgb="FFFF0000"/>
      <name val="Calibri"/>
      <family val="2"/>
      <scheme val="minor"/>
    </font>
    <font>
      <strike/>
      <sz val="11"/>
      <name val="Calibri"/>
      <family val="2"/>
      <scheme val="minor"/>
    </font>
    <font>
      <b/>
      <sz val="12"/>
      <name val="Calibri"/>
      <family val="2"/>
      <scheme val="minor"/>
    </font>
    <font>
      <b/>
      <i/>
      <sz val="11"/>
      <name val="Calibri"/>
      <family val="2"/>
      <scheme val="minor"/>
    </font>
    <font>
      <b/>
      <sz val="10"/>
      <name val="Arial"/>
      <family val="2"/>
    </font>
    <font>
      <sz val="16"/>
      <color theme="1"/>
      <name val="Calibri"/>
      <family val="2"/>
      <scheme val="minor"/>
    </font>
    <font>
      <sz val="12"/>
      <name val="Calibri"/>
      <family val="2"/>
      <scheme val="minor"/>
    </font>
    <font>
      <sz val="11"/>
      <color theme="9" tint="-0.249977111117893"/>
      <name val="Calibri"/>
      <family val="2"/>
      <scheme val="minor"/>
    </font>
    <font>
      <i/>
      <u val="singleAccounting"/>
      <sz val="11"/>
      <color theme="1"/>
      <name val="Calibri"/>
      <family val="2"/>
      <scheme val="minor"/>
    </font>
    <font>
      <i/>
      <sz val="11"/>
      <color theme="9" tint="-0.249977111117893"/>
      <name val="Calibri"/>
      <family val="2"/>
      <scheme val="minor"/>
    </font>
    <font>
      <b/>
      <sz val="11"/>
      <color theme="0" tint="-0.14999847407452621"/>
      <name val="Calibri"/>
      <family val="2"/>
      <scheme val="minor"/>
    </font>
    <font>
      <i/>
      <sz val="11"/>
      <color theme="0" tint="-0.14999847407452621"/>
      <name val="Calibri"/>
      <family val="2"/>
      <scheme val="minor"/>
    </font>
    <font>
      <sz val="14"/>
      <color theme="0"/>
      <name val="Calibri"/>
      <family val="2"/>
      <scheme val="minor"/>
    </font>
    <font>
      <sz val="11"/>
      <color theme="0" tint="-0.499984740745262"/>
      <name val="Calibri"/>
      <family val="2"/>
      <scheme val="minor"/>
    </font>
    <font>
      <b/>
      <sz val="13"/>
      <color theme="0"/>
      <name val="Calibri"/>
      <family val="2"/>
      <scheme val="minor"/>
    </font>
    <font>
      <sz val="13"/>
      <color theme="0"/>
      <name val="Calibri"/>
      <family val="2"/>
      <scheme val="minor"/>
    </font>
    <font>
      <sz val="13"/>
      <color theme="1"/>
      <name val="Calibri"/>
      <family val="2"/>
      <scheme val="minor"/>
    </font>
    <font>
      <b/>
      <sz val="13"/>
      <name val="Calibri"/>
      <family val="2"/>
      <scheme val="minor"/>
    </font>
    <font>
      <sz val="13"/>
      <name val="Calibri"/>
      <family val="2"/>
      <scheme val="minor"/>
    </font>
    <font>
      <sz val="11"/>
      <color rgb="FFDDF7E4"/>
      <name val="Calibri"/>
      <family val="2"/>
      <scheme val="minor"/>
    </font>
    <font>
      <i/>
      <sz val="12"/>
      <color theme="0"/>
      <name val="Calibri"/>
      <family val="2"/>
      <scheme val="minor"/>
    </font>
    <font>
      <sz val="9"/>
      <color indexed="81"/>
      <name val="Tahoma"/>
      <family val="2"/>
    </font>
    <font>
      <b/>
      <sz val="9"/>
      <color indexed="81"/>
      <name val="Tahoma"/>
      <family val="2"/>
    </font>
    <font>
      <i/>
      <sz val="10"/>
      <color theme="1"/>
      <name val="Calibri"/>
      <family val="2"/>
      <scheme val="minor"/>
    </font>
    <font>
      <b/>
      <u/>
      <sz val="12"/>
      <color theme="1"/>
      <name val="Calibri"/>
      <family val="2"/>
      <scheme val="minor"/>
    </font>
    <font>
      <b/>
      <sz val="11"/>
      <color theme="1" tint="0.34998626667073579"/>
      <name val="Calibri"/>
      <family val="2"/>
      <scheme val="minor"/>
    </font>
    <font>
      <sz val="11"/>
      <color theme="1" tint="0.34998626667073579"/>
      <name val="Calibri"/>
      <family val="2"/>
      <scheme val="minor"/>
    </font>
    <font>
      <b/>
      <sz val="14"/>
      <color theme="1" tint="0.34998626667073579"/>
      <name val="Calibri"/>
      <family val="2"/>
      <scheme val="minor"/>
    </font>
    <font>
      <b/>
      <sz val="11"/>
      <color rgb="FFDDF7E4"/>
      <name val="Calibri"/>
      <family val="2"/>
      <scheme val="minor"/>
    </font>
    <font>
      <i/>
      <sz val="16"/>
      <color theme="1"/>
      <name val="Calibri"/>
      <family val="2"/>
      <scheme val="minor"/>
    </font>
    <font>
      <b/>
      <sz val="9"/>
      <color theme="1"/>
      <name val="Arial"/>
      <family val="2"/>
    </font>
    <font>
      <sz val="9"/>
      <color theme="1"/>
      <name val="Arial"/>
      <family val="2"/>
    </font>
    <font>
      <b/>
      <sz val="10"/>
      <color theme="1"/>
      <name val="Arial"/>
      <family val="2"/>
    </font>
    <font>
      <b/>
      <i/>
      <sz val="10"/>
      <color theme="1"/>
      <name val="Arial"/>
      <family val="2"/>
    </font>
    <font>
      <i/>
      <sz val="8"/>
      <color theme="1"/>
      <name val="Arial"/>
      <family val="2"/>
    </font>
    <font>
      <sz val="10"/>
      <color theme="1"/>
      <name val="Calibri"/>
      <family val="2"/>
      <scheme val="minor"/>
    </font>
    <font>
      <b/>
      <sz val="14"/>
      <color theme="1"/>
      <name val="Arial"/>
      <family val="2"/>
    </font>
    <font>
      <b/>
      <sz val="11"/>
      <color rgb="FF0070C0"/>
      <name val="Calibri"/>
      <family val="2"/>
      <scheme val="minor"/>
    </font>
    <font>
      <sz val="11"/>
      <color rgb="FF0070C0"/>
      <name val="Calibri"/>
      <family val="2"/>
      <scheme val="minor"/>
    </font>
    <font>
      <b/>
      <sz val="11"/>
      <color theme="3"/>
      <name val="Calibri"/>
      <family val="2"/>
      <scheme val="minor"/>
    </font>
    <font>
      <sz val="11"/>
      <color rgb="FF3F3F76"/>
      <name val="Calibri"/>
      <family val="2"/>
      <scheme val="minor"/>
    </font>
    <font>
      <b/>
      <sz val="11"/>
      <color rgb="FFFA7D00"/>
      <name val="Calibri"/>
      <family val="2"/>
      <scheme val="minor"/>
    </font>
    <font>
      <i/>
      <sz val="11"/>
      <color rgb="FF7F7F7F"/>
      <name val="Calibri"/>
      <family val="2"/>
      <scheme val="minor"/>
    </font>
    <font>
      <b/>
      <sz val="14"/>
      <color rgb="FF0070C0"/>
      <name val="Calibri"/>
      <family val="2"/>
      <scheme val="minor"/>
    </font>
    <font>
      <b/>
      <sz val="16"/>
      <color rgb="FF0070C0"/>
      <name val="Calibri"/>
      <family val="2"/>
      <scheme val="minor"/>
    </font>
    <font>
      <i/>
      <sz val="11"/>
      <color rgb="FFFF0000"/>
      <name val="Calibri"/>
      <family val="2"/>
      <scheme val="minor"/>
    </font>
    <font>
      <vertAlign val="superscript"/>
      <sz val="11"/>
      <color theme="1"/>
      <name val="Calibri"/>
      <family val="2"/>
      <scheme val="minor"/>
    </font>
    <font>
      <sz val="10"/>
      <color indexed="81"/>
      <name val="Tahoma"/>
      <family val="2"/>
    </font>
    <font>
      <sz val="10"/>
      <color rgb="FF000000"/>
      <name val="Tahoma"/>
      <family val="2"/>
    </font>
    <font>
      <b/>
      <sz val="10"/>
      <color rgb="FF000000"/>
      <name val="Tahoma"/>
      <family val="2"/>
    </font>
    <font>
      <b/>
      <sz val="10"/>
      <color indexed="81"/>
      <name val="Tahoma"/>
      <family val="2"/>
    </font>
    <font>
      <b/>
      <i/>
      <sz val="12"/>
      <color theme="0"/>
      <name val="Calibri"/>
      <family val="2"/>
      <scheme val="minor"/>
    </font>
    <font>
      <i/>
      <u/>
      <sz val="12"/>
      <color theme="0"/>
      <name val="Calibri"/>
      <family val="2"/>
      <scheme val="minor"/>
    </font>
    <font>
      <b/>
      <sz val="16"/>
      <name val="Calibri"/>
      <family val="2"/>
      <scheme val="minor"/>
    </font>
    <font>
      <sz val="8"/>
      <name val="Arial"/>
      <family val="2"/>
    </font>
    <font>
      <sz val="8"/>
      <color rgb="FFFF0000"/>
      <name val="Arial"/>
      <family val="2"/>
    </font>
    <font>
      <b/>
      <sz val="8"/>
      <color rgb="FFFF0000"/>
      <name val="Arial"/>
      <family val="2"/>
    </font>
    <font>
      <b/>
      <sz val="8"/>
      <name val="Arial"/>
      <family val="2"/>
    </font>
    <font>
      <sz val="8"/>
      <color theme="1"/>
      <name val="Arial"/>
      <family val="2"/>
    </font>
    <font>
      <b/>
      <sz val="20"/>
      <color indexed="9"/>
      <name val="Arial"/>
      <family val="2"/>
    </font>
    <font>
      <sz val="10"/>
      <color indexed="9"/>
      <name val="Arial"/>
      <family val="2"/>
    </font>
    <font>
      <sz val="8"/>
      <color theme="1" tint="0.499984740745262"/>
      <name val="Arial"/>
      <family val="2"/>
    </font>
    <font>
      <b/>
      <sz val="12"/>
      <color indexed="12"/>
      <name val="Arial"/>
      <family val="2"/>
    </font>
    <font>
      <b/>
      <sz val="14"/>
      <color theme="4" tint="-0.249977111117893"/>
      <name val="Calibri"/>
      <family val="2"/>
      <scheme val="minor"/>
    </font>
    <font>
      <b/>
      <sz val="10"/>
      <color theme="4" tint="-0.249977111117893"/>
      <name val="Arial"/>
      <family val="2"/>
    </font>
    <font>
      <b/>
      <sz val="11"/>
      <color theme="4" tint="-0.249977111117893"/>
      <name val="Calibri"/>
      <family val="2"/>
      <scheme val="minor"/>
    </font>
    <font>
      <sz val="10"/>
      <color theme="1"/>
      <name val="Arial"/>
      <family val="2"/>
    </font>
    <font>
      <sz val="10"/>
      <name val="Arial"/>
      <family val="2"/>
    </font>
    <font>
      <i/>
      <sz val="12"/>
      <color theme="1"/>
      <name val="Calibri"/>
      <family val="2"/>
      <scheme val="minor"/>
    </font>
    <font>
      <sz val="9"/>
      <color rgb="FFFF0000"/>
      <name val="Calibri"/>
      <family val="2"/>
      <scheme val="minor"/>
    </font>
    <font>
      <i/>
      <sz val="10"/>
      <color indexed="81"/>
      <name val="Tahoma"/>
      <family val="2"/>
    </font>
    <font>
      <sz val="9"/>
      <name val="Arial"/>
      <family val="2"/>
    </font>
    <font>
      <sz val="9"/>
      <name val="Calibri"/>
      <family val="2"/>
      <scheme val="minor"/>
    </font>
    <font>
      <sz val="9"/>
      <color theme="1" tint="0.499984740745262"/>
      <name val="Arial"/>
      <family val="2"/>
    </font>
    <font>
      <sz val="9"/>
      <color rgb="FFFF0000"/>
      <name val="Arial"/>
      <family val="2"/>
    </font>
    <font>
      <b/>
      <sz val="9"/>
      <name val="Arial"/>
      <family val="2"/>
    </font>
    <font>
      <b/>
      <sz val="9"/>
      <color theme="1" tint="0.499984740745262"/>
      <name val="Arial"/>
      <family val="2"/>
    </font>
    <font>
      <i/>
      <sz val="9"/>
      <name val="Arial"/>
      <family val="2"/>
    </font>
    <font>
      <i/>
      <vertAlign val="superscript"/>
      <sz val="9"/>
      <name val="Arial"/>
      <family val="2"/>
    </font>
    <font>
      <u/>
      <sz val="10"/>
      <color rgb="FF0070C0"/>
      <name val="Calibri"/>
      <family val="2"/>
      <scheme val="minor"/>
    </font>
    <font>
      <vertAlign val="superscript"/>
      <sz val="11"/>
      <name val="Calibri"/>
      <family val="2"/>
      <scheme val="minor"/>
    </font>
    <font>
      <b/>
      <sz val="24"/>
      <color theme="8" tint="-0.499984740745262"/>
      <name val="Calibri"/>
      <family val="2"/>
      <scheme val="minor"/>
    </font>
    <font>
      <i/>
      <sz val="12"/>
      <color theme="8" tint="-0.499984740745262"/>
      <name val="Calibri"/>
      <family val="2"/>
      <scheme val="minor"/>
    </font>
    <font>
      <sz val="11"/>
      <color theme="8" tint="-0.499984740745262"/>
      <name val="Calibri"/>
      <family val="2"/>
      <scheme val="minor"/>
    </font>
    <font>
      <b/>
      <i/>
      <sz val="12"/>
      <color theme="8" tint="-0.499984740745262"/>
      <name val="Calibri"/>
      <family val="2"/>
      <scheme val="minor"/>
    </font>
    <font>
      <b/>
      <sz val="14"/>
      <name val="Arial"/>
      <family val="2"/>
    </font>
    <font>
      <i/>
      <sz val="10"/>
      <name val="Calibri"/>
      <family val="2"/>
      <scheme val="minor"/>
    </font>
    <font>
      <sz val="10"/>
      <name val="Calibri"/>
      <family val="2"/>
      <scheme val="minor"/>
    </font>
    <font>
      <b/>
      <sz val="12"/>
      <name val="Calibri Light"/>
      <family val="2"/>
      <scheme val="major"/>
    </font>
    <font>
      <b/>
      <sz val="16"/>
      <color theme="0"/>
      <name val="Calibri"/>
      <family val="2"/>
      <scheme val="minor"/>
    </font>
    <font>
      <i/>
      <u/>
      <sz val="11"/>
      <color theme="1"/>
      <name val="Calibri"/>
      <family val="2"/>
      <scheme val="minor"/>
    </font>
    <font>
      <b/>
      <sz val="14"/>
      <color theme="8"/>
      <name val="Calibri"/>
      <family val="2"/>
      <scheme val="minor"/>
    </font>
    <font>
      <i/>
      <sz val="14"/>
      <color theme="4" tint="-0.499984740745262"/>
      <name val="Calibri"/>
      <family val="2"/>
      <scheme val="minor"/>
    </font>
    <font>
      <b/>
      <u/>
      <sz val="16"/>
      <color theme="1"/>
      <name val="Calibri"/>
      <family val="2"/>
      <scheme val="minor"/>
    </font>
  </fonts>
  <fills count="4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1F1CE"/>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49998474074526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rgb="FFC0F1CE"/>
        <bgColor indexed="64"/>
      </patternFill>
    </fill>
    <fill>
      <patternFill patternType="solid">
        <fgColor rgb="FFC0F1CE"/>
        <bgColor rgb="FF000000"/>
      </patternFill>
    </fill>
    <fill>
      <patternFill patternType="solid">
        <fgColor rgb="FFA6A6A6"/>
        <bgColor rgb="FF000000"/>
      </patternFill>
    </fill>
    <fill>
      <patternFill patternType="solid">
        <fgColor rgb="FFFFFF00"/>
        <bgColor indexed="64"/>
      </patternFill>
    </fill>
    <fill>
      <patternFill patternType="solid">
        <fgColor theme="5" tint="0.79998168889431442"/>
        <bgColor indexed="64"/>
      </patternFill>
    </fill>
    <fill>
      <patternFill patternType="solid">
        <fgColor rgb="FFFFEB9C"/>
      </patternFill>
    </fill>
    <fill>
      <patternFill patternType="solid">
        <fgColor theme="0" tint="-4.9989318521683403E-2"/>
        <bgColor indexed="64"/>
      </patternFill>
    </fill>
    <fill>
      <patternFill patternType="solid">
        <fgColor theme="4" tint="0.79998168889431442"/>
        <bgColor indexed="64"/>
      </patternFill>
    </fill>
    <fill>
      <patternFill patternType="solid">
        <fgColor indexed="44"/>
        <bgColor indexed="64"/>
      </patternFill>
    </fill>
    <fill>
      <patternFill patternType="solid">
        <fgColor rgb="FFDDF7E4"/>
        <bgColor indexed="64"/>
      </patternFill>
    </fill>
    <fill>
      <patternFill patternType="solid">
        <fgColor rgb="FF677E9D"/>
        <bgColor indexed="64"/>
      </patternFill>
    </fill>
    <fill>
      <patternFill patternType="solid">
        <fgColor rgb="FFC4CDDA"/>
        <bgColor indexed="64"/>
      </patternFill>
    </fill>
    <fill>
      <patternFill patternType="solid">
        <fgColor rgb="FFC4CDDA"/>
        <bgColor rgb="FF000000"/>
      </patternFill>
    </fill>
    <fill>
      <patternFill patternType="solid">
        <fgColor theme="3" tint="0.59999389629810485"/>
        <bgColor indexed="64"/>
      </patternFill>
    </fill>
    <fill>
      <patternFill patternType="solid">
        <fgColor rgb="FFD3D3D3"/>
        <bgColor indexed="64"/>
      </patternFill>
    </fill>
    <fill>
      <patternFill patternType="solid">
        <fgColor rgb="FFF8E1A6"/>
        <bgColor indexed="64"/>
      </patternFill>
    </fill>
    <fill>
      <patternFill patternType="solid">
        <fgColor rgb="FFFFCC99"/>
      </patternFill>
    </fill>
    <fill>
      <patternFill patternType="solid">
        <fgColor rgb="FFF2F2F2"/>
      </patternFill>
    </fill>
    <fill>
      <patternFill patternType="solid">
        <fgColor indexed="63"/>
        <bgColor indexed="64"/>
      </patternFill>
    </fill>
    <fill>
      <patternFill patternType="solid">
        <fgColor indexed="9"/>
        <bgColor indexed="64"/>
      </patternFill>
    </fill>
    <fill>
      <patternFill patternType="solid">
        <fgColor indexed="22"/>
        <bgColor indexed="64"/>
      </patternFill>
    </fill>
    <fill>
      <patternFill patternType="solid">
        <fgColor theme="1" tint="0.499984740745262"/>
        <bgColor indexed="64"/>
      </patternFill>
    </fill>
    <fill>
      <patternFill patternType="solid">
        <fgColor theme="4" tint="-0.249977111117893"/>
        <bgColor indexed="64"/>
      </patternFill>
    </fill>
    <fill>
      <patternFill patternType="solid">
        <fgColor theme="7" tint="-0.249977111117893"/>
        <bgColor indexed="64"/>
      </patternFill>
    </fill>
    <fill>
      <patternFill patternType="solid">
        <fgColor rgb="FF7030A0"/>
        <bgColor indexed="64"/>
      </patternFill>
    </fill>
    <fill>
      <patternFill patternType="solid">
        <fgColor theme="0" tint="-0.499984740745262"/>
        <bgColor indexed="64"/>
      </patternFill>
    </fill>
    <fill>
      <patternFill patternType="solid">
        <fgColor rgb="FFECFAF0"/>
        <bgColor indexed="64"/>
      </patternFill>
    </fill>
  </fills>
  <borders count="131">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top style="thin">
        <color auto="1"/>
      </top>
      <bottom style="medium">
        <color auto="1"/>
      </bottom>
      <diagonal/>
    </border>
    <border>
      <left style="medium">
        <color auto="1"/>
      </left>
      <right/>
      <top/>
      <bottom/>
      <diagonal/>
    </border>
    <border>
      <left style="medium">
        <color auto="1"/>
      </left>
      <right/>
      <top style="thin">
        <color auto="1"/>
      </top>
      <bottom style="medium">
        <color auto="1"/>
      </bottom>
      <diagonal/>
    </border>
    <border>
      <left/>
      <right/>
      <top style="medium">
        <color auto="1"/>
      </top>
      <bottom/>
      <diagonal/>
    </border>
    <border>
      <left/>
      <right style="medium">
        <color auto="1"/>
      </right>
      <top style="thin">
        <color auto="1"/>
      </top>
      <bottom style="medium">
        <color auto="1"/>
      </bottom>
      <diagonal/>
    </border>
    <border>
      <left/>
      <right style="medium">
        <color auto="1"/>
      </right>
      <top style="thin">
        <color auto="1"/>
      </top>
      <bottom/>
      <diagonal/>
    </border>
    <border>
      <left/>
      <right style="medium">
        <color auto="1"/>
      </right>
      <top/>
      <bottom style="thin">
        <color auto="1"/>
      </bottom>
      <diagonal/>
    </border>
    <border>
      <left/>
      <right/>
      <top/>
      <bottom style="medium">
        <color auto="1"/>
      </bottom>
      <diagonal/>
    </border>
    <border>
      <left/>
      <right style="medium">
        <color auto="1"/>
      </right>
      <top/>
      <bottom/>
      <diagonal/>
    </border>
    <border>
      <left style="thin">
        <color auto="1"/>
      </left>
      <right style="thin">
        <color auto="1"/>
      </right>
      <top style="thin">
        <color auto="1"/>
      </top>
      <bottom style="medium">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style="medium">
        <color indexed="64"/>
      </bottom>
      <diagonal/>
    </border>
    <border>
      <left style="thin">
        <color auto="1"/>
      </left>
      <right/>
      <top style="medium">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medium">
        <color auto="1"/>
      </left>
      <right style="thin">
        <color auto="1"/>
      </right>
      <top/>
      <bottom style="thin">
        <color auto="1"/>
      </bottom>
      <diagonal/>
    </border>
    <border>
      <left/>
      <right style="medium">
        <color indexed="64"/>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thin">
        <color auto="1"/>
      </bottom>
      <diagonal/>
    </border>
    <border>
      <left/>
      <right/>
      <top style="hair">
        <color theme="0" tint="-0.24994659260841701"/>
      </top>
      <bottom style="hair">
        <color theme="0" tint="-0.2499465926084170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FF0000"/>
      </left>
      <right/>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left style="thin">
        <color rgb="FFFF0000"/>
      </left>
      <right/>
      <top style="thin">
        <color rgb="FFFF0000"/>
      </top>
      <bottom/>
      <diagonal/>
    </border>
    <border>
      <left style="thin">
        <color rgb="FFFF0000"/>
      </left>
      <right/>
      <top/>
      <bottom style="thin">
        <color rgb="FFFF0000"/>
      </bottom>
      <diagonal/>
    </border>
    <border>
      <left style="thin">
        <color rgb="FFFF0000"/>
      </left>
      <right/>
      <top/>
      <bottom/>
      <diagonal/>
    </border>
    <border>
      <left/>
      <right/>
      <top/>
      <bottom style="hair">
        <color theme="0" tint="-0.24994659260841701"/>
      </bottom>
      <diagonal/>
    </border>
    <border>
      <left style="thin">
        <color auto="1"/>
      </left>
      <right style="thin">
        <color auto="1"/>
      </right>
      <top style="thin">
        <color auto="1"/>
      </top>
      <bottom style="hair">
        <color theme="0" tint="-0.24994659260841701"/>
      </bottom>
      <diagonal/>
    </border>
    <border>
      <left/>
      <right style="thin">
        <color auto="1"/>
      </right>
      <top/>
      <bottom style="hair">
        <color theme="0" tint="-0.24994659260841701"/>
      </bottom>
      <diagonal/>
    </border>
    <border>
      <left style="thin">
        <color auto="1"/>
      </left>
      <right/>
      <top/>
      <bottom style="hair">
        <color theme="0" tint="-0.24994659260841701"/>
      </bottom>
      <diagonal/>
    </border>
    <border>
      <left/>
      <right/>
      <top style="hair">
        <color theme="0" tint="-0.24994659260841701"/>
      </top>
      <bottom/>
      <diagonal/>
    </border>
    <border>
      <left style="thin">
        <color auto="1"/>
      </left>
      <right/>
      <top style="hair">
        <color theme="0" tint="-0.24994659260841701"/>
      </top>
      <bottom/>
      <diagonal/>
    </border>
    <border>
      <left/>
      <right style="thin">
        <color auto="1"/>
      </right>
      <top style="hair">
        <color theme="0" tint="-0.24994659260841701"/>
      </top>
      <bottom/>
      <diagonal/>
    </border>
    <border>
      <left style="thin">
        <color auto="1"/>
      </left>
      <right/>
      <top style="hair">
        <color theme="0" tint="-0.24994659260841701"/>
      </top>
      <bottom style="hair">
        <color theme="0" tint="-0.24994659260841701"/>
      </bottom>
      <diagonal/>
    </border>
    <border>
      <left/>
      <right style="thin">
        <color auto="1"/>
      </right>
      <top style="hair">
        <color theme="0" tint="-0.24994659260841701"/>
      </top>
      <bottom style="hair">
        <color theme="0" tint="-0.24994659260841701"/>
      </bottom>
      <diagonal/>
    </border>
    <border>
      <left/>
      <right/>
      <top style="hair">
        <color theme="0" tint="-0.24994659260841701"/>
      </top>
      <bottom style="medium">
        <color auto="1"/>
      </bottom>
      <diagonal/>
    </border>
    <border>
      <left/>
      <right/>
      <top style="thin">
        <color auto="1"/>
      </top>
      <bottom style="hair">
        <color theme="0" tint="-0.24994659260841701"/>
      </bottom>
      <diagonal/>
    </border>
    <border>
      <left/>
      <right/>
      <top style="hair">
        <color theme="0" tint="-0.24994659260841701"/>
      </top>
      <bottom style="thin">
        <color auto="1"/>
      </bottom>
      <diagonal/>
    </border>
    <border>
      <left style="thin">
        <color auto="1"/>
      </left>
      <right/>
      <top style="hair">
        <color theme="0" tint="-0.24994659260841701"/>
      </top>
      <bottom style="thin">
        <color indexed="64"/>
      </bottom>
      <diagonal/>
    </border>
    <border>
      <left/>
      <right style="thin">
        <color auto="1"/>
      </right>
      <top style="hair">
        <color theme="0" tint="-0.24994659260841701"/>
      </top>
      <bottom style="thin">
        <color indexed="64"/>
      </bottom>
      <diagonal/>
    </border>
    <border>
      <left style="thin">
        <color auto="1"/>
      </left>
      <right/>
      <top style="thin">
        <color indexed="64"/>
      </top>
      <bottom style="hair">
        <color theme="0" tint="-0.24994659260841701"/>
      </bottom>
      <diagonal/>
    </border>
    <border>
      <left/>
      <right style="thin">
        <color auto="1"/>
      </right>
      <top style="thin">
        <color indexed="64"/>
      </top>
      <bottom style="hair">
        <color theme="0" tint="-0.24994659260841701"/>
      </bottom>
      <diagonal/>
    </border>
    <border>
      <left style="thin">
        <color auto="1"/>
      </left>
      <right style="thin">
        <color auto="1"/>
      </right>
      <top style="hair">
        <color theme="0" tint="-0.24994659260841701"/>
      </top>
      <bottom style="hair">
        <color theme="0" tint="-0.24994659260841701"/>
      </bottom>
      <diagonal/>
    </border>
    <border>
      <left style="thin">
        <color auto="1"/>
      </left>
      <right style="thin">
        <color auto="1"/>
      </right>
      <top style="hair">
        <color theme="0" tint="-0.24994659260841701"/>
      </top>
      <bottom style="thin">
        <color auto="1"/>
      </bottom>
      <diagonal/>
    </border>
    <border>
      <left style="thin">
        <color auto="1"/>
      </left>
      <right style="thin">
        <color auto="1"/>
      </right>
      <top style="hair">
        <color theme="0" tint="-0.24994659260841701"/>
      </top>
      <bottom/>
      <diagonal/>
    </border>
    <border>
      <left style="thin">
        <color auto="1"/>
      </left>
      <right style="thin">
        <color theme="0" tint="-0.24994659260841701"/>
      </right>
      <top style="thin">
        <color auto="1"/>
      </top>
      <bottom style="hair">
        <color theme="0" tint="-0.24994659260841701"/>
      </bottom>
      <diagonal/>
    </border>
    <border>
      <left style="thin">
        <color theme="0" tint="-0.24994659260841701"/>
      </left>
      <right style="thin">
        <color theme="0" tint="-0.24994659260841701"/>
      </right>
      <top style="thin">
        <color auto="1"/>
      </top>
      <bottom style="hair">
        <color theme="0" tint="-0.24994659260841701"/>
      </bottom>
      <diagonal/>
    </border>
    <border>
      <left style="thin">
        <color theme="0" tint="-0.24994659260841701"/>
      </left>
      <right style="thin">
        <color auto="1"/>
      </right>
      <top style="thin">
        <color auto="1"/>
      </top>
      <bottom style="hair">
        <color theme="0" tint="-0.24994659260841701"/>
      </bottom>
      <diagonal/>
    </border>
    <border>
      <left style="thin">
        <color auto="1"/>
      </left>
      <right style="thin">
        <color theme="0" tint="-0.24994659260841701"/>
      </right>
      <top style="hair">
        <color theme="0" tint="-0.24994659260841701"/>
      </top>
      <bottom style="hair">
        <color theme="0" tint="-0.24994659260841701"/>
      </bottom>
      <diagonal/>
    </border>
    <border>
      <left style="thin">
        <color theme="0" tint="-0.24994659260841701"/>
      </left>
      <right style="thin">
        <color theme="0" tint="-0.24994659260841701"/>
      </right>
      <top style="hair">
        <color theme="0" tint="-0.24994659260841701"/>
      </top>
      <bottom style="hair">
        <color theme="0" tint="-0.24994659260841701"/>
      </bottom>
      <diagonal/>
    </border>
    <border>
      <left style="thin">
        <color theme="0" tint="-0.24994659260841701"/>
      </left>
      <right style="thin">
        <color auto="1"/>
      </right>
      <top style="hair">
        <color theme="0" tint="-0.24994659260841701"/>
      </top>
      <bottom style="hair">
        <color theme="0" tint="-0.24994659260841701"/>
      </bottom>
      <diagonal/>
    </border>
    <border>
      <left style="thin">
        <color auto="1"/>
      </left>
      <right style="thin">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hair">
        <color theme="0" tint="-0.24994659260841701"/>
      </top>
      <bottom style="thin">
        <color indexed="64"/>
      </bottom>
      <diagonal/>
    </border>
    <border>
      <left style="thin">
        <color theme="0" tint="-0.24994659260841701"/>
      </left>
      <right style="thin">
        <color auto="1"/>
      </right>
      <top style="hair">
        <color theme="0" tint="-0.24994659260841701"/>
      </top>
      <bottom style="thin">
        <color indexed="64"/>
      </bottom>
      <diagonal/>
    </border>
    <border>
      <left style="thin">
        <color auto="1"/>
      </left>
      <right style="thin">
        <color auto="1"/>
      </right>
      <top/>
      <bottom style="hair">
        <color theme="0" tint="-0.2499465926084170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rgb="FF7F7F7F"/>
      </left>
      <right style="thin">
        <color rgb="FF7F7F7F"/>
      </right>
      <top style="thin">
        <color rgb="FF7F7F7F"/>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thin">
        <color auto="1"/>
      </top>
      <bottom/>
      <diagonal/>
    </border>
    <border>
      <left/>
      <right style="thin">
        <color auto="1"/>
      </right>
      <top/>
      <bottom style="medium">
        <color auto="1"/>
      </bottom>
      <diagonal/>
    </border>
    <border>
      <left style="medium">
        <color indexed="64"/>
      </left>
      <right style="medium">
        <color indexed="64"/>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n">
        <color indexed="64"/>
      </right>
      <top style="thin">
        <color rgb="FFFF0000"/>
      </top>
      <bottom/>
      <diagonal/>
    </border>
    <border>
      <left/>
      <right style="thin">
        <color indexed="64"/>
      </right>
      <top/>
      <bottom style="thin">
        <color rgb="FFFF0000"/>
      </bottom>
      <diagonal/>
    </border>
  </borders>
  <cellStyleXfs count="55">
    <xf numFmtId="0" fontId="0" fillId="0" borderId="0"/>
    <xf numFmtId="44" fontId="2" fillId="0" borderId="0" applyFont="0" applyFill="0" applyBorder="0" applyAlignment="0" applyProtection="0"/>
    <xf numFmtId="43" fontId="2"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9" fontId="2"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47" fillId="20" borderId="0" applyNumberFormat="0" applyBorder="0" applyAlignment="0" applyProtection="0"/>
    <xf numFmtId="0" fontId="95" fillId="32" borderId="109" applyNumberFormat="0" applyAlignment="0" applyProtection="0"/>
    <xf numFmtId="0" fontId="10" fillId="0" borderId="0" applyNumberFormat="0" applyFill="0" applyBorder="0" applyAlignment="0" applyProtection="0"/>
  </cellStyleXfs>
  <cellXfs count="2923">
    <xf numFmtId="0" fontId="0" fillId="0" borderId="0" xfId="0"/>
    <xf numFmtId="0" fontId="4" fillId="0" borderId="0" xfId="0" applyFont="1"/>
    <xf numFmtId="0" fontId="0" fillId="0" borderId="4" xfId="0" applyBorder="1"/>
    <xf numFmtId="0" fontId="0" fillId="0" borderId="8" xfId="0" applyBorder="1"/>
    <xf numFmtId="0" fontId="3" fillId="0" borderId="0" xfId="0" applyFont="1"/>
    <xf numFmtId="0" fontId="0" fillId="0" borderId="9" xfId="0" applyBorder="1"/>
    <xf numFmtId="0" fontId="6" fillId="0" borderId="0" xfId="0" applyFont="1"/>
    <xf numFmtId="44" fontId="0" fillId="0" borderId="0" xfId="1" applyFont="1"/>
    <xf numFmtId="0" fontId="0" fillId="0" borderId="0" xfId="0" applyAlignment="1">
      <alignment horizontal="center"/>
    </xf>
    <xf numFmtId="0" fontId="12" fillId="0" borderId="0" xfId="0" applyFont="1"/>
    <xf numFmtId="0" fontId="9" fillId="0" borderId="0" xfId="0" applyFont="1" applyAlignment="1">
      <alignment horizontal="center"/>
    </xf>
    <xf numFmtId="0" fontId="8" fillId="0" borderId="0" xfId="0" applyFont="1" applyAlignment="1">
      <alignment horizontal="center"/>
    </xf>
    <xf numFmtId="0" fontId="0" fillId="4" borderId="3" xfId="0" applyFill="1" applyBorder="1" applyAlignment="1">
      <alignment horizontal="center"/>
    </xf>
    <xf numFmtId="0" fontId="0" fillId="0" borderId="3" xfId="0" applyBorder="1" applyAlignment="1">
      <alignment horizontal="center"/>
    </xf>
    <xf numFmtId="0" fontId="0" fillId="4" borderId="10" xfId="0" applyFill="1" applyBorder="1" applyAlignment="1">
      <alignment horizontal="center"/>
    </xf>
    <xf numFmtId="0" fontId="4" fillId="0" borderId="23" xfId="0" applyFont="1" applyBorder="1" applyAlignment="1">
      <alignment vertical="center" wrapText="1"/>
    </xf>
    <xf numFmtId="0" fontId="0" fillId="0" borderId="5" xfId="0" applyBorder="1" applyAlignment="1">
      <alignment horizontal="left"/>
    </xf>
    <xf numFmtId="0" fontId="0" fillId="0" borderId="5" xfId="0" applyBorder="1"/>
    <xf numFmtId="0" fontId="0" fillId="7" borderId="13" xfId="0" applyFill="1" applyBorder="1"/>
    <xf numFmtId="0" fontId="0" fillId="3" borderId="9" xfId="0" applyFill="1" applyBorder="1"/>
    <xf numFmtId="0" fontId="0" fillId="3" borderId="3" xfId="0" applyFill="1" applyBorder="1"/>
    <xf numFmtId="0" fontId="0" fillId="3" borderId="8" xfId="0" applyFill="1" applyBorder="1"/>
    <xf numFmtId="44" fontId="0" fillId="7" borderId="12" xfId="1" applyFont="1" applyFill="1" applyBorder="1"/>
    <xf numFmtId="0" fontId="17" fillId="0" borderId="0" xfId="0" applyFont="1" applyAlignment="1">
      <alignment horizontal="center" vertical="center"/>
    </xf>
    <xf numFmtId="0" fontId="16" fillId="0" borderId="0" xfId="0" applyFont="1" applyAlignment="1">
      <alignment horizontal="center" vertical="center" wrapText="1"/>
    </xf>
    <xf numFmtId="0" fontId="4" fillId="0" borderId="11" xfId="0" applyFont="1" applyBorder="1" applyAlignment="1">
      <alignment vertical="center" wrapText="1"/>
    </xf>
    <xf numFmtId="0" fontId="0" fillId="0" borderId="12" xfId="0" applyBorder="1" applyAlignment="1">
      <alignment horizontal="left"/>
    </xf>
    <xf numFmtId="0" fontId="0" fillId="0" borderId="12" xfId="0" applyBorder="1"/>
    <xf numFmtId="44" fontId="0" fillId="4" borderId="3" xfId="1" applyFont="1" applyFill="1" applyBorder="1" applyAlignment="1">
      <alignment horizontal="center"/>
    </xf>
    <xf numFmtId="44" fontId="0" fillId="4" borderId="3" xfId="0" applyNumberFormat="1" applyFill="1" applyBorder="1" applyAlignment="1">
      <alignment horizontal="center"/>
    </xf>
    <xf numFmtId="44" fontId="3" fillId="4" borderId="3" xfId="0" applyNumberFormat="1" applyFont="1" applyFill="1" applyBorder="1" applyAlignment="1">
      <alignment horizontal="center"/>
    </xf>
    <xf numFmtId="0" fontId="3" fillId="4" borderId="3" xfId="0" applyFont="1" applyFill="1" applyBorder="1" applyAlignment="1">
      <alignment horizontal="center"/>
    </xf>
    <xf numFmtId="44" fontId="3" fillId="4" borderId="3" xfId="1" applyFont="1" applyFill="1" applyBorder="1" applyAlignment="1">
      <alignment horizontal="center"/>
    </xf>
    <xf numFmtId="0" fontId="3" fillId="4" borderId="10" xfId="0" applyFont="1" applyFill="1" applyBorder="1" applyAlignment="1">
      <alignment horizontal="center"/>
    </xf>
    <xf numFmtId="0" fontId="0" fillId="0" borderId="0" xfId="0" quotePrefix="1"/>
    <xf numFmtId="0" fontId="6" fillId="0" borderId="0" xfId="0" applyFont="1" applyAlignment="1">
      <alignment vertical="center" wrapText="1"/>
    </xf>
    <xf numFmtId="0" fontId="15" fillId="0" borderId="0" xfId="0" applyFont="1"/>
    <xf numFmtId="44" fontId="0" fillId="0" borderId="0" xfId="0" applyNumberFormat="1"/>
    <xf numFmtId="0" fontId="18" fillId="0" borderId="0" xfId="0" applyFont="1"/>
    <xf numFmtId="0" fontId="0" fillId="0" borderId="0" xfId="0" applyAlignment="1">
      <alignment horizontal="left" vertical="center" wrapText="1"/>
    </xf>
    <xf numFmtId="44" fontId="0" fillId="4" borderId="7" xfId="1" applyFont="1" applyFill="1" applyBorder="1" applyAlignment="1">
      <alignment horizontal="center"/>
    </xf>
    <xf numFmtId="0" fontId="0" fillId="4" borderId="7" xfId="0" applyFill="1" applyBorder="1" applyAlignment="1">
      <alignment horizontal="center"/>
    </xf>
    <xf numFmtId="0" fontId="0" fillId="4" borderId="6" xfId="0" applyFill="1" applyBorder="1" applyAlignment="1">
      <alignment horizontal="center"/>
    </xf>
    <xf numFmtId="0" fontId="0" fillId="0" borderId="11" xfId="0" applyBorder="1" applyAlignment="1">
      <alignment vertical="center"/>
    </xf>
    <xf numFmtId="0" fontId="0" fillId="0" borderId="12" xfId="0" applyBorder="1" applyAlignment="1">
      <alignment vertical="center"/>
    </xf>
    <xf numFmtId="0" fontId="0" fillId="0" borderId="5" xfId="0" applyBorder="1" applyAlignment="1">
      <alignment vertical="center"/>
    </xf>
    <xf numFmtId="0" fontId="0" fillId="4" borderId="2" xfId="0" applyFill="1" applyBorder="1" applyAlignment="1">
      <alignment horizontal="center"/>
    </xf>
    <xf numFmtId="44" fontId="0" fillId="4" borderId="2" xfId="0" applyNumberFormat="1" applyFill="1" applyBorder="1"/>
    <xf numFmtId="44" fontId="0" fillId="4" borderId="7" xfId="0" applyNumberFormat="1" applyFill="1" applyBorder="1"/>
    <xf numFmtId="44" fontId="0" fillId="4" borderId="6" xfId="0" applyNumberFormat="1" applyFill="1" applyBorder="1"/>
    <xf numFmtId="0" fontId="19"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0" fillId="0" borderId="3" xfId="0" applyBorder="1"/>
    <xf numFmtId="0" fontId="0" fillId="0" borderId="10" xfId="0" applyBorder="1"/>
    <xf numFmtId="3" fontId="0" fillId="4" borderId="6" xfId="0" applyNumberFormat="1" applyFill="1" applyBorder="1" applyAlignment="1">
      <alignment horizontal="center"/>
    </xf>
    <xf numFmtId="0" fontId="4" fillId="0" borderId="3" xfId="0" applyFont="1" applyBorder="1"/>
    <xf numFmtId="0" fontId="0" fillId="0" borderId="18" xfId="0" applyBorder="1"/>
    <xf numFmtId="0" fontId="0" fillId="0" borderId="7" xfId="0" applyBorder="1" applyAlignment="1">
      <alignment horizontal="center"/>
    </xf>
    <xf numFmtId="0" fontId="0" fillId="0" borderId="2" xfId="0" applyBorder="1" applyAlignment="1">
      <alignment horizontal="center"/>
    </xf>
    <xf numFmtId="0" fontId="6" fillId="0" borderId="7" xfId="0" applyFont="1" applyBorder="1" applyAlignment="1">
      <alignment horizontal="center"/>
    </xf>
    <xf numFmtId="0" fontId="0" fillId="0" borderId="13" xfId="0" applyBorder="1"/>
    <xf numFmtId="0" fontId="0" fillId="0" borderId="0" xfId="0" applyAlignment="1">
      <alignment horizontal="right"/>
    </xf>
    <xf numFmtId="0" fontId="6" fillId="0" borderId="3" xfId="0" applyFont="1" applyBorder="1"/>
    <xf numFmtId="0" fontId="4" fillId="4" borderId="3" xfId="0" applyFont="1" applyFill="1" applyBorder="1" applyAlignment="1">
      <alignment horizontal="center" vertical="center" wrapText="1"/>
    </xf>
    <xf numFmtId="0" fontId="6" fillId="0" borderId="3" xfId="0" applyFont="1" applyBorder="1" applyAlignment="1">
      <alignment horizontal="center"/>
    </xf>
    <xf numFmtId="0" fontId="4" fillId="0" borderId="3" xfId="0" applyFont="1" applyBorder="1" applyAlignment="1">
      <alignment horizontal="center" vertical="center" wrapText="1"/>
    </xf>
    <xf numFmtId="2" fontId="0" fillId="0" borderId="0" xfId="0" applyNumberFormat="1"/>
    <xf numFmtId="0" fontId="0" fillId="0" borderId="11" xfId="0" applyBorder="1"/>
    <xf numFmtId="0" fontId="8" fillId="0" borderId="0" xfId="1" applyNumberFormat="1" applyFont="1" applyAlignment="1">
      <alignment horizontal="center"/>
    </xf>
    <xf numFmtId="0" fontId="4" fillId="2" borderId="0" xfId="0" applyFont="1" applyFill="1"/>
    <xf numFmtId="0" fontId="4" fillId="9" borderId="0" xfId="0" applyFont="1" applyFill="1"/>
    <xf numFmtId="0" fontId="4" fillId="0" borderId="23" xfId="0" applyFont="1" applyBorder="1" applyAlignment="1">
      <alignment horizontal="center"/>
    </xf>
    <xf numFmtId="0" fontId="0" fillId="0" borderId="23" xfId="0" applyBorder="1" applyAlignment="1">
      <alignment horizontal="center"/>
    </xf>
    <xf numFmtId="0" fontId="0" fillId="0" borderId="13" xfId="0" applyBorder="1" applyAlignment="1">
      <alignment horizontal="left"/>
    </xf>
    <xf numFmtId="0" fontId="4" fillId="0" borderId="0" xfId="0" applyFont="1" applyAlignment="1">
      <alignment vertical="center" wrapText="1"/>
    </xf>
    <xf numFmtId="0" fontId="4" fillId="12" borderId="0" xfId="0" applyFont="1" applyFill="1"/>
    <xf numFmtId="0" fontId="4" fillId="14" borderId="0" xfId="0" applyFont="1" applyFill="1"/>
    <xf numFmtId="0" fontId="4" fillId="14" borderId="0" xfId="0" applyFont="1" applyFill="1" applyAlignment="1">
      <alignment horizontal="center" vertical="center"/>
    </xf>
    <xf numFmtId="2" fontId="0" fillId="0" borderId="0" xfId="0" applyNumberFormat="1" applyAlignment="1">
      <alignment horizontal="center"/>
    </xf>
    <xf numFmtId="0" fontId="0" fillId="0" borderId="0" xfId="0" applyAlignment="1">
      <alignment horizontal="left"/>
    </xf>
    <xf numFmtId="0" fontId="4" fillId="0" borderId="0" xfId="0" applyFont="1" applyAlignment="1">
      <alignment horizontal="center"/>
    </xf>
    <xf numFmtId="0" fontId="4" fillId="0" borderId="8" xfId="0" applyFont="1" applyBorder="1" applyAlignment="1">
      <alignment horizontal="center"/>
    </xf>
    <xf numFmtId="0" fontId="23" fillId="0" borderId="0" xfId="0" applyFont="1"/>
    <xf numFmtId="0" fontId="23" fillId="16" borderId="4" xfId="0" applyFont="1" applyFill="1" applyBorder="1"/>
    <xf numFmtId="0" fontId="27" fillId="0" borderId="0" xfId="0" applyFont="1" applyAlignment="1">
      <alignment vertical="center"/>
    </xf>
    <xf numFmtId="0" fontId="4" fillId="0" borderId="0" xfId="0" applyFont="1" applyAlignment="1">
      <alignment vertical="center"/>
    </xf>
    <xf numFmtId="44" fontId="0" fillId="9" borderId="0" xfId="1" applyFont="1" applyFill="1"/>
    <xf numFmtId="0" fontId="7" fillId="0" borderId="23" xfId="0" applyFont="1" applyBorder="1" applyAlignment="1">
      <alignment wrapText="1"/>
    </xf>
    <xf numFmtId="0" fontId="4" fillId="0" borderId="13" xfId="0" applyFont="1" applyBorder="1" applyAlignment="1">
      <alignment horizontal="right"/>
    </xf>
    <xf numFmtId="0" fontId="4" fillId="0" borderId="18" xfId="0" applyFont="1" applyBorder="1" applyAlignment="1">
      <alignment horizontal="right"/>
    </xf>
    <xf numFmtId="0" fontId="0" fillId="0" borderId="3" xfId="0" applyBorder="1" applyAlignment="1">
      <alignment wrapText="1"/>
    </xf>
    <xf numFmtId="0" fontId="0" fillId="0" borderId="8" xfId="0" applyBorder="1" applyAlignment="1">
      <alignment horizontal="right"/>
    </xf>
    <xf numFmtId="9" fontId="3" fillId="0" borderId="0" xfId="0" applyNumberFormat="1" applyFont="1" applyAlignment="1">
      <alignment horizontal="right"/>
    </xf>
    <xf numFmtId="10" fontId="0" fillId="0" borderId="8" xfId="0" applyNumberFormat="1" applyBorder="1" applyAlignment="1">
      <alignment horizontal="right"/>
    </xf>
    <xf numFmtId="44" fontId="0" fillId="0" borderId="0" xfId="0" applyNumberFormat="1" applyAlignment="1">
      <alignment horizontal="right"/>
    </xf>
    <xf numFmtId="44" fontId="0" fillId="0" borderId="8" xfId="0" applyNumberFormat="1" applyBorder="1" applyAlignment="1">
      <alignment horizontal="right"/>
    </xf>
    <xf numFmtId="44" fontId="0" fillId="0" borderId="0" xfId="1" applyFont="1" applyAlignment="1">
      <alignment horizontal="right"/>
    </xf>
    <xf numFmtId="44" fontId="0" fillId="0" borderId="8" xfId="1" applyFont="1" applyBorder="1" applyAlignment="1">
      <alignment horizontal="right"/>
    </xf>
    <xf numFmtId="0" fontId="0" fillId="0" borderId="10" xfId="0" applyBorder="1" applyAlignment="1">
      <alignment wrapText="1"/>
    </xf>
    <xf numFmtId="167" fontId="0" fillId="0" borderId="1" xfId="0" applyNumberFormat="1" applyBorder="1"/>
    <xf numFmtId="44" fontId="0" fillId="0" borderId="1" xfId="1" applyFont="1" applyBorder="1"/>
    <xf numFmtId="0" fontId="7" fillId="0" borderId="23" xfId="0" applyFont="1" applyBorder="1"/>
    <xf numFmtId="0" fontId="4" fillId="0" borderId="8" xfId="0" applyFont="1" applyBorder="1"/>
    <xf numFmtId="9" fontId="3" fillId="0" borderId="0" xfId="17" applyFont="1"/>
    <xf numFmtId="10" fontId="0" fillId="0" borderId="8" xfId="17" applyNumberFormat="1" applyFont="1" applyBorder="1"/>
    <xf numFmtId="0" fontId="4" fillId="0" borderId="10" xfId="0" applyFont="1" applyBorder="1"/>
    <xf numFmtId="44" fontId="4" fillId="0" borderId="1" xfId="0" applyNumberFormat="1" applyFont="1" applyBorder="1"/>
    <xf numFmtId="10" fontId="4" fillId="0" borderId="9" xfId="17" applyNumberFormat="1" applyFont="1" applyBorder="1"/>
    <xf numFmtId="0" fontId="0" fillId="3" borderId="0" xfId="0" applyFill="1"/>
    <xf numFmtId="0" fontId="31" fillId="0" borderId="0" xfId="0" applyFont="1" applyAlignment="1">
      <alignment horizontal="center" vertical="center"/>
    </xf>
    <xf numFmtId="0" fontId="21" fillId="0" borderId="3" xfId="0" applyFont="1" applyBorder="1" applyAlignment="1">
      <alignment horizontal="center" vertical="center" wrapText="1"/>
    </xf>
    <xf numFmtId="44" fontId="6" fillId="0" borderId="0" xfId="1" applyFont="1"/>
    <xf numFmtId="44" fontId="6" fillId="0" borderId="3" xfId="1" applyFont="1" applyBorder="1"/>
    <xf numFmtId="166" fontId="6" fillId="0" borderId="3" xfId="0" applyNumberFormat="1" applyFont="1" applyBorder="1"/>
    <xf numFmtId="0" fontId="6" fillId="0" borderId="3" xfId="0" applyFont="1" applyBorder="1" applyAlignment="1">
      <alignment horizontal="right"/>
    </xf>
    <xf numFmtId="44" fontId="6" fillId="0" borderId="7" xfId="1" applyFont="1" applyBorder="1"/>
    <xf numFmtId="44" fontId="6" fillId="0" borderId="10" xfId="1" applyFont="1" applyBorder="1"/>
    <xf numFmtId="0" fontId="6" fillId="0" borderId="7" xfId="0" applyFont="1" applyBorder="1"/>
    <xf numFmtId="44" fontId="6" fillId="0" borderId="3" xfId="0" applyNumberFormat="1" applyFont="1" applyBorder="1" applyAlignment="1">
      <alignment horizontal="center"/>
    </xf>
    <xf numFmtId="10" fontId="6" fillId="0" borderId="3" xfId="0" applyNumberFormat="1" applyFont="1" applyBorder="1" applyAlignment="1">
      <alignment horizontal="center"/>
    </xf>
    <xf numFmtId="0" fontId="6" fillId="0" borderId="0" xfId="0" applyFont="1" applyAlignment="1">
      <alignment horizontal="center"/>
    </xf>
    <xf numFmtId="164" fontId="6" fillId="0" borderId="23" xfId="0" applyNumberFormat="1" applyFont="1" applyBorder="1" applyAlignment="1">
      <alignment horizontal="left"/>
    </xf>
    <xf numFmtId="164" fontId="6" fillId="0" borderId="18" xfId="0" applyNumberFormat="1" applyFont="1" applyBorder="1" applyAlignment="1">
      <alignment horizontal="center"/>
    </xf>
    <xf numFmtId="164" fontId="6" fillId="0" borderId="3" xfId="0" applyNumberFormat="1" applyFont="1" applyBorder="1" applyAlignment="1">
      <alignment horizontal="left"/>
    </xf>
    <xf numFmtId="164" fontId="6" fillId="0" borderId="8" xfId="0" applyNumberFormat="1" applyFont="1" applyBorder="1" applyAlignment="1">
      <alignment horizontal="center"/>
    </xf>
    <xf numFmtId="164" fontId="4" fillId="0" borderId="9" xfId="0" applyNumberFormat="1" applyFont="1" applyBorder="1"/>
    <xf numFmtId="164" fontId="21" fillId="0" borderId="23" xfId="0" applyNumberFormat="1" applyFont="1" applyBorder="1" applyAlignment="1">
      <alignment horizontal="left"/>
    </xf>
    <xf numFmtId="2" fontId="6" fillId="0" borderId="0" xfId="0" applyNumberFormat="1" applyFont="1" applyAlignment="1">
      <alignment horizontal="center"/>
    </xf>
    <xf numFmtId="0" fontId="6" fillId="0" borderId="1" xfId="0" applyFont="1" applyBorder="1"/>
    <xf numFmtId="0" fontId="39" fillId="0" borderId="0" xfId="0" applyFont="1"/>
    <xf numFmtId="0" fontId="40" fillId="0" borderId="0" xfId="0" applyFont="1"/>
    <xf numFmtId="0" fontId="45" fillId="0" borderId="10" xfId="0" applyFont="1" applyBorder="1"/>
    <xf numFmtId="10" fontId="6" fillId="0" borderId="0" xfId="0" applyNumberFormat="1" applyFont="1" applyAlignment="1">
      <alignment horizontal="center"/>
    </xf>
    <xf numFmtId="164" fontId="17" fillId="0" borderId="0" xfId="1" applyNumberFormat="1" applyFont="1" applyAlignment="1">
      <alignment horizontal="center" vertical="center"/>
    </xf>
    <xf numFmtId="44" fontId="17" fillId="0" borderId="0" xfId="1" applyFont="1" applyAlignment="1">
      <alignment horizontal="center" vertical="center"/>
    </xf>
    <xf numFmtId="44" fontId="5" fillId="0" borderId="0" xfId="1" applyFont="1" applyAlignment="1">
      <alignment horizontal="center" vertical="center" wrapText="1"/>
    </xf>
    <xf numFmtId="0" fontId="1" fillId="0" borderId="0" xfId="1" applyNumberFormat="1" applyFont="1" applyAlignment="1">
      <alignment horizontal="center" vertical="center"/>
    </xf>
    <xf numFmtId="44" fontId="5" fillId="7" borderId="12" xfId="1" applyFont="1" applyFill="1" applyBorder="1" applyAlignment="1">
      <alignment horizontal="center"/>
    </xf>
    <xf numFmtId="0" fontId="17" fillId="7" borderId="13" xfId="0" applyFont="1" applyFill="1" applyBorder="1"/>
    <xf numFmtId="44" fontId="17" fillId="7" borderId="13" xfId="1" applyFont="1" applyFill="1" applyBorder="1"/>
    <xf numFmtId="44" fontId="17" fillId="7" borderId="18" xfId="1" applyFont="1" applyFill="1" applyBorder="1"/>
    <xf numFmtId="9" fontId="6" fillId="0" borderId="0" xfId="0" applyNumberFormat="1" applyFont="1" applyAlignment="1">
      <alignment horizontal="center"/>
    </xf>
    <xf numFmtId="9" fontId="6" fillId="0" borderId="0" xfId="1" applyNumberFormat="1" applyFont="1" applyAlignment="1">
      <alignment horizontal="center"/>
    </xf>
    <xf numFmtId="44" fontId="6" fillId="0" borderId="0" xfId="1" applyFont="1" applyAlignment="1">
      <alignment horizontal="center"/>
    </xf>
    <xf numFmtId="9" fontId="8" fillId="0" borderId="0" xfId="17" applyFont="1" applyAlignment="1">
      <alignment horizontal="center"/>
    </xf>
    <xf numFmtId="9" fontId="0" fillId="0" borderId="0" xfId="17" applyFont="1" applyAlignment="1">
      <alignment horizontal="center"/>
    </xf>
    <xf numFmtId="9" fontId="0" fillId="0" borderId="0" xfId="17" applyFont="1"/>
    <xf numFmtId="0" fontId="19" fillId="0" borderId="0" xfId="0" applyFont="1" applyAlignment="1">
      <alignment vertical="center"/>
    </xf>
    <xf numFmtId="0" fontId="0" fillId="21" borderId="0" xfId="0" applyFill="1"/>
    <xf numFmtId="0" fontId="0" fillId="21" borderId="0" xfId="0" applyFill="1" applyAlignment="1">
      <alignment horizontal="left" vertical="center" wrapText="1"/>
    </xf>
    <xf numFmtId="0" fontId="0" fillId="21" borderId="0" xfId="0" applyFill="1" applyAlignment="1">
      <alignment horizontal="center"/>
    </xf>
    <xf numFmtId="0" fontId="8" fillId="21" borderId="0" xfId="0" applyFont="1" applyFill="1" applyAlignment="1">
      <alignment horizontal="center"/>
    </xf>
    <xf numFmtId="0" fontId="19" fillId="21" borderId="0" xfId="0" applyFont="1" applyFill="1" applyAlignment="1">
      <alignment horizontal="center" vertical="center"/>
    </xf>
    <xf numFmtId="0" fontId="9" fillId="21" borderId="0" xfId="0" applyFont="1" applyFill="1" applyAlignment="1">
      <alignment horizontal="center"/>
    </xf>
    <xf numFmtId="0" fontId="0" fillId="21" borderId="0" xfId="0" quotePrefix="1" applyFill="1"/>
    <xf numFmtId="0" fontId="6" fillId="21" borderId="0" xfId="0" applyFont="1" applyFill="1"/>
    <xf numFmtId="0" fontId="46" fillId="21" borderId="0" xfId="0" applyFont="1" applyFill="1" applyAlignment="1">
      <alignment horizontal="left" vertical="center"/>
    </xf>
    <xf numFmtId="0" fontId="39" fillId="21" borderId="0" xfId="0" applyFont="1" applyFill="1"/>
    <xf numFmtId="0" fontId="4" fillId="21" borderId="0" xfId="0" applyFont="1" applyFill="1"/>
    <xf numFmtId="0" fontId="0" fillId="21" borderId="0" xfId="0" applyFill="1" applyAlignment="1">
      <alignment wrapText="1"/>
    </xf>
    <xf numFmtId="44" fontId="0" fillId="21" borderId="0" xfId="1" applyFont="1" applyFill="1" applyAlignment="1">
      <alignment horizontal="center"/>
    </xf>
    <xf numFmtId="2" fontId="0" fillId="21" borderId="0" xfId="17" applyNumberFormat="1" applyFont="1" applyFill="1" applyAlignment="1">
      <alignment horizontal="center"/>
    </xf>
    <xf numFmtId="0" fontId="0" fillId="3" borderId="34" xfId="0" applyFill="1" applyBorder="1" applyAlignment="1">
      <alignment horizontal="left" vertical="center"/>
    </xf>
    <xf numFmtId="0" fontId="4" fillId="3" borderId="34" xfId="0" applyFont="1" applyFill="1" applyBorder="1" applyAlignment="1">
      <alignment horizontal="center" vertical="center"/>
    </xf>
    <xf numFmtId="0" fontId="4" fillId="3" borderId="43"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5" xfId="0" applyFont="1" applyFill="1" applyBorder="1" applyAlignment="1">
      <alignment horizontal="center" vertical="center"/>
    </xf>
    <xf numFmtId="0" fontId="19" fillId="10" borderId="4" xfId="0" applyFont="1" applyFill="1" applyBorder="1"/>
    <xf numFmtId="0" fontId="21" fillId="0" borderId="0" xfId="0" applyFont="1" applyAlignment="1">
      <alignment horizontal="left"/>
    </xf>
    <xf numFmtId="0" fontId="0" fillId="21" borderId="0" xfId="0" applyFill="1" applyAlignment="1">
      <alignment horizontal="left" indent="4"/>
    </xf>
    <xf numFmtId="0" fontId="21" fillId="0" borderId="3" xfId="0" applyFont="1" applyBorder="1" applyAlignment="1">
      <alignment horizontal="center"/>
    </xf>
    <xf numFmtId="0" fontId="21" fillId="0" borderId="8" xfId="0" applyFont="1" applyBorder="1" applyAlignment="1">
      <alignment horizontal="left"/>
    </xf>
    <xf numFmtId="0" fontId="21" fillId="0" borderId="10" xfId="0" applyFont="1" applyBorder="1" applyAlignment="1">
      <alignment horizontal="left"/>
    </xf>
    <xf numFmtId="0" fontId="21" fillId="0" borderId="1" xfId="0" applyFont="1" applyBorder="1" applyAlignment="1">
      <alignment horizontal="left"/>
    </xf>
    <xf numFmtId="0" fontId="21" fillId="0" borderId="9" xfId="0" applyFont="1" applyBorder="1" applyAlignment="1">
      <alignment horizontal="left"/>
    </xf>
    <xf numFmtId="0" fontId="0" fillId="0" borderId="3" xfId="0" applyBorder="1" applyAlignment="1">
      <alignment horizontal="left" indent="3"/>
    </xf>
    <xf numFmtId="0" fontId="0" fillId="0" borderId="3" xfId="0" applyBorder="1" applyAlignment="1">
      <alignment horizontal="left"/>
    </xf>
    <xf numFmtId="0" fontId="0" fillId="0" borderId="0" xfId="0" applyAlignment="1">
      <alignment vertical="center" wrapText="1"/>
    </xf>
    <xf numFmtId="0" fontId="0" fillId="0" borderId="10" xfId="0" applyBorder="1" applyAlignment="1">
      <alignment horizontal="left"/>
    </xf>
    <xf numFmtId="0" fontId="31" fillId="0" borderId="1" xfId="0" applyFont="1" applyBorder="1" applyAlignment="1">
      <alignment horizontal="center" vertical="center"/>
    </xf>
    <xf numFmtId="0" fontId="6" fillId="0" borderId="0" xfId="17" applyNumberFormat="1" applyFont="1"/>
    <xf numFmtId="0" fontId="0" fillId="0" borderId="69" xfId="0" applyBorder="1" applyAlignment="1">
      <alignment vertical="center"/>
    </xf>
    <xf numFmtId="0" fontId="0" fillId="0" borderId="69" xfId="0" applyBorder="1"/>
    <xf numFmtId="0" fontId="0" fillId="0" borderId="73" xfId="0" applyBorder="1"/>
    <xf numFmtId="0" fontId="19" fillId="0" borderId="69" xfId="0" applyFont="1" applyBorder="1" applyAlignment="1">
      <alignment horizontal="center" vertical="center"/>
    </xf>
    <xf numFmtId="0" fontId="19" fillId="0" borderId="56" xfId="0" applyFont="1" applyBorder="1" applyAlignment="1">
      <alignment horizontal="center" vertical="center"/>
    </xf>
    <xf numFmtId="0" fontId="0" fillId="0" borderId="56" xfId="0" applyBorder="1"/>
    <xf numFmtId="0" fontId="31" fillId="0" borderId="56" xfId="0" applyFont="1" applyBorder="1" applyAlignment="1">
      <alignment horizontal="center" vertical="center"/>
    </xf>
    <xf numFmtId="0" fontId="6" fillId="0" borderId="56" xfId="0" applyFont="1" applyBorder="1"/>
    <xf numFmtId="9" fontId="6" fillId="0" borderId="56" xfId="17" applyFont="1" applyBorder="1"/>
    <xf numFmtId="0" fontId="0" fillId="0" borderId="56" xfId="0" applyBorder="1" applyAlignment="1">
      <alignment vertical="center"/>
    </xf>
    <xf numFmtId="0" fontId="6" fillId="0" borderId="56" xfId="0" applyFont="1" applyBorder="1" applyAlignment="1">
      <alignment vertical="center" wrapText="1"/>
    </xf>
    <xf numFmtId="166" fontId="0" fillId="0" borderId="56" xfId="0" applyNumberFormat="1" applyBorder="1"/>
    <xf numFmtId="0" fontId="0" fillId="0" borderId="77" xfId="0" applyBorder="1"/>
    <xf numFmtId="44" fontId="22" fillId="0" borderId="56" xfId="1" applyFont="1" applyBorder="1" applyAlignment="1">
      <alignment horizontal="center" vertical="center"/>
    </xf>
    <xf numFmtId="0" fontId="0" fillId="0" borderId="80" xfId="0" applyBorder="1"/>
    <xf numFmtId="0" fontId="19" fillId="0" borderId="73" xfId="0" applyFont="1" applyBorder="1" applyAlignment="1">
      <alignment horizontal="center" vertical="center"/>
    </xf>
    <xf numFmtId="0" fontId="0" fillId="0" borderId="79" xfId="0" applyBorder="1"/>
    <xf numFmtId="0" fontId="13" fillId="0" borderId="69" xfId="0" applyFont="1" applyBorder="1"/>
    <xf numFmtId="0" fontId="13" fillId="0" borderId="80" xfId="0" applyFont="1" applyBorder="1"/>
    <xf numFmtId="0" fontId="0" fillId="0" borderId="69" xfId="0" applyBorder="1" applyAlignment="1">
      <alignment vertical="center" wrapText="1"/>
    </xf>
    <xf numFmtId="0" fontId="6" fillId="0" borderId="69" xfId="0" applyFont="1" applyBorder="1" applyAlignment="1">
      <alignment vertical="center" wrapText="1"/>
    </xf>
    <xf numFmtId="0" fontId="6" fillId="0" borderId="69" xfId="0" applyFont="1" applyBorder="1" applyAlignment="1">
      <alignment vertical="center"/>
    </xf>
    <xf numFmtId="0" fontId="0" fillId="0" borderId="79" xfId="0" applyBorder="1" applyAlignment="1">
      <alignment horizontal="left" vertical="center"/>
    </xf>
    <xf numFmtId="0" fontId="4" fillId="0" borderId="84" xfId="0" applyFont="1" applyBorder="1" applyAlignment="1">
      <alignment horizontal="center"/>
    </xf>
    <xf numFmtId="0" fontId="0" fillId="0" borderId="56" xfId="0" applyBorder="1" applyAlignment="1">
      <alignment horizontal="left" vertical="center"/>
    </xf>
    <xf numFmtId="0" fontId="0" fillId="0" borderId="80" xfId="0" applyBorder="1" applyAlignment="1">
      <alignment vertical="center"/>
    </xf>
    <xf numFmtId="0" fontId="0" fillId="0" borderId="79" xfId="0" applyBorder="1" applyAlignment="1">
      <alignment vertical="center"/>
    </xf>
    <xf numFmtId="0" fontId="0" fillId="0" borderId="77" xfId="0" applyBorder="1" applyAlignment="1">
      <alignment horizontal="left"/>
    </xf>
    <xf numFmtId="0" fontId="0" fillId="0" borderId="82" xfId="0" applyBorder="1"/>
    <xf numFmtId="0" fontId="0" fillId="0" borderId="82" xfId="0" applyBorder="1" applyAlignment="1">
      <alignment vertical="center"/>
    </xf>
    <xf numFmtId="0" fontId="51" fillId="0" borderId="0" xfId="0" applyFont="1" applyAlignment="1">
      <alignment horizontal="left" vertical="center"/>
    </xf>
    <xf numFmtId="166" fontId="0" fillId="0" borderId="79" xfId="0" applyNumberFormat="1" applyBorder="1" applyAlignment="1">
      <alignment horizontal="center" vertical="center" wrapText="1"/>
    </xf>
    <xf numFmtId="2" fontId="0" fillId="0" borderId="56" xfId="0" applyNumberFormat="1" applyBorder="1" applyAlignment="1">
      <alignment horizontal="center" vertical="center"/>
    </xf>
    <xf numFmtId="166" fontId="13" fillId="0" borderId="80" xfId="0" applyNumberFormat="1" applyFont="1" applyBorder="1" applyAlignment="1">
      <alignment horizontal="center" vertical="center"/>
    </xf>
    <xf numFmtId="166" fontId="13" fillId="0" borderId="69" xfId="0" applyNumberFormat="1" applyFont="1" applyBorder="1" applyAlignment="1">
      <alignment horizontal="center" vertical="center"/>
    </xf>
    <xf numFmtId="44" fontId="0" fillId="0" borderId="56" xfId="1" applyFont="1" applyBorder="1" applyAlignment="1">
      <alignment vertical="center" wrapText="1"/>
    </xf>
    <xf numFmtId="0" fontId="20" fillId="0" borderId="0" xfId="0" applyFont="1"/>
    <xf numFmtId="0" fontId="0" fillId="0" borderId="70" xfId="0" applyBorder="1"/>
    <xf numFmtId="0" fontId="0" fillId="0" borderId="86" xfId="0" applyBorder="1"/>
    <xf numFmtId="44" fontId="5" fillId="0" borderId="0" xfId="1" applyFont="1" applyAlignment="1">
      <alignment vertical="center" wrapText="1"/>
    </xf>
    <xf numFmtId="1" fontId="1" fillId="0" borderId="0" xfId="1" applyNumberFormat="1" applyFont="1" applyAlignment="1">
      <alignment horizontal="center"/>
    </xf>
    <xf numFmtId="0" fontId="6" fillId="0" borderId="8" xfId="0" applyFont="1" applyBorder="1"/>
    <xf numFmtId="9" fontId="6" fillId="0" borderId="0" xfId="17" applyFont="1"/>
    <xf numFmtId="9" fontId="6" fillId="0" borderId="8" xfId="17" applyFont="1" applyBorder="1"/>
    <xf numFmtId="44" fontId="6" fillId="0" borderId="0" xfId="0" applyNumberFormat="1" applyFont="1"/>
    <xf numFmtId="44" fontId="6" fillId="0" borderId="8" xfId="0" applyNumberFormat="1" applyFont="1" applyBorder="1"/>
    <xf numFmtId="168" fontId="6" fillId="0" borderId="8" xfId="0" applyNumberFormat="1" applyFont="1" applyBorder="1"/>
    <xf numFmtId="0" fontId="55" fillId="0" borderId="1" xfId="0" applyFont="1" applyBorder="1"/>
    <xf numFmtId="0" fontId="55" fillId="0" borderId="9" xfId="0" applyFont="1" applyBorder="1"/>
    <xf numFmtId="0" fontId="6" fillId="0" borderId="11" xfId="0" applyFont="1" applyBorder="1" applyAlignment="1">
      <alignment horizontal="left"/>
    </xf>
    <xf numFmtId="0" fontId="6" fillId="0" borderId="11" xfId="0" applyFont="1" applyBorder="1"/>
    <xf numFmtId="0" fontId="7" fillId="3" borderId="0" xfId="0" applyFont="1" applyFill="1"/>
    <xf numFmtId="0" fontId="26" fillId="17" borderId="23" xfId="0" applyFont="1" applyFill="1" applyBorder="1" applyAlignment="1">
      <alignment vertical="center"/>
    </xf>
    <xf numFmtId="0" fontId="26" fillId="17" borderId="10" xfId="0" applyFont="1" applyFill="1" applyBorder="1" applyAlignment="1">
      <alignment vertical="center"/>
    </xf>
    <xf numFmtId="0" fontId="0" fillId="0" borderId="1" xfId="0" applyBorder="1"/>
    <xf numFmtId="0" fontId="21" fillId="0" borderId="0" xfId="0" applyFont="1" applyAlignment="1">
      <alignment horizontal="center" vertical="center"/>
    </xf>
    <xf numFmtId="0" fontId="6" fillId="0" borderId="73" xfId="0" applyFont="1" applyBorder="1" applyAlignment="1">
      <alignment vertical="center" wrapText="1"/>
    </xf>
    <xf numFmtId="0" fontId="0" fillId="0" borderId="73" xfId="0" applyBorder="1" applyAlignment="1">
      <alignment vertical="center"/>
    </xf>
    <xf numFmtId="0" fontId="0" fillId="0" borderId="0" xfId="0" applyAlignment="1">
      <alignment wrapText="1"/>
    </xf>
    <xf numFmtId="0" fontId="21" fillId="2" borderId="0" xfId="0" applyFont="1" applyFill="1"/>
    <xf numFmtId="0" fontId="24" fillId="0" borderId="0" xfId="0" applyFont="1"/>
    <xf numFmtId="44" fontId="15" fillId="0" borderId="0" xfId="1" applyFont="1"/>
    <xf numFmtId="165" fontId="0" fillId="0" borderId="0" xfId="17" applyNumberFormat="1" applyFont="1" applyAlignment="1">
      <alignment horizontal="center" vertical="center"/>
    </xf>
    <xf numFmtId="165" fontId="0" fillId="0" borderId="0" xfId="17" applyNumberFormat="1" applyFont="1"/>
    <xf numFmtId="164" fontId="0" fillId="0" borderId="0" xfId="1" applyNumberFormat="1" applyFont="1"/>
    <xf numFmtId="44" fontId="22" fillId="0" borderId="80" xfId="1" applyFont="1" applyBorder="1" applyAlignment="1">
      <alignment horizontal="center" vertical="center"/>
    </xf>
    <xf numFmtId="0" fontId="22" fillId="0" borderId="56" xfId="1" applyNumberFormat="1" applyFont="1" applyBorder="1" applyAlignment="1">
      <alignment horizontal="center" vertical="center"/>
    </xf>
    <xf numFmtId="0" fontId="0" fillId="0" borderId="79" xfId="0" applyBorder="1" applyAlignment="1">
      <alignment horizontal="center" vertical="center" wrapText="1"/>
    </xf>
    <xf numFmtId="44" fontId="13" fillId="0" borderId="56" xfId="1" applyFont="1" applyBorder="1" applyAlignment="1">
      <alignment horizontal="center" vertical="center"/>
    </xf>
    <xf numFmtId="0" fontId="56" fillId="0" borderId="0" xfId="0" applyFont="1"/>
    <xf numFmtId="0" fontId="21" fillId="0" borderId="0" xfId="0" applyFont="1" applyAlignment="1">
      <alignment vertical="center"/>
    </xf>
    <xf numFmtId="0" fontId="21" fillId="0" borderId="23" xfId="0" applyFont="1" applyBorder="1" applyAlignment="1">
      <alignment vertical="center" wrapText="1"/>
    </xf>
    <xf numFmtId="9" fontId="6" fillId="0" borderId="0" xfId="17" applyFont="1" applyAlignment="1">
      <alignment horizontal="center"/>
    </xf>
    <xf numFmtId="0" fontId="21" fillId="0" borderId="11" xfId="0" applyFont="1" applyBorder="1" applyAlignment="1">
      <alignment vertical="center" wrapText="1"/>
    </xf>
    <xf numFmtId="164" fontId="6" fillId="0" borderId="0" xfId="0" applyNumberFormat="1" applyFont="1" applyAlignment="1">
      <alignment horizontal="center"/>
    </xf>
    <xf numFmtId="0" fontId="0" fillId="0" borderId="0" xfId="1" applyNumberFormat="1" applyFont="1" applyAlignment="1">
      <alignment horizontal="left" wrapText="1"/>
    </xf>
    <xf numFmtId="0" fontId="26" fillId="0" borderId="0" xfId="0" applyFont="1" applyAlignment="1">
      <alignment vertical="center"/>
    </xf>
    <xf numFmtId="0" fontId="25" fillId="10" borderId="0" xfId="0" applyFont="1" applyFill="1" applyAlignment="1">
      <alignment horizontal="center"/>
    </xf>
    <xf numFmtId="44" fontId="2" fillId="0" borderId="0" xfId="1"/>
    <xf numFmtId="0" fontId="0" fillId="0" borderId="0" xfId="1" applyNumberFormat="1" applyFont="1"/>
    <xf numFmtId="44" fontId="5" fillId="0" borderId="0" xfId="1" applyFont="1" applyAlignment="1">
      <alignment horizontal="center"/>
    </xf>
    <xf numFmtId="164" fontId="4" fillId="0" borderId="0" xfId="1" applyNumberFormat="1" applyFont="1" applyAlignment="1">
      <alignment horizontal="center"/>
    </xf>
    <xf numFmtId="0" fontId="25" fillId="0" borderId="0" xfId="0" applyFont="1" applyAlignment="1">
      <alignment horizontal="center"/>
    </xf>
    <xf numFmtId="44" fontId="17" fillId="7" borderId="0" xfId="1" applyFont="1" applyFill="1"/>
    <xf numFmtId="44" fontId="25" fillId="10" borderId="0" xfId="1" applyFont="1" applyFill="1" applyAlignment="1">
      <alignment horizontal="center"/>
    </xf>
    <xf numFmtId="164" fontId="15" fillId="0" borderId="0" xfId="1" applyNumberFormat="1" applyFont="1"/>
    <xf numFmtId="44" fontId="17" fillId="7" borderId="8" xfId="1" applyFont="1" applyFill="1" applyBorder="1"/>
    <xf numFmtId="164" fontId="15" fillId="0" borderId="0" xfId="0" applyNumberFormat="1" applyFont="1"/>
    <xf numFmtId="44" fontId="25" fillId="11" borderId="0" xfId="1" applyFont="1" applyFill="1" applyAlignment="1">
      <alignment horizontal="center"/>
    </xf>
    <xf numFmtId="164" fontId="0" fillId="0" borderId="0" xfId="0" applyNumberFormat="1"/>
    <xf numFmtId="164" fontId="4" fillId="0" borderId="0" xfId="0" applyNumberFormat="1" applyFont="1"/>
    <xf numFmtId="44" fontId="0" fillId="0" borderId="0" xfId="1" applyFont="1" applyAlignment="1">
      <alignment wrapText="1"/>
    </xf>
    <xf numFmtId="0" fontId="33" fillId="0" borderId="0" xfId="0" applyFont="1" applyAlignment="1">
      <alignment horizontal="left" wrapText="1"/>
    </xf>
    <xf numFmtId="44" fontId="13" fillId="0" borderId="1" xfId="1" applyFont="1" applyBorder="1" applyAlignment="1">
      <alignment horizontal="center" vertical="center"/>
    </xf>
    <xf numFmtId="0" fontId="0" fillId="0" borderId="75" xfId="0" applyBorder="1" applyAlignment="1">
      <alignment horizontal="left"/>
    </xf>
    <xf numFmtId="0" fontId="7" fillId="0" borderId="0" xfId="0" applyFont="1"/>
    <xf numFmtId="43" fontId="0" fillId="0" borderId="0" xfId="2" applyFont="1" applyAlignment="1">
      <alignment wrapText="1"/>
    </xf>
    <xf numFmtId="43" fontId="0" fillId="0" borderId="0" xfId="2" applyFont="1"/>
    <xf numFmtId="43" fontId="0" fillId="0" borderId="0" xfId="0" applyNumberFormat="1"/>
    <xf numFmtId="171" fontId="0" fillId="0" borderId="0" xfId="2" applyNumberFormat="1" applyFont="1"/>
    <xf numFmtId="171" fontId="0" fillId="0" borderId="0" xfId="0" applyNumberFormat="1"/>
    <xf numFmtId="164" fontId="0" fillId="23" borderId="14" xfId="1" applyNumberFormat="1" applyFont="1" applyFill="1" applyBorder="1"/>
    <xf numFmtId="43" fontId="0" fillId="23" borderId="25" xfId="2" applyFont="1" applyFill="1" applyBorder="1"/>
    <xf numFmtId="3" fontId="58" fillId="0" borderId="49" xfId="0" applyNumberFormat="1" applyFont="1" applyBorder="1"/>
    <xf numFmtId="3" fontId="58" fillId="0" borderId="31" xfId="0" applyNumberFormat="1" applyFont="1" applyBorder="1"/>
    <xf numFmtId="3" fontId="58" fillId="0" borderId="0" xfId="0" applyNumberFormat="1" applyFont="1"/>
    <xf numFmtId="0" fontId="0" fillId="3" borderId="85" xfId="0" applyFill="1" applyBorder="1"/>
    <xf numFmtId="175" fontId="0" fillId="0" borderId="85" xfId="1" applyNumberFormat="1" applyFont="1" applyBorder="1" applyAlignment="1">
      <alignment horizontal="center"/>
    </xf>
    <xf numFmtId="166" fontId="6" fillId="0" borderId="85" xfId="0" applyNumberFormat="1" applyFont="1" applyBorder="1" applyAlignment="1">
      <alignment horizontal="center"/>
    </xf>
    <xf numFmtId="166" fontId="6" fillId="0" borderId="85" xfId="0" applyNumberFormat="1" applyFont="1" applyBorder="1"/>
    <xf numFmtId="166" fontId="15" fillId="0" borderId="85" xfId="0" applyNumberFormat="1" applyFont="1" applyBorder="1"/>
    <xf numFmtId="0" fontId="15" fillId="0" borderId="85" xfId="0" applyFont="1" applyBorder="1"/>
    <xf numFmtId="166" fontId="0" fillId="0" borderId="85" xfId="0" applyNumberFormat="1" applyBorder="1" applyAlignment="1">
      <alignment horizontal="center"/>
    </xf>
    <xf numFmtId="166" fontId="0" fillId="0" borderId="85" xfId="0" applyNumberFormat="1" applyBorder="1"/>
    <xf numFmtId="44" fontId="0" fillId="0" borderId="86" xfId="1" applyFont="1" applyBorder="1"/>
    <xf numFmtId="44" fontId="0" fillId="0" borderId="70" xfId="1" applyFont="1" applyBorder="1"/>
    <xf numFmtId="0" fontId="0" fillId="0" borderId="85" xfId="0" applyBorder="1"/>
    <xf numFmtId="166" fontId="0" fillId="0" borderId="85" xfId="1" applyNumberFormat="1" applyFont="1" applyBorder="1"/>
    <xf numFmtId="44" fontId="0" fillId="0" borderId="85" xfId="1" applyFont="1" applyBorder="1"/>
    <xf numFmtId="166" fontId="6" fillId="0" borderId="85" xfId="17" applyNumberFormat="1" applyFont="1" applyBorder="1" applyAlignment="1">
      <alignment horizontal="center"/>
    </xf>
    <xf numFmtId="174" fontId="0" fillId="0" borderId="85" xfId="1" applyNumberFormat="1" applyFont="1" applyBorder="1" applyAlignment="1">
      <alignment horizontal="center"/>
    </xf>
    <xf numFmtId="174" fontId="0" fillId="0" borderId="85" xfId="1" applyNumberFormat="1" applyFont="1" applyBorder="1"/>
    <xf numFmtId="174" fontId="0" fillId="0" borderId="56" xfId="1" applyNumberFormat="1" applyFont="1" applyBorder="1"/>
    <xf numFmtId="44" fontId="1" fillId="0" borderId="0" xfId="1" applyFont="1"/>
    <xf numFmtId="0" fontId="1" fillId="0" borderId="0" xfId="1" applyNumberFormat="1" applyFont="1"/>
    <xf numFmtId="1" fontId="1" fillId="0" borderId="0" xfId="1" applyNumberFormat="1" applyFont="1"/>
    <xf numFmtId="0" fontId="1" fillId="0" borderId="0" xfId="0" applyFont="1" applyAlignment="1">
      <alignment vertical="center"/>
    </xf>
    <xf numFmtId="0" fontId="59" fillId="0" borderId="0" xfId="0" applyFont="1" applyAlignment="1">
      <alignment horizontal="center" vertical="center"/>
    </xf>
    <xf numFmtId="44" fontId="1" fillId="0" borderId="0" xfId="1"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174" fontId="1" fillId="0" borderId="0" xfId="0" applyNumberFormat="1" applyFont="1" applyAlignment="1">
      <alignment horizontal="center" vertical="center"/>
    </xf>
    <xf numFmtId="0" fontId="1" fillId="0" borderId="85" xfId="0" applyFont="1" applyBorder="1" applyAlignment="1">
      <alignment vertical="center"/>
    </xf>
    <xf numFmtId="0" fontId="1" fillId="0" borderId="85" xfId="0" applyFont="1" applyBorder="1" applyAlignment="1">
      <alignment horizontal="center" vertical="center"/>
    </xf>
    <xf numFmtId="0" fontId="1" fillId="0" borderId="85" xfId="0" applyFont="1" applyBorder="1" applyAlignment="1">
      <alignment vertical="center" wrapText="1"/>
    </xf>
    <xf numFmtId="0" fontId="60" fillId="0" borderId="85" xfId="0" applyFont="1" applyBorder="1" applyAlignment="1">
      <alignment vertical="center"/>
    </xf>
    <xf numFmtId="0" fontId="60" fillId="0" borderId="85" xfId="0" applyFont="1" applyBorder="1" applyAlignment="1">
      <alignment vertical="center" wrapText="1"/>
    </xf>
    <xf numFmtId="0" fontId="1" fillId="0" borderId="86" xfId="0" applyFont="1" applyBorder="1" applyAlignment="1">
      <alignment vertical="center"/>
    </xf>
    <xf numFmtId="0" fontId="1" fillId="0" borderId="86" xfId="0" applyFont="1" applyBorder="1" applyAlignment="1">
      <alignment vertical="center" wrapText="1"/>
    </xf>
    <xf numFmtId="1" fontId="1" fillId="0" borderId="0" xfId="1" applyNumberFormat="1" applyFont="1" applyAlignment="1">
      <alignment horizontal="center" vertical="center"/>
    </xf>
    <xf numFmtId="0" fontId="50" fillId="0" borderId="5" xfId="0" applyFont="1" applyBorder="1" applyAlignment="1">
      <alignment vertical="center"/>
    </xf>
    <xf numFmtId="0" fontId="17" fillId="0" borderId="5" xfId="0" applyFont="1" applyBorder="1" applyAlignment="1">
      <alignment vertical="center"/>
    </xf>
    <xf numFmtId="0" fontId="0" fillId="7" borderId="12" xfId="0" applyFill="1" applyBorder="1"/>
    <xf numFmtId="0" fontId="0" fillId="7" borderId="5" xfId="0" applyFill="1" applyBorder="1"/>
    <xf numFmtId="0" fontId="4" fillId="22" borderId="23" xfId="0" applyFont="1" applyFill="1" applyBorder="1"/>
    <xf numFmtId="44" fontId="4" fillId="22" borderId="4" xfId="1" applyFont="1" applyFill="1" applyBorder="1"/>
    <xf numFmtId="44" fontId="4" fillId="22" borderId="11" xfId="1" applyFont="1" applyFill="1" applyBorder="1"/>
    <xf numFmtId="44" fontId="0" fillId="22" borderId="4" xfId="1" applyFont="1" applyFill="1" applyBorder="1"/>
    <xf numFmtId="0" fontId="4" fillId="22" borderId="4" xfId="0" applyFont="1" applyFill="1" applyBorder="1"/>
    <xf numFmtId="164" fontId="4" fillId="22" borderId="4" xfId="1" applyNumberFormat="1" applyFont="1" applyFill="1" applyBorder="1"/>
    <xf numFmtId="0" fontId="0" fillId="22" borderId="79" xfId="0" applyFill="1" applyBorder="1"/>
    <xf numFmtId="44" fontId="4" fillId="22" borderId="79" xfId="1" applyFont="1" applyFill="1" applyBorder="1" applyAlignment="1">
      <alignment horizontal="center"/>
    </xf>
    <xf numFmtId="44" fontId="0" fillId="22" borderId="69" xfId="1" applyFont="1" applyFill="1" applyBorder="1"/>
    <xf numFmtId="164" fontId="4" fillId="22" borderId="69" xfId="1" applyNumberFormat="1" applyFont="1" applyFill="1" applyBorder="1" applyAlignment="1">
      <alignment horizontal="center"/>
    </xf>
    <xf numFmtId="0" fontId="0" fillId="3" borderId="77" xfId="0" applyFill="1" applyBorder="1"/>
    <xf numFmtId="164" fontId="0" fillId="0" borderId="85" xfId="1" applyNumberFormat="1" applyFont="1" applyBorder="1"/>
    <xf numFmtId="164" fontId="0" fillId="0" borderId="76" xfId="1" applyNumberFormat="1" applyFont="1" applyBorder="1"/>
    <xf numFmtId="44" fontId="0" fillId="0" borderId="56" xfId="1" applyFont="1" applyBorder="1"/>
    <xf numFmtId="164" fontId="0" fillId="0" borderId="56" xfId="1" applyNumberFormat="1" applyFont="1" applyBorder="1"/>
    <xf numFmtId="164" fontId="0" fillId="2" borderId="85" xfId="1" applyNumberFormat="1" applyFont="1" applyFill="1" applyBorder="1"/>
    <xf numFmtId="164" fontId="0" fillId="22" borderId="79" xfId="1" applyNumberFormat="1" applyFont="1" applyFill="1" applyBorder="1"/>
    <xf numFmtId="44" fontId="0" fillId="22" borderId="79" xfId="1" applyFont="1" applyFill="1" applyBorder="1"/>
    <xf numFmtId="164" fontId="0" fillId="22" borderId="70" xfId="1" applyNumberFormat="1" applyFont="1" applyFill="1" applyBorder="1"/>
    <xf numFmtId="0" fontId="0" fillId="3" borderId="76" xfId="0" applyFill="1" applyBorder="1"/>
    <xf numFmtId="0" fontId="6" fillId="3" borderId="82" xfId="0" applyFont="1" applyFill="1" applyBorder="1"/>
    <xf numFmtId="164" fontId="0" fillId="2" borderId="86" xfId="1" applyNumberFormat="1" applyFont="1" applyFill="1" applyBorder="1"/>
    <xf numFmtId="0" fontId="5" fillId="0" borderId="0" xfId="0" applyFont="1" applyAlignment="1">
      <alignment horizontal="left" vertical="center"/>
    </xf>
    <xf numFmtId="164" fontId="5" fillId="0" borderId="0" xfId="1" applyNumberFormat="1" applyFont="1" applyAlignment="1">
      <alignment horizontal="left" vertical="center"/>
    </xf>
    <xf numFmtId="164" fontId="5" fillId="0" borderId="3" xfId="1" applyNumberFormat="1" applyFont="1" applyBorder="1" applyAlignment="1">
      <alignment horizontal="left" vertical="center"/>
    </xf>
    <xf numFmtId="0" fontId="4" fillId="22" borderId="83" xfId="0" applyFont="1" applyFill="1" applyBorder="1"/>
    <xf numFmtId="0" fontId="4" fillId="22" borderId="70" xfId="0" applyFont="1" applyFill="1" applyBorder="1"/>
    <xf numFmtId="0" fontId="0" fillId="22" borderId="70" xfId="0" applyFill="1" applyBorder="1"/>
    <xf numFmtId="44" fontId="0" fillId="22" borderId="70" xfId="1" applyFont="1" applyFill="1" applyBorder="1"/>
    <xf numFmtId="164" fontId="4" fillId="22" borderId="70" xfId="1" applyNumberFormat="1" applyFont="1" applyFill="1" applyBorder="1"/>
    <xf numFmtId="0" fontId="0" fillId="3" borderId="85" xfId="0" applyFill="1" applyBorder="1" applyAlignment="1">
      <alignment horizontal="left"/>
    </xf>
    <xf numFmtId="0" fontId="4" fillId="0" borderId="85" xfId="0" applyFont="1" applyBorder="1"/>
    <xf numFmtId="0" fontId="0" fillId="0" borderId="85" xfId="1" applyNumberFormat="1" applyFont="1" applyBorder="1"/>
    <xf numFmtId="0" fontId="4" fillId="0" borderId="86" xfId="0" applyFont="1" applyBorder="1"/>
    <xf numFmtId="0" fontId="0" fillId="0" borderId="86" xfId="1" applyNumberFormat="1" applyFont="1" applyBorder="1"/>
    <xf numFmtId="164" fontId="0" fillId="0" borderId="86" xfId="1" applyNumberFormat="1" applyFont="1" applyBorder="1"/>
    <xf numFmtId="44" fontId="4" fillId="22" borderId="70" xfId="1" applyFont="1" applyFill="1" applyBorder="1"/>
    <xf numFmtId="0" fontId="0" fillId="3" borderId="86" xfId="0" applyFill="1" applyBorder="1"/>
    <xf numFmtId="164" fontId="0" fillId="0" borderId="70" xfId="1" applyNumberFormat="1" applyFont="1" applyBorder="1"/>
    <xf numFmtId="164" fontId="0" fillId="2" borderId="70" xfId="1" applyNumberFormat="1" applyFont="1" applyFill="1" applyBorder="1"/>
    <xf numFmtId="0" fontId="43" fillId="3" borderId="85" xfId="0" applyFont="1" applyFill="1" applyBorder="1"/>
    <xf numFmtId="0" fontId="7" fillId="0" borderId="0" xfId="0" applyFont="1" applyAlignment="1">
      <alignment vertical="center"/>
    </xf>
    <xf numFmtId="0" fontId="5" fillId="0" borderId="76" xfId="0" applyFont="1" applyBorder="1" applyAlignment="1">
      <alignment vertical="center" wrapText="1"/>
    </xf>
    <xf numFmtId="175" fontId="4" fillId="2" borderId="85" xfId="1" applyNumberFormat="1" applyFont="1" applyFill="1" applyBorder="1" applyAlignment="1">
      <alignment horizontal="center"/>
    </xf>
    <xf numFmtId="174" fontId="4" fillId="2" borderId="85" xfId="1" applyNumberFormat="1" applyFont="1" applyFill="1" applyBorder="1" applyAlignment="1">
      <alignment horizontal="center"/>
    </xf>
    <xf numFmtId="44" fontId="5" fillId="2" borderId="4" xfId="1" applyFont="1" applyFill="1" applyBorder="1" applyAlignment="1">
      <alignment horizontal="center"/>
    </xf>
    <xf numFmtId="0" fontId="0" fillId="2" borderId="11" xfId="0" applyFill="1" applyBorder="1"/>
    <xf numFmtId="0" fontId="0" fillId="2" borderId="12" xfId="0" applyFill="1" applyBorder="1"/>
    <xf numFmtId="0" fontId="5" fillId="2" borderId="12" xfId="0" applyFont="1" applyFill="1" applyBorder="1" applyAlignment="1">
      <alignment horizontal="center"/>
    </xf>
    <xf numFmtId="44" fontId="5" fillId="2" borderId="12" xfId="1" applyFont="1" applyFill="1" applyBorder="1" applyAlignment="1">
      <alignment horizontal="center"/>
    </xf>
    <xf numFmtId="44" fontId="5" fillId="2" borderId="5" xfId="1" applyFont="1" applyFill="1" applyBorder="1" applyAlignment="1">
      <alignment horizontal="center"/>
    </xf>
    <xf numFmtId="164" fontId="0" fillId="22" borderId="84" xfId="1" applyNumberFormat="1" applyFont="1" applyFill="1" applyBorder="1"/>
    <xf numFmtId="44" fontId="4" fillId="0" borderId="7" xfId="1" applyFont="1" applyBorder="1" applyAlignment="1">
      <alignment horizontal="center"/>
    </xf>
    <xf numFmtId="44" fontId="4" fillId="0" borderId="3" xfId="1" applyFont="1" applyBorder="1" applyAlignment="1">
      <alignment horizontal="center"/>
    </xf>
    <xf numFmtId="164" fontId="4" fillId="2" borderId="6" xfId="1" applyNumberFormat="1" applyFont="1" applyFill="1" applyBorder="1" applyAlignment="1">
      <alignment horizontal="center"/>
    </xf>
    <xf numFmtId="44" fontId="0" fillId="7" borderId="5" xfId="1" applyFont="1" applyFill="1" applyBorder="1"/>
    <xf numFmtId="164" fontId="4" fillId="22" borderId="84" xfId="1" applyNumberFormat="1" applyFont="1" applyFill="1" applyBorder="1" applyAlignment="1">
      <alignment horizontal="center"/>
    </xf>
    <xf numFmtId="44" fontId="0" fillId="22" borderId="83" xfId="1" applyFont="1" applyFill="1" applyBorder="1"/>
    <xf numFmtId="44" fontId="4" fillId="22" borderId="83" xfId="1" applyFont="1" applyFill="1" applyBorder="1"/>
    <xf numFmtId="164" fontId="4" fillId="22" borderId="84" xfId="1" applyNumberFormat="1" applyFont="1" applyFill="1" applyBorder="1"/>
    <xf numFmtId="164" fontId="4" fillId="22" borderId="5" xfId="1" applyNumberFormat="1" applyFont="1" applyFill="1" applyBorder="1"/>
    <xf numFmtId="165" fontId="0" fillId="0" borderId="85" xfId="17" applyNumberFormat="1" applyFont="1" applyBorder="1" applyAlignment="1">
      <alignment horizontal="center"/>
    </xf>
    <xf numFmtId="172" fontId="6" fillId="0" borderId="85" xfId="52" applyNumberFormat="1" applyFont="1" applyFill="1" applyBorder="1" applyAlignment="1">
      <alignment horizontal="center" vertical="center" wrapText="1"/>
    </xf>
    <xf numFmtId="165" fontId="4" fillId="2" borderId="85" xfId="17" applyNumberFormat="1" applyFont="1" applyFill="1" applyBorder="1" applyAlignment="1">
      <alignment horizontal="center"/>
    </xf>
    <xf numFmtId="0" fontId="0" fillId="0" borderId="81" xfId="0" applyBorder="1"/>
    <xf numFmtId="176" fontId="0" fillId="0" borderId="86" xfId="2" applyNumberFormat="1" applyFont="1" applyBorder="1" applyAlignment="1">
      <alignment horizontal="center"/>
    </xf>
    <xf numFmtId="178" fontId="4" fillId="2" borderId="86" xfId="2" applyNumberFormat="1" applyFont="1" applyFill="1" applyBorder="1" applyAlignment="1">
      <alignment horizontal="center"/>
    </xf>
    <xf numFmtId="0" fontId="60" fillId="0" borderId="11" xfId="0" applyFont="1" applyBorder="1" applyAlignment="1">
      <alignment vertical="center"/>
    </xf>
    <xf numFmtId="0" fontId="1" fillId="0" borderId="11" xfId="0" applyFont="1" applyBorder="1" applyAlignment="1">
      <alignment vertical="center"/>
    </xf>
    <xf numFmtId="165" fontId="61" fillId="12" borderId="85" xfId="17" applyNumberFormat="1" applyFont="1" applyFill="1" applyBorder="1" applyAlignment="1">
      <alignment horizontal="center" vertical="center" wrapText="1"/>
    </xf>
    <xf numFmtId="0" fontId="0" fillId="0" borderId="86" xfId="17" applyNumberFormat="1" applyFont="1" applyBorder="1" applyAlignment="1">
      <alignment horizontal="center" vertical="center" wrapText="1"/>
    </xf>
    <xf numFmtId="0" fontId="0" fillId="0" borderId="76" xfId="0" applyBorder="1"/>
    <xf numFmtId="0" fontId="5" fillId="0" borderId="76" xfId="0" applyFont="1" applyBorder="1" applyAlignment="1">
      <alignment horizontal="center" vertical="center" wrapText="1"/>
    </xf>
    <xf numFmtId="1" fontId="6" fillId="3" borderId="85" xfId="17" applyNumberFormat="1" applyFont="1" applyFill="1" applyBorder="1" applyAlignment="1">
      <alignment horizontal="center"/>
    </xf>
    <xf numFmtId="0" fontId="6" fillId="3" borderId="85" xfId="0" applyFont="1" applyFill="1" applyBorder="1" applyAlignment="1">
      <alignment horizontal="center"/>
    </xf>
    <xf numFmtId="166" fontId="6" fillId="3" borderId="85" xfId="17" applyNumberFormat="1" applyFont="1" applyFill="1" applyBorder="1" applyAlignment="1">
      <alignment horizontal="center"/>
    </xf>
    <xf numFmtId="166" fontId="6" fillId="3" borderId="85" xfId="0" applyNumberFormat="1" applyFont="1" applyFill="1" applyBorder="1" applyAlignment="1">
      <alignment horizontal="center"/>
    </xf>
    <xf numFmtId="0" fontId="5" fillId="0" borderId="81" xfId="0" applyFont="1" applyBorder="1" applyAlignment="1">
      <alignment vertical="center" wrapText="1"/>
    </xf>
    <xf numFmtId="0" fontId="6" fillId="0" borderId="82" xfId="0" applyFont="1" applyBorder="1"/>
    <xf numFmtId="9" fontId="61" fillId="12" borderId="86" xfId="17" applyFont="1" applyFill="1" applyBorder="1" applyAlignment="1">
      <alignment horizontal="center"/>
    </xf>
    <xf numFmtId="9" fontId="63" fillId="12" borderId="86" xfId="17" applyFont="1" applyFill="1" applyBorder="1"/>
    <xf numFmtId="0" fontId="63" fillId="12" borderId="86" xfId="0" applyFont="1" applyFill="1" applyBorder="1"/>
    <xf numFmtId="166" fontId="61" fillId="12" borderId="86" xfId="17" applyNumberFormat="1" applyFont="1" applyFill="1" applyBorder="1" applyAlignment="1">
      <alignment horizontal="center"/>
    </xf>
    <xf numFmtId="166" fontId="61" fillId="12" borderId="86" xfId="1" applyNumberFormat="1" applyFont="1" applyFill="1" applyBorder="1"/>
    <xf numFmtId="44" fontId="61" fillId="12" borderId="86" xfId="1" applyFont="1" applyFill="1" applyBorder="1"/>
    <xf numFmtId="0" fontId="5" fillId="0" borderId="81" xfId="0" applyFont="1" applyBorder="1" applyAlignment="1">
      <alignment horizontal="center" vertical="center" wrapText="1"/>
    </xf>
    <xf numFmtId="0" fontId="5" fillId="7" borderId="11" xfId="0" applyFont="1" applyFill="1" applyBorder="1" applyAlignment="1">
      <alignment vertical="center"/>
    </xf>
    <xf numFmtId="0" fontId="5" fillId="7" borderId="23" xfId="0" applyFont="1" applyFill="1" applyBorder="1" applyAlignment="1">
      <alignment vertical="center"/>
    </xf>
    <xf numFmtId="0" fontId="5" fillId="2" borderId="11" xfId="0" applyFont="1" applyFill="1" applyBorder="1"/>
    <xf numFmtId="0" fontId="5" fillId="7" borderId="11" xfId="0" applyFont="1" applyFill="1" applyBorder="1"/>
    <xf numFmtId="0" fontId="5" fillId="7" borderId="23" xfId="0" applyFont="1" applyFill="1" applyBorder="1"/>
    <xf numFmtId="0" fontId="7" fillId="9" borderId="4" xfId="0" applyFont="1" applyFill="1" applyBorder="1" applyAlignment="1">
      <alignment vertical="center"/>
    </xf>
    <xf numFmtId="0" fontId="7" fillId="9" borderId="4" xfId="0" applyFont="1" applyFill="1" applyBorder="1" applyAlignment="1">
      <alignment vertical="center" wrapText="1"/>
    </xf>
    <xf numFmtId="0" fontId="4" fillId="7" borderId="81" xfId="0" applyFont="1" applyFill="1" applyBorder="1" applyAlignment="1">
      <alignment horizontal="left" vertical="center"/>
    </xf>
    <xf numFmtId="0" fontId="4" fillId="7" borderId="82" xfId="0" applyFont="1" applyFill="1" applyBorder="1" applyAlignment="1">
      <alignment horizontal="left" vertical="center"/>
    </xf>
    <xf numFmtId="164" fontId="4" fillId="7" borderId="86" xfId="1" applyNumberFormat="1" applyFont="1" applyFill="1" applyBorder="1" applyAlignment="1">
      <alignment horizontal="left" vertical="center"/>
    </xf>
    <xf numFmtId="164" fontId="4" fillId="7" borderId="81" xfId="1" applyNumberFormat="1" applyFont="1" applyFill="1" applyBorder="1" applyAlignment="1">
      <alignment horizontal="left" vertical="center"/>
    </xf>
    <xf numFmtId="164" fontId="4" fillId="2" borderId="86" xfId="1" applyNumberFormat="1" applyFont="1" applyFill="1" applyBorder="1" applyAlignment="1">
      <alignment horizontal="left" vertical="center"/>
    </xf>
    <xf numFmtId="44" fontId="32" fillId="0" borderId="0" xfId="1" applyFont="1" applyAlignment="1">
      <alignment vertical="center"/>
    </xf>
    <xf numFmtId="0" fontId="18" fillId="0" borderId="70" xfId="0" applyFont="1" applyBorder="1" applyAlignment="1">
      <alignment horizontal="left" indent="2"/>
    </xf>
    <xf numFmtId="0" fontId="18" fillId="0" borderId="85" xfId="0" applyFont="1" applyBorder="1" applyAlignment="1">
      <alignment horizontal="left" indent="2"/>
    </xf>
    <xf numFmtId="0" fontId="18" fillId="0" borderId="86" xfId="0" applyFont="1" applyBorder="1" applyAlignment="1">
      <alignment horizontal="left" indent="2"/>
    </xf>
    <xf numFmtId="0" fontId="4" fillId="0" borderId="4" xfId="0" applyFont="1" applyBorder="1"/>
    <xf numFmtId="172" fontId="42" fillId="12" borderId="4" xfId="17" applyNumberFormat="1" applyFont="1" applyFill="1" applyBorder="1" applyAlignment="1">
      <alignment horizontal="center" wrapText="1"/>
    </xf>
    <xf numFmtId="44" fontId="42" fillId="12" borderId="1" xfId="1" applyFont="1" applyFill="1" applyBorder="1" applyAlignment="1">
      <alignment horizontal="center"/>
    </xf>
    <xf numFmtId="172" fontId="63" fillId="12" borderId="70" xfId="17" applyNumberFormat="1" applyFont="1" applyFill="1" applyBorder="1" applyAlignment="1">
      <alignment horizontal="center" wrapText="1"/>
    </xf>
    <xf numFmtId="44" fontId="63" fillId="12" borderId="79" xfId="1" applyFont="1" applyFill="1" applyBorder="1" applyAlignment="1">
      <alignment horizontal="center"/>
    </xf>
    <xf numFmtId="172" fontId="63" fillId="12" borderId="85" xfId="17" applyNumberFormat="1" applyFont="1" applyFill="1" applyBorder="1" applyAlignment="1">
      <alignment horizontal="center" wrapText="1"/>
    </xf>
    <xf numFmtId="44" fontId="63" fillId="12" borderId="56" xfId="1" applyFont="1" applyFill="1" applyBorder="1" applyAlignment="1">
      <alignment horizontal="center"/>
    </xf>
    <xf numFmtId="172" fontId="44" fillId="0" borderId="86" xfId="17" applyNumberFormat="1" applyFont="1" applyBorder="1" applyAlignment="1">
      <alignment horizontal="center" wrapText="1"/>
    </xf>
    <xf numFmtId="172" fontId="18" fillId="0" borderId="73" xfId="1" applyNumberFormat="1" applyFont="1" applyBorder="1" applyAlignment="1">
      <alignment horizontal="center"/>
    </xf>
    <xf numFmtId="164" fontId="0" fillId="22" borderId="12" xfId="1" applyNumberFormat="1" applyFont="1" applyFill="1" applyBorder="1"/>
    <xf numFmtId="44" fontId="0" fillId="22" borderId="12" xfId="1" applyFont="1" applyFill="1" applyBorder="1"/>
    <xf numFmtId="176" fontId="0" fillId="0" borderId="1" xfId="2" applyNumberFormat="1" applyFont="1" applyBorder="1" applyAlignment="1">
      <alignment horizontal="center"/>
    </xf>
    <xf numFmtId="178" fontId="4" fillId="0" borderId="0" xfId="2" applyNumberFormat="1" applyFont="1" applyAlignment="1">
      <alignment horizontal="center"/>
    </xf>
    <xf numFmtId="164" fontId="4" fillId="22" borderId="4" xfId="1" applyNumberFormat="1" applyFont="1" applyFill="1" applyBorder="1" applyAlignment="1">
      <alignment horizontal="center" wrapText="1"/>
    </xf>
    <xf numFmtId="0" fontId="4" fillId="22" borderId="23" xfId="0" applyFont="1" applyFill="1" applyBorder="1" applyAlignment="1">
      <alignment vertical="center"/>
    </xf>
    <xf numFmtId="0" fontId="0" fillId="3" borderId="76" xfId="0" applyFill="1" applyBorder="1" applyAlignment="1">
      <alignment horizontal="left" indent="2"/>
    </xf>
    <xf numFmtId="0" fontId="0" fillId="3" borderId="85" xfId="0" applyFill="1" applyBorder="1" applyAlignment="1">
      <alignment horizontal="left" indent="2"/>
    </xf>
    <xf numFmtId="0" fontId="6" fillId="3" borderId="81" xfId="0" applyFont="1" applyFill="1" applyBorder="1" applyAlignment="1">
      <alignment horizontal="left" indent="2"/>
    </xf>
    <xf numFmtId="164" fontId="6" fillId="0" borderId="86" xfId="1" applyNumberFormat="1" applyFont="1" applyBorder="1"/>
    <xf numFmtId="0" fontId="15" fillId="0" borderId="0" xfId="1" applyNumberFormat="1" applyFont="1" applyAlignment="1">
      <alignment horizontal="left" wrapText="1"/>
    </xf>
    <xf numFmtId="0" fontId="0" fillId="2" borderId="4" xfId="0" applyFill="1" applyBorder="1" applyAlignment="1">
      <alignment horizontal="center" vertical="center"/>
    </xf>
    <xf numFmtId="44" fontId="0" fillId="21" borderId="10" xfId="1" applyFont="1" applyFill="1" applyBorder="1"/>
    <xf numFmtId="44" fontId="0" fillId="21" borderId="1" xfId="1" applyFont="1" applyFill="1" applyBorder="1"/>
    <xf numFmtId="0" fontId="18" fillId="21" borderId="1" xfId="0" applyFont="1" applyFill="1" applyBorder="1" applyAlignment="1">
      <alignment horizontal="center" vertical="center" wrapText="1"/>
    </xf>
    <xf numFmtId="0" fontId="18" fillId="21" borderId="9" xfId="0" applyFont="1" applyFill="1" applyBorder="1" applyAlignment="1">
      <alignment horizontal="center" vertical="center" wrapText="1"/>
    </xf>
    <xf numFmtId="165" fontId="0" fillId="12" borderId="86" xfId="17" applyNumberFormat="1" applyFont="1" applyFill="1" applyBorder="1" applyAlignment="1">
      <alignment horizontal="center" vertical="center" wrapText="1"/>
    </xf>
    <xf numFmtId="9" fontId="61" fillId="12" borderId="4" xfId="17" applyFont="1" applyFill="1" applyBorder="1" applyAlignment="1">
      <alignment horizontal="center" vertical="center"/>
    </xf>
    <xf numFmtId="0" fontId="0" fillId="21" borderId="4" xfId="0" applyFill="1" applyBorder="1" applyAlignment="1">
      <alignment horizontal="center" wrapText="1"/>
    </xf>
    <xf numFmtId="0" fontId="43" fillId="0" borderId="0" xfId="0" applyFont="1"/>
    <xf numFmtId="9" fontId="43" fillId="0" borderId="0" xfId="0" applyNumberFormat="1" applyFont="1"/>
    <xf numFmtId="165" fontId="43" fillId="0" borderId="0" xfId="0" applyNumberFormat="1" applyFont="1"/>
    <xf numFmtId="10" fontId="43" fillId="0" borderId="0" xfId="1" applyNumberFormat="1" applyFont="1" applyAlignment="1">
      <alignment wrapText="1"/>
    </xf>
    <xf numFmtId="9" fontId="0" fillId="0" borderId="0" xfId="0" applyNumberFormat="1"/>
    <xf numFmtId="0" fontId="16" fillId="0" borderId="0" xfId="0" applyFont="1"/>
    <xf numFmtId="0" fontId="32" fillId="0" borderId="0" xfId="0" applyFont="1"/>
    <xf numFmtId="0" fontId="15" fillId="0" borderId="0" xfId="1" applyNumberFormat="1" applyFont="1"/>
    <xf numFmtId="0" fontId="15" fillId="0" borderId="0" xfId="0" applyFont="1" applyAlignment="1">
      <alignment horizontal="center"/>
    </xf>
    <xf numFmtId="0" fontId="51" fillId="0" borderId="0" xfId="0" applyFont="1" applyAlignment="1">
      <alignment horizontal="center"/>
    </xf>
    <xf numFmtId="0" fontId="0" fillId="2" borderId="0" xfId="0" applyFill="1"/>
    <xf numFmtId="0" fontId="52" fillId="2" borderId="0" xfId="0" applyFont="1" applyFill="1" applyAlignment="1">
      <alignment horizontal="center"/>
    </xf>
    <xf numFmtId="0" fontId="32" fillId="0" borderId="0" xfId="0" applyFont="1" applyAlignment="1">
      <alignment horizontal="center"/>
    </xf>
    <xf numFmtId="174" fontId="0" fillId="0" borderId="0" xfId="1" applyNumberFormat="1" applyFont="1" applyAlignment="1">
      <alignment horizontal="center"/>
    </xf>
    <xf numFmtId="0" fontId="4" fillId="0" borderId="0" xfId="0" applyFont="1" applyAlignment="1">
      <alignment horizontal="left"/>
    </xf>
    <xf numFmtId="0" fontId="0" fillId="2" borderId="0" xfId="0" applyFill="1" applyAlignment="1">
      <alignment horizontal="left"/>
    </xf>
    <xf numFmtId="0" fontId="4" fillId="2" borderId="0" xfId="0" applyFont="1" applyFill="1" applyAlignment="1">
      <alignment horizontal="left"/>
    </xf>
    <xf numFmtId="0" fontId="64" fillId="2" borderId="0" xfId="0" applyFont="1" applyFill="1" applyAlignment="1">
      <alignment horizontal="left"/>
    </xf>
    <xf numFmtId="165" fontId="0" fillId="0" borderId="0" xfId="17" applyNumberFormat="1" applyFont="1" applyAlignment="1">
      <alignment horizontal="center"/>
    </xf>
    <xf numFmtId="0" fontId="65" fillId="0" borderId="0" xfId="0" applyFont="1" applyAlignment="1">
      <alignment horizontal="center"/>
    </xf>
    <xf numFmtId="0" fontId="32" fillId="0" borderId="0" xfId="0" applyFont="1" applyAlignment="1">
      <alignment horizontal="right" indent="1"/>
    </xf>
    <xf numFmtId="9" fontId="32" fillId="0" borderId="0" xfId="0" applyNumberFormat="1" applyFont="1"/>
    <xf numFmtId="0" fontId="64" fillId="2" borderId="0" xfId="0" applyFont="1" applyFill="1"/>
    <xf numFmtId="0" fontId="1" fillId="0" borderId="3" xfId="0" applyFont="1" applyBorder="1" applyAlignment="1">
      <alignment vertical="center"/>
    </xf>
    <xf numFmtId="0" fontId="6" fillId="2" borderId="76" xfId="0" applyFont="1" applyFill="1" applyBorder="1" applyAlignment="1">
      <alignment horizontal="center" vertical="center"/>
    </xf>
    <xf numFmtId="0" fontId="6" fillId="2" borderId="72" xfId="0" applyFont="1" applyFill="1" applyBorder="1" applyAlignment="1">
      <alignment horizontal="center"/>
    </xf>
    <xf numFmtId="0" fontId="6" fillId="2" borderId="76" xfId="0" applyFont="1" applyFill="1" applyBorder="1" applyAlignment="1">
      <alignment horizontal="center"/>
    </xf>
    <xf numFmtId="0" fontId="19" fillId="0" borderId="0" xfId="0" applyFont="1" applyAlignment="1">
      <alignment vertical="center" wrapText="1"/>
    </xf>
    <xf numFmtId="1" fontId="0" fillId="0" borderId="0" xfId="1" applyNumberFormat="1" applyFont="1" applyAlignment="1">
      <alignment horizontal="center"/>
    </xf>
    <xf numFmtId="1" fontId="0" fillId="0" borderId="0" xfId="2" applyNumberFormat="1" applyFont="1" applyAlignment="1">
      <alignment horizontal="center"/>
    </xf>
    <xf numFmtId="0" fontId="41" fillId="0" borderId="0" xfId="0" applyFont="1"/>
    <xf numFmtId="0" fontId="1" fillId="0" borderId="97" xfId="0" applyFont="1" applyBorder="1" applyAlignment="1">
      <alignment horizontal="left" vertical="center"/>
    </xf>
    <xf numFmtId="0" fontId="1" fillId="0" borderId="97" xfId="0" applyFont="1" applyBorder="1" applyAlignment="1">
      <alignment vertical="center"/>
    </xf>
    <xf numFmtId="164" fontId="4" fillId="22" borderId="4" xfId="1" applyNumberFormat="1" applyFont="1" applyFill="1" applyBorder="1" applyAlignment="1">
      <alignment vertical="center" wrapText="1"/>
    </xf>
    <xf numFmtId="0" fontId="49" fillId="0" borderId="4" xfId="0" applyFont="1" applyBorder="1" applyAlignment="1">
      <alignment vertical="center"/>
    </xf>
    <xf numFmtId="0" fontId="0" fillId="2" borderId="4" xfId="0" applyFill="1" applyBorder="1" applyAlignment="1">
      <alignment horizontal="right" vertical="center"/>
    </xf>
    <xf numFmtId="2" fontId="13" fillId="0" borderId="80" xfId="0" applyNumberFormat="1" applyFont="1" applyBorder="1" applyAlignment="1">
      <alignment horizontal="center" vertical="center"/>
    </xf>
    <xf numFmtId="10" fontId="6" fillId="2" borderId="76" xfId="17" applyNumberFormat="1" applyFont="1" applyFill="1" applyBorder="1" applyAlignment="1">
      <alignment horizontal="center"/>
    </xf>
    <xf numFmtId="0" fontId="6" fillId="0" borderId="80" xfId="0" applyFont="1" applyBorder="1" applyAlignment="1">
      <alignment vertical="center" wrapText="1"/>
    </xf>
    <xf numFmtId="0" fontId="0" fillId="0" borderId="10" xfId="0" applyBorder="1" applyAlignment="1">
      <alignment horizontal="left" vertical="center"/>
    </xf>
    <xf numFmtId="0" fontId="0" fillId="10" borderId="0" xfId="0" applyFill="1"/>
    <xf numFmtId="44" fontId="6" fillId="10" borderId="0" xfId="1" applyFont="1" applyFill="1" applyAlignment="1">
      <alignment horizontal="center"/>
    </xf>
    <xf numFmtId="2" fontId="0" fillId="10" borderId="0" xfId="17" applyNumberFormat="1" applyFont="1" applyFill="1" applyAlignment="1">
      <alignment horizontal="center"/>
    </xf>
    <xf numFmtId="0" fontId="19" fillId="3" borderId="0" xfId="0" applyFont="1" applyFill="1" applyAlignment="1">
      <alignment vertical="center"/>
    </xf>
    <xf numFmtId="0" fontId="6" fillId="2" borderId="0" xfId="0" applyFont="1" applyFill="1" applyAlignment="1">
      <alignment vertical="center"/>
    </xf>
    <xf numFmtId="0" fontId="4" fillId="2" borderId="3" xfId="0" applyFont="1" applyFill="1" applyBorder="1" applyAlignment="1">
      <alignment horizontal="center" vertical="center" wrapText="1"/>
    </xf>
    <xf numFmtId="0" fontId="3" fillId="0" borderId="0" xfId="0" applyFont="1" applyAlignment="1">
      <alignment vertical="center"/>
    </xf>
    <xf numFmtId="0" fontId="21" fillId="0" borderId="0" xfId="0" applyFont="1" applyAlignment="1">
      <alignment horizontal="center" vertical="center" wrapText="1"/>
    </xf>
    <xf numFmtId="0" fontId="14" fillId="0" borderId="0" xfId="0" applyFont="1" applyAlignment="1">
      <alignment horizontal="center" vertical="center" wrapText="1"/>
    </xf>
    <xf numFmtId="0" fontId="19" fillId="0" borderId="0" xfId="0" applyFont="1"/>
    <xf numFmtId="0" fontId="15" fillId="0" borderId="1" xfId="0" applyFont="1" applyBorder="1"/>
    <xf numFmtId="0" fontId="50" fillId="0" borderId="1" xfId="0" applyFont="1" applyBorder="1"/>
    <xf numFmtId="0" fontId="72" fillId="0" borderId="1" xfId="0" applyFont="1" applyBorder="1"/>
    <xf numFmtId="0" fontId="29" fillId="0" borderId="0" xfId="0" applyFont="1"/>
    <xf numFmtId="10" fontId="0" fillId="0" borderId="80" xfId="17" applyNumberFormat="1" applyFont="1" applyBorder="1" applyAlignment="1">
      <alignment vertical="center" wrapText="1"/>
    </xf>
    <xf numFmtId="0" fontId="21" fillId="0" borderId="1" xfId="0" applyFont="1" applyBorder="1" applyAlignment="1">
      <alignment vertical="center"/>
    </xf>
    <xf numFmtId="0" fontId="36" fillId="0" borderId="0" xfId="0" applyFont="1" applyAlignment="1">
      <alignment vertical="center"/>
    </xf>
    <xf numFmtId="0" fontId="37" fillId="0" borderId="0" xfId="0" applyFont="1" applyAlignment="1">
      <alignment vertical="center"/>
    </xf>
    <xf numFmtId="0" fontId="38" fillId="0" borderId="0" xfId="0" applyFont="1" applyAlignment="1">
      <alignment vertical="center"/>
    </xf>
    <xf numFmtId="0" fontId="31" fillId="0" borderId="0" xfId="0" applyFont="1" applyAlignment="1">
      <alignment vertical="center" wrapText="1"/>
    </xf>
    <xf numFmtId="0" fontId="39" fillId="0" borderId="13" xfId="0" applyFont="1" applyBorder="1"/>
    <xf numFmtId="0" fontId="6" fillId="0" borderId="13" xfId="0" applyFont="1" applyBorder="1" applyAlignment="1">
      <alignment horizontal="center"/>
    </xf>
    <xf numFmtId="0" fontId="8" fillId="0" borderId="13" xfId="1" applyNumberFormat="1" applyFont="1" applyBorder="1" applyAlignment="1">
      <alignment horizontal="center"/>
    </xf>
    <xf numFmtId="0" fontId="6" fillId="0" borderId="13" xfId="0" applyFont="1" applyBorder="1"/>
    <xf numFmtId="0" fontId="0" fillId="0" borderId="3" xfId="0" applyBorder="1" applyAlignment="1">
      <alignment vertical="center"/>
    </xf>
    <xf numFmtId="0" fontId="21" fillId="24" borderId="70" xfId="0" applyFont="1" applyFill="1" applyBorder="1" applyAlignment="1">
      <alignment horizontal="center" vertical="center" wrapText="1"/>
    </xf>
    <xf numFmtId="0" fontId="6" fillId="24" borderId="85" xfId="0" applyFont="1" applyFill="1" applyBorder="1"/>
    <xf numFmtId="0" fontId="6" fillId="24" borderId="76" xfId="0" applyFont="1" applyFill="1" applyBorder="1" applyAlignment="1">
      <alignment horizontal="center"/>
    </xf>
    <xf numFmtId="44" fontId="6" fillId="24" borderId="76" xfId="1" applyFont="1" applyFill="1" applyBorder="1" applyAlignment="1">
      <alignment horizontal="center"/>
    </xf>
    <xf numFmtId="0" fontId="6" fillId="24" borderId="81" xfId="0" applyFont="1" applyFill="1" applyBorder="1" applyAlignment="1">
      <alignment horizontal="center"/>
    </xf>
    <xf numFmtId="0" fontId="6" fillId="24" borderId="76" xfId="0" applyFont="1" applyFill="1" applyBorder="1" applyAlignment="1">
      <alignment horizontal="center" vertical="center"/>
    </xf>
    <xf numFmtId="3" fontId="6" fillId="24" borderId="81" xfId="0" applyNumberFormat="1" applyFont="1" applyFill="1" applyBorder="1" applyAlignment="1">
      <alignment horizontal="center"/>
    </xf>
    <xf numFmtId="0" fontId="6" fillId="24" borderId="76" xfId="0" applyFont="1" applyFill="1" applyBorder="1"/>
    <xf numFmtId="0" fontId="6" fillId="24" borderId="74" xfId="0" applyFont="1" applyFill="1" applyBorder="1"/>
    <xf numFmtId="0" fontId="6" fillId="24" borderId="81" xfId="0" applyFont="1" applyFill="1" applyBorder="1"/>
    <xf numFmtId="0" fontId="6" fillId="24" borderId="83" xfId="0" applyFont="1" applyFill="1" applyBorder="1"/>
    <xf numFmtId="0" fontId="0" fillId="24" borderId="56" xfId="0" applyFill="1" applyBorder="1"/>
    <xf numFmtId="0" fontId="6" fillId="24" borderId="77" xfId="0" applyFont="1" applyFill="1" applyBorder="1"/>
    <xf numFmtId="0" fontId="0" fillId="24" borderId="73" xfId="0" applyFill="1" applyBorder="1"/>
    <xf numFmtId="0" fontId="6" fillId="24" borderId="75" xfId="0" applyFont="1" applyFill="1" applyBorder="1"/>
    <xf numFmtId="0" fontId="0" fillId="24" borderId="80" xfId="0" applyFill="1" applyBorder="1"/>
    <xf numFmtId="0" fontId="6" fillId="24" borderId="82" xfId="0" applyFont="1" applyFill="1" applyBorder="1"/>
    <xf numFmtId="44" fontId="6" fillId="24" borderId="70" xfId="1" applyFont="1" applyFill="1" applyBorder="1" applyAlignment="1">
      <alignment horizontal="center" vertical="center" wrapText="1"/>
    </xf>
    <xf numFmtId="0" fontId="6" fillId="24" borderId="85" xfId="1" applyNumberFormat="1" applyFont="1" applyFill="1" applyBorder="1" applyAlignment="1">
      <alignment horizontal="center" vertical="center" wrapText="1"/>
    </xf>
    <xf numFmtId="44" fontId="6" fillId="24" borderId="70" xfId="1" applyFont="1" applyFill="1" applyBorder="1" applyAlignment="1">
      <alignment horizontal="center" vertical="center"/>
    </xf>
    <xf numFmtId="44" fontId="6" fillId="24" borderId="85" xfId="0" applyNumberFormat="1" applyFont="1" applyFill="1" applyBorder="1" applyAlignment="1">
      <alignment horizontal="center" vertical="center"/>
    </xf>
    <xf numFmtId="44" fontId="6" fillId="24" borderId="85" xfId="1" applyFont="1" applyFill="1" applyBorder="1" applyAlignment="1">
      <alignment horizontal="center" vertical="center"/>
    </xf>
    <xf numFmtId="0" fontId="6" fillId="24" borderId="85" xfId="0" applyFont="1" applyFill="1" applyBorder="1" applyAlignment="1">
      <alignment horizontal="center" vertical="center"/>
    </xf>
    <xf numFmtId="0" fontId="6" fillId="24" borderId="86" xfId="0" applyFont="1" applyFill="1" applyBorder="1" applyAlignment="1">
      <alignment horizontal="center" vertical="center"/>
    </xf>
    <xf numFmtId="0" fontId="6" fillId="24" borderId="56" xfId="0" applyFont="1" applyFill="1" applyBorder="1" applyAlignment="1">
      <alignment horizontal="center"/>
    </xf>
    <xf numFmtId="0" fontId="6" fillId="24" borderId="77" xfId="0" applyFont="1" applyFill="1" applyBorder="1" applyAlignment="1">
      <alignment horizontal="center"/>
    </xf>
    <xf numFmtId="0" fontId="6" fillId="24" borderId="80" xfId="0" applyFont="1" applyFill="1" applyBorder="1" applyAlignment="1">
      <alignment horizontal="center"/>
    </xf>
    <xf numFmtId="0" fontId="6" fillId="24" borderId="82" xfId="0" applyFont="1" applyFill="1" applyBorder="1" applyAlignment="1">
      <alignment horizontal="center"/>
    </xf>
    <xf numFmtId="0" fontId="73" fillId="0" borderId="0" xfId="0" applyFont="1"/>
    <xf numFmtId="0" fontId="6" fillId="24" borderId="10" xfId="0" applyFont="1" applyFill="1" applyBorder="1" applyAlignment="1">
      <alignment horizontal="center" vertical="center" wrapText="1"/>
    </xf>
    <xf numFmtId="9" fontId="6" fillId="24" borderId="76" xfId="17" applyFont="1" applyFill="1" applyBorder="1" applyAlignment="1">
      <alignment horizontal="center"/>
    </xf>
    <xf numFmtId="0" fontId="6" fillId="24" borderId="72" xfId="0" applyFont="1" applyFill="1" applyBorder="1" applyAlignment="1">
      <alignment horizontal="center" vertical="center" wrapText="1"/>
    </xf>
    <xf numFmtId="0" fontId="6" fillId="24" borderId="72" xfId="0" applyFont="1" applyFill="1" applyBorder="1" applyAlignment="1">
      <alignment horizontal="center"/>
    </xf>
    <xf numFmtId="9" fontId="6" fillId="24" borderId="76" xfId="0" applyNumberFormat="1" applyFont="1" applyFill="1" applyBorder="1" applyAlignment="1">
      <alignment horizontal="center"/>
    </xf>
    <xf numFmtId="166" fontId="6" fillId="24" borderId="76" xfId="0" applyNumberFormat="1" applyFont="1" applyFill="1" applyBorder="1" applyAlignment="1">
      <alignment horizontal="right"/>
    </xf>
    <xf numFmtId="43" fontId="6" fillId="24" borderId="81" xfId="0" applyNumberFormat="1" applyFont="1" applyFill="1" applyBorder="1" applyAlignment="1">
      <alignment horizontal="right"/>
    </xf>
    <xf numFmtId="0" fontId="6" fillId="24" borderId="10" xfId="0" applyFont="1" applyFill="1" applyBorder="1"/>
    <xf numFmtId="0" fontId="21" fillId="24" borderId="72" xfId="0" applyFont="1" applyFill="1" applyBorder="1" applyAlignment="1">
      <alignment horizontal="center" vertical="center" wrapText="1"/>
    </xf>
    <xf numFmtId="9" fontId="21" fillId="24" borderId="76" xfId="0" applyNumberFormat="1" applyFont="1" applyFill="1" applyBorder="1" applyAlignment="1">
      <alignment horizontal="center" vertical="center" wrapText="1"/>
    </xf>
    <xf numFmtId="0" fontId="21" fillId="24" borderId="76" xfId="0" applyFont="1" applyFill="1" applyBorder="1" applyAlignment="1">
      <alignment horizontal="center" vertical="center" wrapText="1"/>
    </xf>
    <xf numFmtId="0" fontId="6" fillId="24" borderId="72" xfId="0" applyFont="1" applyFill="1" applyBorder="1" applyAlignment="1">
      <alignment horizontal="center" vertical="center"/>
    </xf>
    <xf numFmtId="0" fontId="6" fillId="24" borderId="74" xfId="0" applyFont="1" applyFill="1" applyBorder="1" applyAlignment="1">
      <alignment horizontal="center" vertical="center"/>
    </xf>
    <xf numFmtId="166" fontId="6" fillId="24" borderId="83" xfId="0" applyNumberFormat="1" applyFont="1" applyFill="1" applyBorder="1" applyAlignment="1">
      <alignment horizontal="center" vertical="center" wrapText="1"/>
    </xf>
    <xf numFmtId="166" fontId="6" fillId="24" borderId="76" xfId="0" applyNumberFormat="1" applyFont="1" applyFill="1" applyBorder="1" applyAlignment="1">
      <alignment horizontal="center" vertical="center"/>
    </xf>
    <xf numFmtId="166" fontId="6" fillId="24" borderId="81" xfId="0" applyNumberFormat="1" applyFont="1" applyFill="1" applyBorder="1" applyAlignment="1">
      <alignment horizontal="center" vertical="center"/>
    </xf>
    <xf numFmtId="166" fontId="6" fillId="24" borderId="72" xfId="0" applyNumberFormat="1" applyFont="1" applyFill="1" applyBorder="1" applyAlignment="1">
      <alignment horizontal="center" vertical="center"/>
    </xf>
    <xf numFmtId="0" fontId="6" fillId="24" borderId="76" xfId="1" applyNumberFormat="1" applyFont="1" applyFill="1" applyBorder="1" applyAlignment="1">
      <alignment horizontal="center" vertical="center"/>
    </xf>
    <xf numFmtId="44" fontId="6" fillId="24" borderId="76" xfId="1" applyFont="1" applyFill="1" applyBorder="1" applyAlignment="1">
      <alignment horizontal="center" vertical="center"/>
    </xf>
    <xf numFmtId="44" fontId="6" fillId="24" borderId="81" xfId="1" applyFont="1" applyFill="1" applyBorder="1" applyAlignment="1">
      <alignment horizontal="center" vertical="center"/>
    </xf>
    <xf numFmtId="0" fontId="6" fillId="24" borderId="10" xfId="0" applyFont="1" applyFill="1" applyBorder="1" applyAlignment="1">
      <alignment vertical="center"/>
    </xf>
    <xf numFmtId="2" fontId="6" fillId="24" borderId="81" xfId="0" applyNumberFormat="1" applyFont="1" applyFill="1" applyBorder="1" applyAlignment="1">
      <alignment horizontal="center" vertical="center"/>
    </xf>
    <xf numFmtId="0" fontId="6" fillId="24" borderId="83" xfId="0" applyFont="1" applyFill="1" applyBorder="1" applyAlignment="1">
      <alignment horizontal="center" vertical="center" wrapText="1"/>
    </xf>
    <xf numFmtId="2" fontId="6" fillId="24" borderId="76" xfId="0" applyNumberFormat="1" applyFont="1" applyFill="1" applyBorder="1" applyAlignment="1">
      <alignment horizontal="center" vertical="center"/>
    </xf>
    <xf numFmtId="0" fontId="6" fillId="24" borderId="72" xfId="0" applyFont="1" applyFill="1" applyBorder="1"/>
    <xf numFmtId="44" fontId="6" fillId="24" borderId="72" xfId="1" applyFont="1" applyFill="1" applyBorder="1" applyAlignment="1">
      <alignment horizontal="center" vertical="center" wrapText="1"/>
    </xf>
    <xf numFmtId="44" fontId="6" fillId="24" borderId="76" xfId="1" applyFont="1" applyFill="1" applyBorder="1" applyAlignment="1">
      <alignment horizontal="center" vertical="center" wrapText="1"/>
    </xf>
    <xf numFmtId="10" fontId="6" fillId="24" borderId="81" xfId="17" applyNumberFormat="1" applyFont="1" applyFill="1" applyBorder="1" applyAlignment="1">
      <alignment horizontal="center" vertical="center" wrapText="1"/>
    </xf>
    <xf numFmtId="44" fontId="6" fillId="24" borderId="72" xfId="1" applyFont="1" applyFill="1" applyBorder="1" applyAlignment="1">
      <alignment horizontal="center"/>
    </xf>
    <xf numFmtId="0" fontId="6" fillId="24" borderId="23" xfId="0" applyFont="1" applyFill="1" applyBorder="1" applyAlignment="1">
      <alignment horizontal="center" vertical="center"/>
    </xf>
    <xf numFmtId="0" fontId="6" fillId="24" borderId="76" xfId="0" applyFont="1" applyFill="1" applyBorder="1" applyAlignment="1">
      <alignment vertical="center"/>
    </xf>
    <xf numFmtId="9" fontId="6" fillId="24" borderId="72" xfId="0" applyNumberFormat="1" applyFont="1" applyFill="1" applyBorder="1" applyAlignment="1">
      <alignment horizontal="center" vertical="center"/>
    </xf>
    <xf numFmtId="0" fontId="6" fillId="24" borderId="3" xfId="0" applyFont="1" applyFill="1" applyBorder="1"/>
    <xf numFmtId="0" fontId="6" fillId="24" borderId="3" xfId="0" applyFont="1" applyFill="1" applyBorder="1" applyAlignment="1">
      <alignment vertical="center"/>
    </xf>
    <xf numFmtId="0" fontId="6" fillId="0" borderId="12" xfId="0" applyFont="1" applyBorder="1"/>
    <xf numFmtId="9" fontId="6" fillId="24" borderId="72" xfId="0" applyNumberFormat="1" applyFont="1" applyFill="1" applyBorder="1" applyAlignment="1">
      <alignment horizontal="center"/>
    </xf>
    <xf numFmtId="0" fontId="6" fillId="24" borderId="3" xfId="0" applyFont="1" applyFill="1" applyBorder="1" applyAlignment="1">
      <alignment horizontal="center" vertical="center"/>
    </xf>
    <xf numFmtId="0" fontId="21" fillId="24" borderId="83" xfId="0" applyFont="1" applyFill="1" applyBorder="1" applyAlignment="1">
      <alignment horizontal="center" vertical="center" wrapText="1"/>
    </xf>
    <xf numFmtId="0" fontId="6" fillId="24" borderId="11" xfId="0" applyFont="1" applyFill="1" applyBorder="1" applyAlignment="1">
      <alignment horizontal="center" vertical="center"/>
    </xf>
    <xf numFmtId="0" fontId="21" fillId="24" borderId="11" xfId="0" applyFont="1" applyFill="1" applyBorder="1" applyAlignment="1">
      <alignment horizontal="center" vertical="center" wrapText="1"/>
    </xf>
    <xf numFmtId="9" fontId="6" fillId="24" borderId="72" xfId="17" applyFont="1" applyFill="1" applyBorder="1" applyAlignment="1">
      <alignment horizontal="center"/>
    </xf>
    <xf numFmtId="0" fontId="68" fillId="25" borderId="0" xfId="0" applyFont="1" applyFill="1" applyAlignment="1">
      <alignment vertical="center"/>
    </xf>
    <xf numFmtId="0" fontId="24" fillId="25" borderId="0" xfId="0" applyFont="1" applyFill="1"/>
    <xf numFmtId="0" fontId="21" fillId="25" borderId="0" xfId="0" applyFont="1" applyFill="1"/>
    <xf numFmtId="0" fontId="0" fillId="25" borderId="0" xfId="0" applyFill="1"/>
    <xf numFmtId="0" fontId="19" fillId="25" borderId="0" xfId="0" applyFont="1" applyFill="1" applyAlignment="1">
      <alignment horizontal="center" vertical="center"/>
    </xf>
    <xf numFmtId="0" fontId="15" fillId="25" borderId="0" xfId="0" applyFont="1" applyFill="1"/>
    <xf numFmtId="0" fontId="6" fillId="25" borderId="0" xfId="0" applyFont="1" applyFill="1"/>
    <xf numFmtId="0" fontId="66" fillId="25" borderId="0" xfId="0" applyFont="1" applyFill="1"/>
    <xf numFmtId="0" fontId="17" fillId="25" borderId="0" xfId="0" applyFont="1" applyFill="1"/>
    <xf numFmtId="0" fontId="68" fillId="25" borderId="0" xfId="0" applyFont="1" applyFill="1"/>
    <xf numFmtId="0" fontId="69" fillId="25" borderId="0" xfId="0" applyFont="1" applyFill="1" applyAlignment="1">
      <alignment vertical="center"/>
    </xf>
    <xf numFmtId="0" fontId="0" fillId="25" borderId="0" xfId="0" applyFill="1" applyAlignment="1">
      <alignment vertical="center"/>
    </xf>
    <xf numFmtId="0" fontId="70" fillId="25" borderId="0" xfId="0" applyFont="1" applyFill="1" applyAlignment="1">
      <alignment vertical="center"/>
    </xf>
    <xf numFmtId="0" fontId="6" fillId="26" borderId="12" xfId="0" applyFont="1" applyFill="1" applyBorder="1" applyAlignment="1">
      <alignment horizontal="left" vertical="center" wrapText="1"/>
    </xf>
    <xf numFmtId="0" fontId="6" fillId="26" borderId="12" xfId="0" applyFont="1" applyFill="1" applyBorder="1" applyAlignment="1">
      <alignment vertical="center"/>
    </xf>
    <xf numFmtId="0" fontId="6" fillId="26" borderId="12" xfId="0" applyFont="1" applyFill="1" applyBorder="1" applyAlignment="1">
      <alignment horizontal="center" vertical="center"/>
    </xf>
    <xf numFmtId="0" fontId="6" fillId="26" borderId="12" xfId="0" applyFont="1" applyFill="1" applyBorder="1" applyAlignment="1">
      <alignment horizontal="center" vertical="center" wrapText="1"/>
    </xf>
    <xf numFmtId="0" fontId="0" fillId="26" borderId="12" xfId="0" applyFill="1" applyBorder="1"/>
    <xf numFmtId="0" fontId="0" fillId="26" borderId="12" xfId="0" applyFill="1" applyBorder="1" applyAlignment="1">
      <alignment vertical="center"/>
    </xf>
    <xf numFmtId="0" fontId="6" fillId="26" borderId="12" xfId="0" applyFont="1" applyFill="1" applyBorder="1"/>
    <xf numFmtId="0" fontId="8" fillId="26" borderId="12" xfId="1" applyNumberFormat="1" applyFont="1" applyFill="1" applyBorder="1" applyAlignment="1">
      <alignment horizontal="center"/>
    </xf>
    <xf numFmtId="0" fontId="57" fillId="26" borderId="12" xfId="0" applyFont="1" applyFill="1" applyBorder="1" applyAlignment="1">
      <alignment horizontal="left" vertical="center" indent="3"/>
    </xf>
    <xf numFmtId="0" fontId="21" fillId="26" borderId="12" xfId="0" applyFont="1" applyFill="1" applyBorder="1" applyAlignment="1">
      <alignment horizontal="center" vertical="center" wrapText="1"/>
    </xf>
    <xf numFmtId="0" fontId="35" fillId="26" borderId="12" xfId="0" applyFont="1" applyFill="1" applyBorder="1"/>
    <xf numFmtId="0" fontId="6" fillId="27" borderId="12" xfId="0" applyFont="1" applyFill="1" applyBorder="1" applyAlignment="1">
      <alignment horizontal="center"/>
    </xf>
    <xf numFmtId="0" fontId="28" fillId="0" borderId="0" xfId="0" applyFont="1"/>
    <xf numFmtId="0" fontId="0" fillId="0" borderId="71" xfId="0" applyBorder="1" applyAlignment="1">
      <alignment horizontal="left"/>
    </xf>
    <xf numFmtId="0" fontId="4" fillId="0" borderId="84" xfId="0" applyFont="1" applyBorder="1" applyAlignment="1">
      <alignment horizontal="center" vertical="center"/>
    </xf>
    <xf numFmtId="9" fontId="6" fillId="24" borderId="76" xfId="17" applyFont="1" applyFill="1" applyBorder="1" applyAlignment="1">
      <alignment horizontal="center" vertical="center"/>
    </xf>
    <xf numFmtId="9" fontId="0" fillId="0" borderId="56" xfId="17" applyFont="1" applyBorder="1" applyAlignment="1">
      <alignment vertical="center"/>
    </xf>
    <xf numFmtId="9" fontId="0" fillId="0" borderId="56" xfId="17" applyFont="1" applyBorder="1"/>
    <xf numFmtId="44" fontId="0" fillId="0" borderId="56" xfId="1" applyFont="1" applyBorder="1" applyAlignment="1">
      <alignment vertical="center"/>
    </xf>
    <xf numFmtId="44" fontId="21" fillId="24" borderId="76" xfId="1" applyFont="1" applyFill="1" applyBorder="1" applyAlignment="1">
      <alignment horizontal="center" vertical="center" wrapText="1"/>
    </xf>
    <xf numFmtId="0" fontId="6" fillId="24" borderId="74" xfId="0" applyFont="1" applyFill="1" applyBorder="1" applyAlignment="1">
      <alignment vertical="center"/>
    </xf>
    <xf numFmtId="0" fontId="0" fillId="0" borderId="78" xfId="0" applyBorder="1"/>
    <xf numFmtId="9" fontId="0" fillId="0" borderId="0" xfId="0" applyNumberFormat="1" applyAlignment="1">
      <alignment vertical="center"/>
    </xf>
    <xf numFmtId="9" fontId="0" fillId="0" borderId="69" xfId="0" applyNumberFormat="1" applyBorder="1"/>
    <xf numFmtId="9" fontId="6" fillId="24" borderId="72" xfId="17" applyFont="1" applyFill="1" applyBorder="1" applyAlignment="1">
      <alignment horizontal="center" vertical="center"/>
    </xf>
    <xf numFmtId="9" fontId="0" fillId="0" borderId="69" xfId="17" applyFont="1" applyBorder="1"/>
    <xf numFmtId="0" fontId="51" fillId="0" borderId="0" xfId="0" applyFont="1" applyAlignment="1">
      <alignment horizontal="left" vertical="top"/>
    </xf>
    <xf numFmtId="0" fontId="0" fillId="28" borderId="0" xfId="0" applyFill="1"/>
    <xf numFmtId="0" fontId="6" fillId="24" borderId="81" xfId="0" applyFont="1" applyFill="1" applyBorder="1" applyAlignment="1">
      <alignment vertical="center"/>
    </xf>
    <xf numFmtId="0" fontId="6" fillId="0" borderId="79" xfId="0" applyFont="1" applyBorder="1" applyAlignment="1">
      <alignment vertical="center" wrapText="1"/>
    </xf>
    <xf numFmtId="0" fontId="6" fillId="2" borderId="69" xfId="0" applyFont="1" applyFill="1" applyBorder="1" applyAlignment="1">
      <alignment vertical="center" wrapText="1"/>
    </xf>
    <xf numFmtId="0" fontId="6" fillId="2" borderId="71" xfId="0" applyFont="1" applyFill="1" applyBorder="1" applyAlignment="1">
      <alignment vertical="center" wrapText="1"/>
    </xf>
    <xf numFmtId="0" fontId="6" fillId="2" borderId="56" xfId="0" applyFont="1" applyFill="1" applyBorder="1" applyAlignment="1">
      <alignment vertical="center" wrapText="1"/>
    </xf>
    <xf numFmtId="0" fontId="6" fillId="2" borderId="77" xfId="0" applyFont="1" applyFill="1" applyBorder="1" applyAlignment="1">
      <alignment vertical="center" wrapText="1"/>
    </xf>
    <xf numFmtId="0" fontId="6" fillId="2" borderId="73" xfId="0" applyFont="1" applyFill="1" applyBorder="1" applyAlignment="1">
      <alignment vertical="center" wrapText="1"/>
    </xf>
    <xf numFmtId="0" fontId="6" fillId="2" borderId="75" xfId="0" applyFont="1" applyFill="1" applyBorder="1" applyAlignment="1">
      <alignment vertical="center" wrapText="1"/>
    </xf>
    <xf numFmtId="0" fontId="6" fillId="2" borderId="79" xfId="0" applyFont="1" applyFill="1" applyBorder="1" applyAlignment="1">
      <alignment vertical="center" wrapText="1"/>
    </xf>
    <xf numFmtId="0" fontId="6" fillId="2" borderId="84" xfId="0" applyFont="1" applyFill="1" applyBorder="1" applyAlignment="1">
      <alignment vertical="center" wrapText="1"/>
    </xf>
    <xf numFmtId="0" fontId="6" fillId="2" borderId="80" xfId="0" applyFont="1" applyFill="1" applyBorder="1" applyAlignment="1">
      <alignment vertical="center" wrapText="1"/>
    </xf>
    <xf numFmtId="0" fontId="6" fillId="2" borderId="82" xfId="0" applyFont="1" applyFill="1" applyBorder="1" applyAlignment="1">
      <alignment vertical="center" wrapText="1"/>
    </xf>
    <xf numFmtId="0" fontId="6" fillId="2" borderId="69" xfId="0" applyFont="1" applyFill="1" applyBorder="1" applyAlignment="1">
      <alignment vertical="center"/>
    </xf>
    <xf numFmtId="0" fontId="6" fillId="2" borderId="71" xfId="0" applyFont="1" applyFill="1" applyBorder="1" applyAlignment="1">
      <alignment vertical="center"/>
    </xf>
    <xf numFmtId="0" fontId="6" fillId="2" borderId="0" xfId="0" applyFont="1" applyFill="1" applyAlignment="1">
      <alignment vertical="center" wrapText="1"/>
    </xf>
    <xf numFmtId="0" fontId="6" fillId="2" borderId="8" xfId="0" applyFont="1" applyFill="1" applyBorder="1" applyAlignment="1">
      <alignment vertical="center" wrapText="1"/>
    </xf>
    <xf numFmtId="0" fontId="6" fillId="2" borderId="8" xfId="0" applyFont="1" applyFill="1" applyBorder="1" applyAlignment="1">
      <alignment vertical="center"/>
    </xf>
    <xf numFmtId="0" fontId="23" fillId="0" borderId="0" xfId="0" applyFont="1" applyAlignment="1">
      <alignment vertical="center" wrapText="1"/>
    </xf>
    <xf numFmtId="0" fontId="23" fillId="0" borderId="0" xfId="0" applyFont="1" applyAlignment="1">
      <alignment vertical="center"/>
    </xf>
    <xf numFmtId="0" fontId="23" fillId="0" borderId="0" xfId="0" applyFont="1" applyAlignment="1">
      <alignment wrapText="1"/>
    </xf>
    <xf numFmtId="10" fontId="4" fillId="0" borderId="0" xfId="17" applyNumberFormat="1" applyFont="1"/>
    <xf numFmtId="44" fontId="4" fillId="0" borderId="0" xfId="0" applyNumberFormat="1" applyFont="1"/>
    <xf numFmtId="10" fontId="0" fillId="0" borderId="0" xfId="17" applyNumberFormat="1" applyFont="1"/>
    <xf numFmtId="0" fontId="4" fillId="0" borderId="0" xfId="0" applyFont="1" applyAlignment="1">
      <alignment horizontal="right"/>
    </xf>
    <xf numFmtId="0" fontId="0" fillId="0" borderId="1" xfId="0" applyBorder="1" applyAlignment="1">
      <alignment horizontal="left"/>
    </xf>
    <xf numFmtId="0" fontId="0" fillId="0" borderId="10" xfId="0" applyBorder="1" applyAlignment="1">
      <alignment horizontal="center"/>
    </xf>
    <xf numFmtId="0" fontId="55" fillId="0" borderId="0" xfId="0" applyFont="1"/>
    <xf numFmtId="0" fontId="0" fillId="0" borderId="12" xfId="0" applyBorder="1" applyAlignment="1">
      <alignment vertical="center" wrapText="1"/>
    </xf>
    <xf numFmtId="0" fontId="6" fillId="0" borderId="11" xfId="0" applyFont="1" applyBorder="1" applyAlignment="1">
      <alignment vertical="center"/>
    </xf>
    <xf numFmtId="10" fontId="0" fillId="0" borderId="0" xfId="0" applyNumberFormat="1" applyAlignment="1">
      <alignment horizontal="right"/>
    </xf>
    <xf numFmtId="0" fontId="0" fillId="0" borderId="21" xfId="0" applyBorder="1" applyAlignment="1">
      <alignment vertical="top"/>
    </xf>
    <xf numFmtId="0" fontId="0" fillId="0" borderId="5" xfId="0" applyBorder="1" applyAlignment="1">
      <alignment vertical="top"/>
    </xf>
    <xf numFmtId="0" fontId="0" fillId="0" borderId="12" xfId="0" applyBorder="1" applyAlignment="1">
      <alignment vertical="top"/>
    </xf>
    <xf numFmtId="0" fontId="0" fillId="0" borderId="11" xfId="0" applyBorder="1" applyAlignment="1">
      <alignment vertical="top"/>
    </xf>
    <xf numFmtId="43" fontId="6" fillId="0" borderId="0" xfId="0" applyNumberFormat="1" applyFont="1" applyAlignment="1">
      <alignment horizontal="right"/>
    </xf>
    <xf numFmtId="0" fontId="4" fillId="0" borderId="1" xfId="0" applyFont="1" applyBorder="1" applyAlignment="1">
      <alignment horizontal="center"/>
    </xf>
    <xf numFmtId="0" fontId="4" fillId="0" borderId="9" xfId="0" applyFont="1" applyBorder="1" applyAlignment="1">
      <alignment horizontal="center"/>
    </xf>
    <xf numFmtId="0" fontId="6" fillId="25" borderId="7" xfId="0" applyFont="1" applyFill="1" applyBorder="1" applyAlignment="1">
      <alignment horizontal="center"/>
    </xf>
    <xf numFmtId="0" fontId="4" fillId="25" borderId="3" xfId="0" applyFont="1" applyFill="1" applyBorder="1" applyAlignment="1">
      <alignment horizontal="center" vertical="center" wrapText="1"/>
    </xf>
    <xf numFmtId="0" fontId="14" fillId="25" borderId="7" xfId="0" applyFont="1" applyFill="1" applyBorder="1" applyAlignment="1">
      <alignment horizontal="center" vertical="center" wrapText="1"/>
    </xf>
    <xf numFmtId="0" fontId="57" fillId="26" borderId="0" xfId="0" applyFont="1" applyFill="1" applyAlignment="1">
      <alignment horizontal="left" vertical="center"/>
    </xf>
    <xf numFmtId="0" fontId="6" fillId="26" borderId="0" xfId="0" applyFont="1" applyFill="1" applyAlignment="1">
      <alignment horizontal="left" vertical="center" wrapText="1"/>
    </xf>
    <xf numFmtId="0" fontId="6" fillId="26" borderId="0" xfId="0" applyFont="1" applyFill="1" applyAlignment="1">
      <alignment vertical="center"/>
    </xf>
    <xf numFmtId="0" fontId="31" fillId="26" borderId="0" xfId="0" applyFont="1" applyFill="1" applyAlignment="1">
      <alignment horizontal="center" vertical="center"/>
    </xf>
    <xf numFmtId="0" fontId="6" fillId="26" borderId="0" xfId="0" applyFont="1" applyFill="1"/>
    <xf numFmtId="0" fontId="6" fillId="26" borderId="0" xfId="0" applyFont="1" applyFill="1" applyAlignment="1">
      <alignment horizontal="center"/>
    </xf>
    <xf numFmtId="0" fontId="21" fillId="26" borderId="0" xfId="0" applyFont="1" applyFill="1" applyAlignment="1">
      <alignment horizontal="center" vertical="center" wrapText="1"/>
    </xf>
    <xf numFmtId="0" fontId="0" fillId="26" borderId="0" xfId="0" applyFill="1"/>
    <xf numFmtId="0" fontId="0" fillId="26" borderId="0" xfId="0" applyFill="1" applyAlignment="1">
      <alignment horizontal="center"/>
    </xf>
    <xf numFmtId="0" fontId="4" fillId="26" borderId="0" xfId="0" applyFont="1" applyFill="1" applyAlignment="1">
      <alignment horizontal="center" vertical="center" wrapText="1"/>
    </xf>
    <xf numFmtId="0" fontId="0" fillId="25" borderId="0" xfId="0" applyFill="1" applyAlignment="1">
      <alignment horizontal="center"/>
    </xf>
    <xf numFmtId="0" fontId="0" fillId="25" borderId="3" xfId="0" applyFill="1" applyBorder="1" applyAlignment="1">
      <alignment horizontal="center"/>
    </xf>
    <xf numFmtId="0" fontId="26" fillId="25" borderId="0" xfId="0" applyFont="1" applyFill="1" applyAlignment="1">
      <alignment vertical="center"/>
    </xf>
    <xf numFmtId="0" fontId="6" fillId="25" borderId="0" xfId="0" applyFont="1" applyFill="1" applyAlignment="1">
      <alignment horizontal="center"/>
    </xf>
    <xf numFmtId="0" fontId="4" fillId="25" borderId="0" xfId="0" applyFont="1" applyFill="1" applyAlignment="1">
      <alignment horizontal="center" vertical="center" wrapText="1"/>
    </xf>
    <xf numFmtId="0" fontId="14" fillId="25" borderId="0" xfId="0" applyFont="1" applyFill="1" applyAlignment="1">
      <alignment horizontal="center" vertical="center" wrapText="1"/>
    </xf>
    <xf numFmtId="44" fontId="21" fillId="2" borderId="70" xfId="1" applyFont="1" applyFill="1" applyBorder="1" applyAlignment="1">
      <alignment vertical="center" wrapText="1"/>
    </xf>
    <xf numFmtId="44" fontId="6" fillId="24" borderId="76" xfId="1" applyFont="1" applyFill="1" applyBorder="1"/>
    <xf numFmtId="44" fontId="6" fillId="24" borderId="74" xfId="1" applyFont="1" applyFill="1" applyBorder="1"/>
    <xf numFmtId="44" fontId="6" fillId="24" borderId="81" xfId="1" applyFont="1" applyFill="1" applyBorder="1"/>
    <xf numFmtId="0" fontId="6" fillId="26" borderId="12" xfId="0" applyFont="1" applyFill="1" applyBorder="1" applyAlignment="1">
      <alignment horizontal="center"/>
    </xf>
    <xf numFmtId="0" fontId="15" fillId="25" borderId="0" xfId="0" applyFont="1" applyFill="1" applyAlignment="1">
      <alignment horizontal="center"/>
    </xf>
    <xf numFmtId="0" fontId="6" fillId="0" borderId="12" xfId="0" applyFont="1" applyBorder="1" applyAlignment="1">
      <alignment vertical="center" wrapText="1"/>
    </xf>
    <xf numFmtId="0" fontId="6" fillId="24" borderId="85" xfId="0" applyFont="1" applyFill="1" applyBorder="1" applyAlignment="1">
      <alignment horizontal="center"/>
    </xf>
    <xf numFmtId="3" fontId="6" fillId="24" borderId="86" xfId="0" applyNumberFormat="1" applyFont="1" applyFill="1" applyBorder="1" applyAlignment="1">
      <alignment horizontal="center"/>
    </xf>
    <xf numFmtId="0" fontId="4" fillId="0" borderId="0" xfId="0" applyFont="1" applyAlignment="1">
      <alignment wrapText="1"/>
    </xf>
    <xf numFmtId="44" fontId="21" fillId="24" borderId="70" xfId="1" applyFont="1" applyFill="1" applyBorder="1" applyAlignment="1">
      <alignment horizontal="center" vertical="center" wrapText="1"/>
    </xf>
    <xf numFmtId="44" fontId="6" fillId="24" borderId="74" xfId="1" applyFont="1" applyFill="1" applyBorder="1" applyAlignment="1">
      <alignment horizontal="center"/>
    </xf>
    <xf numFmtId="44" fontId="6" fillId="24" borderId="81" xfId="1" applyFont="1" applyFill="1" applyBorder="1" applyAlignment="1">
      <alignment horizontal="center"/>
    </xf>
    <xf numFmtId="44" fontId="6" fillId="24" borderId="85" xfId="1" applyFont="1" applyFill="1" applyBorder="1" applyAlignment="1">
      <alignment horizontal="center"/>
    </xf>
    <xf numFmtId="0" fontId="6" fillId="24" borderId="86" xfId="0" applyFont="1" applyFill="1" applyBorder="1" applyAlignment="1">
      <alignment horizontal="center"/>
    </xf>
    <xf numFmtId="44" fontId="0" fillId="24" borderId="0" xfId="1" applyFont="1" applyFill="1" applyAlignment="1">
      <alignment horizontal="center"/>
    </xf>
    <xf numFmtId="44" fontId="4" fillId="24" borderId="3" xfId="1" applyFont="1" applyFill="1" applyBorder="1" applyAlignment="1">
      <alignment horizontal="center" vertical="center" wrapText="1"/>
    </xf>
    <xf numFmtId="44" fontId="6" fillId="24" borderId="0" xfId="1" applyFont="1" applyFill="1" applyAlignment="1">
      <alignment horizontal="center"/>
    </xf>
    <xf numFmtId="44" fontId="6" fillId="24" borderId="3" xfId="1" applyFont="1" applyFill="1" applyBorder="1" applyAlignment="1">
      <alignment horizontal="center"/>
    </xf>
    <xf numFmtId="44" fontId="6" fillId="24" borderId="10" xfId="1" applyFont="1" applyFill="1" applyBorder="1" applyAlignment="1">
      <alignment horizontal="center"/>
    </xf>
    <xf numFmtId="0" fontId="12" fillId="24" borderId="0" xfId="0" applyFont="1" applyFill="1"/>
    <xf numFmtId="0" fontId="12" fillId="24" borderId="3" xfId="0" applyFont="1" applyFill="1" applyBorder="1" applyAlignment="1">
      <alignment horizontal="center"/>
    </xf>
    <xf numFmtId="0" fontId="6" fillId="24" borderId="0" xfId="0" applyFont="1" applyFill="1"/>
    <xf numFmtId="0" fontId="6" fillId="24" borderId="3" xfId="0" applyFont="1" applyFill="1" applyBorder="1" applyAlignment="1">
      <alignment horizontal="center"/>
    </xf>
    <xf numFmtId="0" fontId="21" fillId="24" borderId="3" xfId="0" applyFont="1" applyFill="1" applyBorder="1" applyAlignment="1">
      <alignment horizontal="center" vertical="center" wrapText="1"/>
    </xf>
    <xf numFmtId="0" fontId="0" fillId="24" borderId="0" xfId="0" applyFill="1"/>
    <xf numFmtId="0" fontId="4" fillId="24" borderId="3" xfId="0" applyFont="1" applyFill="1" applyBorder="1" applyAlignment="1">
      <alignment horizontal="center" vertical="center" wrapText="1"/>
    </xf>
    <xf numFmtId="0" fontId="27" fillId="25" borderId="0" xfId="0" applyFont="1" applyFill="1" applyAlignment="1">
      <alignment vertical="center"/>
    </xf>
    <xf numFmtId="0" fontId="4" fillId="25" borderId="0" xfId="0" applyFont="1" applyFill="1" applyAlignment="1">
      <alignment vertical="center"/>
    </xf>
    <xf numFmtId="0" fontId="4" fillId="4" borderId="0" xfId="0" applyFont="1" applyFill="1" applyAlignment="1">
      <alignment horizontal="center" vertical="center" wrapText="1"/>
    </xf>
    <xf numFmtId="0" fontId="7" fillId="0" borderId="4" xfId="0" applyFont="1" applyBorder="1" applyAlignment="1">
      <alignment horizontal="center"/>
    </xf>
    <xf numFmtId="0" fontId="4" fillId="4" borderId="10" xfId="0" applyFont="1" applyFill="1" applyBorder="1" applyAlignment="1">
      <alignment horizontal="center" vertical="center" wrapText="1"/>
    </xf>
    <xf numFmtId="0" fontId="0" fillId="24" borderId="1" xfId="0" applyFill="1" applyBorder="1"/>
    <xf numFmtId="0" fontId="4" fillId="24" borderId="10" xfId="0" applyFont="1" applyFill="1" applyBorder="1" applyAlignment="1">
      <alignment horizontal="center" vertical="center" wrapText="1"/>
    </xf>
    <xf numFmtId="0" fontId="6" fillId="24" borderId="6" xfId="0" applyFont="1" applyFill="1" applyBorder="1" applyAlignment="1">
      <alignment horizontal="center" vertical="center" wrapText="1"/>
    </xf>
    <xf numFmtId="0" fontId="6" fillId="0" borderId="1" xfId="0" applyFont="1" applyBorder="1" applyAlignment="1">
      <alignment horizontal="left" vertical="center"/>
    </xf>
    <xf numFmtId="0" fontId="14" fillId="0" borderId="3" xfId="0" applyFont="1" applyBorder="1" applyAlignment="1">
      <alignment horizontal="center" vertical="center" wrapText="1"/>
    </xf>
    <xf numFmtId="0" fontId="6" fillId="0" borderId="9" xfId="0" applyFont="1" applyBorder="1"/>
    <xf numFmtId="0" fontId="6" fillId="0" borderId="12" xfId="0" applyFont="1" applyBorder="1" applyAlignment="1">
      <alignment horizontal="left" vertical="center"/>
    </xf>
    <xf numFmtId="0" fontId="31" fillId="0" borderId="12" xfId="0" applyFont="1" applyBorder="1" applyAlignment="1">
      <alignment horizontal="center" vertical="center"/>
    </xf>
    <xf numFmtId="0" fontId="6" fillId="0" borderId="5" xfId="0" applyFont="1" applyBorder="1"/>
    <xf numFmtId="0" fontId="6" fillId="0" borderId="12" xfId="0" applyFont="1" applyBorder="1" applyAlignment="1">
      <alignment vertical="center"/>
    </xf>
    <xf numFmtId="0" fontId="6" fillId="24" borderId="97" xfId="0" applyFont="1" applyFill="1" applyBorder="1" applyAlignment="1">
      <alignment horizontal="center"/>
    </xf>
    <xf numFmtId="9" fontId="12" fillId="24" borderId="0" xfId="17" applyFont="1" applyFill="1"/>
    <xf numFmtId="9" fontId="12" fillId="24" borderId="3" xfId="17" applyFont="1" applyFill="1" applyBorder="1" applyAlignment="1">
      <alignment horizontal="center"/>
    </xf>
    <xf numFmtId="9" fontId="6" fillId="24" borderId="0" xfId="17" applyFont="1" applyFill="1"/>
    <xf numFmtId="9" fontId="21" fillId="24" borderId="3" xfId="17" applyFont="1" applyFill="1" applyBorder="1" applyAlignment="1">
      <alignment horizontal="center" vertical="center" wrapText="1"/>
    </xf>
    <xf numFmtId="9" fontId="0" fillId="24" borderId="0" xfId="17" applyFont="1" applyFill="1"/>
    <xf numFmtId="9" fontId="6" fillId="24" borderId="85" xfId="0" applyNumberFormat="1" applyFont="1" applyFill="1" applyBorder="1" applyAlignment="1">
      <alignment horizontal="center"/>
    </xf>
    <xf numFmtId="10" fontId="6" fillId="24" borderId="76" xfId="17" applyNumberFormat="1" applyFont="1" applyFill="1" applyBorder="1" applyAlignment="1">
      <alignment horizontal="center"/>
    </xf>
    <xf numFmtId="10" fontId="6" fillId="24" borderId="85" xfId="17" applyNumberFormat="1" applyFont="1" applyFill="1" applyBorder="1" applyAlignment="1">
      <alignment horizontal="center"/>
    </xf>
    <xf numFmtId="0" fontId="21" fillId="24" borderId="7" xfId="0" applyFont="1" applyFill="1" applyBorder="1" applyAlignment="1">
      <alignment horizontal="center" vertical="center" wrapText="1"/>
    </xf>
    <xf numFmtId="0" fontId="6" fillId="24" borderId="3" xfId="0" applyFont="1" applyFill="1" applyBorder="1" applyAlignment="1">
      <alignment horizontal="right"/>
    </xf>
    <xf numFmtId="0" fontId="6" fillId="24" borderId="1" xfId="0" applyFont="1" applyFill="1" applyBorder="1"/>
    <xf numFmtId="0" fontId="6" fillId="24" borderId="10" xfId="0" applyFont="1" applyFill="1" applyBorder="1" applyAlignment="1">
      <alignment horizontal="center"/>
    </xf>
    <xf numFmtId="43" fontId="6" fillId="24" borderId="10" xfId="0" applyNumberFormat="1" applyFont="1" applyFill="1" applyBorder="1" applyAlignment="1">
      <alignment horizontal="right"/>
    </xf>
    <xf numFmtId="0" fontId="6" fillId="24" borderId="97" xfId="0" applyFont="1" applyFill="1" applyBorder="1" applyAlignment="1">
      <alignment horizontal="center" vertical="center"/>
    </xf>
    <xf numFmtId="0" fontId="4" fillId="25" borderId="0" xfId="0" applyFont="1" applyFill="1"/>
    <xf numFmtId="0" fontId="21" fillId="25" borderId="0" xfId="0" applyFont="1" applyFill="1" applyAlignment="1">
      <alignment horizontal="center" vertical="center" wrapText="1"/>
    </xf>
    <xf numFmtId="0" fontId="6" fillId="24" borderId="87" xfId="0" applyFont="1" applyFill="1" applyBorder="1" applyAlignment="1">
      <alignment horizontal="center" vertical="center"/>
    </xf>
    <xf numFmtId="0" fontId="6" fillId="24" borderId="0" xfId="0" applyFont="1" applyFill="1" applyAlignment="1">
      <alignment horizontal="center"/>
    </xf>
    <xf numFmtId="166" fontId="6" fillId="24" borderId="3" xfId="0" applyNumberFormat="1" applyFont="1" applyFill="1" applyBorder="1" applyAlignment="1">
      <alignment horizontal="center"/>
    </xf>
    <xf numFmtId="166" fontId="6" fillId="24" borderId="0" xfId="0" applyNumberFormat="1" applyFont="1" applyFill="1" applyAlignment="1">
      <alignment horizontal="center"/>
    </xf>
    <xf numFmtId="166" fontId="6" fillId="24" borderId="3" xfId="1" applyNumberFormat="1" applyFont="1" applyFill="1" applyBorder="1" applyAlignment="1">
      <alignment horizontal="center"/>
    </xf>
    <xf numFmtId="166" fontId="6" fillId="24" borderId="70" xfId="0" applyNumberFormat="1" applyFont="1" applyFill="1" applyBorder="1" applyAlignment="1">
      <alignment horizontal="center" vertical="center" wrapText="1"/>
    </xf>
    <xf numFmtId="166" fontId="6" fillId="24" borderId="85" xfId="0" applyNumberFormat="1" applyFont="1" applyFill="1" applyBorder="1" applyAlignment="1">
      <alignment horizontal="center" vertical="center"/>
    </xf>
    <xf numFmtId="2" fontId="6" fillId="24" borderId="0" xfId="0" applyNumberFormat="1" applyFont="1" applyFill="1" applyAlignment="1">
      <alignment horizontal="center"/>
    </xf>
    <xf numFmtId="2" fontId="6" fillId="24" borderId="3" xfId="0" applyNumberFormat="1" applyFont="1" applyFill="1" applyBorder="1" applyAlignment="1">
      <alignment horizontal="center"/>
    </xf>
    <xf numFmtId="166" fontId="6" fillId="24" borderId="86" xfId="0" applyNumberFormat="1" applyFont="1" applyFill="1" applyBorder="1" applyAlignment="1">
      <alignment horizontal="center" vertical="center"/>
    </xf>
    <xf numFmtId="166" fontId="6" fillId="24" borderId="97" xfId="0" applyNumberFormat="1" applyFont="1" applyFill="1" applyBorder="1" applyAlignment="1">
      <alignment horizontal="center" vertical="center"/>
    </xf>
    <xf numFmtId="0" fontId="6" fillId="24" borderId="85" xfId="1" applyNumberFormat="1" applyFont="1" applyFill="1" applyBorder="1" applyAlignment="1">
      <alignment horizontal="center" vertical="center"/>
    </xf>
    <xf numFmtId="44" fontId="6" fillId="24" borderId="86" xfId="1" applyFont="1" applyFill="1" applyBorder="1" applyAlignment="1">
      <alignment horizontal="center" vertical="center"/>
    </xf>
    <xf numFmtId="0" fontId="6" fillId="24" borderId="0" xfId="0" applyFont="1" applyFill="1" applyAlignment="1">
      <alignment horizontal="center" vertical="center"/>
    </xf>
    <xf numFmtId="0" fontId="6" fillId="24" borderId="6" xfId="0" applyFont="1" applyFill="1" applyBorder="1" applyAlignment="1">
      <alignment horizontal="center" vertical="center"/>
    </xf>
    <xf numFmtId="0" fontId="0" fillId="24" borderId="0" xfId="0" applyFill="1" applyAlignment="1">
      <alignment horizontal="center"/>
    </xf>
    <xf numFmtId="0" fontId="3" fillId="24" borderId="0" xfId="0" applyFont="1" applyFill="1" applyAlignment="1">
      <alignment horizontal="center"/>
    </xf>
    <xf numFmtId="44" fontId="6" fillId="24" borderId="3" xfId="0" applyNumberFormat="1" applyFont="1" applyFill="1" applyBorder="1" applyAlignment="1">
      <alignment horizontal="center"/>
    </xf>
    <xf numFmtId="0" fontId="26" fillId="24" borderId="0" xfId="0" applyFont="1" applyFill="1" applyAlignment="1">
      <alignment horizontal="center" vertical="center"/>
    </xf>
    <xf numFmtId="0" fontId="6" fillId="24" borderId="10" xfId="0" applyFont="1" applyFill="1" applyBorder="1" applyAlignment="1">
      <alignment horizontal="center" vertical="center"/>
    </xf>
    <xf numFmtId="0" fontId="21" fillId="24" borderId="10" xfId="0" applyFont="1" applyFill="1" applyBorder="1" applyAlignment="1">
      <alignment horizontal="center" vertical="center" wrapText="1"/>
    </xf>
    <xf numFmtId="0" fontId="0" fillId="24" borderId="1" xfId="0" applyFill="1" applyBorder="1" applyAlignment="1">
      <alignment horizontal="center"/>
    </xf>
    <xf numFmtId="0" fontId="6" fillId="24" borderId="81" xfId="0" applyFont="1" applyFill="1" applyBorder="1" applyAlignment="1">
      <alignment horizontal="center" vertical="center"/>
    </xf>
    <xf numFmtId="0" fontId="6" fillId="24" borderId="1" xfId="0" applyFont="1" applyFill="1" applyBorder="1" applyAlignment="1">
      <alignment horizontal="center"/>
    </xf>
    <xf numFmtId="0" fontId="54" fillId="0" borderId="0" xfId="0" applyFont="1" applyAlignment="1">
      <alignment vertical="center"/>
    </xf>
    <xf numFmtId="0" fontId="0" fillId="24" borderId="3" xfId="0" applyFill="1" applyBorder="1"/>
    <xf numFmtId="0" fontId="23" fillId="24" borderId="4" xfId="0" applyFont="1" applyFill="1" applyBorder="1"/>
    <xf numFmtId="0" fontId="23" fillId="24" borderId="0" xfId="0" applyFont="1" applyFill="1"/>
    <xf numFmtId="10" fontId="6" fillId="24" borderId="3" xfId="0" applyNumberFormat="1" applyFont="1" applyFill="1" applyBorder="1" applyAlignment="1">
      <alignment horizontal="center"/>
    </xf>
    <xf numFmtId="0" fontId="23" fillId="24" borderId="2" xfId="0" applyFont="1" applyFill="1" applyBorder="1" applyAlignment="1">
      <alignment vertical="center"/>
    </xf>
    <xf numFmtId="0" fontId="23" fillId="24" borderId="0" xfId="0" applyFont="1" applyFill="1" applyAlignment="1">
      <alignment wrapText="1"/>
    </xf>
    <xf numFmtId="0" fontId="18" fillId="21" borderId="4" xfId="0" applyFont="1" applyFill="1" applyBorder="1"/>
    <xf numFmtId="0" fontId="19" fillId="25" borderId="0" xfId="0" applyFont="1" applyFill="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14" fillId="0" borderId="18" xfId="0" applyFont="1" applyBorder="1" applyAlignment="1">
      <alignment horizontal="center" vertical="center" wrapText="1"/>
    </xf>
    <xf numFmtId="0" fontId="4" fillId="0" borderId="9" xfId="0" applyFont="1" applyBorder="1" applyAlignment="1">
      <alignment horizontal="center" vertical="center"/>
    </xf>
    <xf numFmtId="0" fontId="4" fillId="0" borderId="13" xfId="0" applyFont="1" applyBorder="1" applyAlignment="1">
      <alignment horizontal="center"/>
    </xf>
    <xf numFmtId="0" fontId="4" fillId="0" borderId="18" xfId="0" applyFont="1" applyBorder="1" applyAlignment="1">
      <alignment horizontal="center"/>
    </xf>
    <xf numFmtId="0" fontId="7" fillId="0" borderId="11" xfId="0" applyFont="1" applyBorder="1" applyAlignment="1">
      <alignment horizontal="center"/>
    </xf>
    <xf numFmtId="0" fontId="21"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0" fillId="0" borderId="5" xfId="0" applyBorder="1" applyAlignment="1">
      <alignment vertical="center" wrapText="1"/>
    </xf>
    <xf numFmtId="0" fontId="6" fillId="2" borderId="23" xfId="0" applyFont="1" applyFill="1" applyBorder="1" applyAlignment="1">
      <alignment horizontal="center" vertical="center"/>
    </xf>
    <xf numFmtId="9" fontId="6" fillId="2" borderId="72" xfId="0" applyNumberFormat="1" applyFont="1" applyFill="1" applyBorder="1" applyAlignment="1">
      <alignment horizontal="center" vertical="center"/>
    </xf>
    <xf numFmtId="0" fontId="6" fillId="2" borderId="72" xfId="0" applyFont="1" applyFill="1" applyBorder="1" applyAlignment="1">
      <alignment horizontal="center" vertical="center"/>
    </xf>
    <xf numFmtId="44" fontId="6" fillId="2" borderId="76" xfId="1" applyFont="1" applyFill="1" applyBorder="1" applyAlignment="1">
      <alignment horizontal="center" vertical="center"/>
    </xf>
    <xf numFmtId="9" fontId="6" fillId="2" borderId="76" xfId="17" applyFont="1" applyFill="1" applyBorder="1" applyAlignment="1">
      <alignment horizontal="center" vertical="center"/>
    </xf>
    <xf numFmtId="0" fontId="6" fillId="2" borderId="74" xfId="0" applyFont="1" applyFill="1" applyBorder="1" applyAlignment="1">
      <alignment horizontal="center" vertical="center"/>
    </xf>
    <xf numFmtId="0" fontId="6" fillId="2" borderId="3" xfId="0" applyFont="1" applyFill="1" applyBorder="1" applyAlignment="1">
      <alignment horizontal="center" vertical="center"/>
    </xf>
    <xf numFmtId="9" fontId="6" fillId="2" borderId="72" xfId="17"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81" xfId="0" applyFont="1" applyFill="1" applyBorder="1" applyAlignment="1">
      <alignment horizontal="center" vertical="center"/>
    </xf>
    <xf numFmtId="0" fontId="73" fillId="0" borderId="7" xfId="0" applyFont="1" applyBorder="1"/>
    <xf numFmtId="44" fontId="6" fillId="24" borderId="81" xfId="1" applyFont="1" applyFill="1" applyBorder="1" applyAlignment="1">
      <alignment horizontal="center" vertical="center" wrapText="1"/>
    </xf>
    <xf numFmtId="0" fontId="67" fillId="0" borderId="0" xfId="0" applyFont="1"/>
    <xf numFmtId="10" fontId="3" fillId="5" borderId="76" xfId="17" applyNumberFormat="1" applyFont="1" applyFill="1" applyBorder="1" applyAlignment="1">
      <alignment horizontal="center"/>
    </xf>
    <xf numFmtId="0" fontId="37" fillId="0" borderId="0" xfId="0" applyFont="1" applyAlignment="1">
      <alignment horizontal="center" vertical="center"/>
    </xf>
    <xf numFmtId="0" fontId="36" fillId="0" borderId="0" xfId="0" applyFont="1" applyAlignment="1">
      <alignment horizontal="center" vertical="center"/>
    </xf>
    <xf numFmtId="0" fontId="6" fillId="5" borderId="76" xfId="0" applyFont="1" applyFill="1" applyBorder="1" applyAlignment="1">
      <alignment horizontal="center"/>
    </xf>
    <xf numFmtId="9" fontId="6" fillId="24" borderId="72" xfId="0" applyNumberFormat="1" applyFont="1" applyFill="1" applyBorder="1" applyAlignment="1">
      <alignment horizontal="center" vertical="center" wrapText="1"/>
    </xf>
    <xf numFmtId="0" fontId="19" fillId="3" borderId="1" xfId="0" applyFont="1" applyFill="1" applyBorder="1" applyAlignment="1">
      <alignment vertical="center"/>
    </xf>
    <xf numFmtId="0" fontId="19" fillId="0" borderId="80" xfId="0" applyFont="1" applyBorder="1" applyAlignment="1">
      <alignment horizontal="center" vertical="center"/>
    </xf>
    <xf numFmtId="0" fontId="6" fillId="24" borderId="81" xfId="0" applyFont="1" applyFill="1" applyBorder="1" applyAlignment="1">
      <alignment horizontal="center" vertical="center" wrapText="1"/>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5" xfId="0" applyFont="1" applyBorder="1" applyAlignment="1">
      <alignment horizontal="left" vertical="center"/>
    </xf>
    <xf numFmtId="0" fontId="0" fillId="0" borderId="4" xfId="0" applyBorder="1" applyAlignment="1">
      <alignment vertical="center"/>
    </xf>
    <xf numFmtId="0" fontId="14" fillId="0" borderId="2" xfId="0" applyFont="1" applyBorder="1" applyAlignment="1">
      <alignment horizontal="center" vertical="center" wrapText="1"/>
    </xf>
    <xf numFmtId="179" fontId="6" fillId="0" borderId="70" xfId="52" applyNumberFormat="1" applyFont="1" applyFill="1" applyBorder="1" applyAlignment="1">
      <alignment horizontal="center" vertical="center" wrapText="1"/>
    </xf>
    <xf numFmtId="179" fontId="6" fillId="0" borderId="85" xfId="52" applyNumberFormat="1" applyFont="1" applyFill="1" applyBorder="1" applyAlignment="1">
      <alignment horizontal="center" vertical="center" wrapText="1"/>
    </xf>
    <xf numFmtId="179" fontId="6" fillId="0" borderId="87" xfId="52" applyNumberFormat="1" applyFont="1" applyFill="1" applyBorder="1" applyAlignment="1">
      <alignment horizontal="center" vertical="center" wrapText="1"/>
    </xf>
    <xf numFmtId="180" fontId="0" fillId="0" borderId="0" xfId="2" applyNumberFormat="1" applyFont="1" applyAlignment="1">
      <alignment horizontal="center" vertical="center"/>
    </xf>
    <xf numFmtId="180" fontId="0" fillId="0" borderId="0" xfId="1" applyNumberFormat="1" applyFont="1" applyAlignment="1">
      <alignment horizontal="center"/>
    </xf>
    <xf numFmtId="180" fontId="0" fillId="0" borderId="0" xfId="0" applyNumberFormat="1" applyAlignment="1">
      <alignment horizontal="center" vertical="center"/>
    </xf>
    <xf numFmtId="180" fontId="0" fillId="9" borderId="0" xfId="1" applyNumberFormat="1" applyFont="1" applyFill="1"/>
    <xf numFmtId="180" fontId="34" fillId="0" borderId="0" xfId="0" applyNumberFormat="1" applyFont="1" applyAlignment="1">
      <alignment horizontal="center" vertical="center"/>
    </xf>
    <xf numFmtId="180" fontId="2" fillId="0" borderId="0" xfId="2" applyNumberFormat="1" applyAlignment="1">
      <alignment horizontal="center" vertical="center"/>
    </xf>
    <xf numFmtId="180" fontId="34" fillId="0" borderId="0" xfId="2" applyNumberFormat="1" applyFont="1" applyAlignment="1">
      <alignment horizontal="center" vertical="center"/>
    </xf>
    <xf numFmtId="180" fontId="0" fillId="2" borderId="0" xfId="17" applyNumberFormat="1" applyFont="1" applyFill="1" applyAlignment="1">
      <alignment horizontal="center" vertical="center"/>
    </xf>
    <xf numFmtId="180" fontId="0" fillId="0" borderId="0" xfId="17" applyNumberFormat="1" applyFont="1" applyAlignment="1">
      <alignment horizontal="center" vertical="center"/>
    </xf>
    <xf numFmtId="180" fontId="34" fillId="0" borderId="0" xfId="0" applyNumberFormat="1" applyFont="1" applyAlignment="1">
      <alignment horizontal="center"/>
    </xf>
    <xf numFmtId="180" fontId="25" fillId="10" borderId="0" xfId="1" applyNumberFormat="1" applyFont="1" applyFill="1" applyAlignment="1">
      <alignment horizontal="center"/>
    </xf>
    <xf numFmtId="180" fontId="15" fillId="0" borderId="0" xfId="0" applyNumberFormat="1" applyFont="1"/>
    <xf numFmtId="180" fontId="25" fillId="0" borderId="0" xfId="0" applyNumberFormat="1" applyFont="1" applyAlignment="1">
      <alignment horizontal="center"/>
    </xf>
    <xf numFmtId="180" fontId="24" fillId="0" borderId="0" xfId="0" applyNumberFormat="1" applyFont="1"/>
    <xf numFmtId="180" fontId="6" fillId="0" borderId="0" xfId="0" applyNumberFormat="1" applyFont="1" applyAlignment="1">
      <alignment horizontal="center" vertical="center"/>
    </xf>
    <xf numFmtId="180" fontId="6" fillId="0" borderId="0" xfId="2" applyNumberFormat="1" applyFont="1" applyAlignment="1">
      <alignment horizontal="center" vertical="center"/>
    </xf>
    <xf numFmtId="180" fontId="6" fillId="0" borderId="0" xfId="0" applyNumberFormat="1" applyFont="1" applyAlignment="1">
      <alignment horizontal="center"/>
    </xf>
    <xf numFmtId="180" fontId="6" fillId="0" borderId="0" xfId="17" applyNumberFormat="1" applyFont="1" applyAlignment="1">
      <alignment horizontal="center" vertical="center"/>
    </xf>
    <xf numFmtId="0" fontId="21" fillId="9" borderId="0" xfId="0" applyFont="1" applyFill="1"/>
    <xf numFmtId="180" fontId="6" fillId="0" borderId="0" xfId="1" applyNumberFormat="1" applyFont="1" applyAlignment="1">
      <alignment horizontal="center"/>
    </xf>
    <xf numFmtId="180" fontId="6" fillId="2" borderId="0" xfId="17" applyNumberFormat="1" applyFont="1" applyFill="1" applyAlignment="1">
      <alignment horizontal="center" vertical="center"/>
    </xf>
    <xf numFmtId="180" fontId="6" fillId="9" borderId="0" xfId="1" applyNumberFormat="1" applyFont="1" applyFill="1"/>
    <xf numFmtId="0" fontId="21" fillId="12" borderId="0" xfId="0" applyFont="1" applyFill="1"/>
    <xf numFmtId="0" fontId="21" fillId="14" borderId="0" xfId="0" applyFont="1" applyFill="1"/>
    <xf numFmtId="180" fontId="21" fillId="0" borderId="0" xfId="0" applyNumberFormat="1" applyFont="1"/>
    <xf numFmtId="180" fontId="6" fillId="12" borderId="0" xfId="1" applyNumberFormat="1" applyFont="1" applyFill="1"/>
    <xf numFmtId="180" fontId="21" fillId="12" borderId="0" xfId="0" applyNumberFormat="1" applyFont="1" applyFill="1" applyAlignment="1">
      <alignment horizontal="center" vertical="center"/>
    </xf>
    <xf numFmtId="180" fontId="6" fillId="0" borderId="0" xfId="2" applyNumberFormat="1" applyFont="1" applyAlignment="1">
      <alignment horizontal="center"/>
    </xf>
    <xf numFmtId="180" fontId="6" fillId="0" borderId="0" xfId="17" applyNumberFormat="1" applyFont="1" applyAlignment="1">
      <alignment horizontal="center"/>
    </xf>
    <xf numFmtId="180" fontId="21" fillId="14" borderId="0" xfId="0" applyNumberFormat="1" applyFont="1" applyFill="1" applyAlignment="1">
      <alignment horizontal="center" vertical="center"/>
    </xf>
    <xf numFmtId="180" fontId="21" fillId="12" borderId="0" xfId="0" applyNumberFormat="1" applyFont="1" applyFill="1"/>
    <xf numFmtId="180" fontId="6" fillId="0" borderId="0" xfId="0" applyNumberFormat="1" applyFont="1"/>
    <xf numFmtId="0" fontId="25" fillId="13" borderId="0" xfId="0" applyFont="1" applyFill="1"/>
    <xf numFmtId="0" fontId="15" fillId="13" borderId="0" xfId="0" applyFont="1" applyFill="1"/>
    <xf numFmtId="0" fontId="25" fillId="13" borderId="0" xfId="0" applyFont="1" applyFill="1" applyAlignment="1">
      <alignment horizontal="center"/>
    </xf>
    <xf numFmtId="44" fontId="25" fillId="13" borderId="0" xfId="1" applyFont="1" applyFill="1" applyAlignment="1">
      <alignment horizontal="center"/>
    </xf>
    <xf numFmtId="0" fontId="25" fillId="10" borderId="0" xfId="0" applyFont="1" applyFill="1"/>
    <xf numFmtId="0" fontId="15" fillId="10" borderId="0" xfId="0" applyFont="1" applyFill="1"/>
    <xf numFmtId="0" fontId="7" fillId="7" borderId="3" xfId="0" applyFont="1" applyFill="1" applyBorder="1"/>
    <xf numFmtId="0" fontId="17" fillId="7" borderId="0" xfId="0" applyFont="1" applyFill="1"/>
    <xf numFmtId="0" fontId="4" fillId="9" borderId="0" xfId="0" applyFont="1" applyFill="1" applyAlignment="1">
      <alignment horizontal="center" vertical="center"/>
    </xf>
    <xf numFmtId="180" fontId="15" fillId="0" borderId="0" xfId="1" applyNumberFormat="1" applyFont="1"/>
    <xf numFmtId="180" fontId="25" fillId="10" borderId="0" xfId="0" applyNumberFormat="1" applyFont="1" applyFill="1" applyAlignment="1">
      <alignment horizontal="center"/>
    </xf>
    <xf numFmtId="180" fontId="4" fillId="9" borderId="0" xfId="0" applyNumberFormat="1" applyFont="1" applyFill="1" applyAlignment="1">
      <alignment horizontal="center" vertical="center"/>
    </xf>
    <xf numFmtId="180" fontId="4" fillId="9" borderId="0" xfId="0" applyNumberFormat="1" applyFont="1" applyFill="1"/>
    <xf numFmtId="0" fontId="25" fillId="11" borderId="0" xfId="0" applyFont="1" applyFill="1"/>
    <xf numFmtId="0" fontId="15" fillId="11" borderId="0" xfId="0" applyFont="1" applyFill="1"/>
    <xf numFmtId="0" fontId="25" fillId="11" borderId="0" xfId="0" applyFont="1" applyFill="1" applyAlignment="1">
      <alignment horizontal="center"/>
    </xf>
    <xf numFmtId="180" fontId="6" fillId="0" borderId="0" xfId="1" applyNumberFormat="1" applyFont="1"/>
    <xf numFmtId="180" fontId="25" fillId="11" borderId="0" xfId="0" applyNumberFormat="1" applyFont="1" applyFill="1" applyAlignment="1">
      <alignment horizontal="center"/>
    </xf>
    <xf numFmtId="180" fontId="25" fillId="11" borderId="0" xfId="1" applyNumberFormat="1" applyFont="1" applyFill="1" applyAlignment="1">
      <alignment horizontal="center"/>
    </xf>
    <xf numFmtId="180" fontId="0" fillId="0" borderId="0" xfId="0" applyNumberFormat="1"/>
    <xf numFmtId="44" fontId="0" fillId="14" borderId="0" xfId="1" applyFont="1" applyFill="1"/>
    <xf numFmtId="180" fontId="25" fillId="13" borderId="0" xfId="0" applyNumberFormat="1" applyFont="1" applyFill="1" applyAlignment="1">
      <alignment horizontal="center"/>
    </xf>
    <xf numFmtId="180" fontId="25" fillId="13" borderId="0" xfId="1" applyNumberFormat="1" applyFont="1" applyFill="1" applyAlignment="1">
      <alignment horizontal="center"/>
    </xf>
    <xf numFmtId="180" fontId="4" fillId="14" borderId="0" xfId="0" applyNumberFormat="1" applyFont="1" applyFill="1" applyAlignment="1">
      <alignment horizontal="center" vertical="center"/>
    </xf>
    <xf numFmtId="180" fontId="4" fillId="14" borderId="0" xfId="0" applyNumberFormat="1" applyFont="1" applyFill="1"/>
    <xf numFmtId="180" fontId="0" fillId="14" borderId="0" xfId="1" applyNumberFormat="1" applyFont="1" applyFill="1"/>
    <xf numFmtId="180" fontId="21" fillId="12" borderId="0" xfId="0" applyNumberFormat="1" applyFont="1" applyFill="1" applyAlignment="1">
      <alignment horizontal="center"/>
    </xf>
    <xf numFmtId="180" fontId="6" fillId="12" borderId="0" xfId="1" applyNumberFormat="1" applyFont="1" applyFill="1" applyAlignment="1">
      <alignment horizontal="center"/>
    </xf>
    <xf numFmtId="0" fontId="21" fillId="12" borderId="0" xfId="0" applyFont="1" applyFill="1" applyAlignment="1">
      <alignment horizontal="left" indent="2"/>
    </xf>
    <xf numFmtId="0" fontId="0" fillId="0" borderId="0" xfId="0" applyAlignment="1">
      <alignment horizontal="left" indent="2"/>
    </xf>
    <xf numFmtId="0" fontId="4" fillId="12" borderId="0" xfId="0" applyFont="1" applyFill="1" applyAlignment="1">
      <alignment horizontal="left" indent="2"/>
    </xf>
    <xf numFmtId="0" fontId="15" fillId="0" borderId="0" xfId="0" applyFont="1" applyAlignment="1">
      <alignment horizontal="left" indent="2"/>
    </xf>
    <xf numFmtId="0" fontId="4" fillId="0" borderId="0" xfId="0" applyFont="1" applyAlignment="1">
      <alignment horizontal="left" indent="2"/>
    </xf>
    <xf numFmtId="0" fontId="0" fillId="3" borderId="6" xfId="0" applyFill="1" applyBorder="1"/>
    <xf numFmtId="0" fontId="0" fillId="0" borderId="6" xfId="0" applyBorder="1"/>
    <xf numFmtId="44" fontId="0" fillId="0" borderId="6" xfId="1" applyFont="1" applyBorder="1"/>
    <xf numFmtId="164" fontId="0" fillId="0" borderId="6" xfId="1" applyNumberFormat="1" applyFont="1" applyBorder="1"/>
    <xf numFmtId="0" fontId="80" fillId="2" borderId="69" xfId="0" applyFont="1" applyFill="1" applyBorder="1" applyAlignment="1">
      <alignment vertical="center" wrapText="1"/>
    </xf>
    <xf numFmtId="0" fontId="80" fillId="2" borderId="56" xfId="0" applyFont="1" applyFill="1" applyBorder="1" applyAlignment="1">
      <alignment vertical="center" wrapText="1"/>
    </xf>
    <xf numFmtId="0" fontId="80" fillId="0" borderId="80" xfId="1" applyNumberFormat="1" applyFont="1" applyBorder="1" applyAlignment="1">
      <alignment horizontal="center" vertical="center"/>
    </xf>
    <xf numFmtId="0" fontId="79" fillId="2" borderId="71" xfId="0" applyFont="1" applyFill="1" applyBorder="1" applyAlignment="1">
      <alignment vertical="center" wrapText="1"/>
    </xf>
    <xf numFmtId="0" fontId="79" fillId="2" borderId="77" xfId="0" applyFont="1" applyFill="1" applyBorder="1" applyAlignment="1">
      <alignment vertical="center" wrapText="1"/>
    </xf>
    <xf numFmtId="0" fontId="80" fillId="0" borderId="82" xfId="1" applyNumberFormat="1" applyFont="1" applyBorder="1" applyAlignment="1">
      <alignment horizontal="center" vertical="center"/>
    </xf>
    <xf numFmtId="0" fontId="80" fillId="0" borderId="69" xfId="1" applyNumberFormat="1" applyFont="1" applyBorder="1" applyAlignment="1">
      <alignment horizontal="center"/>
    </xf>
    <xf numFmtId="9" fontId="80" fillId="0" borderId="56" xfId="17" applyFont="1" applyBorder="1" applyAlignment="1">
      <alignment horizontal="center"/>
    </xf>
    <xf numFmtId="9" fontId="80" fillId="2" borderId="56" xfId="17" applyFont="1" applyFill="1" applyBorder="1" applyAlignment="1">
      <alignment horizontal="center"/>
    </xf>
    <xf numFmtId="0" fontId="80" fillId="0" borderId="56" xfId="1" applyNumberFormat="1" applyFont="1" applyBorder="1" applyAlignment="1">
      <alignment horizontal="center"/>
    </xf>
    <xf numFmtId="166" fontId="80" fillId="2" borderId="56" xfId="1" applyNumberFormat="1" applyFont="1" applyFill="1" applyBorder="1" applyAlignment="1">
      <alignment horizontal="center"/>
    </xf>
    <xf numFmtId="0" fontId="80" fillId="0" borderId="80" xfId="1" applyNumberFormat="1" applyFont="1" applyBorder="1" applyAlignment="1">
      <alignment horizontal="center"/>
    </xf>
    <xf numFmtId="165" fontId="80" fillId="0" borderId="56" xfId="17" applyNumberFormat="1" applyFont="1" applyBorder="1" applyAlignment="1">
      <alignment horizontal="center"/>
    </xf>
    <xf numFmtId="166" fontId="80" fillId="0" borderId="56" xfId="1" applyNumberFormat="1" applyFont="1" applyBorder="1" applyAlignment="1">
      <alignment horizontal="center"/>
    </xf>
    <xf numFmtId="165" fontId="80" fillId="0" borderId="56" xfId="1" applyNumberFormat="1" applyFont="1" applyBorder="1" applyAlignment="1">
      <alignment horizontal="center"/>
    </xf>
    <xf numFmtId="166" fontId="80" fillId="0" borderId="80" xfId="0" applyNumberFormat="1" applyFont="1" applyBorder="1" applyAlignment="1">
      <alignment horizontal="center"/>
    </xf>
    <xf numFmtId="0" fontId="80" fillId="0" borderId="79" xfId="1" applyNumberFormat="1" applyFont="1" applyBorder="1" applyAlignment="1">
      <alignment horizontal="center"/>
    </xf>
    <xf numFmtId="0" fontId="80" fillId="0" borderId="71" xfId="1" applyNumberFormat="1" applyFont="1" applyBorder="1" applyAlignment="1">
      <alignment horizontal="center"/>
    </xf>
    <xf numFmtId="9" fontId="80" fillId="0" borderId="77" xfId="17" applyFont="1" applyBorder="1" applyAlignment="1">
      <alignment horizontal="center"/>
    </xf>
    <xf numFmtId="165" fontId="80" fillId="0" borderId="77" xfId="17" applyNumberFormat="1" applyFont="1" applyBorder="1" applyAlignment="1">
      <alignment horizontal="center"/>
    </xf>
    <xf numFmtId="0" fontId="80" fillId="0" borderId="77" xfId="1" applyNumberFormat="1" applyFont="1" applyBorder="1" applyAlignment="1">
      <alignment horizontal="center"/>
    </xf>
    <xf numFmtId="166" fontId="80" fillId="0" borderId="77" xfId="1" applyNumberFormat="1" applyFont="1" applyBorder="1" applyAlignment="1">
      <alignment horizontal="center"/>
    </xf>
    <xf numFmtId="166" fontId="80" fillId="0" borderId="82" xfId="0" applyNumberFormat="1" applyFont="1" applyBorder="1" applyAlignment="1">
      <alignment horizontal="center"/>
    </xf>
    <xf numFmtId="0" fontId="79" fillId="2" borderId="69" xfId="0" applyFont="1" applyFill="1" applyBorder="1" applyAlignment="1">
      <alignment vertical="center" wrapText="1"/>
    </xf>
    <xf numFmtId="0" fontId="79" fillId="2" borderId="56" xfId="0" applyFont="1" applyFill="1" applyBorder="1" applyAlignment="1">
      <alignment vertical="center" wrapText="1"/>
    </xf>
    <xf numFmtId="0" fontId="79" fillId="0" borderId="18" xfId="0" applyFont="1" applyBorder="1" applyAlignment="1">
      <alignment horizontal="center" vertical="center" wrapText="1"/>
    </xf>
    <xf numFmtId="44" fontId="80" fillId="0" borderId="70" xfId="1" applyFont="1" applyBorder="1" applyAlignment="1">
      <alignment horizontal="center"/>
    </xf>
    <xf numFmtId="0" fontId="80" fillId="0" borderId="85" xfId="1" applyNumberFormat="1" applyFont="1" applyBorder="1" applyAlignment="1">
      <alignment horizontal="center"/>
    </xf>
    <xf numFmtId="44" fontId="80" fillId="0" borderId="85" xfId="1" applyFont="1" applyBorder="1" applyAlignment="1">
      <alignment horizontal="center"/>
    </xf>
    <xf numFmtId="0" fontId="80" fillId="0" borderId="86" xfId="1" applyNumberFormat="1" applyFont="1" applyBorder="1" applyAlignment="1">
      <alignment horizontal="center"/>
    </xf>
    <xf numFmtId="0" fontId="79" fillId="0" borderId="18" xfId="0" applyFont="1" applyBorder="1" applyAlignment="1">
      <alignment vertical="center" wrapText="1"/>
    </xf>
    <xf numFmtId="44" fontId="80" fillId="2" borderId="18" xfId="1" applyFont="1" applyFill="1" applyBorder="1" applyAlignment="1">
      <alignment vertical="center" wrapText="1"/>
    </xf>
    <xf numFmtId="44" fontId="80" fillId="0" borderId="86" xfId="1" applyFont="1" applyBorder="1" applyAlignment="1">
      <alignment horizontal="center"/>
    </xf>
    <xf numFmtId="0" fontId="79" fillId="0" borderId="5" xfId="0" applyFont="1" applyBorder="1" applyAlignment="1">
      <alignment horizontal="center" vertical="center" wrapText="1"/>
    </xf>
    <xf numFmtId="0" fontId="80" fillId="0" borderId="97" xfId="1" applyNumberFormat="1" applyFont="1" applyBorder="1" applyAlignment="1">
      <alignment horizontal="center"/>
    </xf>
    <xf numFmtId="0" fontId="80" fillId="0" borderId="85" xfId="1" applyNumberFormat="1" applyFont="1" applyBorder="1" applyAlignment="1">
      <alignment horizontal="center" vertical="center"/>
    </xf>
    <xf numFmtId="164" fontId="80" fillId="0" borderId="86" xfId="1" applyNumberFormat="1" applyFont="1" applyBorder="1" applyAlignment="1">
      <alignment horizontal="center"/>
    </xf>
    <xf numFmtId="0" fontId="79" fillId="2" borderId="84" xfId="0" applyFont="1" applyFill="1" applyBorder="1" applyAlignment="1">
      <alignment horizontal="center" vertical="center" wrapText="1"/>
    </xf>
    <xf numFmtId="0" fontId="80" fillId="0" borderId="69" xfId="1" applyNumberFormat="1" applyFont="1" applyBorder="1" applyAlignment="1">
      <alignment horizontal="center" vertical="center"/>
    </xf>
    <xf numFmtId="0" fontId="80" fillId="0" borderId="73" xfId="1" applyNumberFormat="1" applyFont="1" applyBorder="1" applyAlignment="1">
      <alignment horizontal="center" vertical="center"/>
    </xf>
    <xf numFmtId="166" fontId="80" fillId="0" borderId="79" xfId="1" applyNumberFormat="1" applyFont="1" applyBorder="1" applyAlignment="1">
      <alignment horizontal="center" vertical="center" wrapText="1"/>
    </xf>
    <xf numFmtId="166" fontId="80" fillId="0" borderId="56" xfId="1" applyNumberFormat="1" applyFont="1" applyBorder="1" applyAlignment="1">
      <alignment horizontal="center" vertical="center"/>
    </xf>
    <xf numFmtId="2" fontId="80" fillId="0" borderId="80" xfId="1" applyNumberFormat="1" applyFont="1" applyBorder="1" applyAlignment="1">
      <alignment horizontal="center" vertical="center"/>
    </xf>
    <xf numFmtId="166" fontId="80" fillId="0" borderId="69" xfId="1" applyNumberFormat="1" applyFont="1" applyBorder="1" applyAlignment="1">
      <alignment horizontal="center" vertical="center"/>
    </xf>
    <xf numFmtId="0" fontId="80" fillId="0" borderId="56" xfId="1" applyNumberFormat="1" applyFont="1" applyBorder="1" applyAlignment="1">
      <alignment horizontal="center" vertical="center"/>
    </xf>
    <xf numFmtId="44" fontId="80" fillId="0" borderId="56" xfId="1" applyFont="1" applyBorder="1" applyAlignment="1">
      <alignment horizontal="center" vertical="center"/>
    </xf>
    <xf numFmtId="44" fontId="80" fillId="0" borderId="1" xfId="1" applyFont="1" applyBorder="1" applyAlignment="1">
      <alignment horizontal="center" vertical="center"/>
    </xf>
    <xf numFmtId="0" fontId="80" fillId="0" borderId="79" xfId="1" applyNumberFormat="1" applyFont="1" applyBorder="1" applyAlignment="1">
      <alignment horizontal="center" vertical="center" wrapText="1"/>
    </xf>
    <xf numFmtId="2" fontId="80" fillId="0" borderId="56" xfId="1" applyNumberFormat="1" applyFont="1" applyBorder="1" applyAlignment="1">
      <alignment horizontal="center" vertical="center"/>
    </xf>
    <xf numFmtId="166" fontId="80" fillId="0" borderId="80" xfId="1" applyNumberFormat="1" applyFont="1" applyBorder="1" applyAlignment="1">
      <alignment horizontal="center" vertical="center"/>
    </xf>
    <xf numFmtId="0" fontId="80" fillId="0" borderId="73" xfId="1" applyNumberFormat="1" applyFont="1" applyBorder="1" applyAlignment="1">
      <alignment horizontal="center"/>
    </xf>
    <xf numFmtId="166" fontId="80" fillId="0" borderId="79" xfId="1" applyNumberFormat="1" applyFont="1" applyBorder="1" applyAlignment="1">
      <alignment horizontal="center" wrapText="1"/>
    </xf>
    <xf numFmtId="166" fontId="80" fillId="0" borderId="80" xfId="1" applyNumberFormat="1" applyFont="1" applyBorder="1" applyAlignment="1">
      <alignment horizontal="center"/>
    </xf>
    <xf numFmtId="44" fontId="80" fillId="0" borderId="69" xfId="1" applyFont="1" applyBorder="1" applyAlignment="1">
      <alignment horizontal="center"/>
    </xf>
    <xf numFmtId="44" fontId="80" fillId="0" borderId="56" xfId="1" applyFont="1" applyBorder="1" applyAlignment="1">
      <alignment horizontal="center"/>
    </xf>
    <xf numFmtId="44" fontId="80" fillId="0" borderId="1" xfId="1" applyFont="1" applyBorder="1" applyAlignment="1">
      <alignment horizontal="center"/>
    </xf>
    <xf numFmtId="0" fontId="80" fillId="0" borderId="75" xfId="1" applyNumberFormat="1" applyFont="1" applyBorder="1" applyAlignment="1">
      <alignment horizontal="center"/>
    </xf>
    <xf numFmtId="166" fontId="80" fillId="0" borderId="84" xfId="1" applyNumberFormat="1" applyFont="1" applyBorder="1" applyAlignment="1">
      <alignment horizontal="center" wrapText="1"/>
    </xf>
    <xf numFmtId="166" fontId="80" fillId="0" borderId="82" xfId="1" applyNumberFormat="1" applyFont="1" applyBorder="1" applyAlignment="1">
      <alignment horizontal="center"/>
    </xf>
    <xf numFmtId="44" fontId="80" fillId="0" borderId="71" xfId="1" applyFont="1" applyBorder="1" applyAlignment="1">
      <alignment horizontal="center"/>
    </xf>
    <xf numFmtId="166" fontId="80" fillId="0" borderId="71" xfId="1" applyNumberFormat="1" applyFont="1" applyBorder="1" applyAlignment="1">
      <alignment horizontal="center" vertical="center"/>
    </xf>
    <xf numFmtId="44" fontId="80" fillId="0" borderId="77" xfId="1" applyFont="1" applyBorder="1" applyAlignment="1">
      <alignment horizontal="center"/>
    </xf>
    <xf numFmtId="44" fontId="80" fillId="0" borderId="9" xfId="1" applyFont="1" applyBorder="1" applyAlignment="1">
      <alignment horizontal="center"/>
    </xf>
    <xf numFmtId="166" fontId="80" fillId="0" borderId="82" xfId="1" applyNumberFormat="1" applyFont="1" applyBorder="1" applyAlignment="1">
      <alignment horizontal="center" vertical="center"/>
    </xf>
    <xf numFmtId="44" fontId="80" fillId="0" borderId="69" xfId="1" applyFont="1" applyBorder="1" applyAlignment="1">
      <alignment horizontal="center" vertical="center" wrapText="1"/>
    </xf>
    <xf numFmtId="44" fontId="80" fillId="0" borderId="56" xfId="1" applyFont="1" applyBorder="1" applyAlignment="1">
      <alignment horizontal="center" vertical="center" wrapText="1"/>
    </xf>
    <xf numFmtId="10" fontId="80" fillId="0" borderId="80" xfId="17" applyNumberFormat="1" applyFont="1" applyBorder="1" applyAlignment="1">
      <alignment horizontal="center" vertical="center" wrapText="1"/>
    </xf>
    <xf numFmtId="44" fontId="80" fillId="0" borderId="71" xfId="1" applyFont="1" applyBorder="1" applyAlignment="1">
      <alignment horizontal="center" vertical="center" wrapText="1"/>
    </xf>
    <xf numFmtId="44" fontId="80" fillId="0" borderId="77" xfId="1" applyFont="1" applyBorder="1" applyAlignment="1">
      <alignment horizontal="center" vertical="center" wrapText="1"/>
    </xf>
    <xf numFmtId="10" fontId="80" fillId="0" borderId="82" xfId="17" applyNumberFormat="1" applyFont="1" applyBorder="1" applyAlignment="1">
      <alignment horizontal="center" vertical="center" wrapText="1"/>
    </xf>
    <xf numFmtId="0" fontId="80" fillId="26" borderId="12" xfId="1" applyNumberFormat="1" applyFont="1" applyFill="1" applyBorder="1" applyAlignment="1">
      <alignment horizontal="center" vertical="center"/>
    </xf>
    <xf numFmtId="9" fontId="80" fillId="0" borderId="69" xfId="17" applyFont="1" applyBorder="1" applyAlignment="1">
      <alignment horizontal="center" vertical="center" wrapText="1"/>
    </xf>
    <xf numFmtId="0" fontId="80" fillId="0" borderId="56" xfId="1" applyNumberFormat="1" applyFont="1" applyBorder="1" applyAlignment="1">
      <alignment horizontal="center" vertical="center" wrapText="1"/>
    </xf>
    <xf numFmtId="9" fontId="80" fillId="0" borderId="56" xfId="17" applyFont="1" applyBorder="1" applyAlignment="1">
      <alignment horizontal="center" vertical="center" wrapText="1"/>
    </xf>
    <xf numFmtId="0" fontId="80" fillId="0" borderId="73" xfId="1" applyNumberFormat="1" applyFont="1" applyBorder="1" applyAlignment="1">
      <alignment horizontal="center" vertical="center" wrapText="1"/>
    </xf>
    <xf numFmtId="0" fontId="80" fillId="26" borderId="12" xfId="1" applyNumberFormat="1" applyFont="1" applyFill="1" applyBorder="1" applyAlignment="1">
      <alignment horizontal="center" vertical="center" wrapText="1"/>
    </xf>
    <xf numFmtId="9" fontId="80" fillId="0" borderId="69" xfId="17" applyFont="1" applyBorder="1" applyAlignment="1">
      <alignment horizontal="center"/>
    </xf>
    <xf numFmtId="0" fontId="80" fillId="0" borderId="1" xfId="1" applyNumberFormat="1" applyFont="1" applyBorder="1" applyAlignment="1">
      <alignment horizontal="center"/>
    </xf>
    <xf numFmtId="0" fontId="80" fillId="0" borderId="69" xfId="1" applyNumberFormat="1" applyFont="1" applyBorder="1" applyAlignment="1">
      <alignment horizontal="center" vertical="center" wrapText="1"/>
    </xf>
    <xf numFmtId="0" fontId="80" fillId="26" borderId="12" xfId="1" applyNumberFormat="1" applyFont="1" applyFill="1" applyBorder="1" applyAlignment="1">
      <alignment horizontal="center"/>
    </xf>
    <xf numFmtId="9" fontId="80" fillId="0" borderId="56" xfId="17" applyFont="1" applyBorder="1" applyAlignment="1">
      <alignment horizontal="center" vertical="center"/>
    </xf>
    <xf numFmtId="0" fontId="80" fillId="0" borderId="0" xfId="1" applyNumberFormat="1" applyFont="1" applyAlignment="1">
      <alignment horizontal="center"/>
    </xf>
    <xf numFmtId="9" fontId="80" fillId="0" borderId="71" xfId="17" applyFont="1" applyBorder="1" applyAlignment="1">
      <alignment horizontal="center"/>
    </xf>
    <xf numFmtId="44" fontId="80" fillId="0" borderId="77" xfId="1" applyFont="1" applyBorder="1" applyAlignment="1">
      <alignment horizontal="center" vertical="center"/>
    </xf>
    <xf numFmtId="9" fontId="80" fillId="0" borderId="77" xfId="17" applyFont="1" applyBorder="1" applyAlignment="1">
      <alignment horizontal="center" vertical="center"/>
    </xf>
    <xf numFmtId="0" fontId="80" fillId="0" borderId="8" xfId="1" applyNumberFormat="1" applyFont="1" applyBorder="1" applyAlignment="1">
      <alignment horizontal="center"/>
    </xf>
    <xf numFmtId="0" fontId="80" fillId="0" borderId="9" xfId="1" applyNumberFormat="1" applyFont="1" applyBorder="1" applyAlignment="1">
      <alignment horizontal="center"/>
    </xf>
    <xf numFmtId="0" fontId="80" fillId="0" borderId="12" xfId="1" applyNumberFormat="1" applyFont="1" applyBorder="1" applyAlignment="1">
      <alignment horizontal="center" vertical="center"/>
    </xf>
    <xf numFmtId="49" fontId="80" fillId="0" borderId="56" xfId="1" applyNumberFormat="1" applyFont="1" applyBorder="1" applyAlignment="1">
      <alignment horizontal="center"/>
    </xf>
    <xf numFmtId="0" fontId="80" fillId="0" borderId="13" xfId="1" applyNumberFormat="1" applyFont="1" applyBorder="1" applyAlignment="1">
      <alignment horizontal="center"/>
    </xf>
    <xf numFmtId="0" fontId="80" fillId="0" borderId="5" xfId="1" applyNumberFormat="1" applyFont="1" applyBorder="1" applyAlignment="1">
      <alignment horizontal="center" vertical="center"/>
    </xf>
    <xf numFmtId="0" fontId="80" fillId="0" borderId="82" xfId="1" applyNumberFormat="1" applyFont="1" applyBorder="1" applyAlignment="1">
      <alignment horizontal="center"/>
    </xf>
    <xf numFmtId="0" fontId="8" fillId="0" borderId="0" xfId="0" applyFont="1" applyAlignment="1">
      <alignment vertical="center"/>
    </xf>
    <xf numFmtId="0" fontId="0" fillId="3" borderId="87" xfId="0" applyFill="1" applyBorder="1"/>
    <xf numFmtId="0" fontId="0" fillId="0" borderId="87" xfId="0" applyBorder="1"/>
    <xf numFmtId="44" fontId="0" fillId="0" borderId="87" xfId="1" applyFont="1" applyBorder="1"/>
    <xf numFmtId="164" fontId="0" fillId="0" borderId="87" xfId="1" applyNumberFormat="1" applyFont="1" applyBorder="1"/>
    <xf numFmtId="164" fontId="0" fillId="2" borderId="87" xfId="1" applyNumberFormat="1" applyFont="1" applyFill="1" applyBorder="1"/>
    <xf numFmtId="44" fontId="4" fillId="0" borderId="6" xfId="1" applyFont="1" applyBorder="1" applyAlignment="1">
      <alignment horizontal="center"/>
    </xf>
    <xf numFmtId="164" fontId="4" fillId="0" borderId="6" xfId="1" applyNumberFormat="1" applyFont="1" applyBorder="1" applyAlignment="1">
      <alignment horizontal="center"/>
    </xf>
    <xf numFmtId="0" fontId="0" fillId="3" borderId="12" xfId="0" applyFill="1" applyBorder="1"/>
    <xf numFmtId="44" fontId="0" fillId="0" borderId="12" xfId="1" applyFont="1" applyBorder="1"/>
    <xf numFmtId="164" fontId="0" fillId="0" borderId="12" xfId="1" applyNumberFormat="1" applyFont="1" applyBorder="1"/>
    <xf numFmtId="0" fontId="15" fillId="0" borderId="6" xfId="0" applyFont="1" applyBorder="1"/>
    <xf numFmtId="0" fontId="17" fillId="7" borderId="12" xfId="0" applyFont="1" applyFill="1" applyBorder="1"/>
    <xf numFmtId="44" fontId="17" fillId="7" borderId="12" xfId="1" applyFont="1" applyFill="1" applyBorder="1"/>
    <xf numFmtId="164" fontId="17" fillId="7" borderId="5" xfId="1" applyNumberFormat="1" applyFont="1" applyFill="1" applyBorder="1"/>
    <xf numFmtId="0" fontId="14" fillId="0" borderId="12" xfId="0" applyFont="1" applyBorder="1" applyAlignment="1">
      <alignment horizontal="center" vertical="center" wrapText="1"/>
    </xf>
    <xf numFmtId="0" fontId="4" fillId="0" borderId="12" xfId="0" applyFont="1" applyBorder="1" applyAlignment="1">
      <alignment horizontal="center" vertical="center"/>
    </xf>
    <xf numFmtId="14" fontId="0" fillId="0" borderId="0" xfId="0" applyNumberFormat="1" applyAlignment="1">
      <alignment horizontal="center"/>
    </xf>
    <xf numFmtId="0" fontId="7" fillId="22" borderId="3" xfId="0" applyFont="1" applyFill="1" applyBorder="1" applyAlignment="1">
      <alignment horizontal="center"/>
    </xf>
    <xf numFmtId="0" fontId="0" fillId="24" borderId="70" xfId="0" applyFill="1" applyBorder="1" applyAlignment="1">
      <alignment horizontal="center"/>
    </xf>
    <xf numFmtId="9" fontId="0" fillId="24" borderId="70" xfId="17" applyFont="1" applyFill="1" applyBorder="1" applyAlignment="1">
      <alignment horizontal="center"/>
    </xf>
    <xf numFmtId="0" fontId="0" fillId="0" borderId="70" xfId="0" applyBorder="1" applyAlignment="1">
      <alignment horizontal="center"/>
    </xf>
    <xf numFmtId="181" fontId="0" fillId="0" borderId="70" xfId="0" applyNumberFormat="1" applyBorder="1" applyAlignment="1">
      <alignment horizontal="center"/>
    </xf>
    <xf numFmtId="0" fontId="0" fillId="24" borderId="85" xfId="0" applyFill="1" applyBorder="1" applyAlignment="1">
      <alignment horizontal="center"/>
    </xf>
    <xf numFmtId="9" fontId="0" fillId="24" borderId="85" xfId="17" applyFont="1" applyFill="1" applyBorder="1" applyAlignment="1">
      <alignment horizontal="center"/>
    </xf>
    <xf numFmtId="0" fontId="0" fillId="0" borderId="85" xfId="0" applyBorder="1" applyAlignment="1">
      <alignment horizontal="center"/>
    </xf>
    <xf numFmtId="181" fontId="0" fillId="0" borderId="85" xfId="0" applyNumberFormat="1" applyBorder="1" applyAlignment="1">
      <alignment horizontal="center"/>
    </xf>
    <xf numFmtId="9" fontId="0" fillId="24" borderId="85" xfId="17" applyFont="1" applyFill="1" applyBorder="1"/>
    <xf numFmtId="0" fontId="0" fillId="24" borderId="86" xfId="0" applyFill="1" applyBorder="1" applyAlignment="1">
      <alignment horizontal="center"/>
    </xf>
    <xf numFmtId="9" fontId="0" fillId="24" borderId="86" xfId="17" applyFont="1" applyFill="1" applyBorder="1"/>
    <xf numFmtId="0" fontId="0" fillId="0" borderId="86" xfId="0" applyBorder="1" applyAlignment="1">
      <alignment horizontal="center"/>
    </xf>
    <xf numFmtId="181" fontId="0" fillId="0" borderId="86" xfId="0" applyNumberFormat="1" applyBorder="1" applyAlignment="1">
      <alignment horizontal="center"/>
    </xf>
    <xf numFmtId="0" fontId="0" fillId="24" borderId="70" xfId="0" applyFill="1" applyBorder="1"/>
    <xf numFmtId="0" fontId="0" fillId="24" borderId="85" xfId="0" applyFill="1" applyBorder="1"/>
    <xf numFmtId="0" fontId="0" fillId="24" borderId="86" xfId="0" applyFill="1" applyBorder="1"/>
    <xf numFmtId="9" fontId="0" fillId="0" borderId="70" xfId="17" applyFont="1" applyBorder="1" applyAlignment="1">
      <alignment horizontal="center"/>
    </xf>
    <xf numFmtId="2" fontId="0" fillId="0" borderId="70" xfId="0" applyNumberFormat="1" applyBorder="1" applyAlignment="1">
      <alignment horizontal="center"/>
    </xf>
    <xf numFmtId="9" fontId="0" fillId="0" borderId="85" xfId="17" applyFont="1" applyBorder="1" applyAlignment="1">
      <alignment horizontal="center"/>
    </xf>
    <xf numFmtId="2" fontId="0" fillId="0" borderId="85" xfId="0" applyNumberFormat="1" applyBorder="1" applyAlignment="1">
      <alignment horizontal="center"/>
    </xf>
    <xf numFmtId="9" fontId="0" fillId="24" borderId="86" xfId="17" applyFont="1" applyFill="1" applyBorder="1" applyAlignment="1">
      <alignment horizontal="center"/>
    </xf>
    <xf numFmtId="9" fontId="0" fillId="0" borderId="86" xfId="17" applyFont="1" applyBorder="1" applyAlignment="1">
      <alignment horizontal="center"/>
    </xf>
    <xf numFmtId="2" fontId="0" fillId="0" borderId="86" xfId="0" applyNumberFormat="1" applyBorder="1" applyAlignment="1">
      <alignment horizontal="center"/>
    </xf>
    <xf numFmtId="166" fontId="0" fillId="0" borderId="70" xfId="0" applyNumberFormat="1" applyBorder="1" applyAlignment="1">
      <alignment horizontal="center"/>
    </xf>
    <xf numFmtId="166" fontId="0" fillId="0" borderId="86" xfId="0" applyNumberFormat="1" applyBorder="1" applyAlignment="1">
      <alignment horizontal="center"/>
    </xf>
    <xf numFmtId="180" fontId="0" fillId="0" borderId="70" xfId="0" applyNumberFormat="1" applyBorder="1" applyAlignment="1">
      <alignment horizontal="center"/>
    </xf>
    <xf numFmtId="180" fontId="0" fillId="0" borderId="85" xfId="0" applyNumberFormat="1" applyBorder="1" applyAlignment="1">
      <alignment horizontal="center"/>
    </xf>
    <xf numFmtId="180" fontId="0" fillId="0" borderId="86" xfId="0" applyNumberFormat="1" applyBorder="1" applyAlignment="1">
      <alignment horizontal="center"/>
    </xf>
    <xf numFmtId="0" fontId="0" fillId="24" borderId="70" xfId="17" applyNumberFormat="1" applyFont="1" applyFill="1" applyBorder="1" applyAlignment="1">
      <alignment horizontal="center"/>
    </xf>
    <xf numFmtId="0" fontId="0" fillId="24" borderId="85" xfId="17" applyNumberFormat="1" applyFont="1" applyFill="1" applyBorder="1" applyAlignment="1">
      <alignment horizontal="center"/>
    </xf>
    <xf numFmtId="166" fontId="0" fillId="24" borderId="70" xfId="0" applyNumberFormat="1" applyFill="1" applyBorder="1" applyAlignment="1">
      <alignment vertical="center"/>
    </xf>
    <xf numFmtId="166" fontId="0" fillId="0" borderId="70" xfId="0" applyNumberFormat="1" applyBorder="1" applyAlignment="1">
      <alignment horizontal="center" vertical="center"/>
    </xf>
    <xf numFmtId="166" fontId="0" fillId="24" borderId="85" xfId="0" applyNumberFormat="1" applyFill="1" applyBorder="1" applyAlignment="1">
      <alignment vertical="center"/>
    </xf>
    <xf numFmtId="166" fontId="0" fillId="0" borderId="85" xfId="0" applyNumberFormat="1" applyBorder="1" applyAlignment="1">
      <alignment horizontal="center" vertical="center"/>
    </xf>
    <xf numFmtId="166" fontId="0" fillId="24" borderId="86" xfId="0" applyNumberFormat="1" applyFill="1" applyBorder="1" applyAlignment="1">
      <alignment vertical="center"/>
    </xf>
    <xf numFmtId="166" fontId="0" fillId="0" borderId="86" xfId="0" applyNumberFormat="1" applyBorder="1" applyAlignment="1">
      <alignment horizontal="center" vertical="center"/>
    </xf>
    <xf numFmtId="0" fontId="16" fillId="21" borderId="0" xfId="0" applyFont="1" applyFill="1"/>
    <xf numFmtId="0" fontId="27" fillId="21" borderId="0" xfId="0" applyFont="1" applyFill="1" applyAlignment="1">
      <alignment horizontal="center"/>
    </xf>
    <xf numFmtId="0" fontId="0" fillId="21" borderId="0" xfId="0" applyFill="1" applyAlignment="1">
      <alignment vertical="center"/>
    </xf>
    <xf numFmtId="166" fontId="4" fillId="19" borderId="70" xfId="0" applyNumberFormat="1" applyFont="1" applyFill="1" applyBorder="1" applyAlignment="1">
      <alignment horizontal="center" vertical="center"/>
    </xf>
    <xf numFmtId="166" fontId="4" fillId="19" borderId="85" xfId="0" applyNumberFormat="1" applyFont="1" applyFill="1" applyBorder="1" applyAlignment="1">
      <alignment horizontal="center" vertical="center"/>
    </xf>
    <xf numFmtId="1" fontId="4" fillId="19" borderId="85"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18" fillId="0" borderId="11" xfId="0" applyFont="1" applyBorder="1" applyAlignment="1">
      <alignment wrapText="1"/>
    </xf>
    <xf numFmtId="0" fontId="18" fillId="0" borderId="12" xfId="0" applyFont="1" applyBorder="1" applyAlignment="1">
      <alignment wrapText="1"/>
    </xf>
    <xf numFmtId="0" fontId="18" fillId="0" borderId="5" xfId="0" applyFont="1" applyBorder="1" applyAlignment="1">
      <alignment wrapText="1"/>
    </xf>
    <xf numFmtId="0" fontId="18" fillId="0" borderId="11" xfId="0" applyFont="1" applyBorder="1" applyAlignment="1">
      <alignment horizontal="left" indent="1"/>
    </xf>
    <xf numFmtId="0" fontId="21" fillId="2" borderId="70" xfId="0" applyFont="1" applyFill="1" applyBorder="1" applyAlignment="1">
      <alignment horizontal="center" vertical="center" wrapText="1"/>
    </xf>
    <xf numFmtId="44" fontId="21" fillId="2" borderId="70" xfId="1" applyFont="1" applyFill="1" applyBorder="1" applyAlignment="1">
      <alignment horizontal="center" vertical="center" wrapText="1"/>
    </xf>
    <xf numFmtId="44" fontId="0" fillId="2" borderId="0" xfId="1" applyFont="1" applyFill="1" applyAlignment="1">
      <alignment horizontal="center"/>
    </xf>
    <xf numFmtId="44" fontId="4" fillId="2" borderId="3" xfId="1" applyFont="1" applyFill="1" applyBorder="1" applyAlignment="1">
      <alignment horizontal="center" vertical="center" wrapText="1"/>
    </xf>
    <xf numFmtId="0" fontId="18" fillId="3" borderId="12" xfId="0" applyFont="1" applyFill="1" applyBorder="1" applyAlignment="1">
      <alignment wrapText="1"/>
    </xf>
    <xf numFmtId="0" fontId="18" fillId="3" borderId="5" xfId="0" applyFont="1" applyFill="1" applyBorder="1" applyAlignment="1">
      <alignment wrapText="1"/>
    </xf>
    <xf numFmtId="0" fontId="18" fillId="3" borderId="11" xfId="0" applyFont="1" applyFill="1" applyBorder="1"/>
    <xf numFmtId="0" fontId="6" fillId="2" borderId="85" xfId="0" applyFont="1" applyFill="1" applyBorder="1" applyAlignment="1">
      <alignment horizontal="center"/>
    </xf>
    <xf numFmtId="0" fontId="6" fillId="2" borderId="10" xfId="0" applyFont="1" applyFill="1" applyBorder="1" applyAlignment="1">
      <alignment horizontal="center" vertical="center" wrapText="1"/>
    </xf>
    <xf numFmtId="0" fontId="0" fillId="2" borderId="1" xfId="0" applyFill="1" applyBorder="1"/>
    <xf numFmtId="0" fontId="6" fillId="2" borderId="6" xfId="0" applyFont="1" applyFill="1" applyBorder="1" applyAlignment="1">
      <alignment horizontal="center" vertical="center" wrapText="1"/>
    </xf>
    <xf numFmtId="2" fontId="3" fillId="24" borderId="0" xfId="0" applyNumberFormat="1" applyFont="1" applyFill="1" applyAlignment="1">
      <alignment horizontal="center"/>
    </xf>
    <xf numFmtId="2" fontId="0" fillId="24" borderId="0" xfId="0" applyNumberFormat="1" applyFill="1" applyAlignment="1">
      <alignment horizontal="center"/>
    </xf>
    <xf numFmtId="2" fontId="6" fillId="24" borderId="85" xfId="0" applyNumberFormat="1" applyFont="1" applyFill="1" applyBorder="1" applyAlignment="1">
      <alignment horizontal="center" vertical="center"/>
    </xf>
    <xf numFmtId="44" fontId="3" fillId="24" borderId="0" xfId="1" applyFont="1" applyFill="1" applyAlignment="1">
      <alignment horizontal="center"/>
    </xf>
    <xf numFmtId="0" fontId="82" fillId="0" borderId="84" xfId="0" applyFont="1" applyBorder="1" applyAlignment="1">
      <alignment horizontal="center"/>
    </xf>
    <xf numFmtId="168" fontId="80" fillId="0" borderId="85" xfId="1" applyNumberFormat="1" applyFont="1" applyBorder="1" applyAlignment="1">
      <alignment horizontal="center"/>
    </xf>
    <xf numFmtId="182" fontId="6" fillId="0" borderId="0" xfId="0" applyNumberFormat="1" applyFont="1" applyAlignment="1">
      <alignment horizontal="center"/>
    </xf>
    <xf numFmtId="183" fontId="6" fillId="0" borderId="0" xfId="0" applyNumberFormat="1" applyFont="1" applyAlignment="1">
      <alignment horizontal="center"/>
    </xf>
    <xf numFmtId="182" fontId="6" fillId="0" borderId="0" xfId="17" applyNumberFormat="1" applyFont="1" applyAlignment="1">
      <alignment horizontal="center"/>
    </xf>
    <xf numFmtId="184" fontId="6" fillId="0" borderId="0" xfId="0" applyNumberFormat="1" applyFont="1" applyAlignment="1">
      <alignment horizontal="center"/>
    </xf>
    <xf numFmtId="185" fontId="80" fillId="0" borderId="56" xfId="1" applyNumberFormat="1" applyFont="1" applyBorder="1" applyAlignment="1">
      <alignment horizontal="center" vertical="center"/>
    </xf>
    <xf numFmtId="170" fontId="6" fillId="24" borderId="72" xfId="0" applyNumberFormat="1" applyFont="1" applyFill="1" applyBorder="1" applyAlignment="1">
      <alignment horizontal="center" vertical="center"/>
    </xf>
    <xf numFmtId="0" fontId="18" fillId="0" borderId="12" xfId="0" applyFont="1" applyBorder="1"/>
    <xf numFmtId="0" fontId="18" fillId="0" borderId="5" xfId="0" applyFont="1" applyBorder="1"/>
    <xf numFmtId="173" fontId="6" fillId="24" borderId="76" xfId="0" applyNumberFormat="1" applyFont="1" applyFill="1" applyBorder="1" applyAlignment="1">
      <alignment horizontal="center" vertical="center"/>
    </xf>
    <xf numFmtId="169" fontId="6" fillId="24" borderId="76" xfId="0" applyNumberFormat="1" applyFont="1" applyFill="1" applyBorder="1" applyAlignment="1">
      <alignment horizontal="center" vertical="center"/>
    </xf>
    <xf numFmtId="169" fontId="3" fillId="24" borderId="0" xfId="0" applyNumberFormat="1" applyFont="1" applyFill="1" applyAlignment="1">
      <alignment horizontal="center"/>
    </xf>
    <xf numFmtId="0" fontId="3" fillId="24" borderId="76" xfId="1" applyNumberFormat="1" applyFont="1" applyFill="1" applyBorder="1" applyAlignment="1">
      <alignment horizontal="center" vertical="center"/>
    </xf>
    <xf numFmtId="0" fontId="6" fillId="30" borderId="1" xfId="0" applyFont="1" applyFill="1" applyBorder="1"/>
    <xf numFmtId="0" fontId="6" fillId="30" borderId="10" xfId="0" applyFont="1" applyFill="1" applyBorder="1"/>
    <xf numFmtId="9" fontId="3" fillId="24" borderId="76" xfId="17" applyFont="1" applyFill="1" applyBorder="1" applyAlignment="1">
      <alignment horizontal="center" vertical="center"/>
    </xf>
    <xf numFmtId="10" fontId="3" fillId="24" borderId="76" xfId="17" applyNumberFormat="1" applyFont="1" applyFill="1" applyBorder="1" applyAlignment="1">
      <alignment horizontal="center"/>
    </xf>
    <xf numFmtId="0" fontId="3" fillId="24" borderId="0" xfId="0" applyFont="1" applyFill="1"/>
    <xf numFmtId="0" fontId="3" fillId="24" borderId="3" xfId="0" applyFont="1" applyFill="1" applyBorder="1" applyAlignment="1">
      <alignment horizontal="center"/>
    </xf>
    <xf numFmtId="44" fontId="3" fillId="24" borderId="76" xfId="1" applyFont="1" applyFill="1" applyBorder="1" applyAlignment="1">
      <alignment horizontal="center" vertical="center"/>
    </xf>
    <xf numFmtId="44" fontId="3" fillId="24" borderId="81" xfId="1" applyFont="1" applyFill="1" applyBorder="1" applyAlignment="1">
      <alignment horizontal="center" vertical="center"/>
    </xf>
    <xf numFmtId="185" fontId="6" fillId="24" borderId="76" xfId="1" applyNumberFormat="1" applyFont="1" applyFill="1" applyBorder="1" applyAlignment="1">
      <alignment horizontal="center" vertical="center"/>
    </xf>
    <xf numFmtId="10" fontId="6" fillId="5" borderId="76" xfId="17" applyNumberFormat="1" applyFont="1" applyFill="1" applyBorder="1" applyAlignment="1">
      <alignment horizontal="center"/>
    </xf>
    <xf numFmtId="0" fontId="32" fillId="21" borderId="0" xfId="0" applyFont="1" applyFill="1"/>
    <xf numFmtId="0" fontId="7" fillId="21" borderId="0" xfId="0" applyFont="1" applyFill="1"/>
    <xf numFmtId="0" fontId="4" fillId="0" borderId="98" xfId="0" applyFont="1" applyBorder="1" applyAlignment="1">
      <alignment horizontal="left"/>
    </xf>
    <xf numFmtId="0" fontId="4" fillId="0" borderId="99" xfId="0" applyFont="1" applyBorder="1" applyAlignment="1">
      <alignment horizontal="left"/>
    </xf>
    <xf numFmtId="174" fontId="16" fillId="0" borderId="0" xfId="1" applyNumberFormat="1" applyFont="1" applyAlignment="1">
      <alignment horizontal="center"/>
    </xf>
    <xf numFmtId="0" fontId="64" fillId="0" borderId="0" xfId="0" applyFont="1" applyAlignment="1">
      <alignment horizontal="center"/>
    </xf>
    <xf numFmtId="0" fontId="4" fillId="21" borderId="0" xfId="0" applyFont="1" applyFill="1" applyAlignment="1">
      <alignment wrapText="1"/>
    </xf>
    <xf numFmtId="0" fontId="0" fillId="0" borderId="56" xfId="0" applyBorder="1" applyAlignment="1">
      <alignment horizontal="center"/>
    </xf>
    <xf numFmtId="9" fontId="0" fillId="0" borderId="56" xfId="17" applyFont="1" applyBorder="1" applyAlignment="1">
      <alignment horizontal="center"/>
    </xf>
    <xf numFmtId="9" fontId="0" fillId="0" borderId="77" xfId="17" applyFont="1" applyBorder="1" applyAlignment="1">
      <alignment horizontal="center"/>
    </xf>
    <xf numFmtId="0" fontId="0" fillId="0" borderId="80" xfId="0" applyBorder="1" applyAlignment="1">
      <alignment horizontal="center"/>
    </xf>
    <xf numFmtId="9" fontId="0" fillId="0" borderId="80" xfId="17" applyFont="1" applyBorder="1" applyAlignment="1">
      <alignment horizontal="center"/>
    </xf>
    <xf numFmtId="9" fontId="0" fillId="0" borderId="82" xfId="17" applyFont="1" applyBorder="1" applyAlignment="1">
      <alignment horizontal="center"/>
    </xf>
    <xf numFmtId="0" fontId="0" fillId="0" borderId="72" xfId="0" applyBorder="1"/>
    <xf numFmtId="0" fontId="0" fillId="0" borderId="69" xfId="0" applyBorder="1" applyAlignment="1">
      <alignment horizontal="center"/>
    </xf>
    <xf numFmtId="9" fontId="0" fillId="0" borderId="69" xfId="17" applyFont="1" applyBorder="1" applyAlignment="1">
      <alignment horizontal="center"/>
    </xf>
    <xf numFmtId="0" fontId="4" fillId="2" borderId="12" xfId="0" applyFont="1" applyFill="1" applyBorder="1"/>
    <xf numFmtId="0" fontId="4" fillId="2" borderId="12" xfId="0" applyFont="1" applyFill="1" applyBorder="1" applyAlignment="1">
      <alignment horizontal="center"/>
    </xf>
    <xf numFmtId="0" fontId="4" fillId="2" borderId="12" xfId="0" applyFont="1" applyFill="1" applyBorder="1" applyAlignment="1">
      <alignment horizontal="center" wrapText="1"/>
    </xf>
    <xf numFmtId="0" fontId="4" fillId="22" borderId="9" xfId="0" applyFont="1" applyFill="1" applyBorder="1" applyAlignment="1">
      <alignment horizontal="center" wrapText="1"/>
    </xf>
    <xf numFmtId="0" fontId="4" fillId="22" borderId="10" xfId="0" applyFont="1" applyFill="1" applyBorder="1" applyAlignment="1">
      <alignment horizontal="center" wrapText="1"/>
    </xf>
    <xf numFmtId="0" fontId="85" fillId="0" borderId="0" xfId="0" applyFont="1" applyAlignment="1">
      <alignment horizontal="center"/>
    </xf>
    <xf numFmtId="0" fontId="84" fillId="0" borderId="0" xfId="0" applyFont="1" applyAlignment="1">
      <alignment horizontal="center"/>
    </xf>
    <xf numFmtId="186" fontId="85" fillId="0" borderId="0" xfId="0" applyNumberFormat="1" applyFont="1" applyAlignment="1">
      <alignment horizontal="center"/>
    </xf>
    <xf numFmtId="171" fontId="0" fillId="0" borderId="0" xfId="2" applyNumberFormat="1" applyFont="1" applyAlignment="1">
      <alignment horizontal="center"/>
    </xf>
    <xf numFmtId="171" fontId="16" fillId="0" borderId="0" xfId="2" applyNumberFormat="1" applyFont="1" applyAlignment="1">
      <alignment horizontal="center"/>
    </xf>
    <xf numFmtId="171" fontId="0" fillId="0" borderId="69" xfId="2" applyNumberFormat="1" applyFont="1" applyBorder="1" applyAlignment="1">
      <alignment horizontal="center"/>
    </xf>
    <xf numFmtId="171" fontId="0" fillId="0" borderId="80" xfId="2" applyNumberFormat="1" applyFont="1" applyBorder="1" applyAlignment="1">
      <alignment horizontal="center"/>
    </xf>
    <xf numFmtId="0" fontId="0" fillId="24" borderId="101" xfId="0" applyFill="1" applyBorder="1"/>
    <xf numFmtId="0" fontId="4" fillId="22" borderId="102" xfId="0" applyFont="1" applyFill="1" applyBorder="1" applyAlignment="1">
      <alignment wrapText="1"/>
    </xf>
    <xf numFmtId="0" fontId="4" fillId="22" borderId="10" xfId="0" applyFont="1" applyFill="1" applyBorder="1" applyAlignment="1">
      <alignment wrapText="1"/>
    </xf>
    <xf numFmtId="0" fontId="4" fillId="5" borderId="101" xfId="0" applyFont="1" applyFill="1" applyBorder="1"/>
    <xf numFmtId="0" fontId="4" fillId="5" borderId="101" xfId="0" applyFont="1" applyFill="1" applyBorder="1" applyAlignment="1">
      <alignment horizontal="center"/>
    </xf>
    <xf numFmtId="0" fontId="89" fillId="21" borderId="101" xfId="0" applyFont="1" applyFill="1" applyBorder="1" applyAlignment="1">
      <alignment horizontal="left"/>
    </xf>
    <xf numFmtId="0" fontId="89" fillId="0" borderId="101" xfId="0" applyFont="1" applyBorder="1" applyAlignment="1">
      <alignment horizontal="center"/>
    </xf>
    <xf numFmtId="0" fontId="84" fillId="2" borderId="6" xfId="0" applyFont="1" applyFill="1" applyBorder="1" applyAlignment="1">
      <alignment horizontal="center" vertical="center"/>
    </xf>
    <xf numFmtId="0" fontId="84" fillId="2" borderId="6" xfId="0" quotePrefix="1" applyFont="1" applyFill="1" applyBorder="1" applyAlignment="1">
      <alignment horizontal="center" vertical="center"/>
    </xf>
    <xf numFmtId="0" fontId="84" fillId="2" borderId="6" xfId="0" quotePrefix="1" applyFont="1" applyFill="1" applyBorder="1" applyAlignment="1">
      <alignment horizontal="center" vertical="center" wrapText="1"/>
    </xf>
    <xf numFmtId="0" fontId="84" fillId="2" borderId="101" xfId="0" quotePrefix="1" applyFont="1" applyFill="1" applyBorder="1" applyAlignment="1">
      <alignment horizontal="center" vertical="center"/>
    </xf>
    <xf numFmtId="3" fontId="0" fillId="0" borderId="0" xfId="0" applyNumberFormat="1"/>
    <xf numFmtId="10" fontId="0" fillId="0" borderId="0" xfId="0" applyNumberFormat="1"/>
    <xf numFmtId="8" fontId="0" fillId="0" borderId="0" xfId="0" applyNumberFormat="1"/>
    <xf numFmtId="0" fontId="77" fillId="0" borderId="0" xfId="0" applyFont="1"/>
    <xf numFmtId="0" fontId="4" fillId="5" borderId="0" xfId="0" applyFont="1" applyFill="1"/>
    <xf numFmtId="177" fontId="0" fillId="0" borderId="0" xfId="2" applyNumberFormat="1" applyFont="1" applyAlignment="1">
      <alignment horizontal="center"/>
    </xf>
    <xf numFmtId="0" fontId="4" fillId="5" borderId="3" xfId="0" applyFont="1" applyFill="1" applyBorder="1"/>
    <xf numFmtId="175" fontId="0" fillId="0" borderId="3" xfId="1" applyNumberFormat="1" applyFont="1" applyBorder="1" applyAlignment="1">
      <alignment horizontal="center"/>
    </xf>
    <xf numFmtId="0" fontId="4" fillId="5" borderId="8" xfId="0" applyFont="1" applyFill="1" applyBorder="1"/>
    <xf numFmtId="175" fontId="0" fillId="0" borderId="8" xfId="1" applyNumberFormat="1" applyFont="1" applyBorder="1" applyAlignment="1">
      <alignment horizontal="center"/>
    </xf>
    <xf numFmtId="170" fontId="0" fillId="0" borderId="3" xfId="0" applyNumberFormat="1" applyBorder="1" applyAlignment="1">
      <alignment horizontal="center"/>
    </xf>
    <xf numFmtId="0" fontId="91" fillId="2" borderId="12" xfId="0" applyFont="1" applyFill="1" applyBorder="1" applyAlignment="1">
      <alignment horizontal="center" wrapText="1"/>
    </xf>
    <xf numFmtId="0" fontId="91" fillId="2" borderId="12" xfId="0" applyFont="1" applyFill="1" applyBorder="1" applyAlignment="1">
      <alignment horizontal="center"/>
    </xf>
    <xf numFmtId="165" fontId="92" fillId="0" borderId="0" xfId="17" applyNumberFormat="1" applyFont="1" applyAlignment="1">
      <alignment horizontal="center"/>
    </xf>
    <xf numFmtId="0" fontId="91" fillId="2" borderId="0" xfId="0" applyFont="1" applyFill="1" applyAlignment="1">
      <alignment horizontal="left"/>
    </xf>
    <xf numFmtId="0" fontId="91" fillId="2" borderId="0" xfId="0" applyFont="1" applyFill="1" applyAlignment="1">
      <alignment horizontal="center"/>
    </xf>
    <xf numFmtId="0" fontId="92" fillId="0" borderId="0" xfId="0" applyFont="1" applyAlignment="1">
      <alignment horizontal="left"/>
    </xf>
    <xf numFmtId="171" fontId="92" fillId="0" borderId="0" xfId="2" applyNumberFormat="1" applyFont="1" applyAlignment="1">
      <alignment horizontal="center"/>
    </xf>
    <xf numFmtId="9" fontId="92" fillId="0" borderId="0" xfId="17" applyFont="1" applyAlignment="1">
      <alignment horizontal="center"/>
    </xf>
    <xf numFmtId="0" fontId="21" fillId="22" borderId="0" xfId="0" applyFont="1" applyFill="1"/>
    <xf numFmtId="0" fontId="21" fillId="22" borderId="0" xfId="0" applyFont="1" applyFill="1" applyAlignment="1">
      <alignment horizontal="center"/>
    </xf>
    <xf numFmtId="11" fontId="0" fillId="0" borderId="0" xfId="0" applyNumberFormat="1" applyAlignment="1">
      <alignment horizontal="center"/>
    </xf>
    <xf numFmtId="44" fontId="0" fillId="0" borderId="0" xfId="1" applyFont="1" applyAlignment="1">
      <alignment horizontal="center"/>
    </xf>
    <xf numFmtId="175" fontId="0" fillId="0" borderId="101" xfId="1" applyNumberFormat="1" applyFont="1" applyBorder="1" applyAlignment="1">
      <alignment horizontal="center"/>
    </xf>
    <xf numFmtId="2" fontId="0" fillId="0" borderId="101" xfId="0" applyNumberFormat="1" applyBorder="1" applyAlignment="1">
      <alignment horizontal="center"/>
    </xf>
    <xf numFmtId="5" fontId="0" fillId="0" borderId="101" xfId="0" applyNumberFormat="1" applyBorder="1" applyAlignment="1">
      <alignment horizontal="center"/>
    </xf>
    <xf numFmtId="177" fontId="0" fillId="0" borderId="105" xfId="2" applyNumberFormat="1" applyFont="1" applyBorder="1" applyAlignment="1">
      <alignment horizontal="center"/>
    </xf>
    <xf numFmtId="177" fontId="0" fillId="0" borderId="105" xfId="0" applyNumberFormat="1" applyBorder="1" applyAlignment="1">
      <alignment horizontal="center"/>
    </xf>
    <xf numFmtId="0" fontId="4" fillId="21" borderId="107" xfId="0" applyFont="1" applyFill="1" applyBorder="1" applyAlignment="1">
      <alignment horizontal="right"/>
    </xf>
    <xf numFmtId="2" fontId="4" fillId="14" borderId="101" xfId="0" applyNumberFormat="1" applyFont="1" applyFill="1" applyBorder="1" applyAlignment="1">
      <alignment horizontal="center"/>
    </xf>
    <xf numFmtId="5" fontId="4" fillId="14" borderId="101" xfId="0" applyNumberFormat="1" applyFont="1" applyFill="1" applyBorder="1" applyAlignment="1">
      <alignment horizontal="center"/>
    </xf>
    <xf numFmtId="177" fontId="0" fillId="0" borderId="105" xfId="2" applyNumberFormat="1" applyFont="1" applyBorder="1" applyAlignment="1">
      <alignment horizontal="center" vertical="center"/>
    </xf>
    <xf numFmtId="177" fontId="0" fillId="0" borderId="105" xfId="0" applyNumberFormat="1" applyBorder="1" applyAlignment="1">
      <alignment horizontal="center" vertical="center"/>
    </xf>
    <xf numFmtId="2" fontId="0" fillId="0" borderId="101" xfId="0" applyNumberFormat="1" applyBorder="1" applyAlignment="1">
      <alignment horizontal="center" vertical="center"/>
    </xf>
    <xf numFmtId="5" fontId="0" fillId="0" borderId="101" xfId="0" applyNumberFormat="1" applyBorder="1" applyAlignment="1">
      <alignment horizontal="center" vertical="center"/>
    </xf>
    <xf numFmtId="0" fontId="0" fillId="24" borderId="101" xfId="0" applyFill="1" applyBorder="1" applyAlignment="1">
      <alignment vertical="center"/>
    </xf>
    <xf numFmtId="175" fontId="0" fillId="0" borderId="101" xfId="1" applyNumberFormat="1" applyFont="1" applyBorder="1" applyAlignment="1">
      <alignment horizontal="center" vertical="center"/>
    </xf>
    <xf numFmtId="0" fontId="68" fillId="25" borderId="0" xfId="0" applyFont="1" applyFill="1" applyAlignment="1">
      <alignment vertical="center" wrapText="1"/>
    </xf>
    <xf numFmtId="0" fontId="6" fillId="0" borderId="10" xfId="0" applyFont="1" applyBorder="1" applyAlignment="1">
      <alignment horizontal="center"/>
    </xf>
    <xf numFmtId="0" fontId="12" fillId="24" borderId="1" xfId="0" applyFont="1" applyFill="1" applyBorder="1"/>
    <xf numFmtId="0" fontId="12" fillId="24" borderId="10" xfId="0" applyFont="1" applyFill="1" applyBorder="1" applyAlignment="1">
      <alignment horizontal="center"/>
    </xf>
    <xf numFmtId="0" fontId="6" fillId="18" borderId="76" xfId="0" applyFont="1" applyFill="1" applyBorder="1" applyAlignment="1">
      <alignment horizontal="center"/>
    </xf>
    <xf numFmtId="0" fontId="6" fillId="18" borderId="0" xfId="0" applyFont="1" applyFill="1"/>
    <xf numFmtId="0" fontId="6" fillId="18" borderId="3" xfId="0" applyFont="1" applyFill="1" applyBorder="1" applyAlignment="1">
      <alignment horizontal="center"/>
    </xf>
    <xf numFmtId="187" fontId="93" fillId="0" borderId="108" xfId="2" applyNumberFormat="1" applyFont="1" applyBorder="1" applyAlignment="1">
      <alignment vertical="top" wrapText="1"/>
    </xf>
    <xf numFmtId="187" fontId="96" fillId="0" borderId="108" xfId="2" applyNumberFormat="1" applyFont="1" applyBorder="1" applyAlignment="1">
      <alignment vertical="top"/>
    </xf>
    <xf numFmtId="187" fontId="94" fillId="31" borderId="109" xfId="2" applyNumberFormat="1" applyFont="1" applyFill="1" applyBorder="1" applyAlignment="1">
      <alignment vertical="top"/>
    </xf>
    <xf numFmtId="187" fontId="95" fillId="32" borderId="109" xfId="2" applyNumberFormat="1" applyFont="1" applyFill="1" applyBorder="1" applyAlignment="1">
      <alignment vertical="top"/>
    </xf>
    <xf numFmtId="187" fontId="27" fillId="31" borderId="109" xfId="2" applyNumberFormat="1" applyFont="1" applyFill="1" applyBorder="1" applyAlignment="1">
      <alignment vertical="top"/>
    </xf>
    <xf numFmtId="187" fontId="95" fillId="32" borderId="109" xfId="53" applyNumberFormat="1" applyAlignment="1">
      <alignment vertical="top"/>
    </xf>
    <xf numFmtId="2" fontId="80" fillId="0" borderId="56" xfId="1" applyNumberFormat="1" applyFont="1" applyBorder="1" applyAlignment="1">
      <alignment horizontal="center"/>
    </xf>
    <xf numFmtId="187" fontId="93" fillId="0" borderId="0" xfId="2" applyNumberFormat="1" applyFont="1" applyAlignment="1">
      <alignment vertical="top" wrapText="1"/>
    </xf>
    <xf numFmtId="0" fontId="6" fillId="18" borderId="0" xfId="0" applyFont="1" applyFill="1" applyAlignment="1">
      <alignment horizontal="center"/>
    </xf>
    <xf numFmtId="0" fontId="21" fillId="18" borderId="3" xfId="0" applyFont="1" applyFill="1" applyBorder="1" applyAlignment="1">
      <alignment horizontal="center" vertical="center" wrapText="1"/>
    </xf>
    <xf numFmtId="0" fontId="6" fillId="18" borderId="74" xfId="0" applyFont="1" applyFill="1" applyBorder="1" applyAlignment="1">
      <alignment horizontal="center" vertical="center"/>
    </xf>
    <xf numFmtId="166" fontId="6" fillId="18" borderId="83" xfId="0" applyNumberFormat="1" applyFont="1" applyFill="1" applyBorder="1" applyAlignment="1">
      <alignment horizontal="center" vertical="center" wrapText="1"/>
    </xf>
    <xf numFmtId="166" fontId="6" fillId="18" borderId="3" xfId="0" applyNumberFormat="1" applyFont="1" applyFill="1" applyBorder="1" applyAlignment="1">
      <alignment horizontal="center"/>
    </xf>
    <xf numFmtId="166" fontId="6" fillId="18" borderId="0" xfId="0" applyNumberFormat="1" applyFont="1" applyFill="1" applyAlignment="1">
      <alignment horizontal="center"/>
    </xf>
    <xf numFmtId="166" fontId="6" fillId="18" borderId="3" xfId="1" applyNumberFormat="1" applyFont="1" applyFill="1" applyBorder="1" applyAlignment="1">
      <alignment horizontal="center"/>
    </xf>
    <xf numFmtId="166" fontId="6" fillId="18" borderId="76" xfId="0" applyNumberFormat="1" applyFont="1" applyFill="1" applyBorder="1" applyAlignment="1">
      <alignment horizontal="center" vertical="center"/>
    </xf>
    <xf numFmtId="0" fontId="3" fillId="18" borderId="0" xfId="0" applyFont="1" applyFill="1" applyAlignment="1">
      <alignment horizontal="center"/>
    </xf>
    <xf numFmtId="166" fontId="6" fillId="18" borderId="81" xfId="0" applyNumberFormat="1" applyFont="1" applyFill="1" applyBorder="1" applyAlignment="1">
      <alignment horizontal="center" vertical="center"/>
    </xf>
    <xf numFmtId="2" fontId="6" fillId="18" borderId="0" xfId="0" applyNumberFormat="1" applyFont="1" applyFill="1" applyAlignment="1">
      <alignment horizontal="center"/>
    </xf>
    <xf numFmtId="2" fontId="6" fillId="18" borderId="3" xfId="0" applyNumberFormat="1" applyFont="1" applyFill="1" applyBorder="1" applyAlignment="1">
      <alignment horizontal="center"/>
    </xf>
    <xf numFmtId="166" fontId="6" fillId="18" borderId="72" xfId="0" applyNumberFormat="1" applyFont="1" applyFill="1" applyBorder="1" applyAlignment="1">
      <alignment horizontal="center" vertical="center"/>
    </xf>
    <xf numFmtId="0" fontId="6" fillId="18" borderId="76" xfId="1" applyNumberFormat="1" applyFont="1" applyFill="1" applyBorder="1" applyAlignment="1">
      <alignment horizontal="center" vertical="center"/>
    </xf>
    <xf numFmtId="0" fontId="0" fillId="18" borderId="0" xfId="0" applyFill="1" applyAlignment="1">
      <alignment horizontal="center"/>
    </xf>
    <xf numFmtId="44" fontId="6" fillId="18" borderId="76" xfId="1" applyFont="1" applyFill="1" applyBorder="1" applyAlignment="1">
      <alignment horizontal="center" vertical="center"/>
    </xf>
    <xf numFmtId="44" fontId="6" fillId="18" borderId="0" xfId="1" applyFont="1" applyFill="1" applyAlignment="1">
      <alignment horizontal="center"/>
    </xf>
    <xf numFmtId="44" fontId="6" fillId="18" borderId="3" xfId="1" applyFont="1" applyFill="1" applyBorder="1" applyAlignment="1">
      <alignment horizontal="center"/>
    </xf>
    <xf numFmtId="44" fontId="6" fillId="18" borderId="3" xfId="0" applyNumberFormat="1" applyFont="1" applyFill="1" applyBorder="1" applyAlignment="1">
      <alignment horizontal="center"/>
    </xf>
    <xf numFmtId="44" fontId="6" fillId="18" borderId="10" xfId="1" applyFont="1" applyFill="1" applyBorder="1" applyAlignment="1">
      <alignment horizontal="center"/>
    </xf>
    <xf numFmtId="0" fontId="6" fillId="18" borderId="10" xfId="0" applyFont="1" applyFill="1" applyBorder="1" applyAlignment="1">
      <alignment horizontal="center"/>
    </xf>
    <xf numFmtId="44" fontId="6" fillId="18" borderId="81" xfId="1" applyFont="1" applyFill="1" applyBorder="1" applyAlignment="1">
      <alignment horizontal="center" vertical="center"/>
    </xf>
    <xf numFmtId="0" fontId="6" fillId="18" borderId="10" xfId="0" applyFont="1" applyFill="1" applyBorder="1" applyAlignment="1">
      <alignment horizontal="center" vertical="center"/>
    </xf>
    <xf numFmtId="0" fontId="6" fillId="18" borderId="0" xfId="0" applyFont="1" applyFill="1" applyAlignment="1">
      <alignment horizontal="center" vertical="center"/>
    </xf>
    <xf numFmtId="0" fontId="80" fillId="0" borderId="0" xfId="1" applyNumberFormat="1" applyFont="1" applyAlignment="1">
      <alignment horizontal="center" vertical="center"/>
    </xf>
    <xf numFmtId="0" fontId="6" fillId="24" borderId="3" xfId="0" applyFont="1" applyFill="1" applyBorder="1" applyAlignment="1">
      <alignment horizontal="center" vertical="center" wrapText="1"/>
    </xf>
    <xf numFmtId="0" fontId="80" fillId="0" borderId="8" xfId="1" applyNumberFormat="1" applyFont="1" applyBorder="1" applyAlignment="1">
      <alignment horizontal="center" vertical="center"/>
    </xf>
    <xf numFmtId="0" fontId="69" fillId="0" borderId="0" xfId="0" applyFont="1" applyAlignment="1">
      <alignment vertical="center"/>
    </xf>
    <xf numFmtId="0" fontId="72" fillId="25" borderId="0" xfId="0" applyFont="1" applyFill="1" applyAlignment="1">
      <alignment horizontal="center" vertical="center"/>
    </xf>
    <xf numFmtId="0" fontId="79" fillId="0" borderId="0" xfId="0" applyFont="1" applyAlignment="1">
      <alignment horizontal="center" vertical="center" wrapText="1"/>
    </xf>
    <xf numFmtId="0" fontId="21" fillId="0" borderId="0" xfId="0" applyFont="1" applyAlignment="1">
      <alignment vertical="center" wrapText="1"/>
    </xf>
    <xf numFmtId="0" fontId="79" fillId="0" borderId="0" xfId="0" applyFont="1" applyAlignment="1">
      <alignment vertical="center" wrapText="1"/>
    </xf>
    <xf numFmtId="0" fontId="0" fillId="0" borderId="107" xfId="0" applyBorder="1"/>
    <xf numFmtId="0" fontId="39" fillId="0" borderId="107" xfId="0" applyFont="1" applyBorder="1"/>
    <xf numFmtId="0" fontId="6" fillId="0" borderId="107" xfId="0" applyFont="1" applyBorder="1" applyAlignment="1">
      <alignment horizontal="center"/>
    </xf>
    <xf numFmtId="0" fontId="8" fillId="0" borderId="107" xfId="1" applyNumberFormat="1" applyFont="1" applyBorder="1" applyAlignment="1">
      <alignment horizontal="center"/>
    </xf>
    <xf numFmtId="0" fontId="6" fillId="0" borderId="107" xfId="0" applyFont="1" applyBorder="1"/>
    <xf numFmtId="0" fontId="0" fillId="0" borderId="1" xfId="0" applyBorder="1" applyAlignment="1">
      <alignment vertical="center"/>
    </xf>
    <xf numFmtId="0" fontId="80" fillId="0" borderId="1" xfId="1" applyNumberFormat="1" applyFont="1" applyBorder="1" applyAlignment="1">
      <alignment horizontal="center" vertical="center"/>
    </xf>
    <xf numFmtId="0" fontId="80" fillId="0" borderId="9" xfId="1" applyNumberFormat="1" applyFont="1" applyBorder="1" applyAlignment="1">
      <alignment horizontal="center" vertical="center"/>
    </xf>
    <xf numFmtId="0" fontId="69" fillId="25" borderId="0" xfId="0" applyFont="1" applyFill="1"/>
    <xf numFmtId="0" fontId="91" fillId="0" borderId="0" xfId="0" applyFont="1"/>
    <xf numFmtId="0" fontId="92" fillId="0" borderId="0" xfId="0" applyFont="1"/>
    <xf numFmtId="187" fontId="92" fillId="0" borderId="0" xfId="0" applyNumberFormat="1" applyFont="1"/>
    <xf numFmtId="188" fontId="92" fillId="0" borderId="0" xfId="0" applyNumberFormat="1" applyFont="1"/>
    <xf numFmtId="43" fontId="92" fillId="0" borderId="0" xfId="0" applyNumberFormat="1" applyFont="1"/>
    <xf numFmtId="0" fontId="91" fillId="0" borderId="0" xfId="0" applyFont="1" applyAlignment="1">
      <alignment wrapText="1"/>
    </xf>
    <xf numFmtId="0" fontId="7" fillId="0" borderId="0" xfId="0" applyFont="1" applyAlignment="1">
      <alignment horizontal="left" vertical="center"/>
    </xf>
    <xf numFmtId="164" fontId="92" fillId="0" borderId="0" xfId="1" applyNumberFormat="1" applyFont="1"/>
    <xf numFmtId="0" fontId="7" fillId="0" borderId="0" xfId="0" applyFont="1" applyAlignment="1">
      <alignment horizontal="left"/>
    </xf>
    <xf numFmtId="164" fontId="92" fillId="0" borderId="0" xfId="0" applyNumberFormat="1" applyFont="1"/>
    <xf numFmtId="44" fontId="97" fillId="0" borderId="101" xfId="0" applyNumberFormat="1" applyFont="1" applyBorder="1"/>
    <xf numFmtId="0" fontId="92" fillId="0" borderId="0" xfId="0" applyFont="1" applyAlignment="1">
      <alignment wrapText="1"/>
    </xf>
    <xf numFmtId="165" fontId="97" fillId="0" borderId="106" xfId="17" applyNumberFormat="1" applyFont="1" applyBorder="1"/>
    <xf numFmtId="189" fontId="97" fillId="0" borderId="105" xfId="0" applyNumberFormat="1" applyFont="1" applyBorder="1"/>
    <xf numFmtId="187" fontId="91" fillId="0" borderId="0" xfId="2" applyNumberFormat="1" applyFont="1" applyAlignment="1">
      <alignment vertical="top" wrapText="1"/>
    </xf>
    <xf numFmtId="187" fontId="92" fillId="0" borderId="0" xfId="2" applyNumberFormat="1" applyFont="1" applyAlignment="1">
      <alignment vertical="top"/>
    </xf>
    <xf numFmtId="187" fontId="94" fillId="31" borderId="110" xfId="2" applyNumberFormat="1" applyFont="1" applyFill="1" applyBorder="1" applyAlignment="1">
      <alignment vertical="top"/>
    </xf>
    <xf numFmtId="187" fontId="95" fillId="32" borderId="111" xfId="53" applyNumberFormat="1" applyBorder="1" applyAlignment="1">
      <alignment vertical="top"/>
    </xf>
    <xf numFmtId="165" fontId="98" fillId="0" borderId="6" xfId="17" applyNumberFormat="1" applyFont="1" applyBorder="1"/>
    <xf numFmtId="0" fontId="6" fillId="18" borderId="76" xfId="0" applyFont="1" applyFill="1" applyBorder="1" applyAlignment="1">
      <alignment horizontal="center" vertical="center"/>
    </xf>
    <xf numFmtId="0" fontId="4" fillId="22" borderId="1" xfId="0" applyFont="1" applyFill="1" applyBorder="1" applyAlignment="1">
      <alignment horizontal="center" wrapText="1"/>
    </xf>
    <xf numFmtId="187" fontId="98" fillId="0" borderId="101" xfId="0" applyNumberFormat="1" applyFont="1" applyBorder="1"/>
    <xf numFmtId="44" fontId="6" fillId="0" borderId="76" xfId="1" applyFont="1" applyBorder="1" applyAlignment="1">
      <alignment horizontal="center"/>
    </xf>
    <xf numFmtId="44" fontId="6" fillId="0" borderId="81" xfId="1" applyFont="1" applyBorder="1" applyAlignment="1">
      <alignment horizontal="center"/>
    </xf>
    <xf numFmtId="0" fontId="4" fillId="21" borderId="1" xfId="0" applyFont="1" applyFill="1" applyBorder="1"/>
    <xf numFmtId="1" fontId="4" fillId="14" borderId="101" xfId="0" applyNumberFormat="1" applyFont="1" applyFill="1" applyBorder="1" applyAlignment="1">
      <alignment horizontal="center"/>
    </xf>
    <xf numFmtId="1" fontId="0" fillId="0" borderId="101" xfId="1" applyNumberFormat="1" applyFont="1" applyBorder="1" applyAlignment="1">
      <alignment horizontal="center" vertical="center"/>
    </xf>
    <xf numFmtId="166" fontId="6" fillId="0" borderId="101" xfId="0" applyNumberFormat="1" applyFont="1" applyBorder="1" applyAlignment="1">
      <alignment horizontal="center" vertical="center"/>
    </xf>
    <xf numFmtId="1" fontId="0" fillId="0" borderId="101" xfId="1" applyNumberFormat="1" applyFont="1" applyBorder="1" applyAlignment="1">
      <alignment horizontal="center"/>
    </xf>
    <xf numFmtId="166" fontId="6" fillId="0" borderId="101" xfId="0" applyNumberFormat="1" applyFont="1" applyBorder="1" applyAlignment="1">
      <alignment horizontal="center"/>
    </xf>
    <xf numFmtId="0" fontId="0" fillId="24" borderId="101" xfId="0" applyFill="1" applyBorder="1" applyAlignment="1">
      <alignment horizontal="center" wrapText="1"/>
    </xf>
    <xf numFmtId="0" fontId="3" fillId="0" borderId="0" xfId="0" applyFont="1" applyAlignment="1">
      <alignment horizontal="center"/>
    </xf>
    <xf numFmtId="175" fontId="0" fillId="0" borderId="0" xfId="1" applyNumberFormat="1" applyFont="1" applyAlignment="1">
      <alignment horizontal="center"/>
    </xf>
    <xf numFmtId="165" fontId="0" fillId="0" borderId="101" xfId="17" applyNumberFormat="1" applyFont="1" applyBorder="1" applyAlignment="1">
      <alignment horizontal="center"/>
    </xf>
    <xf numFmtId="0" fontId="89" fillId="0" borderId="101" xfId="0" applyFont="1" applyBorder="1" applyAlignment="1">
      <alignment horizontal="left"/>
    </xf>
    <xf numFmtId="0" fontId="4" fillId="21" borderId="0" xfId="0" applyFont="1" applyFill="1" applyAlignment="1">
      <alignment horizontal="left" vertical="center"/>
    </xf>
    <xf numFmtId="9" fontId="2" fillId="24" borderId="101" xfId="17" applyFill="1" applyBorder="1" applyAlignment="1">
      <alignment horizontal="center" wrapText="1"/>
    </xf>
    <xf numFmtId="0" fontId="77" fillId="0" borderId="8" xfId="0" applyFont="1" applyBorder="1" applyAlignment="1">
      <alignment horizontal="left" vertical="top"/>
    </xf>
    <xf numFmtId="0" fontId="91" fillId="2" borderId="106" xfId="0" applyFont="1" applyFill="1" applyBorder="1" applyAlignment="1">
      <alignment horizontal="center"/>
    </xf>
    <xf numFmtId="0" fontId="4" fillId="2" borderId="105" xfId="0" applyFont="1" applyFill="1" applyBorder="1"/>
    <xf numFmtId="0" fontId="77" fillId="0" borderId="8" xfId="0" applyFont="1" applyBorder="1" applyAlignment="1">
      <alignment horizontal="left"/>
    </xf>
    <xf numFmtId="0" fontId="84" fillId="0" borderId="0" xfId="0" applyFont="1" applyAlignment="1">
      <alignment horizontal="left"/>
    </xf>
    <xf numFmtId="0" fontId="88" fillId="0" borderId="0" xfId="0" applyFont="1" applyAlignment="1">
      <alignment horizontal="center"/>
    </xf>
    <xf numFmtId="0" fontId="90" fillId="0" borderId="0" xfId="0" applyFont="1" applyAlignment="1">
      <alignment horizontal="left"/>
    </xf>
    <xf numFmtId="0" fontId="86" fillId="0" borderId="0" xfId="0" applyFont="1" applyAlignment="1">
      <alignment horizontal="center"/>
    </xf>
    <xf numFmtId="0" fontId="87" fillId="0" borderId="0" xfId="0" applyFont="1" applyAlignment="1">
      <alignment horizontal="center"/>
    </xf>
    <xf numFmtId="0" fontId="7" fillId="22" borderId="101" xfId="0" applyFont="1" applyFill="1" applyBorder="1"/>
    <xf numFmtId="0" fontId="7" fillId="22" borderId="101" xfId="0" applyFont="1" applyFill="1" applyBorder="1" applyAlignment="1">
      <alignment horizontal="center"/>
    </xf>
    <xf numFmtId="14" fontId="7" fillId="22" borderId="101" xfId="0" applyNumberFormat="1" applyFont="1" applyFill="1" applyBorder="1" applyAlignment="1">
      <alignment horizontal="center"/>
    </xf>
    <xf numFmtId="0" fontId="0" fillId="0" borderId="101" xfId="0" applyBorder="1"/>
    <xf numFmtId="0" fontId="0" fillId="0" borderId="101" xfId="0" applyBorder="1" applyAlignment="1">
      <alignment horizontal="center"/>
    </xf>
    <xf numFmtId="0" fontId="0" fillId="0" borderId="106" xfId="0" applyBorder="1"/>
    <xf numFmtId="14" fontId="0" fillId="0" borderId="101" xfId="0" applyNumberFormat="1" applyBorder="1" applyAlignment="1">
      <alignment horizontal="center"/>
    </xf>
    <xf numFmtId="171" fontId="6" fillId="24" borderId="101" xfId="2" applyNumberFormat="1" applyFont="1" applyFill="1" applyBorder="1" applyAlignment="1">
      <alignment horizontal="center" vertical="center"/>
    </xf>
    <xf numFmtId="171" fontId="6" fillId="21" borderId="0" xfId="2" applyNumberFormat="1" applyFont="1" applyFill="1" applyAlignment="1">
      <alignment vertical="center"/>
    </xf>
    <xf numFmtId="9" fontId="6" fillId="24" borderId="101" xfId="0" applyNumberFormat="1" applyFont="1" applyFill="1" applyBorder="1" applyAlignment="1">
      <alignment horizontal="center" vertical="center"/>
    </xf>
    <xf numFmtId="9" fontId="6" fillId="21" borderId="0" xfId="0" applyNumberFormat="1" applyFont="1" applyFill="1" applyAlignment="1">
      <alignment vertical="center"/>
    </xf>
    <xf numFmtId="0" fontId="21" fillId="2" borderId="105" xfId="0" applyFont="1" applyFill="1" applyBorder="1" applyAlignment="1">
      <alignment vertical="center" wrapText="1"/>
    </xf>
    <xf numFmtId="0" fontId="21" fillId="2" borderId="101" xfId="0" applyFont="1" applyFill="1" applyBorder="1" applyAlignment="1">
      <alignment horizontal="center" vertical="center" wrapText="1"/>
    </xf>
    <xf numFmtId="166" fontId="0" fillId="21" borderId="0" xfId="0" applyNumberFormat="1" applyFill="1" applyAlignment="1">
      <alignment vertical="center"/>
    </xf>
    <xf numFmtId="166" fontId="0" fillId="21" borderId="0" xfId="0" applyNumberFormat="1" applyFill="1" applyAlignment="1">
      <alignment horizontal="center" vertical="center"/>
    </xf>
    <xf numFmtId="166" fontId="43" fillId="21" borderId="0" xfId="0" applyNumberFormat="1" applyFont="1" applyFill="1" applyAlignment="1">
      <alignment vertical="center"/>
    </xf>
    <xf numFmtId="44" fontId="43" fillId="21" borderId="0" xfId="1" applyFont="1" applyFill="1" applyAlignment="1">
      <alignment horizontal="center" vertical="center"/>
    </xf>
    <xf numFmtId="166" fontId="0" fillId="24" borderId="101" xfId="0" applyNumberFormat="1" applyFill="1" applyBorder="1" applyAlignment="1">
      <alignment vertical="center"/>
    </xf>
    <xf numFmtId="9" fontId="0" fillId="0" borderId="101" xfId="17" applyFont="1" applyBorder="1" applyAlignment="1">
      <alignment horizontal="center" vertical="center"/>
    </xf>
    <xf numFmtId="0" fontId="0" fillId="21" borderId="0" xfId="0" applyFill="1" applyAlignment="1">
      <alignment horizontal="left"/>
    </xf>
    <xf numFmtId="0" fontId="4" fillId="2" borderId="101" xfId="0" applyFont="1" applyFill="1" applyBorder="1" applyAlignment="1">
      <alignment horizontal="center" vertical="center" wrapText="1"/>
    </xf>
    <xf numFmtId="0" fontId="4" fillId="2" borderId="101" xfId="0" applyFont="1" applyFill="1" applyBorder="1" applyAlignment="1">
      <alignment vertical="center" wrapText="1"/>
    </xf>
    <xf numFmtId="0" fontId="44" fillId="2" borderId="101" xfId="0" applyFont="1" applyFill="1" applyBorder="1" applyAlignment="1">
      <alignment horizontal="center" vertical="center" wrapText="1"/>
    </xf>
    <xf numFmtId="0" fontId="0" fillId="29" borderId="101" xfId="0" applyFill="1" applyBorder="1" applyAlignment="1">
      <alignment horizontal="center"/>
    </xf>
    <xf numFmtId="166" fontId="4" fillId="0" borderId="70" xfId="0" applyNumberFormat="1" applyFont="1" applyBorder="1" applyAlignment="1">
      <alignment horizontal="center" vertical="center"/>
    </xf>
    <xf numFmtId="166" fontId="4" fillId="0" borderId="86" xfId="0" applyNumberFormat="1" applyFont="1" applyBorder="1" applyAlignment="1">
      <alignment horizontal="center" vertical="center"/>
    </xf>
    <xf numFmtId="44" fontId="6" fillId="18" borderId="85" xfId="1" applyFont="1" applyFill="1" applyBorder="1" applyAlignment="1">
      <alignment horizontal="center" vertical="center"/>
    </xf>
    <xf numFmtId="0" fontId="6" fillId="18" borderId="97" xfId="0" applyFont="1" applyFill="1" applyBorder="1" applyAlignment="1">
      <alignment horizontal="center"/>
    </xf>
    <xf numFmtId="0" fontId="6" fillId="18" borderId="85" xfId="0" applyFont="1" applyFill="1" applyBorder="1" applyAlignment="1">
      <alignment horizontal="center"/>
    </xf>
    <xf numFmtId="0" fontId="6" fillId="18" borderId="85" xfId="0" applyFont="1" applyFill="1" applyBorder="1" applyAlignment="1">
      <alignment horizontal="center" vertical="center"/>
    </xf>
    <xf numFmtId="3" fontId="6" fillId="18" borderId="86" xfId="0" applyNumberFormat="1" applyFont="1" applyFill="1" applyBorder="1" applyAlignment="1">
      <alignment horizontal="center"/>
    </xf>
    <xf numFmtId="0" fontId="18" fillId="0" borderId="106" xfId="0" applyFont="1" applyBorder="1" applyAlignment="1">
      <alignment wrapText="1"/>
    </xf>
    <xf numFmtId="0" fontId="0" fillId="0" borderId="101" xfId="0" applyBorder="1" applyAlignment="1">
      <alignment vertical="center"/>
    </xf>
    <xf numFmtId="0" fontId="0" fillId="0" borderId="101" xfId="0" applyBorder="1" applyAlignment="1">
      <alignment horizontal="center" vertical="center"/>
    </xf>
    <xf numFmtId="167" fontId="0" fillId="0" borderId="101" xfId="1" applyNumberFormat="1" applyFont="1" applyBorder="1" applyAlignment="1">
      <alignment vertical="center"/>
    </xf>
    <xf numFmtId="167" fontId="0" fillId="0" borderId="101" xfId="1" applyNumberFormat="1" applyFont="1" applyBorder="1"/>
    <xf numFmtId="185" fontId="0" fillId="0" borderId="70" xfId="1" applyNumberFormat="1" applyFont="1" applyBorder="1" applyAlignment="1">
      <alignment horizontal="center"/>
    </xf>
    <xf numFmtId="185" fontId="0" fillId="0" borderId="85" xfId="1" applyNumberFormat="1" applyFont="1" applyBorder="1" applyAlignment="1">
      <alignment horizontal="center"/>
    </xf>
    <xf numFmtId="185" fontId="0" fillId="0" borderId="86" xfId="1" applyNumberFormat="1" applyFont="1" applyBorder="1" applyAlignment="1">
      <alignment horizontal="center"/>
    </xf>
    <xf numFmtId="44" fontId="0" fillId="0" borderId="86" xfId="1" applyFont="1" applyBorder="1" applyAlignment="1">
      <alignment horizontal="center" vertical="center"/>
    </xf>
    <xf numFmtId="0" fontId="7" fillId="22" borderId="0" xfId="0" applyFont="1" applyFill="1"/>
    <xf numFmtId="185" fontId="0" fillId="0" borderId="70" xfId="1" applyNumberFormat="1" applyFont="1" applyBorder="1" applyAlignment="1">
      <alignment horizontal="center" vertical="center"/>
    </xf>
    <xf numFmtId="185" fontId="0" fillId="0" borderId="85" xfId="1" applyNumberFormat="1" applyFont="1" applyBorder="1" applyAlignment="1">
      <alignment horizontal="center" vertical="center"/>
    </xf>
    <xf numFmtId="168" fontId="0" fillId="0" borderId="70" xfId="1" applyNumberFormat="1" applyFont="1" applyBorder="1" applyAlignment="1">
      <alignment horizontal="center"/>
    </xf>
    <xf numFmtId="168" fontId="0" fillId="0" borderId="85" xfId="1" applyNumberFormat="1" applyFont="1" applyBorder="1" applyAlignment="1">
      <alignment horizontal="center"/>
    </xf>
    <xf numFmtId="168" fontId="0" fillId="0" borderId="86" xfId="1" applyNumberFormat="1" applyFont="1" applyBorder="1" applyAlignment="1">
      <alignment horizontal="center"/>
    </xf>
    <xf numFmtId="164" fontId="4" fillId="19" borderId="86" xfId="1" applyNumberFormat="1" applyFont="1" applyFill="1" applyBorder="1" applyAlignment="1">
      <alignment horizontal="center" vertical="center"/>
    </xf>
    <xf numFmtId="1" fontId="6" fillId="24" borderId="72" xfId="0" applyNumberFormat="1" applyFont="1" applyFill="1" applyBorder="1" applyAlignment="1">
      <alignment horizontal="center"/>
    </xf>
    <xf numFmtId="1" fontId="6" fillId="24" borderId="0" xfId="0" applyNumberFormat="1" applyFont="1" applyFill="1"/>
    <xf numFmtId="1" fontId="6" fillId="24" borderId="3" xfId="0" applyNumberFormat="1" applyFont="1" applyFill="1" applyBorder="1" applyAlignment="1">
      <alignment horizontal="center"/>
    </xf>
    <xf numFmtId="0" fontId="6" fillId="0" borderId="0" xfId="0" quotePrefix="1" applyFont="1"/>
    <xf numFmtId="0" fontId="6" fillId="0" borderId="101" xfId="0" applyFont="1" applyBorder="1" applyAlignment="1">
      <alignment horizontal="center"/>
    </xf>
    <xf numFmtId="0" fontId="4" fillId="0" borderId="101" xfId="0" applyFont="1" applyBorder="1" applyAlignment="1">
      <alignment horizontal="center"/>
    </xf>
    <xf numFmtId="0" fontId="3" fillId="0" borderId="101" xfId="0" applyFont="1" applyBorder="1" applyAlignment="1">
      <alignment horizontal="center"/>
    </xf>
    <xf numFmtId="0" fontId="27" fillId="0" borderId="10" xfId="0" applyFont="1" applyBorder="1" applyAlignment="1">
      <alignment horizontal="center"/>
    </xf>
    <xf numFmtId="0" fontId="27" fillId="0" borderId="9" xfId="0" applyFont="1" applyBorder="1" applyAlignment="1">
      <alignment horizontal="center"/>
    </xf>
    <xf numFmtId="0" fontId="0" fillId="18" borderId="101" xfId="0" applyFill="1" applyBorder="1" applyAlignment="1">
      <alignment horizontal="center"/>
    </xf>
    <xf numFmtId="0" fontId="4" fillId="0" borderId="3" xfId="0" applyFont="1" applyBorder="1" applyAlignment="1">
      <alignment horizontal="center"/>
    </xf>
    <xf numFmtId="1" fontId="4" fillId="0" borderId="0" xfId="0" applyNumberFormat="1" applyFont="1"/>
    <xf numFmtId="1" fontId="6" fillId="24" borderId="76" xfId="0" applyNumberFormat="1" applyFont="1" applyFill="1" applyBorder="1" applyAlignment="1">
      <alignment horizontal="center"/>
    </xf>
    <xf numFmtId="185" fontId="0" fillId="24" borderId="0" xfId="1" applyNumberFormat="1" applyFont="1" applyFill="1"/>
    <xf numFmtId="2" fontId="6" fillId="24" borderId="76" xfId="0" applyNumberFormat="1" applyFont="1" applyFill="1" applyBorder="1" applyAlignment="1">
      <alignment horizontal="center"/>
    </xf>
    <xf numFmtId="2" fontId="4" fillId="0" borderId="0" xfId="0" applyNumberFormat="1" applyFont="1"/>
    <xf numFmtId="0" fontId="21" fillId="0" borderId="0" xfId="0" applyFont="1" applyAlignment="1">
      <alignment horizontal="center"/>
    </xf>
    <xf numFmtId="0" fontId="6" fillId="0" borderId="0" xfId="0" applyFont="1" applyAlignment="1">
      <alignment horizontal="left"/>
    </xf>
    <xf numFmtId="44" fontId="0" fillId="24" borderId="0" xfId="1" applyFont="1" applyFill="1"/>
    <xf numFmtId="164" fontId="6" fillId="24" borderId="86" xfId="1" applyNumberFormat="1" applyFont="1" applyFill="1" applyBorder="1" applyAlignment="1">
      <alignment horizontal="center"/>
    </xf>
    <xf numFmtId="0" fontId="27" fillId="0" borderId="0" xfId="0" applyFont="1" applyAlignment="1">
      <alignment horizontal="center"/>
    </xf>
    <xf numFmtId="43" fontId="41" fillId="0" borderId="0" xfId="0" applyNumberFormat="1" applyFont="1"/>
    <xf numFmtId="0" fontId="6" fillId="0" borderId="0" xfId="0" applyFont="1" applyAlignment="1">
      <alignment horizontal="right"/>
    </xf>
    <xf numFmtId="0" fontId="21" fillId="0" borderId="0" xfId="0" applyFont="1"/>
    <xf numFmtId="1" fontId="21" fillId="0" borderId="0" xfId="0" applyNumberFormat="1" applyFont="1"/>
    <xf numFmtId="2" fontId="21" fillId="0" borderId="0" xfId="0" applyNumberFormat="1" applyFont="1"/>
    <xf numFmtId="166" fontId="0" fillId="0" borderId="0" xfId="0" applyNumberFormat="1"/>
    <xf numFmtId="0" fontId="0" fillId="24" borderId="85" xfId="17" applyNumberFormat="1" applyFont="1" applyFill="1" applyBorder="1" applyAlignment="1">
      <alignment horizontal="center" vertical="center"/>
    </xf>
    <xf numFmtId="10" fontId="1" fillId="0" borderId="0" xfId="17" applyNumberFormat="1" applyFont="1" applyAlignment="1">
      <alignment horizontal="center"/>
    </xf>
    <xf numFmtId="44" fontId="5" fillId="0" borderId="0" xfId="1" applyFont="1"/>
    <xf numFmtId="1" fontId="5" fillId="0" borderId="0" xfId="1" applyNumberFormat="1" applyFont="1" applyAlignment="1">
      <alignment horizontal="center"/>
    </xf>
    <xf numFmtId="0" fontId="4" fillId="0" borderId="101" xfId="0" applyFont="1" applyBorder="1"/>
    <xf numFmtId="0" fontId="0" fillId="24" borderId="91" xfId="0" applyFill="1" applyBorder="1" applyAlignment="1">
      <alignment vertical="center"/>
    </xf>
    <xf numFmtId="0" fontId="0" fillId="24" borderId="92" xfId="0" applyFill="1" applyBorder="1" applyAlignment="1">
      <alignment vertical="center"/>
    </xf>
    <xf numFmtId="0" fontId="4" fillId="0" borderId="1" xfId="0" applyFont="1" applyBorder="1" applyAlignment="1">
      <alignment vertical="center" wrapText="1"/>
    </xf>
    <xf numFmtId="0" fontId="18" fillId="0" borderId="1" xfId="0" applyFont="1" applyBorder="1" applyAlignment="1">
      <alignment vertical="center" wrapText="1"/>
    </xf>
    <xf numFmtId="0" fontId="18" fillId="0" borderId="9" xfId="0" applyFont="1" applyBorder="1" applyAlignment="1">
      <alignment vertical="center" wrapText="1"/>
    </xf>
    <xf numFmtId="0" fontId="5" fillId="0" borderId="1" xfId="0" applyFont="1" applyBorder="1" applyAlignment="1">
      <alignment horizontal="center" vertical="center" wrapText="1"/>
    </xf>
    <xf numFmtId="9" fontId="15" fillId="0" borderId="0" xfId="17" applyFont="1"/>
    <xf numFmtId="9" fontId="24" fillId="3" borderId="0" xfId="17" applyFont="1" applyFill="1"/>
    <xf numFmtId="190" fontId="0" fillId="0" borderId="0" xfId="0" applyNumberFormat="1"/>
    <xf numFmtId="0" fontId="3" fillId="24" borderId="23" xfId="0" applyFont="1" applyFill="1" applyBorder="1" applyAlignment="1">
      <alignment horizontal="center" vertical="center"/>
    </xf>
    <xf numFmtId="9" fontId="43" fillId="24" borderId="72" xfId="0" applyNumberFormat="1"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72" xfId="0" applyFont="1" applyFill="1" applyBorder="1" applyAlignment="1">
      <alignment horizontal="center" vertical="center"/>
    </xf>
    <xf numFmtId="44" fontId="43" fillId="24" borderId="76" xfId="1" applyFont="1" applyFill="1" applyBorder="1" applyAlignment="1">
      <alignment horizontal="center" vertical="center"/>
    </xf>
    <xf numFmtId="0" fontId="43" fillId="24" borderId="74" xfId="0" applyFont="1" applyFill="1" applyBorder="1" applyAlignment="1">
      <alignment horizontal="center" vertical="center"/>
    </xf>
    <xf numFmtId="0" fontId="43" fillId="24" borderId="3" xfId="0" applyFont="1" applyFill="1" applyBorder="1" applyAlignment="1">
      <alignment horizontal="center" vertical="center"/>
    </xf>
    <xf numFmtId="9" fontId="43" fillId="24" borderId="76" xfId="17" applyFont="1" applyFill="1" applyBorder="1" applyAlignment="1">
      <alignment horizontal="center" vertical="center"/>
    </xf>
    <xf numFmtId="0" fontId="0" fillId="21" borderId="0" xfId="0" applyFill="1" applyAlignment="1"/>
    <xf numFmtId="0" fontId="18" fillId="21" borderId="0" xfId="0" applyFont="1" applyFill="1" applyAlignment="1"/>
    <xf numFmtId="0" fontId="91" fillId="5" borderId="0" xfId="0" applyFont="1" applyFill="1" applyAlignment="1">
      <alignment horizontal="center"/>
    </xf>
    <xf numFmtId="0" fontId="92" fillId="0" borderId="0" xfId="0" applyFont="1" applyAlignment="1">
      <alignment horizontal="center"/>
    </xf>
    <xf numFmtId="0" fontId="91" fillId="5" borderId="0" xfId="0" applyFont="1" applyFill="1" applyAlignment="1">
      <alignment vertical="center" wrapText="1"/>
    </xf>
    <xf numFmtId="0" fontId="0" fillId="3" borderId="12" xfId="0" applyFill="1" applyBorder="1" applyAlignment="1">
      <alignment horizontal="left" vertical="center"/>
    </xf>
    <xf numFmtId="0" fontId="0" fillId="3" borderId="12" xfId="0" applyFill="1" applyBorder="1" applyAlignment="1">
      <alignment horizontal="left" vertical="center"/>
    </xf>
    <xf numFmtId="0" fontId="0" fillId="3" borderId="24" xfId="0" applyFill="1" applyBorder="1" applyAlignment="1">
      <alignment horizontal="left" vertical="center"/>
    </xf>
    <xf numFmtId="0" fontId="0" fillId="3" borderId="79" xfId="0" applyFill="1" applyBorder="1" applyAlignment="1"/>
    <xf numFmtId="0" fontId="0" fillId="3" borderId="84" xfId="0" applyFill="1" applyBorder="1" applyAlignment="1"/>
    <xf numFmtId="0" fontId="0" fillId="3" borderId="56" xfId="0" applyFill="1" applyBorder="1" applyAlignment="1"/>
    <xf numFmtId="0" fontId="0" fillId="3" borderId="77" xfId="0" applyFill="1" applyBorder="1" applyAlignment="1"/>
    <xf numFmtId="0" fontId="0" fillId="3" borderId="80" xfId="0" applyFill="1" applyBorder="1" applyAlignment="1"/>
    <xf numFmtId="0" fontId="0" fillId="3" borderId="82" xfId="0" applyFill="1" applyBorder="1" applyAlignment="1"/>
    <xf numFmtId="0" fontId="0" fillId="3" borderId="83" xfId="0" applyFill="1" applyBorder="1" applyAlignment="1">
      <alignment vertical="center"/>
    </xf>
    <xf numFmtId="0" fontId="0" fillId="3" borderId="76" xfId="0" applyFill="1" applyBorder="1" applyAlignment="1">
      <alignment vertical="center"/>
    </xf>
    <xf numFmtId="0" fontId="0" fillId="3" borderId="81" xfId="0" applyFill="1" applyBorder="1" applyAlignment="1">
      <alignment vertical="center"/>
    </xf>
    <xf numFmtId="0" fontId="4" fillId="3" borderId="24" xfId="0" applyFont="1" applyFill="1" applyBorder="1" applyAlignment="1">
      <alignment horizontal="center" vertical="center"/>
    </xf>
    <xf numFmtId="0" fontId="4" fillId="3" borderId="42" xfId="0" applyFont="1" applyFill="1" applyBorder="1" applyAlignment="1">
      <alignment horizontal="center" vertical="center"/>
    </xf>
    <xf numFmtId="0" fontId="4" fillId="3" borderId="106" xfId="0" applyFont="1" applyFill="1" applyBorder="1" applyAlignment="1">
      <alignment horizontal="center" vertical="center"/>
    </xf>
    <xf numFmtId="0" fontId="0" fillId="0" borderId="51" xfId="0" applyBorder="1" applyAlignment="1">
      <alignment vertical="center"/>
    </xf>
    <xf numFmtId="0" fontId="0" fillId="0" borderId="6" xfId="0" applyBorder="1" applyAlignment="1">
      <alignment vertical="center"/>
    </xf>
    <xf numFmtId="0" fontId="0" fillId="0" borderId="35" xfId="0" applyBorder="1" applyAlignment="1">
      <alignment vertical="center"/>
    </xf>
    <xf numFmtId="0" fontId="4" fillId="3" borderId="49" xfId="0" applyFont="1" applyFill="1" applyBorder="1" applyAlignment="1">
      <alignment horizontal="center"/>
    </xf>
    <xf numFmtId="0" fontId="4" fillId="3" borderId="52" xfId="0" applyFont="1" applyFill="1" applyBorder="1" applyAlignment="1">
      <alignment horizontal="center"/>
    </xf>
    <xf numFmtId="0" fontId="4" fillId="0" borderId="0" xfId="0" applyFont="1" applyAlignment="1">
      <alignment horizontal="center" vertical="center" wrapText="1"/>
    </xf>
    <xf numFmtId="166" fontId="0" fillId="0" borderId="85" xfId="0" applyNumberFormat="1" applyFill="1" applyBorder="1" applyAlignment="1">
      <alignment horizontal="center"/>
    </xf>
    <xf numFmtId="0" fontId="6" fillId="0" borderId="72" xfId="0" applyFont="1" applyFill="1" applyBorder="1" applyAlignment="1">
      <alignment horizontal="center" vertical="center"/>
    </xf>
    <xf numFmtId="0" fontId="0" fillId="0" borderId="0" xfId="0" applyFill="1"/>
    <xf numFmtId="0" fontId="80" fillId="0" borderId="0" xfId="1" applyNumberFormat="1" applyFont="1" applyBorder="1" applyAlignment="1">
      <alignment horizontal="center" vertical="center"/>
    </xf>
    <xf numFmtId="0" fontId="0" fillId="0" borderId="0" xfId="0" applyBorder="1" applyAlignment="1">
      <alignment horizontal="center" vertical="center"/>
    </xf>
    <xf numFmtId="0" fontId="0" fillId="0" borderId="0" xfId="0" applyBorder="1"/>
    <xf numFmtId="0" fontId="80" fillId="0" borderId="0" xfId="1" applyNumberFormat="1" applyFont="1" applyBorder="1" applyAlignment="1">
      <alignment horizontal="center"/>
    </xf>
    <xf numFmtId="0" fontId="0" fillId="0" borderId="12" xfId="0" applyFill="1" applyBorder="1" applyAlignment="1">
      <alignment horizontal="center" vertical="center"/>
    </xf>
    <xf numFmtId="0" fontId="0" fillId="0" borderId="12" xfId="0" applyFill="1" applyBorder="1"/>
    <xf numFmtId="0" fontId="15" fillId="0" borderId="0" xfId="0" applyFont="1" applyFill="1" applyBorder="1"/>
    <xf numFmtId="0" fontId="6" fillId="0" borderId="12" xfId="0" applyFont="1" applyFill="1" applyBorder="1" applyAlignment="1">
      <alignment horizontal="left" vertical="center"/>
    </xf>
    <xf numFmtId="0" fontId="31" fillId="0" borderId="12" xfId="0" applyFont="1" applyFill="1" applyBorder="1" applyAlignment="1">
      <alignment horizontal="center" vertical="center"/>
    </xf>
    <xf numFmtId="0" fontId="6" fillId="0" borderId="5" xfId="0" applyFont="1" applyFill="1" applyBorder="1"/>
    <xf numFmtId="0" fontId="6" fillId="0" borderId="3" xfId="0" applyFont="1" applyFill="1" applyBorder="1" applyAlignment="1">
      <alignment horizontal="center"/>
    </xf>
    <xf numFmtId="0" fontId="6" fillId="0" borderId="0" xfId="0" applyFont="1" applyFill="1" applyAlignment="1">
      <alignment horizontal="center"/>
    </xf>
    <xf numFmtId="0" fontId="21" fillId="0" borderId="3" xfId="0" applyFont="1" applyFill="1" applyBorder="1" applyAlignment="1">
      <alignment horizontal="center" vertical="center" wrapText="1"/>
    </xf>
    <xf numFmtId="0" fontId="0" fillId="0" borderId="0" xfId="0" applyFill="1" applyAlignment="1">
      <alignment horizontal="center"/>
    </xf>
    <xf numFmtId="0" fontId="6" fillId="0" borderId="97" xfId="0" applyFont="1" applyFill="1" applyBorder="1" applyAlignment="1">
      <alignment horizontal="center" vertical="center"/>
    </xf>
    <xf numFmtId="0" fontId="18" fillId="0" borderId="0" xfId="1" applyNumberFormat="1" applyFont="1" applyAlignment="1">
      <alignment vertical="top" wrapText="1"/>
    </xf>
    <xf numFmtId="172" fontId="6" fillId="0" borderId="76" xfId="52" applyNumberFormat="1" applyFont="1" applyFill="1" applyBorder="1" applyAlignment="1">
      <alignment horizontal="center" vertical="center" wrapText="1"/>
    </xf>
    <xf numFmtId="175" fontId="0" fillId="0" borderId="76" xfId="1" applyNumberFormat="1" applyFont="1" applyBorder="1" applyAlignment="1">
      <alignment horizontal="center"/>
    </xf>
    <xf numFmtId="174" fontId="0" fillId="0" borderId="76" xfId="1" applyNumberFormat="1" applyFont="1" applyBorder="1" applyAlignment="1">
      <alignment horizontal="center"/>
    </xf>
    <xf numFmtId="176" fontId="0" fillId="0" borderId="81" xfId="2" applyNumberFormat="1" applyFont="1" applyBorder="1" applyAlignment="1">
      <alignment horizontal="center"/>
    </xf>
    <xf numFmtId="172" fontId="42" fillId="12" borderId="105" xfId="17" applyNumberFormat="1" applyFont="1" applyFill="1" applyBorder="1" applyAlignment="1">
      <alignment horizontal="center" wrapText="1"/>
    </xf>
    <xf numFmtId="172" fontId="63" fillId="12" borderId="83" xfId="17" applyNumberFormat="1" applyFont="1" applyFill="1" applyBorder="1" applyAlignment="1">
      <alignment horizontal="center" wrapText="1"/>
    </xf>
    <xf numFmtId="172" fontId="63" fillId="12" borderId="76" xfId="17" applyNumberFormat="1" applyFont="1" applyFill="1" applyBorder="1" applyAlignment="1">
      <alignment horizontal="center" wrapText="1"/>
    </xf>
    <xf numFmtId="9" fontId="61" fillId="12" borderId="105" xfId="17" applyFont="1" applyFill="1" applyBorder="1" applyAlignment="1">
      <alignment horizontal="center" vertical="center"/>
    </xf>
    <xf numFmtId="164" fontId="4" fillId="22" borderId="101" xfId="1" applyNumberFormat="1" applyFont="1" applyFill="1" applyBorder="1" applyAlignment="1">
      <alignment vertical="center" wrapText="1"/>
    </xf>
    <xf numFmtId="0" fontId="0" fillId="2" borderId="101" xfId="0" applyFill="1" applyBorder="1" applyAlignment="1">
      <alignment horizontal="right" vertical="center"/>
    </xf>
    <xf numFmtId="44" fontId="17" fillId="7" borderId="0" xfId="1" applyFont="1" applyFill="1" applyBorder="1"/>
    <xf numFmtId="176" fontId="0" fillId="0" borderId="0" xfId="2" applyNumberFormat="1" applyFont="1" applyFill="1" applyBorder="1" applyAlignment="1">
      <alignment horizontal="center"/>
    </xf>
    <xf numFmtId="44" fontId="5" fillId="0" borderId="0" xfId="1" applyFont="1" applyFill="1" applyBorder="1" applyAlignment="1">
      <alignment horizontal="center"/>
    </xf>
    <xf numFmtId="164" fontId="0" fillId="0" borderId="0" xfId="1" applyNumberFormat="1" applyFont="1" applyFill="1" applyBorder="1"/>
    <xf numFmtId="166" fontId="6" fillId="0" borderId="0" xfId="17" applyNumberFormat="1" applyFont="1" applyFill="1" applyBorder="1" applyAlignment="1">
      <alignment horizontal="center"/>
    </xf>
    <xf numFmtId="165" fontId="61" fillId="0" borderId="0" xfId="17" applyNumberFormat="1" applyFont="1" applyFill="1" applyBorder="1" applyAlignment="1">
      <alignment horizontal="center" vertical="center" wrapText="1"/>
    </xf>
    <xf numFmtId="0" fontId="0" fillId="0" borderId="0" xfId="17" applyNumberFormat="1" applyFont="1" applyFill="1" applyBorder="1" applyAlignment="1">
      <alignment horizontal="center" vertical="center" wrapText="1"/>
    </xf>
    <xf numFmtId="166" fontId="6" fillId="0" borderId="0" xfId="0" applyNumberFormat="1" applyFont="1" applyFill="1" applyBorder="1" applyAlignment="1">
      <alignment horizontal="center"/>
    </xf>
    <xf numFmtId="166" fontId="0" fillId="0" borderId="0" xfId="0" applyNumberFormat="1" applyFill="1" applyBorder="1" applyAlignment="1">
      <alignment horizontal="center"/>
    </xf>
    <xf numFmtId="166" fontId="61" fillId="0" borderId="0" xfId="17" applyNumberFormat="1" applyFont="1" applyFill="1" applyBorder="1" applyAlignment="1">
      <alignment horizontal="center"/>
    </xf>
    <xf numFmtId="165" fontId="0" fillId="0" borderId="0" xfId="17" applyNumberFormat="1" applyFont="1" applyFill="1" applyBorder="1" applyAlignment="1">
      <alignment horizontal="center" vertical="center" wrapText="1"/>
    </xf>
    <xf numFmtId="44" fontId="17" fillId="0" borderId="0" xfId="1" applyFont="1" applyFill="1" applyBorder="1"/>
    <xf numFmtId="166" fontId="6" fillId="3" borderId="76" xfId="17" applyNumberFormat="1" applyFont="1" applyFill="1" applyBorder="1" applyAlignment="1">
      <alignment horizontal="center"/>
    </xf>
    <xf numFmtId="165" fontId="61" fillId="12" borderId="76" xfId="17" applyNumberFormat="1" applyFont="1" applyFill="1" applyBorder="1" applyAlignment="1">
      <alignment horizontal="center" vertical="center" wrapText="1"/>
    </xf>
    <xf numFmtId="0" fontId="0" fillId="0" borderId="81" xfId="17" applyNumberFormat="1" applyFont="1" applyBorder="1" applyAlignment="1">
      <alignment horizontal="center" vertical="center" wrapText="1"/>
    </xf>
    <xf numFmtId="166" fontId="6" fillId="0" borderId="76" xfId="0" applyNumberFormat="1" applyFont="1" applyBorder="1" applyAlignment="1">
      <alignment horizontal="center"/>
    </xf>
    <xf numFmtId="166" fontId="0" fillId="0" borderId="76" xfId="0" applyNumberFormat="1" applyBorder="1" applyAlignment="1">
      <alignment horizontal="center"/>
    </xf>
    <xf numFmtId="166" fontId="61" fillId="12" borderId="81" xfId="17" applyNumberFormat="1" applyFont="1" applyFill="1" applyBorder="1" applyAlignment="1">
      <alignment horizontal="center"/>
    </xf>
    <xf numFmtId="166" fontId="6" fillId="0" borderId="76" xfId="17" applyNumberFormat="1" applyFont="1" applyBorder="1" applyAlignment="1">
      <alignment horizontal="center"/>
    </xf>
    <xf numFmtId="164" fontId="6" fillId="0" borderId="81" xfId="1" applyNumberFormat="1" applyFont="1" applyBorder="1"/>
    <xf numFmtId="44" fontId="0" fillId="0" borderId="76" xfId="1" applyFont="1" applyBorder="1"/>
    <xf numFmtId="44" fontId="0" fillId="0" borderId="81" xfId="1" applyFont="1" applyBorder="1"/>
    <xf numFmtId="44" fontId="4" fillId="22" borderId="105" xfId="1" applyFont="1" applyFill="1" applyBorder="1"/>
    <xf numFmtId="44" fontId="0" fillId="0" borderId="83" xfId="1" applyFont="1" applyBorder="1"/>
    <xf numFmtId="44" fontId="0" fillId="0" borderId="74" xfId="1" applyFont="1" applyBorder="1"/>
    <xf numFmtId="44" fontId="17" fillId="7" borderId="107" xfId="1" applyFont="1" applyFill="1" applyBorder="1"/>
    <xf numFmtId="178" fontId="4" fillId="0" borderId="0" xfId="2" applyNumberFormat="1" applyFont="1" applyBorder="1" applyAlignment="1">
      <alignment horizontal="center"/>
    </xf>
    <xf numFmtId="44" fontId="0" fillId="0" borderId="0" xfId="1" applyFont="1" applyFill="1" applyBorder="1"/>
    <xf numFmtId="0" fontId="0" fillId="0" borderId="0" xfId="1" applyNumberFormat="1" applyFont="1" applyFill="1" applyBorder="1"/>
    <xf numFmtId="44" fontId="2" fillId="0" borderId="0" xfId="1" applyFill="1" applyBorder="1"/>
    <xf numFmtId="1" fontId="1" fillId="0" borderId="0" xfId="1" applyNumberFormat="1" applyFont="1" applyFill="1" applyBorder="1" applyAlignment="1">
      <alignment horizontal="center"/>
    </xf>
    <xf numFmtId="0" fontId="1" fillId="0" borderId="0" xfId="1" applyNumberFormat="1" applyFont="1" applyFill="1" applyBorder="1" applyAlignment="1">
      <alignment horizontal="center" vertical="center"/>
    </xf>
    <xf numFmtId="172" fontId="6" fillId="0" borderId="0" xfId="52" applyNumberFormat="1" applyFont="1" applyFill="1" applyBorder="1" applyAlignment="1">
      <alignment horizontal="center" vertical="center" wrapText="1"/>
    </xf>
    <xf numFmtId="175" fontId="0" fillId="0" borderId="0" xfId="1" applyNumberFormat="1" applyFont="1" applyFill="1" applyBorder="1" applyAlignment="1">
      <alignment horizontal="center"/>
    </xf>
    <xf numFmtId="174" fontId="0" fillId="0" borderId="0" xfId="1" applyNumberFormat="1" applyFont="1" applyFill="1" applyBorder="1" applyAlignment="1">
      <alignment horizontal="center"/>
    </xf>
    <xf numFmtId="179" fontId="6" fillId="0" borderId="0" xfId="52" applyNumberFormat="1" applyFont="1" applyFill="1" applyBorder="1" applyAlignment="1">
      <alignment horizontal="center" vertical="center" wrapText="1"/>
    </xf>
    <xf numFmtId="172" fontId="42" fillId="0" borderId="0" xfId="17" applyNumberFormat="1" applyFont="1" applyFill="1" applyBorder="1" applyAlignment="1">
      <alignment horizontal="center" wrapText="1"/>
    </xf>
    <xf numFmtId="172" fontId="63" fillId="0" borderId="0" xfId="17" applyNumberFormat="1" applyFont="1" applyFill="1" applyBorder="1" applyAlignment="1">
      <alignment horizontal="center" wrapText="1"/>
    </xf>
    <xf numFmtId="172" fontId="44" fillId="0" borderId="0" xfId="17" applyNumberFormat="1" applyFont="1" applyFill="1" applyBorder="1" applyAlignment="1">
      <alignment horizontal="center" wrapText="1"/>
    </xf>
    <xf numFmtId="9" fontId="61" fillId="0" borderId="0" xfId="17" applyFont="1" applyFill="1" applyBorder="1" applyAlignment="1">
      <alignment horizontal="center" vertical="center"/>
    </xf>
    <xf numFmtId="44" fontId="15" fillId="0" borderId="0" xfId="1" applyFont="1" applyFill="1" applyBorder="1"/>
    <xf numFmtId="0" fontId="0" fillId="0" borderId="0" xfId="1" applyNumberFormat="1" applyFont="1" applyFill="1" applyBorder="1" applyAlignment="1">
      <alignment horizontal="left" wrapText="1"/>
    </xf>
    <xf numFmtId="44" fontId="4" fillId="0" borderId="0" xfId="1" applyFont="1" applyFill="1" applyBorder="1" applyAlignment="1">
      <alignment horizontal="center"/>
    </xf>
    <xf numFmtId="164" fontId="4" fillId="0" borderId="0" xfId="1" applyNumberFormat="1" applyFont="1" applyFill="1" applyBorder="1" applyAlignment="1">
      <alignment horizontal="left" vertical="center"/>
    </xf>
    <xf numFmtId="164" fontId="5" fillId="0" borderId="0" xfId="1" applyNumberFormat="1" applyFont="1" applyFill="1" applyBorder="1" applyAlignment="1">
      <alignment horizontal="left" vertical="center"/>
    </xf>
    <xf numFmtId="164" fontId="6" fillId="0" borderId="0" xfId="1" applyNumberFormat="1" applyFont="1" applyFill="1" applyBorder="1"/>
    <xf numFmtId="44" fontId="4" fillId="0" borderId="0" xfId="1" applyFont="1" applyFill="1" applyBorder="1"/>
    <xf numFmtId="44" fontId="25" fillId="0" borderId="0" xfId="1" applyFont="1" applyFill="1" applyBorder="1" applyAlignment="1">
      <alignment horizontal="center"/>
    </xf>
    <xf numFmtId="180" fontId="6" fillId="0" borderId="0" xfId="0" applyNumberFormat="1" applyFont="1" applyFill="1" applyBorder="1" applyAlignment="1">
      <alignment horizontal="center"/>
    </xf>
    <xf numFmtId="180" fontId="6" fillId="0" borderId="0" xfId="1" applyNumberFormat="1" applyFont="1" applyFill="1" applyBorder="1" applyAlignment="1">
      <alignment horizontal="center"/>
    </xf>
    <xf numFmtId="180" fontId="6" fillId="0" borderId="0" xfId="1" applyNumberFormat="1" applyFont="1" applyFill="1" applyBorder="1"/>
    <xf numFmtId="180" fontId="6" fillId="0" borderId="0" xfId="2" applyNumberFormat="1" applyFont="1" applyFill="1" applyBorder="1" applyAlignment="1">
      <alignment horizontal="center" vertical="center"/>
    </xf>
    <xf numFmtId="180" fontId="6" fillId="0" borderId="0" xfId="0" applyNumberFormat="1" applyFont="1" applyFill="1" applyBorder="1" applyAlignment="1">
      <alignment horizontal="center" vertical="center"/>
    </xf>
    <xf numFmtId="180" fontId="6" fillId="0" borderId="0" xfId="17" applyNumberFormat="1" applyFont="1" applyFill="1" applyBorder="1" applyAlignment="1">
      <alignment horizontal="center" vertical="center"/>
    </xf>
    <xf numFmtId="180" fontId="21" fillId="0" borderId="0" xfId="0" applyNumberFormat="1" applyFont="1" applyFill="1" applyBorder="1" applyAlignment="1">
      <alignment horizontal="center" vertical="center"/>
    </xf>
    <xf numFmtId="180" fontId="6" fillId="0" borderId="0" xfId="2" applyNumberFormat="1" applyFont="1" applyFill="1" applyBorder="1" applyAlignment="1">
      <alignment horizontal="center"/>
    </xf>
    <xf numFmtId="180" fontId="6" fillId="0" borderId="0" xfId="17" applyNumberFormat="1" applyFont="1" applyFill="1" applyBorder="1" applyAlignment="1">
      <alignment horizontal="center"/>
    </xf>
    <xf numFmtId="180" fontId="25" fillId="0" borderId="0" xfId="1" applyNumberFormat="1" applyFont="1" applyFill="1" applyBorder="1" applyAlignment="1">
      <alignment horizontal="center"/>
    </xf>
    <xf numFmtId="180" fontId="0" fillId="0" borderId="0" xfId="2" applyNumberFormat="1" applyFont="1" applyFill="1" applyBorder="1" applyAlignment="1">
      <alignment horizontal="center" vertical="center"/>
    </xf>
    <xf numFmtId="180" fontId="0" fillId="0" borderId="0" xfId="1" applyNumberFormat="1" applyFont="1" applyFill="1" applyBorder="1" applyAlignment="1">
      <alignment horizontal="center"/>
    </xf>
    <xf numFmtId="180" fontId="0" fillId="0" borderId="0" xfId="17" applyNumberFormat="1" applyFont="1" applyFill="1" applyBorder="1" applyAlignment="1">
      <alignment horizontal="center" vertical="center"/>
    </xf>
    <xf numFmtId="180" fontId="0" fillId="0" borderId="0" xfId="0" applyNumberFormat="1" applyFill="1" applyBorder="1" applyAlignment="1">
      <alignment horizontal="center" vertical="center"/>
    </xf>
    <xf numFmtId="180" fontId="0" fillId="0" borderId="0" xfId="1" applyNumberFormat="1" applyFont="1" applyFill="1" applyBorder="1"/>
    <xf numFmtId="180" fontId="34" fillId="0" borderId="0" xfId="0" applyNumberFormat="1" applyFont="1" applyFill="1" applyBorder="1" applyAlignment="1">
      <alignment horizontal="center" vertical="center"/>
    </xf>
    <xf numFmtId="180" fontId="2" fillId="0" borderId="0" xfId="2" applyNumberFormat="1" applyFill="1" applyBorder="1" applyAlignment="1">
      <alignment horizontal="center" vertical="center"/>
    </xf>
    <xf numFmtId="180" fontId="34" fillId="0" borderId="0" xfId="2" applyNumberFormat="1" applyFont="1" applyFill="1" applyBorder="1" applyAlignment="1">
      <alignment horizontal="center" vertical="center"/>
    </xf>
    <xf numFmtId="180" fontId="34" fillId="0" borderId="0" xfId="0" applyNumberFormat="1" applyFont="1" applyFill="1" applyBorder="1" applyAlignment="1">
      <alignment horizontal="center"/>
    </xf>
    <xf numFmtId="164" fontId="15" fillId="0" borderId="0" xfId="0" applyNumberFormat="1" applyFont="1" applyFill="1" applyBorder="1"/>
    <xf numFmtId="44" fontId="0" fillId="7" borderId="101" xfId="1" applyFont="1" applyFill="1" applyBorder="1"/>
    <xf numFmtId="164" fontId="4" fillId="22" borderId="70" xfId="1" applyNumberFormat="1" applyFont="1" applyFill="1" applyBorder="1" applyAlignment="1">
      <alignment horizontal="center"/>
    </xf>
    <xf numFmtId="164" fontId="0" fillId="0" borderId="101" xfId="1" applyNumberFormat="1" applyFont="1" applyBorder="1"/>
    <xf numFmtId="164" fontId="4" fillId="2" borderId="101" xfId="1" applyNumberFormat="1" applyFont="1" applyFill="1" applyBorder="1" applyAlignment="1">
      <alignment horizontal="center"/>
    </xf>
    <xf numFmtId="164" fontId="4" fillId="22" borderId="101" xfId="1" applyNumberFormat="1" applyFont="1" applyFill="1" applyBorder="1"/>
    <xf numFmtId="164" fontId="17" fillId="7" borderId="101" xfId="1" applyNumberFormat="1" applyFont="1" applyFill="1" applyBorder="1"/>
    <xf numFmtId="0" fontId="0" fillId="7" borderId="13" xfId="0" applyFill="1" applyBorder="1" applyAlignment="1">
      <alignment vertical="center" wrapText="1"/>
    </xf>
    <xf numFmtId="44" fontId="5" fillId="7" borderId="12" xfId="1" applyFont="1" applyFill="1" applyBorder="1" applyAlignment="1">
      <alignment horizontal="center" vertical="center" wrapText="1"/>
    </xf>
    <xf numFmtId="44" fontId="0" fillId="0" borderId="0" xfId="1" applyFont="1" applyAlignment="1">
      <alignment vertical="center" wrapText="1"/>
    </xf>
    <xf numFmtId="44" fontId="5" fillId="0" borderId="0" xfId="1" applyFont="1" applyFill="1" applyBorder="1" applyAlignment="1">
      <alignment horizontal="center" vertical="center" wrapText="1"/>
    </xf>
    <xf numFmtId="44" fontId="5" fillId="2" borderId="101" xfId="1" applyFont="1" applyFill="1" applyBorder="1" applyAlignment="1">
      <alignment horizontal="center" vertical="center" wrapText="1"/>
    </xf>
    <xf numFmtId="0" fontId="0" fillId="2" borderId="11" xfId="0" applyFill="1" applyBorder="1" applyAlignment="1">
      <alignment vertical="center"/>
    </xf>
    <xf numFmtId="0" fontId="0" fillId="2" borderId="12" xfId="0" applyFill="1" applyBorder="1" applyAlignment="1">
      <alignment vertical="center"/>
    </xf>
    <xf numFmtId="0" fontId="5" fillId="2" borderId="12" xfId="0" applyFont="1" applyFill="1" applyBorder="1" applyAlignment="1">
      <alignment horizontal="center" vertical="center" wrapText="1"/>
    </xf>
    <xf numFmtId="44" fontId="5" fillId="2" borderId="12" xfId="1" applyFont="1" applyFill="1" applyBorder="1" applyAlignment="1">
      <alignment horizontal="center" vertical="center" wrapText="1"/>
    </xf>
    <xf numFmtId="0" fontId="5" fillId="2" borderId="11" xfId="0" applyFont="1" applyFill="1" applyBorder="1" applyAlignment="1">
      <alignment vertical="center"/>
    </xf>
    <xf numFmtId="44" fontId="4" fillId="0" borderId="6" xfId="1" applyFont="1" applyBorder="1" applyAlignment="1">
      <alignment horizontal="center" vertical="center"/>
    </xf>
    <xf numFmtId="44" fontId="4" fillId="0" borderId="6" xfId="1" applyFont="1" applyBorder="1" applyAlignment="1">
      <alignment horizontal="center" vertical="center" wrapText="1"/>
    </xf>
    <xf numFmtId="44" fontId="0" fillId="0" borderId="6" xfId="1" applyFont="1" applyBorder="1" applyAlignment="1">
      <alignment vertical="center" wrapText="1"/>
    </xf>
    <xf numFmtId="164" fontId="4" fillId="0" borderId="6" xfId="1" applyNumberFormat="1" applyFont="1" applyBorder="1" applyAlignment="1">
      <alignment horizontal="center" vertical="center" wrapText="1"/>
    </xf>
    <xf numFmtId="44" fontId="4" fillId="0" borderId="10" xfId="1" applyFont="1" applyBorder="1" applyAlignment="1">
      <alignment horizontal="center" vertical="center" wrapText="1"/>
    </xf>
    <xf numFmtId="0" fontId="25" fillId="11" borderId="0" xfId="0" applyFont="1" applyFill="1" applyAlignment="1">
      <alignment horizontal="center" vertical="center" wrapText="1"/>
    </xf>
    <xf numFmtId="44" fontId="25" fillId="11" borderId="0" xfId="1" applyFont="1" applyFill="1" applyAlignment="1">
      <alignment horizontal="center" vertical="center" wrapText="1"/>
    </xf>
    <xf numFmtId="164" fontId="1" fillId="0" borderId="0" xfId="0" applyNumberFormat="1" applyFont="1" applyAlignment="1">
      <alignment vertical="center" wrapText="1"/>
    </xf>
    <xf numFmtId="180" fontId="25" fillId="13" borderId="0" xfId="0" applyNumberFormat="1" applyFont="1" applyFill="1" applyAlignment="1">
      <alignment horizontal="center" vertical="center" wrapText="1"/>
    </xf>
    <xf numFmtId="180" fontId="25" fillId="13" borderId="0" xfId="1" applyNumberFormat="1" applyFont="1" applyFill="1" applyAlignment="1">
      <alignment horizontal="center" vertical="center" wrapText="1"/>
    </xf>
    <xf numFmtId="180" fontId="15" fillId="0" borderId="0" xfId="0" applyNumberFormat="1" applyFont="1" applyAlignment="1">
      <alignment vertical="center" wrapText="1"/>
    </xf>
    <xf numFmtId="180" fontId="24" fillId="0" borderId="0" xfId="0" applyNumberFormat="1" applyFont="1" applyAlignment="1">
      <alignment vertical="center" wrapText="1"/>
    </xf>
    <xf numFmtId="0" fontId="25" fillId="13" borderId="0" xfId="0" applyFont="1" applyFill="1" applyAlignment="1">
      <alignment horizontal="center" vertical="center" wrapText="1"/>
    </xf>
    <xf numFmtId="44" fontId="25" fillId="13" borderId="0" xfId="1" applyFont="1" applyFill="1" applyAlignment="1">
      <alignment horizontal="center" vertical="center" wrapText="1"/>
    </xf>
    <xf numFmtId="0" fontId="24" fillId="0" borderId="0" xfId="0" applyFont="1" applyAlignment="1">
      <alignment vertical="center" wrapText="1"/>
    </xf>
    <xf numFmtId="180" fontId="25" fillId="10" borderId="0" xfId="0" applyNumberFormat="1" applyFont="1" applyFill="1" applyAlignment="1">
      <alignment horizontal="center" vertical="center" wrapText="1"/>
    </xf>
    <xf numFmtId="180" fontId="25" fillId="10" borderId="0" xfId="1" applyNumberFormat="1" applyFont="1" applyFill="1" applyAlignment="1">
      <alignment horizontal="center" vertical="center" wrapText="1"/>
    </xf>
    <xf numFmtId="180" fontId="25" fillId="0" borderId="0" xfId="0" applyNumberFormat="1" applyFont="1" applyAlignment="1">
      <alignment horizontal="center" vertical="center" wrapText="1"/>
    </xf>
    <xf numFmtId="0" fontId="25" fillId="10" borderId="0" xfId="0" applyFont="1" applyFill="1" applyAlignment="1">
      <alignment horizontal="center" vertical="center" wrapText="1"/>
    </xf>
    <xf numFmtId="44" fontId="25" fillId="10" borderId="0" xfId="1" applyFont="1" applyFill="1" applyAlignment="1">
      <alignment horizontal="center" vertical="center" wrapText="1"/>
    </xf>
    <xf numFmtId="0" fontId="25" fillId="0" borderId="0" xfId="0" applyFont="1" applyAlignment="1">
      <alignment horizontal="center" vertical="center" wrapText="1"/>
    </xf>
    <xf numFmtId="180" fontId="25" fillId="11" borderId="0" xfId="0" applyNumberFormat="1" applyFont="1" applyFill="1" applyAlignment="1">
      <alignment horizontal="center" vertical="center" wrapText="1"/>
    </xf>
    <xf numFmtId="180" fontId="25" fillId="11" borderId="0" xfId="1" applyNumberFormat="1" applyFont="1" applyFill="1" applyAlignment="1">
      <alignment horizontal="center" vertical="center" wrapText="1"/>
    </xf>
    <xf numFmtId="180" fontId="0" fillId="0" borderId="0" xfId="0" applyNumberFormat="1" applyAlignment="1">
      <alignment vertical="center" wrapText="1"/>
    </xf>
    <xf numFmtId="0" fontId="0" fillId="21" borderId="0" xfId="0" applyFill="1" applyBorder="1"/>
    <xf numFmtId="0" fontId="34" fillId="21" borderId="31" xfId="0" applyFont="1" applyFill="1" applyBorder="1" applyAlignment="1">
      <alignment vertical="center" wrapText="1"/>
    </xf>
    <xf numFmtId="0" fontId="6" fillId="21" borderId="0" xfId="0" applyFont="1" applyFill="1" applyBorder="1" applyAlignment="1">
      <alignment horizontal="left" vertical="center" wrapText="1"/>
    </xf>
    <xf numFmtId="0" fontId="0" fillId="21" borderId="0" xfId="0" applyFill="1" applyBorder="1" applyAlignment="1">
      <alignment vertical="center" wrapText="1"/>
    </xf>
    <xf numFmtId="0" fontId="39" fillId="21" borderId="27" xfId="0" applyFont="1" applyFill="1" applyBorder="1"/>
    <xf numFmtId="0" fontId="46" fillId="21" borderId="0" xfId="0" applyFont="1" applyFill="1" applyBorder="1" applyAlignment="1">
      <alignment horizontal="left" vertical="center"/>
    </xf>
    <xf numFmtId="0" fontId="6" fillId="21" borderId="0" xfId="0" applyFont="1" applyFill="1" applyBorder="1" applyAlignment="1">
      <alignment vertical="center" wrapText="1"/>
    </xf>
    <xf numFmtId="0" fontId="39" fillId="21" borderId="0" xfId="0" applyFont="1" applyFill="1" applyBorder="1"/>
    <xf numFmtId="178" fontId="4" fillId="0" borderId="0" xfId="2" applyNumberFormat="1" applyFont="1" applyFill="1" applyBorder="1" applyAlignment="1">
      <alignment horizontal="center"/>
    </xf>
    <xf numFmtId="0" fontId="0" fillId="0" borderId="0" xfId="0" applyFill="1" applyBorder="1"/>
    <xf numFmtId="164" fontId="4" fillId="0" borderId="0" xfId="1" applyNumberFormat="1" applyFont="1" applyFill="1" applyBorder="1" applyAlignment="1">
      <alignment horizontal="center"/>
    </xf>
    <xf numFmtId="164" fontId="17" fillId="0" borderId="0" xfId="1" applyNumberFormat="1" applyFont="1" applyFill="1" applyBorder="1"/>
    <xf numFmtId="0" fontId="50" fillId="0" borderId="12" xfId="0" applyFont="1" applyBorder="1" applyAlignment="1">
      <alignment vertical="center"/>
    </xf>
    <xf numFmtId="0" fontId="17" fillId="0" borderId="12" xfId="0" applyFont="1" applyBorder="1" applyAlignment="1">
      <alignment vertical="center"/>
    </xf>
    <xf numFmtId="0" fontId="0" fillId="3" borderId="0" xfId="0" applyFill="1" applyBorder="1"/>
    <xf numFmtId="0" fontId="15" fillId="0" borderId="10" xfId="0" applyFont="1" applyBorder="1"/>
    <xf numFmtId="0" fontId="17" fillId="7" borderId="107" xfId="0" applyFont="1" applyFill="1" applyBorder="1"/>
    <xf numFmtId="44" fontId="32" fillId="0" borderId="0" xfId="1" applyFont="1" applyFill="1" applyBorder="1" applyAlignment="1">
      <alignment vertical="center"/>
    </xf>
    <xf numFmtId="44" fontId="1" fillId="0" borderId="0" xfId="1" applyFont="1" applyFill="1" applyBorder="1" applyAlignment="1">
      <alignment vertical="center" wrapText="1"/>
    </xf>
    <xf numFmtId="44" fontId="1" fillId="0" borderId="0" xfId="1" applyFont="1" applyFill="1" applyBorder="1"/>
    <xf numFmtId="0" fontId="17" fillId="0" borderId="0" xfId="0" applyFont="1" applyFill="1" applyBorder="1" applyAlignment="1">
      <alignment horizontal="center" vertical="center"/>
    </xf>
    <xf numFmtId="1" fontId="1" fillId="0" borderId="0" xfId="1" applyNumberFormat="1" applyFont="1" applyFill="1" applyBorder="1"/>
    <xf numFmtId="174" fontId="1" fillId="0" borderId="0" xfId="0" applyNumberFormat="1" applyFont="1" applyFill="1" applyBorder="1" applyAlignment="1">
      <alignment horizontal="center" vertical="center"/>
    </xf>
    <xf numFmtId="44" fontId="17" fillId="0" borderId="0" xfId="1" applyFont="1" applyFill="1" applyBorder="1" applyAlignment="1">
      <alignment horizontal="center" vertical="center"/>
    </xf>
    <xf numFmtId="164" fontId="17" fillId="0" borderId="0" xfId="1" applyNumberFormat="1" applyFont="1" applyFill="1" applyBorder="1" applyAlignment="1">
      <alignment horizontal="center" vertical="center"/>
    </xf>
    <xf numFmtId="44" fontId="0" fillId="0" borderId="0" xfId="1" applyFont="1" applyFill="1" applyBorder="1" applyAlignment="1">
      <alignment vertical="center" wrapText="1"/>
    </xf>
    <xf numFmtId="0" fontId="18" fillId="0" borderId="0" xfId="1" applyNumberFormat="1" applyFont="1" applyFill="1" applyBorder="1" applyAlignment="1">
      <alignment vertical="top" wrapText="1"/>
    </xf>
    <xf numFmtId="165" fontId="0" fillId="0" borderId="0" xfId="17" applyNumberFormat="1" applyFont="1" applyFill="1" applyBorder="1"/>
    <xf numFmtId="165" fontId="0" fillId="0" borderId="0" xfId="17" applyNumberFormat="1" applyFont="1" applyFill="1" applyBorder="1" applyAlignment="1">
      <alignment horizontal="center" vertical="center"/>
    </xf>
    <xf numFmtId="44" fontId="4" fillId="0" borderId="0" xfId="1" applyFont="1" applyFill="1" applyBorder="1" applyAlignment="1">
      <alignment horizontal="center" vertical="center"/>
    </xf>
    <xf numFmtId="44" fontId="4" fillId="0" borderId="0" xfId="1" applyFont="1" applyFill="1" applyBorder="1" applyAlignment="1">
      <alignment horizontal="center" vertical="center" wrapText="1"/>
    </xf>
    <xf numFmtId="164" fontId="4" fillId="0" borderId="0" xfId="1" applyNumberFormat="1" applyFont="1" applyFill="1" applyBorder="1" applyAlignment="1">
      <alignment horizontal="center" vertical="center" wrapText="1"/>
    </xf>
    <xf numFmtId="180" fontId="21" fillId="0" borderId="0" xfId="0" applyNumberFormat="1" applyFont="1" applyFill="1" applyBorder="1"/>
    <xf numFmtId="180" fontId="6" fillId="0" borderId="0" xfId="0" applyNumberFormat="1" applyFont="1" applyFill="1" applyBorder="1"/>
    <xf numFmtId="180" fontId="24" fillId="0" borderId="0" xfId="0" applyNumberFormat="1" applyFont="1" applyFill="1" applyBorder="1"/>
    <xf numFmtId="180" fontId="4" fillId="0" borderId="0" xfId="0" applyNumberFormat="1" applyFont="1" applyFill="1" applyBorder="1" applyAlignment="1">
      <alignment horizontal="center" vertical="center"/>
    </xf>
    <xf numFmtId="180" fontId="4" fillId="0" borderId="0" xfId="0" applyNumberFormat="1" applyFont="1" applyFill="1" applyBorder="1"/>
    <xf numFmtId="2" fontId="0" fillId="0" borderId="0" xfId="0" applyNumberFormat="1" applyFill="1" applyBorder="1"/>
    <xf numFmtId="0" fontId="0" fillId="7" borderId="106" xfId="0" applyFill="1" applyBorder="1"/>
    <xf numFmtId="0" fontId="7" fillId="9" borderId="101" xfId="0" applyFont="1" applyFill="1" applyBorder="1" applyAlignment="1">
      <alignment vertical="center" wrapText="1"/>
    </xf>
    <xf numFmtId="0" fontId="0" fillId="7" borderId="103" xfId="0" applyFill="1" applyBorder="1" applyAlignment="1">
      <alignment vertical="center" wrapText="1"/>
    </xf>
    <xf numFmtId="0" fontId="0" fillId="22" borderId="84" xfId="0" applyFill="1" applyBorder="1"/>
    <xf numFmtId="0" fontId="49" fillId="0" borderId="101" xfId="0" applyFont="1" applyBorder="1" applyAlignment="1">
      <alignment vertical="center"/>
    </xf>
    <xf numFmtId="0" fontId="0" fillId="2" borderId="106" xfId="0" applyFill="1" applyBorder="1" applyAlignment="1">
      <alignment vertical="center"/>
    </xf>
    <xf numFmtId="0" fontId="0" fillId="0" borderId="77" xfId="0" applyBorder="1" applyAlignment="1">
      <alignment vertical="center"/>
    </xf>
    <xf numFmtId="0" fontId="0" fillId="3" borderId="82" xfId="0" applyFill="1" applyBorder="1"/>
    <xf numFmtId="0" fontId="4" fillId="22" borderId="101" xfId="0" applyFont="1" applyFill="1" applyBorder="1"/>
    <xf numFmtId="0" fontId="0" fillId="0" borderId="0" xfId="0" applyFont="1" applyFill="1" applyBorder="1" applyAlignment="1">
      <alignment horizontal="center" vertical="center"/>
    </xf>
    <xf numFmtId="0" fontId="0" fillId="0" borderId="0" xfId="0" applyFont="1" applyFill="1" applyBorder="1"/>
    <xf numFmtId="1" fontId="0" fillId="0" borderId="0" xfId="1" applyNumberFormat="1" applyFont="1" applyFill="1" applyBorder="1" applyAlignment="1">
      <alignment horizontal="center" vertical="center"/>
    </xf>
    <xf numFmtId="0" fontId="0" fillId="0" borderId="0" xfId="1" applyNumberFormat="1" applyFont="1" applyFill="1" applyBorder="1" applyAlignment="1">
      <alignment horizontal="center" vertical="center"/>
    </xf>
    <xf numFmtId="44" fontId="4" fillId="0" borderId="0" xfId="1" applyFont="1" applyFill="1" applyBorder="1" applyAlignment="1">
      <alignment vertical="center" wrapText="1"/>
    </xf>
    <xf numFmtId="1" fontId="4" fillId="0" borderId="0" xfId="1" applyNumberFormat="1" applyFont="1" applyFill="1" applyBorder="1" applyAlignment="1">
      <alignment horizontal="center"/>
    </xf>
    <xf numFmtId="44" fontId="4" fillId="0" borderId="3" xfId="1" applyFont="1" applyBorder="1" applyAlignment="1">
      <alignment horizontal="center" vertical="center" wrapText="1"/>
    </xf>
    <xf numFmtId="44" fontId="4" fillId="0" borderId="7" xfId="1" applyFont="1" applyBorder="1" applyAlignment="1">
      <alignment horizontal="center" vertical="center" wrapText="1"/>
    </xf>
    <xf numFmtId="164" fontId="4" fillId="0" borderId="0" xfId="1" applyNumberFormat="1" applyFont="1" applyAlignment="1">
      <alignment horizontal="center" vertical="center" wrapText="1"/>
    </xf>
    <xf numFmtId="0" fontId="18" fillId="0" borderId="70" xfId="0" applyFont="1" applyBorder="1" applyAlignment="1">
      <alignment horizontal="left" vertical="center" indent="2"/>
    </xf>
    <xf numFmtId="0" fontId="18" fillId="0" borderId="85" xfId="0" applyFont="1" applyBorder="1" applyAlignment="1">
      <alignment horizontal="left" vertical="center" indent="2"/>
    </xf>
    <xf numFmtId="0" fontId="18" fillId="0" borderId="86" xfId="0" applyFont="1" applyBorder="1" applyAlignment="1">
      <alignment horizontal="left" vertical="center" indent="2"/>
    </xf>
    <xf numFmtId="0" fontId="0" fillId="21" borderId="4" xfId="0" applyFill="1" applyBorder="1" applyAlignment="1">
      <alignment horizontal="center" vertical="top" wrapText="1"/>
    </xf>
    <xf numFmtId="44" fontId="4" fillId="0" borderId="0" xfId="1" applyFont="1"/>
    <xf numFmtId="0" fontId="0" fillId="22" borderId="3" xfId="0" applyFont="1" applyFill="1" applyBorder="1" applyAlignment="1">
      <alignment vertical="center" wrapText="1"/>
    </xf>
    <xf numFmtId="0" fontId="0" fillId="22" borderId="0" xfId="0" applyFont="1" applyFill="1" applyBorder="1" applyAlignment="1">
      <alignment vertical="center" wrapText="1"/>
    </xf>
    <xf numFmtId="0" fontId="0" fillId="22" borderId="8" xfId="0" applyFont="1" applyFill="1" applyBorder="1" applyAlignment="1">
      <alignment vertical="center" wrapText="1"/>
    </xf>
    <xf numFmtId="0" fontId="0" fillId="3" borderId="56" xfId="0" applyFill="1" applyBorder="1"/>
    <xf numFmtId="0" fontId="4" fillId="7" borderId="80" xfId="0" applyFont="1" applyFill="1" applyBorder="1" applyAlignment="1">
      <alignment horizontal="left" vertical="center"/>
    </xf>
    <xf numFmtId="0" fontId="0" fillId="0" borderId="8" xfId="0" applyFill="1" applyBorder="1"/>
    <xf numFmtId="0" fontId="0" fillId="3" borderId="85" xfId="0" applyFill="1" applyBorder="1" applyAlignment="1">
      <alignment horizontal="left" vertical="center"/>
    </xf>
    <xf numFmtId="0" fontId="0" fillId="0" borderId="85" xfId="0" applyBorder="1" applyAlignment="1">
      <alignment vertical="center"/>
    </xf>
    <xf numFmtId="0" fontId="0" fillId="0" borderId="86" xfId="0" applyBorder="1" applyAlignment="1">
      <alignment vertical="center"/>
    </xf>
    <xf numFmtId="44" fontId="4" fillId="22" borderId="102" xfId="1" applyFont="1" applyFill="1" applyBorder="1"/>
    <xf numFmtId="44" fontId="4" fillId="22" borderId="107" xfId="1" applyFont="1" applyFill="1" applyBorder="1"/>
    <xf numFmtId="44" fontId="0" fillId="22" borderId="107" xfId="1" applyFont="1" applyFill="1" applyBorder="1"/>
    <xf numFmtId="164" fontId="4" fillId="22" borderId="107" xfId="1" applyNumberFormat="1" applyFont="1" applyFill="1" applyBorder="1"/>
    <xf numFmtId="0" fontId="0" fillId="22" borderId="103" xfId="0" applyFill="1" applyBorder="1"/>
    <xf numFmtId="0" fontId="0" fillId="3" borderId="107" xfId="0" applyFill="1" applyBorder="1"/>
    <xf numFmtId="0" fontId="0" fillId="0" borderId="103" xfId="0" applyBorder="1"/>
    <xf numFmtId="44" fontId="0" fillId="22" borderId="103" xfId="1" applyFont="1" applyFill="1" applyBorder="1"/>
    <xf numFmtId="44" fontId="0" fillId="22" borderId="102" xfId="1" applyFont="1" applyFill="1" applyBorder="1"/>
    <xf numFmtId="44" fontId="0" fillId="0" borderId="3" xfId="1" applyFont="1" applyFill="1" applyBorder="1"/>
    <xf numFmtId="0" fontId="0" fillId="3" borderId="85" xfId="0" applyFill="1" applyBorder="1" applyAlignment="1">
      <alignment vertical="center"/>
    </xf>
    <xf numFmtId="0" fontId="0" fillId="3" borderId="86" xfId="0" applyFill="1" applyBorder="1" applyAlignment="1">
      <alignment vertical="center"/>
    </xf>
    <xf numFmtId="0" fontId="4" fillId="22" borderId="70" xfId="0" applyFont="1" applyFill="1" applyBorder="1" applyAlignment="1">
      <alignment vertical="center"/>
    </xf>
    <xf numFmtId="0" fontId="0" fillId="22" borderId="70" xfId="0" applyFill="1" applyBorder="1" applyAlignment="1">
      <alignment vertical="center"/>
    </xf>
    <xf numFmtId="44" fontId="0" fillId="22" borderId="3" xfId="1" applyFont="1" applyFill="1" applyBorder="1" applyAlignment="1">
      <alignment vertical="center"/>
    </xf>
    <xf numFmtId="44" fontId="0" fillId="22" borderId="0" xfId="1" applyFont="1" applyFill="1" applyBorder="1" applyAlignment="1">
      <alignment vertical="center"/>
    </xf>
    <xf numFmtId="164" fontId="4" fillId="22" borderId="0" xfId="1" applyNumberFormat="1" applyFont="1" applyFill="1" applyBorder="1" applyAlignment="1">
      <alignment vertical="center"/>
    </xf>
    <xf numFmtId="0" fontId="4" fillId="22" borderId="8" xfId="0" applyFont="1" applyFill="1" applyBorder="1" applyAlignment="1">
      <alignment vertical="center"/>
    </xf>
    <xf numFmtId="0" fontId="21" fillId="2" borderId="0" xfId="0" applyFont="1" applyFill="1" applyAlignment="1">
      <alignment vertical="center"/>
    </xf>
    <xf numFmtId="0" fontId="21" fillId="12" borderId="0" xfId="0" applyFont="1" applyFill="1" applyAlignment="1">
      <alignment vertical="center"/>
    </xf>
    <xf numFmtId="180" fontId="21" fillId="12" borderId="0" xfId="0" applyNumberFormat="1" applyFont="1" applyFill="1" applyBorder="1" applyAlignment="1">
      <alignment horizontal="center"/>
    </xf>
    <xf numFmtId="180" fontId="6" fillId="12" borderId="0" xfId="1" applyNumberFormat="1" applyFont="1" applyFill="1" applyBorder="1" applyAlignment="1">
      <alignment horizontal="center"/>
    </xf>
    <xf numFmtId="180" fontId="21" fillId="12" borderId="0" xfId="0" applyNumberFormat="1" applyFont="1" applyFill="1" applyBorder="1"/>
    <xf numFmtId="0" fontId="0" fillId="12" borderId="0" xfId="0" applyFill="1" applyBorder="1"/>
    <xf numFmtId="180" fontId="21" fillId="12" borderId="0" xfId="0" applyNumberFormat="1" applyFont="1" applyFill="1" applyBorder="1" applyAlignment="1">
      <alignment horizontal="center" vertical="center"/>
    </xf>
    <xf numFmtId="180" fontId="6" fillId="12" borderId="0" xfId="1" applyNumberFormat="1" applyFont="1" applyFill="1" applyBorder="1"/>
    <xf numFmtId="180" fontId="6" fillId="2" borderId="0" xfId="17" applyNumberFormat="1" applyFont="1" applyFill="1" applyBorder="1" applyAlignment="1">
      <alignment horizontal="center" vertical="center"/>
    </xf>
    <xf numFmtId="180" fontId="6" fillId="2" borderId="0" xfId="0" applyNumberFormat="1" applyFont="1" applyFill="1" applyBorder="1"/>
    <xf numFmtId="0" fontId="15" fillId="2" borderId="0" xfId="0" applyFont="1" applyFill="1" applyBorder="1"/>
    <xf numFmtId="0" fontId="15" fillId="12" borderId="0" xfId="0" applyFont="1" applyFill="1" applyBorder="1"/>
    <xf numFmtId="0" fontId="0" fillId="0" borderId="0" xfId="1" applyNumberFormat="1" applyFont="1" applyFill="1" applyBorder="1" applyAlignment="1">
      <alignment vertical="center" wrapText="1"/>
    </xf>
    <xf numFmtId="0" fontId="7" fillId="0" borderId="0" xfId="0" applyFont="1" applyFill="1" applyBorder="1"/>
    <xf numFmtId="0" fontId="17" fillId="0" borderId="0" xfId="0" applyFont="1" applyFill="1"/>
    <xf numFmtId="0" fontId="0" fillId="11" borderId="0" xfId="1" applyNumberFormat="1" applyFont="1" applyFill="1" applyBorder="1" applyAlignment="1">
      <alignment vertical="center" wrapText="1"/>
    </xf>
    <xf numFmtId="0" fontId="6" fillId="0" borderId="0" xfId="0" applyFont="1" applyBorder="1"/>
    <xf numFmtId="0" fontId="6" fillId="0" borderId="73" xfId="0" applyFont="1" applyBorder="1" applyAlignment="1">
      <alignment vertical="center"/>
    </xf>
    <xf numFmtId="0" fontId="0" fillId="7" borderId="107" xfId="1" applyNumberFormat="1" applyFont="1" applyFill="1" applyBorder="1" applyAlignment="1">
      <alignment vertical="center" wrapText="1"/>
    </xf>
    <xf numFmtId="0" fontId="0" fillId="7" borderId="0" xfId="1" applyNumberFormat="1" applyFont="1" applyFill="1" applyBorder="1" applyAlignment="1">
      <alignment vertical="center" wrapText="1"/>
    </xf>
    <xf numFmtId="0" fontId="6" fillId="0" borderId="69" xfId="0" applyFont="1" applyBorder="1" applyAlignment="1">
      <alignment horizontal="left" vertical="center" indent="2"/>
    </xf>
    <xf numFmtId="0" fontId="6" fillId="0" borderId="56" xfId="0" applyFont="1" applyBorder="1" applyAlignment="1">
      <alignment horizontal="left" vertical="center" indent="2"/>
    </xf>
    <xf numFmtId="0" fontId="6" fillId="0" borderId="73" xfId="0" applyFont="1" applyBorder="1" applyAlignment="1">
      <alignment horizontal="left" vertical="center" indent="2"/>
    </xf>
    <xf numFmtId="0" fontId="4" fillId="0" borderId="1" xfId="0" applyFont="1" applyBorder="1"/>
    <xf numFmtId="0" fontId="4" fillId="0" borderId="9" xfId="0" applyFont="1" applyBorder="1"/>
    <xf numFmtId="0" fontId="25" fillId="11" borderId="0" xfId="0" applyFont="1" applyFill="1" applyAlignment="1">
      <alignment vertical="center"/>
    </xf>
    <xf numFmtId="0" fontId="15" fillId="11" borderId="0" xfId="0" applyFont="1" applyFill="1" applyAlignment="1">
      <alignment vertical="center"/>
    </xf>
    <xf numFmtId="0" fontId="25" fillId="11" borderId="0" xfId="0" applyFont="1" applyFill="1" applyAlignment="1">
      <alignment horizontal="center" vertical="center"/>
    </xf>
    <xf numFmtId="0" fontId="15" fillId="0" borderId="0" xfId="0" applyFont="1" applyAlignment="1">
      <alignment vertical="center"/>
    </xf>
    <xf numFmtId="0" fontId="21" fillId="12" borderId="0" xfId="0" applyFont="1" applyFill="1" applyAlignment="1">
      <alignment horizontal="left" vertical="center"/>
    </xf>
    <xf numFmtId="180" fontId="6" fillId="12" borderId="0" xfId="1" applyNumberFormat="1" applyFont="1" applyFill="1" applyAlignment="1">
      <alignment horizontal="center" vertical="center"/>
    </xf>
    <xf numFmtId="180" fontId="21" fillId="12" borderId="0" xfId="0" applyNumberFormat="1" applyFont="1" applyFill="1" applyAlignment="1">
      <alignment vertical="center"/>
    </xf>
    <xf numFmtId="0" fontId="15" fillId="0" borderId="0" xfId="0" applyFont="1" applyAlignment="1">
      <alignment horizontal="left" vertical="center"/>
    </xf>
    <xf numFmtId="180" fontId="21" fillId="0" borderId="0" xfId="0" applyNumberFormat="1" applyFont="1" applyAlignment="1">
      <alignment vertical="center"/>
    </xf>
    <xf numFmtId="0" fontId="4" fillId="12" borderId="0" xfId="0" applyFont="1" applyFill="1" applyAlignment="1">
      <alignment horizontal="left" vertical="center"/>
    </xf>
    <xf numFmtId="180" fontId="6" fillId="12" borderId="0" xfId="1" applyNumberFormat="1" applyFont="1" applyFill="1" applyAlignment="1">
      <alignment vertical="center"/>
    </xf>
    <xf numFmtId="0" fontId="0" fillId="0" borderId="0" xfId="0" applyAlignment="1">
      <alignment horizontal="left" vertical="center"/>
    </xf>
    <xf numFmtId="180" fontId="6" fillId="0" borderId="0" xfId="0" applyNumberFormat="1" applyFont="1" applyAlignment="1">
      <alignment vertical="center"/>
    </xf>
    <xf numFmtId="180" fontId="6" fillId="0" borderId="0" xfId="1" applyNumberFormat="1" applyFont="1" applyAlignment="1">
      <alignment horizontal="center" vertical="center"/>
    </xf>
    <xf numFmtId="180" fontId="6" fillId="0" borderId="0" xfId="1" applyNumberFormat="1" applyFont="1" applyAlignment="1">
      <alignment vertical="center"/>
    </xf>
    <xf numFmtId="0" fontId="4" fillId="0" borderId="0" xfId="0" applyFont="1" applyAlignment="1">
      <alignment horizontal="left" vertical="center"/>
    </xf>
    <xf numFmtId="183" fontId="6" fillId="0" borderId="0" xfId="0" applyNumberFormat="1" applyFont="1" applyAlignment="1">
      <alignment horizontal="center" vertical="center"/>
    </xf>
    <xf numFmtId="180" fontId="25" fillId="11" borderId="0" xfId="0" applyNumberFormat="1" applyFont="1" applyFill="1" applyAlignment="1">
      <alignment horizontal="center" vertical="center"/>
    </xf>
    <xf numFmtId="182" fontId="6" fillId="0" borderId="0" xfId="0" applyNumberFormat="1" applyFont="1" applyAlignment="1">
      <alignment horizontal="center" vertical="center"/>
    </xf>
    <xf numFmtId="182" fontId="6" fillId="0" borderId="0" xfId="17" applyNumberFormat="1" applyFont="1" applyAlignment="1">
      <alignment horizontal="center" vertical="center"/>
    </xf>
    <xf numFmtId="184" fontId="6" fillId="0" borderId="0" xfId="0" applyNumberFormat="1" applyFont="1" applyAlignment="1">
      <alignment horizontal="center" vertical="center"/>
    </xf>
    <xf numFmtId="0" fontId="4" fillId="12" borderId="0" xfId="0" applyFont="1" applyFill="1" applyAlignment="1">
      <alignment vertical="center"/>
    </xf>
    <xf numFmtId="44" fontId="0" fillId="0" borderId="0" xfId="1" applyFont="1" applyAlignment="1">
      <alignment vertical="center"/>
    </xf>
    <xf numFmtId="0" fontId="25" fillId="10" borderId="0" xfId="0" applyFont="1" applyFill="1" applyAlignment="1">
      <alignment vertical="center"/>
    </xf>
    <xf numFmtId="0" fontId="15" fillId="10" borderId="0" xfId="0" applyFont="1" applyFill="1" applyAlignment="1">
      <alignment vertical="center"/>
    </xf>
    <xf numFmtId="0" fontId="25" fillId="10" borderId="0" xfId="0" applyFont="1" applyFill="1" applyAlignment="1">
      <alignment horizontal="center" vertical="center"/>
    </xf>
    <xf numFmtId="0" fontId="4" fillId="9" borderId="0" xfId="0" applyFont="1" applyFill="1" applyAlignment="1">
      <alignment vertical="center"/>
    </xf>
    <xf numFmtId="44" fontId="0" fillId="9" borderId="0" xfId="1" applyFont="1" applyFill="1" applyAlignment="1">
      <alignment vertical="center"/>
    </xf>
    <xf numFmtId="164" fontId="15" fillId="0" borderId="0" xfId="1" applyNumberFormat="1" applyFont="1" applyAlignment="1">
      <alignment vertical="center"/>
    </xf>
    <xf numFmtId="180" fontId="15" fillId="0" borderId="0" xfId="1" applyNumberFormat="1" applyFont="1" applyAlignment="1">
      <alignment vertical="center"/>
    </xf>
    <xf numFmtId="180" fontId="0" fillId="0" borderId="0" xfId="1" applyNumberFormat="1" applyFont="1" applyAlignment="1">
      <alignment horizontal="center" vertical="center"/>
    </xf>
    <xf numFmtId="0" fontId="4" fillId="2" borderId="0" xfId="0" applyFont="1" applyFill="1" applyAlignment="1">
      <alignment vertical="center"/>
    </xf>
    <xf numFmtId="180" fontId="15" fillId="0" borderId="0" xfId="0" applyNumberFormat="1" applyFont="1" applyAlignment="1">
      <alignment vertical="center"/>
    </xf>
    <xf numFmtId="180" fontId="0" fillId="9" borderId="0" xfId="1" applyNumberFormat="1" applyFont="1" applyFill="1" applyAlignment="1">
      <alignment vertical="center"/>
    </xf>
    <xf numFmtId="180" fontId="24" fillId="0" borderId="0" xfId="0" applyNumberFormat="1" applyFont="1" applyAlignment="1">
      <alignment vertical="center"/>
    </xf>
    <xf numFmtId="180" fontId="25" fillId="10" borderId="0" xfId="0" applyNumberFormat="1" applyFont="1" applyFill="1" applyAlignment="1">
      <alignment horizontal="center" vertical="center"/>
    </xf>
    <xf numFmtId="180" fontId="4" fillId="9" borderId="0" xfId="0" applyNumberFormat="1" applyFont="1" applyFill="1" applyAlignment="1">
      <alignment vertical="center"/>
    </xf>
    <xf numFmtId="0" fontId="21" fillId="9" borderId="0" xfId="0" applyFont="1" applyFill="1" applyAlignment="1">
      <alignment vertical="center"/>
    </xf>
    <xf numFmtId="180" fontId="6" fillId="9" borderId="0" xfId="1" applyNumberFormat="1" applyFont="1" applyFill="1" applyAlignment="1">
      <alignment vertical="center"/>
    </xf>
    <xf numFmtId="164" fontId="15" fillId="0" borderId="0" xfId="0" applyNumberFormat="1" applyFont="1" applyAlignment="1">
      <alignment vertical="center"/>
    </xf>
    <xf numFmtId="0" fontId="25" fillId="13" borderId="0" xfId="0" applyFont="1" applyFill="1" applyAlignment="1">
      <alignment vertical="center"/>
    </xf>
    <xf numFmtId="0" fontId="15" fillId="13" borderId="0" xfId="0" applyFont="1" applyFill="1" applyAlignment="1">
      <alignment vertical="center"/>
    </xf>
    <xf numFmtId="0" fontId="25" fillId="13" borderId="0" xfId="0" applyFont="1" applyFill="1" applyAlignment="1">
      <alignment horizontal="center" vertical="center"/>
    </xf>
    <xf numFmtId="0" fontId="4" fillId="14" borderId="0" xfId="0" applyFont="1" applyFill="1" applyAlignment="1">
      <alignment vertical="center"/>
    </xf>
    <xf numFmtId="44" fontId="0" fillId="14" borderId="0" xfId="1" applyFont="1" applyFill="1" applyAlignment="1">
      <alignment vertical="center"/>
    </xf>
    <xf numFmtId="0" fontId="21" fillId="14" borderId="0" xfId="0" applyFont="1" applyFill="1" applyAlignment="1">
      <alignment vertical="center"/>
    </xf>
    <xf numFmtId="180" fontId="25" fillId="13" borderId="0" xfId="0" applyNumberFormat="1" applyFont="1" applyFill="1" applyAlignment="1">
      <alignment horizontal="center" vertical="center"/>
    </xf>
    <xf numFmtId="180" fontId="4" fillId="14" borderId="0" xfId="0" applyNumberFormat="1" applyFont="1" applyFill="1" applyAlignment="1">
      <alignment vertical="center"/>
    </xf>
    <xf numFmtId="180" fontId="0" fillId="14" borderId="0" xfId="1" applyNumberFormat="1" applyFont="1" applyFill="1" applyAlignment="1">
      <alignment vertical="center"/>
    </xf>
    <xf numFmtId="0" fontId="27" fillId="2" borderId="70" xfId="0" applyFont="1" applyFill="1" applyBorder="1" applyAlignment="1">
      <alignment horizontal="center" vertical="center" wrapText="1"/>
    </xf>
    <xf numFmtId="0" fontId="44" fillId="0" borderId="0" xfId="0" applyFont="1" applyBorder="1" applyAlignment="1">
      <alignment vertical="center" wrapText="1"/>
    </xf>
    <xf numFmtId="0" fontId="6" fillId="0" borderId="101" xfId="0" applyFont="1" applyBorder="1"/>
    <xf numFmtId="0" fontId="5" fillId="0" borderId="0" xfId="0" applyFont="1" applyFill="1" applyBorder="1" applyAlignment="1">
      <alignment vertical="center" wrapText="1"/>
    </xf>
    <xf numFmtId="0" fontId="6" fillId="0" borderId="1" xfId="0" applyFont="1" applyBorder="1" applyAlignment="1">
      <alignment vertical="center"/>
    </xf>
    <xf numFmtId="0" fontId="0" fillId="0" borderId="0" xfId="0" applyAlignment="1">
      <alignment horizontal="center"/>
    </xf>
    <xf numFmtId="0" fontId="0" fillId="0" borderId="0" xfId="0" applyAlignment="1">
      <alignment horizontal="left"/>
    </xf>
    <xf numFmtId="0" fontId="4" fillId="0" borderId="10" xfId="0" applyFont="1" applyBorder="1" applyAlignment="1">
      <alignment horizontal="center" vertical="center" wrapText="1"/>
    </xf>
    <xf numFmtId="0" fontId="0" fillId="24" borderId="101" xfId="0" applyFill="1" applyBorder="1" applyAlignment="1">
      <alignment horizontal="center"/>
    </xf>
    <xf numFmtId="0" fontId="107" fillId="21" borderId="0" xfId="0" applyFont="1" applyFill="1" applyAlignment="1">
      <alignment horizontal="left"/>
    </xf>
    <xf numFmtId="0" fontId="108" fillId="21" borderId="0" xfId="0" applyFont="1" applyFill="1" applyAlignment="1">
      <alignment horizontal="left"/>
    </xf>
    <xf numFmtId="0" fontId="109" fillId="21" borderId="0" xfId="0" applyFont="1" applyFill="1" applyAlignment="1">
      <alignment horizontal="left"/>
    </xf>
    <xf numFmtId="0" fontId="109" fillId="0" borderId="0" xfId="0" applyFont="1" applyFill="1" applyAlignment="1">
      <alignment horizontal="left"/>
    </xf>
    <xf numFmtId="0" fontId="109" fillId="0" borderId="0" xfId="0" applyFont="1" applyAlignment="1">
      <alignment horizontal="left"/>
    </xf>
    <xf numFmtId="191" fontId="0" fillId="0" borderId="0" xfId="0" applyNumberFormat="1"/>
    <xf numFmtId="0" fontId="110" fillId="21" borderId="0" xfId="0" applyFont="1" applyFill="1" applyAlignment="1">
      <alignment vertical="center" wrapText="1"/>
    </xf>
    <xf numFmtId="0" fontId="110" fillId="0" borderId="0" xfId="0" applyFont="1" applyFill="1" applyAlignment="1">
      <alignment vertical="center" wrapText="1"/>
    </xf>
    <xf numFmtId="0" fontId="111" fillId="21" borderId="0" xfId="0" applyFont="1" applyFill="1" applyBorder="1" applyAlignment="1">
      <alignment horizontal="center" vertical="center" wrapText="1"/>
    </xf>
    <xf numFmtId="0" fontId="112" fillId="0" borderId="0" xfId="0" applyFont="1"/>
    <xf numFmtId="0" fontId="113" fillId="33" borderId="119" xfId="0" applyFont="1" applyFill="1" applyBorder="1"/>
    <xf numFmtId="0" fontId="114" fillId="33" borderId="120" xfId="0" applyFont="1" applyFill="1" applyBorder="1"/>
    <xf numFmtId="0" fontId="114" fillId="33" borderId="121" xfId="0" applyFont="1" applyFill="1" applyBorder="1"/>
    <xf numFmtId="0" fontId="114" fillId="0" borderId="0" xfId="0" applyFont="1" applyFill="1" applyBorder="1"/>
    <xf numFmtId="191" fontId="114" fillId="0" borderId="0" xfId="0" applyNumberFormat="1" applyFont="1" applyFill="1" applyBorder="1"/>
    <xf numFmtId="0" fontId="109" fillId="0" borderId="101" xfId="0" applyFont="1" applyFill="1" applyBorder="1" applyAlignment="1">
      <alignment horizontal="left"/>
    </xf>
    <xf numFmtId="0" fontId="115" fillId="0" borderId="101" xfId="0" applyFont="1" applyFill="1" applyBorder="1" applyAlignment="1">
      <alignment horizontal="left"/>
    </xf>
    <xf numFmtId="0" fontId="108" fillId="24" borderId="6" xfId="0" applyFont="1" applyFill="1" applyBorder="1" applyAlignment="1">
      <alignment horizontal="left"/>
    </xf>
    <xf numFmtId="0" fontId="108" fillId="0" borderId="101" xfId="0" applyFont="1" applyBorder="1" applyAlignment="1">
      <alignment horizontal="left"/>
    </xf>
    <xf numFmtId="0" fontId="109" fillId="0" borderId="101" xfId="0" applyFont="1" applyBorder="1" applyAlignment="1">
      <alignment horizontal="left"/>
    </xf>
    <xf numFmtId="0" fontId="109" fillId="24" borderId="101" xfId="0" applyFont="1" applyFill="1" applyBorder="1" applyAlignment="1">
      <alignment horizontal="center" vertical="center"/>
    </xf>
    <xf numFmtId="0" fontId="108" fillId="0" borderId="101" xfId="0" applyFont="1" applyBorder="1" applyAlignment="1">
      <alignment horizontal="center" vertical="center"/>
    </xf>
    <xf numFmtId="0" fontId="58" fillId="34" borderId="122" xfId="0" applyFont="1" applyFill="1" applyBorder="1" applyAlignment="1">
      <alignment wrapText="1"/>
    </xf>
    <xf numFmtId="0" fontId="58" fillId="34" borderId="0" xfId="0" applyFont="1" applyFill="1" applyBorder="1" applyAlignment="1">
      <alignment wrapText="1"/>
    </xf>
    <xf numFmtId="0" fontId="58" fillId="34" borderId="123" xfId="0" applyFont="1" applyFill="1" applyBorder="1" applyAlignment="1">
      <alignment wrapText="1"/>
    </xf>
    <xf numFmtId="0" fontId="58" fillId="0" borderId="0" xfId="0" applyFont="1" applyFill="1" applyBorder="1" applyAlignment="1">
      <alignment wrapText="1"/>
    </xf>
    <xf numFmtId="0" fontId="110" fillId="0" borderId="0" xfId="0" applyFont="1"/>
    <xf numFmtId="0" fontId="109" fillId="0" borderId="0" xfId="0" applyFont="1"/>
    <xf numFmtId="0" fontId="58" fillId="0" borderId="0" xfId="0" applyFont="1" applyFill="1" applyBorder="1" applyAlignment="1">
      <alignment horizontal="left" wrapText="1"/>
    </xf>
    <xf numFmtId="191" fontId="58" fillId="0" borderId="0" xfId="0" applyNumberFormat="1" applyFont="1" applyFill="1" applyBorder="1" applyAlignment="1">
      <alignment horizontal="left" wrapText="1"/>
    </xf>
    <xf numFmtId="0" fontId="116" fillId="0" borderId="0" xfId="0" applyFont="1" applyFill="1" applyBorder="1" applyAlignment="1">
      <alignment vertical="top" wrapText="1"/>
    </xf>
    <xf numFmtId="0" fontId="0" fillId="34" borderId="0" xfId="0" applyFill="1"/>
    <xf numFmtId="191" fontId="0" fillId="34" borderId="0" xfId="0" applyNumberFormat="1" applyFill="1"/>
    <xf numFmtId="0" fontId="117" fillId="0" borderId="0" xfId="0" applyFont="1"/>
    <xf numFmtId="0" fontId="34" fillId="0" borderId="0" xfId="0" applyFont="1"/>
    <xf numFmtId="0" fontId="109" fillId="21" borderId="0" xfId="0" applyFont="1" applyFill="1" applyBorder="1" applyAlignment="1">
      <alignment horizontal="left"/>
    </xf>
    <xf numFmtId="0" fontId="0" fillId="35" borderId="127" xfId="0" applyFill="1" applyBorder="1"/>
    <xf numFmtId="0" fontId="119" fillId="0" borderId="101" xfId="0" applyFont="1" applyBorder="1"/>
    <xf numFmtId="0" fontId="21" fillId="0" borderId="101" xfId="0" applyFont="1" applyBorder="1" applyAlignment="1">
      <alignment wrapText="1"/>
    </xf>
    <xf numFmtId="0" fontId="119" fillId="0" borderId="101" xfId="0" applyFont="1" applyBorder="1" applyAlignment="1">
      <alignment wrapText="1"/>
    </xf>
    <xf numFmtId="0" fontId="58" fillId="35" borderId="128" xfId="0" applyFont="1" applyFill="1" applyBorder="1" applyAlignment="1">
      <alignment wrapText="1"/>
    </xf>
    <xf numFmtId="0" fontId="58" fillId="35" borderId="125" xfId="0" applyFont="1" applyFill="1" applyBorder="1" applyAlignment="1">
      <alignment wrapText="1"/>
    </xf>
    <xf numFmtId="0" fontId="58" fillId="35" borderId="124" xfId="0" applyFont="1" applyFill="1" applyBorder="1" applyAlignment="1">
      <alignment wrapText="1"/>
    </xf>
    <xf numFmtId="0" fontId="58" fillId="35" borderId="125" xfId="0" applyFont="1" applyFill="1" applyBorder="1" applyAlignment="1">
      <alignment horizontal="center" wrapText="1"/>
    </xf>
    <xf numFmtId="0" fontId="34" fillId="0" borderId="101" xfId="0" applyFont="1" applyBorder="1"/>
    <xf numFmtId="192" fontId="34" fillId="0" borderId="101" xfId="0" applyNumberFormat="1" applyFont="1" applyBorder="1" applyAlignment="1">
      <alignment horizontal="center"/>
    </xf>
    <xf numFmtId="0" fontId="0" fillId="34" borderId="6" xfId="0" applyFill="1" applyBorder="1" applyAlignment="1">
      <alignment horizontal="left" vertical="top"/>
    </xf>
    <xf numFmtId="0" fontId="0" fillId="34" borderId="6" xfId="0" applyFill="1" applyBorder="1" applyAlignment="1">
      <alignment horizontal="left" vertical="top" wrapText="1"/>
    </xf>
    <xf numFmtId="0" fontId="34" fillId="34" borderId="101" xfId="0" applyFont="1" applyFill="1" applyBorder="1" applyAlignment="1">
      <alignment horizontal="left" vertical="top"/>
    </xf>
    <xf numFmtId="191" fontId="34" fillId="34" borderId="101" xfId="0" applyNumberFormat="1" applyFont="1" applyFill="1" applyBorder="1" applyAlignment="1">
      <alignment horizontal="left" vertical="top"/>
    </xf>
    <xf numFmtId="0" fontId="0" fillId="34" borderId="101" xfId="0" applyFill="1" applyBorder="1" applyAlignment="1">
      <alignment horizontal="left" vertical="top"/>
    </xf>
    <xf numFmtId="0" fontId="0" fillId="34" borderId="101" xfId="0" applyFill="1" applyBorder="1" applyAlignment="1">
      <alignment horizontal="left" vertical="top" wrapText="1"/>
    </xf>
    <xf numFmtId="0" fontId="108" fillId="21" borderId="0" xfId="0" applyFont="1" applyFill="1" applyBorder="1" applyAlignment="1">
      <alignment horizontal="left"/>
    </xf>
    <xf numFmtId="0" fontId="108" fillId="0" borderId="0" xfId="0" applyFont="1" applyFill="1" applyBorder="1" applyAlignment="1">
      <alignment horizontal="left"/>
    </xf>
    <xf numFmtId="3" fontId="0" fillId="34" borderId="101" xfId="0" applyNumberFormat="1" applyFill="1" applyBorder="1" applyAlignment="1">
      <alignment horizontal="left" vertical="top"/>
    </xf>
    <xf numFmtId="0" fontId="120" fillId="0" borderId="0" xfId="0" applyFont="1" applyAlignment="1">
      <alignment vertical="center"/>
    </xf>
    <xf numFmtId="0" fontId="120" fillId="0" borderId="0" xfId="0" applyFont="1" applyAlignment="1">
      <alignment wrapText="1"/>
    </xf>
    <xf numFmtId="4" fontId="0" fillId="34" borderId="101" xfId="0" applyNumberFormat="1" applyFill="1" applyBorder="1" applyAlignment="1">
      <alignment horizontal="left" vertical="top"/>
    </xf>
    <xf numFmtId="0" fontId="6" fillId="0" borderId="0" xfId="0" applyFont="1" applyFill="1"/>
    <xf numFmtId="0" fontId="0" fillId="34" borderId="0" xfId="0" applyFill="1" applyAlignment="1">
      <alignment horizontal="left" vertical="top"/>
    </xf>
    <xf numFmtId="0" fontId="0" fillId="34" borderId="0" xfId="0" applyFill="1" applyAlignment="1">
      <alignment horizontal="left" vertical="top" wrapText="1"/>
    </xf>
    <xf numFmtId="191" fontId="0" fillId="34" borderId="0" xfId="0" applyNumberFormat="1" applyFill="1" applyAlignment="1">
      <alignment horizontal="left" vertical="top"/>
    </xf>
    <xf numFmtId="17" fontId="58" fillId="34" borderId="0" xfId="0" applyNumberFormat="1" applyFont="1" applyFill="1" applyAlignment="1">
      <alignment horizontal="left"/>
    </xf>
    <xf numFmtId="0" fontId="0" fillId="34" borderId="0" xfId="0" applyFill="1" applyAlignment="1">
      <alignment vertical="top"/>
    </xf>
    <xf numFmtId="0" fontId="121" fillId="0" borderId="0" xfId="0" applyFont="1"/>
    <xf numFmtId="0" fontId="21" fillId="0" borderId="107" xfId="0" applyFont="1" applyBorder="1" applyAlignment="1">
      <alignment horizontal="left"/>
    </xf>
    <xf numFmtId="0" fontId="21" fillId="0" borderId="103" xfId="0" applyFont="1" applyBorder="1" applyAlignment="1">
      <alignment horizontal="left"/>
    </xf>
    <xf numFmtId="0" fontId="6" fillId="21" borderId="0" xfId="0" applyFont="1" applyFill="1" applyBorder="1" applyAlignment="1">
      <alignment horizontal="left" vertical="top" wrapText="1"/>
    </xf>
    <xf numFmtId="0" fontId="0" fillId="21" borderId="0" xfId="0" applyFill="1" applyAlignment="1">
      <alignment horizontal="left" indent="6"/>
    </xf>
    <xf numFmtId="0" fontId="0" fillId="24" borderId="88" xfId="0" applyFill="1" applyBorder="1" applyAlignment="1">
      <alignment vertical="center" wrapText="1"/>
    </xf>
    <xf numFmtId="0" fontId="0" fillId="24" borderId="89" xfId="0" applyFill="1" applyBorder="1" applyAlignment="1">
      <alignment vertical="center" wrapText="1"/>
    </xf>
    <xf numFmtId="0" fontId="0" fillId="24" borderId="91" xfId="0" applyFill="1" applyBorder="1" applyAlignment="1">
      <alignment vertical="center" wrapText="1"/>
    </xf>
    <xf numFmtId="0" fontId="0" fillId="24" borderId="92" xfId="0" applyFill="1" applyBorder="1" applyAlignment="1">
      <alignment vertical="center" wrapText="1"/>
    </xf>
    <xf numFmtId="0" fontId="0" fillId="24" borderId="94" xfId="0" applyFill="1" applyBorder="1" applyAlignment="1">
      <alignment vertical="center"/>
    </xf>
    <xf numFmtId="0" fontId="0" fillId="24" borderId="95" xfId="0" applyFill="1" applyBorder="1" applyAlignment="1">
      <alignment vertical="center"/>
    </xf>
    <xf numFmtId="174" fontId="0" fillId="0" borderId="0" xfId="1" applyNumberFormat="1" applyFont="1"/>
    <xf numFmtId="0" fontId="0" fillId="0" borderId="0" xfId="0" applyAlignment="1">
      <alignment horizontal="center"/>
    </xf>
    <xf numFmtId="0" fontId="0" fillId="0" borderId="3" xfId="0" applyBorder="1" applyAlignment="1">
      <alignment horizontal="center"/>
    </xf>
    <xf numFmtId="0" fontId="0" fillId="0" borderId="10" xfId="0" applyBorder="1" applyAlignment="1">
      <alignment horizontal="center"/>
    </xf>
    <xf numFmtId="0" fontId="0" fillId="0" borderId="0" xfId="0" applyAlignment="1">
      <alignment horizontal="left"/>
    </xf>
    <xf numFmtId="0" fontId="6" fillId="0" borderId="12" xfId="0" applyFont="1" applyBorder="1" applyAlignment="1">
      <alignmen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31" fillId="0" borderId="1" xfId="0" applyFont="1" applyBorder="1" applyAlignment="1">
      <alignment horizontal="center" vertical="center"/>
    </xf>
    <xf numFmtId="0" fontId="6" fillId="24" borderId="81" xfId="0" applyFont="1" applyFill="1" applyBorder="1" applyAlignment="1">
      <alignment horizontal="center"/>
    </xf>
    <xf numFmtId="0" fontId="4" fillId="0" borderId="9" xfId="0" applyFont="1" applyBorder="1" applyAlignment="1">
      <alignment horizontal="center" vertical="center"/>
    </xf>
    <xf numFmtId="0" fontId="4"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0" fillId="0" borderId="13" xfId="0" applyBorder="1" applyAlignment="1">
      <alignment horizontal="left"/>
    </xf>
    <xf numFmtId="0" fontId="0" fillId="0" borderId="1" xfId="0" applyBorder="1" applyAlignment="1">
      <alignment horizontal="left"/>
    </xf>
    <xf numFmtId="0" fontId="7" fillId="0" borderId="11" xfId="0" applyFont="1" applyBorder="1" applyAlignment="1">
      <alignment horizontal="center"/>
    </xf>
    <xf numFmtId="0" fontId="14"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horizontal="center" vertical="center" wrapText="1"/>
    </xf>
    <xf numFmtId="0" fontId="68" fillId="25" borderId="0" xfId="0" applyFont="1" applyFill="1" applyAlignment="1">
      <alignment vertical="center"/>
    </xf>
    <xf numFmtId="0" fontId="19" fillId="25" borderId="0" xfId="0" applyFont="1" applyFill="1" applyAlignment="1">
      <alignment horizontal="center" vertical="center" wrapText="1"/>
    </xf>
    <xf numFmtId="0" fontId="18" fillId="0" borderId="105" xfId="0" applyFont="1" applyBorder="1" applyAlignment="1"/>
    <xf numFmtId="0" fontId="18" fillId="0" borderId="12" xfId="0" applyFont="1" applyBorder="1" applyAlignment="1"/>
    <xf numFmtId="0" fontId="18" fillId="0" borderId="106" xfId="0" applyFont="1" applyBorder="1" applyAlignment="1"/>
    <xf numFmtId="0" fontId="6" fillId="24" borderId="76" xfId="0" applyNumberFormat="1" applyFont="1" applyFill="1" applyBorder="1" applyAlignment="1">
      <alignment horizontal="center"/>
    </xf>
    <xf numFmtId="0" fontId="6" fillId="0" borderId="56" xfId="0" applyFont="1" applyBorder="1" applyAlignment="1">
      <alignment horizontal="left" vertical="center"/>
    </xf>
    <xf numFmtId="0" fontId="0" fillId="0" borderId="0" xfId="0" applyAlignment="1">
      <alignment horizontal="center"/>
    </xf>
    <xf numFmtId="0" fontId="0" fillId="0" borderId="3" xfId="0" applyBorder="1" applyAlignment="1">
      <alignment horizontal="center"/>
    </xf>
    <xf numFmtId="0" fontId="0" fillId="0" borderId="10" xfId="0" applyBorder="1" applyAlignment="1">
      <alignment horizontal="center"/>
    </xf>
    <xf numFmtId="0" fontId="0" fillId="0" borderId="0" xfId="0" applyAlignment="1">
      <alignment horizontal="left"/>
    </xf>
    <xf numFmtId="0" fontId="6" fillId="0" borderId="12" xfId="0" applyFont="1" applyBorder="1" applyAlignment="1">
      <alignmen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31" fillId="0" borderId="1" xfId="0" applyFont="1" applyBorder="1" applyAlignment="1">
      <alignment horizontal="center" vertical="center"/>
    </xf>
    <xf numFmtId="0" fontId="6" fillId="24" borderId="81" xfId="0" applyFont="1" applyFill="1" applyBorder="1" applyAlignment="1">
      <alignment horizontal="center"/>
    </xf>
    <xf numFmtId="0" fontId="4" fillId="0" borderId="9" xfId="0" applyFont="1" applyBorder="1" applyAlignment="1">
      <alignment horizontal="center" vertical="center"/>
    </xf>
    <xf numFmtId="0" fontId="4"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0" fillId="0" borderId="13" xfId="0" applyBorder="1" applyAlignment="1">
      <alignment horizontal="left"/>
    </xf>
    <xf numFmtId="0" fontId="0" fillId="0" borderId="1" xfId="0" applyBorder="1" applyAlignment="1">
      <alignment horizontal="left"/>
    </xf>
    <xf numFmtId="0" fontId="7" fillId="0" borderId="11" xfId="0" applyFont="1" applyBorder="1" applyAlignment="1">
      <alignment horizontal="center"/>
    </xf>
    <xf numFmtId="0" fontId="14"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horizontal="center" vertical="center" wrapText="1"/>
    </xf>
    <xf numFmtId="0" fontId="68" fillId="25" borderId="0" xfId="0" applyFont="1" applyFill="1" applyAlignment="1">
      <alignment vertical="center"/>
    </xf>
    <xf numFmtId="0" fontId="19" fillId="25" borderId="0" xfId="0" applyFont="1" applyFill="1" applyAlignment="1">
      <alignment horizontal="center" vertical="center" wrapText="1"/>
    </xf>
    <xf numFmtId="183" fontId="6" fillId="0" borderId="0" xfId="17" applyNumberFormat="1" applyFont="1" applyAlignment="1">
      <alignment horizontal="center" vertical="center"/>
    </xf>
    <xf numFmtId="0" fontId="6" fillId="0" borderId="79" xfId="0" applyFont="1" applyBorder="1" applyAlignment="1">
      <alignment horizontal="left" vertical="center"/>
    </xf>
    <xf numFmtId="44" fontId="6" fillId="24" borderId="81" xfId="17" applyNumberFormat="1" applyFont="1" applyFill="1" applyBorder="1" applyAlignment="1">
      <alignment horizontal="center" vertical="center" wrapText="1"/>
    </xf>
    <xf numFmtId="0" fontId="0" fillId="25" borderId="3" xfId="0" applyFill="1" applyBorder="1"/>
    <xf numFmtId="44" fontId="6" fillId="25" borderId="72" xfId="1" applyFont="1" applyFill="1" applyBorder="1" applyAlignment="1">
      <alignment horizontal="center" vertical="center" wrapText="1"/>
    </xf>
    <xf numFmtId="0" fontId="6" fillId="25" borderId="3" xfId="0" applyFont="1" applyFill="1" applyBorder="1"/>
    <xf numFmtId="0" fontId="23" fillId="25" borderId="4" xfId="0" applyFont="1" applyFill="1" applyBorder="1"/>
    <xf numFmtId="0" fontId="23" fillId="25" borderId="0" xfId="0" applyFont="1" applyFill="1"/>
    <xf numFmtId="0" fontId="68" fillId="25" borderId="0" xfId="0" applyFont="1" applyFill="1" applyBorder="1"/>
    <xf numFmtId="0" fontId="15" fillId="25" borderId="0" xfId="0" applyFont="1" applyFill="1" applyBorder="1"/>
    <xf numFmtId="0" fontId="6" fillId="25" borderId="0" xfId="0" applyFont="1" applyFill="1" applyBorder="1"/>
    <xf numFmtId="0" fontId="0" fillId="25" borderId="0" xfId="0" applyFill="1" applyBorder="1"/>
    <xf numFmtId="0" fontId="4" fillId="25" borderId="0" xfId="0" applyFont="1" applyFill="1" applyBorder="1"/>
    <xf numFmtId="0" fontId="6" fillId="25" borderId="0" xfId="0" applyFont="1" applyFill="1" applyBorder="1" applyAlignment="1">
      <alignment horizontal="left" vertical="center"/>
    </xf>
    <xf numFmtId="0" fontId="31" fillId="25" borderId="0" xfId="0" applyFont="1" applyFill="1" applyBorder="1" applyAlignment="1">
      <alignment horizontal="center" vertical="center"/>
    </xf>
    <xf numFmtId="44" fontId="6" fillId="25" borderId="0" xfId="1" applyFont="1" applyFill="1" applyBorder="1" applyAlignment="1">
      <alignment horizontal="center" vertical="center" wrapText="1"/>
    </xf>
    <xf numFmtId="0" fontId="125" fillId="24" borderId="101" xfId="0" applyFont="1" applyFill="1" applyBorder="1" applyAlignment="1">
      <alignment horizontal="left"/>
    </xf>
    <xf numFmtId="0" fontId="125" fillId="24" borderId="9" xfId="0" applyFont="1" applyFill="1" applyBorder="1" applyAlignment="1">
      <alignment horizontal="center"/>
    </xf>
    <xf numFmtId="3" fontId="125" fillId="24" borderId="9" xfId="2" applyNumberFormat="1" applyFont="1" applyFill="1" applyBorder="1" applyAlignment="1">
      <alignment horizontal="center"/>
    </xf>
    <xf numFmtId="0" fontId="125" fillId="24" borderId="6" xfId="0" applyFont="1" applyFill="1" applyBorder="1" applyAlignment="1">
      <alignment horizontal="left"/>
    </xf>
    <xf numFmtId="3" fontId="125" fillId="24" borderId="9" xfId="0" applyNumberFormat="1" applyFont="1" applyFill="1" applyBorder="1" applyAlignment="1">
      <alignment horizontal="center"/>
    </xf>
    <xf numFmtId="0" fontId="126" fillId="24" borderId="101" xfId="0" applyFont="1" applyFill="1" applyBorder="1"/>
    <xf numFmtId="0" fontId="126" fillId="24" borderId="0" xfId="0" applyFont="1" applyFill="1" applyBorder="1" applyAlignment="1">
      <alignment horizontal="center"/>
    </xf>
    <xf numFmtId="3" fontId="125" fillId="24" borderId="0" xfId="0" applyNumberFormat="1" applyFont="1" applyFill="1" applyBorder="1" applyAlignment="1">
      <alignment horizontal="center"/>
    </xf>
    <xf numFmtId="0" fontId="126" fillId="24" borderId="9" xfId="0" applyFont="1" applyFill="1" applyBorder="1" applyAlignment="1">
      <alignment horizontal="center"/>
    </xf>
    <xf numFmtId="0" fontId="125" fillId="0" borderId="101" xfId="0" applyFont="1" applyBorder="1" applyAlignment="1">
      <alignment horizontal="left"/>
    </xf>
    <xf numFmtId="193" fontId="125" fillId="0" borderId="101" xfId="2" applyNumberFormat="1" applyFont="1" applyBorder="1" applyAlignment="1">
      <alignment horizontal="center" vertical="center"/>
    </xf>
    <xf numFmtId="0" fontId="125" fillId="24" borderId="101" xfId="0" applyFont="1" applyFill="1" applyBorder="1" applyAlignment="1">
      <alignment horizontal="center" vertical="center"/>
    </xf>
    <xf numFmtId="194" fontId="125" fillId="0" borderId="101" xfId="0" applyNumberFormat="1" applyFont="1" applyBorder="1" applyAlignment="1">
      <alignment horizontal="center" vertical="center"/>
    </xf>
    <xf numFmtId="0" fontId="125" fillId="0" borderId="101" xfId="0" applyFont="1" applyFill="1" applyBorder="1" applyAlignment="1">
      <alignment horizontal="left"/>
    </xf>
    <xf numFmtId="192" fontId="125" fillId="0" borderId="101" xfId="0" applyNumberFormat="1" applyFont="1" applyFill="1" applyBorder="1" applyAlignment="1">
      <alignment horizontal="center" vertical="center"/>
    </xf>
    <xf numFmtId="2" fontId="127" fillId="0" borderId="101" xfId="0" applyNumberFormat="1" applyFont="1" applyFill="1" applyBorder="1" applyAlignment="1">
      <alignment horizontal="center" vertical="center"/>
    </xf>
    <xf numFmtId="189" fontId="125" fillId="0" borderId="101" xfId="0" applyNumberFormat="1" applyFont="1" applyFill="1" applyBorder="1" applyAlignment="1">
      <alignment horizontal="left"/>
    </xf>
    <xf numFmtId="192" fontId="125" fillId="0" borderId="101" xfId="0" applyNumberFormat="1" applyFont="1" applyFill="1" applyBorder="1" applyAlignment="1">
      <alignment horizontal="center"/>
    </xf>
    <xf numFmtId="2" fontId="127" fillId="0" borderId="101" xfId="0" applyNumberFormat="1" applyFont="1" applyFill="1" applyBorder="1" applyAlignment="1">
      <alignment horizontal="center"/>
    </xf>
    <xf numFmtId="0" fontId="125" fillId="21" borderId="101" xfId="0" applyFont="1" applyFill="1" applyBorder="1" applyAlignment="1">
      <alignment horizontal="left"/>
    </xf>
    <xf numFmtId="0" fontId="125" fillId="24" borderId="101" xfId="0" applyFont="1" applyFill="1" applyBorder="1" applyAlignment="1">
      <alignment horizontal="center"/>
    </xf>
    <xf numFmtId="173" fontId="125" fillId="19" borderId="101" xfId="0" applyNumberFormat="1" applyFont="1" applyFill="1" applyBorder="1" applyAlignment="1">
      <alignment horizontal="center" vertical="center" wrapText="1"/>
    </xf>
    <xf numFmtId="0" fontId="128" fillId="19" borderId="101" xfId="0" applyFont="1" applyFill="1" applyBorder="1" applyAlignment="1">
      <alignment horizontal="left"/>
    </xf>
    <xf numFmtId="0" fontId="129" fillId="0" borderId="101" xfId="0" applyFont="1" applyBorder="1" applyAlignment="1">
      <alignment horizontal="left" vertical="center" wrapText="1"/>
    </xf>
    <xf numFmtId="0" fontId="128" fillId="0" borderId="101" xfId="0" applyFont="1" applyBorder="1" applyAlignment="1">
      <alignment horizontal="left" vertical="center"/>
    </xf>
    <xf numFmtId="0" fontId="125" fillId="24" borderId="1" xfId="0" applyFont="1" applyFill="1" applyBorder="1" applyAlignment="1">
      <alignment horizontal="center"/>
    </xf>
    <xf numFmtId="0" fontId="108" fillId="21" borderId="3" xfId="0" applyFont="1" applyFill="1" applyBorder="1" applyAlignment="1">
      <alignment horizontal="left"/>
    </xf>
    <xf numFmtId="0" fontId="129" fillId="0" borderId="118" xfId="0" applyFont="1" applyFill="1" applyBorder="1" applyAlignment="1">
      <alignment vertical="center" wrapText="1"/>
    </xf>
    <xf numFmtId="0" fontId="129" fillId="0" borderId="118" xfId="0" applyFont="1" applyFill="1" applyBorder="1" applyAlignment="1">
      <alignment horizontal="center" vertical="center" wrapText="1"/>
    </xf>
    <xf numFmtId="0" fontId="130" fillId="0" borderId="118" xfId="0" applyFont="1" applyFill="1" applyBorder="1" applyAlignment="1">
      <alignment vertical="center" wrapText="1"/>
    </xf>
    <xf numFmtId="0" fontId="0" fillId="0" borderId="0" xfId="0" applyFont="1" applyBorder="1"/>
    <xf numFmtId="2" fontId="0" fillId="19" borderId="105" xfId="0" applyNumberFormat="1" applyFill="1" applyBorder="1" applyAlignment="1">
      <alignment horizontal="center"/>
    </xf>
    <xf numFmtId="0" fontId="10" fillId="0" borderId="10" xfId="54" applyBorder="1" applyAlignment="1">
      <alignment horizontal="left" indent="1"/>
    </xf>
    <xf numFmtId="164" fontId="0" fillId="19" borderId="107" xfId="1" applyNumberFormat="1" applyFont="1" applyFill="1" applyBorder="1" applyAlignment="1">
      <alignment horizontal="center" vertical="center"/>
    </xf>
    <xf numFmtId="1" fontId="0" fillId="19" borderId="12" xfId="0" applyNumberFormat="1" applyFill="1" applyBorder="1" applyAlignment="1">
      <alignment horizontal="center"/>
    </xf>
    <xf numFmtId="2" fontId="0" fillId="19" borderId="12" xfId="0" applyNumberFormat="1" applyFill="1" applyBorder="1" applyAlignment="1">
      <alignment horizontal="center"/>
    </xf>
    <xf numFmtId="0" fontId="0" fillId="0" borderId="7" xfId="0" applyBorder="1" applyAlignment="1"/>
    <xf numFmtId="0" fontId="0" fillId="0" borderId="105" xfId="0" applyBorder="1" applyAlignment="1">
      <alignment vertical="center"/>
    </xf>
    <xf numFmtId="0" fontId="0" fillId="0" borderId="106" xfId="0" applyBorder="1" applyAlignment="1">
      <alignment vertical="center"/>
    </xf>
    <xf numFmtId="0" fontId="6" fillId="0" borderId="105" xfId="1" applyNumberFormat="1" applyFont="1" applyBorder="1" applyAlignment="1"/>
    <xf numFmtId="0" fontId="6" fillId="0" borderId="12" xfId="1" applyNumberFormat="1" applyFont="1" applyBorder="1" applyAlignment="1"/>
    <xf numFmtId="0" fontId="6" fillId="0" borderId="106" xfId="1" applyNumberFormat="1" applyFont="1" applyBorder="1" applyAlignment="1"/>
    <xf numFmtId="0" fontId="3" fillId="0" borderId="12" xfId="1" applyNumberFormat="1" applyFont="1" applyBorder="1" applyAlignment="1"/>
    <xf numFmtId="0" fontId="3" fillId="0" borderId="106" xfId="1" applyNumberFormat="1" applyFont="1" applyBorder="1" applyAlignment="1"/>
    <xf numFmtId="0" fontId="6" fillId="0" borderId="106" xfId="0" applyFont="1" applyBorder="1"/>
    <xf numFmtId="0" fontId="133" fillId="0" borderId="0" xfId="54" applyFont="1" applyFill="1" applyBorder="1" applyAlignment="1">
      <alignment horizontal="left" vertical="center" wrapText="1" indent="1"/>
    </xf>
    <xf numFmtId="0" fontId="133" fillId="0" borderId="0" xfId="54" applyFont="1" applyFill="1" applyBorder="1" applyAlignment="1">
      <alignment horizontal="left" vertical="top" wrapText="1" indent="1"/>
    </xf>
    <xf numFmtId="0" fontId="133" fillId="0" borderId="0" xfId="54" applyFont="1" applyAlignment="1">
      <alignment horizontal="left" indent="1"/>
    </xf>
    <xf numFmtId="171" fontId="89" fillId="24" borderId="1" xfId="2" applyNumberFormat="1" applyFont="1" applyFill="1" applyBorder="1" applyAlignment="1">
      <alignment horizontal="center" vertical="center"/>
    </xf>
    <xf numFmtId="0" fontId="0" fillId="0" borderId="0" xfId="0" applyAlignment="1">
      <alignment horizontal="center"/>
    </xf>
    <xf numFmtId="0" fontId="6" fillId="24" borderId="81" xfId="0" applyFont="1" applyFill="1" applyBorder="1" applyAlignment="1">
      <alignment horizontal="center"/>
    </xf>
    <xf numFmtId="44" fontId="6" fillId="24" borderId="86" xfId="1" applyFont="1" applyFill="1" applyBorder="1" applyAlignment="1">
      <alignment horizontal="center"/>
    </xf>
    <xf numFmtId="0" fontId="60" fillId="0" borderId="3" xfId="0" applyFont="1" applyBorder="1" applyAlignment="1">
      <alignment vertical="center"/>
    </xf>
    <xf numFmtId="0" fontId="4" fillId="0" borderId="0" xfId="0" applyFont="1" applyFill="1" applyBorder="1" applyAlignment="1">
      <alignment horizontal="center"/>
    </xf>
    <xf numFmtId="0" fontId="0" fillId="0" borderId="0" xfId="0" applyFill="1" applyBorder="1" applyAlignment="1">
      <alignment horizontal="center"/>
    </xf>
    <xf numFmtId="0" fontId="3" fillId="0" borderId="0" xfId="0" applyFont="1" applyFill="1" applyBorder="1" applyAlignment="1">
      <alignment horizontal="center"/>
    </xf>
    <xf numFmtId="0" fontId="0" fillId="0" borderId="0" xfId="0" applyFill="1" applyBorder="1" applyAlignment="1">
      <alignment horizontal="left"/>
    </xf>
    <xf numFmtId="0" fontId="6" fillId="0" borderId="0" xfId="0" applyFont="1" applyFill="1" applyBorder="1" applyAlignment="1">
      <alignment horizontal="center"/>
    </xf>
    <xf numFmtId="0" fontId="6" fillId="0" borderId="0" xfId="0" applyFont="1" applyFill="1" applyBorder="1"/>
    <xf numFmtId="0" fontId="27" fillId="0" borderId="0" xfId="0" applyFont="1" applyFill="1" applyBorder="1" applyAlignment="1">
      <alignment horizontal="center"/>
    </xf>
    <xf numFmtId="0" fontId="6" fillId="0" borderId="0" xfId="0" quotePrefix="1" applyFont="1" applyFill="1" applyBorder="1"/>
    <xf numFmtId="0" fontId="0" fillId="0" borderId="0" xfId="0" applyFill="1" applyBorder="1" applyAlignment="1">
      <alignment horizontal="right"/>
    </xf>
    <xf numFmtId="0" fontId="4" fillId="0" borderId="0" xfId="0" applyFont="1" applyFill="1" applyBorder="1"/>
    <xf numFmtId="1" fontId="4" fillId="0" borderId="0" xfId="0" applyNumberFormat="1" applyFont="1" applyFill="1" applyBorder="1"/>
    <xf numFmtId="2" fontId="4" fillId="0" borderId="0" xfId="0" applyNumberFormat="1" applyFont="1" applyFill="1" applyBorder="1"/>
    <xf numFmtId="9" fontId="0" fillId="0" borderId="0" xfId="17" applyFont="1" applyFill="1" applyBorder="1" applyAlignment="1">
      <alignment horizontal="center"/>
    </xf>
    <xf numFmtId="2" fontId="6" fillId="24" borderId="85" xfId="1" applyNumberFormat="1" applyFont="1" applyFill="1" applyBorder="1" applyAlignment="1">
      <alignment horizontal="center" vertical="center" wrapText="1"/>
    </xf>
    <xf numFmtId="0" fontId="0" fillId="0" borderId="4" xfId="0" applyFill="1" applyBorder="1"/>
    <xf numFmtId="0" fontId="0" fillId="21" borderId="4" xfId="0" applyFill="1" applyBorder="1"/>
    <xf numFmtId="2" fontId="4" fillId="19" borderId="4" xfId="0" applyNumberFormat="1" applyFont="1" applyFill="1" applyBorder="1"/>
    <xf numFmtId="0" fontId="137" fillId="0" borderId="0" xfId="0" applyFont="1"/>
    <xf numFmtId="0" fontId="0" fillId="0" borderId="8" xfId="0" applyFill="1" applyBorder="1" applyAlignment="1">
      <alignment horizontal="left" vertical="center" wrapText="1" indent="1"/>
    </xf>
    <xf numFmtId="0" fontId="7" fillId="0" borderId="3" xfId="0" applyFont="1" applyFill="1" applyBorder="1" applyAlignment="1">
      <alignment horizontal="right" vertical="center" wrapText="1"/>
    </xf>
    <xf numFmtId="0" fontId="6" fillId="0" borderId="8" xfId="0" applyFont="1" applyFill="1" applyBorder="1" applyAlignment="1">
      <alignment horizontal="left" vertical="center" wrapText="1" indent="1"/>
    </xf>
    <xf numFmtId="0" fontId="0" fillId="0" borderId="9" xfId="0" applyFill="1" applyBorder="1" applyAlignment="1">
      <alignment horizontal="left" vertical="center" wrapText="1" indent="1"/>
    </xf>
    <xf numFmtId="0" fontId="10" fillId="21" borderId="0" xfId="54" applyFill="1" applyAlignment="1">
      <alignment horizontal="left" vertical="center"/>
    </xf>
    <xf numFmtId="0" fontId="0" fillId="0" borderId="0" xfId="0"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8" xfId="0" applyBorder="1" applyAlignment="1">
      <alignment horizontal="left"/>
    </xf>
    <xf numFmtId="0" fontId="139" fillId="0" borderId="0" xfId="0" applyFont="1" applyAlignment="1">
      <alignment horizontal="left"/>
    </xf>
    <xf numFmtId="0" fontId="140" fillId="0" borderId="0" xfId="0" applyFont="1" applyAlignment="1">
      <alignment horizontal="left"/>
    </xf>
    <xf numFmtId="0" fontId="21" fillId="5" borderId="101" xfId="0" applyFont="1" applyFill="1" applyBorder="1"/>
    <xf numFmtId="0" fontId="21" fillId="5" borderId="101" xfId="0" applyFont="1" applyFill="1" applyBorder="1" applyAlignment="1">
      <alignment horizontal="center"/>
    </xf>
    <xf numFmtId="17" fontId="21" fillId="5" borderId="101" xfId="0" applyNumberFormat="1" applyFont="1" applyFill="1" applyBorder="1" applyAlignment="1">
      <alignment horizontal="center"/>
    </xf>
    <xf numFmtId="0" fontId="141" fillId="21" borderId="101" xfId="0" applyFont="1" applyFill="1" applyBorder="1" applyAlignment="1">
      <alignment horizontal="left"/>
    </xf>
    <xf numFmtId="0" fontId="141" fillId="0" borderId="101" xfId="0" applyFont="1" applyBorder="1" applyAlignment="1">
      <alignment horizontal="center"/>
    </xf>
    <xf numFmtId="0" fontId="6" fillId="24" borderId="72" xfId="0" applyNumberFormat="1" applyFont="1" applyFill="1" applyBorder="1" applyAlignment="1">
      <alignment horizontal="center" vertical="center"/>
    </xf>
    <xf numFmtId="9" fontId="0" fillId="24" borderId="101" xfId="0" applyNumberFormat="1" applyFill="1" applyBorder="1"/>
    <xf numFmtId="9" fontId="0" fillId="0" borderId="0" xfId="17" applyFont="1" applyFill="1" applyAlignment="1">
      <alignment horizontal="center"/>
    </xf>
    <xf numFmtId="0" fontId="142" fillId="0" borderId="102" xfId="0" applyFont="1" applyBorder="1" applyAlignment="1">
      <alignment horizontal="left"/>
    </xf>
    <xf numFmtId="0" fontId="27" fillId="0" borderId="107" xfId="0" applyFont="1" applyBorder="1" applyAlignment="1">
      <alignment horizontal="left"/>
    </xf>
    <xf numFmtId="0" fontId="21" fillId="0" borderId="3" xfId="0" applyFont="1" applyBorder="1" applyAlignment="1">
      <alignment horizontal="left"/>
    </xf>
    <xf numFmtId="0" fontId="143" fillId="0" borderId="0" xfId="0" applyFont="1" applyFill="1" applyBorder="1" applyAlignment="1">
      <alignment horizontal="center" vertical="center" wrapText="1"/>
    </xf>
    <xf numFmtId="0" fontId="44" fillId="21" borderId="0" xfId="0" applyFont="1" applyFill="1" applyBorder="1" applyAlignment="1">
      <alignment horizontal="left" vertical="top" wrapText="1"/>
    </xf>
    <xf numFmtId="0" fontId="18" fillId="21" borderId="0" xfId="0" applyFont="1" applyFill="1"/>
    <xf numFmtId="0" fontId="0" fillId="0" borderId="0" xfId="0" applyBorder="1" applyAlignment="1">
      <alignment horizontal="left"/>
    </xf>
    <xf numFmtId="0" fontId="0" fillId="0" borderId="3" xfId="0" quotePrefix="1" applyBorder="1" applyAlignment="1">
      <alignment horizontal="left" indent="6"/>
    </xf>
    <xf numFmtId="0" fontId="0" fillId="0" borderId="0" xfId="0" applyBorder="1" applyAlignment="1">
      <alignment horizontal="left" indent="6"/>
    </xf>
    <xf numFmtId="0" fontId="0" fillId="0" borderId="8" xfId="0" applyBorder="1" applyAlignment="1">
      <alignment horizontal="left" indent="6"/>
    </xf>
    <xf numFmtId="0" fontId="0" fillId="0" borderId="102" xfId="0" applyBorder="1" applyAlignment="1">
      <alignment horizontal="left" indent="6"/>
    </xf>
    <xf numFmtId="0" fontId="0" fillId="0" borderId="107" xfId="0" applyBorder="1" applyAlignment="1">
      <alignment horizontal="left" indent="6"/>
    </xf>
    <xf numFmtId="0" fontId="0" fillId="0" borderId="103" xfId="0" applyBorder="1" applyAlignment="1">
      <alignment horizontal="left" indent="6"/>
    </xf>
    <xf numFmtId="0" fontId="0" fillId="0" borderId="8" xfId="0" applyBorder="1" applyAlignment="1">
      <alignment vertical="center" wrapText="1"/>
    </xf>
    <xf numFmtId="0" fontId="0" fillId="0" borderId="0" xfId="0" applyBorder="1" applyAlignment="1">
      <alignment horizontal="left" indent="3"/>
    </xf>
    <xf numFmtId="0" fontId="0" fillId="0" borderId="0" xfId="0" applyBorder="1" applyAlignment="1">
      <alignment vertical="center" wrapText="1"/>
    </xf>
    <xf numFmtId="0" fontId="0" fillId="0" borderId="8" xfId="0" applyBorder="1" applyAlignment="1">
      <alignment horizontal="left" indent="3"/>
    </xf>
    <xf numFmtId="0" fontId="0" fillId="0" borderId="0" xfId="0" applyBorder="1" applyAlignment="1">
      <alignment wrapText="1"/>
    </xf>
    <xf numFmtId="0" fontId="0" fillId="0" borderId="8" xfId="0" applyBorder="1" applyAlignment="1">
      <alignment wrapText="1"/>
    </xf>
    <xf numFmtId="0" fontId="0" fillId="0" borderId="3" xfId="0" applyBorder="1" applyAlignment="1">
      <alignment vertical="top" wrapText="1"/>
    </xf>
    <xf numFmtId="0" fontId="0" fillId="0" borderId="0" xfId="0" applyBorder="1"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0" fillId="0" borderId="1" xfId="0" applyBorder="1" applyAlignment="1">
      <alignment vertical="top" wrapText="1"/>
    </xf>
    <xf numFmtId="0" fontId="0" fillId="0" borderId="9" xfId="0" applyBorder="1" applyAlignment="1">
      <alignment vertical="top" wrapText="1"/>
    </xf>
    <xf numFmtId="0" fontId="0" fillId="0" borderId="0" xfId="0" applyAlignment="1">
      <alignment horizontal="center"/>
    </xf>
    <xf numFmtId="0" fontId="0" fillId="0" borderId="0" xfId="0" applyAlignment="1">
      <alignment horizontal="left" vertical="top" wrapText="1"/>
    </xf>
    <xf numFmtId="0" fontId="4" fillId="0" borderId="101" xfId="0" applyFont="1" applyBorder="1" applyAlignment="1">
      <alignment horizontal="left" vertical="center" wrapText="1"/>
    </xf>
    <xf numFmtId="0" fontId="49" fillId="0" borderId="0" xfId="0" applyFont="1"/>
    <xf numFmtId="4" fontId="0" fillId="0" borderId="0" xfId="0" applyNumberFormat="1"/>
    <xf numFmtId="0" fontId="49" fillId="0" borderId="0" xfId="0" applyFont="1" applyAlignment="1">
      <alignment wrapText="1"/>
    </xf>
    <xf numFmtId="9" fontId="0" fillId="41" borderId="101" xfId="0" applyNumberFormat="1" applyFill="1" applyBorder="1" applyAlignment="1">
      <alignment horizontal="center" vertical="center"/>
    </xf>
    <xf numFmtId="0" fontId="0" fillId="41" borderId="101" xfId="0" applyFill="1" applyBorder="1" applyAlignment="1">
      <alignment horizontal="center" vertical="center"/>
    </xf>
    <xf numFmtId="0" fontId="18" fillId="0" borderId="0" xfId="0" applyFont="1" applyBorder="1" applyAlignment="1">
      <alignment horizontal="left" vertical="center" wrapText="1" indent="2"/>
    </xf>
    <xf numFmtId="4" fontId="0" fillId="0" borderId="0" xfId="0" applyNumberFormat="1" applyBorder="1"/>
    <xf numFmtId="9" fontId="0" fillId="0" borderId="0" xfId="0" applyNumberFormat="1" applyFill="1" applyBorder="1" applyAlignment="1">
      <alignment horizontal="center" vertical="center"/>
    </xf>
    <xf numFmtId="0" fontId="4" fillId="0" borderId="101" xfId="0" applyFont="1" applyBorder="1" applyAlignment="1">
      <alignment vertical="top" wrapText="1"/>
    </xf>
    <xf numFmtId="0" fontId="4" fillId="2" borderId="101" xfId="0" applyFont="1" applyFill="1" applyBorder="1" applyAlignment="1">
      <alignment horizontal="right" vertical="center" wrapText="1"/>
    </xf>
    <xf numFmtId="0" fontId="0" fillId="0" borderId="101" xfId="0" applyBorder="1" applyAlignment="1">
      <alignment vertical="top"/>
    </xf>
    <xf numFmtId="0" fontId="0" fillId="0" borderId="101" xfId="0" applyBorder="1" applyAlignment="1">
      <alignment vertical="top" wrapText="1"/>
    </xf>
    <xf numFmtId="0" fontId="7" fillId="2" borderId="101" xfId="0" applyFont="1" applyFill="1" applyBorder="1" applyAlignment="1">
      <alignment horizontal="right" vertical="center"/>
    </xf>
    <xf numFmtId="166" fontId="7" fillId="19" borderId="101" xfId="0" applyNumberFormat="1" applyFont="1" applyFill="1" applyBorder="1" applyAlignment="1">
      <alignment horizontal="center" vertical="center"/>
    </xf>
    <xf numFmtId="0" fontId="4" fillId="2" borderId="101" xfId="0" applyNumberFormat="1" applyFont="1" applyFill="1" applyBorder="1" applyAlignment="1">
      <alignment horizontal="center" vertical="center"/>
    </xf>
    <xf numFmtId="0" fontId="0" fillId="0" borderId="0" xfId="0" quotePrefix="1" applyAlignment="1">
      <alignment horizontal="center"/>
    </xf>
    <xf numFmtId="175" fontId="0" fillId="0" borderId="0" xfId="0" applyNumberFormat="1" applyAlignment="1">
      <alignment horizontal="right" vertical="top"/>
    </xf>
    <xf numFmtId="0" fontId="16" fillId="0" borderId="0" xfId="0" applyFont="1" applyAlignment="1">
      <alignment horizontal="left" indent="3"/>
    </xf>
    <xf numFmtId="1" fontId="0" fillId="0" borderId="0" xfId="0" applyNumberFormat="1" applyAlignment="1">
      <alignment horizontal="right" indent="4"/>
    </xf>
    <xf numFmtId="175" fontId="3" fillId="0" borderId="0" xfId="0" applyNumberFormat="1" applyFont="1" applyAlignment="1">
      <alignment horizontal="right" vertical="top"/>
    </xf>
    <xf numFmtId="1" fontId="0" fillId="0" borderId="101" xfId="0" applyNumberFormat="1" applyBorder="1" applyAlignment="1">
      <alignment horizontal="right" indent="4"/>
    </xf>
    <xf numFmtId="175" fontId="0" fillId="0" borderId="101" xfId="0" applyNumberFormat="1" applyBorder="1" applyAlignment="1">
      <alignment horizontal="right" vertical="top" indent="7"/>
    </xf>
    <xf numFmtId="9" fontId="0" fillId="0" borderId="101" xfId="17" applyFont="1" applyBorder="1" applyAlignment="1">
      <alignment horizontal="center" vertical="top"/>
    </xf>
    <xf numFmtId="1" fontId="0" fillId="0" borderId="101" xfId="0" applyNumberFormat="1" applyBorder="1" applyAlignment="1">
      <alignment horizontal="right" vertical="top" indent="4"/>
    </xf>
    <xf numFmtId="175" fontId="3" fillId="0" borderId="101" xfId="0" applyNumberFormat="1" applyFont="1" applyBorder="1" applyAlignment="1">
      <alignment horizontal="right" vertical="top" indent="7"/>
    </xf>
    <xf numFmtId="9" fontId="6" fillId="0" borderId="101" xfId="17" applyFont="1" applyBorder="1" applyAlignment="1">
      <alignment horizontal="center"/>
    </xf>
    <xf numFmtId="0" fontId="4" fillId="2" borderId="101" xfId="0" applyFont="1" applyFill="1" applyBorder="1" applyAlignment="1">
      <alignment wrapText="1"/>
    </xf>
    <xf numFmtId="0" fontId="4" fillId="22" borderId="101" xfId="0" applyFont="1" applyFill="1" applyBorder="1" applyAlignment="1">
      <alignment horizontal="center" vertical="center" wrapText="1"/>
    </xf>
    <xf numFmtId="0" fontId="4" fillId="22" borderId="101" xfId="0" applyFont="1" applyFill="1" applyBorder="1" applyAlignment="1">
      <alignment wrapText="1"/>
    </xf>
    <xf numFmtId="0" fontId="0" fillId="0" borderId="0" xfId="0" applyFill="1" applyAlignment="1">
      <alignment vertical="center" wrapText="1"/>
    </xf>
    <xf numFmtId="0" fontId="16" fillId="0" borderId="0" xfId="0" applyFont="1" applyAlignment="1">
      <alignment horizontal="left"/>
    </xf>
    <xf numFmtId="0" fontId="77" fillId="0" borderId="0" xfId="0" applyFont="1" applyAlignment="1">
      <alignment horizontal="left" indent="4"/>
    </xf>
    <xf numFmtId="0" fontId="4" fillId="22" borderId="101" xfId="0" applyFont="1" applyFill="1" applyBorder="1" applyAlignment="1">
      <alignment horizontal="center"/>
    </xf>
    <xf numFmtId="175" fontId="0" fillId="0" borderId="70" xfId="0" applyNumberFormat="1" applyBorder="1" applyAlignment="1">
      <alignment horizontal="right" vertical="top" indent="4"/>
    </xf>
    <xf numFmtId="0" fontId="0" fillId="0" borderId="85" xfId="0" applyBorder="1" applyAlignment="1">
      <alignment vertical="top"/>
    </xf>
    <xf numFmtId="175" fontId="0" fillId="0" borderId="85" xfId="0" applyNumberFormat="1" applyBorder="1" applyAlignment="1">
      <alignment horizontal="right" vertical="top" indent="4"/>
    </xf>
    <xf numFmtId="0" fontId="0" fillId="0" borderId="86" xfId="0" applyBorder="1" applyAlignment="1">
      <alignment vertical="top"/>
    </xf>
    <xf numFmtId="175" fontId="0" fillId="0" borderId="86" xfId="0" applyNumberFormat="1" applyBorder="1" applyAlignment="1">
      <alignment horizontal="right" vertical="top" indent="4"/>
    </xf>
    <xf numFmtId="0" fontId="0" fillId="0" borderId="70" xfId="0" applyBorder="1" applyAlignment="1">
      <alignment horizontal="left"/>
    </xf>
    <xf numFmtId="0" fontId="0" fillId="0" borderId="85" xfId="0" applyBorder="1" applyAlignment="1">
      <alignment horizontal="left"/>
    </xf>
    <xf numFmtId="0" fontId="0" fillId="0" borderId="85" xfId="0" applyBorder="1" applyAlignment="1">
      <alignment horizontal="left" vertical="top"/>
    </xf>
    <xf numFmtId="0" fontId="0" fillId="0" borderId="86" xfId="0" applyBorder="1" applyAlignment="1">
      <alignment horizontal="left"/>
    </xf>
    <xf numFmtId="0" fontId="3" fillId="0" borderId="101" xfId="0" applyFont="1" applyBorder="1" applyAlignment="1">
      <alignment vertical="top"/>
    </xf>
    <xf numFmtId="0" fontId="0" fillId="0" borderId="70" xfId="0" applyBorder="1" applyAlignment="1">
      <alignment vertical="top"/>
    </xf>
    <xf numFmtId="0" fontId="0" fillId="0" borderId="101" xfId="0" applyFont="1" applyFill="1" applyBorder="1" applyAlignment="1">
      <alignment horizontal="left" vertical="top" wrapText="1"/>
    </xf>
    <xf numFmtId="0" fontId="26" fillId="2" borderId="101" xfId="0" applyFont="1" applyFill="1" applyBorder="1" applyAlignment="1">
      <alignment horizontal="left" vertical="center"/>
    </xf>
    <xf numFmtId="0" fontId="26" fillId="2" borderId="101" xfId="0" applyFont="1" applyFill="1" applyBorder="1" applyAlignment="1">
      <alignment horizontal="left" vertical="center" wrapText="1"/>
    </xf>
    <xf numFmtId="0" fontId="6" fillId="0" borderId="101" xfId="0" applyFont="1" applyFill="1" applyBorder="1" applyAlignment="1">
      <alignment horizontal="left" vertical="top" wrapText="1"/>
    </xf>
    <xf numFmtId="0" fontId="23" fillId="0" borderId="101" xfId="0" applyFont="1" applyFill="1" applyBorder="1" applyAlignment="1">
      <alignment horizontal="left" vertical="top"/>
    </xf>
    <xf numFmtId="0" fontId="6" fillId="0" borderId="101" xfId="0" applyFont="1" applyFill="1" applyBorder="1" applyAlignment="1">
      <alignment vertical="center" wrapText="1"/>
    </xf>
    <xf numFmtId="174" fontId="0" fillId="0" borderId="101" xfId="0" applyNumberFormat="1" applyFont="1" applyFill="1" applyBorder="1" applyAlignment="1">
      <alignment horizontal="center" vertical="top"/>
    </xf>
    <xf numFmtId="174" fontId="0" fillId="0" borderId="101" xfId="1" applyNumberFormat="1" applyFont="1" applyFill="1" applyBorder="1" applyAlignment="1">
      <alignment horizontal="center" vertical="top"/>
    </xf>
    <xf numFmtId="0" fontId="26" fillId="2" borderId="101" xfId="0" applyFont="1" applyFill="1" applyBorder="1" applyAlignment="1">
      <alignment horizontal="center" vertical="center" wrapText="1"/>
    </xf>
    <xf numFmtId="0" fontId="18" fillId="0" borderId="0" xfId="0" applyFont="1" applyAlignment="1">
      <alignment wrapText="1"/>
    </xf>
    <xf numFmtId="175" fontId="0" fillId="0" borderId="101" xfId="1" applyNumberFormat="1" applyFont="1" applyBorder="1" applyAlignment="1">
      <alignment horizontal="right" indent="1"/>
    </xf>
    <xf numFmtId="0" fontId="26" fillId="22" borderId="101" xfId="0" applyFont="1" applyFill="1" applyBorder="1" applyAlignment="1">
      <alignment horizontal="center" vertical="center" wrapText="1"/>
    </xf>
    <xf numFmtId="5" fontId="0" fillId="0" borderId="70" xfId="0" applyNumberFormat="1" applyBorder="1" applyAlignment="1">
      <alignment horizontal="right" indent="5"/>
    </xf>
    <xf numFmtId="5" fontId="0" fillId="0" borderId="85" xfId="0" applyNumberFormat="1" applyBorder="1" applyAlignment="1">
      <alignment horizontal="right" indent="5"/>
    </xf>
    <xf numFmtId="5" fontId="0" fillId="0" borderId="86" xfId="0" applyNumberFormat="1" applyBorder="1" applyAlignment="1">
      <alignment horizontal="right" indent="5"/>
    </xf>
    <xf numFmtId="0" fontId="14" fillId="0" borderId="0" xfId="0" applyFont="1" applyAlignment="1">
      <alignment vertical="top"/>
    </xf>
    <xf numFmtId="1" fontId="0" fillId="0" borderId="70" xfId="0" applyNumberFormat="1" applyBorder="1" applyAlignment="1">
      <alignment horizontal="center"/>
    </xf>
    <xf numFmtId="1" fontId="0" fillId="0" borderId="85" xfId="0" applyNumberFormat="1" applyBorder="1" applyAlignment="1">
      <alignment horizontal="center"/>
    </xf>
    <xf numFmtId="1" fontId="0" fillId="0" borderId="86" xfId="0" applyNumberFormat="1" applyBorder="1" applyAlignment="1">
      <alignment horizontal="center"/>
    </xf>
    <xf numFmtId="7" fontId="0" fillId="0" borderId="70" xfId="0" applyNumberFormat="1" applyBorder="1" applyAlignment="1">
      <alignment horizontal="center"/>
    </xf>
    <xf numFmtId="7" fontId="0" fillId="0" borderId="85" xfId="0" applyNumberFormat="1" applyBorder="1" applyAlignment="1">
      <alignment horizontal="center"/>
    </xf>
    <xf numFmtId="7" fontId="0" fillId="0" borderId="86" xfId="0" applyNumberFormat="1" applyBorder="1" applyAlignment="1">
      <alignment horizontal="center"/>
    </xf>
    <xf numFmtId="5" fontId="0" fillId="0" borderId="70" xfId="0" applyNumberFormat="1" applyBorder="1" applyAlignment="1">
      <alignment horizontal="center"/>
    </xf>
    <xf numFmtId="5" fontId="0" fillId="0" borderId="85" xfId="0" applyNumberFormat="1" applyBorder="1" applyAlignment="1">
      <alignment horizontal="center"/>
    </xf>
    <xf numFmtId="0" fontId="0" fillId="0" borderId="85" xfId="0" applyBorder="1" applyAlignment="1">
      <alignment horizontal="center" vertical="top"/>
    </xf>
    <xf numFmtId="5" fontId="0" fillId="0" borderId="86" xfId="0" applyNumberFormat="1" applyBorder="1" applyAlignment="1">
      <alignment horizontal="center"/>
    </xf>
    <xf numFmtId="0" fontId="145" fillId="0" borderId="3" xfId="54" applyFont="1" applyFill="1" applyBorder="1" applyAlignment="1">
      <alignment horizontal="right" vertical="center"/>
    </xf>
    <xf numFmtId="0" fontId="0" fillId="0" borderId="103" xfId="0" applyFill="1" applyBorder="1" applyAlignment="1">
      <alignment horizontal="left" vertical="center" wrapText="1" indent="1"/>
    </xf>
    <xf numFmtId="0" fontId="7" fillId="0" borderId="10" xfId="0" applyFont="1" applyFill="1" applyBorder="1" applyAlignment="1">
      <alignment horizontal="right" vertical="center" wrapText="1"/>
    </xf>
    <xf numFmtId="0" fontId="145" fillId="0" borderId="102" xfId="54" applyFont="1" applyFill="1" applyBorder="1" applyAlignment="1">
      <alignment horizontal="right" vertical="center"/>
    </xf>
    <xf numFmtId="174" fontId="0" fillId="0" borderId="0" xfId="1" applyNumberFormat="1" applyFont="1" applyFill="1" applyAlignment="1">
      <alignment horizontal="center"/>
    </xf>
    <xf numFmtId="0" fontId="0" fillId="0" borderId="0" xfId="0" applyAlignment="1">
      <alignment horizontal="center"/>
    </xf>
    <xf numFmtId="0" fontId="6" fillId="0" borderId="12" xfId="0" applyFont="1" applyBorder="1" applyAlignment="1">
      <alignment vertical="center" wrapText="1"/>
    </xf>
    <xf numFmtId="0" fontId="4" fillId="0" borderId="0" xfId="0" applyFont="1" applyAlignment="1">
      <alignment horizontal="center" vertical="center" wrapText="1"/>
    </xf>
    <xf numFmtId="0" fontId="6" fillId="0" borderId="56" xfId="0" applyFont="1" applyBorder="1" applyAlignment="1">
      <alignment horizontal="left" vertical="center"/>
    </xf>
    <xf numFmtId="0" fontId="6" fillId="24" borderId="81" xfId="0" applyFont="1" applyFill="1" applyBorder="1" applyAlignment="1">
      <alignment horizontal="center"/>
    </xf>
    <xf numFmtId="0" fontId="6" fillId="24" borderId="80" xfId="0" applyFont="1" applyFill="1" applyBorder="1" applyAlignment="1">
      <alignment horizontal="center"/>
    </xf>
    <xf numFmtId="0" fontId="6" fillId="24" borderId="82" xfId="0" applyFont="1" applyFill="1" applyBorder="1" applyAlignment="1">
      <alignment horizontal="center"/>
    </xf>
    <xf numFmtId="0" fontId="6" fillId="0" borderId="79" xfId="0" applyFont="1" applyBorder="1" applyAlignment="1">
      <alignment vertical="center" wrapText="1"/>
    </xf>
    <xf numFmtId="0" fontId="19" fillId="3" borderId="1" xfId="0" applyFont="1" applyFill="1" applyBorder="1" applyAlignment="1">
      <alignment vertical="center"/>
    </xf>
    <xf numFmtId="0" fontId="6" fillId="0" borderId="56" xfId="0" applyFont="1" applyBorder="1" applyAlignment="1">
      <alignment vertical="center" wrapText="1"/>
    </xf>
    <xf numFmtId="0" fontId="79" fillId="0" borderId="18" xfId="0" applyFont="1" applyBorder="1" applyAlignment="1">
      <alignment horizontal="center" vertical="center" wrapText="1"/>
    </xf>
    <xf numFmtId="0" fontId="0" fillId="0" borderId="56" xfId="0" applyBorder="1" applyAlignment="1">
      <alignment horizontal="left" vertical="center"/>
    </xf>
    <xf numFmtId="0" fontId="0" fillId="0" borderId="79" xfId="0" applyBorder="1" applyAlignment="1">
      <alignment horizontal="left" vertical="center"/>
    </xf>
    <xf numFmtId="0" fontId="0" fillId="0" borderId="77" xfId="0" applyBorder="1" applyAlignment="1">
      <alignment horizontal="left"/>
    </xf>
    <xf numFmtId="0" fontId="21" fillId="0" borderId="0" xfId="0" applyFont="1" applyAlignment="1">
      <alignment horizontal="center" vertical="center" wrapText="1"/>
    </xf>
    <xf numFmtId="0" fontId="68" fillId="25" borderId="0" xfId="0" applyFont="1" applyFill="1" applyAlignment="1">
      <alignment horizontal="left" vertical="center" indent="3"/>
    </xf>
    <xf numFmtId="0" fontId="68" fillId="25" borderId="0" xfId="0" applyFont="1" applyFill="1" applyAlignment="1">
      <alignment horizontal="left" indent="3"/>
    </xf>
    <xf numFmtId="0" fontId="57" fillId="26" borderId="12" xfId="0" applyFont="1" applyFill="1" applyBorder="1" applyAlignment="1">
      <alignment horizontal="left" vertical="center" indent="7"/>
    </xf>
    <xf numFmtId="0" fontId="6" fillId="26" borderId="12" xfId="0" applyFont="1" applyFill="1" applyBorder="1" applyAlignment="1">
      <alignment horizontal="left" vertical="center" wrapText="1" indent="4"/>
    </xf>
    <xf numFmtId="0" fontId="21" fillId="0" borderId="0" xfId="0" applyFont="1" applyAlignment="1">
      <alignment horizontal="left" vertical="center" indent="4"/>
    </xf>
    <xf numFmtId="0" fontId="21" fillId="0" borderId="1" xfId="0" applyFont="1" applyBorder="1" applyAlignment="1">
      <alignment horizontal="left" vertical="center" indent="4"/>
    </xf>
    <xf numFmtId="0" fontId="0" fillId="0" borderId="0" xfId="0" applyAlignment="1">
      <alignment horizontal="center"/>
    </xf>
    <xf numFmtId="0" fontId="0" fillId="0" borderId="56" xfId="0" applyBorder="1" applyAlignment="1">
      <alignment horizontal="left" vertical="center"/>
    </xf>
    <xf numFmtId="0" fontId="0" fillId="0" borderId="79" xfId="0" applyBorder="1" applyAlignment="1">
      <alignment horizontal="left" vertical="center"/>
    </xf>
    <xf numFmtId="0" fontId="79" fillId="0" borderId="18" xfId="0" applyFont="1" applyBorder="1" applyAlignment="1">
      <alignment horizontal="center" vertical="center" wrapText="1"/>
    </xf>
    <xf numFmtId="0" fontId="6" fillId="24" borderId="81" xfId="0" applyFont="1" applyFill="1" applyBorder="1" applyAlignment="1">
      <alignment horizontal="center"/>
    </xf>
    <xf numFmtId="0" fontId="6" fillId="24" borderId="80" xfId="0" applyFont="1" applyFill="1" applyBorder="1" applyAlignment="1">
      <alignment horizontal="center"/>
    </xf>
    <xf numFmtId="0" fontId="6" fillId="24" borderId="82" xfId="0" applyFont="1" applyFill="1" applyBorder="1" applyAlignment="1">
      <alignment horizontal="center"/>
    </xf>
    <xf numFmtId="0" fontId="6" fillId="0" borderId="79" xfId="0" applyFont="1" applyBorder="1" applyAlignment="1">
      <alignment vertical="center" wrapText="1"/>
    </xf>
    <xf numFmtId="0" fontId="19" fillId="3" borderId="1" xfId="0" applyFont="1" applyFill="1" applyBorder="1" applyAlignment="1">
      <alignment vertical="center"/>
    </xf>
    <xf numFmtId="0" fontId="6" fillId="0" borderId="56" xfId="0" applyFont="1" applyBorder="1" applyAlignment="1">
      <alignment vertical="center" wrapText="1"/>
    </xf>
    <xf numFmtId="0" fontId="6" fillId="0" borderId="56" xfId="0" applyFont="1" applyBorder="1" applyAlignment="1">
      <alignment horizontal="left" vertical="center"/>
    </xf>
    <xf numFmtId="0" fontId="4" fillId="0" borderId="0" xfId="0" applyFont="1" applyAlignment="1">
      <alignment horizontal="center" vertical="center" wrapText="1"/>
    </xf>
    <xf numFmtId="0" fontId="6" fillId="0" borderId="12" xfId="0" applyFont="1" applyBorder="1" applyAlignment="1">
      <alignment vertical="center" wrapText="1"/>
    </xf>
    <xf numFmtId="0" fontId="0" fillId="0" borderId="77" xfId="0" applyBorder="1" applyAlignment="1">
      <alignment horizontal="left"/>
    </xf>
    <xf numFmtId="0" fontId="21" fillId="0" borderId="0" xfId="0" applyFont="1" applyAlignment="1">
      <alignment horizontal="center" vertical="center" wrapText="1"/>
    </xf>
    <xf numFmtId="0" fontId="68" fillId="25" borderId="0" xfId="0" applyFont="1" applyFill="1" applyAlignment="1">
      <alignment vertical="center"/>
    </xf>
    <xf numFmtId="165" fontId="61" fillId="12" borderId="86" xfId="17" applyNumberFormat="1" applyFont="1" applyFill="1" applyBorder="1" applyAlignment="1">
      <alignment horizontal="center" vertical="center" wrapText="1"/>
    </xf>
    <xf numFmtId="165" fontId="61" fillId="12" borderId="81" xfId="17" applyNumberFormat="1" applyFont="1" applyFill="1" applyBorder="1" applyAlignment="1">
      <alignment horizontal="center" vertical="center" wrapText="1"/>
    </xf>
    <xf numFmtId="171" fontId="0" fillId="24" borderId="70" xfId="2" applyNumberFormat="1" applyFont="1" applyFill="1" applyBorder="1" applyAlignment="1">
      <alignment horizontal="center"/>
    </xf>
    <xf numFmtId="171" fontId="0" fillId="24" borderId="85" xfId="2" applyNumberFormat="1" applyFont="1" applyFill="1" applyBorder="1" applyAlignment="1">
      <alignment horizontal="center"/>
    </xf>
    <xf numFmtId="166" fontId="0" fillId="0" borderId="97" xfId="0" applyNumberFormat="1" applyBorder="1" applyAlignment="1">
      <alignment horizontal="center"/>
    </xf>
    <xf numFmtId="180" fontId="0" fillId="0" borderId="97" xfId="0" applyNumberFormat="1" applyBorder="1" applyAlignment="1">
      <alignment horizontal="center"/>
    </xf>
    <xf numFmtId="171" fontId="0" fillId="3" borderId="85" xfId="0" applyNumberFormat="1" applyFill="1" applyBorder="1" applyAlignment="1">
      <alignment vertical="center"/>
    </xf>
    <xf numFmtId="164" fontId="0" fillId="3" borderId="85" xfId="1" applyNumberFormat="1" applyFont="1" applyFill="1" applyBorder="1" applyAlignment="1">
      <alignment vertical="center"/>
    </xf>
    <xf numFmtId="196" fontId="0" fillId="3" borderId="86" xfId="0" applyNumberFormat="1" applyFill="1" applyBorder="1" applyAlignment="1">
      <alignment vertical="center"/>
    </xf>
    <xf numFmtId="2" fontId="0" fillId="3" borderId="70" xfId="0" applyNumberFormat="1" applyFill="1" applyBorder="1" applyAlignment="1">
      <alignment vertical="center"/>
    </xf>
    <xf numFmtId="44" fontId="4" fillId="0" borderId="70" xfId="1" applyNumberFormat="1" applyFont="1" applyBorder="1" applyAlignment="1">
      <alignment horizontal="center" vertical="center"/>
    </xf>
    <xf numFmtId="44" fontId="4" fillId="0" borderId="86" xfId="1" applyNumberFormat="1" applyFont="1" applyBorder="1" applyAlignment="1">
      <alignment horizontal="center" vertical="center"/>
    </xf>
    <xf numFmtId="171" fontId="0" fillId="24" borderId="86" xfId="2" applyNumberFormat="1" applyFont="1" applyFill="1" applyBorder="1"/>
    <xf numFmtId="179" fontId="61" fillId="12" borderId="70" xfId="52" applyNumberFormat="1" applyFont="1" applyFill="1" applyBorder="1" applyAlignment="1">
      <alignment horizontal="center" vertical="center" wrapText="1"/>
    </xf>
    <xf numFmtId="179" fontId="61" fillId="12" borderId="83" xfId="52" applyNumberFormat="1" applyFont="1" applyFill="1" applyBorder="1" applyAlignment="1">
      <alignment horizontal="center" vertical="center" wrapText="1"/>
    </xf>
    <xf numFmtId="179" fontId="61" fillId="12" borderId="85" xfId="52" applyNumberFormat="1" applyFont="1" applyFill="1" applyBorder="1" applyAlignment="1">
      <alignment horizontal="center" vertical="center" wrapText="1"/>
    </xf>
    <xf numFmtId="179" fontId="61" fillId="12" borderId="76" xfId="52" applyNumberFormat="1" applyFont="1" applyFill="1" applyBorder="1" applyAlignment="1">
      <alignment horizontal="center" vertical="center" wrapText="1"/>
    </xf>
    <xf numFmtId="179" fontId="61" fillId="12" borderId="87" xfId="52" applyNumberFormat="1" applyFont="1" applyFill="1" applyBorder="1" applyAlignment="1">
      <alignment horizontal="center" vertical="center" wrapText="1"/>
    </xf>
    <xf numFmtId="179" fontId="61" fillId="12" borderId="74" xfId="52" applyNumberFormat="1" applyFont="1" applyFill="1" applyBorder="1" applyAlignment="1">
      <alignment horizontal="center" vertical="center" wrapText="1"/>
    </xf>
    <xf numFmtId="172" fontId="63" fillId="12" borderId="86" xfId="17" applyNumberFormat="1" applyFont="1" applyFill="1" applyBorder="1" applyAlignment="1">
      <alignment horizontal="center" wrapText="1"/>
    </xf>
    <xf numFmtId="172" fontId="63" fillId="12" borderId="73" xfId="1" applyNumberFormat="1" applyFont="1" applyFill="1" applyBorder="1" applyAlignment="1">
      <alignment horizontal="center"/>
    </xf>
    <xf numFmtId="172" fontId="63" fillId="12" borderId="81" xfId="17" applyNumberFormat="1" applyFont="1" applyFill="1" applyBorder="1" applyAlignment="1">
      <alignment horizontal="center" wrapText="1"/>
    </xf>
    <xf numFmtId="0" fontId="0" fillId="0" borderId="101" xfId="0" applyBorder="1" applyAlignment="1">
      <alignment horizontal="center" vertical="center"/>
    </xf>
    <xf numFmtId="0" fontId="0" fillId="0" borderId="101" xfId="0" applyBorder="1" applyAlignment="1">
      <alignment horizontal="left" vertical="center"/>
    </xf>
    <xf numFmtId="0" fontId="0" fillId="0" borderId="101" xfId="0" applyBorder="1" applyAlignment="1">
      <alignment horizontal="left" vertical="center" wrapText="1"/>
    </xf>
    <xf numFmtId="0" fontId="7" fillId="3" borderId="0" xfId="0" applyFont="1" applyFill="1" applyAlignment="1">
      <alignment horizontal="left"/>
    </xf>
    <xf numFmtId="0" fontId="4" fillId="21" borderId="101" xfId="0" applyFont="1" applyFill="1" applyBorder="1" applyAlignment="1">
      <alignment horizontal="center"/>
    </xf>
    <xf numFmtId="166" fontId="0" fillId="0" borderId="101" xfId="0" applyNumberFormat="1" applyBorder="1" applyAlignment="1">
      <alignment horizontal="center" vertical="center"/>
    </xf>
    <xf numFmtId="0" fontId="138"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195" fontId="137" fillId="0" borderId="0" xfId="0" applyNumberFormat="1" applyFont="1" applyAlignment="1">
      <alignment horizontal="center" vertical="center"/>
    </xf>
    <xf numFmtId="0" fontId="137" fillId="0" borderId="0" xfId="0" applyFont="1" applyAlignment="1">
      <alignment horizontal="center" vertical="center"/>
    </xf>
    <xf numFmtId="0" fontId="0" fillId="0" borderId="105" xfId="0" applyBorder="1" applyAlignment="1">
      <alignment horizontal="left" vertical="center" wrapText="1"/>
    </xf>
    <xf numFmtId="0" fontId="0" fillId="0" borderId="106" xfId="0" applyBorder="1" applyAlignment="1">
      <alignment horizontal="left" vertical="center" wrapText="1"/>
    </xf>
    <xf numFmtId="0" fontId="19" fillId="39" borderId="105" xfId="0" applyFont="1" applyFill="1" applyBorder="1" applyAlignment="1">
      <alignment horizontal="left" indent="3"/>
    </xf>
    <xf numFmtId="0" fontId="19" fillId="39" borderId="106" xfId="0" applyFont="1" applyFill="1" applyBorder="1" applyAlignment="1">
      <alignment horizontal="left" indent="3"/>
    </xf>
    <xf numFmtId="0" fontId="19" fillId="10" borderId="10" xfId="0" applyFont="1" applyFill="1" applyBorder="1" applyAlignment="1">
      <alignment horizontal="left" indent="3"/>
    </xf>
    <xf numFmtId="0" fontId="19" fillId="10" borderId="9" xfId="0" applyFont="1" applyFill="1" applyBorder="1" applyAlignment="1">
      <alignment horizontal="left" indent="3"/>
    </xf>
    <xf numFmtId="0" fontId="19" fillId="36" borderId="10" xfId="0" applyFont="1" applyFill="1" applyBorder="1" applyAlignment="1">
      <alignment horizontal="left" indent="3"/>
    </xf>
    <xf numFmtId="0" fontId="19" fillId="36" borderId="9" xfId="0" applyFont="1" applyFill="1" applyBorder="1" applyAlignment="1">
      <alignment horizontal="left" indent="3"/>
    </xf>
    <xf numFmtId="0" fontId="19" fillId="36" borderId="3" xfId="0" applyFont="1" applyFill="1" applyBorder="1" applyAlignment="1">
      <alignment horizontal="left" indent="3"/>
    </xf>
    <xf numFmtId="0" fontId="19" fillId="36" borderId="8" xfId="0" applyFont="1" applyFill="1" applyBorder="1" applyAlignment="1">
      <alignment horizontal="left" indent="3"/>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2" xfId="0" quotePrefix="1" applyBorder="1" applyAlignment="1">
      <alignment horizontal="left" vertical="center" wrapText="1"/>
    </xf>
    <xf numFmtId="0" fontId="0" fillId="0" borderId="7" xfId="0" quotePrefix="1" applyBorder="1" applyAlignment="1">
      <alignment horizontal="left" vertical="center" wrapText="1"/>
    </xf>
    <xf numFmtId="0" fontId="77" fillId="0" borderId="7" xfId="0" quotePrefix="1" applyFont="1" applyBorder="1" applyAlignment="1">
      <alignment horizontal="left" wrapText="1"/>
    </xf>
    <xf numFmtId="0" fontId="0" fillId="0" borderId="6" xfId="0" quotePrefix="1" applyBorder="1" applyAlignment="1">
      <alignment horizontal="lef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2" xfId="0" applyFont="1" applyBorder="1" applyAlignment="1">
      <alignment horizontal="left" wrapText="1"/>
    </xf>
    <xf numFmtId="0" fontId="6" fillId="0" borderId="7" xfId="0" applyFont="1" applyBorder="1" applyAlignment="1">
      <alignment horizontal="left" wrapText="1"/>
    </xf>
    <xf numFmtId="0" fontId="6" fillId="0" borderId="2" xfId="0" applyFont="1" applyBorder="1" applyAlignment="1">
      <alignment horizontal="left" vertical="center" wrapText="1"/>
    </xf>
    <xf numFmtId="0" fontId="21" fillId="0" borderId="7" xfId="0" applyFont="1" applyBorder="1" applyAlignment="1">
      <alignment horizontal="left" vertical="center" wrapText="1"/>
    </xf>
    <xf numFmtId="0" fontId="21" fillId="0" borderId="6" xfId="0" applyFont="1" applyBorder="1" applyAlignment="1">
      <alignment horizontal="left" vertical="center" wrapText="1"/>
    </xf>
    <xf numFmtId="0" fontId="0" fillId="0" borderId="7" xfId="0" applyBorder="1" applyAlignment="1">
      <alignment horizontal="left" vertical="center"/>
    </xf>
    <xf numFmtId="0" fontId="0" fillId="0" borderId="6" xfId="0" applyBorder="1" applyAlignment="1">
      <alignment horizontal="left" vertical="center"/>
    </xf>
    <xf numFmtId="0" fontId="19" fillId="37" borderId="105" xfId="0" applyFont="1" applyFill="1" applyBorder="1" applyAlignment="1">
      <alignment horizontal="left"/>
    </xf>
    <xf numFmtId="0" fontId="19" fillId="37" borderId="12" xfId="0" applyFont="1" applyFill="1" applyBorder="1" applyAlignment="1">
      <alignment horizontal="left"/>
    </xf>
    <xf numFmtId="0" fontId="19" fillId="37" borderId="106" xfId="0" applyFont="1" applyFill="1" applyBorder="1" applyAlignment="1">
      <alignment horizontal="left"/>
    </xf>
    <xf numFmtId="0" fontId="19" fillId="36" borderId="3" xfId="0" applyFont="1" applyFill="1" applyBorder="1" applyAlignment="1">
      <alignment horizontal="left"/>
    </xf>
    <xf numFmtId="0" fontId="19" fillId="36" borderId="0" xfId="0" applyFont="1" applyFill="1" applyAlignment="1">
      <alignment horizontal="left"/>
    </xf>
    <xf numFmtId="0" fontId="1" fillId="0" borderId="0" xfId="0" applyFont="1" applyAlignment="1">
      <alignment horizontal="left" vertical="center" wrapText="1" indent="2"/>
    </xf>
    <xf numFmtId="0" fontId="19" fillId="40" borderId="105" xfId="0" applyFont="1" applyFill="1" applyBorder="1" applyAlignment="1">
      <alignment horizontal="left"/>
    </xf>
    <xf numFmtId="0" fontId="19" fillId="40" borderId="12" xfId="0" applyFont="1" applyFill="1" applyBorder="1" applyAlignment="1">
      <alignment horizontal="left"/>
    </xf>
    <xf numFmtId="0" fontId="19" fillId="40" borderId="106" xfId="0" applyFont="1" applyFill="1" applyBorder="1" applyAlignment="1">
      <alignment horizontal="left"/>
    </xf>
    <xf numFmtId="0" fontId="6" fillId="0" borderId="102" xfId="0" applyFont="1" applyFill="1" applyBorder="1" applyAlignment="1">
      <alignment horizontal="left" vertical="center" wrapText="1"/>
    </xf>
    <xf numFmtId="0" fontId="6" fillId="0" borderId="107" xfId="0" applyFont="1" applyFill="1" applyBorder="1" applyAlignment="1">
      <alignment horizontal="left" vertical="center" wrapText="1"/>
    </xf>
    <xf numFmtId="0" fontId="6" fillId="0" borderId="10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9" xfId="0" applyFont="1" applyFill="1" applyBorder="1" applyAlignment="1">
      <alignment horizontal="left" vertical="center" wrapText="1"/>
    </xf>
    <xf numFmtId="0" fontId="10" fillId="21" borderId="0" xfId="54" applyFill="1" applyAlignment="1">
      <alignment horizontal="left"/>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xf numFmtId="0" fontId="6" fillId="0" borderId="102" xfId="0" applyFont="1" applyFill="1" applyBorder="1" applyAlignment="1">
      <alignment horizontal="left" vertical="top" wrapText="1"/>
    </xf>
    <xf numFmtId="0" fontId="6" fillId="0" borderId="107" xfId="0" applyFont="1" applyFill="1" applyBorder="1" applyAlignment="1">
      <alignment horizontal="left" vertical="top" wrapText="1"/>
    </xf>
    <xf numFmtId="0" fontId="6" fillId="0" borderId="103"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9" xfId="0" applyFont="1" applyFill="1" applyBorder="1" applyAlignment="1">
      <alignment horizontal="left" vertical="top" wrapText="1"/>
    </xf>
    <xf numFmtId="0" fontId="19" fillId="13" borderId="105" xfId="0" applyFont="1" applyFill="1" applyBorder="1" applyAlignment="1">
      <alignment horizontal="left"/>
    </xf>
    <xf numFmtId="0" fontId="19" fillId="13" borderId="12" xfId="0" applyFont="1" applyFill="1" applyBorder="1" applyAlignment="1">
      <alignment horizontal="left"/>
    </xf>
    <xf numFmtId="0" fontId="19" fillId="13" borderId="106" xfId="0" applyFont="1" applyFill="1" applyBorder="1" applyAlignment="1">
      <alignment horizontal="left"/>
    </xf>
    <xf numFmtId="0" fontId="0" fillId="0" borderId="102" xfId="0" applyBorder="1" applyAlignment="1">
      <alignment horizontal="left" wrapText="1"/>
    </xf>
    <xf numFmtId="0" fontId="0" fillId="0" borderId="107" xfId="0" applyBorder="1" applyAlignment="1">
      <alignment horizontal="left" wrapText="1"/>
    </xf>
    <xf numFmtId="0" fontId="0" fillId="0" borderId="103" xfId="0" applyBorder="1" applyAlignment="1">
      <alignment horizontal="left" wrapText="1"/>
    </xf>
    <xf numFmtId="0" fontId="0" fillId="0" borderId="3" xfId="0" applyBorder="1" applyAlignment="1">
      <alignment horizontal="left" wrapText="1" indent="3"/>
    </xf>
    <xf numFmtId="0" fontId="0" fillId="0" borderId="0" xfId="0" applyAlignment="1">
      <alignment horizontal="left" wrapText="1" indent="3"/>
    </xf>
    <xf numFmtId="0" fontId="0" fillId="0" borderId="8" xfId="0" applyBorder="1" applyAlignment="1">
      <alignment horizontal="left" wrapText="1" indent="3"/>
    </xf>
    <xf numFmtId="0" fontId="0" fillId="0" borderId="3"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0" fillId="0" borderId="3" xfId="0" applyBorder="1" applyAlignment="1">
      <alignment horizontal="left" wrapText="1" indent="7"/>
    </xf>
    <xf numFmtId="0" fontId="0" fillId="0" borderId="0" xfId="0" applyAlignment="1">
      <alignment horizontal="left" wrapText="1" indent="7"/>
    </xf>
    <xf numFmtId="0" fontId="0" fillId="0" borderId="8" xfId="0" applyBorder="1" applyAlignment="1">
      <alignment horizontal="left" wrapText="1" indent="7"/>
    </xf>
    <xf numFmtId="0" fontId="0" fillId="0" borderId="61" xfId="0" applyBorder="1" applyAlignment="1">
      <alignment horizontal="left" vertical="center" wrapText="1"/>
    </xf>
    <xf numFmtId="0" fontId="0" fillId="0" borderId="62" xfId="0" applyBorder="1" applyAlignment="1">
      <alignment horizontal="left" vertical="center" wrapText="1"/>
    </xf>
    <xf numFmtId="0" fontId="0" fillId="0" borderId="60" xfId="0" applyBorder="1" applyAlignment="1">
      <alignment horizontal="left" vertical="center" wrapText="1"/>
    </xf>
    <xf numFmtId="0" fontId="0" fillId="0" borderId="63" xfId="0" applyBorder="1" applyAlignment="1">
      <alignment horizontal="left" vertical="center" wrapText="1"/>
    </xf>
    <xf numFmtId="0" fontId="0" fillId="0" borderId="64" xfId="0" applyBorder="1" applyAlignment="1">
      <alignment horizontal="left" vertical="center" wrapText="1"/>
    </xf>
    <xf numFmtId="0" fontId="0" fillId="0" borderId="65" xfId="0" applyBorder="1" applyAlignment="1">
      <alignment horizontal="left" vertical="center" wrapText="1"/>
    </xf>
    <xf numFmtId="0" fontId="0" fillId="0" borderId="3" xfId="0" applyBorder="1" applyAlignment="1">
      <alignment horizontal="left" indent="3"/>
    </xf>
    <xf numFmtId="0" fontId="0" fillId="0" borderId="0" xfId="0" applyBorder="1" applyAlignment="1">
      <alignment horizontal="left" indent="3"/>
    </xf>
    <xf numFmtId="0" fontId="0" fillId="0" borderId="8" xfId="0" applyBorder="1" applyAlignment="1">
      <alignment horizontal="left" indent="3"/>
    </xf>
    <xf numFmtId="0" fontId="0" fillId="0" borderId="10"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10" fillId="21" borderId="0" xfId="54" applyFill="1" applyAlignment="1">
      <alignment horizontal="left" vertical="center"/>
    </xf>
    <xf numFmtId="0" fontId="19" fillId="11" borderId="105" xfId="0" applyFont="1" applyFill="1" applyBorder="1" applyAlignment="1">
      <alignment horizontal="left"/>
    </xf>
    <xf numFmtId="0" fontId="19" fillId="11" borderId="12" xfId="0" applyFont="1" applyFill="1" applyBorder="1" applyAlignment="1">
      <alignment horizontal="left"/>
    </xf>
    <xf numFmtId="0" fontId="19" fillId="11" borderId="106" xfId="0" applyFont="1" applyFill="1" applyBorder="1" applyAlignment="1">
      <alignment horizontal="left"/>
    </xf>
    <xf numFmtId="0" fontId="0" fillId="0" borderId="102" xfId="0" applyFill="1" applyBorder="1" applyAlignment="1">
      <alignment horizontal="left" vertical="top" wrapText="1"/>
    </xf>
    <xf numFmtId="0" fontId="0" fillId="0" borderId="107" xfId="0" applyFill="1" applyBorder="1" applyAlignment="1">
      <alignment horizontal="left" vertical="top"/>
    </xf>
    <xf numFmtId="0" fontId="0" fillId="0" borderId="103" xfId="0" applyFill="1" applyBorder="1" applyAlignment="1">
      <alignment horizontal="left" vertical="top"/>
    </xf>
    <xf numFmtId="0" fontId="0" fillId="0" borderId="3" xfId="0" applyFill="1" applyBorder="1" applyAlignment="1">
      <alignment horizontal="left" vertical="top"/>
    </xf>
    <xf numFmtId="0" fontId="0" fillId="0" borderId="0" xfId="0" applyFill="1" applyBorder="1" applyAlignment="1">
      <alignment horizontal="left" vertical="top"/>
    </xf>
    <xf numFmtId="0" fontId="0" fillId="0" borderId="8" xfId="0" applyFill="1" applyBorder="1" applyAlignment="1">
      <alignment horizontal="left" vertical="top"/>
    </xf>
    <xf numFmtId="0" fontId="0" fillId="0" borderId="10" xfId="0" applyFill="1" applyBorder="1" applyAlignment="1">
      <alignment horizontal="left" vertical="top"/>
    </xf>
    <xf numFmtId="0" fontId="0" fillId="0" borderId="1" xfId="0" applyFill="1" applyBorder="1" applyAlignment="1">
      <alignment horizontal="left" vertical="top"/>
    </xf>
    <xf numFmtId="0" fontId="0" fillId="0" borderId="9" xfId="0" applyFill="1" applyBorder="1" applyAlignment="1">
      <alignment horizontal="left" vertical="top"/>
    </xf>
    <xf numFmtId="0" fontId="4" fillId="0" borderId="3" xfId="0" applyFont="1" applyBorder="1" applyAlignment="1">
      <alignment horizontal="left" wrapText="1"/>
    </xf>
    <xf numFmtId="0" fontId="4" fillId="0" borderId="0" xfId="0" applyFont="1" applyBorder="1" applyAlignment="1">
      <alignment horizontal="left" wrapText="1"/>
    </xf>
    <xf numFmtId="0" fontId="4" fillId="0" borderId="8" xfId="0" applyFont="1" applyBorder="1" applyAlignment="1">
      <alignment horizontal="left" wrapText="1"/>
    </xf>
    <xf numFmtId="0" fontId="0" fillId="0" borderId="3" xfId="0" quotePrefix="1" applyBorder="1" applyAlignment="1">
      <alignment horizontal="left" indent="6"/>
    </xf>
    <xf numFmtId="0" fontId="0" fillId="0" borderId="0" xfId="0" applyBorder="1" applyAlignment="1">
      <alignment horizontal="left" indent="6"/>
    </xf>
    <xf numFmtId="0" fontId="0" fillId="0" borderId="8" xfId="0" applyBorder="1" applyAlignment="1">
      <alignment horizontal="left" indent="6"/>
    </xf>
    <xf numFmtId="0" fontId="0" fillId="0" borderId="0" xfId="0" applyBorder="1" applyAlignment="1">
      <alignment horizontal="left" wrapText="1" indent="3"/>
    </xf>
    <xf numFmtId="0" fontId="0" fillId="0" borderId="66" xfId="0" applyBorder="1" applyAlignment="1">
      <alignment horizontal="left" vertical="center" wrapText="1"/>
    </xf>
    <xf numFmtId="0" fontId="0" fillId="0" borderId="129" xfId="0" applyBorder="1" applyAlignment="1">
      <alignment horizontal="left" vertical="center" wrapText="1"/>
    </xf>
    <xf numFmtId="0" fontId="0" fillId="0" borderId="68" xfId="0" applyBorder="1" applyAlignment="1">
      <alignment horizontal="left" vertical="center" wrapText="1"/>
    </xf>
    <xf numFmtId="0" fontId="0" fillId="0" borderId="8" xfId="0" applyBorder="1" applyAlignment="1">
      <alignment horizontal="left" vertical="center" wrapText="1"/>
    </xf>
    <xf numFmtId="0" fontId="0" fillId="0" borderId="67" xfId="0" applyBorder="1" applyAlignment="1">
      <alignment horizontal="left" vertical="center" wrapText="1"/>
    </xf>
    <xf numFmtId="0" fontId="0" fillId="0" borderId="130" xfId="0" applyBorder="1" applyAlignment="1">
      <alignment horizontal="left" vertical="center" wrapText="1"/>
    </xf>
    <xf numFmtId="0" fontId="0" fillId="0" borderId="10" xfId="0" applyBorder="1" applyAlignment="1">
      <alignment horizontal="left" indent="6"/>
    </xf>
    <xf numFmtId="0" fontId="0" fillId="0" borderId="1" xfId="0" applyBorder="1" applyAlignment="1">
      <alignment horizontal="left" indent="6"/>
    </xf>
    <xf numFmtId="0" fontId="0" fillId="0" borderId="9" xfId="0" applyBorder="1" applyAlignment="1">
      <alignment horizontal="left" indent="6"/>
    </xf>
    <xf numFmtId="0" fontId="0" fillId="0" borderId="66" xfId="0" applyBorder="1" applyAlignment="1">
      <alignment horizontal="left" wrapText="1"/>
    </xf>
    <xf numFmtId="0" fontId="0" fillId="0" borderId="129" xfId="0" applyBorder="1" applyAlignment="1">
      <alignment horizontal="left" wrapText="1"/>
    </xf>
    <xf numFmtId="0" fontId="0" fillId="0" borderId="68" xfId="0" applyBorder="1" applyAlignment="1">
      <alignment horizontal="left" wrapText="1"/>
    </xf>
    <xf numFmtId="0" fontId="0" fillId="0" borderId="8" xfId="0" applyBorder="1" applyAlignment="1">
      <alignment horizontal="left" wrapText="1"/>
    </xf>
    <xf numFmtId="0" fontId="0" fillId="0" borderId="67" xfId="0" applyBorder="1" applyAlignment="1">
      <alignment horizontal="left" wrapText="1"/>
    </xf>
    <xf numFmtId="0" fontId="0" fillId="0" borderId="130" xfId="0" applyBorder="1" applyAlignment="1">
      <alignment horizontal="left" wrapText="1"/>
    </xf>
    <xf numFmtId="0" fontId="0" fillId="0" borderId="10" xfId="0" applyBorder="1" applyAlignment="1">
      <alignment horizontal="left" indent="3"/>
    </xf>
    <xf numFmtId="0" fontId="0" fillId="0" borderId="1" xfId="0" applyBorder="1" applyAlignment="1">
      <alignment horizontal="left" indent="3"/>
    </xf>
    <xf numFmtId="0" fontId="0" fillId="0" borderId="9" xfId="0" applyBorder="1" applyAlignment="1">
      <alignment horizontal="left" indent="3"/>
    </xf>
    <xf numFmtId="0" fontId="0" fillId="0" borderId="0" xfId="0" applyAlignment="1">
      <alignment horizontal="left" wrapText="1"/>
    </xf>
    <xf numFmtId="0" fontId="5" fillId="0" borderId="0" xfId="0" applyFont="1" applyAlignment="1">
      <alignment horizontal="left" wrapText="1"/>
    </xf>
    <xf numFmtId="0" fontId="4" fillId="0" borderId="0" xfId="0" applyFont="1" applyAlignment="1">
      <alignment horizontal="left"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Alignment="1">
      <alignment horizontal="left" vertical="top" wrapText="1" indent="3"/>
    </xf>
    <xf numFmtId="0" fontId="0" fillId="0" borderId="3"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19" fillId="38" borderId="105" xfId="0" applyFont="1" applyFill="1" applyBorder="1" applyAlignment="1">
      <alignment horizontal="left"/>
    </xf>
    <xf numFmtId="0" fontId="19" fillId="38" borderId="12" xfId="0" applyFont="1" applyFill="1" applyBorder="1" applyAlignment="1">
      <alignment horizontal="left"/>
    </xf>
    <xf numFmtId="0" fontId="19" fillId="38" borderId="106" xfId="0" applyFont="1" applyFill="1" applyBorder="1" applyAlignment="1">
      <alignment horizontal="left"/>
    </xf>
    <xf numFmtId="0" fontId="0" fillId="0" borderId="102" xfId="0" applyBorder="1" applyAlignment="1">
      <alignment horizontal="left" vertical="top" wrapText="1"/>
    </xf>
    <xf numFmtId="0" fontId="0" fillId="0" borderId="107" xfId="0" applyBorder="1" applyAlignment="1">
      <alignment horizontal="left" vertical="top" wrapText="1"/>
    </xf>
    <xf numFmtId="0" fontId="0" fillId="0" borderId="103" xfId="0" applyBorder="1" applyAlignment="1">
      <alignment horizontal="left" vertical="top" wrapText="1"/>
    </xf>
    <xf numFmtId="0" fontId="7" fillId="6" borderId="48" xfId="0" applyFont="1" applyFill="1" applyBorder="1" applyAlignment="1">
      <alignment horizontal="left"/>
    </xf>
    <xf numFmtId="0" fontId="7" fillId="6" borderId="49" xfId="0" applyFont="1" applyFill="1" applyBorder="1" applyAlignment="1">
      <alignment horizontal="left"/>
    </xf>
    <xf numFmtId="0" fontId="7" fillId="6" borderId="31" xfId="0" applyFont="1" applyFill="1" applyBorder="1" applyAlignment="1">
      <alignment horizontal="left"/>
    </xf>
    <xf numFmtId="0" fontId="7" fillId="6" borderId="52" xfId="0" applyFont="1" applyFill="1" applyBorder="1" applyAlignment="1">
      <alignment horizontal="left"/>
    </xf>
    <xf numFmtId="0" fontId="6" fillId="0" borderId="6" xfId="0" quotePrefix="1" applyFont="1" applyBorder="1" applyAlignment="1">
      <alignment vertical="center" wrapText="1"/>
    </xf>
    <xf numFmtId="0" fontId="6" fillId="0" borderId="6" xfId="0" applyFont="1" applyBorder="1" applyAlignment="1">
      <alignment vertical="center" wrapText="1"/>
    </xf>
    <xf numFmtId="0" fontId="6" fillId="0" borderId="47" xfId="0" applyFont="1" applyBorder="1" applyAlignment="1">
      <alignment vertical="center" wrapText="1"/>
    </xf>
    <xf numFmtId="0" fontId="6" fillId="0" borderId="4" xfId="0" quotePrefix="1" applyFont="1" applyBorder="1" applyAlignment="1">
      <alignment vertical="center" wrapText="1"/>
    </xf>
    <xf numFmtId="0" fontId="6" fillId="0" borderId="4" xfId="0" applyFont="1" applyBorder="1" applyAlignment="1">
      <alignment vertical="center" wrapText="1"/>
    </xf>
    <xf numFmtId="0" fontId="6" fillId="0" borderId="36" xfId="0" applyFont="1" applyBorder="1" applyAlignment="1">
      <alignment vertical="center" wrapText="1"/>
    </xf>
    <xf numFmtId="0" fontId="0" fillId="0" borderId="21" xfId="0" applyBorder="1" applyAlignment="1">
      <alignment horizontal="left" vertical="center" wrapText="1"/>
    </xf>
    <xf numFmtId="0" fontId="0" fillId="0" borderId="12" xfId="0" applyBorder="1" applyAlignment="1">
      <alignment horizontal="left" vertical="center" wrapText="1"/>
    </xf>
    <xf numFmtId="0" fontId="6" fillId="0" borderId="101" xfId="0" applyFont="1" applyBorder="1" applyAlignment="1">
      <alignment vertical="center" wrapText="1"/>
    </xf>
    <xf numFmtId="0" fontId="6" fillId="0" borderId="33" xfId="0" applyFont="1" applyBorder="1" applyAlignment="1">
      <alignment vertical="center" wrapText="1"/>
    </xf>
    <xf numFmtId="0" fontId="6" fillId="0" borderId="38" xfId="0" applyFont="1" applyBorder="1" applyAlignment="1">
      <alignment vertical="center" wrapText="1"/>
    </xf>
    <xf numFmtId="0" fontId="6" fillId="0" borderId="21" xfId="0" applyFont="1" applyBorder="1" applyAlignment="1">
      <alignment horizontal="left" vertical="center" wrapText="1"/>
    </xf>
    <xf numFmtId="0" fontId="6" fillId="0" borderId="12" xfId="0" applyFont="1" applyBorder="1" applyAlignment="1">
      <alignment horizontal="left" vertical="center" wrapText="1"/>
    </xf>
    <xf numFmtId="0" fontId="6" fillId="0" borderId="106" xfId="0" applyFont="1" applyBorder="1" applyAlignment="1">
      <alignment horizontal="left" vertical="center" wrapText="1"/>
    </xf>
    <xf numFmtId="0" fontId="0" fillId="0" borderId="21" xfId="0" applyBorder="1" applyAlignment="1">
      <alignment horizontal="left" vertical="center"/>
    </xf>
    <xf numFmtId="0" fontId="0" fillId="0" borderId="12" xfId="0" applyBorder="1" applyAlignment="1">
      <alignment horizontal="left" vertical="center"/>
    </xf>
    <xf numFmtId="0" fontId="0" fillId="0" borderId="106" xfId="0" applyBorder="1" applyAlignment="1">
      <alignment horizontal="left" vertical="center"/>
    </xf>
    <xf numFmtId="0" fontId="0" fillId="0" borderId="26" xfId="0" applyBorder="1" applyAlignment="1">
      <alignment horizontal="left" vertical="center" wrapText="1"/>
    </xf>
    <xf numFmtId="0" fontId="0" fillId="0" borderId="24" xfId="0" applyBorder="1" applyAlignment="1">
      <alignment horizontal="left" vertical="center" wrapText="1"/>
    </xf>
    <xf numFmtId="0" fontId="0" fillId="0" borderId="42" xfId="0" applyBorder="1" applyAlignment="1">
      <alignment horizontal="left" vertical="center" wrapText="1"/>
    </xf>
    <xf numFmtId="0" fontId="0" fillId="0" borderId="101" xfId="0" applyBorder="1" applyAlignment="1">
      <alignment vertical="center" wrapText="1"/>
    </xf>
    <xf numFmtId="0" fontId="6" fillId="0" borderId="105" xfId="0" applyFont="1" applyBorder="1" applyAlignment="1">
      <alignment horizontal="left" vertical="center" wrapText="1" indent="4"/>
    </xf>
    <xf numFmtId="0" fontId="6" fillId="0" borderId="12" xfId="0" applyFont="1" applyBorder="1" applyAlignment="1">
      <alignment horizontal="left" vertical="center" wrapText="1" indent="4"/>
    </xf>
    <xf numFmtId="0" fontId="6" fillId="0" borderId="106" xfId="0" applyFont="1" applyBorder="1" applyAlignment="1">
      <alignment horizontal="left" vertical="center" wrapText="1" indent="4"/>
    </xf>
    <xf numFmtId="0" fontId="6" fillId="0" borderId="10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6" xfId="0" applyFont="1" applyBorder="1" applyAlignment="1">
      <alignment horizontal="center" vertical="center" wrapText="1"/>
    </xf>
    <xf numFmtId="0" fontId="6" fillId="0" borderId="105" xfId="0" applyFont="1" applyBorder="1" applyAlignment="1">
      <alignment horizontal="left" vertical="center" wrapText="1" indent="9"/>
    </xf>
    <xf numFmtId="0" fontId="6" fillId="0" borderId="12" xfId="0" applyFont="1" applyBorder="1" applyAlignment="1">
      <alignment horizontal="left" vertical="center" wrapText="1" indent="9"/>
    </xf>
    <xf numFmtId="0" fontId="6" fillId="0" borderId="106" xfId="0" applyFont="1" applyBorder="1" applyAlignment="1">
      <alignment horizontal="left" vertical="center" wrapText="1" indent="9"/>
    </xf>
    <xf numFmtId="0" fontId="0" fillId="0" borderId="101" xfId="0" quotePrefix="1" applyBorder="1" applyAlignment="1">
      <alignment vertical="center" wrapText="1"/>
    </xf>
    <xf numFmtId="0" fontId="0" fillId="0" borderId="101" xfId="0" quotePrefix="1" applyBorder="1" applyAlignment="1">
      <alignment horizontal="left" vertical="center" wrapText="1"/>
    </xf>
    <xf numFmtId="0" fontId="57" fillId="26" borderId="101" xfId="0" applyFont="1" applyFill="1" applyBorder="1" applyAlignment="1">
      <alignment horizontal="left" vertical="center"/>
    </xf>
    <xf numFmtId="0" fontId="4" fillId="0" borderId="116" xfId="0" applyFont="1" applyBorder="1" applyAlignment="1">
      <alignment horizontal="center" vertical="center"/>
    </xf>
    <xf numFmtId="0" fontId="4" fillId="0" borderId="29" xfId="0" applyFont="1" applyBorder="1" applyAlignment="1">
      <alignment horizontal="center" vertical="center"/>
    </xf>
    <xf numFmtId="0" fontId="4" fillId="0" borderId="25" xfId="0" applyFont="1" applyBorder="1" applyAlignment="1">
      <alignment horizontal="center" vertical="center"/>
    </xf>
    <xf numFmtId="0" fontId="4" fillId="0" borderId="32" xfId="0" applyFont="1" applyBorder="1" applyAlignment="1">
      <alignment horizontal="center" vertical="center"/>
    </xf>
    <xf numFmtId="0" fontId="4" fillId="0" borderId="19" xfId="0" applyFont="1" applyBorder="1" applyAlignment="1">
      <alignment horizontal="center" vertical="center"/>
    </xf>
    <xf numFmtId="0" fontId="4" fillId="0" borderId="30" xfId="0" applyFont="1" applyBorder="1" applyAlignment="1">
      <alignment horizontal="center" vertical="center"/>
    </xf>
    <xf numFmtId="0" fontId="0" fillId="0" borderId="16" xfId="0" applyBorder="1" applyAlignment="1">
      <alignment horizontal="left" vertical="center" wrapText="1"/>
    </xf>
    <xf numFmtId="0" fontId="0" fillId="0" borderId="31" xfId="0" applyBorder="1" applyAlignment="1">
      <alignment horizontal="left" vertical="center" wrapText="1"/>
    </xf>
    <xf numFmtId="0" fontId="0" fillId="0" borderId="117" xfId="0" applyBorder="1" applyAlignment="1">
      <alignment horizontal="left" vertical="center" wrapText="1"/>
    </xf>
    <xf numFmtId="0" fontId="6" fillId="0" borderId="114" xfId="0" applyFont="1" applyBorder="1" applyAlignment="1">
      <alignment vertical="center" wrapText="1"/>
    </xf>
    <xf numFmtId="0" fontId="6" fillId="0" borderId="115" xfId="0" applyFont="1" applyBorder="1" applyAlignment="1">
      <alignment vertical="center" wrapText="1"/>
    </xf>
    <xf numFmtId="0" fontId="0" fillId="0" borderId="51" xfId="0" applyBorder="1" applyAlignment="1">
      <alignment horizontal="left" vertical="center"/>
    </xf>
    <xf numFmtId="0" fontId="0" fillId="0" borderId="35" xfId="0" applyBorder="1" applyAlignment="1">
      <alignment horizontal="left" vertical="center"/>
    </xf>
    <xf numFmtId="0" fontId="0" fillId="0" borderId="4" xfId="0" applyBorder="1" applyAlignment="1">
      <alignment horizontal="left" vertical="center"/>
    </xf>
    <xf numFmtId="0" fontId="0" fillId="0" borderId="37" xfId="0" applyBorder="1" applyAlignment="1">
      <alignment horizontal="left" vertical="center"/>
    </xf>
    <xf numFmtId="0" fontId="0" fillId="0" borderId="33" xfId="0" applyBorder="1" applyAlignment="1">
      <alignment horizontal="left" vertical="center"/>
    </xf>
    <xf numFmtId="0" fontId="6" fillId="0" borderId="48" xfId="0" applyFont="1" applyBorder="1" applyAlignment="1">
      <alignment horizontal="left" vertical="center" wrapText="1"/>
    </xf>
    <xf numFmtId="0" fontId="6" fillId="0" borderId="49" xfId="0" applyFont="1" applyBorder="1" applyAlignment="1">
      <alignment horizontal="left" vertical="center" wrapText="1"/>
    </xf>
    <xf numFmtId="0" fontId="6" fillId="0" borderId="50" xfId="0" applyFont="1" applyBorder="1" applyAlignment="1">
      <alignment horizontal="left" vertical="center" wrapText="1"/>
    </xf>
    <xf numFmtId="0" fontId="6" fillId="0" borderId="42" xfId="0" applyFont="1" applyBorder="1" applyAlignment="1">
      <alignment vertical="center" wrapText="1"/>
    </xf>
    <xf numFmtId="0" fontId="6" fillId="0" borderId="20" xfId="0" applyFont="1" applyBorder="1" applyAlignment="1">
      <alignment horizontal="left" vertical="center" wrapText="1"/>
    </xf>
    <xf numFmtId="0" fontId="6" fillId="0" borderId="34" xfId="0" applyFont="1" applyBorder="1" applyAlignment="1">
      <alignment horizontal="left" vertical="center" wrapText="1"/>
    </xf>
    <xf numFmtId="0" fontId="6" fillId="0" borderId="43" xfId="0" applyFont="1" applyBorder="1" applyAlignment="1">
      <alignment horizontal="left" vertical="center" wrapText="1"/>
    </xf>
    <xf numFmtId="0" fontId="6" fillId="0" borderId="5" xfId="0" applyFont="1" applyBorder="1" applyAlignment="1">
      <alignment vertical="center" wrapText="1"/>
    </xf>
    <xf numFmtId="0" fontId="0" fillId="3" borderId="19" xfId="0"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left" vertical="center"/>
    </xf>
    <xf numFmtId="0" fontId="0" fillId="3" borderId="9" xfId="0" applyFill="1" applyBorder="1" applyAlignment="1">
      <alignment horizontal="left" vertical="center"/>
    </xf>
    <xf numFmtId="0" fontId="6" fillId="3" borderId="3"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32"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0" fillId="3" borderId="21" xfId="0" applyFill="1" applyBorder="1" applyAlignment="1">
      <alignment horizontal="center" vertical="center"/>
    </xf>
    <xf numFmtId="0" fontId="0" fillId="3" borderId="12" xfId="0" applyFill="1" applyBorder="1" applyAlignment="1">
      <alignment horizontal="center" vertical="center"/>
    </xf>
    <xf numFmtId="0" fontId="0" fillId="3" borderId="12" xfId="0" applyFill="1" applyBorder="1" applyAlignment="1">
      <alignment horizontal="left" vertical="center"/>
    </xf>
    <xf numFmtId="0" fontId="0" fillId="3" borderId="5" xfId="0" applyFill="1" applyBorder="1" applyAlignment="1">
      <alignment horizontal="left" vertical="center"/>
    </xf>
    <xf numFmtId="0" fontId="19" fillId="10" borderId="14" xfId="0" applyFont="1" applyFill="1" applyBorder="1" applyAlignment="1">
      <alignment horizontal="left" vertical="center"/>
    </xf>
    <xf numFmtId="0" fontId="19" fillId="10" borderId="27" xfId="0" applyFont="1" applyFill="1" applyBorder="1" applyAlignment="1">
      <alignment horizontal="left" vertical="center"/>
    </xf>
    <xf numFmtId="0" fontId="19" fillId="10" borderId="15" xfId="0" applyFont="1" applyFill="1" applyBorder="1" applyAlignment="1">
      <alignment horizontal="left" vertical="center"/>
    </xf>
    <xf numFmtId="0" fontId="19" fillId="10" borderId="25" xfId="0" applyFont="1" applyFill="1" applyBorder="1" applyAlignment="1">
      <alignment horizontal="left" vertical="center"/>
    </xf>
    <xf numFmtId="0" fontId="19" fillId="10" borderId="0" xfId="0" applyFont="1" applyFill="1" applyAlignment="1">
      <alignment horizontal="left" vertical="center"/>
    </xf>
    <xf numFmtId="0" fontId="19" fillId="10" borderId="32" xfId="0" applyFont="1" applyFill="1" applyBorder="1" applyAlignment="1">
      <alignment horizontal="left" vertical="center"/>
    </xf>
    <xf numFmtId="0" fontId="19" fillId="10" borderId="16" xfId="0" applyFont="1" applyFill="1" applyBorder="1" applyAlignment="1">
      <alignment horizontal="left" vertical="center"/>
    </xf>
    <xf numFmtId="0" fontId="19" fillId="10" borderId="31" xfId="0" applyFont="1" applyFill="1" applyBorder="1" applyAlignment="1">
      <alignment horizontal="left" vertical="center"/>
    </xf>
    <xf numFmtId="0" fontId="19" fillId="10" borderId="17" xfId="0" applyFont="1" applyFill="1" applyBorder="1" applyAlignment="1">
      <alignment horizontal="left" vertical="center"/>
    </xf>
    <xf numFmtId="0" fontId="0" fillId="3" borderId="26" xfId="0" applyFill="1" applyBorder="1" applyAlignment="1">
      <alignment horizontal="center" vertical="center"/>
    </xf>
    <xf numFmtId="0" fontId="0" fillId="3" borderId="24" xfId="0" applyFill="1" applyBorder="1" applyAlignment="1">
      <alignment horizontal="center" vertical="center"/>
    </xf>
    <xf numFmtId="0" fontId="0" fillId="3" borderId="24" xfId="0" applyFill="1" applyBorder="1" applyAlignment="1">
      <alignment horizontal="left" vertical="center"/>
    </xf>
    <xf numFmtId="0" fontId="0" fillId="3" borderId="42" xfId="0" applyFill="1" applyBorder="1" applyAlignment="1">
      <alignment horizontal="left" vertical="center"/>
    </xf>
    <xf numFmtId="0" fontId="6" fillId="3" borderId="4" xfId="0" applyFont="1" applyFill="1" applyBorder="1" applyAlignment="1">
      <alignment vertical="center" wrapText="1"/>
    </xf>
    <xf numFmtId="0" fontId="6" fillId="3" borderId="36" xfId="0" applyFont="1" applyFill="1" applyBorder="1" applyAlignment="1">
      <alignment vertical="center" wrapText="1"/>
    </xf>
    <xf numFmtId="0" fontId="6" fillId="3" borderId="33" xfId="0" applyFont="1" applyFill="1" applyBorder="1" applyAlignment="1">
      <alignment vertical="center" wrapText="1"/>
    </xf>
    <xf numFmtId="0" fontId="6" fillId="3" borderId="38" xfId="0" applyFont="1" applyFill="1" applyBorder="1" applyAlignment="1">
      <alignment vertical="center" wrapText="1"/>
    </xf>
    <xf numFmtId="0" fontId="6" fillId="3" borderId="6" xfId="0" applyFont="1" applyFill="1" applyBorder="1" applyAlignment="1">
      <alignment vertical="center" wrapText="1"/>
    </xf>
    <xf numFmtId="0" fontId="6" fillId="3" borderId="47" xfId="0" applyFont="1" applyFill="1" applyBorder="1" applyAlignment="1">
      <alignment vertical="center" wrapText="1"/>
    </xf>
    <xf numFmtId="0" fontId="0" fillId="3" borderId="20" xfId="0" applyFill="1" applyBorder="1" applyAlignment="1">
      <alignment horizontal="center" vertical="center"/>
    </xf>
    <xf numFmtId="0" fontId="0" fillId="3" borderId="34" xfId="0" applyFill="1" applyBorder="1" applyAlignment="1">
      <alignment horizontal="center" vertical="center"/>
    </xf>
    <xf numFmtId="0" fontId="6" fillId="3" borderId="112" xfId="0" applyFont="1" applyFill="1" applyBorder="1" applyAlignment="1">
      <alignment horizontal="left" vertical="center" wrapText="1"/>
    </xf>
    <xf numFmtId="0" fontId="6" fillId="3" borderId="34" xfId="0" applyFont="1" applyFill="1" applyBorder="1" applyAlignment="1">
      <alignment horizontal="left" vertical="center" wrapText="1"/>
    </xf>
    <xf numFmtId="0" fontId="6" fillId="3" borderId="113" xfId="0" applyFont="1" applyFill="1" applyBorder="1" applyAlignment="1">
      <alignment horizontal="left" vertical="center" wrapText="1"/>
    </xf>
    <xf numFmtId="0" fontId="6" fillId="3" borderId="105"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6" fillId="3" borderId="41" xfId="0" applyFont="1" applyFill="1" applyBorder="1" applyAlignment="1">
      <alignment horizontal="left" vertical="center" wrapText="1"/>
    </xf>
    <xf numFmtId="0" fontId="6" fillId="3" borderId="24" xfId="0" applyFont="1" applyFill="1" applyBorder="1" applyAlignment="1">
      <alignment horizontal="left" vertical="center" wrapText="1"/>
    </xf>
    <xf numFmtId="0" fontId="6" fillId="3" borderId="28"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36" xfId="0" applyFont="1" applyFill="1" applyBorder="1" applyAlignment="1">
      <alignment horizontal="left" vertical="center" wrapText="1"/>
    </xf>
    <xf numFmtId="0" fontId="0" fillId="5" borderId="11" xfId="0" applyFill="1" applyBorder="1" applyAlignment="1">
      <alignment horizontal="left" vertical="center" wrapText="1"/>
    </xf>
    <xf numFmtId="0" fontId="0" fillId="5" borderId="12" xfId="0" applyFill="1" applyBorder="1" applyAlignment="1">
      <alignment horizontal="left" vertical="center" wrapText="1"/>
    </xf>
    <xf numFmtId="0" fontId="0" fillId="5" borderId="5" xfId="0" applyFill="1" applyBorder="1" applyAlignment="1">
      <alignment horizontal="left" vertical="center" wrapText="1"/>
    </xf>
    <xf numFmtId="0" fontId="19" fillId="10" borderId="48" xfId="0" applyFont="1" applyFill="1" applyBorder="1" applyAlignment="1">
      <alignment horizontal="left" vertical="center"/>
    </xf>
    <xf numFmtId="0" fontId="19" fillId="10" borderId="49" xfId="0" applyFont="1" applyFill="1" applyBorder="1" applyAlignment="1">
      <alignment horizontal="left" vertical="center"/>
    </xf>
    <xf numFmtId="0" fontId="19" fillId="10" borderId="52" xfId="0" applyFont="1" applyFill="1" applyBorder="1" applyAlignment="1">
      <alignment horizontal="left" vertical="center"/>
    </xf>
    <xf numFmtId="0" fontId="0" fillId="3" borderId="55" xfId="0" applyFill="1" applyBorder="1" applyAlignment="1">
      <alignment horizontal="left" vertical="center"/>
    </xf>
    <xf numFmtId="0" fontId="0" fillId="3" borderId="44" xfId="0" applyFill="1" applyBorder="1" applyAlignment="1">
      <alignment horizontal="left" vertical="center"/>
    </xf>
    <xf numFmtId="0" fontId="6" fillId="3" borderId="44"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0" fillId="3" borderId="35" xfId="0" applyFill="1" applyBorder="1" applyAlignment="1">
      <alignment horizontal="left" vertical="center"/>
    </xf>
    <xf numFmtId="0" fontId="0" fillId="3" borderId="4" xfId="0" applyFill="1" applyBorder="1" applyAlignment="1">
      <alignment horizontal="left" vertical="center"/>
    </xf>
    <xf numFmtId="0" fontId="6" fillId="3" borderId="43" xfId="0" applyFont="1" applyFill="1" applyBorder="1" applyAlignment="1">
      <alignment vertical="center" wrapText="1"/>
    </xf>
    <xf numFmtId="0" fontId="6" fillId="3" borderId="44" xfId="0" applyFont="1" applyFill="1" applyBorder="1" applyAlignment="1">
      <alignment vertical="center" wrapText="1"/>
    </xf>
    <xf numFmtId="0" fontId="6" fillId="3" borderId="45" xfId="0" applyFont="1" applyFill="1" applyBorder="1" applyAlignment="1">
      <alignment vertical="center" wrapText="1"/>
    </xf>
    <xf numFmtId="0" fontId="0" fillId="3" borderId="55" xfId="0" applyFill="1" applyBorder="1" applyAlignment="1">
      <alignment horizontal="left" vertical="center" wrapText="1"/>
    </xf>
    <xf numFmtId="0" fontId="0" fillId="3" borderId="44" xfId="0" applyFill="1" applyBorder="1" applyAlignment="1">
      <alignment horizontal="left" vertical="center" wrapText="1"/>
    </xf>
    <xf numFmtId="0" fontId="0" fillId="3" borderId="37" xfId="0" applyFill="1" applyBorder="1" applyAlignment="1">
      <alignment horizontal="left" vertical="center" wrapText="1"/>
    </xf>
    <xf numFmtId="0" fontId="0" fillId="3" borderId="33" xfId="0" applyFill="1" applyBorder="1" applyAlignment="1">
      <alignment horizontal="left" vertical="center" wrapText="1"/>
    </xf>
    <xf numFmtId="0" fontId="6" fillId="3" borderId="33"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0" fillId="3" borderId="20" xfId="0" applyFill="1" applyBorder="1" applyAlignment="1">
      <alignment horizontal="left" vertical="center" wrapText="1"/>
    </xf>
    <xf numFmtId="0" fontId="0" fillId="3" borderId="34" xfId="0" applyFill="1" applyBorder="1" applyAlignment="1">
      <alignment horizontal="left" vertical="center" wrapText="1"/>
    </xf>
    <xf numFmtId="0" fontId="0" fillId="3" borderId="43" xfId="0" applyFill="1" applyBorder="1" applyAlignment="1">
      <alignment horizontal="left" vertical="center" wrapText="1"/>
    </xf>
    <xf numFmtId="0" fontId="6" fillId="3" borderId="35" xfId="0" applyFont="1" applyFill="1" applyBorder="1" applyAlignment="1">
      <alignment horizontal="left" vertical="center"/>
    </xf>
    <xf numFmtId="0" fontId="6" fillId="3" borderId="4" xfId="0" applyFont="1" applyFill="1" applyBorder="1" applyAlignment="1">
      <alignment horizontal="left" vertical="center"/>
    </xf>
    <xf numFmtId="0" fontId="4" fillId="3" borderId="55"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45" xfId="0" applyFont="1" applyFill="1" applyBorder="1" applyAlignment="1">
      <alignment horizontal="center" vertical="center"/>
    </xf>
    <xf numFmtId="0" fontId="4" fillId="3" borderId="5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54" xfId="0" applyFont="1" applyFill="1" applyBorder="1" applyAlignment="1">
      <alignment horizontal="center" vertical="center"/>
    </xf>
    <xf numFmtId="0" fontId="6" fillId="3" borderId="40"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0" xfId="0" applyFont="1" applyFill="1" applyBorder="1" applyAlignment="1">
      <alignment horizontal="left" vertical="center" wrapText="1"/>
    </xf>
    <xf numFmtId="0" fontId="4" fillId="3" borderId="48" xfId="0" applyFont="1" applyFill="1" applyBorder="1" applyAlignment="1">
      <alignment horizontal="center"/>
    </xf>
    <xf numFmtId="0" fontId="4" fillId="3" borderId="49" xfId="0" applyFont="1" applyFill="1" applyBorder="1" applyAlignment="1">
      <alignment horizontal="center"/>
    </xf>
    <xf numFmtId="0" fontId="6" fillId="3" borderId="35" xfId="0" applyFont="1" applyFill="1" applyBorder="1" applyAlignment="1">
      <alignment horizontal="left" vertical="center" wrapText="1"/>
    </xf>
    <xf numFmtId="0" fontId="0" fillId="3" borderId="35" xfId="0" applyFill="1" applyBorder="1" applyAlignment="1">
      <alignment horizontal="left" vertical="center" wrapText="1"/>
    </xf>
    <xf numFmtId="0" fontId="0" fillId="3" borderId="4" xfId="0" applyFill="1" applyBorder="1" applyAlignment="1">
      <alignment horizontal="left" vertical="center" wrapText="1"/>
    </xf>
    <xf numFmtId="0" fontId="0" fillId="3" borderId="37" xfId="0" applyFill="1" applyBorder="1" applyAlignment="1">
      <alignment horizontal="left" vertical="center"/>
    </xf>
    <xf numFmtId="0" fontId="0" fillId="3" borderId="33" xfId="0" applyFill="1" applyBorder="1" applyAlignment="1">
      <alignment horizontal="left" vertical="center"/>
    </xf>
    <xf numFmtId="0" fontId="6" fillId="3" borderId="42" xfId="0" applyFont="1" applyFill="1" applyBorder="1" applyAlignment="1">
      <alignment vertical="center" wrapText="1"/>
    </xf>
    <xf numFmtId="0" fontId="6" fillId="3" borderId="5" xfId="0" applyFont="1" applyFill="1" applyBorder="1" applyAlignment="1">
      <alignment vertical="center" wrapText="1"/>
    </xf>
    <xf numFmtId="0" fontId="19" fillId="10" borderId="0" xfId="0" applyFont="1" applyFill="1" applyBorder="1" applyAlignment="1">
      <alignment horizontal="left"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0" fillId="0" borderId="20" xfId="0" applyBorder="1" applyAlignment="1">
      <alignment horizontal="left" vertical="center" wrapText="1"/>
    </xf>
    <xf numFmtId="0" fontId="0" fillId="0" borderId="34" xfId="0" applyBorder="1" applyAlignment="1">
      <alignment horizontal="left" vertical="center" wrapText="1"/>
    </xf>
    <xf numFmtId="0" fontId="0" fillId="0" borderId="43" xfId="0" applyBorder="1" applyAlignment="1">
      <alignment horizontal="left" vertical="center" wrapText="1"/>
    </xf>
    <xf numFmtId="0" fontId="6" fillId="0" borderId="44" xfId="0" applyFont="1" applyBorder="1" applyAlignment="1">
      <alignment vertical="center" wrapText="1"/>
    </xf>
    <xf numFmtId="0" fontId="6" fillId="0" borderId="45" xfId="0" applyFont="1" applyBorder="1" applyAlignment="1">
      <alignment vertical="center" wrapText="1"/>
    </xf>
    <xf numFmtId="0" fontId="6" fillId="0" borderId="5" xfId="0" quotePrefix="1" applyFont="1" applyBorder="1" applyAlignment="1">
      <alignment vertical="center" wrapText="1"/>
    </xf>
    <xf numFmtId="0" fontId="0" fillId="0" borderId="46" xfId="0" applyBorder="1" applyAlignment="1">
      <alignment horizontal="left" vertical="center" wrapText="1"/>
    </xf>
    <xf numFmtId="0" fontId="0" fillId="0" borderId="114" xfId="0" applyBorder="1" applyAlignment="1">
      <alignment horizontal="left" vertical="center" wrapText="1"/>
    </xf>
    <xf numFmtId="0" fontId="0" fillId="0" borderId="55" xfId="0" applyBorder="1" applyAlignment="1">
      <alignment horizontal="left" vertical="center"/>
    </xf>
    <xf numFmtId="0" fontId="0" fillId="0" borderId="44" xfId="0" applyBorder="1" applyAlignment="1">
      <alignment horizontal="left" vertical="center"/>
    </xf>
    <xf numFmtId="0" fontId="0" fillId="0" borderId="35" xfId="0" applyBorder="1" applyAlignment="1">
      <alignment horizontal="left" vertical="center" wrapText="1"/>
    </xf>
    <xf numFmtId="0" fontId="0" fillId="21" borderId="8" xfId="0" applyFill="1" applyBorder="1" applyAlignment="1">
      <alignment vertical="center" wrapText="1"/>
    </xf>
    <xf numFmtId="0" fontId="0" fillId="21" borderId="7" xfId="0" applyFill="1" applyBorder="1" applyAlignment="1">
      <alignment vertical="center" wrapText="1"/>
    </xf>
    <xf numFmtId="0" fontId="19" fillId="25" borderId="101" xfId="0" applyFont="1" applyFill="1" applyBorder="1" applyAlignment="1">
      <alignment horizontal="left"/>
    </xf>
    <xf numFmtId="0" fontId="6" fillId="0" borderId="101" xfId="0" applyFont="1" applyBorder="1" applyAlignment="1">
      <alignment horizontal="left" vertical="center" wrapText="1"/>
    </xf>
    <xf numFmtId="0" fontId="21" fillId="0" borderId="116" xfId="0" applyFont="1" applyBorder="1" applyAlignment="1">
      <alignment horizontal="center" vertical="center"/>
    </xf>
    <xf numFmtId="0" fontId="21" fillId="0" borderId="29" xfId="0" applyFont="1" applyBorder="1" applyAlignment="1">
      <alignment horizontal="center" vertical="center"/>
    </xf>
    <xf numFmtId="0" fontId="21" fillId="0" borderId="25" xfId="0" applyFont="1" applyBorder="1" applyAlignment="1">
      <alignment horizontal="center" vertical="center"/>
    </xf>
    <xf numFmtId="0" fontId="21" fillId="0" borderId="32"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6" fillId="0" borderId="105" xfId="0" applyFont="1" applyBorder="1" applyAlignment="1">
      <alignment horizontal="left" vertical="center" wrapText="1" indent="10"/>
    </xf>
    <xf numFmtId="0" fontId="6" fillId="0" borderId="12" xfId="0" applyFont="1" applyBorder="1" applyAlignment="1">
      <alignment horizontal="left" vertical="center" wrapText="1" indent="10"/>
    </xf>
    <xf numFmtId="0" fontId="6" fillId="0" borderId="106" xfId="0" applyFont="1" applyBorder="1" applyAlignment="1">
      <alignment horizontal="left" vertical="center" wrapText="1" indent="10"/>
    </xf>
    <xf numFmtId="0" fontId="0" fillId="0" borderId="105" xfId="0" applyFill="1" applyBorder="1" applyAlignment="1">
      <alignment horizontal="center"/>
    </xf>
    <xf numFmtId="0" fontId="0" fillId="0" borderId="12" xfId="0" applyFill="1" applyBorder="1" applyAlignment="1">
      <alignment horizontal="center"/>
    </xf>
    <xf numFmtId="0" fontId="0" fillId="0" borderId="106" xfId="0" applyFill="1" applyBorder="1" applyAlignment="1">
      <alignment horizontal="center"/>
    </xf>
    <xf numFmtId="0" fontId="6" fillId="0" borderId="101" xfId="0" applyFont="1" applyBorder="1" applyAlignment="1">
      <alignment horizontal="left" vertical="center" indent="5"/>
    </xf>
    <xf numFmtId="0" fontId="6" fillId="0" borderId="101" xfId="0" applyFont="1" applyBorder="1" applyAlignment="1">
      <alignment horizontal="left" vertical="center" wrapText="1" indent="5"/>
    </xf>
    <xf numFmtId="0" fontId="19" fillId="25" borderId="0" xfId="0" applyFont="1" applyFill="1" applyBorder="1" applyAlignment="1">
      <alignment horizontal="left"/>
    </xf>
    <xf numFmtId="0" fontId="0" fillId="0" borderId="105" xfId="0" applyBorder="1" applyAlignment="1">
      <alignment horizontal="center" vertical="center" wrapText="1"/>
    </xf>
    <xf numFmtId="0" fontId="0" fillId="0" borderId="12" xfId="0" applyBorder="1" applyAlignment="1">
      <alignment horizontal="center" vertical="center" wrapText="1"/>
    </xf>
    <xf numFmtId="0" fontId="0" fillId="0" borderId="106" xfId="0" applyBorder="1" applyAlignment="1">
      <alignment horizontal="center" vertical="center" wrapText="1"/>
    </xf>
    <xf numFmtId="0" fontId="0" fillId="0" borderId="101" xfId="0" applyBorder="1" applyAlignment="1">
      <alignment horizontal="center" vertical="center" wrapText="1"/>
    </xf>
    <xf numFmtId="0" fontId="0" fillId="7" borderId="105" xfId="0" applyFill="1" applyBorder="1" applyAlignment="1">
      <alignment horizontal="left" vertical="center" wrapText="1"/>
    </xf>
    <xf numFmtId="0" fontId="0" fillId="7" borderId="12" xfId="0" applyFill="1" applyBorder="1" applyAlignment="1">
      <alignment horizontal="left" vertical="center" wrapText="1"/>
    </xf>
    <xf numFmtId="0" fontId="0" fillId="7" borderId="106" xfId="0" applyFill="1" applyBorder="1" applyAlignment="1">
      <alignment horizontal="left" vertical="center" wrapText="1"/>
    </xf>
    <xf numFmtId="180" fontId="6" fillId="0" borderId="69" xfId="0" applyNumberFormat="1" applyFont="1" applyFill="1" applyBorder="1" applyAlignment="1">
      <alignment horizontal="left" vertical="center" wrapText="1"/>
    </xf>
    <xf numFmtId="180" fontId="6" fillId="0" borderId="56" xfId="0" applyNumberFormat="1" applyFont="1" applyFill="1" applyBorder="1" applyAlignment="1">
      <alignment horizontal="left" vertical="center" wrapText="1"/>
    </xf>
    <xf numFmtId="180" fontId="6" fillId="0" borderId="73" xfId="0" applyNumberFormat="1" applyFont="1" applyFill="1" applyBorder="1" applyAlignment="1">
      <alignment horizontal="left" vertical="center" wrapText="1"/>
    </xf>
    <xf numFmtId="180" fontId="6" fillId="0" borderId="107" xfId="0" applyNumberFormat="1" applyFont="1" applyFill="1" applyBorder="1" applyAlignment="1">
      <alignment horizontal="center" vertical="center"/>
    </xf>
    <xf numFmtId="180" fontId="15" fillId="0" borderId="107" xfId="0" applyNumberFormat="1" applyFont="1" applyFill="1" applyBorder="1" applyAlignment="1">
      <alignment horizontal="center" vertical="center"/>
    </xf>
    <xf numFmtId="180" fontId="15" fillId="0" borderId="0" xfId="0" applyNumberFormat="1" applyFont="1" applyFill="1" applyBorder="1" applyAlignment="1">
      <alignment horizontal="center" vertical="center"/>
    </xf>
    <xf numFmtId="180" fontId="15" fillId="0" borderId="1" xfId="0" applyNumberFormat="1" applyFont="1" applyFill="1" applyBorder="1" applyAlignment="1">
      <alignment horizontal="center" vertical="center"/>
    </xf>
    <xf numFmtId="0" fontId="0" fillId="0" borderId="0" xfId="1" applyNumberFormat="1" applyFont="1" applyFill="1" applyBorder="1" applyAlignment="1">
      <alignment horizontal="left" vertical="center" wrapText="1"/>
    </xf>
    <xf numFmtId="0" fontId="7" fillId="0" borderId="0" xfId="0" applyFont="1" applyFill="1" applyBorder="1" applyAlignment="1">
      <alignment horizontal="center" vertical="center"/>
    </xf>
    <xf numFmtId="180" fontId="6" fillId="0" borderId="0" xfId="0" applyNumberFormat="1" applyFont="1" applyFill="1" applyBorder="1" applyAlignment="1">
      <alignment horizontal="left" vertical="center" wrapText="1"/>
    </xf>
    <xf numFmtId="0" fontId="0" fillId="0" borderId="10" xfId="0" applyFont="1" applyBorder="1" applyAlignment="1">
      <alignment horizontal="left" vertical="center" wrapText="1"/>
    </xf>
    <xf numFmtId="0" fontId="0" fillId="0" borderId="1" xfId="0" applyFont="1" applyBorder="1" applyAlignment="1">
      <alignment horizontal="left" vertical="center" wrapText="1"/>
    </xf>
    <xf numFmtId="0" fontId="0" fillId="0" borderId="9" xfId="0" applyFont="1" applyBorder="1" applyAlignment="1">
      <alignment horizontal="left" vertical="center" wrapText="1"/>
    </xf>
    <xf numFmtId="44" fontId="0" fillId="0" borderId="3" xfId="1" applyFont="1" applyFill="1" applyBorder="1" applyAlignment="1">
      <alignment horizontal="center" vertical="center"/>
    </xf>
    <xf numFmtId="44" fontId="0" fillId="0" borderId="0" xfId="1" applyFont="1" applyFill="1" applyBorder="1" applyAlignment="1">
      <alignment horizontal="center" vertical="center"/>
    </xf>
    <xf numFmtId="44" fontId="0" fillId="0" borderId="8" xfId="1" applyFont="1" applyFill="1" applyBorder="1" applyAlignment="1">
      <alignment horizontal="center" vertical="center"/>
    </xf>
    <xf numFmtId="44" fontId="0" fillId="0" borderId="10" xfId="1" applyFont="1" applyFill="1" applyBorder="1" applyAlignment="1">
      <alignment horizontal="center" vertical="center"/>
    </xf>
    <xf numFmtId="44" fontId="0" fillId="0" borderId="1" xfId="1" applyFont="1" applyFill="1" applyBorder="1" applyAlignment="1">
      <alignment horizontal="center" vertical="center"/>
    </xf>
    <xf numFmtId="44" fontId="0" fillId="0" borderId="9" xfId="1" applyFont="1" applyFill="1" applyBorder="1" applyAlignment="1">
      <alignment horizontal="center" vertical="center"/>
    </xf>
    <xf numFmtId="0" fontId="0" fillId="0" borderId="72" xfId="0" applyFont="1" applyBorder="1" applyAlignment="1">
      <alignment horizontal="left" vertical="center" wrapText="1"/>
    </xf>
    <xf numFmtId="0" fontId="0" fillId="0" borderId="69" xfId="0" applyFont="1" applyBorder="1" applyAlignment="1">
      <alignment horizontal="left" vertical="center" wrapText="1"/>
    </xf>
    <xf numFmtId="0" fontId="0" fillId="0" borderId="71" xfId="0" applyFont="1" applyBorder="1" applyAlignment="1">
      <alignment horizontal="left" vertical="center" wrapText="1"/>
    </xf>
    <xf numFmtId="0" fontId="7" fillId="8" borderId="102" xfId="0" applyFont="1" applyFill="1" applyBorder="1" applyAlignment="1">
      <alignment horizontal="center" vertical="center"/>
    </xf>
    <xf numFmtId="0" fontId="7" fillId="8" borderId="107" xfId="0" applyFont="1" applyFill="1" applyBorder="1" applyAlignment="1">
      <alignment horizontal="center" vertical="center"/>
    </xf>
    <xf numFmtId="0" fontId="7" fillId="8" borderId="103" xfId="0" applyFont="1" applyFill="1" applyBorder="1" applyAlignment="1">
      <alignment horizontal="center" vertical="center"/>
    </xf>
    <xf numFmtId="0" fontId="0" fillId="22" borderId="72" xfId="0" applyFont="1" applyFill="1" applyBorder="1" applyAlignment="1">
      <alignment horizontal="left" vertical="center" wrapText="1"/>
    </xf>
    <xf numFmtId="0" fontId="0" fillId="22" borderId="69" xfId="0" applyFont="1" applyFill="1" applyBorder="1" applyAlignment="1">
      <alignment horizontal="left" vertical="center" wrapText="1"/>
    </xf>
    <xf numFmtId="0" fontId="0" fillId="22" borderId="71" xfId="0" applyFont="1" applyFill="1" applyBorder="1" applyAlignment="1">
      <alignment horizontal="left" vertical="center" wrapText="1"/>
    </xf>
    <xf numFmtId="0" fontId="0" fillId="22" borderId="83" xfId="0" applyFont="1" applyFill="1" applyBorder="1" applyAlignment="1">
      <alignment horizontal="left" vertical="center" wrapText="1"/>
    </xf>
    <xf numFmtId="0" fontId="0" fillId="22" borderId="79" xfId="0" applyFont="1" applyFill="1" applyBorder="1" applyAlignment="1">
      <alignment horizontal="left" vertical="center" wrapText="1"/>
    </xf>
    <xf numFmtId="0" fontId="0" fillId="22" borderId="84" xfId="0" applyFont="1" applyFill="1" applyBorder="1" applyAlignment="1">
      <alignment horizontal="left" vertical="center" wrapText="1"/>
    </xf>
    <xf numFmtId="0" fontId="0" fillId="0" borderId="3" xfId="0" applyFont="1" applyBorder="1" applyAlignment="1">
      <alignment horizontal="left" vertical="center" wrapText="1"/>
    </xf>
    <xf numFmtId="0" fontId="0" fillId="0" borderId="0" xfId="0" applyFont="1" applyBorder="1" applyAlignment="1">
      <alignment horizontal="left" vertical="center" wrapText="1"/>
    </xf>
    <xf numFmtId="0" fontId="0" fillId="0" borderId="8" xfId="0" applyFont="1" applyBorder="1" applyAlignment="1">
      <alignment horizontal="left" vertical="center" wrapText="1"/>
    </xf>
    <xf numFmtId="0" fontId="0" fillId="0" borderId="12" xfId="0" applyFont="1" applyBorder="1" applyAlignment="1">
      <alignment horizontal="left" vertical="center" wrapText="1"/>
    </xf>
    <xf numFmtId="0" fontId="7" fillId="8" borderId="3" xfId="0" applyFont="1" applyFill="1" applyBorder="1" applyAlignment="1">
      <alignment horizontal="center" vertical="center"/>
    </xf>
    <xf numFmtId="0" fontId="7" fillId="8" borderId="0" xfId="0" applyFont="1" applyFill="1" applyBorder="1" applyAlignment="1">
      <alignment horizontal="center" vertical="center"/>
    </xf>
    <xf numFmtId="0" fontId="7" fillId="8" borderId="8" xfId="0" applyFont="1" applyFill="1" applyBorder="1" applyAlignment="1">
      <alignment horizontal="center" vertical="center"/>
    </xf>
    <xf numFmtId="0" fontId="0" fillId="0" borderId="10" xfId="0" quotePrefix="1" applyFont="1" applyBorder="1" applyAlignment="1">
      <alignment horizontal="left" vertical="center" wrapText="1"/>
    </xf>
    <xf numFmtId="44" fontId="0" fillId="22" borderId="102" xfId="1" applyFont="1" applyFill="1" applyBorder="1" applyAlignment="1">
      <alignment horizontal="center"/>
    </xf>
    <xf numFmtId="44" fontId="0" fillId="22" borderId="107" xfId="1" applyFont="1" applyFill="1" applyBorder="1" applyAlignment="1">
      <alignment horizontal="center"/>
    </xf>
    <xf numFmtId="44" fontId="0" fillId="22" borderId="103" xfId="1" applyFont="1" applyFill="1" applyBorder="1" applyAlignment="1">
      <alignment horizontal="center"/>
    </xf>
    <xf numFmtId="0" fontId="0" fillId="0" borderId="81" xfId="0" applyBorder="1" applyAlignment="1">
      <alignment horizontal="center" vertical="center"/>
    </xf>
    <xf numFmtId="0" fontId="0" fillId="0" borderId="82" xfId="0" applyBorder="1" applyAlignment="1">
      <alignment horizontal="center" vertical="center"/>
    </xf>
    <xf numFmtId="0" fontId="0" fillId="21" borderId="7" xfId="0" applyFill="1" applyBorder="1" applyAlignment="1">
      <alignment horizontal="center" vertical="center" wrapText="1"/>
    </xf>
    <xf numFmtId="0" fontId="0" fillId="21" borderId="6" xfId="0" applyFill="1" applyBorder="1" applyAlignment="1">
      <alignment horizontal="center" vertical="center" wrapText="1"/>
    </xf>
    <xf numFmtId="0" fontId="0" fillId="21" borderId="23" xfId="0" applyFill="1" applyBorder="1" applyAlignment="1">
      <alignment horizontal="center" vertical="center" wrapText="1"/>
    </xf>
    <xf numFmtId="0" fontId="0" fillId="21" borderId="3" xfId="0" applyFill="1" applyBorder="1" applyAlignment="1">
      <alignment horizontal="center" vertical="center" wrapText="1"/>
    </xf>
    <xf numFmtId="0" fontId="0" fillId="21" borderId="10" xfId="0" applyFill="1" applyBorder="1" applyAlignment="1">
      <alignment horizontal="center" vertical="center" wrapText="1"/>
    </xf>
    <xf numFmtId="172" fontId="6" fillId="0" borderId="3" xfId="17" quotePrefix="1" applyNumberFormat="1" applyFont="1" applyFill="1" applyBorder="1" applyAlignment="1">
      <alignment horizontal="left" vertical="center" wrapText="1"/>
    </xf>
    <xf numFmtId="172" fontId="6" fillId="0" borderId="0" xfId="17" quotePrefix="1" applyNumberFormat="1" applyFont="1" applyFill="1" applyBorder="1" applyAlignment="1">
      <alignment horizontal="left" vertical="center" wrapText="1"/>
    </xf>
    <xf numFmtId="172" fontId="6" fillId="0" borderId="8" xfId="17" quotePrefix="1" applyNumberFormat="1" applyFont="1" applyFill="1" applyBorder="1" applyAlignment="1">
      <alignment horizontal="left" vertical="center" wrapText="1"/>
    </xf>
    <xf numFmtId="172" fontId="6" fillId="0" borderId="10" xfId="17" quotePrefix="1" applyNumberFormat="1" applyFont="1" applyFill="1" applyBorder="1" applyAlignment="1">
      <alignment horizontal="left" vertical="center" wrapText="1"/>
    </xf>
    <xf numFmtId="172" fontId="6" fillId="0" borderId="1" xfId="17" quotePrefix="1" applyNumberFormat="1" applyFont="1" applyFill="1" applyBorder="1" applyAlignment="1">
      <alignment horizontal="left" vertical="center" wrapText="1"/>
    </xf>
    <xf numFmtId="172" fontId="6" fillId="0" borderId="9" xfId="17" quotePrefix="1" applyNumberFormat="1" applyFont="1" applyFill="1" applyBorder="1" applyAlignment="1">
      <alignment horizontal="left" vertical="center" wrapText="1"/>
    </xf>
    <xf numFmtId="0" fontId="0" fillId="0" borderId="102" xfId="0" quotePrefix="1" applyFont="1" applyBorder="1" applyAlignment="1">
      <alignment horizontal="left" vertical="center" wrapText="1"/>
    </xf>
    <xf numFmtId="0" fontId="0" fillId="0" borderId="107" xfId="0" applyFont="1" applyBorder="1" applyAlignment="1">
      <alignment horizontal="left" vertical="center" wrapText="1"/>
    </xf>
    <xf numFmtId="0" fontId="0" fillId="0" borderId="103" xfId="0" applyFont="1" applyBorder="1" applyAlignment="1">
      <alignment horizontal="left" vertical="center" wrapText="1"/>
    </xf>
    <xf numFmtId="0" fontId="1" fillId="0" borderId="76" xfId="0" applyFont="1" applyBorder="1" applyAlignment="1">
      <alignment horizontal="left" vertical="center" wrapText="1"/>
    </xf>
    <xf numFmtId="0" fontId="1" fillId="0" borderId="77" xfId="0" applyFont="1" applyBorder="1" applyAlignment="1">
      <alignment horizontal="left" vertical="center" wrapText="1"/>
    </xf>
    <xf numFmtId="0" fontId="0" fillId="0" borderId="105" xfId="0" applyNumberFormat="1" applyFont="1" applyFill="1" applyBorder="1" applyAlignment="1">
      <alignment horizontal="left" vertical="center" wrapText="1"/>
    </xf>
    <xf numFmtId="0" fontId="0" fillId="0" borderId="12" xfId="0" applyNumberFormat="1" applyFont="1" applyFill="1" applyBorder="1" applyAlignment="1">
      <alignment horizontal="left" vertical="center" wrapText="1"/>
    </xf>
    <xf numFmtId="0" fontId="0" fillId="0" borderId="106" xfId="0" applyNumberFormat="1" applyFont="1" applyFill="1" applyBorder="1" applyAlignment="1">
      <alignment horizontal="left" vertical="center" wrapText="1"/>
    </xf>
    <xf numFmtId="0" fontId="0" fillId="0" borderId="76" xfId="0" applyFont="1" applyBorder="1" applyAlignment="1">
      <alignment horizontal="left" vertical="center" wrapText="1"/>
    </xf>
    <xf numFmtId="0" fontId="0" fillId="0" borderId="56" xfId="0" applyFont="1" applyBorder="1" applyAlignment="1">
      <alignment horizontal="left" vertical="center" wrapText="1"/>
    </xf>
    <xf numFmtId="0" fontId="0" fillId="0" borderId="77" xfId="0" applyFont="1" applyBorder="1" applyAlignment="1">
      <alignment horizontal="left" vertical="center" wrapText="1"/>
    </xf>
    <xf numFmtId="0" fontId="0" fillId="3" borderId="76" xfId="0" applyFill="1" applyBorder="1" applyAlignment="1">
      <alignment horizontal="center" vertical="center"/>
    </xf>
    <xf numFmtId="0" fontId="0" fillId="3" borderId="77" xfId="0" applyFill="1" applyBorder="1" applyAlignment="1">
      <alignment horizontal="center" vertical="center"/>
    </xf>
    <xf numFmtId="0" fontId="4" fillId="21" borderId="23" xfId="0" applyFont="1" applyFill="1" applyBorder="1" applyAlignment="1">
      <alignment horizontal="center" vertical="center" wrapText="1"/>
    </xf>
    <xf numFmtId="0" fontId="4" fillId="21" borderId="13" xfId="0" applyFont="1" applyFill="1" applyBorder="1" applyAlignment="1">
      <alignment horizontal="center" vertical="center" wrapText="1"/>
    </xf>
    <xf numFmtId="0" fontId="4" fillId="21" borderId="18" xfId="0" applyFont="1" applyFill="1" applyBorder="1" applyAlignment="1">
      <alignment horizontal="center" vertical="center" wrapText="1"/>
    </xf>
    <xf numFmtId="0" fontId="0" fillId="0" borderId="23" xfId="0" applyBorder="1" applyAlignment="1">
      <alignment horizontal="left" vertical="center" wrapText="1"/>
    </xf>
    <xf numFmtId="0" fontId="0" fillId="0" borderId="13" xfId="0" applyBorder="1" applyAlignment="1">
      <alignment horizontal="left" vertical="center" wrapText="1"/>
    </xf>
    <xf numFmtId="0" fontId="0" fillId="0" borderId="18" xfId="0"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9" fontId="0" fillId="21" borderId="2" xfId="1" applyNumberFormat="1" applyFont="1" applyFill="1" applyBorder="1" applyAlignment="1">
      <alignment horizontal="center" vertical="center"/>
    </xf>
    <xf numFmtId="9" fontId="0" fillId="21" borderId="6" xfId="1" applyNumberFormat="1" applyFont="1" applyFill="1" applyBorder="1" applyAlignment="1">
      <alignment horizontal="center" vertical="center"/>
    </xf>
    <xf numFmtId="44" fontId="60" fillId="24" borderId="105" xfId="1" applyFont="1" applyFill="1" applyBorder="1" applyAlignment="1">
      <alignment horizontal="center" vertical="center"/>
    </xf>
    <xf numFmtId="44" fontId="60" fillId="24" borderId="12" xfId="1" applyFont="1" applyFill="1" applyBorder="1" applyAlignment="1">
      <alignment horizontal="center" vertical="center"/>
    </xf>
    <xf numFmtId="44" fontId="60" fillId="24" borderId="106" xfId="1" applyFont="1" applyFill="1" applyBorder="1" applyAlignment="1">
      <alignment horizontal="center" vertical="center"/>
    </xf>
    <xf numFmtId="44" fontId="1" fillId="2" borderId="105" xfId="1" applyFont="1" applyFill="1" applyBorder="1" applyAlignment="1">
      <alignment horizontal="center" vertical="center"/>
    </xf>
    <xf numFmtId="44" fontId="1" fillId="2" borderId="12" xfId="1" applyFont="1" applyFill="1" applyBorder="1" applyAlignment="1">
      <alignment horizontal="center" vertical="center"/>
    </xf>
    <xf numFmtId="44" fontId="1" fillId="2" borderId="106" xfId="1" applyFont="1" applyFill="1" applyBorder="1" applyAlignment="1">
      <alignment horizontal="center" vertical="center"/>
    </xf>
    <xf numFmtId="0" fontId="32" fillId="0" borderId="0" xfId="0" applyFont="1" applyAlignment="1">
      <alignment horizontal="center"/>
    </xf>
    <xf numFmtId="0" fontId="18" fillId="24" borderId="92" xfId="0" applyFont="1" applyFill="1" applyBorder="1" applyAlignment="1">
      <alignment horizontal="left" vertical="center" wrapText="1"/>
    </xf>
    <xf numFmtId="0" fontId="18" fillId="24" borderId="93" xfId="0" applyFont="1" applyFill="1" applyBorder="1" applyAlignment="1">
      <alignment horizontal="left" vertical="center" wrapText="1"/>
    </xf>
    <xf numFmtId="0" fontId="0" fillId="24" borderId="76" xfId="0" applyFill="1" applyBorder="1" applyAlignment="1">
      <alignment horizontal="center"/>
    </xf>
    <xf numFmtId="0" fontId="0" fillId="24" borderId="77" xfId="0" applyFill="1" applyBorder="1" applyAlignment="1">
      <alignment horizontal="center"/>
    </xf>
    <xf numFmtId="0" fontId="0" fillId="0" borderId="102" xfId="0" applyBorder="1" applyAlignment="1">
      <alignment horizontal="left" vertical="center" wrapText="1"/>
    </xf>
    <xf numFmtId="0" fontId="0" fillId="0" borderId="107" xfId="0" applyBorder="1" applyAlignment="1">
      <alignment horizontal="left" vertical="center" wrapText="1"/>
    </xf>
    <xf numFmtId="9" fontId="0" fillId="24" borderId="103" xfId="1" applyNumberFormat="1" applyFont="1" applyFill="1" applyBorder="1" applyAlignment="1">
      <alignment horizontal="center" vertical="center"/>
    </xf>
    <xf numFmtId="9" fontId="0" fillId="24" borderId="9" xfId="1" applyNumberFormat="1" applyFont="1" applyFill="1" applyBorder="1" applyAlignment="1">
      <alignment horizontal="center" vertical="center"/>
    </xf>
    <xf numFmtId="9" fontId="0" fillId="24" borderId="84" xfId="1" applyNumberFormat="1" applyFont="1" applyFill="1" applyBorder="1" applyAlignment="1">
      <alignment horizontal="center" vertical="center"/>
    </xf>
    <xf numFmtId="9" fontId="0" fillId="24" borderId="82" xfId="1" applyNumberFormat="1" applyFont="1" applyFill="1" applyBorder="1" applyAlignment="1">
      <alignment horizontal="center" vertical="center"/>
    </xf>
    <xf numFmtId="0" fontId="0" fillId="24" borderId="76" xfId="0" quotePrefix="1" applyFill="1" applyBorder="1" applyAlignment="1">
      <alignment horizontal="center"/>
    </xf>
    <xf numFmtId="0" fontId="0" fillId="24" borderId="77" xfId="0" quotePrefix="1" applyFill="1" applyBorder="1" applyAlignment="1">
      <alignment horizontal="center"/>
    </xf>
    <xf numFmtId="0" fontId="4" fillId="0" borderId="102" xfId="0" applyFont="1" applyBorder="1" applyAlignment="1">
      <alignment horizontal="center" vertical="center" wrapText="1"/>
    </xf>
    <xf numFmtId="0" fontId="4" fillId="0" borderId="10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0" xfId="0" applyFont="1" applyBorder="1" applyAlignment="1">
      <alignment horizontal="left"/>
    </xf>
    <xf numFmtId="0" fontId="4" fillId="0" borderId="12" xfId="0" applyFont="1" applyBorder="1" applyAlignment="1">
      <alignment horizontal="left"/>
    </xf>
    <xf numFmtId="0" fontId="4" fillId="0" borderId="106" xfId="0" applyFont="1" applyBorder="1" applyAlignment="1">
      <alignment horizontal="left"/>
    </xf>
    <xf numFmtId="0" fontId="18" fillId="24" borderId="89" xfId="0" applyFont="1" applyFill="1" applyBorder="1" applyAlignment="1">
      <alignment horizontal="left" vertical="center" wrapText="1"/>
    </xf>
    <xf numFmtId="0" fontId="18" fillId="24" borderId="90" xfId="0" applyFont="1" applyFill="1" applyBorder="1" applyAlignment="1">
      <alignment horizontal="left" vertical="center" wrapText="1"/>
    </xf>
    <xf numFmtId="0" fontId="4" fillId="0" borderId="107" xfId="0" applyFont="1" applyBorder="1" applyAlignment="1">
      <alignment horizontal="center" vertical="center" wrapText="1"/>
    </xf>
    <xf numFmtId="0" fontId="0" fillId="24" borderId="83" xfId="0" applyFill="1" applyBorder="1" applyAlignment="1">
      <alignment horizontal="center"/>
    </xf>
    <xf numFmtId="0" fontId="0" fillId="24" borderId="84" xfId="0" applyFill="1" applyBorder="1" applyAlignment="1">
      <alignment horizontal="center"/>
    </xf>
    <xf numFmtId="9" fontId="0" fillId="24" borderId="71" xfId="1" applyNumberFormat="1" applyFont="1" applyFill="1" applyBorder="1" applyAlignment="1">
      <alignment horizontal="center" vertical="center"/>
    </xf>
    <xf numFmtId="0" fontId="18" fillId="24" borderId="95" xfId="0" applyFont="1" applyFill="1" applyBorder="1" applyAlignment="1">
      <alignment horizontal="left" vertical="center" wrapText="1"/>
    </xf>
    <xf numFmtId="0" fontId="18" fillId="24" borderId="96" xfId="0" applyFont="1" applyFill="1" applyBorder="1" applyAlignment="1">
      <alignment horizontal="left" vertical="center" wrapText="1"/>
    </xf>
    <xf numFmtId="0" fontId="0" fillId="24" borderId="81" xfId="0" applyFill="1" applyBorder="1" applyAlignment="1">
      <alignment horizontal="center"/>
    </xf>
    <xf numFmtId="0" fontId="0" fillId="24" borderId="82" xfId="0" applyFill="1" applyBorder="1" applyAlignment="1">
      <alignment horizontal="center"/>
    </xf>
    <xf numFmtId="0" fontId="0" fillId="0" borderId="0" xfId="0" applyAlignment="1">
      <alignment horizontal="left"/>
    </xf>
    <xf numFmtId="0" fontId="18" fillId="0" borderId="0" xfId="0" applyFont="1" applyAlignment="1">
      <alignment horizontal="left"/>
    </xf>
    <xf numFmtId="9" fontId="0" fillId="15" borderId="101" xfId="17" applyFont="1" applyFill="1" applyBorder="1" applyAlignment="1">
      <alignment horizontal="left" vertical="center" wrapText="1"/>
    </xf>
    <xf numFmtId="0" fontId="0" fillId="0" borderId="72" xfId="0" applyBorder="1" applyAlignment="1">
      <alignment horizontal="left" vertical="center"/>
    </xf>
    <xf numFmtId="0" fontId="0" fillId="0" borderId="69" xfId="0" applyBorder="1" applyAlignment="1">
      <alignment horizontal="left" vertical="center"/>
    </xf>
    <xf numFmtId="0" fontId="0" fillId="0" borderId="71" xfId="0" applyBorder="1" applyAlignment="1">
      <alignment horizontal="left" vertical="center"/>
    </xf>
    <xf numFmtId="0" fontId="0" fillId="0" borderId="76" xfId="0" applyBorder="1" applyAlignment="1">
      <alignment horizontal="left" vertical="center"/>
    </xf>
    <xf numFmtId="0" fontId="0" fillId="0" borderId="56" xfId="0" applyBorder="1" applyAlignment="1">
      <alignment horizontal="left" vertical="center"/>
    </xf>
    <xf numFmtId="0" fontId="0" fillId="0" borderId="77" xfId="0" applyBorder="1" applyAlignment="1">
      <alignment horizontal="left" vertical="center"/>
    </xf>
    <xf numFmtId="0" fontId="6" fillId="0" borderId="83" xfId="0" applyFont="1" applyBorder="1" applyAlignment="1">
      <alignment horizontal="left" vertical="top" wrapText="1"/>
    </xf>
    <xf numFmtId="0" fontId="6" fillId="0" borderId="79" xfId="0" applyFont="1" applyBorder="1" applyAlignment="1">
      <alignment horizontal="left" vertical="top" wrapText="1"/>
    </xf>
    <xf numFmtId="0" fontId="6" fillId="0" borderId="84" xfId="0" applyFont="1" applyBorder="1" applyAlignment="1">
      <alignment horizontal="left" vertical="top" wrapText="1"/>
    </xf>
    <xf numFmtId="0" fontId="0" fillId="0" borderId="76" xfId="0" applyBorder="1" applyAlignment="1">
      <alignment horizontal="left" vertical="top" wrapText="1"/>
    </xf>
    <xf numFmtId="0" fontId="0" fillId="0" borderId="56" xfId="0" applyBorder="1" applyAlignment="1">
      <alignment horizontal="left" vertical="top" wrapText="1"/>
    </xf>
    <xf numFmtId="0" fontId="0" fillId="0" borderId="77" xfId="0" applyBorder="1" applyAlignment="1">
      <alignment horizontal="left" vertical="top" wrapText="1"/>
    </xf>
    <xf numFmtId="0" fontId="0" fillId="0" borderId="76" xfId="0" applyBorder="1" applyAlignment="1">
      <alignment horizontal="left" vertical="top"/>
    </xf>
    <xf numFmtId="0" fontId="0" fillId="0" borderId="56" xfId="0" applyBorder="1" applyAlignment="1">
      <alignment horizontal="left" vertical="top"/>
    </xf>
    <xf numFmtId="0" fontId="0" fillId="0" borderId="77" xfId="0" applyBorder="1" applyAlignment="1">
      <alignment horizontal="left" vertical="top"/>
    </xf>
    <xf numFmtId="0" fontId="0" fillId="0" borderId="81" xfId="0" applyBorder="1" applyAlignment="1">
      <alignment horizontal="left" vertical="top"/>
    </xf>
    <xf numFmtId="0" fontId="0" fillId="0" borderId="80" xfId="0" applyBorder="1" applyAlignment="1">
      <alignment horizontal="left" vertical="top"/>
    </xf>
    <xf numFmtId="0" fontId="0" fillId="0" borderId="82" xfId="0" applyBorder="1" applyAlignment="1">
      <alignment horizontal="left" vertical="top"/>
    </xf>
    <xf numFmtId="0" fontId="5" fillId="21" borderId="102" xfId="0" applyFont="1" applyFill="1" applyBorder="1" applyAlignment="1">
      <alignment horizontal="center" vertical="center" wrapText="1"/>
    </xf>
    <xf numFmtId="0" fontId="5" fillId="21" borderId="107" xfId="0" applyFont="1" applyFill="1" applyBorder="1" applyAlignment="1">
      <alignment horizontal="center" vertical="center" wrapText="1"/>
    </xf>
    <xf numFmtId="0" fontId="5" fillId="21" borderId="12" xfId="0" applyFont="1" applyFill="1" applyBorder="1" applyAlignment="1">
      <alignment horizontal="center" vertical="center" wrapText="1"/>
    </xf>
    <xf numFmtId="0" fontId="5" fillId="21" borderId="103" xfId="0" applyFont="1" applyFill="1" applyBorder="1" applyAlignment="1">
      <alignment horizontal="center" vertical="center" wrapText="1"/>
    </xf>
    <xf numFmtId="0" fontId="0" fillId="0" borderId="76" xfId="0" applyBorder="1" applyAlignment="1">
      <alignment horizontal="left"/>
    </xf>
    <xf numFmtId="0" fontId="0" fillId="0" borderId="56" xfId="0" applyBorder="1" applyAlignment="1">
      <alignment horizontal="left"/>
    </xf>
    <xf numFmtId="0" fontId="6" fillId="0" borderId="83" xfId="0" applyFont="1" applyBorder="1" applyAlignment="1">
      <alignment horizontal="left" vertical="center" wrapText="1"/>
    </xf>
    <xf numFmtId="0" fontId="6" fillId="0" borderId="79" xfId="0" applyFont="1" applyBorder="1" applyAlignment="1">
      <alignment horizontal="left" vertical="center" wrapText="1"/>
    </xf>
    <xf numFmtId="0" fontId="6" fillId="0" borderId="84" xfId="0" applyFont="1" applyBorder="1" applyAlignment="1">
      <alignment horizontal="left" vertical="center" wrapText="1"/>
    </xf>
    <xf numFmtId="0" fontId="0" fillId="0" borderId="76" xfId="0" applyBorder="1" applyAlignment="1">
      <alignment horizontal="left" vertical="center" wrapText="1"/>
    </xf>
    <xf numFmtId="0" fontId="0" fillId="0" borderId="56" xfId="0" applyBorder="1" applyAlignment="1">
      <alignment horizontal="left" vertical="center" wrapText="1"/>
    </xf>
    <xf numFmtId="0" fontId="0" fillId="0" borderId="77" xfId="0" applyBorder="1" applyAlignment="1">
      <alignment horizontal="left" vertical="center" wrapText="1"/>
    </xf>
    <xf numFmtId="0" fontId="0" fillId="0" borderId="81" xfId="0" applyBorder="1" applyAlignment="1">
      <alignment horizontal="left" vertical="center"/>
    </xf>
    <xf numFmtId="0" fontId="0" fillId="0" borderId="80" xfId="0" applyBorder="1" applyAlignment="1">
      <alignment horizontal="left" vertical="center"/>
    </xf>
    <xf numFmtId="0" fontId="0" fillId="0" borderId="82" xfId="0" applyBorder="1" applyAlignment="1">
      <alignment horizontal="left" vertical="center"/>
    </xf>
    <xf numFmtId="0" fontId="19" fillId="10" borderId="0" xfId="0" applyFont="1" applyFill="1" applyBorder="1" applyAlignment="1">
      <alignment horizontal="left" vertical="center" wrapText="1"/>
    </xf>
    <xf numFmtId="0" fontId="123" fillId="0" borderId="0" xfId="0" applyFont="1" applyFill="1" applyBorder="1" applyAlignment="1">
      <alignment horizontal="left" vertical="center" wrapText="1"/>
    </xf>
    <xf numFmtId="0" fontId="44" fillId="0" borderId="102" xfId="0" applyFont="1" applyBorder="1" applyAlignment="1">
      <alignment horizontal="left" vertical="center" wrapText="1"/>
    </xf>
    <xf numFmtId="0" fontId="44" fillId="0" borderId="107" xfId="0" applyFont="1" applyBorder="1" applyAlignment="1">
      <alignment horizontal="left" vertical="center" wrapText="1"/>
    </xf>
    <xf numFmtId="0" fontId="44" fillId="0" borderId="103" xfId="0" applyFont="1" applyBorder="1" applyAlignment="1">
      <alignment horizontal="left" vertical="center" wrapText="1"/>
    </xf>
    <xf numFmtId="0" fontId="44" fillId="0" borderId="3" xfId="0" applyFont="1" applyBorder="1" applyAlignment="1">
      <alignment horizontal="left" vertical="center" wrapText="1"/>
    </xf>
    <xf numFmtId="0" fontId="44" fillId="0" borderId="0" xfId="0" applyFont="1" applyBorder="1" applyAlignment="1">
      <alignment horizontal="left" vertical="center" wrapText="1"/>
    </xf>
    <xf numFmtId="0" fontId="44" fillId="0" borderId="8" xfId="0" applyFont="1" applyBorder="1" applyAlignment="1">
      <alignment horizontal="left" vertical="center" wrapText="1"/>
    </xf>
    <xf numFmtId="0" fontId="10" fillId="0" borderId="3" xfId="54" applyBorder="1" applyAlignment="1">
      <alignment horizontal="left" vertical="center" wrapText="1" indent="1"/>
    </xf>
    <xf numFmtId="0" fontId="10" fillId="0" borderId="0" xfId="54" applyBorder="1" applyAlignment="1">
      <alignment horizontal="left" vertical="center" wrapText="1" indent="1"/>
    </xf>
    <xf numFmtId="0" fontId="10" fillId="0" borderId="8" xfId="54" applyBorder="1" applyAlignment="1">
      <alignment horizontal="left" vertical="center" wrapText="1" indent="1"/>
    </xf>
    <xf numFmtId="0" fontId="10" fillId="0" borderId="3" xfId="54" applyBorder="1" applyAlignment="1">
      <alignment horizontal="left" vertical="top" wrapText="1" indent="1"/>
    </xf>
    <xf numFmtId="0" fontId="10" fillId="0" borderId="0" xfId="54" applyBorder="1" applyAlignment="1">
      <alignment horizontal="left" vertical="top" wrapText="1" indent="1"/>
    </xf>
    <xf numFmtId="0" fontId="10" fillId="0" borderId="8" xfId="54" applyBorder="1" applyAlignment="1">
      <alignment horizontal="left" vertical="top" wrapText="1" indent="1"/>
    </xf>
    <xf numFmtId="0" fontId="0" fillId="0" borderId="3" xfId="0" applyFont="1" applyBorder="1" applyAlignment="1">
      <alignment horizontal="left" vertical="center"/>
    </xf>
    <xf numFmtId="0" fontId="0" fillId="0" borderId="0" xfId="0" applyFont="1" applyBorder="1" applyAlignment="1">
      <alignment horizontal="left" vertical="center"/>
    </xf>
    <xf numFmtId="0" fontId="0" fillId="0" borderId="10" xfId="0" applyFont="1" applyBorder="1" applyAlignment="1">
      <alignment horizontal="left" vertical="center"/>
    </xf>
    <xf numFmtId="0" fontId="0" fillId="0" borderId="1" xfId="0" applyFont="1" applyBorder="1" applyAlignment="1">
      <alignment horizontal="left" vertical="center"/>
    </xf>
    <xf numFmtId="164" fontId="0" fillId="19" borderId="104" xfId="1" applyNumberFormat="1" applyFont="1" applyFill="1" applyBorder="1" applyAlignment="1">
      <alignment horizontal="left" vertical="center"/>
    </xf>
    <xf numFmtId="164" fontId="0" fillId="19" borderId="6" xfId="1" applyNumberFormat="1" applyFont="1" applyFill="1" applyBorder="1" applyAlignment="1">
      <alignment horizontal="left"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21" fillId="0" borderId="0" xfId="0" applyFont="1" applyAlignment="1">
      <alignment horizontal="center"/>
    </xf>
    <xf numFmtId="0" fontId="4" fillId="0" borderId="10" xfId="0" applyFont="1" applyBorder="1" applyAlignment="1">
      <alignment horizontal="left"/>
    </xf>
    <xf numFmtId="0" fontId="4" fillId="0" borderId="1" xfId="0" applyFont="1" applyBorder="1" applyAlignment="1">
      <alignment horizontal="left"/>
    </xf>
    <xf numFmtId="0" fontId="44" fillId="0" borderId="11" xfId="0" applyFont="1" applyBorder="1" applyAlignment="1">
      <alignment horizontal="left" vertical="center" wrapText="1"/>
    </xf>
    <xf numFmtId="0" fontId="44" fillId="0" borderId="12" xfId="0" applyFont="1" applyBorder="1" applyAlignment="1">
      <alignment horizontal="left" vertical="center" wrapText="1"/>
    </xf>
    <xf numFmtId="0" fontId="44" fillId="0" borderId="5" xfId="0" applyFont="1" applyBorder="1" applyAlignment="1">
      <alignment horizontal="left" vertical="center" wrapText="1"/>
    </xf>
    <xf numFmtId="0" fontId="0" fillId="0" borderId="83" xfId="0" applyBorder="1" applyAlignment="1">
      <alignment horizontal="left"/>
    </xf>
    <xf numFmtId="0" fontId="0" fillId="0" borderId="79" xfId="0" applyBorder="1" applyAlignment="1">
      <alignment horizontal="left"/>
    </xf>
    <xf numFmtId="0" fontId="0" fillId="0" borderId="83" xfId="0" applyBorder="1" applyAlignment="1">
      <alignment horizontal="left" vertical="center"/>
    </xf>
    <xf numFmtId="0" fontId="0" fillId="0" borderId="79" xfId="0" applyBorder="1" applyAlignment="1">
      <alignment horizontal="left" vertical="center"/>
    </xf>
    <xf numFmtId="0" fontId="6" fillId="24" borderId="83" xfId="0" applyFont="1" applyFill="1" applyBorder="1" applyAlignment="1">
      <alignment horizontal="center"/>
    </xf>
    <xf numFmtId="0" fontId="6" fillId="24" borderId="79" xfId="0" applyFont="1" applyFill="1" applyBorder="1" applyAlignment="1">
      <alignment horizontal="center"/>
    </xf>
    <xf numFmtId="0" fontId="6" fillId="24" borderId="84" xfId="0" applyFont="1" applyFill="1" applyBorder="1" applyAlignment="1">
      <alignment horizontal="center"/>
    </xf>
    <xf numFmtId="0" fontId="21" fillId="0" borderId="11" xfId="0" applyFont="1" applyBorder="1" applyAlignment="1">
      <alignment horizontal="center"/>
    </xf>
    <xf numFmtId="0" fontId="21" fillId="0" borderId="12" xfId="0" applyFont="1" applyBorder="1" applyAlignment="1">
      <alignment horizontal="center"/>
    </xf>
    <xf numFmtId="0" fontId="21" fillId="0" borderId="5" xfId="0" applyFont="1" applyBorder="1" applyAlignment="1">
      <alignment horizontal="center"/>
    </xf>
    <xf numFmtId="0" fontId="0" fillId="0" borderId="81" xfId="0" applyBorder="1" applyAlignment="1">
      <alignment horizontal="left"/>
    </xf>
    <xf numFmtId="0" fontId="0" fillId="0" borderId="80" xfId="0" applyBorder="1" applyAlignment="1">
      <alignment horizontal="left"/>
    </xf>
    <xf numFmtId="0" fontId="81" fillId="0" borderId="3" xfId="0" applyFont="1" applyBorder="1" applyAlignment="1">
      <alignment horizontal="center" vertical="center"/>
    </xf>
    <xf numFmtId="0" fontId="81" fillId="0" borderId="0" xfId="0" applyFont="1" applyAlignment="1">
      <alignment horizontal="center" vertical="center"/>
    </xf>
    <xf numFmtId="0" fontId="81" fillId="0" borderId="8" xfId="0" applyFont="1" applyBorder="1" applyAlignment="1">
      <alignment horizontal="center" vertical="center"/>
    </xf>
    <xf numFmtId="0" fontId="21" fillId="0" borderId="23" xfId="0" applyFont="1" applyBorder="1" applyAlignment="1">
      <alignment horizontal="center" vertical="center" wrapText="1"/>
    </xf>
    <xf numFmtId="0" fontId="21" fillId="0" borderId="10" xfId="0" applyFont="1" applyBorder="1" applyAlignment="1">
      <alignment horizontal="center" vertical="center" wrapText="1"/>
    </xf>
    <xf numFmtId="0" fontId="79" fillId="0" borderId="13" xfId="0" applyFont="1" applyBorder="1" applyAlignment="1">
      <alignment horizontal="center" vertical="center" wrapText="1"/>
    </xf>
    <xf numFmtId="0" fontId="79" fillId="0" borderId="1" xfId="0" applyFont="1" applyBorder="1" applyAlignment="1">
      <alignment horizontal="center" vertical="center" wrapText="1"/>
    </xf>
    <xf numFmtId="0" fontId="79" fillId="0" borderId="18" xfId="0" applyFont="1" applyBorder="1" applyAlignment="1">
      <alignment horizontal="center" vertical="center" wrapText="1"/>
    </xf>
    <xf numFmtId="0" fontId="79" fillId="0" borderId="9" xfId="0" applyFont="1" applyBorder="1" applyAlignment="1">
      <alignment horizontal="center" vertical="center" wrapText="1"/>
    </xf>
    <xf numFmtId="0" fontId="6" fillId="24" borderId="76" xfId="0" applyFont="1" applyFill="1" applyBorder="1" applyAlignment="1">
      <alignment horizontal="left"/>
    </xf>
    <xf numFmtId="0" fontId="6" fillId="24" borderId="56" xfId="0" applyFont="1" applyFill="1" applyBorder="1" applyAlignment="1">
      <alignment horizontal="left"/>
    </xf>
    <xf numFmtId="0" fontId="6" fillId="24" borderId="77" xfId="0" applyFont="1" applyFill="1" applyBorder="1" applyAlignment="1">
      <alignment horizontal="left"/>
    </xf>
    <xf numFmtId="0" fontId="6" fillId="0" borderId="80" xfId="0" applyFont="1" applyBorder="1" applyAlignment="1">
      <alignment horizontal="left" vertical="center" wrapText="1"/>
    </xf>
    <xf numFmtId="0" fontId="6" fillId="24" borderId="81" xfId="0" applyFont="1" applyFill="1" applyBorder="1" applyAlignment="1">
      <alignment horizontal="center"/>
    </xf>
    <xf numFmtId="0" fontId="6" fillId="24" borderId="80" xfId="0" applyFont="1" applyFill="1" applyBorder="1" applyAlignment="1">
      <alignment horizontal="center"/>
    </xf>
    <xf numFmtId="0" fontId="6" fillId="24" borderId="82" xfId="0" applyFont="1" applyFill="1" applyBorder="1" applyAlignment="1">
      <alignment horizontal="center"/>
    </xf>
    <xf numFmtId="0" fontId="6" fillId="0" borderId="79" xfId="0" applyFont="1" applyBorder="1" applyAlignment="1">
      <alignment vertical="center" wrapText="1"/>
    </xf>
    <xf numFmtId="0" fontId="19" fillId="3" borderId="1" xfId="0" applyFont="1" applyFill="1" applyBorder="1" applyAlignment="1">
      <alignment vertical="center"/>
    </xf>
    <xf numFmtId="0" fontId="6" fillId="0" borderId="56" xfId="0" applyFont="1" applyBorder="1" applyAlignment="1">
      <alignment vertical="center" wrapText="1"/>
    </xf>
    <xf numFmtId="0" fontId="6" fillId="0" borderId="56" xfId="0" applyFont="1" applyBorder="1" applyAlignment="1">
      <alignment horizontal="left" vertical="center"/>
    </xf>
    <xf numFmtId="0" fontId="71" fillId="0" borderId="10" xfId="0" applyFont="1" applyBorder="1" applyAlignment="1">
      <alignment horizontal="center" vertical="center" wrapText="1"/>
    </xf>
    <xf numFmtId="0" fontId="71" fillId="0" borderId="1" xfId="0" applyFont="1" applyBorder="1" applyAlignment="1">
      <alignment horizontal="center" vertical="center" wrapText="1"/>
    </xf>
    <xf numFmtId="0" fontId="6" fillId="0" borderId="80" xfId="0" applyFont="1" applyBorder="1" applyAlignment="1">
      <alignment horizontal="left" vertical="center"/>
    </xf>
    <xf numFmtId="0" fontId="6" fillId="24" borderId="81" xfId="0" applyFont="1" applyFill="1" applyBorder="1" applyAlignment="1">
      <alignment horizontal="left"/>
    </xf>
    <xf numFmtId="0" fontId="6" fillId="24" borderId="80" xfId="0" applyFont="1" applyFill="1" applyBorder="1" applyAlignment="1">
      <alignment horizontal="left"/>
    </xf>
    <xf numFmtId="0" fontId="6" fillId="24" borderId="82" xfId="0" applyFont="1" applyFill="1" applyBorder="1" applyAlignment="1">
      <alignment horizontal="left"/>
    </xf>
    <xf numFmtId="0" fontId="19" fillId="25" borderId="0" xfId="0" applyFont="1" applyFill="1" applyAlignment="1">
      <alignment horizontal="center"/>
    </xf>
    <xf numFmtId="0" fontId="4" fillId="0" borderId="13" xfId="0" applyFont="1" applyBorder="1" applyAlignment="1">
      <alignment horizontal="center" vertical="center"/>
    </xf>
    <xf numFmtId="0" fontId="4" fillId="0" borderId="0" xfId="0" applyFont="1" applyAlignment="1">
      <alignment horizontal="center" vertical="center"/>
    </xf>
    <xf numFmtId="0" fontId="0" fillId="0" borderId="79" xfId="0" applyBorder="1" applyAlignment="1">
      <alignment horizontal="left" vertical="center" wrapText="1"/>
    </xf>
    <xf numFmtId="0" fontId="0" fillId="0" borderId="80" xfId="0" applyBorder="1" applyAlignment="1">
      <alignment horizontal="left" vertical="center" wrapText="1"/>
    </xf>
    <xf numFmtId="0" fontId="31" fillId="0" borderId="3" xfId="0" applyFont="1" applyBorder="1" applyAlignment="1">
      <alignment horizontal="center" vertical="center"/>
    </xf>
    <xf numFmtId="0" fontId="31" fillId="0" borderId="0" xfId="0" applyFont="1" applyBorder="1" applyAlignment="1">
      <alignment horizontal="center" vertical="center"/>
    </xf>
    <xf numFmtId="0" fontId="31" fillId="0" borderId="10" xfId="0" applyFont="1" applyBorder="1" applyAlignment="1">
      <alignment horizontal="center" vertical="center"/>
    </xf>
    <xf numFmtId="0" fontId="31" fillId="0" borderId="1" xfId="0" applyFont="1" applyBorder="1" applyAlignment="1">
      <alignment horizontal="center" vertical="center"/>
    </xf>
    <xf numFmtId="0" fontId="31" fillId="0" borderId="8" xfId="0" applyFont="1" applyBorder="1" applyAlignment="1">
      <alignment horizontal="center" vertical="center"/>
    </xf>
    <xf numFmtId="0" fontId="31" fillId="0" borderId="9" xfId="0" applyFont="1" applyBorder="1" applyAlignment="1">
      <alignment horizontal="center" vertical="center"/>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31" fillId="0" borderId="10" xfId="0" applyFont="1" applyBorder="1" applyAlignment="1">
      <alignment horizontal="center"/>
    </xf>
    <xf numFmtId="0" fontId="31" fillId="0" borderId="9" xfId="0" applyFont="1" applyBorder="1" applyAlignment="1">
      <alignment horizontal="center"/>
    </xf>
    <xf numFmtId="0" fontId="0" fillId="0" borderId="69" xfId="0" applyFill="1" applyBorder="1" applyAlignment="1">
      <alignment horizontal="left" wrapText="1"/>
    </xf>
    <xf numFmtId="0" fontId="0" fillId="0" borderId="56" xfId="0" applyFill="1" applyBorder="1" applyAlignment="1">
      <alignment horizontal="left" vertical="center" wrapText="1" indent="2"/>
    </xf>
    <xf numFmtId="0" fontId="31" fillId="0" borderId="1" xfId="0" applyFont="1" applyBorder="1" applyAlignment="1">
      <alignment horizontal="center"/>
    </xf>
    <xf numFmtId="0" fontId="6" fillId="0" borderId="1" xfId="0" applyFont="1" applyBorder="1" applyAlignment="1">
      <alignment horizontal="left" vertical="center" wrapText="1"/>
    </xf>
    <xf numFmtId="0" fontId="6" fillId="0" borderId="56" xfId="0" applyFont="1" applyBorder="1" applyAlignment="1">
      <alignment horizontal="left" vertical="center" wrapText="1"/>
    </xf>
    <xf numFmtId="0" fontId="0" fillId="0" borderId="80" xfId="0" applyFill="1" applyBorder="1" applyAlignment="1">
      <alignment horizontal="left" vertical="center" wrapText="1" indent="2"/>
    </xf>
    <xf numFmtId="0" fontId="25" fillId="25" borderId="0" xfId="0" applyFont="1" applyFill="1" applyAlignment="1">
      <alignment horizontal="left" vertical="center"/>
    </xf>
    <xf numFmtId="0" fontId="68" fillId="25" borderId="0" xfId="0" applyFont="1" applyFill="1" applyAlignment="1">
      <alignment horizontal="center" vertical="center" wrapText="1"/>
    </xf>
    <xf numFmtId="0" fontId="6" fillId="0" borderId="56" xfId="0" applyFont="1" applyBorder="1" applyAlignment="1">
      <alignment horizontal="left" vertical="center" wrapText="1" indent="3"/>
    </xf>
    <xf numFmtId="0" fontId="6" fillId="0" borderId="1" xfId="0" applyFont="1" applyBorder="1" applyAlignment="1">
      <alignment vertical="center" wrapText="1"/>
    </xf>
    <xf numFmtId="0" fontId="6" fillId="0" borderId="12" xfId="0" applyFont="1" applyBorder="1" applyAlignment="1">
      <alignment vertical="center" wrapText="1"/>
    </xf>
    <xf numFmtId="0" fontId="6" fillId="0" borderId="0" xfId="0" applyFont="1" applyFill="1" applyBorder="1" applyAlignment="1">
      <alignment horizontal="left"/>
    </xf>
    <xf numFmtId="0" fontId="14" fillId="0" borderId="0" xfId="0" applyFont="1" applyAlignment="1">
      <alignment horizontal="left" vertical="top" wrapText="1"/>
    </xf>
    <xf numFmtId="0" fontId="14" fillId="0" borderId="0" xfId="0" applyFont="1" applyAlignment="1">
      <alignment horizontal="left" vertical="top"/>
    </xf>
    <xf numFmtId="0" fontId="44" fillId="0" borderId="0" xfId="0" applyFont="1" applyFill="1" applyBorder="1" applyAlignment="1">
      <alignment horizontal="left" vertical="center" wrapText="1"/>
    </xf>
    <xf numFmtId="177" fontId="1" fillId="0" borderId="85" xfId="2" applyNumberFormat="1" applyFont="1" applyBorder="1" applyAlignment="1">
      <alignment horizontal="center" vertical="center"/>
    </xf>
    <xf numFmtId="174" fontId="60" fillId="0" borderId="85" xfId="1" applyNumberFormat="1" applyFont="1" applyBorder="1" applyAlignment="1">
      <alignment horizontal="center" vertical="center"/>
    </xf>
    <xf numFmtId="44" fontId="60" fillId="15" borderId="4" xfId="1" applyFont="1" applyFill="1" applyBorder="1" applyAlignment="1">
      <alignment horizontal="center" vertical="center"/>
    </xf>
    <xf numFmtId="44" fontId="1" fillId="2" borderId="4" xfId="1" applyFont="1" applyFill="1" applyBorder="1" applyAlignment="1">
      <alignment horizontal="center" vertical="center" wrapText="1"/>
    </xf>
    <xf numFmtId="0" fontId="1" fillId="0" borderId="72" xfId="0" applyFont="1" applyBorder="1" applyAlignment="1">
      <alignment horizontal="center" vertical="center"/>
    </xf>
    <xf numFmtId="0" fontId="1" fillId="0" borderId="69" xfId="0" applyFont="1" applyBorder="1" applyAlignment="1">
      <alignment horizontal="center" vertical="center"/>
    </xf>
    <xf numFmtId="0" fontId="1" fillId="0" borderId="71" xfId="0" applyFont="1" applyBorder="1" applyAlignment="1">
      <alignment horizontal="center" vertical="center"/>
    </xf>
    <xf numFmtId="0" fontId="1" fillId="0" borderId="85" xfId="1" applyNumberFormat="1" applyFont="1" applyBorder="1" applyAlignment="1">
      <alignment horizontal="center" vertical="center"/>
    </xf>
    <xf numFmtId="0" fontId="0" fillId="0" borderId="2" xfId="1" applyNumberFormat="1" applyFont="1" applyBorder="1" applyAlignment="1">
      <alignment horizontal="center" vertical="center" wrapText="1"/>
    </xf>
    <xf numFmtId="0" fontId="0" fillId="0" borderId="7" xfId="1" applyNumberFormat="1" applyFont="1" applyBorder="1" applyAlignment="1">
      <alignment horizontal="center" vertical="center" wrapText="1"/>
    </xf>
    <xf numFmtId="0" fontId="0" fillId="0" borderId="6" xfId="1" applyNumberFormat="1" applyFont="1" applyBorder="1" applyAlignment="1">
      <alignment horizontal="center" vertical="center" wrapText="1"/>
    </xf>
    <xf numFmtId="9" fontId="42" fillId="12" borderId="104" xfId="1" applyNumberFormat="1" applyFont="1" applyFill="1" applyBorder="1" applyAlignment="1">
      <alignment horizontal="center" vertical="center"/>
    </xf>
    <xf numFmtId="9" fontId="42" fillId="12" borderId="7" xfId="1" applyNumberFormat="1" applyFont="1" applyFill="1" applyBorder="1" applyAlignment="1">
      <alignment horizontal="center" vertical="center"/>
    </xf>
    <xf numFmtId="9" fontId="42" fillId="12" borderId="6" xfId="1" applyNumberFormat="1" applyFont="1" applyFill="1" applyBorder="1" applyAlignment="1">
      <alignment horizontal="center" vertical="center"/>
    </xf>
    <xf numFmtId="0" fontId="0" fillId="0" borderId="4" xfId="1" applyNumberFormat="1" applyFont="1" applyBorder="1" applyAlignment="1">
      <alignment horizontal="center" vertical="center" wrapText="1"/>
    </xf>
    <xf numFmtId="177" fontId="1" fillId="0" borderId="76" xfId="2" applyNumberFormat="1" applyFont="1" applyBorder="1" applyAlignment="1">
      <alignment horizontal="center" vertical="center"/>
    </xf>
    <xf numFmtId="177" fontId="1" fillId="0" borderId="56" xfId="2" applyNumberFormat="1" applyFont="1" applyBorder="1" applyAlignment="1">
      <alignment horizontal="center" vertical="center"/>
    </xf>
    <xf numFmtId="177" fontId="1" fillId="0" borderId="77" xfId="2" applyNumberFormat="1" applyFont="1" applyBorder="1" applyAlignment="1">
      <alignment horizontal="center" vertical="center"/>
    </xf>
    <xf numFmtId="1" fontId="1" fillId="0" borderId="81" xfId="1" applyNumberFormat="1" applyFont="1" applyBorder="1" applyAlignment="1">
      <alignment horizontal="center" vertical="center"/>
    </xf>
    <xf numFmtId="1" fontId="1" fillId="0" borderId="80" xfId="1" applyNumberFormat="1" applyFont="1" applyBorder="1" applyAlignment="1">
      <alignment horizontal="center" vertical="center"/>
    </xf>
    <xf numFmtId="1" fontId="1" fillId="0" borderId="82" xfId="1" applyNumberFormat="1" applyFont="1" applyBorder="1" applyAlignment="1">
      <alignment horizontal="center" vertical="center"/>
    </xf>
    <xf numFmtId="174" fontId="7" fillId="9" borderId="11" xfId="0" applyNumberFormat="1" applyFont="1" applyFill="1" applyBorder="1" applyAlignment="1">
      <alignment horizontal="center" vertical="center"/>
    </xf>
    <xf numFmtId="174" fontId="7" fillId="9" borderId="12" xfId="0" applyNumberFormat="1" applyFont="1" applyFill="1" applyBorder="1" applyAlignment="1">
      <alignment horizontal="center" vertical="center"/>
    </xf>
    <xf numFmtId="174" fontId="7" fillId="9" borderId="5" xfId="0" applyNumberFormat="1" applyFont="1" applyFill="1" applyBorder="1" applyAlignment="1">
      <alignment horizontal="center" vertical="center"/>
    </xf>
    <xf numFmtId="0" fontId="5" fillId="7" borderId="102" xfId="0" applyFont="1" applyFill="1" applyBorder="1" applyAlignment="1">
      <alignment horizontal="center"/>
    </xf>
    <xf numFmtId="0" fontId="5" fillId="7" borderId="107" xfId="0" applyFont="1" applyFill="1" applyBorder="1" applyAlignment="1">
      <alignment horizontal="center"/>
    </xf>
    <xf numFmtId="9" fontId="4" fillId="12" borderId="104" xfId="1" applyNumberFormat="1" applyFont="1" applyFill="1" applyBorder="1" applyAlignment="1">
      <alignment horizontal="center" vertical="center"/>
    </xf>
    <xf numFmtId="9" fontId="4" fillId="12" borderId="7" xfId="1" applyNumberFormat="1" applyFont="1" applyFill="1" applyBorder="1" applyAlignment="1">
      <alignment horizontal="center" vertical="center"/>
    </xf>
    <xf numFmtId="9" fontId="4" fillId="12" borderId="6" xfId="1" applyNumberFormat="1" applyFont="1" applyFill="1" applyBorder="1" applyAlignment="1">
      <alignment horizontal="center" vertical="center"/>
    </xf>
    <xf numFmtId="165" fontId="4" fillId="12" borderId="7" xfId="17" applyNumberFormat="1" applyFont="1" applyFill="1" applyBorder="1" applyAlignment="1">
      <alignment horizontal="center" vertical="center"/>
    </xf>
    <xf numFmtId="165" fontId="4" fillId="12" borderId="6" xfId="17" applyNumberFormat="1" applyFont="1" applyFill="1" applyBorder="1" applyAlignment="1">
      <alignment horizontal="center" vertical="center"/>
    </xf>
    <xf numFmtId="44" fontId="1" fillId="2" borderId="4" xfId="1" applyFont="1" applyFill="1" applyBorder="1" applyAlignment="1">
      <alignment horizontal="center" vertical="center"/>
    </xf>
    <xf numFmtId="9" fontId="42" fillId="12" borderId="2" xfId="1" applyNumberFormat="1" applyFont="1" applyFill="1" applyBorder="1" applyAlignment="1">
      <alignment horizontal="center" vertical="center"/>
    </xf>
    <xf numFmtId="9" fontId="4" fillId="12" borderId="2" xfId="1" applyNumberFormat="1" applyFont="1" applyFill="1" applyBorder="1" applyAlignment="1">
      <alignment horizontal="center" vertical="center"/>
    </xf>
    <xf numFmtId="0" fontId="18" fillId="0" borderId="0" xfId="1" applyNumberFormat="1" applyFont="1" applyAlignment="1">
      <alignment horizontal="left" vertical="top" wrapText="1" indent="17"/>
    </xf>
    <xf numFmtId="0" fontId="6" fillId="0" borderId="79" xfId="0" applyFont="1" applyBorder="1" applyAlignment="1">
      <alignment horizontal="left" vertical="center" wrapText="1" indent="4"/>
    </xf>
    <xf numFmtId="0" fontId="25" fillId="25" borderId="0" xfId="0" applyFont="1" applyFill="1" applyAlignment="1">
      <alignment horizontal="left" vertical="center" indent="3"/>
    </xf>
    <xf numFmtId="0" fontId="6" fillId="0" borderId="56" xfId="0" applyFont="1" applyBorder="1" applyAlignment="1">
      <alignment horizontal="left" vertical="center" wrapText="1" indent="7"/>
    </xf>
    <xf numFmtId="0" fontId="6" fillId="0" borderId="56" xfId="0" applyFont="1" applyBorder="1" applyAlignment="1">
      <alignment horizontal="left" vertical="center" wrapText="1" indent="4"/>
    </xf>
    <xf numFmtId="185" fontId="0" fillId="0" borderId="76" xfId="1" applyNumberFormat="1" applyFont="1" applyBorder="1" applyAlignment="1">
      <alignment horizontal="center"/>
    </xf>
    <xf numFmtId="185" fontId="0" fillId="0" borderId="77" xfId="1" applyNumberFormat="1" applyFont="1" applyBorder="1" applyAlignment="1">
      <alignment horizontal="center"/>
    </xf>
    <xf numFmtId="185" fontId="0" fillId="0" borderId="81" xfId="1" applyNumberFormat="1" applyFont="1" applyBorder="1" applyAlignment="1">
      <alignment horizontal="center"/>
    </xf>
    <xf numFmtId="185" fontId="0" fillId="0" borderId="82" xfId="1" applyNumberFormat="1" applyFont="1" applyBorder="1" applyAlignment="1">
      <alignment horizontal="center"/>
    </xf>
    <xf numFmtId="0" fontId="4" fillId="2" borderId="105"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06" xfId="0" applyFont="1" applyFill="1" applyBorder="1" applyAlignment="1">
      <alignment horizontal="center" vertical="center" wrapText="1"/>
    </xf>
    <xf numFmtId="0" fontId="7" fillId="22" borderId="105" xfId="0" applyFont="1" applyFill="1" applyBorder="1" applyAlignment="1">
      <alignment horizontal="center"/>
    </xf>
    <xf numFmtId="0" fontId="7" fillId="22" borderId="12" xfId="0" applyFont="1" applyFill="1" applyBorder="1" applyAlignment="1">
      <alignment horizontal="center"/>
    </xf>
    <xf numFmtId="0" fontId="7" fillId="22" borderId="106" xfId="0" applyFont="1" applyFill="1" applyBorder="1" applyAlignment="1">
      <alignment horizontal="center"/>
    </xf>
    <xf numFmtId="0" fontId="21" fillId="2" borderId="102" xfId="0" applyFont="1" applyFill="1" applyBorder="1" applyAlignment="1">
      <alignment horizontal="center" vertical="center" wrapText="1"/>
    </xf>
    <xf numFmtId="0" fontId="21" fillId="2" borderId="107" xfId="0" applyFont="1" applyFill="1" applyBorder="1" applyAlignment="1">
      <alignment horizontal="center" vertical="center" wrapText="1"/>
    </xf>
    <xf numFmtId="0" fontId="21" fillId="2" borderId="103" xfId="0" applyFont="1" applyFill="1" applyBorder="1" applyAlignment="1">
      <alignment horizontal="center" vertical="center" wrapText="1"/>
    </xf>
    <xf numFmtId="0" fontId="44" fillId="2" borderId="105" xfId="0" applyFont="1" applyFill="1" applyBorder="1" applyAlignment="1">
      <alignment horizontal="center" vertical="center" wrapText="1"/>
    </xf>
    <xf numFmtId="0" fontId="44" fillId="2" borderId="106" xfId="0" applyFont="1" applyFill="1" applyBorder="1" applyAlignment="1">
      <alignment horizontal="center" vertical="center" wrapText="1"/>
    </xf>
    <xf numFmtId="0" fontId="4" fillId="2" borderId="101" xfId="0" applyFont="1" applyFill="1" applyBorder="1" applyAlignment="1">
      <alignment horizontal="center" vertical="center" wrapText="1"/>
    </xf>
    <xf numFmtId="0" fontId="44" fillId="2" borderId="101" xfId="0" applyFont="1" applyFill="1" applyBorder="1" applyAlignment="1">
      <alignment horizontal="center" vertical="center" wrapText="1"/>
    </xf>
    <xf numFmtId="185" fontId="0" fillId="0" borderId="72" xfId="1" applyNumberFormat="1" applyFont="1" applyBorder="1" applyAlignment="1">
      <alignment horizontal="center"/>
    </xf>
    <xf numFmtId="185" fontId="0" fillId="0" borderId="71" xfId="1" applyNumberFormat="1" applyFont="1" applyBorder="1" applyAlignment="1">
      <alignment horizontal="center"/>
    </xf>
    <xf numFmtId="0" fontId="0" fillId="0" borderId="72" xfId="0" applyBorder="1" applyAlignment="1">
      <alignment horizontal="center"/>
    </xf>
    <xf numFmtId="0" fontId="0" fillId="0" borderId="71" xfId="0" applyBorder="1" applyAlignment="1">
      <alignment horizontal="center"/>
    </xf>
    <xf numFmtId="0" fontId="0" fillId="0" borderId="76" xfId="0" applyBorder="1" applyAlignment="1">
      <alignment horizontal="center"/>
    </xf>
    <xf numFmtId="0" fontId="0" fillId="0" borderId="77" xfId="0" applyBorder="1" applyAlignment="1">
      <alignment horizontal="center"/>
    </xf>
    <xf numFmtId="0" fontId="0" fillId="0" borderId="81" xfId="0" applyBorder="1" applyAlignment="1">
      <alignment horizontal="center"/>
    </xf>
    <xf numFmtId="0" fontId="0" fillId="0" borderId="82" xfId="0" applyBorder="1" applyAlignment="1">
      <alignment horizontal="center"/>
    </xf>
    <xf numFmtId="0" fontId="4" fillId="2" borderId="102" xfId="0" applyFont="1" applyFill="1" applyBorder="1" applyAlignment="1">
      <alignment horizontal="center" vertical="center" wrapText="1"/>
    </xf>
    <xf numFmtId="0" fontId="4" fillId="2" borderId="10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24" borderId="72" xfId="0" applyFill="1" applyBorder="1" applyAlignment="1">
      <alignment horizontal="center"/>
    </xf>
    <xf numFmtId="0" fontId="0" fillId="24" borderId="71" xfId="0" applyFill="1" applyBorder="1" applyAlignment="1">
      <alignment horizontal="center"/>
    </xf>
    <xf numFmtId="0" fontId="21" fillId="2" borderId="105"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106" xfId="0" applyFont="1" applyFill="1" applyBorder="1" applyAlignment="1">
      <alignment horizontal="center" vertical="center" wrapText="1"/>
    </xf>
    <xf numFmtId="0" fontId="4" fillId="0" borderId="86" xfId="0" applyFont="1" applyBorder="1" applyAlignment="1">
      <alignment horizontal="left" vertical="center"/>
    </xf>
    <xf numFmtId="0" fontId="4" fillId="0" borderId="83" xfId="0" applyFont="1" applyBorder="1" applyAlignment="1">
      <alignment horizontal="left" vertical="center"/>
    </xf>
    <xf numFmtId="0" fontId="4" fillId="0" borderId="84" xfId="0" applyFont="1" applyBorder="1" applyAlignment="1">
      <alignment horizontal="left" vertical="center"/>
    </xf>
    <xf numFmtId="0" fontId="4" fillId="0" borderId="70" xfId="0" applyFont="1" applyBorder="1" applyAlignment="1">
      <alignment horizontal="left" vertical="center"/>
    </xf>
    <xf numFmtId="0" fontId="4" fillId="0" borderId="76" xfId="0" applyFont="1" applyBorder="1" applyAlignment="1">
      <alignment horizontal="left" vertical="center"/>
    </xf>
    <xf numFmtId="0" fontId="4" fillId="0" borderId="77" xfId="0" applyFont="1" applyBorder="1" applyAlignment="1">
      <alignment horizontal="left" vertical="center"/>
    </xf>
    <xf numFmtId="0" fontId="4" fillId="0" borderId="81" xfId="0" applyFont="1" applyBorder="1" applyAlignment="1">
      <alignment horizontal="left" vertical="center"/>
    </xf>
    <xf numFmtId="0" fontId="4" fillId="0" borderId="82" xfId="0" applyFont="1" applyBorder="1" applyAlignment="1">
      <alignment horizontal="left" vertical="center"/>
    </xf>
    <xf numFmtId="0" fontId="4" fillId="0" borderId="101" xfId="0" applyFont="1" applyBorder="1" applyAlignment="1">
      <alignment horizontal="left" vertical="center" wrapText="1"/>
    </xf>
    <xf numFmtId="0" fontId="4" fillId="0" borderId="101" xfId="0" applyFont="1" applyBorder="1" applyAlignment="1">
      <alignment horizontal="left" vertical="center"/>
    </xf>
    <xf numFmtId="0" fontId="7" fillId="22" borderId="101" xfId="0" applyFont="1" applyFill="1" applyBorder="1" applyAlignment="1">
      <alignment horizontal="center"/>
    </xf>
    <xf numFmtId="0" fontId="0" fillId="0" borderId="85" xfId="0" applyBorder="1" applyAlignment="1">
      <alignment horizontal="left" vertical="center"/>
    </xf>
    <xf numFmtId="0" fontId="0" fillId="0" borderId="70" xfId="0" applyBorder="1" applyAlignment="1">
      <alignment horizontal="left" vertical="center"/>
    </xf>
    <xf numFmtId="0" fontId="4" fillId="0" borderId="85" xfId="0" applyFont="1" applyBorder="1" applyAlignment="1">
      <alignment horizontal="left" vertical="center"/>
    </xf>
    <xf numFmtId="0" fontId="0" fillId="0" borderId="101" xfId="0" applyBorder="1" applyAlignment="1">
      <alignment horizontal="left" wrapText="1"/>
    </xf>
    <xf numFmtId="0" fontId="4" fillId="21" borderId="1" xfId="0" applyFont="1" applyFill="1" applyBorder="1" applyAlignment="1">
      <alignment horizontal="center"/>
    </xf>
    <xf numFmtId="0" fontId="21" fillId="21" borderId="1" xfId="0" applyFont="1" applyFill="1" applyBorder="1" applyAlignment="1">
      <alignment horizontal="center"/>
    </xf>
    <xf numFmtId="0" fontId="4" fillId="3" borderId="70" xfId="0" applyFont="1" applyFill="1" applyBorder="1" applyAlignment="1">
      <alignment horizontal="left" vertical="center"/>
    </xf>
    <xf numFmtId="0" fontId="4" fillId="3" borderId="85" xfId="0" applyFont="1" applyFill="1" applyBorder="1" applyAlignment="1">
      <alignment horizontal="left" vertical="center"/>
    </xf>
    <xf numFmtId="0" fontId="4" fillId="3" borderId="86" xfId="0" applyFont="1" applyFill="1" applyBorder="1" applyAlignment="1">
      <alignment horizontal="left" vertical="center"/>
    </xf>
    <xf numFmtId="0" fontId="0" fillId="0" borderId="86" xfId="0" applyBorder="1" applyAlignment="1">
      <alignment horizontal="left" vertical="center"/>
    </xf>
    <xf numFmtId="0" fontId="4" fillId="0" borderId="70" xfId="0" applyFont="1" applyBorder="1" applyAlignment="1">
      <alignment horizontal="left" vertical="center" wrapText="1"/>
    </xf>
    <xf numFmtId="0" fontId="4" fillId="0" borderId="86" xfId="0" applyFont="1" applyBorder="1" applyAlignment="1">
      <alignment horizontal="left" vertical="center" wrapText="1"/>
    </xf>
    <xf numFmtId="0" fontId="18" fillId="0" borderId="105" xfId="0" applyFont="1" applyBorder="1" applyAlignment="1">
      <alignment horizontal="left" vertical="center"/>
    </xf>
    <xf numFmtId="0" fontId="18" fillId="0" borderId="106" xfId="0" applyFont="1" applyBorder="1" applyAlignment="1">
      <alignment horizontal="left" vertical="center"/>
    </xf>
    <xf numFmtId="0" fontId="18" fillId="0" borderId="105" xfId="0" applyFont="1" applyBorder="1" applyAlignment="1">
      <alignment horizontal="left" vertical="center" wrapText="1"/>
    </xf>
    <xf numFmtId="0" fontId="18" fillId="0" borderId="106" xfId="0" applyFont="1" applyBorder="1" applyAlignment="1">
      <alignment horizontal="left" vertical="center" wrapText="1"/>
    </xf>
    <xf numFmtId="0" fontId="4" fillId="0" borderId="105" xfId="0" applyFont="1" applyBorder="1" applyAlignment="1">
      <alignment horizontal="center"/>
    </xf>
    <xf numFmtId="0" fontId="4" fillId="0" borderId="106" xfId="0" applyFont="1" applyBorder="1" applyAlignment="1">
      <alignment horizontal="center"/>
    </xf>
    <xf numFmtId="0" fontId="4" fillId="21" borderId="3" xfId="0" applyFont="1" applyFill="1" applyBorder="1" applyAlignment="1">
      <alignment horizontal="center" wrapText="1"/>
    </xf>
    <xf numFmtId="0" fontId="4" fillId="21" borderId="10" xfId="0" applyFont="1" applyFill="1" applyBorder="1" applyAlignment="1">
      <alignment horizontal="center" wrapText="1"/>
    </xf>
    <xf numFmtId="0" fontId="4" fillId="21" borderId="8" xfId="0" applyFont="1" applyFill="1" applyBorder="1" applyAlignment="1">
      <alignment horizontal="center" vertical="top" wrapText="1"/>
    </xf>
    <xf numFmtId="0" fontId="4" fillId="21" borderId="9" xfId="0" applyFont="1" applyFill="1" applyBorder="1" applyAlignment="1">
      <alignment horizontal="center" vertical="top" wrapText="1"/>
    </xf>
    <xf numFmtId="0" fontId="4" fillId="0" borderId="101" xfId="0" applyFont="1" applyBorder="1" applyAlignment="1">
      <alignment horizontal="center" vertical="center" wrapText="1"/>
    </xf>
    <xf numFmtId="9" fontId="0" fillId="24" borderId="101" xfId="0" applyNumberFormat="1" applyFill="1" applyBorder="1" applyAlignment="1">
      <alignment horizontal="center" vertical="center" wrapText="1"/>
    </xf>
    <xf numFmtId="0" fontId="0" fillId="24" borderId="101" xfId="0" applyFill="1" applyBorder="1" applyAlignment="1">
      <alignment horizontal="center" vertical="center" wrapText="1"/>
    </xf>
    <xf numFmtId="0" fontId="18" fillId="0" borderId="101" xfId="0" applyFont="1" applyBorder="1" applyAlignment="1">
      <alignment horizontal="left" vertical="center"/>
    </xf>
    <xf numFmtId="0" fontId="4" fillId="21" borderId="8" xfId="0" applyFont="1" applyFill="1" applyBorder="1" applyAlignment="1">
      <alignment horizontal="center" wrapText="1"/>
    </xf>
    <xf numFmtId="0" fontId="4" fillId="21" borderId="9" xfId="0" applyFont="1" applyFill="1" applyBorder="1" applyAlignment="1">
      <alignment horizontal="center" wrapText="1"/>
    </xf>
    <xf numFmtId="0" fontId="4" fillId="21" borderId="0" xfId="0" applyFont="1" applyFill="1" applyAlignment="1">
      <alignment horizontal="center" wrapText="1"/>
    </xf>
    <xf numFmtId="0" fontId="4" fillId="21" borderId="1" xfId="0" applyFont="1" applyFill="1" applyBorder="1" applyAlignment="1">
      <alignment horizontal="center" wrapText="1"/>
    </xf>
    <xf numFmtId="0" fontId="4" fillId="0" borderId="105" xfId="0" applyFont="1" applyBorder="1" applyAlignment="1">
      <alignment horizontal="left" vertical="center" wrapText="1"/>
    </xf>
    <xf numFmtId="0" fontId="4" fillId="0" borderId="106" xfId="0" applyFont="1" applyBorder="1" applyAlignment="1">
      <alignment horizontal="left" vertical="center" wrapText="1"/>
    </xf>
    <xf numFmtId="0" fontId="0" fillId="0" borderId="104" xfId="0" applyBorder="1" applyAlignment="1">
      <alignment horizontal="left" vertical="center" wrapText="1"/>
    </xf>
    <xf numFmtId="177" fontId="0" fillId="24" borderId="101" xfId="2" applyNumberFormat="1" applyFont="1" applyFill="1" applyBorder="1" applyAlignment="1">
      <alignment horizontal="center" vertical="center"/>
    </xf>
    <xf numFmtId="177" fontId="0" fillId="0" borderId="101" xfId="2" applyNumberFormat="1" applyFont="1" applyBorder="1" applyAlignment="1">
      <alignment horizontal="center" vertical="center"/>
    </xf>
    <xf numFmtId="9" fontId="0" fillId="24" borderId="101" xfId="0" applyNumberFormat="1" applyFill="1" applyBorder="1" applyAlignment="1">
      <alignment horizontal="center"/>
    </xf>
    <xf numFmtId="0" fontId="0" fillId="24" borderId="101" xfId="0" applyFill="1" applyBorder="1" applyAlignment="1">
      <alignment horizontal="center"/>
    </xf>
    <xf numFmtId="165" fontId="0" fillId="0" borderId="101" xfId="17" applyNumberFormat="1" applyFont="1" applyBorder="1" applyAlignment="1">
      <alignment horizontal="center" vertical="center"/>
    </xf>
    <xf numFmtId="0" fontId="18" fillId="22" borderId="105" xfId="0" applyFont="1" applyFill="1" applyBorder="1" applyAlignment="1">
      <alignment horizontal="center"/>
    </xf>
    <xf numFmtId="0" fontId="18" fillId="22" borderId="12" xfId="0" applyFont="1" applyFill="1" applyBorder="1" applyAlignment="1">
      <alignment horizontal="center"/>
    </xf>
    <xf numFmtId="0" fontId="18" fillId="22" borderId="106" xfId="0" applyFont="1" applyFill="1" applyBorder="1" applyAlignment="1">
      <alignment horizontal="center"/>
    </xf>
    <xf numFmtId="171" fontId="4" fillId="22" borderId="103" xfId="2" applyNumberFormat="1" applyFont="1" applyFill="1" applyBorder="1" applyAlignment="1">
      <alignment horizontal="center" wrapText="1"/>
    </xf>
    <xf numFmtId="171" fontId="4" fillId="22" borderId="9" xfId="2" applyNumberFormat="1" applyFont="1" applyFill="1" applyBorder="1" applyAlignment="1">
      <alignment horizontal="center" wrapText="1"/>
    </xf>
    <xf numFmtId="0" fontId="4" fillId="22" borderId="107" xfId="0" applyFont="1" applyFill="1" applyBorder="1" applyAlignment="1">
      <alignment horizontal="center" wrapText="1"/>
    </xf>
    <xf numFmtId="0" fontId="4" fillId="22" borderId="1" xfId="0" applyFont="1" applyFill="1" applyBorder="1" applyAlignment="1">
      <alignment horizontal="center" wrapText="1"/>
    </xf>
    <xf numFmtId="0" fontId="129" fillId="0" borderId="104" xfId="0" applyFont="1" applyBorder="1" applyAlignment="1">
      <alignment horizontal="left" vertical="center" wrapText="1"/>
    </xf>
    <xf numFmtId="0" fontId="129" fillId="0" borderId="7" xfId="0" applyFont="1" applyBorder="1" applyAlignment="1">
      <alignment horizontal="left" vertical="center" wrapText="1"/>
    </xf>
    <xf numFmtId="0" fontId="129" fillId="0" borderId="6" xfId="0" applyFont="1" applyBorder="1" applyAlignment="1">
      <alignment horizontal="left" vertical="center" wrapText="1"/>
    </xf>
    <xf numFmtId="0" fontId="125" fillId="19" borderId="104" xfId="0" applyFont="1" applyFill="1" applyBorder="1" applyAlignment="1">
      <alignment horizontal="center" vertical="center"/>
    </xf>
    <xf numFmtId="0" fontId="125" fillId="19" borderId="7" xfId="0" applyFont="1" applyFill="1" applyBorder="1" applyAlignment="1">
      <alignment horizontal="center" vertical="center"/>
    </xf>
    <xf numFmtId="0" fontId="125" fillId="19" borderId="6" xfId="0" applyFont="1" applyFill="1" applyBorder="1" applyAlignment="1">
      <alignment horizontal="center" vertical="center"/>
    </xf>
    <xf numFmtId="191" fontId="118" fillId="0" borderId="101" xfId="0" applyNumberFormat="1" applyFont="1" applyFill="1" applyBorder="1" applyAlignment="1">
      <alignment horizontal="center" vertical="center" wrapText="1"/>
    </xf>
    <xf numFmtId="0" fontId="129" fillId="0" borderId="101" xfId="0" applyFont="1" applyFill="1" applyBorder="1" applyAlignment="1">
      <alignment horizontal="left" vertical="center" wrapText="1"/>
    </xf>
    <xf numFmtId="0" fontId="58" fillId="34" borderId="122" xfId="0" applyFont="1" applyFill="1" applyBorder="1" applyAlignment="1">
      <alignment horizontal="left" vertical="center" wrapText="1"/>
    </xf>
    <xf numFmtId="0" fontId="58" fillId="34" borderId="0" xfId="0" applyFont="1" applyFill="1" applyBorder="1" applyAlignment="1">
      <alignment horizontal="left" vertical="center" wrapText="1"/>
    </xf>
    <xf numFmtId="0" fontId="58" fillId="34" borderId="123" xfId="0" applyFont="1" applyFill="1" applyBorder="1" applyAlignment="1">
      <alignment horizontal="left" vertical="center" wrapText="1"/>
    </xf>
    <xf numFmtId="0" fontId="116" fillId="34" borderId="122" xfId="0" applyFont="1" applyFill="1" applyBorder="1" applyAlignment="1">
      <alignment horizontal="left" vertical="top" wrapText="1"/>
    </xf>
    <xf numFmtId="0" fontId="116" fillId="34" borderId="0" xfId="0" applyFont="1" applyFill="1" applyBorder="1" applyAlignment="1">
      <alignment horizontal="left" vertical="top" wrapText="1"/>
    </xf>
    <xf numFmtId="0" fontId="116" fillId="34" borderId="123" xfId="0" applyFont="1" applyFill="1" applyBorder="1" applyAlignment="1">
      <alignment horizontal="left" vertical="top" wrapText="1"/>
    </xf>
    <xf numFmtId="0" fontId="116" fillId="34" borderId="124" xfId="0" applyFont="1" applyFill="1" applyBorder="1" applyAlignment="1">
      <alignment horizontal="left" vertical="top" wrapText="1"/>
    </xf>
    <xf numFmtId="0" fontId="116" fillId="34" borderId="125" xfId="0" applyFont="1" applyFill="1" applyBorder="1" applyAlignment="1">
      <alignment horizontal="left" vertical="top" wrapText="1"/>
    </xf>
    <xf numFmtId="0" fontId="116" fillId="34" borderId="126" xfId="0" applyFont="1" applyFill="1" applyBorder="1" applyAlignment="1">
      <alignment horizontal="left" vertical="top" wrapText="1"/>
    </xf>
    <xf numFmtId="0" fontId="58" fillId="35" borderId="120" xfId="0" applyFont="1" applyFill="1" applyBorder="1" applyAlignment="1">
      <alignment horizontal="center"/>
    </xf>
    <xf numFmtId="0" fontId="58" fillId="35" borderId="119" xfId="0" applyFont="1" applyFill="1" applyBorder="1" applyAlignment="1">
      <alignment horizontal="center"/>
    </xf>
    <xf numFmtId="0" fontId="118" fillId="0" borderId="101" xfId="0" applyFont="1" applyFill="1" applyBorder="1" applyAlignment="1">
      <alignment horizontal="center" wrapText="1"/>
    </xf>
    <xf numFmtId="191" fontId="118" fillId="0" borderId="101" xfId="0" applyNumberFormat="1" applyFont="1" applyFill="1" applyBorder="1" applyAlignment="1">
      <alignment horizontal="center" wrapText="1"/>
    </xf>
    <xf numFmtId="0" fontId="4" fillId="0" borderId="101" xfId="0" applyFont="1" applyBorder="1" applyAlignment="1">
      <alignment horizontal="left" vertical="top" wrapText="1"/>
    </xf>
    <xf numFmtId="0" fontId="0" fillId="41" borderId="101" xfId="0" applyNumberFormat="1" applyFill="1" applyBorder="1" applyAlignment="1">
      <alignment horizontal="center" vertical="center"/>
    </xf>
    <xf numFmtId="0" fontId="0" fillId="21" borderId="0" xfId="0" applyFill="1" applyAlignment="1">
      <alignment horizontal="left" vertical="center" wrapText="1"/>
    </xf>
    <xf numFmtId="0" fontId="0" fillId="0" borderId="101" xfId="0" applyBorder="1" applyAlignment="1">
      <alignment horizontal="left" vertical="top" wrapText="1"/>
    </xf>
    <xf numFmtId="0" fontId="4" fillId="2" borderId="101" xfId="0" applyFont="1" applyFill="1" applyBorder="1" applyAlignment="1">
      <alignment horizontal="center" wrapText="1"/>
    </xf>
    <xf numFmtId="0" fontId="18" fillId="0" borderId="0" xfId="0" applyFont="1" applyAlignment="1">
      <alignment horizontal="left" wrapText="1" indent="7"/>
    </xf>
    <xf numFmtId="0" fontId="26" fillId="2" borderId="101" xfId="0" applyFont="1" applyFill="1" applyBorder="1" applyAlignment="1">
      <alignment horizontal="center" vertical="center" wrapText="1"/>
    </xf>
    <xf numFmtId="0" fontId="0" fillId="0" borderId="101" xfId="0" applyBorder="1" applyAlignment="1">
      <alignment horizontal="left" indent="2"/>
    </xf>
    <xf numFmtId="0" fontId="0" fillId="0" borderId="0" xfId="0" applyAlignment="1">
      <alignment horizontal="left" indent="2"/>
    </xf>
    <xf numFmtId="0" fontId="0" fillId="0" borderId="77" xfId="0" applyBorder="1" applyAlignment="1">
      <alignment horizontal="left"/>
    </xf>
    <xf numFmtId="0" fontId="0" fillId="0" borderId="82" xfId="0" applyBorder="1" applyAlignment="1">
      <alignment horizontal="left"/>
    </xf>
    <xf numFmtId="0" fontId="26" fillId="22" borderId="105" xfId="0" applyFont="1" applyFill="1" applyBorder="1" applyAlignment="1">
      <alignment horizontal="center" vertical="center" wrapText="1"/>
    </xf>
    <xf numFmtId="0" fontId="26" fillId="22" borderId="106" xfId="0" applyFont="1" applyFill="1" applyBorder="1" applyAlignment="1">
      <alignment horizontal="center" vertical="center" wrapText="1"/>
    </xf>
    <xf numFmtId="0" fontId="0" fillId="0" borderId="84" xfId="0" applyBorder="1" applyAlignment="1">
      <alignment horizontal="left"/>
    </xf>
    <xf numFmtId="0" fontId="6" fillId="0" borderId="0" xfId="0" applyFont="1" applyAlignment="1">
      <alignment horizontal="left" wrapText="1"/>
    </xf>
    <xf numFmtId="0" fontId="19" fillId="10" borderId="11" xfId="0" applyFont="1" applyFill="1" applyBorder="1" applyAlignment="1">
      <alignment horizontal="left" vertical="center"/>
    </xf>
    <xf numFmtId="0" fontId="19" fillId="10" borderId="12" xfId="0" applyFont="1" applyFill="1" applyBorder="1" applyAlignment="1">
      <alignment horizontal="left" vertical="center"/>
    </xf>
    <xf numFmtId="0" fontId="19" fillId="10" borderId="5" xfId="0" applyFont="1" applyFill="1" applyBorder="1" applyAlignment="1">
      <alignment horizontal="left" vertical="center"/>
    </xf>
    <xf numFmtId="0" fontId="4" fillId="0" borderId="4" xfId="0" applyFont="1" applyBorder="1" applyAlignment="1">
      <alignment horizontal="center" vertical="center"/>
    </xf>
    <xf numFmtId="0" fontId="18" fillId="0" borderId="4" xfId="0" applyFont="1" applyBorder="1" applyAlignment="1">
      <alignment horizontal="left" wrapText="1" indent="1"/>
    </xf>
    <xf numFmtId="0" fontId="0" fillId="0" borderId="11" xfId="0" applyBorder="1" applyAlignment="1">
      <alignment horizontal="left" vertical="center" wrapText="1"/>
    </xf>
    <xf numFmtId="0" fontId="0" fillId="0" borderId="5" xfId="0" applyBorder="1" applyAlignment="1">
      <alignment horizontal="left" vertical="center" wrapText="1"/>
    </xf>
    <xf numFmtId="0" fontId="4" fillId="0" borderId="2" xfId="0" applyFont="1" applyBorder="1" applyAlignment="1">
      <alignment horizontal="center" vertical="center"/>
    </xf>
    <xf numFmtId="0" fontId="18" fillId="0" borderId="4" xfId="0" applyFont="1" applyBorder="1" applyAlignment="1">
      <alignment horizontal="left" vertical="center" indent="1"/>
    </xf>
    <xf numFmtId="0" fontId="4" fillId="0" borderId="23" xfId="0" applyFont="1" applyBorder="1" applyAlignment="1">
      <alignment horizontal="center" vertical="center"/>
    </xf>
    <xf numFmtId="0" fontId="4" fillId="0" borderId="18"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4" fillId="0" borderId="4" xfId="0" applyFont="1" applyBorder="1" applyAlignment="1">
      <alignment horizontal="left" wrapText="1" indent="1"/>
    </xf>
    <xf numFmtId="0" fontId="44" fillId="0" borderId="4" xfId="0" applyFont="1" applyBorder="1" applyAlignment="1">
      <alignment horizontal="left" indent="1"/>
    </xf>
    <xf numFmtId="0" fontId="0" fillId="0" borderId="13" xfId="0" applyBorder="1" applyAlignment="1">
      <alignment horizontal="left"/>
    </xf>
    <xf numFmtId="0" fontId="0" fillId="0" borderId="18" xfId="0" applyBorder="1" applyAlignment="1">
      <alignment horizontal="left"/>
    </xf>
    <xf numFmtId="0" fontId="0" fillId="0" borderId="8" xfId="0" applyBorder="1" applyAlignment="1">
      <alignment horizontal="left"/>
    </xf>
    <xf numFmtId="0" fontId="4" fillId="0" borderId="12" xfId="0" applyFont="1" applyBorder="1" applyAlignment="1">
      <alignment horizontal="center"/>
    </xf>
    <xf numFmtId="0" fontId="4" fillId="0" borderId="5" xfId="0" applyFont="1" applyBorder="1" applyAlignment="1">
      <alignment horizontal="center"/>
    </xf>
    <xf numFmtId="0" fontId="0" fillId="0" borderId="1" xfId="0" applyBorder="1" applyAlignment="1">
      <alignment horizontal="left"/>
    </xf>
    <xf numFmtId="0" fontId="0" fillId="0" borderId="9" xfId="0" applyBorder="1" applyAlignment="1">
      <alignment horizontal="left"/>
    </xf>
    <xf numFmtId="0" fontId="6" fillId="0" borderId="0" xfId="0" applyFont="1" applyAlignment="1">
      <alignment horizontal="left"/>
    </xf>
    <xf numFmtId="0" fontId="6" fillId="0" borderId="8" xfId="0" applyFont="1" applyBorder="1" applyAlignment="1">
      <alignment horizontal="left"/>
    </xf>
    <xf numFmtId="0" fontId="19" fillId="10" borderId="0" xfId="0" applyFont="1" applyFill="1" applyAlignment="1">
      <alignment horizontal="center" vertical="center"/>
    </xf>
    <xf numFmtId="0" fontId="7" fillId="0" borderId="11" xfId="0" applyFont="1" applyBorder="1" applyAlignment="1">
      <alignment horizontal="center" wrapText="1"/>
    </xf>
    <xf numFmtId="0" fontId="7" fillId="0" borderId="5" xfId="0" applyFont="1" applyBorder="1" applyAlignment="1">
      <alignment horizontal="center" wrapText="1"/>
    </xf>
    <xf numFmtId="0" fontId="7" fillId="0" borderId="11" xfId="0" applyFont="1" applyBorder="1" applyAlignment="1">
      <alignment horizontal="center"/>
    </xf>
    <xf numFmtId="0" fontId="7" fillId="0" borderId="18" xfId="0" applyFont="1" applyBorder="1" applyAlignment="1">
      <alignment horizontal="center"/>
    </xf>
    <xf numFmtId="0" fontId="4"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8" fillId="0" borderId="4" xfId="0" applyFont="1" applyBorder="1" applyAlignment="1">
      <alignment horizontal="left" indent="2"/>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18" fillId="0" borderId="4" xfId="0" applyFont="1" applyFill="1" applyBorder="1" applyAlignment="1">
      <alignment horizontal="left" indent="2"/>
    </xf>
    <xf numFmtId="0" fontId="18" fillId="0" borderId="6" xfId="0" applyFont="1" applyBorder="1" applyAlignment="1">
      <alignment horizontal="left" indent="2"/>
    </xf>
    <xf numFmtId="0" fontId="18" fillId="0" borderId="101" xfId="0" applyFont="1" applyBorder="1" applyAlignment="1">
      <alignment horizontal="left" indent="2"/>
    </xf>
    <xf numFmtId="0" fontId="21" fillId="0" borderId="13"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wrapText="1" indent="4"/>
    </xf>
    <xf numFmtId="0" fontId="68" fillId="25" borderId="0" xfId="0" applyFont="1" applyFill="1" applyAlignment="1">
      <alignment vertical="center"/>
    </xf>
    <xf numFmtId="0" fontId="18" fillId="0" borderId="0" xfId="0" applyFont="1" applyAlignment="1">
      <alignment horizontal="left" indent="2"/>
    </xf>
    <xf numFmtId="0" fontId="19" fillId="25" borderId="0" xfId="0" applyFont="1" applyFill="1" applyAlignment="1">
      <alignment horizontal="left" vertical="center"/>
    </xf>
    <xf numFmtId="0" fontId="19" fillId="25" borderId="0" xfId="0" applyFont="1" applyFill="1" applyAlignment="1">
      <alignment horizontal="center" vertical="center" wrapText="1"/>
    </xf>
    <xf numFmtId="0" fontId="18" fillId="25" borderId="0" xfId="0" applyFont="1" applyFill="1" applyAlignment="1">
      <alignment horizontal="left" indent="2"/>
    </xf>
    <xf numFmtId="0" fontId="18" fillId="0" borderId="13" xfId="0" applyFont="1" applyBorder="1" applyAlignment="1">
      <alignment horizontal="left" indent="2"/>
    </xf>
    <xf numFmtId="0" fontId="18" fillId="26" borderId="13" xfId="0" applyFont="1" applyFill="1" applyBorder="1" applyAlignment="1">
      <alignment horizontal="left" indent="2"/>
    </xf>
    <xf numFmtId="0" fontId="18" fillId="0" borderId="6" xfId="0" applyFont="1" applyBorder="1" applyAlignment="1">
      <alignment horizontal="left" wrapText="1" indent="2"/>
    </xf>
    <xf numFmtId="0" fontId="6" fillId="21" borderId="0" xfId="0" applyFont="1" applyFill="1" applyAlignment="1">
      <alignment horizontal="left" vertical="center" wrapText="1"/>
    </xf>
    <xf numFmtId="0" fontId="18" fillId="0" borderId="105" xfId="0" applyFont="1" applyBorder="1" applyAlignment="1">
      <alignment horizontal="left" wrapText="1" indent="1"/>
    </xf>
    <xf numFmtId="0" fontId="18" fillId="0" borderId="12" xfId="0" applyFont="1" applyBorder="1" applyAlignment="1">
      <alignment horizontal="left" wrapText="1" indent="1"/>
    </xf>
    <xf numFmtId="0" fontId="18" fillId="0" borderId="106" xfId="0" applyFont="1" applyBorder="1" applyAlignment="1">
      <alignment horizontal="left" wrapText="1" indent="1"/>
    </xf>
    <xf numFmtId="0" fontId="18" fillId="0" borderId="101" xfId="0" applyFont="1" applyBorder="1" applyAlignment="1">
      <alignment horizontal="left" wrapText="1" indent="2"/>
    </xf>
    <xf numFmtId="0" fontId="3" fillId="0" borderId="0" xfId="0" applyFont="1" applyAlignment="1">
      <alignment horizontal="left"/>
    </xf>
    <xf numFmtId="0" fontId="3" fillId="0" borderId="8" xfId="0" applyFont="1" applyBorder="1" applyAlignment="1">
      <alignment horizontal="left"/>
    </xf>
    <xf numFmtId="0" fontId="18" fillId="0" borderId="6" xfId="0" applyFont="1" applyBorder="1" applyAlignment="1">
      <alignment horizontal="left" wrapText="1" indent="1"/>
    </xf>
    <xf numFmtId="0" fontId="18" fillId="0" borderId="12" xfId="0" applyFont="1" applyBorder="1" applyAlignment="1">
      <alignment horizontal="left" vertical="center" wrapText="1"/>
    </xf>
    <xf numFmtId="0" fontId="99" fillId="0" borderId="4" xfId="0" applyFont="1" applyBorder="1" applyAlignment="1">
      <alignment horizontal="left" indent="2"/>
    </xf>
  </cellXfs>
  <cellStyles count="55">
    <cellStyle name="Calculation" xfId="53" builtinId="22"/>
    <cellStyle name="Comma" xfId="2" builtinId="3"/>
    <cellStyle name="Currency" xfId="1"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4" builtinId="8"/>
    <cellStyle name="Neutral" xfId="52" builtinId="28"/>
    <cellStyle name="Normal" xfId="0" builtinId="0"/>
    <cellStyle name="Percent" xfId="17" builtinId="5"/>
  </cellStyles>
  <dxfs count="2633">
    <dxf>
      <font>
        <color rgb="FF9C0006"/>
      </font>
      <fill>
        <patternFill>
          <bgColor rgb="FFFFC7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rgb="FF9C0006"/>
      </font>
      <fill>
        <patternFill>
          <bgColor rgb="FFFFC7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rgb="FF9C0006"/>
      </font>
      <fill>
        <patternFill>
          <bgColor rgb="FFFFC7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rgb="FF9C0006"/>
      </font>
      <fill>
        <patternFill>
          <bgColor rgb="FFFFC7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7" tint="-0.24994659260841701"/>
      </font>
      <fill>
        <patternFill>
          <bgColor rgb="FFF8E1A6"/>
        </patternFill>
      </fill>
    </dxf>
    <dxf>
      <font>
        <color rgb="FFC00000"/>
      </font>
      <fill>
        <patternFill>
          <bgColor rgb="FFFF9FA1"/>
        </patternFill>
      </fill>
    </dxf>
    <dxf>
      <font>
        <color theme="1"/>
      </font>
      <fill>
        <patternFill>
          <bgColor theme="0"/>
        </patternFill>
      </fill>
    </dxf>
    <dxf>
      <font>
        <color theme="7" tint="-0.24994659260841701"/>
      </font>
      <fill>
        <patternFill>
          <bgColor rgb="FFF8E1A6"/>
        </patternFill>
      </fill>
    </dxf>
    <dxf>
      <font>
        <color rgb="FFC00000"/>
      </font>
      <fill>
        <patternFill>
          <bgColor rgb="FFFF9999"/>
        </patternFill>
      </fill>
    </dxf>
    <dxf>
      <fill>
        <patternFill>
          <bgColor theme="0"/>
        </patternFill>
      </fill>
    </dxf>
    <dxf>
      <font>
        <color rgb="FFC00000"/>
      </font>
      <fill>
        <patternFill>
          <bgColor rgb="FFFF9999"/>
        </patternFill>
      </fill>
    </dxf>
    <dxf>
      <font>
        <color theme="0" tint="-0.2499465926084170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7" tint="-0.24994659260841701"/>
      </font>
      <fill>
        <patternFill>
          <bgColor rgb="FFF8E1A6"/>
        </patternFill>
      </fill>
    </dxf>
    <dxf>
      <font>
        <color rgb="FFC00000"/>
      </font>
      <fill>
        <patternFill>
          <bgColor rgb="FFFF9FA1"/>
        </patternFill>
      </fill>
    </dxf>
    <dxf>
      <font>
        <color theme="1"/>
      </font>
      <fill>
        <patternFill>
          <bgColor theme="0"/>
        </patternFill>
      </fill>
    </dxf>
    <dxf>
      <font>
        <color theme="7" tint="-0.24994659260841701"/>
      </font>
      <fill>
        <patternFill>
          <bgColor rgb="FFF8E1A6"/>
        </patternFill>
      </fill>
    </dxf>
    <dxf>
      <font>
        <color rgb="FFC00000"/>
      </font>
      <fill>
        <patternFill>
          <bgColor rgb="FFFF9999"/>
        </patternFill>
      </fill>
    </dxf>
    <dxf>
      <fill>
        <patternFill>
          <bgColor theme="0"/>
        </patternFill>
      </fill>
    </dxf>
    <dxf>
      <font>
        <color rgb="FFC00000"/>
      </font>
      <fill>
        <patternFill>
          <bgColor rgb="FFFF9999"/>
        </patternFill>
      </fill>
    </dxf>
    <dxf>
      <font>
        <color theme="0" tint="-0.2499465926084170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7" tint="-0.24994659260841701"/>
      </font>
      <fill>
        <patternFill>
          <bgColor rgb="FFF8E1A6"/>
        </patternFill>
      </fill>
    </dxf>
    <dxf>
      <font>
        <color rgb="FFC00000"/>
      </font>
      <fill>
        <patternFill>
          <bgColor rgb="FFFF9FA1"/>
        </patternFill>
      </fill>
    </dxf>
    <dxf>
      <font>
        <color theme="1"/>
      </font>
      <fill>
        <patternFill>
          <bgColor theme="0"/>
        </patternFill>
      </fill>
    </dxf>
    <dxf>
      <font>
        <color theme="7" tint="-0.24994659260841701"/>
      </font>
      <fill>
        <patternFill>
          <bgColor rgb="FFF8E1A6"/>
        </patternFill>
      </fill>
    </dxf>
    <dxf>
      <font>
        <color rgb="FFC00000"/>
      </font>
      <fill>
        <patternFill>
          <bgColor rgb="FFFF9999"/>
        </patternFill>
      </fill>
    </dxf>
    <dxf>
      <fill>
        <patternFill>
          <bgColor theme="0"/>
        </patternFill>
      </fill>
    </dxf>
    <dxf>
      <font>
        <color rgb="FFC00000"/>
      </font>
      <fill>
        <patternFill>
          <bgColor rgb="FFFF9999"/>
        </patternFill>
      </fill>
    </dxf>
    <dxf>
      <font>
        <color theme="0" tint="-0.2499465926084170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rgb="FFC00000"/>
      </font>
      <fill>
        <patternFill>
          <bgColor rgb="FFFF9999"/>
        </patternFill>
      </fill>
    </dxf>
    <dxf>
      <font>
        <color theme="0" tint="-0.14996795556505021"/>
      </font>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rgb="FF9C0006"/>
      </font>
      <fill>
        <patternFill>
          <bgColor rgb="FFFFC7CE"/>
        </patternFill>
      </fill>
    </dxf>
    <dxf>
      <font>
        <color theme="2" tint="-9.9948118533890809E-2"/>
      </font>
      <fill>
        <patternFill>
          <bgColor theme="2" tint="-9.9948118533890809E-2"/>
        </patternFill>
      </fill>
    </dxf>
    <dxf>
      <font>
        <color theme="0" tint="-0.14996795556505021"/>
      </font>
      <fill>
        <patternFill>
          <bgColor theme="0" tint="-0.14996795556505021"/>
        </patternFill>
      </fill>
    </dxf>
    <dxf>
      <font>
        <color theme="7" tint="-0.24994659260841701"/>
      </font>
      <fill>
        <patternFill>
          <bgColor rgb="FFF8E1A6"/>
        </patternFill>
      </fill>
    </dxf>
    <dxf>
      <font>
        <color rgb="FFC00000"/>
      </font>
      <fill>
        <patternFill>
          <bgColor rgb="FFFF9FA1"/>
        </patternFill>
      </fill>
    </dxf>
    <dxf>
      <font>
        <color theme="1"/>
      </font>
      <fill>
        <patternFill>
          <bgColor theme="0"/>
        </patternFill>
      </fill>
    </dxf>
    <dxf>
      <font>
        <color theme="7" tint="-0.24994659260841701"/>
      </font>
      <fill>
        <patternFill>
          <bgColor rgb="FFF8E1A6"/>
        </patternFill>
      </fill>
    </dxf>
    <dxf>
      <font>
        <color rgb="FFC00000"/>
      </font>
      <fill>
        <patternFill>
          <bgColor rgb="FFFF9999"/>
        </patternFill>
      </fill>
    </dxf>
    <dxf>
      <fill>
        <patternFill>
          <bgColor theme="0"/>
        </patternFill>
      </fill>
    </dxf>
    <dxf>
      <font>
        <color rgb="FFC00000"/>
      </font>
      <fill>
        <patternFill>
          <bgColor rgb="FFFF9999"/>
        </patternFill>
      </fill>
    </dxf>
    <dxf>
      <font>
        <color theme="0" tint="-0.2499465926084170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7" tint="-0.24994659260841701"/>
      </font>
      <fill>
        <patternFill>
          <bgColor rgb="FFF8E1A6"/>
        </patternFill>
      </fill>
    </dxf>
    <dxf>
      <font>
        <color rgb="FFC00000"/>
      </font>
      <fill>
        <patternFill>
          <bgColor rgb="FFFF9FA1"/>
        </patternFill>
      </fill>
    </dxf>
    <dxf>
      <font>
        <color theme="1"/>
      </font>
      <fill>
        <patternFill>
          <bgColor theme="0"/>
        </patternFill>
      </fill>
    </dxf>
    <dxf>
      <font>
        <color theme="7" tint="-0.24994659260841701"/>
      </font>
      <fill>
        <patternFill>
          <bgColor rgb="FFF8E1A6"/>
        </patternFill>
      </fill>
    </dxf>
    <dxf>
      <font>
        <color rgb="FFC00000"/>
      </font>
      <fill>
        <patternFill>
          <bgColor rgb="FFFF9999"/>
        </patternFill>
      </fill>
    </dxf>
    <dxf>
      <fill>
        <patternFill>
          <bgColor theme="0"/>
        </patternFill>
      </fill>
    </dxf>
    <dxf>
      <font>
        <color rgb="FFC00000"/>
      </font>
      <fill>
        <patternFill>
          <bgColor rgb="FFFF9999"/>
        </patternFill>
      </fill>
    </dxf>
    <dxf>
      <font>
        <color theme="0" tint="-0.2499465926084170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rgb="FFC00000"/>
      </font>
      <fill>
        <patternFill>
          <bgColor rgb="FFFF9999"/>
        </patternFill>
      </fill>
    </dxf>
    <dxf>
      <font>
        <color theme="0" tint="-0.14996795556505021"/>
      </font>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rgb="FF9C0006"/>
      </font>
      <fill>
        <patternFill>
          <bgColor rgb="FFFFC7CE"/>
        </patternFill>
      </fill>
    </dxf>
    <dxf>
      <font>
        <color theme="2" tint="-9.9948118533890809E-2"/>
      </font>
      <fill>
        <patternFill>
          <bgColor theme="2" tint="-9.9948118533890809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rgb="FFC00000"/>
      </font>
      <fill>
        <patternFill>
          <bgColor rgb="FFFF9999"/>
        </patternFill>
      </fill>
    </dxf>
    <dxf>
      <font>
        <color theme="0" tint="-0.14996795556505021"/>
      </font>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rgb="FF9C0006"/>
      </font>
      <fill>
        <patternFill>
          <bgColor rgb="FFFFC7CE"/>
        </patternFill>
      </fill>
    </dxf>
    <dxf>
      <font>
        <color theme="2" tint="-9.9948118533890809E-2"/>
      </font>
      <fill>
        <patternFill>
          <bgColor theme="2" tint="-9.9948118533890809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rgb="FFC00000"/>
      </font>
      <fill>
        <patternFill>
          <bgColor rgb="FFFF9999"/>
        </patternFill>
      </fill>
    </dxf>
    <dxf>
      <font>
        <color theme="0" tint="-0.14996795556505021"/>
      </font>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rgb="FF9C0006"/>
      </font>
      <fill>
        <patternFill>
          <bgColor rgb="FFFFC7CE"/>
        </patternFill>
      </fill>
    </dxf>
    <dxf>
      <font>
        <color theme="2" tint="-9.9948118533890809E-2"/>
      </font>
      <fill>
        <patternFill>
          <bgColor theme="2" tint="-9.9948118533890809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rgb="FFC00000"/>
      </font>
      <fill>
        <patternFill>
          <bgColor rgb="FFFF9999"/>
        </patternFill>
      </fill>
    </dxf>
    <dxf>
      <font>
        <color theme="0" tint="-0.14996795556505021"/>
      </font>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rgb="FF9C0006"/>
      </font>
      <fill>
        <patternFill>
          <bgColor rgb="FFFFC7CE"/>
        </patternFill>
      </fill>
    </dxf>
    <dxf>
      <font>
        <color theme="2" tint="-9.9948118533890809E-2"/>
      </font>
      <fill>
        <patternFill>
          <bgColor theme="2" tint="-9.9948118533890809E-2"/>
        </patternFill>
      </fill>
    </dxf>
    <dxf>
      <font>
        <color theme="0" tint="-0.14996795556505021"/>
      </font>
      <fill>
        <patternFill>
          <bgColor theme="0" tint="-0.14996795556505021"/>
        </patternFill>
      </fill>
    </dxf>
    <dxf>
      <font>
        <b/>
        <i val="0"/>
        <color rgb="FFFF0000"/>
      </font>
    </dxf>
    <dxf>
      <font>
        <color theme="0"/>
      </font>
      <fill>
        <patternFill>
          <bgColor theme="0"/>
        </patternFill>
      </fill>
      <border>
        <left/>
        <right/>
        <top/>
        <bottom/>
        <vertical/>
        <horizontal/>
      </border>
    </dxf>
    <dxf>
      <font>
        <b/>
        <i val="0"/>
        <color rgb="FFFF0000"/>
      </font>
    </dxf>
    <dxf>
      <font>
        <b/>
        <i val="0"/>
        <color rgb="FFFF0000"/>
      </font>
    </dxf>
    <dxf>
      <font>
        <b/>
        <i val="0"/>
        <color rgb="FFFF0000"/>
      </font>
    </dxf>
    <dxf>
      <numFmt numFmtId="197" formatCode="&quot;$&quot;#,##0.00"/>
    </dxf>
    <dxf>
      <numFmt numFmtId="165" formatCode="0.0%"/>
    </dxf>
    <dxf>
      <font>
        <color theme="0" tint="-0.24994659260841701"/>
      </font>
      <fill>
        <patternFill>
          <bgColor theme="0" tint="-0.14996795556505021"/>
        </patternFill>
      </fill>
    </dxf>
    <dxf>
      <font>
        <color theme="0"/>
      </font>
      <fill>
        <patternFill>
          <bgColor theme="0"/>
        </patternFill>
      </fill>
      <border>
        <left/>
        <right/>
        <top/>
        <bottom/>
        <vertical/>
        <horizontal/>
      </border>
    </dxf>
    <dxf>
      <font>
        <b/>
        <i val="0"/>
        <color rgb="FF009A46"/>
      </font>
    </dxf>
    <dxf>
      <font>
        <b/>
        <i val="0"/>
        <color rgb="FF009A46"/>
      </font>
    </dxf>
  </dxfs>
  <tableStyles count="0" defaultTableStyle="TableStyleMedium2" defaultPivotStyle="PivotStyleLight16"/>
  <colors>
    <mruColors>
      <color rgb="FFECFAF0"/>
      <color rgb="FFDDF7E4"/>
      <color rgb="FF677E9D"/>
      <color rgb="FFDCC5ED"/>
      <color rgb="FFC4CDDA"/>
      <color rgb="FFDCB9FF"/>
      <color rgb="FFCC99FF"/>
      <color rgb="FFFF9999"/>
      <color rgb="FFF8E1A6"/>
      <color rgb="FFD3D3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externalLink" Target="externalLinks/externalLink6.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Utilization of Ambient Storage</a:t>
            </a:r>
            <a:r>
              <a:rPr lang="en-US" b="1" baseline="0"/>
              <a:t> Capacity</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867737648218774"/>
          <c:y val="0.1488503388011089"/>
          <c:w val="0.7096982687665806"/>
          <c:h val="0.56140568980526551"/>
        </c:manualLayout>
      </c:layout>
      <c:areaChart>
        <c:grouping val="stacked"/>
        <c:varyColors val="0"/>
        <c:ser>
          <c:idx val="2"/>
          <c:order val="0"/>
          <c:tx>
            <c:v>Lower Bound</c:v>
          </c:tx>
          <c:spPr>
            <a:noFill/>
            <a:ln>
              <a:noFill/>
            </a:ln>
            <a:effectLst/>
          </c:spPr>
          <c:cat>
            <c:strRef>
              <c:f>'Scenario Manager'!$D$18:$J$18</c:f>
              <c:strCache>
                <c:ptCount val="5"/>
                <c:pt idx="1">
                  <c:v>Baseline</c:v>
                </c:pt>
                <c:pt idx="2">
                  <c:v>Baseline + High Demand</c:v>
                </c:pt>
                <c:pt idx="3">
                  <c:v>Monthly Ordering + High Demand</c:v>
                </c:pt>
                <c:pt idx="4">
                  <c:v>More Storage + High Demand</c:v>
                </c:pt>
              </c:strCache>
            </c:strRef>
          </c:cat>
          <c:val>
            <c:numRef>
              <c:f>'Scenario Manager'!$N$63:$T$63</c:f>
              <c:numCache>
                <c:formatCode>0%</c:formatCode>
                <c:ptCount val="7"/>
                <c:pt idx="0">
                  <c:v>0.5</c:v>
                </c:pt>
                <c:pt idx="1">
                  <c:v>0.5</c:v>
                </c:pt>
                <c:pt idx="2">
                  <c:v>0.5</c:v>
                </c:pt>
                <c:pt idx="3">
                  <c:v>0.5</c:v>
                </c:pt>
                <c:pt idx="4">
                  <c:v>0.5</c:v>
                </c:pt>
                <c:pt idx="5">
                  <c:v>0.5</c:v>
                </c:pt>
                <c:pt idx="6">
                  <c:v>0.5</c:v>
                </c:pt>
              </c:numCache>
            </c:numRef>
          </c:val>
          <c:extLst>
            <c:ext xmlns:c16="http://schemas.microsoft.com/office/drawing/2014/chart" uri="{C3380CC4-5D6E-409C-BE32-E72D297353CC}">
              <c16:uniqueId val="{00000000-57F1-4324-82AB-825B7C1A57E9}"/>
            </c:ext>
          </c:extLst>
        </c:ser>
        <c:ser>
          <c:idx val="3"/>
          <c:order val="1"/>
          <c:tx>
            <c:v>Upper bound</c:v>
          </c:tx>
          <c:spPr>
            <a:solidFill>
              <a:schemeClr val="accent6">
                <a:lumMod val="60000"/>
                <a:lumOff val="40000"/>
                <a:alpha val="47000"/>
              </a:schemeClr>
            </a:solidFill>
            <a:ln>
              <a:noFill/>
            </a:ln>
            <a:effectLst/>
          </c:spPr>
          <c:cat>
            <c:strRef>
              <c:f>'Scenario Manager'!$D$18:$J$18</c:f>
              <c:strCache>
                <c:ptCount val="5"/>
                <c:pt idx="1">
                  <c:v>Baseline</c:v>
                </c:pt>
                <c:pt idx="2">
                  <c:v>Baseline + High Demand</c:v>
                </c:pt>
                <c:pt idx="3">
                  <c:v>Monthly Ordering + High Demand</c:v>
                </c:pt>
                <c:pt idx="4">
                  <c:v>More Storage + High Demand</c:v>
                </c:pt>
              </c:strCache>
            </c:strRef>
          </c:cat>
          <c:val>
            <c:numRef>
              <c:f>'Scenario Manager'!$N$62:$T$62</c:f>
              <c:numCache>
                <c:formatCode>0%</c:formatCode>
                <c:ptCount val="7"/>
                <c:pt idx="0">
                  <c:v>0.4</c:v>
                </c:pt>
                <c:pt idx="1">
                  <c:v>0.4</c:v>
                </c:pt>
                <c:pt idx="2">
                  <c:v>0.4</c:v>
                </c:pt>
                <c:pt idx="3">
                  <c:v>0.4</c:v>
                </c:pt>
                <c:pt idx="4">
                  <c:v>0.4</c:v>
                </c:pt>
                <c:pt idx="5">
                  <c:v>0.4</c:v>
                </c:pt>
                <c:pt idx="6">
                  <c:v>0.4</c:v>
                </c:pt>
              </c:numCache>
            </c:numRef>
          </c:val>
          <c:extLst>
            <c:ext xmlns:c16="http://schemas.microsoft.com/office/drawing/2014/chart" uri="{C3380CC4-5D6E-409C-BE32-E72D297353CC}">
              <c16:uniqueId val="{00000001-57F1-4324-82AB-825B7C1A57E9}"/>
            </c:ext>
          </c:extLst>
        </c:ser>
        <c:dLbls>
          <c:showLegendKey val="0"/>
          <c:showVal val="0"/>
          <c:showCatName val="0"/>
          <c:showSerName val="0"/>
          <c:showPercent val="0"/>
          <c:showBubbleSize val="0"/>
        </c:dLbls>
        <c:axId val="605980712"/>
        <c:axId val="605977104"/>
      </c:areaChart>
      <c:barChart>
        <c:barDir val="col"/>
        <c:grouping val="clustered"/>
        <c:varyColors val="0"/>
        <c:ser>
          <c:idx val="0"/>
          <c:order val="2"/>
          <c:tx>
            <c:v>Tier 1</c:v>
          </c:tx>
          <c:spPr>
            <a:solidFill>
              <a:schemeClr val="accent1"/>
            </a:solidFill>
            <a:ln w="25400">
              <a:noFill/>
            </a:ln>
            <a:effectLst/>
          </c:spPr>
          <c:invertIfNegative val="0"/>
          <c:dLbls>
            <c:dLbl>
              <c:idx val="1"/>
              <c:layout>
                <c:manualLayout>
                  <c:x val="1.094161434676115E-4"/>
                  <c:y val="0.14755607197818144"/>
                </c:manualLayout>
              </c:layout>
              <c:tx>
                <c:rich>
                  <a:bodyPr/>
                  <a:lstStyle/>
                  <a:p>
                    <a:fld id="{B1C1FB8C-7CEF-4F06-B103-887021D285BB}" type="CELLREF">
                      <a:rPr lang="en-US" sz="1000" b="1">
                        <a:solidFill>
                          <a:sysClr val="windowText" lastClr="000000"/>
                        </a:solidFill>
                      </a:rPr>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{B1C1FB8C-7CEF-4F06-B103-887021D285BB}</c15:txfldGUID>
                      <c15:f>'Scenario Manager'!$O$70</c15:f>
                      <c15:dlblFieldTableCache>
                        <c:ptCount val="1"/>
                      </c15:dlblFieldTableCache>
                    </c15:dlblFTEntry>
                  </c15:dlblFieldTable>
                  <c15:showDataLabelsRange val="0"/>
                </c:ext>
                <c:ext xmlns:c16="http://schemas.microsoft.com/office/drawing/2014/chart" uri="{C3380CC4-5D6E-409C-BE32-E72D297353CC}">
                  <c16:uniqueId val="{00000002-57F1-4324-82AB-825B7C1A57E9}"/>
                </c:ext>
              </c:extLst>
            </c:dLbl>
            <c:dLbl>
              <c:idx val="2"/>
              <c:layout>
                <c:manualLayout>
                  <c:x val="6.1865086597631229E-3"/>
                  <c:y val="0.13497216826009228"/>
                </c:manualLayout>
              </c:layout>
              <c:tx>
                <c:rich>
                  <a:bodyPr/>
                  <a:lstStyle/>
                  <a:p>
                    <a:fld id="{D95FE9B0-1757-4E96-ACF1-F70D7070960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{D95FE9B0-1757-4E96-ACF1-F70D70709602}</c15:txfldGUID>
                      <c15:f>'Scenario Manager'!$P$70</c15:f>
                      <c15:dlblFieldTableCache>
                        <c:ptCount val="1"/>
                        <c:pt idx="0">
                          <c:v>132%</c:v>
                        </c:pt>
                      </c15:dlblFieldTableCache>
                    </c15:dlblFTEntry>
                  </c15:dlblFieldTable>
                  <c15:showDataLabelsRange val="0"/>
                </c:ext>
                <c:ext xmlns:c16="http://schemas.microsoft.com/office/drawing/2014/chart" uri="{C3380CC4-5D6E-409C-BE32-E72D297353CC}">
                  <c16:uniqueId val="{00000003-57F1-4324-82AB-825B7C1A57E9}"/>
                </c:ext>
              </c:extLst>
            </c:dLbl>
            <c:dLbl>
              <c:idx val="3"/>
              <c:layout>
                <c:manualLayout>
                  <c:x val="6.1865086597631576E-3"/>
                  <c:y val="0.14278825752598612"/>
                </c:manualLayout>
              </c:layout>
              <c:tx>
                <c:rich>
                  <a:bodyPr/>
                  <a:lstStyle/>
                  <a:p>
                    <a:fld id="{284D37EF-AEAC-4549-8AE0-665FAF6B7D5C}"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{284D37EF-AEAC-4549-8AE0-665FAF6B7D5C}</c15:txfldGUID>
                      <c15:f>'Scenario Manager'!$Q$70</c15:f>
                      <c15:dlblFieldTableCache>
                        <c:ptCount val="1"/>
                      </c15:dlblFieldTableCache>
                    </c15:dlblFTEntry>
                  </c15:dlblFieldTable>
                  <c15:showDataLabelsRange val="0"/>
                </c:ext>
                <c:ext xmlns:c16="http://schemas.microsoft.com/office/drawing/2014/chart" uri="{C3380CC4-5D6E-409C-BE32-E72D297353CC}">
                  <c16:uniqueId val="{00000004-57F1-4324-82AB-825B7C1A57E9}"/>
                </c:ext>
              </c:extLst>
            </c:dLbl>
            <c:dLbl>
              <c:idx val="4"/>
              <c:layout>
                <c:manualLayout>
                  <c:x val="6.1865086597631576E-3"/>
                  <c:y val="0.1388802128930392"/>
                </c:manualLayout>
              </c:layout>
              <c:tx>
                <c:rich>
                  <a:bodyPr/>
                  <a:lstStyle/>
                  <a:p>
                    <a:fld id="{06074DF2-7A7E-4771-BC0F-6A2007D9BD6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{06074DF2-7A7E-4771-BC0F-6A2007D9BD6B}</c15:txfldGUID>
                      <c15:f>'Scenario Manager'!$R$70</c15:f>
                      <c15:dlblFieldTableCache>
                        <c:ptCount val="1"/>
                      </c15:dlblFieldTableCache>
                    </c15:dlblFTEntry>
                  </c15:dlblFieldTable>
                  <c15:showDataLabelsRange val="0"/>
                </c:ext>
                <c:ext xmlns:c16="http://schemas.microsoft.com/office/drawing/2014/chart" uri="{C3380CC4-5D6E-409C-BE32-E72D297353CC}">
                  <c16:uniqueId val="{00000005-57F1-4324-82AB-825B7C1A57E9}"/>
                </c:ext>
              </c:extLst>
            </c:dLbl>
            <c:dLbl>
              <c:idx val="5"/>
              <c:layout>
                <c:manualLayout>
                  <c:x val="6.1865086597630873E-3"/>
                  <c:y val="0.13497216826009228"/>
                </c:manualLayout>
              </c:layout>
              <c:tx>
                <c:rich>
                  <a:bodyPr/>
                  <a:lstStyle/>
                  <a:p>
                    <a:fld id="{BCB81A6D-D858-467D-818A-C57059FA6E4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{BCB81A6D-D858-467D-818A-C57059FA6E49}</c15:txfldGUID>
                      <c15:f>'Scenario Manager'!$S$70</c15:f>
                      <c15:dlblFieldTableCache>
                        <c:ptCount val="1"/>
                      </c15:dlblFieldTableCache>
                    </c15:dlblFTEntry>
                  </c15:dlblFieldTable>
                  <c15:showDataLabelsRange val="0"/>
                </c:ext>
                <c:ext xmlns:c16="http://schemas.microsoft.com/office/drawing/2014/chart" uri="{C3380CC4-5D6E-409C-BE32-E72D297353CC}">
                  <c16:uniqueId val="{00000006-57F1-4324-82AB-825B7C1A57E9}"/>
                </c:ext>
              </c:extLst>
            </c:dLbl>
            <c:dLbl>
              <c:idx val="6"/>
              <c:layout>
                <c:manualLayout>
                  <c:x val="2.3794264076012145E-3"/>
                  <c:y val="0.1349721682600924"/>
                </c:manualLayout>
              </c:layout>
              <c:tx>
                <c:rich>
                  <a:bodyPr/>
                  <a:lstStyle/>
                  <a:p>
                    <a:fld id="{88DC35DB-1D63-4096-95A8-CBF9A7E584F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{88DC35DB-1D63-4096-95A8-CBF9A7E584F7}</c15:txfldGUID>
                      <c15:f>'Scenario Manager'!$T$70</c15:f>
                      <c15:dlblFieldTableCache>
                        <c:ptCount val="1"/>
                      </c15:dlblFieldTableCache>
                    </c15:dlblFTEntry>
                  </c15:dlblFieldTable>
                  <c15:showDataLabelsRange val="0"/>
                </c:ext>
                <c:ext xmlns:c16="http://schemas.microsoft.com/office/drawing/2014/chart" uri="{C3380CC4-5D6E-409C-BE32-E72D297353CC}">
                  <c16:uniqueId val="{00000007-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Manager'!$N$64:$T$64</c:f>
              <c:numCache>
                <c:formatCode>0%</c:formatCode>
                <c:ptCount val="7"/>
                <c:pt idx="1">
                  <c:v>0.8819999999999999</c:v>
                </c:pt>
                <c:pt idx="2">
                  <c:v>1.3230000000000002</c:v>
                </c:pt>
                <c:pt idx="3">
                  <c:v>0.80827031250000003</c:v>
                </c:pt>
                <c:pt idx="4">
                  <c:v>0.88200601538629442</c:v>
                </c:pt>
                <c:pt idx="5">
                  <c:v>0</c:v>
                </c:pt>
                <c:pt idx="6">
                  <c:v>0</c:v>
                </c:pt>
              </c:numCache>
            </c:numRef>
          </c:val>
          <c:extLst>
            <c:ext xmlns:c16="http://schemas.microsoft.com/office/drawing/2014/chart" uri="{C3380CC4-5D6E-409C-BE32-E72D297353CC}">
              <c16:uniqueId val="{00000008-57F1-4324-82AB-825B7C1A57E9}"/>
            </c:ext>
          </c:extLst>
        </c:ser>
        <c:ser>
          <c:idx val="1"/>
          <c:order val="3"/>
          <c:tx>
            <c:v>Tier 2</c:v>
          </c:tx>
          <c:spPr>
            <a:solidFill>
              <a:schemeClr val="accent2"/>
            </a:solidFill>
            <a:ln w="25400">
              <a:noFill/>
            </a:ln>
            <a:effectLst/>
          </c:spPr>
          <c:invertIfNegative val="0"/>
          <c:dLbls>
            <c:dLbl>
              <c:idx val="1"/>
              <c:layout>
                <c:manualLayout>
                  <c:x val="4.2829675336821856E-3"/>
                  <c:y val="0.18577674848840217"/>
                </c:manualLayout>
              </c:layout>
              <c:tx>
                <c:rich>
                  <a:bodyPr/>
                  <a:lstStyle/>
                  <a:p>
                    <a:fld id="{E4E37343-C2D5-4F0C-875B-F9928724AD74}"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{E4E37343-C2D5-4F0C-875B-F9928724AD74}</c15:txfldGUID>
                      <c15:f>'Scenario Manager'!$O$71</c15:f>
                      <c15:dlblFieldTableCache>
                        <c:ptCount val="1"/>
                      </c15:dlblFieldTableCache>
                    </c15:dlblFTEntry>
                  </c15:dlblFieldTable>
                  <c15:showDataLabelsRange val="0"/>
                </c:ext>
                <c:ext xmlns:c16="http://schemas.microsoft.com/office/drawing/2014/chart" uri="{C3380CC4-5D6E-409C-BE32-E72D297353CC}">
                  <c16:uniqueId val="{00000009-57F1-4324-82AB-825B7C1A57E9}"/>
                </c:ext>
              </c:extLst>
            </c:dLbl>
            <c:dLbl>
              <c:idx val="2"/>
              <c:layout>
                <c:manualLayout>
                  <c:x val="8.0900497858441989E-3"/>
                  <c:y val="0.18577674848840212"/>
                </c:manualLayout>
              </c:layout>
              <c:tx>
                <c:rich>
                  <a:bodyPr/>
                  <a:lstStyle/>
                  <a:p>
                    <a:fld id="{16FEC58E-DEC0-4814-B279-5AA6EBDB71D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{16FEC58E-DEC0-4814-B279-5AA6EBDB71DD}</c15:txfldGUID>
                      <c15:f>'Scenario Manager'!$P$71</c15:f>
                      <c15:dlblFieldTableCache>
                        <c:ptCount val="1"/>
                        <c:pt idx="0">
                          <c:v>126%</c:v>
                        </c:pt>
                      </c15:dlblFieldTableCache>
                    </c15:dlblFTEntry>
                  </c15:dlblFieldTable>
                  <c15:showDataLabelsRange val="0"/>
                </c:ext>
                <c:ext xmlns:c16="http://schemas.microsoft.com/office/drawing/2014/chart" uri="{C3380CC4-5D6E-409C-BE32-E72D297353CC}">
                  <c16:uniqueId val="{0000000A-57F1-4324-82AB-825B7C1A57E9}"/>
                </c:ext>
              </c:extLst>
            </c:dLbl>
            <c:dLbl>
              <c:idx val="3"/>
              <c:layout>
                <c:manualLayout>
                  <c:x val="6.1865086597630873E-3"/>
                  <c:y val="0.18968479312134903"/>
                </c:manualLayout>
              </c:layout>
              <c:tx>
                <c:rich>
                  <a:bodyPr/>
                  <a:lstStyle/>
                  <a:p>
                    <a:fld id="{115472EF-0624-42EE-97E0-6B26C0B842A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{115472EF-0624-42EE-97E0-6B26C0B842AD}</c15:txfldGUID>
                      <c15:f>'Scenario Manager'!$Q$71</c15:f>
                      <c15:dlblFieldTableCache>
                        <c:ptCount val="1"/>
                      </c15:dlblFieldTableCache>
                    </c15:dlblFTEntry>
                  </c15:dlblFieldTable>
                  <c15:showDataLabelsRange val="0"/>
                </c:ext>
                <c:ext xmlns:c16="http://schemas.microsoft.com/office/drawing/2014/chart" uri="{C3380CC4-5D6E-409C-BE32-E72D297353CC}">
                  <c16:uniqueId val="{0000000B-57F1-4324-82AB-825B7C1A57E9}"/>
                </c:ext>
              </c:extLst>
            </c:dLbl>
            <c:dLbl>
              <c:idx val="4"/>
              <c:layout>
                <c:manualLayout>
                  <c:x val="6.1865086597630873E-3"/>
                  <c:y val="0.18577674848840212"/>
                </c:manualLayout>
              </c:layout>
              <c:tx>
                <c:rich>
                  <a:bodyPr/>
                  <a:lstStyle/>
                  <a:p>
                    <a:fld id="{8C3BFBDC-9786-4BC7-BD35-034FED08E9D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{8C3BFBDC-9786-4BC7-BD35-034FED08E9D3}</c15:txfldGUID>
                      <c15:f>'Scenario Manager'!$R$71</c15:f>
                      <c15:dlblFieldTableCache>
                        <c:ptCount val="1"/>
                      </c15:dlblFieldTableCache>
                    </c15:dlblFTEntry>
                  </c15:dlblFieldTable>
                  <c15:showDataLabelsRange val="0"/>
                </c:ext>
                <c:ext xmlns:c16="http://schemas.microsoft.com/office/drawing/2014/chart" uri="{C3380CC4-5D6E-409C-BE32-E72D297353CC}">
                  <c16:uniqueId val="{0000000C-57F1-4324-82AB-825B7C1A57E9}"/>
                </c:ext>
              </c:extLst>
            </c:dLbl>
            <c:dLbl>
              <c:idx val="5"/>
              <c:layout>
                <c:manualLayout>
                  <c:x val="6.1865086597630873E-3"/>
                  <c:y val="0.18968479312134903"/>
                </c:manualLayout>
              </c:layout>
              <c:tx>
                <c:rich>
                  <a:bodyPr/>
                  <a:lstStyle/>
                  <a:p>
                    <a:fld id="{9F482749-7CE2-4C5C-B99A-FDEC5DC153D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{9F482749-7CE2-4C5C-B99A-FDEC5DC153D7}</c15:txfldGUID>
                      <c15:f>'Scenario Manager'!$S$71</c15:f>
                      <c15:dlblFieldTableCache>
                        <c:ptCount val="1"/>
                      </c15:dlblFieldTableCache>
                    </c15:dlblFTEntry>
                  </c15:dlblFieldTable>
                  <c15:showDataLabelsRange val="0"/>
                </c:ext>
                <c:ext xmlns:c16="http://schemas.microsoft.com/office/drawing/2014/chart" uri="{C3380CC4-5D6E-409C-BE32-E72D297353CC}">
                  <c16:uniqueId val="{0000000D-57F1-4324-82AB-825B7C1A57E9}"/>
                </c:ext>
              </c:extLst>
            </c:dLbl>
            <c:dLbl>
              <c:idx val="6"/>
              <c:layout>
                <c:manualLayout>
                  <c:x val="8.0900497858441296E-3"/>
                  <c:y val="0.18577674848840212"/>
                </c:manualLayout>
              </c:layout>
              <c:tx>
                <c:rich>
                  <a:bodyPr/>
                  <a:lstStyle/>
                  <a:p>
                    <a:fld id="{B76F6461-4114-4CA6-8FEE-E8040FDA280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{B76F6461-4114-4CA6-8FEE-E8040FDA280B}</c15:txfldGUID>
                      <c15:f>'Scenario Manager'!$T$71</c15:f>
                      <c15:dlblFieldTableCache>
                        <c:ptCount val="1"/>
                      </c15:dlblFieldTableCache>
                    </c15:dlblFTEntry>
                  </c15:dlblFieldTable>
                  <c15:showDataLabelsRange val="0"/>
                </c:ext>
                <c:ext xmlns:c16="http://schemas.microsoft.com/office/drawing/2014/chart" uri="{C3380CC4-5D6E-409C-BE32-E72D297353CC}">
                  <c16:uniqueId val="{0000000E-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Manager'!$N$65:$T$65</c:f>
              <c:numCache>
                <c:formatCode>0%</c:formatCode>
                <c:ptCount val="7"/>
                <c:pt idx="1">
                  <c:v>0.84</c:v>
                </c:pt>
                <c:pt idx="2">
                  <c:v>1.26</c:v>
                </c:pt>
                <c:pt idx="3">
                  <c:v>0.76978124999999997</c:v>
                </c:pt>
                <c:pt idx="4">
                  <c:v>0.8400057289393279</c:v>
                </c:pt>
                <c:pt idx="5">
                  <c:v>0</c:v>
                </c:pt>
                <c:pt idx="6">
                  <c:v>0</c:v>
                </c:pt>
              </c:numCache>
            </c:numRef>
          </c:val>
          <c:extLst>
            <c:ext xmlns:c16="http://schemas.microsoft.com/office/drawing/2014/chart" uri="{C3380CC4-5D6E-409C-BE32-E72D297353CC}">
              <c16:uniqueId val="{0000000F-57F1-4324-82AB-825B7C1A57E9}"/>
            </c:ext>
          </c:extLst>
        </c:ser>
        <c:ser>
          <c:idx val="4"/>
          <c:order val="4"/>
          <c:tx>
            <c:v>Tier 3</c:v>
          </c:tx>
          <c:spPr>
            <a:solidFill>
              <a:schemeClr val="accent5"/>
            </a:solidFill>
            <a:ln>
              <a:noFill/>
            </a:ln>
            <a:effectLst/>
          </c:spPr>
          <c:invertIfNegative val="0"/>
          <c:dLbls>
            <c:dLbl>
              <c:idx val="1"/>
              <c:layout>
                <c:manualLayout>
                  <c:x val="6.1865086597631576E-3"/>
                  <c:y val="0.23658132871671192"/>
                </c:manualLayout>
              </c:layout>
              <c:tx>
                <c:rich>
                  <a:bodyPr/>
                  <a:lstStyle/>
                  <a:p>
                    <a:fld id="{4289135C-59A3-4F6A-948A-0EE2204CDA1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{4289135C-59A3-4F6A-948A-0EE2204CDA19}</c15:txfldGUID>
                      <c15:f>'Scenario Manager'!$O$72</c15:f>
                      <c15:dlblFieldTableCache>
                        <c:ptCount val="1"/>
                      </c15:dlblFieldTableCache>
                    </c15:dlblFTEntry>
                  </c15:dlblFieldTable>
                  <c15:showDataLabelsRange val="0"/>
                </c:ext>
                <c:ext xmlns:c16="http://schemas.microsoft.com/office/drawing/2014/chart" uri="{C3380CC4-5D6E-409C-BE32-E72D297353CC}">
                  <c16:uniqueId val="{00000010-57F1-4324-82AB-825B7C1A57E9}"/>
                </c:ext>
              </c:extLst>
            </c:dLbl>
            <c:dLbl>
              <c:idx val="2"/>
              <c:layout>
                <c:manualLayout>
                  <c:x val="6.1865086597631576E-3"/>
                  <c:y val="0.23658132871671192"/>
                </c:manualLayout>
              </c:layout>
              <c:tx>
                <c:rich>
                  <a:bodyPr/>
                  <a:lstStyle/>
                  <a:p>
                    <a:fld id="{B5E523AD-4FED-4EFE-B4F1-443B0140BFF0}"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{B5E523AD-4FED-4EFE-B4F1-443B0140BFF0}</c15:txfldGUID>
                      <c15:f>'Scenario Manager'!$P$72</c15:f>
                      <c15:dlblFieldTableCache>
                        <c:ptCount val="1"/>
                        <c:pt idx="0">
                          <c:v>120%</c:v>
                        </c:pt>
                      </c15:dlblFieldTableCache>
                    </c15:dlblFTEntry>
                  </c15:dlblFieldTable>
                  <c15:showDataLabelsRange val="0"/>
                </c:ext>
                <c:ext xmlns:c16="http://schemas.microsoft.com/office/drawing/2014/chart" uri="{C3380CC4-5D6E-409C-BE32-E72D297353CC}">
                  <c16:uniqueId val="{00000011-57F1-4324-82AB-825B7C1A57E9}"/>
                </c:ext>
              </c:extLst>
            </c:dLbl>
            <c:dLbl>
              <c:idx val="3"/>
              <c:layout>
                <c:manualLayout>
                  <c:x val="8.0900497858441296E-3"/>
                  <c:y val="0.24439741798260575"/>
                </c:manualLayout>
              </c:layout>
              <c:tx>
                <c:rich>
                  <a:bodyPr/>
                  <a:lstStyle/>
                  <a:p>
                    <a:fld id="{6F2FED5F-877F-46C0-B369-DB8C863CE29A}"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{6F2FED5F-877F-46C0-B369-DB8C863CE29A}</c15:txfldGUID>
                      <c15:f>'Scenario Manager'!$Q$72</c15:f>
                      <c15:dlblFieldTableCache>
                        <c:ptCount val="1"/>
                      </c15:dlblFieldTableCache>
                    </c15:dlblFTEntry>
                  </c15:dlblFieldTable>
                  <c15:showDataLabelsRange val="0"/>
                </c:ext>
                <c:ext xmlns:c16="http://schemas.microsoft.com/office/drawing/2014/chart" uri="{C3380CC4-5D6E-409C-BE32-E72D297353CC}">
                  <c16:uniqueId val="{00000012-57F1-4324-82AB-825B7C1A57E9}"/>
                </c:ext>
              </c:extLst>
            </c:dLbl>
            <c:dLbl>
              <c:idx val="4"/>
              <c:layout>
                <c:manualLayout>
                  <c:x val="9.9935909119250998E-3"/>
                  <c:y val="0.24048937334965884"/>
                </c:manualLayout>
              </c:layout>
              <c:tx>
                <c:rich>
                  <a:bodyPr/>
                  <a:lstStyle/>
                  <a:p>
                    <a:fld id="{781EFC37-47B6-4149-9F10-676CBA43921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{781EFC37-47B6-4149-9F10-676CBA43921E}</c15:txfldGUID>
                      <c15:f>'Scenario Manager'!$R$72</c15:f>
                      <c15:dlblFieldTableCache>
                        <c:ptCount val="1"/>
                      </c15:dlblFieldTableCache>
                    </c15:dlblFTEntry>
                  </c15:dlblFieldTable>
                  <c15:showDataLabelsRange val="0"/>
                </c:ext>
                <c:ext xmlns:c16="http://schemas.microsoft.com/office/drawing/2014/chart" uri="{C3380CC4-5D6E-409C-BE32-E72D297353CC}">
                  <c16:uniqueId val="{00000013-57F1-4324-82AB-825B7C1A57E9}"/>
                </c:ext>
              </c:extLst>
            </c:dLbl>
            <c:dLbl>
              <c:idx val="5"/>
              <c:layout>
                <c:manualLayout>
                  <c:x val="9.993590911924961E-3"/>
                  <c:y val="0.24439741798260575"/>
                </c:manualLayout>
              </c:layout>
              <c:tx>
                <c:rich>
                  <a:bodyPr/>
                  <a:lstStyle/>
                  <a:p>
                    <a:fld id="{5E2776F1-AA77-496A-BB28-4F5F9C7193F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{5E2776F1-AA77-496A-BB28-4F5F9C7193F7}</c15:txfldGUID>
                      <c15:f>'Scenario Manager'!$S$72</c15:f>
                      <c15:dlblFieldTableCache>
                        <c:ptCount val="1"/>
                      </c15:dlblFieldTableCache>
                    </c15:dlblFTEntry>
                  </c15:dlblFieldTable>
                  <c15:showDataLabelsRange val="0"/>
                </c:ext>
                <c:ext xmlns:c16="http://schemas.microsoft.com/office/drawing/2014/chart" uri="{C3380CC4-5D6E-409C-BE32-E72D297353CC}">
                  <c16:uniqueId val="{00000014-57F1-4324-82AB-825B7C1A57E9}"/>
                </c:ext>
              </c:extLst>
            </c:dLbl>
            <c:dLbl>
              <c:idx val="6"/>
              <c:layout>
                <c:manualLayout>
                  <c:x val="8.090049785843989E-3"/>
                  <c:y val="0.24048937334965884"/>
                </c:manualLayout>
              </c:layout>
              <c:tx>
                <c:rich>
                  <a:bodyPr/>
                  <a:lstStyle/>
                  <a:p>
                    <a:fld id="{79C6A8FF-3D8B-439A-9867-A76A824A8B3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{79C6A8FF-3D8B-439A-9867-A76A824A8B36}</c15:txfldGUID>
                      <c15:f>'Scenario Manager'!$T$72</c15:f>
                      <c15:dlblFieldTableCache>
                        <c:ptCount val="1"/>
                      </c15:dlblFieldTableCache>
                    </c15:dlblFTEntry>
                  </c15:dlblFieldTable>
                  <c15:showDataLabelsRange val="0"/>
                </c:ext>
                <c:ext xmlns:c16="http://schemas.microsoft.com/office/drawing/2014/chart" uri="{C3380CC4-5D6E-409C-BE32-E72D297353CC}">
                  <c16:uniqueId val="{00000015-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Manager'!$N$66:$T$66</c:f>
              <c:numCache>
                <c:formatCode>0%</c:formatCode>
                <c:ptCount val="7"/>
                <c:pt idx="1">
                  <c:v>0.79887218045112773</c:v>
                </c:pt>
                <c:pt idx="2">
                  <c:v>1.1983082706766917</c:v>
                </c:pt>
                <c:pt idx="3">
                  <c:v>0.39943609022556387</c:v>
                </c:pt>
                <c:pt idx="4">
                  <c:v>0.77743902439024393</c:v>
                </c:pt>
                <c:pt idx="5">
                  <c:v>0</c:v>
                </c:pt>
                <c:pt idx="6">
                  <c:v>0</c:v>
                </c:pt>
              </c:numCache>
            </c:numRef>
          </c:val>
          <c:extLst>
            <c:ext xmlns:c16="http://schemas.microsoft.com/office/drawing/2014/chart" uri="{C3380CC4-5D6E-409C-BE32-E72D297353CC}">
              <c16:uniqueId val="{00000016-57F1-4324-82AB-825B7C1A57E9}"/>
            </c:ext>
          </c:extLst>
        </c:ser>
        <c:ser>
          <c:idx val="5"/>
          <c:order val="5"/>
          <c:tx>
            <c:v>Tier 4</c:v>
          </c:tx>
          <c:spPr>
            <a:solidFill>
              <a:schemeClr val="accent6"/>
            </a:solidFill>
            <a:ln>
              <a:noFill/>
            </a:ln>
            <a:effectLst/>
          </c:spPr>
          <c:invertIfNegative val="0"/>
          <c:dLbls>
            <c:dLbl>
              <c:idx val="1"/>
              <c:layout>
                <c:manualLayout>
                  <c:x val="6.1865086597631576E-3"/>
                  <c:y val="0.14278825752598612"/>
                </c:manualLayout>
              </c:layout>
              <c:tx>
                <c:rich>
                  <a:bodyPr/>
                  <a:lstStyle/>
                  <a:p>
                    <a:fld id="{C6F5CEBC-47A3-4752-85FA-284EF5792B30}"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{C6F5CEBC-47A3-4752-85FA-284EF5792B30}</c15:txfldGUID>
                      <c15:f>'Scenario Manager'!$O$73</c15:f>
                      <c15:dlblFieldTableCache>
                        <c:ptCount val="1"/>
                      </c15:dlblFieldTableCache>
                    </c15:dlblFTEntry>
                  </c15:dlblFieldTable>
                  <c15:showDataLabelsRange val="0"/>
                </c:ext>
                <c:ext xmlns:c16="http://schemas.microsoft.com/office/drawing/2014/chart" uri="{C3380CC4-5D6E-409C-BE32-E72D297353CC}">
                  <c16:uniqueId val="{00000017-57F1-4324-82AB-825B7C1A57E9}"/>
                </c:ext>
              </c:extLst>
            </c:dLbl>
            <c:dLbl>
              <c:idx val="2"/>
              <c:layout>
                <c:manualLayout>
                  <c:x val="9.9935909119250998E-3"/>
                  <c:y val="0.1388802128930392"/>
                </c:manualLayout>
              </c:layout>
              <c:tx>
                <c:rich>
                  <a:bodyPr/>
                  <a:lstStyle/>
                  <a:p>
                    <a:fld id="{2A062621-6BE3-4117-AFEF-5EE1892AF21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{2A062621-6BE3-4117-AFEF-5EE1892AF21E}</c15:txfldGUID>
                      <c15:f>'Scenario Manager'!$P$73</c15:f>
                      <c15:dlblFieldTableCache>
                        <c:ptCount val="1"/>
                      </c15:dlblFieldTableCache>
                    </c15:dlblFTEntry>
                  </c15:dlblFieldTable>
                  <c15:showDataLabelsRange val="0"/>
                </c:ext>
                <c:ext xmlns:c16="http://schemas.microsoft.com/office/drawing/2014/chart" uri="{C3380CC4-5D6E-409C-BE32-E72D297353CC}">
                  <c16:uniqueId val="{00000018-57F1-4324-82AB-825B7C1A57E9}"/>
                </c:ext>
              </c:extLst>
            </c:dLbl>
            <c:dLbl>
              <c:idx val="3"/>
              <c:layout>
                <c:manualLayout>
                  <c:x val="8.0900497858441296E-3"/>
                  <c:y val="0.1388802128930392"/>
                </c:manualLayout>
              </c:layout>
              <c:tx>
                <c:rich>
                  <a:bodyPr/>
                  <a:lstStyle/>
                  <a:p>
                    <a:fld id="{4C0702FD-85A0-47C3-8602-DEE89C7FE7EC}"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{4C0702FD-85A0-47C3-8602-DEE89C7FE7EC}</c15:txfldGUID>
                      <c15:f>'Scenario Manager'!$Q$73</c15:f>
                      <c15:dlblFieldTableCache>
                        <c:ptCount val="1"/>
                      </c15:dlblFieldTableCache>
                    </c15:dlblFTEntry>
                  </c15:dlblFieldTable>
                  <c15:showDataLabelsRange val="0"/>
                </c:ext>
                <c:ext xmlns:c16="http://schemas.microsoft.com/office/drawing/2014/chart" uri="{C3380CC4-5D6E-409C-BE32-E72D297353CC}">
                  <c16:uniqueId val="{00000019-57F1-4324-82AB-825B7C1A57E9}"/>
                </c:ext>
              </c:extLst>
            </c:dLbl>
            <c:dLbl>
              <c:idx val="4"/>
              <c:layout>
                <c:manualLayout>
                  <c:x val="9.9935909119250304E-3"/>
                  <c:y val="0.1388802128930392"/>
                </c:manualLayout>
              </c:layout>
              <c:tx>
                <c:rich>
                  <a:bodyPr/>
                  <a:lstStyle/>
                  <a:p>
                    <a:fld id="{6FFA739C-E1A4-4244-8086-DED06496307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{6FFA739C-E1A4-4244-8086-DED06496307D}</c15:txfldGUID>
                      <c15:f>'Scenario Manager'!$R$73</c15:f>
                      <c15:dlblFieldTableCache>
                        <c:ptCount val="1"/>
                      </c15:dlblFieldTableCache>
                    </c15:dlblFTEntry>
                  </c15:dlblFieldTable>
                  <c15:showDataLabelsRange val="0"/>
                </c:ext>
                <c:ext xmlns:c16="http://schemas.microsoft.com/office/drawing/2014/chart" uri="{C3380CC4-5D6E-409C-BE32-E72D297353CC}">
                  <c16:uniqueId val="{0000001A-57F1-4324-82AB-825B7C1A57E9}"/>
                </c:ext>
              </c:extLst>
            </c:dLbl>
            <c:dLbl>
              <c:idx val="5"/>
              <c:layout>
                <c:manualLayout>
                  <c:x val="8.0900497858441296E-3"/>
                  <c:y val="0.14278825752598612"/>
                </c:manualLayout>
              </c:layout>
              <c:tx>
                <c:rich>
                  <a:bodyPr/>
                  <a:lstStyle/>
                  <a:p>
                    <a:fld id="{B152B62E-E5DF-44D4-9B53-C4FA8CEED7F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{B152B62E-E5DF-44D4-9B53-C4FA8CEED7F2}</c15:txfldGUID>
                      <c15:f>'Scenario Manager'!$S$73</c15:f>
                      <c15:dlblFieldTableCache>
                        <c:ptCount val="1"/>
                      </c15:dlblFieldTableCache>
                    </c15:dlblFTEntry>
                  </c15:dlblFieldTable>
                  <c15:showDataLabelsRange val="0"/>
                </c:ext>
                <c:ext xmlns:c16="http://schemas.microsoft.com/office/drawing/2014/chart" uri="{C3380CC4-5D6E-409C-BE32-E72D297353CC}">
                  <c16:uniqueId val="{0000001B-57F1-4324-82AB-825B7C1A57E9}"/>
                </c:ext>
              </c:extLst>
            </c:dLbl>
            <c:dLbl>
              <c:idx val="6"/>
              <c:layout>
                <c:manualLayout>
                  <c:x val="9.9935909119250998E-3"/>
                  <c:y val="0.1388802128930392"/>
                </c:manualLayout>
              </c:layout>
              <c:tx>
                <c:rich>
                  <a:bodyPr/>
                  <a:lstStyle/>
                  <a:p>
                    <a:fld id="{E64F7284-4BAB-4E3E-A29E-D25BFAE6FBF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{E64F7284-4BAB-4E3E-A29E-D25BFAE6FBF1}</c15:txfldGUID>
                      <c15:f>'Scenario Manager'!$T$73</c15:f>
                      <c15:dlblFieldTableCache>
                        <c:ptCount val="1"/>
                      </c15:dlblFieldTableCache>
                    </c15:dlblFTEntry>
                  </c15:dlblFieldTable>
                  <c15:showDataLabelsRange val="0"/>
                </c:ext>
                <c:ext xmlns:c16="http://schemas.microsoft.com/office/drawing/2014/chart" uri="{C3380CC4-5D6E-409C-BE32-E72D297353CC}">
                  <c16:uniqueId val="{0000001C-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Manager'!$N$67:$T$67</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D-57F1-4324-82AB-825B7C1A57E9}"/>
            </c:ext>
          </c:extLst>
        </c:ser>
        <c:ser>
          <c:idx val="6"/>
          <c:order val="6"/>
          <c:tx>
            <c:v>Tier 5</c:v>
          </c:tx>
          <c:spPr>
            <a:solidFill>
              <a:schemeClr val="accent1">
                <a:lumMod val="60000"/>
              </a:schemeClr>
            </a:solidFill>
            <a:ln>
              <a:noFill/>
            </a:ln>
            <a:effectLst/>
          </c:spPr>
          <c:invertIfNegative val="0"/>
          <c:dLbls>
            <c:dLbl>
              <c:idx val="1"/>
              <c:layout>
                <c:manualLayout>
                  <c:x val="6.1865086597631576E-3"/>
                  <c:y val="0.18577674848840212"/>
                </c:manualLayout>
              </c:layout>
              <c:tx>
                <c:rich>
                  <a:bodyPr/>
                  <a:lstStyle/>
                  <a:p>
                    <a:fld id="{F6221008-0658-4CAA-9B05-0FC5628EA53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{F6221008-0658-4CAA-9B05-0FC5628EA532}</c15:txfldGUID>
                      <c15:f>'Scenario Manager'!$O$74</c15:f>
                      <c15:dlblFieldTableCache>
                        <c:ptCount val="1"/>
                      </c15:dlblFieldTableCache>
                    </c15:dlblFTEntry>
                  </c15:dlblFieldTable>
                  <c15:showDataLabelsRange val="0"/>
                </c:ext>
                <c:ext xmlns:c16="http://schemas.microsoft.com/office/drawing/2014/chart" uri="{C3380CC4-5D6E-409C-BE32-E72D297353CC}">
                  <c16:uniqueId val="{0000001E-57F1-4324-82AB-825B7C1A57E9}"/>
                </c:ext>
              </c:extLst>
            </c:dLbl>
            <c:dLbl>
              <c:idx val="2"/>
              <c:layout>
                <c:manualLayout>
                  <c:x val="9.9935909119250998E-3"/>
                  <c:y val="0.18968479312134903"/>
                </c:manualLayout>
              </c:layout>
              <c:tx>
                <c:rich>
                  <a:bodyPr/>
                  <a:lstStyle/>
                  <a:p>
                    <a:fld id="{B5B59581-867A-4DAF-81A1-61B539F9A5A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{B5B59581-867A-4DAF-81A1-61B539F9A5A5}</c15:txfldGUID>
                      <c15:f>'Scenario Manager'!$P$74</c15:f>
                      <c15:dlblFieldTableCache>
                        <c:ptCount val="1"/>
                      </c15:dlblFieldTableCache>
                    </c15:dlblFTEntry>
                  </c15:dlblFieldTable>
                  <c15:showDataLabelsRange val="0"/>
                </c:ext>
                <c:ext xmlns:c16="http://schemas.microsoft.com/office/drawing/2014/chart" uri="{C3380CC4-5D6E-409C-BE32-E72D297353CC}">
                  <c16:uniqueId val="{0000001F-57F1-4324-82AB-825B7C1A57E9}"/>
                </c:ext>
              </c:extLst>
            </c:dLbl>
            <c:dLbl>
              <c:idx val="3"/>
              <c:layout>
                <c:manualLayout>
                  <c:x val="8.0900497858441296E-3"/>
                  <c:y val="0.19359283775429592"/>
                </c:manualLayout>
              </c:layout>
              <c:tx>
                <c:rich>
                  <a:bodyPr/>
                  <a:lstStyle/>
                  <a:p>
                    <a:fld id="{20728344-4BD8-4A70-983A-F7430AA4279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{20728344-4BD8-4A70-983A-F7430AA4279E}</c15:txfldGUID>
                      <c15:f>'Scenario Manager'!$Q$74</c15:f>
                      <c15:dlblFieldTableCache>
                        <c:ptCount val="1"/>
                      </c15:dlblFieldTableCache>
                    </c15:dlblFTEntry>
                  </c15:dlblFieldTable>
                  <c15:showDataLabelsRange val="0"/>
                </c:ext>
                <c:ext xmlns:c16="http://schemas.microsoft.com/office/drawing/2014/chart" uri="{C3380CC4-5D6E-409C-BE32-E72D297353CC}">
                  <c16:uniqueId val="{00000020-57F1-4324-82AB-825B7C1A57E9}"/>
                </c:ext>
              </c:extLst>
            </c:dLbl>
            <c:dLbl>
              <c:idx val="4"/>
              <c:layout>
                <c:manualLayout>
                  <c:x val="9.9935909119251709E-3"/>
                  <c:y val="0.18968479312134903"/>
                </c:manualLayout>
              </c:layout>
              <c:tx>
                <c:rich>
                  <a:bodyPr/>
                  <a:lstStyle/>
                  <a:p>
                    <a:fld id="{9207B563-45E6-4990-BC6D-ACEE5E40513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{9207B563-45E6-4990-BC6D-ACEE5E405131}</c15:txfldGUID>
                      <c15:f>'Scenario Manager'!$R$74</c15:f>
                      <c15:dlblFieldTableCache>
                        <c:ptCount val="1"/>
                      </c15:dlblFieldTableCache>
                    </c15:dlblFTEntry>
                  </c15:dlblFieldTable>
                  <c15:showDataLabelsRange val="0"/>
                </c:ext>
                <c:ext xmlns:c16="http://schemas.microsoft.com/office/drawing/2014/chart" uri="{C3380CC4-5D6E-409C-BE32-E72D297353CC}">
                  <c16:uniqueId val="{00000021-57F1-4324-82AB-825B7C1A57E9}"/>
                </c:ext>
              </c:extLst>
            </c:dLbl>
            <c:dLbl>
              <c:idx val="5"/>
              <c:layout>
                <c:manualLayout>
                  <c:x val="6.1865086597630179E-3"/>
                  <c:y val="0.18968479312134903"/>
                </c:manualLayout>
              </c:layout>
              <c:tx>
                <c:rich>
                  <a:bodyPr/>
                  <a:lstStyle/>
                  <a:p>
                    <a:fld id="{B40B5C8E-7C8C-4143-9CE6-528DCE495C9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{B40B5C8E-7C8C-4143-9CE6-528DCE495C96}</c15:txfldGUID>
                      <c15:f>'Scenario Manager'!$S$74</c15:f>
                      <c15:dlblFieldTableCache>
                        <c:ptCount val="1"/>
                      </c15:dlblFieldTableCache>
                    </c15:dlblFTEntry>
                  </c15:dlblFieldTable>
                  <c15:showDataLabelsRange val="0"/>
                </c:ext>
                <c:ext xmlns:c16="http://schemas.microsoft.com/office/drawing/2014/chart" uri="{C3380CC4-5D6E-409C-BE32-E72D297353CC}">
                  <c16:uniqueId val="{00000022-57F1-4324-82AB-825B7C1A57E9}"/>
                </c:ext>
              </c:extLst>
            </c:dLbl>
            <c:dLbl>
              <c:idx val="6"/>
              <c:layout>
                <c:manualLayout>
                  <c:x val="9.993590911924961E-3"/>
                  <c:y val="0.18577674848840212"/>
                </c:manualLayout>
              </c:layout>
              <c:tx>
                <c:rich>
                  <a:bodyPr/>
                  <a:lstStyle/>
                  <a:p>
                    <a:fld id="{70C4DEA3-99D1-4851-9E31-02339B58816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{70C4DEA3-99D1-4851-9E31-02339B588167}</c15:txfldGUID>
                      <c15:f>'Scenario Manager'!$T$74</c15:f>
                      <c15:dlblFieldTableCache>
                        <c:ptCount val="1"/>
                      </c15:dlblFieldTableCache>
                    </c15:dlblFTEntry>
                  </c15:dlblFieldTable>
                  <c15:showDataLabelsRange val="0"/>
                </c:ext>
                <c:ext xmlns:c16="http://schemas.microsoft.com/office/drawing/2014/chart" uri="{C3380CC4-5D6E-409C-BE32-E72D297353CC}">
                  <c16:uniqueId val="{00000023-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Manager'!$N$68:$T$68</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24-57F1-4324-82AB-825B7C1A57E9}"/>
            </c:ext>
          </c:extLst>
        </c:ser>
        <c:ser>
          <c:idx val="7"/>
          <c:order val="7"/>
          <c:tx>
            <c:v>Tier 6</c:v>
          </c:tx>
          <c:spPr>
            <a:solidFill>
              <a:schemeClr val="accent2">
                <a:lumMod val="60000"/>
              </a:schemeClr>
            </a:solidFill>
            <a:ln>
              <a:noFill/>
            </a:ln>
            <a:effectLst/>
          </c:spPr>
          <c:invertIfNegative val="0"/>
          <c:dLbls>
            <c:dLbl>
              <c:idx val="1"/>
              <c:layout>
                <c:manualLayout>
                  <c:x val="8.0900497858440949E-3"/>
                  <c:y val="0.21218436000537888"/>
                </c:manualLayout>
              </c:layout>
              <c:tx>
                <c:rich>
                  <a:bodyPr/>
                  <a:lstStyle/>
                  <a:p>
                    <a:fld id="{55A7BC5E-799D-4B83-8261-DBC3AB3350B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{55A7BC5E-799D-4B83-8261-DBC3AB3350B3}</c15:txfldGUID>
                      <c15:f>'Scenario Manager'!$O$75</c15:f>
                      <c15:dlblFieldTableCache>
                        <c:ptCount val="1"/>
                      </c15:dlblFieldTableCache>
                    </c15:dlblFTEntry>
                  </c15:dlblFieldTable>
                  <c15:showDataLabelsRange val="0"/>
                </c:ext>
                <c:ext xmlns:c16="http://schemas.microsoft.com/office/drawing/2014/chart" uri="{C3380CC4-5D6E-409C-BE32-E72D297353CC}">
                  <c16:uniqueId val="{00000025-57F1-4324-82AB-825B7C1A57E9}"/>
                </c:ext>
              </c:extLst>
            </c:dLbl>
            <c:dLbl>
              <c:idx val="2"/>
              <c:layout>
                <c:manualLayout>
                  <c:x val="8.0900497858441296E-3"/>
                  <c:y val="0.20827631537243196"/>
                </c:manualLayout>
              </c:layout>
              <c:tx>
                <c:rich>
                  <a:bodyPr/>
                  <a:lstStyle/>
                  <a:p>
                    <a:fld id="{74B9A8C7-3FA9-4482-98C6-3AB9D78752F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{74B9A8C7-3FA9-4482-98C6-3AB9D78752FE}</c15:txfldGUID>
                      <c15:f>'Scenario Manager'!$P$75</c15:f>
                      <c15:dlblFieldTableCache>
                        <c:ptCount val="1"/>
                      </c15:dlblFieldTableCache>
                    </c15:dlblFTEntry>
                  </c15:dlblFieldTable>
                  <c15:showDataLabelsRange val="0"/>
                </c:ext>
                <c:ext xmlns:c16="http://schemas.microsoft.com/office/drawing/2014/chart" uri="{C3380CC4-5D6E-409C-BE32-E72D297353CC}">
                  <c16:uniqueId val="{00000026-57F1-4324-82AB-825B7C1A57E9}"/>
                </c:ext>
              </c:extLst>
            </c:dLbl>
            <c:dLbl>
              <c:idx val="3"/>
              <c:layout>
                <c:manualLayout>
                  <c:x val="8.0900497858440584E-3"/>
                  <c:y val="0.20827631537243196"/>
                </c:manualLayout>
              </c:layout>
              <c:tx>
                <c:rich>
                  <a:bodyPr/>
                  <a:lstStyle/>
                  <a:p>
                    <a:fld id="{0D6E4451-5893-4F08-9710-5CA098E319C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{0D6E4451-5893-4F08-9710-5CA098E319C1}</c15:txfldGUID>
                      <c15:f>'Scenario Manager'!$Q$75</c15:f>
                      <c15:dlblFieldTableCache>
                        <c:ptCount val="1"/>
                      </c15:dlblFieldTableCache>
                    </c15:dlblFTEntry>
                  </c15:dlblFieldTable>
                  <c15:showDataLabelsRange val="0"/>
                </c:ext>
                <c:ext xmlns:c16="http://schemas.microsoft.com/office/drawing/2014/chart" uri="{C3380CC4-5D6E-409C-BE32-E72D297353CC}">
                  <c16:uniqueId val="{00000027-57F1-4324-82AB-825B7C1A57E9}"/>
                </c:ext>
              </c:extLst>
            </c:dLbl>
            <c:dLbl>
              <c:idx val="4"/>
              <c:layout>
                <c:manualLayout>
                  <c:x val="8.0900497858441296E-3"/>
                  <c:y val="0.20827631537243196"/>
                </c:manualLayout>
              </c:layout>
              <c:tx>
                <c:rich>
                  <a:bodyPr/>
                  <a:lstStyle/>
                  <a:p>
                    <a:fld id="{F2C5DDF7-CCBF-4CA1-B9C7-E3EDB141A06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{F2C5DDF7-CCBF-4CA1-B9C7-E3EDB141A06B}</c15:txfldGUID>
                      <c15:f>'Scenario Manager'!$R$75</c15:f>
                      <c15:dlblFieldTableCache>
                        <c:ptCount val="1"/>
                      </c15:dlblFieldTableCache>
                    </c15:dlblFTEntry>
                  </c15:dlblFieldTable>
                  <c15:showDataLabelsRange val="0"/>
                </c:ext>
                <c:ext xmlns:c16="http://schemas.microsoft.com/office/drawing/2014/chart" uri="{C3380CC4-5D6E-409C-BE32-E72D297353CC}">
                  <c16:uniqueId val="{00000028-57F1-4324-82AB-825B7C1A57E9}"/>
                </c:ext>
              </c:extLst>
            </c:dLbl>
            <c:dLbl>
              <c:idx val="5"/>
              <c:layout>
                <c:manualLayout>
                  <c:x val="9.9935909119250998E-3"/>
                  <c:y val="0.20827631537243196"/>
                </c:manualLayout>
              </c:layout>
              <c:tx>
                <c:rich>
                  <a:bodyPr/>
                  <a:lstStyle/>
                  <a:p>
                    <a:fld id="{71A92BC2-E309-4BCB-B0D8-C630F002237C}"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{71A92BC2-E309-4BCB-B0D8-C630F002237C}</c15:txfldGUID>
                      <c15:f>'Scenario Manager'!$S$75</c15:f>
                      <c15:dlblFieldTableCache>
                        <c:ptCount val="1"/>
                      </c15:dlblFieldTableCache>
                    </c15:dlblFTEntry>
                  </c15:dlblFieldTable>
                  <c15:showDataLabelsRange val="0"/>
                </c:ext>
                <c:ext xmlns:c16="http://schemas.microsoft.com/office/drawing/2014/chart" uri="{C3380CC4-5D6E-409C-BE32-E72D297353CC}">
                  <c16:uniqueId val="{00000029-57F1-4324-82AB-825B7C1A57E9}"/>
                </c:ext>
              </c:extLst>
            </c:dLbl>
            <c:dLbl>
              <c:idx val="6"/>
              <c:layout>
                <c:manualLayout>
                  <c:x val="9.993590911924961E-3"/>
                  <c:y val="0.21218436000537888"/>
                </c:manualLayout>
              </c:layout>
              <c:tx>
                <c:rich>
                  <a:bodyPr/>
                  <a:lstStyle/>
                  <a:p>
                    <a:fld id="{6BF66A20-0C21-4841-AC71-447A2AF90D0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{6BF66A20-0C21-4841-AC71-447A2AF90D05}</c15:txfldGUID>
                      <c15:f>'Scenario Manager'!$T$75</c15:f>
                      <c15:dlblFieldTableCache>
                        <c:ptCount val="1"/>
                      </c15:dlblFieldTableCache>
                    </c15:dlblFTEntry>
                  </c15:dlblFieldTable>
                  <c15:showDataLabelsRange val="0"/>
                </c:ext>
                <c:ext xmlns:c16="http://schemas.microsoft.com/office/drawing/2014/chart" uri="{C3380CC4-5D6E-409C-BE32-E72D297353CC}">
                  <c16:uniqueId val="{0000002A-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Manager'!$N$69:$T$69</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2B-57F1-4324-82AB-825B7C1A57E9}"/>
            </c:ext>
          </c:extLst>
        </c:ser>
        <c:dLbls>
          <c:showLegendKey val="0"/>
          <c:showVal val="0"/>
          <c:showCatName val="0"/>
          <c:showSerName val="0"/>
          <c:showPercent val="0"/>
          <c:showBubbleSize val="0"/>
        </c:dLbls>
        <c:gapWidth val="150"/>
        <c:axId val="605980712"/>
        <c:axId val="605977104"/>
      </c:barChart>
      <c:catAx>
        <c:axId val="605980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5977104"/>
        <c:crosses val="autoZero"/>
        <c:auto val="1"/>
        <c:lblAlgn val="ctr"/>
        <c:lblOffset val="100"/>
        <c:noMultiLvlLbl val="0"/>
      </c:catAx>
      <c:valAx>
        <c:axId val="605977104"/>
        <c:scaling>
          <c:orientation val="minMax"/>
          <c:max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605980712"/>
        <c:crosses val="autoZero"/>
        <c:crossBetween val="between"/>
        <c:majorUnit val="0.1"/>
      </c:valAx>
      <c:spPr>
        <a:noFill/>
        <a:ln>
          <a:noFill/>
        </a:ln>
        <a:effectLst/>
      </c:spPr>
    </c:plotArea>
    <c:legend>
      <c:legendPos val="b"/>
      <c:legendEntry>
        <c:idx val="0"/>
        <c:delete val="1"/>
      </c:legendEntry>
      <c:legendEntry>
        <c:idx val="1"/>
        <c:delete val="1"/>
      </c:legendEntry>
      <c:layout>
        <c:manualLayout>
          <c:xMode val="edge"/>
          <c:yMode val="edge"/>
          <c:x val="0.21012753411772347"/>
          <c:y val="0.91188935181988473"/>
          <c:w val="0.45599609594156448"/>
          <c:h val="7.518898205929473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rPr>
              <a:t>Supply</a:t>
            </a: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 Chain Costs by Tier and Functional Area</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8363667826104205"/>
          <c:y val="4.0552861015645614E-3"/>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15716828215597861"/>
          <c:y val="0.14508321361254037"/>
          <c:w val="0.78082090260156045"/>
          <c:h val="0.61361170773948515"/>
        </c:manualLayout>
      </c:layout>
      <c:barChart>
        <c:barDir val="col"/>
        <c:grouping val="stacked"/>
        <c:varyColors val="0"/>
        <c:ser>
          <c:idx val="1"/>
          <c:order val="0"/>
          <c:tx>
            <c:v>Warehousing</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Tier 1</c:v>
              </c:pt>
              <c:pt idx="1">
                <c:v> Tier 2</c:v>
              </c:pt>
              <c:pt idx="2">
                <c:v> Tier 3</c:v>
              </c:pt>
            </c:strLit>
          </c:cat>
          <c:val>
            <c:numRef>
              <c:f>Baseline_Results_NOINDIRECT!$H$78:$N$78</c:f>
              <c:numCache>
                <c:formatCode>_("$"* #,##0_);_("$"* \(#,##0\);_("$"* "-"??_);_(@_)</c:formatCode>
                <c:ptCount val="3"/>
                <c:pt idx="0">
                  <c:v>0</c:v>
                </c:pt>
                <c:pt idx="1">
                  <c:v>0</c:v>
                </c:pt>
                <c:pt idx="2">
                  <c:v>0</c:v>
                </c:pt>
              </c:numCache>
            </c:numRef>
          </c:val>
          <c:extLst>
            <c:ext xmlns:c16="http://schemas.microsoft.com/office/drawing/2014/chart" uri="{C3380CC4-5D6E-409C-BE32-E72D297353CC}">
              <c16:uniqueId val="{00000000-FB55-464B-AD00-4EB629FD5BA9}"/>
            </c:ext>
          </c:extLst>
        </c:ser>
        <c:ser>
          <c:idx val="2"/>
          <c:order val="1"/>
          <c:tx>
            <c:v>Transportation</c:v>
          </c:tx>
          <c:spPr>
            <a:solidFill>
              <a:schemeClr val="accent2">
                <a:lumMod val="60000"/>
                <a:lumOff val="4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B55-464B-AD00-4EB629FD5BA9}"/>
                </c:ext>
              </c:extLst>
            </c:dLbl>
            <c:dLbl>
              <c:idx val="1"/>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55-464B-AD00-4EB629FD5BA9}"/>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Tier 1</c:v>
              </c:pt>
              <c:pt idx="1">
                <c:v> Tier 2</c:v>
              </c:pt>
              <c:pt idx="2">
                <c:v> Tier 3</c:v>
              </c:pt>
            </c:strLit>
          </c:cat>
          <c:val>
            <c:numRef>
              <c:f>Baseline_Results_NOINDIRECT!$H$79:$N$79</c:f>
              <c:numCache>
                <c:formatCode>_("$"* #,##0_);_("$"* \(#,##0\);_("$"* "-"??_);_(@_)</c:formatCode>
                <c:ptCount val="3"/>
                <c:pt idx="0">
                  <c:v>0</c:v>
                </c:pt>
                <c:pt idx="1">
                  <c:v>0</c:v>
                </c:pt>
                <c:pt idx="2">
                  <c:v>0</c:v>
                </c:pt>
              </c:numCache>
            </c:numRef>
          </c:val>
          <c:extLst>
            <c:ext xmlns:c16="http://schemas.microsoft.com/office/drawing/2014/chart" uri="{C3380CC4-5D6E-409C-BE32-E72D297353CC}">
              <c16:uniqueId val="{00000003-FB55-464B-AD00-4EB629FD5BA9}"/>
            </c:ext>
          </c:extLst>
        </c:ser>
        <c:ser>
          <c:idx val="4"/>
          <c:order val="2"/>
          <c:tx>
            <c:v>Management/System Support</c:v>
          </c:tx>
          <c:spPr>
            <a:solidFill>
              <a:schemeClr val="accent6">
                <a:lumMod val="60000"/>
                <a:lumOff val="40000"/>
              </a:schemeClr>
            </a:solidFill>
            <a:ln>
              <a:noFill/>
            </a:ln>
            <a:effectLst/>
          </c:spPr>
          <c:invertIfNegative val="0"/>
          <c:dLbls>
            <c:dLbl>
              <c:idx val="1"/>
              <c:layout>
                <c:manualLayout>
                  <c:x val="-7.9624202590205673E-17"/>
                  <c:y val="-2.83000969015691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55-464B-AD00-4EB629FD5BA9}"/>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Tier 1</c:v>
              </c:pt>
              <c:pt idx="1">
                <c:v> Tier 2</c:v>
              </c:pt>
              <c:pt idx="2">
                <c:v> Tier 3</c:v>
              </c:pt>
            </c:strLit>
          </c:cat>
          <c:val>
            <c:numRef>
              <c:f>Baseline_Results_NOINDIRECT!$H$80:$N$80</c:f>
              <c:numCache>
                <c:formatCode>_("$"* #,##0_);_("$"* \(#,##0\);_("$"* "-"??_);_(@_)</c:formatCode>
                <c:ptCount val="3"/>
                <c:pt idx="0">
                  <c:v>0</c:v>
                </c:pt>
                <c:pt idx="1">
                  <c:v>0</c:v>
                </c:pt>
                <c:pt idx="2">
                  <c:v>0</c:v>
                </c:pt>
              </c:numCache>
            </c:numRef>
          </c:val>
          <c:extLst>
            <c:ext xmlns:c16="http://schemas.microsoft.com/office/drawing/2014/chart" uri="{C3380CC4-5D6E-409C-BE32-E72D297353CC}">
              <c16:uniqueId val="{00000005-FB55-464B-AD00-4EB629FD5BA9}"/>
            </c:ext>
          </c:extLst>
        </c:ser>
        <c:dLbls>
          <c:showLegendKey val="0"/>
          <c:showVal val="0"/>
          <c:showCatName val="0"/>
          <c:showSerName val="0"/>
          <c:showPercent val="0"/>
          <c:showBubbleSize val="0"/>
        </c:dLbls>
        <c:gapWidth val="12"/>
        <c:overlap val="100"/>
        <c:axId val="909679712"/>
        <c:axId val="909680104"/>
      </c:barChart>
      <c:catAx>
        <c:axId val="90967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80104"/>
        <c:crosses val="autoZero"/>
        <c:auto val="1"/>
        <c:lblAlgn val="ctr"/>
        <c:lblOffset val="100"/>
        <c:noMultiLvlLbl val="0"/>
      </c:catAx>
      <c:valAx>
        <c:axId val="9096801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7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Warehousing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0"/>
          <c:order val="0"/>
          <c:tx>
            <c:strRef>
              <c:f>Baseline_Results_NOINDIRECT!$X$84:$X$86</c:f>
              <c:strCache>
                <c:ptCount val="3"/>
                <c:pt idx="0">
                  <c:v> $-   </c:v>
                </c:pt>
                <c:pt idx="1">
                  <c:v> $-   </c:v>
                </c:pt>
                <c:pt idx="2">
                  <c:v> $-   </c:v>
                </c:pt>
              </c:strCache>
            </c:strRef>
          </c:tx>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65A0-44B9-8895-BF43923C293F}"/>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65A0-44B9-8895-BF43923C293F}"/>
              </c:ext>
            </c:extLst>
          </c:dPt>
          <c:dPt>
            <c:idx val="2"/>
            <c:bubble3D val="0"/>
            <c:spPr>
              <a:solidFill>
                <a:srgbClr val="BA8CDC"/>
              </a:solidFill>
              <a:ln w="19050">
                <a:solidFill>
                  <a:schemeClr val="lt1"/>
                </a:solidFill>
              </a:ln>
              <a:effectLst/>
            </c:spPr>
            <c:extLst>
              <c:ext xmlns:c16="http://schemas.microsoft.com/office/drawing/2014/chart" uri="{C3380CC4-5D6E-409C-BE32-E72D297353CC}">
                <c16:uniqueId val="{00000005-65A0-44B9-8895-BF43923C293F}"/>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7-65A0-44B9-8895-BF43923C293F}"/>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65A0-44B9-8895-BF43923C293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5A0-44B9-8895-BF43923C293F}"/>
              </c:ext>
            </c:extLst>
          </c:dPt>
          <c:dLbls>
            <c:dLbl>
              <c:idx val="0"/>
              <c:layout>
                <c:manualLayout>
                  <c:x val="5.1502811317464753E-3"/>
                  <c:y val="-4.5124813281971566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5A0-44B9-8895-BF43923C293F}"/>
                </c:ext>
              </c:extLst>
            </c:dLbl>
            <c:dLbl>
              <c:idx val="1"/>
              <c:layout>
                <c:manualLayout>
                  <c:x val="-1.1744824472127394E-3"/>
                  <c:y val="5.9303690628186561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5A0-44B9-8895-BF43923C293F}"/>
                </c:ext>
              </c:extLst>
            </c:dLbl>
            <c:dLbl>
              <c:idx val="3"/>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7-65A0-44B9-8895-BF43923C293F}"/>
                </c:ext>
              </c:extLst>
            </c:dLbl>
            <c:dLbl>
              <c:idx val="4"/>
              <c:layout>
                <c:manualLayout>
                  <c:x val="8.5326409417197466E-3"/>
                  <c:y val="-8.017930826700612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5A0-44B9-8895-BF43923C293F}"/>
                </c:ext>
              </c:extLst>
            </c:dLbl>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Baseline_Results_NOINDIRECT!$F$84:$F$86</c:f>
              <c:strCache>
                <c:ptCount val="3"/>
                <c:pt idx="0">
                  <c:v>Labor</c:v>
                </c:pt>
                <c:pt idx="1">
                  <c:v>Equipment &amp; Depreciation Costs</c:v>
                </c:pt>
                <c:pt idx="2">
                  <c:v>Utilities, repairs, insurance, &amp; other warehouse operations</c:v>
                </c:pt>
              </c:strCache>
            </c:strRef>
          </c:cat>
          <c:val>
            <c:numRef>
              <c:f>Baseline_Results_NOINDIRECT!$X$84:$X$86</c:f>
              <c:numCache>
                <c:formatCode>_("$"* #,##0_);_("$"* \(#,##0\);_("$"* "-"??_);_(@_)</c:formatCode>
                <c:ptCount val="3"/>
                <c:pt idx="0">
                  <c:v>0</c:v>
                </c:pt>
                <c:pt idx="1">
                  <c:v>0</c:v>
                </c:pt>
                <c:pt idx="2">
                  <c:v>0</c:v>
                </c:pt>
              </c:numCache>
            </c:numRef>
          </c:val>
          <c:extLst>
            <c:ext xmlns:c16="http://schemas.microsoft.com/office/drawing/2014/chart" uri="{C3380CC4-5D6E-409C-BE32-E72D297353CC}">
              <c16:uniqueId val="{0000000C-65A0-44B9-8895-BF43923C293F}"/>
            </c:ext>
          </c:extLst>
        </c:ser>
        <c:dLbls>
          <c:showLegendKey val="0"/>
          <c:showVal val="0"/>
          <c:showCatName val="0"/>
          <c:showSerName val="0"/>
          <c:showPercent val="0"/>
          <c:showBubbleSize val="0"/>
          <c:showLeaderLines val="0"/>
        </c:dLbls>
        <c:firstSliceAng val="0"/>
        <c:holeSize val="35"/>
      </c:doughnutChart>
      <c:spPr>
        <a:noFill/>
        <a:ln>
          <a:noFill/>
        </a:ln>
        <a:effectLst/>
      </c:spPr>
    </c:plotArea>
    <c:legend>
      <c:legendPos val="b"/>
      <c:layout>
        <c:manualLayout>
          <c:xMode val="edge"/>
          <c:yMode val="edge"/>
          <c:x val="0"/>
          <c:y val="0.3703232238046737"/>
          <c:w val="0.36856026632094852"/>
          <c:h val="0.39071017001670028"/>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r>
              <a:rPr lang="en-US" sz="1600" b="1">
                <a:solidFill>
                  <a:schemeClr val="tx1">
                    <a:lumMod val="65000"/>
                    <a:lumOff val="35000"/>
                  </a:schemeClr>
                </a:solidFill>
                <a:latin typeface="+mn-lt"/>
                <a:ea typeface="Garamond" charset="0"/>
                <a:cs typeface="Garamond" charset="0"/>
              </a:rPr>
              <a:t>Utilization of Transport and Storage Resources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endParaRPr lang="en-US"/>
        </a:p>
      </c:txPr>
    </c:title>
    <c:autoTitleDeleted val="0"/>
    <c:plotArea>
      <c:layout>
        <c:manualLayout>
          <c:layoutTarget val="inner"/>
          <c:xMode val="edge"/>
          <c:yMode val="edge"/>
          <c:x val="0.11135040608573343"/>
          <c:y val="0.14141402363091585"/>
          <c:w val="0.72844585793359251"/>
          <c:h val="0.58695918597061025"/>
        </c:manualLayout>
      </c:layout>
      <c:areaChart>
        <c:grouping val="stacked"/>
        <c:varyColors val="0"/>
        <c:ser>
          <c:idx val="2"/>
          <c:order val="2"/>
          <c:spPr>
            <a:noFill/>
            <a:ln>
              <a:noFill/>
            </a:ln>
            <a:effectLst/>
          </c:spPr>
          <c:cat>
            <c:multiLvlStrRef>
              <c:f>Baseline_Results_NOINDIRECT!$AA$56:$AA$68</c:f>
            </c:multiLvlStrRef>
          </c:cat>
          <c:val>
            <c:numRef>
              <c:f>Baseline_Results_NOINDIRECT!$AE$56:$AE$68</c:f>
              <c:numCache>
                <c:formatCode>0%</c:formatCode>
                <c:ptCount val="13"/>
                <c:pt idx="0">
                  <c:v>0.5</c:v>
                </c:pt>
                <c:pt idx="1">
                  <c:v>0.5</c:v>
                </c:pt>
                <c:pt idx="2">
                  <c:v>0.5</c:v>
                </c:pt>
                <c:pt idx="3">
                  <c:v>0.5</c:v>
                </c:pt>
                <c:pt idx="4">
                  <c:v>0.5</c:v>
                </c:pt>
                <c:pt idx="5">
                  <c:v>0.5</c:v>
                </c:pt>
                <c:pt idx="6">
                  <c:v>0.5</c:v>
                </c:pt>
                <c:pt idx="7">
                  <c:v>0.5</c:v>
                </c:pt>
                <c:pt idx="8">
                  <c:v>0.5</c:v>
                </c:pt>
                <c:pt idx="9">
                  <c:v>0.5</c:v>
                </c:pt>
                <c:pt idx="10">
                  <c:v>0.5</c:v>
                </c:pt>
                <c:pt idx="11">
                  <c:v>0.5</c:v>
                </c:pt>
                <c:pt idx="12">
                  <c:v>0.5</c:v>
                </c:pt>
              </c:numCache>
            </c:numRef>
          </c:val>
          <c:extLst>
            <c:ext xmlns:c16="http://schemas.microsoft.com/office/drawing/2014/chart" uri="{C3380CC4-5D6E-409C-BE32-E72D297353CC}">
              <c16:uniqueId val="{00000000-D6AA-4935-88A0-5C8C7EC146B9}"/>
            </c:ext>
          </c:extLst>
        </c:ser>
        <c:ser>
          <c:idx val="3"/>
          <c:order val="3"/>
          <c:spPr>
            <a:solidFill>
              <a:schemeClr val="accent6">
                <a:lumMod val="40000"/>
                <a:lumOff val="60000"/>
                <a:alpha val="44000"/>
              </a:schemeClr>
            </a:solidFill>
            <a:ln>
              <a:noFill/>
            </a:ln>
            <a:effectLst/>
          </c:spPr>
          <c:cat>
            <c:multiLvlStrRef>
              <c:f>Baseline_Results_NOINDIRECT!$AA$56:$AA$68</c:f>
            </c:multiLvlStrRef>
          </c:cat>
          <c:val>
            <c:numRef>
              <c:f>Baseline_Results_NOINDIRECT!$AF$56:$AF$68</c:f>
              <c:numCache>
                <c:formatCode>0%</c:formatCode>
                <c:ptCount val="13"/>
                <c:pt idx="0">
                  <c:v>0.4</c:v>
                </c:pt>
                <c:pt idx="1">
                  <c:v>0.4</c:v>
                </c:pt>
                <c:pt idx="2">
                  <c:v>0.4</c:v>
                </c:pt>
                <c:pt idx="3">
                  <c:v>0.4</c:v>
                </c:pt>
                <c:pt idx="4">
                  <c:v>0.4</c:v>
                </c:pt>
                <c:pt idx="5">
                  <c:v>0.4</c:v>
                </c:pt>
                <c:pt idx="6">
                  <c:v>0.4</c:v>
                </c:pt>
                <c:pt idx="7">
                  <c:v>0.4</c:v>
                </c:pt>
                <c:pt idx="8">
                  <c:v>0.4</c:v>
                </c:pt>
                <c:pt idx="9">
                  <c:v>0.4</c:v>
                </c:pt>
                <c:pt idx="10">
                  <c:v>0.4</c:v>
                </c:pt>
                <c:pt idx="11">
                  <c:v>0.4</c:v>
                </c:pt>
                <c:pt idx="12">
                  <c:v>0.4</c:v>
                </c:pt>
              </c:numCache>
            </c:numRef>
          </c:val>
          <c:extLst>
            <c:ext xmlns:c16="http://schemas.microsoft.com/office/drawing/2014/chart" uri="{C3380CC4-5D6E-409C-BE32-E72D297353CC}">
              <c16:uniqueId val="{00000001-D6AA-4935-88A0-5C8C7EC146B9}"/>
            </c:ext>
          </c:extLst>
        </c:ser>
        <c:dLbls>
          <c:showLegendKey val="0"/>
          <c:showVal val="0"/>
          <c:showCatName val="0"/>
          <c:showSerName val="0"/>
          <c:showPercent val="0"/>
          <c:showBubbleSize val="0"/>
        </c:dLbls>
        <c:axId val="909680888"/>
        <c:axId val="909681672"/>
      </c:areaChart>
      <c:barChart>
        <c:barDir val="col"/>
        <c:grouping val="stacked"/>
        <c:varyColors val="0"/>
        <c:ser>
          <c:idx val="0"/>
          <c:order val="0"/>
          <c:spPr>
            <a:solidFill>
              <a:schemeClr val="accent1"/>
            </a:solidFill>
            <a:ln>
              <a:noFill/>
            </a:ln>
            <a:effectLst/>
          </c:spPr>
          <c:invertIfNegative val="0"/>
          <c:dPt>
            <c:idx val="3"/>
            <c:invertIfNegative val="0"/>
            <c:bubble3D val="0"/>
            <c:spPr>
              <a:solidFill>
                <a:srgbClr val="BA8CDC"/>
              </a:solidFill>
              <a:ln>
                <a:noFill/>
              </a:ln>
              <a:effectLst/>
            </c:spPr>
            <c:extLst>
              <c:ext xmlns:c16="http://schemas.microsoft.com/office/drawing/2014/chart" uri="{C3380CC4-5D6E-409C-BE32-E72D297353CC}">
                <c16:uniqueId val="{00000003-D6AA-4935-88A0-5C8C7EC146B9}"/>
              </c:ext>
            </c:extLst>
          </c:dPt>
          <c:dPt>
            <c:idx val="4"/>
            <c:invertIfNegative val="0"/>
            <c:bubble3D val="0"/>
            <c:spPr>
              <a:solidFill>
                <a:srgbClr val="BA8CDC"/>
              </a:solidFill>
              <a:ln>
                <a:noFill/>
              </a:ln>
              <a:effectLst/>
            </c:spPr>
            <c:extLst>
              <c:ext xmlns:c16="http://schemas.microsoft.com/office/drawing/2014/chart" uri="{C3380CC4-5D6E-409C-BE32-E72D297353CC}">
                <c16:uniqueId val="{00000005-D6AA-4935-88A0-5C8C7EC146B9}"/>
              </c:ext>
            </c:extLst>
          </c:dPt>
          <c:dPt>
            <c:idx val="5"/>
            <c:invertIfNegative val="0"/>
            <c:bubble3D val="0"/>
            <c:spPr>
              <a:solidFill>
                <a:srgbClr val="BA8CDC"/>
              </a:solidFill>
              <a:ln>
                <a:noFill/>
              </a:ln>
              <a:effectLst/>
            </c:spPr>
            <c:extLst>
              <c:ext xmlns:c16="http://schemas.microsoft.com/office/drawing/2014/chart" uri="{C3380CC4-5D6E-409C-BE32-E72D297353CC}">
                <c16:uniqueId val="{00000007-D6AA-4935-88A0-5C8C7EC146B9}"/>
              </c:ext>
            </c:extLst>
          </c:dPt>
          <c:dPt>
            <c:idx val="6"/>
            <c:invertIfNegative val="0"/>
            <c:bubble3D val="0"/>
            <c:spPr>
              <a:solidFill>
                <a:srgbClr val="BA8CDC"/>
              </a:solidFill>
              <a:ln>
                <a:noFill/>
              </a:ln>
              <a:effectLst/>
            </c:spPr>
            <c:extLst>
              <c:ext xmlns:c16="http://schemas.microsoft.com/office/drawing/2014/chart" uri="{C3380CC4-5D6E-409C-BE32-E72D297353CC}">
                <c16:uniqueId val="{00000009-D6AA-4935-88A0-5C8C7EC146B9}"/>
              </c:ext>
            </c:extLst>
          </c:dPt>
          <c:dPt>
            <c:idx val="7"/>
            <c:invertIfNegative val="0"/>
            <c:bubble3D val="0"/>
            <c:spPr>
              <a:solidFill>
                <a:srgbClr val="BA8CDC"/>
              </a:solidFill>
              <a:ln>
                <a:noFill/>
              </a:ln>
              <a:effectLst/>
            </c:spPr>
            <c:extLst>
              <c:ext xmlns:c16="http://schemas.microsoft.com/office/drawing/2014/chart" uri="{C3380CC4-5D6E-409C-BE32-E72D297353CC}">
                <c16:uniqueId val="{0000000B-D6AA-4935-88A0-5C8C7EC146B9}"/>
              </c:ext>
            </c:extLst>
          </c:dPt>
          <c:dPt>
            <c:idx val="8"/>
            <c:invertIfNegative val="0"/>
            <c:bubble3D val="0"/>
            <c:spPr>
              <a:solidFill>
                <a:srgbClr val="BA8CDC"/>
              </a:solidFill>
              <a:ln>
                <a:noFill/>
              </a:ln>
              <a:effectLst/>
            </c:spPr>
            <c:extLst>
              <c:ext xmlns:c16="http://schemas.microsoft.com/office/drawing/2014/chart" uri="{C3380CC4-5D6E-409C-BE32-E72D297353CC}">
                <c16:uniqueId val="{0000000D-D6AA-4935-88A0-5C8C7EC146B9}"/>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Baseline_Results_NOINDIRECT!$AA$56:$AA$68</c:f>
            </c:multiLvlStrRef>
          </c:cat>
          <c:val>
            <c:numRef>
              <c:f>Baseline_Results_NOINDIRECT!$AB$56:$AB$68</c:f>
              <c:numCache>
                <c:formatCode>0.0%</c:formatCode>
                <c:ptCount val="13"/>
                <c:pt idx="1">
                  <c:v>0</c:v>
                </c:pt>
                <c:pt idx="2">
                  <c:v>0</c:v>
                </c:pt>
                <c:pt idx="3">
                  <c:v>0</c:v>
                </c:pt>
                <c:pt idx="4" formatCode="0%">
                  <c:v>0</c:v>
                </c:pt>
                <c:pt idx="5" formatCode="0%">
                  <c:v>0</c:v>
                </c:pt>
                <c:pt idx="6" formatCode="0%">
                  <c:v>0</c:v>
                </c:pt>
                <c:pt idx="7">
                  <c:v>0</c:v>
                </c:pt>
                <c:pt idx="8">
                  <c:v>0</c:v>
                </c:pt>
                <c:pt idx="9">
                  <c:v>0</c:v>
                </c:pt>
                <c:pt idx="10">
                  <c:v>0</c:v>
                </c:pt>
                <c:pt idx="11">
                  <c:v>0</c:v>
                </c:pt>
                <c:pt idx="12">
                  <c:v>0</c:v>
                </c:pt>
              </c:numCache>
            </c:numRef>
          </c:val>
          <c:extLst>
            <c:ext xmlns:c16="http://schemas.microsoft.com/office/drawing/2014/chart" uri="{C3380CC4-5D6E-409C-BE32-E72D297353CC}">
              <c16:uniqueId val="{0000000E-D6AA-4935-88A0-5C8C7EC146B9}"/>
            </c:ext>
          </c:extLst>
        </c:ser>
        <c:dLbls>
          <c:showLegendKey val="0"/>
          <c:showVal val="0"/>
          <c:showCatName val="0"/>
          <c:showSerName val="0"/>
          <c:showPercent val="0"/>
          <c:showBubbleSize val="0"/>
        </c:dLbls>
        <c:gapWidth val="26"/>
        <c:overlap val="100"/>
        <c:axId val="909680888"/>
        <c:axId val="909681672"/>
      </c:barChart>
      <c:barChart>
        <c:barDir val="col"/>
        <c:grouping val="clustered"/>
        <c:varyColors val="0"/>
        <c:dLbls>
          <c:showLegendKey val="0"/>
          <c:showVal val="0"/>
          <c:showCatName val="0"/>
          <c:showSerName val="0"/>
          <c:showPercent val="0"/>
          <c:showBubbleSize val="0"/>
        </c:dLbls>
        <c:gapWidth val="26"/>
        <c:axId val="612026280"/>
        <c:axId val="612023000"/>
        <c:extLst>
          <c:ext xmlns:c15="http://schemas.microsoft.com/office/drawing/2012/chart" uri="{02D57815-91ED-43cb-92C2-25804820EDAC}">
            <c15:filteredBarSeries>
              <c15:ser>
                <c:idx val="1"/>
                <c:order val="1"/>
                <c:spPr>
                  <a:solidFill>
                    <a:srgbClr val="FF99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Baseline_Results_NOINDIRECT!$AA$56:$AA$65</c15:sqref>
                        </c15:formulaRef>
                      </c:ext>
                    </c:extLst>
                  </c:multiLvlStrRef>
                </c:cat>
                <c:val>
                  <c:numRef>
                    <c:extLst>
                      <c:ext uri="{02D57815-91ED-43cb-92C2-25804820EDAC}">
                        <c15:formulaRef>
                          <c15:sqref>Baseline_Results_NOINDIRECT!$AD$56:$AD$65</c15:sqref>
                        </c15:formulaRef>
                      </c:ext>
                    </c:extLst>
                    <c:numCache>
                      <c:formatCode>General</c:formatCode>
                      <c:ptCount val="10"/>
                      <c:pt idx="7">
                        <c:v>0</c:v>
                      </c:pt>
                      <c:pt idx="8">
                        <c:v>0</c:v>
                      </c:pt>
                      <c:pt idx="9">
                        <c:v>0</c:v>
                      </c:pt>
                    </c:numCache>
                  </c:numRef>
                </c:val>
                <c:extLst>
                  <c:ext xmlns:c16="http://schemas.microsoft.com/office/drawing/2014/chart" uri="{C3380CC4-5D6E-409C-BE32-E72D297353CC}">
                    <c16:uniqueId val="{0000000F-D6AA-4935-88A0-5C8C7EC146B9}"/>
                  </c:ext>
                </c:extLst>
              </c15:ser>
            </c15:filteredBarSeries>
          </c:ext>
        </c:extLst>
      </c:barChart>
      <c:catAx>
        <c:axId val="909680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681672"/>
        <c:crosses val="autoZero"/>
        <c:auto val="1"/>
        <c:lblAlgn val="ctr"/>
        <c:lblOffset val="100"/>
        <c:noMultiLvlLbl val="0"/>
      </c:catAx>
      <c:valAx>
        <c:axId val="90968167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909680888"/>
        <c:crosses val="autoZero"/>
        <c:crossBetween val="between"/>
        <c:majorUnit val="0.1"/>
      </c:valAx>
      <c:valAx>
        <c:axId val="612023000"/>
        <c:scaling>
          <c:orientation val="minMax"/>
          <c:max val="5"/>
        </c:scaling>
        <c:delete val="1"/>
        <c:axPos val="r"/>
        <c:numFmt formatCode="General" sourceLinked="1"/>
        <c:majorTickMark val="out"/>
        <c:minorTickMark val="none"/>
        <c:tickLblPos val="nextTo"/>
        <c:crossAx val="612026280"/>
        <c:crosses val="max"/>
        <c:crossBetween val="between"/>
        <c:majorUnit val="1"/>
      </c:valAx>
      <c:catAx>
        <c:axId val="612026280"/>
        <c:scaling>
          <c:orientation val="minMax"/>
        </c:scaling>
        <c:delete val="1"/>
        <c:axPos val="b"/>
        <c:numFmt formatCode="General" sourceLinked="1"/>
        <c:majorTickMark val="out"/>
        <c:minorTickMark val="none"/>
        <c:tickLblPos val="nextTo"/>
        <c:crossAx val="612023000"/>
        <c:crosses val="autoZero"/>
        <c:auto val="1"/>
        <c:lblAlgn val="ctr"/>
        <c:lblOffset val="100"/>
        <c:noMultiLvlLbl val="0"/>
      </c:catAx>
      <c:spPr>
        <a:noFill/>
        <a:ln>
          <a:noFill/>
        </a:ln>
        <a:effectLst/>
      </c:spPr>
    </c:plotArea>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Transportation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1"/>
          <c:order val="0"/>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1C31-4F05-A175-A80F2CEC3D80}"/>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1C31-4F05-A175-A80F2CEC3D80}"/>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1C31-4F05-A175-A80F2CEC3D80}"/>
              </c:ext>
            </c:extLst>
          </c:dPt>
          <c:dPt>
            <c:idx val="3"/>
            <c:bubble3D val="0"/>
            <c:spPr>
              <a:solidFill>
                <a:srgbClr val="BA8CDC"/>
              </a:solidFill>
              <a:ln w="19050">
                <a:solidFill>
                  <a:schemeClr val="lt1"/>
                </a:solidFill>
              </a:ln>
              <a:effectLst/>
            </c:spPr>
            <c:extLst>
              <c:ext xmlns:c16="http://schemas.microsoft.com/office/drawing/2014/chart" uri="{C3380CC4-5D6E-409C-BE32-E72D297353CC}">
                <c16:uniqueId val="{00000007-1C31-4F05-A175-A80F2CEC3D80}"/>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Baseline_Results_NOINDIRECT!$F$88:$F$91</c:f>
              <c:strCache>
                <c:ptCount val="4"/>
                <c:pt idx="0">
                  <c:v>Labor</c:v>
                </c:pt>
                <c:pt idx="1">
                  <c:v>Equipment &amp; Depreciation Costs</c:v>
                </c:pt>
                <c:pt idx="2">
                  <c:v>Per-Diems</c:v>
                </c:pt>
                <c:pt idx="3">
                  <c:v>Fuel, Maintenance, &amp; Other Travel Costs</c:v>
                </c:pt>
              </c:strCache>
            </c:strRef>
          </c:cat>
          <c:val>
            <c:numRef>
              <c:f>Baseline_Results_NOINDIRECT!$X$88:$X$91</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8-1C31-4F05-A175-A80F2CEC3D80}"/>
            </c:ext>
          </c:extLst>
        </c:ser>
        <c:dLbls>
          <c:showLegendKey val="0"/>
          <c:showVal val="0"/>
          <c:showCatName val="0"/>
          <c:showSerName val="0"/>
          <c:showPercent val="0"/>
          <c:showBubbleSize val="0"/>
          <c:showLeaderLines val="1"/>
        </c:dLbls>
        <c:firstSliceAng val="0"/>
        <c:holeSize val="35"/>
        <c:extLst/>
      </c:doughnutChart>
      <c:spPr>
        <a:noFill/>
        <a:ln>
          <a:noFill/>
        </a:ln>
        <a:effectLst/>
      </c:spPr>
    </c:plotArea>
    <c:legend>
      <c:legendPos val="b"/>
      <c:layout>
        <c:manualLayout>
          <c:xMode val="edge"/>
          <c:yMode val="edge"/>
          <c:x val="3.6095762178868507E-2"/>
          <c:y val="0.31667663481084668"/>
          <c:w val="0.3659819975938865"/>
          <c:h val="0.4885363028877967"/>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rPr>
              <a:t>Supply</a:t>
            </a: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 Chain Costs by Tier and Functional Area</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8363667826104205"/>
          <c:y val="4.0552861015645614E-3"/>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15716828215597861"/>
          <c:y val="0.14508321361254037"/>
          <c:w val="0.78082090260156045"/>
          <c:h val="0.61361170773948515"/>
        </c:manualLayout>
      </c:layout>
      <c:barChart>
        <c:barDir val="col"/>
        <c:grouping val="stacked"/>
        <c:varyColors val="0"/>
        <c:ser>
          <c:idx val="1"/>
          <c:order val="0"/>
          <c:tx>
            <c:strRef>
              <c:f>'2_Outputs'!$F$78</c:f>
              <c:strCache>
                <c:ptCount val="1"/>
                <c:pt idx="0">
                  <c:v>Total Warehousing Costs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'2_Outputs'!$H$76:$W$76</c:f>
              <c:strCache>
                <c:ptCount val="6"/>
                <c:pt idx="0">
                  <c:v> CMS Tier </c:v>
                </c:pt>
                <c:pt idx="1">
                  <c:v> Regional WH Tier </c:v>
                </c:pt>
                <c:pt idx="2">
                  <c:v> Health Facility Tier </c:v>
                </c:pt>
                <c:pt idx="3">
                  <c:v>  </c:v>
                </c:pt>
                <c:pt idx="4">
                  <c:v>  </c:v>
                </c:pt>
                <c:pt idx="5">
                  <c:v>  </c:v>
                </c:pt>
              </c:strCache>
            </c:strRef>
          </c:cat>
          <c:val>
            <c:numRef>
              <c:f>'2_Outputs'!$H$78:$W$78</c:f>
              <c:numCache>
                <c:formatCode>_("$"* #,##0_);_("$"* \(#,##0\);_("$"* "-"??_);_(@_)</c:formatCode>
                <c:ptCount val="6"/>
                <c:pt idx="0">
                  <c:v>356937.61504037399</c:v>
                </c:pt>
                <c:pt idx="1">
                  <c:v>281586.00040215149</c:v>
                </c:pt>
                <c:pt idx="2">
                  <c:v>244046.7819764734</c:v>
                </c:pt>
                <c:pt idx="3">
                  <c:v>0</c:v>
                </c:pt>
                <c:pt idx="4">
                  <c:v>0</c:v>
                </c:pt>
                <c:pt idx="5">
                  <c:v>0</c:v>
                </c:pt>
              </c:numCache>
            </c:numRef>
          </c:val>
          <c:extLst>
            <c:ext xmlns:c16="http://schemas.microsoft.com/office/drawing/2014/chart" uri="{C3380CC4-5D6E-409C-BE32-E72D297353CC}">
              <c16:uniqueId val="{00000000-AED5-46D3-9815-A09863E24F2E}"/>
            </c:ext>
          </c:extLst>
        </c:ser>
        <c:ser>
          <c:idx val="2"/>
          <c:order val="1"/>
          <c:tx>
            <c:strRef>
              <c:f>'2_Outputs'!$F$79</c:f>
              <c:strCache>
                <c:ptCount val="1"/>
                <c:pt idx="0">
                  <c:v>Total Transportation Costs</c:v>
                </c:pt>
              </c:strCache>
            </c:strRef>
          </c:tx>
          <c:spPr>
            <a:solidFill>
              <a:schemeClr val="accent2">
                <a:lumMod val="60000"/>
                <a:lumOff val="4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AED5-46D3-9815-A09863E24F2E}"/>
                </c:ext>
              </c:extLst>
            </c:dLbl>
            <c:dLbl>
              <c:idx val="1"/>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D5-46D3-9815-A09863E24F2E}"/>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'2_Outputs'!$H$76:$W$76</c:f>
              <c:strCache>
                <c:ptCount val="6"/>
                <c:pt idx="0">
                  <c:v> CMS Tier </c:v>
                </c:pt>
                <c:pt idx="1">
                  <c:v> Regional WH Tier </c:v>
                </c:pt>
                <c:pt idx="2">
                  <c:v> Health Facility Tier </c:v>
                </c:pt>
                <c:pt idx="3">
                  <c:v>  </c:v>
                </c:pt>
                <c:pt idx="4">
                  <c:v>  </c:v>
                </c:pt>
                <c:pt idx="5">
                  <c:v>  </c:v>
                </c:pt>
              </c:strCache>
            </c:strRef>
          </c:cat>
          <c:val>
            <c:numRef>
              <c:f>'2_Outputs'!$H$79:$W$79</c:f>
              <c:numCache>
                <c:formatCode>_("$"* #,##0_);_("$"* \(#,##0\);_("$"* "-"??_);_(@_)</c:formatCode>
                <c:ptCount val="6"/>
                <c:pt idx="0">
                  <c:v>0</c:v>
                </c:pt>
                <c:pt idx="1">
                  <c:v>142180.39789637309</c:v>
                </c:pt>
                <c:pt idx="2">
                  <c:v>329010.63066292467</c:v>
                </c:pt>
                <c:pt idx="3">
                  <c:v>0</c:v>
                </c:pt>
                <c:pt idx="4">
                  <c:v>0</c:v>
                </c:pt>
                <c:pt idx="5">
                  <c:v>0</c:v>
                </c:pt>
              </c:numCache>
            </c:numRef>
          </c:val>
          <c:extLst>
            <c:ext xmlns:c16="http://schemas.microsoft.com/office/drawing/2014/chart" uri="{C3380CC4-5D6E-409C-BE32-E72D297353CC}">
              <c16:uniqueId val="{00000003-AED5-46D3-9815-A09863E24F2E}"/>
            </c:ext>
          </c:extLst>
        </c:ser>
        <c:ser>
          <c:idx val="4"/>
          <c:order val="2"/>
          <c:tx>
            <c:strRef>
              <c:f>'2_Outputs'!$F$80</c:f>
              <c:strCache>
                <c:ptCount val="1"/>
                <c:pt idx="0">
                  <c:v>Total Management/System Support Costs</c:v>
                </c:pt>
              </c:strCache>
            </c:strRef>
          </c:tx>
          <c:spPr>
            <a:solidFill>
              <a:schemeClr val="accent6">
                <a:lumMod val="60000"/>
                <a:lumOff val="40000"/>
              </a:schemeClr>
            </a:solidFill>
            <a:ln>
              <a:noFill/>
            </a:ln>
            <a:effectLst/>
          </c:spPr>
          <c:invertIfNegative val="0"/>
          <c:dLbls>
            <c:dLbl>
              <c:idx val="1"/>
              <c:layout>
                <c:manualLayout>
                  <c:x val="-7.9624202590205673E-17"/>
                  <c:y val="-2.83000969015691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D5-46D3-9815-A09863E24F2E}"/>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'2_Outputs'!$H$76:$W$76</c:f>
              <c:strCache>
                <c:ptCount val="6"/>
                <c:pt idx="0">
                  <c:v> CMS Tier </c:v>
                </c:pt>
                <c:pt idx="1">
                  <c:v> Regional WH Tier </c:v>
                </c:pt>
                <c:pt idx="2">
                  <c:v> Health Facility Tier </c:v>
                </c:pt>
                <c:pt idx="3">
                  <c:v>  </c:v>
                </c:pt>
                <c:pt idx="4">
                  <c:v>  </c:v>
                </c:pt>
                <c:pt idx="5">
                  <c:v>  </c:v>
                </c:pt>
              </c:strCache>
            </c:strRef>
          </c:cat>
          <c:val>
            <c:numRef>
              <c:f>'2_Outputs'!$H$80:$W$80</c:f>
              <c:numCache>
                <c:formatCode>_("$"* #,##0_);_("$"* \(#,##0\);_("$"* "-"??_);_(@_)</c:formatCode>
                <c:ptCount val="6"/>
                <c:pt idx="0">
                  <c:v>68518.335535384278</c:v>
                </c:pt>
                <c:pt idx="1">
                  <c:v>13104</c:v>
                </c:pt>
                <c:pt idx="2">
                  <c:v>50452.347965689762</c:v>
                </c:pt>
                <c:pt idx="3">
                  <c:v>0</c:v>
                </c:pt>
                <c:pt idx="4">
                  <c:v>0</c:v>
                </c:pt>
                <c:pt idx="5">
                  <c:v>0</c:v>
                </c:pt>
              </c:numCache>
            </c:numRef>
          </c:val>
          <c:extLst>
            <c:ext xmlns:c16="http://schemas.microsoft.com/office/drawing/2014/chart" uri="{C3380CC4-5D6E-409C-BE32-E72D297353CC}">
              <c16:uniqueId val="{00000005-AED5-46D3-9815-A09863E24F2E}"/>
            </c:ext>
          </c:extLst>
        </c:ser>
        <c:dLbls>
          <c:showLegendKey val="0"/>
          <c:showVal val="0"/>
          <c:showCatName val="0"/>
          <c:showSerName val="0"/>
          <c:showPercent val="0"/>
          <c:showBubbleSize val="0"/>
        </c:dLbls>
        <c:gapWidth val="12"/>
        <c:overlap val="100"/>
        <c:axId val="909679712"/>
        <c:axId val="909680104"/>
      </c:barChart>
      <c:catAx>
        <c:axId val="90967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80104"/>
        <c:crosses val="autoZero"/>
        <c:auto val="1"/>
        <c:lblAlgn val="ctr"/>
        <c:lblOffset val="100"/>
        <c:noMultiLvlLbl val="0"/>
      </c:catAx>
      <c:valAx>
        <c:axId val="9096801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7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Warehousing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0"/>
          <c:order val="0"/>
          <c:tx>
            <c:strRef>
              <c:f>'2_Outputs'!$Y$84:$Y$86</c:f>
              <c:strCache>
                <c:ptCount val="3"/>
                <c:pt idx="0">
                  <c:v> $427,662 </c:v>
                </c:pt>
                <c:pt idx="1">
                  <c:v> $49,779 </c:v>
                </c:pt>
                <c:pt idx="2">
                  <c:v> $405,129 </c:v>
                </c:pt>
              </c:strCache>
            </c:strRef>
          </c:tx>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D73B-4CC1-BDB0-6DD7DDCFB991}"/>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D73B-4CC1-BDB0-6DD7DDCFB991}"/>
              </c:ext>
            </c:extLst>
          </c:dPt>
          <c:dPt>
            <c:idx val="2"/>
            <c:bubble3D val="0"/>
            <c:spPr>
              <a:solidFill>
                <a:srgbClr val="BA8CDC"/>
              </a:solidFill>
              <a:ln w="19050">
                <a:solidFill>
                  <a:schemeClr val="lt1"/>
                </a:solidFill>
              </a:ln>
              <a:effectLst/>
            </c:spPr>
            <c:extLst>
              <c:ext xmlns:c16="http://schemas.microsoft.com/office/drawing/2014/chart" uri="{C3380CC4-5D6E-409C-BE32-E72D297353CC}">
                <c16:uniqueId val="{00000005-D73B-4CC1-BDB0-6DD7DDCFB991}"/>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7-D73B-4CC1-BDB0-6DD7DDCFB991}"/>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D73B-4CC1-BDB0-6DD7DDCFB99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D73B-4CC1-BDB0-6DD7DDCFB991}"/>
              </c:ext>
            </c:extLst>
          </c:dPt>
          <c:dLbls>
            <c:dLbl>
              <c:idx val="0"/>
              <c:layout>
                <c:manualLayout>
                  <c:x val="5.1502811317464753E-3"/>
                  <c:y val="-4.5124813281971566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73B-4CC1-BDB0-6DD7DDCFB991}"/>
                </c:ext>
              </c:extLst>
            </c:dLbl>
            <c:dLbl>
              <c:idx val="1"/>
              <c:layout>
                <c:manualLayout>
                  <c:x val="-1.1744824472127394E-3"/>
                  <c:y val="5.9303690628186561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73B-4CC1-BDB0-6DD7DDCFB991}"/>
                </c:ext>
              </c:extLst>
            </c:dLbl>
            <c:dLbl>
              <c:idx val="3"/>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7-D73B-4CC1-BDB0-6DD7DDCFB991}"/>
                </c:ext>
              </c:extLst>
            </c:dLbl>
            <c:dLbl>
              <c:idx val="4"/>
              <c:layout>
                <c:manualLayout>
                  <c:x val="8.5326409417197466E-3"/>
                  <c:y val="-8.017930826700612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73B-4CC1-BDB0-6DD7DDCFB991}"/>
                </c:ext>
              </c:extLst>
            </c:dLbl>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'2_Outputs'!$F$84:$F$86</c:f>
              <c:strCache>
                <c:ptCount val="3"/>
                <c:pt idx="0">
                  <c:v>Labor</c:v>
                </c:pt>
                <c:pt idx="1">
                  <c:v>Equipment &amp; Depreciation Costs</c:v>
                </c:pt>
                <c:pt idx="2">
                  <c:v>Utilities, repairs, insurance, &amp; other warehouse operations</c:v>
                </c:pt>
              </c:strCache>
            </c:strRef>
          </c:cat>
          <c:val>
            <c:numRef>
              <c:f>'2_Outputs'!$Y$84:$Y$86</c:f>
              <c:numCache>
                <c:formatCode>_("$"* #,##0_);_("$"* \(#,##0\);_("$"* "-"??_);_(@_)</c:formatCode>
                <c:ptCount val="3"/>
                <c:pt idx="0">
                  <c:v>427661.94257105479</c:v>
                </c:pt>
                <c:pt idx="1">
                  <c:v>49779.065174753043</c:v>
                </c:pt>
                <c:pt idx="2">
                  <c:v>405129.38967319101</c:v>
                </c:pt>
              </c:numCache>
            </c:numRef>
          </c:val>
          <c:extLst>
            <c:ext xmlns:c16="http://schemas.microsoft.com/office/drawing/2014/chart" uri="{C3380CC4-5D6E-409C-BE32-E72D297353CC}">
              <c16:uniqueId val="{0000000C-D73B-4CC1-BDB0-6DD7DDCFB991}"/>
            </c:ext>
          </c:extLst>
        </c:ser>
        <c:dLbls>
          <c:showLegendKey val="0"/>
          <c:showVal val="0"/>
          <c:showCatName val="0"/>
          <c:showSerName val="0"/>
          <c:showPercent val="0"/>
          <c:showBubbleSize val="0"/>
          <c:showLeaderLines val="0"/>
        </c:dLbls>
        <c:firstSliceAng val="0"/>
        <c:holeSize val="35"/>
      </c:doughnutChart>
      <c:spPr>
        <a:noFill/>
        <a:ln>
          <a:noFill/>
        </a:ln>
        <a:effectLst/>
      </c:spPr>
    </c:plotArea>
    <c:legend>
      <c:legendPos val="b"/>
      <c:layout>
        <c:manualLayout>
          <c:xMode val="edge"/>
          <c:yMode val="edge"/>
          <c:x val="0"/>
          <c:y val="0.3703232238046737"/>
          <c:w val="0.36856026632094852"/>
          <c:h val="0.39071017001670028"/>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r>
              <a:rPr lang="en-US" sz="1600" b="1">
                <a:solidFill>
                  <a:schemeClr val="tx1">
                    <a:lumMod val="65000"/>
                    <a:lumOff val="35000"/>
                  </a:schemeClr>
                </a:solidFill>
                <a:latin typeface="+mn-lt"/>
                <a:ea typeface="Garamond" charset="0"/>
                <a:cs typeface="Garamond" charset="0"/>
              </a:rPr>
              <a:t>Utilization of Transport and Storage Resources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endParaRPr lang="en-US"/>
        </a:p>
      </c:txPr>
    </c:title>
    <c:autoTitleDeleted val="0"/>
    <c:plotArea>
      <c:layout>
        <c:manualLayout>
          <c:layoutTarget val="inner"/>
          <c:xMode val="edge"/>
          <c:yMode val="edge"/>
          <c:x val="0.11135040608573343"/>
          <c:y val="0.14141402363091585"/>
          <c:w val="0.72844585793359251"/>
          <c:h val="0.58695918597061025"/>
        </c:manualLayout>
      </c:layout>
      <c:areaChart>
        <c:grouping val="stacked"/>
        <c:varyColors val="0"/>
        <c:ser>
          <c:idx val="2"/>
          <c:order val="2"/>
          <c:spPr>
            <a:noFill/>
            <a:ln>
              <a:noFill/>
            </a:ln>
            <a:effectLst/>
          </c:spPr>
          <c:cat>
            <c:strRef>
              <c:f>'2_Outputs'!$AB$56:$AB$68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'2_Outputs'!$AF$56:$AF$68</c:f>
              <c:numCache>
                <c:formatCode>0%</c:formatCode>
                <c:ptCount val="13"/>
                <c:pt idx="0">
                  <c:v>0.5</c:v>
                </c:pt>
                <c:pt idx="1">
                  <c:v>0.5</c:v>
                </c:pt>
                <c:pt idx="2">
                  <c:v>0.5</c:v>
                </c:pt>
                <c:pt idx="3">
                  <c:v>0.5</c:v>
                </c:pt>
                <c:pt idx="4">
                  <c:v>0.5</c:v>
                </c:pt>
                <c:pt idx="5">
                  <c:v>0.5</c:v>
                </c:pt>
                <c:pt idx="6">
                  <c:v>0.5</c:v>
                </c:pt>
                <c:pt idx="7">
                  <c:v>0.5</c:v>
                </c:pt>
                <c:pt idx="8">
                  <c:v>0.5</c:v>
                </c:pt>
                <c:pt idx="9">
                  <c:v>0.5</c:v>
                </c:pt>
                <c:pt idx="10">
                  <c:v>0.5</c:v>
                </c:pt>
                <c:pt idx="11">
                  <c:v>0.5</c:v>
                </c:pt>
                <c:pt idx="12">
                  <c:v>0.5</c:v>
                </c:pt>
              </c:numCache>
            </c:numRef>
          </c:val>
          <c:extLst>
            <c:ext xmlns:c16="http://schemas.microsoft.com/office/drawing/2014/chart" uri="{C3380CC4-5D6E-409C-BE32-E72D297353CC}">
              <c16:uniqueId val="{00000000-40DC-4683-AC75-DCD84FADB168}"/>
            </c:ext>
          </c:extLst>
        </c:ser>
        <c:ser>
          <c:idx val="3"/>
          <c:order val="3"/>
          <c:spPr>
            <a:solidFill>
              <a:schemeClr val="accent6">
                <a:lumMod val="40000"/>
                <a:lumOff val="60000"/>
                <a:alpha val="44000"/>
              </a:schemeClr>
            </a:solidFill>
            <a:ln>
              <a:noFill/>
            </a:ln>
            <a:effectLst/>
          </c:spPr>
          <c:cat>
            <c:strRef>
              <c:f>'2_Outputs'!$AB$56:$AB$68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'2_Outputs'!$AG$56:$AG$68</c:f>
              <c:numCache>
                <c:formatCode>0%</c:formatCode>
                <c:ptCount val="13"/>
                <c:pt idx="0">
                  <c:v>0.4</c:v>
                </c:pt>
                <c:pt idx="1">
                  <c:v>0.4</c:v>
                </c:pt>
                <c:pt idx="2">
                  <c:v>0.4</c:v>
                </c:pt>
                <c:pt idx="3">
                  <c:v>0.4</c:v>
                </c:pt>
                <c:pt idx="4">
                  <c:v>0.4</c:v>
                </c:pt>
                <c:pt idx="5">
                  <c:v>0.4</c:v>
                </c:pt>
                <c:pt idx="6">
                  <c:v>0.4</c:v>
                </c:pt>
                <c:pt idx="7">
                  <c:v>0.4</c:v>
                </c:pt>
                <c:pt idx="8">
                  <c:v>0.4</c:v>
                </c:pt>
                <c:pt idx="9">
                  <c:v>0.4</c:v>
                </c:pt>
                <c:pt idx="10">
                  <c:v>0.4</c:v>
                </c:pt>
                <c:pt idx="11">
                  <c:v>0.4</c:v>
                </c:pt>
                <c:pt idx="12">
                  <c:v>0.4</c:v>
                </c:pt>
              </c:numCache>
            </c:numRef>
          </c:val>
          <c:extLst>
            <c:ext xmlns:c16="http://schemas.microsoft.com/office/drawing/2014/chart" uri="{C3380CC4-5D6E-409C-BE32-E72D297353CC}">
              <c16:uniqueId val="{00000001-40DC-4683-AC75-DCD84FADB168}"/>
            </c:ext>
          </c:extLst>
        </c:ser>
        <c:dLbls>
          <c:showLegendKey val="0"/>
          <c:showVal val="0"/>
          <c:showCatName val="0"/>
          <c:showSerName val="0"/>
          <c:showPercent val="0"/>
          <c:showBubbleSize val="0"/>
        </c:dLbls>
        <c:axId val="909680888"/>
        <c:axId val="909681672"/>
      </c:areaChart>
      <c:barChart>
        <c:barDir val="col"/>
        <c:grouping val="stacked"/>
        <c:varyColors val="0"/>
        <c:ser>
          <c:idx val="0"/>
          <c:order val="0"/>
          <c:spPr>
            <a:solidFill>
              <a:schemeClr val="accent1"/>
            </a:solidFill>
            <a:ln>
              <a:noFill/>
            </a:ln>
            <a:effectLst/>
          </c:spPr>
          <c:invertIfNegative val="0"/>
          <c:dPt>
            <c:idx val="3"/>
            <c:invertIfNegative val="0"/>
            <c:bubble3D val="0"/>
            <c:spPr>
              <a:solidFill>
                <a:srgbClr val="BA8CDC"/>
              </a:solidFill>
              <a:ln>
                <a:noFill/>
              </a:ln>
              <a:effectLst/>
            </c:spPr>
            <c:extLst>
              <c:ext xmlns:c16="http://schemas.microsoft.com/office/drawing/2014/chart" uri="{C3380CC4-5D6E-409C-BE32-E72D297353CC}">
                <c16:uniqueId val="{00000003-40DC-4683-AC75-DCD84FADB168}"/>
              </c:ext>
            </c:extLst>
          </c:dPt>
          <c:dPt>
            <c:idx val="4"/>
            <c:invertIfNegative val="0"/>
            <c:bubble3D val="0"/>
            <c:spPr>
              <a:solidFill>
                <a:srgbClr val="BA8CDC"/>
              </a:solidFill>
              <a:ln>
                <a:noFill/>
              </a:ln>
              <a:effectLst/>
            </c:spPr>
            <c:extLst>
              <c:ext xmlns:c16="http://schemas.microsoft.com/office/drawing/2014/chart" uri="{C3380CC4-5D6E-409C-BE32-E72D297353CC}">
                <c16:uniqueId val="{00000005-40DC-4683-AC75-DCD84FADB168}"/>
              </c:ext>
            </c:extLst>
          </c:dPt>
          <c:dPt>
            <c:idx val="5"/>
            <c:invertIfNegative val="0"/>
            <c:bubble3D val="0"/>
            <c:spPr>
              <a:solidFill>
                <a:srgbClr val="BA8CDC"/>
              </a:solidFill>
              <a:ln>
                <a:noFill/>
              </a:ln>
              <a:effectLst/>
            </c:spPr>
            <c:extLst>
              <c:ext xmlns:c16="http://schemas.microsoft.com/office/drawing/2014/chart" uri="{C3380CC4-5D6E-409C-BE32-E72D297353CC}">
                <c16:uniqueId val="{00000007-40DC-4683-AC75-DCD84FADB168}"/>
              </c:ext>
            </c:extLst>
          </c:dPt>
          <c:dPt>
            <c:idx val="6"/>
            <c:invertIfNegative val="0"/>
            <c:bubble3D val="0"/>
            <c:spPr>
              <a:solidFill>
                <a:srgbClr val="BA8CDC"/>
              </a:solidFill>
              <a:ln>
                <a:noFill/>
              </a:ln>
              <a:effectLst/>
            </c:spPr>
            <c:extLst>
              <c:ext xmlns:c16="http://schemas.microsoft.com/office/drawing/2014/chart" uri="{C3380CC4-5D6E-409C-BE32-E72D297353CC}">
                <c16:uniqueId val="{00000009-40DC-4683-AC75-DCD84FADB168}"/>
              </c:ext>
            </c:extLst>
          </c:dPt>
          <c:dPt>
            <c:idx val="7"/>
            <c:invertIfNegative val="0"/>
            <c:bubble3D val="0"/>
            <c:spPr>
              <a:solidFill>
                <a:srgbClr val="BA8CDC"/>
              </a:solidFill>
              <a:ln>
                <a:noFill/>
              </a:ln>
              <a:effectLst/>
            </c:spPr>
            <c:extLst>
              <c:ext xmlns:c16="http://schemas.microsoft.com/office/drawing/2014/chart" uri="{C3380CC4-5D6E-409C-BE32-E72D297353CC}">
                <c16:uniqueId val="{0000000B-40DC-4683-AC75-DCD84FADB168}"/>
              </c:ext>
            </c:extLst>
          </c:dPt>
          <c:dPt>
            <c:idx val="8"/>
            <c:invertIfNegative val="0"/>
            <c:bubble3D val="0"/>
            <c:spPr>
              <a:solidFill>
                <a:srgbClr val="BA8CDC"/>
              </a:solidFill>
              <a:ln>
                <a:noFill/>
              </a:ln>
              <a:effectLst/>
            </c:spPr>
            <c:extLst>
              <c:ext xmlns:c16="http://schemas.microsoft.com/office/drawing/2014/chart" uri="{C3380CC4-5D6E-409C-BE32-E72D297353CC}">
                <c16:uniqueId val="{0000000D-40DC-4683-AC75-DCD84FADB168}"/>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'2_Outputs'!$AC$56:$AC$68</c:f>
              <c:numCache>
                <c:formatCode>0.0%</c:formatCode>
                <c:ptCount val="13"/>
                <c:pt idx="1">
                  <c:v>0</c:v>
                </c:pt>
                <c:pt idx="2">
                  <c:v>0.90416666666666667</c:v>
                </c:pt>
                <c:pt idx="3">
                  <c:v>0.74763888888888896</c:v>
                </c:pt>
                <c:pt idx="4" formatCode="0%">
                  <c:v>0</c:v>
                </c:pt>
                <c:pt idx="5" formatCode="0%">
                  <c:v>0</c:v>
                </c:pt>
                <c:pt idx="6" formatCode="0%">
                  <c:v>0</c:v>
                </c:pt>
                <c:pt idx="7">
                  <c:v>1.3230000000000002</c:v>
                </c:pt>
                <c:pt idx="8">
                  <c:v>1.26</c:v>
                </c:pt>
                <c:pt idx="9">
                  <c:v>1.1983082706766917</c:v>
                </c:pt>
                <c:pt idx="10">
                  <c:v>0</c:v>
                </c:pt>
                <c:pt idx="11">
                  <c:v>0</c:v>
                </c:pt>
                <c:pt idx="12">
                  <c:v>0</c:v>
                </c:pt>
              </c:numCache>
            </c:numRef>
          </c:val>
          <c:extLst>
            <c:ext xmlns:c16="http://schemas.microsoft.com/office/drawing/2014/chart" uri="{C3380CC4-5D6E-409C-BE32-E72D297353CC}">
              <c16:uniqueId val="{0000000E-40DC-4683-AC75-DCD84FADB168}"/>
            </c:ext>
          </c:extLst>
        </c:ser>
        <c:dLbls>
          <c:showLegendKey val="0"/>
          <c:showVal val="0"/>
          <c:showCatName val="0"/>
          <c:showSerName val="0"/>
          <c:showPercent val="0"/>
          <c:showBubbleSize val="0"/>
        </c:dLbls>
        <c:gapWidth val="26"/>
        <c:overlap val="100"/>
        <c:axId val="909680888"/>
        <c:axId val="909681672"/>
      </c:barChart>
      <c:barChart>
        <c:barDir val="col"/>
        <c:grouping val="clustered"/>
        <c:varyColors val="0"/>
        <c:dLbls>
          <c:showLegendKey val="0"/>
          <c:showVal val="0"/>
          <c:showCatName val="0"/>
          <c:showSerName val="0"/>
          <c:showPercent val="0"/>
          <c:showBubbleSize val="0"/>
        </c:dLbls>
        <c:gapWidth val="26"/>
        <c:axId val="612026280"/>
        <c:axId val="612023000"/>
        <c:extLst>
          <c:ext xmlns:c15="http://schemas.microsoft.com/office/drawing/2012/chart" uri="{02D57815-91ED-43cb-92C2-25804820EDAC}">
            <c15:filteredBarSeries>
              <c15:ser>
                <c:idx val="1"/>
                <c:order val="1"/>
                <c:spPr>
                  <a:solidFill>
                    <a:srgbClr val="FF99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'2_Outputs'!$AB$56:$AB$65</c15:sqref>
                        </c15:formulaRef>
                      </c:ext>
                    </c:extLst>
                    <c:strCache>
                      <c:ptCount val="10"/>
                      <c:pt idx="2">
                        <c:v>Vehicle Time Utilization - Tier 2</c:v>
                      </c:pt>
                      <c:pt idx="3">
                        <c:v>Vehicle Time Utilization - Tier 3</c:v>
                      </c:pt>
                      <c:pt idx="7">
                        <c:v>Combined Storage - Tier 1</c:v>
                      </c:pt>
                      <c:pt idx="8">
                        <c:v>Combined Storage - Tier 2</c:v>
                      </c:pt>
                      <c:pt idx="9">
                        <c:v>Combined Storage - Tier 3</c:v>
                      </c:pt>
                    </c:strCache>
                  </c:strRef>
                </c:cat>
                <c:val>
                  <c:numRef>
                    <c:extLst>
                      <c:ext uri="{02D57815-91ED-43cb-92C2-25804820EDAC}">
                        <c15:formulaRef>
                          <c15:sqref>'2_Outputs'!$AE$56:$AE$65</c15:sqref>
                        </c15:formulaRef>
                      </c:ext>
                    </c:extLst>
                    <c:numCache>
                      <c:formatCode>General</c:formatCode>
                      <c:ptCount val="10"/>
                      <c:pt idx="7">
                        <c:v>1</c:v>
                      </c:pt>
                      <c:pt idx="8">
                        <c:v>1</c:v>
                      </c:pt>
                      <c:pt idx="9">
                        <c:v>1</c:v>
                      </c:pt>
                    </c:numCache>
                  </c:numRef>
                </c:val>
                <c:extLst>
                  <c:ext xmlns:c16="http://schemas.microsoft.com/office/drawing/2014/chart" uri="{C3380CC4-5D6E-409C-BE32-E72D297353CC}">
                    <c16:uniqueId val="{0000000F-40DC-4683-AC75-DCD84FADB168}"/>
                  </c:ext>
                </c:extLst>
              </c15:ser>
            </c15:filteredBarSeries>
          </c:ext>
        </c:extLst>
      </c:barChart>
      <c:catAx>
        <c:axId val="909680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681672"/>
        <c:crosses val="autoZero"/>
        <c:auto val="1"/>
        <c:lblAlgn val="ctr"/>
        <c:lblOffset val="100"/>
        <c:noMultiLvlLbl val="0"/>
      </c:catAx>
      <c:valAx>
        <c:axId val="90968167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909680888"/>
        <c:crosses val="autoZero"/>
        <c:crossBetween val="between"/>
        <c:majorUnit val="0.1"/>
      </c:valAx>
      <c:valAx>
        <c:axId val="612023000"/>
        <c:scaling>
          <c:orientation val="minMax"/>
          <c:max val="5"/>
        </c:scaling>
        <c:delete val="1"/>
        <c:axPos val="r"/>
        <c:numFmt formatCode="General" sourceLinked="1"/>
        <c:majorTickMark val="out"/>
        <c:minorTickMark val="none"/>
        <c:tickLblPos val="nextTo"/>
        <c:crossAx val="612026280"/>
        <c:crosses val="max"/>
        <c:crossBetween val="between"/>
        <c:majorUnit val="1"/>
      </c:valAx>
      <c:catAx>
        <c:axId val="612026280"/>
        <c:scaling>
          <c:orientation val="minMax"/>
        </c:scaling>
        <c:delete val="1"/>
        <c:axPos val="b"/>
        <c:numFmt formatCode="General" sourceLinked="1"/>
        <c:majorTickMark val="out"/>
        <c:minorTickMark val="none"/>
        <c:tickLblPos val="nextTo"/>
        <c:crossAx val="612023000"/>
        <c:crosses val="autoZero"/>
        <c:auto val="1"/>
        <c:lblAlgn val="ctr"/>
        <c:lblOffset val="100"/>
        <c:noMultiLvlLbl val="0"/>
      </c:catAx>
      <c:spPr>
        <a:noFill/>
        <a:ln>
          <a:noFill/>
        </a:ln>
        <a:effectLst/>
      </c:spPr>
    </c:plotArea>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Transportation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1"/>
          <c:order val="0"/>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E956-4C1D-B2DD-B2EF0AD4C6BF}"/>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E956-4C1D-B2DD-B2EF0AD4C6BF}"/>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E956-4C1D-B2DD-B2EF0AD4C6BF}"/>
              </c:ext>
            </c:extLst>
          </c:dPt>
          <c:dPt>
            <c:idx val="3"/>
            <c:bubble3D val="0"/>
            <c:spPr>
              <a:solidFill>
                <a:srgbClr val="BA8CDC"/>
              </a:solidFill>
              <a:ln w="19050">
                <a:solidFill>
                  <a:schemeClr val="lt1"/>
                </a:solidFill>
              </a:ln>
              <a:effectLst/>
            </c:spPr>
            <c:extLst>
              <c:ext xmlns:c16="http://schemas.microsoft.com/office/drawing/2014/chart" uri="{C3380CC4-5D6E-409C-BE32-E72D297353CC}">
                <c16:uniqueId val="{00000007-E956-4C1D-B2DD-B2EF0AD4C6BF}"/>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'2_Outputs'!$F$88:$F$91</c:f>
              <c:strCache>
                <c:ptCount val="4"/>
                <c:pt idx="0">
                  <c:v>Labor</c:v>
                </c:pt>
                <c:pt idx="1">
                  <c:v>Equipment &amp; Depreciation Costs</c:v>
                </c:pt>
                <c:pt idx="2">
                  <c:v>Per-Diems</c:v>
                </c:pt>
                <c:pt idx="3">
                  <c:v>Fuel, Maintenance, &amp; Other Travel Costs</c:v>
                </c:pt>
              </c:strCache>
            </c:strRef>
          </c:cat>
          <c:val>
            <c:numRef>
              <c:f>'2_Outputs'!$Y$88:$Y$91</c:f>
              <c:numCache>
                <c:formatCode>_("$"* #,##0_);_("$"* \(#,##0\);_("$"* "-"??_);_(@_)</c:formatCode>
                <c:ptCount val="4"/>
                <c:pt idx="0">
                  <c:v>66853.919999999998</c:v>
                </c:pt>
                <c:pt idx="1">
                  <c:v>96163.994795095859</c:v>
                </c:pt>
                <c:pt idx="2">
                  <c:v>42420</c:v>
                </c:pt>
                <c:pt idx="3">
                  <c:v>265753.11376420187</c:v>
                </c:pt>
              </c:numCache>
            </c:numRef>
          </c:val>
          <c:extLst>
            <c:ext xmlns:c16="http://schemas.microsoft.com/office/drawing/2014/chart" uri="{C3380CC4-5D6E-409C-BE32-E72D297353CC}">
              <c16:uniqueId val="{00000008-E956-4C1D-B2DD-B2EF0AD4C6BF}"/>
            </c:ext>
          </c:extLst>
        </c:ser>
        <c:dLbls>
          <c:showLegendKey val="0"/>
          <c:showVal val="0"/>
          <c:showCatName val="0"/>
          <c:showSerName val="0"/>
          <c:showPercent val="0"/>
          <c:showBubbleSize val="0"/>
          <c:showLeaderLines val="1"/>
        </c:dLbls>
        <c:firstSliceAng val="0"/>
        <c:holeSize val="35"/>
        <c:extLst/>
      </c:doughnutChart>
      <c:spPr>
        <a:noFill/>
        <a:ln>
          <a:noFill/>
        </a:ln>
        <a:effectLst/>
      </c:spPr>
    </c:plotArea>
    <c:legend>
      <c:legendPos val="b"/>
      <c:layout>
        <c:manualLayout>
          <c:xMode val="edge"/>
          <c:yMode val="edge"/>
          <c:x val="3.6095762178868507E-2"/>
          <c:y val="0.31667663481084668"/>
          <c:w val="0.3659819975938865"/>
          <c:h val="0.4885363028877967"/>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rPr>
              <a:t>Supply</a:t>
            </a: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 Chain Costs by Tier and Functional Area</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8363667826104205"/>
          <c:y val="4.0552861015645614E-3"/>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15716828215597861"/>
          <c:y val="0.14508321361254037"/>
          <c:w val="0.78082090260156045"/>
          <c:h val="0.61361170773948515"/>
        </c:manualLayout>
      </c:layout>
      <c:barChart>
        <c:barDir val="col"/>
        <c:grouping val="stacked"/>
        <c:varyColors val="0"/>
        <c:ser>
          <c:idx val="1"/>
          <c:order val="0"/>
          <c:tx>
            <c:strRef>
              <c:f>'3_Outputs'!$F$78</c:f>
              <c:strCache>
                <c:ptCount val="1"/>
                <c:pt idx="0">
                  <c:v>Total Warehousing Costs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'3_Outputs'!$H$76:$W$76</c:f>
              <c:strCache>
                <c:ptCount val="6"/>
                <c:pt idx="0">
                  <c:v> CMS Tier </c:v>
                </c:pt>
                <c:pt idx="1">
                  <c:v> Regional WH Tier </c:v>
                </c:pt>
                <c:pt idx="2">
                  <c:v> Health Facility Tier </c:v>
                </c:pt>
                <c:pt idx="3">
                  <c:v>  </c:v>
                </c:pt>
                <c:pt idx="4">
                  <c:v>  </c:v>
                </c:pt>
                <c:pt idx="5">
                  <c:v>  </c:v>
                </c:pt>
              </c:strCache>
            </c:strRef>
          </c:cat>
          <c:val>
            <c:numRef>
              <c:f>'3_Outputs'!$H$78:$W$78</c:f>
              <c:numCache>
                <c:formatCode>_("$"* #,##0_);_("$"* \(#,##0\);_("$"* "-"??_);_(@_)</c:formatCode>
                <c:ptCount val="6"/>
                <c:pt idx="0">
                  <c:v>380371.01605813601</c:v>
                </c:pt>
                <c:pt idx="1">
                  <c:v>325531.03300879861</c:v>
                </c:pt>
                <c:pt idx="2">
                  <c:v>275002.44448476052</c:v>
                </c:pt>
                <c:pt idx="3">
                  <c:v>0</c:v>
                </c:pt>
                <c:pt idx="4">
                  <c:v>0</c:v>
                </c:pt>
                <c:pt idx="5">
                  <c:v>0</c:v>
                </c:pt>
              </c:numCache>
            </c:numRef>
          </c:val>
          <c:extLst>
            <c:ext xmlns:c16="http://schemas.microsoft.com/office/drawing/2014/chart" uri="{C3380CC4-5D6E-409C-BE32-E72D297353CC}">
              <c16:uniqueId val="{00000000-EAF9-439E-8FD7-DF382E46DAA7}"/>
            </c:ext>
          </c:extLst>
        </c:ser>
        <c:ser>
          <c:idx val="2"/>
          <c:order val="1"/>
          <c:tx>
            <c:strRef>
              <c:f>'3_Outputs'!$F$79</c:f>
              <c:strCache>
                <c:ptCount val="1"/>
                <c:pt idx="0">
                  <c:v>Total Transportation Costs</c:v>
                </c:pt>
              </c:strCache>
            </c:strRef>
          </c:tx>
          <c:spPr>
            <a:solidFill>
              <a:schemeClr val="accent2">
                <a:lumMod val="60000"/>
                <a:lumOff val="4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EAF9-439E-8FD7-DF382E46DAA7}"/>
                </c:ext>
              </c:extLst>
            </c:dLbl>
            <c:dLbl>
              <c:idx val="1"/>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F9-439E-8FD7-DF382E46DAA7}"/>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'3_Outputs'!$H$76:$W$76</c:f>
              <c:strCache>
                <c:ptCount val="6"/>
                <c:pt idx="0">
                  <c:v> CMS Tier </c:v>
                </c:pt>
                <c:pt idx="1">
                  <c:v> Regional WH Tier </c:v>
                </c:pt>
                <c:pt idx="2">
                  <c:v> Health Facility Tier </c:v>
                </c:pt>
                <c:pt idx="3">
                  <c:v>  </c:v>
                </c:pt>
                <c:pt idx="4">
                  <c:v>  </c:v>
                </c:pt>
                <c:pt idx="5">
                  <c:v>  </c:v>
                </c:pt>
              </c:strCache>
            </c:strRef>
          </c:cat>
          <c:val>
            <c:numRef>
              <c:f>'3_Outputs'!$H$79:$W$79</c:f>
              <c:numCache>
                <c:formatCode>_("$"* #,##0_);_("$"* \(#,##0\);_("$"* "-"??_);_(@_)</c:formatCode>
                <c:ptCount val="6"/>
                <c:pt idx="0">
                  <c:v>0</c:v>
                </c:pt>
                <c:pt idx="1">
                  <c:v>140249.41758549225</c:v>
                </c:pt>
                <c:pt idx="2">
                  <c:v>724186.92416317691</c:v>
                </c:pt>
                <c:pt idx="3">
                  <c:v>0</c:v>
                </c:pt>
                <c:pt idx="4">
                  <c:v>0</c:v>
                </c:pt>
                <c:pt idx="5">
                  <c:v>0</c:v>
                </c:pt>
              </c:numCache>
            </c:numRef>
          </c:val>
          <c:extLst>
            <c:ext xmlns:c16="http://schemas.microsoft.com/office/drawing/2014/chart" uri="{C3380CC4-5D6E-409C-BE32-E72D297353CC}">
              <c16:uniqueId val="{00000003-EAF9-439E-8FD7-DF382E46DAA7}"/>
            </c:ext>
          </c:extLst>
        </c:ser>
        <c:ser>
          <c:idx val="4"/>
          <c:order val="2"/>
          <c:tx>
            <c:strRef>
              <c:f>'3_Outputs'!$F$80</c:f>
              <c:strCache>
                <c:ptCount val="1"/>
                <c:pt idx="0">
                  <c:v>Total Management/System Support Costs</c:v>
                </c:pt>
              </c:strCache>
            </c:strRef>
          </c:tx>
          <c:spPr>
            <a:solidFill>
              <a:schemeClr val="accent6">
                <a:lumMod val="60000"/>
                <a:lumOff val="40000"/>
              </a:schemeClr>
            </a:solidFill>
            <a:ln>
              <a:noFill/>
            </a:ln>
            <a:effectLst/>
          </c:spPr>
          <c:invertIfNegative val="0"/>
          <c:dLbls>
            <c:dLbl>
              <c:idx val="1"/>
              <c:layout>
                <c:manualLayout>
                  <c:x val="-7.9624202590205673E-17"/>
                  <c:y val="-2.83000969015691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F9-439E-8FD7-DF382E46DAA7}"/>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'3_Outputs'!$H$76:$W$76</c:f>
              <c:strCache>
                <c:ptCount val="6"/>
                <c:pt idx="0">
                  <c:v> CMS Tier </c:v>
                </c:pt>
                <c:pt idx="1">
                  <c:v> Regional WH Tier </c:v>
                </c:pt>
                <c:pt idx="2">
                  <c:v> Health Facility Tier </c:v>
                </c:pt>
                <c:pt idx="3">
                  <c:v>  </c:v>
                </c:pt>
                <c:pt idx="4">
                  <c:v>  </c:v>
                </c:pt>
                <c:pt idx="5">
                  <c:v>  </c:v>
                </c:pt>
              </c:strCache>
            </c:strRef>
          </c:cat>
          <c:val>
            <c:numRef>
              <c:f>'3_Outputs'!$H$80:$W$80</c:f>
              <c:numCache>
                <c:formatCode>_("$"* #,##0_);_("$"* \(#,##0\);_("$"* "-"??_);_(@_)</c:formatCode>
                <c:ptCount val="6"/>
                <c:pt idx="0">
                  <c:v>68518.335535384278</c:v>
                </c:pt>
                <c:pt idx="1">
                  <c:v>13104</c:v>
                </c:pt>
                <c:pt idx="2">
                  <c:v>50452.347965689762</c:v>
                </c:pt>
                <c:pt idx="3">
                  <c:v>0</c:v>
                </c:pt>
                <c:pt idx="4">
                  <c:v>0</c:v>
                </c:pt>
                <c:pt idx="5">
                  <c:v>0</c:v>
                </c:pt>
              </c:numCache>
            </c:numRef>
          </c:val>
          <c:extLst>
            <c:ext xmlns:c16="http://schemas.microsoft.com/office/drawing/2014/chart" uri="{C3380CC4-5D6E-409C-BE32-E72D297353CC}">
              <c16:uniqueId val="{00000005-EAF9-439E-8FD7-DF382E46DAA7}"/>
            </c:ext>
          </c:extLst>
        </c:ser>
        <c:dLbls>
          <c:showLegendKey val="0"/>
          <c:showVal val="0"/>
          <c:showCatName val="0"/>
          <c:showSerName val="0"/>
          <c:showPercent val="0"/>
          <c:showBubbleSize val="0"/>
        </c:dLbls>
        <c:gapWidth val="12"/>
        <c:overlap val="100"/>
        <c:axId val="909679712"/>
        <c:axId val="909680104"/>
      </c:barChart>
      <c:catAx>
        <c:axId val="90967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80104"/>
        <c:crosses val="autoZero"/>
        <c:auto val="1"/>
        <c:lblAlgn val="ctr"/>
        <c:lblOffset val="100"/>
        <c:noMultiLvlLbl val="0"/>
      </c:catAx>
      <c:valAx>
        <c:axId val="9096801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7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Warehousing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0"/>
          <c:order val="0"/>
          <c:tx>
            <c:strRef>
              <c:f>'3_Outputs'!$Y$84:$Y$86</c:f>
              <c:strCache>
                <c:ptCount val="3"/>
                <c:pt idx="0">
                  <c:v> $649,421 </c:v>
                </c:pt>
                <c:pt idx="1">
                  <c:v> $32,272 </c:v>
                </c:pt>
                <c:pt idx="2">
                  <c:v> $299,212 </c:v>
                </c:pt>
              </c:strCache>
            </c:strRef>
          </c:tx>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F4D0-4A00-8D2E-07ABE22B7BC3}"/>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F4D0-4A00-8D2E-07ABE22B7BC3}"/>
              </c:ext>
            </c:extLst>
          </c:dPt>
          <c:dPt>
            <c:idx val="2"/>
            <c:bubble3D val="0"/>
            <c:spPr>
              <a:solidFill>
                <a:srgbClr val="BA8CDC"/>
              </a:solidFill>
              <a:ln w="19050">
                <a:solidFill>
                  <a:schemeClr val="lt1"/>
                </a:solidFill>
              </a:ln>
              <a:effectLst/>
            </c:spPr>
            <c:extLst>
              <c:ext xmlns:c16="http://schemas.microsoft.com/office/drawing/2014/chart" uri="{C3380CC4-5D6E-409C-BE32-E72D297353CC}">
                <c16:uniqueId val="{00000005-F4D0-4A00-8D2E-07ABE22B7BC3}"/>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7-F4D0-4A00-8D2E-07ABE22B7BC3}"/>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F4D0-4A00-8D2E-07ABE22B7BC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4D0-4A00-8D2E-07ABE22B7BC3}"/>
              </c:ext>
            </c:extLst>
          </c:dPt>
          <c:dLbls>
            <c:dLbl>
              <c:idx val="0"/>
              <c:layout>
                <c:manualLayout>
                  <c:x val="5.1502811317464753E-3"/>
                  <c:y val="-4.5124813281971566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4D0-4A00-8D2E-07ABE22B7BC3}"/>
                </c:ext>
              </c:extLst>
            </c:dLbl>
            <c:dLbl>
              <c:idx val="1"/>
              <c:layout>
                <c:manualLayout>
                  <c:x val="-1.1744824472127394E-3"/>
                  <c:y val="5.9303690628186561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4D0-4A00-8D2E-07ABE22B7BC3}"/>
                </c:ext>
              </c:extLst>
            </c:dLbl>
            <c:dLbl>
              <c:idx val="3"/>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7-F4D0-4A00-8D2E-07ABE22B7BC3}"/>
                </c:ext>
              </c:extLst>
            </c:dLbl>
            <c:dLbl>
              <c:idx val="4"/>
              <c:layout>
                <c:manualLayout>
                  <c:x val="8.5326409417197466E-3"/>
                  <c:y val="-8.017930826700612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F4D0-4A00-8D2E-07ABE22B7BC3}"/>
                </c:ext>
              </c:extLst>
            </c:dLbl>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'3_Outputs'!$F$84:$F$86</c:f>
              <c:strCache>
                <c:ptCount val="3"/>
                <c:pt idx="0">
                  <c:v>Labor</c:v>
                </c:pt>
                <c:pt idx="1">
                  <c:v>Equipment &amp; Depreciation Costs</c:v>
                </c:pt>
                <c:pt idx="2">
                  <c:v>Utilities, repairs, insurance, &amp; other warehouse operations</c:v>
                </c:pt>
              </c:strCache>
            </c:strRef>
          </c:cat>
          <c:val>
            <c:numRef>
              <c:f>'3_Outputs'!$Y$84:$Y$86</c:f>
              <c:numCache>
                <c:formatCode>_("$"* #,##0_);_("$"* \(#,##0\);_("$"* "-"??_);_(@_)</c:formatCode>
                <c:ptCount val="3"/>
                <c:pt idx="0">
                  <c:v>649420.55769230763</c:v>
                </c:pt>
                <c:pt idx="1">
                  <c:v>32271.825841297483</c:v>
                </c:pt>
                <c:pt idx="2">
                  <c:v>299212.11001809005</c:v>
                </c:pt>
              </c:numCache>
            </c:numRef>
          </c:val>
          <c:extLst>
            <c:ext xmlns:c16="http://schemas.microsoft.com/office/drawing/2014/chart" uri="{C3380CC4-5D6E-409C-BE32-E72D297353CC}">
              <c16:uniqueId val="{0000000C-F4D0-4A00-8D2E-07ABE22B7BC3}"/>
            </c:ext>
          </c:extLst>
        </c:ser>
        <c:dLbls>
          <c:showLegendKey val="0"/>
          <c:showVal val="0"/>
          <c:showCatName val="0"/>
          <c:showSerName val="0"/>
          <c:showPercent val="0"/>
          <c:showBubbleSize val="0"/>
          <c:showLeaderLines val="0"/>
        </c:dLbls>
        <c:firstSliceAng val="0"/>
        <c:holeSize val="35"/>
      </c:doughnutChart>
      <c:spPr>
        <a:noFill/>
        <a:ln>
          <a:noFill/>
        </a:ln>
        <a:effectLst/>
      </c:spPr>
    </c:plotArea>
    <c:legend>
      <c:legendPos val="b"/>
      <c:layout>
        <c:manualLayout>
          <c:xMode val="edge"/>
          <c:yMode val="edge"/>
          <c:x val="0"/>
          <c:y val="0.3703232238046737"/>
          <c:w val="0.36856026632094852"/>
          <c:h val="0.39071017001670028"/>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'Scenario Manager'!$N$37</c:f>
              <c:strCache>
                <c:ptCount val="1"/>
                <c:pt idx="0">
                  <c:v>Efficiency Comparison: Annual cost per m^3 delivered</c:v>
                </c:pt>
              </c:strCache>
            </c:strRef>
          </c:tx>
          <c:spPr>
            <a:solidFill>
              <a:schemeClr val="accent1"/>
            </a:solidFill>
            <a:ln>
              <a:noFill/>
            </a:ln>
            <a:effectLst/>
          </c:spPr>
          <c:invertIfNegative val="0"/>
          <c:cat>
            <c:strRef>
              <c:f>'Scenario Manager'!$E$18:$J$18</c:f>
              <c:strCache>
                <c:ptCount val="4"/>
                <c:pt idx="0">
                  <c:v>Baseline</c:v>
                </c:pt>
                <c:pt idx="1">
                  <c:v>Baseline + High Demand</c:v>
                </c:pt>
                <c:pt idx="2">
                  <c:v>Monthly Ordering + High Demand</c:v>
                </c:pt>
                <c:pt idx="3">
                  <c:v>More Storage + High Demand</c:v>
                </c:pt>
              </c:strCache>
            </c:strRef>
          </c:cat>
          <c:val>
            <c:numRef>
              <c:f>'Scenario Manager'!$N$44:$S$44</c:f>
              <c:numCache>
                <c:formatCode>General</c:formatCode>
                <c:ptCount val="6"/>
                <c:pt idx="0">
                  <c:v>731.42934699595367</c:v>
                </c:pt>
                <c:pt idx="1">
                  <c:v>506.67898021461917</c:v>
                </c:pt>
                <c:pt idx="2">
                  <c:v>674.31049234490649</c:v>
                </c:pt>
                <c:pt idx="3">
                  <c:v>674.82698953424733</c:v>
                </c:pt>
                <c:pt idx="4">
                  <c:v>0</c:v>
                </c:pt>
                <c:pt idx="5">
                  <c:v>0</c:v>
                </c:pt>
              </c:numCache>
            </c:numRef>
          </c:val>
          <c:extLst>
            <c:ext xmlns:c16="http://schemas.microsoft.com/office/drawing/2014/chart" uri="{C3380CC4-5D6E-409C-BE32-E72D297353CC}">
              <c16:uniqueId val="{00000000-D352-46AA-882E-277D17B87799}"/>
            </c:ext>
          </c:extLst>
        </c:ser>
        <c:dLbls>
          <c:showLegendKey val="0"/>
          <c:showVal val="0"/>
          <c:showCatName val="0"/>
          <c:showSerName val="0"/>
          <c:showPercent val="0"/>
          <c:showBubbleSize val="0"/>
        </c:dLbls>
        <c:gapWidth val="97"/>
        <c:overlap val="-24"/>
        <c:axId val="568503680"/>
        <c:axId val="568511552"/>
      </c:barChart>
      <c:catAx>
        <c:axId val="56850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68511552"/>
        <c:crosses val="autoZero"/>
        <c:auto val="1"/>
        <c:lblAlgn val="ctr"/>
        <c:lblOffset val="100"/>
        <c:noMultiLvlLbl val="0"/>
      </c:catAx>
      <c:valAx>
        <c:axId val="5685115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68503680"/>
        <c:crosses val="autoZero"/>
        <c:crossBetween val="between"/>
      </c:valAx>
      <c:spPr>
        <a:noFill/>
        <a:ln>
          <a:noFill/>
        </a:ln>
        <a:effectLst/>
      </c:spPr>
    </c:plotArea>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r>
              <a:rPr lang="en-US" sz="1600" b="1">
                <a:solidFill>
                  <a:schemeClr val="tx1">
                    <a:lumMod val="65000"/>
                    <a:lumOff val="35000"/>
                  </a:schemeClr>
                </a:solidFill>
                <a:latin typeface="+mn-lt"/>
                <a:ea typeface="Garamond" charset="0"/>
                <a:cs typeface="Garamond" charset="0"/>
              </a:rPr>
              <a:t>Utilization of Transport and Storage Resources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endParaRPr lang="en-US"/>
        </a:p>
      </c:txPr>
    </c:title>
    <c:autoTitleDeleted val="0"/>
    <c:plotArea>
      <c:layout>
        <c:manualLayout>
          <c:layoutTarget val="inner"/>
          <c:xMode val="edge"/>
          <c:yMode val="edge"/>
          <c:x val="0.11135040608573343"/>
          <c:y val="0.14141402363091585"/>
          <c:w val="0.72844585793359251"/>
          <c:h val="0.58695918597061025"/>
        </c:manualLayout>
      </c:layout>
      <c:areaChart>
        <c:grouping val="stacked"/>
        <c:varyColors val="0"/>
        <c:ser>
          <c:idx val="2"/>
          <c:order val="2"/>
          <c:spPr>
            <a:noFill/>
            <a:ln>
              <a:noFill/>
            </a:ln>
            <a:effectLst/>
          </c:spPr>
          <c:cat>
            <c:strRef>
              <c:f>'3_Outputs'!$AB$56:$AB$68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'3_Outputs'!$AF$56:$AF$68</c:f>
              <c:numCache>
                <c:formatCode>0%</c:formatCode>
                <c:ptCount val="13"/>
                <c:pt idx="0">
                  <c:v>0.5</c:v>
                </c:pt>
                <c:pt idx="1">
                  <c:v>0.5</c:v>
                </c:pt>
                <c:pt idx="2">
                  <c:v>0.5</c:v>
                </c:pt>
                <c:pt idx="3">
                  <c:v>0.5</c:v>
                </c:pt>
                <c:pt idx="4">
                  <c:v>0.5</c:v>
                </c:pt>
                <c:pt idx="5">
                  <c:v>0.5</c:v>
                </c:pt>
                <c:pt idx="6">
                  <c:v>0.5</c:v>
                </c:pt>
                <c:pt idx="7">
                  <c:v>0.5</c:v>
                </c:pt>
                <c:pt idx="8">
                  <c:v>0.5</c:v>
                </c:pt>
                <c:pt idx="9">
                  <c:v>0.5</c:v>
                </c:pt>
                <c:pt idx="10">
                  <c:v>0.5</c:v>
                </c:pt>
                <c:pt idx="11">
                  <c:v>0.5</c:v>
                </c:pt>
                <c:pt idx="12">
                  <c:v>0.5</c:v>
                </c:pt>
              </c:numCache>
            </c:numRef>
          </c:val>
          <c:extLst>
            <c:ext xmlns:c16="http://schemas.microsoft.com/office/drawing/2014/chart" uri="{C3380CC4-5D6E-409C-BE32-E72D297353CC}">
              <c16:uniqueId val="{00000000-6620-41D1-B67D-8AA9E48B90EF}"/>
            </c:ext>
          </c:extLst>
        </c:ser>
        <c:ser>
          <c:idx val="3"/>
          <c:order val="3"/>
          <c:spPr>
            <a:solidFill>
              <a:schemeClr val="accent6">
                <a:lumMod val="40000"/>
                <a:lumOff val="60000"/>
                <a:alpha val="44000"/>
              </a:schemeClr>
            </a:solidFill>
            <a:ln>
              <a:noFill/>
            </a:ln>
            <a:effectLst/>
          </c:spPr>
          <c:cat>
            <c:strRef>
              <c:f>'3_Outputs'!$AB$56:$AB$68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'3_Outputs'!$AG$56:$AG$68</c:f>
              <c:numCache>
                <c:formatCode>0%</c:formatCode>
                <c:ptCount val="13"/>
                <c:pt idx="0">
                  <c:v>0.4</c:v>
                </c:pt>
                <c:pt idx="1">
                  <c:v>0.4</c:v>
                </c:pt>
                <c:pt idx="2">
                  <c:v>0.4</c:v>
                </c:pt>
                <c:pt idx="3">
                  <c:v>0.4</c:v>
                </c:pt>
                <c:pt idx="4">
                  <c:v>0.4</c:v>
                </c:pt>
                <c:pt idx="5">
                  <c:v>0.4</c:v>
                </c:pt>
                <c:pt idx="6">
                  <c:v>0.4</c:v>
                </c:pt>
                <c:pt idx="7">
                  <c:v>0.4</c:v>
                </c:pt>
                <c:pt idx="8">
                  <c:v>0.4</c:v>
                </c:pt>
                <c:pt idx="9">
                  <c:v>0.4</c:v>
                </c:pt>
                <c:pt idx="10">
                  <c:v>0.4</c:v>
                </c:pt>
                <c:pt idx="11">
                  <c:v>0.4</c:v>
                </c:pt>
                <c:pt idx="12">
                  <c:v>0.4</c:v>
                </c:pt>
              </c:numCache>
            </c:numRef>
          </c:val>
          <c:extLst>
            <c:ext xmlns:c16="http://schemas.microsoft.com/office/drawing/2014/chart" uri="{C3380CC4-5D6E-409C-BE32-E72D297353CC}">
              <c16:uniqueId val="{00000001-6620-41D1-B67D-8AA9E48B90EF}"/>
            </c:ext>
          </c:extLst>
        </c:ser>
        <c:dLbls>
          <c:showLegendKey val="0"/>
          <c:showVal val="0"/>
          <c:showCatName val="0"/>
          <c:showSerName val="0"/>
          <c:showPercent val="0"/>
          <c:showBubbleSize val="0"/>
        </c:dLbls>
        <c:axId val="909680888"/>
        <c:axId val="909681672"/>
      </c:areaChart>
      <c:barChart>
        <c:barDir val="col"/>
        <c:grouping val="stacked"/>
        <c:varyColors val="0"/>
        <c:ser>
          <c:idx val="0"/>
          <c:order val="0"/>
          <c:spPr>
            <a:solidFill>
              <a:schemeClr val="accent1"/>
            </a:solidFill>
            <a:ln>
              <a:noFill/>
            </a:ln>
            <a:effectLst/>
          </c:spPr>
          <c:invertIfNegative val="0"/>
          <c:dPt>
            <c:idx val="3"/>
            <c:invertIfNegative val="0"/>
            <c:bubble3D val="0"/>
            <c:spPr>
              <a:solidFill>
                <a:srgbClr val="BA8CDC"/>
              </a:solidFill>
              <a:ln>
                <a:noFill/>
              </a:ln>
              <a:effectLst/>
            </c:spPr>
            <c:extLst>
              <c:ext xmlns:c16="http://schemas.microsoft.com/office/drawing/2014/chart" uri="{C3380CC4-5D6E-409C-BE32-E72D297353CC}">
                <c16:uniqueId val="{00000003-6620-41D1-B67D-8AA9E48B90EF}"/>
              </c:ext>
            </c:extLst>
          </c:dPt>
          <c:dPt>
            <c:idx val="4"/>
            <c:invertIfNegative val="0"/>
            <c:bubble3D val="0"/>
            <c:spPr>
              <a:solidFill>
                <a:srgbClr val="BA8CDC"/>
              </a:solidFill>
              <a:ln>
                <a:noFill/>
              </a:ln>
              <a:effectLst/>
            </c:spPr>
            <c:extLst>
              <c:ext xmlns:c16="http://schemas.microsoft.com/office/drawing/2014/chart" uri="{C3380CC4-5D6E-409C-BE32-E72D297353CC}">
                <c16:uniqueId val="{00000005-6620-41D1-B67D-8AA9E48B90EF}"/>
              </c:ext>
            </c:extLst>
          </c:dPt>
          <c:dPt>
            <c:idx val="5"/>
            <c:invertIfNegative val="0"/>
            <c:bubble3D val="0"/>
            <c:spPr>
              <a:solidFill>
                <a:srgbClr val="BA8CDC"/>
              </a:solidFill>
              <a:ln>
                <a:noFill/>
              </a:ln>
              <a:effectLst/>
            </c:spPr>
            <c:extLst>
              <c:ext xmlns:c16="http://schemas.microsoft.com/office/drawing/2014/chart" uri="{C3380CC4-5D6E-409C-BE32-E72D297353CC}">
                <c16:uniqueId val="{00000007-6620-41D1-B67D-8AA9E48B90EF}"/>
              </c:ext>
            </c:extLst>
          </c:dPt>
          <c:dPt>
            <c:idx val="6"/>
            <c:invertIfNegative val="0"/>
            <c:bubble3D val="0"/>
            <c:spPr>
              <a:solidFill>
                <a:srgbClr val="BA8CDC"/>
              </a:solidFill>
              <a:ln>
                <a:noFill/>
              </a:ln>
              <a:effectLst/>
            </c:spPr>
            <c:extLst>
              <c:ext xmlns:c16="http://schemas.microsoft.com/office/drawing/2014/chart" uri="{C3380CC4-5D6E-409C-BE32-E72D297353CC}">
                <c16:uniqueId val="{00000009-6620-41D1-B67D-8AA9E48B90EF}"/>
              </c:ext>
            </c:extLst>
          </c:dPt>
          <c:dPt>
            <c:idx val="7"/>
            <c:invertIfNegative val="0"/>
            <c:bubble3D val="0"/>
            <c:spPr>
              <a:solidFill>
                <a:srgbClr val="BA8CDC"/>
              </a:solidFill>
              <a:ln>
                <a:noFill/>
              </a:ln>
              <a:effectLst/>
            </c:spPr>
            <c:extLst>
              <c:ext xmlns:c16="http://schemas.microsoft.com/office/drawing/2014/chart" uri="{C3380CC4-5D6E-409C-BE32-E72D297353CC}">
                <c16:uniqueId val="{0000000B-6620-41D1-B67D-8AA9E48B90EF}"/>
              </c:ext>
            </c:extLst>
          </c:dPt>
          <c:dPt>
            <c:idx val="8"/>
            <c:invertIfNegative val="0"/>
            <c:bubble3D val="0"/>
            <c:spPr>
              <a:solidFill>
                <a:srgbClr val="BA8CDC"/>
              </a:solidFill>
              <a:ln>
                <a:noFill/>
              </a:ln>
              <a:effectLst/>
            </c:spPr>
            <c:extLst>
              <c:ext xmlns:c16="http://schemas.microsoft.com/office/drawing/2014/chart" uri="{C3380CC4-5D6E-409C-BE32-E72D297353CC}">
                <c16:uniqueId val="{0000000D-6620-41D1-B67D-8AA9E48B90EF}"/>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'3_Outputs'!$AC$56:$AC$68</c:f>
              <c:numCache>
                <c:formatCode>0.0%</c:formatCode>
                <c:ptCount val="13"/>
                <c:pt idx="1">
                  <c:v>0</c:v>
                </c:pt>
                <c:pt idx="2">
                  <c:v>0.89166666666666672</c:v>
                </c:pt>
                <c:pt idx="3">
                  <c:v>0.79135416666666658</c:v>
                </c:pt>
                <c:pt idx="4" formatCode="0%">
                  <c:v>0</c:v>
                </c:pt>
                <c:pt idx="5" formatCode="0%">
                  <c:v>0</c:v>
                </c:pt>
                <c:pt idx="6" formatCode="0%">
                  <c:v>0</c:v>
                </c:pt>
                <c:pt idx="7">
                  <c:v>0.80827031250000003</c:v>
                </c:pt>
                <c:pt idx="8">
                  <c:v>0.76978124999999997</c:v>
                </c:pt>
                <c:pt idx="9">
                  <c:v>0.39943609022556387</c:v>
                </c:pt>
                <c:pt idx="10">
                  <c:v>0</c:v>
                </c:pt>
                <c:pt idx="11">
                  <c:v>0</c:v>
                </c:pt>
                <c:pt idx="12">
                  <c:v>0</c:v>
                </c:pt>
              </c:numCache>
            </c:numRef>
          </c:val>
          <c:extLst>
            <c:ext xmlns:c16="http://schemas.microsoft.com/office/drawing/2014/chart" uri="{C3380CC4-5D6E-409C-BE32-E72D297353CC}">
              <c16:uniqueId val="{0000000E-6620-41D1-B67D-8AA9E48B90EF}"/>
            </c:ext>
          </c:extLst>
        </c:ser>
        <c:dLbls>
          <c:showLegendKey val="0"/>
          <c:showVal val="0"/>
          <c:showCatName val="0"/>
          <c:showSerName val="0"/>
          <c:showPercent val="0"/>
          <c:showBubbleSize val="0"/>
        </c:dLbls>
        <c:gapWidth val="26"/>
        <c:overlap val="100"/>
        <c:axId val="909680888"/>
        <c:axId val="909681672"/>
      </c:barChart>
      <c:barChart>
        <c:barDir val="col"/>
        <c:grouping val="clustered"/>
        <c:varyColors val="0"/>
        <c:dLbls>
          <c:showLegendKey val="0"/>
          <c:showVal val="0"/>
          <c:showCatName val="0"/>
          <c:showSerName val="0"/>
          <c:showPercent val="0"/>
          <c:showBubbleSize val="0"/>
        </c:dLbls>
        <c:gapWidth val="26"/>
        <c:axId val="612026280"/>
        <c:axId val="612023000"/>
        <c:extLst>
          <c:ext xmlns:c15="http://schemas.microsoft.com/office/drawing/2012/chart" uri="{02D57815-91ED-43cb-92C2-25804820EDAC}">
            <c15:filteredBarSeries>
              <c15:ser>
                <c:idx val="1"/>
                <c:order val="1"/>
                <c:spPr>
                  <a:solidFill>
                    <a:srgbClr val="FF99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'3_Outputs'!$AB$56:$AB$65</c15:sqref>
                        </c15:formulaRef>
                      </c:ext>
                    </c:extLst>
                    <c:strCache>
                      <c:ptCount val="10"/>
                      <c:pt idx="2">
                        <c:v>Vehicle Time Utilization - Tier 2</c:v>
                      </c:pt>
                      <c:pt idx="3">
                        <c:v>Vehicle Time Utilization - Tier 3</c:v>
                      </c:pt>
                      <c:pt idx="7">
                        <c:v>Combined Storage - Tier 1</c:v>
                      </c:pt>
                      <c:pt idx="8">
                        <c:v>Combined Storage - Tier 2</c:v>
                      </c:pt>
                      <c:pt idx="9">
                        <c:v>Combined Storage - Tier 3</c:v>
                      </c:pt>
                    </c:strCache>
                  </c:strRef>
                </c:cat>
                <c:val>
                  <c:numRef>
                    <c:extLst>
                      <c:ext uri="{02D57815-91ED-43cb-92C2-25804820EDAC}">
                        <c15:formulaRef>
                          <c15:sqref>'3_Outputs'!$AE$56:$AE$65</c15:sqref>
                        </c15:formulaRef>
                      </c:ext>
                    </c:extLst>
                    <c:numCache>
                      <c:formatCode>General</c:formatCode>
                      <c:ptCount val="10"/>
                      <c:pt idx="7">
                        <c:v>0</c:v>
                      </c:pt>
                      <c:pt idx="8">
                        <c:v>0</c:v>
                      </c:pt>
                      <c:pt idx="9">
                        <c:v>1</c:v>
                      </c:pt>
                    </c:numCache>
                  </c:numRef>
                </c:val>
                <c:extLst>
                  <c:ext xmlns:c16="http://schemas.microsoft.com/office/drawing/2014/chart" uri="{C3380CC4-5D6E-409C-BE32-E72D297353CC}">
                    <c16:uniqueId val="{0000000F-6620-41D1-B67D-8AA9E48B90EF}"/>
                  </c:ext>
                </c:extLst>
              </c15:ser>
            </c15:filteredBarSeries>
          </c:ext>
        </c:extLst>
      </c:barChart>
      <c:catAx>
        <c:axId val="909680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681672"/>
        <c:crosses val="autoZero"/>
        <c:auto val="1"/>
        <c:lblAlgn val="ctr"/>
        <c:lblOffset val="100"/>
        <c:noMultiLvlLbl val="0"/>
      </c:catAx>
      <c:valAx>
        <c:axId val="90968167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909680888"/>
        <c:crosses val="autoZero"/>
        <c:crossBetween val="between"/>
        <c:majorUnit val="0.1"/>
      </c:valAx>
      <c:valAx>
        <c:axId val="612023000"/>
        <c:scaling>
          <c:orientation val="minMax"/>
          <c:max val="5"/>
        </c:scaling>
        <c:delete val="1"/>
        <c:axPos val="r"/>
        <c:numFmt formatCode="General" sourceLinked="1"/>
        <c:majorTickMark val="out"/>
        <c:minorTickMark val="none"/>
        <c:tickLblPos val="nextTo"/>
        <c:crossAx val="612026280"/>
        <c:crosses val="max"/>
        <c:crossBetween val="between"/>
        <c:majorUnit val="1"/>
      </c:valAx>
      <c:catAx>
        <c:axId val="612026280"/>
        <c:scaling>
          <c:orientation val="minMax"/>
        </c:scaling>
        <c:delete val="1"/>
        <c:axPos val="b"/>
        <c:numFmt formatCode="General" sourceLinked="1"/>
        <c:majorTickMark val="out"/>
        <c:minorTickMark val="none"/>
        <c:tickLblPos val="nextTo"/>
        <c:crossAx val="612023000"/>
        <c:crosses val="autoZero"/>
        <c:auto val="1"/>
        <c:lblAlgn val="ctr"/>
        <c:lblOffset val="100"/>
        <c:noMultiLvlLbl val="0"/>
      </c:catAx>
      <c:spPr>
        <a:noFill/>
        <a:ln>
          <a:noFill/>
        </a:ln>
        <a:effectLst/>
      </c:spPr>
    </c:plotArea>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Transportation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1"/>
          <c:order val="0"/>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F853-418C-B4E3-147EB916A7AC}"/>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F853-418C-B4E3-147EB916A7AC}"/>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F853-418C-B4E3-147EB916A7AC}"/>
              </c:ext>
            </c:extLst>
          </c:dPt>
          <c:dPt>
            <c:idx val="3"/>
            <c:bubble3D val="0"/>
            <c:spPr>
              <a:solidFill>
                <a:srgbClr val="BA8CDC"/>
              </a:solidFill>
              <a:ln w="19050">
                <a:solidFill>
                  <a:schemeClr val="lt1"/>
                </a:solidFill>
              </a:ln>
              <a:effectLst/>
            </c:spPr>
            <c:extLst>
              <c:ext xmlns:c16="http://schemas.microsoft.com/office/drawing/2014/chart" uri="{C3380CC4-5D6E-409C-BE32-E72D297353CC}">
                <c16:uniqueId val="{00000007-F853-418C-B4E3-147EB916A7A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'3_Outputs'!$F$88:$F$91</c:f>
              <c:strCache>
                <c:ptCount val="4"/>
                <c:pt idx="0">
                  <c:v>Labor</c:v>
                </c:pt>
                <c:pt idx="1">
                  <c:v>Equipment &amp; Depreciation Costs</c:v>
                </c:pt>
                <c:pt idx="2">
                  <c:v>Per-Diems</c:v>
                </c:pt>
                <c:pt idx="3">
                  <c:v>Fuel, Maintenance, &amp; Other Travel Costs</c:v>
                </c:pt>
              </c:strCache>
            </c:strRef>
          </c:cat>
          <c:val>
            <c:numRef>
              <c:f>'3_Outputs'!$Y$88:$Y$91</c:f>
              <c:numCache>
                <c:formatCode>_("$"* #,##0_);_("$"* \(#,##0\);_("$"* "-"??_);_(@_)</c:formatCode>
                <c:ptCount val="4"/>
                <c:pt idx="0">
                  <c:v>140847.12</c:v>
                </c:pt>
                <c:pt idx="1">
                  <c:v>192327.98959019175</c:v>
                </c:pt>
                <c:pt idx="2">
                  <c:v>89370</c:v>
                </c:pt>
                <c:pt idx="3">
                  <c:v>441891.23215847742</c:v>
                </c:pt>
              </c:numCache>
            </c:numRef>
          </c:val>
          <c:extLst>
            <c:ext xmlns:c16="http://schemas.microsoft.com/office/drawing/2014/chart" uri="{C3380CC4-5D6E-409C-BE32-E72D297353CC}">
              <c16:uniqueId val="{00000008-F853-418C-B4E3-147EB916A7AC}"/>
            </c:ext>
          </c:extLst>
        </c:ser>
        <c:dLbls>
          <c:showLegendKey val="0"/>
          <c:showVal val="0"/>
          <c:showCatName val="0"/>
          <c:showSerName val="0"/>
          <c:showPercent val="0"/>
          <c:showBubbleSize val="0"/>
          <c:showLeaderLines val="1"/>
        </c:dLbls>
        <c:firstSliceAng val="0"/>
        <c:holeSize val="35"/>
        <c:extLst/>
      </c:doughnutChart>
      <c:spPr>
        <a:noFill/>
        <a:ln>
          <a:noFill/>
        </a:ln>
        <a:effectLst/>
      </c:spPr>
    </c:plotArea>
    <c:legend>
      <c:legendPos val="b"/>
      <c:layout>
        <c:manualLayout>
          <c:xMode val="edge"/>
          <c:yMode val="edge"/>
          <c:x val="3.6095762178868507E-2"/>
          <c:y val="0.31667663481084668"/>
          <c:w val="0.3659819975938865"/>
          <c:h val="0.4885363028877967"/>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rPr>
              <a:t>Supply</a:t>
            </a: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 Chain Costs by Tier and Functional Area</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8363667826104205"/>
          <c:y val="4.0552861015645614E-3"/>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15716828215597861"/>
          <c:y val="0.14508321361254037"/>
          <c:w val="0.78082090260156045"/>
          <c:h val="0.61361170773948515"/>
        </c:manualLayout>
      </c:layout>
      <c:barChart>
        <c:barDir val="col"/>
        <c:grouping val="stacked"/>
        <c:varyColors val="0"/>
        <c:ser>
          <c:idx val="1"/>
          <c:order val="0"/>
          <c:tx>
            <c:strRef>
              <c:f>'4_Outputs'!$F$78</c:f>
              <c:strCache>
                <c:ptCount val="1"/>
                <c:pt idx="0">
                  <c:v>Total Warehousing Costs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'4_Outputs'!$H$76:$W$76</c:f>
              <c:strCache>
                <c:ptCount val="6"/>
                <c:pt idx="0">
                  <c:v> CMS Tier </c:v>
                </c:pt>
                <c:pt idx="1">
                  <c:v> Regional WH Tier </c:v>
                </c:pt>
                <c:pt idx="2">
                  <c:v> Health Facility Tier </c:v>
                </c:pt>
                <c:pt idx="3">
                  <c:v>  </c:v>
                </c:pt>
                <c:pt idx="4">
                  <c:v>  </c:v>
                </c:pt>
                <c:pt idx="5">
                  <c:v>  </c:v>
                </c:pt>
              </c:strCache>
            </c:strRef>
          </c:cat>
          <c:val>
            <c:numRef>
              <c:f>'4_Outputs'!$H$78:$W$78</c:f>
              <c:numCache>
                <c:formatCode>_("$"* #,##0_);_("$"* \(#,##0\);_("$"* "-"??_);_(@_)</c:formatCode>
                <c:ptCount val="6"/>
                <c:pt idx="0">
                  <c:v>588896.87734702753</c:v>
                </c:pt>
                <c:pt idx="1">
                  <c:v>424240.19594778924</c:v>
                </c:pt>
                <c:pt idx="2">
                  <c:v>368132.48846262967</c:v>
                </c:pt>
                <c:pt idx="3">
                  <c:v>0</c:v>
                </c:pt>
                <c:pt idx="4">
                  <c:v>0</c:v>
                </c:pt>
                <c:pt idx="5">
                  <c:v>0</c:v>
                </c:pt>
              </c:numCache>
            </c:numRef>
          </c:val>
          <c:extLst>
            <c:ext xmlns:c16="http://schemas.microsoft.com/office/drawing/2014/chart" uri="{C3380CC4-5D6E-409C-BE32-E72D297353CC}">
              <c16:uniqueId val="{00000000-2EAD-4DA1-97C0-E7952711C9ED}"/>
            </c:ext>
          </c:extLst>
        </c:ser>
        <c:ser>
          <c:idx val="2"/>
          <c:order val="1"/>
          <c:tx>
            <c:strRef>
              <c:f>'4_Outputs'!$F$79</c:f>
              <c:strCache>
                <c:ptCount val="1"/>
                <c:pt idx="0">
                  <c:v>Total Transportation Costs</c:v>
                </c:pt>
              </c:strCache>
            </c:strRef>
          </c:tx>
          <c:spPr>
            <a:solidFill>
              <a:schemeClr val="accent2">
                <a:lumMod val="60000"/>
                <a:lumOff val="4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EAD-4DA1-97C0-E7952711C9ED}"/>
                </c:ext>
              </c:extLst>
            </c:dLbl>
            <c:dLbl>
              <c:idx val="1"/>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AD-4DA1-97C0-E7952711C9ED}"/>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'4_Outputs'!$H$76:$W$76</c:f>
              <c:strCache>
                <c:ptCount val="6"/>
                <c:pt idx="0">
                  <c:v> CMS Tier </c:v>
                </c:pt>
                <c:pt idx="1">
                  <c:v> Regional WH Tier </c:v>
                </c:pt>
                <c:pt idx="2">
                  <c:v> Health Facility Tier </c:v>
                </c:pt>
                <c:pt idx="3">
                  <c:v>  </c:v>
                </c:pt>
                <c:pt idx="4">
                  <c:v>  </c:v>
                </c:pt>
                <c:pt idx="5">
                  <c:v>  </c:v>
                </c:pt>
              </c:strCache>
            </c:strRef>
          </c:cat>
          <c:val>
            <c:numRef>
              <c:f>'4_Outputs'!$H$79:$W$79</c:f>
              <c:numCache>
                <c:formatCode>_("$"* #,##0_);_("$"* \(#,##0\);_("$"* "-"??_);_(@_)</c:formatCode>
                <c:ptCount val="6"/>
                <c:pt idx="0">
                  <c:v>0</c:v>
                </c:pt>
                <c:pt idx="1">
                  <c:v>138241.15727461141</c:v>
                </c:pt>
                <c:pt idx="2">
                  <c:v>327344.74427604821</c:v>
                </c:pt>
                <c:pt idx="3">
                  <c:v>0</c:v>
                </c:pt>
                <c:pt idx="4">
                  <c:v>0</c:v>
                </c:pt>
                <c:pt idx="5">
                  <c:v>0</c:v>
                </c:pt>
              </c:numCache>
            </c:numRef>
          </c:val>
          <c:extLst>
            <c:ext xmlns:c16="http://schemas.microsoft.com/office/drawing/2014/chart" uri="{C3380CC4-5D6E-409C-BE32-E72D297353CC}">
              <c16:uniqueId val="{00000003-2EAD-4DA1-97C0-E7952711C9ED}"/>
            </c:ext>
          </c:extLst>
        </c:ser>
        <c:ser>
          <c:idx val="4"/>
          <c:order val="2"/>
          <c:tx>
            <c:strRef>
              <c:f>'4_Outputs'!$F$80</c:f>
              <c:strCache>
                <c:ptCount val="1"/>
                <c:pt idx="0">
                  <c:v>Total Management/System Support Costs</c:v>
                </c:pt>
              </c:strCache>
            </c:strRef>
          </c:tx>
          <c:spPr>
            <a:solidFill>
              <a:schemeClr val="accent6">
                <a:lumMod val="60000"/>
                <a:lumOff val="40000"/>
              </a:schemeClr>
            </a:solidFill>
            <a:ln>
              <a:noFill/>
            </a:ln>
            <a:effectLst/>
          </c:spPr>
          <c:invertIfNegative val="0"/>
          <c:dLbls>
            <c:dLbl>
              <c:idx val="1"/>
              <c:layout>
                <c:manualLayout>
                  <c:x val="-7.9624202590205673E-17"/>
                  <c:y val="-2.83000969015691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AD-4DA1-97C0-E7952711C9ED}"/>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'4_Outputs'!$H$76:$W$76</c:f>
              <c:strCache>
                <c:ptCount val="6"/>
                <c:pt idx="0">
                  <c:v> CMS Tier </c:v>
                </c:pt>
                <c:pt idx="1">
                  <c:v> Regional WH Tier </c:v>
                </c:pt>
                <c:pt idx="2">
                  <c:v> Health Facility Tier </c:v>
                </c:pt>
                <c:pt idx="3">
                  <c:v>  </c:v>
                </c:pt>
                <c:pt idx="4">
                  <c:v>  </c:v>
                </c:pt>
                <c:pt idx="5">
                  <c:v>  </c:v>
                </c:pt>
              </c:strCache>
            </c:strRef>
          </c:cat>
          <c:val>
            <c:numRef>
              <c:f>'4_Outputs'!$H$80:$W$80</c:f>
              <c:numCache>
                <c:formatCode>_("$"* #,##0_);_("$"* \(#,##0\);_("$"* "-"??_);_(@_)</c:formatCode>
                <c:ptCount val="6"/>
                <c:pt idx="0">
                  <c:v>68518.335535384278</c:v>
                </c:pt>
                <c:pt idx="1">
                  <c:v>13104</c:v>
                </c:pt>
                <c:pt idx="2">
                  <c:v>50452.347965689762</c:v>
                </c:pt>
                <c:pt idx="3">
                  <c:v>0</c:v>
                </c:pt>
                <c:pt idx="4">
                  <c:v>0</c:v>
                </c:pt>
                <c:pt idx="5">
                  <c:v>0</c:v>
                </c:pt>
              </c:numCache>
            </c:numRef>
          </c:val>
          <c:extLst>
            <c:ext xmlns:c16="http://schemas.microsoft.com/office/drawing/2014/chart" uri="{C3380CC4-5D6E-409C-BE32-E72D297353CC}">
              <c16:uniqueId val="{00000005-2EAD-4DA1-97C0-E7952711C9ED}"/>
            </c:ext>
          </c:extLst>
        </c:ser>
        <c:dLbls>
          <c:showLegendKey val="0"/>
          <c:showVal val="0"/>
          <c:showCatName val="0"/>
          <c:showSerName val="0"/>
          <c:showPercent val="0"/>
          <c:showBubbleSize val="0"/>
        </c:dLbls>
        <c:gapWidth val="12"/>
        <c:overlap val="100"/>
        <c:axId val="909679712"/>
        <c:axId val="909680104"/>
      </c:barChart>
      <c:catAx>
        <c:axId val="90967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80104"/>
        <c:crosses val="autoZero"/>
        <c:auto val="1"/>
        <c:lblAlgn val="ctr"/>
        <c:lblOffset val="100"/>
        <c:noMultiLvlLbl val="0"/>
      </c:catAx>
      <c:valAx>
        <c:axId val="9096801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7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Warehousing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0"/>
          <c:order val="0"/>
          <c:tx>
            <c:strRef>
              <c:f>'4_Outputs'!$Y$84:$Y$86</c:f>
              <c:strCache>
                <c:ptCount val="3"/>
                <c:pt idx="0">
                  <c:v> $697,421 </c:v>
                </c:pt>
                <c:pt idx="1">
                  <c:v> $69,043 </c:v>
                </c:pt>
                <c:pt idx="2">
                  <c:v> $614,806 </c:v>
                </c:pt>
              </c:strCache>
            </c:strRef>
          </c:tx>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8D48-4436-B4C2-58E2877A07D7}"/>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8D48-4436-B4C2-58E2877A07D7}"/>
              </c:ext>
            </c:extLst>
          </c:dPt>
          <c:dPt>
            <c:idx val="2"/>
            <c:bubble3D val="0"/>
            <c:spPr>
              <a:solidFill>
                <a:srgbClr val="BA8CDC"/>
              </a:solidFill>
              <a:ln w="19050">
                <a:solidFill>
                  <a:schemeClr val="lt1"/>
                </a:solidFill>
              </a:ln>
              <a:effectLst/>
            </c:spPr>
            <c:extLst>
              <c:ext xmlns:c16="http://schemas.microsoft.com/office/drawing/2014/chart" uri="{C3380CC4-5D6E-409C-BE32-E72D297353CC}">
                <c16:uniqueId val="{00000005-8D48-4436-B4C2-58E2877A07D7}"/>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7-8D48-4436-B4C2-58E2877A07D7}"/>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8D48-4436-B4C2-58E2877A07D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8D48-4436-B4C2-58E2877A07D7}"/>
              </c:ext>
            </c:extLst>
          </c:dPt>
          <c:dLbls>
            <c:dLbl>
              <c:idx val="0"/>
              <c:layout>
                <c:manualLayout>
                  <c:x val="5.1502811317464753E-3"/>
                  <c:y val="-4.5124813281971566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D48-4436-B4C2-58E2877A07D7}"/>
                </c:ext>
              </c:extLst>
            </c:dLbl>
            <c:dLbl>
              <c:idx val="1"/>
              <c:layout>
                <c:manualLayout>
                  <c:x val="-1.1744824472127394E-3"/>
                  <c:y val="5.9303690628186561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D48-4436-B4C2-58E2877A07D7}"/>
                </c:ext>
              </c:extLst>
            </c:dLbl>
            <c:dLbl>
              <c:idx val="3"/>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7-8D48-4436-B4C2-58E2877A07D7}"/>
                </c:ext>
              </c:extLst>
            </c:dLbl>
            <c:dLbl>
              <c:idx val="4"/>
              <c:layout>
                <c:manualLayout>
                  <c:x val="8.5326409417197466E-3"/>
                  <c:y val="-8.017930826700612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D48-4436-B4C2-58E2877A07D7}"/>
                </c:ext>
              </c:extLst>
            </c:dLbl>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'4_Outputs'!$F$84:$F$86</c:f>
              <c:strCache>
                <c:ptCount val="3"/>
                <c:pt idx="0">
                  <c:v>Labor</c:v>
                </c:pt>
                <c:pt idx="1">
                  <c:v>Equipment &amp; Depreciation Costs</c:v>
                </c:pt>
                <c:pt idx="2">
                  <c:v>Utilities, repairs, insurance, &amp; other warehouse operations</c:v>
                </c:pt>
              </c:strCache>
            </c:strRef>
          </c:cat>
          <c:val>
            <c:numRef>
              <c:f>'4_Outputs'!$Y$84:$Y$86</c:f>
              <c:numCache>
                <c:formatCode>_("$"* #,##0_);_("$"* \(#,##0\);_("$"* "-"??_);_(@_)</c:formatCode>
                <c:ptCount val="3"/>
                <c:pt idx="0">
                  <c:v>697420.55769230763</c:v>
                </c:pt>
                <c:pt idx="1">
                  <c:v>69043.203602895039</c:v>
                </c:pt>
                <c:pt idx="2">
                  <c:v>614805.80046224385</c:v>
                </c:pt>
              </c:numCache>
            </c:numRef>
          </c:val>
          <c:extLst>
            <c:ext xmlns:c16="http://schemas.microsoft.com/office/drawing/2014/chart" uri="{C3380CC4-5D6E-409C-BE32-E72D297353CC}">
              <c16:uniqueId val="{0000000C-8D48-4436-B4C2-58E2877A07D7}"/>
            </c:ext>
          </c:extLst>
        </c:ser>
        <c:dLbls>
          <c:showLegendKey val="0"/>
          <c:showVal val="0"/>
          <c:showCatName val="0"/>
          <c:showSerName val="0"/>
          <c:showPercent val="0"/>
          <c:showBubbleSize val="0"/>
          <c:showLeaderLines val="0"/>
        </c:dLbls>
        <c:firstSliceAng val="0"/>
        <c:holeSize val="35"/>
      </c:doughnutChart>
      <c:spPr>
        <a:noFill/>
        <a:ln>
          <a:noFill/>
        </a:ln>
        <a:effectLst/>
      </c:spPr>
    </c:plotArea>
    <c:legend>
      <c:legendPos val="b"/>
      <c:layout>
        <c:manualLayout>
          <c:xMode val="edge"/>
          <c:yMode val="edge"/>
          <c:x val="0"/>
          <c:y val="0.3703232238046737"/>
          <c:w val="0.36856026632094852"/>
          <c:h val="0.39071017001670028"/>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r>
              <a:rPr lang="en-US" sz="1600" b="1">
                <a:solidFill>
                  <a:schemeClr val="tx1">
                    <a:lumMod val="65000"/>
                    <a:lumOff val="35000"/>
                  </a:schemeClr>
                </a:solidFill>
                <a:latin typeface="+mn-lt"/>
                <a:ea typeface="Garamond" charset="0"/>
                <a:cs typeface="Garamond" charset="0"/>
              </a:rPr>
              <a:t>Utilization of Transport and Storage Resources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endParaRPr lang="en-US"/>
        </a:p>
      </c:txPr>
    </c:title>
    <c:autoTitleDeleted val="0"/>
    <c:plotArea>
      <c:layout>
        <c:manualLayout>
          <c:layoutTarget val="inner"/>
          <c:xMode val="edge"/>
          <c:yMode val="edge"/>
          <c:x val="0.11135040608573343"/>
          <c:y val="0.14141402363091585"/>
          <c:w val="0.72844585793359251"/>
          <c:h val="0.58695918597061025"/>
        </c:manualLayout>
      </c:layout>
      <c:areaChart>
        <c:grouping val="stacked"/>
        <c:varyColors val="0"/>
        <c:ser>
          <c:idx val="2"/>
          <c:order val="2"/>
          <c:spPr>
            <a:noFill/>
            <a:ln>
              <a:noFill/>
            </a:ln>
            <a:effectLst/>
          </c:spPr>
          <c:cat>
            <c:strRef>
              <c:f>'4_Outputs'!$AB$56:$AB$68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'4_Outputs'!$AF$56:$AF$68</c:f>
              <c:numCache>
                <c:formatCode>0%</c:formatCode>
                <c:ptCount val="13"/>
                <c:pt idx="0">
                  <c:v>0.5</c:v>
                </c:pt>
                <c:pt idx="1">
                  <c:v>0.5</c:v>
                </c:pt>
                <c:pt idx="2">
                  <c:v>0.5</c:v>
                </c:pt>
                <c:pt idx="3">
                  <c:v>0.5</c:v>
                </c:pt>
                <c:pt idx="4">
                  <c:v>0.5</c:v>
                </c:pt>
                <c:pt idx="5">
                  <c:v>0.5</c:v>
                </c:pt>
                <c:pt idx="6">
                  <c:v>0.5</c:v>
                </c:pt>
                <c:pt idx="7">
                  <c:v>0.5</c:v>
                </c:pt>
                <c:pt idx="8">
                  <c:v>0.5</c:v>
                </c:pt>
                <c:pt idx="9">
                  <c:v>0.5</c:v>
                </c:pt>
                <c:pt idx="10">
                  <c:v>0.5</c:v>
                </c:pt>
                <c:pt idx="11">
                  <c:v>0.5</c:v>
                </c:pt>
                <c:pt idx="12">
                  <c:v>0.5</c:v>
                </c:pt>
              </c:numCache>
            </c:numRef>
          </c:val>
          <c:extLst>
            <c:ext xmlns:c16="http://schemas.microsoft.com/office/drawing/2014/chart" uri="{C3380CC4-5D6E-409C-BE32-E72D297353CC}">
              <c16:uniqueId val="{00000000-B6CE-4169-B5BF-FB2E2CD8B940}"/>
            </c:ext>
          </c:extLst>
        </c:ser>
        <c:ser>
          <c:idx val="3"/>
          <c:order val="3"/>
          <c:spPr>
            <a:solidFill>
              <a:schemeClr val="accent6">
                <a:lumMod val="40000"/>
                <a:lumOff val="60000"/>
                <a:alpha val="44000"/>
              </a:schemeClr>
            </a:solidFill>
            <a:ln>
              <a:noFill/>
            </a:ln>
            <a:effectLst/>
          </c:spPr>
          <c:cat>
            <c:strRef>
              <c:f>'4_Outputs'!$AB$56:$AB$68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'4_Outputs'!$AG$56:$AG$68</c:f>
              <c:numCache>
                <c:formatCode>0%</c:formatCode>
                <c:ptCount val="13"/>
                <c:pt idx="0">
                  <c:v>0.4</c:v>
                </c:pt>
                <c:pt idx="1">
                  <c:v>0.4</c:v>
                </c:pt>
                <c:pt idx="2">
                  <c:v>0.4</c:v>
                </c:pt>
                <c:pt idx="3">
                  <c:v>0.4</c:v>
                </c:pt>
                <c:pt idx="4">
                  <c:v>0.4</c:v>
                </c:pt>
                <c:pt idx="5">
                  <c:v>0.4</c:v>
                </c:pt>
                <c:pt idx="6">
                  <c:v>0.4</c:v>
                </c:pt>
                <c:pt idx="7">
                  <c:v>0.4</c:v>
                </c:pt>
                <c:pt idx="8">
                  <c:v>0.4</c:v>
                </c:pt>
                <c:pt idx="9">
                  <c:v>0.4</c:v>
                </c:pt>
                <c:pt idx="10">
                  <c:v>0.4</c:v>
                </c:pt>
                <c:pt idx="11">
                  <c:v>0.4</c:v>
                </c:pt>
                <c:pt idx="12">
                  <c:v>0.4</c:v>
                </c:pt>
              </c:numCache>
            </c:numRef>
          </c:val>
          <c:extLst>
            <c:ext xmlns:c16="http://schemas.microsoft.com/office/drawing/2014/chart" uri="{C3380CC4-5D6E-409C-BE32-E72D297353CC}">
              <c16:uniqueId val="{00000001-B6CE-4169-B5BF-FB2E2CD8B940}"/>
            </c:ext>
          </c:extLst>
        </c:ser>
        <c:dLbls>
          <c:showLegendKey val="0"/>
          <c:showVal val="0"/>
          <c:showCatName val="0"/>
          <c:showSerName val="0"/>
          <c:showPercent val="0"/>
          <c:showBubbleSize val="0"/>
        </c:dLbls>
        <c:axId val="909680888"/>
        <c:axId val="909681672"/>
      </c:areaChart>
      <c:barChart>
        <c:barDir val="col"/>
        <c:grouping val="stacked"/>
        <c:varyColors val="0"/>
        <c:ser>
          <c:idx val="0"/>
          <c:order val="0"/>
          <c:spPr>
            <a:solidFill>
              <a:schemeClr val="accent1"/>
            </a:solidFill>
            <a:ln>
              <a:noFill/>
            </a:ln>
            <a:effectLst/>
          </c:spPr>
          <c:invertIfNegative val="0"/>
          <c:dPt>
            <c:idx val="3"/>
            <c:invertIfNegative val="0"/>
            <c:bubble3D val="0"/>
            <c:spPr>
              <a:solidFill>
                <a:srgbClr val="BA8CDC"/>
              </a:solidFill>
              <a:ln>
                <a:noFill/>
              </a:ln>
              <a:effectLst/>
            </c:spPr>
            <c:extLst>
              <c:ext xmlns:c16="http://schemas.microsoft.com/office/drawing/2014/chart" uri="{C3380CC4-5D6E-409C-BE32-E72D297353CC}">
                <c16:uniqueId val="{00000003-B6CE-4169-B5BF-FB2E2CD8B940}"/>
              </c:ext>
            </c:extLst>
          </c:dPt>
          <c:dPt>
            <c:idx val="4"/>
            <c:invertIfNegative val="0"/>
            <c:bubble3D val="0"/>
            <c:spPr>
              <a:solidFill>
                <a:srgbClr val="BA8CDC"/>
              </a:solidFill>
              <a:ln>
                <a:noFill/>
              </a:ln>
              <a:effectLst/>
            </c:spPr>
            <c:extLst>
              <c:ext xmlns:c16="http://schemas.microsoft.com/office/drawing/2014/chart" uri="{C3380CC4-5D6E-409C-BE32-E72D297353CC}">
                <c16:uniqueId val="{00000005-B6CE-4169-B5BF-FB2E2CD8B940}"/>
              </c:ext>
            </c:extLst>
          </c:dPt>
          <c:dPt>
            <c:idx val="5"/>
            <c:invertIfNegative val="0"/>
            <c:bubble3D val="0"/>
            <c:spPr>
              <a:solidFill>
                <a:srgbClr val="BA8CDC"/>
              </a:solidFill>
              <a:ln>
                <a:noFill/>
              </a:ln>
              <a:effectLst/>
            </c:spPr>
            <c:extLst>
              <c:ext xmlns:c16="http://schemas.microsoft.com/office/drawing/2014/chart" uri="{C3380CC4-5D6E-409C-BE32-E72D297353CC}">
                <c16:uniqueId val="{00000007-B6CE-4169-B5BF-FB2E2CD8B940}"/>
              </c:ext>
            </c:extLst>
          </c:dPt>
          <c:dPt>
            <c:idx val="6"/>
            <c:invertIfNegative val="0"/>
            <c:bubble3D val="0"/>
            <c:spPr>
              <a:solidFill>
                <a:srgbClr val="BA8CDC"/>
              </a:solidFill>
              <a:ln>
                <a:noFill/>
              </a:ln>
              <a:effectLst/>
            </c:spPr>
            <c:extLst>
              <c:ext xmlns:c16="http://schemas.microsoft.com/office/drawing/2014/chart" uri="{C3380CC4-5D6E-409C-BE32-E72D297353CC}">
                <c16:uniqueId val="{00000009-B6CE-4169-B5BF-FB2E2CD8B940}"/>
              </c:ext>
            </c:extLst>
          </c:dPt>
          <c:dPt>
            <c:idx val="7"/>
            <c:invertIfNegative val="0"/>
            <c:bubble3D val="0"/>
            <c:spPr>
              <a:solidFill>
                <a:srgbClr val="BA8CDC"/>
              </a:solidFill>
              <a:ln>
                <a:noFill/>
              </a:ln>
              <a:effectLst/>
            </c:spPr>
            <c:extLst>
              <c:ext xmlns:c16="http://schemas.microsoft.com/office/drawing/2014/chart" uri="{C3380CC4-5D6E-409C-BE32-E72D297353CC}">
                <c16:uniqueId val="{0000000B-B6CE-4169-B5BF-FB2E2CD8B940}"/>
              </c:ext>
            </c:extLst>
          </c:dPt>
          <c:dPt>
            <c:idx val="8"/>
            <c:invertIfNegative val="0"/>
            <c:bubble3D val="0"/>
            <c:spPr>
              <a:solidFill>
                <a:srgbClr val="BA8CDC"/>
              </a:solidFill>
              <a:ln>
                <a:noFill/>
              </a:ln>
              <a:effectLst/>
            </c:spPr>
            <c:extLst>
              <c:ext xmlns:c16="http://schemas.microsoft.com/office/drawing/2014/chart" uri="{C3380CC4-5D6E-409C-BE32-E72D297353CC}">
                <c16:uniqueId val="{0000000D-B6CE-4169-B5BF-FB2E2CD8B940}"/>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'4_Outputs'!$AC$56:$AC$68</c:f>
              <c:numCache>
                <c:formatCode>0.0%</c:formatCode>
                <c:ptCount val="13"/>
                <c:pt idx="1">
                  <c:v>0</c:v>
                </c:pt>
                <c:pt idx="2">
                  <c:v>0.875</c:v>
                </c:pt>
                <c:pt idx="3">
                  <c:v>0.7434722222222222</c:v>
                </c:pt>
                <c:pt idx="4" formatCode="0%">
                  <c:v>0</c:v>
                </c:pt>
                <c:pt idx="5" formatCode="0%">
                  <c:v>0</c:v>
                </c:pt>
                <c:pt idx="6" formatCode="0%">
                  <c:v>0</c:v>
                </c:pt>
                <c:pt idx="7">
                  <c:v>0.88200601538629442</c:v>
                </c:pt>
                <c:pt idx="8">
                  <c:v>0.8400057289393279</c:v>
                </c:pt>
                <c:pt idx="9">
                  <c:v>0.77743902439024393</c:v>
                </c:pt>
                <c:pt idx="10">
                  <c:v>0</c:v>
                </c:pt>
                <c:pt idx="11">
                  <c:v>0</c:v>
                </c:pt>
                <c:pt idx="12">
                  <c:v>0</c:v>
                </c:pt>
              </c:numCache>
            </c:numRef>
          </c:val>
          <c:extLst>
            <c:ext xmlns:c16="http://schemas.microsoft.com/office/drawing/2014/chart" uri="{C3380CC4-5D6E-409C-BE32-E72D297353CC}">
              <c16:uniqueId val="{0000000E-B6CE-4169-B5BF-FB2E2CD8B940}"/>
            </c:ext>
          </c:extLst>
        </c:ser>
        <c:dLbls>
          <c:showLegendKey val="0"/>
          <c:showVal val="0"/>
          <c:showCatName val="0"/>
          <c:showSerName val="0"/>
          <c:showPercent val="0"/>
          <c:showBubbleSize val="0"/>
        </c:dLbls>
        <c:gapWidth val="26"/>
        <c:overlap val="100"/>
        <c:axId val="909680888"/>
        <c:axId val="909681672"/>
      </c:barChart>
      <c:barChart>
        <c:barDir val="col"/>
        <c:grouping val="clustered"/>
        <c:varyColors val="0"/>
        <c:dLbls>
          <c:showLegendKey val="0"/>
          <c:showVal val="0"/>
          <c:showCatName val="0"/>
          <c:showSerName val="0"/>
          <c:showPercent val="0"/>
          <c:showBubbleSize val="0"/>
        </c:dLbls>
        <c:gapWidth val="26"/>
        <c:axId val="612026280"/>
        <c:axId val="612023000"/>
        <c:extLst>
          <c:ext xmlns:c15="http://schemas.microsoft.com/office/drawing/2012/chart" uri="{02D57815-91ED-43cb-92C2-25804820EDAC}">
            <c15:filteredBarSeries>
              <c15:ser>
                <c:idx val="1"/>
                <c:order val="1"/>
                <c:spPr>
                  <a:solidFill>
                    <a:srgbClr val="FF99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'4_Outputs'!$AB$56:$AB$65</c15:sqref>
                        </c15:formulaRef>
                      </c:ext>
                    </c:extLst>
                    <c:strCache>
                      <c:ptCount val="10"/>
                      <c:pt idx="2">
                        <c:v>Vehicle Time Utilization - Tier 2</c:v>
                      </c:pt>
                      <c:pt idx="3">
                        <c:v>Vehicle Time Utilization - Tier 3</c:v>
                      </c:pt>
                      <c:pt idx="7">
                        <c:v>Combined Storage - Tier 1</c:v>
                      </c:pt>
                      <c:pt idx="8">
                        <c:v>Combined Storage - Tier 2</c:v>
                      </c:pt>
                      <c:pt idx="9">
                        <c:v>Combined Storage - Tier 3</c:v>
                      </c:pt>
                    </c:strCache>
                  </c:strRef>
                </c:cat>
                <c:val>
                  <c:numRef>
                    <c:extLst>
                      <c:ext uri="{02D57815-91ED-43cb-92C2-25804820EDAC}">
                        <c15:formulaRef>
                          <c15:sqref>'4_Outputs'!$AE$56:$AE$65</c15:sqref>
                        </c15:formulaRef>
                      </c:ext>
                    </c:extLst>
                    <c:numCache>
                      <c:formatCode>General</c:formatCode>
                      <c:ptCount val="10"/>
                      <c:pt idx="7">
                        <c:v>0</c:v>
                      </c:pt>
                      <c:pt idx="8">
                        <c:v>0</c:v>
                      </c:pt>
                      <c:pt idx="9">
                        <c:v>0</c:v>
                      </c:pt>
                    </c:numCache>
                  </c:numRef>
                </c:val>
                <c:extLst>
                  <c:ext xmlns:c16="http://schemas.microsoft.com/office/drawing/2014/chart" uri="{C3380CC4-5D6E-409C-BE32-E72D297353CC}">
                    <c16:uniqueId val="{0000000F-B6CE-4169-B5BF-FB2E2CD8B940}"/>
                  </c:ext>
                </c:extLst>
              </c15:ser>
            </c15:filteredBarSeries>
          </c:ext>
        </c:extLst>
      </c:barChart>
      <c:catAx>
        <c:axId val="909680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681672"/>
        <c:crosses val="autoZero"/>
        <c:auto val="1"/>
        <c:lblAlgn val="ctr"/>
        <c:lblOffset val="100"/>
        <c:noMultiLvlLbl val="0"/>
      </c:catAx>
      <c:valAx>
        <c:axId val="90968167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909680888"/>
        <c:crosses val="autoZero"/>
        <c:crossBetween val="between"/>
        <c:majorUnit val="0.1"/>
      </c:valAx>
      <c:valAx>
        <c:axId val="612023000"/>
        <c:scaling>
          <c:orientation val="minMax"/>
          <c:max val="5"/>
        </c:scaling>
        <c:delete val="1"/>
        <c:axPos val="r"/>
        <c:numFmt formatCode="General" sourceLinked="1"/>
        <c:majorTickMark val="out"/>
        <c:minorTickMark val="none"/>
        <c:tickLblPos val="nextTo"/>
        <c:crossAx val="612026280"/>
        <c:crosses val="max"/>
        <c:crossBetween val="between"/>
        <c:majorUnit val="1"/>
      </c:valAx>
      <c:catAx>
        <c:axId val="612026280"/>
        <c:scaling>
          <c:orientation val="minMax"/>
        </c:scaling>
        <c:delete val="1"/>
        <c:axPos val="b"/>
        <c:numFmt formatCode="General" sourceLinked="1"/>
        <c:majorTickMark val="out"/>
        <c:minorTickMark val="none"/>
        <c:tickLblPos val="nextTo"/>
        <c:crossAx val="612023000"/>
        <c:crosses val="autoZero"/>
        <c:auto val="1"/>
        <c:lblAlgn val="ctr"/>
        <c:lblOffset val="100"/>
        <c:noMultiLvlLbl val="0"/>
      </c:catAx>
      <c:spPr>
        <a:noFill/>
        <a:ln>
          <a:noFill/>
        </a:ln>
        <a:effectLst/>
      </c:spPr>
    </c:plotArea>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Transportation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1"/>
          <c:order val="0"/>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39A0-4DCD-BF6B-E0980DA728CF}"/>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39A0-4DCD-BF6B-E0980DA728CF}"/>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39A0-4DCD-BF6B-E0980DA728CF}"/>
              </c:ext>
            </c:extLst>
          </c:dPt>
          <c:dPt>
            <c:idx val="3"/>
            <c:bubble3D val="0"/>
            <c:spPr>
              <a:solidFill>
                <a:srgbClr val="BA8CDC"/>
              </a:solidFill>
              <a:ln w="19050">
                <a:solidFill>
                  <a:schemeClr val="lt1"/>
                </a:solidFill>
              </a:ln>
              <a:effectLst/>
            </c:spPr>
            <c:extLst>
              <c:ext xmlns:c16="http://schemas.microsoft.com/office/drawing/2014/chart" uri="{C3380CC4-5D6E-409C-BE32-E72D297353CC}">
                <c16:uniqueId val="{00000007-39A0-4DCD-BF6B-E0980DA728CF}"/>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'4_Outputs'!$F$88:$F$91</c:f>
              <c:strCache>
                <c:ptCount val="4"/>
                <c:pt idx="0">
                  <c:v>Labor</c:v>
                </c:pt>
                <c:pt idx="1">
                  <c:v>Equipment &amp; Depreciation Costs</c:v>
                </c:pt>
                <c:pt idx="2">
                  <c:v>Per-Diems</c:v>
                </c:pt>
                <c:pt idx="3">
                  <c:v>Fuel, Maintenance, &amp; Other Travel Costs</c:v>
                </c:pt>
              </c:strCache>
            </c:strRef>
          </c:cat>
          <c:val>
            <c:numRef>
              <c:f>'4_Outputs'!$Y$88:$Y$91</c:f>
              <c:numCache>
                <c:formatCode>_("$"* #,##0_);_("$"* \(#,##0\);_("$"* "-"??_);_(@_)</c:formatCode>
                <c:ptCount val="4"/>
                <c:pt idx="0">
                  <c:v>66381.12000000001</c:v>
                </c:pt>
                <c:pt idx="1">
                  <c:v>96163.994795095859</c:v>
                </c:pt>
                <c:pt idx="2">
                  <c:v>42120</c:v>
                </c:pt>
                <c:pt idx="3">
                  <c:v>260920.78675556381</c:v>
                </c:pt>
              </c:numCache>
            </c:numRef>
          </c:val>
          <c:extLst>
            <c:ext xmlns:c16="http://schemas.microsoft.com/office/drawing/2014/chart" uri="{C3380CC4-5D6E-409C-BE32-E72D297353CC}">
              <c16:uniqueId val="{00000008-39A0-4DCD-BF6B-E0980DA728CF}"/>
            </c:ext>
          </c:extLst>
        </c:ser>
        <c:dLbls>
          <c:showLegendKey val="0"/>
          <c:showVal val="0"/>
          <c:showCatName val="0"/>
          <c:showSerName val="0"/>
          <c:showPercent val="0"/>
          <c:showBubbleSize val="0"/>
          <c:showLeaderLines val="1"/>
        </c:dLbls>
        <c:firstSliceAng val="0"/>
        <c:holeSize val="35"/>
        <c:extLst/>
      </c:doughnutChart>
      <c:spPr>
        <a:noFill/>
        <a:ln>
          <a:noFill/>
        </a:ln>
        <a:effectLst/>
      </c:spPr>
    </c:plotArea>
    <c:legend>
      <c:legendPos val="b"/>
      <c:layout>
        <c:manualLayout>
          <c:xMode val="edge"/>
          <c:yMode val="edge"/>
          <c:x val="3.6095762178868507E-2"/>
          <c:y val="0.31667663481084668"/>
          <c:w val="0.3659819975938865"/>
          <c:h val="0.4885363028877967"/>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'Scenario Manager'!$O$20</c:f>
          <c:strCache>
            <c:ptCount val="1"/>
            <c:pt idx="0">
              <c:v>Comparison: Total annual operating cost</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11532505583596"/>
          <c:y val="0.16562384737555874"/>
          <c:w val="0.58831300958981614"/>
          <c:h val="0.62914129667958407"/>
        </c:manualLayout>
      </c:layout>
      <c:barChart>
        <c:barDir val="col"/>
        <c:grouping val="stacked"/>
        <c:varyColors val="0"/>
        <c:ser>
          <c:idx val="0"/>
          <c:order val="0"/>
          <c:tx>
            <c:strRef>
              <c:f>'Scenario Manager'!$B$70</c:f>
              <c:strCache>
                <c:ptCount val="1"/>
                <c:pt idx="0">
                  <c:v>Total warehousing &amp; commodity storage costs</c:v>
                </c:pt>
              </c:strCache>
            </c:strRef>
          </c:tx>
          <c:spPr>
            <a:solidFill>
              <a:schemeClr val="accent1"/>
            </a:solidFill>
            <a:ln>
              <a:noFill/>
            </a:ln>
            <a:effectLst/>
          </c:spPr>
          <c:invertIfNegative val="0"/>
          <c:cat>
            <c:strRef>
              <c:f>'Scenario Manager'!$E$18:$J$18</c:f>
              <c:strCache>
                <c:ptCount val="4"/>
                <c:pt idx="0">
                  <c:v>Baseline</c:v>
                </c:pt>
                <c:pt idx="1">
                  <c:v>Baseline + High Demand</c:v>
                </c:pt>
                <c:pt idx="2">
                  <c:v>Monthly Ordering + High Demand</c:v>
                </c:pt>
                <c:pt idx="3">
                  <c:v>More Storage + High Demand</c:v>
                </c:pt>
              </c:strCache>
            </c:strRef>
          </c:cat>
          <c:val>
            <c:numRef>
              <c:f>'Scenario Manager'!$E$70:$J$70</c:f>
              <c:numCache>
                <c:formatCode>_("$"\ #,##0_);_("$"\ \(#,##0\);_("$"\ "-"??_);_(@_)</c:formatCode>
                <c:ptCount val="6"/>
                <c:pt idx="0">
                  <c:v>882570.39741899888</c:v>
                </c:pt>
                <c:pt idx="1">
                  <c:v>882570.39741899888</c:v>
                </c:pt>
                <c:pt idx="2">
                  <c:v>980904.49355169514</c:v>
                </c:pt>
                <c:pt idx="3">
                  <c:v>1381269.5617574465</c:v>
                </c:pt>
                <c:pt idx="4">
                  <c:v>0</c:v>
                </c:pt>
                <c:pt idx="5">
                  <c:v>0</c:v>
                </c:pt>
              </c:numCache>
            </c:numRef>
          </c:val>
          <c:extLst>
            <c:ext xmlns:c16="http://schemas.microsoft.com/office/drawing/2014/chart" uri="{C3380CC4-5D6E-409C-BE32-E72D297353CC}">
              <c16:uniqueId val="{00000000-646C-4870-9D4D-AB1B07A9360E}"/>
            </c:ext>
          </c:extLst>
        </c:ser>
        <c:ser>
          <c:idx val="1"/>
          <c:order val="1"/>
          <c:tx>
            <c:strRef>
              <c:f>'Scenario Manager'!$B$71</c:f>
              <c:strCache>
                <c:ptCount val="1"/>
                <c:pt idx="0">
                  <c:v>Total transportation costs - Delivery, Ordering, &amp; Other Travel</c:v>
                </c:pt>
              </c:strCache>
            </c:strRef>
          </c:tx>
          <c:spPr>
            <a:solidFill>
              <a:schemeClr val="accent2">
                <a:lumMod val="40000"/>
                <a:lumOff val="60000"/>
              </a:schemeClr>
            </a:solidFill>
            <a:ln>
              <a:noFill/>
            </a:ln>
            <a:effectLst/>
          </c:spPr>
          <c:invertIfNegative val="0"/>
          <c:cat>
            <c:strRef>
              <c:f>'Scenario Manager'!$E$18:$J$18</c:f>
              <c:strCache>
                <c:ptCount val="4"/>
                <c:pt idx="0">
                  <c:v>Baseline</c:v>
                </c:pt>
                <c:pt idx="1">
                  <c:v>Baseline + High Demand</c:v>
                </c:pt>
                <c:pt idx="2">
                  <c:v>Monthly Ordering + High Demand</c:v>
                </c:pt>
                <c:pt idx="3">
                  <c:v>More Storage + High Demand</c:v>
                </c:pt>
              </c:strCache>
            </c:strRef>
          </c:cat>
          <c:val>
            <c:numRef>
              <c:f>'Scenario Manager'!$E$71:$J$71</c:f>
              <c:numCache>
                <c:formatCode>_("$"\ #,##0_);_("$"\ \(#,##0\);_("$"\ "-"??_);_(@_)</c:formatCode>
                <c:ptCount val="6"/>
                <c:pt idx="0">
                  <c:v>415299.2924570163</c:v>
                </c:pt>
                <c:pt idx="1">
                  <c:v>471191.02855929779</c:v>
                </c:pt>
                <c:pt idx="2">
                  <c:v>864436.34174866916</c:v>
                </c:pt>
                <c:pt idx="3">
                  <c:v>465585.90155065962</c:v>
                </c:pt>
                <c:pt idx="4">
                  <c:v>0</c:v>
                </c:pt>
                <c:pt idx="5">
                  <c:v>0</c:v>
                </c:pt>
              </c:numCache>
            </c:numRef>
          </c:val>
          <c:extLst>
            <c:ext xmlns:c16="http://schemas.microsoft.com/office/drawing/2014/chart" uri="{C3380CC4-5D6E-409C-BE32-E72D297353CC}">
              <c16:uniqueId val="{00000001-646C-4870-9D4D-AB1B07A9360E}"/>
            </c:ext>
          </c:extLst>
        </c:ser>
        <c:ser>
          <c:idx val="3"/>
          <c:order val="2"/>
          <c:tx>
            <c:strRef>
              <c:f>'Scenario Manager'!$B$72</c:f>
              <c:strCache>
                <c:ptCount val="1"/>
                <c:pt idx="0">
                  <c:v>Total system management &amp; supervision costs</c:v>
                </c:pt>
              </c:strCache>
            </c:strRef>
          </c:tx>
          <c:spPr>
            <a:solidFill>
              <a:schemeClr val="accent6">
                <a:lumMod val="60000"/>
                <a:lumOff val="40000"/>
              </a:schemeClr>
            </a:solidFill>
            <a:ln>
              <a:noFill/>
            </a:ln>
            <a:effectLst/>
          </c:spPr>
          <c:invertIfNegative val="0"/>
          <c:cat>
            <c:strRef>
              <c:f>'Scenario Manager'!$E$18:$J$18</c:f>
              <c:strCache>
                <c:ptCount val="4"/>
                <c:pt idx="0">
                  <c:v>Baseline</c:v>
                </c:pt>
                <c:pt idx="1">
                  <c:v>Baseline + High Demand</c:v>
                </c:pt>
                <c:pt idx="2">
                  <c:v>Monthly Ordering + High Demand</c:v>
                </c:pt>
                <c:pt idx="3">
                  <c:v>More Storage + High Demand</c:v>
                </c:pt>
              </c:strCache>
            </c:strRef>
          </c:cat>
          <c:val>
            <c:numRef>
              <c:f>'Scenario Manager'!$E$72:$J$72</c:f>
              <c:numCache>
                <c:formatCode>_("$"\ #,##0_);_("$"\ \(#,##0\);_("$"\ "-"??_);_(@_)</c:formatCode>
                <c:ptCount val="6"/>
                <c:pt idx="0">
                  <c:v>132074.68350107403</c:v>
                </c:pt>
                <c:pt idx="1">
                  <c:v>132074.68350107403</c:v>
                </c:pt>
                <c:pt idx="2">
                  <c:v>132074.68350107403</c:v>
                </c:pt>
                <c:pt idx="3">
                  <c:v>132074.68350107403</c:v>
                </c:pt>
                <c:pt idx="4">
                  <c:v>0</c:v>
                </c:pt>
                <c:pt idx="5">
                  <c:v>0</c:v>
                </c:pt>
              </c:numCache>
            </c:numRef>
          </c:val>
          <c:extLst>
            <c:ext xmlns:c16="http://schemas.microsoft.com/office/drawing/2014/chart" uri="{C3380CC4-5D6E-409C-BE32-E72D297353CC}">
              <c16:uniqueId val="{00000002-646C-4870-9D4D-AB1B07A9360E}"/>
            </c:ext>
          </c:extLst>
        </c:ser>
        <c:dLbls>
          <c:showLegendKey val="0"/>
          <c:showVal val="0"/>
          <c:showCatName val="0"/>
          <c:showSerName val="0"/>
          <c:showPercent val="0"/>
          <c:showBubbleSize val="0"/>
        </c:dLbls>
        <c:gapWidth val="48"/>
        <c:overlap val="100"/>
        <c:axId val="737323480"/>
        <c:axId val="737318232"/>
      </c:barChart>
      <c:catAx>
        <c:axId val="737323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37318232"/>
        <c:crosses val="autoZero"/>
        <c:auto val="1"/>
        <c:lblAlgn val="ctr"/>
        <c:lblOffset val="100"/>
        <c:noMultiLvlLbl val="0"/>
      </c:catAx>
      <c:valAx>
        <c:axId val="737318232"/>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37323480"/>
        <c:crosses val="autoZero"/>
        <c:crossBetween val="between"/>
      </c:valAx>
      <c:spPr>
        <a:noFill/>
        <a:ln>
          <a:noFill/>
        </a:ln>
        <a:effectLst/>
      </c:spPr>
    </c:plotArea>
    <c:legend>
      <c:legendPos val="r"/>
      <c:layout>
        <c:manualLayout>
          <c:xMode val="edge"/>
          <c:yMode val="edge"/>
          <c:x val="0.72773933346840058"/>
          <c:y val="0.20659600928674676"/>
          <c:w val="0.26120382036774842"/>
          <c:h val="0.68098449642112846"/>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Utilization of Cold Chain Storage</a:t>
            </a:r>
            <a:r>
              <a:rPr lang="en-US" b="1" baseline="0"/>
              <a:t> Capacity</a:t>
            </a:r>
          </a:p>
        </c:rich>
      </c:tx>
      <c:layout>
        <c:manualLayout>
          <c:xMode val="edge"/>
          <c:yMode val="edge"/>
          <c:x val="0.31980431681870836"/>
          <c:y val="1.172413389884072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867737648218774"/>
          <c:y val="0.1488503388011089"/>
          <c:w val="0.7096982687665806"/>
          <c:h val="0.5574976451723187"/>
        </c:manualLayout>
      </c:layout>
      <c:areaChart>
        <c:grouping val="stacked"/>
        <c:varyColors val="0"/>
        <c:ser>
          <c:idx val="2"/>
          <c:order val="0"/>
          <c:tx>
            <c:v>Lower Bound</c:v>
          </c:tx>
          <c:spPr>
            <a:noFill/>
            <a:ln>
              <a:noFill/>
            </a:ln>
            <a:effectLst/>
          </c:spPr>
          <c:cat>
            <c:strRef>
              <c:f>'Scenario Manager'!$D$18:$J$18</c:f>
              <c:strCache>
                <c:ptCount val="5"/>
                <c:pt idx="1">
                  <c:v>Baseline</c:v>
                </c:pt>
                <c:pt idx="2">
                  <c:v>Baseline + High Demand</c:v>
                </c:pt>
                <c:pt idx="3">
                  <c:v>Monthly Ordering + High Demand</c:v>
                </c:pt>
                <c:pt idx="4">
                  <c:v>More Storage + High Demand</c:v>
                </c:pt>
              </c:strCache>
            </c:strRef>
          </c:cat>
          <c:val>
            <c:numRef>
              <c:f>'Scenario Manager'!$N$83:$T$83</c:f>
              <c:numCache>
                <c:formatCode>0%</c:formatCode>
                <c:ptCount val="7"/>
                <c:pt idx="0">
                  <c:v>0.5</c:v>
                </c:pt>
                <c:pt idx="1">
                  <c:v>0.5</c:v>
                </c:pt>
                <c:pt idx="2">
                  <c:v>0.5</c:v>
                </c:pt>
                <c:pt idx="3">
                  <c:v>0.5</c:v>
                </c:pt>
                <c:pt idx="4">
                  <c:v>0.5</c:v>
                </c:pt>
                <c:pt idx="5">
                  <c:v>0.5</c:v>
                </c:pt>
                <c:pt idx="6">
                  <c:v>0.5</c:v>
                </c:pt>
              </c:numCache>
            </c:numRef>
          </c:val>
          <c:extLst>
            <c:ext xmlns:c16="http://schemas.microsoft.com/office/drawing/2014/chart" uri="{C3380CC4-5D6E-409C-BE32-E72D297353CC}">
              <c16:uniqueId val="{00000000-9A66-49D2-B389-778FCFF98014}"/>
            </c:ext>
          </c:extLst>
        </c:ser>
        <c:ser>
          <c:idx val="3"/>
          <c:order val="1"/>
          <c:tx>
            <c:v>Upper bound</c:v>
          </c:tx>
          <c:spPr>
            <a:solidFill>
              <a:schemeClr val="accent6">
                <a:lumMod val="60000"/>
                <a:lumOff val="40000"/>
                <a:alpha val="47000"/>
              </a:schemeClr>
            </a:solidFill>
            <a:ln>
              <a:noFill/>
            </a:ln>
            <a:effectLst/>
          </c:spPr>
          <c:cat>
            <c:strRef>
              <c:f>'Scenario Manager'!$D$18:$J$18</c:f>
              <c:strCache>
                <c:ptCount val="5"/>
                <c:pt idx="1">
                  <c:v>Baseline</c:v>
                </c:pt>
                <c:pt idx="2">
                  <c:v>Baseline + High Demand</c:v>
                </c:pt>
                <c:pt idx="3">
                  <c:v>Monthly Ordering + High Demand</c:v>
                </c:pt>
                <c:pt idx="4">
                  <c:v>More Storage + High Demand</c:v>
                </c:pt>
              </c:strCache>
            </c:strRef>
          </c:cat>
          <c:val>
            <c:numRef>
              <c:f>'Scenario Manager'!$N$82:$T$82</c:f>
              <c:numCache>
                <c:formatCode>0%</c:formatCode>
                <c:ptCount val="7"/>
                <c:pt idx="0">
                  <c:v>0.4</c:v>
                </c:pt>
                <c:pt idx="1">
                  <c:v>0.4</c:v>
                </c:pt>
                <c:pt idx="2">
                  <c:v>0.4</c:v>
                </c:pt>
                <c:pt idx="3">
                  <c:v>0.4</c:v>
                </c:pt>
                <c:pt idx="4">
                  <c:v>0.4</c:v>
                </c:pt>
                <c:pt idx="5">
                  <c:v>0.4</c:v>
                </c:pt>
                <c:pt idx="6">
                  <c:v>0.4</c:v>
                </c:pt>
              </c:numCache>
            </c:numRef>
          </c:val>
          <c:extLst>
            <c:ext xmlns:c16="http://schemas.microsoft.com/office/drawing/2014/chart" uri="{C3380CC4-5D6E-409C-BE32-E72D297353CC}">
              <c16:uniqueId val="{00000001-9A66-49D2-B389-778FCFF98014}"/>
            </c:ext>
          </c:extLst>
        </c:ser>
        <c:dLbls>
          <c:showLegendKey val="0"/>
          <c:showVal val="0"/>
          <c:showCatName val="0"/>
          <c:showSerName val="0"/>
          <c:showPercent val="0"/>
          <c:showBubbleSize val="0"/>
        </c:dLbls>
        <c:axId val="605980712"/>
        <c:axId val="605977104"/>
      </c:areaChart>
      <c:barChart>
        <c:barDir val="col"/>
        <c:grouping val="clustered"/>
        <c:varyColors val="0"/>
        <c:ser>
          <c:idx val="0"/>
          <c:order val="2"/>
          <c:tx>
            <c:v>Tier 1</c:v>
          </c:tx>
          <c:spPr>
            <a:solidFill>
              <a:schemeClr val="accent1"/>
            </a:solidFill>
            <a:ln w="25400">
              <a:noFill/>
            </a:ln>
            <a:effectLst/>
          </c:spPr>
          <c:invertIfNegative val="0"/>
          <c:dLbls>
            <c:dLbl>
              <c:idx val="1"/>
              <c:layout>
                <c:manualLayout>
                  <c:x val="-7.5959788562638937E-3"/>
                  <c:y val="5.711530301039449E-2"/>
                </c:manualLayout>
              </c:layout>
              <c:tx>
                <c:rich>
                  <a:bodyPr/>
                  <a:lstStyle/>
                  <a:p>
                    <a:fld id="{E3427777-15DE-4011-B9EC-BAB2D65A50C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{E3427777-15DE-4011-B9EC-BAB2D65A50C7}</c15:txfldGUID>
                      <c15:f>'Scenario Manager'!$O$90</c15:f>
                      <c15:dlblFieldTableCache>
                        <c:ptCount val="1"/>
                      </c15:dlblFieldTableCache>
                    </c15:dlblFTEntry>
                  </c15:dlblFieldTable>
                  <c15:showDataLabelsRange val="0"/>
                </c:ext>
                <c:ext xmlns:c16="http://schemas.microsoft.com/office/drawing/2014/chart" uri="{C3380CC4-5D6E-409C-BE32-E72D297353CC}">
                  <c16:uniqueId val="{00000002-9A66-49D2-B389-778FCFF98014}"/>
                </c:ext>
              </c:extLst>
            </c:dLbl>
            <c:dLbl>
              <c:idx val="2"/>
              <c:layout>
                <c:manualLayout>
                  <c:x val="-1.8989947140659734E-3"/>
                  <c:y val="6.1023347643341386E-2"/>
                </c:manualLayout>
              </c:layout>
              <c:tx>
                <c:rich>
                  <a:bodyPr/>
                  <a:lstStyle/>
                  <a:p>
                    <a:fld id="{A7F1405E-CC44-41DC-A3A0-97AE254E953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{A7F1405E-CC44-41DC-A3A0-97AE254E953E}</c15:txfldGUID>
                      <c15:f>'Scenario Manager'!$P$90</c15:f>
                      <c15:dlblFieldTableCache>
                        <c:ptCount val="1"/>
                      </c15:dlblFieldTableCache>
                    </c15:dlblFTEntry>
                  </c15:dlblFieldTable>
                  <c15:showDataLabelsRange val="0"/>
                </c:ext>
                <c:ext xmlns:c16="http://schemas.microsoft.com/office/drawing/2014/chart" uri="{C3380CC4-5D6E-409C-BE32-E72D297353CC}">
                  <c16:uniqueId val="{00000003-9A66-49D2-B389-778FCFF98014}"/>
                </c:ext>
              </c:extLst>
            </c:dLbl>
            <c:dLbl>
              <c:idx val="3"/>
              <c:layout>
                <c:manualLayout>
                  <c:x val="-1.8989947140659734E-3"/>
                  <c:y val="6.8839436909235108E-2"/>
                </c:manualLayout>
              </c:layout>
              <c:tx>
                <c:rich>
                  <a:bodyPr/>
                  <a:lstStyle/>
                  <a:p>
                    <a:fld id="{6A388893-8AC8-49CA-A030-CE0F076A1BA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{6A388893-8AC8-49CA-A030-CE0F076A1BA5}</c15:txfldGUID>
                      <c15:f>'Scenario Manager'!$Q$90</c15:f>
                      <c15:dlblFieldTableCache>
                        <c:ptCount val="1"/>
                      </c15:dlblFieldTableCache>
                    </c15:dlblFTEntry>
                  </c15:dlblFieldTable>
                  <c15:showDataLabelsRange val="0"/>
                </c:ext>
                <c:ext xmlns:c16="http://schemas.microsoft.com/office/drawing/2014/chart" uri="{C3380CC4-5D6E-409C-BE32-E72D297353CC}">
                  <c16:uniqueId val="{00000004-9A66-49D2-B389-778FCFF98014}"/>
                </c:ext>
              </c:extLst>
            </c:dLbl>
            <c:dLbl>
              <c:idx val="4"/>
              <c:layout>
                <c:manualLayout>
                  <c:x val="-3.7979894281320167E-3"/>
                  <c:y val="6.8839436909235108E-2"/>
                </c:manualLayout>
              </c:layout>
              <c:tx>
                <c:rich>
                  <a:bodyPr/>
                  <a:lstStyle/>
                  <a:p>
                    <a:fld id="{0035453A-C403-452A-B07A-7A47A3A5EF84}"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{0035453A-C403-452A-B07A-7A47A3A5EF84}</c15:txfldGUID>
                      <c15:f>'Scenario Manager'!$R$90</c15:f>
                      <c15:dlblFieldTableCache>
                        <c:ptCount val="1"/>
                      </c15:dlblFieldTableCache>
                    </c15:dlblFTEntry>
                  </c15:dlblFieldTable>
                  <c15:showDataLabelsRange val="0"/>
                </c:ext>
                <c:ext xmlns:c16="http://schemas.microsoft.com/office/drawing/2014/chart" uri="{C3380CC4-5D6E-409C-BE32-E72D297353CC}">
                  <c16:uniqueId val="{00000005-9A66-49D2-B389-778FCFF98014}"/>
                </c:ext>
              </c:extLst>
            </c:dLbl>
            <c:dLbl>
              <c:idx val="5"/>
              <c:layout>
                <c:manualLayout>
                  <c:x val="1.8989947140659734E-3"/>
                  <c:y val="6.4931392276288219E-2"/>
                </c:manualLayout>
              </c:layout>
              <c:tx>
                <c:rich>
                  <a:bodyPr/>
                  <a:lstStyle/>
                  <a:p>
                    <a:fld id="{3DCA1F2C-E406-4E68-A86C-A69CD3958C3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{3DCA1F2C-E406-4E68-A86C-A69CD3958C3D}</c15:txfldGUID>
                      <c15:f>'Scenario Manager'!$S$90</c15:f>
                      <c15:dlblFieldTableCache>
                        <c:ptCount val="1"/>
                      </c15:dlblFieldTableCache>
                    </c15:dlblFTEntry>
                  </c15:dlblFieldTable>
                  <c15:showDataLabelsRange val="0"/>
                </c:ext>
                <c:ext xmlns:c16="http://schemas.microsoft.com/office/drawing/2014/chart" uri="{C3380CC4-5D6E-409C-BE32-E72D297353CC}">
                  <c16:uniqueId val="{00000006-9A66-49D2-B389-778FCFF98014}"/>
                </c:ext>
              </c:extLst>
            </c:dLbl>
            <c:dLbl>
              <c:idx val="6"/>
              <c:layout>
                <c:manualLayout>
                  <c:x val="-1.8989947140661126E-3"/>
                  <c:y val="6.8839436909235108E-2"/>
                </c:manualLayout>
              </c:layout>
              <c:tx>
                <c:rich>
                  <a:bodyPr/>
                  <a:lstStyle/>
                  <a:p>
                    <a:fld id="{4EDD9582-0069-443C-9510-69B5450DC9CA}"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{4EDD9582-0069-443C-9510-69B5450DC9CA}</c15:txfldGUID>
                      <c15:f>'Scenario Manager'!$T$90</c15:f>
                      <c15:dlblFieldTableCache>
                        <c:ptCount val="1"/>
                      </c15:dlblFieldTableCache>
                    </c15:dlblFTEntry>
                  </c15:dlblFieldTable>
                  <c15:showDataLabelsRange val="0"/>
                </c:ext>
                <c:ext xmlns:c16="http://schemas.microsoft.com/office/drawing/2014/chart" uri="{C3380CC4-5D6E-409C-BE32-E72D297353CC}">
                  <c16:uniqueId val="{00000007-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Manager'!$N$84:$T$84</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08-9A66-49D2-B389-778FCFF98014}"/>
            </c:ext>
          </c:extLst>
        </c:ser>
        <c:ser>
          <c:idx val="1"/>
          <c:order val="3"/>
          <c:tx>
            <c:v>Tier 2</c:v>
          </c:tx>
          <c:spPr>
            <a:solidFill>
              <a:schemeClr val="accent2"/>
            </a:solidFill>
            <a:ln w="25400">
              <a:noFill/>
            </a:ln>
            <a:effectLst/>
          </c:spPr>
          <c:invertIfNegative val="0"/>
          <c:dLbls>
            <c:dLbl>
              <c:idx val="1"/>
              <c:layout>
                <c:manualLayout>
                  <c:x val="2.3737433925824667E-3"/>
                  <c:y val="0.18968479312134906"/>
                </c:manualLayout>
              </c:layout>
              <c:tx>
                <c:rich>
                  <a:bodyPr/>
                  <a:lstStyle/>
                  <a:p>
                    <a:fld id="{7347B7FA-DBE0-4F4E-8A59-2B13828D769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{7347B7FA-DBE0-4F4E-8A59-2B13828D769B}</c15:txfldGUID>
                      <c15:f>'Scenario Manager'!$O$91</c15:f>
                      <c15:dlblFieldTableCache>
                        <c:ptCount val="1"/>
                      </c15:dlblFieldTableCache>
                    </c15:dlblFTEntry>
                  </c15:dlblFieldTable>
                  <c15:showDataLabelsRange val="0"/>
                </c:ext>
                <c:ext xmlns:c16="http://schemas.microsoft.com/office/drawing/2014/chart" uri="{C3380CC4-5D6E-409C-BE32-E72D297353CC}">
                  <c16:uniqueId val="{00000009-9A66-49D2-B389-778FCFF98014}"/>
                </c:ext>
              </c:extLst>
            </c:dLbl>
            <c:dLbl>
              <c:idx val="2"/>
              <c:layout>
                <c:manualLayout>
                  <c:x val="6.1717328207144141E-3"/>
                  <c:y val="0.18968479312134903"/>
                </c:manualLayout>
              </c:layout>
              <c:tx>
                <c:rich>
                  <a:bodyPr/>
                  <a:lstStyle/>
                  <a:p>
                    <a:fld id="{D74D2FB9-72BB-477E-A95C-BB52CC2E0DA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{D74D2FB9-72BB-477E-A95C-BB52CC2E0DA5}</c15:txfldGUID>
                      <c15:f>'Scenario Manager'!$P$91</c15:f>
                      <c15:dlblFieldTableCache>
                        <c:ptCount val="1"/>
                      </c15:dlblFieldTableCache>
                    </c15:dlblFTEntry>
                  </c15:dlblFieldTable>
                  <c15:showDataLabelsRange val="0"/>
                </c:ext>
                <c:ext xmlns:c16="http://schemas.microsoft.com/office/drawing/2014/chart" uri="{C3380CC4-5D6E-409C-BE32-E72D297353CC}">
                  <c16:uniqueId val="{0000000A-9A66-49D2-B389-778FCFF98014}"/>
                </c:ext>
              </c:extLst>
            </c:dLbl>
            <c:dLbl>
              <c:idx val="3"/>
              <c:layout>
                <c:manualLayout>
                  <c:x val="4.27273810664844E-3"/>
                  <c:y val="0.18968479312134906"/>
                </c:manualLayout>
              </c:layout>
              <c:tx>
                <c:rich>
                  <a:bodyPr/>
                  <a:lstStyle/>
                  <a:p>
                    <a:fld id="{E82D5D85-B1EE-469D-9321-E1A6E50B380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{E82D5D85-B1EE-469D-9321-E1A6E50B3802}</c15:txfldGUID>
                      <c15:f>'Scenario Manager'!$Q$91</c15:f>
                      <c15:dlblFieldTableCache>
                        <c:ptCount val="1"/>
                      </c15:dlblFieldTableCache>
                    </c15:dlblFTEntry>
                  </c15:dlblFieldTable>
                  <c15:showDataLabelsRange val="0"/>
                </c:ext>
                <c:ext xmlns:c16="http://schemas.microsoft.com/office/drawing/2014/chart" uri="{C3380CC4-5D6E-409C-BE32-E72D297353CC}">
                  <c16:uniqueId val="{0000000B-9A66-49D2-B389-778FCFF98014}"/>
                </c:ext>
              </c:extLst>
            </c:dLbl>
            <c:dLbl>
              <c:idx val="4"/>
              <c:layout>
                <c:manualLayout>
                  <c:x val="6.1717328207143438E-3"/>
                  <c:y val="0.18968479312134903"/>
                </c:manualLayout>
              </c:layout>
              <c:tx>
                <c:rich>
                  <a:bodyPr/>
                  <a:lstStyle/>
                  <a:p>
                    <a:fld id="{35CDAEDB-0BA0-4FD2-8F81-9CDE63C6577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{35CDAEDB-0BA0-4FD2-8F81-9CDE63C65771}</c15:txfldGUID>
                      <c15:f>'Scenario Manager'!$R$91</c15:f>
                      <c15:dlblFieldTableCache>
                        <c:ptCount val="1"/>
                      </c15:dlblFieldTableCache>
                    </c15:dlblFTEntry>
                  </c15:dlblFieldTable>
                  <c15:showDataLabelsRange val="0"/>
                </c:ext>
                <c:ext xmlns:c16="http://schemas.microsoft.com/office/drawing/2014/chart" uri="{C3380CC4-5D6E-409C-BE32-E72D297353CC}">
                  <c16:uniqueId val="{0000000C-9A66-49D2-B389-778FCFF98014}"/>
                </c:ext>
              </c:extLst>
            </c:dLbl>
            <c:dLbl>
              <c:idx val="5"/>
              <c:layout>
                <c:manualLayout>
                  <c:x val="6.1717328207144834E-3"/>
                  <c:y val="0.19359283775429592"/>
                </c:manualLayout>
              </c:layout>
              <c:tx>
                <c:rich>
                  <a:bodyPr/>
                  <a:lstStyle/>
                  <a:p>
                    <a:fld id="{F399B6DA-C7EB-47CF-B1EC-BB672CE8700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{F399B6DA-C7EB-47CF-B1EC-BB672CE8700B}</c15:txfldGUID>
                      <c15:f>'Scenario Manager'!$S$91</c15:f>
                      <c15:dlblFieldTableCache>
                        <c:ptCount val="1"/>
                      </c15:dlblFieldTableCache>
                    </c15:dlblFTEntry>
                  </c15:dlblFieldTable>
                  <c15:showDataLabelsRange val="0"/>
                </c:ext>
                <c:ext xmlns:c16="http://schemas.microsoft.com/office/drawing/2014/chart" uri="{C3380CC4-5D6E-409C-BE32-E72D297353CC}">
                  <c16:uniqueId val="{0000000D-9A66-49D2-B389-778FCFF98014}"/>
                </c:ext>
              </c:extLst>
            </c:dLbl>
            <c:dLbl>
              <c:idx val="6"/>
              <c:layout>
                <c:manualLayout>
                  <c:x val="6.1717328207144141E-3"/>
                  <c:y val="0.18968479312134903"/>
                </c:manualLayout>
              </c:layout>
              <c:tx>
                <c:rich>
                  <a:bodyPr/>
                  <a:lstStyle/>
                  <a:p>
                    <a:fld id="{B11CD6D9-282E-4AF9-8A16-D974154C815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{B11CD6D9-282E-4AF9-8A16-D974154C8151}</c15:txfldGUID>
                      <c15:f>'Scenario Manager'!$T$91</c15:f>
                      <c15:dlblFieldTableCache>
                        <c:ptCount val="1"/>
                      </c15:dlblFieldTableCache>
                    </c15:dlblFTEntry>
                  </c15:dlblFieldTable>
                  <c15:showDataLabelsRange val="0"/>
                </c:ext>
                <c:ext xmlns:c16="http://schemas.microsoft.com/office/drawing/2014/chart" uri="{C3380CC4-5D6E-409C-BE32-E72D297353CC}">
                  <c16:uniqueId val="{0000000E-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Manager'!$N$85:$T$85</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0F-9A66-49D2-B389-778FCFF98014}"/>
            </c:ext>
          </c:extLst>
        </c:ser>
        <c:ser>
          <c:idx val="4"/>
          <c:order val="4"/>
          <c:tx>
            <c:v>Tier 3</c:v>
          </c:tx>
          <c:spPr>
            <a:solidFill>
              <a:schemeClr val="accent5"/>
            </a:solidFill>
            <a:ln>
              <a:noFill/>
            </a:ln>
            <a:effectLst/>
          </c:spPr>
          <c:invertIfNegative val="0"/>
          <c:dLbls>
            <c:dLbl>
              <c:idx val="1"/>
              <c:layout>
                <c:manualLayout>
                  <c:x val="5.6969841421978858E-3"/>
                  <c:y val="0.247686329875278"/>
                </c:manualLayout>
              </c:layout>
              <c:tx>
                <c:rich>
                  <a:bodyPr/>
                  <a:lstStyle/>
                  <a:p>
                    <a:fld id="{BAC8474A-5BB2-4B57-AC3A-E2239FD3700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{BAC8474A-5BB2-4B57-AC3A-E2239FD3700B}</c15:txfldGUID>
                      <c15:f>'Scenario Manager'!$O$92</c15:f>
                      <c15:dlblFieldTableCache>
                        <c:ptCount val="1"/>
                      </c15:dlblFieldTableCache>
                    </c15:dlblFTEntry>
                  </c15:dlblFieldTable>
                  <c15:showDataLabelsRange val="0"/>
                </c:ext>
                <c:ext xmlns:c16="http://schemas.microsoft.com/office/drawing/2014/chart" uri="{C3380CC4-5D6E-409C-BE32-E72D297353CC}">
                  <c16:uniqueId val="{00000010-9A66-49D2-B389-778FCFF98014}"/>
                </c:ext>
              </c:extLst>
            </c:dLbl>
            <c:dLbl>
              <c:idx val="2"/>
              <c:layout>
                <c:manualLayout>
                  <c:x val="1.8989947140659038E-3"/>
                  <c:y val="0.24377828524233108"/>
                </c:manualLayout>
              </c:layout>
              <c:tx>
                <c:rich>
                  <a:bodyPr/>
                  <a:lstStyle/>
                  <a:p>
                    <a:fld id="{7408A75C-5798-4868-8820-95E7C0B3B3AF}"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{7408A75C-5798-4868-8820-95E7C0B3B3AF}</c15:txfldGUID>
                      <c15:f>'Scenario Manager'!$P$92</c15:f>
                      <c15:dlblFieldTableCache>
                        <c:ptCount val="1"/>
                      </c15:dlblFieldTableCache>
                    </c15:dlblFTEntry>
                  </c15:dlblFieldTable>
                  <c15:showDataLabelsRange val="0"/>
                </c:ext>
                <c:ext xmlns:c16="http://schemas.microsoft.com/office/drawing/2014/chart" uri="{C3380CC4-5D6E-409C-BE32-E72D297353CC}">
                  <c16:uniqueId val="{00000011-9A66-49D2-B389-778FCFF98014}"/>
                </c:ext>
              </c:extLst>
            </c:dLbl>
            <c:dLbl>
              <c:idx val="3"/>
              <c:layout>
                <c:manualLayout>
                  <c:x val="2.3737433925824667E-3"/>
                  <c:y val="0.24048937334965886"/>
                </c:manualLayout>
              </c:layout>
              <c:tx>
                <c:rich>
                  <a:bodyPr/>
                  <a:lstStyle/>
                  <a:p>
                    <a:fld id="{2D1257B5-2499-4BB4-9F5E-C0C055D7B3D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{2D1257B5-2499-4BB4-9F5E-C0C055D7B3D5}</c15:txfldGUID>
                      <c15:f>'Scenario Manager'!$Q$92</c15:f>
                      <c15:dlblFieldTableCache>
                        <c:ptCount val="1"/>
                      </c15:dlblFieldTableCache>
                    </c15:dlblFTEntry>
                  </c15:dlblFieldTable>
                  <c15:showDataLabelsRange val="0"/>
                </c:ext>
                <c:ext xmlns:c16="http://schemas.microsoft.com/office/drawing/2014/chart" uri="{C3380CC4-5D6E-409C-BE32-E72D297353CC}">
                  <c16:uniqueId val="{00000012-9A66-49D2-B389-778FCFF98014}"/>
                </c:ext>
              </c:extLst>
            </c:dLbl>
            <c:dLbl>
              <c:idx val="4"/>
              <c:layout>
                <c:manualLayout>
                  <c:x val="6.1717328207143438E-3"/>
                  <c:y val="0.23658132871671192"/>
                </c:manualLayout>
              </c:layout>
              <c:tx>
                <c:rich>
                  <a:bodyPr/>
                  <a:lstStyle/>
                  <a:p>
                    <a:fld id="{BE4C40B3-2BF6-4DD4-A424-320EE27C95D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{BE4C40B3-2BF6-4DD4-A424-320EE27C95D6}</c15:txfldGUID>
                      <c15:f>'Scenario Manager'!$R$92</c15:f>
                      <c15:dlblFieldTableCache>
                        <c:ptCount val="1"/>
                      </c15:dlblFieldTableCache>
                    </c15:dlblFTEntry>
                  </c15:dlblFieldTable>
                  <c15:showDataLabelsRange val="0"/>
                </c:ext>
                <c:ext xmlns:c16="http://schemas.microsoft.com/office/drawing/2014/chart" uri="{C3380CC4-5D6E-409C-BE32-E72D297353CC}">
                  <c16:uniqueId val="{00000013-9A66-49D2-B389-778FCFF98014}"/>
                </c:ext>
              </c:extLst>
            </c:dLbl>
            <c:dLbl>
              <c:idx val="5"/>
              <c:layout>
                <c:manualLayout>
                  <c:x val="6.1717328207142744E-3"/>
                  <c:y val="0.24048937334965884"/>
                </c:manualLayout>
              </c:layout>
              <c:tx>
                <c:rich>
                  <a:bodyPr/>
                  <a:lstStyle/>
                  <a:p>
                    <a:fld id="{28D6348F-FD06-4B96-9991-75DA346367A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{28D6348F-FD06-4B96-9991-75DA346367A5}</c15:txfldGUID>
                      <c15:f>'Scenario Manager'!$S$92</c15:f>
                      <c15:dlblFieldTableCache>
                        <c:ptCount val="1"/>
                      </c15:dlblFieldTableCache>
                    </c15:dlblFTEntry>
                  </c15:dlblFieldTable>
                  <c15:showDataLabelsRange val="0"/>
                </c:ext>
                <c:ext xmlns:c16="http://schemas.microsoft.com/office/drawing/2014/chart" uri="{C3380CC4-5D6E-409C-BE32-E72D297353CC}">
                  <c16:uniqueId val="{00000014-9A66-49D2-B389-778FCFF98014}"/>
                </c:ext>
              </c:extLst>
            </c:dLbl>
            <c:dLbl>
              <c:idx val="6"/>
              <c:layout>
                <c:manualLayout>
                  <c:x val="8.0707275347803864E-3"/>
                  <c:y val="0.24439741798260575"/>
                </c:manualLayout>
              </c:layout>
              <c:tx>
                <c:rich>
                  <a:bodyPr/>
                  <a:lstStyle/>
                  <a:p>
                    <a:fld id="{A4ED0EAA-C52A-4CD5-A07C-E9B348C8F6E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{A4ED0EAA-C52A-4CD5-A07C-E9B348C8F6E2}</c15:txfldGUID>
                      <c15:f>'Scenario Manager'!$T$92</c15:f>
                      <c15:dlblFieldTableCache>
                        <c:ptCount val="1"/>
                      </c15:dlblFieldTableCache>
                    </c15:dlblFTEntry>
                  </c15:dlblFieldTable>
                  <c15:showDataLabelsRange val="0"/>
                </c:ext>
                <c:ext xmlns:c16="http://schemas.microsoft.com/office/drawing/2014/chart" uri="{C3380CC4-5D6E-409C-BE32-E72D297353CC}">
                  <c16:uniqueId val="{00000015-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Manager'!$N$86:$T$86</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6-9A66-49D2-B389-778FCFF98014}"/>
            </c:ext>
          </c:extLst>
        </c:ser>
        <c:ser>
          <c:idx val="5"/>
          <c:order val="5"/>
          <c:tx>
            <c:v>Tier 4</c:v>
          </c:tx>
          <c:spPr>
            <a:solidFill>
              <a:schemeClr val="accent6"/>
            </a:solidFill>
            <a:ln>
              <a:noFill/>
            </a:ln>
            <a:effectLst/>
          </c:spPr>
          <c:invertIfNegative val="0"/>
          <c:dLbls>
            <c:dLbl>
              <c:idx val="1"/>
              <c:layout>
                <c:manualLayout>
                  <c:x val="3.7979894281319469E-3"/>
                  <c:y val="0.1404237366630284"/>
                </c:manualLayout>
              </c:layout>
              <c:tx>
                <c:rich>
                  <a:bodyPr/>
                  <a:lstStyle/>
                  <a:p>
                    <a:fld id="{F4A80F46-4276-438C-9142-0E758E0E958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{F4A80F46-4276-438C-9142-0E758E0E9587}</c15:txfldGUID>
                      <c15:f>'Scenario Manager'!$O$93</c15:f>
                      <c15:dlblFieldTableCache>
                        <c:ptCount val="1"/>
                      </c15:dlblFieldTableCache>
                    </c15:dlblFTEntry>
                  </c15:dlblFieldTable>
                  <c15:showDataLabelsRange val="0"/>
                </c:ext>
                <c:ext xmlns:c16="http://schemas.microsoft.com/office/drawing/2014/chart" uri="{C3380CC4-5D6E-409C-BE32-E72D297353CC}">
                  <c16:uniqueId val="{00000017-9A66-49D2-B389-778FCFF98014}"/>
                </c:ext>
              </c:extLst>
            </c:dLbl>
            <c:dLbl>
              <c:idx val="2"/>
              <c:layout>
                <c:manualLayout>
                  <c:x val="0"/>
                  <c:y val="0.13651569203008149"/>
                </c:manualLayout>
              </c:layout>
              <c:tx>
                <c:rich>
                  <a:bodyPr/>
                  <a:lstStyle/>
                  <a:p>
                    <a:fld id="{BB399951-2D8C-401A-AA15-5B14567DD17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{BB399951-2D8C-401A-AA15-5B14567DD171}</c15:txfldGUID>
                      <c15:f>'Scenario Manager'!$P$93</c15:f>
                      <c15:dlblFieldTableCache>
                        <c:ptCount val="1"/>
                      </c15:dlblFieldTableCache>
                    </c15:dlblFTEntry>
                  </c15:dlblFieldTable>
                  <c15:showDataLabelsRange val="0"/>
                </c:ext>
                <c:ext xmlns:c16="http://schemas.microsoft.com/office/drawing/2014/chart" uri="{C3380CC4-5D6E-409C-BE32-E72D297353CC}">
                  <c16:uniqueId val="{00000018-9A66-49D2-B389-778FCFF98014}"/>
                </c:ext>
              </c:extLst>
            </c:dLbl>
            <c:dLbl>
              <c:idx val="3"/>
              <c:layout>
                <c:manualLayout>
                  <c:x val="4.27273810664844E-3"/>
                  <c:y val="0.13888021289303928"/>
                </c:manualLayout>
              </c:layout>
              <c:tx>
                <c:rich>
                  <a:bodyPr/>
                  <a:lstStyle/>
                  <a:p>
                    <a:fld id="{BDBC5EA6-4AE1-4484-9755-23860287E0E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{BDBC5EA6-4AE1-4484-9755-23860287E0E2}</c15:txfldGUID>
                      <c15:f>'Scenario Manager'!$Q$93</c15:f>
                      <c15:dlblFieldTableCache>
                        <c:ptCount val="1"/>
                      </c15:dlblFieldTableCache>
                    </c15:dlblFTEntry>
                  </c15:dlblFieldTable>
                  <c15:showDataLabelsRange val="0"/>
                </c:ext>
                <c:ext xmlns:c16="http://schemas.microsoft.com/office/drawing/2014/chart" uri="{C3380CC4-5D6E-409C-BE32-E72D297353CC}">
                  <c16:uniqueId val="{00000019-9A66-49D2-B389-778FCFF98014}"/>
                </c:ext>
              </c:extLst>
            </c:dLbl>
            <c:dLbl>
              <c:idx val="4"/>
              <c:layout>
                <c:manualLayout>
                  <c:x val="6.1717328207143438E-3"/>
                  <c:y val="0.13888021289303928"/>
                </c:manualLayout>
              </c:layout>
              <c:tx>
                <c:rich>
                  <a:bodyPr/>
                  <a:lstStyle/>
                  <a:p>
                    <a:fld id="{199AE07E-81B0-4217-90A8-2EB80902FB5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{199AE07E-81B0-4217-90A8-2EB80902FB57}</c15:txfldGUID>
                      <c15:f>'Scenario Manager'!$R$93</c15:f>
                      <c15:dlblFieldTableCache>
                        <c:ptCount val="1"/>
                      </c15:dlblFieldTableCache>
                    </c15:dlblFTEntry>
                  </c15:dlblFieldTable>
                  <c15:showDataLabelsRange val="0"/>
                </c:ext>
                <c:ext xmlns:c16="http://schemas.microsoft.com/office/drawing/2014/chart" uri="{C3380CC4-5D6E-409C-BE32-E72D297353CC}">
                  <c16:uniqueId val="{0000001A-9A66-49D2-B389-778FCFF98014}"/>
                </c:ext>
              </c:extLst>
            </c:dLbl>
            <c:dLbl>
              <c:idx val="5"/>
              <c:layout>
                <c:manualLayout>
                  <c:x val="8.0707275347803864E-3"/>
                  <c:y val="0.1388802128930392"/>
                </c:manualLayout>
              </c:layout>
              <c:tx>
                <c:rich>
                  <a:bodyPr/>
                  <a:lstStyle/>
                  <a:p>
                    <a:fld id="{73412634-F9EE-4C0F-A96E-CB2828AF5DC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{73412634-F9EE-4C0F-A96E-CB2828AF5DCD}</c15:txfldGUID>
                      <c15:f>'Scenario Manager'!$S$93</c15:f>
                      <c15:dlblFieldTableCache>
                        <c:ptCount val="1"/>
                      </c15:dlblFieldTableCache>
                    </c15:dlblFTEntry>
                  </c15:dlblFieldTable>
                  <c15:showDataLabelsRange val="0"/>
                </c:ext>
                <c:ext xmlns:c16="http://schemas.microsoft.com/office/drawing/2014/chart" uri="{C3380CC4-5D6E-409C-BE32-E72D297353CC}">
                  <c16:uniqueId val="{0000001B-9A66-49D2-B389-778FCFF98014}"/>
                </c:ext>
              </c:extLst>
            </c:dLbl>
            <c:dLbl>
              <c:idx val="6"/>
              <c:layout>
                <c:manualLayout>
                  <c:x val="9.9697222488463605E-3"/>
                  <c:y val="0.14278825752598612"/>
                </c:manualLayout>
              </c:layout>
              <c:tx>
                <c:rich>
                  <a:bodyPr/>
                  <a:lstStyle/>
                  <a:p>
                    <a:fld id="{56638D6E-2AEA-4567-AC07-CC6C7CBC8F1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{56638D6E-2AEA-4567-AC07-CC6C7CBC8F11}</c15:txfldGUID>
                      <c15:f>'Scenario Manager'!$T$93</c15:f>
                      <c15:dlblFieldTableCache>
                        <c:ptCount val="1"/>
                      </c15:dlblFieldTableCache>
                    </c15:dlblFTEntry>
                  </c15:dlblFieldTable>
                  <c15:showDataLabelsRange val="0"/>
                </c:ext>
                <c:ext xmlns:c16="http://schemas.microsoft.com/office/drawing/2014/chart" uri="{C3380CC4-5D6E-409C-BE32-E72D297353CC}">
                  <c16:uniqueId val="{0000001C-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Manager'!$N$87:$T$87</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D-9A66-49D2-B389-778FCFF98014}"/>
            </c:ext>
          </c:extLst>
        </c:ser>
        <c:ser>
          <c:idx val="6"/>
          <c:order val="6"/>
          <c:tx>
            <c:v>Tier 5</c:v>
          </c:tx>
          <c:spPr>
            <a:solidFill>
              <a:schemeClr val="accent1">
                <a:lumMod val="60000"/>
              </a:schemeClr>
            </a:solidFill>
            <a:ln>
              <a:noFill/>
            </a:ln>
            <a:effectLst/>
          </c:spPr>
          <c:invertIfNegative val="0"/>
          <c:dLbls>
            <c:dLbl>
              <c:idx val="1"/>
              <c:layout>
                <c:manualLayout>
                  <c:x val="3.7979894281319469E-3"/>
                  <c:y val="0.19086889987312702"/>
                </c:manualLayout>
              </c:layout>
              <c:tx>
                <c:rich>
                  <a:bodyPr/>
                  <a:lstStyle/>
                  <a:p>
                    <a:fld id="{E1734135-68D0-4C7E-92BF-0512C577169F}"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{E1734135-68D0-4C7E-92BF-0512C577169F}</c15:txfldGUID>
                      <c15:f>'Scenario Manager'!$O$94</c15:f>
                      <c15:dlblFieldTableCache>
                        <c:ptCount val="1"/>
                      </c15:dlblFieldTableCache>
                    </c15:dlblFTEntry>
                  </c15:dlblFieldTable>
                  <c15:showDataLabelsRange val="0"/>
                </c:ext>
                <c:ext xmlns:c16="http://schemas.microsoft.com/office/drawing/2014/chart" uri="{C3380CC4-5D6E-409C-BE32-E72D297353CC}">
                  <c16:uniqueId val="{0000001E-9A66-49D2-B389-778FCFF98014}"/>
                </c:ext>
              </c:extLst>
            </c:dLbl>
            <c:dLbl>
              <c:idx val="2"/>
              <c:layout>
                <c:manualLayout>
                  <c:x val="5.6969841421978511E-3"/>
                  <c:y val="0.19086889987312702"/>
                </c:manualLayout>
              </c:layout>
              <c:tx>
                <c:rich>
                  <a:bodyPr/>
                  <a:lstStyle/>
                  <a:p>
                    <a:fld id="{0F5C91EE-42CE-4D15-BB07-0FD8F4F9544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{0F5C91EE-42CE-4D15-BB07-0FD8F4F95443}</c15:txfldGUID>
                      <c15:f>'Scenario Manager'!$P$94</c15:f>
                      <c15:dlblFieldTableCache>
                        <c:ptCount val="1"/>
                      </c15:dlblFieldTableCache>
                    </c15:dlblFTEntry>
                  </c15:dlblFieldTable>
                  <c15:showDataLabelsRange val="0"/>
                </c:ext>
                <c:ext xmlns:c16="http://schemas.microsoft.com/office/drawing/2014/chart" uri="{C3380CC4-5D6E-409C-BE32-E72D297353CC}">
                  <c16:uniqueId val="{0000001F-9A66-49D2-B389-778FCFF98014}"/>
                </c:ext>
              </c:extLst>
            </c:dLbl>
            <c:dLbl>
              <c:idx val="3"/>
              <c:layout>
                <c:manualLayout>
                  <c:x val="4.27273810664844E-3"/>
                  <c:y val="0.18875855577133568"/>
                </c:manualLayout>
              </c:layout>
              <c:tx>
                <c:rich>
                  <a:bodyPr/>
                  <a:lstStyle/>
                  <a:p>
                    <a:fld id="{C698B277-559A-4C0F-AE42-C93E2A17869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{C698B277-559A-4C0F-AE42-C93E2A17869B}</c15:txfldGUID>
                      <c15:f>'Scenario Manager'!$Q$94</c15:f>
                      <c15:dlblFieldTableCache>
                        <c:ptCount val="1"/>
                      </c15:dlblFieldTableCache>
                    </c15:dlblFTEntry>
                  </c15:dlblFieldTable>
                  <c15:showDataLabelsRange val="0"/>
                </c:ext>
                <c:ext xmlns:c16="http://schemas.microsoft.com/office/drawing/2014/chart" uri="{C3380CC4-5D6E-409C-BE32-E72D297353CC}">
                  <c16:uniqueId val="{00000020-9A66-49D2-B389-778FCFF98014}"/>
                </c:ext>
              </c:extLst>
            </c:dLbl>
            <c:dLbl>
              <c:idx val="4"/>
              <c:layout>
                <c:manualLayout>
                  <c:x val="6.1717328207144834E-3"/>
                  <c:y val="0.19266660040428257"/>
                </c:manualLayout>
              </c:layout>
              <c:tx>
                <c:rich>
                  <a:bodyPr/>
                  <a:lstStyle/>
                  <a:p>
                    <a:fld id="{32E2B1D3-9F41-4D43-971F-227FF266E9D8}"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{32E2B1D3-9F41-4D43-971F-227FF266E9D8}</c15:txfldGUID>
                      <c15:f>'Scenario Manager'!$R$94</c15:f>
                      <c15:dlblFieldTableCache>
                        <c:ptCount val="1"/>
                      </c15:dlblFieldTableCache>
                    </c15:dlblFTEntry>
                  </c15:dlblFieldTable>
                  <c15:showDataLabelsRange val="0"/>
                </c:ext>
                <c:ext xmlns:c16="http://schemas.microsoft.com/office/drawing/2014/chart" uri="{C3380CC4-5D6E-409C-BE32-E72D297353CC}">
                  <c16:uniqueId val="{00000021-9A66-49D2-B389-778FCFF98014}"/>
                </c:ext>
              </c:extLst>
            </c:dLbl>
            <c:dLbl>
              <c:idx val="5"/>
              <c:layout>
                <c:manualLayout>
                  <c:x val="9.9697222488463605E-3"/>
                  <c:y val="0.18875855577133563"/>
                </c:manualLayout>
              </c:layout>
              <c:tx>
                <c:rich>
                  <a:bodyPr/>
                  <a:lstStyle/>
                  <a:p>
                    <a:fld id="{7539C621-9669-4BAD-AEDF-ABC3EF0912C0}"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{7539C621-9669-4BAD-AEDF-ABC3EF0912C0}</c15:txfldGUID>
                      <c15:f>'Scenario Manager'!$S$94</c15:f>
                      <c15:dlblFieldTableCache>
                        <c:ptCount val="1"/>
                      </c15:dlblFieldTableCache>
                    </c15:dlblFTEntry>
                  </c15:dlblFieldTable>
                  <c15:showDataLabelsRange val="0"/>
                </c:ext>
                <c:ext xmlns:c16="http://schemas.microsoft.com/office/drawing/2014/chart" uri="{C3380CC4-5D6E-409C-BE32-E72D297353CC}">
                  <c16:uniqueId val="{00000022-9A66-49D2-B389-778FCFF98014}"/>
                </c:ext>
              </c:extLst>
            </c:dLbl>
            <c:dLbl>
              <c:idx val="6"/>
              <c:layout>
                <c:manualLayout>
                  <c:x val="9.9697222488463605E-3"/>
                  <c:y val="0.18875855577133563"/>
                </c:manualLayout>
              </c:layout>
              <c:tx>
                <c:rich>
                  <a:bodyPr/>
                  <a:lstStyle/>
                  <a:p>
                    <a:fld id="{FC62CAA2-49D9-4964-AD84-0C1C8AA2587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{FC62CAA2-49D9-4964-AD84-0C1C8AA25879}</c15:txfldGUID>
                      <c15:f>'Scenario Manager'!$T$94</c15:f>
                      <c15:dlblFieldTableCache>
                        <c:ptCount val="1"/>
                      </c15:dlblFieldTableCache>
                    </c15:dlblFTEntry>
                  </c15:dlblFieldTable>
                  <c15:showDataLabelsRange val="0"/>
                </c:ext>
                <c:ext xmlns:c16="http://schemas.microsoft.com/office/drawing/2014/chart" uri="{C3380CC4-5D6E-409C-BE32-E72D297353CC}">
                  <c16:uniqueId val="{00000023-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Manager'!$N$88:$T$88</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24-9A66-49D2-B389-778FCFF98014}"/>
            </c:ext>
          </c:extLst>
        </c:ser>
        <c:ser>
          <c:idx val="7"/>
          <c:order val="7"/>
          <c:tx>
            <c:v>Tier 6</c:v>
          </c:tx>
          <c:spPr>
            <a:solidFill>
              <a:schemeClr val="accent2">
                <a:lumMod val="60000"/>
              </a:schemeClr>
            </a:solidFill>
            <a:ln>
              <a:noFill/>
            </a:ln>
            <a:effectLst/>
          </c:spPr>
          <c:invertIfNegative val="0"/>
          <c:dLbls>
            <c:dLbl>
              <c:idx val="1"/>
              <c:layout>
                <c:manualLayout>
                  <c:x val="1.8989947140659387E-3"/>
                  <c:y val="0.21136951731340703"/>
                </c:manualLayout>
              </c:layout>
              <c:tx>
                <c:rich>
                  <a:bodyPr/>
                  <a:lstStyle/>
                  <a:p>
                    <a:fld id="{6CC77D5C-BDF7-4EF6-A4B6-641072F994E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{6CC77D5C-BDF7-4EF6-A4B6-641072F994EE}</c15:txfldGUID>
                      <c15:f>'Scenario Manager'!$O$95</c15:f>
                      <c15:dlblFieldTableCache>
                        <c:ptCount val="1"/>
                      </c15:dlblFieldTableCache>
                    </c15:dlblFTEntry>
                  </c15:dlblFieldTable>
                  <c15:showDataLabelsRange val="0"/>
                </c:ext>
                <c:ext xmlns:c16="http://schemas.microsoft.com/office/drawing/2014/chart" uri="{C3380CC4-5D6E-409C-BE32-E72D297353CC}">
                  <c16:uniqueId val="{00000025-9A66-49D2-B389-778FCFF98014}"/>
                </c:ext>
              </c:extLst>
            </c:dLbl>
            <c:dLbl>
              <c:idx val="2"/>
              <c:layout>
                <c:manualLayout>
                  <c:x val="0"/>
                  <c:y val="0.20746147268046009"/>
                </c:manualLayout>
              </c:layout>
              <c:tx>
                <c:rich>
                  <a:bodyPr/>
                  <a:lstStyle/>
                  <a:p>
                    <a:fld id="{C4A48279-7F62-40E8-AD45-759FB0C93CE4}"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{C4A48279-7F62-40E8-AD45-759FB0C93CE4}</c15:txfldGUID>
                      <c15:f>'Scenario Manager'!$P$95</c15:f>
                      <c15:dlblFieldTableCache>
                        <c:ptCount val="1"/>
                      </c15:dlblFieldTableCache>
                    </c15:dlblFTEntry>
                  </c15:dlblFieldTable>
                  <c15:showDataLabelsRange val="0"/>
                </c:ext>
                <c:ext xmlns:c16="http://schemas.microsoft.com/office/drawing/2014/chart" uri="{C3380CC4-5D6E-409C-BE32-E72D297353CC}">
                  <c16:uniqueId val="{00000026-9A66-49D2-B389-778FCFF98014}"/>
                </c:ext>
              </c:extLst>
            </c:dLbl>
            <c:dLbl>
              <c:idx val="3"/>
              <c:layout>
                <c:manualLayout>
                  <c:x val="6.1717328207144141E-3"/>
                  <c:y val="0.20656816137577938"/>
                </c:manualLayout>
              </c:layout>
              <c:tx>
                <c:rich>
                  <a:bodyPr/>
                  <a:lstStyle/>
                  <a:p>
                    <a:fld id="{A54331F5-599B-4BCD-B033-C485F0BC539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{A54331F5-599B-4BCD-B033-C485F0BC539D}</c15:txfldGUID>
                      <c15:f>'Scenario Manager'!$Q$95</c15:f>
                      <c15:dlblFieldTableCache>
                        <c:ptCount val="1"/>
                      </c15:dlblFieldTableCache>
                    </c15:dlblFTEntry>
                  </c15:dlblFieldTable>
                  <c15:showDataLabelsRange val="0"/>
                </c:ext>
                <c:ext xmlns:c16="http://schemas.microsoft.com/office/drawing/2014/chart" uri="{C3380CC4-5D6E-409C-BE32-E72D297353CC}">
                  <c16:uniqueId val="{00000027-9A66-49D2-B389-778FCFF98014}"/>
                </c:ext>
              </c:extLst>
            </c:dLbl>
            <c:dLbl>
              <c:idx val="4"/>
              <c:layout>
                <c:manualLayout>
                  <c:x val="8.0707275347802476E-3"/>
                  <c:y val="0.20656816137577935"/>
                </c:manualLayout>
              </c:layout>
              <c:tx>
                <c:rich>
                  <a:bodyPr/>
                  <a:lstStyle/>
                  <a:p>
                    <a:fld id="{D4B3DB1E-A296-4BEB-BFE7-37DD2AF0422C}"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{D4B3DB1E-A296-4BEB-BFE7-37DD2AF0422C}</c15:txfldGUID>
                      <c15:f>'Scenario Manager'!$R$95</c15:f>
                      <c15:dlblFieldTableCache>
                        <c:ptCount val="1"/>
                      </c15:dlblFieldTableCache>
                    </c15:dlblFTEntry>
                  </c15:dlblFieldTable>
                  <c15:showDataLabelsRange val="0"/>
                </c:ext>
                <c:ext xmlns:c16="http://schemas.microsoft.com/office/drawing/2014/chart" uri="{C3380CC4-5D6E-409C-BE32-E72D297353CC}">
                  <c16:uniqueId val="{00000028-9A66-49D2-B389-778FCFF98014}"/>
                </c:ext>
              </c:extLst>
            </c:dLbl>
            <c:dLbl>
              <c:idx val="5"/>
              <c:layout>
                <c:manualLayout>
                  <c:x val="9.9697222488462217E-3"/>
                  <c:y val="0.20656816137577938"/>
                </c:manualLayout>
              </c:layout>
              <c:tx>
                <c:rich>
                  <a:bodyPr/>
                  <a:lstStyle/>
                  <a:p>
                    <a:fld id="{4841316F-C38F-48E3-AAA5-D06DAD268144}"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{4841316F-C38F-48E3-AAA5-D06DAD268144}</c15:txfldGUID>
                      <c15:f>'Scenario Manager'!$S$95</c15:f>
                      <c15:dlblFieldTableCache>
                        <c:ptCount val="1"/>
                      </c15:dlblFieldTableCache>
                    </c15:dlblFTEntry>
                  </c15:dlblFieldTable>
                  <c15:showDataLabelsRange val="0"/>
                </c:ext>
                <c:ext xmlns:c16="http://schemas.microsoft.com/office/drawing/2014/chart" uri="{C3380CC4-5D6E-409C-BE32-E72D297353CC}">
                  <c16:uniqueId val="{00000029-9A66-49D2-B389-778FCFF98014}"/>
                </c:ext>
              </c:extLst>
            </c:dLbl>
            <c:dLbl>
              <c:idx val="6"/>
              <c:layout>
                <c:manualLayout>
                  <c:x val="9.9697222488463605E-3"/>
                  <c:y val="0.20656816137577935"/>
                </c:manualLayout>
              </c:layout>
              <c:tx>
                <c:rich>
                  <a:bodyPr/>
                  <a:lstStyle/>
                  <a:p>
                    <a:fld id="{97ECC218-4CBB-4476-92A9-9768575481F8}"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{97ECC218-4CBB-4476-92A9-9768575481F8}</c15:txfldGUID>
                      <c15:f>'Scenario Manager'!$T$95</c15:f>
                      <c15:dlblFieldTableCache>
                        <c:ptCount val="1"/>
                      </c15:dlblFieldTableCache>
                    </c15:dlblFTEntry>
                  </c15:dlblFieldTable>
                  <c15:showDataLabelsRange val="0"/>
                </c:ext>
                <c:ext xmlns:c16="http://schemas.microsoft.com/office/drawing/2014/chart" uri="{C3380CC4-5D6E-409C-BE32-E72D297353CC}">
                  <c16:uniqueId val="{0000002A-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Manager'!$N$89:$T$89</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2B-9A66-49D2-B389-778FCFF98014}"/>
            </c:ext>
          </c:extLst>
        </c:ser>
        <c:dLbls>
          <c:showLegendKey val="0"/>
          <c:showVal val="0"/>
          <c:showCatName val="0"/>
          <c:showSerName val="0"/>
          <c:showPercent val="0"/>
          <c:showBubbleSize val="0"/>
        </c:dLbls>
        <c:gapWidth val="150"/>
        <c:axId val="605980712"/>
        <c:axId val="605977104"/>
      </c:barChart>
      <c:catAx>
        <c:axId val="605980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5977104"/>
        <c:crosses val="autoZero"/>
        <c:auto val="1"/>
        <c:lblAlgn val="ctr"/>
        <c:lblOffset val="100"/>
        <c:noMultiLvlLbl val="0"/>
      </c:catAx>
      <c:valAx>
        <c:axId val="605977104"/>
        <c:scaling>
          <c:orientation val="minMax"/>
          <c:max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605980712"/>
        <c:crosses val="autoZero"/>
        <c:crossBetween val="between"/>
        <c:majorUnit val="0.1"/>
      </c:valAx>
      <c:spPr>
        <a:noFill/>
        <a:ln>
          <a:noFill/>
        </a:ln>
        <a:effectLst/>
      </c:spPr>
    </c:plotArea>
    <c:legend>
      <c:legendPos val="b"/>
      <c:legendEntry>
        <c:idx val="0"/>
        <c:delete val="1"/>
      </c:legendEntry>
      <c:legendEntry>
        <c:idx val="1"/>
        <c:delete val="1"/>
      </c:legendEntry>
      <c:layout>
        <c:manualLayout>
          <c:xMode val="edge"/>
          <c:yMode val="edge"/>
          <c:x val="0.21012753411772347"/>
          <c:y val="0.91188935181988473"/>
          <c:w val="0.49034948512733856"/>
          <c:h val="7.518898205929473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Average Utilization of Transportation</a:t>
            </a:r>
            <a:r>
              <a:rPr lang="en-US" b="1" baseline="0"/>
              <a:t> Resources</a:t>
            </a:r>
          </a:p>
        </c:rich>
      </c:tx>
      <c:layout>
        <c:manualLayout>
          <c:xMode val="edge"/>
          <c:yMode val="edge"/>
          <c:x val="0.22928072559140264"/>
          <c:y val="1.954022917765484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867737648218774"/>
          <c:y val="0.1488503388011089"/>
          <c:w val="0.7096982687665806"/>
          <c:h val="0.56531360067649195"/>
        </c:manualLayout>
      </c:layout>
      <c:areaChart>
        <c:grouping val="stacked"/>
        <c:varyColors val="0"/>
        <c:ser>
          <c:idx val="2"/>
          <c:order val="0"/>
          <c:tx>
            <c:v>Lower Bound</c:v>
          </c:tx>
          <c:spPr>
            <a:noFill/>
            <a:ln>
              <a:noFill/>
            </a:ln>
            <a:effectLst/>
          </c:spPr>
          <c:cat>
            <c:strRef>
              <c:f>'Scenario Manager'!$D$18:$J$18</c:f>
              <c:strCache>
                <c:ptCount val="5"/>
                <c:pt idx="1">
                  <c:v>Baseline</c:v>
                </c:pt>
                <c:pt idx="2">
                  <c:v>Baseline + High Demand</c:v>
                </c:pt>
                <c:pt idx="3">
                  <c:v>Monthly Ordering + High Demand</c:v>
                </c:pt>
                <c:pt idx="4">
                  <c:v>More Storage + High Demand</c:v>
                </c:pt>
              </c:strCache>
            </c:strRef>
          </c:cat>
          <c:val>
            <c:numRef>
              <c:f>'Scenario Manager'!$N$104:$T$104</c:f>
              <c:numCache>
                <c:formatCode>0%</c:formatCode>
                <c:ptCount val="7"/>
                <c:pt idx="0">
                  <c:v>0.5</c:v>
                </c:pt>
                <c:pt idx="1">
                  <c:v>0.5</c:v>
                </c:pt>
                <c:pt idx="2">
                  <c:v>0.5</c:v>
                </c:pt>
                <c:pt idx="3">
                  <c:v>0.5</c:v>
                </c:pt>
                <c:pt idx="4">
                  <c:v>0.5</c:v>
                </c:pt>
                <c:pt idx="5">
                  <c:v>0.5</c:v>
                </c:pt>
                <c:pt idx="6">
                  <c:v>0.5</c:v>
                </c:pt>
              </c:numCache>
            </c:numRef>
          </c:val>
          <c:extLst>
            <c:ext xmlns:c16="http://schemas.microsoft.com/office/drawing/2014/chart" uri="{C3380CC4-5D6E-409C-BE32-E72D297353CC}">
              <c16:uniqueId val="{00000000-D400-43C9-BEEA-CDEC4B22F960}"/>
            </c:ext>
          </c:extLst>
        </c:ser>
        <c:ser>
          <c:idx val="3"/>
          <c:order val="1"/>
          <c:tx>
            <c:v>Upper bound</c:v>
          </c:tx>
          <c:spPr>
            <a:solidFill>
              <a:schemeClr val="accent6">
                <a:lumMod val="60000"/>
                <a:lumOff val="40000"/>
                <a:alpha val="47000"/>
              </a:schemeClr>
            </a:solidFill>
            <a:ln>
              <a:noFill/>
            </a:ln>
            <a:effectLst/>
          </c:spPr>
          <c:cat>
            <c:strRef>
              <c:f>'Scenario Manager'!$D$18:$J$18</c:f>
              <c:strCache>
                <c:ptCount val="5"/>
                <c:pt idx="1">
                  <c:v>Baseline</c:v>
                </c:pt>
                <c:pt idx="2">
                  <c:v>Baseline + High Demand</c:v>
                </c:pt>
                <c:pt idx="3">
                  <c:v>Monthly Ordering + High Demand</c:v>
                </c:pt>
                <c:pt idx="4">
                  <c:v>More Storage + High Demand</c:v>
                </c:pt>
              </c:strCache>
            </c:strRef>
          </c:cat>
          <c:val>
            <c:numRef>
              <c:f>'Scenario Manager'!$N$103:$T$103</c:f>
              <c:numCache>
                <c:formatCode>0%</c:formatCode>
                <c:ptCount val="7"/>
                <c:pt idx="0">
                  <c:v>0.4</c:v>
                </c:pt>
                <c:pt idx="1">
                  <c:v>0.4</c:v>
                </c:pt>
                <c:pt idx="2">
                  <c:v>0.4</c:v>
                </c:pt>
                <c:pt idx="3">
                  <c:v>0.4</c:v>
                </c:pt>
                <c:pt idx="4">
                  <c:v>0.4</c:v>
                </c:pt>
                <c:pt idx="5">
                  <c:v>0.4</c:v>
                </c:pt>
                <c:pt idx="6">
                  <c:v>0.4</c:v>
                </c:pt>
              </c:numCache>
            </c:numRef>
          </c:val>
          <c:extLst>
            <c:ext xmlns:c16="http://schemas.microsoft.com/office/drawing/2014/chart" uri="{C3380CC4-5D6E-409C-BE32-E72D297353CC}">
              <c16:uniqueId val="{00000001-D400-43C9-BEEA-CDEC4B22F960}"/>
            </c:ext>
          </c:extLst>
        </c:ser>
        <c:dLbls>
          <c:showLegendKey val="0"/>
          <c:showVal val="0"/>
          <c:showCatName val="0"/>
          <c:showSerName val="0"/>
          <c:showPercent val="0"/>
          <c:showBubbleSize val="0"/>
        </c:dLbls>
        <c:axId val="605980712"/>
        <c:axId val="605977104"/>
      </c:areaChart>
      <c:barChart>
        <c:barDir val="col"/>
        <c:grouping val="clustered"/>
        <c:varyColors val="0"/>
        <c:ser>
          <c:idx val="1"/>
          <c:order val="2"/>
          <c:tx>
            <c:v>Tier 1 --&gt; 2</c:v>
          </c:tx>
          <c:spPr>
            <a:solidFill>
              <a:schemeClr val="accent2"/>
            </a:solidFill>
            <a:ln w="25400">
              <a:noFill/>
            </a:ln>
            <a:effectLst/>
          </c:spPr>
          <c:invertIfNegative val="0"/>
          <c:dLbls>
            <c:dLbl>
              <c:idx val="1"/>
              <c:layout>
                <c:manualLayout>
                  <c:x val="1.0989344695303506E-4"/>
                  <c:y val="0.13973971799295073"/>
                </c:manualLayout>
              </c:layout>
              <c:tx>
                <c:rich>
                  <a:bodyPr/>
                  <a:lstStyle/>
                  <a:p>
                    <a:fld id="{EBA9E2EA-7A25-4912-B0EA-0B75C73D42C6}" type="CELLREF">
                      <a:rPr lang="en-US" sz="1000" b="1">
                        <a:solidFill>
                          <a:sysClr val="windowText" lastClr="000000"/>
                        </a:solidFill>
                      </a:rPr>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{EBA9E2EA-7A25-4912-B0EA-0B75C73D42C6}</c15:txfldGUID>
                      <c15:f>'Scenario Manager'!$O$112</c15:f>
                      <c15:dlblFieldTableCache>
                        <c:ptCount val="1"/>
                      </c15:dlblFieldTableCache>
                    </c15:dlblFTEntry>
                  </c15:dlblFieldTable>
                  <c15:showDataLabelsRange val="0"/>
                </c:ext>
                <c:ext xmlns:c16="http://schemas.microsoft.com/office/drawing/2014/chart" uri="{C3380CC4-5D6E-409C-BE32-E72D297353CC}">
                  <c16:uniqueId val="{00000002-D400-43C9-BEEA-CDEC4B22F960}"/>
                </c:ext>
              </c:extLst>
            </c:dLbl>
            <c:dLbl>
              <c:idx val="2"/>
              <c:layout>
                <c:manualLayout>
                  <c:x val="2.019122963100156E-3"/>
                  <c:y val="0.14364776382848168"/>
                </c:manualLayout>
              </c:layout>
              <c:tx>
                <c:rich>
                  <a:bodyPr/>
                  <a:lstStyle/>
                  <a:p>
                    <a:fld id="{986D8466-F37A-45AB-83F3-9C01766CEBCF}" type="CELLREF">
                      <a:rPr lang="en-US" sz="1000" b="1">
                        <a:solidFill>
                          <a:sysClr val="windowText" lastClr="000000"/>
                        </a:solidFill>
                      </a:rPr>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{986D8466-F37A-45AB-83F3-9C01766CEBCF}</c15:txfldGUID>
                      <c15:f>'Scenario Manager'!$P$112</c15:f>
                      <c15:dlblFieldTableCache>
                        <c:ptCount val="1"/>
                      </c15:dlblFieldTableCache>
                    </c15:dlblFTEntry>
                  </c15:dlblFieldTable>
                  <c15:showDataLabelsRange val="0"/>
                </c:ext>
                <c:ext xmlns:c16="http://schemas.microsoft.com/office/drawing/2014/chart" uri="{C3380CC4-5D6E-409C-BE32-E72D297353CC}">
                  <c16:uniqueId val="{00000003-D400-43C9-BEEA-CDEC4B22F960}"/>
                </c:ext>
              </c:extLst>
            </c:dLbl>
            <c:dLbl>
              <c:idx val="3"/>
              <c:layout>
                <c:manualLayout>
                  <c:x val="6.2049959274781425E-3"/>
                  <c:y val="0.14669603958019586"/>
                </c:manualLayout>
              </c:layout>
              <c:tx>
                <c:rich>
                  <a:bodyPr/>
                  <a:lstStyle/>
                  <a:p>
                    <a:fld id="{181521C1-918A-4899-BA5F-3CEAC13DB44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{181521C1-918A-4899-BA5F-3CEAC13DB441}</c15:txfldGUID>
                      <c15:f>'Scenario Manager'!$Q$112</c15:f>
                      <c15:dlblFieldTableCache>
                        <c:ptCount val="1"/>
                      </c15:dlblFieldTableCache>
                    </c15:dlblFTEntry>
                  </c15:dlblFieldTable>
                  <c15:showDataLabelsRange val="0"/>
                </c:ext>
                <c:ext xmlns:c16="http://schemas.microsoft.com/office/drawing/2014/chart" uri="{C3380CC4-5D6E-409C-BE32-E72D297353CC}">
                  <c16:uniqueId val="{00000004-D400-43C9-BEEA-CDEC4B22F960}"/>
                </c:ext>
              </c:extLst>
            </c:dLbl>
            <c:dLbl>
              <c:idx val="4"/>
              <c:layout>
                <c:manualLayout>
                  <c:x val="4.2957664113309514E-3"/>
                  <c:y val="0.14278799374466489"/>
                </c:manualLayout>
              </c:layout>
              <c:tx>
                <c:rich>
                  <a:bodyPr/>
                  <a:lstStyle/>
                  <a:p>
                    <a:fld id="{4BF6E0E9-263C-4A8D-A0E1-FE8D77B5A31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{4BF6E0E9-263C-4A8D-A0E1-FE8D77B5A317}</c15:txfldGUID>
                      <c15:f>'Scenario Manager'!$R$112</c15:f>
                      <c15:dlblFieldTableCache>
                        <c:ptCount val="1"/>
                      </c15:dlblFieldTableCache>
                    </c15:dlblFTEntry>
                  </c15:dlblFieldTable>
                  <c15:showDataLabelsRange val="0"/>
                </c:ext>
                <c:ext xmlns:c16="http://schemas.microsoft.com/office/drawing/2014/chart" uri="{C3380CC4-5D6E-409C-BE32-E72D297353CC}">
                  <c16:uniqueId val="{00000005-D400-43C9-BEEA-CDEC4B22F960}"/>
                </c:ext>
              </c:extLst>
            </c:dLbl>
            <c:dLbl>
              <c:idx val="5"/>
              <c:layout>
                <c:manualLayout>
                  <c:x val="6.2049959274781425E-3"/>
                  <c:y val="0.14669603958019586"/>
                </c:manualLayout>
              </c:layout>
              <c:tx>
                <c:rich>
                  <a:bodyPr/>
                  <a:lstStyle/>
                  <a:p>
                    <a:fld id="{F459F927-056E-414F-9E88-410784173588}"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{F459F927-056E-414F-9E88-410784173588}</c15:txfldGUID>
                      <c15:f>'Scenario Manager'!$S$112</c15:f>
                      <c15:dlblFieldTableCache>
                        <c:ptCount val="1"/>
                      </c15:dlblFieldTableCache>
                    </c15:dlblFTEntry>
                  </c15:dlblFieldTable>
                  <c15:showDataLabelsRange val="0"/>
                </c:ext>
                <c:ext xmlns:c16="http://schemas.microsoft.com/office/drawing/2014/chart" uri="{C3380CC4-5D6E-409C-BE32-E72D297353CC}">
                  <c16:uniqueId val="{00000006-D400-43C9-BEEA-CDEC4B22F960}"/>
                </c:ext>
              </c:extLst>
            </c:dLbl>
            <c:dLbl>
              <c:idx val="6"/>
              <c:layout>
                <c:manualLayout>
                  <c:x val="6.204995927478002E-3"/>
                  <c:y val="0.14669603958019581"/>
                </c:manualLayout>
              </c:layout>
              <c:tx>
                <c:rich>
                  <a:bodyPr/>
                  <a:lstStyle/>
                  <a:p>
                    <a:fld id="{BEF5B083-7801-49EC-9CB7-D2EB30EB39D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{BEF5B083-7801-49EC-9CB7-D2EB30EB39DB}</c15:txfldGUID>
                      <c15:f>'Scenario Manager'!$T$112</c15:f>
                      <c15:dlblFieldTableCache>
                        <c:ptCount val="1"/>
                      </c15:dlblFieldTableCache>
                    </c15:dlblFTEntry>
                  </c15:dlblFieldTable>
                  <c15:showDataLabelsRange val="0"/>
                </c:ext>
                <c:ext xmlns:c16="http://schemas.microsoft.com/office/drawing/2014/chart" uri="{C3380CC4-5D6E-409C-BE32-E72D297353CC}">
                  <c16:uniqueId val="{00000007-D400-43C9-BEEA-CDEC4B22F96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Manager'!$N$106:$T$106</c:f>
              <c:numCache>
                <c:formatCode>0%</c:formatCode>
                <c:ptCount val="7"/>
                <c:pt idx="1">
                  <c:v>0.60833333333333328</c:v>
                </c:pt>
                <c:pt idx="2">
                  <c:v>0.90416666666666667</c:v>
                </c:pt>
                <c:pt idx="3">
                  <c:v>0.89166666666666672</c:v>
                </c:pt>
                <c:pt idx="4">
                  <c:v>0.875</c:v>
                </c:pt>
                <c:pt idx="5">
                  <c:v>0</c:v>
                </c:pt>
                <c:pt idx="6">
                  <c:v>0</c:v>
                </c:pt>
              </c:numCache>
            </c:numRef>
          </c:val>
          <c:extLst>
            <c:ext xmlns:c16="http://schemas.microsoft.com/office/drawing/2014/chart" uri="{C3380CC4-5D6E-409C-BE32-E72D297353CC}">
              <c16:uniqueId val="{00000008-D400-43C9-BEEA-CDEC4B22F960}"/>
            </c:ext>
          </c:extLst>
        </c:ser>
        <c:ser>
          <c:idx val="4"/>
          <c:order val="3"/>
          <c:tx>
            <c:v>Tier 2 --&gt; 3</c:v>
          </c:tx>
          <c:spPr>
            <a:solidFill>
              <a:schemeClr val="accent5"/>
            </a:solidFill>
            <a:ln>
              <a:noFill/>
            </a:ln>
            <a:effectLst/>
          </c:spPr>
          <c:invertIfNegative val="0"/>
          <c:dLbls>
            <c:dLbl>
              <c:idx val="1"/>
              <c:layout>
                <c:manualLayout>
                  <c:x val="6.2049959274781069E-3"/>
                  <c:y val="0.19750063544209839"/>
                </c:manualLayout>
              </c:layout>
              <c:tx>
                <c:rich>
                  <a:bodyPr/>
                  <a:lstStyle/>
                  <a:p>
                    <a:fld id="{4771ED02-1CE8-42C1-B202-A63726C5E64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{4771ED02-1CE8-42C1-B202-A63726C5E64B}</c15:txfldGUID>
                      <c15:f>'Scenario Manager'!$O$113</c15:f>
                      <c15:dlblFieldTableCache>
                        <c:ptCount val="1"/>
                      </c15:dlblFieldTableCache>
                    </c15:dlblFTEntry>
                  </c15:dlblFieldTable>
                  <c15:showDataLabelsRange val="0"/>
                </c:ext>
                <c:ext xmlns:c16="http://schemas.microsoft.com/office/drawing/2014/chart" uri="{C3380CC4-5D6E-409C-BE32-E72D297353CC}">
                  <c16:uniqueId val="{00000009-D400-43C9-BEEA-CDEC4B22F960}"/>
                </c:ext>
              </c:extLst>
            </c:dLbl>
            <c:dLbl>
              <c:idx val="2"/>
              <c:layout>
                <c:manualLayout>
                  <c:x val="2.3865368951839008E-3"/>
                  <c:y val="0.19750063544209845"/>
                </c:manualLayout>
              </c:layout>
              <c:tx>
                <c:rich>
                  <a:bodyPr/>
                  <a:lstStyle/>
                  <a:p>
                    <a:fld id="{00B2CB18-B0D3-4D7E-836B-B12DE3F3784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{00B2CB18-B0D3-4D7E-836B-B12DE3F37843}</c15:txfldGUID>
                      <c15:f>'Scenario Manager'!$P$113</c15:f>
                      <c15:dlblFieldTableCache>
                        <c:ptCount val="1"/>
                      </c15:dlblFieldTableCache>
                    </c15:dlblFTEntry>
                  </c15:dlblFieldTable>
                  <c15:showDataLabelsRange val="0"/>
                </c:ext>
                <c:ext xmlns:c16="http://schemas.microsoft.com/office/drawing/2014/chart" uri="{C3380CC4-5D6E-409C-BE32-E72D297353CC}">
                  <c16:uniqueId val="{0000000A-D400-43C9-BEEA-CDEC4B22F960}"/>
                </c:ext>
              </c:extLst>
            </c:dLbl>
            <c:dLbl>
              <c:idx val="3"/>
              <c:layout>
                <c:manualLayout>
                  <c:x val="6.2049959274781425E-3"/>
                  <c:y val="0.18577649793550552"/>
                </c:manualLayout>
              </c:layout>
              <c:tx>
                <c:rich>
                  <a:bodyPr/>
                  <a:lstStyle/>
                  <a:p>
                    <a:fld id="{23442FBB-35B6-4777-8F62-E12743F8991A}"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{23442FBB-35B6-4777-8F62-E12743F8991A}</c15:txfldGUID>
                      <c15:f>'Scenario Manager'!$Q$113</c15:f>
                      <c15:dlblFieldTableCache>
                        <c:ptCount val="1"/>
                      </c15:dlblFieldTableCache>
                    </c15:dlblFTEntry>
                  </c15:dlblFieldTable>
                  <c15:showDataLabelsRange val="0"/>
                </c:ext>
                <c:ext xmlns:c16="http://schemas.microsoft.com/office/drawing/2014/chart" uri="{C3380CC4-5D6E-409C-BE32-E72D297353CC}">
                  <c16:uniqueId val="{0000000B-D400-43C9-BEEA-CDEC4B22F960}"/>
                </c:ext>
              </c:extLst>
            </c:dLbl>
            <c:dLbl>
              <c:idx val="4"/>
              <c:layout>
                <c:manualLayout>
                  <c:x val="8.1142254436252625E-3"/>
                  <c:y val="0.18968454377103644"/>
                </c:manualLayout>
              </c:layout>
              <c:tx>
                <c:rich>
                  <a:bodyPr/>
                  <a:lstStyle/>
                  <a:p>
                    <a:fld id="{80C4B62C-165C-49A1-8FE5-2440B06291F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{80C4B62C-165C-49A1-8FE5-2440B06291F6}</c15:txfldGUID>
                      <c15:f>'Scenario Manager'!$R$113</c15:f>
                      <c15:dlblFieldTableCache>
                        <c:ptCount val="1"/>
                      </c15:dlblFieldTableCache>
                    </c15:dlblFTEntry>
                  </c15:dlblFieldTable>
                  <c15:showDataLabelsRange val="0"/>
                </c:ext>
                <c:ext xmlns:c16="http://schemas.microsoft.com/office/drawing/2014/chart" uri="{C3380CC4-5D6E-409C-BE32-E72D297353CC}">
                  <c16:uniqueId val="{0000000C-D400-43C9-BEEA-CDEC4B22F960}"/>
                </c:ext>
              </c:extLst>
            </c:dLbl>
            <c:dLbl>
              <c:idx val="5"/>
              <c:layout>
                <c:manualLayout>
                  <c:x val="6.2049959274781425E-3"/>
                  <c:y val="0.18968454377103644"/>
                </c:manualLayout>
              </c:layout>
              <c:tx>
                <c:rich>
                  <a:bodyPr/>
                  <a:lstStyle/>
                  <a:p>
                    <a:fld id="{1350546A-5032-4F1F-8437-5FCD105551E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{1350546A-5032-4F1F-8437-5FCD105551ED}</c15:txfldGUID>
                      <c15:f>'Scenario Manager'!$S$113</c15:f>
                      <c15:dlblFieldTableCache>
                        <c:ptCount val="1"/>
                      </c15:dlblFieldTableCache>
                    </c15:dlblFTEntry>
                  </c15:dlblFieldTable>
                  <c15:showDataLabelsRange val="0"/>
                </c:ext>
                <c:ext xmlns:c16="http://schemas.microsoft.com/office/drawing/2014/chart" uri="{C3380CC4-5D6E-409C-BE32-E72D297353CC}">
                  <c16:uniqueId val="{0000000D-D400-43C9-BEEA-CDEC4B22F960}"/>
                </c:ext>
              </c:extLst>
            </c:dLbl>
            <c:dLbl>
              <c:idx val="6"/>
              <c:layout>
                <c:manualLayout>
                  <c:x val="8.1142254436252625E-3"/>
                  <c:y val="0.18968454377103644"/>
                </c:manualLayout>
              </c:layout>
              <c:tx>
                <c:rich>
                  <a:bodyPr/>
                  <a:lstStyle/>
                  <a:p>
                    <a:fld id="{D17F3737-4F4A-465C-AF2D-72FB54729F1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{D17F3737-4F4A-465C-AF2D-72FB54729F13}</c15:txfldGUID>
                      <c15:f>'Scenario Manager'!$T$113</c15:f>
                      <c15:dlblFieldTableCache>
                        <c:ptCount val="1"/>
                      </c15:dlblFieldTableCache>
                    </c15:dlblFTEntry>
                  </c15:dlblFieldTable>
                  <c15:showDataLabelsRange val="0"/>
                </c:ext>
                <c:ext xmlns:c16="http://schemas.microsoft.com/office/drawing/2014/chart" uri="{C3380CC4-5D6E-409C-BE32-E72D297353CC}">
                  <c16:uniqueId val="{0000000E-D400-43C9-BEEA-CDEC4B22F96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Manager'!$N$107:$T$107</c:f>
              <c:numCache>
                <c:formatCode>0%</c:formatCode>
                <c:ptCount val="7"/>
                <c:pt idx="1">
                  <c:v>0.7254166666666666</c:v>
                </c:pt>
                <c:pt idx="2">
                  <c:v>0.74763888888888896</c:v>
                </c:pt>
                <c:pt idx="3">
                  <c:v>0.79135416666666658</c:v>
                </c:pt>
                <c:pt idx="4">
                  <c:v>0.7434722222222222</c:v>
                </c:pt>
                <c:pt idx="5">
                  <c:v>0</c:v>
                </c:pt>
                <c:pt idx="6">
                  <c:v>0</c:v>
                </c:pt>
              </c:numCache>
            </c:numRef>
          </c:val>
          <c:extLst>
            <c:ext xmlns:c16="http://schemas.microsoft.com/office/drawing/2014/chart" uri="{C3380CC4-5D6E-409C-BE32-E72D297353CC}">
              <c16:uniqueId val="{0000000F-D400-43C9-BEEA-CDEC4B22F960}"/>
            </c:ext>
          </c:extLst>
        </c:ser>
        <c:ser>
          <c:idx val="5"/>
          <c:order val="4"/>
          <c:tx>
            <c:v>Tier 3 --&gt; 4</c:v>
          </c:tx>
          <c:spPr>
            <a:solidFill>
              <a:schemeClr val="accent6"/>
            </a:solidFill>
            <a:ln>
              <a:noFill/>
            </a:ln>
            <a:effectLst/>
          </c:spPr>
          <c:invertIfNegative val="0"/>
          <c:dLbls>
            <c:dLbl>
              <c:idx val="1"/>
              <c:layout>
                <c:manualLayout>
                  <c:x val="7.7467363450251341E-3"/>
                  <c:y val="0.25698109305887973"/>
                </c:manualLayout>
              </c:layout>
              <c:tx>
                <c:rich>
                  <a:bodyPr/>
                  <a:lstStyle/>
                  <a:p>
                    <a:fld id="{A00DC319-15FC-442E-B803-10B42FB59EB3}" type="CELLREF">
                      <a:rPr lang="en-US" sz="1000" b="1">
                        <a:solidFill>
                          <a:sysClr val="windowText" lastClr="000000"/>
                        </a:solidFill>
                      </a:rPr>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{A00DC319-15FC-442E-B803-10B42FB59EB3}</c15:txfldGUID>
                      <c15:f>'Scenario Manager'!$O$114</c15:f>
                      <c15:dlblFieldTableCache>
                        <c:ptCount val="1"/>
                      </c15:dlblFieldTableCache>
                    </c15:dlblFTEntry>
                  </c15:dlblFieldTable>
                  <c15:showDataLabelsRange val="0"/>
                </c:ext>
                <c:ext xmlns:c16="http://schemas.microsoft.com/office/drawing/2014/chart" uri="{C3380CC4-5D6E-409C-BE32-E72D297353CC}">
                  <c16:uniqueId val="{00000010-D400-43C9-BEEA-CDEC4B22F960}"/>
                </c:ext>
              </c:extLst>
            </c:dLbl>
            <c:dLbl>
              <c:idx val="2"/>
              <c:layout>
                <c:manualLayout>
                  <c:x val="-1.7994864022268531E-3"/>
                  <c:y val="0.25307304722334878"/>
                </c:manualLayout>
              </c:layout>
              <c:tx>
                <c:rich>
                  <a:bodyPr/>
                  <a:lstStyle/>
                  <a:p>
                    <a:fld id="{9A6C1B80-EC8E-485D-AF98-254193D054C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{9A6C1B80-EC8E-485D-AF98-254193D054C6}</c15:txfldGUID>
                      <c15:f>'Scenario Manager'!$P$114</c15:f>
                      <c15:dlblFieldTableCache>
                        <c:ptCount val="1"/>
                      </c15:dlblFieldTableCache>
                    </c15:dlblFTEntry>
                  </c15:dlblFieldTable>
                  <c15:showDataLabelsRange val="0"/>
                </c:ext>
                <c:ext xmlns:c16="http://schemas.microsoft.com/office/drawing/2014/chart" uri="{C3380CC4-5D6E-409C-BE32-E72D297353CC}">
                  <c16:uniqueId val="{00000011-D400-43C9-BEEA-CDEC4B22F960}"/>
                </c:ext>
              </c:extLst>
            </c:dLbl>
            <c:dLbl>
              <c:idx val="3"/>
              <c:layout>
                <c:manualLayout>
                  <c:x val="6.2049959274781425E-3"/>
                  <c:y val="0.24439718546847006"/>
                </c:manualLayout>
              </c:layout>
              <c:tx>
                <c:rich>
                  <a:bodyPr/>
                  <a:lstStyle/>
                  <a:p>
                    <a:fld id="{936BDD74-735F-416D-A99D-C0A4A9B3FE8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{936BDD74-735F-416D-A99D-C0A4A9B3FE85}</c15:txfldGUID>
                      <c15:f>'Scenario Manager'!$Q$114</c15:f>
                      <c15:dlblFieldTableCache>
                        <c:ptCount val="1"/>
                      </c15:dlblFieldTableCache>
                    </c15:dlblFTEntry>
                  </c15:dlblFieldTable>
                  <c15:showDataLabelsRange val="0"/>
                </c:ext>
                <c:ext xmlns:c16="http://schemas.microsoft.com/office/drawing/2014/chart" uri="{C3380CC4-5D6E-409C-BE32-E72D297353CC}">
                  <c16:uniqueId val="{00000012-D400-43C9-BEEA-CDEC4B22F960}"/>
                </c:ext>
              </c:extLst>
            </c:dLbl>
            <c:dLbl>
              <c:idx val="4"/>
              <c:layout>
                <c:manualLayout>
                  <c:x val="6.2049959274781425E-3"/>
                  <c:y val="0.24048913963293903"/>
                </c:manualLayout>
              </c:layout>
              <c:tx>
                <c:rich>
                  <a:bodyPr/>
                  <a:lstStyle/>
                  <a:p>
                    <a:fld id="{664E0ECA-EA31-47AA-BDEE-D3817C7D596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{664E0ECA-EA31-47AA-BDEE-D3817C7D5966}</c15:txfldGUID>
                      <c15:f>'Scenario Manager'!$R$114</c15:f>
                      <c15:dlblFieldTableCache>
                        <c:ptCount val="1"/>
                      </c15:dlblFieldTableCache>
                    </c15:dlblFTEntry>
                  </c15:dlblFieldTable>
                  <c15:showDataLabelsRange val="0"/>
                </c:ext>
                <c:ext xmlns:c16="http://schemas.microsoft.com/office/drawing/2014/chart" uri="{C3380CC4-5D6E-409C-BE32-E72D297353CC}">
                  <c16:uniqueId val="{00000013-D400-43C9-BEEA-CDEC4B22F960}"/>
                </c:ext>
              </c:extLst>
            </c:dLbl>
            <c:dLbl>
              <c:idx val="5"/>
              <c:layout>
                <c:manualLayout>
                  <c:x val="4.7730737903664018E-4"/>
                  <c:y val="0.23658109379740813"/>
                </c:manualLayout>
              </c:layout>
              <c:tx>
                <c:rich>
                  <a:bodyPr/>
                  <a:lstStyle/>
                  <a:p>
                    <a:fld id="{C59C3547-6839-47C9-A859-4D477E923898}"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{C59C3547-6839-47C9-A859-4D477E923898}</c15:txfldGUID>
                      <c15:f>'Scenario Manager'!$S$114</c15:f>
                      <c15:dlblFieldTableCache>
                        <c:ptCount val="1"/>
                      </c15:dlblFieldTableCache>
                    </c15:dlblFTEntry>
                  </c15:dlblFieldTable>
                  <c15:showDataLabelsRange val="0"/>
                </c:ext>
                <c:ext xmlns:c16="http://schemas.microsoft.com/office/drawing/2014/chart" uri="{C3380CC4-5D6E-409C-BE32-E72D297353CC}">
                  <c16:uniqueId val="{00000014-D400-43C9-BEEA-CDEC4B22F960}"/>
                </c:ext>
              </c:extLst>
            </c:dLbl>
            <c:dLbl>
              <c:idx val="6"/>
              <c:layout>
                <c:manualLayout>
                  <c:x val="2.3865368951837608E-3"/>
                  <c:y val="0.23658109379740813"/>
                </c:manualLayout>
              </c:layout>
              <c:tx>
                <c:rich>
                  <a:bodyPr/>
                  <a:lstStyle/>
                  <a:p>
                    <a:fld id="{F41BDF04-7134-4BF4-9310-7839ED2D7A1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{F41BDF04-7134-4BF4-9310-7839ED2D7A13}</c15:txfldGUID>
                      <c15:f>'Scenario Manager'!$T$114</c15:f>
                      <c15:dlblFieldTableCache>
                        <c:ptCount val="1"/>
                      </c15:dlblFieldTableCache>
                    </c15:dlblFTEntry>
                  </c15:dlblFieldTable>
                  <c15:showDataLabelsRange val="0"/>
                </c:ext>
                <c:ext xmlns:c16="http://schemas.microsoft.com/office/drawing/2014/chart" uri="{C3380CC4-5D6E-409C-BE32-E72D297353CC}">
                  <c16:uniqueId val="{00000015-D400-43C9-BEEA-CDEC4B22F96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Manager'!$N$108:$T$108</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6-D400-43C9-BEEA-CDEC4B22F960}"/>
            </c:ext>
          </c:extLst>
        </c:ser>
        <c:ser>
          <c:idx val="6"/>
          <c:order val="5"/>
          <c:tx>
            <c:v>Tier 4 --&gt; 5</c:v>
          </c:tx>
          <c:spPr>
            <a:solidFill>
              <a:schemeClr val="accent1">
                <a:lumMod val="60000"/>
              </a:schemeClr>
            </a:solidFill>
            <a:ln>
              <a:noFill/>
            </a:ln>
            <a:effectLst/>
          </c:spPr>
          <c:invertIfNegative val="0"/>
          <c:dLbls>
            <c:dLbl>
              <c:idx val="1"/>
              <c:layout>
                <c:manualLayout>
                  <c:x val="5.8326783848092131E-3"/>
                  <c:y val="0.13973971799295073"/>
                </c:manualLayout>
              </c:layout>
              <c:tx>
                <c:rich>
                  <a:bodyPr rot="0" spcFirstLastPara="1" vertOverflow="ellipsis" vert="horz" wrap="square" lIns="38100" tIns="19050" rIns="38100" bIns="19050" anchor="ctr" anchorCtr="1">
                    <a:noAutofit/>
                  </a:bodyPr>
                  <a:lstStyle/>
                  <a:p>
                    <a:pPr>
                      <a:defRPr sz="1000" b="1" i="0" u="none" strike="noStrike" kern="1200" baseline="0">
                        <a:solidFill>
                          <a:sysClr val="windowText" lastClr="000000"/>
                        </a:solidFill>
                        <a:latin typeface="+mn-lt"/>
                        <a:ea typeface="+mn-ea"/>
                        <a:cs typeface="+mn-cs"/>
                      </a:defRPr>
                    </a:pPr>
                    <a:fld id="{0927FFAC-A81E-4D35-A0EC-A9E4CDE07BAB}" type="CELLREF">
                      <a:rPr lang="en-US" sz="1000" b="1">
                        <a:solidFill>
                          <a:sysClr val="windowText" lastClr="000000"/>
                        </a:solidFill>
                      </a:rPr>
                      <a:pPr>
                        <a:defRPr sz="1000" b="1">
                          <a:solidFill>
                            <a:sysClr val="windowText" lastClr="000000"/>
                          </a:solidFill>
                        </a:defRPr>
                      </a:pPr>
                      <a:t>[CELLREF]</a:t>
                    </a:fld>
                    <a:endParaRPr lang="en-US"/>
                  </a:p>
                </c:rich>
              </c:tx>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7.1418256350826284E-2"/>
                      <c:h val="6.723808246038257E-2"/>
                    </c:manualLayout>
                  </c15:layout>
                  <c15:dlblFieldTable>
                    <c15:dlblFTEntry>
                      <c15:txfldGUID>{0927FFAC-A81E-4D35-A0EC-A9E4CDE07BAB}</c15:txfldGUID>
                      <c15:f>'Scenario Manager'!$O$115</c15:f>
                      <c15:dlblFieldTableCache>
                        <c:ptCount val="1"/>
                      </c15:dlblFieldTableCache>
                    </c15:dlblFTEntry>
                  </c15:dlblFieldTable>
                  <c15:showDataLabelsRange val="0"/>
                </c:ext>
                <c:ext xmlns:c16="http://schemas.microsoft.com/office/drawing/2014/chart" uri="{C3380CC4-5D6E-409C-BE32-E72D297353CC}">
                  <c16:uniqueId val="{00000017-D400-43C9-BEEA-CDEC4B22F960}"/>
                </c:ext>
              </c:extLst>
            </c:dLbl>
            <c:dLbl>
              <c:idx val="2"/>
              <c:layout>
                <c:manualLayout>
                  <c:x val="2.386536895183831E-3"/>
                  <c:y val="0.14669603958019586"/>
                </c:manualLayout>
              </c:layout>
              <c:tx>
                <c:rich>
                  <a:bodyPr/>
                  <a:lstStyle/>
                  <a:p>
                    <a:fld id="{48597A04-9C31-44E5-84E5-BE0E34D229C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{48597A04-9C31-44E5-84E5-BE0E34D229C9}</c15:txfldGUID>
                      <c15:f>'Scenario Manager'!$P$115</c15:f>
                      <c15:dlblFieldTableCache>
                        <c:ptCount val="1"/>
                      </c15:dlblFieldTableCache>
                    </c15:dlblFTEntry>
                  </c15:dlblFieldTable>
                  <c15:showDataLabelsRange val="0"/>
                </c:ext>
                <c:ext xmlns:c16="http://schemas.microsoft.com/office/drawing/2014/chart" uri="{C3380CC4-5D6E-409C-BE32-E72D297353CC}">
                  <c16:uniqueId val="{00000018-D400-43C9-BEEA-CDEC4B22F960}"/>
                </c:ext>
              </c:extLst>
            </c:dLbl>
            <c:dLbl>
              <c:idx val="3"/>
              <c:layout>
                <c:manualLayout>
                  <c:x val="4.2957664113310217E-3"/>
                  <c:y val="0.14669603958019586"/>
                </c:manualLayout>
              </c:layout>
              <c:tx>
                <c:rich>
                  <a:bodyPr/>
                  <a:lstStyle/>
                  <a:p>
                    <a:fld id="{1C9774D0-00F9-402A-A538-73FD2B9A3B3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{1C9774D0-00F9-402A-A538-73FD2B9A3B37}</c15:txfldGUID>
                      <c15:f>'Scenario Manager'!$Q$115</c15:f>
                      <c15:dlblFieldTableCache>
                        <c:ptCount val="1"/>
                      </c15:dlblFieldTableCache>
                    </c15:dlblFTEntry>
                  </c15:dlblFieldTable>
                  <c15:showDataLabelsRange val="0"/>
                </c:ext>
                <c:ext xmlns:c16="http://schemas.microsoft.com/office/drawing/2014/chart" uri="{C3380CC4-5D6E-409C-BE32-E72D297353CC}">
                  <c16:uniqueId val="{00000019-D400-43C9-BEEA-CDEC4B22F960}"/>
                </c:ext>
              </c:extLst>
            </c:dLbl>
            <c:dLbl>
              <c:idx val="4"/>
              <c:layout>
                <c:manualLayout>
                  <c:x val="8.1142254436252625E-3"/>
                  <c:y val="0.14278799374466486"/>
                </c:manualLayout>
              </c:layout>
              <c:tx>
                <c:rich>
                  <a:bodyPr/>
                  <a:lstStyle/>
                  <a:p>
                    <a:fld id="{299E7F31-150A-4946-936D-177F758E16C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{299E7F31-150A-4946-936D-177F758E16C9}</c15:txfldGUID>
                      <c15:f>'Scenario Manager'!$R$115</c15:f>
                      <c15:dlblFieldTableCache>
                        <c:ptCount val="1"/>
                      </c15:dlblFieldTableCache>
                    </c15:dlblFTEntry>
                  </c15:dlblFieldTable>
                  <c15:showDataLabelsRange val="0"/>
                </c:ext>
                <c:ext xmlns:c16="http://schemas.microsoft.com/office/drawing/2014/chart" uri="{C3380CC4-5D6E-409C-BE32-E72D297353CC}">
                  <c16:uniqueId val="{0000001A-D400-43C9-BEEA-CDEC4B22F960}"/>
                </c:ext>
              </c:extLst>
            </c:dLbl>
            <c:dLbl>
              <c:idx val="5"/>
              <c:layout>
                <c:manualLayout>
                  <c:x val="4.2957664113310217E-3"/>
                  <c:y val="0.14278799374466489"/>
                </c:manualLayout>
              </c:layout>
              <c:tx>
                <c:rich>
                  <a:bodyPr/>
                  <a:lstStyle/>
                  <a:p>
                    <a:fld id="{A69BA8AB-233C-4404-B819-0FD7433952C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{A69BA8AB-233C-4404-B819-0FD7433952CB}</c15:txfldGUID>
                      <c15:f>'Scenario Manager'!$S$115</c15:f>
                      <c15:dlblFieldTableCache>
                        <c:ptCount val="1"/>
                      </c15:dlblFieldTableCache>
                    </c15:dlblFTEntry>
                  </c15:dlblFieldTable>
                  <c15:showDataLabelsRange val="0"/>
                </c:ext>
                <c:ext xmlns:c16="http://schemas.microsoft.com/office/drawing/2014/chart" uri="{C3380CC4-5D6E-409C-BE32-E72D297353CC}">
                  <c16:uniqueId val="{0000001B-D400-43C9-BEEA-CDEC4B22F960}"/>
                </c:ext>
              </c:extLst>
            </c:dLbl>
            <c:dLbl>
              <c:idx val="6"/>
              <c:layout>
                <c:manualLayout>
                  <c:x val="6.2049959274781425E-3"/>
                  <c:y val="0.14669603958019586"/>
                </c:manualLayout>
              </c:layout>
              <c:tx>
                <c:rich>
                  <a:bodyPr/>
                  <a:lstStyle/>
                  <a:p>
                    <a:fld id="{A3A613A2-7679-4BC8-A6E9-0CE214779E2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{A3A613A2-7679-4BC8-A6E9-0CE214779E2E}</c15:txfldGUID>
                      <c15:f>'Scenario Manager'!$T$115</c15:f>
                      <c15:dlblFieldTableCache>
                        <c:ptCount val="1"/>
                      </c15:dlblFieldTableCache>
                    </c15:dlblFTEntry>
                  </c15:dlblFieldTable>
                  <c15:showDataLabelsRange val="0"/>
                </c:ext>
                <c:ext xmlns:c16="http://schemas.microsoft.com/office/drawing/2014/chart" uri="{C3380CC4-5D6E-409C-BE32-E72D297353CC}">
                  <c16:uniqueId val="{0000001C-D400-43C9-BEEA-CDEC4B22F96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Manager'!$N$109:$T$109</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D-D400-43C9-BEEA-CDEC4B22F960}"/>
            </c:ext>
          </c:extLst>
        </c:ser>
        <c:ser>
          <c:idx val="7"/>
          <c:order val="6"/>
          <c:tx>
            <c:v>Tier 5 --&gt; 6</c:v>
          </c:tx>
          <c:spPr>
            <a:solidFill>
              <a:schemeClr val="accent2">
                <a:lumMod val="60000"/>
              </a:schemeClr>
            </a:solidFill>
            <a:ln>
              <a:noFill/>
            </a:ln>
            <a:effectLst/>
          </c:spPr>
          <c:invertIfNegative val="0"/>
          <c:dLbls>
            <c:dLbl>
              <c:idx val="1"/>
              <c:layout>
                <c:manualLayout>
                  <c:x val="3.9283524792472413E-3"/>
                  <c:y val="0.1944523596903843"/>
                </c:manualLayout>
              </c:layout>
              <c:tx>
                <c:rich>
                  <a:bodyPr/>
                  <a:lstStyle/>
                  <a:p>
                    <a:fld id="{91D7FA88-5BD8-4E6B-AB11-B87EABD0C807}" type="CELLREF">
                      <a:rPr lang="en-US" sz="1000" b="1">
                        <a:solidFill>
                          <a:sysClr val="windowText" lastClr="000000"/>
                        </a:solidFill>
                      </a:rPr>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{91D7FA88-5BD8-4E6B-AB11-B87EABD0C807}</c15:txfldGUID>
                      <c15:f>'Scenario Manager'!$O$116</c15:f>
                      <c15:dlblFieldTableCache>
                        <c:ptCount val="1"/>
                      </c15:dlblFieldTableCache>
                    </c15:dlblFTEntry>
                  </c15:dlblFieldTable>
                  <c15:showDataLabelsRange val="0"/>
                </c:ext>
                <c:ext xmlns:c16="http://schemas.microsoft.com/office/drawing/2014/chart" uri="{C3380CC4-5D6E-409C-BE32-E72D297353CC}">
                  <c16:uniqueId val="{0000001E-D400-43C9-BEEA-CDEC4B22F960}"/>
                </c:ext>
              </c:extLst>
            </c:dLbl>
            <c:dLbl>
              <c:idx val="2"/>
              <c:layout>
                <c:manualLayout>
                  <c:x val="4.7730737903671017E-4"/>
                  <c:y val="0.19750063544209845"/>
                </c:manualLayout>
              </c:layout>
              <c:tx>
                <c:rich>
                  <a:bodyPr/>
                  <a:lstStyle/>
                  <a:p>
                    <a:fld id="{DD51546E-F1EA-464E-8DF6-2B15DB980D0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{DD51546E-F1EA-464E-8DF6-2B15DB980D05}</c15:txfldGUID>
                      <c15:f>'Scenario Manager'!$P$116</c15:f>
                      <c15:dlblFieldTableCache>
                        <c:ptCount val="1"/>
                      </c15:dlblFieldTableCache>
                    </c15:dlblFTEntry>
                  </c15:dlblFieldTable>
                  <c15:showDataLabelsRange val="0"/>
                </c:ext>
                <c:ext xmlns:c16="http://schemas.microsoft.com/office/drawing/2014/chart" uri="{C3380CC4-5D6E-409C-BE32-E72D297353CC}">
                  <c16:uniqueId val="{0000001F-D400-43C9-BEEA-CDEC4B22F960}"/>
                </c:ext>
              </c:extLst>
            </c:dLbl>
            <c:dLbl>
              <c:idx val="3"/>
              <c:layout>
                <c:manualLayout>
                  <c:x val="6.2049959274781425E-3"/>
                  <c:y val="0.18968454377103644"/>
                </c:manualLayout>
              </c:layout>
              <c:tx>
                <c:rich>
                  <a:bodyPr/>
                  <a:lstStyle/>
                  <a:p>
                    <a:fld id="{D8D9D575-6012-4ACC-B1AB-9492C8E0502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{D8D9D575-6012-4ACC-B1AB-9492C8E05021}</c15:txfldGUID>
                      <c15:f>'Scenario Manager'!$Q$116</c15:f>
                      <c15:dlblFieldTableCache>
                        <c:ptCount val="1"/>
                      </c15:dlblFieldTableCache>
                    </c15:dlblFTEntry>
                  </c15:dlblFieldTable>
                  <c15:showDataLabelsRange val="0"/>
                </c:ext>
                <c:ext xmlns:c16="http://schemas.microsoft.com/office/drawing/2014/chart" uri="{C3380CC4-5D6E-409C-BE32-E72D297353CC}">
                  <c16:uniqueId val="{00000020-D400-43C9-BEEA-CDEC4B22F960}"/>
                </c:ext>
              </c:extLst>
            </c:dLbl>
            <c:dLbl>
              <c:idx val="4"/>
              <c:layout>
                <c:manualLayout>
                  <c:x val="6.2049959274781425E-3"/>
                  <c:y val="0.18968454377103644"/>
                </c:manualLayout>
              </c:layout>
              <c:tx>
                <c:rich>
                  <a:bodyPr/>
                  <a:lstStyle/>
                  <a:p>
                    <a:fld id="{68B59A8B-9D80-45C4-8D17-2DE614407B1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{68B59A8B-9D80-45C4-8D17-2DE614407B1E}</c15:txfldGUID>
                      <c15:f>'Scenario Manager'!$R$116</c15:f>
                      <c15:dlblFieldTableCache>
                        <c:ptCount val="1"/>
                      </c15:dlblFieldTableCache>
                    </c15:dlblFTEntry>
                  </c15:dlblFieldTable>
                  <c15:showDataLabelsRange val="0"/>
                </c:ext>
                <c:ext xmlns:c16="http://schemas.microsoft.com/office/drawing/2014/chart" uri="{C3380CC4-5D6E-409C-BE32-E72D297353CC}">
                  <c16:uniqueId val="{00000021-D400-43C9-BEEA-CDEC4B22F960}"/>
                </c:ext>
              </c:extLst>
            </c:dLbl>
            <c:dLbl>
              <c:idx val="5"/>
              <c:layout>
                <c:manualLayout>
                  <c:x val="8.1142254436251237E-3"/>
                  <c:y val="0.18577649793550552"/>
                </c:manualLayout>
              </c:layout>
              <c:tx>
                <c:rich>
                  <a:bodyPr/>
                  <a:lstStyle/>
                  <a:p>
                    <a:fld id="{A695B325-9B87-4BBE-A4A5-94D8A6327DB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{A695B325-9B87-4BBE-A4A5-94D8A6327DB9}</c15:txfldGUID>
                      <c15:f>'Scenario Manager'!$S$116</c15:f>
                      <c15:dlblFieldTableCache>
                        <c:ptCount val="1"/>
                      </c15:dlblFieldTableCache>
                    </c15:dlblFTEntry>
                  </c15:dlblFieldTable>
                  <c15:showDataLabelsRange val="0"/>
                </c:ext>
                <c:ext xmlns:c16="http://schemas.microsoft.com/office/drawing/2014/chart" uri="{C3380CC4-5D6E-409C-BE32-E72D297353CC}">
                  <c16:uniqueId val="{00000022-D400-43C9-BEEA-CDEC4B22F960}"/>
                </c:ext>
              </c:extLst>
            </c:dLbl>
            <c:dLbl>
              <c:idx val="6"/>
              <c:layout>
                <c:manualLayout>
                  <c:x val="6.204995927478002E-3"/>
                  <c:y val="0.18968454377103644"/>
                </c:manualLayout>
              </c:layout>
              <c:tx>
                <c:rich>
                  <a:bodyPr/>
                  <a:lstStyle/>
                  <a:p>
                    <a:fld id="{E9D48FAD-B18A-441B-ADA0-5EB41367715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{E9D48FAD-B18A-441B-ADA0-5EB413677157}</c15:txfldGUID>
                      <c15:f>'Scenario Manager'!$T$116</c15:f>
                      <c15:dlblFieldTableCache>
                        <c:ptCount val="1"/>
                      </c15:dlblFieldTableCache>
                    </c15:dlblFTEntry>
                  </c15:dlblFieldTable>
                  <c15:showDataLabelsRange val="0"/>
                </c:ext>
                <c:ext xmlns:c16="http://schemas.microsoft.com/office/drawing/2014/chart" uri="{C3380CC4-5D6E-409C-BE32-E72D297353CC}">
                  <c16:uniqueId val="{00000023-D400-43C9-BEEA-CDEC4B22F96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Manager'!$N$110:$T$110</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24-D400-43C9-BEEA-CDEC4B22F960}"/>
            </c:ext>
          </c:extLst>
        </c:ser>
        <c:dLbls>
          <c:showLegendKey val="0"/>
          <c:showVal val="0"/>
          <c:showCatName val="0"/>
          <c:showSerName val="0"/>
          <c:showPercent val="0"/>
          <c:showBubbleSize val="0"/>
        </c:dLbls>
        <c:gapWidth val="150"/>
        <c:axId val="605980712"/>
        <c:axId val="605977104"/>
      </c:barChart>
      <c:catAx>
        <c:axId val="605980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5977104"/>
        <c:crosses val="autoZero"/>
        <c:auto val="1"/>
        <c:lblAlgn val="ctr"/>
        <c:lblOffset val="100"/>
        <c:noMultiLvlLbl val="0"/>
      </c:catAx>
      <c:valAx>
        <c:axId val="605977104"/>
        <c:scaling>
          <c:orientation val="minMax"/>
          <c:max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605980712"/>
        <c:crosses val="autoZero"/>
        <c:crossBetween val="between"/>
        <c:majorUnit val="0.1"/>
      </c:valAx>
      <c:spPr>
        <a:noFill/>
        <a:ln>
          <a:noFill/>
        </a:ln>
        <a:effectLst/>
      </c:spPr>
    </c:plotArea>
    <c:legend>
      <c:legendPos val="b"/>
      <c:legendEntry>
        <c:idx val="0"/>
        <c:delete val="1"/>
      </c:legendEntry>
      <c:legendEntry>
        <c:idx val="1"/>
        <c:delete val="1"/>
      </c:legendEntry>
      <c:layout>
        <c:manualLayout>
          <c:xMode val="edge"/>
          <c:yMode val="edge"/>
          <c:x val="0.18347465677892233"/>
          <c:y val="0.91188935181988473"/>
          <c:w val="0.56675458633126241"/>
          <c:h val="7.518898205929473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rPr>
              <a:t>Supply</a:t>
            </a: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 Chain Costs by Tier and Functional Area</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8363667826104205"/>
          <c:y val="4.0552861015645614E-3"/>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15716828215597861"/>
          <c:y val="0.14508321361254037"/>
          <c:w val="0.78082090260156045"/>
          <c:h val="0.61361170773948515"/>
        </c:manualLayout>
      </c:layout>
      <c:barChart>
        <c:barDir val="col"/>
        <c:grouping val="stacked"/>
        <c:varyColors val="0"/>
        <c:ser>
          <c:idx val="1"/>
          <c:order val="0"/>
          <c:tx>
            <c:strRef>
              <c:f>'1_Outputs'!$F$78</c:f>
              <c:strCache>
                <c:ptCount val="1"/>
                <c:pt idx="0">
                  <c:v>Total Warehousing Costs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'1_Outputs'!$H$76:$W$76</c:f>
              <c:strCache>
                <c:ptCount val="6"/>
                <c:pt idx="0">
                  <c:v> CMS Tier </c:v>
                </c:pt>
                <c:pt idx="1">
                  <c:v> Regional WH Tier </c:v>
                </c:pt>
                <c:pt idx="2">
                  <c:v> Health Facility Tier </c:v>
                </c:pt>
                <c:pt idx="3">
                  <c:v>  </c:v>
                </c:pt>
                <c:pt idx="4">
                  <c:v>  </c:v>
                </c:pt>
                <c:pt idx="5">
                  <c:v>  </c:v>
                </c:pt>
              </c:strCache>
            </c:strRef>
          </c:cat>
          <c:val>
            <c:numRef>
              <c:f>'1_Outputs'!$H$78:$W$78</c:f>
              <c:numCache>
                <c:formatCode>_("$"* #,##0_);_("$"* \(#,##0\);_("$"* "-"??_);_(@_)</c:formatCode>
                <c:ptCount val="6"/>
                <c:pt idx="0">
                  <c:v>356937.61504037399</c:v>
                </c:pt>
                <c:pt idx="1">
                  <c:v>281586.00040215149</c:v>
                </c:pt>
                <c:pt idx="2">
                  <c:v>244046.7819764734</c:v>
                </c:pt>
                <c:pt idx="3">
                  <c:v>0</c:v>
                </c:pt>
                <c:pt idx="4">
                  <c:v>0</c:v>
                </c:pt>
                <c:pt idx="5">
                  <c:v>0</c:v>
                </c:pt>
              </c:numCache>
            </c:numRef>
          </c:val>
          <c:extLst>
            <c:ext xmlns:c16="http://schemas.microsoft.com/office/drawing/2014/chart" uri="{C3380CC4-5D6E-409C-BE32-E72D297353CC}">
              <c16:uniqueId val="{00000000-5008-41BF-AF37-3AB9FF102E75}"/>
            </c:ext>
          </c:extLst>
        </c:ser>
        <c:ser>
          <c:idx val="2"/>
          <c:order val="1"/>
          <c:tx>
            <c:strRef>
              <c:f>'1_Outputs'!$F$79</c:f>
              <c:strCache>
                <c:ptCount val="1"/>
                <c:pt idx="0">
                  <c:v>Total Transportation Costs</c:v>
                </c:pt>
              </c:strCache>
            </c:strRef>
          </c:tx>
          <c:spPr>
            <a:solidFill>
              <a:schemeClr val="accent2">
                <a:lumMod val="60000"/>
                <a:lumOff val="4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5008-41BF-AF37-3AB9FF102E75}"/>
                </c:ext>
              </c:extLst>
            </c:dLbl>
            <c:dLbl>
              <c:idx val="1"/>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08-41BF-AF37-3AB9FF102E75}"/>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'1_Outputs'!$H$76:$W$76</c:f>
              <c:strCache>
                <c:ptCount val="6"/>
                <c:pt idx="0">
                  <c:v> CMS Tier </c:v>
                </c:pt>
                <c:pt idx="1">
                  <c:v> Regional WH Tier </c:v>
                </c:pt>
                <c:pt idx="2">
                  <c:v> Health Facility Tier </c:v>
                </c:pt>
                <c:pt idx="3">
                  <c:v>  </c:v>
                </c:pt>
                <c:pt idx="4">
                  <c:v>  </c:v>
                </c:pt>
                <c:pt idx="5">
                  <c:v>  </c:v>
                </c:pt>
              </c:strCache>
            </c:strRef>
          </c:cat>
          <c:val>
            <c:numRef>
              <c:f>'1_Outputs'!$H$79:$W$79</c:f>
              <c:numCache>
                <c:formatCode>_("$"* #,##0_);_("$"* \(#,##0\);_("$"* "-"??_);_(@_)</c:formatCode>
                <c:ptCount val="6"/>
                <c:pt idx="0">
                  <c:v>0</c:v>
                </c:pt>
                <c:pt idx="1">
                  <c:v>101011.57136787566</c:v>
                </c:pt>
                <c:pt idx="2">
                  <c:v>314287.72108914063</c:v>
                </c:pt>
                <c:pt idx="3">
                  <c:v>0</c:v>
                </c:pt>
                <c:pt idx="4">
                  <c:v>0</c:v>
                </c:pt>
                <c:pt idx="5">
                  <c:v>0</c:v>
                </c:pt>
              </c:numCache>
            </c:numRef>
          </c:val>
          <c:extLst>
            <c:ext xmlns:c16="http://schemas.microsoft.com/office/drawing/2014/chart" uri="{C3380CC4-5D6E-409C-BE32-E72D297353CC}">
              <c16:uniqueId val="{00000003-5008-41BF-AF37-3AB9FF102E75}"/>
            </c:ext>
          </c:extLst>
        </c:ser>
        <c:ser>
          <c:idx val="4"/>
          <c:order val="2"/>
          <c:tx>
            <c:strRef>
              <c:f>'1_Outputs'!$F$80</c:f>
              <c:strCache>
                <c:ptCount val="1"/>
                <c:pt idx="0">
                  <c:v>Total Management/System Support Costs</c:v>
                </c:pt>
              </c:strCache>
            </c:strRef>
          </c:tx>
          <c:spPr>
            <a:solidFill>
              <a:schemeClr val="accent6">
                <a:lumMod val="60000"/>
                <a:lumOff val="40000"/>
              </a:schemeClr>
            </a:solidFill>
            <a:ln>
              <a:noFill/>
            </a:ln>
            <a:effectLst/>
          </c:spPr>
          <c:invertIfNegative val="0"/>
          <c:dLbls>
            <c:dLbl>
              <c:idx val="1"/>
              <c:layout>
                <c:manualLayout>
                  <c:x val="-7.9624202590205673E-17"/>
                  <c:y val="-2.83000969015691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08-41BF-AF37-3AB9FF102E75}"/>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'1_Outputs'!$H$76:$W$76</c:f>
              <c:strCache>
                <c:ptCount val="6"/>
                <c:pt idx="0">
                  <c:v> CMS Tier </c:v>
                </c:pt>
                <c:pt idx="1">
                  <c:v> Regional WH Tier </c:v>
                </c:pt>
                <c:pt idx="2">
                  <c:v> Health Facility Tier </c:v>
                </c:pt>
                <c:pt idx="3">
                  <c:v>  </c:v>
                </c:pt>
                <c:pt idx="4">
                  <c:v>  </c:v>
                </c:pt>
                <c:pt idx="5">
                  <c:v>  </c:v>
                </c:pt>
              </c:strCache>
            </c:strRef>
          </c:cat>
          <c:val>
            <c:numRef>
              <c:f>'1_Outputs'!$H$80:$W$80</c:f>
              <c:numCache>
                <c:formatCode>_("$"* #,##0_);_("$"* \(#,##0\);_("$"* "-"??_);_(@_)</c:formatCode>
                <c:ptCount val="6"/>
                <c:pt idx="0">
                  <c:v>68518.335535384278</c:v>
                </c:pt>
                <c:pt idx="1">
                  <c:v>13104</c:v>
                </c:pt>
                <c:pt idx="2">
                  <c:v>50452.347965689762</c:v>
                </c:pt>
                <c:pt idx="3">
                  <c:v>0</c:v>
                </c:pt>
                <c:pt idx="4">
                  <c:v>0</c:v>
                </c:pt>
                <c:pt idx="5">
                  <c:v>0</c:v>
                </c:pt>
              </c:numCache>
            </c:numRef>
          </c:val>
          <c:extLst>
            <c:ext xmlns:c16="http://schemas.microsoft.com/office/drawing/2014/chart" uri="{C3380CC4-5D6E-409C-BE32-E72D297353CC}">
              <c16:uniqueId val="{00000005-5008-41BF-AF37-3AB9FF102E75}"/>
            </c:ext>
          </c:extLst>
        </c:ser>
        <c:dLbls>
          <c:showLegendKey val="0"/>
          <c:showVal val="0"/>
          <c:showCatName val="0"/>
          <c:showSerName val="0"/>
          <c:showPercent val="0"/>
          <c:showBubbleSize val="0"/>
        </c:dLbls>
        <c:gapWidth val="12"/>
        <c:overlap val="100"/>
        <c:axId val="909679712"/>
        <c:axId val="909680104"/>
      </c:barChart>
      <c:catAx>
        <c:axId val="90967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80104"/>
        <c:crosses val="autoZero"/>
        <c:auto val="1"/>
        <c:lblAlgn val="ctr"/>
        <c:lblOffset val="100"/>
        <c:noMultiLvlLbl val="0"/>
      </c:catAx>
      <c:valAx>
        <c:axId val="9096801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7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Warehousing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0"/>
          <c:order val="0"/>
          <c:tx>
            <c:strRef>
              <c:f>'1_Outputs'!$Y$84:$Y$86</c:f>
              <c:strCache>
                <c:ptCount val="3"/>
                <c:pt idx="0">
                  <c:v> $427,662 </c:v>
                </c:pt>
                <c:pt idx="1">
                  <c:v> $49,779 </c:v>
                </c:pt>
                <c:pt idx="2">
                  <c:v> $405,129 </c:v>
                </c:pt>
              </c:strCache>
            </c:strRef>
          </c:tx>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7C10-4ED8-B5F7-84C3F602A2AB}"/>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7C10-4ED8-B5F7-84C3F602A2AB}"/>
              </c:ext>
            </c:extLst>
          </c:dPt>
          <c:dPt>
            <c:idx val="2"/>
            <c:bubble3D val="0"/>
            <c:spPr>
              <a:solidFill>
                <a:srgbClr val="BA8CDC"/>
              </a:solidFill>
              <a:ln w="19050">
                <a:solidFill>
                  <a:schemeClr val="lt1"/>
                </a:solidFill>
              </a:ln>
              <a:effectLst/>
            </c:spPr>
            <c:extLst>
              <c:ext xmlns:c16="http://schemas.microsoft.com/office/drawing/2014/chart" uri="{C3380CC4-5D6E-409C-BE32-E72D297353CC}">
                <c16:uniqueId val="{00000005-7C10-4ED8-B5F7-84C3F602A2AB}"/>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7-7C10-4ED8-B5F7-84C3F602A2AB}"/>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7C10-4ED8-B5F7-84C3F602A2A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C10-4ED8-B5F7-84C3F602A2AB}"/>
              </c:ext>
            </c:extLst>
          </c:dPt>
          <c:dLbls>
            <c:dLbl>
              <c:idx val="0"/>
              <c:layout>
                <c:manualLayout>
                  <c:x val="5.1502811317464753E-3"/>
                  <c:y val="-4.5124813281971566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C10-4ED8-B5F7-84C3F602A2AB}"/>
                </c:ext>
              </c:extLst>
            </c:dLbl>
            <c:dLbl>
              <c:idx val="1"/>
              <c:layout>
                <c:manualLayout>
                  <c:x val="-1.1744824472127394E-3"/>
                  <c:y val="5.9303690628186561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C10-4ED8-B5F7-84C3F602A2AB}"/>
                </c:ext>
              </c:extLst>
            </c:dLbl>
            <c:dLbl>
              <c:idx val="3"/>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7-7C10-4ED8-B5F7-84C3F602A2AB}"/>
                </c:ext>
              </c:extLst>
            </c:dLbl>
            <c:dLbl>
              <c:idx val="4"/>
              <c:layout>
                <c:manualLayout>
                  <c:x val="8.5326409417197466E-3"/>
                  <c:y val="-8.017930826700612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C10-4ED8-B5F7-84C3F602A2AB}"/>
                </c:ext>
              </c:extLst>
            </c:dLbl>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'1_Outputs'!$F$84:$F$86</c:f>
              <c:strCache>
                <c:ptCount val="3"/>
                <c:pt idx="0">
                  <c:v>Labor</c:v>
                </c:pt>
                <c:pt idx="1">
                  <c:v>Equipment &amp; Depreciation Costs</c:v>
                </c:pt>
                <c:pt idx="2">
                  <c:v>Utilities, repairs, insurance, &amp; other warehouse operations</c:v>
                </c:pt>
              </c:strCache>
            </c:strRef>
          </c:cat>
          <c:val>
            <c:numRef>
              <c:f>'1_Outputs'!$Y$84:$Y$86</c:f>
              <c:numCache>
                <c:formatCode>_("$"* #,##0_);_("$"* \(#,##0\);_("$"* "-"??_);_(@_)</c:formatCode>
                <c:ptCount val="3"/>
                <c:pt idx="0">
                  <c:v>427661.94257105479</c:v>
                </c:pt>
                <c:pt idx="1">
                  <c:v>49779.065174753043</c:v>
                </c:pt>
                <c:pt idx="2">
                  <c:v>405129.38967319101</c:v>
                </c:pt>
              </c:numCache>
            </c:numRef>
          </c:val>
          <c:extLst>
            <c:ext xmlns:c16="http://schemas.microsoft.com/office/drawing/2014/chart" uri="{C3380CC4-5D6E-409C-BE32-E72D297353CC}">
              <c16:uniqueId val="{0000000C-7C10-4ED8-B5F7-84C3F602A2AB}"/>
            </c:ext>
          </c:extLst>
        </c:ser>
        <c:dLbls>
          <c:showLegendKey val="0"/>
          <c:showVal val="0"/>
          <c:showCatName val="0"/>
          <c:showSerName val="0"/>
          <c:showPercent val="0"/>
          <c:showBubbleSize val="0"/>
          <c:showLeaderLines val="0"/>
        </c:dLbls>
        <c:firstSliceAng val="0"/>
        <c:holeSize val="35"/>
      </c:doughnutChart>
      <c:spPr>
        <a:noFill/>
        <a:ln>
          <a:noFill/>
        </a:ln>
        <a:effectLst/>
      </c:spPr>
    </c:plotArea>
    <c:legend>
      <c:legendPos val="b"/>
      <c:layout>
        <c:manualLayout>
          <c:xMode val="edge"/>
          <c:yMode val="edge"/>
          <c:x val="0"/>
          <c:y val="0.3703232238046737"/>
          <c:w val="0.36856026632094852"/>
          <c:h val="0.39071017001670028"/>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r>
              <a:rPr lang="en-US" sz="1600" b="1">
                <a:solidFill>
                  <a:schemeClr val="tx1">
                    <a:lumMod val="65000"/>
                    <a:lumOff val="35000"/>
                  </a:schemeClr>
                </a:solidFill>
                <a:latin typeface="+mn-lt"/>
                <a:ea typeface="Garamond" charset="0"/>
                <a:cs typeface="Garamond" charset="0"/>
              </a:rPr>
              <a:t>Utilization of Transport and Storage Resources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endParaRPr lang="en-US"/>
        </a:p>
      </c:txPr>
    </c:title>
    <c:autoTitleDeleted val="0"/>
    <c:plotArea>
      <c:layout>
        <c:manualLayout>
          <c:layoutTarget val="inner"/>
          <c:xMode val="edge"/>
          <c:yMode val="edge"/>
          <c:x val="0.11135040608573343"/>
          <c:y val="0.14141402363091585"/>
          <c:w val="0.72844585793359251"/>
          <c:h val="0.58695918597061025"/>
        </c:manualLayout>
      </c:layout>
      <c:areaChart>
        <c:grouping val="stacked"/>
        <c:varyColors val="0"/>
        <c:ser>
          <c:idx val="2"/>
          <c:order val="2"/>
          <c:spPr>
            <a:noFill/>
            <a:ln>
              <a:noFill/>
            </a:ln>
            <a:effectLst/>
          </c:spPr>
          <c:cat>
            <c:strRef>
              <c:f>'1_Outputs'!$AB$56:$AB$68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'1_Outputs'!$AF$56:$AF$68</c:f>
              <c:numCache>
                <c:formatCode>0%</c:formatCode>
                <c:ptCount val="13"/>
                <c:pt idx="0">
                  <c:v>0.5</c:v>
                </c:pt>
                <c:pt idx="1">
                  <c:v>0.5</c:v>
                </c:pt>
                <c:pt idx="2">
                  <c:v>0.5</c:v>
                </c:pt>
                <c:pt idx="3">
                  <c:v>0.5</c:v>
                </c:pt>
                <c:pt idx="4">
                  <c:v>0.5</c:v>
                </c:pt>
                <c:pt idx="5">
                  <c:v>0.5</c:v>
                </c:pt>
                <c:pt idx="6">
                  <c:v>0.5</c:v>
                </c:pt>
                <c:pt idx="7">
                  <c:v>0.5</c:v>
                </c:pt>
                <c:pt idx="8">
                  <c:v>0.5</c:v>
                </c:pt>
                <c:pt idx="9">
                  <c:v>0.5</c:v>
                </c:pt>
                <c:pt idx="10">
                  <c:v>0.5</c:v>
                </c:pt>
                <c:pt idx="11">
                  <c:v>0.5</c:v>
                </c:pt>
                <c:pt idx="12">
                  <c:v>0.5</c:v>
                </c:pt>
              </c:numCache>
            </c:numRef>
          </c:val>
          <c:extLst>
            <c:ext xmlns:c16="http://schemas.microsoft.com/office/drawing/2014/chart" uri="{C3380CC4-5D6E-409C-BE32-E72D297353CC}">
              <c16:uniqueId val="{00000000-E41B-4E77-8821-8184CD5F5D21}"/>
            </c:ext>
          </c:extLst>
        </c:ser>
        <c:ser>
          <c:idx val="3"/>
          <c:order val="3"/>
          <c:spPr>
            <a:solidFill>
              <a:schemeClr val="accent6">
                <a:lumMod val="40000"/>
                <a:lumOff val="60000"/>
                <a:alpha val="44000"/>
              </a:schemeClr>
            </a:solidFill>
            <a:ln>
              <a:noFill/>
            </a:ln>
            <a:effectLst/>
          </c:spPr>
          <c:cat>
            <c:strRef>
              <c:f>'1_Outputs'!$AB$56:$AB$68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'1_Outputs'!$AG$56:$AG$68</c:f>
              <c:numCache>
                <c:formatCode>0%</c:formatCode>
                <c:ptCount val="13"/>
                <c:pt idx="0">
                  <c:v>0.4</c:v>
                </c:pt>
                <c:pt idx="1">
                  <c:v>0.4</c:v>
                </c:pt>
                <c:pt idx="2">
                  <c:v>0.4</c:v>
                </c:pt>
                <c:pt idx="3">
                  <c:v>0.4</c:v>
                </c:pt>
                <c:pt idx="4">
                  <c:v>0.4</c:v>
                </c:pt>
                <c:pt idx="5">
                  <c:v>0.4</c:v>
                </c:pt>
                <c:pt idx="6">
                  <c:v>0.4</c:v>
                </c:pt>
                <c:pt idx="7">
                  <c:v>0.4</c:v>
                </c:pt>
                <c:pt idx="8">
                  <c:v>0.4</c:v>
                </c:pt>
                <c:pt idx="9">
                  <c:v>0.4</c:v>
                </c:pt>
                <c:pt idx="10">
                  <c:v>0.4</c:v>
                </c:pt>
                <c:pt idx="11">
                  <c:v>0.4</c:v>
                </c:pt>
                <c:pt idx="12">
                  <c:v>0.4</c:v>
                </c:pt>
              </c:numCache>
            </c:numRef>
          </c:val>
          <c:extLst>
            <c:ext xmlns:c16="http://schemas.microsoft.com/office/drawing/2014/chart" uri="{C3380CC4-5D6E-409C-BE32-E72D297353CC}">
              <c16:uniqueId val="{00000001-E41B-4E77-8821-8184CD5F5D21}"/>
            </c:ext>
          </c:extLst>
        </c:ser>
        <c:dLbls>
          <c:showLegendKey val="0"/>
          <c:showVal val="0"/>
          <c:showCatName val="0"/>
          <c:showSerName val="0"/>
          <c:showPercent val="0"/>
          <c:showBubbleSize val="0"/>
        </c:dLbls>
        <c:axId val="909680888"/>
        <c:axId val="909681672"/>
      </c:areaChart>
      <c:barChart>
        <c:barDir val="col"/>
        <c:grouping val="stacked"/>
        <c:varyColors val="0"/>
        <c:ser>
          <c:idx val="0"/>
          <c:order val="0"/>
          <c:spPr>
            <a:solidFill>
              <a:schemeClr val="accent1"/>
            </a:solidFill>
            <a:ln>
              <a:noFill/>
            </a:ln>
            <a:effectLst/>
          </c:spPr>
          <c:invertIfNegative val="0"/>
          <c:dPt>
            <c:idx val="3"/>
            <c:invertIfNegative val="0"/>
            <c:bubble3D val="0"/>
            <c:spPr>
              <a:solidFill>
                <a:srgbClr val="BA8CDC"/>
              </a:solidFill>
              <a:ln>
                <a:noFill/>
              </a:ln>
              <a:effectLst/>
            </c:spPr>
            <c:extLst>
              <c:ext xmlns:c16="http://schemas.microsoft.com/office/drawing/2014/chart" uri="{C3380CC4-5D6E-409C-BE32-E72D297353CC}">
                <c16:uniqueId val="{00000003-E41B-4E77-8821-8184CD5F5D21}"/>
              </c:ext>
            </c:extLst>
          </c:dPt>
          <c:dPt>
            <c:idx val="4"/>
            <c:invertIfNegative val="0"/>
            <c:bubble3D val="0"/>
            <c:spPr>
              <a:solidFill>
                <a:srgbClr val="BA8CDC"/>
              </a:solidFill>
              <a:ln>
                <a:noFill/>
              </a:ln>
              <a:effectLst/>
            </c:spPr>
            <c:extLst>
              <c:ext xmlns:c16="http://schemas.microsoft.com/office/drawing/2014/chart" uri="{C3380CC4-5D6E-409C-BE32-E72D297353CC}">
                <c16:uniqueId val="{00000005-E41B-4E77-8821-8184CD5F5D21}"/>
              </c:ext>
            </c:extLst>
          </c:dPt>
          <c:dPt>
            <c:idx val="5"/>
            <c:invertIfNegative val="0"/>
            <c:bubble3D val="0"/>
            <c:spPr>
              <a:solidFill>
                <a:srgbClr val="BA8CDC"/>
              </a:solidFill>
              <a:ln>
                <a:noFill/>
              </a:ln>
              <a:effectLst/>
            </c:spPr>
            <c:extLst>
              <c:ext xmlns:c16="http://schemas.microsoft.com/office/drawing/2014/chart" uri="{C3380CC4-5D6E-409C-BE32-E72D297353CC}">
                <c16:uniqueId val="{00000007-E41B-4E77-8821-8184CD5F5D21}"/>
              </c:ext>
            </c:extLst>
          </c:dPt>
          <c:dPt>
            <c:idx val="6"/>
            <c:invertIfNegative val="0"/>
            <c:bubble3D val="0"/>
            <c:spPr>
              <a:solidFill>
                <a:srgbClr val="BA8CDC"/>
              </a:solidFill>
              <a:ln>
                <a:noFill/>
              </a:ln>
              <a:effectLst/>
            </c:spPr>
            <c:extLst>
              <c:ext xmlns:c16="http://schemas.microsoft.com/office/drawing/2014/chart" uri="{C3380CC4-5D6E-409C-BE32-E72D297353CC}">
                <c16:uniqueId val="{00000009-E41B-4E77-8821-8184CD5F5D21}"/>
              </c:ext>
            </c:extLst>
          </c:dPt>
          <c:dPt>
            <c:idx val="7"/>
            <c:invertIfNegative val="0"/>
            <c:bubble3D val="0"/>
            <c:spPr>
              <a:solidFill>
                <a:srgbClr val="BA8CDC"/>
              </a:solidFill>
              <a:ln>
                <a:noFill/>
              </a:ln>
              <a:effectLst/>
            </c:spPr>
            <c:extLst>
              <c:ext xmlns:c16="http://schemas.microsoft.com/office/drawing/2014/chart" uri="{C3380CC4-5D6E-409C-BE32-E72D297353CC}">
                <c16:uniqueId val="{0000000B-E41B-4E77-8821-8184CD5F5D21}"/>
              </c:ext>
            </c:extLst>
          </c:dPt>
          <c:dPt>
            <c:idx val="8"/>
            <c:invertIfNegative val="0"/>
            <c:bubble3D val="0"/>
            <c:spPr>
              <a:solidFill>
                <a:srgbClr val="BA8CDC"/>
              </a:solidFill>
              <a:ln>
                <a:noFill/>
              </a:ln>
              <a:effectLst/>
            </c:spPr>
            <c:extLst>
              <c:ext xmlns:c16="http://schemas.microsoft.com/office/drawing/2014/chart" uri="{C3380CC4-5D6E-409C-BE32-E72D297353CC}">
                <c16:uniqueId val="{0000000D-E41B-4E77-8821-8184CD5F5D2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'1_Outputs'!$AB$56:$AB$68</c:f>
              <c:strCache>
                <c:ptCount val="13"/>
                <c:pt idx="2">
                  <c:v>Vehicle Time Utilization - Tier 2</c:v>
                </c:pt>
                <c:pt idx="3">
                  <c:v>Vehicle Time Utilization - Tier 3</c:v>
                </c:pt>
                <c:pt idx="7">
                  <c:v>Combined Storage - Tier 1</c:v>
                </c:pt>
                <c:pt idx="8">
                  <c:v>Combined Storage - Tier 2</c:v>
                </c:pt>
                <c:pt idx="9">
                  <c:v>Combined Storage - Tier 3</c:v>
                </c:pt>
                <c:pt idx="10">
                  <c:v>Combined Storage - Tier 4</c:v>
                </c:pt>
                <c:pt idx="11">
                  <c:v>Combined Storage - Tier 5</c:v>
                </c:pt>
                <c:pt idx="12">
                  <c:v>Combined Storage - Tier 6</c:v>
                </c:pt>
              </c:strCache>
            </c:strRef>
          </c:cat>
          <c:val>
            <c:numRef>
              <c:f>'1_Outputs'!$AC$56:$AC$68</c:f>
              <c:numCache>
                <c:formatCode>0.0%</c:formatCode>
                <c:ptCount val="13"/>
                <c:pt idx="1">
                  <c:v>0</c:v>
                </c:pt>
                <c:pt idx="2">
                  <c:v>0.60833333333333328</c:v>
                </c:pt>
                <c:pt idx="3">
                  <c:v>0.7254166666666666</c:v>
                </c:pt>
                <c:pt idx="4" formatCode="0%">
                  <c:v>0</c:v>
                </c:pt>
                <c:pt idx="5" formatCode="0%">
                  <c:v>0</c:v>
                </c:pt>
                <c:pt idx="6" formatCode="0%">
                  <c:v>0</c:v>
                </c:pt>
                <c:pt idx="7">
                  <c:v>0.8819999999999999</c:v>
                </c:pt>
                <c:pt idx="8">
                  <c:v>0.84</c:v>
                </c:pt>
                <c:pt idx="9">
                  <c:v>0.79887218045112773</c:v>
                </c:pt>
                <c:pt idx="10">
                  <c:v>0</c:v>
                </c:pt>
                <c:pt idx="11">
                  <c:v>0</c:v>
                </c:pt>
                <c:pt idx="12">
                  <c:v>0</c:v>
                </c:pt>
              </c:numCache>
            </c:numRef>
          </c:val>
          <c:extLst>
            <c:ext xmlns:c16="http://schemas.microsoft.com/office/drawing/2014/chart" uri="{C3380CC4-5D6E-409C-BE32-E72D297353CC}">
              <c16:uniqueId val="{0000000E-E41B-4E77-8821-8184CD5F5D21}"/>
            </c:ext>
          </c:extLst>
        </c:ser>
        <c:dLbls>
          <c:showLegendKey val="0"/>
          <c:showVal val="0"/>
          <c:showCatName val="0"/>
          <c:showSerName val="0"/>
          <c:showPercent val="0"/>
          <c:showBubbleSize val="0"/>
        </c:dLbls>
        <c:gapWidth val="26"/>
        <c:overlap val="100"/>
        <c:axId val="909680888"/>
        <c:axId val="909681672"/>
      </c:barChart>
      <c:barChart>
        <c:barDir val="col"/>
        <c:grouping val="clustered"/>
        <c:varyColors val="0"/>
        <c:dLbls>
          <c:showLegendKey val="0"/>
          <c:showVal val="0"/>
          <c:showCatName val="0"/>
          <c:showSerName val="0"/>
          <c:showPercent val="0"/>
          <c:showBubbleSize val="0"/>
        </c:dLbls>
        <c:gapWidth val="26"/>
        <c:axId val="612026280"/>
        <c:axId val="612023000"/>
        <c:extLst>
          <c:ext xmlns:c15="http://schemas.microsoft.com/office/drawing/2012/chart" uri="{02D57815-91ED-43cb-92C2-25804820EDAC}">
            <c15:filteredBarSeries>
              <c15:ser>
                <c:idx val="1"/>
                <c:order val="1"/>
                <c:spPr>
                  <a:solidFill>
                    <a:srgbClr val="FF99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'1_Outputs'!$AB$56:$AB$65</c15:sqref>
                        </c15:formulaRef>
                      </c:ext>
                    </c:extLst>
                    <c:strCache>
                      <c:ptCount val="10"/>
                      <c:pt idx="2">
                        <c:v>Vehicle Time Utilization - Tier 2</c:v>
                      </c:pt>
                      <c:pt idx="3">
                        <c:v>Vehicle Time Utilization - Tier 3</c:v>
                      </c:pt>
                      <c:pt idx="7">
                        <c:v>Combined Storage - Tier 1</c:v>
                      </c:pt>
                      <c:pt idx="8">
                        <c:v>Combined Storage - Tier 2</c:v>
                      </c:pt>
                      <c:pt idx="9">
                        <c:v>Combined Storage - Tier 3</c:v>
                      </c:pt>
                    </c:strCache>
                  </c:strRef>
                </c:cat>
                <c:val>
                  <c:numRef>
                    <c:extLst>
                      <c:ext uri="{02D57815-91ED-43cb-92C2-25804820EDAC}">
                        <c15:formulaRef>
                          <c15:sqref>'1_Outputs'!$AE$56:$AE$65</c15:sqref>
                        </c15:formulaRef>
                      </c:ext>
                    </c:extLst>
                    <c:numCache>
                      <c:formatCode>General</c:formatCode>
                      <c:ptCount val="10"/>
                      <c:pt idx="7">
                        <c:v>0</c:v>
                      </c:pt>
                      <c:pt idx="8">
                        <c:v>0</c:v>
                      </c:pt>
                      <c:pt idx="9">
                        <c:v>0</c:v>
                      </c:pt>
                    </c:numCache>
                  </c:numRef>
                </c:val>
                <c:extLst>
                  <c:ext xmlns:c16="http://schemas.microsoft.com/office/drawing/2014/chart" uri="{C3380CC4-5D6E-409C-BE32-E72D297353CC}">
                    <c16:uniqueId val="{0000000F-E41B-4E77-8821-8184CD5F5D21}"/>
                  </c:ext>
                </c:extLst>
              </c15:ser>
            </c15:filteredBarSeries>
          </c:ext>
        </c:extLst>
      </c:barChart>
      <c:catAx>
        <c:axId val="909680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681672"/>
        <c:crosses val="autoZero"/>
        <c:auto val="1"/>
        <c:lblAlgn val="ctr"/>
        <c:lblOffset val="100"/>
        <c:noMultiLvlLbl val="0"/>
      </c:catAx>
      <c:valAx>
        <c:axId val="90968167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909680888"/>
        <c:crosses val="autoZero"/>
        <c:crossBetween val="between"/>
        <c:majorUnit val="0.1"/>
      </c:valAx>
      <c:valAx>
        <c:axId val="612023000"/>
        <c:scaling>
          <c:orientation val="minMax"/>
          <c:max val="5"/>
        </c:scaling>
        <c:delete val="1"/>
        <c:axPos val="r"/>
        <c:numFmt formatCode="General" sourceLinked="1"/>
        <c:majorTickMark val="out"/>
        <c:minorTickMark val="none"/>
        <c:tickLblPos val="nextTo"/>
        <c:crossAx val="612026280"/>
        <c:crosses val="max"/>
        <c:crossBetween val="between"/>
        <c:majorUnit val="1"/>
      </c:valAx>
      <c:catAx>
        <c:axId val="612026280"/>
        <c:scaling>
          <c:orientation val="minMax"/>
        </c:scaling>
        <c:delete val="1"/>
        <c:axPos val="b"/>
        <c:numFmt formatCode="General" sourceLinked="1"/>
        <c:majorTickMark val="out"/>
        <c:minorTickMark val="none"/>
        <c:tickLblPos val="nextTo"/>
        <c:crossAx val="612023000"/>
        <c:crosses val="autoZero"/>
        <c:auto val="1"/>
        <c:lblAlgn val="ctr"/>
        <c:lblOffset val="100"/>
        <c:noMultiLvlLbl val="0"/>
      </c:catAx>
      <c:spPr>
        <a:noFill/>
        <a:ln>
          <a:noFill/>
        </a:ln>
        <a:effectLst/>
      </c:spPr>
    </c:plotArea>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Transportation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1"/>
          <c:order val="0"/>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30BB-403A-8179-606053D54390}"/>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30BB-403A-8179-606053D54390}"/>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30BB-403A-8179-606053D54390}"/>
              </c:ext>
            </c:extLst>
          </c:dPt>
          <c:dPt>
            <c:idx val="3"/>
            <c:bubble3D val="0"/>
            <c:spPr>
              <a:solidFill>
                <a:srgbClr val="BA8CDC"/>
              </a:solidFill>
              <a:ln w="19050">
                <a:solidFill>
                  <a:schemeClr val="lt1"/>
                </a:solidFill>
              </a:ln>
              <a:effectLst/>
            </c:spPr>
            <c:extLst>
              <c:ext xmlns:c16="http://schemas.microsoft.com/office/drawing/2014/chart" uri="{C3380CC4-5D6E-409C-BE32-E72D297353CC}">
                <c16:uniqueId val="{00000007-30BB-403A-8179-606053D54390}"/>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'1_Outputs'!$F$88:$F$91</c:f>
              <c:strCache>
                <c:ptCount val="4"/>
                <c:pt idx="0">
                  <c:v>Labor</c:v>
                </c:pt>
                <c:pt idx="1">
                  <c:v>Equipment &amp; Depreciation Costs</c:v>
                </c:pt>
                <c:pt idx="2">
                  <c:v>Per-Diems</c:v>
                </c:pt>
                <c:pt idx="3">
                  <c:v>Fuel, Maintenance, &amp; Other Travel Costs</c:v>
                </c:pt>
              </c:strCache>
            </c:strRef>
          </c:cat>
          <c:val>
            <c:numRef>
              <c:f>'1_Outputs'!$Y$88:$Y$91</c:f>
              <c:numCache>
                <c:formatCode>_("$"* #,##0_);_("$"* \(#,##0\);_("$"* "-"??_);_(@_)</c:formatCode>
                <c:ptCount val="4"/>
                <c:pt idx="0">
                  <c:v>62740.560000000005</c:v>
                </c:pt>
                <c:pt idx="1">
                  <c:v>96163.994795095859</c:v>
                </c:pt>
                <c:pt idx="2">
                  <c:v>39810</c:v>
                </c:pt>
                <c:pt idx="3">
                  <c:v>216584.7376619204</c:v>
                </c:pt>
              </c:numCache>
            </c:numRef>
          </c:val>
          <c:extLst>
            <c:ext xmlns:c16="http://schemas.microsoft.com/office/drawing/2014/chart" uri="{C3380CC4-5D6E-409C-BE32-E72D297353CC}">
              <c16:uniqueId val="{00000008-30BB-403A-8179-606053D54390}"/>
            </c:ext>
          </c:extLst>
        </c:ser>
        <c:dLbls>
          <c:showLegendKey val="0"/>
          <c:showVal val="0"/>
          <c:showCatName val="0"/>
          <c:showSerName val="0"/>
          <c:showPercent val="0"/>
          <c:showBubbleSize val="0"/>
          <c:showLeaderLines val="1"/>
        </c:dLbls>
        <c:firstSliceAng val="0"/>
        <c:holeSize val="35"/>
        <c:extLst/>
      </c:doughnutChart>
      <c:spPr>
        <a:noFill/>
        <a:ln>
          <a:noFill/>
        </a:ln>
        <a:effectLst/>
      </c:spPr>
    </c:plotArea>
    <c:legend>
      <c:legendPos val="b"/>
      <c:layout>
        <c:manualLayout>
          <c:xMode val="edge"/>
          <c:yMode val="edge"/>
          <c:x val="3.6095762178868507E-2"/>
          <c:y val="0.31667663481084668"/>
          <c:w val="0.3659819975938865"/>
          <c:h val="0.4885363028877967"/>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4" Type="http://schemas.openxmlformats.org/officeDocument/2006/relationships/chart" Target="../charts/chart25.xml"/></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20.png"/><Relationship Id="rId18" Type="http://schemas.openxmlformats.org/officeDocument/2006/relationships/hyperlink" Target="#'Instructions &amp; Workflow'!A15"/><Relationship Id="rId26" Type="http://schemas.openxmlformats.org/officeDocument/2006/relationships/image" Target="../media/image28.png"/><Relationship Id="rId3" Type="http://schemas.openxmlformats.org/officeDocument/2006/relationships/image" Target="../media/image10.png"/><Relationship Id="rId21" Type="http://schemas.openxmlformats.org/officeDocument/2006/relationships/image" Target="../media/image23.png"/><Relationship Id="rId7" Type="http://schemas.openxmlformats.org/officeDocument/2006/relationships/image" Target="../media/image14.png"/><Relationship Id="rId12" Type="http://schemas.openxmlformats.org/officeDocument/2006/relationships/image" Target="../media/image19.png"/><Relationship Id="rId17" Type="http://schemas.openxmlformats.org/officeDocument/2006/relationships/hyperlink" Target="#'Instructions &amp; Workflow'!A297"/><Relationship Id="rId25" Type="http://schemas.openxmlformats.org/officeDocument/2006/relationships/image" Target="../media/image27.png"/><Relationship Id="rId2" Type="http://schemas.openxmlformats.org/officeDocument/2006/relationships/image" Target="../media/image9.png"/><Relationship Id="rId16" Type="http://schemas.openxmlformats.org/officeDocument/2006/relationships/hyperlink" Target="#'Instructions &amp; Workflow'!A184"/><Relationship Id="rId20" Type="http://schemas.openxmlformats.org/officeDocument/2006/relationships/image" Target="../media/image22.png"/><Relationship Id="rId1" Type="http://schemas.openxmlformats.org/officeDocument/2006/relationships/image" Target="../media/image8.png"/><Relationship Id="rId6" Type="http://schemas.openxmlformats.org/officeDocument/2006/relationships/image" Target="../media/image13.png"/><Relationship Id="rId11" Type="http://schemas.openxmlformats.org/officeDocument/2006/relationships/image" Target="../media/image18.png"/><Relationship Id="rId24" Type="http://schemas.openxmlformats.org/officeDocument/2006/relationships/image" Target="../media/image26.png"/><Relationship Id="rId5" Type="http://schemas.openxmlformats.org/officeDocument/2006/relationships/image" Target="../media/image12.png"/><Relationship Id="rId15" Type="http://schemas.openxmlformats.org/officeDocument/2006/relationships/hyperlink" Target="#'Instructions &amp; Workflow'!A102"/><Relationship Id="rId23" Type="http://schemas.openxmlformats.org/officeDocument/2006/relationships/image" Target="../media/image25.png"/><Relationship Id="rId10" Type="http://schemas.openxmlformats.org/officeDocument/2006/relationships/image" Target="../media/image17.png"/><Relationship Id="rId19" Type="http://schemas.openxmlformats.org/officeDocument/2006/relationships/image" Target="../media/image21.png"/><Relationship Id="rId4" Type="http://schemas.openxmlformats.org/officeDocument/2006/relationships/image" Target="../media/image11.png"/><Relationship Id="rId9" Type="http://schemas.openxmlformats.org/officeDocument/2006/relationships/image" Target="../media/image16.png"/><Relationship Id="rId14" Type="http://schemas.openxmlformats.org/officeDocument/2006/relationships/hyperlink" Target="#'Instructions &amp; Workflow'!A28"/><Relationship Id="rId22" Type="http://schemas.openxmlformats.org/officeDocument/2006/relationships/image" Target="../media/image2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4"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editAs="oneCell">
    <xdr:from>
      <xdr:col>4</xdr:col>
      <xdr:colOff>352425</xdr:colOff>
      <xdr:row>13</xdr:row>
      <xdr:rowOff>19049</xdr:rowOff>
    </xdr:from>
    <xdr:to>
      <xdr:col>12</xdr:col>
      <xdr:colOff>190500</xdr:colOff>
      <xdr:row>19</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5050" y="2295524"/>
          <a:ext cx="4714875" cy="1200151"/>
        </a:xfrm>
        <a:prstGeom prst="rect">
          <a:avLst/>
        </a:prstGeom>
      </xdr:spPr>
    </xdr:pic>
    <xdr:clientData/>
  </xdr:twoCellAnchor>
  <xdr:twoCellAnchor>
    <xdr:from>
      <xdr:col>6</xdr:col>
      <xdr:colOff>133351</xdr:colOff>
      <xdr:row>24</xdr:row>
      <xdr:rowOff>95251</xdr:rowOff>
    </xdr:from>
    <xdr:to>
      <xdr:col>11</xdr:col>
      <xdr:colOff>19051</xdr:colOff>
      <xdr:row>27</xdr:row>
      <xdr:rowOff>66675</xdr:rowOff>
    </xdr:to>
    <xdr:sp macro="" textlink="">
      <xdr:nvSpPr>
        <xdr:cNvPr id="3" name="Picture Placeholder 16">
          <a:extLst>
            <a:ext uri="{FF2B5EF4-FFF2-40B4-BE49-F238E27FC236}">
              <a16:creationId xmlns:a16="http://schemas.microsoft.com/office/drawing/2014/main" id="{00000000-0008-0000-0000-000003000000}"/>
            </a:ext>
          </a:extLst>
        </xdr:cNvPr>
        <xdr:cNvSpPr>
          <a:spLocks noGrp="1"/>
        </xdr:cNvSpPr>
      </xdr:nvSpPr>
      <xdr:spPr>
        <a:xfrm>
          <a:off x="3305176" y="4657726"/>
          <a:ext cx="2933700" cy="542924"/>
        </a:xfrm>
        <a:prstGeom prst="rect">
          <a:avLst/>
        </a:prstGeom>
        <a: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rcRect/>
          <a:stretch>
            <a:fillRect l="-16701" t="-26966" r="-16909" b="-31188"/>
          </a:stretch>
        </a:blipFill>
      </xdr:spPr>
      <xdr:txBody>
        <a:bodyPr vert="horz" wrap="square" lIns="91440" tIns="45720" rIns="91440" bIns="45720" rtlCol="0">
          <a:normAutofit/>
        </a:bodyPr>
        <a:lstStyle/>
        <a:p>
          <a:endParaRPr lang="en-US"/>
        </a:p>
      </xdr:txBody>
    </xdr:sp>
    <xdr:clientData/>
  </xdr:twoCellAnchor>
  <xdr:twoCellAnchor editAs="oneCell">
    <xdr:from>
      <xdr:col>3</xdr:col>
      <xdr:colOff>542925</xdr:colOff>
      <xdr:row>32</xdr:row>
      <xdr:rowOff>95252</xdr:rowOff>
    </xdr:from>
    <xdr:to>
      <xdr:col>9</xdr:col>
      <xdr:colOff>221990</xdr:colOff>
      <xdr:row>36</xdr:row>
      <xdr:rowOff>152400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1885950" y="6124577"/>
          <a:ext cx="3336665" cy="819148"/>
        </a:xfrm>
        <a:prstGeom prst="rect">
          <a:avLst/>
        </a:prstGeom>
      </xdr:spPr>
    </xdr:pic>
    <xdr:clientData/>
  </xdr:twoCellAnchor>
  <xdr:twoCellAnchor editAs="oneCell">
    <xdr:from>
      <xdr:col>6</xdr:col>
      <xdr:colOff>200026</xdr:colOff>
      <xdr:row>37</xdr:row>
      <xdr:rowOff>90099</xdr:rowOff>
    </xdr:from>
    <xdr:to>
      <xdr:col>11</xdr:col>
      <xdr:colOff>47626</xdr:colOff>
      <xdr:row>40</xdr:row>
      <xdr:rowOff>166822</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a:stretch>
          <a:fillRect/>
        </a:stretch>
      </xdr:blipFill>
      <xdr:spPr>
        <a:xfrm>
          <a:off x="3371851" y="7071924"/>
          <a:ext cx="2895600" cy="648223"/>
        </a:xfrm>
        <a:prstGeom prst="rect">
          <a:avLst/>
        </a:prstGeom>
      </xdr:spPr>
    </xdr:pic>
    <xdr:clientData/>
  </xdr:twoCellAnchor>
  <xdr:twoCellAnchor editAs="oneCell">
    <xdr:from>
      <xdr:col>9</xdr:col>
      <xdr:colOff>578792</xdr:colOff>
      <xdr:row>32</xdr:row>
      <xdr:rowOff>90100</xdr:rowOff>
    </xdr:from>
    <xdr:to>
      <xdr:col>12</xdr:col>
      <xdr:colOff>457200</xdr:colOff>
      <xdr:row>36</xdr:row>
      <xdr:rowOff>2655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6"/>
        <a:stretch>
          <a:fillRect/>
        </a:stretch>
      </xdr:blipFill>
      <xdr:spPr>
        <a:xfrm>
          <a:off x="5579417" y="6119425"/>
          <a:ext cx="1707208" cy="6745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27</xdr:col>
      <xdr:colOff>30596</xdr:colOff>
      <xdr:row>5</xdr:row>
      <xdr:rowOff>28176</xdr:rowOff>
    </xdr:from>
    <xdr:to>
      <xdr:col>36</xdr:col>
      <xdr:colOff>302399</xdr:colOff>
      <xdr:row>18</xdr:row>
      <xdr:rowOff>162967</xdr:rowOff>
    </xdr:to>
    <xdr:graphicFrame macro="">
      <xdr:nvGraphicFramePr>
        <xdr:cNvPr id="2" name="Chart 1">
          <a:extLst>
            <a:ext uri="{FF2B5EF4-FFF2-40B4-BE49-F238E27FC236}">
              <a16:creationId xmlns:a16="http://schemas.microsoft.com/office/drawing/2014/main" id="{ABAB0153-E765-43B2-ADA1-8031B4944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38101</xdr:colOff>
      <xdr:row>23</xdr:row>
      <xdr:rowOff>95756</xdr:rowOff>
    </xdr:from>
    <xdr:to>
      <xdr:col>34</xdr:col>
      <xdr:colOff>174173</xdr:colOff>
      <xdr:row>42</xdr:row>
      <xdr:rowOff>97972</xdr:rowOff>
    </xdr:to>
    <xdr:graphicFrame macro="">
      <xdr:nvGraphicFramePr>
        <xdr:cNvPr id="3" name="Chart 2">
          <a:extLst>
            <a:ext uri="{FF2B5EF4-FFF2-40B4-BE49-F238E27FC236}">
              <a16:creationId xmlns:a16="http://schemas.microsoft.com/office/drawing/2014/main" id="{14A098D7-6989-4273-8CC0-0D923978A2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30429</xdr:colOff>
      <xdr:row>45</xdr:row>
      <xdr:rowOff>337508</xdr:rowOff>
    </xdr:from>
    <xdr:to>
      <xdr:col>38</xdr:col>
      <xdr:colOff>454091</xdr:colOff>
      <xdr:row>68</xdr:row>
      <xdr:rowOff>12312</xdr:rowOff>
    </xdr:to>
    <xdr:graphicFrame macro="">
      <xdr:nvGraphicFramePr>
        <xdr:cNvPr id="4" name="Chart 3">
          <a:extLst>
            <a:ext uri="{FF2B5EF4-FFF2-40B4-BE49-F238E27FC236}">
              <a16:creationId xmlns:a16="http://schemas.microsoft.com/office/drawing/2014/main" id="{24357127-8953-4B5D-BA89-54E67D2B1F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83586</xdr:colOff>
      <xdr:row>54</xdr:row>
      <xdr:rowOff>125825</xdr:rowOff>
    </xdr:from>
    <xdr:to>
      <xdr:col>38</xdr:col>
      <xdr:colOff>589773</xdr:colOff>
      <xdr:row>57</xdr:row>
      <xdr:rowOff>45172</xdr:rowOff>
    </xdr:to>
    <xdr:grpSp>
      <xdr:nvGrpSpPr>
        <xdr:cNvPr id="5" name="Group 4">
          <a:extLst>
            <a:ext uri="{FF2B5EF4-FFF2-40B4-BE49-F238E27FC236}">
              <a16:creationId xmlns:a16="http://schemas.microsoft.com/office/drawing/2014/main" id="{5855670B-8FA6-496B-8433-5A8025D80651}"/>
            </a:ext>
          </a:extLst>
        </xdr:cNvPr>
        <xdr:cNvGrpSpPr/>
      </xdr:nvGrpSpPr>
      <xdr:grpSpPr>
        <a:xfrm>
          <a:off x="22853939" y="13944279"/>
          <a:ext cx="1306607" cy="662137"/>
          <a:chOff x="23294067" y="12496468"/>
          <a:chExt cx="1318533" cy="652577"/>
        </a:xfrm>
      </xdr:grpSpPr>
      <xdr:sp macro="" textlink="">
        <xdr:nvSpPr>
          <xdr:cNvPr id="6" name="TextBox 5">
            <a:extLst>
              <a:ext uri="{FF2B5EF4-FFF2-40B4-BE49-F238E27FC236}">
                <a16:creationId xmlns:a16="http://schemas.microsoft.com/office/drawing/2014/main" id="{7D0FAAB4-2D49-4CFA-AC65-5161DBD6A847}"/>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7" name="Rectangle 6">
            <a:extLst>
              <a:ext uri="{FF2B5EF4-FFF2-40B4-BE49-F238E27FC236}">
                <a16:creationId xmlns:a16="http://schemas.microsoft.com/office/drawing/2014/main" id="{C384DC76-1EB6-4DB1-A556-0BF25BA50F06}"/>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34</xdr:col>
      <xdr:colOff>334736</xdr:colOff>
      <xdr:row>23</xdr:row>
      <xdr:rowOff>85725</xdr:rowOff>
    </xdr:from>
    <xdr:to>
      <xdr:col>40</xdr:col>
      <xdr:colOff>427265</xdr:colOff>
      <xdr:row>42</xdr:row>
      <xdr:rowOff>87941</xdr:rowOff>
    </xdr:to>
    <xdr:graphicFrame macro="">
      <xdr:nvGraphicFramePr>
        <xdr:cNvPr id="8" name="Chart 7">
          <a:extLst>
            <a:ext uri="{FF2B5EF4-FFF2-40B4-BE49-F238E27FC236}">
              <a16:creationId xmlns:a16="http://schemas.microsoft.com/office/drawing/2014/main" id="{BFDC8321-1845-4760-B3F5-4515826691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261937</xdr:colOff>
      <xdr:row>16</xdr:row>
      <xdr:rowOff>47625</xdr:rowOff>
    </xdr:from>
    <xdr:to>
      <xdr:col>6</xdr:col>
      <xdr:colOff>1345406</xdr:colOff>
      <xdr:row>18</xdr:row>
      <xdr:rowOff>11906</xdr:rowOff>
    </xdr:to>
    <xdr:sp macro="" textlink="">
      <xdr:nvSpPr>
        <xdr:cNvPr id="2" name="Isosceles Triangle 1">
          <a:extLst>
            <a:ext uri="{FF2B5EF4-FFF2-40B4-BE49-F238E27FC236}">
              <a16:creationId xmlns:a16="http://schemas.microsoft.com/office/drawing/2014/main" id="{00000000-0008-0000-1400-000002000000}"/>
            </a:ext>
          </a:extLst>
        </xdr:cNvPr>
        <xdr:cNvSpPr/>
      </xdr:nvSpPr>
      <xdr:spPr>
        <a:xfrm rot="10800000">
          <a:off x="1568223" y="6339568"/>
          <a:ext cx="6509997" cy="617424"/>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78239</xdr:colOff>
      <xdr:row>44</xdr:row>
      <xdr:rowOff>54427</xdr:rowOff>
    </xdr:from>
    <xdr:to>
      <xdr:col>6</xdr:col>
      <xdr:colOff>1161708</xdr:colOff>
      <xdr:row>45</xdr:row>
      <xdr:rowOff>222815</xdr:rowOff>
    </xdr:to>
    <xdr:sp macro="" textlink="">
      <xdr:nvSpPr>
        <xdr:cNvPr id="3" name="Isosceles Triangle 2">
          <a:extLst>
            <a:ext uri="{FF2B5EF4-FFF2-40B4-BE49-F238E27FC236}">
              <a16:creationId xmlns:a16="http://schemas.microsoft.com/office/drawing/2014/main" id="{00000000-0008-0000-1400-000003000000}"/>
            </a:ext>
          </a:extLst>
        </xdr:cNvPr>
        <xdr:cNvSpPr/>
      </xdr:nvSpPr>
      <xdr:spPr>
        <a:xfrm rot="10800000">
          <a:off x="1384525" y="14090195"/>
          <a:ext cx="6512719" cy="528978"/>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346982</xdr:colOff>
      <xdr:row>62</xdr:row>
      <xdr:rowOff>68037</xdr:rowOff>
    </xdr:from>
    <xdr:to>
      <xdr:col>6</xdr:col>
      <xdr:colOff>1430451</xdr:colOff>
      <xdr:row>63</xdr:row>
      <xdr:rowOff>154783</xdr:rowOff>
    </xdr:to>
    <xdr:sp macro="" textlink="">
      <xdr:nvSpPr>
        <xdr:cNvPr id="4" name="Isosceles Triangle 3">
          <a:extLst>
            <a:ext uri="{FF2B5EF4-FFF2-40B4-BE49-F238E27FC236}">
              <a16:creationId xmlns:a16="http://schemas.microsoft.com/office/drawing/2014/main" id="{F9572117-85CF-4D3D-997B-0EF379598536}"/>
            </a:ext>
          </a:extLst>
        </xdr:cNvPr>
        <xdr:cNvSpPr/>
      </xdr:nvSpPr>
      <xdr:spPr>
        <a:xfrm rot="10800000">
          <a:off x="1653268" y="19383376"/>
          <a:ext cx="6880112" cy="528978"/>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263979</xdr:colOff>
      <xdr:row>48</xdr:row>
      <xdr:rowOff>38440</xdr:rowOff>
    </xdr:from>
    <xdr:to>
      <xdr:col>6</xdr:col>
      <xdr:colOff>827995</xdr:colOff>
      <xdr:row>51</xdr:row>
      <xdr:rowOff>97971</xdr:rowOff>
    </xdr:to>
    <xdr:sp macro="" textlink="">
      <xdr:nvSpPr>
        <xdr:cNvPr id="2" name="Isosceles Triangle 1">
          <a:extLst>
            <a:ext uri="{FF2B5EF4-FFF2-40B4-BE49-F238E27FC236}">
              <a16:creationId xmlns:a16="http://schemas.microsoft.com/office/drawing/2014/main" id="{00000000-0008-0000-1500-000002000000}"/>
            </a:ext>
          </a:extLst>
        </xdr:cNvPr>
        <xdr:cNvSpPr/>
      </xdr:nvSpPr>
      <xdr:spPr>
        <a:xfrm rot="10800000">
          <a:off x="1764167" y="11408909"/>
          <a:ext cx="7695859" cy="631031"/>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492578</xdr:colOff>
      <xdr:row>24</xdr:row>
      <xdr:rowOff>41841</xdr:rowOff>
    </xdr:from>
    <xdr:to>
      <xdr:col>6</xdr:col>
      <xdr:colOff>1045369</xdr:colOff>
      <xdr:row>27</xdr:row>
      <xdr:rowOff>108177</xdr:rowOff>
    </xdr:to>
    <xdr:sp macro="" textlink="">
      <xdr:nvSpPr>
        <xdr:cNvPr id="3" name="Isosceles Triangle 2">
          <a:extLst>
            <a:ext uri="{FF2B5EF4-FFF2-40B4-BE49-F238E27FC236}">
              <a16:creationId xmlns:a16="http://schemas.microsoft.com/office/drawing/2014/main" id="{00000000-0008-0000-1500-000003000000}"/>
            </a:ext>
          </a:extLst>
        </xdr:cNvPr>
        <xdr:cNvSpPr/>
      </xdr:nvSpPr>
      <xdr:spPr>
        <a:xfrm rot="10800000">
          <a:off x="1992766" y="6114029"/>
          <a:ext cx="7684634" cy="637836"/>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21166</xdr:colOff>
      <xdr:row>5</xdr:row>
      <xdr:rowOff>52918</xdr:rowOff>
    </xdr:from>
    <xdr:to>
      <xdr:col>16</xdr:col>
      <xdr:colOff>772583</xdr:colOff>
      <xdr:row>46</xdr:row>
      <xdr:rowOff>3</xdr:rowOff>
    </xdr:to>
    <xdr:sp macro="" textlink="">
      <xdr:nvSpPr>
        <xdr:cNvPr id="2" name="Isosceles Triangle 1">
          <a:extLst>
            <a:ext uri="{FF2B5EF4-FFF2-40B4-BE49-F238E27FC236}">
              <a16:creationId xmlns:a16="http://schemas.microsoft.com/office/drawing/2014/main" id="{00000000-0008-0000-1600-000002000000}"/>
            </a:ext>
          </a:extLst>
        </xdr:cNvPr>
        <xdr:cNvSpPr/>
      </xdr:nvSpPr>
      <xdr:spPr>
        <a:xfrm rot="5400000">
          <a:off x="6614582" y="3898902"/>
          <a:ext cx="8062385" cy="751417"/>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4234</xdr:colOff>
      <xdr:row>5</xdr:row>
      <xdr:rowOff>4234</xdr:rowOff>
    </xdr:from>
    <xdr:to>
      <xdr:col>7</xdr:col>
      <xdr:colOff>755651</xdr:colOff>
      <xdr:row>45</xdr:row>
      <xdr:rowOff>141819</xdr:rowOff>
    </xdr:to>
    <xdr:sp macro="" textlink="">
      <xdr:nvSpPr>
        <xdr:cNvPr id="3" name="Isosceles Triangle 2">
          <a:extLst>
            <a:ext uri="{FF2B5EF4-FFF2-40B4-BE49-F238E27FC236}">
              <a16:creationId xmlns:a16="http://schemas.microsoft.com/office/drawing/2014/main" id="{00000000-0008-0000-1600-000003000000}"/>
            </a:ext>
          </a:extLst>
        </xdr:cNvPr>
        <xdr:cNvSpPr/>
      </xdr:nvSpPr>
      <xdr:spPr>
        <a:xfrm rot="5400000">
          <a:off x="14131925" y="3850218"/>
          <a:ext cx="8062385" cy="751417"/>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21170</xdr:colOff>
      <xdr:row>5</xdr:row>
      <xdr:rowOff>0</xdr:rowOff>
    </xdr:from>
    <xdr:to>
      <xdr:col>24</xdr:col>
      <xdr:colOff>634999</xdr:colOff>
      <xdr:row>28</xdr:row>
      <xdr:rowOff>63503</xdr:rowOff>
    </xdr:to>
    <xdr:sp macro="" textlink="">
      <xdr:nvSpPr>
        <xdr:cNvPr id="4" name="Isosceles Triangle 3">
          <a:extLst>
            <a:ext uri="{FF2B5EF4-FFF2-40B4-BE49-F238E27FC236}">
              <a16:creationId xmlns:a16="http://schemas.microsoft.com/office/drawing/2014/main" id="{00000000-0008-0000-1600-000004000000}"/>
            </a:ext>
          </a:extLst>
        </xdr:cNvPr>
        <xdr:cNvSpPr/>
      </xdr:nvSpPr>
      <xdr:spPr>
        <a:xfrm rot="5400000">
          <a:off x="25661408" y="2258487"/>
          <a:ext cx="4749803" cy="613829"/>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225079</xdr:colOff>
      <xdr:row>33</xdr:row>
      <xdr:rowOff>305440</xdr:rowOff>
    </xdr:from>
    <xdr:to>
      <xdr:col>1</xdr:col>
      <xdr:colOff>6168679</xdr:colOff>
      <xdr:row>38</xdr:row>
      <xdr:rowOff>118584</xdr:rowOff>
    </xdr:to>
    <xdr:pic>
      <xdr:nvPicPr>
        <xdr:cNvPr id="3" name="Pictur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197" y="18638264"/>
          <a:ext cx="5943600" cy="2289644"/>
        </a:xfrm>
        <a:prstGeom prst="rect">
          <a:avLst/>
        </a:prstGeom>
        <a:noFill/>
      </xdr:spPr>
    </xdr:pic>
    <xdr:clientData/>
  </xdr:twoCellAnchor>
  <xdr:twoCellAnchor>
    <xdr:from>
      <xdr:col>1</xdr:col>
      <xdr:colOff>2745443</xdr:colOff>
      <xdr:row>33</xdr:row>
      <xdr:rowOff>291354</xdr:rowOff>
    </xdr:from>
    <xdr:to>
      <xdr:col>1</xdr:col>
      <xdr:colOff>3888442</xdr:colOff>
      <xdr:row>36</xdr:row>
      <xdr:rowOff>190500</xdr:rowOff>
    </xdr:to>
    <xdr:sp macro="" textlink="">
      <xdr:nvSpPr>
        <xdr:cNvPr id="2" name="Rectangle 1">
          <a:extLst>
            <a:ext uri="{FF2B5EF4-FFF2-40B4-BE49-F238E27FC236}">
              <a16:creationId xmlns:a16="http://schemas.microsoft.com/office/drawing/2014/main" id="{00000000-0008-0000-0300-000002000000}"/>
            </a:ext>
          </a:extLst>
        </xdr:cNvPr>
        <xdr:cNvSpPr/>
      </xdr:nvSpPr>
      <xdr:spPr>
        <a:xfrm>
          <a:off x="3350561" y="18624178"/>
          <a:ext cx="1142999" cy="1210234"/>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4728882</xdr:colOff>
      <xdr:row>32</xdr:row>
      <xdr:rowOff>661147</xdr:rowOff>
    </xdr:from>
    <xdr:to>
      <xdr:col>1</xdr:col>
      <xdr:colOff>6902824</xdr:colOff>
      <xdr:row>33</xdr:row>
      <xdr:rowOff>246530</xdr:rowOff>
    </xdr:to>
    <xdr:sp macro="" textlink="">
      <xdr:nvSpPr>
        <xdr:cNvPr id="4" name="Rectangle 3">
          <a:extLst>
            <a:ext uri="{FF2B5EF4-FFF2-40B4-BE49-F238E27FC236}">
              <a16:creationId xmlns:a16="http://schemas.microsoft.com/office/drawing/2014/main" id="{00000000-0008-0000-0300-000004000000}"/>
            </a:ext>
          </a:extLst>
        </xdr:cNvPr>
        <xdr:cNvSpPr/>
      </xdr:nvSpPr>
      <xdr:spPr>
        <a:xfrm>
          <a:off x="5334000" y="18321618"/>
          <a:ext cx="2173942" cy="2577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i="1">
              <a:solidFill>
                <a:sysClr val="windowText" lastClr="000000"/>
              </a:solidFill>
            </a:rPr>
            <a:t>Focus of Rapid SC Modeling Tool</a:t>
          </a:r>
        </a:p>
      </xdr:txBody>
    </xdr:sp>
    <xdr:clientData/>
  </xdr:twoCellAnchor>
  <xdr:twoCellAnchor>
    <xdr:from>
      <xdr:col>1</xdr:col>
      <xdr:colOff>3899647</xdr:colOff>
      <xdr:row>33</xdr:row>
      <xdr:rowOff>117662</xdr:rowOff>
    </xdr:from>
    <xdr:to>
      <xdr:col>1</xdr:col>
      <xdr:colOff>4728882</xdr:colOff>
      <xdr:row>33</xdr:row>
      <xdr:rowOff>280147</xdr:rowOff>
    </xdr:to>
    <xdr:cxnSp macro="">
      <xdr:nvCxnSpPr>
        <xdr:cNvPr id="6" name="Straight Connector 5">
          <a:extLst>
            <a:ext uri="{FF2B5EF4-FFF2-40B4-BE49-F238E27FC236}">
              <a16:creationId xmlns:a16="http://schemas.microsoft.com/office/drawing/2014/main" id="{00000000-0008-0000-0300-000006000000}"/>
            </a:ext>
          </a:extLst>
        </xdr:cNvPr>
        <xdr:cNvCxnSpPr>
          <a:endCxn id="4" idx="1"/>
        </xdr:cNvCxnSpPr>
      </xdr:nvCxnSpPr>
      <xdr:spPr>
        <a:xfrm flipV="1">
          <a:off x="4504765" y="18450486"/>
          <a:ext cx="829235" cy="162485"/>
        </a:xfrm>
        <a:prstGeom prst="line">
          <a:avLst/>
        </a:prstGeom>
        <a:ln>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851648</xdr:colOff>
      <xdr:row>242</xdr:row>
      <xdr:rowOff>549089</xdr:rowOff>
    </xdr:from>
    <xdr:to>
      <xdr:col>5</xdr:col>
      <xdr:colOff>806824</xdr:colOff>
      <xdr:row>245</xdr:row>
      <xdr:rowOff>742100</xdr:rowOff>
    </xdr:to>
    <xdr:pic>
      <xdr:nvPicPr>
        <xdr:cNvPr id="131" name="Picture 130">
          <a:extLst>
            <a:ext uri="{FF2B5EF4-FFF2-40B4-BE49-F238E27FC236}">
              <a16:creationId xmlns:a16="http://schemas.microsoft.com/office/drawing/2014/main" id="{00000000-0008-0000-0400-000083000000}"/>
            </a:ext>
          </a:extLst>
        </xdr:cNvPr>
        <xdr:cNvPicPr>
          <a:picLocks noChangeAspect="1"/>
        </xdr:cNvPicPr>
      </xdr:nvPicPr>
      <xdr:blipFill>
        <a:blip xmlns:r="http://schemas.openxmlformats.org/officeDocument/2006/relationships" r:embed="rId1"/>
        <a:stretch>
          <a:fillRect/>
        </a:stretch>
      </xdr:blipFill>
      <xdr:spPr>
        <a:xfrm>
          <a:off x="2117913" y="72591707"/>
          <a:ext cx="6039970" cy="2512628"/>
        </a:xfrm>
        <a:prstGeom prst="rect">
          <a:avLst/>
        </a:prstGeom>
      </xdr:spPr>
    </xdr:pic>
    <xdr:clientData/>
  </xdr:twoCellAnchor>
  <xdr:twoCellAnchor editAs="oneCell">
    <xdr:from>
      <xdr:col>2</xdr:col>
      <xdr:colOff>828167</xdr:colOff>
      <xdr:row>234</xdr:row>
      <xdr:rowOff>155170</xdr:rowOff>
    </xdr:from>
    <xdr:to>
      <xdr:col>5</xdr:col>
      <xdr:colOff>717176</xdr:colOff>
      <xdr:row>242</xdr:row>
      <xdr:rowOff>310078</xdr:rowOff>
    </xdr:to>
    <xdr:pic>
      <xdr:nvPicPr>
        <xdr:cNvPr id="130" name="Picture 129">
          <a:extLst>
            <a:ext uri="{FF2B5EF4-FFF2-40B4-BE49-F238E27FC236}">
              <a16:creationId xmlns:a16="http://schemas.microsoft.com/office/drawing/2014/main" id="{00000000-0008-0000-0400-000082000000}"/>
            </a:ext>
          </a:extLst>
        </xdr:cNvPr>
        <xdr:cNvPicPr>
          <a:picLocks noChangeAspect="1"/>
        </xdr:cNvPicPr>
      </xdr:nvPicPr>
      <xdr:blipFill>
        <a:blip xmlns:r="http://schemas.openxmlformats.org/officeDocument/2006/relationships" r:embed="rId2"/>
        <a:stretch>
          <a:fillRect/>
        </a:stretch>
      </xdr:blipFill>
      <xdr:spPr>
        <a:xfrm>
          <a:off x="2094432" y="69317876"/>
          <a:ext cx="5973803" cy="3034820"/>
        </a:xfrm>
        <a:prstGeom prst="rect">
          <a:avLst/>
        </a:prstGeom>
      </xdr:spPr>
    </xdr:pic>
    <xdr:clientData/>
  </xdr:twoCellAnchor>
  <xdr:twoCellAnchor editAs="oneCell">
    <xdr:from>
      <xdr:col>5</xdr:col>
      <xdr:colOff>284413</xdr:colOff>
      <xdr:row>248</xdr:row>
      <xdr:rowOff>202837</xdr:rowOff>
    </xdr:from>
    <xdr:to>
      <xdr:col>5</xdr:col>
      <xdr:colOff>1189360</xdr:colOff>
      <xdr:row>274</xdr:row>
      <xdr:rowOff>201706</xdr:rowOff>
    </xdr:to>
    <xdr:pic>
      <xdr:nvPicPr>
        <xdr:cNvPr id="124" name="Picture 123">
          <a:extLst>
            <a:ext uri="{FF2B5EF4-FFF2-40B4-BE49-F238E27FC236}">
              <a16:creationId xmlns:a16="http://schemas.microsoft.com/office/drawing/2014/main" id="{00000000-0008-0000-0400-00007C000000}"/>
            </a:ext>
          </a:extLst>
        </xdr:cNvPr>
        <xdr:cNvPicPr>
          <a:picLocks noChangeAspect="1"/>
        </xdr:cNvPicPr>
      </xdr:nvPicPr>
      <xdr:blipFill>
        <a:blip xmlns:r="http://schemas.openxmlformats.org/officeDocument/2006/relationships" r:embed="rId3"/>
        <a:stretch>
          <a:fillRect/>
        </a:stretch>
      </xdr:blipFill>
      <xdr:spPr>
        <a:xfrm>
          <a:off x="7635472" y="72559219"/>
          <a:ext cx="904947" cy="5870752"/>
        </a:xfrm>
        <a:prstGeom prst="rect">
          <a:avLst/>
        </a:prstGeom>
      </xdr:spPr>
    </xdr:pic>
    <xdr:clientData/>
  </xdr:twoCellAnchor>
  <xdr:twoCellAnchor editAs="oneCell">
    <xdr:from>
      <xdr:col>2</xdr:col>
      <xdr:colOff>571501</xdr:colOff>
      <xdr:row>249</xdr:row>
      <xdr:rowOff>2</xdr:rowOff>
    </xdr:from>
    <xdr:to>
      <xdr:col>5</xdr:col>
      <xdr:colOff>246530</xdr:colOff>
      <xdr:row>274</xdr:row>
      <xdr:rowOff>220303</xdr:rowOff>
    </xdr:to>
    <xdr:pic>
      <xdr:nvPicPr>
        <xdr:cNvPr id="121" name="Picture 120">
          <a:extLst>
            <a:ext uri="{FF2B5EF4-FFF2-40B4-BE49-F238E27FC236}">
              <a16:creationId xmlns:a16="http://schemas.microsoft.com/office/drawing/2014/main" id="{00000000-0008-0000-0400-000079000000}"/>
            </a:ext>
          </a:extLst>
        </xdr:cNvPr>
        <xdr:cNvPicPr>
          <a:picLocks noChangeAspect="1"/>
        </xdr:cNvPicPr>
      </xdr:nvPicPr>
      <xdr:blipFill>
        <a:blip xmlns:r="http://schemas.openxmlformats.org/officeDocument/2006/relationships" r:embed="rId4"/>
        <a:stretch>
          <a:fillRect/>
        </a:stretch>
      </xdr:blipFill>
      <xdr:spPr>
        <a:xfrm>
          <a:off x="1837766" y="72580502"/>
          <a:ext cx="5759823" cy="5868066"/>
        </a:xfrm>
        <a:prstGeom prst="rect">
          <a:avLst/>
        </a:prstGeom>
      </xdr:spPr>
    </xdr:pic>
    <xdr:clientData/>
  </xdr:twoCellAnchor>
  <xdr:twoCellAnchor>
    <xdr:from>
      <xdr:col>2</xdr:col>
      <xdr:colOff>2064544</xdr:colOff>
      <xdr:row>4</xdr:row>
      <xdr:rowOff>124240</xdr:rowOff>
    </xdr:from>
    <xdr:to>
      <xdr:col>7</xdr:col>
      <xdr:colOff>1029021</xdr:colOff>
      <xdr:row>5</xdr:row>
      <xdr:rowOff>8284</xdr:rowOff>
    </xdr:to>
    <xdr:sp macro="" textlink="">
      <xdr:nvSpPr>
        <xdr:cNvPr id="2" name="Rounded Rectangle 1">
          <a:extLst>
            <a:ext uri="{FF2B5EF4-FFF2-40B4-BE49-F238E27FC236}">
              <a16:creationId xmlns:a16="http://schemas.microsoft.com/office/drawing/2014/main" id="{00000000-0008-0000-0400-000002000000}"/>
            </a:ext>
          </a:extLst>
        </xdr:cNvPr>
        <xdr:cNvSpPr/>
      </xdr:nvSpPr>
      <xdr:spPr>
        <a:xfrm>
          <a:off x="3331369" y="1133890"/>
          <a:ext cx="8146577" cy="503169"/>
        </a:xfrm>
        <a:prstGeom prst="roundRect">
          <a:avLst>
            <a:gd name="adj" fmla="val 11078"/>
          </a:avLst>
        </a:prstGeom>
        <a:solidFill>
          <a:schemeClr val="bg1">
            <a:lumMod val="95000"/>
            <a:alpha val="90000"/>
          </a:schemeClr>
        </a:solidFill>
        <a:ln w="6350">
          <a:solidFill>
            <a:schemeClr val="accent1">
              <a:lumMod val="50000"/>
            </a:schemeClr>
          </a:solid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5863" tIns="61808" rIns="61808" bIns="61811" numCol="1" spcCol="1270" anchor="ctr" anchorCtr="0">
          <a:noAutofit/>
        </a:bodyPr>
        <a:lstStyle>
          <a:defPPr>
            <a:defRPr lang="en-US"/>
          </a:defPPr>
          <a:lvl1pPr marL="0" algn="l" defTabSz="457200" rtl="0" eaLnBrk="1" latinLnBrk="0" hangingPunct="1">
            <a:defRPr sz="1800" kern="1200">
              <a:solidFill>
                <a:schemeClr val="dk1">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1">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1">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1">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1">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1">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1">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1">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1">
                  <a:hueOff val="0"/>
                  <a:satOff val="0"/>
                  <a:lumOff val="0"/>
                  <a:alphaOff val="0"/>
                </a:schemeClr>
              </a:solidFill>
              <a:latin typeface="+mn-lt"/>
              <a:ea typeface="+mn-ea"/>
              <a:cs typeface="+mn-cs"/>
            </a:defRPr>
          </a:lvl9pPr>
        </a:lstStyle>
        <a:p>
          <a:pPr marL="459311" lvl="2" indent="-228600" defTabSz="474121">
            <a:lnSpc>
              <a:spcPct val="90000"/>
            </a:lnSpc>
            <a:spcBef>
              <a:spcPct val="0"/>
            </a:spcBef>
            <a:spcAft>
              <a:spcPct val="15000"/>
            </a:spcAft>
            <a:buFont typeface="+mj-lt"/>
            <a:buAutoNum type="alphaLcParenR"/>
          </a:pPr>
          <a:r>
            <a:rPr lang="en-US" sz="1200"/>
            <a:t>Identify supply chain design scenarios to analyze (Up to 6 scenarios can be captured in the Scenario Manager</a:t>
          </a:r>
          <a:r>
            <a:rPr lang="en-US" sz="1200" baseline="0"/>
            <a:t> sheet)</a:t>
          </a:r>
          <a:endParaRPr lang="en-US" sz="1200"/>
        </a:p>
        <a:p>
          <a:pPr marL="459311" lvl="2" indent="-228600" defTabSz="474121">
            <a:lnSpc>
              <a:spcPct val="90000"/>
            </a:lnSpc>
            <a:spcBef>
              <a:spcPct val="0"/>
            </a:spcBef>
            <a:spcAft>
              <a:spcPct val="15000"/>
            </a:spcAft>
            <a:buFont typeface="+mj-lt"/>
            <a:buAutoNum type="alphaLcParenR"/>
          </a:pPr>
          <a:r>
            <a:rPr lang="en-US" sz="1200"/>
            <a:t>Give a short name to each scenario, e.g. "Skip District", "Direct Delivery"</a:t>
          </a:r>
        </a:p>
      </xdr:txBody>
    </xdr:sp>
    <xdr:clientData/>
  </xdr:twoCellAnchor>
  <xdr:twoCellAnchor>
    <xdr:from>
      <xdr:col>1</xdr:col>
      <xdr:colOff>283508</xdr:colOff>
      <xdr:row>107</xdr:row>
      <xdr:rowOff>29135</xdr:rowOff>
    </xdr:from>
    <xdr:to>
      <xdr:col>4</xdr:col>
      <xdr:colOff>2233332</xdr:colOff>
      <xdr:row>114</xdr:row>
      <xdr:rowOff>138896</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93108" y="33890510"/>
          <a:ext cx="6407524" cy="1605186"/>
        </a:xfrm>
        <a:prstGeom prst="rect">
          <a:avLst/>
        </a:prstGeom>
        <a:ln>
          <a:solidFill>
            <a:sysClr val="windowText" lastClr="000000"/>
          </a:solidFill>
        </a:ln>
      </xdr:spPr>
    </xdr:pic>
    <xdr:clientData/>
  </xdr:twoCellAnchor>
  <xdr:twoCellAnchor>
    <xdr:from>
      <xdr:col>4</xdr:col>
      <xdr:colOff>810186</xdr:colOff>
      <xdr:row>111</xdr:row>
      <xdr:rowOff>26895</xdr:rowOff>
    </xdr:from>
    <xdr:to>
      <xdr:col>5</xdr:col>
      <xdr:colOff>5443</xdr:colOff>
      <xdr:row>111</xdr:row>
      <xdr:rowOff>26895</xdr:rowOff>
    </xdr:to>
    <xdr:cxnSp macro="">
      <xdr:nvCxnSpPr>
        <xdr:cNvPr id="4" name="Straight Arrow Connector 3">
          <a:extLst>
            <a:ext uri="{FF2B5EF4-FFF2-40B4-BE49-F238E27FC236}">
              <a16:creationId xmlns:a16="http://schemas.microsoft.com/office/drawing/2014/main" id="{00000000-0008-0000-0400-000004000000}"/>
            </a:ext>
          </a:extLst>
        </xdr:cNvPr>
        <xdr:cNvCxnSpPr/>
      </xdr:nvCxnSpPr>
      <xdr:spPr>
        <a:xfrm flipH="1">
          <a:off x="5877486" y="34697895"/>
          <a:ext cx="1481257"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289674</xdr:colOff>
      <xdr:row>116</xdr:row>
      <xdr:rowOff>71717</xdr:rowOff>
    </xdr:from>
    <xdr:to>
      <xdr:col>6</xdr:col>
      <xdr:colOff>9525</xdr:colOff>
      <xdr:row>121</xdr:row>
      <xdr:rowOff>197224</xdr:rowOff>
    </xdr:to>
    <xdr:grpSp>
      <xdr:nvGrpSpPr>
        <xdr:cNvPr id="5" name="Group 4">
          <a:extLst>
            <a:ext uri="{FF2B5EF4-FFF2-40B4-BE49-F238E27FC236}">
              <a16:creationId xmlns:a16="http://schemas.microsoft.com/office/drawing/2014/main" id="{00000000-0008-0000-0400-000005000000}"/>
            </a:ext>
          </a:extLst>
        </xdr:cNvPr>
        <xdr:cNvGrpSpPr/>
      </xdr:nvGrpSpPr>
      <xdr:grpSpPr>
        <a:xfrm>
          <a:off x="936414" y="35296608"/>
          <a:ext cx="8575699" cy="1777574"/>
          <a:chOff x="889749" y="37514492"/>
          <a:chExt cx="8063751" cy="1773332"/>
        </a:xfrm>
      </xdr:grpSpPr>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19096" r="96111" b="8543"/>
          <a:stretch/>
        </xdr:blipFill>
        <xdr:spPr>
          <a:xfrm>
            <a:off x="889749" y="37531217"/>
            <a:ext cx="313763" cy="1756607"/>
          </a:xfrm>
          <a:prstGeom prst="rect">
            <a:avLst/>
          </a:prstGeom>
        </xdr:spPr>
      </xdr:pic>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9083" t="19096" r="2755" b="8543"/>
          <a:stretch/>
        </xdr:blipFill>
        <xdr:spPr>
          <a:xfrm>
            <a:off x="1356472" y="37514492"/>
            <a:ext cx="7532034" cy="1756607"/>
          </a:xfrm>
          <a:prstGeom prst="rect">
            <a:avLst/>
          </a:prstGeom>
          <a:ln>
            <a:solidFill>
              <a:sysClr val="windowText" lastClr="000000"/>
            </a:solidFill>
          </a:ln>
        </xdr:spPr>
      </xdr:pic>
      <xdr:cxnSp macro="">
        <xdr:nvCxnSpPr>
          <xdr:cNvPr id="8" name="Straight Arrow Connector 7">
            <a:extLst>
              <a:ext uri="{FF2B5EF4-FFF2-40B4-BE49-F238E27FC236}">
                <a16:creationId xmlns:a16="http://schemas.microsoft.com/office/drawing/2014/main" id="{00000000-0008-0000-0400-000008000000}"/>
              </a:ext>
            </a:extLst>
          </xdr:cNvPr>
          <xdr:cNvCxnSpPr/>
        </xdr:nvCxnSpPr>
        <xdr:spPr>
          <a:xfrm flipH="1" flipV="1">
            <a:off x="5818093" y="38471949"/>
            <a:ext cx="11207" cy="448538"/>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9" name="Straight Arrow Connector 8">
            <a:extLst>
              <a:ext uri="{FF2B5EF4-FFF2-40B4-BE49-F238E27FC236}">
                <a16:creationId xmlns:a16="http://schemas.microsoft.com/office/drawing/2014/main" id="{00000000-0008-0000-0400-000009000000}"/>
              </a:ext>
            </a:extLst>
          </xdr:cNvPr>
          <xdr:cNvCxnSpPr/>
        </xdr:nvCxnSpPr>
        <xdr:spPr>
          <a:xfrm flipH="1" flipV="1">
            <a:off x="8200464" y="38479117"/>
            <a:ext cx="11207" cy="448538"/>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0000000-0008-0000-0400-00000A000000}"/>
              </a:ext>
            </a:extLst>
          </xdr:cNvPr>
          <xdr:cNvCxnSpPr/>
        </xdr:nvCxnSpPr>
        <xdr:spPr>
          <a:xfrm>
            <a:off x="5829300" y="38931477"/>
            <a:ext cx="3124200" cy="0"/>
          </a:xfrm>
          <a:prstGeom prst="line">
            <a:avLst/>
          </a:prstGeom>
          <a:ln w="57150">
            <a:solidFill>
              <a:srgbClr val="FF0000"/>
            </a:solidFill>
            <a:tailEnd type="non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179294</xdr:colOff>
      <xdr:row>124</xdr:row>
      <xdr:rowOff>134471</xdr:rowOff>
    </xdr:from>
    <xdr:to>
      <xdr:col>6</xdr:col>
      <xdr:colOff>0</xdr:colOff>
      <xdr:row>132</xdr:row>
      <xdr:rowOff>208691</xdr:rowOff>
    </xdr:to>
    <xdr:grpSp>
      <xdr:nvGrpSpPr>
        <xdr:cNvPr id="11" name="Group 10">
          <a:extLst>
            <a:ext uri="{FF2B5EF4-FFF2-40B4-BE49-F238E27FC236}">
              <a16:creationId xmlns:a16="http://schemas.microsoft.com/office/drawing/2014/main" id="{00000000-0008-0000-0400-00000B000000}"/>
            </a:ext>
          </a:extLst>
        </xdr:cNvPr>
        <xdr:cNvGrpSpPr/>
      </xdr:nvGrpSpPr>
      <xdr:grpSpPr>
        <a:xfrm>
          <a:off x="826034" y="38157631"/>
          <a:ext cx="8676554" cy="1918388"/>
          <a:chOff x="788894" y="39310796"/>
          <a:chExt cx="8164606" cy="1903020"/>
        </a:xfrm>
      </xdr:grpSpPr>
      <xdr:pic>
        <xdr:nvPicPr>
          <xdr:cNvPr id="12" name="Picture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88894" y="39310796"/>
            <a:ext cx="8144435" cy="1903020"/>
          </a:xfrm>
          <a:prstGeom prst="rect">
            <a:avLst/>
          </a:prstGeom>
          <a:ln>
            <a:solidFill>
              <a:sysClr val="windowText" lastClr="000000"/>
            </a:solidFill>
          </a:ln>
        </xdr:spPr>
      </xdr:pic>
      <xdr:cxnSp macro="">
        <xdr:nvCxnSpPr>
          <xdr:cNvPr id="13" name="Straight Arrow Connector 12">
            <a:extLst>
              <a:ext uri="{FF2B5EF4-FFF2-40B4-BE49-F238E27FC236}">
                <a16:creationId xmlns:a16="http://schemas.microsoft.com/office/drawing/2014/main" id="{00000000-0008-0000-0400-00000D000000}"/>
              </a:ext>
            </a:extLst>
          </xdr:cNvPr>
          <xdr:cNvCxnSpPr/>
        </xdr:nvCxnSpPr>
        <xdr:spPr>
          <a:xfrm flipH="1" flipV="1">
            <a:off x="5818093" y="40442590"/>
            <a:ext cx="11207" cy="448538"/>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14" name="Straight Arrow Connector 13">
            <a:extLst>
              <a:ext uri="{FF2B5EF4-FFF2-40B4-BE49-F238E27FC236}">
                <a16:creationId xmlns:a16="http://schemas.microsoft.com/office/drawing/2014/main" id="{00000000-0008-0000-0400-00000E000000}"/>
              </a:ext>
            </a:extLst>
          </xdr:cNvPr>
          <xdr:cNvCxnSpPr/>
        </xdr:nvCxnSpPr>
        <xdr:spPr>
          <a:xfrm flipH="1" flipV="1">
            <a:off x="8200464" y="40449758"/>
            <a:ext cx="11207" cy="448538"/>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0400-00000F000000}"/>
              </a:ext>
            </a:extLst>
          </xdr:cNvPr>
          <xdr:cNvCxnSpPr/>
        </xdr:nvCxnSpPr>
        <xdr:spPr>
          <a:xfrm>
            <a:off x="5829300" y="40902118"/>
            <a:ext cx="3124200" cy="0"/>
          </a:xfrm>
          <a:prstGeom prst="line">
            <a:avLst/>
          </a:prstGeom>
          <a:ln w="57150">
            <a:solidFill>
              <a:srgbClr val="FF0000"/>
            </a:solidFill>
            <a:tailEnd type="non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201706</xdr:colOff>
      <xdr:row>144</xdr:row>
      <xdr:rowOff>68200</xdr:rowOff>
    </xdr:from>
    <xdr:to>
      <xdr:col>5</xdr:col>
      <xdr:colOff>0</xdr:colOff>
      <xdr:row>154</xdr:row>
      <xdr:rowOff>173815</xdr:rowOff>
    </xdr:to>
    <xdr:grpSp>
      <xdr:nvGrpSpPr>
        <xdr:cNvPr id="16" name="Group 15">
          <a:extLst>
            <a:ext uri="{FF2B5EF4-FFF2-40B4-BE49-F238E27FC236}">
              <a16:creationId xmlns:a16="http://schemas.microsoft.com/office/drawing/2014/main" id="{00000000-0008-0000-0400-000010000000}"/>
            </a:ext>
          </a:extLst>
        </xdr:cNvPr>
        <xdr:cNvGrpSpPr/>
      </xdr:nvGrpSpPr>
      <xdr:grpSpPr>
        <a:xfrm>
          <a:off x="1546412" y="43476587"/>
          <a:ext cx="6259286" cy="2090656"/>
          <a:chOff x="1468531" y="35358325"/>
          <a:chExt cx="5884769" cy="2105865"/>
        </a:xfrm>
      </xdr:grpSpPr>
      <xdr:pic>
        <xdr:nvPicPr>
          <xdr:cNvPr id="17" name="Picture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8"/>
          <a:stretch>
            <a:fillRect/>
          </a:stretch>
        </xdr:blipFill>
        <xdr:spPr>
          <a:xfrm>
            <a:off x="1468531" y="35358325"/>
            <a:ext cx="5677298" cy="2105865"/>
          </a:xfrm>
          <a:prstGeom prst="rect">
            <a:avLst/>
          </a:prstGeom>
          <a:ln>
            <a:solidFill>
              <a:sysClr val="windowText" lastClr="000000"/>
            </a:solidFill>
          </a:ln>
        </xdr:spPr>
      </xdr:pic>
      <xdr:cxnSp macro="">
        <xdr:nvCxnSpPr>
          <xdr:cNvPr id="18" name="Straight Arrow Connector 17">
            <a:extLst>
              <a:ext uri="{FF2B5EF4-FFF2-40B4-BE49-F238E27FC236}">
                <a16:creationId xmlns:a16="http://schemas.microsoft.com/office/drawing/2014/main" id="{00000000-0008-0000-0400-000012000000}"/>
              </a:ext>
            </a:extLst>
          </xdr:cNvPr>
          <xdr:cNvCxnSpPr/>
        </xdr:nvCxnSpPr>
        <xdr:spPr>
          <a:xfrm flipH="1">
            <a:off x="6008594" y="36424720"/>
            <a:ext cx="1344706" cy="479082"/>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190500</xdr:colOff>
      <xdr:row>157</xdr:row>
      <xdr:rowOff>33618</xdr:rowOff>
    </xdr:from>
    <xdr:to>
      <xdr:col>4</xdr:col>
      <xdr:colOff>2281517</xdr:colOff>
      <xdr:row>167</xdr:row>
      <xdr:rowOff>140735</xdr:rowOff>
    </xdr:to>
    <xdr:grpSp>
      <xdr:nvGrpSpPr>
        <xdr:cNvPr id="19" name="Group 18">
          <a:extLst>
            <a:ext uri="{FF2B5EF4-FFF2-40B4-BE49-F238E27FC236}">
              <a16:creationId xmlns:a16="http://schemas.microsoft.com/office/drawing/2014/main" id="{00000000-0008-0000-0400-000013000000}"/>
            </a:ext>
          </a:extLst>
        </xdr:cNvPr>
        <xdr:cNvGrpSpPr/>
      </xdr:nvGrpSpPr>
      <xdr:grpSpPr>
        <a:xfrm>
          <a:off x="1535206" y="46022559"/>
          <a:ext cx="6125135" cy="2092160"/>
          <a:chOff x="1457325" y="37924068"/>
          <a:chExt cx="5891492" cy="2107367"/>
        </a:xfrm>
      </xdr:grpSpPr>
      <xdr:pic>
        <xdr:nvPicPr>
          <xdr:cNvPr id="20" name="Picture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9"/>
          <a:stretch>
            <a:fillRect/>
          </a:stretch>
        </xdr:blipFill>
        <xdr:spPr>
          <a:xfrm>
            <a:off x="1457325" y="37924068"/>
            <a:ext cx="5598994" cy="2107367"/>
          </a:xfrm>
          <a:prstGeom prst="rect">
            <a:avLst/>
          </a:prstGeom>
          <a:ln>
            <a:solidFill>
              <a:sysClr val="windowText" lastClr="000000"/>
            </a:solidFill>
          </a:ln>
        </xdr:spPr>
      </xdr:pic>
      <xdr:cxnSp macro="">
        <xdr:nvCxnSpPr>
          <xdr:cNvPr id="21" name="Straight Arrow Connector 20">
            <a:extLst>
              <a:ext uri="{FF2B5EF4-FFF2-40B4-BE49-F238E27FC236}">
                <a16:creationId xmlns:a16="http://schemas.microsoft.com/office/drawing/2014/main" id="{00000000-0008-0000-0400-000015000000}"/>
              </a:ext>
            </a:extLst>
          </xdr:cNvPr>
          <xdr:cNvCxnSpPr/>
        </xdr:nvCxnSpPr>
        <xdr:spPr>
          <a:xfrm flipH="1">
            <a:off x="6949888" y="39069870"/>
            <a:ext cx="381000" cy="431986"/>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a:extLst>
              <a:ext uri="{FF2B5EF4-FFF2-40B4-BE49-F238E27FC236}">
                <a16:creationId xmlns:a16="http://schemas.microsoft.com/office/drawing/2014/main" id="{00000000-0008-0000-0400-000016000000}"/>
              </a:ext>
            </a:extLst>
          </xdr:cNvPr>
          <xdr:cNvCxnSpPr/>
        </xdr:nvCxnSpPr>
        <xdr:spPr>
          <a:xfrm flipH="1">
            <a:off x="6004111" y="39042975"/>
            <a:ext cx="1344706" cy="479081"/>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268941</xdr:colOff>
      <xdr:row>251</xdr:row>
      <xdr:rowOff>34748</xdr:rowOff>
    </xdr:from>
    <xdr:to>
      <xdr:col>6</xdr:col>
      <xdr:colOff>2</xdr:colOff>
      <xdr:row>269</xdr:row>
      <xdr:rowOff>194067</xdr:rowOff>
    </xdr:to>
    <xdr:grpSp>
      <xdr:nvGrpSpPr>
        <xdr:cNvPr id="23" name="Group 22">
          <a:extLst>
            <a:ext uri="{FF2B5EF4-FFF2-40B4-BE49-F238E27FC236}">
              <a16:creationId xmlns:a16="http://schemas.microsoft.com/office/drawing/2014/main" id="{00000000-0008-0000-0400-000017000000}"/>
            </a:ext>
          </a:extLst>
        </xdr:cNvPr>
        <xdr:cNvGrpSpPr/>
      </xdr:nvGrpSpPr>
      <xdr:grpSpPr>
        <a:xfrm>
          <a:off x="5647765" y="75780109"/>
          <a:ext cx="3854825" cy="4347118"/>
          <a:chOff x="5337287" y="21368548"/>
          <a:chExt cx="3618450" cy="4316024"/>
        </a:xfrm>
      </xdr:grpSpPr>
      <xdr:sp macro="" textlink="">
        <xdr:nvSpPr>
          <xdr:cNvPr id="25" name="Rectangle 24">
            <a:extLst>
              <a:ext uri="{FF2B5EF4-FFF2-40B4-BE49-F238E27FC236}">
                <a16:creationId xmlns:a16="http://schemas.microsoft.com/office/drawing/2014/main" id="{00000000-0008-0000-0400-000019000000}"/>
              </a:ext>
            </a:extLst>
          </xdr:cNvPr>
          <xdr:cNvSpPr/>
        </xdr:nvSpPr>
        <xdr:spPr>
          <a:xfrm>
            <a:off x="6793628" y="21368548"/>
            <a:ext cx="817068" cy="133125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6" name="Straight Arrow Connector 25">
            <a:extLst>
              <a:ext uri="{FF2B5EF4-FFF2-40B4-BE49-F238E27FC236}">
                <a16:creationId xmlns:a16="http://schemas.microsoft.com/office/drawing/2014/main" id="{00000000-0008-0000-0400-00001A000000}"/>
              </a:ext>
            </a:extLst>
          </xdr:cNvPr>
          <xdr:cNvCxnSpPr/>
        </xdr:nvCxnSpPr>
        <xdr:spPr>
          <a:xfrm flipH="1">
            <a:off x="7600218" y="21835240"/>
            <a:ext cx="1333112"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sp macro="" textlink="">
        <xdr:nvSpPr>
          <xdr:cNvPr id="27" name="Rectangle 26">
            <a:extLst>
              <a:ext uri="{FF2B5EF4-FFF2-40B4-BE49-F238E27FC236}">
                <a16:creationId xmlns:a16="http://schemas.microsoft.com/office/drawing/2014/main" id="{00000000-0008-0000-0400-00001B000000}"/>
              </a:ext>
            </a:extLst>
          </xdr:cNvPr>
          <xdr:cNvSpPr/>
        </xdr:nvSpPr>
        <xdr:spPr>
          <a:xfrm>
            <a:off x="5337287" y="22718561"/>
            <a:ext cx="825608" cy="128867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8" name="Straight Arrow Connector 27">
            <a:extLst>
              <a:ext uri="{FF2B5EF4-FFF2-40B4-BE49-F238E27FC236}">
                <a16:creationId xmlns:a16="http://schemas.microsoft.com/office/drawing/2014/main" id="{00000000-0008-0000-0400-00001C000000}"/>
              </a:ext>
            </a:extLst>
          </xdr:cNvPr>
          <xdr:cNvCxnSpPr/>
        </xdr:nvCxnSpPr>
        <xdr:spPr>
          <a:xfrm flipH="1">
            <a:off x="6188687" y="23347598"/>
            <a:ext cx="2767050" cy="14205"/>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29" name="Straight Arrow Connector 28">
            <a:extLst>
              <a:ext uri="{FF2B5EF4-FFF2-40B4-BE49-F238E27FC236}">
                <a16:creationId xmlns:a16="http://schemas.microsoft.com/office/drawing/2014/main" id="{00000000-0008-0000-0400-00001D000000}"/>
              </a:ext>
            </a:extLst>
          </xdr:cNvPr>
          <xdr:cNvCxnSpPr/>
        </xdr:nvCxnSpPr>
        <xdr:spPr>
          <a:xfrm flipH="1">
            <a:off x="8462819" y="25684572"/>
            <a:ext cx="466029"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603883</xdr:colOff>
      <xdr:row>239</xdr:row>
      <xdr:rowOff>9495</xdr:rowOff>
    </xdr:from>
    <xdr:to>
      <xdr:col>6</xdr:col>
      <xdr:colOff>6724</xdr:colOff>
      <xdr:row>246</xdr:row>
      <xdr:rowOff>123266</xdr:rowOff>
    </xdr:to>
    <xdr:grpSp>
      <xdr:nvGrpSpPr>
        <xdr:cNvPr id="31" name="Group 30">
          <a:extLst>
            <a:ext uri="{FF2B5EF4-FFF2-40B4-BE49-F238E27FC236}">
              <a16:creationId xmlns:a16="http://schemas.microsoft.com/office/drawing/2014/main" id="{00000000-0008-0000-0400-00001F000000}"/>
            </a:ext>
          </a:extLst>
        </xdr:cNvPr>
        <xdr:cNvGrpSpPr/>
      </xdr:nvGrpSpPr>
      <xdr:grpSpPr>
        <a:xfrm>
          <a:off x="5982707" y="69671663"/>
          <a:ext cx="3526605" cy="4672964"/>
          <a:chOff x="5670404" y="18495851"/>
          <a:chExt cx="3292064" cy="1784582"/>
        </a:xfrm>
      </xdr:grpSpPr>
      <xdr:sp macro="" textlink="">
        <xdr:nvSpPr>
          <xdr:cNvPr id="33" name="Rectangle 32">
            <a:extLst>
              <a:ext uri="{FF2B5EF4-FFF2-40B4-BE49-F238E27FC236}">
                <a16:creationId xmlns:a16="http://schemas.microsoft.com/office/drawing/2014/main" id="{00000000-0008-0000-0400-000021000000}"/>
              </a:ext>
            </a:extLst>
          </xdr:cNvPr>
          <xdr:cNvSpPr/>
        </xdr:nvSpPr>
        <xdr:spPr>
          <a:xfrm>
            <a:off x="5670404" y="18495851"/>
            <a:ext cx="2411069" cy="7074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4" name="Rectangle 33">
            <a:extLst>
              <a:ext uri="{FF2B5EF4-FFF2-40B4-BE49-F238E27FC236}">
                <a16:creationId xmlns:a16="http://schemas.microsoft.com/office/drawing/2014/main" id="{00000000-0008-0000-0400-000022000000}"/>
              </a:ext>
            </a:extLst>
          </xdr:cNvPr>
          <xdr:cNvSpPr/>
        </xdr:nvSpPr>
        <xdr:spPr>
          <a:xfrm>
            <a:off x="5670569" y="19460690"/>
            <a:ext cx="2444533" cy="81974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Straight Arrow Connector 34">
            <a:extLst>
              <a:ext uri="{FF2B5EF4-FFF2-40B4-BE49-F238E27FC236}">
                <a16:creationId xmlns:a16="http://schemas.microsoft.com/office/drawing/2014/main" id="{00000000-0008-0000-0400-000023000000}"/>
              </a:ext>
            </a:extLst>
          </xdr:cNvPr>
          <xdr:cNvCxnSpPr/>
        </xdr:nvCxnSpPr>
        <xdr:spPr>
          <a:xfrm flipH="1">
            <a:off x="8440148" y="19147678"/>
            <a:ext cx="522320" cy="1159"/>
          </a:xfrm>
          <a:prstGeom prst="straightConnector1">
            <a:avLst/>
          </a:prstGeom>
          <a:ln w="38100">
            <a:solidFill>
              <a:srgbClr val="FF0000"/>
            </a:solidFill>
            <a:tailEnd type="none" w="lg" len="lg"/>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00000000-0008-0000-0400-000024000000}"/>
              </a:ext>
            </a:extLst>
          </xdr:cNvPr>
          <xdr:cNvCxnSpPr/>
        </xdr:nvCxnSpPr>
        <xdr:spPr>
          <a:xfrm flipH="1" flipV="1">
            <a:off x="8115101" y="18981866"/>
            <a:ext cx="343470" cy="164244"/>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0000000-0008-0000-0400-000025000000}"/>
              </a:ext>
            </a:extLst>
          </xdr:cNvPr>
          <xdr:cNvCxnSpPr/>
        </xdr:nvCxnSpPr>
        <xdr:spPr>
          <a:xfrm flipH="1">
            <a:off x="8092684" y="19153376"/>
            <a:ext cx="370369" cy="305341"/>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562215</xdr:colOff>
      <xdr:row>57</xdr:row>
      <xdr:rowOff>265645</xdr:rowOff>
    </xdr:from>
    <xdr:to>
      <xdr:col>6</xdr:col>
      <xdr:colOff>1299483</xdr:colOff>
      <xdr:row>59</xdr:row>
      <xdr:rowOff>485548</xdr:rowOff>
    </xdr:to>
    <xdr:grpSp>
      <xdr:nvGrpSpPr>
        <xdr:cNvPr id="38" name="Group 37">
          <a:extLst>
            <a:ext uri="{FF2B5EF4-FFF2-40B4-BE49-F238E27FC236}">
              <a16:creationId xmlns:a16="http://schemas.microsoft.com/office/drawing/2014/main" id="{00000000-0008-0000-0400-000026000000}"/>
            </a:ext>
          </a:extLst>
        </xdr:cNvPr>
        <xdr:cNvGrpSpPr/>
      </xdr:nvGrpSpPr>
      <xdr:grpSpPr>
        <a:xfrm>
          <a:off x="1208955" y="19578183"/>
          <a:ext cx="9593116" cy="1270054"/>
          <a:chOff x="1171815" y="17372545"/>
          <a:chExt cx="9081168" cy="1267653"/>
        </a:xfrm>
      </xdr:grpSpPr>
      <xdr:pic>
        <xdr:nvPicPr>
          <xdr:cNvPr id="39" name="Picture 38">
            <a:extLst>
              <a:ext uri="{FF2B5EF4-FFF2-40B4-BE49-F238E27FC236}">
                <a16:creationId xmlns:a16="http://schemas.microsoft.com/office/drawing/2014/main" id="{00000000-0008-0000-0400-000027000000}"/>
              </a:ext>
            </a:extLst>
          </xdr:cNvPr>
          <xdr:cNvPicPr>
            <a:picLocks noChangeAspect="1"/>
          </xdr:cNvPicPr>
        </xdr:nvPicPr>
        <xdr:blipFill>
          <a:blip xmlns:r="http://schemas.openxmlformats.org/officeDocument/2006/relationships" r:embed="rId10"/>
          <a:stretch>
            <a:fillRect/>
          </a:stretch>
        </xdr:blipFill>
        <xdr:spPr>
          <a:xfrm>
            <a:off x="1171815" y="17372545"/>
            <a:ext cx="8791498" cy="1267653"/>
          </a:xfrm>
          <a:prstGeom prst="rect">
            <a:avLst/>
          </a:prstGeom>
          <a:ln>
            <a:solidFill>
              <a:schemeClr val="bg1">
                <a:lumMod val="50000"/>
              </a:schemeClr>
            </a:solidFill>
          </a:ln>
        </xdr:spPr>
      </xdr:pic>
      <xdr:sp macro="" textlink="">
        <xdr:nvSpPr>
          <xdr:cNvPr id="40" name="Rectangle 39">
            <a:extLst>
              <a:ext uri="{FF2B5EF4-FFF2-40B4-BE49-F238E27FC236}">
                <a16:creationId xmlns:a16="http://schemas.microsoft.com/office/drawing/2014/main" id="{00000000-0008-0000-0400-000028000000}"/>
              </a:ext>
            </a:extLst>
          </xdr:cNvPr>
          <xdr:cNvSpPr/>
        </xdr:nvSpPr>
        <xdr:spPr>
          <a:xfrm>
            <a:off x="4176672" y="18045394"/>
            <a:ext cx="5180240" cy="38940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1" name="Straight Arrow Connector 40">
            <a:extLst>
              <a:ext uri="{FF2B5EF4-FFF2-40B4-BE49-F238E27FC236}">
                <a16:creationId xmlns:a16="http://schemas.microsoft.com/office/drawing/2014/main" id="{00000000-0008-0000-0400-000029000000}"/>
              </a:ext>
            </a:extLst>
          </xdr:cNvPr>
          <xdr:cNvCxnSpPr/>
        </xdr:nvCxnSpPr>
        <xdr:spPr>
          <a:xfrm flipH="1">
            <a:off x="9368518" y="18184202"/>
            <a:ext cx="884465"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1299483</xdr:colOff>
      <xdr:row>58</xdr:row>
      <xdr:rowOff>161924</xdr:rowOff>
    </xdr:from>
    <xdr:to>
      <xdr:col>7</xdr:col>
      <xdr:colOff>1466850</xdr:colOff>
      <xdr:row>59</xdr:row>
      <xdr:rowOff>238124</xdr:rowOff>
    </xdr:to>
    <xdr:sp macro="" textlink="">
      <xdr:nvSpPr>
        <xdr:cNvPr id="42" name="TextBox 41">
          <a:extLst>
            <a:ext uri="{FF2B5EF4-FFF2-40B4-BE49-F238E27FC236}">
              <a16:creationId xmlns:a16="http://schemas.microsoft.com/office/drawing/2014/main" id="{00000000-0008-0000-0400-00002A000000}"/>
            </a:ext>
          </a:extLst>
        </xdr:cNvPr>
        <xdr:cNvSpPr txBox="1"/>
      </xdr:nvSpPr>
      <xdr:spPr>
        <a:xfrm>
          <a:off x="10252983" y="21231224"/>
          <a:ext cx="1662792" cy="6000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a:t>Example: Three scenarios, each with an Inputs and Outputs worksheet</a:t>
          </a:r>
        </a:p>
      </xdr:txBody>
    </xdr:sp>
    <xdr:clientData/>
  </xdr:twoCellAnchor>
  <xdr:twoCellAnchor>
    <xdr:from>
      <xdr:col>6</xdr:col>
      <xdr:colOff>697486</xdr:colOff>
      <xdr:row>71</xdr:row>
      <xdr:rowOff>86925</xdr:rowOff>
    </xdr:from>
    <xdr:to>
      <xdr:col>7</xdr:col>
      <xdr:colOff>1447800</xdr:colOff>
      <xdr:row>75</xdr:row>
      <xdr:rowOff>22412</xdr:rowOff>
    </xdr:to>
    <xdr:sp macro="" textlink="">
      <xdr:nvSpPr>
        <xdr:cNvPr id="43" name="TextBox 42">
          <a:extLst>
            <a:ext uri="{FF2B5EF4-FFF2-40B4-BE49-F238E27FC236}">
              <a16:creationId xmlns:a16="http://schemas.microsoft.com/office/drawing/2014/main" id="{00000000-0008-0000-0400-00002B000000}"/>
            </a:ext>
          </a:extLst>
        </xdr:cNvPr>
        <xdr:cNvSpPr txBox="1"/>
      </xdr:nvSpPr>
      <xdr:spPr>
        <a:xfrm>
          <a:off x="9650986" y="25594875"/>
          <a:ext cx="2245739" cy="84988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a:t>Example: Four scenarios with descriptions,</a:t>
          </a:r>
          <a:r>
            <a:rPr lang="en-US" sz="1100" b="0" baseline="0"/>
            <a:t> and</a:t>
          </a:r>
          <a:r>
            <a:rPr lang="en-US" sz="1100" b="0"/>
            <a:t> the names</a:t>
          </a:r>
          <a:r>
            <a:rPr lang="en-US" sz="1100" b="0" baseline="0"/>
            <a:t> of the Inputs and Outputs worksheets</a:t>
          </a:r>
          <a:endParaRPr lang="en-US" sz="1100" b="0"/>
        </a:p>
      </xdr:txBody>
    </xdr:sp>
    <xdr:clientData/>
  </xdr:twoCellAnchor>
  <xdr:twoCellAnchor>
    <xdr:from>
      <xdr:col>1</xdr:col>
      <xdr:colOff>515471</xdr:colOff>
      <xdr:row>298</xdr:row>
      <xdr:rowOff>246528</xdr:rowOff>
    </xdr:from>
    <xdr:to>
      <xdr:col>7</xdr:col>
      <xdr:colOff>1591236</xdr:colOff>
      <xdr:row>315</xdr:row>
      <xdr:rowOff>134470</xdr:rowOff>
    </xdr:to>
    <xdr:grpSp>
      <xdr:nvGrpSpPr>
        <xdr:cNvPr id="44" name="Group 43">
          <a:extLst>
            <a:ext uri="{FF2B5EF4-FFF2-40B4-BE49-F238E27FC236}">
              <a16:creationId xmlns:a16="http://schemas.microsoft.com/office/drawing/2014/main" id="{00000000-0008-0000-0400-00002C000000}"/>
            </a:ext>
          </a:extLst>
        </xdr:cNvPr>
        <xdr:cNvGrpSpPr/>
      </xdr:nvGrpSpPr>
      <xdr:grpSpPr>
        <a:xfrm>
          <a:off x="1162211" y="89009923"/>
          <a:ext cx="11513244" cy="5753421"/>
          <a:chOff x="1125071" y="21219460"/>
          <a:chExt cx="10733554" cy="5983940"/>
        </a:xfrm>
      </xdr:grpSpPr>
      <xdr:sp macro="" textlink="">
        <xdr:nvSpPr>
          <xdr:cNvPr id="45" name="TextBox 44">
            <a:extLst>
              <a:ext uri="{FF2B5EF4-FFF2-40B4-BE49-F238E27FC236}">
                <a16:creationId xmlns:a16="http://schemas.microsoft.com/office/drawing/2014/main" id="{00000000-0008-0000-0400-00002D000000}"/>
              </a:ext>
            </a:extLst>
          </xdr:cNvPr>
          <xdr:cNvSpPr txBox="1"/>
        </xdr:nvSpPr>
        <xdr:spPr>
          <a:xfrm>
            <a:off x="9244855" y="25193626"/>
            <a:ext cx="2613770" cy="857249"/>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a:t>Correctly populated</a:t>
            </a:r>
            <a:r>
              <a:rPr lang="en-US" sz="1100" b="0" baseline="0"/>
              <a:t> Scenario Manager worksheet: Valid Input &amp; Output sheet names in the top table, and valid output statistics all loading correctly on this page</a:t>
            </a:r>
            <a:endParaRPr lang="en-US" sz="1100" b="0"/>
          </a:p>
        </xdr:txBody>
      </xdr:sp>
      <xdr:pic>
        <xdr:nvPicPr>
          <xdr:cNvPr id="46" name="Picture 45">
            <a:extLst>
              <a:ext uri="{FF2B5EF4-FFF2-40B4-BE49-F238E27FC236}">
                <a16:creationId xmlns:a16="http://schemas.microsoft.com/office/drawing/2014/main" id="{00000000-0008-0000-0400-00002E000000}"/>
              </a:ext>
            </a:extLst>
          </xdr:cNvPr>
          <xdr:cNvPicPr>
            <a:picLocks noChangeAspect="1"/>
          </xdr:cNvPicPr>
        </xdr:nvPicPr>
        <xdr:blipFill>
          <a:blip xmlns:r="http://schemas.openxmlformats.org/officeDocument/2006/relationships" r:embed="rId11"/>
          <a:stretch>
            <a:fillRect/>
          </a:stretch>
        </xdr:blipFill>
        <xdr:spPr>
          <a:xfrm>
            <a:off x="1125071" y="21219460"/>
            <a:ext cx="7563539" cy="5983940"/>
          </a:xfrm>
          <a:prstGeom prst="rect">
            <a:avLst/>
          </a:prstGeom>
          <a:ln>
            <a:solidFill>
              <a:schemeClr val="bg1">
                <a:lumMod val="75000"/>
              </a:schemeClr>
            </a:solidFill>
          </a:ln>
        </xdr:spPr>
      </xdr:pic>
      <xdr:sp macro="" textlink="">
        <xdr:nvSpPr>
          <xdr:cNvPr id="47" name="TextBox 46">
            <a:extLst>
              <a:ext uri="{FF2B5EF4-FFF2-40B4-BE49-F238E27FC236}">
                <a16:creationId xmlns:a16="http://schemas.microsoft.com/office/drawing/2014/main" id="{00000000-0008-0000-0400-00002F000000}"/>
              </a:ext>
            </a:extLst>
          </xdr:cNvPr>
          <xdr:cNvSpPr txBox="1"/>
        </xdr:nvSpPr>
        <xdr:spPr>
          <a:xfrm>
            <a:off x="4863353" y="24056229"/>
            <a:ext cx="3464858" cy="2790264"/>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b="0"/>
          </a:p>
        </xdr:txBody>
      </xdr:sp>
      <xdr:cxnSp macro="">
        <xdr:nvCxnSpPr>
          <xdr:cNvPr id="48" name="Straight Arrow Connector 47">
            <a:extLst>
              <a:ext uri="{FF2B5EF4-FFF2-40B4-BE49-F238E27FC236}">
                <a16:creationId xmlns:a16="http://schemas.microsoft.com/office/drawing/2014/main" id="{00000000-0008-0000-0400-000030000000}"/>
              </a:ext>
            </a:extLst>
          </xdr:cNvPr>
          <xdr:cNvCxnSpPr/>
        </xdr:nvCxnSpPr>
        <xdr:spPr>
          <a:xfrm flipH="1">
            <a:off x="8373036" y="25484886"/>
            <a:ext cx="871817"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100852</xdr:colOff>
      <xdr:row>321</xdr:row>
      <xdr:rowOff>73938</xdr:rowOff>
    </xdr:from>
    <xdr:to>
      <xdr:col>7</xdr:col>
      <xdr:colOff>1624853</xdr:colOff>
      <xdr:row>344</xdr:row>
      <xdr:rowOff>9440</xdr:rowOff>
    </xdr:to>
    <xdr:grpSp>
      <xdr:nvGrpSpPr>
        <xdr:cNvPr id="49" name="Group 48">
          <a:extLst>
            <a:ext uri="{FF2B5EF4-FFF2-40B4-BE49-F238E27FC236}">
              <a16:creationId xmlns:a16="http://schemas.microsoft.com/office/drawing/2014/main" id="{00000000-0008-0000-0400-000031000000}"/>
            </a:ext>
          </a:extLst>
        </xdr:cNvPr>
        <xdr:cNvGrpSpPr/>
      </xdr:nvGrpSpPr>
      <xdr:grpSpPr>
        <a:xfrm>
          <a:off x="747592" y="95906644"/>
          <a:ext cx="11961480" cy="8631267"/>
          <a:chOff x="710452" y="21610613"/>
          <a:chExt cx="11363326" cy="8659762"/>
        </a:xfrm>
      </xdr:grpSpPr>
      <xdr:pic>
        <xdr:nvPicPr>
          <xdr:cNvPr id="50" name="Picture 49">
            <a:extLst>
              <a:ext uri="{FF2B5EF4-FFF2-40B4-BE49-F238E27FC236}">
                <a16:creationId xmlns:a16="http://schemas.microsoft.com/office/drawing/2014/main" id="{00000000-0008-0000-0400-000032000000}"/>
              </a:ext>
            </a:extLst>
          </xdr:cNvPr>
          <xdr:cNvPicPr>
            <a:picLocks noChangeAspect="1"/>
          </xdr:cNvPicPr>
        </xdr:nvPicPr>
        <xdr:blipFill>
          <a:blip xmlns:r="http://schemas.openxmlformats.org/officeDocument/2006/relationships" r:embed="rId12"/>
          <a:stretch>
            <a:fillRect/>
          </a:stretch>
        </xdr:blipFill>
        <xdr:spPr>
          <a:xfrm>
            <a:off x="800100" y="29670375"/>
            <a:ext cx="5533333" cy="600000"/>
          </a:xfrm>
          <a:prstGeom prst="rect">
            <a:avLst/>
          </a:prstGeom>
        </xdr:spPr>
      </xdr:pic>
      <xdr:grpSp>
        <xdr:nvGrpSpPr>
          <xdr:cNvPr id="51" name="Group 50">
            <a:extLst>
              <a:ext uri="{FF2B5EF4-FFF2-40B4-BE49-F238E27FC236}">
                <a16:creationId xmlns:a16="http://schemas.microsoft.com/office/drawing/2014/main" id="{00000000-0008-0000-0400-000033000000}"/>
              </a:ext>
            </a:extLst>
          </xdr:cNvPr>
          <xdr:cNvGrpSpPr/>
        </xdr:nvGrpSpPr>
        <xdr:grpSpPr>
          <a:xfrm>
            <a:off x="710452" y="21610613"/>
            <a:ext cx="11363326" cy="7292139"/>
            <a:chOff x="710452" y="21609003"/>
            <a:chExt cx="11363326" cy="7398544"/>
          </a:xfrm>
        </xdr:grpSpPr>
        <xdr:pic>
          <xdr:nvPicPr>
            <xdr:cNvPr id="52" name="Picture 51">
              <a:extLst>
                <a:ext uri="{FF2B5EF4-FFF2-40B4-BE49-F238E27FC236}">
                  <a16:creationId xmlns:a16="http://schemas.microsoft.com/office/drawing/2014/main" id="{00000000-0008-0000-0400-000034000000}"/>
                </a:ext>
              </a:extLst>
            </xdr:cNvPr>
            <xdr:cNvPicPr>
              <a:picLocks noChangeAspect="1"/>
            </xdr:cNvPicPr>
          </xdr:nvPicPr>
          <xdr:blipFill>
            <a:blip xmlns:r="http://schemas.openxmlformats.org/officeDocument/2006/relationships" r:embed="rId13"/>
            <a:stretch>
              <a:fillRect/>
            </a:stretch>
          </xdr:blipFill>
          <xdr:spPr>
            <a:xfrm>
              <a:off x="710452" y="21827379"/>
              <a:ext cx="6753084" cy="6621555"/>
            </a:xfrm>
            <a:prstGeom prst="rect">
              <a:avLst/>
            </a:prstGeom>
            <a:ln>
              <a:solidFill>
                <a:schemeClr val="bg1">
                  <a:lumMod val="75000"/>
                </a:schemeClr>
              </a:solidFill>
            </a:ln>
          </xdr:spPr>
        </xdr:pic>
        <xdr:sp macro="" textlink="">
          <xdr:nvSpPr>
            <xdr:cNvPr id="53" name="TextBox 52">
              <a:extLst>
                <a:ext uri="{FF2B5EF4-FFF2-40B4-BE49-F238E27FC236}">
                  <a16:creationId xmlns:a16="http://schemas.microsoft.com/office/drawing/2014/main" id="{00000000-0008-0000-0400-000035000000}"/>
                </a:ext>
              </a:extLst>
            </xdr:cNvPr>
            <xdr:cNvSpPr txBox="1"/>
          </xdr:nvSpPr>
          <xdr:spPr>
            <a:xfrm>
              <a:off x="7607034" y="22732637"/>
              <a:ext cx="4466744" cy="153739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Are any of the scenarios infeasible</a:t>
              </a:r>
              <a:r>
                <a:rPr lang="en-US" sz="1100" b="1" baseline="0"/>
                <a:t> (e.g. Utilization &gt; 100%)?</a:t>
              </a:r>
              <a:r>
                <a:rPr lang="en-US" sz="1100" b="0" baseline="0"/>
                <a:t>  Scenario 2 has the second-lowest cost, but its storage utilization values are over 100%, which is not possible in real life. Thus it is not a feasible scenario as defined, and its cost estimates are not reliable. Some change to the system would be needed in order to actually implement this scenario. In this case, we detail two such changes in Scenarios 3 &amp; 4, both of which are designed to reduce storage capacity utilization (Scenario 3 increases frequency of delivery, while Scenario 4 adds storage capacity). </a:t>
              </a:r>
            </a:p>
          </xdr:txBody>
        </xdr:sp>
        <xdr:sp macro="" textlink="">
          <xdr:nvSpPr>
            <xdr:cNvPr id="54" name="TextBox 53">
              <a:extLst>
                <a:ext uri="{FF2B5EF4-FFF2-40B4-BE49-F238E27FC236}">
                  <a16:creationId xmlns:a16="http://schemas.microsoft.com/office/drawing/2014/main" id="{00000000-0008-0000-0400-000036000000}"/>
                </a:ext>
              </a:extLst>
            </xdr:cNvPr>
            <xdr:cNvSpPr txBox="1"/>
          </xdr:nvSpPr>
          <xdr:spPr>
            <a:xfrm>
              <a:off x="7613758" y="21609003"/>
              <a:ext cx="4437609" cy="100460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Which of the scenarios has the lowest cost? </a:t>
              </a:r>
              <a:r>
                <a:rPr lang="en-US" sz="1100" b="0"/>
                <a:t>Is</a:t>
              </a:r>
              <a:r>
                <a:rPr lang="en-US" sz="1100" b="0" baseline="0"/>
                <a:t> it the lowest because of a supply chain design change, or because of a change in the external conditions? In this case, Scenario 1 is lower in cost not because of a supply chain design change, but because it is servicing less demand. Thus it may not actually be the best or most efficient design.</a:t>
              </a:r>
              <a:endParaRPr lang="en-US" sz="1100" b="0"/>
            </a:p>
          </xdr:txBody>
        </xdr:sp>
        <xdr:sp macro="" textlink="">
          <xdr:nvSpPr>
            <xdr:cNvPr id="55" name="TextBox 54">
              <a:extLst>
                <a:ext uri="{FF2B5EF4-FFF2-40B4-BE49-F238E27FC236}">
                  <a16:creationId xmlns:a16="http://schemas.microsoft.com/office/drawing/2014/main" id="{00000000-0008-0000-0400-000037000000}"/>
                </a:ext>
              </a:extLst>
            </xdr:cNvPr>
            <xdr:cNvSpPr txBox="1"/>
          </xdr:nvSpPr>
          <xdr:spPr>
            <a:xfrm>
              <a:off x="7609275" y="24451818"/>
              <a:ext cx="4437609" cy="150663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Which of the scenarios is the most efficient</a:t>
              </a:r>
              <a:r>
                <a:rPr lang="en-US" sz="1100" b="0"/>
                <a:t>? There</a:t>
              </a:r>
              <a:r>
                <a:rPr lang="en-US" sz="1100" b="0" baseline="0"/>
                <a:t> are several metrics for efficiency; different circumstances may favor one metric over another. Focusing on Scenarios 3 &amp; 4 in this example:</a:t>
              </a:r>
            </a:p>
            <a:p>
              <a:r>
                <a:rPr lang="en-US" sz="1100" b="0" baseline="0"/>
                <a:t>     -- Scenario 3 is slightly more expensive on a "per-cubic-meter" basis</a:t>
              </a:r>
            </a:p>
            <a:p>
              <a:r>
                <a:rPr lang="en-US" sz="1100" b="0" baseline="0"/>
                <a:t>     -- However, Scenario 3 also requires much less inventory, freeing up </a:t>
              </a:r>
            </a:p>
            <a:p>
              <a:r>
                <a:rPr lang="en-US" sz="1100" b="0" baseline="0"/>
                <a:t>         $14+ million that would otherwise be tied up in inventory pipeline</a:t>
              </a:r>
            </a:p>
            <a:p>
              <a:r>
                <a:rPr lang="en-US" sz="1100" b="0" baseline="0"/>
                <a:t>     -- Scenario 3 storage utilization is much lower, meaning there is excess </a:t>
              </a:r>
            </a:p>
            <a:p>
              <a:r>
                <a:rPr lang="en-US" sz="1100" b="0" baseline="0"/>
                <a:t>        capacity that could be sold or rented out, lowering costs even further </a:t>
              </a:r>
              <a:endParaRPr lang="en-US" sz="1100" b="0"/>
            </a:p>
          </xdr:txBody>
        </xdr:sp>
        <xdr:cxnSp macro="">
          <xdr:nvCxnSpPr>
            <xdr:cNvPr id="56" name="Elbow Connector 55">
              <a:extLst>
                <a:ext uri="{FF2B5EF4-FFF2-40B4-BE49-F238E27FC236}">
                  <a16:creationId xmlns:a16="http://schemas.microsoft.com/office/drawing/2014/main" id="{00000000-0008-0000-0400-000038000000}"/>
                </a:ext>
              </a:extLst>
            </xdr:cNvPr>
            <xdr:cNvCxnSpPr/>
          </xdr:nvCxnSpPr>
          <xdr:spPr>
            <a:xfrm rot="10800000" flipV="1">
              <a:off x="6546479" y="22359660"/>
              <a:ext cx="1064557" cy="509866"/>
            </a:xfrm>
            <a:prstGeom prst="bentConnector3">
              <a:avLst>
                <a:gd name="adj1" fmla="val 99474"/>
              </a:avLst>
            </a:prstGeom>
            <a:ln w="38100">
              <a:solidFill>
                <a:srgbClr val="FF0000"/>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57" name="Elbow Connector 56">
              <a:extLst>
                <a:ext uri="{FF2B5EF4-FFF2-40B4-BE49-F238E27FC236}">
                  <a16:creationId xmlns:a16="http://schemas.microsoft.com/office/drawing/2014/main" id="{00000000-0008-0000-0400-000039000000}"/>
                </a:ext>
              </a:extLst>
            </xdr:cNvPr>
            <xdr:cNvCxnSpPr/>
          </xdr:nvCxnSpPr>
          <xdr:spPr>
            <a:xfrm rot="10800000" flipV="1">
              <a:off x="5134535" y="23270134"/>
              <a:ext cx="2442882" cy="955301"/>
            </a:xfrm>
            <a:prstGeom prst="bentConnector3">
              <a:avLst>
                <a:gd name="adj1" fmla="val 110550"/>
              </a:avLst>
            </a:prstGeom>
            <a:ln w="38100">
              <a:solidFill>
                <a:srgbClr val="FF0000"/>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58" name="Elbow Connector 57">
              <a:extLst>
                <a:ext uri="{FF2B5EF4-FFF2-40B4-BE49-F238E27FC236}">
                  <a16:creationId xmlns:a16="http://schemas.microsoft.com/office/drawing/2014/main" id="{00000000-0008-0000-0400-00003A000000}"/>
                </a:ext>
              </a:extLst>
            </xdr:cNvPr>
            <xdr:cNvCxnSpPr>
              <a:endCxn id="61" idx="2"/>
            </xdr:cNvCxnSpPr>
          </xdr:nvCxnSpPr>
          <xdr:spPr>
            <a:xfrm rot="10800000">
              <a:off x="6546477" y="24494379"/>
              <a:ext cx="1062804" cy="458326"/>
            </a:xfrm>
            <a:prstGeom prst="bentConnector2">
              <a:avLst/>
            </a:prstGeom>
            <a:ln w="38100">
              <a:solidFill>
                <a:srgbClr val="FF0000"/>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sp macro="" textlink="">
          <xdr:nvSpPr>
            <xdr:cNvPr id="59" name="TextBox 58">
              <a:extLst>
                <a:ext uri="{FF2B5EF4-FFF2-40B4-BE49-F238E27FC236}">
                  <a16:creationId xmlns:a16="http://schemas.microsoft.com/office/drawing/2014/main" id="{00000000-0008-0000-0400-00003B000000}"/>
                </a:ext>
              </a:extLst>
            </xdr:cNvPr>
            <xdr:cNvSpPr txBox="1"/>
          </xdr:nvSpPr>
          <xdr:spPr>
            <a:xfrm>
              <a:off x="4049805" y="22880730"/>
              <a:ext cx="3325906" cy="224119"/>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b="0"/>
            </a:p>
          </xdr:txBody>
        </xdr:sp>
        <xdr:sp macro="" textlink="">
          <xdr:nvSpPr>
            <xdr:cNvPr id="60" name="TextBox 59">
              <a:extLst>
                <a:ext uri="{FF2B5EF4-FFF2-40B4-BE49-F238E27FC236}">
                  <a16:creationId xmlns:a16="http://schemas.microsoft.com/office/drawing/2014/main" id="{00000000-0008-0000-0400-00003C000000}"/>
                </a:ext>
              </a:extLst>
            </xdr:cNvPr>
            <xdr:cNvSpPr txBox="1"/>
          </xdr:nvSpPr>
          <xdr:spPr>
            <a:xfrm>
              <a:off x="5096435" y="24022049"/>
              <a:ext cx="340660" cy="3394263"/>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b="0"/>
            </a:p>
          </xdr:txBody>
        </xdr:sp>
        <xdr:sp macro="" textlink="">
          <xdr:nvSpPr>
            <xdr:cNvPr id="61" name="TextBox 60">
              <a:extLst>
                <a:ext uri="{FF2B5EF4-FFF2-40B4-BE49-F238E27FC236}">
                  <a16:creationId xmlns:a16="http://schemas.microsoft.com/office/drawing/2014/main" id="{00000000-0008-0000-0400-00003D000000}"/>
                </a:ext>
              </a:extLst>
            </xdr:cNvPr>
            <xdr:cNvSpPr txBox="1"/>
          </xdr:nvSpPr>
          <xdr:spPr>
            <a:xfrm>
              <a:off x="5840506" y="23427017"/>
              <a:ext cx="1411941" cy="1067361"/>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b="0"/>
            </a:p>
          </xdr:txBody>
        </xdr:sp>
        <xdr:sp macro="" textlink="">
          <xdr:nvSpPr>
            <xdr:cNvPr id="62" name="TextBox 61">
              <a:extLst>
                <a:ext uri="{FF2B5EF4-FFF2-40B4-BE49-F238E27FC236}">
                  <a16:creationId xmlns:a16="http://schemas.microsoft.com/office/drawing/2014/main" id="{00000000-0008-0000-0400-00003E000000}"/>
                </a:ext>
              </a:extLst>
            </xdr:cNvPr>
            <xdr:cNvSpPr txBox="1"/>
          </xdr:nvSpPr>
          <xdr:spPr>
            <a:xfrm>
              <a:off x="7615999" y="26103543"/>
              <a:ext cx="4437609" cy="68019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How</a:t>
              </a:r>
              <a:r>
                <a:rPr lang="en-US" sz="1100" b="1" baseline="0"/>
                <a:t> sensitive are results to changes in the broader environment?</a:t>
              </a:r>
              <a:r>
                <a:rPr lang="en-US" sz="1100" b="0" baseline="0"/>
                <a:t> Changes such as the price of fuel, labor, or other resources, overall demand, infrastructure changes affecting travel speed/distance</a:t>
              </a:r>
              <a:endParaRPr lang="en-US" sz="1100" b="0"/>
            </a:p>
          </xdr:txBody>
        </xdr:sp>
        <xdr:sp macro="" textlink="">
          <xdr:nvSpPr>
            <xdr:cNvPr id="63" name="TextBox 62">
              <a:extLst>
                <a:ext uri="{FF2B5EF4-FFF2-40B4-BE49-F238E27FC236}">
                  <a16:creationId xmlns:a16="http://schemas.microsoft.com/office/drawing/2014/main" id="{00000000-0008-0000-0400-00003F000000}"/>
                </a:ext>
              </a:extLst>
            </xdr:cNvPr>
            <xdr:cNvSpPr txBox="1"/>
          </xdr:nvSpPr>
          <xdr:spPr>
            <a:xfrm>
              <a:off x="7611516" y="26967516"/>
              <a:ext cx="4437609" cy="5238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What</a:t>
              </a:r>
              <a:r>
                <a:rPr lang="en-US" sz="1100" b="1" baseline="0"/>
                <a:t> magnitude of change would be required to implement the design?  </a:t>
              </a:r>
              <a:r>
                <a:rPr lang="en-US" sz="1100" b="0" baseline="0"/>
                <a:t>Generally the smaller the change, the easier to implement</a:t>
              </a:r>
              <a:endParaRPr lang="en-US" sz="1100" b="0"/>
            </a:p>
          </xdr:txBody>
        </xdr:sp>
        <xdr:sp macro="" textlink="">
          <xdr:nvSpPr>
            <xdr:cNvPr id="64" name="TextBox 63">
              <a:extLst>
                <a:ext uri="{FF2B5EF4-FFF2-40B4-BE49-F238E27FC236}">
                  <a16:creationId xmlns:a16="http://schemas.microsoft.com/office/drawing/2014/main" id="{00000000-0008-0000-0400-000040000000}"/>
                </a:ext>
              </a:extLst>
            </xdr:cNvPr>
            <xdr:cNvSpPr txBox="1"/>
          </xdr:nvSpPr>
          <xdr:spPr>
            <a:xfrm>
              <a:off x="7607033" y="27648274"/>
              <a:ext cx="4437609" cy="135927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Do all designs have</a:t>
              </a:r>
              <a:r>
                <a:rPr lang="en-US" sz="1100" b="1" baseline="0"/>
                <a:t> similar expected performance (e.g. availability, quality, sustainability, equity)? </a:t>
              </a:r>
              <a:r>
                <a:rPr lang="en-US" sz="1100" b="0" baseline="0"/>
                <a:t>Generally, the more complex a design is -- i.e. the more people, more modes of transport, more sophisticated logistics involved -- the more complicated and challenging its management &amp; execution will be. This model only estimates cost and efficiency, and decisions about SC designs must also take into account expected performance</a:t>
              </a:r>
              <a:endParaRPr lang="en-US" sz="1100" b="0"/>
            </a:p>
          </xdr:txBody>
        </xdr:sp>
      </xdr:grpSp>
    </xdr:grpSp>
    <xdr:clientData/>
  </xdr:twoCellAnchor>
  <xdr:twoCellAnchor>
    <xdr:from>
      <xdr:col>2</xdr:col>
      <xdr:colOff>2058443</xdr:colOff>
      <xdr:row>5</xdr:row>
      <xdr:rowOff>271096</xdr:rowOff>
    </xdr:from>
    <xdr:to>
      <xdr:col>7</xdr:col>
      <xdr:colOff>1022920</xdr:colOff>
      <xdr:row>6</xdr:row>
      <xdr:rowOff>131182</xdr:rowOff>
    </xdr:to>
    <xdr:sp macro="" textlink="">
      <xdr:nvSpPr>
        <xdr:cNvPr id="65" name="Rounded Rectangle 64">
          <a:extLst>
            <a:ext uri="{FF2B5EF4-FFF2-40B4-BE49-F238E27FC236}">
              <a16:creationId xmlns:a16="http://schemas.microsoft.com/office/drawing/2014/main" id="{00000000-0008-0000-0400-000041000000}"/>
            </a:ext>
          </a:extLst>
        </xdr:cNvPr>
        <xdr:cNvSpPr/>
      </xdr:nvSpPr>
      <xdr:spPr>
        <a:xfrm>
          <a:off x="3325268" y="1899871"/>
          <a:ext cx="8146577" cy="669711"/>
        </a:xfrm>
        <a:prstGeom prst="roundRect">
          <a:avLst>
            <a:gd name="adj" fmla="val 11078"/>
          </a:avLst>
        </a:prstGeom>
        <a:solidFill>
          <a:schemeClr val="bg1">
            <a:lumMod val="95000"/>
            <a:alpha val="90000"/>
          </a:schemeClr>
        </a:solidFill>
        <a:ln w="6350">
          <a:solidFill>
            <a:schemeClr val="accent1">
              <a:lumMod val="50000"/>
            </a:schemeClr>
          </a:solid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5863" tIns="61808" rIns="61808" bIns="61811" numCol="1" spcCol="1270" anchor="ctr" anchorCtr="0">
          <a:noAutofit/>
        </a:bodyPr>
        <a:lstStyle>
          <a:defPPr>
            <a:defRPr lang="en-US"/>
          </a:defPPr>
          <a:lvl1pPr marL="0" algn="l" defTabSz="457200" rtl="0" eaLnBrk="1" latinLnBrk="0" hangingPunct="1">
            <a:defRPr sz="1800" kern="1200">
              <a:solidFill>
                <a:schemeClr val="dk1">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1">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1">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1">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1">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1">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1">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1">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1">
                  <a:hueOff val="0"/>
                  <a:satOff val="0"/>
                  <a:lumOff val="0"/>
                  <a:alphaOff val="0"/>
                </a:schemeClr>
              </a:solidFill>
              <a:latin typeface="+mn-lt"/>
              <a:ea typeface="+mn-ea"/>
              <a:cs typeface="+mn-cs"/>
            </a:defRPr>
          </a:lvl9pPr>
        </a:lstStyle>
        <a:p>
          <a:pPr marL="459311" lvl="2" indent="-228600" defTabSz="474121">
            <a:lnSpc>
              <a:spcPct val="90000"/>
            </a:lnSpc>
            <a:spcBef>
              <a:spcPct val="0"/>
            </a:spcBef>
            <a:spcAft>
              <a:spcPct val="15000"/>
            </a:spcAft>
            <a:buFont typeface="+mj-lt"/>
            <a:buAutoNum type="alphaLcParenR"/>
          </a:pPr>
          <a:r>
            <a:rPr lang="en-US" sz="1200"/>
            <a:t>Copy/Paste and rename an Input &amp; Output worksheet for each of the scenarios,</a:t>
          </a:r>
          <a:r>
            <a:rPr lang="en-US" sz="1200" baseline="0"/>
            <a:t> e.g.</a:t>
          </a:r>
          <a:r>
            <a:rPr lang="en-US" sz="1200"/>
            <a:t>"Input - Skip District"</a:t>
          </a:r>
        </a:p>
        <a:p>
          <a:pPr marL="459311" lvl="2" indent="-228600" defTabSz="474121">
            <a:lnSpc>
              <a:spcPct val="90000"/>
            </a:lnSpc>
            <a:spcBef>
              <a:spcPct val="0"/>
            </a:spcBef>
            <a:spcAft>
              <a:spcPct val="15000"/>
            </a:spcAft>
            <a:buFont typeface="+mj-lt"/>
            <a:buAutoNum type="alphaLcParenR"/>
          </a:pPr>
          <a:r>
            <a:rPr lang="en-US" sz="1200"/>
            <a:t>Set up the Input &amp; Output worksheets in the Scenario Manager table</a:t>
          </a:r>
        </a:p>
      </xdr:txBody>
    </xdr:sp>
    <xdr:clientData/>
  </xdr:twoCellAnchor>
  <xdr:twoCellAnchor>
    <xdr:from>
      <xdr:col>2</xdr:col>
      <xdr:colOff>2069644</xdr:colOff>
      <xdr:row>6</xdr:row>
      <xdr:rowOff>518013</xdr:rowOff>
    </xdr:from>
    <xdr:to>
      <xdr:col>7</xdr:col>
      <xdr:colOff>1034122</xdr:colOff>
      <xdr:row>7</xdr:row>
      <xdr:rowOff>669508</xdr:rowOff>
    </xdr:to>
    <xdr:sp macro="" textlink="">
      <xdr:nvSpPr>
        <xdr:cNvPr id="66" name="Rounded Rectangle 65">
          <a:extLst>
            <a:ext uri="{FF2B5EF4-FFF2-40B4-BE49-F238E27FC236}">
              <a16:creationId xmlns:a16="http://schemas.microsoft.com/office/drawing/2014/main" id="{00000000-0008-0000-0400-000042000000}"/>
            </a:ext>
          </a:extLst>
        </xdr:cNvPr>
        <xdr:cNvSpPr/>
      </xdr:nvSpPr>
      <xdr:spPr>
        <a:xfrm>
          <a:off x="3336469" y="2956413"/>
          <a:ext cx="8146578" cy="722995"/>
        </a:xfrm>
        <a:prstGeom prst="roundRect">
          <a:avLst>
            <a:gd name="adj" fmla="val 9349"/>
          </a:avLst>
        </a:prstGeom>
        <a:solidFill>
          <a:schemeClr val="bg1">
            <a:lumMod val="95000"/>
            <a:alpha val="90000"/>
          </a:schemeClr>
        </a:solidFill>
        <a:ln w="6350">
          <a:solidFill>
            <a:schemeClr val="accent1">
              <a:lumMod val="50000"/>
            </a:schemeClr>
          </a:solid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5861" tIns="75680" rIns="75680" bIns="75680" numCol="1" spcCol="1270" anchor="ctr" anchorCtr="0">
          <a:noAutofit/>
        </a:bodyPr>
        <a:lstStyle>
          <a:defPPr>
            <a:defRPr lang="en-US"/>
          </a:defPPr>
          <a:lvl1pPr marL="0" algn="l" defTabSz="457200" rtl="0" eaLnBrk="1" latinLnBrk="0" hangingPunct="1">
            <a:defRPr sz="1800" kern="1200">
              <a:solidFill>
                <a:schemeClr val="dk1">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1">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1">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1">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1">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1">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1">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1">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1">
                  <a:hueOff val="0"/>
                  <a:satOff val="0"/>
                  <a:lumOff val="0"/>
                  <a:alphaOff val="0"/>
                </a:schemeClr>
              </a:solidFill>
              <a:latin typeface="+mn-lt"/>
              <a:ea typeface="+mn-ea"/>
              <a:cs typeface="+mn-cs"/>
            </a:defRPr>
          </a:lvl9pPr>
        </a:lstStyle>
        <a:p>
          <a:pPr marL="458787" lvl="1" indent="-228600" defTabSz="757748">
            <a:lnSpc>
              <a:spcPct val="90000"/>
            </a:lnSpc>
            <a:spcBef>
              <a:spcPct val="0"/>
            </a:spcBef>
            <a:spcAft>
              <a:spcPct val="15000"/>
            </a:spcAft>
            <a:buFont typeface="+mj-lt"/>
            <a:buAutoNum type="alphaLcParenR"/>
          </a:pPr>
          <a:r>
            <a:rPr lang="en-US" sz="1200"/>
            <a:t>Identify a proxy data template for missing data, and select the template in Input worksheet</a:t>
          </a:r>
        </a:p>
        <a:p>
          <a:pPr marL="458787" lvl="1" indent="-228600" defTabSz="757748">
            <a:lnSpc>
              <a:spcPct val="90000"/>
            </a:lnSpc>
            <a:spcBef>
              <a:spcPct val="0"/>
            </a:spcBef>
            <a:spcAft>
              <a:spcPct val="15000"/>
            </a:spcAft>
            <a:buFont typeface="+mj-lt"/>
            <a:buAutoNum type="alphaLcParenR"/>
          </a:pPr>
          <a:r>
            <a:rPr lang="en-US" sz="1200"/>
            <a:t>Enter input</a:t>
          </a:r>
          <a:r>
            <a:rPr lang="en-US" sz="1200" baseline="0"/>
            <a:t> data in </a:t>
          </a:r>
          <a:r>
            <a:rPr lang="en-US" sz="1200"/>
            <a:t>Input worksheet</a:t>
          </a:r>
          <a:r>
            <a:rPr lang="en-US" sz="1200" baseline="0"/>
            <a:t> or use Supporting Worksheets to estimate data</a:t>
          </a:r>
        </a:p>
        <a:p>
          <a:pPr marL="458787" lvl="1" indent="-228600" defTabSz="757748">
            <a:lnSpc>
              <a:spcPct val="90000"/>
            </a:lnSpc>
            <a:spcBef>
              <a:spcPct val="0"/>
            </a:spcBef>
            <a:spcAft>
              <a:spcPct val="15000"/>
            </a:spcAft>
            <a:buFont typeface="+mj-lt"/>
            <a:buAutoNum type="alphaLcParenR"/>
          </a:pPr>
          <a:r>
            <a:rPr lang="en-US" sz="1200" baseline="0"/>
            <a:t>Estimate values for some inputs using the Supporting Worksheets</a:t>
          </a:r>
          <a:endParaRPr lang="en-US" sz="1200"/>
        </a:p>
      </xdr:txBody>
    </xdr:sp>
    <xdr:clientData/>
  </xdr:twoCellAnchor>
  <xdr:twoCellAnchor>
    <xdr:from>
      <xdr:col>2</xdr:col>
      <xdr:colOff>2058436</xdr:colOff>
      <xdr:row>7</xdr:row>
      <xdr:rowOff>1044660</xdr:rowOff>
    </xdr:from>
    <xdr:to>
      <xdr:col>7</xdr:col>
      <xdr:colOff>1022914</xdr:colOff>
      <xdr:row>8</xdr:row>
      <xdr:rowOff>811649</xdr:rowOff>
    </xdr:to>
    <xdr:sp macro="" textlink="">
      <xdr:nvSpPr>
        <xdr:cNvPr id="67" name="Rounded Rectangle 66">
          <a:extLst>
            <a:ext uri="{FF2B5EF4-FFF2-40B4-BE49-F238E27FC236}">
              <a16:creationId xmlns:a16="http://schemas.microsoft.com/office/drawing/2014/main" id="{00000000-0008-0000-0400-000043000000}"/>
            </a:ext>
          </a:extLst>
        </xdr:cNvPr>
        <xdr:cNvSpPr/>
      </xdr:nvSpPr>
      <xdr:spPr>
        <a:xfrm>
          <a:off x="3325261" y="4054560"/>
          <a:ext cx="8146578" cy="824264"/>
        </a:xfrm>
        <a:prstGeom prst="roundRect">
          <a:avLst>
            <a:gd name="adj" fmla="val 10617"/>
          </a:avLst>
        </a:prstGeom>
        <a:solidFill>
          <a:schemeClr val="bg1">
            <a:lumMod val="95000"/>
            <a:alpha val="90000"/>
          </a:schemeClr>
        </a:solidFill>
        <a:ln w="6350">
          <a:solidFill>
            <a:schemeClr val="accent1">
              <a:lumMod val="50000"/>
            </a:schemeClr>
          </a:solid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5863" tIns="59947" rIns="59947" bIns="59949" numCol="1" spcCol="1270" anchor="ctr" anchorCtr="0">
          <a:noAutofit/>
        </a:bodyPr>
        <a:lstStyle>
          <a:defPPr>
            <a:defRPr lang="en-US"/>
          </a:defPPr>
          <a:lvl1pPr marL="0" algn="l" defTabSz="457200" rtl="0" eaLnBrk="1" latinLnBrk="0" hangingPunct="1">
            <a:defRPr sz="1800" kern="1200">
              <a:solidFill>
                <a:schemeClr val="dk1">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1">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1">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1">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1">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1">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1">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1">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1">
                  <a:hueOff val="0"/>
                  <a:satOff val="0"/>
                  <a:lumOff val="0"/>
                  <a:alphaOff val="0"/>
                </a:schemeClr>
              </a:solidFill>
              <a:latin typeface="+mn-lt"/>
              <a:ea typeface="+mn-ea"/>
              <a:cs typeface="+mn-cs"/>
            </a:defRPr>
          </a:lvl9pPr>
        </a:lstStyle>
        <a:p>
          <a:pPr marL="459311" lvl="1" indent="-228600" defTabSz="474121">
            <a:lnSpc>
              <a:spcPct val="90000"/>
            </a:lnSpc>
            <a:spcBef>
              <a:spcPct val="0"/>
            </a:spcBef>
            <a:spcAft>
              <a:spcPct val="15000"/>
            </a:spcAft>
            <a:buFont typeface="+mj-lt"/>
            <a:buAutoNum type="alphaLcParenR"/>
          </a:pPr>
          <a:r>
            <a:rPr lang="en-US" sz="1200"/>
            <a:t>On each Output worksheet, select the "Input" Worksheet name to use for analysis</a:t>
          </a:r>
        </a:p>
        <a:p>
          <a:pPr lvl="1" indent="-228600" defTabSz="474121">
            <a:lnSpc>
              <a:spcPct val="90000"/>
            </a:lnSpc>
            <a:spcBef>
              <a:spcPct val="0"/>
            </a:spcBef>
            <a:spcAft>
              <a:spcPct val="15000"/>
            </a:spcAft>
            <a:buFont typeface="+mj-lt"/>
            <a:buAutoNum type="alphaLcParenR"/>
          </a:pPr>
          <a:r>
            <a:rPr lang="en-US" sz="1200">
              <a:solidFill>
                <a:sysClr val="windowText" lastClr="000000"/>
              </a:solidFill>
            </a:rPr>
            <a:t>Check for error messages in"Output"</a:t>
          </a:r>
          <a:r>
            <a:rPr lang="en-US" sz="1200" baseline="0">
              <a:solidFill>
                <a:sysClr val="windowText" lastClr="000000"/>
              </a:solidFill>
            </a:rPr>
            <a:t> worksheet </a:t>
          </a:r>
          <a:r>
            <a:rPr lang="en-US" sz="1200">
              <a:solidFill>
                <a:sysClr val="windowText" lastClr="000000"/>
              </a:solidFill>
            </a:rPr>
            <a:t>and ensure valid data inputs</a:t>
          </a:r>
        </a:p>
        <a:p>
          <a:pPr lvl="1" indent="-228600" defTabSz="474121">
            <a:lnSpc>
              <a:spcPct val="90000"/>
            </a:lnSpc>
            <a:spcBef>
              <a:spcPct val="0"/>
            </a:spcBef>
            <a:spcAft>
              <a:spcPct val="15000"/>
            </a:spcAft>
            <a:buFont typeface="+mj-lt"/>
            <a:buAutoNum type="alphaLcParenR"/>
          </a:pPr>
          <a:r>
            <a:rPr lang="en-US" sz="1200">
              <a:solidFill>
                <a:sysClr val="windowText" lastClr="000000"/>
              </a:solidFill>
            </a:rPr>
            <a:t>Check that outputs</a:t>
          </a:r>
          <a:r>
            <a:rPr lang="en-US" sz="1200" baseline="0">
              <a:solidFill>
                <a:sysClr val="windowText" lastClr="000000"/>
              </a:solidFill>
            </a:rPr>
            <a:t> are valid and reasonable </a:t>
          </a:r>
          <a:endParaRPr lang="en-US" sz="1200">
            <a:solidFill>
              <a:sysClr val="windowText" lastClr="000000"/>
            </a:solidFill>
          </a:endParaRPr>
        </a:p>
      </xdr:txBody>
    </xdr:sp>
    <xdr:clientData/>
  </xdr:twoCellAnchor>
  <xdr:twoCellAnchor>
    <xdr:from>
      <xdr:col>2</xdr:col>
      <xdr:colOff>2058438</xdr:colOff>
      <xdr:row>8</xdr:row>
      <xdr:rowOff>1115262</xdr:rowOff>
    </xdr:from>
    <xdr:to>
      <xdr:col>7</xdr:col>
      <xdr:colOff>1022916</xdr:colOff>
      <xdr:row>9</xdr:row>
      <xdr:rowOff>705970</xdr:rowOff>
    </xdr:to>
    <xdr:sp macro="" textlink="">
      <xdr:nvSpPr>
        <xdr:cNvPr id="68" name="Rounded Rectangle 67">
          <a:extLst>
            <a:ext uri="{FF2B5EF4-FFF2-40B4-BE49-F238E27FC236}">
              <a16:creationId xmlns:a16="http://schemas.microsoft.com/office/drawing/2014/main" id="{00000000-0008-0000-0400-000044000000}"/>
            </a:ext>
          </a:extLst>
        </xdr:cNvPr>
        <xdr:cNvSpPr/>
      </xdr:nvSpPr>
      <xdr:spPr>
        <a:xfrm>
          <a:off x="3324703" y="5171791"/>
          <a:ext cx="8142095" cy="722503"/>
        </a:xfrm>
        <a:prstGeom prst="roundRect">
          <a:avLst>
            <a:gd name="adj" fmla="val 6849"/>
          </a:avLst>
        </a:prstGeom>
        <a:solidFill>
          <a:schemeClr val="bg1">
            <a:lumMod val="95000"/>
            <a:alpha val="90000"/>
          </a:schemeClr>
        </a:solidFill>
        <a:ln w="6350">
          <a:solidFill>
            <a:schemeClr val="accent1">
              <a:lumMod val="50000"/>
            </a:schemeClr>
          </a:solid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5863" tIns="83229" rIns="83229" bIns="83231" numCol="1" spcCol="1270" anchor="ctr" anchorCtr="0">
          <a:noAutofit/>
        </a:bodyPr>
        <a:lstStyle>
          <a:defPPr>
            <a:defRPr lang="en-US"/>
          </a:defPPr>
          <a:lvl1pPr marL="0" algn="l" defTabSz="457200" rtl="0" eaLnBrk="1" latinLnBrk="0" hangingPunct="1">
            <a:defRPr sz="1800" kern="1200">
              <a:solidFill>
                <a:schemeClr val="dk1">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1">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1">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1">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1">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1">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1">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1">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1">
                  <a:hueOff val="0"/>
                  <a:satOff val="0"/>
                  <a:lumOff val="0"/>
                  <a:alphaOff val="0"/>
                </a:schemeClr>
              </a:solidFill>
              <a:latin typeface="+mn-lt"/>
              <a:ea typeface="+mn-ea"/>
              <a:cs typeface="+mn-cs"/>
            </a:defRPr>
          </a:lvl9pPr>
        </a:lstStyle>
        <a:p>
          <a:pPr marL="459311" lvl="1" indent="-228600" defTabSz="474121">
            <a:lnSpc>
              <a:spcPct val="90000"/>
            </a:lnSpc>
            <a:spcBef>
              <a:spcPct val="0"/>
            </a:spcBef>
            <a:spcAft>
              <a:spcPct val="15000"/>
            </a:spcAft>
            <a:buFont typeface="+mj-lt"/>
            <a:buAutoNum type="alphaLcParenR"/>
          </a:pPr>
          <a:r>
            <a:rPr lang="en-US" sz="1200"/>
            <a:t>Check results load onto the "Scenario Manager" worksheet</a:t>
          </a:r>
        </a:p>
        <a:p>
          <a:pPr marL="459311" lvl="1" indent="-228600" defTabSz="474121">
            <a:lnSpc>
              <a:spcPct val="90000"/>
            </a:lnSpc>
            <a:spcBef>
              <a:spcPct val="0"/>
            </a:spcBef>
            <a:spcAft>
              <a:spcPct val="15000"/>
            </a:spcAft>
            <a:buFont typeface="+mj-lt"/>
            <a:buAutoNum type="alphaLcParenR"/>
          </a:pPr>
          <a:r>
            <a:rPr lang="en-US" sz="1200"/>
            <a:t>Compare and interpret results across scenarios  </a:t>
          </a:r>
        </a:p>
      </xdr:txBody>
    </xdr:sp>
    <xdr:clientData/>
  </xdr:twoCellAnchor>
  <xdr:twoCellAnchor>
    <xdr:from>
      <xdr:col>2</xdr:col>
      <xdr:colOff>186066</xdr:colOff>
      <xdr:row>5</xdr:row>
      <xdr:rowOff>268940</xdr:rowOff>
    </xdr:from>
    <xdr:to>
      <xdr:col>2</xdr:col>
      <xdr:colOff>2146313</xdr:colOff>
      <xdr:row>6</xdr:row>
      <xdr:rowOff>141058</xdr:rowOff>
    </xdr:to>
    <xdr:sp macro="" textlink="">
      <xdr:nvSpPr>
        <xdr:cNvPr id="69" name="Rectangle 68">
          <a:hlinkClick xmlns:r="http://schemas.openxmlformats.org/officeDocument/2006/relationships" r:id="rId14"/>
          <a:extLst>
            <a:ext uri="{FF2B5EF4-FFF2-40B4-BE49-F238E27FC236}">
              <a16:creationId xmlns:a16="http://schemas.microsoft.com/office/drawing/2014/main" id="{00000000-0008-0000-0400-000045000000}"/>
            </a:ext>
          </a:extLst>
        </xdr:cNvPr>
        <xdr:cNvSpPr/>
      </xdr:nvSpPr>
      <xdr:spPr>
        <a:xfrm>
          <a:off x="1452891" y="1897715"/>
          <a:ext cx="1960247" cy="681743"/>
        </a:xfrm>
        <a:prstGeom prst="rect">
          <a:avLst/>
        </a:prstGeom>
        <a:solidFill>
          <a:schemeClr val="accent1">
            <a:lumMod val="75000"/>
          </a:schemeClr>
        </a:solidFill>
        <a:ln w="6350">
          <a:solidFill>
            <a:schemeClr val="accent1">
              <a:lumMod val="75000"/>
            </a:schemeClr>
          </a:solidFill>
        </a:ln>
      </xdr:spPr>
      <xdr:style>
        <a:lnRef idx="2">
          <a:schemeClr val="accen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6775" tIns="593312" rIns="6772" bIns="593309" numCol="1" spcCol="1270" anchor="ctr" anchorCtr="0">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74121">
            <a:lnSpc>
              <a:spcPct val="90000"/>
            </a:lnSpc>
            <a:spcBef>
              <a:spcPct val="0"/>
            </a:spcBef>
            <a:spcAft>
              <a:spcPct val="35000"/>
            </a:spcAft>
          </a:pPr>
          <a:r>
            <a:rPr lang="en-US" sz="1600" b="1"/>
            <a:t>Create Input/Output Sheets</a:t>
          </a:r>
        </a:p>
      </xdr:txBody>
    </xdr:sp>
    <xdr:clientData/>
  </xdr:twoCellAnchor>
  <xdr:twoCellAnchor>
    <xdr:from>
      <xdr:col>2</xdr:col>
      <xdr:colOff>186066</xdr:colOff>
      <xdr:row>6</xdr:row>
      <xdr:rowOff>510687</xdr:rowOff>
    </xdr:from>
    <xdr:to>
      <xdr:col>2</xdr:col>
      <xdr:colOff>2146313</xdr:colOff>
      <xdr:row>7</xdr:row>
      <xdr:rowOff>666324</xdr:rowOff>
    </xdr:to>
    <xdr:sp macro="" textlink="">
      <xdr:nvSpPr>
        <xdr:cNvPr id="70" name="Rectangle 69">
          <a:hlinkClick xmlns:r="http://schemas.openxmlformats.org/officeDocument/2006/relationships" r:id="rId15"/>
          <a:extLst>
            <a:ext uri="{FF2B5EF4-FFF2-40B4-BE49-F238E27FC236}">
              <a16:creationId xmlns:a16="http://schemas.microsoft.com/office/drawing/2014/main" id="{00000000-0008-0000-0400-000046000000}"/>
            </a:ext>
          </a:extLst>
        </xdr:cNvPr>
        <xdr:cNvSpPr/>
      </xdr:nvSpPr>
      <xdr:spPr>
        <a:xfrm>
          <a:off x="1452891" y="2949087"/>
          <a:ext cx="1960247" cy="727137"/>
        </a:xfrm>
        <a:prstGeom prst="rect">
          <a:avLst/>
        </a:prstGeom>
        <a:solidFill>
          <a:schemeClr val="accent2">
            <a:lumMod val="75000"/>
          </a:schemeClr>
        </a:solidFill>
        <a:ln w="6350">
          <a:solidFill>
            <a:schemeClr val="accent2">
              <a:lumMod val="75000"/>
            </a:schemeClr>
          </a:solidFill>
        </a:ln>
      </xdr:spPr>
      <xdr:style>
        <a:lnRef idx="2">
          <a:schemeClr val="accen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6775" tIns="593311" rIns="6772" bIns="593309" numCol="1" spcCol="1270" anchor="ctr" anchorCtr="0">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74121">
            <a:lnSpc>
              <a:spcPct val="90000"/>
            </a:lnSpc>
            <a:spcBef>
              <a:spcPct val="0"/>
            </a:spcBef>
            <a:spcAft>
              <a:spcPct val="35000"/>
            </a:spcAft>
          </a:pPr>
          <a:r>
            <a:rPr lang="en-US" sz="1600" b="1"/>
            <a:t>Inputs Worksheet</a:t>
          </a:r>
        </a:p>
      </xdr:txBody>
    </xdr:sp>
    <xdr:clientData/>
  </xdr:twoCellAnchor>
  <xdr:twoCellAnchor>
    <xdr:from>
      <xdr:col>2</xdr:col>
      <xdr:colOff>186066</xdr:colOff>
      <xdr:row>7</xdr:row>
      <xdr:rowOff>1043462</xdr:rowOff>
    </xdr:from>
    <xdr:to>
      <xdr:col>2</xdr:col>
      <xdr:colOff>2146313</xdr:colOff>
      <xdr:row>8</xdr:row>
      <xdr:rowOff>811648</xdr:rowOff>
    </xdr:to>
    <xdr:sp macro="" textlink="">
      <xdr:nvSpPr>
        <xdr:cNvPr id="71" name="Rectangle 70">
          <a:hlinkClick xmlns:r="http://schemas.openxmlformats.org/officeDocument/2006/relationships" r:id="rId16"/>
          <a:extLst>
            <a:ext uri="{FF2B5EF4-FFF2-40B4-BE49-F238E27FC236}">
              <a16:creationId xmlns:a16="http://schemas.microsoft.com/office/drawing/2014/main" id="{00000000-0008-0000-0400-000047000000}"/>
            </a:ext>
          </a:extLst>
        </xdr:cNvPr>
        <xdr:cNvSpPr/>
      </xdr:nvSpPr>
      <xdr:spPr>
        <a:xfrm>
          <a:off x="1452891" y="4053362"/>
          <a:ext cx="1960247" cy="825461"/>
        </a:xfrm>
        <a:prstGeom prst="rect">
          <a:avLst/>
        </a:prstGeom>
        <a:solidFill>
          <a:schemeClr val="accent6">
            <a:lumMod val="75000"/>
          </a:schemeClr>
        </a:solidFill>
        <a:ln w="6350">
          <a:solidFill>
            <a:schemeClr val="accent6">
              <a:lumMod val="75000"/>
            </a:schemeClr>
          </a:solidFill>
        </a:ln>
      </xdr:spPr>
      <xdr:style>
        <a:lnRef idx="2">
          <a:schemeClr val="accen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6775" tIns="593311" rIns="6772" bIns="593309" numCol="1" spcCol="1270" anchor="ctr" anchorCtr="0">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74121">
            <a:lnSpc>
              <a:spcPct val="90000"/>
            </a:lnSpc>
            <a:spcBef>
              <a:spcPct val="0"/>
            </a:spcBef>
            <a:spcAft>
              <a:spcPct val="35000"/>
            </a:spcAft>
          </a:pPr>
          <a:r>
            <a:rPr lang="en-US" sz="1600" b="1"/>
            <a:t>Outputs Worksheet</a:t>
          </a:r>
        </a:p>
      </xdr:txBody>
    </xdr:sp>
    <xdr:clientData/>
  </xdr:twoCellAnchor>
  <xdr:twoCellAnchor>
    <xdr:from>
      <xdr:col>2</xdr:col>
      <xdr:colOff>186066</xdr:colOff>
      <xdr:row>8</xdr:row>
      <xdr:rowOff>1115263</xdr:rowOff>
    </xdr:from>
    <xdr:to>
      <xdr:col>2</xdr:col>
      <xdr:colOff>2146313</xdr:colOff>
      <xdr:row>9</xdr:row>
      <xdr:rowOff>705970</xdr:rowOff>
    </xdr:to>
    <xdr:sp macro="" textlink="">
      <xdr:nvSpPr>
        <xdr:cNvPr id="72" name="Rectangle 71">
          <a:hlinkClick xmlns:r="http://schemas.openxmlformats.org/officeDocument/2006/relationships" r:id="rId17"/>
          <a:extLst>
            <a:ext uri="{FF2B5EF4-FFF2-40B4-BE49-F238E27FC236}">
              <a16:creationId xmlns:a16="http://schemas.microsoft.com/office/drawing/2014/main" id="{00000000-0008-0000-0400-000048000000}"/>
            </a:ext>
          </a:extLst>
        </xdr:cNvPr>
        <xdr:cNvSpPr/>
      </xdr:nvSpPr>
      <xdr:spPr>
        <a:xfrm>
          <a:off x="1452331" y="5171792"/>
          <a:ext cx="1960247" cy="722502"/>
        </a:xfrm>
        <a:prstGeom prst="rect">
          <a:avLst/>
        </a:prstGeom>
        <a:solidFill>
          <a:schemeClr val="accent4">
            <a:lumMod val="75000"/>
          </a:schemeClr>
        </a:solidFill>
        <a:ln w="6350">
          <a:solidFill>
            <a:schemeClr val="accent4">
              <a:lumMod val="75000"/>
            </a:schemeClr>
          </a:solidFill>
        </a:ln>
      </xdr:spPr>
      <xdr:style>
        <a:lnRef idx="2">
          <a:schemeClr val="accen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6775" tIns="593311" rIns="6772" bIns="593309" numCol="1" spcCol="1270" anchor="ctr" anchorCtr="0">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74121">
            <a:lnSpc>
              <a:spcPct val="90000"/>
            </a:lnSpc>
            <a:spcBef>
              <a:spcPct val="0"/>
            </a:spcBef>
            <a:spcAft>
              <a:spcPct val="35000"/>
            </a:spcAft>
          </a:pPr>
          <a:r>
            <a:rPr lang="en-US" sz="1600" b="1"/>
            <a:t>Scenario Manager: Compare outputs</a:t>
          </a:r>
          <a:r>
            <a:rPr lang="en-US" sz="1600" b="1" baseline="0"/>
            <a:t> </a:t>
          </a:r>
          <a:r>
            <a:rPr lang="en-US" sz="1600" b="1"/>
            <a:t>across scenarios</a:t>
          </a:r>
        </a:p>
      </xdr:txBody>
    </xdr:sp>
    <xdr:clientData/>
  </xdr:twoCellAnchor>
  <xdr:twoCellAnchor>
    <xdr:from>
      <xdr:col>1</xdr:col>
      <xdr:colOff>560298</xdr:colOff>
      <xdr:row>6</xdr:row>
      <xdr:rowOff>141057</xdr:rowOff>
    </xdr:from>
    <xdr:to>
      <xdr:col>2</xdr:col>
      <xdr:colOff>2146310</xdr:colOff>
      <xdr:row>6</xdr:row>
      <xdr:rowOff>414152</xdr:rowOff>
    </xdr:to>
    <xdr:sp macro="" textlink="">
      <xdr:nvSpPr>
        <xdr:cNvPr id="73" name="Isosceles Triangle 72">
          <a:extLst>
            <a:ext uri="{FF2B5EF4-FFF2-40B4-BE49-F238E27FC236}">
              <a16:creationId xmlns:a16="http://schemas.microsoft.com/office/drawing/2014/main" id="{00000000-0008-0000-0400-000049000000}"/>
            </a:ext>
          </a:extLst>
        </xdr:cNvPr>
        <xdr:cNvSpPr/>
      </xdr:nvSpPr>
      <xdr:spPr>
        <a:xfrm rot="10800000">
          <a:off x="1169898" y="2579457"/>
          <a:ext cx="2243237" cy="273095"/>
        </a:xfrm>
        <a:prstGeom prst="triangle">
          <a:avLst/>
        </a:prstGeom>
        <a:solidFill>
          <a:schemeClr val="bg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clientData/>
  </xdr:twoCellAnchor>
  <xdr:twoCellAnchor>
    <xdr:from>
      <xdr:col>1</xdr:col>
      <xdr:colOff>560297</xdr:colOff>
      <xdr:row>7</xdr:row>
      <xdr:rowOff>671836</xdr:rowOff>
    </xdr:from>
    <xdr:to>
      <xdr:col>2</xdr:col>
      <xdr:colOff>2146309</xdr:colOff>
      <xdr:row>7</xdr:row>
      <xdr:rowOff>944931</xdr:rowOff>
    </xdr:to>
    <xdr:sp macro="" textlink="">
      <xdr:nvSpPr>
        <xdr:cNvPr id="74" name="Isosceles Triangle 73">
          <a:extLst>
            <a:ext uri="{FF2B5EF4-FFF2-40B4-BE49-F238E27FC236}">
              <a16:creationId xmlns:a16="http://schemas.microsoft.com/office/drawing/2014/main" id="{00000000-0008-0000-0400-00004A000000}"/>
            </a:ext>
          </a:extLst>
        </xdr:cNvPr>
        <xdr:cNvSpPr/>
      </xdr:nvSpPr>
      <xdr:spPr>
        <a:xfrm rot="10800000">
          <a:off x="1169897" y="3681736"/>
          <a:ext cx="2243237" cy="273095"/>
        </a:xfrm>
        <a:prstGeom prst="triangle">
          <a:avLst/>
        </a:prstGeom>
        <a:solidFill>
          <a:schemeClr val="bg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clientData/>
  </xdr:twoCellAnchor>
  <xdr:twoCellAnchor>
    <xdr:from>
      <xdr:col>1</xdr:col>
      <xdr:colOff>560294</xdr:colOff>
      <xdr:row>8</xdr:row>
      <xdr:rowOff>820516</xdr:rowOff>
    </xdr:from>
    <xdr:to>
      <xdr:col>2</xdr:col>
      <xdr:colOff>2146310</xdr:colOff>
      <xdr:row>8</xdr:row>
      <xdr:rowOff>1093611</xdr:rowOff>
    </xdr:to>
    <xdr:sp macro="" textlink="">
      <xdr:nvSpPr>
        <xdr:cNvPr id="75" name="Isosceles Triangle 74">
          <a:extLst>
            <a:ext uri="{FF2B5EF4-FFF2-40B4-BE49-F238E27FC236}">
              <a16:creationId xmlns:a16="http://schemas.microsoft.com/office/drawing/2014/main" id="{00000000-0008-0000-0400-00004B000000}"/>
            </a:ext>
          </a:extLst>
        </xdr:cNvPr>
        <xdr:cNvSpPr/>
      </xdr:nvSpPr>
      <xdr:spPr>
        <a:xfrm rot="10800000">
          <a:off x="1169894" y="4887691"/>
          <a:ext cx="2243241" cy="273095"/>
        </a:xfrm>
        <a:prstGeom prst="triangle">
          <a:avLst/>
        </a:prstGeom>
        <a:solidFill>
          <a:schemeClr val="bg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clientData/>
  </xdr:twoCellAnchor>
  <xdr:twoCellAnchor>
    <xdr:from>
      <xdr:col>1</xdr:col>
      <xdr:colOff>560307</xdr:colOff>
      <xdr:row>5</xdr:row>
      <xdr:rowOff>268939</xdr:rowOff>
    </xdr:from>
    <xdr:to>
      <xdr:col>2</xdr:col>
      <xdr:colOff>186064</xdr:colOff>
      <xdr:row>6</xdr:row>
      <xdr:rowOff>141059</xdr:rowOff>
    </xdr:to>
    <xdr:sp macro="" textlink="">
      <xdr:nvSpPr>
        <xdr:cNvPr id="76" name="Rectangle 75">
          <a:extLst>
            <a:ext uri="{FF2B5EF4-FFF2-40B4-BE49-F238E27FC236}">
              <a16:creationId xmlns:a16="http://schemas.microsoft.com/office/drawing/2014/main" id="{00000000-0008-0000-0400-00004C000000}"/>
            </a:ext>
          </a:extLst>
        </xdr:cNvPr>
        <xdr:cNvSpPr/>
      </xdr:nvSpPr>
      <xdr:spPr>
        <a:xfrm>
          <a:off x="1169907" y="1897714"/>
          <a:ext cx="282982" cy="681745"/>
        </a:xfrm>
        <a:prstGeom prst="rect">
          <a:avLst/>
        </a:prstGeom>
        <a:solidFill>
          <a:schemeClr val="accent1">
            <a:lumMod val="75000"/>
          </a:schemeClr>
        </a:solidFill>
        <a:ln w="635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sz="3456"/>
            <a:t>1</a:t>
          </a:r>
        </a:p>
      </xdr:txBody>
    </xdr:sp>
    <xdr:clientData/>
  </xdr:twoCellAnchor>
  <xdr:twoCellAnchor>
    <xdr:from>
      <xdr:col>1</xdr:col>
      <xdr:colOff>560297</xdr:colOff>
      <xdr:row>6</xdr:row>
      <xdr:rowOff>517927</xdr:rowOff>
    </xdr:from>
    <xdr:to>
      <xdr:col>2</xdr:col>
      <xdr:colOff>186064</xdr:colOff>
      <xdr:row>7</xdr:row>
      <xdr:rowOff>666324</xdr:rowOff>
    </xdr:to>
    <xdr:sp macro="" textlink="">
      <xdr:nvSpPr>
        <xdr:cNvPr id="77" name="Rectangle 76">
          <a:extLst>
            <a:ext uri="{FF2B5EF4-FFF2-40B4-BE49-F238E27FC236}">
              <a16:creationId xmlns:a16="http://schemas.microsoft.com/office/drawing/2014/main" id="{00000000-0008-0000-0400-00004D000000}"/>
            </a:ext>
          </a:extLst>
        </xdr:cNvPr>
        <xdr:cNvSpPr/>
      </xdr:nvSpPr>
      <xdr:spPr>
        <a:xfrm>
          <a:off x="1169897" y="2956327"/>
          <a:ext cx="282992" cy="719897"/>
        </a:xfrm>
        <a:prstGeom prst="rect">
          <a:avLst/>
        </a:prstGeom>
        <a:solidFill>
          <a:schemeClr val="accent2">
            <a:lumMod val="75000"/>
          </a:schemeClr>
        </a:solidFill>
        <a:ln w="6350">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sz="3456"/>
            <a:t>2</a:t>
          </a:r>
        </a:p>
      </xdr:txBody>
    </xdr:sp>
    <xdr:clientData/>
  </xdr:twoCellAnchor>
  <xdr:twoCellAnchor>
    <xdr:from>
      <xdr:col>1</xdr:col>
      <xdr:colOff>560295</xdr:colOff>
      <xdr:row>7</xdr:row>
      <xdr:rowOff>1044003</xdr:rowOff>
    </xdr:from>
    <xdr:to>
      <xdr:col>2</xdr:col>
      <xdr:colOff>186062</xdr:colOff>
      <xdr:row>8</xdr:row>
      <xdr:rowOff>811649</xdr:rowOff>
    </xdr:to>
    <xdr:sp macro="" textlink="">
      <xdr:nvSpPr>
        <xdr:cNvPr id="78" name="Rectangle 77">
          <a:extLst>
            <a:ext uri="{FF2B5EF4-FFF2-40B4-BE49-F238E27FC236}">
              <a16:creationId xmlns:a16="http://schemas.microsoft.com/office/drawing/2014/main" id="{00000000-0008-0000-0400-00004E000000}"/>
            </a:ext>
          </a:extLst>
        </xdr:cNvPr>
        <xdr:cNvSpPr/>
      </xdr:nvSpPr>
      <xdr:spPr>
        <a:xfrm>
          <a:off x="1169895" y="4053903"/>
          <a:ext cx="282992" cy="824921"/>
        </a:xfrm>
        <a:prstGeom prst="rect">
          <a:avLst/>
        </a:prstGeom>
        <a:solidFill>
          <a:schemeClr val="accent6">
            <a:lumMod val="75000"/>
          </a:schemeClr>
        </a:solidFill>
        <a:ln w="63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sz="3456"/>
            <a:t>3</a:t>
          </a:r>
        </a:p>
      </xdr:txBody>
    </xdr:sp>
    <xdr:clientData/>
  </xdr:twoCellAnchor>
  <xdr:twoCellAnchor>
    <xdr:from>
      <xdr:col>1</xdr:col>
      <xdr:colOff>560295</xdr:colOff>
      <xdr:row>8</xdr:row>
      <xdr:rowOff>1115262</xdr:rowOff>
    </xdr:from>
    <xdr:to>
      <xdr:col>2</xdr:col>
      <xdr:colOff>186062</xdr:colOff>
      <xdr:row>9</xdr:row>
      <xdr:rowOff>705970</xdr:rowOff>
    </xdr:to>
    <xdr:sp macro="" textlink="">
      <xdr:nvSpPr>
        <xdr:cNvPr id="79" name="Rectangle 78">
          <a:extLst>
            <a:ext uri="{FF2B5EF4-FFF2-40B4-BE49-F238E27FC236}">
              <a16:creationId xmlns:a16="http://schemas.microsoft.com/office/drawing/2014/main" id="{00000000-0008-0000-0400-00004F000000}"/>
            </a:ext>
          </a:extLst>
        </xdr:cNvPr>
        <xdr:cNvSpPr/>
      </xdr:nvSpPr>
      <xdr:spPr>
        <a:xfrm>
          <a:off x="1165413" y="5171791"/>
          <a:ext cx="286914" cy="722503"/>
        </a:xfrm>
        <a:prstGeom prst="rect">
          <a:avLst/>
        </a:prstGeom>
        <a:solidFill>
          <a:schemeClr val="accent4">
            <a:lumMod val="75000"/>
          </a:schemeClr>
        </a:solidFill>
        <a:ln w="6350">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sz="3456"/>
            <a:t>4</a:t>
          </a:r>
        </a:p>
      </xdr:txBody>
    </xdr:sp>
    <xdr:clientData/>
  </xdr:twoCellAnchor>
  <xdr:twoCellAnchor>
    <xdr:from>
      <xdr:col>2</xdr:col>
      <xdr:colOff>186053</xdr:colOff>
      <xdr:row>4</xdr:row>
      <xdr:rowOff>112058</xdr:rowOff>
    </xdr:from>
    <xdr:to>
      <xdr:col>2</xdr:col>
      <xdr:colOff>2146300</xdr:colOff>
      <xdr:row>5</xdr:row>
      <xdr:rowOff>11205</xdr:rowOff>
    </xdr:to>
    <xdr:sp macro="" textlink="">
      <xdr:nvSpPr>
        <xdr:cNvPr id="80" name="Rectangle 79">
          <a:hlinkClick xmlns:r="http://schemas.openxmlformats.org/officeDocument/2006/relationships" r:id="rId18"/>
          <a:extLst>
            <a:ext uri="{FF2B5EF4-FFF2-40B4-BE49-F238E27FC236}">
              <a16:creationId xmlns:a16="http://schemas.microsoft.com/office/drawing/2014/main" id="{00000000-0008-0000-0400-000050000000}"/>
            </a:ext>
          </a:extLst>
        </xdr:cNvPr>
        <xdr:cNvSpPr/>
      </xdr:nvSpPr>
      <xdr:spPr>
        <a:xfrm>
          <a:off x="1452878" y="1121708"/>
          <a:ext cx="1960247" cy="518272"/>
        </a:xfrm>
        <a:prstGeom prst="rect">
          <a:avLst/>
        </a:prstGeom>
        <a:solidFill>
          <a:schemeClr val="bg1">
            <a:lumMod val="50000"/>
          </a:schemeClr>
        </a:solidFill>
        <a:ln w="6350">
          <a:solidFill>
            <a:schemeClr val="bg1">
              <a:lumMod val="50000"/>
            </a:schemeClr>
          </a:solidFill>
        </a:ln>
      </xdr:spPr>
      <xdr:style>
        <a:lnRef idx="2">
          <a:schemeClr val="accen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6775" tIns="593312" rIns="6772" bIns="593309" numCol="1" spcCol="1270" anchor="ctr" anchorCtr="0">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74121">
            <a:lnSpc>
              <a:spcPct val="90000"/>
            </a:lnSpc>
            <a:spcBef>
              <a:spcPct val="0"/>
            </a:spcBef>
            <a:spcAft>
              <a:spcPct val="35000"/>
            </a:spcAft>
          </a:pPr>
          <a:r>
            <a:rPr lang="en-US" sz="1600" b="1"/>
            <a:t>Before Using the Workbook</a:t>
          </a:r>
        </a:p>
      </xdr:txBody>
    </xdr:sp>
    <xdr:clientData/>
  </xdr:twoCellAnchor>
  <xdr:twoCellAnchor>
    <xdr:from>
      <xdr:col>1</xdr:col>
      <xdr:colOff>560294</xdr:colOff>
      <xdr:row>4</xdr:row>
      <xdr:rowOff>112058</xdr:rowOff>
    </xdr:from>
    <xdr:to>
      <xdr:col>2</xdr:col>
      <xdr:colOff>186051</xdr:colOff>
      <xdr:row>5</xdr:row>
      <xdr:rowOff>11206</xdr:rowOff>
    </xdr:to>
    <xdr:sp macro="" textlink="">
      <xdr:nvSpPr>
        <xdr:cNvPr id="81" name="Rectangle 80">
          <a:extLst>
            <a:ext uri="{FF2B5EF4-FFF2-40B4-BE49-F238E27FC236}">
              <a16:creationId xmlns:a16="http://schemas.microsoft.com/office/drawing/2014/main" id="{00000000-0008-0000-0400-000051000000}"/>
            </a:ext>
          </a:extLst>
        </xdr:cNvPr>
        <xdr:cNvSpPr/>
      </xdr:nvSpPr>
      <xdr:spPr>
        <a:xfrm>
          <a:off x="1169894" y="1121708"/>
          <a:ext cx="282982" cy="518273"/>
        </a:xfrm>
        <a:prstGeom prst="rect">
          <a:avLst/>
        </a:prstGeom>
        <a:solidFill>
          <a:schemeClr val="bg1">
            <a:lumMod val="50000"/>
          </a:schemeClr>
        </a:solidFill>
        <a:ln w="63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sz="3456"/>
            <a:t>0</a:t>
          </a:r>
        </a:p>
      </xdr:txBody>
    </xdr:sp>
    <xdr:clientData/>
  </xdr:twoCellAnchor>
  <xdr:twoCellAnchor>
    <xdr:from>
      <xdr:col>1</xdr:col>
      <xdr:colOff>504825</xdr:colOff>
      <xdr:row>32</xdr:row>
      <xdr:rowOff>219075</xdr:rowOff>
    </xdr:from>
    <xdr:to>
      <xdr:col>7</xdr:col>
      <xdr:colOff>1140517</xdr:colOff>
      <xdr:row>42</xdr:row>
      <xdr:rowOff>129430</xdr:rowOff>
    </xdr:to>
    <xdr:grpSp>
      <xdr:nvGrpSpPr>
        <xdr:cNvPr id="82" name="Group 81">
          <a:extLst>
            <a:ext uri="{FF2B5EF4-FFF2-40B4-BE49-F238E27FC236}">
              <a16:creationId xmlns:a16="http://schemas.microsoft.com/office/drawing/2014/main" id="{00000000-0008-0000-0400-000052000000}"/>
            </a:ext>
          </a:extLst>
        </xdr:cNvPr>
        <xdr:cNvGrpSpPr/>
      </xdr:nvGrpSpPr>
      <xdr:grpSpPr>
        <a:xfrm>
          <a:off x="1151565" y="13128251"/>
          <a:ext cx="11073171" cy="2471700"/>
          <a:chOff x="1114425" y="14335125"/>
          <a:chExt cx="10475017" cy="2482105"/>
        </a:xfrm>
      </xdr:grpSpPr>
      <xdr:grpSp>
        <xdr:nvGrpSpPr>
          <xdr:cNvPr id="83" name="Group 82">
            <a:extLst>
              <a:ext uri="{FF2B5EF4-FFF2-40B4-BE49-F238E27FC236}">
                <a16:creationId xmlns:a16="http://schemas.microsoft.com/office/drawing/2014/main" id="{00000000-0008-0000-0400-000053000000}"/>
              </a:ext>
            </a:extLst>
          </xdr:cNvPr>
          <xdr:cNvGrpSpPr/>
        </xdr:nvGrpSpPr>
        <xdr:grpSpPr>
          <a:xfrm>
            <a:off x="1219438" y="14587579"/>
            <a:ext cx="10370004" cy="2229651"/>
            <a:chOff x="1251856" y="13341804"/>
            <a:chExt cx="10974166" cy="2238374"/>
          </a:xfrm>
        </xdr:grpSpPr>
        <xdr:pic>
          <xdr:nvPicPr>
            <xdr:cNvPr id="87" name="Picture 86">
              <a:extLst>
                <a:ext uri="{FF2B5EF4-FFF2-40B4-BE49-F238E27FC236}">
                  <a16:creationId xmlns:a16="http://schemas.microsoft.com/office/drawing/2014/main" id="{00000000-0008-0000-0400-000057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10211" r="12502" b="6666"/>
            <a:stretch/>
          </xdr:blipFill>
          <xdr:spPr>
            <a:xfrm>
              <a:off x="1251856" y="13341804"/>
              <a:ext cx="2986770" cy="2190750"/>
            </a:xfrm>
            <a:prstGeom prst="rect">
              <a:avLst/>
            </a:prstGeom>
            <a:ln>
              <a:solidFill>
                <a:schemeClr val="bg1">
                  <a:lumMod val="65000"/>
                </a:schemeClr>
              </a:solidFill>
            </a:ln>
          </xdr:spPr>
        </xdr:pic>
        <xdr:pic>
          <xdr:nvPicPr>
            <xdr:cNvPr id="88" name="Picture 87">
              <a:extLst>
                <a:ext uri="{FF2B5EF4-FFF2-40B4-BE49-F238E27FC236}">
                  <a16:creationId xmlns:a16="http://schemas.microsoft.com/office/drawing/2014/main" id="{00000000-0008-0000-0400-000058000000}"/>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18026" t="15033" r="15397" b="12904"/>
            <a:stretch/>
          </xdr:blipFill>
          <xdr:spPr>
            <a:xfrm>
              <a:off x="5197930" y="13355410"/>
              <a:ext cx="3326949" cy="2224768"/>
            </a:xfrm>
            <a:prstGeom prst="rect">
              <a:avLst/>
            </a:prstGeom>
            <a:ln>
              <a:solidFill>
                <a:schemeClr val="bg1">
                  <a:lumMod val="65000"/>
                </a:schemeClr>
              </a:solidFill>
            </a:ln>
          </xdr:spPr>
        </xdr:pic>
        <xdr:pic>
          <xdr:nvPicPr>
            <xdr:cNvPr id="89" name="Picture 88">
              <a:extLst>
                <a:ext uri="{FF2B5EF4-FFF2-40B4-BE49-F238E27FC236}">
                  <a16:creationId xmlns:a16="http://schemas.microsoft.com/office/drawing/2014/main" id="{00000000-0008-0000-0400-000059000000}"/>
                </a:ext>
              </a:extLst>
            </xdr:cNvPr>
            <xdr:cNvPicPr>
              <a:picLocks noChangeAspect="1"/>
            </xdr:cNvPicPr>
          </xdr:nvPicPr>
          <xdr:blipFill rotWithShape="1">
            <a:blip xmlns:r="http://schemas.openxmlformats.org/officeDocument/2006/relationships" r:embed="rId21"/>
            <a:srcRect b="4929"/>
            <a:stretch/>
          </xdr:blipFill>
          <xdr:spPr>
            <a:xfrm>
              <a:off x="9348110" y="13400787"/>
              <a:ext cx="2877912" cy="2070531"/>
            </a:xfrm>
            <a:prstGeom prst="rect">
              <a:avLst/>
            </a:prstGeom>
            <a:ln>
              <a:solidFill>
                <a:schemeClr val="bg1">
                  <a:lumMod val="65000"/>
                </a:schemeClr>
              </a:solidFill>
            </a:ln>
          </xdr:spPr>
        </xdr:pic>
        <xdr:sp macro="" textlink="">
          <xdr:nvSpPr>
            <xdr:cNvPr id="90" name="Isosceles Triangle 89">
              <a:extLst>
                <a:ext uri="{FF2B5EF4-FFF2-40B4-BE49-F238E27FC236}">
                  <a16:creationId xmlns:a16="http://schemas.microsoft.com/office/drawing/2014/main" id="{00000000-0008-0000-0400-00005A000000}"/>
                </a:ext>
              </a:extLst>
            </xdr:cNvPr>
            <xdr:cNvSpPr/>
          </xdr:nvSpPr>
          <xdr:spPr>
            <a:xfrm rot="5400000">
              <a:off x="3430924" y="14255403"/>
              <a:ext cx="2170403" cy="378108"/>
            </a:xfrm>
            <a:prstGeom prst="triangle">
              <a:avLst/>
            </a:prstGeom>
            <a:solidFill>
              <a:srgbClr val="F8E1A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sp macro="" textlink="">
          <xdr:nvSpPr>
            <xdr:cNvPr id="91" name="Isosceles Triangle 90">
              <a:extLst>
                <a:ext uri="{FF2B5EF4-FFF2-40B4-BE49-F238E27FC236}">
                  <a16:creationId xmlns:a16="http://schemas.microsoft.com/office/drawing/2014/main" id="{00000000-0008-0000-0400-00005B000000}"/>
                </a:ext>
              </a:extLst>
            </xdr:cNvPr>
            <xdr:cNvSpPr/>
          </xdr:nvSpPr>
          <xdr:spPr>
            <a:xfrm rot="5400000">
              <a:off x="7692680" y="14264931"/>
              <a:ext cx="2170403" cy="378108"/>
            </a:xfrm>
            <a:prstGeom prst="triangle">
              <a:avLst/>
            </a:prstGeom>
            <a:solidFill>
              <a:srgbClr val="F8E1A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grpSp>
      <xdr:sp macro="" textlink="">
        <xdr:nvSpPr>
          <xdr:cNvPr id="84" name="TextBox 83">
            <a:extLst>
              <a:ext uri="{FF2B5EF4-FFF2-40B4-BE49-F238E27FC236}">
                <a16:creationId xmlns:a16="http://schemas.microsoft.com/office/drawing/2014/main" id="{00000000-0008-0000-0400-000054000000}"/>
              </a:ext>
            </a:extLst>
          </xdr:cNvPr>
          <xdr:cNvSpPr txBox="1"/>
        </xdr:nvSpPr>
        <xdr:spPr>
          <a:xfrm>
            <a:off x="1114425" y="14335125"/>
            <a:ext cx="31835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t>(i)</a:t>
            </a:r>
          </a:p>
        </xdr:txBody>
      </xdr:sp>
      <xdr:sp macro="" textlink="">
        <xdr:nvSpPr>
          <xdr:cNvPr id="85" name="TextBox 84">
            <a:extLst>
              <a:ext uri="{FF2B5EF4-FFF2-40B4-BE49-F238E27FC236}">
                <a16:creationId xmlns:a16="http://schemas.microsoft.com/office/drawing/2014/main" id="{00000000-0008-0000-0400-000055000000}"/>
              </a:ext>
            </a:extLst>
          </xdr:cNvPr>
          <xdr:cNvSpPr txBox="1"/>
        </xdr:nvSpPr>
        <xdr:spPr>
          <a:xfrm>
            <a:off x="8772525" y="14382750"/>
            <a:ext cx="39119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t>(iv)</a:t>
            </a:r>
          </a:p>
        </xdr:txBody>
      </xdr:sp>
      <xdr:sp macro="" textlink="">
        <xdr:nvSpPr>
          <xdr:cNvPr id="86" name="TextBox 85">
            <a:extLst>
              <a:ext uri="{FF2B5EF4-FFF2-40B4-BE49-F238E27FC236}">
                <a16:creationId xmlns:a16="http://schemas.microsoft.com/office/drawing/2014/main" id="{00000000-0008-0000-0400-000056000000}"/>
              </a:ext>
            </a:extLst>
          </xdr:cNvPr>
          <xdr:cNvSpPr txBox="1"/>
        </xdr:nvSpPr>
        <xdr:spPr>
          <a:xfrm>
            <a:off x="4838700" y="14354175"/>
            <a:ext cx="78021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t>(ii and iii)</a:t>
            </a:r>
          </a:p>
        </xdr:txBody>
      </xdr:sp>
    </xdr:grpSp>
    <xdr:clientData/>
  </xdr:twoCellAnchor>
  <xdr:twoCellAnchor>
    <xdr:from>
      <xdr:col>1</xdr:col>
      <xdr:colOff>523875</xdr:colOff>
      <xdr:row>45</xdr:row>
      <xdr:rowOff>219075</xdr:rowOff>
    </xdr:from>
    <xdr:to>
      <xdr:col>4</xdr:col>
      <xdr:colOff>1388785</xdr:colOff>
      <xdr:row>55</xdr:row>
      <xdr:rowOff>63313</xdr:rowOff>
    </xdr:to>
    <xdr:grpSp>
      <xdr:nvGrpSpPr>
        <xdr:cNvPr id="92" name="Group 91">
          <a:extLst>
            <a:ext uri="{FF2B5EF4-FFF2-40B4-BE49-F238E27FC236}">
              <a16:creationId xmlns:a16="http://schemas.microsoft.com/office/drawing/2014/main" id="{00000000-0008-0000-0400-00005C000000}"/>
            </a:ext>
          </a:extLst>
        </xdr:cNvPr>
        <xdr:cNvGrpSpPr/>
      </xdr:nvGrpSpPr>
      <xdr:grpSpPr>
        <a:xfrm>
          <a:off x="1170615" y="16458000"/>
          <a:ext cx="5596994" cy="2405582"/>
          <a:chOff x="4791075" y="17573625"/>
          <a:chExt cx="5322610" cy="2415988"/>
        </a:xfrm>
      </xdr:grpSpPr>
      <xdr:grpSp>
        <xdr:nvGrpSpPr>
          <xdr:cNvPr id="93" name="Group 92">
            <a:extLst>
              <a:ext uri="{FF2B5EF4-FFF2-40B4-BE49-F238E27FC236}">
                <a16:creationId xmlns:a16="http://schemas.microsoft.com/office/drawing/2014/main" id="{00000000-0008-0000-0400-00005D000000}"/>
              </a:ext>
            </a:extLst>
          </xdr:cNvPr>
          <xdr:cNvGrpSpPr/>
        </xdr:nvGrpSpPr>
        <xdr:grpSpPr>
          <a:xfrm>
            <a:off x="4882381" y="17856655"/>
            <a:ext cx="5231304" cy="2132958"/>
            <a:chOff x="4761379" y="16164565"/>
            <a:chExt cx="5531599" cy="2138803"/>
          </a:xfrm>
        </xdr:grpSpPr>
        <xdr:pic>
          <xdr:nvPicPr>
            <xdr:cNvPr id="96" name="Picture 95">
              <a:extLst>
                <a:ext uri="{FF2B5EF4-FFF2-40B4-BE49-F238E27FC236}">
                  <a16:creationId xmlns:a16="http://schemas.microsoft.com/office/drawing/2014/main" id="{00000000-0008-0000-0400-000060000000}"/>
                </a:ext>
              </a:extLst>
            </xdr:cNvPr>
            <xdr:cNvPicPr>
              <a:picLocks noChangeAspect="1"/>
            </xdr:cNvPicPr>
          </xdr:nvPicPr>
          <xdr:blipFill>
            <a:blip xmlns:r="http://schemas.openxmlformats.org/officeDocument/2006/relationships" r:embed="rId22"/>
            <a:stretch>
              <a:fillRect/>
            </a:stretch>
          </xdr:blipFill>
          <xdr:spPr>
            <a:xfrm>
              <a:off x="4761379" y="16166086"/>
              <a:ext cx="2455278" cy="2124319"/>
            </a:xfrm>
            <a:prstGeom prst="rect">
              <a:avLst/>
            </a:prstGeom>
            <a:ln>
              <a:solidFill>
                <a:schemeClr val="bg1">
                  <a:lumMod val="65000"/>
                </a:schemeClr>
              </a:solidFill>
            </a:ln>
          </xdr:spPr>
        </xdr:pic>
        <xdr:sp macro="" textlink="">
          <xdr:nvSpPr>
            <xdr:cNvPr id="97" name="Isosceles Triangle 96">
              <a:extLst>
                <a:ext uri="{FF2B5EF4-FFF2-40B4-BE49-F238E27FC236}">
                  <a16:creationId xmlns:a16="http://schemas.microsoft.com/office/drawing/2014/main" id="{00000000-0008-0000-0400-000061000000}"/>
                </a:ext>
              </a:extLst>
            </xdr:cNvPr>
            <xdr:cNvSpPr/>
          </xdr:nvSpPr>
          <xdr:spPr>
            <a:xfrm rot="5400000">
              <a:off x="6439325" y="17067308"/>
              <a:ext cx="2115616" cy="353788"/>
            </a:xfrm>
            <a:prstGeom prst="triangle">
              <a:avLst/>
            </a:prstGeom>
            <a:solidFill>
              <a:srgbClr val="F8E1A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pic>
          <xdr:nvPicPr>
            <xdr:cNvPr id="98" name="Picture 97">
              <a:extLst>
                <a:ext uri="{FF2B5EF4-FFF2-40B4-BE49-F238E27FC236}">
                  <a16:creationId xmlns:a16="http://schemas.microsoft.com/office/drawing/2014/main" id="{00000000-0008-0000-0400-000062000000}"/>
                </a:ext>
              </a:extLst>
            </xdr:cNvPr>
            <xdr:cNvPicPr>
              <a:picLocks noChangeAspect="1"/>
            </xdr:cNvPicPr>
          </xdr:nvPicPr>
          <xdr:blipFill>
            <a:blip xmlns:r="http://schemas.openxmlformats.org/officeDocument/2006/relationships" r:embed="rId23"/>
            <a:stretch>
              <a:fillRect/>
            </a:stretch>
          </xdr:blipFill>
          <xdr:spPr>
            <a:xfrm>
              <a:off x="8019730" y="16164565"/>
              <a:ext cx="2273248" cy="2138803"/>
            </a:xfrm>
            <a:prstGeom prst="rect">
              <a:avLst/>
            </a:prstGeom>
            <a:ln>
              <a:solidFill>
                <a:schemeClr val="bg1">
                  <a:lumMod val="65000"/>
                </a:schemeClr>
              </a:solidFill>
            </a:ln>
          </xdr:spPr>
        </xdr:pic>
      </xdr:grpSp>
      <xdr:sp macro="" textlink="">
        <xdr:nvSpPr>
          <xdr:cNvPr id="94" name="TextBox 93">
            <a:extLst>
              <a:ext uri="{FF2B5EF4-FFF2-40B4-BE49-F238E27FC236}">
                <a16:creationId xmlns:a16="http://schemas.microsoft.com/office/drawing/2014/main" id="{00000000-0008-0000-0400-00005E000000}"/>
              </a:ext>
            </a:extLst>
          </xdr:cNvPr>
          <xdr:cNvSpPr txBox="1"/>
        </xdr:nvSpPr>
        <xdr:spPr>
          <a:xfrm>
            <a:off x="4791075" y="17573625"/>
            <a:ext cx="31835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t>(i)</a:t>
            </a:r>
          </a:p>
        </xdr:txBody>
      </xdr:sp>
      <xdr:sp macro="" textlink="">
        <xdr:nvSpPr>
          <xdr:cNvPr id="95" name="TextBox 94">
            <a:extLst>
              <a:ext uri="{FF2B5EF4-FFF2-40B4-BE49-F238E27FC236}">
                <a16:creationId xmlns:a16="http://schemas.microsoft.com/office/drawing/2014/main" id="{00000000-0008-0000-0400-00005F000000}"/>
              </a:ext>
            </a:extLst>
          </xdr:cNvPr>
          <xdr:cNvSpPr txBox="1"/>
        </xdr:nvSpPr>
        <xdr:spPr>
          <a:xfrm>
            <a:off x="7848600" y="17592675"/>
            <a:ext cx="31835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t>(ii)</a:t>
            </a:r>
          </a:p>
        </xdr:txBody>
      </xdr:sp>
    </xdr:grpSp>
    <xdr:clientData/>
  </xdr:twoCellAnchor>
  <xdr:twoCellAnchor>
    <xdr:from>
      <xdr:col>2</xdr:col>
      <xdr:colOff>447515</xdr:colOff>
      <xdr:row>70</xdr:row>
      <xdr:rowOff>170740</xdr:rowOff>
    </xdr:from>
    <xdr:to>
      <xdr:col>5</xdr:col>
      <xdr:colOff>1248157</xdr:colOff>
      <xdr:row>95</xdr:row>
      <xdr:rowOff>46002</xdr:rowOff>
    </xdr:to>
    <xdr:grpSp>
      <xdr:nvGrpSpPr>
        <xdr:cNvPr id="99" name="Group 98">
          <a:extLst>
            <a:ext uri="{FF2B5EF4-FFF2-40B4-BE49-F238E27FC236}">
              <a16:creationId xmlns:a16="http://schemas.microsoft.com/office/drawing/2014/main" id="{00000000-0008-0000-0400-000063000000}"/>
            </a:ext>
          </a:extLst>
        </xdr:cNvPr>
        <xdr:cNvGrpSpPr/>
      </xdr:nvGrpSpPr>
      <xdr:grpSpPr>
        <a:xfrm>
          <a:off x="1792221" y="24247379"/>
          <a:ext cx="7261634" cy="5638287"/>
          <a:chOff x="1714340" y="25450090"/>
          <a:chExt cx="6887117" cy="5590262"/>
        </a:xfrm>
      </xdr:grpSpPr>
      <xdr:pic>
        <xdr:nvPicPr>
          <xdr:cNvPr id="100" name="Picture 99">
            <a:extLst>
              <a:ext uri="{FF2B5EF4-FFF2-40B4-BE49-F238E27FC236}">
                <a16:creationId xmlns:a16="http://schemas.microsoft.com/office/drawing/2014/main" id="{00000000-0008-0000-0400-000064000000}"/>
              </a:ext>
            </a:extLst>
          </xdr:cNvPr>
          <xdr:cNvPicPr>
            <a:picLocks noChangeAspect="1"/>
          </xdr:cNvPicPr>
        </xdr:nvPicPr>
        <xdr:blipFill>
          <a:blip xmlns:r="http://schemas.openxmlformats.org/officeDocument/2006/relationships" r:embed="rId24"/>
          <a:stretch>
            <a:fillRect/>
          </a:stretch>
        </xdr:blipFill>
        <xdr:spPr>
          <a:xfrm>
            <a:off x="1905559" y="25450090"/>
            <a:ext cx="6695898" cy="5590262"/>
          </a:xfrm>
          <a:prstGeom prst="rect">
            <a:avLst/>
          </a:prstGeom>
        </xdr:spPr>
      </xdr:pic>
      <xdr:sp macro="" textlink="">
        <xdr:nvSpPr>
          <xdr:cNvPr id="101" name="Rectangle 100">
            <a:extLst>
              <a:ext uri="{FF2B5EF4-FFF2-40B4-BE49-F238E27FC236}">
                <a16:creationId xmlns:a16="http://schemas.microsoft.com/office/drawing/2014/main" id="{00000000-0008-0000-0400-000065000000}"/>
              </a:ext>
            </a:extLst>
          </xdr:cNvPr>
          <xdr:cNvSpPr/>
        </xdr:nvSpPr>
        <xdr:spPr>
          <a:xfrm>
            <a:off x="1714340" y="25720860"/>
            <a:ext cx="6601305" cy="226358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02" name="Rectangle 101">
            <a:extLst>
              <a:ext uri="{FF2B5EF4-FFF2-40B4-BE49-F238E27FC236}">
                <a16:creationId xmlns:a16="http://schemas.microsoft.com/office/drawing/2014/main" id="{00000000-0008-0000-0400-000066000000}"/>
              </a:ext>
            </a:extLst>
          </xdr:cNvPr>
          <xdr:cNvSpPr/>
        </xdr:nvSpPr>
        <xdr:spPr>
          <a:xfrm>
            <a:off x="3272679" y="30689950"/>
            <a:ext cx="1873063" cy="315606"/>
          </a:xfrm>
          <a:prstGeom prst="rect">
            <a:avLst/>
          </a:prstGeom>
          <a:noFill/>
          <a:ln w="190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03" name="Rectangle 102">
            <a:extLst>
              <a:ext uri="{FF2B5EF4-FFF2-40B4-BE49-F238E27FC236}">
                <a16:creationId xmlns:a16="http://schemas.microsoft.com/office/drawing/2014/main" id="{00000000-0008-0000-0400-000067000000}"/>
              </a:ext>
            </a:extLst>
          </xdr:cNvPr>
          <xdr:cNvSpPr/>
        </xdr:nvSpPr>
        <xdr:spPr>
          <a:xfrm>
            <a:off x="5201771" y="30694032"/>
            <a:ext cx="2017058" cy="308481"/>
          </a:xfrm>
          <a:prstGeom prst="rect">
            <a:avLst/>
          </a:prstGeom>
          <a:noFill/>
          <a:ln w="190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04" name="Straight Arrow Connector 103">
            <a:extLst>
              <a:ext uri="{FF2B5EF4-FFF2-40B4-BE49-F238E27FC236}">
                <a16:creationId xmlns:a16="http://schemas.microsoft.com/office/drawing/2014/main" id="{00000000-0008-0000-0400-000068000000}"/>
              </a:ext>
            </a:extLst>
          </xdr:cNvPr>
          <xdr:cNvCxnSpPr>
            <a:stCxn id="103" idx="0"/>
          </xdr:cNvCxnSpPr>
        </xdr:nvCxnSpPr>
        <xdr:spPr>
          <a:xfrm flipH="1" flipV="1">
            <a:off x="4834219" y="27047639"/>
            <a:ext cx="1376081" cy="3646393"/>
          </a:xfrm>
          <a:prstGeom prst="straightConnector1">
            <a:avLst/>
          </a:prstGeom>
          <a:ln w="19050">
            <a:solidFill>
              <a:srgbClr val="FF0000"/>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105" name="Straight Arrow Connector 104">
            <a:extLst>
              <a:ext uri="{FF2B5EF4-FFF2-40B4-BE49-F238E27FC236}">
                <a16:creationId xmlns:a16="http://schemas.microsoft.com/office/drawing/2014/main" id="{00000000-0008-0000-0400-000069000000}"/>
              </a:ext>
            </a:extLst>
          </xdr:cNvPr>
          <xdr:cNvCxnSpPr>
            <a:stCxn id="102" idx="0"/>
          </xdr:cNvCxnSpPr>
        </xdr:nvCxnSpPr>
        <xdr:spPr>
          <a:xfrm flipH="1" flipV="1">
            <a:off x="3545544" y="27047639"/>
            <a:ext cx="666748" cy="3642311"/>
          </a:xfrm>
          <a:prstGeom prst="straightConnector1">
            <a:avLst/>
          </a:prstGeom>
          <a:ln w="19050">
            <a:solidFill>
              <a:srgbClr val="FF0000"/>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sp macro="" textlink="">
        <xdr:nvSpPr>
          <xdr:cNvPr id="106" name="TextBox 105">
            <a:extLst>
              <a:ext uri="{FF2B5EF4-FFF2-40B4-BE49-F238E27FC236}">
                <a16:creationId xmlns:a16="http://schemas.microsoft.com/office/drawing/2014/main" id="{00000000-0008-0000-0400-00006A000000}"/>
              </a:ext>
            </a:extLst>
          </xdr:cNvPr>
          <xdr:cNvSpPr txBox="1"/>
        </xdr:nvSpPr>
        <xdr:spPr>
          <a:xfrm>
            <a:off x="2114550" y="25774650"/>
            <a:ext cx="182880" cy="183809"/>
          </a:xfrm>
          <a:prstGeom prst="rect">
            <a:avLst/>
          </a:prstGeom>
          <a:ln w="28575">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algn="ctr"/>
            <a:r>
              <a:rPr lang="en-US" sz="1100" b="1"/>
              <a:t>1</a:t>
            </a:r>
          </a:p>
        </xdr:txBody>
      </xdr:sp>
      <xdr:sp macro="" textlink="">
        <xdr:nvSpPr>
          <xdr:cNvPr id="107" name="TextBox 106">
            <a:extLst>
              <a:ext uri="{FF2B5EF4-FFF2-40B4-BE49-F238E27FC236}">
                <a16:creationId xmlns:a16="http://schemas.microsoft.com/office/drawing/2014/main" id="{00000000-0008-0000-0400-00006B000000}"/>
              </a:ext>
            </a:extLst>
          </xdr:cNvPr>
          <xdr:cNvSpPr txBox="1"/>
        </xdr:nvSpPr>
        <xdr:spPr>
          <a:xfrm>
            <a:off x="2359877" y="25976766"/>
            <a:ext cx="182880" cy="182880"/>
          </a:xfrm>
          <a:prstGeom prst="rect">
            <a:avLst/>
          </a:prstGeom>
          <a:ln w="28575">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algn="ctr"/>
            <a:r>
              <a:rPr lang="en-US" sz="1100" b="1"/>
              <a:t>2</a:t>
            </a:r>
          </a:p>
        </xdr:txBody>
      </xdr:sp>
      <xdr:sp macro="" textlink="">
        <xdr:nvSpPr>
          <xdr:cNvPr id="108" name="TextBox 107">
            <a:extLst>
              <a:ext uri="{FF2B5EF4-FFF2-40B4-BE49-F238E27FC236}">
                <a16:creationId xmlns:a16="http://schemas.microsoft.com/office/drawing/2014/main" id="{00000000-0008-0000-0400-00006C000000}"/>
              </a:ext>
            </a:extLst>
          </xdr:cNvPr>
          <xdr:cNvSpPr txBox="1"/>
        </xdr:nvSpPr>
        <xdr:spPr>
          <a:xfrm>
            <a:off x="3320275" y="25976766"/>
            <a:ext cx="180789" cy="182880"/>
          </a:xfrm>
          <a:prstGeom prst="rect">
            <a:avLst/>
          </a:prstGeom>
          <a:ln w="28575">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algn="ctr"/>
            <a:r>
              <a:rPr lang="en-US" sz="1100" b="1"/>
              <a:t>3</a:t>
            </a:r>
          </a:p>
        </xdr:txBody>
      </xdr:sp>
      <xdr:sp macro="" textlink="">
        <xdr:nvSpPr>
          <xdr:cNvPr id="109" name="TextBox 108">
            <a:extLst>
              <a:ext uri="{FF2B5EF4-FFF2-40B4-BE49-F238E27FC236}">
                <a16:creationId xmlns:a16="http://schemas.microsoft.com/office/drawing/2014/main" id="{00000000-0008-0000-0400-00006D000000}"/>
              </a:ext>
            </a:extLst>
          </xdr:cNvPr>
          <xdr:cNvSpPr txBox="1"/>
        </xdr:nvSpPr>
        <xdr:spPr>
          <a:xfrm>
            <a:off x="4441205" y="25976766"/>
            <a:ext cx="182880" cy="182880"/>
          </a:xfrm>
          <a:prstGeom prst="rect">
            <a:avLst/>
          </a:prstGeom>
          <a:ln w="28575">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algn="ctr"/>
            <a:r>
              <a:rPr lang="en-US" sz="1100" b="1"/>
              <a:t>4</a:t>
            </a:r>
          </a:p>
        </xdr:txBody>
      </xdr:sp>
      <xdr:sp macro="" textlink="">
        <xdr:nvSpPr>
          <xdr:cNvPr id="110" name="TextBox 109">
            <a:extLst>
              <a:ext uri="{FF2B5EF4-FFF2-40B4-BE49-F238E27FC236}">
                <a16:creationId xmlns:a16="http://schemas.microsoft.com/office/drawing/2014/main" id="{00000000-0008-0000-0400-00006E000000}"/>
              </a:ext>
            </a:extLst>
          </xdr:cNvPr>
          <xdr:cNvSpPr txBox="1"/>
        </xdr:nvSpPr>
        <xdr:spPr>
          <a:xfrm>
            <a:off x="5474784" y="25976766"/>
            <a:ext cx="182880" cy="182880"/>
          </a:xfrm>
          <a:prstGeom prst="rect">
            <a:avLst/>
          </a:prstGeom>
          <a:ln w="28575">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algn="ctr"/>
            <a:r>
              <a:rPr lang="en-US" sz="1100" b="1"/>
              <a:t>5</a:t>
            </a:r>
          </a:p>
        </xdr:txBody>
      </xdr:sp>
    </xdr:grpSp>
    <xdr:clientData/>
  </xdr:twoCellAnchor>
  <xdr:twoCellAnchor>
    <xdr:from>
      <xdr:col>5</xdr:col>
      <xdr:colOff>982037</xdr:colOff>
      <xdr:row>72</xdr:row>
      <xdr:rowOff>160964</xdr:rowOff>
    </xdr:from>
    <xdr:to>
      <xdr:col>6</xdr:col>
      <xdr:colOff>683559</xdr:colOff>
      <xdr:row>72</xdr:row>
      <xdr:rowOff>160964</xdr:rowOff>
    </xdr:to>
    <xdr:cxnSp macro="">
      <xdr:nvCxnSpPr>
        <xdr:cNvPr id="111" name="Straight Arrow Connector 110">
          <a:extLst>
            <a:ext uri="{FF2B5EF4-FFF2-40B4-BE49-F238E27FC236}">
              <a16:creationId xmlns:a16="http://schemas.microsoft.com/office/drawing/2014/main" id="{00000000-0008-0000-0400-00006F000000}"/>
            </a:ext>
          </a:extLst>
        </xdr:cNvPr>
        <xdr:cNvCxnSpPr/>
      </xdr:nvCxnSpPr>
      <xdr:spPr>
        <a:xfrm flipH="1">
          <a:off x="8335337" y="25897514"/>
          <a:ext cx="1301722"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6405</xdr:colOff>
      <xdr:row>187</xdr:row>
      <xdr:rowOff>256134</xdr:rowOff>
    </xdr:from>
    <xdr:to>
      <xdr:col>7</xdr:col>
      <xdr:colOff>723448</xdr:colOff>
      <xdr:row>199</xdr:row>
      <xdr:rowOff>249730</xdr:rowOff>
    </xdr:to>
    <xdr:grpSp>
      <xdr:nvGrpSpPr>
        <xdr:cNvPr id="112" name="Group 111">
          <a:extLst>
            <a:ext uri="{FF2B5EF4-FFF2-40B4-BE49-F238E27FC236}">
              <a16:creationId xmlns:a16="http://schemas.microsoft.com/office/drawing/2014/main" id="{00000000-0008-0000-0400-000070000000}"/>
            </a:ext>
          </a:extLst>
        </xdr:cNvPr>
        <xdr:cNvGrpSpPr/>
      </xdr:nvGrpSpPr>
      <xdr:grpSpPr>
        <a:xfrm>
          <a:off x="1351111" y="53487276"/>
          <a:ext cx="10456556" cy="4142975"/>
          <a:chOff x="1273230" y="24087684"/>
          <a:chExt cx="9899143" cy="4108396"/>
        </a:xfrm>
      </xdr:grpSpPr>
      <xdr:pic>
        <xdr:nvPicPr>
          <xdr:cNvPr id="113" name="Picture 112">
            <a:extLst>
              <a:ext uri="{FF2B5EF4-FFF2-40B4-BE49-F238E27FC236}">
                <a16:creationId xmlns:a16="http://schemas.microsoft.com/office/drawing/2014/main" id="{00000000-0008-0000-0400-000071000000}"/>
              </a:ext>
            </a:extLst>
          </xdr:cNvPr>
          <xdr:cNvPicPr>
            <a:picLocks noChangeAspect="1"/>
          </xdr:cNvPicPr>
        </xdr:nvPicPr>
        <xdr:blipFill>
          <a:blip xmlns:r="http://schemas.openxmlformats.org/officeDocument/2006/relationships" r:embed="rId25"/>
          <a:stretch>
            <a:fillRect/>
          </a:stretch>
        </xdr:blipFill>
        <xdr:spPr>
          <a:xfrm>
            <a:off x="1273230" y="24119700"/>
            <a:ext cx="4402389" cy="3261860"/>
          </a:xfrm>
          <a:prstGeom prst="rect">
            <a:avLst/>
          </a:prstGeom>
          <a:ln>
            <a:solidFill>
              <a:schemeClr val="bg1">
                <a:lumMod val="50000"/>
              </a:schemeClr>
            </a:solidFill>
          </a:ln>
        </xdr:spPr>
      </xdr:pic>
      <xdr:pic>
        <xdr:nvPicPr>
          <xdr:cNvPr id="114" name="Picture 113">
            <a:extLst>
              <a:ext uri="{FF2B5EF4-FFF2-40B4-BE49-F238E27FC236}">
                <a16:creationId xmlns:a16="http://schemas.microsoft.com/office/drawing/2014/main" id="{00000000-0008-0000-0400-000072000000}"/>
              </a:ext>
            </a:extLst>
          </xdr:cNvPr>
          <xdr:cNvPicPr>
            <a:picLocks noChangeAspect="1"/>
          </xdr:cNvPicPr>
        </xdr:nvPicPr>
        <xdr:blipFill rotWithShape="1">
          <a:blip xmlns:r="http://schemas.openxmlformats.org/officeDocument/2006/relationships" r:embed="rId26"/>
          <a:srcRect b="4330"/>
          <a:stretch/>
        </xdr:blipFill>
        <xdr:spPr>
          <a:xfrm>
            <a:off x="6700156" y="24087684"/>
            <a:ext cx="4472217" cy="3275321"/>
          </a:xfrm>
          <a:prstGeom prst="rect">
            <a:avLst/>
          </a:prstGeom>
          <a:ln>
            <a:solidFill>
              <a:schemeClr val="bg1">
                <a:lumMod val="50000"/>
              </a:schemeClr>
            </a:solidFill>
          </a:ln>
        </xdr:spPr>
      </xdr:pic>
      <xdr:sp macro="" textlink="">
        <xdr:nvSpPr>
          <xdr:cNvPr id="115" name="TextBox 114">
            <a:extLst>
              <a:ext uri="{FF2B5EF4-FFF2-40B4-BE49-F238E27FC236}">
                <a16:creationId xmlns:a16="http://schemas.microsoft.com/office/drawing/2014/main" id="{00000000-0008-0000-0400-000073000000}"/>
              </a:ext>
            </a:extLst>
          </xdr:cNvPr>
          <xdr:cNvSpPr txBox="1"/>
        </xdr:nvSpPr>
        <xdr:spPr>
          <a:xfrm>
            <a:off x="1894353" y="27471860"/>
            <a:ext cx="3077535" cy="70501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Incorrectly</a:t>
            </a:r>
            <a:r>
              <a:rPr lang="en-US" sz="1100" b="0"/>
              <a:t> populated</a:t>
            </a:r>
            <a:r>
              <a:rPr lang="en-US" sz="1100" b="0" baseline="0"/>
              <a:t> Output Statistics worksheet: No valid Input Parameters sheet name causes </a:t>
            </a:r>
            <a:r>
              <a:rPr lang="en-US" sz="1100" b="1" baseline="0"/>
              <a:t>#REF</a:t>
            </a:r>
            <a:r>
              <a:rPr lang="en-US" sz="1100" b="0" baseline="0"/>
              <a:t> errors where output numbers should be</a:t>
            </a:r>
            <a:endParaRPr lang="en-US" sz="1100" b="0"/>
          </a:p>
        </xdr:txBody>
      </xdr:sp>
      <xdr:sp macro="" textlink="">
        <xdr:nvSpPr>
          <xdr:cNvPr id="116" name="TextBox 115">
            <a:extLst>
              <a:ext uri="{FF2B5EF4-FFF2-40B4-BE49-F238E27FC236}">
                <a16:creationId xmlns:a16="http://schemas.microsoft.com/office/drawing/2014/main" id="{00000000-0008-0000-0400-000074000000}"/>
              </a:ext>
            </a:extLst>
          </xdr:cNvPr>
          <xdr:cNvSpPr txBox="1"/>
        </xdr:nvSpPr>
        <xdr:spPr>
          <a:xfrm>
            <a:off x="7353139" y="27478264"/>
            <a:ext cx="3308698" cy="717816"/>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Correctly</a:t>
            </a:r>
            <a:r>
              <a:rPr lang="en-US" sz="1100" b="0"/>
              <a:t> populated</a:t>
            </a:r>
            <a:r>
              <a:rPr lang="en-US" sz="1100" b="0" baseline="0"/>
              <a:t> Output Statistics worksheet: </a:t>
            </a:r>
          </a:p>
          <a:p>
            <a:r>
              <a:rPr lang="en-US" sz="1100" b="0" baseline="0"/>
              <a:t>Valid Input Parameters sheet name, no </a:t>
            </a:r>
            <a:r>
              <a:rPr lang="en-US" sz="1100" b="1" baseline="0"/>
              <a:t>#REF</a:t>
            </a:r>
            <a:r>
              <a:rPr lang="en-US" sz="1100" b="0" baseline="0"/>
              <a:t> errors.</a:t>
            </a:r>
            <a:endParaRPr lang="en-US" sz="1100" b="0"/>
          </a:p>
        </xdr:txBody>
      </xdr:sp>
      <xdr:sp macro="" textlink="">
        <xdr:nvSpPr>
          <xdr:cNvPr id="117" name="Isosceles Triangle 116">
            <a:extLst>
              <a:ext uri="{FF2B5EF4-FFF2-40B4-BE49-F238E27FC236}">
                <a16:creationId xmlns:a16="http://schemas.microsoft.com/office/drawing/2014/main" id="{00000000-0008-0000-0400-000075000000}"/>
              </a:ext>
            </a:extLst>
          </xdr:cNvPr>
          <xdr:cNvSpPr/>
        </xdr:nvSpPr>
        <xdr:spPr>
          <a:xfrm rot="5400000">
            <a:off x="4386942" y="25504429"/>
            <a:ext cx="3140849" cy="435428"/>
          </a:xfrm>
          <a:prstGeom prst="triangle">
            <a:avLst/>
          </a:prstGeom>
          <a:solidFill>
            <a:srgbClr val="F8E1A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sp macro="" textlink="">
        <xdr:nvSpPr>
          <xdr:cNvPr id="118" name="Rectangle 117">
            <a:extLst>
              <a:ext uri="{FF2B5EF4-FFF2-40B4-BE49-F238E27FC236}">
                <a16:creationId xmlns:a16="http://schemas.microsoft.com/office/drawing/2014/main" id="{00000000-0008-0000-0400-000076000000}"/>
              </a:ext>
            </a:extLst>
          </xdr:cNvPr>
          <xdr:cNvSpPr/>
        </xdr:nvSpPr>
        <xdr:spPr>
          <a:xfrm>
            <a:off x="1466850" y="24374475"/>
            <a:ext cx="4143375" cy="26669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19" name="Rectangle 118">
            <a:extLst>
              <a:ext uri="{FF2B5EF4-FFF2-40B4-BE49-F238E27FC236}">
                <a16:creationId xmlns:a16="http://schemas.microsoft.com/office/drawing/2014/main" id="{00000000-0008-0000-0400-000077000000}"/>
              </a:ext>
            </a:extLst>
          </xdr:cNvPr>
          <xdr:cNvSpPr/>
        </xdr:nvSpPr>
        <xdr:spPr>
          <a:xfrm>
            <a:off x="9744074" y="24384000"/>
            <a:ext cx="1390651" cy="26669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27</xdr:col>
      <xdr:colOff>33617</xdr:colOff>
      <xdr:row>6</xdr:row>
      <xdr:rowOff>145677</xdr:rowOff>
    </xdr:from>
    <xdr:to>
      <xdr:col>36</xdr:col>
      <xdr:colOff>316906</xdr:colOff>
      <xdr:row>16</xdr:row>
      <xdr:rowOff>313764</xdr:rowOff>
    </xdr:to>
    <xdr:pic>
      <xdr:nvPicPr>
        <xdr:cNvPr id="9" name="Picture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a:stretch>
          <a:fillRect/>
        </a:stretch>
      </xdr:blipFill>
      <xdr:spPr>
        <a:xfrm>
          <a:off x="14982264" y="1411942"/>
          <a:ext cx="6267231" cy="3888440"/>
        </a:xfrm>
        <a:prstGeom prst="rect">
          <a:avLst/>
        </a:prstGeom>
      </xdr:spPr>
    </xdr:pic>
    <xdr:clientData/>
  </xdr:twoCellAnchor>
  <xdr:twoCellAnchor editAs="oneCell">
    <xdr:from>
      <xdr:col>27</xdr:col>
      <xdr:colOff>56029</xdr:colOff>
      <xdr:row>18</xdr:row>
      <xdr:rowOff>414619</xdr:rowOff>
    </xdr:from>
    <xdr:to>
      <xdr:col>40</xdr:col>
      <xdr:colOff>457565</xdr:colOff>
      <xdr:row>26</xdr:row>
      <xdr:rowOff>986119</xdr:rowOff>
    </xdr:to>
    <xdr:pic>
      <xdr:nvPicPr>
        <xdr:cNvPr id="11" name="Picture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2"/>
        <a:stretch>
          <a:fillRect/>
        </a:stretch>
      </xdr:blipFill>
      <xdr:spPr>
        <a:xfrm>
          <a:off x="15004676" y="6084795"/>
          <a:ext cx="9388654" cy="3563470"/>
        </a:xfrm>
        <a:prstGeom prst="rect">
          <a:avLst/>
        </a:prstGeom>
      </xdr:spPr>
    </xdr:pic>
    <xdr:clientData/>
  </xdr:twoCellAnchor>
  <xdr:twoCellAnchor>
    <xdr:from>
      <xdr:col>27</xdr:col>
      <xdr:colOff>67233</xdr:colOff>
      <xdr:row>27</xdr:row>
      <xdr:rowOff>907677</xdr:rowOff>
    </xdr:from>
    <xdr:to>
      <xdr:col>38</xdr:col>
      <xdr:colOff>679418</xdr:colOff>
      <xdr:row>33</xdr:row>
      <xdr:rowOff>537883</xdr:rowOff>
    </xdr:to>
    <xdr:grpSp>
      <xdr:nvGrpSpPr>
        <xdr:cNvPr id="13" name="Group 12">
          <a:extLst>
            <a:ext uri="{FF2B5EF4-FFF2-40B4-BE49-F238E27FC236}">
              <a16:creationId xmlns:a16="http://schemas.microsoft.com/office/drawing/2014/main" id="{00000000-0008-0000-0600-00000D000000}"/>
            </a:ext>
          </a:extLst>
        </xdr:cNvPr>
        <xdr:cNvGrpSpPr/>
      </xdr:nvGrpSpPr>
      <xdr:grpSpPr>
        <a:xfrm>
          <a:off x="16197300" y="12119963"/>
          <a:ext cx="8584370" cy="4868155"/>
          <a:chOff x="13346206" y="11867030"/>
          <a:chExt cx="8097714" cy="5102794"/>
        </a:xfrm>
      </xdr:grpSpPr>
      <xdr:pic>
        <xdr:nvPicPr>
          <xdr:cNvPr id="12" name="Picture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a:stretch>
            <a:fillRect/>
          </a:stretch>
        </xdr:blipFill>
        <xdr:spPr>
          <a:xfrm>
            <a:off x="13346206" y="11867030"/>
            <a:ext cx="7919390" cy="5102794"/>
          </a:xfrm>
          <a:prstGeom prst="rect">
            <a:avLst/>
          </a:prstGeom>
        </xdr:spPr>
      </xdr:pic>
      <xdr:grpSp>
        <xdr:nvGrpSpPr>
          <xdr:cNvPr id="5" name="Group 4">
            <a:extLst>
              <a:ext uri="{FF2B5EF4-FFF2-40B4-BE49-F238E27FC236}">
                <a16:creationId xmlns:a16="http://schemas.microsoft.com/office/drawing/2014/main" id="{00000000-0008-0000-0600-000005000000}"/>
              </a:ext>
            </a:extLst>
          </xdr:cNvPr>
          <xdr:cNvGrpSpPr/>
        </xdr:nvGrpSpPr>
        <xdr:grpSpPr>
          <a:xfrm>
            <a:off x="20186939" y="13158267"/>
            <a:ext cx="1256981" cy="658935"/>
            <a:chOff x="23294067" y="12496468"/>
            <a:chExt cx="1318533" cy="652577"/>
          </a:xfrm>
        </xdr:grpSpPr>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7" name="Rectangle 6">
              <a:extLst>
                <a:ext uri="{FF2B5EF4-FFF2-40B4-BE49-F238E27FC236}">
                  <a16:creationId xmlns:a16="http://schemas.microsoft.com/office/drawing/2014/main" id="{00000000-0008-0000-0600-000007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56108</xdr:colOff>
      <xdr:row>59</xdr:row>
      <xdr:rowOff>140569</xdr:rowOff>
    </xdr:from>
    <xdr:to>
      <xdr:col>21</xdr:col>
      <xdr:colOff>1542971</xdr:colOff>
      <xdr:row>76</xdr:row>
      <xdr:rowOff>151776</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9527</xdr:colOff>
      <xdr:row>34</xdr:row>
      <xdr:rowOff>161849</xdr:rowOff>
    </xdr:from>
    <xdr:to>
      <xdr:col>21</xdr:col>
      <xdr:colOff>703251</xdr:colOff>
      <xdr:row>52</xdr:row>
      <xdr:rowOff>11206</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505121</xdr:colOff>
      <xdr:row>14</xdr:row>
      <xdr:rowOff>89647</xdr:rowOff>
    </xdr:from>
    <xdr:to>
      <xdr:col>21</xdr:col>
      <xdr:colOff>1490525</xdr:colOff>
      <xdr:row>30</xdr:row>
      <xdr:rowOff>157523</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57968</xdr:colOff>
      <xdr:row>78</xdr:row>
      <xdr:rowOff>132292</xdr:rowOff>
    </xdr:from>
    <xdr:to>
      <xdr:col>21</xdr:col>
      <xdr:colOff>1562753</xdr:colOff>
      <xdr:row>95</xdr:row>
      <xdr:rowOff>143499</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77955</xdr:colOff>
      <xdr:row>97</xdr:row>
      <xdr:rowOff>173127</xdr:rowOff>
    </xdr:from>
    <xdr:to>
      <xdr:col>21</xdr:col>
      <xdr:colOff>1545768</xdr:colOff>
      <xdr:row>114</xdr:row>
      <xdr:rowOff>184333</xdr:rowOff>
    </xdr:to>
    <xdr:graphicFrame macro="">
      <xdr:nvGraphicFramePr>
        <xdr:cNvPr id="6" name="Chart 5">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488156</xdr:colOff>
      <xdr:row>65</xdr:row>
      <xdr:rowOff>47625</xdr:rowOff>
    </xdr:from>
    <xdr:to>
      <xdr:col>21</xdr:col>
      <xdr:colOff>1763146</xdr:colOff>
      <xdr:row>68</xdr:row>
      <xdr:rowOff>133659</xdr:rowOff>
    </xdr:to>
    <xdr:grpSp>
      <xdr:nvGrpSpPr>
        <xdr:cNvPr id="7" name="Group 6">
          <a:extLst>
            <a:ext uri="{FF2B5EF4-FFF2-40B4-BE49-F238E27FC236}">
              <a16:creationId xmlns:a16="http://schemas.microsoft.com/office/drawing/2014/main" id="{00000000-0008-0000-0800-000007000000}"/>
            </a:ext>
          </a:extLst>
        </xdr:cNvPr>
        <xdr:cNvGrpSpPr/>
      </xdr:nvGrpSpPr>
      <xdr:grpSpPr>
        <a:xfrm>
          <a:off x="22247489" y="15438815"/>
          <a:ext cx="1274990" cy="648463"/>
          <a:chOff x="23294067" y="12496468"/>
          <a:chExt cx="1318533" cy="652577"/>
        </a:xfrm>
      </xdr:grpSpPr>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9" name="Rectangle 8">
            <a:extLst>
              <a:ext uri="{FF2B5EF4-FFF2-40B4-BE49-F238E27FC236}">
                <a16:creationId xmlns:a16="http://schemas.microsoft.com/office/drawing/2014/main" id="{00000000-0008-0000-0800-000009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21</xdr:col>
      <xdr:colOff>509587</xdr:colOff>
      <xdr:row>84</xdr:row>
      <xdr:rowOff>140493</xdr:rowOff>
    </xdr:from>
    <xdr:to>
      <xdr:col>21</xdr:col>
      <xdr:colOff>1784577</xdr:colOff>
      <xdr:row>88</xdr:row>
      <xdr:rowOff>36027</xdr:rowOff>
    </xdr:to>
    <xdr:grpSp>
      <xdr:nvGrpSpPr>
        <xdr:cNvPr id="10" name="Group 9">
          <a:extLst>
            <a:ext uri="{FF2B5EF4-FFF2-40B4-BE49-F238E27FC236}">
              <a16:creationId xmlns:a16="http://schemas.microsoft.com/office/drawing/2014/main" id="{00000000-0008-0000-0800-00000A000000}"/>
            </a:ext>
          </a:extLst>
        </xdr:cNvPr>
        <xdr:cNvGrpSpPr/>
      </xdr:nvGrpSpPr>
      <xdr:grpSpPr>
        <a:xfrm>
          <a:off x="22268920" y="19093731"/>
          <a:ext cx="1274990" cy="645439"/>
          <a:chOff x="23294067" y="12496468"/>
          <a:chExt cx="1318533" cy="652577"/>
        </a:xfrm>
      </xdr:grpSpPr>
      <xdr:sp macro="" textlink="">
        <xdr:nvSpPr>
          <xdr:cNvPr id="11" name="TextBox 10">
            <a:extLst>
              <a:ext uri="{FF2B5EF4-FFF2-40B4-BE49-F238E27FC236}">
                <a16:creationId xmlns:a16="http://schemas.microsoft.com/office/drawing/2014/main" id="{00000000-0008-0000-0800-00000B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12" name="Rectangle 11">
            <a:extLst>
              <a:ext uri="{FF2B5EF4-FFF2-40B4-BE49-F238E27FC236}">
                <a16:creationId xmlns:a16="http://schemas.microsoft.com/office/drawing/2014/main" id="{00000000-0008-0000-0800-00000C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21</xdr:col>
      <xdr:colOff>482693</xdr:colOff>
      <xdr:row>103</xdr:row>
      <xdr:rowOff>150018</xdr:rowOff>
    </xdr:from>
    <xdr:to>
      <xdr:col>21</xdr:col>
      <xdr:colOff>1757683</xdr:colOff>
      <xdr:row>107</xdr:row>
      <xdr:rowOff>45552</xdr:rowOff>
    </xdr:to>
    <xdr:grpSp>
      <xdr:nvGrpSpPr>
        <xdr:cNvPr id="13" name="Group 12">
          <a:extLst>
            <a:ext uri="{FF2B5EF4-FFF2-40B4-BE49-F238E27FC236}">
              <a16:creationId xmlns:a16="http://schemas.microsoft.com/office/drawing/2014/main" id="{00000000-0008-0000-0800-00000D000000}"/>
            </a:ext>
          </a:extLst>
        </xdr:cNvPr>
        <xdr:cNvGrpSpPr/>
      </xdr:nvGrpSpPr>
      <xdr:grpSpPr>
        <a:xfrm>
          <a:off x="22242026" y="22665304"/>
          <a:ext cx="1274990" cy="645438"/>
          <a:chOff x="23294067" y="12496468"/>
          <a:chExt cx="1318533" cy="652577"/>
        </a:xfrm>
      </xdr:grpSpPr>
      <xdr:sp macro="" textlink="">
        <xdr:nvSpPr>
          <xdr:cNvPr id="14" name="TextBox 13">
            <a:extLst>
              <a:ext uri="{FF2B5EF4-FFF2-40B4-BE49-F238E27FC236}">
                <a16:creationId xmlns:a16="http://schemas.microsoft.com/office/drawing/2014/main" id="{00000000-0008-0000-0800-00000E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15" name="Rectangle 14">
            <a:extLst>
              <a:ext uri="{FF2B5EF4-FFF2-40B4-BE49-F238E27FC236}">
                <a16:creationId xmlns:a16="http://schemas.microsoft.com/office/drawing/2014/main" id="{00000000-0008-0000-0800-00000F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30596</xdr:colOff>
      <xdr:row>5</xdr:row>
      <xdr:rowOff>28176</xdr:rowOff>
    </xdr:from>
    <xdr:to>
      <xdr:col>36</xdr:col>
      <xdr:colOff>302399</xdr:colOff>
      <xdr:row>18</xdr:row>
      <xdr:rowOff>162967</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38101</xdr:colOff>
      <xdr:row>23</xdr:row>
      <xdr:rowOff>95756</xdr:rowOff>
    </xdr:from>
    <xdr:to>
      <xdr:col>34</xdr:col>
      <xdr:colOff>174173</xdr:colOff>
      <xdr:row>42</xdr:row>
      <xdr:rowOff>97972</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30429</xdr:colOff>
      <xdr:row>45</xdr:row>
      <xdr:rowOff>337508</xdr:rowOff>
    </xdr:from>
    <xdr:to>
      <xdr:col>38</xdr:col>
      <xdr:colOff>454091</xdr:colOff>
      <xdr:row>68</xdr:row>
      <xdr:rowOff>12312</xdr:rowOff>
    </xdr:to>
    <xdr:graphicFrame macro="">
      <xdr:nvGraphicFramePr>
        <xdr:cNvPr id="4" name="Chart 3">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83586</xdr:colOff>
      <xdr:row>54</xdr:row>
      <xdr:rowOff>125825</xdr:rowOff>
    </xdr:from>
    <xdr:to>
      <xdr:col>38</xdr:col>
      <xdr:colOff>589773</xdr:colOff>
      <xdr:row>57</xdr:row>
      <xdr:rowOff>45172</xdr:rowOff>
    </xdr:to>
    <xdr:grpSp>
      <xdr:nvGrpSpPr>
        <xdr:cNvPr id="5" name="Group 4">
          <a:extLst>
            <a:ext uri="{FF2B5EF4-FFF2-40B4-BE49-F238E27FC236}">
              <a16:creationId xmlns:a16="http://schemas.microsoft.com/office/drawing/2014/main" id="{00000000-0008-0000-0D00-000005000000}"/>
            </a:ext>
          </a:extLst>
        </xdr:cNvPr>
        <xdr:cNvGrpSpPr/>
      </xdr:nvGrpSpPr>
      <xdr:grpSpPr>
        <a:xfrm>
          <a:off x="22853939" y="13944279"/>
          <a:ext cx="1306607" cy="662137"/>
          <a:chOff x="23294067" y="12496468"/>
          <a:chExt cx="1318533" cy="652577"/>
        </a:xfrm>
      </xdr:grpSpPr>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7" name="Rectangle 6">
            <a:extLst>
              <a:ext uri="{FF2B5EF4-FFF2-40B4-BE49-F238E27FC236}">
                <a16:creationId xmlns:a16="http://schemas.microsoft.com/office/drawing/2014/main" id="{00000000-0008-0000-0D00-000007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34</xdr:col>
      <xdr:colOff>334736</xdr:colOff>
      <xdr:row>23</xdr:row>
      <xdr:rowOff>85725</xdr:rowOff>
    </xdr:from>
    <xdr:to>
      <xdr:col>40</xdr:col>
      <xdr:colOff>427265</xdr:colOff>
      <xdr:row>42</xdr:row>
      <xdr:rowOff>87941</xdr:rowOff>
    </xdr:to>
    <xdr:graphicFrame macro="">
      <xdr:nvGraphicFramePr>
        <xdr:cNvPr id="8" name="Chart 7">
          <a:extLst>
            <a:ext uri="{FF2B5EF4-FFF2-40B4-BE49-F238E27FC236}">
              <a16:creationId xmlns:a16="http://schemas.microsoft.com/office/drawing/2014/main" id="{00000000-0008-0000-0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26</xdr:col>
      <xdr:colOff>30596</xdr:colOff>
      <xdr:row>5</xdr:row>
      <xdr:rowOff>28176</xdr:rowOff>
    </xdr:from>
    <xdr:to>
      <xdr:col>35</xdr:col>
      <xdr:colOff>302399</xdr:colOff>
      <xdr:row>18</xdr:row>
      <xdr:rowOff>162967</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38101</xdr:colOff>
      <xdr:row>23</xdr:row>
      <xdr:rowOff>95756</xdr:rowOff>
    </xdr:from>
    <xdr:to>
      <xdr:col>33</xdr:col>
      <xdr:colOff>174173</xdr:colOff>
      <xdr:row>42</xdr:row>
      <xdr:rowOff>97972</xdr:rowOff>
    </xdr:to>
    <xdr:graphicFrame macro="">
      <xdr:nvGraphicFramePr>
        <xdr:cNvPr id="3" name="Chart 2">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30429</xdr:colOff>
      <xdr:row>45</xdr:row>
      <xdr:rowOff>337508</xdr:rowOff>
    </xdr:from>
    <xdr:to>
      <xdr:col>37</xdr:col>
      <xdr:colOff>454091</xdr:colOff>
      <xdr:row>68</xdr:row>
      <xdr:rowOff>12312</xdr:rowOff>
    </xdr:to>
    <xdr:graphicFrame macro="">
      <xdr:nvGraphicFramePr>
        <xdr:cNvPr id="4" name="Chart 3">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79504</xdr:colOff>
      <xdr:row>54</xdr:row>
      <xdr:rowOff>121743</xdr:rowOff>
    </xdr:from>
    <xdr:to>
      <xdr:col>37</xdr:col>
      <xdr:colOff>592494</xdr:colOff>
      <xdr:row>57</xdr:row>
      <xdr:rowOff>41090</xdr:rowOff>
    </xdr:to>
    <xdr:grpSp>
      <xdr:nvGrpSpPr>
        <xdr:cNvPr id="5" name="Group 4">
          <a:extLst>
            <a:ext uri="{FF2B5EF4-FFF2-40B4-BE49-F238E27FC236}">
              <a16:creationId xmlns:a16="http://schemas.microsoft.com/office/drawing/2014/main" id="{00000000-0008-0000-0E00-000005000000}"/>
            </a:ext>
          </a:extLst>
        </xdr:cNvPr>
        <xdr:cNvGrpSpPr/>
      </xdr:nvGrpSpPr>
      <xdr:grpSpPr>
        <a:xfrm>
          <a:off x="22844254" y="12919261"/>
          <a:ext cx="1315811" cy="660937"/>
          <a:chOff x="23294067" y="12496468"/>
          <a:chExt cx="1318533" cy="652577"/>
        </a:xfrm>
      </xdr:grpSpPr>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7" name="Rectangle 6">
            <a:extLst>
              <a:ext uri="{FF2B5EF4-FFF2-40B4-BE49-F238E27FC236}">
                <a16:creationId xmlns:a16="http://schemas.microsoft.com/office/drawing/2014/main" id="{00000000-0008-0000-0E00-000007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33</xdr:col>
      <xdr:colOff>334736</xdr:colOff>
      <xdr:row>23</xdr:row>
      <xdr:rowOff>85725</xdr:rowOff>
    </xdr:from>
    <xdr:to>
      <xdr:col>39</xdr:col>
      <xdr:colOff>427265</xdr:colOff>
      <xdr:row>42</xdr:row>
      <xdr:rowOff>87941</xdr:rowOff>
    </xdr:to>
    <xdr:graphicFrame macro="">
      <xdr:nvGraphicFramePr>
        <xdr:cNvPr id="8" name="Chart 7">
          <a:extLst>
            <a:ext uri="{FF2B5EF4-FFF2-40B4-BE49-F238E27FC236}">
              <a16:creationId xmlns:a16="http://schemas.microsoft.com/office/drawing/2014/main" id="{00000000-0008-0000-0E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27</xdr:col>
      <xdr:colOff>30596</xdr:colOff>
      <xdr:row>5</xdr:row>
      <xdr:rowOff>28176</xdr:rowOff>
    </xdr:from>
    <xdr:to>
      <xdr:col>36</xdr:col>
      <xdr:colOff>302399</xdr:colOff>
      <xdr:row>18</xdr:row>
      <xdr:rowOff>162967</xdr:rowOff>
    </xdr:to>
    <xdr:graphicFrame macro="">
      <xdr:nvGraphicFramePr>
        <xdr:cNvPr id="2" name="Chart 1">
          <a:extLst>
            <a:ext uri="{FF2B5EF4-FFF2-40B4-BE49-F238E27FC236}">
              <a16:creationId xmlns:a16="http://schemas.microsoft.com/office/drawing/2014/main" id="{F9F709EF-43FF-4968-AE07-EDB8D168CB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38101</xdr:colOff>
      <xdr:row>23</xdr:row>
      <xdr:rowOff>95756</xdr:rowOff>
    </xdr:from>
    <xdr:to>
      <xdr:col>34</xdr:col>
      <xdr:colOff>174173</xdr:colOff>
      <xdr:row>42</xdr:row>
      <xdr:rowOff>97972</xdr:rowOff>
    </xdr:to>
    <xdr:graphicFrame macro="">
      <xdr:nvGraphicFramePr>
        <xdr:cNvPr id="3" name="Chart 2">
          <a:extLst>
            <a:ext uri="{FF2B5EF4-FFF2-40B4-BE49-F238E27FC236}">
              <a16:creationId xmlns:a16="http://schemas.microsoft.com/office/drawing/2014/main" id="{B4A32FEA-733E-4680-B19F-94DBC27F2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30429</xdr:colOff>
      <xdr:row>45</xdr:row>
      <xdr:rowOff>337508</xdr:rowOff>
    </xdr:from>
    <xdr:to>
      <xdr:col>38</xdr:col>
      <xdr:colOff>454091</xdr:colOff>
      <xdr:row>68</xdr:row>
      <xdr:rowOff>12312</xdr:rowOff>
    </xdr:to>
    <xdr:graphicFrame macro="">
      <xdr:nvGraphicFramePr>
        <xdr:cNvPr id="4" name="Chart 3">
          <a:extLst>
            <a:ext uri="{FF2B5EF4-FFF2-40B4-BE49-F238E27FC236}">
              <a16:creationId xmlns:a16="http://schemas.microsoft.com/office/drawing/2014/main" id="{E8480FBE-0F61-43DB-BCCB-96366AB95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83586</xdr:colOff>
      <xdr:row>54</xdr:row>
      <xdr:rowOff>125825</xdr:rowOff>
    </xdr:from>
    <xdr:to>
      <xdr:col>38</xdr:col>
      <xdr:colOff>589773</xdr:colOff>
      <xdr:row>57</xdr:row>
      <xdr:rowOff>45172</xdr:rowOff>
    </xdr:to>
    <xdr:grpSp>
      <xdr:nvGrpSpPr>
        <xdr:cNvPr id="5" name="Group 4">
          <a:extLst>
            <a:ext uri="{FF2B5EF4-FFF2-40B4-BE49-F238E27FC236}">
              <a16:creationId xmlns:a16="http://schemas.microsoft.com/office/drawing/2014/main" id="{18C75011-4A2D-43B3-9826-ECEFC6D00E4E}"/>
            </a:ext>
          </a:extLst>
        </xdr:cNvPr>
        <xdr:cNvGrpSpPr/>
      </xdr:nvGrpSpPr>
      <xdr:grpSpPr>
        <a:xfrm>
          <a:off x="22853939" y="13944279"/>
          <a:ext cx="1306607" cy="662137"/>
          <a:chOff x="23294067" y="12496468"/>
          <a:chExt cx="1318533" cy="652577"/>
        </a:xfrm>
      </xdr:grpSpPr>
      <xdr:sp macro="" textlink="">
        <xdr:nvSpPr>
          <xdr:cNvPr id="6" name="TextBox 5">
            <a:extLst>
              <a:ext uri="{FF2B5EF4-FFF2-40B4-BE49-F238E27FC236}">
                <a16:creationId xmlns:a16="http://schemas.microsoft.com/office/drawing/2014/main" id="{2146B70F-D3E1-4662-8E39-C0B059CD01EE}"/>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7" name="Rectangle 6">
            <a:extLst>
              <a:ext uri="{FF2B5EF4-FFF2-40B4-BE49-F238E27FC236}">
                <a16:creationId xmlns:a16="http://schemas.microsoft.com/office/drawing/2014/main" id="{A7C18C73-9354-4070-9EEC-BC4A7340E58A}"/>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34</xdr:col>
      <xdr:colOff>334736</xdr:colOff>
      <xdr:row>23</xdr:row>
      <xdr:rowOff>85725</xdr:rowOff>
    </xdr:from>
    <xdr:to>
      <xdr:col>40</xdr:col>
      <xdr:colOff>427265</xdr:colOff>
      <xdr:row>42</xdr:row>
      <xdr:rowOff>87941</xdr:rowOff>
    </xdr:to>
    <xdr:graphicFrame macro="">
      <xdr:nvGraphicFramePr>
        <xdr:cNvPr id="8" name="Chart 7">
          <a:extLst>
            <a:ext uri="{FF2B5EF4-FFF2-40B4-BE49-F238E27FC236}">
              <a16:creationId xmlns:a16="http://schemas.microsoft.com/office/drawing/2014/main" id="{EF6B4981-ACC7-4E1F-BD6B-CC639EE0A2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27</xdr:col>
      <xdr:colOff>30596</xdr:colOff>
      <xdr:row>5</xdr:row>
      <xdr:rowOff>28176</xdr:rowOff>
    </xdr:from>
    <xdr:to>
      <xdr:col>36</xdr:col>
      <xdr:colOff>302399</xdr:colOff>
      <xdr:row>18</xdr:row>
      <xdr:rowOff>162967</xdr:rowOff>
    </xdr:to>
    <xdr:graphicFrame macro="">
      <xdr:nvGraphicFramePr>
        <xdr:cNvPr id="2" name="Chart 1">
          <a:extLst>
            <a:ext uri="{FF2B5EF4-FFF2-40B4-BE49-F238E27FC236}">
              <a16:creationId xmlns:a16="http://schemas.microsoft.com/office/drawing/2014/main" id="{C44018C7-9991-4CFF-9918-278D733D21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38101</xdr:colOff>
      <xdr:row>23</xdr:row>
      <xdr:rowOff>95756</xdr:rowOff>
    </xdr:from>
    <xdr:to>
      <xdr:col>34</xdr:col>
      <xdr:colOff>174173</xdr:colOff>
      <xdr:row>42</xdr:row>
      <xdr:rowOff>97972</xdr:rowOff>
    </xdr:to>
    <xdr:graphicFrame macro="">
      <xdr:nvGraphicFramePr>
        <xdr:cNvPr id="3" name="Chart 2">
          <a:extLst>
            <a:ext uri="{FF2B5EF4-FFF2-40B4-BE49-F238E27FC236}">
              <a16:creationId xmlns:a16="http://schemas.microsoft.com/office/drawing/2014/main" id="{BD584B29-6944-46FF-BE58-5CA084AEE9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30429</xdr:colOff>
      <xdr:row>45</xdr:row>
      <xdr:rowOff>337508</xdr:rowOff>
    </xdr:from>
    <xdr:to>
      <xdr:col>38</xdr:col>
      <xdr:colOff>454091</xdr:colOff>
      <xdr:row>68</xdr:row>
      <xdr:rowOff>12312</xdr:rowOff>
    </xdr:to>
    <xdr:graphicFrame macro="">
      <xdr:nvGraphicFramePr>
        <xdr:cNvPr id="4" name="Chart 3">
          <a:extLst>
            <a:ext uri="{FF2B5EF4-FFF2-40B4-BE49-F238E27FC236}">
              <a16:creationId xmlns:a16="http://schemas.microsoft.com/office/drawing/2014/main" id="{976B2A31-8E15-443E-9F1A-9E402009BE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83586</xdr:colOff>
      <xdr:row>54</xdr:row>
      <xdr:rowOff>125825</xdr:rowOff>
    </xdr:from>
    <xdr:to>
      <xdr:col>38</xdr:col>
      <xdr:colOff>589773</xdr:colOff>
      <xdr:row>57</xdr:row>
      <xdr:rowOff>45172</xdr:rowOff>
    </xdr:to>
    <xdr:grpSp>
      <xdr:nvGrpSpPr>
        <xdr:cNvPr id="5" name="Group 4">
          <a:extLst>
            <a:ext uri="{FF2B5EF4-FFF2-40B4-BE49-F238E27FC236}">
              <a16:creationId xmlns:a16="http://schemas.microsoft.com/office/drawing/2014/main" id="{FE1C7AAC-3189-4E30-A256-0B9481C226D4}"/>
            </a:ext>
          </a:extLst>
        </xdr:cNvPr>
        <xdr:cNvGrpSpPr/>
      </xdr:nvGrpSpPr>
      <xdr:grpSpPr>
        <a:xfrm>
          <a:off x="22853939" y="13944279"/>
          <a:ext cx="1306607" cy="662137"/>
          <a:chOff x="23294067" y="12496468"/>
          <a:chExt cx="1318533" cy="652577"/>
        </a:xfrm>
      </xdr:grpSpPr>
      <xdr:sp macro="" textlink="">
        <xdr:nvSpPr>
          <xdr:cNvPr id="6" name="TextBox 5">
            <a:extLst>
              <a:ext uri="{FF2B5EF4-FFF2-40B4-BE49-F238E27FC236}">
                <a16:creationId xmlns:a16="http://schemas.microsoft.com/office/drawing/2014/main" id="{F9DA56DD-608D-424E-9484-E88EB73BCC75}"/>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7" name="Rectangle 6">
            <a:extLst>
              <a:ext uri="{FF2B5EF4-FFF2-40B4-BE49-F238E27FC236}">
                <a16:creationId xmlns:a16="http://schemas.microsoft.com/office/drawing/2014/main" id="{4DAFD095-F991-4BE2-BD53-1B8FF6801487}"/>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34</xdr:col>
      <xdr:colOff>334736</xdr:colOff>
      <xdr:row>23</xdr:row>
      <xdr:rowOff>85725</xdr:rowOff>
    </xdr:from>
    <xdr:to>
      <xdr:col>40</xdr:col>
      <xdr:colOff>427265</xdr:colOff>
      <xdr:row>42</xdr:row>
      <xdr:rowOff>87941</xdr:rowOff>
    </xdr:to>
    <xdr:graphicFrame macro="">
      <xdr:nvGraphicFramePr>
        <xdr:cNvPr id="8" name="Chart 7">
          <a:extLst>
            <a:ext uri="{FF2B5EF4-FFF2-40B4-BE49-F238E27FC236}">
              <a16:creationId xmlns:a16="http://schemas.microsoft.com/office/drawing/2014/main" id="{CCE1F8CE-27B0-439F-AEEB-A348279139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Nquesada\Documents\Work\Guatemala\2012%252009%2520Sistema%2520de%2520informacion%2520II\Herramienta%2520Registro%2520Datos%2520Logisticos%2520DAS%2520V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montes.MSPAS/Downloads/Survey%20tips%20Traducid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ers\cmontes.MSPAS\Downloads\Survey%2520tips%2520Traducid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ers\Nquesada\Dropbox\2014%252012%2520Taller%2520MINFIN\Analisis%2520Resumen-Guate-24-Nov-20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ers\mrgarate\Downloads\Survey%2520tips%2520Traducid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pkra/Downloads/V2_DRC%20Validation(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structivo"/>
      <sheetName val="Macros y listas"/>
      <sheetName val="Datos generales DAS"/>
      <sheetName val="%Reportes"/>
      <sheetName val="Demanda"/>
      <sheetName val="Inventarios"/>
      <sheetName val="MED"/>
      <sheetName val="Bodega DAS"/>
      <sheetName val="Consolidado DA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s>
    <sheetDataSet>
      <sheetData sheetId="0"/>
      <sheetData sheetId="1"/>
      <sheetData sheetId="2">
        <row r="2">
          <cell r="B2">
            <v>2012</v>
          </cell>
          <cell r="C2" t="str">
            <v>ENERO</v>
          </cell>
        </row>
        <row r="3">
          <cell r="B3">
            <v>2013</v>
          </cell>
          <cell r="C3" t="str">
            <v>FEBRERO</v>
          </cell>
        </row>
        <row r="4">
          <cell r="B4">
            <v>2014</v>
          </cell>
          <cell r="C4" t="str">
            <v>MARZO</v>
          </cell>
        </row>
        <row r="5">
          <cell r="C5" t="str">
            <v>ABRIL</v>
          </cell>
        </row>
        <row r="6">
          <cell r="C6" t="str">
            <v>MAYO</v>
          </cell>
        </row>
        <row r="7">
          <cell r="C7" t="str">
            <v>JUNIO</v>
          </cell>
        </row>
        <row r="8">
          <cell r="C8" t="str">
            <v>JULIO</v>
          </cell>
        </row>
        <row r="9">
          <cell r="C9" t="str">
            <v>AGOSTO</v>
          </cell>
        </row>
        <row r="10">
          <cell r="C10" t="str">
            <v>SEPTIEMBRE</v>
          </cell>
        </row>
        <row r="11">
          <cell r="C11" t="str">
            <v>OCTUBRE</v>
          </cell>
        </row>
        <row r="12">
          <cell r="C12" t="str">
            <v>NOVIEMBRE</v>
          </cell>
        </row>
        <row r="13">
          <cell r="C13" t="str">
            <v>DICIEMBRE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rveyDatabaseCom"/>
      <sheetName val="SurveyDatabaseExp"/>
      <sheetName val="DropDown"/>
      <sheetName val="General1"/>
      <sheetName val="General 1 Español"/>
      <sheetName val="Procurement1"/>
      <sheetName val="Procurement 1 Español"/>
      <sheetName val="Storage1"/>
      <sheetName val="Storage 1 Español"/>
      <sheetName val="Storage2"/>
      <sheetName val="Storage2 Español"/>
      <sheetName val="Transport1"/>
      <sheetName val="Transport1 Español"/>
      <sheetName val="Transport2"/>
      <sheetName val="Transport2 Español"/>
      <sheetName val="Transport3"/>
      <sheetName val="Trasport3 Español"/>
      <sheetName val="Transport4"/>
      <sheetName val="Transport4 Español"/>
      <sheetName val="Management1"/>
      <sheetName val="Management1 Español"/>
      <sheetName val="Management2"/>
      <sheetName val="Managmente2 Español"/>
      <sheetName val="Commodity1"/>
      <sheetName val="Commodity1 Español"/>
      <sheetName val="Commodity2"/>
      <sheetName val="Comodity2 Español"/>
      <sheetName val="Commodity3"/>
      <sheetName val="Sheet1"/>
      <sheetName val="Sheet2"/>
      <sheetName val="Sheet3"/>
      <sheetName val="Comodity3 Español"/>
    </sheetNames>
    <sheetDataSet>
      <sheetData sheetId="0"/>
      <sheetData sheetId="1"/>
      <sheetData sheetId="2">
        <row r="3">
          <cell r="C3" t="str">
            <v>List for Tiers</v>
          </cell>
          <cell r="O3" t="str">
            <v>List Commodities</v>
          </cell>
        </row>
        <row r="5">
          <cell r="O5" t="str">
            <v>Abacavir 20mg/ml 240ml</v>
          </cell>
        </row>
        <row r="6">
          <cell r="O6" t="str">
            <v>Abacavir 300mg 60 Tabs</v>
          </cell>
        </row>
        <row r="7">
          <cell r="O7" t="str">
            <v>antibiotic 1</v>
          </cell>
        </row>
        <row r="8">
          <cell r="O8" t="str">
            <v>antibiotic 10</v>
          </cell>
        </row>
        <row r="9">
          <cell r="O9" t="str">
            <v>antibiotic 2</v>
          </cell>
        </row>
        <row r="10">
          <cell r="O10" t="str">
            <v>antibiotic 3</v>
          </cell>
        </row>
        <row r="11">
          <cell r="O11" t="str">
            <v>antibiotic 4</v>
          </cell>
        </row>
        <row r="12">
          <cell r="O12" t="str">
            <v>antibiotic 5</v>
          </cell>
        </row>
        <row r="13">
          <cell r="O13" t="str">
            <v>antibiotic 6</v>
          </cell>
        </row>
        <row r="14">
          <cell r="O14" t="str">
            <v>antibiotic 7</v>
          </cell>
        </row>
        <row r="15">
          <cell r="O15" t="str">
            <v>antibiotic 8</v>
          </cell>
        </row>
        <row r="16">
          <cell r="O16" t="str">
            <v>antibiotic 9</v>
          </cell>
        </row>
        <row r="17">
          <cell r="O17" t="str">
            <v>AZT</v>
          </cell>
        </row>
        <row r="18">
          <cell r="O18" t="str">
            <v>AZT/3TC/NVP 300/150/300mg</v>
          </cell>
        </row>
        <row r="19">
          <cell r="O19" t="str">
            <v>AZT/3TC/NVP 60/30/50mg</v>
          </cell>
        </row>
        <row r="20">
          <cell r="O20" t="str">
            <v>condom 1</v>
          </cell>
        </row>
        <row r="21">
          <cell r="O21" t="str">
            <v>condom 10</v>
          </cell>
        </row>
        <row r="22">
          <cell r="O22" t="str">
            <v>condom 2</v>
          </cell>
        </row>
        <row r="23">
          <cell r="O23" t="str">
            <v>condom 3</v>
          </cell>
        </row>
        <row r="24">
          <cell r="O24" t="str">
            <v>condom 4</v>
          </cell>
        </row>
        <row r="25">
          <cell r="O25" t="str">
            <v>condom 5</v>
          </cell>
        </row>
        <row r="26">
          <cell r="O26" t="str">
            <v>condom 6</v>
          </cell>
        </row>
        <row r="27">
          <cell r="O27" t="str">
            <v>condom 7</v>
          </cell>
        </row>
        <row r="28">
          <cell r="O28" t="str">
            <v>condom 8</v>
          </cell>
        </row>
        <row r="29">
          <cell r="O29" t="str">
            <v>condom 9</v>
          </cell>
        </row>
        <row r="30">
          <cell r="O30" t="str">
            <v>Co-trim 240mg/5ml or 120mg tab</v>
          </cell>
        </row>
        <row r="31">
          <cell r="O31" t="str">
            <v>Co-trim 480/960mg</v>
          </cell>
        </row>
        <row r="32">
          <cell r="O32" t="str">
            <v>Cyflow CD4 %  easy count Kit</v>
          </cell>
        </row>
        <row r="33">
          <cell r="O33" t="str">
            <v>Cyflow CD4 easy count kit</v>
          </cell>
        </row>
        <row r="34">
          <cell r="O34" t="str">
            <v>Cyflow Cleaning Solution</v>
          </cell>
        </row>
        <row r="35">
          <cell r="O35" t="str">
            <v>Cyflow Count Check Beads</v>
          </cell>
        </row>
        <row r="36">
          <cell r="O36" t="str">
            <v>Cyflow Decontaminating Solution</v>
          </cell>
        </row>
        <row r="37">
          <cell r="O37" t="str">
            <v>Cyflow Sample Tubes, 3.5ML</v>
          </cell>
        </row>
        <row r="38">
          <cell r="O38" t="str">
            <v>Cyflow Sheath Fluid</v>
          </cell>
        </row>
        <row r="39">
          <cell r="O39" t="str">
            <v>depo 1</v>
          </cell>
        </row>
        <row r="40">
          <cell r="O40" t="str">
            <v>depo 2</v>
          </cell>
        </row>
        <row r="41">
          <cell r="O41" t="str">
            <v>depo 3</v>
          </cell>
        </row>
        <row r="42">
          <cell r="O42" t="str">
            <v>depo 4</v>
          </cell>
        </row>
        <row r="43">
          <cell r="O43" t="str">
            <v>depo 5</v>
          </cell>
        </row>
        <row r="44">
          <cell r="O44" t="str">
            <v>Determine HIV1/2</v>
          </cell>
        </row>
        <row r="45">
          <cell r="O45" t="str">
            <v>Didanosine 100mg 60 Tabs</v>
          </cell>
        </row>
        <row r="46">
          <cell r="O46" t="str">
            <v>Didanosine 25mg Tabs</v>
          </cell>
        </row>
        <row r="47">
          <cell r="O47" t="str">
            <v>Didanosine 50mg 60 Tabs</v>
          </cell>
        </row>
        <row r="48">
          <cell r="O48" t="str">
            <v>Efavirenz 200mg 90 Caps</v>
          </cell>
        </row>
        <row r="49">
          <cell r="O49" t="str">
            <v>Efavirenz 50mg 30 Caps</v>
          </cell>
        </row>
        <row r="50">
          <cell r="O50" t="str">
            <v>Efavirenz 600mg 30 Tabs</v>
          </cell>
        </row>
        <row r="51">
          <cell r="O51" t="str">
            <v>EFV 600mg</v>
          </cell>
        </row>
        <row r="52">
          <cell r="O52" t="str">
            <v>Facs  CD4 Reagent Kit</v>
          </cell>
        </row>
        <row r="53">
          <cell r="O53" t="str">
            <v>Facs CD4 % Reagent</v>
          </cell>
        </row>
        <row r="54">
          <cell r="O54" t="str">
            <v>Facs Clean Solution</v>
          </cell>
        </row>
        <row r="55">
          <cell r="O55" t="str">
            <v>Facs Control</v>
          </cell>
        </row>
        <row r="56">
          <cell r="O56" t="str">
            <v>Facs Flow Sheath Fluid</v>
          </cell>
        </row>
        <row r="57">
          <cell r="O57" t="str">
            <v>Facs Rinse Solution</v>
          </cell>
        </row>
        <row r="58">
          <cell r="O58" t="str">
            <v>female condom 1</v>
          </cell>
        </row>
        <row r="59">
          <cell r="O59" t="str">
            <v>female condom 2</v>
          </cell>
        </row>
        <row r="60">
          <cell r="O60" t="str">
            <v>female condom 3</v>
          </cell>
        </row>
        <row r="61">
          <cell r="O61" t="str">
            <v>female condom 4</v>
          </cell>
        </row>
        <row r="62">
          <cell r="O62" t="str">
            <v>female condom 5</v>
          </cell>
        </row>
        <row r="63">
          <cell r="O63" t="str">
            <v>implant 1</v>
          </cell>
        </row>
        <row r="64">
          <cell r="O64" t="str">
            <v>implant 10</v>
          </cell>
        </row>
        <row r="65">
          <cell r="O65" t="str">
            <v>implant 2</v>
          </cell>
        </row>
        <row r="66">
          <cell r="O66" t="str">
            <v>implant 3</v>
          </cell>
        </row>
        <row r="67">
          <cell r="O67" t="str">
            <v>implant 4</v>
          </cell>
        </row>
        <row r="68">
          <cell r="O68" t="str">
            <v>implant 5</v>
          </cell>
        </row>
        <row r="69">
          <cell r="O69" t="str">
            <v>implant 6</v>
          </cell>
        </row>
        <row r="70">
          <cell r="O70" t="str">
            <v>implant 7</v>
          </cell>
        </row>
        <row r="71">
          <cell r="O71" t="str">
            <v>implant 8</v>
          </cell>
        </row>
        <row r="72">
          <cell r="O72" t="str">
            <v>implant 9</v>
          </cell>
        </row>
        <row r="73">
          <cell r="O73" t="str">
            <v>Indinavir 400mg Tabs</v>
          </cell>
        </row>
        <row r="74">
          <cell r="O74" t="str">
            <v>IUD 1</v>
          </cell>
        </row>
        <row r="75">
          <cell r="O75" t="str">
            <v>IUD 2</v>
          </cell>
        </row>
        <row r="76">
          <cell r="O76" t="str">
            <v>IUD 3</v>
          </cell>
        </row>
        <row r="77">
          <cell r="O77" t="str">
            <v>IUD 4</v>
          </cell>
        </row>
        <row r="78">
          <cell r="O78" t="str">
            <v>IUD 5</v>
          </cell>
        </row>
        <row r="79">
          <cell r="O79" t="str">
            <v>Lamivudine 10mg/ml 100ml</v>
          </cell>
        </row>
        <row r="80">
          <cell r="O80" t="str">
            <v>Lamivudine 10mg/ml 240ml</v>
          </cell>
        </row>
        <row r="81">
          <cell r="O81" t="str">
            <v>Lamivudine 150mg/ml 60 Tabs</v>
          </cell>
        </row>
        <row r="82">
          <cell r="O82" t="str">
            <v>Lamivudine/Stavudine 150/30mg 30 Tabs</v>
          </cell>
        </row>
        <row r="83">
          <cell r="O83" t="str">
            <v>Lamivudine/Stavudine 150/30mg 60 Tabs</v>
          </cell>
        </row>
        <row r="84">
          <cell r="O84" t="str">
            <v>Lamivudine/Stavudine 40/150mg 60 Tabs</v>
          </cell>
        </row>
        <row r="85">
          <cell r="O85" t="str">
            <v>Lamivudine/Stavudine/Nevirapine 150/30/200mg 60 Tabs</v>
          </cell>
        </row>
        <row r="86">
          <cell r="O86" t="str">
            <v>Lamivudine/Stavudine/Nevirapine 150/40/200mg 60 Tabs</v>
          </cell>
        </row>
        <row r="87">
          <cell r="O87" t="str">
            <v>Lamivudine/Stavudine/Nevirapine 30/6/5mg 60 Tabs</v>
          </cell>
        </row>
        <row r="88">
          <cell r="O88" t="str">
            <v>Lamivudine/Stavudine/Nevirapine 60/12/200mg 60 Tabs</v>
          </cell>
        </row>
        <row r="89">
          <cell r="O89" t="str">
            <v>Lamivudine/Zidovudine 150/300mg 60 Tabs</v>
          </cell>
        </row>
        <row r="90">
          <cell r="O90" t="str">
            <v>Lopinavir/Ritonavir 200/50mg 120 Tabs</v>
          </cell>
        </row>
        <row r="91">
          <cell r="O91" t="str">
            <v>Lopinavir/Ritonavir 80/20mg/ml 300ml</v>
          </cell>
        </row>
        <row r="92">
          <cell r="O92" t="str">
            <v>LPVr 200/50mg</v>
          </cell>
        </row>
        <row r="93">
          <cell r="O93" t="str">
            <v>mefloquine</v>
          </cell>
        </row>
        <row r="94">
          <cell r="O94" t="str">
            <v>Nevirapine 10mg/ml 100ml</v>
          </cell>
        </row>
        <row r="95">
          <cell r="O95" t="str">
            <v>Nevirapine 10mg/ml 240ml</v>
          </cell>
        </row>
        <row r="96">
          <cell r="O96" t="str">
            <v>Nevirapine 10mg/ml 25ml</v>
          </cell>
        </row>
        <row r="97">
          <cell r="O97" t="str">
            <v>Nevirapine 200mg 60 Tabs</v>
          </cell>
        </row>
        <row r="98">
          <cell r="O98" t="str">
            <v>NVP 10mg/ml</v>
          </cell>
        </row>
        <row r="99">
          <cell r="O99" t="str">
            <v xml:space="preserve">NVP 200mg </v>
          </cell>
        </row>
        <row r="100">
          <cell r="O100" t="str">
            <v>oral contraceptive 1</v>
          </cell>
        </row>
        <row r="101">
          <cell r="O101" t="str">
            <v>oral contraceptive 10</v>
          </cell>
        </row>
        <row r="102">
          <cell r="O102" t="str">
            <v>oral contraceptive 2</v>
          </cell>
        </row>
        <row r="103">
          <cell r="O103" t="str">
            <v>oral contraceptive 3</v>
          </cell>
        </row>
        <row r="104">
          <cell r="O104" t="str">
            <v>oral contraceptive 4</v>
          </cell>
        </row>
        <row r="105">
          <cell r="O105" t="str">
            <v>oral contraceptive 5</v>
          </cell>
        </row>
        <row r="106">
          <cell r="O106" t="str">
            <v>oral contraceptive 6</v>
          </cell>
        </row>
        <row r="107">
          <cell r="O107" t="str">
            <v>oral contraceptive 7</v>
          </cell>
        </row>
        <row r="108">
          <cell r="O108" t="str">
            <v>oral contraceptive 8</v>
          </cell>
        </row>
        <row r="109">
          <cell r="O109" t="str">
            <v>oral contraceptive 9</v>
          </cell>
        </row>
        <row r="110">
          <cell r="O110" t="str">
            <v>oxtyocin 1</v>
          </cell>
        </row>
        <row r="111">
          <cell r="O111" t="str">
            <v>oxtyocin 10</v>
          </cell>
        </row>
        <row r="112">
          <cell r="O112" t="str">
            <v>oxtyocin 2</v>
          </cell>
        </row>
        <row r="113">
          <cell r="O113" t="str">
            <v>oxtyocin 3</v>
          </cell>
        </row>
        <row r="114">
          <cell r="O114" t="str">
            <v>oxtyocin 4</v>
          </cell>
        </row>
        <row r="115">
          <cell r="O115" t="str">
            <v>oxtyocin 5</v>
          </cell>
        </row>
        <row r="116">
          <cell r="O116" t="str">
            <v>oxtyocin 6</v>
          </cell>
        </row>
        <row r="117">
          <cell r="O117" t="str">
            <v>oxtyocin 7</v>
          </cell>
        </row>
        <row r="118">
          <cell r="O118" t="str">
            <v>oxtyocin 8</v>
          </cell>
        </row>
        <row r="119">
          <cell r="O119" t="str">
            <v>oxtyocin 9</v>
          </cell>
        </row>
        <row r="120">
          <cell r="O120" t="str">
            <v>PARTEC CYFLOW</v>
          </cell>
        </row>
        <row r="121">
          <cell r="O121" t="str">
            <v>SP 1</v>
          </cell>
        </row>
        <row r="122">
          <cell r="O122" t="str">
            <v>SP 10</v>
          </cell>
        </row>
        <row r="123">
          <cell r="O123" t="str">
            <v>SP 2</v>
          </cell>
        </row>
        <row r="124">
          <cell r="O124" t="str">
            <v>SP 3</v>
          </cell>
        </row>
        <row r="125">
          <cell r="O125" t="str">
            <v>SP 4</v>
          </cell>
        </row>
        <row r="126">
          <cell r="O126" t="str">
            <v>SP 5</v>
          </cell>
        </row>
        <row r="127">
          <cell r="O127" t="str">
            <v>SP 6</v>
          </cell>
        </row>
        <row r="128">
          <cell r="O128" t="str">
            <v>SP 7</v>
          </cell>
        </row>
        <row r="129">
          <cell r="O129" t="str">
            <v>SP 8</v>
          </cell>
        </row>
        <row r="130">
          <cell r="O130" t="str">
            <v>SP 9</v>
          </cell>
        </row>
        <row r="131">
          <cell r="O131" t="str">
            <v>Stat-Pak HIV1/2</v>
          </cell>
        </row>
        <row r="132">
          <cell r="O132" t="str">
            <v>Stavudine 15mg 60 Caps</v>
          </cell>
        </row>
        <row r="133">
          <cell r="O133" t="str">
            <v>Stavudine 1mg/ml 200ml</v>
          </cell>
        </row>
        <row r="134">
          <cell r="O134" t="str">
            <v>Stavudine 20mg 60 Caps</v>
          </cell>
        </row>
        <row r="135">
          <cell r="O135" t="str">
            <v>Stavudine 30mg Caps</v>
          </cell>
        </row>
        <row r="136">
          <cell r="O136" t="str">
            <v>Stavudine 40mg Caps</v>
          </cell>
        </row>
        <row r="137">
          <cell r="O137" t="str">
            <v>TB med 1</v>
          </cell>
        </row>
        <row r="138">
          <cell r="O138" t="str">
            <v>TB med 2</v>
          </cell>
        </row>
        <row r="139">
          <cell r="O139" t="str">
            <v>TB med 3</v>
          </cell>
        </row>
        <row r="140">
          <cell r="O140" t="str">
            <v>TB med 4</v>
          </cell>
        </row>
        <row r="141">
          <cell r="O141" t="str">
            <v>TB med 5</v>
          </cell>
        </row>
        <row r="142">
          <cell r="O142" t="str">
            <v>TB med 6</v>
          </cell>
        </row>
        <row r="143">
          <cell r="O143" t="str">
            <v>TB med 7</v>
          </cell>
        </row>
        <row r="144">
          <cell r="O144" t="str">
            <v>TB med 8</v>
          </cell>
        </row>
        <row r="145">
          <cell r="O145" t="str">
            <v>TDF/FTC 300/200 or TDF / 3TC  300/300</v>
          </cell>
        </row>
        <row r="146">
          <cell r="O146" t="str">
            <v>Tenofovir 300mg Tabs</v>
          </cell>
        </row>
        <row r="147">
          <cell r="O147" t="str">
            <v>Tenofovir/Emtricitabine 300/200mg 30 Tabs</v>
          </cell>
        </row>
        <row r="148">
          <cell r="O148" t="str">
            <v>Thermal Paper</v>
          </cell>
        </row>
        <row r="149">
          <cell r="O149" t="str">
            <v>Thermal Paper</v>
          </cell>
        </row>
        <row r="150">
          <cell r="O150" t="str">
            <v>Uni-Gold / Double Check Gold HIV1/2</v>
          </cell>
        </row>
        <row r="151">
          <cell r="O151" t="str">
            <v>Zidovudine 100mg 100 Caps</v>
          </cell>
        </row>
        <row r="152">
          <cell r="O152" t="str">
            <v>Zidovudine 10mg/ml 100 ml</v>
          </cell>
        </row>
        <row r="153">
          <cell r="O153" t="str">
            <v>Zidovudine 10mg/ml 240 ml</v>
          </cell>
        </row>
        <row r="154">
          <cell r="O154" t="str">
            <v>Zidovudine 300mg 60 Tabs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rveyDatabaseCom"/>
      <sheetName val="SurveyDatabaseExp"/>
      <sheetName val="DropDown"/>
      <sheetName val="General1"/>
      <sheetName val="General 1 Español"/>
      <sheetName val="Procurement1"/>
      <sheetName val="Procurement 1 Español"/>
      <sheetName val="Storage1"/>
      <sheetName val="Storage 1 Español"/>
      <sheetName val="Storage2"/>
      <sheetName val="Storage2 Español"/>
      <sheetName val="Transport1"/>
      <sheetName val="Transport1 Español"/>
      <sheetName val="Transport2"/>
      <sheetName val="Transport2 Español"/>
      <sheetName val="Transport3"/>
      <sheetName val="Trasport3 Español"/>
      <sheetName val="Transport4"/>
      <sheetName val="Transport4 Español"/>
      <sheetName val="Management1"/>
      <sheetName val="Management1 Español"/>
      <sheetName val="Management2"/>
      <sheetName val="Managmente2 Español"/>
      <sheetName val="Commodity1"/>
      <sheetName val="Commodity1 Español"/>
      <sheetName val="Commodity2"/>
      <sheetName val="Comodity2 Español"/>
      <sheetName val="Commodity3"/>
      <sheetName val="Sheet1"/>
      <sheetName val="Sheet2"/>
      <sheetName val="Sheet3"/>
      <sheetName val="Comodity3 Español"/>
    </sheetNames>
    <sheetDataSet>
      <sheetData sheetId="0"/>
      <sheetData sheetId="1"/>
      <sheetData sheetId="2">
        <row r="3">
          <cell r="C3" t="str">
            <v>List for Tiers</v>
          </cell>
          <cell r="I3" t="str">
            <v>Facility Census</v>
          </cell>
          <cell r="O3" t="str">
            <v>List Commodities</v>
          </cell>
        </row>
        <row r="4">
          <cell r="T4" t="str">
            <v>honda</v>
          </cell>
        </row>
        <row r="5">
          <cell r="C5" t="str">
            <v>Tier 1</v>
          </cell>
          <cell r="I5" t="str">
            <v>CMS</v>
          </cell>
          <cell r="O5" t="str">
            <v>Abacavir 20mg/ml 240ml</v>
          </cell>
          <cell r="T5" t="str">
            <v>toyota</v>
          </cell>
        </row>
        <row r="6">
          <cell r="C6" t="str">
            <v>Tier 2</v>
          </cell>
          <cell r="I6" t="str">
            <v>development partner 1</v>
          </cell>
          <cell r="O6" t="str">
            <v>Abacavir 300mg 60 Tabs</v>
          </cell>
          <cell r="T6">
            <v>0</v>
          </cell>
        </row>
        <row r="7">
          <cell r="C7" t="str">
            <v>Tier 3</v>
          </cell>
          <cell r="I7" t="str">
            <v>development partner 2</v>
          </cell>
          <cell r="O7" t="str">
            <v>antibiotic 1</v>
          </cell>
          <cell r="T7">
            <v>0</v>
          </cell>
        </row>
        <row r="8">
          <cell r="C8" t="str">
            <v>Tier 4</v>
          </cell>
          <cell r="I8" t="str">
            <v>development partner 3</v>
          </cell>
          <cell r="O8" t="str">
            <v>antibiotic 10</v>
          </cell>
          <cell r="T8">
            <v>0</v>
          </cell>
        </row>
        <row r="9">
          <cell r="I9" t="str">
            <v>government 1</v>
          </cell>
          <cell r="O9" t="str">
            <v>antibiotic 2</v>
          </cell>
          <cell r="T9">
            <v>0</v>
          </cell>
        </row>
        <row r="10">
          <cell r="I10" t="str">
            <v>government 2</v>
          </cell>
          <cell r="O10" t="str">
            <v>antibiotic 3</v>
          </cell>
          <cell r="T10">
            <v>0</v>
          </cell>
        </row>
        <row r="11">
          <cell r="I11" t="str">
            <v>government 3</v>
          </cell>
          <cell r="O11" t="str">
            <v>antibiotic 4</v>
          </cell>
          <cell r="T11">
            <v>0</v>
          </cell>
        </row>
        <row r="12">
          <cell r="I12" t="str">
            <v>government 4</v>
          </cell>
          <cell r="O12" t="str">
            <v>antibiotic 5</v>
          </cell>
          <cell r="T12">
            <v>0</v>
          </cell>
        </row>
        <row r="13">
          <cell r="I13" t="str">
            <v>government 5</v>
          </cell>
          <cell r="O13" t="str">
            <v>antibiotic 6</v>
          </cell>
          <cell r="T13">
            <v>0</v>
          </cell>
        </row>
        <row r="14">
          <cell r="I14" t="str">
            <v>Health facility 1</v>
          </cell>
          <cell r="O14" t="str">
            <v>antibiotic 7</v>
          </cell>
          <cell r="T14">
            <v>0</v>
          </cell>
        </row>
        <row r="15">
          <cell r="I15" t="str">
            <v>Health facility 10</v>
          </cell>
          <cell r="O15" t="str">
            <v>antibiotic 8</v>
          </cell>
          <cell r="T15">
            <v>0</v>
          </cell>
        </row>
        <row r="16">
          <cell r="I16" t="str">
            <v>Health facility 11</v>
          </cell>
          <cell r="O16" t="str">
            <v>antibiotic 9</v>
          </cell>
          <cell r="T16">
            <v>0</v>
          </cell>
        </row>
        <row r="17">
          <cell r="C17" t="str">
            <v>Additional Categories</v>
          </cell>
          <cell r="I17" t="str">
            <v>Health facility 12</v>
          </cell>
          <cell r="O17" t="str">
            <v>AZT</v>
          </cell>
          <cell r="T17">
            <v>0</v>
          </cell>
        </row>
        <row r="18">
          <cell r="C18" t="str">
            <v>Custom Cat1</v>
          </cell>
          <cell r="I18" t="str">
            <v>Health facility 13</v>
          </cell>
          <cell r="O18" t="str">
            <v>AZT/3TC/NVP 300/150/300mg</v>
          </cell>
          <cell r="T18">
            <v>0</v>
          </cell>
        </row>
        <row r="19">
          <cell r="C19" t="str">
            <v>Custom Cat1</v>
          </cell>
          <cell r="I19" t="str">
            <v>Health facility 14</v>
          </cell>
          <cell r="O19" t="str">
            <v>AZT/3TC/NVP 60/30/50mg</v>
          </cell>
          <cell r="T19">
            <v>0</v>
          </cell>
        </row>
        <row r="20">
          <cell r="C20" t="str">
            <v>Custom Cat1</v>
          </cell>
          <cell r="I20" t="str">
            <v>Health facility 15</v>
          </cell>
          <cell r="O20" t="str">
            <v>condom 1</v>
          </cell>
          <cell r="T20">
            <v>0</v>
          </cell>
        </row>
        <row r="21">
          <cell r="C21" t="str">
            <v>Custom Cat1</v>
          </cell>
          <cell r="I21" t="str">
            <v>Health facility 16</v>
          </cell>
          <cell r="O21" t="str">
            <v>condom 10</v>
          </cell>
          <cell r="T21">
            <v>0</v>
          </cell>
        </row>
        <row r="22">
          <cell r="C22" t="str">
            <v>Custom Cat1</v>
          </cell>
          <cell r="I22" t="str">
            <v>Health facility 17</v>
          </cell>
          <cell r="O22" t="str">
            <v>condom 2</v>
          </cell>
          <cell r="T22">
            <v>0</v>
          </cell>
        </row>
        <row r="23">
          <cell r="C23" t="str">
            <v>ownership</v>
          </cell>
          <cell r="D23" t="str">
            <v>public</v>
          </cell>
          <cell r="I23" t="str">
            <v>Health facility 18</v>
          </cell>
          <cell r="O23" t="str">
            <v>condom 3</v>
          </cell>
          <cell r="T23">
            <v>0</v>
          </cell>
        </row>
        <row r="24">
          <cell r="C24" t="str">
            <v>ownership</v>
          </cell>
          <cell r="D24" t="str">
            <v>private</v>
          </cell>
          <cell r="I24" t="str">
            <v>Health facility 19</v>
          </cell>
          <cell r="O24" t="str">
            <v>condom 4</v>
          </cell>
          <cell r="T24">
            <v>0</v>
          </cell>
        </row>
        <row r="25">
          <cell r="C25" t="str">
            <v>ownership</v>
          </cell>
          <cell r="I25" t="str">
            <v>Health facility 2</v>
          </cell>
          <cell r="O25" t="str">
            <v>condom 5</v>
          </cell>
          <cell r="T25">
            <v>0</v>
          </cell>
        </row>
        <row r="26">
          <cell r="C26" t="str">
            <v>ownership</v>
          </cell>
          <cell r="I26" t="str">
            <v>Health facility 20</v>
          </cell>
          <cell r="O26" t="str">
            <v>condom 6</v>
          </cell>
          <cell r="T26">
            <v>0</v>
          </cell>
        </row>
        <row r="27">
          <cell r="C27" t="str">
            <v>ownership</v>
          </cell>
          <cell r="I27" t="str">
            <v>Health facility 3</v>
          </cell>
          <cell r="O27" t="str">
            <v>condom 7</v>
          </cell>
          <cell r="T27">
            <v>0</v>
          </cell>
        </row>
        <row r="28">
          <cell r="C28" t="str">
            <v xml:space="preserve">access </v>
          </cell>
          <cell r="D28" t="str">
            <v>bad</v>
          </cell>
          <cell r="I28" t="str">
            <v>Health facility 4</v>
          </cell>
          <cell r="O28" t="str">
            <v>condom 8</v>
          </cell>
          <cell r="T28">
            <v>0</v>
          </cell>
        </row>
        <row r="29">
          <cell r="C29" t="str">
            <v xml:space="preserve">access </v>
          </cell>
          <cell r="D29" t="str">
            <v>ok</v>
          </cell>
          <cell r="I29" t="str">
            <v>Health facility 5</v>
          </cell>
          <cell r="O29" t="str">
            <v>condom 9</v>
          </cell>
          <cell r="T29">
            <v>0</v>
          </cell>
        </row>
        <row r="30">
          <cell r="C30" t="str">
            <v xml:space="preserve">access </v>
          </cell>
          <cell r="D30" t="str">
            <v>good</v>
          </cell>
          <cell r="I30" t="str">
            <v>Health facility 6</v>
          </cell>
          <cell r="O30" t="str">
            <v>Co-trim 240mg/5ml or 120mg tab</v>
          </cell>
          <cell r="T30">
            <v>0</v>
          </cell>
        </row>
        <row r="31">
          <cell r="C31" t="str">
            <v xml:space="preserve">access </v>
          </cell>
          <cell r="I31" t="str">
            <v>Health facility 7</v>
          </cell>
          <cell r="O31" t="str">
            <v>Co-trim 480/960mg</v>
          </cell>
          <cell r="T31">
            <v>0</v>
          </cell>
        </row>
        <row r="32">
          <cell r="C32" t="str">
            <v xml:space="preserve">access </v>
          </cell>
          <cell r="I32" t="str">
            <v>Health facility 8</v>
          </cell>
          <cell r="O32" t="str">
            <v>Cyflow CD4 %  easy count Kit</v>
          </cell>
          <cell r="T32">
            <v>0</v>
          </cell>
        </row>
        <row r="33">
          <cell r="C33" t="str">
            <v>regions</v>
          </cell>
          <cell r="D33" t="str">
            <v>North</v>
          </cell>
          <cell r="I33" t="str">
            <v>Health facility 9</v>
          </cell>
          <cell r="O33" t="str">
            <v>Cyflow CD4 easy count kit</v>
          </cell>
          <cell r="T33">
            <v>0</v>
          </cell>
        </row>
        <row r="34">
          <cell r="C34" t="str">
            <v>regions</v>
          </cell>
          <cell r="D34" t="str">
            <v>South</v>
          </cell>
          <cell r="I34" t="str">
            <v>procurer 1</v>
          </cell>
          <cell r="O34" t="str">
            <v>Cyflow Cleaning Solution</v>
          </cell>
        </row>
        <row r="35">
          <cell r="C35" t="str">
            <v>regions</v>
          </cell>
          <cell r="D35" t="str">
            <v>East</v>
          </cell>
          <cell r="I35" t="str">
            <v>procurer 2</v>
          </cell>
          <cell r="O35" t="str">
            <v>Cyflow Count Check Beads</v>
          </cell>
        </row>
        <row r="36">
          <cell r="C36" t="str">
            <v>regions</v>
          </cell>
          <cell r="D36" t="str">
            <v>West</v>
          </cell>
          <cell r="I36" t="str">
            <v>procurer 3</v>
          </cell>
          <cell r="O36" t="str">
            <v>Cyflow Decontaminating Solution</v>
          </cell>
        </row>
        <row r="37">
          <cell r="C37" t="str">
            <v>regions</v>
          </cell>
          <cell r="I37" t="str">
            <v>procurer 4</v>
          </cell>
          <cell r="O37" t="str">
            <v>Cyflow Sample Tubes, 3.5ML</v>
          </cell>
        </row>
        <row r="38">
          <cell r="C38" t="str">
            <v>urban rural</v>
          </cell>
          <cell r="D38" t="str">
            <v>urban</v>
          </cell>
          <cell r="I38" t="str">
            <v>procurer 5</v>
          </cell>
          <cell r="O38" t="str">
            <v>Cyflow Sheath Fluid</v>
          </cell>
        </row>
        <row r="39">
          <cell r="C39" t="str">
            <v>urban rural</v>
          </cell>
          <cell r="D39" t="str">
            <v>rural</v>
          </cell>
          <cell r="I39" t="str">
            <v>provincial medical office 1</v>
          </cell>
          <cell r="O39" t="str">
            <v>depo 1</v>
          </cell>
        </row>
        <row r="40">
          <cell r="C40" t="str">
            <v>urban rural</v>
          </cell>
          <cell r="I40" t="str">
            <v>provincial medical office 2</v>
          </cell>
          <cell r="O40" t="str">
            <v>depo 2</v>
          </cell>
        </row>
        <row r="41">
          <cell r="C41" t="str">
            <v>urban rural</v>
          </cell>
          <cell r="I41" t="str">
            <v>provincial medical office 3</v>
          </cell>
          <cell r="O41" t="str">
            <v>depo 3</v>
          </cell>
        </row>
        <row r="42">
          <cell r="C42" t="str">
            <v>urban rural</v>
          </cell>
          <cell r="I42" t="str">
            <v>provincial medical office 4</v>
          </cell>
          <cell r="O42" t="str">
            <v>depo 4</v>
          </cell>
        </row>
        <row r="43">
          <cell r="I43" t="str">
            <v>provincial medical office 5</v>
          </cell>
          <cell r="O43" t="str">
            <v>depo 5</v>
          </cell>
        </row>
        <row r="44">
          <cell r="I44" t="str">
            <v>provincial medical office 6</v>
          </cell>
          <cell r="O44" t="str">
            <v>Determine HIV1/2</v>
          </cell>
        </row>
        <row r="45">
          <cell r="I45" t="str">
            <v>Warehouse 1</v>
          </cell>
          <cell r="O45" t="str">
            <v>Didanosine 100mg 60 Tabs</v>
          </cell>
        </row>
        <row r="46">
          <cell r="I46" t="str">
            <v>Warehouse 10</v>
          </cell>
          <cell r="O46" t="str">
            <v>Didanosine 25mg Tabs</v>
          </cell>
        </row>
        <row r="47">
          <cell r="C47" t="str">
            <v>Currency</v>
          </cell>
          <cell r="I47" t="str">
            <v>Warehouse 2</v>
          </cell>
          <cell r="O47" t="str">
            <v>Didanosine 50mg 60 Tabs</v>
          </cell>
        </row>
        <row r="48">
          <cell r="C48" t="str">
            <v>dinar</v>
          </cell>
          <cell r="I48" t="str">
            <v>Warehouse 3</v>
          </cell>
          <cell r="O48" t="str">
            <v>Efavirenz 200mg 90 Caps</v>
          </cell>
        </row>
        <row r="49">
          <cell r="C49" t="str">
            <v>USD</v>
          </cell>
          <cell r="I49" t="str">
            <v>Warehouse 4</v>
          </cell>
          <cell r="O49" t="str">
            <v>Efavirenz 50mg 30 Caps</v>
          </cell>
        </row>
        <row r="50">
          <cell r="I50" t="str">
            <v>Warehouse 5</v>
          </cell>
          <cell r="O50" t="str">
            <v>Efavirenz 600mg 30 Tabs</v>
          </cell>
        </row>
        <row r="51">
          <cell r="I51" t="str">
            <v>Warehouse 6</v>
          </cell>
          <cell r="O51" t="str">
            <v>EFV 600mg</v>
          </cell>
        </row>
        <row r="52">
          <cell r="I52" t="str">
            <v>Warehouse 7</v>
          </cell>
          <cell r="O52" t="str">
            <v>Facs  CD4 Reagent Kit</v>
          </cell>
        </row>
        <row r="53">
          <cell r="I53" t="str">
            <v>Warehouse 8</v>
          </cell>
          <cell r="O53" t="str">
            <v>Facs CD4 % Reagent</v>
          </cell>
        </row>
        <row r="54">
          <cell r="I54" t="str">
            <v>Warehouse 9</v>
          </cell>
          <cell r="O54" t="str">
            <v>Facs Clean Solution</v>
          </cell>
        </row>
        <row r="55">
          <cell r="O55" t="str">
            <v>Facs Control</v>
          </cell>
        </row>
        <row r="56">
          <cell r="O56" t="str">
            <v>Facs Flow Sheath Fluid</v>
          </cell>
        </row>
        <row r="57">
          <cell r="O57" t="str">
            <v>Facs Rinse Solution</v>
          </cell>
        </row>
        <row r="58">
          <cell r="O58" t="str">
            <v>female condom 1</v>
          </cell>
        </row>
        <row r="59">
          <cell r="O59" t="str">
            <v>female condom 2</v>
          </cell>
        </row>
        <row r="60">
          <cell r="C60">
            <v>40</v>
          </cell>
          <cell r="O60" t="str">
            <v>female condom 3</v>
          </cell>
        </row>
        <row r="61">
          <cell r="O61" t="str">
            <v>female condom 4</v>
          </cell>
        </row>
        <row r="62">
          <cell r="O62" t="str">
            <v>female condom 5</v>
          </cell>
        </row>
        <row r="63">
          <cell r="O63" t="str">
            <v>implant 1</v>
          </cell>
        </row>
        <row r="64">
          <cell r="O64" t="str">
            <v>implant 10</v>
          </cell>
        </row>
        <row r="65">
          <cell r="O65" t="str">
            <v>implant 2</v>
          </cell>
        </row>
        <row r="66">
          <cell r="O66" t="str">
            <v>implant 3</v>
          </cell>
        </row>
        <row r="67">
          <cell r="O67" t="str">
            <v>implant 4</v>
          </cell>
        </row>
        <row r="68">
          <cell r="O68" t="str">
            <v>implant 5</v>
          </cell>
        </row>
        <row r="69">
          <cell r="O69" t="str">
            <v>implant 6</v>
          </cell>
        </row>
        <row r="70">
          <cell r="C70" t="str">
            <v>Facility Types</v>
          </cell>
          <cell r="O70" t="str">
            <v>implant 7</v>
          </cell>
        </row>
        <row r="71">
          <cell r="C71" t="str">
            <v>SDP</v>
          </cell>
          <cell r="O71" t="str">
            <v>implant 8</v>
          </cell>
        </row>
        <row r="72">
          <cell r="C72" t="str">
            <v>donor</v>
          </cell>
          <cell r="O72" t="str">
            <v>implant 9</v>
          </cell>
        </row>
        <row r="73">
          <cell r="C73" t="str">
            <v>hospital</v>
          </cell>
          <cell r="O73" t="str">
            <v>Indinavir 400mg Tabs</v>
          </cell>
        </row>
        <row r="74">
          <cell r="C74" t="str">
            <v>MOH</v>
          </cell>
          <cell r="O74" t="str">
            <v>IUD 1</v>
          </cell>
        </row>
        <row r="75">
          <cell r="C75" t="str">
            <v>other government</v>
          </cell>
          <cell r="O75" t="str">
            <v>IUD 2</v>
          </cell>
        </row>
        <row r="76">
          <cell r="C76" t="str">
            <v>procurement entity</v>
          </cell>
          <cell r="O76" t="str">
            <v>IUD 3</v>
          </cell>
        </row>
        <row r="77">
          <cell r="C77" t="str">
            <v>regional warehouse</v>
          </cell>
          <cell r="O77" t="str">
            <v>IUD 4</v>
          </cell>
        </row>
        <row r="78">
          <cell r="C78" t="str">
            <v>warehouse</v>
          </cell>
          <cell r="O78" t="str">
            <v>IUD 5</v>
          </cell>
        </row>
        <row r="79">
          <cell r="O79" t="str">
            <v>Lamivudine 10mg/ml 100ml</v>
          </cell>
        </row>
        <row r="80">
          <cell r="O80" t="str">
            <v>Lamivudine 10mg/ml 240ml</v>
          </cell>
        </row>
        <row r="81">
          <cell r="O81" t="str">
            <v>Lamivudine 150mg/ml 60 Tabs</v>
          </cell>
        </row>
        <row r="82">
          <cell r="O82" t="str">
            <v>Lamivudine/Stavudine 150/30mg 30 Tabs</v>
          </cell>
        </row>
        <row r="83">
          <cell r="O83" t="str">
            <v>Lamivudine/Stavudine 150/30mg 60 Tabs</v>
          </cell>
        </row>
        <row r="84">
          <cell r="O84" t="str">
            <v>Lamivudine/Stavudine 40/150mg 60 Tabs</v>
          </cell>
        </row>
        <row r="85">
          <cell r="O85" t="str">
            <v>Lamivudine/Stavudine/Nevirapine 150/30/200mg 60 Tabs</v>
          </cell>
        </row>
        <row r="86">
          <cell r="O86" t="str">
            <v>Lamivudine/Stavudine/Nevirapine 150/40/200mg 60 Tabs</v>
          </cell>
        </row>
        <row r="87">
          <cell r="O87" t="str">
            <v>Lamivudine/Stavudine/Nevirapine 30/6/5mg 60 Tabs</v>
          </cell>
        </row>
        <row r="88">
          <cell r="O88" t="str">
            <v>Lamivudine/Stavudine/Nevirapine 60/12/200mg 60 Tabs</v>
          </cell>
        </row>
        <row r="89">
          <cell r="O89" t="str">
            <v>Lamivudine/Zidovudine 150/300mg 60 Tabs</v>
          </cell>
        </row>
        <row r="90">
          <cell r="O90" t="str">
            <v>Lopinavir/Ritonavir 200/50mg 120 Tabs</v>
          </cell>
        </row>
        <row r="91">
          <cell r="O91" t="str">
            <v>Lopinavir/Ritonavir 80/20mg/ml 300ml</v>
          </cell>
        </row>
        <row r="92">
          <cell r="O92" t="str">
            <v>LPVr 200/50mg</v>
          </cell>
        </row>
        <row r="93">
          <cell r="O93" t="str">
            <v>mefloquine</v>
          </cell>
        </row>
        <row r="94">
          <cell r="O94" t="str">
            <v>Nevirapine 10mg/ml 100ml</v>
          </cell>
        </row>
        <row r="95">
          <cell r="O95" t="str">
            <v>Nevirapine 10mg/ml 240ml</v>
          </cell>
        </row>
        <row r="96">
          <cell r="O96" t="str">
            <v>Nevirapine 10mg/ml 25ml</v>
          </cell>
        </row>
        <row r="97">
          <cell r="O97" t="str">
            <v>Nevirapine 200mg 60 Tabs</v>
          </cell>
        </row>
        <row r="98">
          <cell r="O98" t="str">
            <v>NVP 10mg/ml</v>
          </cell>
        </row>
        <row r="99">
          <cell r="O99" t="str">
            <v xml:space="preserve">NVP 200mg </v>
          </cell>
        </row>
        <row r="100">
          <cell r="O100" t="str">
            <v>oral contraceptive 1</v>
          </cell>
        </row>
        <row r="101">
          <cell r="O101" t="str">
            <v>oral contraceptive 10</v>
          </cell>
        </row>
        <row r="102">
          <cell r="O102" t="str">
            <v>oral contraceptive 2</v>
          </cell>
        </row>
        <row r="103">
          <cell r="O103" t="str">
            <v>oral contraceptive 3</v>
          </cell>
        </row>
        <row r="104">
          <cell r="O104" t="str">
            <v>oral contraceptive 4</v>
          </cell>
        </row>
        <row r="105">
          <cell r="O105" t="str">
            <v>oral contraceptive 5</v>
          </cell>
        </row>
        <row r="106">
          <cell r="O106" t="str">
            <v>oral contraceptive 6</v>
          </cell>
        </row>
        <row r="107">
          <cell r="O107" t="str">
            <v>oral contraceptive 7</v>
          </cell>
        </row>
        <row r="108">
          <cell r="O108" t="str">
            <v>oral contraceptive 8</v>
          </cell>
        </row>
        <row r="109">
          <cell r="O109" t="str">
            <v>oral contraceptive 9</v>
          </cell>
        </row>
        <row r="110">
          <cell r="O110" t="str">
            <v>oxtyocin 1</v>
          </cell>
        </row>
        <row r="111">
          <cell r="O111" t="str">
            <v>oxtyocin 10</v>
          </cell>
        </row>
        <row r="112">
          <cell r="O112" t="str">
            <v>oxtyocin 2</v>
          </cell>
        </row>
        <row r="113">
          <cell r="O113" t="str">
            <v>oxtyocin 3</v>
          </cell>
        </row>
        <row r="114">
          <cell r="O114" t="str">
            <v>oxtyocin 4</v>
          </cell>
        </row>
        <row r="115">
          <cell r="O115" t="str">
            <v>oxtyocin 5</v>
          </cell>
        </row>
        <row r="116">
          <cell r="O116" t="str">
            <v>oxtyocin 6</v>
          </cell>
        </row>
        <row r="117">
          <cell r="O117" t="str">
            <v>oxtyocin 7</v>
          </cell>
        </row>
        <row r="118">
          <cell r="O118" t="str">
            <v>oxtyocin 8</v>
          </cell>
        </row>
        <row r="119">
          <cell r="O119" t="str">
            <v>oxtyocin 9</v>
          </cell>
        </row>
        <row r="120">
          <cell r="O120" t="str">
            <v>PARTEC CYFLOW</v>
          </cell>
        </row>
        <row r="121">
          <cell r="O121" t="str">
            <v>SP 1</v>
          </cell>
        </row>
        <row r="122">
          <cell r="O122" t="str">
            <v>SP 10</v>
          </cell>
        </row>
        <row r="123">
          <cell r="O123" t="str">
            <v>SP 2</v>
          </cell>
        </row>
        <row r="124">
          <cell r="O124" t="str">
            <v>SP 3</v>
          </cell>
        </row>
        <row r="125">
          <cell r="O125" t="str">
            <v>SP 4</v>
          </cell>
        </row>
        <row r="126">
          <cell r="O126" t="str">
            <v>SP 5</v>
          </cell>
        </row>
        <row r="127">
          <cell r="O127" t="str">
            <v>SP 6</v>
          </cell>
        </row>
        <row r="128">
          <cell r="O128" t="str">
            <v>SP 7</v>
          </cell>
        </row>
        <row r="129">
          <cell r="O129" t="str">
            <v>SP 8</v>
          </cell>
        </row>
        <row r="130">
          <cell r="O130" t="str">
            <v>SP 9</v>
          </cell>
        </row>
        <row r="131">
          <cell r="O131" t="str">
            <v>Stat-Pak HIV1/2</v>
          </cell>
        </row>
        <row r="132">
          <cell r="O132" t="str">
            <v>Stavudine 15mg 60 Caps</v>
          </cell>
        </row>
        <row r="133">
          <cell r="O133" t="str">
            <v>Stavudine 1mg/ml 200ml</v>
          </cell>
        </row>
        <row r="134">
          <cell r="O134" t="str">
            <v>Stavudine 20mg 60 Caps</v>
          </cell>
        </row>
        <row r="135">
          <cell r="O135" t="str">
            <v>Stavudine 30mg Caps</v>
          </cell>
        </row>
        <row r="136">
          <cell r="O136" t="str">
            <v>Stavudine 40mg Caps</v>
          </cell>
        </row>
        <row r="137">
          <cell r="O137" t="str">
            <v>TB med 1</v>
          </cell>
        </row>
        <row r="138">
          <cell r="O138" t="str">
            <v>TB med 2</v>
          </cell>
        </row>
        <row r="139">
          <cell r="O139" t="str">
            <v>TB med 3</v>
          </cell>
        </row>
        <row r="140">
          <cell r="O140" t="str">
            <v>TB med 4</v>
          </cell>
        </row>
        <row r="141">
          <cell r="O141" t="str">
            <v>TB med 5</v>
          </cell>
        </row>
        <row r="142">
          <cell r="O142" t="str">
            <v>TB med 6</v>
          </cell>
        </row>
        <row r="143">
          <cell r="O143" t="str">
            <v>TB med 7</v>
          </cell>
        </row>
        <row r="144">
          <cell r="O144" t="str">
            <v>TB med 8</v>
          </cell>
        </row>
        <row r="145">
          <cell r="O145" t="str">
            <v>TDF/FTC 300/200 or TDF / 3TC  300/300</v>
          </cell>
        </row>
        <row r="146">
          <cell r="O146" t="str">
            <v>Tenofovir 300mg Tabs</v>
          </cell>
        </row>
        <row r="147">
          <cell r="O147" t="str">
            <v>Tenofovir/Emtricitabine 300/200mg 30 Tabs</v>
          </cell>
        </row>
        <row r="148">
          <cell r="O148" t="str">
            <v>Thermal Paper</v>
          </cell>
        </row>
        <row r="149">
          <cell r="O149" t="str">
            <v>Thermal Paper</v>
          </cell>
        </row>
        <row r="150">
          <cell r="O150" t="str">
            <v>Uni-Gold / Double Check Gold HIV1/2</v>
          </cell>
        </row>
        <row r="151">
          <cell r="O151" t="str">
            <v>Zidovudine 100mg 100 Caps</v>
          </cell>
        </row>
        <row r="152">
          <cell r="O152" t="str">
            <v>Zidovudine 10mg/ml 100 ml</v>
          </cell>
        </row>
        <row r="153">
          <cell r="O153" t="str">
            <v>Zidovudine 10mg/ml 240 ml</v>
          </cell>
        </row>
        <row r="154">
          <cell r="O154" t="str">
            <v>Zidovudine 300mg 60 Tabs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Sensitivity"/>
      <sheetName val="Simulation"/>
      <sheetName val="Graphs and Tables"/>
      <sheetName val="Detailed SC Function costs"/>
      <sheetName val="Program Specific"/>
      <sheetName val="Extrapolacion"/>
      <sheetName val="Throughput"/>
      <sheetName val="Summary chart"/>
      <sheetName val="Crudos"/>
      <sheetName val="Poblacion"/>
      <sheetName val="Distancia_Tiempo"/>
      <sheetName val="Names"/>
      <sheetName val="PEC"/>
    </sheetNames>
    <sheetDataSet>
      <sheetData sheetId="0">
        <row r="5">
          <cell r="B5">
            <v>7.84</v>
          </cell>
        </row>
      </sheetData>
      <sheetData sheetId="1"/>
      <sheetData sheetId="2"/>
      <sheetData sheetId="3"/>
      <sheetData sheetId="4">
        <row r="4">
          <cell r="C4" t="str">
            <v>Gestion Nacional</v>
          </cell>
          <cell r="D4" t="str">
            <v>Programa Nacional</v>
          </cell>
          <cell r="E4" t="str">
            <v>Almacen de Area</v>
          </cell>
          <cell r="F4" t="str">
            <v>Almacen de Municipio</v>
          </cell>
          <cell r="G4" t="str">
            <v>Hospital</v>
          </cell>
          <cell r="H4" t="str">
            <v>Centro de Salud</v>
          </cell>
          <cell r="I4" t="str">
            <v>Puesto de Salud</v>
          </cell>
          <cell r="J4" t="str">
            <v>Almacen PEC</v>
          </cell>
          <cell r="K4" t="str">
            <v>Centro de Convergencia (PEC)</v>
          </cell>
        </row>
        <row r="5">
          <cell r="B5" t="str">
            <v>Total value of commodities passing through</v>
          </cell>
          <cell r="C5">
            <v>29009745.297831632</v>
          </cell>
          <cell r="D5">
            <v>18479312.926658165</v>
          </cell>
          <cell r="E5">
            <v>8306630.8258521501</v>
          </cell>
          <cell r="F5">
            <v>2227666.3823083169</v>
          </cell>
          <cell r="G5">
            <v>871499.56070243625</v>
          </cell>
          <cell r="H5">
            <v>1308405.9751767158</v>
          </cell>
          <cell r="I5">
            <v>275820.07575714454</v>
          </cell>
          <cell r="J5">
            <v>150716.77284657545</v>
          </cell>
          <cell r="K5">
            <v>28634.404650510056</v>
          </cell>
        </row>
        <row r="6">
          <cell r="B6" t="str">
            <v>Total volume of commodities passing through (m3)</v>
          </cell>
          <cell r="C6">
            <v>9091.975156815728</v>
          </cell>
          <cell r="D6">
            <v>1510.3951907852606</v>
          </cell>
          <cell r="E6">
            <v>2735.9945465535602</v>
          </cell>
          <cell r="F6">
            <v>534.40614212635785</v>
          </cell>
          <cell r="G6">
            <v>684.66424560541179</v>
          </cell>
          <cell r="H6">
            <v>296.8384607547581</v>
          </cell>
          <cell r="I6">
            <v>62.993047705049605</v>
          </cell>
          <cell r="J6">
            <v>46.769208459213516</v>
          </cell>
          <cell r="K6">
            <v>9.1985920972823294</v>
          </cell>
        </row>
        <row r="7">
          <cell r="B7" t="str">
            <v>Total weight of commodities passing through (kg)</v>
          </cell>
          <cell r="C7">
            <v>2667437.9946756773</v>
          </cell>
          <cell r="D7">
            <v>327251.74189845653</v>
          </cell>
          <cell r="E7">
            <v>801535.07680692733</v>
          </cell>
          <cell r="F7">
            <v>171175.633373027</v>
          </cell>
          <cell r="G7">
            <v>313003.88954596646</v>
          </cell>
          <cell r="H7">
            <v>109487.94568426594</v>
          </cell>
          <cell r="I7">
            <v>24001.474248142837</v>
          </cell>
          <cell r="J7">
            <v>18044.248083538609</v>
          </cell>
          <cell r="K7">
            <v>3572.7513292625476</v>
          </cell>
        </row>
        <row r="9">
          <cell r="B9" t="str">
            <v>Procurement Costs</v>
          </cell>
          <cell r="C9">
            <v>4948.8500000000004</v>
          </cell>
          <cell r="D9">
            <v>914693.05</v>
          </cell>
          <cell r="E9">
            <v>63126.26</v>
          </cell>
          <cell r="F9">
            <v>0</v>
          </cell>
          <cell r="G9">
            <v>27303.58</v>
          </cell>
          <cell r="H9">
            <v>0</v>
          </cell>
          <cell r="I9">
            <v>0</v>
          </cell>
          <cell r="J9">
            <v>4795.3999999999996</v>
          </cell>
          <cell r="K9">
            <v>0</v>
          </cell>
        </row>
        <row r="10">
          <cell r="B10" t="str">
            <v>Storage Costs</v>
          </cell>
          <cell r="C10">
            <v>0</v>
          </cell>
          <cell r="D10">
            <v>267790.70999999996</v>
          </cell>
          <cell r="E10">
            <v>302212.02</v>
          </cell>
          <cell r="F10">
            <v>36444.899999999994</v>
          </cell>
          <cell r="G10">
            <v>109153.54000000001</v>
          </cell>
          <cell r="H10">
            <v>68346.029999999984</v>
          </cell>
          <cell r="I10">
            <v>33396.230000000003</v>
          </cell>
          <cell r="J10">
            <v>22058.560000000001</v>
          </cell>
          <cell r="K10">
            <v>8013.79</v>
          </cell>
        </row>
        <row r="11">
          <cell r="B11" t="str">
            <v>Transport Costs</v>
          </cell>
          <cell r="C11">
            <v>0</v>
          </cell>
          <cell r="D11">
            <v>14498.055345268542</v>
          </cell>
          <cell r="E11">
            <v>298258.67048593349</v>
          </cell>
          <cell r="F11">
            <v>79027.518542199483</v>
          </cell>
          <cell r="G11">
            <v>9746.1321739130435</v>
          </cell>
          <cell r="H11">
            <v>16889.41</v>
          </cell>
          <cell r="I11">
            <v>7670.5216112531971</v>
          </cell>
          <cell r="J11">
            <v>13171.65</v>
          </cell>
          <cell r="K11">
            <v>1196.1399999999999</v>
          </cell>
        </row>
        <row r="12">
          <cell r="B12" t="str">
            <v>Management Costs</v>
          </cell>
          <cell r="C12">
            <v>79948.87000000001</v>
          </cell>
          <cell r="D12">
            <v>36323.39</v>
          </cell>
          <cell r="E12">
            <v>149962.73000000001</v>
          </cell>
          <cell r="F12">
            <v>29425.4</v>
          </cell>
          <cell r="G12">
            <v>39796.370000000003</v>
          </cell>
          <cell r="H12">
            <v>19940.02</v>
          </cell>
          <cell r="I12">
            <v>21534.329999999998</v>
          </cell>
          <cell r="J12">
            <v>7256.7300000000005</v>
          </cell>
          <cell r="K12">
            <v>4948.5999999999995</v>
          </cell>
        </row>
        <row r="13">
          <cell r="B13" t="str">
            <v>Total Costs</v>
          </cell>
          <cell r="C13">
            <v>84897.720000000016</v>
          </cell>
          <cell r="D13">
            <v>1233305.2053452684</v>
          </cell>
          <cell r="E13">
            <v>813559.68048593355</v>
          </cell>
          <cell r="F13">
            <v>144897.81854219947</v>
          </cell>
          <cell r="G13">
            <v>185999.62217391303</v>
          </cell>
          <cell r="H13">
            <v>105175.45999999999</v>
          </cell>
          <cell r="I13">
            <v>62601.081611253205</v>
          </cell>
          <cell r="J13">
            <v>47282.340000000004</v>
          </cell>
          <cell r="K13">
            <v>14158.529999999999</v>
          </cell>
        </row>
        <row r="15">
          <cell r="B15" t="str">
            <v>Cost per $ of annual pass through</v>
          </cell>
          <cell r="C15">
            <v>2.9265241431246139E-3</v>
          </cell>
          <cell r="D15">
            <v>6.6739775999253112E-2</v>
          </cell>
          <cell r="E15">
            <v>9.7940994073547644E-2</v>
          </cell>
          <cell r="F15">
            <v>6.5044667232467629E-2</v>
          </cell>
          <cell r="G15">
            <v>0.21342480313357326</v>
          </cell>
          <cell r="H15">
            <v>8.0384423485833439E-2</v>
          </cell>
          <cell r="I15">
            <v>0.22696347044140661</v>
          </cell>
          <cell r="J15">
            <v>0.31371651015996621</v>
          </cell>
          <cell r="K15">
            <v>0.49445868258161246</v>
          </cell>
        </row>
        <row r="16">
          <cell r="B16" t="str">
            <v>Cost per m3 of annual pass through</v>
          </cell>
          <cell r="C16">
            <v>9.3376541989731567</v>
          </cell>
          <cell r="D16">
            <v>816.54471152286169</v>
          </cell>
          <cell r="E16">
            <v>297.35427708024753</v>
          </cell>
          <cell r="F16">
            <v>271.13801118689059</v>
          </cell>
          <cell r="G16">
            <v>271.66545261822978</v>
          </cell>
          <cell r="H16">
            <v>354.3188430925527</v>
          </cell>
          <cell r="I16">
            <v>993.77762930868676</v>
          </cell>
          <cell r="J16">
            <v>1010.9715677834056</v>
          </cell>
          <cell r="K16">
            <v>1539.206201368909</v>
          </cell>
        </row>
        <row r="17">
          <cell r="B17" t="str">
            <v>Cost per kg of annual pass through</v>
          </cell>
          <cell r="C17">
            <v>3.1827438976823295E-2</v>
          </cell>
          <cell r="D17">
            <v>3.7686742267301745</v>
          </cell>
          <cell r="E17">
            <v>1.0150019681320854</v>
          </cell>
          <cell r="F17">
            <v>0.84648624156942509</v>
          </cell>
          <cell r="G17">
            <v>0.59424060973720871</v>
          </cell>
          <cell r="H17">
            <v>0.96061223308817933</v>
          </cell>
          <cell r="I17">
            <v>2.6082181854348838</v>
          </cell>
          <cell r="J17">
            <v>2.6203552390268174</v>
          </cell>
          <cell r="K17">
            <v>3.9629206443882183</v>
          </cell>
        </row>
        <row r="19">
          <cell r="B19" t="str">
            <v>Procurement costs per $ of Commodities</v>
          </cell>
          <cell r="C19">
            <v>1.7059267322729331E-4</v>
          </cell>
          <cell r="D19">
            <v>4.9498217473251858E-2</v>
          </cell>
          <cell r="E19">
            <v>7.5995022920167018E-3</v>
          </cell>
          <cell r="F19">
            <v>0</v>
          </cell>
          <cell r="G19">
            <v>3.1329424857074024E-2</v>
          </cell>
          <cell r="H19">
            <v>0</v>
          </cell>
          <cell r="I19">
            <v>0</v>
          </cell>
          <cell r="J19">
            <v>3.1817294846682748E-2</v>
          </cell>
          <cell r="K19">
            <v>0</v>
          </cell>
        </row>
        <row r="20">
          <cell r="B20" t="str">
            <v>Storage costs per $ of commodities</v>
          </cell>
          <cell r="C20">
            <v>0</v>
          </cell>
          <cell r="D20">
            <v>1.4491378064910975E-2</v>
          </cell>
          <cell r="E20">
            <v>3.6382021343653141E-2</v>
          </cell>
          <cell r="F20">
            <v>1.6360124787732192E-2</v>
          </cell>
          <cell r="G20">
            <v>0.12524795756870066</v>
          </cell>
          <cell r="H20">
            <v>5.2236103546354593E-2</v>
          </cell>
          <cell r="I20">
            <v>0.12107976516330481</v>
          </cell>
          <cell r="J20">
            <v>0.14635769850549324</v>
          </cell>
          <cell r="K20">
            <v>0.27986578026713932</v>
          </cell>
        </row>
        <row r="21">
          <cell r="B21" t="str">
            <v>Transport costs per $ of Commodities</v>
          </cell>
          <cell r="C21">
            <v>0</v>
          </cell>
          <cell r="D21">
            <v>7.8455597363437249E-4</v>
          </cell>
          <cell r="E21">
            <v>3.5906094388796446E-2</v>
          </cell>
          <cell r="F21">
            <v>3.5475472974687908E-2</v>
          </cell>
          <cell r="G21">
            <v>1.1183175085088483E-2</v>
          </cell>
          <cell r="H21">
            <v>1.2908386479753644E-2</v>
          </cell>
          <cell r="I21">
            <v>2.780987420947189E-2</v>
          </cell>
          <cell r="J21">
            <v>8.7393391931290171E-2</v>
          </cell>
          <cell r="K21">
            <v>4.1772825892459876E-2</v>
          </cell>
        </row>
        <row r="22">
          <cell r="B22" t="str">
            <v>Management costs per $ of Commodities</v>
          </cell>
          <cell r="C22">
            <v>2.7559314698973204E-3</v>
          </cell>
          <cell r="D22">
            <v>1.9656244874559194E-3</v>
          </cell>
          <cell r="E22">
            <v>1.8053376049081346E-2</v>
          </cell>
          <cell r="F22">
            <v>1.3209069470047522E-2</v>
          </cell>
          <cell r="G22">
            <v>4.5664245622710105E-2</v>
          </cell>
          <cell r="H22">
            <v>1.5239933459725193E-2</v>
          </cell>
          <cell r="I22">
            <v>7.8073831068629876E-2</v>
          </cell>
          <cell r="J22">
            <v>4.8148124876500012E-2</v>
          </cell>
          <cell r="K22">
            <v>0.17282007642201325</v>
          </cell>
        </row>
        <row r="24">
          <cell r="B24" t="str">
            <v xml:space="preserve">Procurement </v>
          </cell>
        </row>
        <row r="25">
          <cell r="B25" t="str">
            <v>Procurement Costs: Labor</v>
          </cell>
          <cell r="C25">
            <v>4948.8500000000004</v>
          </cell>
          <cell r="D25">
            <v>3255.95</v>
          </cell>
          <cell r="E25">
            <v>63126.26</v>
          </cell>
          <cell r="F25">
            <v>0</v>
          </cell>
          <cell r="G25">
            <v>27303.58</v>
          </cell>
          <cell r="H25">
            <v>0</v>
          </cell>
          <cell r="I25">
            <v>0</v>
          </cell>
          <cell r="J25">
            <v>4795.3999999999996</v>
          </cell>
          <cell r="K25">
            <v>0</v>
          </cell>
        </row>
        <row r="26">
          <cell r="B26" t="str">
            <v>Procurement Costs: Misc</v>
          </cell>
          <cell r="C26">
            <v>0</v>
          </cell>
          <cell r="D26">
            <v>911437.1</v>
          </cell>
          <cell r="E26">
            <v>0</v>
          </cell>
          <cell r="F26">
            <v>0</v>
          </cell>
          <cell r="G26">
            <v>0</v>
          </cell>
          <cell r="H26">
            <v>0</v>
          </cell>
          <cell r="I26">
            <v>0</v>
          </cell>
          <cell r="J26">
            <v>0</v>
          </cell>
          <cell r="K26">
            <v>0</v>
          </cell>
        </row>
        <row r="27">
          <cell r="B27" t="str">
            <v>Cost per $1 of procured commodities</v>
          </cell>
        </row>
        <row r="29">
          <cell r="B29" t="str">
            <v xml:space="preserve">Storage </v>
          </cell>
        </row>
        <row r="30">
          <cell r="B30" t="str">
            <v>Storage Costs: Labor</v>
          </cell>
          <cell r="C30">
            <v>0</v>
          </cell>
          <cell r="D30">
            <v>52298.649999999994</v>
          </cell>
          <cell r="E30">
            <v>148130.67000000001</v>
          </cell>
          <cell r="F30">
            <v>20506.47</v>
          </cell>
          <cell r="G30">
            <v>79392.26999999999</v>
          </cell>
          <cell r="H30">
            <v>57001.71</v>
          </cell>
          <cell r="I30">
            <v>27029.85</v>
          </cell>
          <cell r="J30">
            <v>17838.87</v>
          </cell>
          <cell r="K30">
            <v>5424.5599999999995</v>
          </cell>
        </row>
        <row r="31">
          <cell r="B31" t="str">
            <v>Storage Costs: Space</v>
          </cell>
          <cell r="C31">
            <v>0</v>
          </cell>
          <cell r="D31">
            <v>152374.95000000001</v>
          </cell>
          <cell r="E31">
            <v>139411.35999999999</v>
          </cell>
          <cell r="F31">
            <v>8736.5300000000007</v>
          </cell>
          <cell r="G31">
            <v>21390.86</v>
          </cell>
          <cell r="H31">
            <v>7035.49</v>
          </cell>
          <cell r="I31">
            <v>3542.19</v>
          </cell>
          <cell r="J31">
            <v>2754.4700000000003</v>
          </cell>
          <cell r="K31">
            <v>1780.5500000000002</v>
          </cell>
        </row>
        <row r="32">
          <cell r="B32" t="str">
            <v>Storage Costs: Equipment</v>
          </cell>
          <cell r="C32">
            <v>0</v>
          </cell>
          <cell r="D32">
            <v>63117.11</v>
          </cell>
          <cell r="E32">
            <v>14669.990000000002</v>
          </cell>
          <cell r="F32">
            <v>7201.9</v>
          </cell>
          <cell r="G32">
            <v>8370.41</v>
          </cell>
          <cell r="H32">
            <v>4308.8300000000008</v>
          </cell>
          <cell r="I32">
            <v>2824.19</v>
          </cell>
          <cell r="J32">
            <v>1465.2199999999998</v>
          </cell>
          <cell r="K32">
            <v>808.68000000000006</v>
          </cell>
        </row>
        <row r="33">
          <cell r="B33" t="str">
            <v>Cost per m3 for stored products</v>
          </cell>
          <cell r="C33">
            <v>0</v>
          </cell>
          <cell r="D33">
            <v>177.29843926527235</v>
          </cell>
          <cell r="E33">
            <v>110.45782981573785</v>
          </cell>
          <cell r="F33">
            <v>68.197008093860504</v>
          </cell>
          <cell r="G33">
            <v>159.42637679799009</v>
          </cell>
          <cell r="H33">
            <v>230.24654495990694</v>
          </cell>
          <cell r="I33">
            <v>530.1573938186026</v>
          </cell>
          <cell r="J33">
            <v>471.64706709194849</v>
          </cell>
          <cell r="K33">
            <v>871.19745231094964</v>
          </cell>
        </row>
        <row r="34">
          <cell r="B34" t="str">
            <v>Cost per kg for stored products</v>
          </cell>
        </row>
        <row r="36">
          <cell r="B36" t="str">
            <v xml:space="preserve">Transport </v>
          </cell>
        </row>
        <row r="37">
          <cell r="B37" t="str">
            <v>Transport Costs: Labor</v>
          </cell>
          <cell r="C37">
            <v>0</v>
          </cell>
          <cell r="D37">
            <v>1004.42</v>
          </cell>
          <cell r="E37">
            <v>103587.37</v>
          </cell>
          <cell r="F37">
            <v>13378.619999999999</v>
          </cell>
          <cell r="G37">
            <v>2169.2600000000002</v>
          </cell>
          <cell r="H37">
            <v>5658.4800000000005</v>
          </cell>
          <cell r="I37">
            <v>1765.41</v>
          </cell>
          <cell r="J37">
            <v>5445.25</v>
          </cell>
          <cell r="K37">
            <v>608.05000000000007</v>
          </cell>
        </row>
        <row r="38">
          <cell r="B38" t="str">
            <v>Transport Costs: Per Diems</v>
          </cell>
          <cell r="C38">
            <v>0</v>
          </cell>
          <cell r="D38">
            <v>7984.0153452685418</v>
          </cell>
          <cell r="E38">
            <v>4051.1504859335037</v>
          </cell>
          <cell r="F38">
            <v>1145.2685421994884</v>
          </cell>
          <cell r="G38">
            <v>195.6521739130435</v>
          </cell>
          <cell r="H38">
            <v>1999.9999999999998</v>
          </cell>
          <cell r="I38">
            <v>92.071611253196934</v>
          </cell>
          <cell r="J38">
            <v>0</v>
          </cell>
          <cell r="K38">
            <v>0</v>
          </cell>
        </row>
        <row r="39">
          <cell r="B39" t="str">
            <v>Transport Costs: Fuel</v>
          </cell>
          <cell r="C39">
            <v>0</v>
          </cell>
          <cell r="D39">
            <v>0.16</v>
          </cell>
          <cell r="E39">
            <v>27654.499999999996</v>
          </cell>
          <cell r="F39">
            <v>3693.7200000000003</v>
          </cell>
          <cell r="G39">
            <v>2379.06</v>
          </cell>
          <cell r="H39">
            <v>2911.5800000000004</v>
          </cell>
          <cell r="I39">
            <v>313.77</v>
          </cell>
          <cell r="J39">
            <v>2465.29</v>
          </cell>
          <cell r="K39">
            <v>253.35</v>
          </cell>
        </row>
        <row r="40">
          <cell r="B40" t="str">
            <v>Transport Costs: Equipment</v>
          </cell>
          <cell r="C40">
            <v>0</v>
          </cell>
          <cell r="D40">
            <v>778.01</v>
          </cell>
          <cell r="E40">
            <v>48567.13</v>
          </cell>
          <cell r="F40">
            <v>11812.96</v>
          </cell>
          <cell r="G40">
            <v>1423.12</v>
          </cell>
          <cell r="H40">
            <v>1812.23</v>
          </cell>
          <cell r="I40">
            <v>1507.11</v>
          </cell>
          <cell r="J40">
            <v>690.54</v>
          </cell>
          <cell r="K40">
            <v>0</v>
          </cell>
        </row>
        <row r="41">
          <cell r="B41" t="str">
            <v>Transport Costs: Vehicle</v>
          </cell>
          <cell r="C41">
            <v>0</v>
          </cell>
          <cell r="D41">
            <v>1662.4</v>
          </cell>
          <cell r="E41">
            <v>62179.09</v>
          </cell>
          <cell r="F41">
            <v>29847.360000000001</v>
          </cell>
          <cell r="G41">
            <v>771.24</v>
          </cell>
          <cell r="H41">
            <v>4269.2599999999993</v>
          </cell>
          <cell r="I41">
            <v>2152.6400000000003</v>
          </cell>
          <cell r="J41">
            <v>4570.57</v>
          </cell>
          <cell r="K41">
            <v>258</v>
          </cell>
        </row>
        <row r="42">
          <cell r="B42" t="str">
            <v>Transport Costs: Misc</v>
          </cell>
          <cell r="C42">
            <v>0</v>
          </cell>
          <cell r="D42">
            <v>3069.05</v>
          </cell>
          <cell r="E42">
            <v>52219.43</v>
          </cell>
          <cell r="F42">
            <v>19149.59</v>
          </cell>
          <cell r="G42">
            <v>2807.8</v>
          </cell>
          <cell r="H42">
            <v>237.86</v>
          </cell>
          <cell r="I42">
            <v>1839.52</v>
          </cell>
          <cell r="J42">
            <v>0</v>
          </cell>
          <cell r="K42">
            <v>76.739999999999995</v>
          </cell>
        </row>
        <row r="43">
          <cell r="B43" t="str">
            <v>Cost per m3 for transported products</v>
          </cell>
        </row>
        <row r="44">
          <cell r="B44" t="str">
            <v>Cost per kg for transported products</v>
          </cell>
        </row>
        <row r="45">
          <cell r="B45" t="str">
            <v>Total Km</v>
          </cell>
        </row>
        <row r="47">
          <cell r="B47" t="str">
            <v xml:space="preserve">Management </v>
          </cell>
        </row>
        <row r="48">
          <cell r="B48" t="str">
            <v>Management Labor Costs for Quantification</v>
          </cell>
          <cell r="C48">
            <v>3222.51</v>
          </cell>
          <cell r="D48">
            <v>2579.38</v>
          </cell>
          <cell r="E48">
            <v>9862.24</v>
          </cell>
          <cell r="F48">
            <v>2324.4299999999998</v>
          </cell>
          <cell r="G48">
            <v>2970.77</v>
          </cell>
          <cell r="H48">
            <v>2581.9700000000003</v>
          </cell>
          <cell r="I48">
            <v>652.17000000000007</v>
          </cell>
          <cell r="J48">
            <v>338.88</v>
          </cell>
          <cell r="K48">
            <v>729.70999999999992</v>
          </cell>
        </row>
        <row r="49">
          <cell r="B49" t="str">
            <v>Management Labor Costs for Logistics Training</v>
          </cell>
          <cell r="C49">
            <v>17723.79</v>
          </cell>
          <cell r="D49">
            <v>444.26</v>
          </cell>
          <cell r="E49">
            <v>8374.5499999999993</v>
          </cell>
          <cell r="F49">
            <v>5155.49</v>
          </cell>
          <cell r="G49">
            <v>3636.5899999999997</v>
          </cell>
          <cell r="H49">
            <v>276.86</v>
          </cell>
          <cell r="I49">
            <v>249.45</v>
          </cell>
          <cell r="J49">
            <v>687.23</v>
          </cell>
          <cell r="K49">
            <v>307.7</v>
          </cell>
        </row>
        <row r="50">
          <cell r="B50" t="str">
            <v>Management Labor Costs for Quality Assurance</v>
          </cell>
          <cell r="C50">
            <v>17723.79</v>
          </cell>
          <cell r="D50">
            <v>290.32</v>
          </cell>
          <cell r="E50">
            <v>8275.2999999999993</v>
          </cell>
          <cell r="F50">
            <v>6347.15</v>
          </cell>
          <cell r="G50">
            <v>4206.92</v>
          </cell>
          <cell r="H50">
            <v>2313.75</v>
          </cell>
          <cell r="I50">
            <v>4862.5300000000007</v>
          </cell>
          <cell r="J50">
            <v>1150.9000000000001</v>
          </cell>
          <cell r="K50">
            <v>662.56</v>
          </cell>
        </row>
        <row r="51">
          <cell r="B51" t="str">
            <v>Management Labor Costs for Logistics Information Systems</v>
          </cell>
          <cell r="C51">
            <v>27314.58</v>
          </cell>
          <cell r="D51">
            <v>19587.62</v>
          </cell>
          <cell r="E51">
            <v>43088.649999999994</v>
          </cell>
          <cell r="F51">
            <v>13851.589999999998</v>
          </cell>
          <cell r="G51">
            <v>14605.310000000001</v>
          </cell>
          <cell r="H51">
            <v>13888.24</v>
          </cell>
          <cell r="I51">
            <v>14007.49</v>
          </cell>
          <cell r="J51">
            <v>3452.69</v>
          </cell>
          <cell r="K51">
            <v>2932.22</v>
          </cell>
        </row>
        <row r="52">
          <cell r="B52" t="str">
            <v>Management Labor Costs Other</v>
          </cell>
          <cell r="C52">
            <v>0</v>
          </cell>
          <cell r="D52">
            <v>10122.58</v>
          </cell>
          <cell r="E52">
            <v>1150.9000000000001</v>
          </cell>
          <cell r="F52">
            <v>0</v>
          </cell>
          <cell r="G52">
            <v>180.73</v>
          </cell>
          <cell r="H52">
            <v>0</v>
          </cell>
          <cell r="I52">
            <v>1400.2600000000002</v>
          </cell>
          <cell r="J52">
            <v>0</v>
          </cell>
          <cell r="K52">
            <v>0</v>
          </cell>
        </row>
        <row r="53">
          <cell r="B53" t="str">
            <v>Management Operating Costs</v>
          </cell>
          <cell r="C53">
            <v>2148.34</v>
          </cell>
          <cell r="D53">
            <v>3299.23</v>
          </cell>
          <cell r="E53">
            <v>79211.09</v>
          </cell>
          <cell r="F53">
            <v>1746.7400000000002</v>
          </cell>
          <cell r="G53">
            <v>14196.05</v>
          </cell>
          <cell r="H53">
            <v>879.2</v>
          </cell>
          <cell r="I53">
            <v>362.43</v>
          </cell>
          <cell r="J53">
            <v>1627.03</v>
          </cell>
          <cell r="K53">
            <v>316.41000000000003</v>
          </cell>
        </row>
        <row r="54">
          <cell r="B54" t="str">
            <v>Management Costs: Misc</v>
          </cell>
          <cell r="C54">
            <v>11815.86</v>
          </cell>
          <cell r="D54">
            <v>0</v>
          </cell>
          <cell r="E54">
            <v>0</v>
          </cell>
          <cell r="F54">
            <v>0</v>
          </cell>
          <cell r="G54">
            <v>0</v>
          </cell>
          <cell r="H54">
            <v>0</v>
          </cell>
          <cell r="I54">
            <v>0</v>
          </cell>
          <cell r="J54">
            <v>0</v>
          </cell>
          <cell r="K54">
            <v>0</v>
          </cell>
        </row>
        <row r="105">
          <cell r="B105" t="str">
            <v>Salud Reproductiva</v>
          </cell>
          <cell r="C105" t="str">
            <v>Gestion Nacional</v>
          </cell>
          <cell r="D105" t="str">
            <v>Programa Nacional</v>
          </cell>
          <cell r="E105" t="str">
            <v>Almacen de Area</v>
          </cell>
          <cell r="F105" t="str">
            <v>Almacen de Municipio</v>
          </cell>
          <cell r="G105" t="str">
            <v>Hospital</v>
          </cell>
          <cell r="H105" t="str">
            <v>Centro de Salud</v>
          </cell>
          <cell r="I105" t="str">
            <v>Puesto de Salud</v>
          </cell>
          <cell r="J105" t="str">
            <v>Almacen PEC</v>
          </cell>
          <cell r="K105" t="str">
            <v>Centro de Convergencia (PEC)</v>
          </cell>
        </row>
        <row r="106">
          <cell r="B106" t="str">
            <v>Total value of commodities passing through</v>
          </cell>
          <cell r="C106">
            <v>1323104.8475765304</v>
          </cell>
          <cell r="D106">
            <v>1323104.8475765304</v>
          </cell>
          <cell r="E106">
            <v>439484.30087159871</v>
          </cell>
          <cell r="F106">
            <v>79479.274195414371</v>
          </cell>
          <cell r="G106">
            <v>14512.242893586008</v>
          </cell>
          <cell r="H106">
            <v>73643.119994865308</v>
          </cell>
          <cell r="I106">
            <v>5049.1844583797065</v>
          </cell>
          <cell r="J106">
            <v>6389.3629724968714</v>
          </cell>
          <cell r="K106">
            <v>678.61384860431019</v>
          </cell>
        </row>
        <row r="107">
          <cell r="B107" t="str">
            <v>Total volume of commodities passing through (m3)</v>
          </cell>
          <cell r="C107">
            <v>110.54985815222223</v>
          </cell>
          <cell r="D107">
            <v>110.54985815222223</v>
          </cell>
          <cell r="E107">
            <v>36.717014232343438</v>
          </cell>
          <cell r="F107">
            <v>6.4705766636877975</v>
          </cell>
          <cell r="G107">
            <v>1.0019239253452381</v>
          </cell>
          <cell r="H107">
            <v>8.3373888744581048</v>
          </cell>
          <cell r="I107">
            <v>0.27129123888273587</v>
          </cell>
          <cell r="J107">
            <v>0.520171621648433</v>
          </cell>
          <cell r="K107">
            <v>3.6461728270850965E-2</v>
          </cell>
        </row>
        <row r="108">
          <cell r="B108" t="str">
            <v>Total weight of commodities passing through (kg)</v>
          </cell>
          <cell r="C108">
            <v>24028.614954545457</v>
          </cell>
          <cell r="D108">
            <v>24028.614954545457</v>
          </cell>
          <cell r="E108">
            <v>8917.4052059259266</v>
          </cell>
          <cell r="F108">
            <v>1634.8091519778188</v>
          </cell>
          <cell r="G108">
            <v>264.28828023088022</v>
          </cell>
          <cell r="H108">
            <v>1892.1865488611893</v>
          </cell>
          <cell r="I108">
            <v>76.231324165632643</v>
          </cell>
          <cell r="J108">
            <v>131.42280385027394</v>
          </cell>
          <cell r="K108">
            <v>10.245542166792518</v>
          </cell>
        </row>
        <row r="110">
          <cell r="B110" t="str">
            <v>Procurement Costs</v>
          </cell>
          <cell r="C110">
            <v>0</v>
          </cell>
          <cell r="D110">
            <v>188742.27</v>
          </cell>
          <cell r="E110">
            <v>0</v>
          </cell>
          <cell r="F110">
            <v>0</v>
          </cell>
          <cell r="G110">
            <v>0</v>
          </cell>
          <cell r="H110">
            <v>0</v>
          </cell>
          <cell r="I110">
            <v>0</v>
          </cell>
          <cell r="J110">
            <v>0</v>
          </cell>
          <cell r="K110">
            <v>0</v>
          </cell>
        </row>
        <row r="111">
          <cell r="B111" t="str">
            <v>Storage Costs</v>
          </cell>
          <cell r="C111">
            <v>0</v>
          </cell>
          <cell r="D111">
            <v>33518.620000000003</v>
          </cell>
          <cell r="E111">
            <v>11732.776245080382</v>
          </cell>
          <cell r="F111">
            <v>536.77981237251583</v>
          </cell>
          <cell r="G111">
            <v>172.63878946735582</v>
          </cell>
          <cell r="H111">
            <v>5555.4608550030607</v>
          </cell>
          <cell r="I111">
            <v>214.345568764783</v>
          </cell>
          <cell r="J111">
            <v>229.72568300018179</v>
          </cell>
          <cell r="K111">
            <v>29.7487866611255</v>
          </cell>
        </row>
        <row r="112">
          <cell r="B112" t="str">
            <v>Transport Costs</v>
          </cell>
          <cell r="C112">
            <v>0</v>
          </cell>
          <cell r="D112">
            <v>0</v>
          </cell>
          <cell r="E112">
            <v>5788.5541922016</v>
          </cell>
          <cell r="F112">
            <v>1350.9550002707399</v>
          </cell>
          <cell r="G112">
            <v>32.100763047695359</v>
          </cell>
          <cell r="H112">
            <v>361.07851257993946</v>
          </cell>
          <cell r="I112">
            <v>78.269738389732552</v>
          </cell>
          <cell r="J112">
            <v>156.92359558309084</v>
          </cell>
          <cell r="K112">
            <v>3.4040940752461899</v>
          </cell>
        </row>
        <row r="113">
          <cell r="B113" t="str">
            <v>Management Costs</v>
          </cell>
          <cell r="C113">
            <v>3646.3862874098577</v>
          </cell>
          <cell r="D113">
            <v>15575.8</v>
          </cell>
          <cell r="E113">
            <v>5745.9213207636321</v>
          </cell>
          <cell r="F113">
            <v>1269.3102364765014</v>
          </cell>
          <cell r="G113">
            <v>1065.5963808589302</v>
          </cell>
          <cell r="H113">
            <v>1038.9330547050561</v>
          </cell>
          <cell r="I113">
            <v>388.60240417110521</v>
          </cell>
          <cell r="J113">
            <v>376.26637231295388</v>
          </cell>
          <cell r="K113">
            <v>97.079391437366425</v>
          </cell>
        </row>
        <row r="114">
          <cell r="B114" t="str">
            <v>Total Costs</v>
          </cell>
          <cell r="C114">
            <v>3646.3862874098577</v>
          </cell>
          <cell r="D114">
            <v>237836.68999999997</v>
          </cell>
          <cell r="E114">
            <v>23267.251758045615</v>
          </cell>
          <cell r="F114">
            <v>3157.0450491197571</v>
          </cell>
          <cell r="G114">
            <v>1270.3359333739813</v>
          </cell>
          <cell r="H114">
            <v>6955.4724222880559</v>
          </cell>
          <cell r="I114">
            <v>681.21771132562071</v>
          </cell>
          <cell r="J114">
            <v>762.91565089622645</v>
          </cell>
          <cell r="K114">
            <v>130.23227217373812</v>
          </cell>
        </row>
        <row r="116">
          <cell r="B116" t="str">
            <v>Cost per $ of annual pass through</v>
          </cell>
          <cell r="C116">
            <v>2.7559314698973204E-3</v>
          </cell>
          <cell r="D116">
            <v>0.17975649506207642</v>
          </cell>
          <cell r="E116">
            <v>5.294216815458775E-2</v>
          </cell>
          <cell r="F116">
            <v>3.9721613981496394E-2</v>
          </cell>
          <cell r="G116">
            <v>8.7535465240554444E-2</v>
          </cell>
          <cell r="H116">
            <v>9.4448366972678763E-2</v>
          </cell>
          <cell r="I116">
            <v>0.13491638440640866</v>
          </cell>
          <cell r="J116">
            <v>0.11940402418522952</v>
          </cell>
          <cell r="K116">
            <v>0.19190924624008765</v>
          </cell>
        </row>
        <row r="117">
          <cell r="B117" t="str">
            <v>Cost per m3 of annual pass through</v>
          </cell>
          <cell r="C117">
            <v>32.984088341288924</v>
          </cell>
          <cell r="D117">
            <v>2151.3975139842282</v>
          </cell>
          <cell r="E117">
            <v>633.69128030976606</v>
          </cell>
          <cell r="F117">
            <v>487.90783468137624</v>
          </cell>
          <cell r="G117">
            <v>1267.8965949797587</v>
          </cell>
          <cell r="H117">
            <v>834.25069011671019</v>
          </cell>
          <cell r="I117">
            <v>2511.0199434787987</v>
          </cell>
          <cell r="J117">
            <v>1466.6614231636347</v>
          </cell>
          <cell r="K117">
            <v>3571.752584143173</v>
          </cell>
        </row>
        <row r="118">
          <cell r="B118" t="str">
            <v>Cost per kg of annual pass through</v>
          </cell>
          <cell r="C118">
            <v>0.15175182982072283</v>
          </cell>
          <cell r="D118">
            <v>9.8980607267589829</v>
          </cell>
          <cell r="E118">
            <v>2.6091953007343118</v>
          </cell>
          <cell r="F118">
            <v>1.9311398185533231</v>
          </cell>
          <cell r="G118">
            <v>4.8066298371771365</v>
          </cell>
          <cell r="H118">
            <v>3.6758914846288282</v>
          </cell>
          <cell r="I118">
            <v>8.9361915037117257</v>
          </cell>
          <cell r="J118">
            <v>5.8050477432013503</v>
          </cell>
          <cell r="K118">
            <v>12.711115727564156</v>
          </cell>
        </row>
        <row r="120">
          <cell r="B120" t="str">
            <v>Procurement costs per $ of Commodities</v>
          </cell>
          <cell r="C120">
            <v>0</v>
          </cell>
          <cell r="D120">
            <v>0.14265103052544204</v>
          </cell>
          <cell r="E120">
            <v>0</v>
          </cell>
          <cell r="F120">
            <v>0</v>
          </cell>
          <cell r="G120">
            <v>0</v>
          </cell>
          <cell r="H120">
            <v>0</v>
          </cell>
          <cell r="I120">
            <v>0</v>
          </cell>
          <cell r="J120">
            <v>0</v>
          </cell>
          <cell r="K120">
            <v>0</v>
          </cell>
        </row>
        <row r="121">
          <cell r="B121" t="str">
            <v>Storage costs per $ of commodities</v>
          </cell>
          <cell r="C121">
            <v>0</v>
          </cell>
          <cell r="D121">
            <v>2.5333306019847558E-2</v>
          </cell>
          <cell r="E121">
            <v>2.6696690238562745E-2</v>
          </cell>
          <cell r="F121">
            <v>6.7537080302563441E-3</v>
          </cell>
          <cell r="G121">
            <v>1.1896079105984173E-2</v>
          </cell>
          <cell r="H121">
            <v>7.5437608501519343E-2</v>
          </cell>
          <cell r="I121">
            <v>4.245152272245703E-2</v>
          </cell>
          <cell r="J121">
            <v>3.5954395452103778E-2</v>
          </cell>
          <cell r="K121">
            <v>4.3837576734263764E-2</v>
          </cell>
        </row>
        <row r="122">
          <cell r="B122" t="str">
            <v>Transport costs per $ of Commodities</v>
          </cell>
          <cell r="C122">
            <v>0</v>
          </cell>
          <cell r="D122">
            <v>0</v>
          </cell>
          <cell r="E122">
            <v>1.3171242250796132E-2</v>
          </cell>
          <cell r="F122">
            <v>1.6997575958597324E-2</v>
          </cell>
          <cell r="G122">
            <v>2.2119780714174079E-3</v>
          </cell>
          <cell r="H122">
            <v>4.9030854831397051E-3</v>
          </cell>
          <cell r="I122">
            <v>1.5501461480543627E-2</v>
          </cell>
          <cell r="J122">
            <v>2.4560131621661079E-2</v>
          </cell>
          <cell r="K122">
            <v>5.0162461055684518E-3</v>
          </cell>
        </row>
        <row r="123">
          <cell r="B123" t="str">
            <v>Management costs per $ of Commodities</v>
          </cell>
          <cell r="C123">
            <v>2.7559314698973204E-3</v>
          </cell>
          <cell r="D123">
            <v>1.1772158516786835E-2</v>
          </cell>
          <cell r="E123">
            <v>1.3074235665228872E-2</v>
          </cell>
          <cell r="F123">
            <v>1.5970329992642727E-2</v>
          </cell>
          <cell r="G123">
            <v>7.3427408063152871E-2</v>
          </cell>
          <cell r="H123">
            <v>1.4107672988019718E-2</v>
          </cell>
          <cell r="I123">
            <v>7.6963400203408E-2</v>
          </cell>
          <cell r="J123">
            <v>5.8889497111464677E-2</v>
          </cell>
          <cell r="K123">
            <v>0.14305542340025543</v>
          </cell>
        </row>
        <row r="125">
          <cell r="B125" t="str">
            <v>Procurement Costs</v>
          </cell>
        </row>
        <row r="126">
          <cell r="B126" t="str">
            <v>Procurement Costs: Labor</v>
          </cell>
          <cell r="C126">
            <v>0</v>
          </cell>
          <cell r="D126">
            <v>0</v>
          </cell>
          <cell r="E126">
            <v>0</v>
          </cell>
          <cell r="F126">
            <v>0</v>
          </cell>
          <cell r="G126">
            <v>0</v>
          </cell>
          <cell r="H126">
            <v>0</v>
          </cell>
          <cell r="I126">
            <v>0</v>
          </cell>
          <cell r="J126">
            <v>0</v>
          </cell>
          <cell r="K126">
            <v>0</v>
          </cell>
        </row>
        <row r="127">
          <cell r="B127" t="str">
            <v>Procurement Costs: Misc</v>
          </cell>
          <cell r="C127">
            <v>0</v>
          </cell>
          <cell r="D127">
            <v>188742.27</v>
          </cell>
          <cell r="E127">
            <v>0</v>
          </cell>
          <cell r="F127">
            <v>0</v>
          </cell>
          <cell r="G127">
            <v>0</v>
          </cell>
          <cell r="H127">
            <v>0</v>
          </cell>
          <cell r="I127">
            <v>0</v>
          </cell>
          <cell r="J127">
            <v>0</v>
          </cell>
          <cell r="K127">
            <v>0</v>
          </cell>
        </row>
        <row r="128">
          <cell r="B128" t="str">
            <v>Cost per $1 of procured commodities</v>
          </cell>
        </row>
        <row r="130">
          <cell r="B130" t="str">
            <v>Storage Costs</v>
          </cell>
        </row>
        <row r="131">
          <cell r="B131" t="str">
            <v>Storage Costs: Labor</v>
          </cell>
          <cell r="C131">
            <v>0</v>
          </cell>
          <cell r="D131">
            <v>13935.48</v>
          </cell>
          <cell r="E131">
            <v>8559.7615128595698</v>
          </cell>
          <cell r="F131">
            <v>324.54528050357879</v>
          </cell>
          <cell r="G131">
            <v>109.35183304100838</v>
          </cell>
          <cell r="H131">
            <v>5022.2515878025897</v>
          </cell>
          <cell r="I131">
            <v>152.68730467304687</v>
          </cell>
          <cell r="J131">
            <v>187.26161518302553</v>
          </cell>
          <cell r="K131">
            <v>19.956515273454748</v>
          </cell>
        </row>
        <row r="132">
          <cell r="B132" t="str">
            <v>Storage Costs: Space</v>
          </cell>
          <cell r="C132">
            <v>0</v>
          </cell>
          <cell r="D132">
            <v>18580.650000000001</v>
          </cell>
          <cell r="E132">
            <v>3084.8286063098249</v>
          </cell>
          <cell r="F132">
            <v>101.92003498242727</v>
          </cell>
          <cell r="G132">
            <v>43.613263525192352</v>
          </cell>
          <cell r="H132">
            <v>420.61908133313125</v>
          </cell>
          <cell r="I132">
            <v>19.837078864232897</v>
          </cell>
          <cell r="J132">
            <v>30.220470650218552</v>
          </cell>
          <cell r="K132">
            <v>7.632972409697488</v>
          </cell>
        </row>
        <row r="133">
          <cell r="B133" t="str">
            <v>Storage Costs: Equipment</v>
          </cell>
          <cell r="C133">
            <v>0</v>
          </cell>
          <cell r="D133">
            <v>1002.49</v>
          </cell>
          <cell r="E133">
            <v>88.186125910987101</v>
          </cell>
          <cell r="F133">
            <v>110.31449688650977</v>
          </cell>
          <cell r="G133">
            <v>19.673692901155107</v>
          </cell>
          <cell r="H133">
            <v>112.59018586734054</v>
          </cell>
          <cell r="I133">
            <v>41.821185227503214</v>
          </cell>
          <cell r="J133">
            <v>12.243597166937704</v>
          </cell>
          <cell r="K133">
            <v>2.1592989779732581</v>
          </cell>
        </row>
        <row r="134">
          <cell r="B134" t="str">
            <v>Cost per m3 for stored products</v>
          </cell>
        </row>
        <row r="135">
          <cell r="B135" t="str">
            <v>Cost per kg for stored products</v>
          </cell>
        </row>
        <row r="137">
          <cell r="B137" t="str">
            <v>Transport Costs</v>
          </cell>
        </row>
        <row r="138">
          <cell r="B138" t="str">
            <v>Transport Costs: Labor</v>
          </cell>
          <cell r="C138">
            <v>0</v>
          </cell>
          <cell r="D138">
            <v>0</v>
          </cell>
          <cell r="E138">
            <v>2221.0595900042981</v>
          </cell>
          <cell r="F138">
            <v>305.11348293651133</v>
          </cell>
          <cell r="G138">
            <v>5.0594603404278571</v>
          </cell>
          <cell r="H138">
            <v>71.791113991113704</v>
          </cell>
          <cell r="I138">
            <v>9.5621308998386993</v>
          </cell>
          <cell r="J138">
            <v>63.28997154894742</v>
          </cell>
          <cell r="K138">
            <v>2.4384839723817597</v>
          </cell>
        </row>
        <row r="139">
          <cell r="B139" t="str">
            <v>Transport Costs: Per Diems</v>
          </cell>
          <cell r="C139">
            <v>0</v>
          </cell>
          <cell r="D139">
            <v>0</v>
          </cell>
          <cell r="E139">
            <v>36.994530423623395</v>
          </cell>
          <cell r="F139">
            <v>19.217885043289112</v>
          </cell>
          <cell r="G139">
            <v>0.42780178661493451</v>
          </cell>
          <cell r="H139">
            <v>3.933519216564854</v>
          </cell>
          <cell r="I139">
            <v>43.386403307396854</v>
          </cell>
          <cell r="J139">
            <v>0</v>
          </cell>
          <cell r="K139">
            <v>0</v>
          </cell>
        </row>
        <row r="140">
          <cell r="B140" t="str">
            <v>Transport Costs: Fuel</v>
          </cell>
          <cell r="C140">
            <v>0</v>
          </cell>
          <cell r="D140">
            <v>0</v>
          </cell>
          <cell r="E140">
            <v>428.62778582770312</v>
          </cell>
          <cell r="F140">
            <v>61.444026669403904</v>
          </cell>
          <cell r="G140">
            <v>4.737181845243768</v>
          </cell>
          <cell r="H140">
            <v>30.493913251455353</v>
          </cell>
          <cell r="I140">
            <v>1.1627124448041579</v>
          </cell>
          <cell r="J140">
            <v>28.128399823030708</v>
          </cell>
          <cell r="K140">
            <v>0.4353237289229373</v>
          </cell>
        </row>
        <row r="141">
          <cell r="B141" t="str">
            <v>Transport Costs: Equipment</v>
          </cell>
          <cell r="C141">
            <v>0</v>
          </cell>
          <cell r="D141">
            <v>0</v>
          </cell>
          <cell r="E141">
            <v>548.08510019873245</v>
          </cell>
          <cell r="F141">
            <v>144.92193578428262</v>
          </cell>
          <cell r="G141">
            <v>6.9882368747394867</v>
          </cell>
          <cell r="H141">
            <v>11.243513815862746</v>
          </cell>
          <cell r="I141">
            <v>6.2908356261179392</v>
          </cell>
          <cell r="J141">
            <v>8.6752893638732953</v>
          </cell>
          <cell r="K141">
            <v>0</v>
          </cell>
        </row>
        <row r="142">
          <cell r="B142" t="str">
            <v>Transport Costs: Vehicle</v>
          </cell>
          <cell r="C142">
            <v>0</v>
          </cell>
          <cell r="D142">
            <v>0</v>
          </cell>
          <cell r="E142">
            <v>1046.1395399474238</v>
          </cell>
          <cell r="F142">
            <v>514.1503156688849</v>
          </cell>
          <cell r="G142">
            <v>2.3083100594144175</v>
          </cell>
          <cell r="H142">
            <v>234.17710808175673</v>
          </cell>
          <cell r="I142">
            <v>8.0283066509065755</v>
          </cell>
          <cell r="J142">
            <v>56.829934847239407</v>
          </cell>
          <cell r="K142">
            <v>0.20046157344799051</v>
          </cell>
        </row>
        <row r="143">
          <cell r="B143" t="str">
            <v>Transport Costs: Misc</v>
          </cell>
          <cell r="C143">
            <v>0</v>
          </cell>
          <cell r="D143">
            <v>0</v>
          </cell>
          <cell r="E143">
            <v>1507.6476457998187</v>
          </cell>
          <cell r="F143">
            <v>306.10735416836775</v>
          </cell>
          <cell r="G143">
            <v>12.579772141254892</v>
          </cell>
          <cell r="H143">
            <v>9.439344223186076</v>
          </cell>
          <cell r="I143">
            <v>9.8393494606683323</v>
          </cell>
          <cell r="J143">
            <v>0</v>
          </cell>
          <cell r="K143">
            <v>0.32982480049350177</v>
          </cell>
        </row>
        <row r="144">
          <cell r="B144" t="str">
            <v>Cost per m3 for transported products</v>
          </cell>
        </row>
        <row r="145">
          <cell r="B145" t="str">
            <v>Cost per kg for transported products</v>
          </cell>
        </row>
        <row r="146">
          <cell r="B146" t="str">
            <v>Total Km</v>
          </cell>
        </row>
        <row r="148">
          <cell r="B148" t="str">
            <v>Management Costs</v>
          </cell>
        </row>
        <row r="149">
          <cell r="B149" t="str">
            <v>Management Labor Costs for Quantification</v>
          </cell>
          <cell r="C149">
            <v>146.97538908356228</v>
          </cell>
          <cell r="D149">
            <v>516.13</v>
          </cell>
          <cell r="E149">
            <v>364.63033919395787</v>
          </cell>
          <cell r="F149">
            <v>86.478007139467877</v>
          </cell>
          <cell r="G149">
            <v>160.29255888746093</v>
          </cell>
          <cell r="H149">
            <v>187.57778843873302</v>
          </cell>
          <cell r="I149">
            <v>14.989390016555166</v>
          </cell>
          <cell r="J149">
            <v>14.550004393066182</v>
          </cell>
          <cell r="K149">
            <v>10.618027949611909</v>
          </cell>
        </row>
        <row r="150">
          <cell r="B150" t="str">
            <v>Management Labor Costs for Logistics Training</v>
          </cell>
          <cell r="C150">
            <v>808.36395582491605</v>
          </cell>
          <cell r="D150">
            <v>1.61</v>
          </cell>
          <cell r="E150">
            <v>99.630511989792723</v>
          </cell>
          <cell r="F150">
            <v>184.89062855643246</v>
          </cell>
          <cell r="G150">
            <v>42.306828176875555</v>
          </cell>
          <cell r="H150">
            <v>12.964646121570059</v>
          </cell>
          <cell r="I150">
            <v>4.2724964021609493</v>
          </cell>
          <cell r="J150">
            <v>26.788938157779448</v>
          </cell>
          <cell r="K150">
            <v>4.598414925606976</v>
          </cell>
        </row>
        <row r="151">
          <cell r="B151" t="str">
            <v>Management Labor Costs for Quality Assurance</v>
          </cell>
          <cell r="C151">
            <v>808.36395582491605</v>
          </cell>
          <cell r="D151">
            <v>290.32</v>
          </cell>
          <cell r="E151">
            <v>262.62206802178491</v>
          </cell>
          <cell r="F151">
            <v>341.54246409929181</v>
          </cell>
          <cell r="G151">
            <v>52.24180383200067</v>
          </cell>
          <cell r="H151">
            <v>51.548646853210627</v>
          </cell>
          <cell r="I151">
            <v>101.45414834216119</v>
          </cell>
          <cell r="J151">
            <v>61.866712929565658</v>
          </cell>
          <cell r="K151">
            <v>12.995300601806093</v>
          </cell>
        </row>
        <row r="152">
          <cell r="B152" t="str">
            <v>Management Labor Costs for Logistics Information Systems</v>
          </cell>
          <cell r="C152">
            <v>1245.7900900708109</v>
          </cell>
          <cell r="D152">
            <v>4645.16</v>
          </cell>
          <cell r="E152">
            <v>1712.9681030073227</v>
          </cell>
          <cell r="F152">
            <v>571.65588596030932</v>
          </cell>
          <cell r="G152">
            <v>457.08031100376019</v>
          </cell>
          <cell r="H152">
            <v>747.67613247980796</v>
          </cell>
          <cell r="I152">
            <v>221.87895526497053</v>
          </cell>
          <cell r="J152">
            <v>185.59960123797205</v>
          </cell>
          <cell r="K152">
            <v>60.99830890738312</v>
          </cell>
        </row>
        <row r="153">
          <cell r="B153" t="str">
            <v>Management Labor Costs Other</v>
          </cell>
          <cell r="C153">
            <v>0</v>
          </cell>
          <cell r="D153">
            <v>10122.58</v>
          </cell>
          <cell r="E153">
            <v>22.249103982753958</v>
          </cell>
          <cell r="F153">
            <v>0</v>
          </cell>
          <cell r="G153">
            <v>5.1968237459803648</v>
          </cell>
          <cell r="H153">
            <v>0</v>
          </cell>
          <cell r="I153">
            <v>35.568443599952573</v>
          </cell>
          <cell r="J153">
            <v>0</v>
          </cell>
          <cell r="K153">
            <v>0</v>
          </cell>
        </row>
        <row r="154">
          <cell r="B154" t="str">
            <v>Management Operating Costs</v>
          </cell>
          <cell r="C154">
            <v>97.983592722374851</v>
          </cell>
          <cell r="D154">
            <v>0</v>
          </cell>
          <cell r="E154">
            <v>3283.8211945680196</v>
          </cell>
          <cell r="F154">
            <v>84.743250720999981</v>
          </cell>
          <cell r="G154">
            <v>348.47805521285244</v>
          </cell>
          <cell r="H154">
            <v>39.1658408117341</v>
          </cell>
          <cell r="I154">
            <v>10.438970545304814</v>
          </cell>
          <cell r="J154">
            <v>87.461115594570515</v>
          </cell>
          <cell r="K154">
            <v>7.8693390529583302</v>
          </cell>
        </row>
        <row r="155">
          <cell r="B155" t="str">
            <v>Management Costs: Misc</v>
          </cell>
          <cell r="C155">
            <v>538.9093038832774</v>
          </cell>
          <cell r="D155">
            <v>0</v>
          </cell>
          <cell r="E155">
            <v>0</v>
          </cell>
          <cell r="F155">
            <v>0</v>
          </cell>
          <cell r="G155">
            <v>0</v>
          </cell>
          <cell r="H155">
            <v>0</v>
          </cell>
          <cell r="I155">
            <v>0</v>
          </cell>
          <cell r="J155">
            <v>0</v>
          </cell>
          <cell r="K155">
            <v>0</v>
          </cell>
        </row>
        <row r="161">
          <cell r="B161" t="str">
            <v>Procurement Costs: Labor</v>
          </cell>
          <cell r="C161">
            <v>0</v>
          </cell>
          <cell r="D161">
            <v>0</v>
          </cell>
          <cell r="E161">
            <v>0</v>
          </cell>
          <cell r="F161">
            <v>0</v>
          </cell>
          <cell r="G161">
            <v>0</v>
          </cell>
          <cell r="H161">
            <v>0</v>
          </cell>
          <cell r="I161">
            <v>0</v>
          </cell>
          <cell r="J161">
            <v>0</v>
          </cell>
          <cell r="K161">
            <v>0</v>
          </cell>
        </row>
        <row r="162">
          <cell r="B162" t="str">
            <v>Procurement Costs: Misc</v>
          </cell>
          <cell r="C162">
            <v>0</v>
          </cell>
          <cell r="D162">
            <v>188742.27</v>
          </cell>
          <cell r="E162">
            <v>0</v>
          </cell>
          <cell r="F162">
            <v>0</v>
          </cell>
          <cell r="G162">
            <v>0</v>
          </cell>
          <cell r="H162">
            <v>0</v>
          </cell>
          <cell r="I162">
            <v>0</v>
          </cell>
          <cell r="J162">
            <v>0</v>
          </cell>
          <cell r="K162">
            <v>0</v>
          </cell>
        </row>
        <row r="163">
          <cell r="B163" t="str">
            <v>Storage Costs: Labor</v>
          </cell>
          <cell r="C163">
            <v>0</v>
          </cell>
          <cell r="D163">
            <v>13935.48</v>
          </cell>
          <cell r="E163">
            <v>8559.7615128595698</v>
          </cell>
          <cell r="F163">
            <v>324.54528050357879</v>
          </cell>
          <cell r="G163">
            <v>109.35183304100838</v>
          </cell>
          <cell r="H163">
            <v>5022.2515878025897</v>
          </cell>
          <cell r="I163">
            <v>152.68730467304687</v>
          </cell>
          <cell r="J163">
            <v>187.26161518302553</v>
          </cell>
          <cell r="K163">
            <v>19.956515273454748</v>
          </cell>
        </row>
        <row r="164">
          <cell r="B164" t="str">
            <v>Storage Costs: Space</v>
          </cell>
          <cell r="C164">
            <v>0</v>
          </cell>
          <cell r="D164">
            <v>18580.650000000001</v>
          </cell>
          <cell r="E164">
            <v>3084.8286063098249</v>
          </cell>
          <cell r="F164">
            <v>101.92003498242727</v>
          </cell>
          <cell r="G164">
            <v>43.613263525192352</v>
          </cell>
          <cell r="H164">
            <v>420.61908133313125</v>
          </cell>
          <cell r="I164">
            <v>19.837078864232897</v>
          </cell>
          <cell r="J164">
            <v>30.220470650218552</v>
          </cell>
          <cell r="K164">
            <v>7.632972409697488</v>
          </cell>
        </row>
        <row r="165">
          <cell r="B165" t="str">
            <v>Storage Costs: Equipment</v>
          </cell>
          <cell r="C165">
            <v>0</v>
          </cell>
          <cell r="D165">
            <v>1002.49</v>
          </cell>
          <cell r="E165">
            <v>88.186125910987101</v>
          </cell>
          <cell r="F165">
            <v>110.31449688650977</v>
          </cell>
          <cell r="G165">
            <v>19.673692901155107</v>
          </cell>
          <cell r="H165">
            <v>112.59018586734054</v>
          </cell>
          <cell r="I165">
            <v>41.821185227503214</v>
          </cell>
          <cell r="J165">
            <v>12.243597166937704</v>
          </cell>
          <cell r="K165">
            <v>2.1592989779732581</v>
          </cell>
        </row>
        <row r="166">
          <cell r="B166" t="str">
            <v>Transport Costs: Labor</v>
          </cell>
          <cell r="C166">
            <v>0</v>
          </cell>
          <cell r="D166">
            <v>0</v>
          </cell>
          <cell r="E166">
            <v>2221.0595900042981</v>
          </cell>
          <cell r="F166">
            <v>305.11348293651133</v>
          </cell>
          <cell r="G166">
            <v>5.0594603404278571</v>
          </cell>
          <cell r="H166">
            <v>71.791113991113704</v>
          </cell>
          <cell r="I166">
            <v>9.5621308998386993</v>
          </cell>
          <cell r="J166">
            <v>63.28997154894742</v>
          </cell>
          <cell r="K166">
            <v>2.4384839723817597</v>
          </cell>
        </row>
        <row r="167">
          <cell r="B167" t="str">
            <v>Transport Costs: Per Diems</v>
          </cell>
          <cell r="C167">
            <v>0</v>
          </cell>
          <cell r="D167">
            <v>0</v>
          </cell>
          <cell r="E167">
            <v>36.994530423623395</v>
          </cell>
          <cell r="F167">
            <v>19.217885043289112</v>
          </cell>
          <cell r="G167">
            <v>0.42780178661493451</v>
          </cell>
          <cell r="H167">
            <v>3.933519216564854</v>
          </cell>
          <cell r="I167">
            <v>43.386403307396854</v>
          </cell>
          <cell r="J167">
            <v>0</v>
          </cell>
          <cell r="K167">
            <v>0</v>
          </cell>
        </row>
        <row r="168">
          <cell r="B168" t="str">
            <v>Transport Costs: Fuel</v>
          </cell>
          <cell r="C168">
            <v>0</v>
          </cell>
          <cell r="D168">
            <v>0</v>
          </cell>
          <cell r="E168">
            <v>428.62778582770312</v>
          </cell>
          <cell r="F168">
            <v>61.444026669403904</v>
          </cell>
          <cell r="G168">
            <v>4.737181845243768</v>
          </cell>
          <cell r="H168">
            <v>30.493913251455353</v>
          </cell>
          <cell r="I168">
            <v>1.1627124448041579</v>
          </cell>
          <cell r="J168">
            <v>28.128399823030708</v>
          </cell>
          <cell r="K168">
            <v>0.4353237289229373</v>
          </cell>
        </row>
        <row r="169">
          <cell r="B169" t="str">
            <v>Transport Costs: Equipment</v>
          </cell>
          <cell r="C169">
            <v>0</v>
          </cell>
          <cell r="D169">
            <v>0</v>
          </cell>
          <cell r="E169">
            <v>548.08510019873245</v>
          </cell>
          <cell r="F169">
            <v>144.92193578428262</v>
          </cell>
          <cell r="G169">
            <v>6.9882368747394867</v>
          </cell>
          <cell r="H169">
            <v>11.243513815862746</v>
          </cell>
          <cell r="I169">
            <v>6.2908356261179392</v>
          </cell>
          <cell r="J169">
            <v>8.6752893638732953</v>
          </cell>
          <cell r="K169">
            <v>0</v>
          </cell>
        </row>
        <row r="170">
          <cell r="B170" t="str">
            <v>Transport Costs: Vehicle</v>
          </cell>
          <cell r="C170">
            <v>0</v>
          </cell>
          <cell r="D170">
            <v>0</v>
          </cell>
          <cell r="E170">
            <v>1046.1395399474238</v>
          </cell>
          <cell r="F170">
            <v>514.1503156688849</v>
          </cell>
          <cell r="G170">
            <v>2.3083100594144175</v>
          </cell>
          <cell r="H170">
            <v>234.17710808175673</v>
          </cell>
          <cell r="I170">
            <v>8.0283066509065755</v>
          </cell>
          <cell r="J170">
            <v>56.829934847239407</v>
          </cell>
          <cell r="K170">
            <v>0.20046157344799051</v>
          </cell>
        </row>
        <row r="171">
          <cell r="B171" t="str">
            <v>Transport Costs: Misc</v>
          </cell>
          <cell r="C171">
            <v>0</v>
          </cell>
          <cell r="D171">
            <v>0</v>
          </cell>
          <cell r="E171">
            <v>1507.6476457998187</v>
          </cell>
          <cell r="F171">
            <v>306.10735416836775</v>
          </cell>
          <cell r="G171">
            <v>12.579772141254892</v>
          </cell>
          <cell r="H171">
            <v>9.439344223186076</v>
          </cell>
          <cell r="I171">
            <v>9.8393494606683323</v>
          </cell>
          <cell r="J171">
            <v>0</v>
          </cell>
          <cell r="K171">
            <v>0.32982480049350177</v>
          </cell>
        </row>
        <row r="172">
          <cell r="B172" t="str">
            <v>Management Labor Costs for Quantification</v>
          </cell>
          <cell r="C172">
            <v>146.97538908356228</v>
          </cell>
          <cell r="D172">
            <v>516.13</v>
          </cell>
          <cell r="E172">
            <v>364.63033919395787</v>
          </cell>
          <cell r="F172">
            <v>86.478007139467877</v>
          </cell>
          <cell r="G172">
            <v>160.29255888746093</v>
          </cell>
          <cell r="H172">
            <v>187.57778843873302</v>
          </cell>
          <cell r="I172">
            <v>14.989390016555166</v>
          </cell>
          <cell r="J172">
            <v>14.550004393066182</v>
          </cell>
          <cell r="K172">
            <v>10.618027949611909</v>
          </cell>
        </row>
        <row r="173">
          <cell r="B173" t="str">
            <v>Management Labor Costs for Logistics Training</v>
          </cell>
          <cell r="C173">
            <v>808.36395582491605</v>
          </cell>
          <cell r="D173">
            <v>1.61</v>
          </cell>
          <cell r="E173">
            <v>99.630511989792723</v>
          </cell>
          <cell r="F173">
            <v>184.89062855643246</v>
          </cell>
          <cell r="G173">
            <v>42.306828176875555</v>
          </cell>
          <cell r="H173">
            <v>12.964646121570059</v>
          </cell>
          <cell r="I173">
            <v>4.2724964021609493</v>
          </cell>
          <cell r="J173">
            <v>26.788938157779448</v>
          </cell>
          <cell r="K173">
            <v>4.598414925606976</v>
          </cell>
        </row>
        <row r="174">
          <cell r="B174" t="str">
            <v>Management Labor Costs for Quality Assurance</v>
          </cell>
          <cell r="C174">
            <v>808.36395582491605</v>
          </cell>
          <cell r="D174">
            <v>290.32</v>
          </cell>
          <cell r="E174">
            <v>262.62206802178491</v>
          </cell>
          <cell r="F174">
            <v>341.54246409929181</v>
          </cell>
          <cell r="G174">
            <v>52.24180383200067</v>
          </cell>
          <cell r="H174">
            <v>51.548646853210627</v>
          </cell>
          <cell r="I174">
            <v>101.45414834216119</v>
          </cell>
          <cell r="J174">
            <v>61.866712929565658</v>
          </cell>
          <cell r="K174">
            <v>12.995300601806093</v>
          </cell>
        </row>
        <row r="175">
          <cell r="B175" t="str">
            <v>Management Labor Costs for Logistics Information Systems</v>
          </cell>
          <cell r="C175">
            <v>1245.7900900708109</v>
          </cell>
          <cell r="D175">
            <v>4645.16</v>
          </cell>
          <cell r="E175">
            <v>1712.9681030073227</v>
          </cell>
          <cell r="F175">
            <v>571.65588596030932</v>
          </cell>
          <cell r="G175">
            <v>457.08031100376019</v>
          </cell>
          <cell r="H175">
            <v>747.67613247980796</v>
          </cell>
          <cell r="I175">
            <v>221.87895526497053</v>
          </cell>
          <cell r="J175">
            <v>185.59960123797205</v>
          </cell>
          <cell r="K175">
            <v>60.99830890738312</v>
          </cell>
        </row>
        <row r="176">
          <cell r="B176" t="str">
            <v>Management Labor Costs Other</v>
          </cell>
          <cell r="C176">
            <v>0</v>
          </cell>
          <cell r="D176">
            <v>10122.58</v>
          </cell>
          <cell r="E176">
            <v>22.249103982753958</v>
          </cell>
          <cell r="F176">
            <v>0</v>
          </cell>
          <cell r="G176">
            <v>5.1968237459803648</v>
          </cell>
          <cell r="H176">
            <v>0</v>
          </cell>
          <cell r="I176">
            <v>35.568443599952573</v>
          </cell>
          <cell r="J176">
            <v>0</v>
          </cell>
          <cell r="K176">
            <v>0</v>
          </cell>
        </row>
        <row r="177">
          <cell r="B177" t="str">
            <v>Management Operating Costs</v>
          </cell>
          <cell r="C177">
            <v>97.983592722374851</v>
          </cell>
          <cell r="D177">
            <v>0</v>
          </cell>
          <cell r="E177">
            <v>3283.8211945680196</v>
          </cell>
          <cell r="F177">
            <v>84.743250720999981</v>
          </cell>
          <cell r="G177">
            <v>348.47805521285244</v>
          </cell>
          <cell r="H177">
            <v>39.1658408117341</v>
          </cell>
          <cell r="I177">
            <v>10.438970545304814</v>
          </cell>
          <cell r="J177">
            <v>87.461115594570515</v>
          </cell>
          <cell r="K177">
            <v>7.8693390529583302</v>
          </cell>
        </row>
        <row r="178">
          <cell r="B178" t="str">
            <v>Management Costs: Misc</v>
          </cell>
          <cell r="C178">
            <v>538.9093038832774</v>
          </cell>
          <cell r="D178">
            <v>0</v>
          </cell>
          <cell r="E178">
            <v>0</v>
          </cell>
          <cell r="F178">
            <v>0</v>
          </cell>
          <cell r="G178">
            <v>0</v>
          </cell>
          <cell r="H178">
            <v>0</v>
          </cell>
          <cell r="I178">
            <v>0</v>
          </cell>
          <cell r="J178">
            <v>0</v>
          </cell>
          <cell r="K178">
            <v>0</v>
          </cell>
        </row>
        <row r="179">
          <cell r="B179" t="str">
            <v>Total</v>
          </cell>
          <cell r="C179">
            <v>3646.3862874098577</v>
          </cell>
          <cell r="D179">
            <v>237836.68999999997</v>
          </cell>
          <cell r="E179">
            <v>23267.251758045611</v>
          </cell>
          <cell r="F179">
            <v>3157.0450491197571</v>
          </cell>
          <cell r="G179">
            <v>1270.3359333739813</v>
          </cell>
          <cell r="H179">
            <v>6955.4724222880559</v>
          </cell>
          <cell r="I179">
            <v>681.21771132562094</v>
          </cell>
          <cell r="J179">
            <v>762.91565089622645</v>
          </cell>
          <cell r="K179">
            <v>130.23227217373812</v>
          </cell>
        </row>
        <row r="180">
          <cell r="B180" t="str">
            <v>Check</v>
          </cell>
          <cell r="C180">
            <v>0</v>
          </cell>
          <cell r="D180">
            <v>0</v>
          </cell>
          <cell r="E180">
            <v>0</v>
          </cell>
          <cell r="F180">
            <v>0</v>
          </cell>
          <cell r="G180">
            <v>0</v>
          </cell>
          <cell r="H180">
            <v>0</v>
          </cell>
          <cell r="I180">
            <v>0</v>
          </cell>
          <cell r="J180">
            <v>0</v>
          </cell>
          <cell r="K180">
            <v>0</v>
          </cell>
        </row>
        <row r="206">
          <cell r="B206" t="str">
            <v>PNI</v>
          </cell>
          <cell r="C206" t="str">
            <v>Gestion Nacional</v>
          </cell>
          <cell r="D206" t="str">
            <v>Programa Nacional</v>
          </cell>
          <cell r="E206" t="str">
            <v>Almacen de Area</v>
          </cell>
          <cell r="F206" t="str">
            <v>Almacen de Municipio</v>
          </cell>
          <cell r="G206" t="str">
            <v>Hospital</v>
          </cell>
          <cell r="H206" t="str">
            <v>Centro de Salud</v>
          </cell>
          <cell r="I206" t="str">
            <v>Puesto de Salud</v>
          </cell>
          <cell r="J206" t="str">
            <v>Almacen PEC</v>
          </cell>
          <cell r="K206" t="str">
            <v>Centro de Convergencia (PEC)</v>
          </cell>
        </row>
        <row r="207">
          <cell r="B207" t="str">
            <v>Total value of commodities passing through</v>
          </cell>
          <cell r="C207">
            <v>14902034.74362245</v>
          </cell>
          <cell r="D207">
            <v>14902034.74362245</v>
          </cell>
          <cell r="E207">
            <v>3679956.3781887759</v>
          </cell>
          <cell r="F207">
            <v>794420.77695784194</v>
          </cell>
          <cell r="G207">
            <v>118376.68303571429</v>
          </cell>
          <cell r="H207">
            <v>557108.08454755612</v>
          </cell>
          <cell r="I207">
            <v>139913.85297133078</v>
          </cell>
          <cell r="J207">
            <v>42868.192989941133</v>
          </cell>
          <cell r="K207">
            <v>8198.4002868472071</v>
          </cell>
        </row>
        <row r="208">
          <cell r="B208" t="str">
            <v>Total volume of commodities passing through (m3)</v>
          </cell>
          <cell r="C208">
            <v>526.72261678935854</v>
          </cell>
          <cell r="D208">
            <v>526.72261678935854</v>
          </cell>
          <cell r="E208">
            <v>122.07922368186291</v>
          </cell>
          <cell r="F208">
            <v>25.862561383316326</v>
          </cell>
          <cell r="G208">
            <v>4.1888771975823467</v>
          </cell>
          <cell r="H208">
            <v>17.526247632687141</v>
          </cell>
          <cell r="I208">
            <v>3.395629712400424</v>
          </cell>
          <cell r="J208">
            <v>1.3610240146055548</v>
          </cell>
          <cell r="K208">
            <v>0.19897051662121595</v>
          </cell>
        </row>
        <row r="209">
          <cell r="B209" t="str">
            <v>Total weight of commodities passing through (kg)</v>
          </cell>
          <cell r="C209">
            <v>116811.1984439111</v>
          </cell>
          <cell r="D209">
            <v>116811.1984439111</v>
          </cell>
          <cell r="E209">
            <v>28609.552949744444</v>
          </cell>
          <cell r="F209">
            <v>5624.0460381957091</v>
          </cell>
          <cell r="G209">
            <v>1236.0670178555552</v>
          </cell>
          <cell r="H209">
            <v>4668.7110766272463</v>
          </cell>
          <cell r="I209">
            <v>731.14598195615918</v>
          </cell>
          <cell r="J209">
            <v>291.1780775509784</v>
          </cell>
          <cell r="K209">
            <v>42.842272590583406</v>
          </cell>
        </row>
        <row r="211">
          <cell r="B211" t="str">
            <v>Procurement Costs</v>
          </cell>
          <cell r="C211">
            <v>0</v>
          </cell>
          <cell r="D211">
            <v>723385.37</v>
          </cell>
          <cell r="E211">
            <v>0</v>
          </cell>
          <cell r="F211">
            <v>0</v>
          </cell>
          <cell r="G211">
            <v>0</v>
          </cell>
          <cell r="H211">
            <v>0</v>
          </cell>
          <cell r="I211">
            <v>0</v>
          </cell>
          <cell r="J211">
            <v>0</v>
          </cell>
          <cell r="K211">
            <v>0</v>
          </cell>
        </row>
        <row r="212">
          <cell r="B212" t="str">
            <v>Storage Costs</v>
          </cell>
          <cell r="C212">
            <v>0</v>
          </cell>
          <cell r="D212">
            <v>104223.98999999999</v>
          </cell>
          <cell r="E212">
            <v>31698.201754626978</v>
          </cell>
          <cell r="F212">
            <v>4035.1283047718716</v>
          </cell>
          <cell r="G212">
            <v>686.62737424489455</v>
          </cell>
          <cell r="H212">
            <v>17669.700327488797</v>
          </cell>
          <cell r="I212">
            <v>4681.7240629523058</v>
          </cell>
          <cell r="J212">
            <v>1145.7069542671204</v>
          </cell>
          <cell r="K212">
            <v>469.5093791872161</v>
          </cell>
        </row>
        <row r="213">
          <cell r="B213" t="str">
            <v>Transport Costs</v>
          </cell>
          <cell r="C213">
            <v>0</v>
          </cell>
          <cell r="D213">
            <v>4073.4700000000003</v>
          </cell>
          <cell r="E213">
            <v>19330.980986138864</v>
          </cell>
          <cell r="F213">
            <v>3854.8508403548972</v>
          </cell>
          <cell r="G213">
            <v>237.49078949599163</v>
          </cell>
          <cell r="H213">
            <v>1212.3985581622269</v>
          </cell>
          <cell r="I213">
            <v>597.93324488775727</v>
          </cell>
          <cell r="J213">
            <v>304.29538160131631</v>
          </cell>
          <cell r="K213">
            <v>27.742885954003224</v>
          </cell>
        </row>
        <row r="214">
          <cell r="B214" t="str">
            <v>Management Costs</v>
          </cell>
          <cell r="C214">
            <v>41068.98651545235</v>
          </cell>
          <cell r="D214">
            <v>13759.59</v>
          </cell>
          <cell r="E214">
            <v>65252.231963086648</v>
          </cell>
          <cell r="F214">
            <v>12279.596321321153</v>
          </cell>
          <cell r="G214">
            <v>4021.8748429453763</v>
          </cell>
          <cell r="H214">
            <v>10376.243552776679</v>
          </cell>
          <cell r="I214">
            <v>11926.765139854733</v>
          </cell>
          <cell r="J214">
            <v>1494.7387024400277</v>
          </cell>
          <cell r="K214">
            <v>1514.3701919805546</v>
          </cell>
        </row>
        <row r="215">
          <cell r="B215" t="str">
            <v>Total Costs</v>
          </cell>
          <cell r="C215">
            <v>41068.98651545235</v>
          </cell>
          <cell r="D215">
            <v>845442.41999999993</v>
          </cell>
          <cell r="E215">
            <v>116281.4147038525</v>
          </cell>
          <cell r="F215">
            <v>20169.575466447921</v>
          </cell>
          <cell r="G215">
            <v>4945.9930066862626</v>
          </cell>
          <cell r="H215">
            <v>29258.342438427702</v>
          </cell>
          <cell r="I215">
            <v>17206.422447694797</v>
          </cell>
          <cell r="J215">
            <v>2944.7410383084643</v>
          </cell>
          <cell r="K215">
            <v>2011.622457121774</v>
          </cell>
        </row>
        <row r="217">
          <cell r="B217" t="str">
            <v>Cost per $ of annual pass through</v>
          </cell>
          <cell r="C217">
            <v>2.7559314698973199E-3</v>
          </cell>
          <cell r="D217">
            <v>5.6733354507968764E-2</v>
          </cell>
          <cell r="E217">
            <v>3.1598585079175484E-2</v>
          </cell>
          <cell r="F217">
            <v>2.5389033181742016E-2</v>
          </cell>
          <cell r="G217">
            <v>4.1781817836491118E-2</v>
          </cell>
          <cell r="H217">
            <v>5.2518251394950165E-2</v>
          </cell>
          <cell r="I217">
            <v>0.12297869068919501</v>
          </cell>
          <cell r="J217">
            <v>6.8692912691688146E-2</v>
          </cell>
          <cell r="K217">
            <v>0.24536767988128663</v>
          </cell>
        </row>
        <row r="218">
          <cell r="B218" t="str">
            <v>Cost per m3 of annual pass through</v>
          </cell>
          <cell r="C218">
            <v>77.970805137984485</v>
          </cell>
          <cell r="D218">
            <v>1605.0999008802778</v>
          </cell>
          <cell r="E218">
            <v>952.5078158006686</v>
          </cell>
          <cell r="F218">
            <v>779.8754024208564</v>
          </cell>
          <cell r="G218">
            <v>1180.7443315695416</v>
          </cell>
          <cell r="H218">
            <v>1669.4014059153051</v>
          </cell>
          <cell r="I218">
            <v>5067.225788742232</v>
          </cell>
          <cell r="J218">
            <v>2163.6216603877447</v>
          </cell>
          <cell r="K218">
            <v>10110.153460330703</v>
          </cell>
        </row>
        <row r="219">
          <cell r="B219" t="str">
            <v>Cost per kg of annual pass through</v>
          </cell>
          <cell r="C219">
            <v>0.35158432635354159</v>
          </cell>
          <cell r="D219">
            <v>7.2376829555939679</v>
          </cell>
          <cell r="E219">
            <v>4.0644261344493042</v>
          </cell>
          <cell r="F219">
            <v>3.5863105190580318</v>
          </cell>
          <cell r="G219">
            <v>4.0013955030262309</v>
          </cell>
          <cell r="H219">
            <v>6.2668993557777428</v>
          </cell>
          <cell r="I219">
            <v>23.533497922890213</v>
          </cell>
          <cell r="J219">
            <v>10.113196237422475</v>
          </cell>
          <cell r="K219">
            <v>46.954149149499649</v>
          </cell>
        </row>
        <row r="221">
          <cell r="B221" t="str">
            <v>Procurement costs per $ of Commodities</v>
          </cell>
          <cell r="C221">
            <v>0</v>
          </cell>
          <cell r="D221">
            <v>4.8542724698020429E-2</v>
          </cell>
          <cell r="E221">
            <v>0</v>
          </cell>
          <cell r="F221">
            <v>0</v>
          </cell>
          <cell r="G221">
            <v>0</v>
          </cell>
          <cell r="H221">
            <v>0</v>
          </cell>
          <cell r="I221">
            <v>0</v>
          </cell>
          <cell r="J221">
            <v>0</v>
          </cell>
          <cell r="K221">
            <v>0</v>
          </cell>
        </row>
        <row r="222">
          <cell r="B222" t="str">
            <v>Storage costs per $ of commodities</v>
          </cell>
          <cell r="C222">
            <v>0</v>
          </cell>
          <cell r="D222">
            <v>6.9939435649621082E-3</v>
          </cell>
          <cell r="E222">
            <v>8.6137438863415003E-3</v>
          </cell>
          <cell r="F222">
            <v>5.0793338011928743E-3</v>
          </cell>
          <cell r="G222">
            <v>5.8003599749263017E-3</v>
          </cell>
          <cell r="H222">
            <v>3.171682626332533E-2</v>
          </cell>
          <cell r="I222">
            <v>3.3461476212163353E-2</v>
          </cell>
          <cell r="J222">
            <v>2.6726271259811592E-2</v>
          </cell>
          <cell r="K222">
            <v>5.7268413685588847E-2</v>
          </cell>
        </row>
        <row r="223">
          <cell r="B223" t="str">
            <v>Transport costs per $ of Commodities</v>
          </cell>
          <cell r="C223">
            <v>0</v>
          </cell>
          <cell r="D223">
            <v>2.7334991966404472E-4</v>
          </cell>
          <cell r="E223">
            <v>5.2530462319374848E-3</v>
          </cell>
          <cell r="F223">
            <v>4.8524043582000437E-3</v>
          </cell>
          <cell r="G223">
            <v>2.0062294651755075E-3</v>
          </cell>
          <cell r="H223">
            <v>2.1762358001802314E-3</v>
          </cell>
          <cell r="I223">
            <v>4.2735814373597268E-3</v>
          </cell>
          <cell r="J223">
            <v>7.0983953457687873E-3</v>
          </cell>
          <cell r="K223">
            <v>3.3839389372718812E-3</v>
          </cell>
        </row>
        <row r="224">
          <cell r="B224" t="str">
            <v>Management costs per $ of Commodities</v>
          </cell>
          <cell r="C224">
            <v>2.7559314698973199E-3</v>
          </cell>
          <cell r="D224">
            <v>9.2333632532219287E-4</v>
          </cell>
          <cell r="E224">
            <v>1.7731794960896493E-2</v>
          </cell>
          <cell r="F224">
            <v>1.5457295022349098E-2</v>
          </cell>
          <cell r="G224">
            <v>3.3975228396389306E-2</v>
          </cell>
          <cell r="H224">
            <v>1.8625189331444601E-2</v>
          </cell>
          <cell r="I224">
            <v>8.5243633039671932E-2</v>
          </cell>
          <cell r="J224">
            <v>3.4868246086107779E-2</v>
          </cell>
          <cell r="K224">
            <v>0.1847153272584259</v>
          </cell>
        </row>
        <row r="226">
          <cell r="B226" t="str">
            <v>Procurement Costs</v>
          </cell>
        </row>
        <row r="227">
          <cell r="B227" t="str">
            <v>Procurement Costs: Labor</v>
          </cell>
          <cell r="C227">
            <v>0</v>
          </cell>
          <cell r="D227">
            <v>895.14</v>
          </cell>
          <cell r="E227">
            <v>0</v>
          </cell>
          <cell r="F227">
            <v>0</v>
          </cell>
          <cell r="G227">
            <v>0</v>
          </cell>
          <cell r="H227">
            <v>0</v>
          </cell>
          <cell r="I227">
            <v>0</v>
          </cell>
          <cell r="J227">
            <v>0</v>
          </cell>
          <cell r="K227">
            <v>0</v>
          </cell>
        </row>
        <row r="228">
          <cell r="B228" t="str">
            <v>Procurement Costs: Misc</v>
          </cell>
          <cell r="C228">
            <v>0</v>
          </cell>
          <cell r="D228">
            <v>722490.23</v>
          </cell>
          <cell r="E228">
            <v>0</v>
          </cell>
          <cell r="F228">
            <v>0</v>
          </cell>
          <cell r="G228">
            <v>0</v>
          </cell>
          <cell r="H228">
            <v>0</v>
          </cell>
          <cell r="I228">
            <v>0</v>
          </cell>
          <cell r="J228">
            <v>0</v>
          </cell>
          <cell r="K228">
            <v>0</v>
          </cell>
        </row>
        <row r="229">
          <cell r="B229" t="str">
            <v>Cost per $1 of procured commodities</v>
          </cell>
        </row>
        <row r="231">
          <cell r="B231" t="str">
            <v>Storage Costs</v>
          </cell>
        </row>
        <row r="232">
          <cell r="B232" t="str">
            <v>Storage Costs: Labor</v>
          </cell>
          <cell r="C232">
            <v>0</v>
          </cell>
          <cell r="D232">
            <v>32992.33</v>
          </cell>
          <cell r="E232">
            <v>16690.757447684864</v>
          </cell>
          <cell r="F232">
            <v>1101.5051351213551</v>
          </cell>
          <cell r="G232">
            <v>105.18376099329426</v>
          </cell>
          <cell r="H232">
            <v>13479.244971726539</v>
          </cell>
          <cell r="I232">
            <v>3207.1448156754186</v>
          </cell>
          <cell r="J232">
            <v>603.56849984349208</v>
          </cell>
          <cell r="K232">
            <v>138.7172846909086</v>
          </cell>
        </row>
        <row r="233">
          <cell r="B233" t="str">
            <v>Storage Costs: Space</v>
          </cell>
          <cell r="C233">
            <v>0</v>
          </cell>
          <cell r="D233">
            <v>9180.98</v>
          </cell>
          <cell r="E233">
            <v>7987.9511925418019</v>
          </cell>
          <cell r="F233">
            <v>1260.555302176014</v>
          </cell>
          <cell r="G233">
            <v>132.87451600092749</v>
          </cell>
          <cell r="H233">
            <v>2025.0932394260008</v>
          </cell>
          <cell r="I233">
            <v>439.13023046230302</v>
          </cell>
          <cell r="J233">
            <v>83.302105168762225</v>
          </cell>
          <cell r="K233">
            <v>34.439972814313542</v>
          </cell>
        </row>
        <row r="234">
          <cell r="B234" t="str">
            <v>Storage Costs: Equipment</v>
          </cell>
          <cell r="C234">
            <v>0</v>
          </cell>
          <cell r="D234">
            <v>62050.68</v>
          </cell>
          <cell r="E234">
            <v>7019.4931144003167</v>
          </cell>
          <cell r="F234">
            <v>1673.0678674745029</v>
          </cell>
          <cell r="G234">
            <v>448.56909725067288</v>
          </cell>
          <cell r="H234">
            <v>2165.3621163362577</v>
          </cell>
          <cell r="I234">
            <v>1035.449016814584</v>
          </cell>
          <cell r="J234">
            <v>458.83634925486604</v>
          </cell>
          <cell r="K234">
            <v>296.35212168199399</v>
          </cell>
        </row>
        <row r="235">
          <cell r="B235" t="str">
            <v>Cost per m3 for stored products</v>
          </cell>
        </row>
        <row r="236">
          <cell r="B236" t="str">
            <v>Cost per kg for stored products</v>
          </cell>
        </row>
        <row r="238">
          <cell r="B238" t="str">
            <v>Transport Costs</v>
          </cell>
        </row>
        <row r="239">
          <cell r="B239" t="str">
            <v>Transport Costs: Labor</v>
          </cell>
          <cell r="C239">
            <v>0</v>
          </cell>
          <cell r="D239">
            <v>1004.42</v>
          </cell>
          <cell r="E239">
            <v>6475.4281461497985</v>
          </cell>
          <cell r="F239">
            <v>691.85926453474849</v>
          </cell>
          <cell r="G239">
            <v>61.295770506750145</v>
          </cell>
          <cell r="H239">
            <v>382.42648578778557</v>
          </cell>
          <cell r="I239">
            <v>151.39737673112404</v>
          </cell>
          <cell r="J239">
            <v>137.79511879218217</v>
          </cell>
          <cell r="K239">
            <v>12.06792176913466</v>
          </cell>
        </row>
        <row r="240">
          <cell r="B240" t="str">
            <v>Transport Costs: Per Diems</v>
          </cell>
          <cell r="C240">
            <v>0</v>
          </cell>
          <cell r="D240">
            <v>0</v>
          </cell>
          <cell r="E240">
            <v>155.95761609474272</v>
          </cell>
          <cell r="F240">
            <v>83.3071861509342</v>
          </cell>
          <cell r="G240">
            <v>5.4576475520585594</v>
          </cell>
          <cell r="H240">
            <v>89.805074889520867</v>
          </cell>
          <cell r="I240">
            <v>145.00077841076862</v>
          </cell>
          <cell r="J240">
            <v>0</v>
          </cell>
          <cell r="K240">
            <v>0</v>
          </cell>
        </row>
        <row r="241">
          <cell r="B241" t="str">
            <v>Transport Costs: Fuel</v>
          </cell>
          <cell r="C241">
            <v>0</v>
          </cell>
          <cell r="D241">
            <v>0</v>
          </cell>
          <cell r="E241">
            <v>2095.2029647776799</v>
          </cell>
          <cell r="F241">
            <v>192.57243030262646</v>
          </cell>
          <cell r="G241">
            <v>63.130840196206591</v>
          </cell>
          <cell r="H241">
            <v>168.97336354014587</v>
          </cell>
          <cell r="I241">
            <v>10.304198623114857</v>
          </cell>
          <cell r="J241">
            <v>66.36812876183707</v>
          </cell>
          <cell r="K241">
            <v>6.5451338416612872</v>
          </cell>
        </row>
        <row r="242">
          <cell r="B242" t="str">
            <v>Transport Costs: Equipment</v>
          </cell>
          <cell r="C242">
            <v>0</v>
          </cell>
          <cell r="D242">
            <v>0</v>
          </cell>
          <cell r="E242">
            <v>2569.6862824251525</v>
          </cell>
          <cell r="F242">
            <v>591.74479228231303</v>
          </cell>
          <cell r="G242">
            <v>35.087727662888518</v>
          </cell>
          <cell r="H242">
            <v>116.2960465591737</v>
          </cell>
          <cell r="I242">
            <v>73.051995576157978</v>
          </cell>
          <cell r="J242">
            <v>12.55555430248894</v>
          </cell>
          <cell r="K242">
            <v>0</v>
          </cell>
        </row>
        <row r="243">
          <cell r="B243" t="str">
            <v>Transport Costs: Vehicle</v>
          </cell>
          <cell r="C243">
            <v>0</v>
          </cell>
          <cell r="D243">
            <v>0</v>
          </cell>
          <cell r="E243">
            <v>4212.2628786642799</v>
          </cell>
          <cell r="F243">
            <v>1649.4144473773877</v>
          </cell>
          <cell r="G243">
            <v>18.368560194054194</v>
          </cell>
          <cell r="H243">
            <v>433.93196788838878</v>
          </cell>
          <cell r="I243">
            <v>79.932329834907989</v>
          </cell>
          <cell r="J243">
            <v>87.576579744808157</v>
          </cell>
          <cell r="K243">
            <v>7.3084117808771722</v>
          </cell>
        </row>
        <row r="244">
          <cell r="B244" t="str">
            <v>Transport Costs: Misc</v>
          </cell>
          <cell r="C244">
            <v>0</v>
          </cell>
          <cell r="D244">
            <v>3069.05</v>
          </cell>
          <cell r="E244">
            <v>3822.4430980272136</v>
          </cell>
          <cell r="F244">
            <v>645.95271970688759</v>
          </cell>
          <cell r="G244">
            <v>54.150243384033615</v>
          </cell>
          <cell r="H244">
            <v>20.965619497212145</v>
          </cell>
          <cell r="I244">
            <v>138.24656571168379</v>
          </cell>
          <cell r="J244">
            <v>0</v>
          </cell>
          <cell r="K244">
            <v>1.821418562330102</v>
          </cell>
        </row>
        <row r="245">
          <cell r="B245" t="str">
            <v>Cost per m3 for transported products</v>
          </cell>
        </row>
        <row r="246">
          <cell r="B246" t="str">
            <v>Cost per kg for transported products</v>
          </cell>
        </row>
        <row r="247">
          <cell r="B247" t="str">
            <v>Total Km</v>
          </cell>
        </row>
        <row r="249">
          <cell r="B249" t="str">
            <v>Management Costs</v>
          </cell>
        </row>
        <row r="250">
          <cell r="B250" t="str">
            <v>Management Labor Costs for Quantification</v>
          </cell>
          <cell r="C250">
            <v>1655.3732371190531</v>
          </cell>
          <cell r="D250">
            <v>351.66</v>
          </cell>
          <cell r="E250">
            <v>7198.9494415938207</v>
          </cell>
          <cell r="F250">
            <v>856.15845503608807</v>
          </cell>
          <cell r="G250">
            <v>172.39267007262757</v>
          </cell>
          <cell r="H250">
            <v>1051.9374123441191</v>
          </cell>
          <cell r="I250">
            <v>386.9781033833583</v>
          </cell>
          <cell r="J250">
            <v>94.862595900766919</v>
          </cell>
          <cell r="K250">
            <v>240.28166092010957</v>
          </cell>
        </row>
        <row r="251">
          <cell r="B251" t="str">
            <v>Management Labor Costs for Logistics Training</v>
          </cell>
          <cell r="C251">
            <v>9104.5450987951335</v>
          </cell>
          <cell r="D251">
            <v>0</v>
          </cell>
          <cell r="E251">
            <v>5999.8100045812216</v>
          </cell>
          <cell r="F251">
            <v>2111.0471743165954</v>
          </cell>
          <cell r="G251">
            <v>149.35632919520074</v>
          </cell>
          <cell r="H251">
            <v>141.38777324104879</v>
          </cell>
          <cell r="I251">
            <v>117.38483065684828</v>
          </cell>
          <cell r="J251">
            <v>214.91897290137177</v>
          </cell>
          <cell r="K251">
            <v>89.752615502696742</v>
          </cell>
        </row>
        <row r="252">
          <cell r="B252" t="str">
            <v>Management Labor Costs for Quality Assurance</v>
          </cell>
          <cell r="C252">
            <v>9104.5450987951335</v>
          </cell>
          <cell r="D252">
            <v>0</v>
          </cell>
          <cell r="E252">
            <v>2627.0564914120509</v>
          </cell>
          <cell r="F252">
            <v>2900.7249550328033</v>
          </cell>
          <cell r="G252">
            <v>33.393670529208329</v>
          </cell>
          <cell r="H252">
            <v>1504.6863733143659</v>
          </cell>
          <cell r="I252">
            <v>2475.925041151133</v>
          </cell>
          <cell r="J252">
            <v>218.88145402926938</v>
          </cell>
          <cell r="K252">
            <v>210.96144325212117</v>
          </cell>
        </row>
        <row r="253">
          <cell r="B253" t="str">
            <v>Management Labor Costs for Logistics Information Systems</v>
          </cell>
          <cell r="C253">
            <v>14031.244190133575</v>
          </cell>
          <cell r="D253">
            <v>13407.93</v>
          </cell>
          <cell r="E253">
            <v>19195.767645673728</v>
          </cell>
          <cell r="F253">
            <v>5596.2094075056366</v>
          </cell>
          <cell r="G253">
            <v>879.74891693505606</v>
          </cell>
          <cell r="H253">
            <v>7212.0801253644386</v>
          </cell>
          <cell r="I253">
            <v>7873.1999943828287</v>
          </cell>
          <cell r="J253">
            <v>656.6424602592042</v>
          </cell>
          <cell r="K253">
            <v>883.11046020859487</v>
          </cell>
        </row>
        <row r="254">
          <cell r="B254" t="str">
            <v>Management Labor Costs Other</v>
          </cell>
          <cell r="C254">
            <v>0</v>
          </cell>
          <cell r="D254">
            <v>0</v>
          </cell>
          <cell r="E254">
            <v>531.42552027701663</v>
          </cell>
          <cell r="F254">
            <v>0</v>
          </cell>
          <cell r="G254">
            <v>67.606565192604691</v>
          </cell>
          <cell r="H254">
            <v>0</v>
          </cell>
          <cell r="I254">
            <v>915.38615236514124</v>
          </cell>
          <cell r="J254">
            <v>0</v>
          </cell>
          <cell r="K254">
            <v>0</v>
          </cell>
        </row>
        <row r="255">
          <cell r="B255" t="str">
            <v>Management Operating Costs</v>
          </cell>
          <cell r="C255">
            <v>1103.5821580793688</v>
          </cell>
          <cell r="D255">
            <v>0</v>
          </cell>
          <cell r="E255">
            <v>29699.222859548812</v>
          </cell>
          <cell r="F255">
            <v>815.45632943002829</v>
          </cell>
          <cell r="G255">
            <v>2719.3766910206787</v>
          </cell>
          <cell r="H255">
            <v>466.15186851270732</v>
          </cell>
          <cell r="I255">
            <v>157.89101791542393</v>
          </cell>
          <cell r="J255">
            <v>309.43321934941537</v>
          </cell>
          <cell r="K255">
            <v>90.264012097032435</v>
          </cell>
        </row>
        <row r="256">
          <cell r="B256" t="str">
            <v>Management Costs: Misc</v>
          </cell>
          <cell r="C256">
            <v>6069.6967325300884</v>
          </cell>
          <cell r="D256">
            <v>0</v>
          </cell>
          <cell r="E256">
            <v>0</v>
          </cell>
          <cell r="F256">
            <v>0</v>
          </cell>
          <cell r="G256">
            <v>0</v>
          </cell>
          <cell r="H256">
            <v>0</v>
          </cell>
          <cell r="I256">
            <v>0</v>
          </cell>
          <cell r="J256">
            <v>0</v>
          </cell>
          <cell r="K256">
            <v>0</v>
          </cell>
        </row>
        <row r="307">
          <cell r="B307" t="str">
            <v>PROSAN</v>
          </cell>
          <cell r="C307" t="str">
            <v>Gestion Nacional</v>
          </cell>
          <cell r="D307" t="str">
            <v>Programa Nacional</v>
          </cell>
          <cell r="E307" t="str">
            <v>Almacen de Area</v>
          </cell>
          <cell r="F307" t="str">
            <v>Almacen de Municipio</v>
          </cell>
          <cell r="G307" t="str">
            <v>Hospital</v>
          </cell>
          <cell r="H307" t="str">
            <v>Centro de Salud</v>
          </cell>
          <cell r="I307" t="str">
            <v>Puesto de Salud</v>
          </cell>
          <cell r="J307" t="str">
            <v>Almacen PEC</v>
          </cell>
          <cell r="K307" t="str">
            <v>Centro de Convergencia (PEC)</v>
          </cell>
        </row>
        <row r="308">
          <cell r="B308" t="str">
            <v>Total value of commodities passing through</v>
          </cell>
          <cell r="C308">
            <v>2254173.3354591834</v>
          </cell>
          <cell r="D308">
            <v>2254173.3354591834</v>
          </cell>
          <cell r="E308">
            <v>1026574.0543562165</v>
          </cell>
          <cell r="F308">
            <v>320430.01658163266</v>
          </cell>
          <cell r="G308">
            <v>18426.188775510203</v>
          </cell>
          <cell r="H308">
            <v>77597.301075586322</v>
          </cell>
          <cell r="I308">
            <v>8839.667060816877</v>
          </cell>
          <cell r="J308">
            <v>18388.99696442956</v>
          </cell>
          <cell r="K308">
            <v>1973.3379181264688</v>
          </cell>
        </row>
        <row r="309">
          <cell r="B309" t="str">
            <v>Total volume of commodities passing through (m3)</v>
          </cell>
          <cell r="C309">
            <v>873.12271584368</v>
          </cell>
          <cell r="D309">
            <v>873.12271584368</v>
          </cell>
          <cell r="E309">
            <v>301.65417121922553</v>
          </cell>
          <cell r="F309">
            <v>103.62077576115385</v>
          </cell>
          <cell r="G309">
            <v>5.8639632175446152</v>
          </cell>
          <cell r="H309">
            <v>18.314919342362092</v>
          </cell>
          <cell r="I309">
            <v>2.0330925672086035</v>
          </cell>
          <cell r="J309">
            <v>5.6199508147095365</v>
          </cell>
          <cell r="K309">
            <v>0.49080044856511268</v>
          </cell>
        </row>
        <row r="310">
          <cell r="B310" t="str">
            <v>Total weight of commodities passing through (kg)</v>
          </cell>
          <cell r="C310">
            <v>186411.92849999998</v>
          </cell>
          <cell r="D310">
            <v>186411.92849999998</v>
          </cell>
          <cell r="E310">
            <v>61621.923183014849</v>
          </cell>
          <cell r="F310">
            <v>22306.818304871795</v>
          </cell>
          <cell r="G310">
            <v>1147.4203405128203</v>
          </cell>
          <cell r="H310">
            <v>4014.281786299935</v>
          </cell>
          <cell r="I310">
            <v>402.152532029535</v>
          </cell>
          <cell r="J310">
            <v>1198.8736762484648</v>
          </cell>
          <cell r="K310">
            <v>94.9777295224022</v>
          </cell>
        </row>
        <row r="312">
          <cell r="B312" t="str">
            <v>Procurement Costs</v>
          </cell>
          <cell r="C312">
            <v>0</v>
          </cell>
          <cell r="D312">
            <v>2565.41</v>
          </cell>
          <cell r="E312">
            <v>0</v>
          </cell>
          <cell r="F312">
            <v>0</v>
          </cell>
          <cell r="G312">
            <v>0</v>
          </cell>
          <cell r="H312">
            <v>0</v>
          </cell>
          <cell r="I312">
            <v>0</v>
          </cell>
          <cell r="J312">
            <v>0</v>
          </cell>
          <cell r="K312">
            <v>0</v>
          </cell>
        </row>
        <row r="313">
          <cell r="B313" t="str">
            <v>Storage Costs</v>
          </cell>
          <cell r="C313">
            <v>0</v>
          </cell>
          <cell r="D313">
            <v>130048.1</v>
          </cell>
          <cell r="E313">
            <v>35743.146813519939</v>
          </cell>
          <cell r="F313">
            <v>7326.1731414061287</v>
          </cell>
          <cell r="G313">
            <v>383.17880846914613</v>
          </cell>
          <cell r="H313">
            <v>1498.8409484157103</v>
          </cell>
          <cell r="I313">
            <v>1257.1729345365418</v>
          </cell>
          <cell r="J313">
            <v>3137.7846339769594</v>
          </cell>
          <cell r="K313">
            <v>444.01354465872009</v>
          </cell>
        </row>
        <row r="314">
          <cell r="B314" t="str">
            <v>Transport Costs</v>
          </cell>
          <cell r="C314">
            <v>0</v>
          </cell>
          <cell r="D314">
            <v>10424.585345268541</v>
          </cell>
          <cell r="E314">
            <v>42803.197879891406</v>
          </cell>
          <cell r="F314">
            <v>18503.0080871518</v>
          </cell>
          <cell r="G314">
            <v>240.86131189738188</v>
          </cell>
          <cell r="H314">
            <v>994.67249077177928</v>
          </cell>
          <cell r="I314">
            <v>252.31935228175777</v>
          </cell>
          <cell r="J314">
            <v>1060.8143058413468</v>
          </cell>
          <cell r="K314">
            <v>132.01952630592686</v>
          </cell>
        </row>
        <row r="315">
          <cell r="B315" t="str">
            <v>Management Costs</v>
          </cell>
          <cell r="C315">
            <v>6212.3472337953726</v>
          </cell>
          <cell r="D315">
            <v>6988</v>
          </cell>
          <cell r="E315">
            <v>16473.856261165896</v>
          </cell>
          <cell r="F315">
            <v>5153.5108581484383</v>
          </cell>
          <cell r="G315">
            <v>783.38209327675293</v>
          </cell>
          <cell r="H315">
            <v>1015.0818783197055</v>
          </cell>
          <cell r="I315">
            <v>756.6083463943271</v>
          </cell>
          <cell r="J315">
            <v>493.76144923664526</v>
          </cell>
          <cell r="K315">
            <v>467.11682410160751</v>
          </cell>
        </row>
        <row r="316">
          <cell r="B316" t="str">
            <v>Total Costs</v>
          </cell>
          <cell r="C316">
            <v>6212.3472337953726</v>
          </cell>
          <cell r="D316">
            <v>150026.09534526855</v>
          </cell>
          <cell r="E316">
            <v>95020.200954577245</v>
          </cell>
          <cell r="F316">
            <v>30982.692086706367</v>
          </cell>
          <cell r="G316">
            <v>1407.4222136432809</v>
          </cell>
          <cell r="H316">
            <v>3508.595317507195</v>
          </cell>
          <cell r="I316">
            <v>2266.1006332126267</v>
          </cell>
          <cell r="J316">
            <v>4692.3603890549521</v>
          </cell>
          <cell r="K316">
            <v>1043.1498950662544</v>
          </cell>
        </row>
        <row r="318">
          <cell r="B318" t="str">
            <v>Cost per $ of annual pass through</v>
          </cell>
          <cell r="C318">
            <v>2.7559314698973204E-3</v>
          </cell>
          <cell r="D318">
            <v>6.6554817673197111E-2</v>
          </cell>
          <cell r="E318">
            <v>9.2560493372459293E-2</v>
          </cell>
          <cell r="F318">
            <v>9.6690979257285731E-2</v>
          </cell>
          <cell r="G318">
            <v>7.6381623502840224E-2</v>
          </cell>
          <cell r="H318">
            <v>4.521542977492899E-2</v>
          </cell>
          <cell r="I318">
            <v>0.25635588055770231</v>
          </cell>
          <cell r="J318">
            <v>0.25517217704323619</v>
          </cell>
          <cell r="K318">
            <v>0.52862202944777159</v>
          </cell>
        </row>
        <row r="319">
          <cell r="B319" t="str">
            <v>Cost per m3 of annual pass through</v>
          </cell>
          <cell r="C319">
            <v>7.1150906064704929</v>
          </cell>
          <cell r="D319">
            <v>171.82704403733388</v>
          </cell>
          <cell r="E319">
            <v>314.99713917604618</v>
          </cell>
          <cell r="F319">
            <v>299.00077334029567</v>
          </cell>
          <cell r="G319">
            <v>240.0121149178359</v>
          </cell>
          <cell r="H319">
            <v>191.57033956419752</v>
          </cell>
          <cell r="I319">
            <v>1114.6077014702478</v>
          </cell>
          <cell r="J319">
            <v>834.94687832022839</v>
          </cell>
          <cell r="K319">
            <v>2125.4053416535612</v>
          </cell>
        </row>
        <row r="320">
          <cell r="B320" t="str">
            <v>Cost per kg of annual pass through</v>
          </cell>
          <cell r="C320">
            <v>3.3325910438158322E-2</v>
          </cell>
          <cell r="D320">
            <v>0.80480952347032109</v>
          </cell>
          <cell r="E320">
            <v>1.5419869430619804</v>
          </cell>
          <cell r="F320">
            <v>1.3889337180793626</v>
          </cell>
          <cell r="G320">
            <v>1.2265968834178564</v>
          </cell>
          <cell r="H320">
            <v>0.87402815853172977</v>
          </cell>
          <cell r="I320">
            <v>5.6349281745817752</v>
          </cell>
          <cell r="J320">
            <v>3.9139739924379384</v>
          </cell>
          <cell r="K320">
            <v>10.983099936287788</v>
          </cell>
        </row>
        <row r="322">
          <cell r="B322" t="str">
            <v>Procurement costs per $ of Commodities</v>
          </cell>
          <cell r="C322">
            <v>0</v>
          </cell>
          <cell r="D322">
            <v>1.1380713096215452E-3</v>
          </cell>
          <cell r="E322">
            <v>0</v>
          </cell>
          <cell r="F322">
            <v>0</v>
          </cell>
          <cell r="G322">
            <v>0</v>
          </cell>
          <cell r="H322">
            <v>0</v>
          </cell>
          <cell r="I322">
            <v>0</v>
          </cell>
          <cell r="J322">
            <v>0</v>
          </cell>
          <cell r="K322">
            <v>0</v>
          </cell>
        </row>
        <row r="323">
          <cell r="B323" t="str">
            <v>Storage costs per $ of commodities</v>
          </cell>
          <cell r="C323">
            <v>0</v>
          </cell>
          <cell r="D323">
            <v>5.7692147251625941E-2</v>
          </cell>
          <cell r="E323">
            <v>3.4817894200467714E-2</v>
          </cell>
          <cell r="F323">
            <v>2.2863566964050994E-2</v>
          </cell>
          <cell r="G323">
            <v>2.0795337176748113E-2</v>
          </cell>
          <cell r="H323">
            <v>1.931563247226489E-2</v>
          </cell>
          <cell r="I323">
            <v>0.1422194892508051</v>
          </cell>
          <cell r="J323">
            <v>0.17063381107987996</v>
          </cell>
          <cell r="K323">
            <v>0.22500634107323925</v>
          </cell>
        </row>
        <row r="324">
          <cell r="B324" t="str">
            <v>Transport costs per $ of Commodities</v>
          </cell>
          <cell r="C324">
            <v>0</v>
          </cell>
          <cell r="D324">
            <v>4.6245713145857143E-3</v>
          </cell>
          <cell r="E324">
            <v>4.1695187695673923E-2</v>
          </cell>
          <cell r="F324">
            <v>5.7744303372521219E-2</v>
          </cell>
          <cell r="G324">
            <v>1.3071683723196451E-2</v>
          </cell>
          <cell r="H324">
            <v>1.2818390291730434E-2</v>
          </cell>
          <cell r="I324">
            <v>2.8543988200664297E-2</v>
          </cell>
          <cell r="J324">
            <v>5.7687447982797256E-2</v>
          </cell>
          <cell r="K324">
            <v>6.6901631541783357E-2</v>
          </cell>
        </row>
        <row r="325">
          <cell r="B325" t="str">
            <v>Management costs per $ of Commodities</v>
          </cell>
          <cell r="C325">
            <v>2.7559314698973204E-3</v>
          </cell>
          <cell r="D325">
            <v>3.100027797363914E-3</v>
          </cell>
          <cell r="E325">
            <v>1.604741147631766E-2</v>
          </cell>
          <cell r="F325">
            <v>1.6083108920713522E-2</v>
          </cell>
          <cell r="G325">
            <v>4.2514602602895663E-2</v>
          </cell>
          <cell r="H325">
            <v>1.3081407010933667E-2</v>
          </cell>
          <cell r="I325">
            <v>8.5592403106232895E-2</v>
          </cell>
          <cell r="J325">
            <v>2.6850917980558931E-2</v>
          </cell>
          <cell r="K325">
            <v>0.23671405683274899</v>
          </cell>
        </row>
        <row r="327">
          <cell r="B327" t="str">
            <v>Procurement Costs</v>
          </cell>
        </row>
        <row r="328">
          <cell r="B328" t="str">
            <v>Procurement Costs: Labor</v>
          </cell>
          <cell r="C328">
            <v>0</v>
          </cell>
          <cell r="D328">
            <v>2360.81</v>
          </cell>
          <cell r="E328">
            <v>0</v>
          </cell>
          <cell r="F328">
            <v>0</v>
          </cell>
          <cell r="G328">
            <v>0</v>
          </cell>
          <cell r="H328">
            <v>0</v>
          </cell>
          <cell r="I328">
            <v>0</v>
          </cell>
          <cell r="J328">
            <v>0</v>
          </cell>
          <cell r="K328">
            <v>0</v>
          </cell>
        </row>
        <row r="329">
          <cell r="B329" t="str">
            <v>Procurement Costs: Misc</v>
          </cell>
          <cell r="C329">
            <v>0</v>
          </cell>
          <cell r="D329">
            <v>204.6</v>
          </cell>
          <cell r="E329">
            <v>0</v>
          </cell>
          <cell r="F329">
            <v>0</v>
          </cell>
          <cell r="G329">
            <v>0</v>
          </cell>
          <cell r="H329">
            <v>0</v>
          </cell>
          <cell r="I329">
            <v>0</v>
          </cell>
          <cell r="J329">
            <v>0</v>
          </cell>
          <cell r="K329">
            <v>0</v>
          </cell>
        </row>
        <row r="330">
          <cell r="B330" t="str">
            <v>Cost per $1 of procured commodities</v>
          </cell>
        </row>
        <row r="332">
          <cell r="B332" t="str">
            <v>Storage Costs</v>
          </cell>
        </row>
        <row r="333">
          <cell r="B333" t="str">
            <v>Storage Costs: Labor</v>
          </cell>
          <cell r="C333">
            <v>0</v>
          </cell>
          <cell r="D333">
            <v>5370.84</v>
          </cell>
          <cell r="E333">
            <v>16113.25239522515</v>
          </cell>
          <cell r="F333">
            <v>4604.0700929759805</v>
          </cell>
          <cell r="G333">
            <v>31.04497222634571</v>
          </cell>
          <cell r="H333">
            <v>1218.9153496110316</v>
          </cell>
          <cell r="I333">
            <v>1003.9892400642734</v>
          </cell>
          <cell r="J333">
            <v>2701.3955233841889</v>
          </cell>
          <cell r="K333">
            <v>348.91247245463421</v>
          </cell>
        </row>
        <row r="334">
          <cell r="B334" t="str">
            <v>Storage Costs: Space</v>
          </cell>
          <cell r="C334">
            <v>0</v>
          </cell>
          <cell r="D334">
            <v>124613.32</v>
          </cell>
          <cell r="E334">
            <v>18513.250637117424</v>
          </cell>
          <cell r="F334">
            <v>1950.9557923995617</v>
          </cell>
          <cell r="G334">
            <v>229.15960470324285</v>
          </cell>
          <cell r="H334">
            <v>174.51826694001929</v>
          </cell>
          <cell r="I334">
            <v>158.27510107429137</v>
          </cell>
          <cell r="J334">
            <v>351.76002362101377</v>
          </cell>
          <cell r="K334">
            <v>73.222626977431716</v>
          </cell>
        </row>
        <row r="335">
          <cell r="B335" t="str">
            <v>Storage Costs: Equipment</v>
          </cell>
          <cell r="C335">
            <v>0</v>
          </cell>
          <cell r="D335">
            <v>63.94</v>
          </cell>
          <cell r="E335">
            <v>1116.6437811773696</v>
          </cell>
          <cell r="F335">
            <v>771.14725603058696</v>
          </cell>
          <cell r="G335">
            <v>122.97423153955754</v>
          </cell>
          <cell r="H335">
            <v>105.40733186465968</v>
          </cell>
          <cell r="I335">
            <v>94.908593397976958</v>
          </cell>
          <cell r="J335">
            <v>84.629086971756891</v>
          </cell>
          <cell r="K335">
            <v>21.878445226654165</v>
          </cell>
        </row>
        <row r="336">
          <cell r="B336" t="str">
            <v>Cost per m3 for stored products</v>
          </cell>
        </row>
        <row r="337">
          <cell r="B337" t="str">
            <v>Cost per kg for stored products</v>
          </cell>
        </row>
        <row r="339">
          <cell r="B339" t="str">
            <v>Transport Costs</v>
          </cell>
        </row>
        <row r="340">
          <cell r="B340" t="str">
            <v>Transport Costs: Labor</v>
          </cell>
          <cell r="C340">
            <v>0</v>
          </cell>
          <cell r="D340">
            <v>0</v>
          </cell>
          <cell r="E340">
            <v>13415.685175474982</v>
          </cell>
          <cell r="F340">
            <v>2321.5483393184923</v>
          </cell>
          <cell r="G340">
            <v>56.38733959411617</v>
          </cell>
          <cell r="H340">
            <v>401.18940194718516</v>
          </cell>
          <cell r="I340">
            <v>46.695510750796529</v>
          </cell>
          <cell r="J340">
            <v>517.8008628966586</v>
          </cell>
          <cell r="K340">
            <v>33.462998235266511</v>
          </cell>
        </row>
        <row r="341">
          <cell r="B341" t="str">
            <v>Transport Costs: Per Diems</v>
          </cell>
          <cell r="C341">
            <v>0</v>
          </cell>
          <cell r="D341">
            <v>7984.0153452685418</v>
          </cell>
          <cell r="E341">
            <v>431.23578259094364</v>
          </cell>
          <cell r="F341">
            <v>341.45568528449087</v>
          </cell>
          <cell r="G341">
            <v>4.1021191067083862</v>
          </cell>
          <cell r="H341">
            <v>103.93549327916324</v>
          </cell>
          <cell r="I341">
            <v>0.7418959609482354</v>
          </cell>
          <cell r="J341">
            <v>0</v>
          </cell>
          <cell r="K341">
            <v>0</v>
          </cell>
        </row>
        <row r="342">
          <cell r="B342" t="str">
            <v>Transport Costs: Fuel</v>
          </cell>
          <cell r="C342">
            <v>0</v>
          </cell>
          <cell r="D342">
            <v>0.16</v>
          </cell>
          <cell r="E342">
            <v>3946.4534384237199</v>
          </cell>
          <cell r="F342">
            <v>602.63967264849578</v>
          </cell>
          <cell r="G342">
            <v>22.450597391668094</v>
          </cell>
          <cell r="H342">
            <v>158.24874037895981</v>
          </cell>
          <cell r="I342">
            <v>13.064273258548059</v>
          </cell>
          <cell r="J342">
            <v>260.73831903249294</v>
          </cell>
          <cell r="K342">
            <v>41.842797514856841</v>
          </cell>
        </row>
        <row r="343">
          <cell r="B343" t="str">
            <v>Transport Costs: Equipment</v>
          </cell>
          <cell r="C343">
            <v>0</v>
          </cell>
          <cell r="D343">
            <v>778.01</v>
          </cell>
          <cell r="E343">
            <v>7211.6167331078077</v>
          </cell>
          <cell r="F343">
            <v>2763.7229338796651</v>
          </cell>
          <cell r="G343">
            <v>85.421334747028254</v>
          </cell>
          <cell r="H343">
            <v>156.25172271099811</v>
          </cell>
          <cell r="I343">
            <v>52.294360507959695</v>
          </cell>
          <cell r="J343">
            <v>33.170962223390646</v>
          </cell>
          <cell r="K343">
            <v>0</v>
          </cell>
        </row>
        <row r="344">
          <cell r="B344" t="str">
            <v>Transport Costs: Vehicle</v>
          </cell>
          <cell r="C344">
            <v>0</v>
          </cell>
          <cell r="D344">
            <v>1662.4</v>
          </cell>
          <cell r="E344">
            <v>11301.472042793748</v>
          </cell>
          <cell r="F344">
            <v>6940.8606031555873</v>
          </cell>
          <cell r="G344">
            <v>11.890946305099616</v>
          </cell>
          <cell r="H344">
            <v>159.7075363546775</v>
          </cell>
          <cell r="I344">
            <v>81.24390337735278</v>
          </cell>
          <cell r="J344">
            <v>249.10416168880471</v>
          </cell>
          <cell r="K344">
            <v>54.241979705588065</v>
          </cell>
        </row>
        <row r="345">
          <cell r="B345" t="str">
            <v>Transport Costs: Misc</v>
          </cell>
          <cell r="C345">
            <v>0</v>
          </cell>
          <cell r="D345">
            <v>0</v>
          </cell>
          <cell r="E345">
            <v>6496.7347075002035</v>
          </cell>
          <cell r="F345">
            <v>5532.7808528650658</v>
          </cell>
          <cell r="G345">
            <v>60.608974752761362</v>
          </cell>
          <cell r="H345">
            <v>15.339596100795486</v>
          </cell>
          <cell r="I345">
            <v>58.279408426152443</v>
          </cell>
          <cell r="J345">
            <v>0</v>
          </cell>
          <cell r="K345">
            <v>2.4717508502154271</v>
          </cell>
        </row>
        <row r="346">
          <cell r="B346" t="str">
            <v>Cost per m3 for transported products</v>
          </cell>
        </row>
        <row r="347">
          <cell r="B347" t="str">
            <v>Cost per kg for transported products</v>
          </cell>
        </row>
        <row r="348">
          <cell r="B348" t="str">
            <v>Total Km</v>
          </cell>
        </row>
        <row r="350">
          <cell r="B350" t="str">
            <v>Management Costs</v>
          </cell>
        </row>
        <row r="351">
          <cell r="B351" t="str">
            <v>Management Labor Costs for Quantification</v>
          </cell>
          <cell r="C351">
            <v>250.40192668611735</v>
          </cell>
          <cell r="D351">
            <v>1711.59</v>
          </cell>
          <cell r="E351">
            <v>971.0559641197533</v>
          </cell>
          <cell r="F351">
            <v>641.56107794998923</v>
          </cell>
          <cell r="G351">
            <v>21.686246659972348</v>
          </cell>
          <cell r="H351">
            <v>70.427925783687996</v>
          </cell>
          <cell r="I351">
            <v>27.096564502348997</v>
          </cell>
          <cell r="J351">
            <v>40.29798329212462</v>
          </cell>
          <cell r="K351">
            <v>92.274382693095447</v>
          </cell>
        </row>
        <row r="352">
          <cell r="B352" t="str">
            <v>Management Labor Costs for Logistics Training</v>
          </cell>
          <cell r="C352">
            <v>1377.2094312136005</v>
          </cell>
          <cell r="D352">
            <v>442.65</v>
          </cell>
          <cell r="E352">
            <v>354.53162621641104</v>
          </cell>
          <cell r="F352">
            <v>947.2377979917793</v>
          </cell>
          <cell r="G352">
            <v>9.4690554058884153</v>
          </cell>
          <cell r="H352">
            <v>13.879936310914397</v>
          </cell>
          <cell r="I352">
            <v>8.4476456460947151</v>
          </cell>
          <cell r="J352">
            <v>97.230249243948165</v>
          </cell>
          <cell r="K352">
            <v>42.128528831083713</v>
          </cell>
        </row>
        <row r="353">
          <cell r="B353" t="str">
            <v>Management Labor Costs for Quality Assurance</v>
          </cell>
          <cell r="C353">
            <v>1377.2094312136005</v>
          </cell>
          <cell r="D353">
            <v>0</v>
          </cell>
          <cell r="E353">
            <v>829.37703974379804</v>
          </cell>
          <cell r="F353">
            <v>960.95924256271337</v>
          </cell>
          <cell r="G353">
            <v>9.5000825408602054</v>
          </cell>
          <cell r="H353">
            <v>140.30148891636924</v>
          </cell>
          <cell r="I353">
            <v>187.89412848271039</v>
          </cell>
          <cell r="J353">
            <v>65.802249070026548</v>
          </cell>
          <cell r="K353">
            <v>59.592463984065752</v>
          </cell>
        </row>
        <row r="354">
          <cell r="B354" t="str">
            <v>Management Labor Costs for Logistics Information Systems</v>
          </cell>
          <cell r="C354">
            <v>2122.4522060822424</v>
          </cell>
          <cell r="D354">
            <v>1534.53</v>
          </cell>
          <cell r="E354">
            <v>6058.2000937057328</v>
          </cell>
          <cell r="F354">
            <v>2196.0516133378433</v>
          </cell>
          <cell r="G354">
            <v>37.251917795061331</v>
          </cell>
          <cell r="H354">
            <v>721.53865373089195</v>
          </cell>
          <cell r="I354">
            <v>463.77442532473685</v>
          </cell>
          <cell r="J354">
            <v>197.40617546406287</v>
          </cell>
          <cell r="K354">
            <v>254.15861200857702</v>
          </cell>
        </row>
        <row r="355">
          <cell r="B355" t="str">
            <v>Management Labor Costs Other</v>
          </cell>
          <cell r="C355">
            <v>0</v>
          </cell>
          <cell r="D355">
            <v>0</v>
          </cell>
          <cell r="E355">
            <v>165.30138635693089</v>
          </cell>
          <cell r="F355">
            <v>0</v>
          </cell>
          <cell r="G355">
            <v>18.919146937295917</v>
          </cell>
          <cell r="H355">
            <v>0</v>
          </cell>
          <cell r="I355">
            <v>51.913715252398163</v>
          </cell>
          <cell r="J355">
            <v>0</v>
          </cell>
          <cell r="K355">
            <v>0</v>
          </cell>
        </row>
        <row r="356">
          <cell r="B356" t="str">
            <v>Management Operating Costs</v>
          </cell>
          <cell r="C356">
            <v>166.93461779074491</v>
          </cell>
          <cell r="D356">
            <v>3299.23</v>
          </cell>
          <cell r="E356">
            <v>8095.3901510232699</v>
          </cell>
          <cell r="F356">
            <v>407.70112630611402</v>
          </cell>
          <cell r="G356">
            <v>686.55564393767474</v>
          </cell>
          <cell r="H356">
            <v>68.933873577841865</v>
          </cell>
          <cell r="I356">
            <v>17.481867186037995</v>
          </cell>
          <cell r="J356">
            <v>93.024792166482996</v>
          </cell>
          <cell r="K356">
            <v>18.962836584785578</v>
          </cell>
        </row>
        <row r="357">
          <cell r="B357" t="str">
            <v>Management Costs: Misc</v>
          </cell>
          <cell r="C357">
            <v>918.13962080906697</v>
          </cell>
          <cell r="D357">
            <v>0</v>
          </cell>
          <cell r="E357">
            <v>0</v>
          </cell>
          <cell r="F357">
            <v>0</v>
          </cell>
          <cell r="G357">
            <v>0</v>
          </cell>
          <cell r="H357">
            <v>0</v>
          </cell>
          <cell r="I357">
            <v>0</v>
          </cell>
          <cell r="J357">
            <v>0</v>
          </cell>
          <cell r="K357">
            <v>0</v>
          </cell>
        </row>
        <row r="408">
          <cell r="B408" t="str">
            <v>ME</v>
          </cell>
          <cell r="C408" t="str">
            <v>Gestion Nacional</v>
          </cell>
          <cell r="D408" t="str">
            <v>Programa Nacional</v>
          </cell>
          <cell r="E408" t="str">
            <v>Almacen de Area</v>
          </cell>
          <cell r="F408" t="str">
            <v>Almacen de Municipio</v>
          </cell>
          <cell r="G408" t="str">
            <v>Hospital</v>
          </cell>
          <cell r="H408" t="str">
            <v>Centro de Salud</v>
          </cell>
          <cell r="I408" t="str">
            <v>Puesto de Salud</v>
          </cell>
          <cell r="J408" t="str">
            <v>Almacen PEC</v>
          </cell>
          <cell r="K408" t="str">
            <v>Centro de Convergencia (PEC)</v>
          </cell>
        </row>
        <row r="409">
          <cell r="B409" t="str">
            <v>Total value of commodities passing through</v>
          </cell>
          <cell r="C409">
            <v>10530432.371173471</v>
          </cell>
          <cell r="D409">
            <v>0</v>
          </cell>
          <cell r="E409">
            <v>3160616.0924355593</v>
          </cell>
          <cell r="F409">
            <v>1033336.3145734277</v>
          </cell>
          <cell r="G409">
            <v>720184.44599762582</v>
          </cell>
          <cell r="H409">
            <v>600057.46955870837</v>
          </cell>
          <cell r="I409">
            <v>122017.37126661719</v>
          </cell>
          <cell r="J409">
            <v>83070.219919707888</v>
          </cell>
          <cell r="K409">
            <v>17784.05259693207</v>
          </cell>
        </row>
        <row r="410">
          <cell r="B410" t="str">
            <v>Total volume of commodities passing through (m3)</v>
          </cell>
          <cell r="C410">
            <v>7581.5799660304674</v>
          </cell>
          <cell r="D410">
            <v>0</v>
          </cell>
          <cell r="E410">
            <v>2275.5441374201282</v>
          </cell>
          <cell r="F410">
            <v>398.45222831819984</v>
          </cell>
          <cell r="G410">
            <v>673.60948126493963</v>
          </cell>
          <cell r="H410">
            <v>252.6599049052507</v>
          </cell>
          <cell r="I410">
            <v>57.293034186557847</v>
          </cell>
          <cell r="J410">
            <v>39.268062008249991</v>
          </cell>
          <cell r="K410">
            <v>8.4723594038251502</v>
          </cell>
        </row>
        <row r="411">
          <cell r="B411" t="str">
            <v>Total weight of commodities passing through (kg)</v>
          </cell>
          <cell r="C411">
            <v>2340186.2527772207</v>
          </cell>
          <cell r="D411">
            <v>0</v>
          </cell>
          <cell r="E411">
            <v>702386.19546824205</v>
          </cell>
          <cell r="F411">
            <v>141609.95987798169</v>
          </cell>
          <cell r="G411">
            <v>310356.11390736722</v>
          </cell>
          <cell r="H411">
            <v>98912.766272477573</v>
          </cell>
          <cell r="I411">
            <v>22791.944409991509</v>
          </cell>
          <cell r="J411">
            <v>16422.773525888893</v>
          </cell>
          <cell r="K411">
            <v>3424.6857849827693</v>
          </cell>
        </row>
        <row r="413">
          <cell r="B413" t="str">
            <v>Procurement Costs</v>
          </cell>
          <cell r="C413">
            <v>4948.8500000000004</v>
          </cell>
          <cell r="D413">
            <v>0</v>
          </cell>
          <cell r="E413">
            <v>63126.26</v>
          </cell>
          <cell r="F413">
            <v>0</v>
          </cell>
          <cell r="G413">
            <v>27303.58</v>
          </cell>
          <cell r="H413">
            <v>0</v>
          </cell>
          <cell r="I413">
            <v>0</v>
          </cell>
          <cell r="J413">
            <v>4795.3999999999996</v>
          </cell>
          <cell r="K413">
            <v>0</v>
          </cell>
        </row>
        <row r="414">
          <cell r="B414" t="str">
            <v>Storage Costs</v>
          </cell>
          <cell r="C414">
            <v>0</v>
          </cell>
          <cell r="D414">
            <v>0</v>
          </cell>
          <cell r="E414">
            <v>223037.89518677272</v>
          </cell>
          <cell r="F414">
            <v>24546.818741449479</v>
          </cell>
          <cell r="G414">
            <v>107911.09502781862</v>
          </cell>
          <cell r="H414">
            <v>43622.027869092432</v>
          </cell>
          <cell r="I414">
            <v>27242.987433746366</v>
          </cell>
          <cell r="J414">
            <v>17545.342728755735</v>
          </cell>
          <cell r="K414">
            <v>7070.5182894929376</v>
          </cell>
        </row>
        <row r="415">
          <cell r="B415" t="str">
            <v>Transport Costs</v>
          </cell>
          <cell r="C415">
            <v>0</v>
          </cell>
          <cell r="D415">
            <v>0</v>
          </cell>
          <cell r="E415">
            <v>230335.93742770163</v>
          </cell>
          <cell r="F415">
            <v>55318.704614422051</v>
          </cell>
          <cell r="G415">
            <v>9235.6793094719742</v>
          </cell>
          <cell r="H415">
            <v>14321.260438486055</v>
          </cell>
          <cell r="I415">
            <v>6741.9992756939491</v>
          </cell>
          <cell r="J415">
            <v>11649.616716974246</v>
          </cell>
          <cell r="K415">
            <v>1032.973493664824</v>
          </cell>
        </row>
        <row r="416">
          <cell r="B416" t="str">
            <v>Management Costs</v>
          </cell>
          <cell r="C416">
            <v>29021.149963342421</v>
          </cell>
          <cell r="D416">
            <v>0</v>
          </cell>
          <cell r="E416">
            <v>62490.720454983821</v>
          </cell>
          <cell r="F416">
            <v>10722.982584053907</v>
          </cell>
          <cell r="G416">
            <v>33925.51668291894</v>
          </cell>
          <cell r="H416">
            <v>7509.7615141985589</v>
          </cell>
          <cell r="I416">
            <v>8462.3541095798337</v>
          </cell>
          <cell r="J416">
            <v>4891.9634760103736</v>
          </cell>
          <cell r="K416">
            <v>2870.0335924804708</v>
          </cell>
        </row>
        <row r="417">
          <cell r="B417" t="str">
            <v>Total Costs</v>
          </cell>
          <cell r="C417">
            <v>33969.999963342423</v>
          </cell>
          <cell r="D417">
            <v>0</v>
          </cell>
          <cell r="E417">
            <v>578990.81306945812</v>
          </cell>
          <cell r="F417">
            <v>90588.505939925439</v>
          </cell>
          <cell r="G417">
            <v>178375.87102020954</v>
          </cell>
          <cell r="H417">
            <v>65453.049821777044</v>
          </cell>
          <cell r="I417">
            <v>42447.340819020152</v>
          </cell>
          <cell r="J417">
            <v>38882.322921740357</v>
          </cell>
          <cell r="K417">
            <v>10973.525375638232</v>
          </cell>
        </row>
        <row r="419">
          <cell r="B419" t="str">
            <v>Cost per $ of annual pass through</v>
          </cell>
          <cell r="C419">
            <v>3.2258884313557334E-3</v>
          </cell>
          <cell r="E419">
            <v>0.18318922518150249</v>
          </cell>
          <cell r="F419">
            <v>8.7666043148131645E-2</v>
          </cell>
          <cell r="G419">
            <v>0.24768081567370809</v>
          </cell>
          <cell r="H419">
            <v>0.10907796859842814</v>
          </cell>
          <cell r="I419">
            <v>0.34787948943982328</v>
          </cell>
          <cell r="J419">
            <v>0.46806572751730213</v>
          </cell>
          <cell r="K419">
            <v>0.61704301175600873</v>
          </cell>
        </row>
        <row r="420">
          <cell r="B420" t="str">
            <v>Cost per m3 of annual pass through</v>
          </cell>
          <cell r="C420">
            <v>4.4805964080767051</v>
          </cell>
          <cell r="E420">
            <v>254.44059886523769</v>
          </cell>
          <cell r="F420">
            <v>227.35098338459383</v>
          </cell>
          <cell r="G420">
            <v>264.80605748785757</v>
          </cell>
          <cell r="H420">
            <v>259.05594259731242</v>
          </cell>
          <cell r="I420">
            <v>740.88135532851902</v>
          </cell>
          <cell r="J420">
            <v>990.17677301139554</v>
          </cell>
          <cell r="K420">
            <v>1295.2148100190179</v>
          </cell>
        </row>
        <row r="421">
          <cell r="B421" t="str">
            <v>Cost per kg of annual pass through</v>
          </cell>
          <cell r="C421">
            <v>1.4515938602334947E-2</v>
          </cell>
          <cell r="E421">
            <v>0.82431975002509406</v>
          </cell>
          <cell r="F421">
            <v>0.63970434013243904</v>
          </cell>
          <cell r="G421">
            <v>0.57474579370925438</v>
          </cell>
          <cell r="H421">
            <v>0.66172499555286746</v>
          </cell>
          <cell r="I421">
            <v>1.8623834831929535</v>
          </cell>
          <cell r="J421">
            <v>2.3675856493086376</v>
          </cell>
          <cell r="K421">
            <v>3.2042429771972332</v>
          </cell>
        </row>
        <row r="423">
          <cell r="B423" t="str">
            <v>Procurement costs per $ of Commodities</v>
          </cell>
          <cell r="C423">
            <v>4.6995696145841342E-4</v>
          </cell>
          <cell r="E423">
            <v>1.9972770546566172E-2</v>
          </cell>
          <cell r="F423">
            <v>0</v>
          </cell>
          <cell r="G423">
            <v>3.7911926801165619E-2</v>
          </cell>
          <cell r="H423">
            <v>0</v>
          </cell>
          <cell r="I423">
            <v>0</v>
          </cell>
          <cell r="J423">
            <v>5.7727065182143822E-2</v>
          </cell>
          <cell r="K423">
            <v>0</v>
          </cell>
        </row>
        <row r="424">
          <cell r="B424" t="str">
            <v>Storage costs per $ of commodities</v>
          </cell>
          <cell r="C424">
            <v>0</v>
          </cell>
          <cell r="E424">
            <v>7.0567854071419508E-2</v>
          </cell>
          <cell r="F424">
            <v>2.3754917344197535E-2</v>
          </cell>
          <cell r="G424">
            <v>0.14983813608795207</v>
          </cell>
          <cell r="H424">
            <v>7.2696416730172117E-2</v>
          </cell>
          <cell r="I424">
            <v>0.22327138464750546</v>
          </cell>
          <cell r="J424">
            <v>0.21121098205487251</v>
          </cell>
          <cell r="K424">
            <v>0.39757632580960056</v>
          </cell>
        </row>
        <row r="425">
          <cell r="B425" t="str">
            <v>Transport costs per $ of Commodities</v>
          </cell>
          <cell r="C425">
            <v>0</v>
          </cell>
          <cell r="E425">
            <v>7.2876910922201124E-2</v>
          </cell>
          <cell r="F425">
            <v>5.353407582240851E-2</v>
          </cell>
          <cell r="G425">
            <v>1.2824047174024113E-2</v>
          </cell>
          <cell r="H425">
            <v>2.3866481403886419E-2</v>
          </cell>
          <cell r="I425">
            <v>5.5254421609872012E-2</v>
          </cell>
          <cell r="J425">
            <v>0.14023818316882108</v>
          </cell>
          <cell r="K425">
            <v>5.8084257681684008E-2</v>
          </cell>
        </row>
        <row r="426">
          <cell r="B426" t="str">
            <v>Management costs per $ of Commodities</v>
          </cell>
          <cell r="C426">
            <v>2.7559314698973195E-3</v>
          </cell>
          <cell r="E426">
            <v>1.977168964131569E-2</v>
          </cell>
          <cell r="F426">
            <v>1.0377049981525588E-2</v>
          </cell>
          <cell r="G426">
            <v>4.7106705610566298E-2</v>
          </cell>
          <cell r="H426">
            <v>1.2515070464369612E-2</v>
          </cell>
          <cell r="I426">
            <v>6.9353683182445794E-2</v>
          </cell>
          <cell r="J426">
            <v>5.8889497111464684E-2</v>
          </cell>
          <cell r="K426">
            <v>0.16138242826472415</v>
          </cell>
        </row>
        <row r="428">
          <cell r="B428" t="str">
            <v>Procurement Costs</v>
          </cell>
        </row>
        <row r="429">
          <cell r="B429" t="str">
            <v>Procurement Costs: Labor</v>
          </cell>
          <cell r="C429">
            <v>4948.8500000000004</v>
          </cell>
          <cell r="D429">
            <v>0</v>
          </cell>
          <cell r="E429">
            <v>63126.26</v>
          </cell>
          <cell r="F429">
            <v>0</v>
          </cell>
          <cell r="G429">
            <v>27303.58</v>
          </cell>
          <cell r="H429">
            <v>0</v>
          </cell>
          <cell r="I429">
            <v>0</v>
          </cell>
          <cell r="J429">
            <v>4795.3999999999996</v>
          </cell>
          <cell r="K429">
            <v>0</v>
          </cell>
        </row>
        <row r="430">
          <cell r="B430" t="str">
            <v>Procurement Costs: Misc</v>
          </cell>
          <cell r="C430">
            <v>0</v>
          </cell>
          <cell r="D430">
            <v>0</v>
          </cell>
          <cell r="E430">
            <v>0</v>
          </cell>
          <cell r="F430">
            <v>0</v>
          </cell>
          <cell r="G430">
            <v>0</v>
          </cell>
          <cell r="H430">
            <v>0</v>
          </cell>
          <cell r="I430">
            <v>0</v>
          </cell>
          <cell r="J430">
            <v>0</v>
          </cell>
          <cell r="K430">
            <v>0</v>
          </cell>
        </row>
        <row r="431">
          <cell r="B431" t="str">
            <v>Cost per $1 of procured commodities</v>
          </cell>
        </row>
        <row r="433">
          <cell r="B433" t="str">
            <v>Storage Costs</v>
          </cell>
        </row>
        <row r="434">
          <cell r="B434" t="str">
            <v>Storage Costs: Labor</v>
          </cell>
          <cell r="C434">
            <v>0</v>
          </cell>
          <cell r="D434">
            <v>0</v>
          </cell>
          <cell r="E434">
            <v>106766.8986442304</v>
          </cell>
          <cell r="F434">
            <v>14476.349491399087</v>
          </cell>
          <cell r="G434">
            <v>79146.689433739346</v>
          </cell>
          <cell r="H434">
            <v>37281.29809085984</v>
          </cell>
          <cell r="I434">
            <v>22666.028639587261</v>
          </cell>
          <cell r="J434">
            <v>14346.644361589293</v>
          </cell>
          <cell r="K434">
            <v>4916.9737275810021</v>
          </cell>
        </row>
        <row r="435">
          <cell r="B435" t="str">
            <v>Storage Costs: Space</v>
          </cell>
          <cell r="C435">
            <v>0</v>
          </cell>
          <cell r="D435">
            <v>0</v>
          </cell>
          <cell r="E435">
            <v>109825.32956403095</v>
          </cell>
          <cell r="F435">
            <v>5423.0988704419979</v>
          </cell>
          <cell r="G435">
            <v>20985.212615770637</v>
          </cell>
          <cell r="H435">
            <v>4415.2594123008494</v>
          </cell>
          <cell r="I435">
            <v>2924.9475895991727</v>
          </cell>
          <cell r="J435">
            <v>2289.1874005600057</v>
          </cell>
          <cell r="K435">
            <v>1665.2544277985571</v>
          </cell>
        </row>
        <row r="436">
          <cell r="B436" t="str">
            <v>Storage Costs: Equipment</v>
          </cell>
          <cell r="C436">
            <v>0</v>
          </cell>
          <cell r="D436">
            <v>0</v>
          </cell>
          <cell r="E436">
            <v>6445.6669785113281</v>
          </cell>
          <cell r="F436">
            <v>4647.3703796084001</v>
          </cell>
          <cell r="G436">
            <v>7779.1929783086143</v>
          </cell>
          <cell r="H436">
            <v>1925.470365931742</v>
          </cell>
          <cell r="I436">
            <v>1652.011204559936</v>
          </cell>
          <cell r="J436">
            <v>909.5109666064393</v>
          </cell>
          <cell r="K436">
            <v>488.29013411337854</v>
          </cell>
        </row>
        <row r="437">
          <cell r="B437" t="str">
            <v>Cost per m3 for stored products</v>
          </cell>
        </row>
        <row r="438">
          <cell r="B438" t="str">
            <v>Cost per kg for stored products</v>
          </cell>
        </row>
        <row r="440">
          <cell r="B440" t="str">
            <v>Transport Costs</v>
          </cell>
        </row>
        <row r="441">
          <cell r="B441" t="str">
            <v>Transport Costs: Labor</v>
          </cell>
          <cell r="C441">
            <v>0</v>
          </cell>
          <cell r="D441">
            <v>0</v>
          </cell>
          <cell r="E441">
            <v>81475.197088370929</v>
          </cell>
          <cell r="F441">
            <v>10060.098913210246</v>
          </cell>
          <cell r="G441">
            <v>2046.5174295587058</v>
          </cell>
          <cell r="H441">
            <v>4803.0729982739158</v>
          </cell>
          <cell r="I441">
            <v>1557.7549816182407</v>
          </cell>
          <cell r="J441">
            <v>4726.3640467622117</v>
          </cell>
          <cell r="K441">
            <v>560.08059602321714</v>
          </cell>
        </row>
        <row r="442">
          <cell r="B442" t="str">
            <v>Transport Costs: Per Diems</v>
          </cell>
          <cell r="C442">
            <v>0</v>
          </cell>
          <cell r="D442">
            <v>0</v>
          </cell>
          <cell r="E442">
            <v>3426.9625568241936</v>
          </cell>
          <cell r="F442">
            <v>701.2877857207742</v>
          </cell>
          <cell r="G442">
            <v>185.66460546766157</v>
          </cell>
          <cell r="H442">
            <v>1802.3259126147509</v>
          </cell>
          <cell r="I442">
            <v>-97.057466425916772</v>
          </cell>
          <cell r="J442">
            <v>0</v>
          </cell>
          <cell r="K442">
            <v>0</v>
          </cell>
        </row>
        <row r="443">
          <cell r="B443" t="str">
            <v>Transport Costs: Fuel</v>
          </cell>
          <cell r="C443">
            <v>0</v>
          </cell>
          <cell r="D443">
            <v>0</v>
          </cell>
          <cell r="E443">
            <v>21184.215810970898</v>
          </cell>
          <cell r="F443">
            <v>2837.0638703794739</v>
          </cell>
          <cell r="G443">
            <v>2288.7413805668816</v>
          </cell>
          <cell r="H443">
            <v>2553.8639828294395</v>
          </cell>
          <cell r="I443">
            <v>289.23881567353294</v>
          </cell>
          <cell r="J443">
            <v>2110.0551523826389</v>
          </cell>
          <cell r="K443">
            <v>204.52674491455895</v>
          </cell>
        </row>
        <row r="444">
          <cell r="B444" t="str">
            <v>Transport Costs: Equipment</v>
          </cell>
          <cell r="C444">
            <v>0</v>
          </cell>
          <cell r="D444">
            <v>0</v>
          </cell>
          <cell r="E444">
            <v>38237.741884268311</v>
          </cell>
          <cell r="F444">
            <v>8312.5703380537398</v>
          </cell>
          <cell r="G444">
            <v>1295.6227007153439</v>
          </cell>
          <cell r="H444">
            <v>1528.4387169139652</v>
          </cell>
          <cell r="I444">
            <v>1375.4728082897641</v>
          </cell>
          <cell r="J444">
            <v>636.13819411024713</v>
          </cell>
          <cell r="K444">
            <v>0</v>
          </cell>
        </row>
        <row r="445">
          <cell r="B445" t="str">
            <v>Transport Costs: Vehicle</v>
          </cell>
          <cell r="C445">
            <v>0</v>
          </cell>
          <cell r="D445">
            <v>0</v>
          </cell>
          <cell r="E445">
            <v>45619.215538594552</v>
          </cell>
          <cell r="F445">
            <v>20742.934633798137</v>
          </cell>
          <cell r="G445">
            <v>738.67218344143168</v>
          </cell>
          <cell r="H445">
            <v>3441.4433876751764</v>
          </cell>
          <cell r="I445">
            <v>1983.4354601368327</v>
          </cell>
          <cell r="J445">
            <v>4177.0593237191479</v>
          </cell>
          <cell r="K445">
            <v>196.24914694008675</v>
          </cell>
        </row>
        <row r="446">
          <cell r="B446" t="str">
            <v>Transport Costs: Misc</v>
          </cell>
          <cell r="C446">
            <v>0</v>
          </cell>
          <cell r="D446">
            <v>0</v>
          </cell>
          <cell r="E446">
            <v>40392.604548672767</v>
          </cell>
          <cell r="F446">
            <v>12664.749073259678</v>
          </cell>
          <cell r="G446">
            <v>2680.4610097219502</v>
          </cell>
          <cell r="H446">
            <v>192.11544017880627</v>
          </cell>
          <cell r="I446">
            <v>1633.1546764014954</v>
          </cell>
          <cell r="J446">
            <v>0</v>
          </cell>
          <cell r="K446">
            <v>72.117005786960974</v>
          </cell>
        </row>
        <row r="447">
          <cell r="B447" t="str">
            <v>Cost per m3 for transported products</v>
          </cell>
        </row>
        <row r="448">
          <cell r="B448" t="str">
            <v>Cost per kg for transported products</v>
          </cell>
        </row>
        <row r="449">
          <cell r="B449" t="str">
            <v>Total Km</v>
          </cell>
        </row>
        <row r="451">
          <cell r="B451" t="str">
            <v>Management Costs</v>
          </cell>
        </row>
        <row r="452">
          <cell r="B452" t="str">
            <v>Management Labor Costs for Quantification</v>
          </cell>
          <cell r="C452">
            <v>1169.7594471112675</v>
          </cell>
          <cell r="D452">
            <v>0</v>
          </cell>
          <cell r="E452">
            <v>1327.6042550924676</v>
          </cell>
          <cell r="F452">
            <v>740.23245987445478</v>
          </cell>
          <cell r="G452">
            <v>2616.3985243799389</v>
          </cell>
          <cell r="H452">
            <v>1272.02687343346</v>
          </cell>
          <cell r="I452">
            <v>223.10594209773757</v>
          </cell>
          <cell r="J452">
            <v>189.16941641404227</v>
          </cell>
          <cell r="K452">
            <v>386.53592843718303</v>
          </cell>
        </row>
        <row r="453">
          <cell r="B453" t="str">
            <v>Management Labor Costs for Logistics Training</v>
          </cell>
          <cell r="C453">
            <v>6433.6715141663508</v>
          </cell>
          <cell r="D453">
            <v>0</v>
          </cell>
          <cell r="E453">
            <v>1920.5778572125746</v>
          </cell>
          <cell r="F453">
            <v>1912.3143991351928</v>
          </cell>
          <cell r="G453">
            <v>3435.4577872220348</v>
          </cell>
          <cell r="H453">
            <v>108.62764432646679</v>
          </cell>
          <cell r="I453">
            <v>119.34502729489606</v>
          </cell>
          <cell r="J453">
            <v>348.29183969690064</v>
          </cell>
          <cell r="K453">
            <v>171.22044074061256</v>
          </cell>
        </row>
        <row r="454">
          <cell r="B454" t="str">
            <v>Management Labor Costs for Quality Assurance</v>
          </cell>
          <cell r="C454">
            <v>6433.6715141663508</v>
          </cell>
          <cell r="D454">
            <v>0</v>
          </cell>
          <cell r="E454">
            <v>4556.2444008223665</v>
          </cell>
          <cell r="F454">
            <v>2143.9233383051906</v>
          </cell>
          <cell r="G454">
            <v>4111.7844430979303</v>
          </cell>
          <cell r="H454">
            <v>617.2134909160543</v>
          </cell>
          <cell r="I454">
            <v>2097.2566820239954</v>
          </cell>
          <cell r="J454">
            <v>804.34958397113849</v>
          </cell>
          <cell r="K454">
            <v>379.01079216200696</v>
          </cell>
        </row>
        <row r="455">
          <cell r="B455" t="str">
            <v>Management Labor Costs for Logistics Information Systems</v>
          </cell>
          <cell r="C455">
            <v>9915.0935137133729</v>
          </cell>
          <cell r="D455">
            <v>0</v>
          </cell>
          <cell r="E455">
            <v>16121.714157613216</v>
          </cell>
          <cell r="F455">
            <v>5487.6730931962102</v>
          </cell>
          <cell r="G455">
            <v>13231.228854266121</v>
          </cell>
          <cell r="H455">
            <v>5206.9450884248608</v>
          </cell>
          <cell r="I455">
            <v>5448.6366250274641</v>
          </cell>
          <cell r="J455">
            <v>2413.041763038761</v>
          </cell>
          <cell r="K455">
            <v>1733.9526188754451</v>
          </cell>
        </row>
        <row r="456">
          <cell r="B456" t="str">
            <v>Management Labor Costs Other</v>
          </cell>
          <cell r="C456">
            <v>0</v>
          </cell>
          <cell r="D456">
            <v>0</v>
          </cell>
          <cell r="E456">
            <v>431.92398938329859</v>
          </cell>
          <cell r="F456">
            <v>0</v>
          </cell>
          <cell r="G456">
            <v>89.007464124119039</v>
          </cell>
          <cell r="H456">
            <v>0</v>
          </cell>
          <cell r="I456">
            <v>397.39168878250803</v>
          </cell>
          <cell r="J456">
            <v>0</v>
          </cell>
          <cell r="K456">
            <v>0</v>
          </cell>
        </row>
        <row r="457">
          <cell r="B457" t="str">
            <v>Management Operating Costs</v>
          </cell>
          <cell r="C457">
            <v>779.83963140751155</v>
          </cell>
          <cell r="D457">
            <v>0</v>
          </cell>
          <cell r="E457">
            <v>38132.6557948599</v>
          </cell>
          <cell r="F457">
            <v>438.83929354285777</v>
          </cell>
          <cell r="G457">
            <v>10441.639609828795</v>
          </cell>
          <cell r="H457">
            <v>304.94841709771663</v>
          </cell>
          <cell r="I457">
            <v>176.6181443532333</v>
          </cell>
          <cell r="J457">
            <v>1137.110872889531</v>
          </cell>
          <cell r="K457">
            <v>199.31381226522362</v>
          </cell>
        </row>
        <row r="458">
          <cell r="B458" t="str">
            <v>Management Costs: Misc</v>
          </cell>
          <cell r="C458">
            <v>4289.1143427775669</v>
          </cell>
          <cell r="D458">
            <v>0</v>
          </cell>
          <cell r="E458">
            <v>0</v>
          </cell>
          <cell r="F458">
            <v>0</v>
          </cell>
          <cell r="G458">
            <v>0</v>
          </cell>
          <cell r="H458">
            <v>0</v>
          </cell>
          <cell r="I458">
            <v>0</v>
          </cell>
          <cell r="J458">
            <v>0</v>
          </cell>
          <cell r="K458">
            <v>0</v>
          </cell>
        </row>
      </sheetData>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rveyDatabaseCom"/>
      <sheetName val="SurveyDatabaseExp"/>
      <sheetName val="DropDown"/>
      <sheetName val="General1"/>
      <sheetName val="General 1 Español"/>
      <sheetName val="Procurement1"/>
      <sheetName val="Procurement 1 Español"/>
      <sheetName val="Storage1"/>
      <sheetName val="Storage 1 Español"/>
      <sheetName val="Storage2"/>
      <sheetName val="Storage2 Español"/>
      <sheetName val="Transport1"/>
      <sheetName val="Transport1 Español"/>
      <sheetName val="Transport2"/>
      <sheetName val="Transport2 Español"/>
      <sheetName val="Transport3"/>
      <sheetName val="Trasport3 Español"/>
      <sheetName val="Transport4"/>
      <sheetName val="Transport4 Español"/>
      <sheetName val="Management1"/>
      <sheetName val="Management1 Español"/>
      <sheetName val="Management2"/>
      <sheetName val="Managmente2 Español"/>
      <sheetName val="Commodity1"/>
      <sheetName val="Commodity1 Español"/>
      <sheetName val="Commodity2"/>
      <sheetName val="Comodity2 Español"/>
      <sheetName val="Commodity3"/>
      <sheetName val="Sheet1"/>
      <sheetName val="Sheet2"/>
      <sheetName val="Sheet3"/>
      <sheetName val="Comodity3 Español"/>
    </sheetNames>
    <sheetDataSet>
      <sheetData sheetId="0"/>
      <sheetData sheetId="1"/>
      <sheetData sheetId="2">
        <row r="3">
          <cell r="C3" t="str">
            <v>List for Tiers</v>
          </cell>
        </row>
        <row r="71">
          <cell r="C71" t="str">
            <v>SDP</v>
          </cell>
        </row>
        <row r="72">
          <cell r="C72" t="str">
            <v>donor</v>
          </cell>
        </row>
        <row r="73">
          <cell r="C73" t="str">
            <v>hospital</v>
          </cell>
        </row>
        <row r="74">
          <cell r="C74" t="str">
            <v>MOH</v>
          </cell>
        </row>
        <row r="75">
          <cell r="C75" t="str">
            <v>other government</v>
          </cell>
        </row>
        <row r="76">
          <cell r="C76" t="str">
            <v>procurement entity</v>
          </cell>
        </row>
        <row r="77">
          <cell r="C77" t="str">
            <v>regional warehouse</v>
          </cell>
        </row>
        <row r="78">
          <cell r="C78" t="str">
            <v>warehouse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gt;"/>
      <sheetName val="Overview"/>
      <sheetName val="Tool Workflow"/>
      <sheetName val="Input Parameters - Details"/>
      <sheetName val="Output Statistics - Details"/>
      <sheetName val="Cost Modeling Tool--&gt;"/>
      <sheetName val="Scenario Manager"/>
      <sheetName val="INPUTS"/>
      <sheetName val="Output StatisticsTEST"/>
      <sheetName val="Output Statistics"/>
      <sheetName val="OUTPUTS"/>
      <sheetName val="Data Templates --&gt; "/>
      <sheetName val="DataTemplate1_Template"/>
      <sheetName val="DRC_Scenario1_Template"/>
      <sheetName val="DRC_Scenario3_Template"/>
      <sheetName val="DRC_Scenario4_Template"/>
      <sheetName val="Other Parameters --&gt;"/>
      <sheetName val="DRC_Scenario2_Template"/>
      <sheetName val="DRC_Scenario1MK_Template"/>
      <sheetName val="DRC_Scenario2MK_Template"/>
      <sheetName val="List Values"/>
      <sheetName val="Scratch"/>
      <sheetName val="V2_DRC Validation(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8.bin"/><Relationship Id="rId4" Type="http://schemas.openxmlformats.org/officeDocument/2006/relationships/comments" Target="../comments1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Q66"/>
  <sheetViews>
    <sheetView showGridLines="0" workbookViewId="0"/>
  </sheetViews>
  <sheetFormatPr defaultRowHeight="14.6"/>
  <cols>
    <col min="1" max="1" width="5.3046875" customWidth="1"/>
    <col min="2" max="2" width="5.69140625" customWidth="1"/>
    <col min="17" max="17" width="12.765625" customWidth="1"/>
  </cols>
  <sheetData>
    <row r="1" spans="1:16" ht="9.75" customHeight="1"/>
    <row r="2" spans="1:16" ht="6.75" customHeight="1"/>
    <row r="3" spans="1:16" ht="30.9">
      <c r="A3" s="2098" t="s">
        <v>5523</v>
      </c>
      <c r="B3" s="2098"/>
      <c r="C3" s="2098"/>
      <c r="D3" s="2098"/>
      <c r="E3" s="2098"/>
      <c r="F3" s="2098"/>
      <c r="G3" s="2098"/>
      <c r="H3" s="2098"/>
      <c r="I3" s="2098"/>
      <c r="J3" s="2098"/>
      <c r="K3" s="2098"/>
      <c r="L3" s="2098"/>
      <c r="M3" s="2098"/>
      <c r="N3" s="2098"/>
      <c r="O3" s="2098"/>
      <c r="P3" s="2098"/>
    </row>
    <row r="4" spans="1:16" ht="15.9">
      <c r="A4" s="2099" t="s">
        <v>5542</v>
      </c>
      <c r="B4" s="2099"/>
      <c r="C4" s="2099"/>
      <c r="D4" s="2099"/>
      <c r="E4" s="2099"/>
      <c r="F4" s="2099"/>
      <c r="G4" s="2099"/>
      <c r="H4" s="2099"/>
      <c r="I4" s="2099"/>
      <c r="J4" s="2099"/>
      <c r="K4" s="2099"/>
      <c r="L4" s="2099"/>
      <c r="M4" s="2099"/>
      <c r="N4" s="2099"/>
      <c r="O4" s="2099"/>
      <c r="P4" s="2099"/>
    </row>
    <row r="5" spans="1:16" ht="11.25" customHeight="1">
      <c r="A5" s="1907"/>
      <c r="B5" s="1907"/>
      <c r="C5" s="1907"/>
      <c r="D5" s="1907"/>
      <c r="E5" s="1907"/>
      <c r="F5" s="1907"/>
      <c r="G5" s="1907"/>
      <c r="H5" s="1907"/>
      <c r="I5" s="1907"/>
      <c r="J5" s="1907"/>
      <c r="K5" s="1907"/>
      <c r="L5" s="1907"/>
      <c r="M5" s="1907"/>
      <c r="N5" s="1907"/>
      <c r="O5" s="1907"/>
      <c r="P5" s="1907"/>
    </row>
    <row r="6" spans="1:16">
      <c r="A6" s="1907"/>
      <c r="B6" s="1907"/>
      <c r="C6" s="1907"/>
      <c r="D6" s="1907"/>
      <c r="E6" s="1907"/>
      <c r="F6" s="1907"/>
      <c r="G6" s="1907"/>
      <c r="H6" s="1907"/>
      <c r="I6" s="1907"/>
      <c r="J6" s="1907"/>
      <c r="K6" s="1907"/>
      <c r="L6" s="1907"/>
      <c r="M6" s="1907"/>
      <c r="N6" s="1907"/>
      <c r="O6" s="1907"/>
      <c r="P6" s="1907"/>
    </row>
    <row r="7" spans="1:16">
      <c r="A7" s="2100">
        <v>43682</v>
      </c>
      <c r="B7" s="2100"/>
      <c r="C7" s="2100"/>
      <c r="D7" s="2100"/>
      <c r="E7" s="2100"/>
      <c r="F7" s="2100"/>
      <c r="G7" s="2100"/>
      <c r="H7" s="2100"/>
      <c r="I7" s="2100"/>
      <c r="J7" s="2100"/>
      <c r="K7" s="2100"/>
      <c r="L7" s="2100"/>
      <c r="M7" s="2100"/>
      <c r="N7" s="2100"/>
      <c r="O7" s="2100"/>
      <c r="P7" s="2100"/>
    </row>
    <row r="8" spans="1:16">
      <c r="A8" s="2101" t="s">
        <v>5825</v>
      </c>
      <c r="B8" s="2101"/>
      <c r="C8" s="2101"/>
      <c r="D8" s="2101"/>
      <c r="E8" s="2101"/>
      <c r="F8" s="2101"/>
      <c r="G8" s="2101"/>
      <c r="H8" s="2101"/>
      <c r="I8" s="2101"/>
      <c r="J8" s="2101"/>
      <c r="K8" s="2101"/>
      <c r="L8" s="2101"/>
      <c r="M8" s="2101"/>
      <c r="N8" s="2101"/>
      <c r="O8" s="2101"/>
      <c r="P8" s="2101"/>
    </row>
    <row r="9" spans="1:16" ht="8.25" customHeight="1"/>
    <row r="10" spans="1:16" ht="6" customHeight="1"/>
    <row r="22" spans="1:16" ht="24" customHeight="1"/>
    <row r="24" spans="1:16" ht="15.9">
      <c r="A24" s="2097" t="s">
        <v>5524</v>
      </c>
      <c r="B24" s="2097"/>
      <c r="C24" s="2097"/>
      <c r="D24" s="2097"/>
      <c r="E24" s="2097"/>
      <c r="F24" s="2097"/>
      <c r="G24" s="2097"/>
      <c r="H24" s="2097"/>
      <c r="I24" s="2097"/>
      <c r="J24" s="2097"/>
      <c r="K24" s="2097"/>
      <c r="L24" s="2097"/>
      <c r="M24" s="2097"/>
      <c r="N24" s="2097"/>
      <c r="O24" s="2097"/>
      <c r="P24" s="2097"/>
    </row>
    <row r="31" spans="1:16" ht="15.9">
      <c r="A31" s="2097" t="s">
        <v>5525</v>
      </c>
      <c r="B31" s="2097"/>
      <c r="C31" s="2097"/>
      <c r="D31" s="2097"/>
      <c r="E31" s="2097"/>
      <c r="F31" s="2097"/>
      <c r="G31" s="2097"/>
      <c r="H31" s="2097"/>
      <c r="I31" s="2097"/>
      <c r="J31" s="2097"/>
      <c r="K31" s="2097"/>
      <c r="L31" s="2097"/>
      <c r="M31" s="2097"/>
      <c r="N31" s="2097"/>
      <c r="O31" s="2097"/>
      <c r="P31" s="2097"/>
    </row>
    <row r="60" spans="2:17" ht="18.45">
      <c r="B60" s="2094" t="s">
        <v>5826</v>
      </c>
      <c r="C60" s="2094"/>
      <c r="D60" s="2094"/>
      <c r="E60" s="2094"/>
      <c r="F60" s="2094"/>
      <c r="G60" s="2094"/>
      <c r="H60" s="2094"/>
      <c r="I60" s="2094"/>
      <c r="J60" s="2094"/>
      <c r="K60" s="2094"/>
      <c r="L60" s="2094"/>
      <c r="M60" s="2094"/>
      <c r="N60" s="2094"/>
      <c r="O60" s="2094"/>
      <c r="P60" s="2094"/>
      <c r="Q60" s="2094"/>
    </row>
    <row r="61" spans="2:17">
      <c r="B61" s="2095" t="s">
        <v>5827</v>
      </c>
      <c r="C61" s="2095"/>
      <c r="D61" s="2095"/>
      <c r="E61" s="2095" t="s">
        <v>5828</v>
      </c>
      <c r="F61" s="2095"/>
      <c r="G61" s="2095"/>
      <c r="H61" s="2095"/>
      <c r="I61" s="2095"/>
      <c r="J61" s="2095"/>
      <c r="K61" s="2095"/>
      <c r="L61" s="2095"/>
      <c r="M61" s="2095"/>
      <c r="N61" s="2095"/>
      <c r="O61" s="2095"/>
      <c r="P61" s="2095"/>
      <c r="Q61" s="2095"/>
    </row>
    <row r="62" spans="2:17" ht="20.6" customHeight="1">
      <c r="B62" s="2096">
        <v>1</v>
      </c>
      <c r="C62" s="2096"/>
      <c r="D62" s="2096"/>
      <c r="E62" s="2092" t="s">
        <v>5829</v>
      </c>
      <c r="F62" s="2092"/>
      <c r="G62" s="2092"/>
      <c r="H62" s="2092"/>
      <c r="I62" s="2092"/>
      <c r="J62" s="2092"/>
      <c r="K62" s="2092"/>
      <c r="L62" s="2092"/>
      <c r="M62" s="2092"/>
      <c r="N62" s="2092"/>
      <c r="O62" s="2092"/>
      <c r="P62" s="2092"/>
      <c r="Q62" s="2092"/>
    </row>
    <row r="63" spans="2:17" ht="21.55" customHeight="1">
      <c r="B63" s="2091">
        <v>1.1000000000000001</v>
      </c>
      <c r="C63" s="2091"/>
      <c r="D63" s="2091"/>
      <c r="E63" s="2092" t="s">
        <v>5830</v>
      </c>
      <c r="F63" s="2092"/>
      <c r="G63" s="2092"/>
      <c r="H63" s="2092"/>
      <c r="I63" s="2092"/>
      <c r="J63" s="2092"/>
      <c r="K63" s="2092"/>
      <c r="L63" s="2092"/>
      <c r="M63" s="2092"/>
      <c r="N63" s="2092"/>
      <c r="O63" s="2092"/>
      <c r="P63" s="2092"/>
      <c r="Q63" s="2092"/>
    </row>
    <row r="64" spans="2:17" ht="21.55" customHeight="1">
      <c r="B64" s="2091"/>
      <c r="C64" s="2091"/>
      <c r="D64" s="2091"/>
      <c r="E64" s="2092" t="s">
        <v>5831</v>
      </c>
      <c r="F64" s="2092"/>
      <c r="G64" s="2092"/>
      <c r="H64" s="2092"/>
      <c r="I64" s="2092"/>
      <c r="J64" s="2092"/>
      <c r="K64" s="2092"/>
      <c r="L64" s="2092"/>
      <c r="M64" s="2092"/>
      <c r="N64" s="2092"/>
      <c r="O64" s="2092"/>
      <c r="P64" s="2092"/>
      <c r="Q64" s="2092"/>
    </row>
    <row r="65" spans="2:17" ht="21.55" customHeight="1">
      <c r="B65" s="2091"/>
      <c r="C65" s="2091"/>
      <c r="D65" s="2091"/>
      <c r="E65" s="2092" t="s">
        <v>5832</v>
      </c>
      <c r="F65" s="2092"/>
      <c r="G65" s="2092"/>
      <c r="H65" s="2092"/>
      <c r="I65" s="2092"/>
      <c r="J65" s="2092"/>
      <c r="K65" s="2092"/>
      <c r="L65" s="2092"/>
      <c r="M65" s="2092"/>
      <c r="N65" s="2092"/>
      <c r="O65" s="2092"/>
      <c r="P65" s="2092"/>
      <c r="Q65" s="2092"/>
    </row>
    <row r="66" spans="2:17" ht="33" customHeight="1">
      <c r="B66" s="2091"/>
      <c r="C66" s="2091"/>
      <c r="D66" s="2091"/>
      <c r="E66" s="2093" t="s">
        <v>5833</v>
      </c>
      <c r="F66" s="2093"/>
      <c r="G66" s="2093"/>
      <c r="H66" s="2093"/>
      <c r="I66" s="2093"/>
      <c r="J66" s="2093"/>
      <c r="K66" s="2093"/>
      <c r="L66" s="2093"/>
      <c r="M66" s="2093"/>
      <c r="N66" s="2093"/>
      <c r="O66" s="2093"/>
      <c r="P66" s="2093"/>
      <c r="Q66" s="2093"/>
    </row>
  </sheetData>
  <sheetProtection algorithmName="SHA-512" hashValue="iqukN+n/8LuD1V6bEOTWYSgpoToHbUeMTzMhGPK/uz4OqYE7TT7nZSuhPQr/42v4KoCQ58gcuPvFwu1mdUL7gQ==" saltValue="xpG3Q8u9GLBCTpymzGpCrQ==" spinCount="100000" sheet="1" objects="1" scenarios="1"/>
  <mergeCells count="16">
    <mergeCell ref="A24:P24"/>
    <mergeCell ref="A31:P31"/>
    <mergeCell ref="A3:P3"/>
    <mergeCell ref="A4:P4"/>
    <mergeCell ref="A7:P7"/>
    <mergeCell ref="A8:P8"/>
    <mergeCell ref="B60:Q60"/>
    <mergeCell ref="B61:D61"/>
    <mergeCell ref="E61:Q61"/>
    <mergeCell ref="B62:D62"/>
    <mergeCell ref="E62:Q62"/>
    <mergeCell ref="B63:D66"/>
    <mergeCell ref="E63:Q63"/>
    <mergeCell ref="E64:Q64"/>
    <mergeCell ref="E65:Q65"/>
    <mergeCell ref="E66:Q6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outlinePr summaryBelow="0"/>
  </sheetPr>
  <dimension ref="A1:AF330"/>
  <sheetViews>
    <sheetView showGridLines="0" zoomScale="80" zoomScaleNormal="80" zoomScalePageLayoutView="80" workbookViewId="0">
      <pane xSplit="4" ySplit="2" topLeftCell="E50" activePane="bottomRight" state="frozen"/>
      <selection activeCell="M87" sqref="M87"/>
      <selection pane="topRight" activeCell="M87" sqref="M87"/>
      <selection pane="bottomLeft" activeCell="M87" sqref="M87"/>
      <selection pane="bottomRight" activeCell="M87" sqref="M87"/>
    </sheetView>
  </sheetViews>
  <sheetFormatPr defaultColWidth="8.84375" defaultRowHeight="14.6" outlineLevelRow="1"/>
  <cols>
    <col min="1" max="1" width="7.69140625" customWidth="1"/>
    <col min="2" max="2" width="13.69140625" customWidth="1"/>
    <col min="3" max="3" width="34.15234375" customWidth="1"/>
    <col min="4" max="4" width="46.3828125" customWidth="1"/>
    <col min="5" max="5" width="0.69140625" customWidth="1"/>
    <col min="6" max="6" width="0.3828125" customWidth="1"/>
    <col min="7" max="7" width="18.3828125" style="6" customWidth="1"/>
    <col min="8" max="8" width="21.84375" customWidth="1"/>
    <col min="9" max="9" width="0.3828125" customWidth="1"/>
    <col min="10" max="10" width="21.3828125" style="6" customWidth="1"/>
    <col min="11" max="11" width="25" customWidth="1"/>
    <col min="12" max="12" width="0.3828125" customWidth="1"/>
    <col min="13" max="13" width="24.69140625" style="6" customWidth="1"/>
    <col min="14" max="14" width="20.3828125" customWidth="1"/>
    <col min="15" max="15" width="0.3046875" customWidth="1"/>
    <col min="16" max="16" width="20.15234375" style="6" customWidth="1"/>
    <col min="17" max="17" width="18.84375" customWidth="1"/>
    <col min="18" max="18" width="0.3046875" customWidth="1"/>
    <col min="19" max="19" width="18.15234375" customWidth="1"/>
    <col min="20" max="20" width="19.15234375" customWidth="1"/>
    <col min="21" max="21" width="0.3046875" customWidth="1"/>
    <col min="22" max="22" width="17" customWidth="1"/>
    <col min="23" max="23" width="20" customWidth="1"/>
    <col min="25" max="25" width="26.3046875" customWidth="1"/>
    <col min="26" max="26" width="14.84375" customWidth="1"/>
    <col min="27" max="27" width="21.3046875" customWidth="1"/>
    <col min="28" max="28" width="18.84375" customWidth="1"/>
    <col min="30" max="30" width="8.84375" customWidth="1"/>
  </cols>
  <sheetData>
    <row r="1" spans="1:32" ht="36.75" customHeight="1">
      <c r="A1" s="2688" t="s">
        <v>5799</v>
      </c>
      <c r="B1" s="2689"/>
      <c r="C1" s="2689"/>
      <c r="D1" s="2689"/>
      <c r="E1" s="2689"/>
      <c r="F1" s="2689"/>
      <c r="G1" s="2689"/>
      <c r="H1" s="2689"/>
      <c r="I1" s="2689"/>
      <c r="J1" s="2689"/>
      <c r="K1" s="2689"/>
      <c r="X1" s="6"/>
    </row>
    <row r="2" spans="1:32" ht="9" customHeight="1">
      <c r="X2" s="6"/>
    </row>
    <row r="3" spans="1:32" ht="33" customHeight="1">
      <c r="B3" s="2391" t="s">
        <v>304</v>
      </c>
      <c r="C3" s="2391"/>
      <c r="D3" s="2391"/>
      <c r="E3" s="2391"/>
      <c r="V3" s="36"/>
      <c r="W3" s="36"/>
      <c r="X3" s="6"/>
      <c r="Y3" s="36"/>
      <c r="Z3" s="36"/>
      <c r="AA3" s="36"/>
      <c r="AB3" s="36"/>
      <c r="AC3" s="36"/>
      <c r="AD3" s="36"/>
      <c r="AE3" s="36"/>
      <c r="AF3" s="36"/>
    </row>
    <row r="4" spans="1:32" ht="30" customHeight="1" outlineLevel="1">
      <c r="B4" s="54"/>
      <c r="C4" s="236"/>
      <c r="D4" s="236"/>
      <c r="E4" s="5"/>
      <c r="G4" s="255" t="s">
        <v>17</v>
      </c>
      <c r="H4" s="924" t="s">
        <v>2510</v>
      </c>
      <c r="V4" s="36"/>
      <c r="W4" s="36"/>
      <c r="X4" s="6"/>
      <c r="Y4" s="2619" t="s">
        <v>673</v>
      </c>
      <c r="Z4" s="2620"/>
      <c r="AA4" s="2620"/>
      <c r="AB4" s="2621"/>
      <c r="AC4" s="36"/>
      <c r="AD4" s="36"/>
      <c r="AE4" s="36"/>
      <c r="AF4" s="36"/>
    </row>
    <row r="5" spans="1:32" ht="33" customHeight="1" outlineLevel="1">
      <c r="B5" s="2561" t="s">
        <v>2516</v>
      </c>
      <c r="C5" s="2562"/>
      <c r="D5" s="2562"/>
      <c r="E5" s="2563"/>
      <c r="G5" s="521" t="s">
        <v>5547</v>
      </c>
      <c r="H5" s="928"/>
      <c r="V5" s="36"/>
      <c r="W5" s="36"/>
      <c r="X5" s="6"/>
      <c r="Y5" s="2643" t="s">
        <v>2334</v>
      </c>
      <c r="Z5" s="2644"/>
      <c r="AA5" s="2644"/>
      <c r="AB5" s="2645"/>
      <c r="AC5" s="36"/>
      <c r="AD5" s="36"/>
      <c r="AE5" s="36"/>
      <c r="AF5" s="36"/>
    </row>
    <row r="6" spans="1:32" ht="30.75" customHeight="1" outlineLevel="1">
      <c r="B6" s="2564" t="s">
        <v>5544</v>
      </c>
      <c r="C6" s="2565"/>
      <c r="D6" s="2565"/>
      <c r="E6" s="2566"/>
      <c r="G6" s="522"/>
      <c r="H6" s="918">
        <f ca="1">IF(G6&lt;&gt;"",G6,IFERROR(IF(INDIRECT("'"&amp;$G$5&amp;"'!"&amp;ADDRESS(ROW(H6),COLUMN(H6)))="","",INDIRECT("'"&amp;G$5&amp;"'!"&amp;ADDRESS(ROW(H6),COLUMN(H6)))),IF($G$5&lt;&gt;"","Data Source Error","")))</f>
        <v>1</v>
      </c>
      <c r="V6" s="36"/>
      <c r="W6" s="36"/>
      <c r="X6" s="6"/>
      <c r="Y6" s="2643"/>
      <c r="Z6" s="2644"/>
      <c r="AA6" s="2644"/>
      <c r="AB6" s="2645"/>
      <c r="AC6" s="36"/>
      <c r="AD6" s="36"/>
      <c r="AE6" s="36"/>
      <c r="AF6" s="36"/>
    </row>
    <row r="7" spans="1:32" ht="16.5" customHeight="1" outlineLevel="1">
      <c r="B7" s="2567" t="s">
        <v>413</v>
      </c>
      <c r="C7" s="2568"/>
      <c r="D7" s="2568"/>
      <c r="E7" s="2569"/>
      <c r="G7" s="523"/>
      <c r="H7" s="918">
        <f ca="1">IF(G7&lt;&gt;"",G7,IFERROR(IF(INDIRECT("'"&amp;$G$5&amp;"'!"&amp;ADDRESS(ROW(H7),COLUMN(H7)))="","",INDIRECT("'"&amp;$G$5&amp;"'!"&amp;ADDRESS(ROW(H7),COLUMN(H7)))),IF($G$5&lt;&gt;"","Data Source Error","")))</f>
        <v>3</v>
      </c>
      <c r="V7" s="36"/>
      <c r="W7" s="36"/>
      <c r="X7" s="6"/>
      <c r="Y7" s="2643"/>
      <c r="Z7" s="2644"/>
      <c r="AA7" s="2644"/>
      <c r="AB7" s="2645"/>
      <c r="AC7" s="36"/>
      <c r="AD7" s="36"/>
      <c r="AE7" s="36"/>
      <c r="AF7" s="36"/>
    </row>
    <row r="8" spans="1:32" ht="15" customHeight="1" outlineLevel="1">
      <c r="B8" s="2567" t="s">
        <v>11</v>
      </c>
      <c r="C8" s="2568"/>
      <c r="D8" s="2568"/>
      <c r="E8" s="2569"/>
      <c r="G8" s="524"/>
      <c r="H8" s="1065">
        <f ca="1">IF(G8&lt;&gt;"",G8,IFERROR(IF(INDIRECT("'"&amp;$G$5&amp;"'!"&amp;ADDRESS(ROW(H8),COLUMN(H8)))="","",INDIRECT("'"&amp;$G$5&amp;"'!"&amp;ADDRESS(ROW(H8),COLUMN(H8)))*$H$6),IF($G$5&lt;&gt;"","Data Source Error","")))</f>
        <v>1.37</v>
      </c>
      <c r="N8" s="6"/>
      <c r="O8" s="6"/>
      <c r="Q8" s="6"/>
      <c r="R8" s="6"/>
      <c r="S8" s="6"/>
      <c r="T8" s="6"/>
      <c r="V8" s="36"/>
      <c r="W8" s="36"/>
      <c r="X8" s="6"/>
      <c r="Y8" s="2643"/>
      <c r="Z8" s="2644"/>
      <c r="AA8" s="2644"/>
      <c r="AB8" s="2645"/>
      <c r="AC8" s="36"/>
      <c r="AD8" s="36"/>
      <c r="AE8" s="36"/>
      <c r="AF8" s="36"/>
    </row>
    <row r="9" spans="1:32" ht="15" customHeight="1" outlineLevel="1">
      <c r="B9" s="2567" t="s">
        <v>12</v>
      </c>
      <c r="C9" s="2568"/>
      <c r="D9" s="2568"/>
      <c r="E9" s="2569"/>
      <c r="G9" s="523"/>
      <c r="H9" s="918">
        <f ca="1">IF(G9&lt;&gt;"",G9,IFERROR(IF(INDIRECT("'"&amp;$G$5&amp;"'!"&amp;ADDRESS(ROW(H9),COLUMN(H9)))="","",INDIRECT("'"&amp;$G$5&amp;"'!"&amp;ADDRESS(ROW(H9),COLUMN(H9)))),IF($G$5&lt;&gt;"","Data Source Error","")))</f>
        <v>240</v>
      </c>
      <c r="V9" s="36"/>
      <c r="W9" s="36"/>
      <c r="X9" s="6"/>
      <c r="Y9" s="2643"/>
      <c r="Z9" s="2644"/>
      <c r="AA9" s="2644"/>
      <c r="AB9" s="2645"/>
      <c r="AC9" s="36"/>
      <c r="AD9" s="36"/>
      <c r="AE9" s="36"/>
      <c r="AF9" s="36"/>
    </row>
    <row r="10" spans="1:32" ht="15" customHeight="1" outlineLevel="1">
      <c r="B10" s="2567" t="s">
        <v>13</v>
      </c>
      <c r="C10" s="2568"/>
      <c r="D10" s="2568"/>
      <c r="E10" s="2569"/>
      <c r="G10" s="523"/>
      <c r="H10" s="918">
        <f ca="1">IF(G10&lt;&gt;"",G10,IFERROR(IF(INDIRECT("'"&amp;$G$5&amp;"'!"&amp;ADDRESS(ROW(H10),COLUMN(H10)))="","",INDIRECT("'"&amp;$G$5&amp;"'!"&amp;ADDRESS(ROW(H10),COLUMN(H10)))),IF($G$5&lt;&gt;"","Data Source Error","")))</f>
        <v>8</v>
      </c>
      <c r="V10" s="36"/>
      <c r="W10" s="36"/>
      <c r="X10" s="6"/>
      <c r="Y10" s="2643"/>
      <c r="Z10" s="2644"/>
      <c r="AA10" s="2644"/>
      <c r="AB10" s="2645"/>
      <c r="AC10" s="36"/>
      <c r="AD10" s="36"/>
      <c r="AE10" s="36"/>
      <c r="AF10" s="36"/>
    </row>
    <row r="11" spans="1:32" ht="15" customHeight="1" outlineLevel="1">
      <c r="B11" s="2567" t="s">
        <v>388</v>
      </c>
      <c r="C11" s="2568"/>
      <c r="D11" s="2568"/>
      <c r="E11" s="2569"/>
      <c r="G11" s="523"/>
      <c r="H11" s="918">
        <f ca="1">IF(G11&lt;&gt;"",G11,IFERROR(IF(INDIRECT("'"&amp;$G$5&amp;"'!"&amp;ADDRESS(ROW(H11),COLUMN(H11)))="","",INDIRECT("'"&amp;$G$5&amp;"'!"&amp;ADDRESS(ROW(H11),COLUMN(H11)))),IF($G$5&lt;&gt;"","Data Source Error","")))</f>
        <v>5</v>
      </c>
      <c r="V11" s="36"/>
      <c r="W11" s="36"/>
      <c r="X11" s="6"/>
      <c r="Y11" s="2643"/>
      <c r="Z11" s="2644"/>
      <c r="AA11" s="2644"/>
      <c r="AB11" s="2645"/>
      <c r="AC11" s="36"/>
      <c r="AD11" s="36"/>
      <c r="AE11" s="36"/>
      <c r="AF11" s="36"/>
    </row>
    <row r="12" spans="1:32" ht="14.25" customHeight="1" outlineLevel="1">
      <c r="B12" s="2570" t="s">
        <v>399</v>
      </c>
      <c r="C12" s="2571"/>
      <c r="D12" s="2571"/>
      <c r="E12" s="2572"/>
      <c r="G12" s="525"/>
      <c r="H12" s="920">
        <f ca="1">IF(G12&lt;&gt;"",G12,IFERROR(IF(INDIRECT("'"&amp;$G$5&amp;"'!"&amp;ADDRESS(ROW(H12),COLUMN(H12)))="","",INDIRECT("'"&amp;$G$5&amp;"'!"&amp;ADDRESS(ROW(H12),COLUMN(H12)))),IF($G$5&lt;&gt;"","Data Source Error","")))</f>
        <v>5</v>
      </c>
      <c r="V12" s="36"/>
      <c r="W12" s="36"/>
      <c r="X12" s="6"/>
      <c r="Y12" s="2643"/>
      <c r="Z12" s="2644"/>
      <c r="AA12" s="2644"/>
      <c r="AB12" s="2645"/>
      <c r="AC12" s="36"/>
      <c r="AD12" s="36"/>
      <c r="AE12" s="36"/>
      <c r="AF12" s="36"/>
    </row>
    <row r="13" spans="1:32" ht="36.75" customHeight="1">
      <c r="A13" s="630" t="s">
        <v>355</v>
      </c>
      <c r="C13" s="39"/>
      <c r="D13" s="39"/>
      <c r="E13" s="39"/>
      <c r="G13" s="121"/>
      <c r="H13" s="11"/>
      <c r="N13" s="6"/>
      <c r="P13"/>
      <c r="T13" s="36"/>
      <c r="U13" s="36"/>
      <c r="V13" s="6"/>
      <c r="W13" s="36"/>
      <c r="X13" s="36"/>
      <c r="Y13" s="36"/>
      <c r="Z13" s="36"/>
      <c r="AA13" s="36"/>
      <c r="AB13" s="36"/>
      <c r="AC13" s="36"/>
      <c r="AD13" s="36"/>
    </row>
    <row r="14" spans="1:32" ht="35.25" customHeight="1">
      <c r="B14" s="2391" t="s">
        <v>296</v>
      </c>
      <c r="C14" s="2391"/>
      <c r="D14" s="2391"/>
      <c r="E14" s="2391"/>
      <c r="G14" s="121"/>
      <c r="H14" s="11"/>
      <c r="AD14" s="36"/>
      <c r="AE14" s="36"/>
      <c r="AF14" s="36"/>
    </row>
    <row r="15" spans="1:32" ht="33.65" customHeight="1" outlineLevel="1">
      <c r="B15" s="54"/>
      <c r="C15" s="236"/>
      <c r="D15" s="236"/>
      <c r="E15" s="5"/>
      <c r="G15" s="255" t="s">
        <v>17</v>
      </c>
      <c r="H15" s="924" t="s">
        <v>2510</v>
      </c>
      <c r="J15" s="274"/>
      <c r="K15" s="2589" t="s">
        <v>5500</v>
      </c>
      <c r="M15" s="2573" t="s">
        <v>5506</v>
      </c>
      <c r="N15" s="2574"/>
      <c r="O15" s="2574"/>
      <c r="P15" s="2575"/>
      <c r="Q15" s="2574"/>
      <c r="R15" s="2574"/>
      <c r="S15" s="2576"/>
      <c r="T15" s="1690"/>
      <c r="U15" s="1690"/>
      <c r="V15" s="1690"/>
      <c r="Y15" s="2619" t="s">
        <v>673</v>
      </c>
      <c r="Z15" s="2620"/>
      <c r="AA15" s="2620"/>
      <c r="AB15" s="2621"/>
      <c r="AD15" s="36"/>
      <c r="AE15" s="36"/>
      <c r="AF15" s="36"/>
    </row>
    <row r="16" spans="1:32" ht="18.75" customHeight="1" outlineLevel="1" collapsed="1">
      <c r="B16" s="2579" t="s">
        <v>5471</v>
      </c>
      <c r="C16" s="2580"/>
      <c r="D16" s="2580"/>
      <c r="E16" s="2581"/>
      <c r="G16" s="521"/>
      <c r="H16" s="1687"/>
      <c r="J16" s="1690" t="s">
        <v>2440</v>
      </c>
      <c r="K16" s="2589"/>
      <c r="M16" s="1874" t="s">
        <v>2507</v>
      </c>
      <c r="N16" s="44"/>
      <c r="O16" s="1875"/>
      <c r="P16" s="1885" t="s">
        <v>2062</v>
      </c>
      <c r="Q16" s="2590" t="s">
        <v>5507</v>
      </c>
      <c r="R16" s="2591"/>
      <c r="S16" s="2592"/>
      <c r="T16" s="1688"/>
      <c r="U16" s="1688"/>
      <c r="V16" s="1688"/>
      <c r="Y16" s="2643"/>
      <c r="Z16" s="2644"/>
      <c r="AA16" s="2644"/>
      <c r="AB16" s="2645"/>
      <c r="AD16" s="36"/>
      <c r="AE16" s="36"/>
      <c r="AF16" s="36"/>
    </row>
    <row r="17" spans="1:32" ht="15" customHeight="1" outlineLevel="1">
      <c r="B17" s="2555" t="s">
        <v>367</v>
      </c>
      <c r="C17" s="2556"/>
      <c r="D17" s="2556"/>
      <c r="E17" s="2557"/>
      <c r="G17" s="553"/>
      <c r="H17" s="925">
        <f ca="1">IF(G17&lt;&gt;"",G17,IFERROR(IF($G$16="Yes",$P$17,IF(INDIRECT("'"&amp;$G$5&amp;"'!"&amp;ADDRESS(ROW(H17),COLUMN(H17)))="","",INDIRECT("'"&amp;$G$5&amp;"'!"&amp;ADDRESS(ROW(H17),COLUMN(H17))))),IF($G$5&lt;&gt;"","Data Source Error","")))</f>
        <v>1955</v>
      </c>
      <c r="K17" s="2589" t="s">
        <v>5508</v>
      </c>
      <c r="M17" s="1873" t="s">
        <v>5503</v>
      </c>
      <c r="N17" s="1873"/>
      <c r="O17" s="1873"/>
      <c r="P17" s="1868">
        <f ca="1">IF($P$16="Vaccines",'Vaccine Demand Volume &amp; Value'!$G$82,IF($P$16="Reproductive Health",'RH Demand Volume &amp; Value'!$J$67, IF($P$16="General",'General Demand Volume'!$AB$9,"")))</f>
        <v>119.95700266668503</v>
      </c>
      <c r="Q17" s="2593"/>
      <c r="R17" s="2594"/>
      <c r="S17" s="2595"/>
      <c r="T17" s="1688"/>
      <c r="U17" s="1688"/>
      <c r="V17" s="1688"/>
      <c r="Y17" s="2643"/>
      <c r="Z17" s="2644"/>
      <c r="AA17" s="2644"/>
      <c r="AB17" s="2645"/>
      <c r="AD17" s="36"/>
      <c r="AE17" s="36"/>
    </row>
    <row r="18" spans="1:32" ht="15" customHeight="1" outlineLevel="1">
      <c r="B18" s="2558" t="s">
        <v>678</v>
      </c>
      <c r="C18" s="2559"/>
      <c r="D18" s="2559"/>
      <c r="E18" s="2560"/>
      <c r="G18" s="523"/>
      <c r="H18" s="918">
        <f ca="1">IF(G18&lt;&gt;"",G18,IFERROR(IF($G$16="Yes",$P$18,IF(INDIRECT("'"&amp;$G$5&amp;"'!"&amp;ADDRESS(ROW(H18),COLUMN(H18)))="","",INDIRECT("'"&amp;$G$5&amp;"'!"&amp;ADDRESS(ROW(H18),COLUMN(H18))))),IF($G$5&lt;&gt;"","Data Source Error","")))</f>
        <v>0</v>
      </c>
      <c r="K18" s="2589"/>
      <c r="M18" s="1876" t="s">
        <v>5504</v>
      </c>
      <c r="N18" s="1877"/>
      <c r="O18" s="1878"/>
      <c r="P18" s="1872">
        <f>IF($P$16="Vaccines",'Vaccine Demand Volume &amp; Value'!$G$81,IF($P$16="Reproductive Health",0, IF($P$16="General",'General Demand Volume'!$AB$11,"")))</f>
        <v>0</v>
      </c>
      <c r="Q18" s="2593"/>
      <c r="R18" s="2594"/>
      <c r="S18" s="2595"/>
      <c r="T18" s="1688"/>
      <c r="U18" s="1688"/>
      <c r="V18" s="1688"/>
      <c r="Y18" s="2643"/>
      <c r="Z18" s="2644"/>
      <c r="AA18" s="2644"/>
      <c r="AB18" s="2645"/>
      <c r="AD18" s="36"/>
      <c r="AE18" s="36"/>
      <c r="AF18" s="36"/>
    </row>
    <row r="19" spans="1:32" ht="15" customHeight="1" outlineLevel="1">
      <c r="B19" s="2558" t="s">
        <v>130</v>
      </c>
      <c r="C19" s="2559"/>
      <c r="D19" s="2559"/>
      <c r="E19" s="2560"/>
      <c r="G19" s="523"/>
      <c r="H19" s="918">
        <f ca="1">IF(G19&lt;&gt;"",G19,IFERROR(IF($G$16="Yes",$P$19,IF(INDIRECT("'"&amp;$G$5&amp;"'!"&amp;ADDRESS(ROW(H19),COLUMN(H19)))="","",INDIRECT("'"&amp;$G$5&amp;"'!"&amp;ADDRESS(ROW(H19),COLUMN(H19))))),IF($G$5&lt;&gt;"","Data Source Error","")))</f>
        <v>109</v>
      </c>
      <c r="K19" s="2589"/>
      <c r="M19" s="1876" t="s">
        <v>2508</v>
      </c>
      <c r="N19" s="1879"/>
      <c r="O19" s="1880"/>
      <c r="P19" s="1871">
        <f>IF($P$16="Vaccines",'Vaccine Demand Volume &amp; Value'!$G$83 + 'Vaccine Demand Volume &amp; Value'!$G$84,IF($P$16="Reproductive Health",'RH Demand Volume &amp; Value'!$L$47,IF($P$16="General",'General Demand Volume'!$AB$17,"")))</f>
        <v>10</v>
      </c>
      <c r="Q19" s="2593"/>
      <c r="R19" s="2594"/>
      <c r="S19" s="2595"/>
      <c r="T19" s="1688"/>
      <c r="U19" s="1688"/>
      <c r="V19" s="1688"/>
      <c r="Y19" s="2643"/>
      <c r="Z19" s="2644"/>
      <c r="AA19" s="2644"/>
      <c r="AB19" s="2645"/>
      <c r="AD19" s="36"/>
      <c r="AE19" s="36"/>
      <c r="AF19" s="36"/>
    </row>
    <row r="20" spans="1:32" ht="30" customHeight="1" outlineLevel="1">
      <c r="B20" s="2582" t="s">
        <v>373</v>
      </c>
      <c r="C20" s="2583"/>
      <c r="D20" s="2583"/>
      <c r="E20" s="2584"/>
      <c r="G20" s="526"/>
      <c r="H20" s="926" t="str">
        <f ca="1">IF(G20&lt;&gt;"",G20,IFERROR(IF($G$16="Yes",$P$20,IF(INDIRECT("'"&amp;$G$5&amp;"'!"&amp;ADDRESS(ROW(H20),COLUMN(H20)))="","",INDIRECT("'"&amp;$G$5&amp;"'!"&amp;ADDRESS(ROW(H20),COLUMN(H20))))),IF($G$5&lt;&gt;"","Data Source Error","")))</f>
        <v>Delivered</v>
      </c>
      <c r="K20" s="1882" t="s">
        <v>5439</v>
      </c>
      <c r="M20" s="2102" t="s">
        <v>5505</v>
      </c>
      <c r="N20" s="2250"/>
      <c r="O20" s="1881"/>
      <c r="P20" s="1870" t="s">
        <v>370</v>
      </c>
      <c r="Q20" s="2596" t="s">
        <v>5441</v>
      </c>
      <c r="R20" s="2597"/>
      <c r="S20" s="2598"/>
      <c r="T20" s="1688"/>
      <c r="U20" s="1688"/>
      <c r="V20" s="1688"/>
      <c r="Y20" s="2643"/>
      <c r="Z20" s="2644"/>
      <c r="AA20" s="2644"/>
      <c r="AB20" s="2645"/>
      <c r="AD20" s="36"/>
      <c r="AE20" s="36"/>
      <c r="AF20" s="36"/>
    </row>
    <row r="21" spans="1:32" ht="15" customHeight="1" outlineLevel="1">
      <c r="B21" s="2585" t="s">
        <v>2512</v>
      </c>
      <c r="C21" s="2586"/>
      <c r="D21" s="2586"/>
      <c r="E21" s="2587"/>
      <c r="G21" s="527"/>
      <c r="H21" s="927">
        <f ca="1">IF(G21&lt;&gt;"",G21,IFERROR(IF($G$16="Yes",$P$21,IF(INDIRECT("'"&amp;$G$5&amp;"'!"&amp;ADDRESS(ROW(H21),COLUMN(H21)))="","",INDIRECT("'"&amp;$G$5&amp;"'!"&amp;ADDRESS(ROW(H21),COLUMN(H21)))*$H$6)),IF($G$5&lt;&gt;"","Data Source Error","")))</f>
        <v>12300000</v>
      </c>
      <c r="J21" s="251"/>
      <c r="K21" s="1883" t="s">
        <v>5440</v>
      </c>
      <c r="M21" s="2602" t="s">
        <v>838</v>
      </c>
      <c r="N21" s="2603"/>
      <c r="O21" s="1867"/>
      <c r="P21" s="2606">
        <f ca="1">IF($P$16="Vaccines",'Vaccine Demand Volume &amp; Value'!$G$85,IF($P$16="Reproductive Health",'RH Demand Volume &amp; Value'!$K$67,IF($P$16="General","","")))</f>
        <v>5458781.7452971619</v>
      </c>
      <c r="Q21" s="2599" t="s">
        <v>5442</v>
      </c>
      <c r="R21" s="2600"/>
      <c r="S21" s="2601"/>
      <c r="T21" s="1688"/>
      <c r="U21" s="1688"/>
      <c r="V21" s="1688"/>
      <c r="W21" s="36"/>
      <c r="X21" s="6"/>
      <c r="Y21" s="2643"/>
      <c r="Z21" s="2644"/>
      <c r="AA21" s="2644"/>
      <c r="AB21" s="2645"/>
      <c r="AC21" s="36"/>
      <c r="AD21" s="36"/>
      <c r="AE21" s="36"/>
      <c r="AF21" s="36"/>
    </row>
    <row r="22" spans="1:32" ht="16.5" customHeight="1">
      <c r="A22" s="212" t="s">
        <v>354</v>
      </c>
      <c r="C22" s="50"/>
      <c r="D22" s="50"/>
      <c r="E22" s="50"/>
      <c r="G22" s="110"/>
      <c r="H22" s="50"/>
      <c r="I22" s="50"/>
      <c r="J22" s="110"/>
      <c r="K22" s="1884" t="s">
        <v>5501</v>
      </c>
      <c r="M22" s="2604"/>
      <c r="N22" s="2605"/>
      <c r="O22" s="236"/>
      <c r="P22" s="2607"/>
      <c r="Q22" s="1869" t="s">
        <v>5502</v>
      </c>
      <c r="R22" s="236"/>
      <c r="S22" s="5"/>
      <c r="W22" s="36"/>
      <c r="X22" s="6"/>
      <c r="Y22" s="36"/>
      <c r="Z22" s="36"/>
      <c r="AA22" s="36"/>
      <c r="AB22" s="36"/>
      <c r="AC22" s="36"/>
      <c r="AD22" s="36"/>
      <c r="AE22" s="36"/>
      <c r="AF22" s="36"/>
    </row>
    <row r="23" spans="1:32" ht="16.5" customHeight="1">
      <c r="W23" s="36"/>
      <c r="X23" s="6"/>
      <c r="Y23" s="36"/>
      <c r="Z23" s="36"/>
      <c r="AA23" s="36"/>
      <c r="AB23" s="36"/>
      <c r="AC23" s="36"/>
      <c r="AD23" s="36"/>
      <c r="AE23" s="36"/>
      <c r="AF23" s="36"/>
    </row>
    <row r="24" spans="1:32" ht="37.5" customHeight="1">
      <c r="B24" s="2588" t="s">
        <v>5419</v>
      </c>
      <c r="C24" s="2588"/>
      <c r="D24" s="2588"/>
      <c r="E24" s="2588"/>
      <c r="G24" s="252"/>
      <c r="H24" s="86"/>
      <c r="I24" s="1"/>
      <c r="J24" s="252"/>
      <c r="K24" s="86"/>
      <c r="V24" s="36"/>
      <c r="W24" s="36"/>
      <c r="X24" s="36"/>
      <c r="Y24" s="36"/>
      <c r="Z24" s="36"/>
      <c r="AA24" s="36"/>
      <c r="AB24" s="36"/>
      <c r="AC24" s="36"/>
      <c r="AD24" s="36"/>
      <c r="AE24" s="36"/>
      <c r="AF24" s="36"/>
    </row>
    <row r="25" spans="1:32" ht="16" customHeight="1" outlineLevel="1">
      <c r="B25" s="2608" t="s">
        <v>23</v>
      </c>
      <c r="C25" s="2609"/>
      <c r="D25" s="2609"/>
      <c r="E25" s="2610"/>
      <c r="G25" s="2614" t="s">
        <v>72</v>
      </c>
      <c r="H25" s="2615"/>
      <c r="J25" s="2614" t="s">
        <v>24</v>
      </c>
      <c r="K25" s="2615"/>
      <c r="M25" s="2629" t="s">
        <v>405</v>
      </c>
      <c r="N25" s="2630"/>
      <c r="O25" s="2630"/>
      <c r="P25" s="2631"/>
      <c r="V25" s="36"/>
      <c r="W25" s="36"/>
      <c r="X25" s="36"/>
      <c r="Y25" s="36"/>
      <c r="Z25" s="36"/>
      <c r="AA25" s="36"/>
      <c r="AB25" s="36"/>
      <c r="AC25" s="36"/>
      <c r="AD25" s="36"/>
      <c r="AE25" s="36"/>
      <c r="AF25" s="36"/>
    </row>
    <row r="26" spans="1:32" ht="36.75" customHeight="1" outlineLevel="1">
      <c r="B26" s="2611"/>
      <c r="C26" s="2612"/>
      <c r="D26" s="2612"/>
      <c r="E26" s="2613"/>
      <c r="G26" s="253" t="s">
        <v>17</v>
      </c>
      <c r="H26" s="921" t="s">
        <v>2510</v>
      </c>
      <c r="J26" s="255" t="s">
        <v>17</v>
      </c>
      <c r="K26" s="921" t="s">
        <v>2510</v>
      </c>
      <c r="M26" s="2619" t="s">
        <v>419</v>
      </c>
      <c r="N26" s="2620"/>
      <c r="O26" s="2620"/>
      <c r="P26" s="2621"/>
      <c r="V26" s="36"/>
      <c r="W26" s="36"/>
      <c r="X26" s="36"/>
      <c r="Y26" s="2619" t="s">
        <v>673</v>
      </c>
      <c r="Z26" s="2620"/>
      <c r="AA26" s="2620"/>
      <c r="AB26" s="2621"/>
      <c r="AC26" s="36"/>
      <c r="AD26" s="36"/>
      <c r="AE26" s="36"/>
      <c r="AF26" s="36"/>
    </row>
    <row r="27" spans="1:32" ht="14.25" customHeight="1" outlineLevel="1">
      <c r="B27" s="2622" t="s">
        <v>604</v>
      </c>
      <c r="C27" s="2623"/>
      <c r="D27" s="2623"/>
      <c r="E27" s="618"/>
      <c r="F27">
        <f t="shared" ref="F27:F38" ca="1" si="0">IF(OR(
$H$105=B27,$K$105=B27,$N$105=B27,$Q$105=B27,$T$105=B27,$W$105=B27,
$K$145=B27,$N$145=B27,$Q$145=B27,$T$145=B27,$W$145=B27,$K$147=B27,$N$147=B27,$Q$147=B27,$T$147=B27,$W$147=B27,
$K$165=B27,$N$165=B27,$Q$165=B27,$T$165=B27,$W$165=B27,$K$167=B27,$N$167=B27,$Q$167=B27,$T$167=B27,$W$167=B27,
$K$185=B27,$N$185=B27,$Q$185=B27,$T$185=B27,$W$185=B27,$K$187=B27,$N$187=B27,$Q$187=B27,$T$187=B27,$W$187=B27,
$K$210=B27,$N$210=B27,$Q$210=B27,$T$210=B27,$W$210=B27,$K$212=B27,$N$212=B27,$Q$212=B27,$T$212=B27,$W$212=B27,
$K$230=B27,,$N$230=B27,$Q$230=B27,$T$230=B27,$W$230=B27,$K$232=B27,$N$232=B27,$Q$232=B27,$T$232=B27,$W$232=B27,
$K$250=B27,$N$250=B27,$Q$250=B27,$T$250=B27,$W$250=B27,$K$252=B27,$N$252=B27,$Q$252=B27,$T$252=B27,$W$252=B27,
$K$274=B27,$N$274=B27,$Q$274=B27,$T$274=B27,$W$274=B27,$K$276=B27,$N$276=B27,$Q$276=B27,$T$276=B27,$W$276=B27,
$K$294=B27,$N$294=B27,$Q$294=B27,$T$294=B27,$W$294=B27,$K$296=B27,$N$296=B27,$Q$296=B27,$T$296=B27,$W$296=B27,
$K$314=B27,$N$314=B27,$Q$314=B27,$T$314=B27,$W$314=B27,$K$316=B27,$N$316=B27,$Q$316=B27,$T$316=B27,$W$316=B27),1,0)</f>
        <v>0</v>
      </c>
      <c r="G27" s="688"/>
      <c r="H27" s="922">
        <v>0</v>
      </c>
      <c r="J27" s="688"/>
      <c r="K27" s="922">
        <v>0</v>
      </c>
      <c r="M27" s="528"/>
      <c r="N27" s="532"/>
      <c r="O27" s="532"/>
      <c r="P27" s="533"/>
      <c r="V27" s="36"/>
      <c r="W27" s="36"/>
      <c r="X27" s="36"/>
      <c r="Y27" s="2643"/>
      <c r="Z27" s="2644"/>
      <c r="AA27" s="2644"/>
      <c r="AB27" s="2645"/>
      <c r="AC27" s="36"/>
      <c r="AD27" s="36"/>
      <c r="AE27" s="36"/>
      <c r="AF27" s="36"/>
    </row>
    <row r="28" spans="1:32" ht="16" customHeight="1" outlineLevel="1">
      <c r="B28" s="2577" t="s">
        <v>19</v>
      </c>
      <c r="C28" s="2578"/>
      <c r="D28" s="2578"/>
      <c r="E28" s="617"/>
      <c r="F28">
        <f t="shared" ca="1" si="0"/>
        <v>1</v>
      </c>
      <c r="G28" s="689"/>
      <c r="H28" s="919">
        <f ca="1">IF(G28&lt;&gt;"",G28,IFERROR(IF(INDIRECT("'"&amp;$G$5&amp;"'!"&amp;ADDRESS(ROW(H28),COLUMN(H28)))="","",INDIRECT("'"&amp;$G$5&amp;"'!"&amp;ADDRESS(ROW(H28),COLUMN(H28)))*$H$6),IF($G$5&lt;&gt;"","Data Source Error","")))</f>
        <v>2.7965144230769217</v>
      </c>
      <c r="I28" s="183"/>
      <c r="J28" s="689"/>
      <c r="K28" s="919">
        <f ca="1">IF(J28&lt;&gt;"",J28,IFERROR(IF(INDIRECT("'"&amp;$G$5&amp;"'!"&amp;ADDRESS(ROW(K28),COLUMN(K28)))="","",INDIRECT("'"&amp;$G$5&amp;"'!"&amp;ADDRESS(ROW(K28),COLUMN(K28)))*$H$6),IF($G$5&lt;&gt;"","Data Source Error","")))</f>
        <v>30</v>
      </c>
      <c r="M28" s="528"/>
      <c r="N28" s="532"/>
      <c r="O28" s="532"/>
      <c r="P28" s="533"/>
      <c r="V28" s="36"/>
      <c r="W28" s="36"/>
      <c r="X28" s="36"/>
      <c r="Y28" s="2643"/>
      <c r="Z28" s="2644"/>
      <c r="AA28" s="2644"/>
      <c r="AB28" s="2645"/>
      <c r="AC28" s="36" t="s">
        <v>166</v>
      </c>
      <c r="AD28" s="36"/>
      <c r="AE28" s="36"/>
      <c r="AF28" s="36"/>
    </row>
    <row r="29" spans="1:32" outlineLevel="1">
      <c r="B29" s="2577" t="s">
        <v>20</v>
      </c>
      <c r="C29" s="2578"/>
      <c r="D29" s="2578"/>
      <c r="E29" s="209"/>
      <c r="F29">
        <f t="shared" ca="1" si="0"/>
        <v>0</v>
      </c>
      <c r="G29" s="689"/>
      <c r="H29" s="919">
        <f t="shared" ref="H29:H38" ca="1" si="1">IF(G29&lt;&gt;"",G29,IFERROR(IF(INDIRECT("'"&amp;$G$5&amp;"'!"&amp;ADDRESS(ROW(H29),COLUMN(H29)))="","",INDIRECT("'"&amp;$G$5&amp;"'!"&amp;ADDRESS(ROW(H29),COLUMN(H29)))*$H$6),IF($G$5&lt;&gt;"","Data Source Error","")))</f>
        <v>2.36</v>
      </c>
      <c r="I29" s="187"/>
      <c r="J29" s="689"/>
      <c r="K29" s="919">
        <f t="shared" ref="K29:K38" ca="1" si="2">IF(J29&lt;&gt;"",J29,IFERROR(IF(INDIRECT("'"&amp;$G$5&amp;"'!"&amp;ADDRESS(ROW(K29),COLUMN(K29)))="","",INDIRECT("'"&amp;$G$5&amp;"'!"&amp;ADDRESS(ROW(K29),COLUMN(K29)))*$H$6),IF($G$5&lt;&gt;"","Data Source Error","")))</f>
        <v>30</v>
      </c>
      <c r="M29" s="528"/>
      <c r="N29" s="532"/>
      <c r="O29" s="532"/>
      <c r="P29" s="533"/>
      <c r="V29" s="36"/>
      <c r="W29" s="36"/>
      <c r="X29" s="36"/>
      <c r="Y29" s="2643"/>
      <c r="Z29" s="2644"/>
      <c r="AA29" s="2644"/>
      <c r="AB29" s="2645"/>
      <c r="AC29" s="36" t="s">
        <v>168</v>
      </c>
      <c r="AD29" s="36"/>
      <c r="AE29" s="36"/>
      <c r="AF29" s="36"/>
    </row>
    <row r="30" spans="1:32" outlineLevel="1">
      <c r="B30" s="2577" t="s">
        <v>21</v>
      </c>
      <c r="C30" s="2578"/>
      <c r="D30" s="2578"/>
      <c r="E30" s="209"/>
      <c r="F30">
        <f t="shared" ca="1" si="0"/>
        <v>0</v>
      </c>
      <c r="G30" s="689"/>
      <c r="H30" s="919">
        <f t="shared" ca="1" si="1"/>
        <v>4.915775</v>
      </c>
      <c r="I30" s="187"/>
      <c r="J30" s="689"/>
      <c r="K30" s="919">
        <f t="shared" ca="1" si="2"/>
        <v>31.65</v>
      </c>
      <c r="M30" s="528"/>
      <c r="N30" s="532"/>
      <c r="O30" s="532"/>
      <c r="P30" s="533"/>
      <c r="V30" s="36"/>
      <c r="W30" s="36"/>
      <c r="X30" s="36"/>
      <c r="Y30" s="2643"/>
      <c r="Z30" s="2644"/>
      <c r="AA30" s="2644"/>
      <c r="AB30" s="2645"/>
      <c r="AC30" s="36" t="s">
        <v>170</v>
      </c>
      <c r="AD30" s="36"/>
      <c r="AE30" s="36"/>
      <c r="AF30" s="36"/>
    </row>
    <row r="31" spans="1:32" outlineLevel="1">
      <c r="B31" s="2577" t="s">
        <v>22</v>
      </c>
      <c r="C31" s="2578"/>
      <c r="D31" s="2578"/>
      <c r="E31" s="209"/>
      <c r="F31">
        <f t="shared" ca="1" si="0"/>
        <v>1</v>
      </c>
      <c r="G31" s="689"/>
      <c r="H31" s="919">
        <f t="shared" ca="1" si="1"/>
        <v>5.91</v>
      </c>
      <c r="I31" s="187"/>
      <c r="J31" s="689"/>
      <c r="K31" s="919">
        <f t="shared" ca="1" si="2"/>
        <v>30</v>
      </c>
      <c r="M31" s="528"/>
      <c r="N31" s="532"/>
      <c r="O31" s="532"/>
      <c r="P31" s="533"/>
      <c r="V31" s="36"/>
      <c r="W31" s="36"/>
      <c r="X31" s="36"/>
      <c r="Y31" s="2643"/>
      <c r="Z31" s="2644"/>
      <c r="AA31" s="2644"/>
      <c r="AB31" s="2645"/>
      <c r="AC31" s="36"/>
      <c r="AD31" s="36"/>
      <c r="AE31" s="36"/>
      <c r="AF31" s="36"/>
    </row>
    <row r="32" spans="1:32" outlineLevel="1">
      <c r="B32" s="2577" t="s">
        <v>402</v>
      </c>
      <c r="C32" s="2578"/>
      <c r="D32" s="2578"/>
      <c r="E32" s="209"/>
      <c r="F32">
        <f t="shared" ca="1" si="0"/>
        <v>1</v>
      </c>
      <c r="G32" s="689"/>
      <c r="H32" s="919">
        <f t="shared" ca="1" si="1"/>
        <v>5</v>
      </c>
      <c r="I32" s="187"/>
      <c r="J32" s="689"/>
      <c r="K32" s="919">
        <f t="shared" ca="1" si="2"/>
        <v>30</v>
      </c>
      <c r="M32" s="528"/>
      <c r="N32" s="532"/>
      <c r="O32" s="532"/>
      <c r="P32" s="533"/>
      <c r="V32" s="36"/>
      <c r="W32" s="36"/>
      <c r="X32" s="36"/>
      <c r="Y32" s="2643"/>
      <c r="Z32" s="2644"/>
      <c r="AA32" s="2644"/>
      <c r="AB32" s="2645"/>
      <c r="AC32" s="36"/>
      <c r="AD32" s="36"/>
      <c r="AE32" s="36"/>
      <c r="AF32" s="36"/>
    </row>
    <row r="33" spans="1:32" outlineLevel="1">
      <c r="B33" s="2577" t="s">
        <v>401</v>
      </c>
      <c r="C33" s="2578"/>
      <c r="D33" s="2578"/>
      <c r="E33" s="209"/>
      <c r="F33">
        <f t="shared" ca="1" si="0"/>
        <v>0</v>
      </c>
      <c r="G33" s="689"/>
      <c r="H33" s="919">
        <f t="shared" ca="1" si="1"/>
        <v>5.91</v>
      </c>
      <c r="I33" s="187"/>
      <c r="J33" s="689"/>
      <c r="K33" s="919">
        <f t="shared" ca="1" si="2"/>
        <v>30</v>
      </c>
      <c r="M33" s="528"/>
      <c r="N33" s="532"/>
      <c r="O33" s="532"/>
      <c r="P33" s="533"/>
      <c r="V33" s="36"/>
      <c r="W33" s="36"/>
      <c r="X33" s="36"/>
      <c r="Y33" s="2643"/>
      <c r="Z33" s="2644"/>
      <c r="AA33" s="2644"/>
      <c r="AB33" s="2645"/>
      <c r="AC33" s="36"/>
      <c r="AD33" s="36"/>
      <c r="AE33" s="36"/>
      <c r="AF33" s="36"/>
    </row>
    <row r="34" spans="1:32" outlineLevel="1">
      <c r="B34" s="2577" t="s">
        <v>403</v>
      </c>
      <c r="C34" s="2578"/>
      <c r="D34" s="2578"/>
      <c r="E34" s="209"/>
      <c r="F34">
        <f t="shared" ca="1" si="0"/>
        <v>0</v>
      </c>
      <c r="G34" s="689"/>
      <c r="H34" s="919">
        <f t="shared" ca="1" si="1"/>
        <v>5.91</v>
      </c>
      <c r="I34" s="187"/>
      <c r="J34" s="689"/>
      <c r="K34" s="919">
        <f t="shared" ca="1" si="2"/>
        <v>30</v>
      </c>
      <c r="M34" s="528"/>
      <c r="N34" s="532"/>
      <c r="O34" s="532"/>
      <c r="P34" s="533"/>
      <c r="V34" s="36"/>
      <c r="W34" s="36"/>
      <c r="X34" s="36"/>
      <c r="Y34" s="2643"/>
      <c r="Z34" s="2644"/>
      <c r="AA34" s="2644"/>
      <c r="AB34" s="2645"/>
      <c r="AC34" s="36" t="s">
        <v>169</v>
      </c>
      <c r="AD34" s="36"/>
      <c r="AE34" s="36"/>
      <c r="AF34" s="36"/>
    </row>
    <row r="35" spans="1:32" outlineLevel="1">
      <c r="B35" s="2577" t="s">
        <v>404</v>
      </c>
      <c r="C35" s="2578"/>
      <c r="D35" s="2578"/>
      <c r="E35" s="209"/>
      <c r="F35">
        <f t="shared" ca="1" si="0"/>
        <v>0</v>
      </c>
      <c r="G35" s="689"/>
      <c r="H35" s="919">
        <f t="shared" ca="1" si="1"/>
        <v>5</v>
      </c>
      <c r="I35" s="187"/>
      <c r="J35" s="689"/>
      <c r="K35" s="919">
        <f t="shared" ca="1" si="2"/>
        <v>30</v>
      </c>
      <c r="M35" s="528"/>
      <c r="N35" s="532"/>
      <c r="O35" s="532"/>
      <c r="P35" s="533"/>
      <c r="V35" s="36"/>
      <c r="W35" s="36"/>
      <c r="X35" s="36"/>
      <c r="Y35" s="2643"/>
      <c r="Z35" s="2644"/>
      <c r="AA35" s="2644"/>
      <c r="AB35" s="2645"/>
      <c r="AC35" s="36" t="s">
        <v>167</v>
      </c>
      <c r="AD35" s="36"/>
      <c r="AE35" s="36"/>
      <c r="AF35" s="36"/>
    </row>
    <row r="36" spans="1:32" outlineLevel="1">
      <c r="B36" s="2577" t="s">
        <v>416</v>
      </c>
      <c r="C36" s="2578"/>
      <c r="D36" s="2578"/>
      <c r="E36" s="276"/>
      <c r="F36">
        <f t="shared" ca="1" si="0"/>
        <v>0</v>
      </c>
      <c r="G36" s="690"/>
      <c r="H36" s="919" t="str">
        <f t="shared" ca="1" si="1"/>
        <v/>
      </c>
      <c r="I36" s="184"/>
      <c r="J36" s="690"/>
      <c r="K36" s="919" t="str">
        <f t="shared" ca="1" si="2"/>
        <v/>
      </c>
      <c r="M36" s="529"/>
      <c r="N36" s="534"/>
      <c r="O36" s="534"/>
      <c r="P36" s="535"/>
      <c r="V36" s="36"/>
      <c r="W36" s="36"/>
      <c r="X36" s="36"/>
      <c r="Y36" s="2643"/>
      <c r="Z36" s="2644"/>
      <c r="AA36" s="2644"/>
      <c r="AB36" s="2645"/>
      <c r="AC36" s="36"/>
      <c r="AD36" s="36"/>
      <c r="AE36" s="36"/>
      <c r="AF36" s="36"/>
    </row>
    <row r="37" spans="1:32" outlineLevel="1">
      <c r="B37" s="2577" t="s">
        <v>417</v>
      </c>
      <c r="C37" s="2578"/>
      <c r="D37" s="2578"/>
      <c r="E37" s="276"/>
      <c r="F37">
        <f t="shared" ca="1" si="0"/>
        <v>0</v>
      </c>
      <c r="G37" s="690"/>
      <c r="H37" s="919" t="str">
        <f t="shared" ca="1" si="1"/>
        <v/>
      </c>
      <c r="I37" s="184"/>
      <c r="J37" s="690"/>
      <c r="K37" s="919" t="str">
        <f t="shared" ca="1" si="2"/>
        <v/>
      </c>
      <c r="M37" s="529"/>
      <c r="N37" s="534"/>
      <c r="O37" s="534"/>
      <c r="P37" s="535"/>
      <c r="V37" s="36"/>
      <c r="W37" s="36"/>
      <c r="X37" s="36"/>
      <c r="Y37" s="2643"/>
      <c r="Z37" s="2644"/>
      <c r="AA37" s="2644"/>
      <c r="AB37" s="2645"/>
      <c r="AC37" s="36"/>
      <c r="AD37" s="36"/>
      <c r="AE37" s="36"/>
      <c r="AF37" s="36"/>
    </row>
    <row r="38" spans="1:32" outlineLevel="1">
      <c r="B38" s="2632" t="s">
        <v>418</v>
      </c>
      <c r="C38" s="2633"/>
      <c r="D38" s="2633"/>
      <c r="E38" s="210"/>
      <c r="F38">
        <f t="shared" ca="1" si="0"/>
        <v>0</v>
      </c>
      <c r="G38" s="691"/>
      <c r="H38" s="923">
        <f t="shared" ca="1" si="1"/>
        <v>7.8750999999999998</v>
      </c>
      <c r="I38" s="184"/>
      <c r="J38" s="691"/>
      <c r="K38" s="923">
        <f t="shared" ca="1" si="2"/>
        <v>75</v>
      </c>
      <c r="M38" s="530"/>
      <c r="N38" s="536"/>
      <c r="O38" s="536"/>
      <c r="P38" s="537"/>
      <c r="V38" s="36"/>
      <c r="W38" s="36"/>
      <c r="X38" s="36"/>
      <c r="Y38" s="2657"/>
      <c r="Z38" s="2658"/>
      <c r="AA38" s="2658"/>
      <c r="AB38" s="2659"/>
      <c r="AC38" s="36"/>
      <c r="AD38" s="36"/>
      <c r="AE38" s="36"/>
      <c r="AF38" s="36"/>
    </row>
    <row r="39" spans="1:32">
      <c r="A39" s="212" t="s">
        <v>353</v>
      </c>
      <c r="V39" s="36"/>
      <c r="W39" s="36"/>
      <c r="X39" s="36"/>
      <c r="Y39" s="36"/>
      <c r="Z39" s="36"/>
      <c r="AA39" s="36"/>
      <c r="AB39" s="36"/>
      <c r="AC39" s="36"/>
      <c r="AD39" s="36"/>
      <c r="AE39" s="36"/>
      <c r="AF39" s="36"/>
    </row>
    <row r="40" spans="1:32">
      <c r="A40" s="10"/>
      <c r="B40" s="8"/>
      <c r="C40" s="8"/>
      <c r="V40" s="36"/>
      <c r="W40" s="36"/>
      <c r="X40" s="36"/>
      <c r="Y40" s="36"/>
      <c r="Z40" s="36"/>
      <c r="AA40" s="36"/>
      <c r="AB40" s="36"/>
      <c r="AC40" s="36"/>
      <c r="AD40" s="36"/>
      <c r="AE40" s="36"/>
      <c r="AF40" s="36"/>
    </row>
    <row r="41" spans="1:32" ht="37.5" customHeight="1">
      <c r="B41" s="2588" t="s">
        <v>5631</v>
      </c>
      <c r="C41" s="2588"/>
      <c r="D41" s="2588"/>
      <c r="E41" s="2588"/>
      <c r="F41" s="148"/>
      <c r="J41" s="2616"/>
      <c r="K41" s="2616"/>
      <c r="L41" s="2616"/>
      <c r="M41" s="2616"/>
      <c r="V41" s="36"/>
      <c r="W41" s="36"/>
      <c r="X41" s="36"/>
      <c r="Y41" s="2690"/>
      <c r="Z41" s="2690"/>
      <c r="AA41" s="2690"/>
      <c r="AB41" s="2690"/>
      <c r="AC41" s="36"/>
      <c r="AD41" s="36"/>
      <c r="AE41" s="36"/>
      <c r="AF41" s="36"/>
    </row>
    <row r="42" spans="1:32" ht="29.15" outlineLevel="1">
      <c r="A42" s="10"/>
      <c r="B42" s="2617" t="s">
        <v>34</v>
      </c>
      <c r="C42" s="2618"/>
      <c r="D42" s="1636" t="s">
        <v>35</v>
      </c>
      <c r="E42" s="1637"/>
      <c r="F42" s="616"/>
      <c r="G42" s="253" t="s">
        <v>17</v>
      </c>
      <c r="H42" s="916" t="s">
        <v>2510</v>
      </c>
      <c r="J42" s="2619" t="s">
        <v>420</v>
      </c>
      <c r="K42" s="2620"/>
      <c r="L42" s="2620"/>
      <c r="M42" s="2621"/>
      <c r="V42" s="36"/>
      <c r="W42" s="36"/>
      <c r="X42" s="36"/>
      <c r="Y42" s="2687"/>
      <c r="Z42" s="2687"/>
      <c r="AA42" s="2687"/>
      <c r="AB42" s="2687"/>
      <c r="AC42" s="36"/>
      <c r="AD42" s="36"/>
      <c r="AE42" s="36"/>
      <c r="AF42" s="36"/>
    </row>
    <row r="43" spans="1:32" outlineLevel="1">
      <c r="A43" s="10"/>
      <c r="B43" s="2624" t="s">
        <v>136</v>
      </c>
      <c r="C43" s="2625"/>
      <c r="D43" s="204" t="s">
        <v>164</v>
      </c>
      <c r="E43" s="205">
        <f t="shared" ref="E43:E78" ca="1" si="3">IF(OR($K$136=B43,$N$136=B43,$Q$136=B43,$T$136=B43,$W$136=B43,
$K$156=B43,$N$156=B43,$Q$156=B43,$T$156=B43,$W$156=B43,
$K$176=B43,$N$176=B43,$Q$176=B43,$T$176=B43,$W$176=B43,
$K$200=B43,$N$200=B43,$Q$200=B43,$T$200=B43,$W$200=B43,
$K$220=B43,$N$220=B43,$Q$220=B43,$T$220=B43,$W$220=B43,
$K$240=B43,$N$240=B43,$Q$240=B43,$T$240=B43,$W$240=B43,
$K$264=B43,$N$264=B43,$Q$264=B43,$T$264=B43,$W$264=B43,
$K$284=B43,$N$284=B43,$Q$284=B43,$T$284=B43,$W$284=B43,
$K$304=B43,$N$304=B43,$Q$304=B43,$T$304=B43,$W$304=B43),1,0)</f>
        <v>0</v>
      </c>
      <c r="F43" s="549" t="str">
        <f t="shared" ref="F43:F78" si="4">B43&amp;D43</f>
        <v>Public Transport 1Average cost ($) per trip (one-way)</v>
      </c>
      <c r="G43" s="538"/>
      <c r="H43" s="917">
        <f ca="1">IF(G43&lt;&gt;"",G43,IFERROR(IF(INDIRECT("'"&amp;$G$5&amp;"'!"&amp;ADDRESS(ROW(H43),COLUMN(H43)))="","",INDIRECT("'"&amp;$G$5&amp;"'!"&amp;ADDRESS(ROW(H43),COLUMN(H43)))*$H$6),IF($G$5&lt;&gt;"","Data Source Error","")))</f>
        <v>0</v>
      </c>
      <c r="J43" s="2626"/>
      <c r="K43" s="2627"/>
      <c r="L43" s="2627"/>
      <c r="M43" s="2628"/>
      <c r="V43" s="36"/>
      <c r="W43" s="36"/>
      <c r="X43" s="36"/>
      <c r="Y43" s="2687"/>
      <c r="Z43" s="2687"/>
      <c r="AA43" s="2687"/>
      <c r="AB43" s="2687"/>
      <c r="AC43" s="36"/>
      <c r="AD43" s="36"/>
      <c r="AE43" s="36"/>
      <c r="AF43" s="36"/>
    </row>
    <row r="44" spans="1:32" outlineLevel="1">
      <c r="A44" s="10"/>
      <c r="B44" s="2558" t="s">
        <v>136</v>
      </c>
      <c r="C44" s="2559"/>
      <c r="D44" s="206" t="s">
        <v>135</v>
      </c>
      <c r="E44" s="205">
        <f t="shared" ca="1" si="3"/>
        <v>0</v>
      </c>
      <c r="F44" s="549" t="str">
        <f t="shared" si="4"/>
        <v>Public Transport 1Average duration (hrs) per trip</v>
      </c>
      <c r="G44" s="539"/>
      <c r="H44" s="918">
        <f ca="1">IF(G44&lt;&gt;"",G44,IFERROR(IF(INDIRECT("'"&amp;$G$5&amp;"'!"&amp;ADDRESS(ROW(H44),COLUMN(H44)))="","",INDIRECT("'"&amp;$G$5&amp;"'!"&amp;ADDRESS(ROW(H44),COLUMN(H44)))),IF($G$5&lt;&gt;"","Data Source Error","")))</f>
        <v>0</v>
      </c>
      <c r="J44" s="523"/>
      <c r="K44" s="545"/>
      <c r="L44" s="545"/>
      <c r="M44" s="546"/>
      <c r="V44" s="36"/>
      <c r="W44" s="36"/>
      <c r="X44" s="36"/>
      <c r="Y44" s="2687"/>
      <c r="Z44" s="2687"/>
      <c r="AA44" s="2687"/>
      <c r="AB44" s="2687"/>
      <c r="AC44" s="36"/>
      <c r="AD44" s="36"/>
      <c r="AE44" s="36"/>
      <c r="AF44" s="36"/>
    </row>
    <row r="45" spans="1:32" outlineLevel="1">
      <c r="A45" s="10"/>
      <c r="B45" s="2558" t="s">
        <v>136</v>
      </c>
      <c r="C45" s="2559"/>
      <c r="D45" s="1798" t="s">
        <v>2511</v>
      </c>
      <c r="E45" s="205">
        <f t="shared" ca="1" si="3"/>
        <v>0</v>
      </c>
      <c r="F45" s="549" t="str">
        <f t="shared" si="4"/>
        <v>Public Transport 1Maximum delivery capacity (m^3)</v>
      </c>
      <c r="G45" s="539"/>
      <c r="H45" s="918">
        <f ca="1">IF(G45&lt;&gt;"",G45,IFERROR(IF(INDIRECT("'"&amp;$G$5&amp;"'!"&amp;ADDRESS(ROW(H45),COLUMN(H45)))="","",INDIRECT("'"&amp;$G$5&amp;"'!"&amp;ADDRESS(ROW(H45),COLUMN(H45)))),IF($G$5&lt;&gt;"","Data Source Error","")))</f>
        <v>0</v>
      </c>
      <c r="J45" s="523"/>
      <c r="K45" s="545"/>
      <c r="L45" s="545"/>
      <c r="M45" s="546"/>
      <c r="Y45" s="2687"/>
      <c r="Z45" s="2687"/>
      <c r="AA45" s="2687"/>
      <c r="AB45" s="2687"/>
    </row>
    <row r="46" spans="1:32" outlineLevel="1">
      <c r="A46" s="10"/>
      <c r="B46" s="2624" t="s">
        <v>137</v>
      </c>
      <c r="C46" s="2625"/>
      <c r="D46" s="1822" t="s">
        <v>164</v>
      </c>
      <c r="E46" s="205">
        <f t="shared" ca="1" si="3"/>
        <v>0</v>
      </c>
      <c r="F46" s="549" t="str">
        <f t="shared" si="4"/>
        <v>Public Transport 2Average cost ($) per trip (one-way)</v>
      </c>
      <c r="G46" s="538"/>
      <c r="H46" s="917">
        <f ca="1">IF(G46&lt;&gt;"",G46,IFERROR(IF(INDIRECT("'"&amp;$G$5&amp;"'!"&amp;ADDRESS(ROW(H46),COLUMN(H46)))="","",INDIRECT("'"&amp;$G$5&amp;"'!"&amp;ADDRESS(ROW(H46),COLUMN(H46)))*$H$6),IF($G$5&lt;&gt;"","Data Source Error","")))</f>
        <v>0</v>
      </c>
      <c r="J46" s="523"/>
      <c r="K46" s="545"/>
      <c r="L46" s="545"/>
      <c r="M46" s="546"/>
      <c r="Y46" s="2687"/>
      <c r="Z46" s="2687"/>
      <c r="AA46" s="2687"/>
      <c r="AB46" s="2687"/>
    </row>
    <row r="47" spans="1:32" outlineLevel="1">
      <c r="A47" s="10"/>
      <c r="B47" s="2558" t="s">
        <v>137</v>
      </c>
      <c r="C47" s="2559"/>
      <c r="D47" s="1798" t="s">
        <v>135</v>
      </c>
      <c r="E47" s="205">
        <f t="shared" ca="1" si="3"/>
        <v>0</v>
      </c>
      <c r="F47" s="549" t="str">
        <f t="shared" si="4"/>
        <v>Public Transport 2Average duration (hrs) per trip</v>
      </c>
      <c r="G47" s="539"/>
      <c r="H47" s="918">
        <f ca="1">IF(G47&lt;&gt;"",G47,IFERROR(IF(INDIRECT("'"&amp;$G$5&amp;"'!"&amp;ADDRESS(ROW(H47),COLUMN(H47)))="","",INDIRECT("'"&amp;$G$5&amp;"'!"&amp;ADDRESS(ROW(H47),COLUMN(H47)))),IF($G$5&lt;&gt;"","Data Source Error","")))</f>
        <v>0</v>
      </c>
      <c r="J47" s="523"/>
      <c r="K47" s="545"/>
      <c r="L47" s="545"/>
      <c r="M47" s="546"/>
      <c r="Y47" s="2687"/>
      <c r="Z47" s="2687"/>
      <c r="AA47" s="2687"/>
      <c r="AB47" s="2687"/>
    </row>
    <row r="48" spans="1:32" outlineLevel="1">
      <c r="A48" s="10"/>
      <c r="B48" s="2558" t="s">
        <v>137</v>
      </c>
      <c r="C48" s="2559"/>
      <c r="D48" s="1798" t="s">
        <v>2511</v>
      </c>
      <c r="E48" s="205">
        <f t="shared" ca="1" si="3"/>
        <v>0</v>
      </c>
      <c r="F48" s="549" t="str">
        <f t="shared" si="4"/>
        <v>Public Transport 2Maximum delivery capacity (m^3)</v>
      </c>
      <c r="G48" s="539"/>
      <c r="H48" s="918">
        <f ca="1">IF(G48&lt;&gt;"",G48,IFERROR(IF(INDIRECT("'"&amp;$G$5&amp;"'!"&amp;ADDRESS(ROW(H48),COLUMN(H48)))="","",INDIRECT("'"&amp;$G$5&amp;"'!"&amp;ADDRESS(ROW(H48),COLUMN(H48)))),IF($G$5&lt;&gt;"","Data Source Error","")))</f>
        <v>0</v>
      </c>
      <c r="J48" s="523"/>
      <c r="K48" s="545"/>
      <c r="L48" s="545"/>
      <c r="M48" s="546"/>
      <c r="Y48" s="2687"/>
      <c r="Z48" s="2687"/>
      <c r="AA48" s="2687"/>
      <c r="AB48" s="2687"/>
    </row>
    <row r="49" spans="1:28" ht="18" customHeight="1" outlineLevel="1">
      <c r="A49" s="10"/>
      <c r="B49" s="2624" t="s">
        <v>36</v>
      </c>
      <c r="C49" s="2625"/>
      <c r="D49" s="208" t="s">
        <v>1545</v>
      </c>
      <c r="E49" s="205">
        <f t="shared" ca="1" si="3"/>
        <v>0</v>
      </c>
      <c r="F49" s="549" t="str">
        <f t="shared" si="4"/>
        <v>MotorcyclePurchase Price ($)</v>
      </c>
      <c r="G49" s="540"/>
      <c r="H49" s="917" t="str">
        <f ca="1">IF(G49&lt;&gt;"",G49,IFERROR(IF(INDIRECT("'"&amp;$G$5&amp;"'!"&amp;ADDRESS(ROW(H49),COLUMN(H49)))="","",INDIRECT("'"&amp;$G$5&amp;"'!"&amp;ADDRESS(ROW(H49),COLUMN(H49)))*$H$6),IF($G$5&lt;&gt;"","Data Source Error","")))</f>
        <v/>
      </c>
      <c r="J49" s="523"/>
      <c r="K49" s="545"/>
      <c r="L49" s="545"/>
      <c r="M49" s="546"/>
      <c r="Y49" s="2687"/>
      <c r="Z49" s="2687"/>
      <c r="AA49" s="2687"/>
      <c r="AB49" s="2687"/>
    </row>
    <row r="50" spans="1:28" outlineLevel="1">
      <c r="A50" s="10"/>
      <c r="B50" s="2558" t="s">
        <v>36</v>
      </c>
      <c r="C50" s="2559"/>
      <c r="D50" s="191" t="s">
        <v>2513</v>
      </c>
      <c r="E50" s="1064">
        <f t="shared" ca="1" si="3"/>
        <v>0</v>
      </c>
      <c r="F50" s="549" t="str">
        <f t="shared" si="4"/>
        <v>MotorcycleDepreciation Cost / yr ($)</v>
      </c>
      <c r="G50" s="541"/>
      <c r="H50" s="919" t="str">
        <f ca="1">IF(G50&lt;&gt;"",G50,IFERROR(IF(G49&lt;&gt;"",H49/$H$11,IF(INDIRECT("'"&amp;$G$5&amp;"'!"&amp;ADDRESS(ROW(H50),COLUMN(H50)))="",IF(H49="","",H49/$H$11),INDIRECT("'"&amp;$G$5&amp;"'!"&amp;ADDRESS(ROW(H50),COLUMN(H50))))*$H$6),IF(INDIRECT("'"&amp;$G$5&amp;"'!"&amp;ADDRESS(ROW(H50),COLUMN(H50)))="","",IF($G$5&lt;&gt;"","Data Source Error",""))))</f>
        <v/>
      </c>
      <c r="J50" s="523"/>
      <c r="K50" s="545"/>
      <c r="L50" s="545"/>
      <c r="M50" s="546"/>
      <c r="Y50" s="2687"/>
      <c r="Z50" s="2687"/>
      <c r="AA50" s="2687"/>
      <c r="AB50" s="2687"/>
    </row>
    <row r="51" spans="1:28" outlineLevel="1">
      <c r="A51" s="10"/>
      <c r="B51" s="2558" t="s">
        <v>36</v>
      </c>
      <c r="C51" s="2559"/>
      <c r="D51" s="191" t="s">
        <v>2514</v>
      </c>
      <c r="E51" s="205">
        <f t="shared" ca="1" si="3"/>
        <v>0</v>
      </c>
      <c r="F51" s="549" t="str">
        <f t="shared" si="4"/>
        <v>MotorcycleInsurance cost /yr ($)</v>
      </c>
      <c r="G51" s="542"/>
      <c r="H51" s="919" t="str">
        <f ca="1">IF(G51&lt;&gt;"",G51,IFERROR(IF(INDIRECT("'"&amp;$G$5&amp;"'!"&amp;ADDRESS(ROW(H51),COLUMN(H51)))="","",INDIRECT("'"&amp;$G$5&amp;"'!"&amp;ADDRESS(ROW(H51),COLUMN(H51)))*$H$6),IF($G$5&lt;&gt;"","Data Source Error","")))</f>
        <v/>
      </c>
      <c r="J51" s="523"/>
      <c r="K51" s="545"/>
      <c r="L51" s="545"/>
      <c r="M51" s="546"/>
      <c r="Y51" s="2687"/>
      <c r="Z51" s="2687"/>
      <c r="AA51" s="2687"/>
      <c r="AB51" s="2687"/>
    </row>
    <row r="52" spans="1:28" outlineLevel="1">
      <c r="A52" s="10"/>
      <c r="B52" s="2558" t="s">
        <v>36</v>
      </c>
      <c r="C52" s="2559"/>
      <c r="D52" s="191" t="s">
        <v>2515</v>
      </c>
      <c r="E52" s="205">
        <f t="shared" ca="1" si="3"/>
        <v>0</v>
      </c>
      <c r="F52" s="549" t="str">
        <f t="shared" si="4"/>
        <v>MotorcycleMaintenance cost/km ($)</v>
      </c>
      <c r="G52" s="542"/>
      <c r="H52" s="919" t="str">
        <f ca="1">IF(G52&lt;&gt;"",G52,IFERROR(IF(INDIRECT("'"&amp;$G$5&amp;"'!"&amp;ADDRESS(ROW(H52),COLUMN(H52)))="","",INDIRECT("'"&amp;$G$5&amp;"'!"&amp;ADDRESS(ROW(H52),COLUMN(H52)))*$H$6),IF($G$5&lt;&gt;"","Data Source Error","")))</f>
        <v/>
      </c>
      <c r="J52" s="523"/>
      <c r="K52" s="545"/>
      <c r="L52" s="545"/>
      <c r="M52" s="546"/>
      <c r="Y52" s="2687"/>
      <c r="Z52" s="2687"/>
      <c r="AA52" s="2687"/>
      <c r="AB52" s="2687"/>
    </row>
    <row r="53" spans="1:28" outlineLevel="1">
      <c r="A53" s="10"/>
      <c r="B53" s="2558" t="s">
        <v>36</v>
      </c>
      <c r="C53" s="2559"/>
      <c r="D53" s="191" t="s">
        <v>41</v>
      </c>
      <c r="E53" s="205">
        <f t="shared" ca="1" si="3"/>
        <v>0</v>
      </c>
      <c r="F53" s="549" t="str">
        <f t="shared" si="4"/>
        <v>MotorcycleFuel Efficiency (km/liter)</v>
      </c>
      <c r="G53" s="543"/>
      <c r="H53" s="918" t="str">
        <f ca="1">IF(G53&lt;&gt;"",G53,IFERROR(IF(INDIRECT("'"&amp;$G$5&amp;"'!"&amp;ADDRESS(ROW(H53),COLUMN(H53)))="","",INDIRECT("'"&amp;$G$5&amp;"'!"&amp;ADDRESS(ROW(H53),COLUMN(H53)))),IF($G$5&lt;&gt;"","Data Source Error","")))</f>
        <v/>
      </c>
      <c r="J53" s="523"/>
      <c r="K53" s="545"/>
      <c r="L53" s="545"/>
      <c r="M53" s="546"/>
      <c r="Y53" s="2687"/>
      <c r="Z53" s="2687"/>
      <c r="AA53" s="2687"/>
      <c r="AB53" s="2687"/>
    </row>
    <row r="54" spans="1:28" ht="15.45" outlineLevel="1">
      <c r="A54" s="10"/>
      <c r="B54" s="2585" t="s">
        <v>36</v>
      </c>
      <c r="C54" s="2586"/>
      <c r="D54" s="207" t="s">
        <v>43</v>
      </c>
      <c r="E54" s="205">
        <f t="shared" ca="1" si="3"/>
        <v>0</v>
      </c>
      <c r="F54" s="549" t="str">
        <f t="shared" si="4"/>
        <v>MotorcycleDelivery Capacity (m^3)</v>
      </c>
      <c r="G54" s="544"/>
      <c r="H54" s="920" t="str">
        <f ca="1">IF(G54&lt;&gt;"",G54,IFERROR(IF(INDIRECT("'"&amp;$G$5&amp;"'!"&amp;ADDRESS(ROW(H54),COLUMN(H54)))="","",INDIRECT("'"&amp;$G$5&amp;"'!"&amp;ADDRESS(ROW(H54),COLUMN(H54)))),IF($G$5&lt;&gt;"","Data Source Error","")))</f>
        <v/>
      </c>
      <c r="J54" s="523"/>
      <c r="K54" s="545"/>
      <c r="L54" s="545"/>
      <c r="M54" s="546"/>
      <c r="O54" s="218"/>
      <c r="Y54" s="2687"/>
      <c r="Z54" s="2687"/>
      <c r="AA54" s="2687"/>
      <c r="AB54" s="2687"/>
    </row>
    <row r="55" spans="1:28" outlineLevel="1">
      <c r="A55" s="10"/>
      <c r="B55" s="2624" t="s">
        <v>407</v>
      </c>
      <c r="C55" s="2625"/>
      <c r="D55" s="208" t="s">
        <v>1545</v>
      </c>
      <c r="E55" s="205">
        <f t="shared" ca="1" si="3"/>
        <v>1</v>
      </c>
      <c r="F55" s="549" t="str">
        <f t="shared" si="4"/>
        <v>Car/Sport Utility/Consumer VehiclePurchase Price ($)</v>
      </c>
      <c r="G55" s="540"/>
      <c r="H55" s="917">
        <f ca="1">IF(G55&lt;&gt;"",G55,IFERROR(IF(INDIRECT("'"&amp;$G$5&amp;"'!"&amp;ADDRESS(ROW(H55),COLUMN(H55)))="","",INDIRECT("'"&amp;$G$5&amp;"'!"&amp;ADDRESS(ROW(H55),COLUMN(H55)))*$H$6),IF($G$5&lt;&gt;"","Data Source Error","")))</f>
        <v>60939.499795095864</v>
      </c>
      <c r="J55" s="523"/>
      <c r="K55" s="545"/>
      <c r="L55" s="545"/>
      <c r="M55" s="546"/>
      <c r="Y55" s="2687"/>
      <c r="Z55" s="2687"/>
      <c r="AA55" s="2687"/>
      <c r="AB55" s="2687"/>
    </row>
    <row r="56" spans="1:28" outlineLevel="1">
      <c r="A56" s="10"/>
      <c r="B56" s="2558" t="s">
        <v>407</v>
      </c>
      <c r="C56" s="2559"/>
      <c r="D56" s="191" t="s">
        <v>2513</v>
      </c>
      <c r="E56" s="205">
        <f t="shared" ca="1" si="3"/>
        <v>1</v>
      </c>
      <c r="F56" s="549" t="str">
        <f t="shared" si="4"/>
        <v>Car/Sport Utility/Consumer VehicleDepreciation Cost / yr ($)</v>
      </c>
      <c r="G56" s="541"/>
      <c r="H56" s="919">
        <f ca="1">IF(G56&lt;&gt;"",G56,IFERROR(IF(G55&lt;&gt;"",H55/$H$11,IF(INDIRECT("'"&amp;$G$5&amp;"'!"&amp;ADDRESS(ROW(H56),COLUMN(H56)))="",IF(H55="","",H55/$H$11),INDIRECT("'"&amp;$G$5&amp;"'!"&amp;ADDRESS(ROW(H56),COLUMN(H56))))*$H$6),IF(INDIRECT("'"&amp;$G$5&amp;"'!"&amp;ADDRESS(ROW(H56),COLUMN(H56)))="","",IF($G$5&lt;&gt;"","Data Source Error",""))))</f>
        <v>12187.899959019172</v>
      </c>
      <c r="J56" s="523"/>
      <c r="K56" s="545"/>
      <c r="L56" s="545"/>
      <c r="M56" s="546"/>
      <c r="Y56" s="2687"/>
      <c r="Z56" s="2687"/>
      <c r="AA56" s="2687"/>
      <c r="AB56" s="2687"/>
    </row>
    <row r="57" spans="1:28" outlineLevel="1">
      <c r="A57" s="10"/>
      <c r="B57" s="2558" t="s">
        <v>407</v>
      </c>
      <c r="C57" s="2559"/>
      <c r="D57" s="191" t="s">
        <v>2514</v>
      </c>
      <c r="E57" s="205">
        <f t="shared" ca="1" si="3"/>
        <v>1</v>
      </c>
      <c r="F57" s="549" t="str">
        <f t="shared" si="4"/>
        <v>Car/Sport Utility/Consumer VehicleInsurance cost /yr ($)</v>
      </c>
      <c r="G57" s="542"/>
      <c r="H57" s="919">
        <f ca="1">IF(G57&lt;&gt;"",G57,IFERROR(IF(INDIRECT("'"&amp;$G$5&amp;"'!"&amp;ADDRESS(ROW(H57),COLUMN(H57)))="","",INDIRECT("'"&amp;$G$5&amp;"'!"&amp;ADDRESS(ROW(H57),COLUMN(H57)))*$H$6),IF($G$5&lt;&gt;"","Data Source Error","")))</f>
        <v>2323.9499999999998</v>
      </c>
      <c r="J57" s="523"/>
      <c r="K57" s="545"/>
      <c r="L57" s="545"/>
      <c r="M57" s="546"/>
      <c r="Y57" s="2687"/>
      <c r="Z57" s="2687"/>
      <c r="AA57" s="2687"/>
      <c r="AB57" s="2687"/>
    </row>
    <row r="58" spans="1:28" outlineLevel="1">
      <c r="A58" s="10"/>
      <c r="B58" s="2558" t="s">
        <v>407</v>
      </c>
      <c r="C58" s="2559"/>
      <c r="D58" s="191" t="s">
        <v>2515</v>
      </c>
      <c r="E58" s="205">
        <f t="shared" ca="1" si="3"/>
        <v>1</v>
      </c>
      <c r="F58" s="549" t="str">
        <f t="shared" si="4"/>
        <v>Car/Sport Utility/Consumer VehicleMaintenance cost/km ($)</v>
      </c>
      <c r="G58" s="542"/>
      <c r="H58" s="919">
        <f ca="1">IF(G58&lt;&gt;"",G58,IFERROR(IF(INDIRECT("'"&amp;$G$5&amp;"'!"&amp;ADDRESS(ROW(H58),COLUMN(H58)))="","",INDIRECT("'"&amp;$G$5&amp;"'!"&amp;ADDRESS(ROW(H58),COLUMN(H58)))*$H$6),IF($G$5&lt;&gt;"","Data Source Error","")))</f>
        <v>0.12</v>
      </c>
      <c r="J58" s="523"/>
      <c r="K58" s="545"/>
      <c r="L58" s="545"/>
      <c r="M58" s="546"/>
      <c r="Y58" s="2687"/>
      <c r="Z58" s="2687"/>
      <c r="AA58" s="2687"/>
      <c r="AB58" s="2687"/>
    </row>
    <row r="59" spans="1:28" outlineLevel="1">
      <c r="A59" s="10"/>
      <c r="B59" s="2558" t="s">
        <v>407</v>
      </c>
      <c r="C59" s="2559"/>
      <c r="D59" s="191" t="s">
        <v>41</v>
      </c>
      <c r="E59" s="205">
        <f t="shared" ca="1" si="3"/>
        <v>1</v>
      </c>
      <c r="F59" s="549" t="str">
        <f t="shared" si="4"/>
        <v>Car/Sport Utility/Consumer VehicleFuel Efficiency (km/liter)</v>
      </c>
      <c r="G59" s="543"/>
      <c r="H59" s="918">
        <f ca="1">IF(G59&lt;&gt;"",G59,IFERROR(IF(INDIRECT("'"&amp;$G$5&amp;"'!"&amp;ADDRESS(ROW(H59),COLUMN(H59)))="","",INDIRECT("'"&amp;$G$5&amp;"'!"&amp;ADDRESS(ROW(H59),COLUMN(H59)))),IF($G$5&lt;&gt;"","Data Source Error","")))</f>
        <v>6.9</v>
      </c>
      <c r="J59" s="523"/>
      <c r="K59" s="545"/>
      <c r="L59" s="545"/>
      <c r="M59" s="546"/>
      <c r="Y59" s="2687"/>
      <c r="Z59" s="2687"/>
      <c r="AA59" s="2687"/>
      <c r="AB59" s="2687"/>
    </row>
    <row r="60" spans="1:28" outlineLevel="1">
      <c r="A60" s="10"/>
      <c r="B60" s="2585" t="s">
        <v>407</v>
      </c>
      <c r="C60" s="2586"/>
      <c r="D60" s="207" t="s">
        <v>43</v>
      </c>
      <c r="E60" s="205">
        <f t="shared" ca="1" si="3"/>
        <v>1</v>
      </c>
      <c r="F60" s="549" t="str">
        <f t="shared" si="4"/>
        <v>Car/Sport Utility/Consumer VehicleDelivery Capacity (m^3)</v>
      </c>
      <c r="G60" s="544"/>
      <c r="H60" s="920">
        <f ca="1">IF(G60&lt;&gt;"",G60,IFERROR(IF(INDIRECT("'"&amp;$G$5&amp;"'!"&amp;ADDRESS(ROW(H60),COLUMN(H60)))="","",INDIRECT("'"&amp;$G$5&amp;"'!"&amp;ADDRESS(ROW(H60),COLUMN(H60)))),IF($G$5&lt;&gt;"","Data Source Error","")))</f>
        <v>2</v>
      </c>
      <c r="J60" s="523"/>
      <c r="K60" s="545"/>
      <c r="L60" s="545"/>
      <c r="M60" s="546"/>
      <c r="Y60" s="2687"/>
      <c r="Z60" s="2687"/>
      <c r="AA60" s="2687"/>
      <c r="AB60" s="2687"/>
    </row>
    <row r="61" spans="1:28" outlineLevel="1">
      <c r="A61" s="10"/>
      <c r="B61" s="2624" t="s">
        <v>279</v>
      </c>
      <c r="C61" s="2625"/>
      <c r="D61" s="208" t="s">
        <v>1545</v>
      </c>
      <c r="E61" s="205">
        <f t="shared" ca="1" si="3"/>
        <v>1</v>
      </c>
      <c r="F61" s="549" t="str">
        <f t="shared" si="4"/>
        <v>Commercial TruckPurchase Price ($)</v>
      </c>
      <c r="G61" s="540"/>
      <c r="H61" s="917">
        <f ca="1">IF(G61&lt;&gt;"",G61,IFERROR(IF(INDIRECT("'"&amp;$G$5&amp;"'!"&amp;ADDRESS(ROW(H61),COLUMN(H61)))="","",INDIRECT("'"&amp;$G$5&amp;"'!"&amp;ADDRESS(ROW(H61),COLUMN(H61)))*$H$6),IF($G$5&lt;&gt;"","Data Source Error","")))</f>
        <v>70448.990000000005</v>
      </c>
      <c r="J61" s="523"/>
      <c r="K61" s="545"/>
      <c r="L61" s="545"/>
      <c r="M61" s="546"/>
      <c r="Y61" s="2687"/>
      <c r="Z61" s="2687"/>
      <c r="AA61" s="2687"/>
      <c r="AB61" s="2687"/>
    </row>
    <row r="62" spans="1:28" outlineLevel="1">
      <c r="A62" s="10"/>
      <c r="B62" s="2558" t="s">
        <v>279</v>
      </c>
      <c r="C62" s="2559"/>
      <c r="D62" s="191" t="s">
        <v>2513</v>
      </c>
      <c r="E62" s="1064">
        <f t="shared" ca="1" si="3"/>
        <v>1</v>
      </c>
      <c r="F62" s="549" t="str">
        <f t="shared" si="4"/>
        <v>Commercial TruckDepreciation Cost / yr ($)</v>
      </c>
      <c r="G62" s="541"/>
      <c r="H62" s="919">
        <f ca="1">IF(G62&lt;&gt;"",G62,IFERROR(IF(G61&lt;&gt;"",H61/$H$11,IF(INDIRECT("'"&amp;$G$5&amp;"'!"&amp;ADDRESS(ROW(H62),COLUMN(H62)))="",IF(H61="","",H61/$H$11),INDIRECT("'"&amp;$G$5&amp;"'!"&amp;ADDRESS(ROW(H62),COLUMN(H62))))*$H$6),IF(INDIRECT("'"&amp;$G$5&amp;"'!"&amp;ADDRESS(ROW(H62),COLUMN(H62)))="","",IF($G$5&lt;&gt;"","Data Source Error",""))))</f>
        <v>14089.798000000001</v>
      </c>
      <c r="J62" s="523"/>
      <c r="K62" s="545"/>
      <c r="L62" s="545"/>
      <c r="M62" s="546"/>
      <c r="Y62" s="2687"/>
      <c r="Z62" s="2687"/>
      <c r="AA62" s="2687"/>
      <c r="AB62" s="2687"/>
    </row>
    <row r="63" spans="1:28" outlineLevel="1">
      <c r="A63" s="10"/>
      <c r="B63" s="2558" t="s">
        <v>279</v>
      </c>
      <c r="C63" s="2559"/>
      <c r="D63" s="191" t="s">
        <v>2514</v>
      </c>
      <c r="E63" s="205">
        <f t="shared" ca="1" si="3"/>
        <v>1</v>
      </c>
      <c r="F63" s="549" t="str">
        <f t="shared" si="4"/>
        <v>Commercial TruckInsurance cost /yr ($)</v>
      </c>
      <c r="G63" s="542"/>
      <c r="H63" s="919">
        <f ca="1">IF(G63&lt;&gt;"",G63,IFERROR(IF(INDIRECT("'"&amp;$G$5&amp;"'!"&amp;ADDRESS(ROW(H63),COLUMN(H63)))="","",INDIRECT("'"&amp;$G$5&amp;"'!"&amp;ADDRESS(ROW(H63),COLUMN(H63)))*$H$6),IF($G$5&lt;&gt;"","Data Source Error","")))</f>
        <v>2575.86</v>
      </c>
      <c r="J63" s="523"/>
      <c r="K63" s="545"/>
      <c r="L63" s="545"/>
      <c r="M63" s="546"/>
      <c r="Y63" s="2687"/>
      <c r="Z63" s="2687"/>
      <c r="AA63" s="2687"/>
      <c r="AB63" s="2687"/>
    </row>
    <row r="64" spans="1:28" outlineLevel="1">
      <c r="A64" s="10"/>
      <c r="B64" s="2558" t="s">
        <v>279</v>
      </c>
      <c r="C64" s="2559"/>
      <c r="D64" s="191" t="s">
        <v>2515</v>
      </c>
      <c r="E64" s="205">
        <f t="shared" ca="1" si="3"/>
        <v>1</v>
      </c>
      <c r="F64" s="549" t="str">
        <f t="shared" si="4"/>
        <v>Commercial TruckMaintenance cost/km ($)</v>
      </c>
      <c r="G64" s="542"/>
      <c r="H64" s="919">
        <f ca="1">IF(G64&lt;&gt;"",G64,IFERROR(IF(INDIRECT("'"&amp;$G$5&amp;"'!"&amp;ADDRESS(ROW(H64),COLUMN(H64)))="","",INDIRECT("'"&amp;$G$5&amp;"'!"&amp;ADDRESS(ROW(H64),COLUMN(H64)))*$H$6),IF($G$5&lt;&gt;"","Data Source Error","")))</f>
        <v>0.38</v>
      </c>
      <c r="J64" s="523"/>
      <c r="K64" s="545"/>
      <c r="L64" s="545"/>
      <c r="M64" s="546"/>
      <c r="Y64" s="2687"/>
      <c r="Z64" s="2687"/>
      <c r="AA64" s="2687"/>
      <c r="AB64" s="2687"/>
    </row>
    <row r="65" spans="1:28" outlineLevel="1">
      <c r="A65" s="10"/>
      <c r="B65" s="2558" t="s">
        <v>279</v>
      </c>
      <c r="C65" s="2559"/>
      <c r="D65" s="191" t="s">
        <v>41</v>
      </c>
      <c r="E65" s="205">
        <f t="shared" ca="1" si="3"/>
        <v>1</v>
      </c>
      <c r="F65" s="549" t="str">
        <f t="shared" si="4"/>
        <v>Commercial TruckFuel Efficiency (km/liter)</v>
      </c>
      <c r="G65" s="543"/>
      <c r="H65" s="918">
        <f ca="1">IF(G65&lt;&gt;"",G65,IFERROR(IF(INDIRECT("'"&amp;$G$5&amp;"'!"&amp;ADDRESS(ROW(H65),COLUMN(H65)))="","",INDIRECT("'"&amp;$G$5&amp;"'!"&amp;ADDRESS(ROW(H65),COLUMN(H65)))),IF($G$5&lt;&gt;"","Data Source Error","")))</f>
        <v>3.86</v>
      </c>
      <c r="J65" s="523"/>
      <c r="K65" s="545"/>
      <c r="L65" s="545"/>
      <c r="M65" s="546"/>
      <c r="Y65" s="2687"/>
      <c r="Z65" s="2687"/>
      <c r="AA65" s="2687"/>
      <c r="AB65" s="2687"/>
    </row>
    <row r="66" spans="1:28" outlineLevel="1">
      <c r="A66" s="10"/>
      <c r="B66" s="2585" t="s">
        <v>279</v>
      </c>
      <c r="C66" s="2586"/>
      <c r="D66" s="207" t="s">
        <v>43</v>
      </c>
      <c r="E66" s="205">
        <f t="shared" ca="1" si="3"/>
        <v>1</v>
      </c>
      <c r="F66" s="549" t="str">
        <f t="shared" si="4"/>
        <v>Commercial TruckDelivery Capacity (m^3)</v>
      </c>
      <c r="G66" s="544"/>
      <c r="H66" s="920">
        <f ca="1">IF(G66&lt;&gt;"",G66,IFERROR(IF(INDIRECT("'"&amp;$G$5&amp;"'!"&amp;ADDRESS(ROW(H66),COLUMN(H66)))="","",INDIRECT("'"&amp;$G$5&amp;"'!"&amp;ADDRESS(ROW(H66),COLUMN(H66)))),IF($G$5&lt;&gt;"","Data Source Error","")))</f>
        <v>12</v>
      </c>
      <c r="J66" s="523"/>
      <c r="K66" s="545"/>
      <c r="L66" s="545"/>
      <c r="M66" s="546"/>
      <c r="Y66" s="2687"/>
      <c r="Z66" s="2687"/>
      <c r="AA66" s="2687"/>
      <c r="AB66" s="2687"/>
    </row>
    <row r="67" spans="1:28" outlineLevel="1">
      <c r="A67" s="10"/>
      <c r="B67" s="2624" t="s">
        <v>410</v>
      </c>
      <c r="C67" s="2625"/>
      <c r="D67" s="208" t="s">
        <v>1545</v>
      </c>
      <c r="E67" s="205">
        <f t="shared" ca="1" si="3"/>
        <v>0</v>
      </c>
      <c r="F67" s="549" t="str">
        <f t="shared" si="4"/>
        <v>Refrigerated VehiclePurchase Price ($)</v>
      </c>
      <c r="G67" s="540"/>
      <c r="H67" s="917" t="str">
        <f ca="1">IF(G67&lt;&gt;"",G67,IFERROR(IF(INDIRECT("'"&amp;$G$5&amp;"'!"&amp;ADDRESS(ROW(H67),COLUMN(H67)))="","",INDIRECT("'"&amp;$G$5&amp;"'!"&amp;ADDRESS(ROW(H67),COLUMN(H67)))*$H$6),IF($G$5&lt;&gt;"","Data Source Error","")))</f>
        <v/>
      </c>
      <c r="J67" s="523"/>
      <c r="K67" s="545"/>
      <c r="L67" s="545"/>
      <c r="M67" s="546"/>
      <c r="Y67" s="2687"/>
      <c r="Z67" s="2687"/>
      <c r="AA67" s="2687"/>
      <c r="AB67" s="2687"/>
    </row>
    <row r="68" spans="1:28" outlineLevel="1">
      <c r="A68" s="10"/>
      <c r="B68" s="2558" t="s">
        <v>410</v>
      </c>
      <c r="C68" s="2559"/>
      <c r="D68" s="191" t="s">
        <v>2513</v>
      </c>
      <c r="E68" s="1064">
        <f t="shared" ca="1" si="3"/>
        <v>0</v>
      </c>
      <c r="F68" s="549" t="str">
        <f t="shared" si="4"/>
        <v>Refrigerated VehicleDepreciation Cost / yr ($)</v>
      </c>
      <c r="G68" s="541"/>
      <c r="H68" s="919" t="str">
        <f ca="1">IF(G68&lt;&gt;"",G68,IFERROR(IF(G67&lt;&gt;"",H67/$H$11,IF(INDIRECT("'"&amp;$G$5&amp;"'!"&amp;ADDRESS(ROW(H68),COLUMN(H68)))="",IF(H67="","",H67/$H$11),INDIRECT("'"&amp;$G$5&amp;"'!"&amp;ADDRESS(ROW(H68),COLUMN(H68))))*$H$6),IF(INDIRECT("'"&amp;$G$5&amp;"'!"&amp;ADDRESS(ROW(H68),COLUMN(H68)))="","",IF($G$5&lt;&gt;"","Data Source Error",""))))</f>
        <v/>
      </c>
      <c r="J68" s="1797"/>
      <c r="K68" s="545"/>
      <c r="L68" s="545"/>
      <c r="M68" s="546"/>
      <c r="Y68" s="2687"/>
      <c r="Z68" s="2687"/>
      <c r="AA68" s="2687"/>
      <c r="AB68" s="2687"/>
    </row>
    <row r="69" spans="1:28" outlineLevel="1">
      <c r="A69" s="10"/>
      <c r="B69" s="2558" t="s">
        <v>410</v>
      </c>
      <c r="C69" s="2559"/>
      <c r="D69" s="191" t="s">
        <v>2514</v>
      </c>
      <c r="E69" s="205">
        <f t="shared" ca="1" si="3"/>
        <v>0</v>
      </c>
      <c r="F69" s="549" t="str">
        <f t="shared" si="4"/>
        <v>Refrigerated VehicleInsurance cost /yr ($)</v>
      </c>
      <c r="G69" s="542"/>
      <c r="H69" s="919" t="str">
        <f ca="1">IF(G69&lt;&gt;"",G69,IFERROR(IF(INDIRECT("'"&amp;$G$5&amp;"'!"&amp;ADDRESS(ROW(H69),COLUMN(H69)))="","",INDIRECT("'"&amp;$G$5&amp;"'!"&amp;ADDRESS(ROW(H69),COLUMN(H69)))*$H$6),IF($G$5&lt;&gt;"","Data Source Error","")))</f>
        <v/>
      </c>
      <c r="J69" s="523"/>
      <c r="K69" s="545"/>
      <c r="L69" s="545"/>
      <c r="M69" s="546"/>
      <c r="Y69" s="2687"/>
      <c r="Z69" s="2687"/>
      <c r="AA69" s="2687"/>
      <c r="AB69" s="2687"/>
    </row>
    <row r="70" spans="1:28" outlineLevel="1">
      <c r="A70" s="10"/>
      <c r="B70" s="2558" t="s">
        <v>410</v>
      </c>
      <c r="C70" s="2559"/>
      <c r="D70" s="191" t="s">
        <v>2515</v>
      </c>
      <c r="E70" s="205">
        <f t="shared" ca="1" si="3"/>
        <v>0</v>
      </c>
      <c r="F70" s="549" t="str">
        <f t="shared" si="4"/>
        <v>Refrigerated VehicleMaintenance cost/km ($)</v>
      </c>
      <c r="G70" s="542"/>
      <c r="H70" s="919" t="str">
        <f ca="1">IF(G70&lt;&gt;"",G70,IFERROR(IF(INDIRECT("'"&amp;$G$5&amp;"'!"&amp;ADDRESS(ROW(H70),COLUMN(H70)))="","",INDIRECT("'"&amp;$G$5&amp;"'!"&amp;ADDRESS(ROW(H70),COLUMN(H70)))*$H$6),IF($G$5&lt;&gt;"","Data Source Error","")))</f>
        <v/>
      </c>
      <c r="J70" s="523"/>
      <c r="K70" s="545"/>
      <c r="L70" s="545"/>
      <c r="M70" s="546"/>
      <c r="Y70" s="2687"/>
      <c r="Z70" s="2687"/>
      <c r="AA70" s="2687"/>
      <c r="AB70" s="2687"/>
    </row>
    <row r="71" spans="1:28" outlineLevel="1">
      <c r="A71" s="10"/>
      <c r="B71" s="2558" t="s">
        <v>410</v>
      </c>
      <c r="C71" s="2559"/>
      <c r="D71" s="191" t="s">
        <v>41</v>
      </c>
      <c r="E71" s="205">
        <f t="shared" ca="1" si="3"/>
        <v>0</v>
      </c>
      <c r="F71" s="549" t="str">
        <f t="shared" si="4"/>
        <v>Refrigerated VehicleFuel Efficiency (km/liter)</v>
      </c>
      <c r="G71" s="543"/>
      <c r="H71" s="918" t="str">
        <f ca="1">IF(G71&lt;&gt;"",G71,IFERROR(IF(INDIRECT("'"&amp;$G$5&amp;"'!"&amp;ADDRESS(ROW(H71),COLUMN(H71)))="","",INDIRECT("'"&amp;$G$5&amp;"'!"&amp;ADDRESS(ROW(H71),COLUMN(H71)))),IF($G$5&lt;&gt;"","Data Source Error","")))</f>
        <v/>
      </c>
      <c r="J71" s="523"/>
      <c r="K71" s="545"/>
      <c r="L71" s="545"/>
      <c r="M71" s="546"/>
      <c r="Y71" s="2687"/>
      <c r="Z71" s="2687"/>
      <c r="AA71" s="2687"/>
      <c r="AB71" s="2687"/>
    </row>
    <row r="72" spans="1:28" outlineLevel="1">
      <c r="A72" s="10"/>
      <c r="B72" s="2585" t="s">
        <v>410</v>
      </c>
      <c r="C72" s="2586"/>
      <c r="D72" s="207" t="s">
        <v>43</v>
      </c>
      <c r="E72" s="205">
        <f t="shared" ca="1" si="3"/>
        <v>0</v>
      </c>
      <c r="F72" s="549" t="str">
        <f t="shared" si="4"/>
        <v>Refrigerated VehicleDelivery Capacity (m^3)</v>
      </c>
      <c r="G72" s="544"/>
      <c r="H72" s="920" t="str">
        <f ca="1">IF(G72&lt;&gt;"",G72,IFERROR(IF(INDIRECT("'"&amp;$G$5&amp;"'!"&amp;ADDRESS(ROW(H72),COLUMN(H72)))="","",INDIRECT("'"&amp;$G$5&amp;"'!"&amp;ADDRESS(ROW(H72),COLUMN(H72)))),IF($G$5&lt;&gt;"","Data Source Error","")))</f>
        <v/>
      </c>
      <c r="J72" s="523"/>
      <c r="K72" s="545"/>
      <c r="L72" s="545"/>
      <c r="M72" s="546"/>
      <c r="Y72" s="2687"/>
      <c r="Z72" s="2687"/>
      <c r="AA72" s="2687"/>
      <c r="AB72" s="2687"/>
    </row>
    <row r="73" spans="1:28" outlineLevel="1">
      <c r="A73" s="10"/>
      <c r="B73" s="2624" t="s">
        <v>406</v>
      </c>
      <c r="C73" s="2625"/>
      <c r="D73" s="208" t="s">
        <v>1545</v>
      </c>
      <c r="E73" s="205">
        <f t="shared" ca="1" si="3"/>
        <v>0</v>
      </c>
      <c r="F73" s="549" t="str">
        <f t="shared" si="4"/>
        <v>Other Vehicle TypePurchase Price ($)</v>
      </c>
      <c r="G73" s="540"/>
      <c r="H73" s="917" t="str">
        <f ca="1">IF(G73&lt;&gt;"",G73,IFERROR(IF(INDIRECT("'"&amp;$G$5&amp;"'!"&amp;ADDRESS(ROW(H73),COLUMN(H73)))="","",INDIRECT("'"&amp;$G$5&amp;"'!"&amp;ADDRESS(ROW(H73),COLUMN(H73)))*$H$6),IF($G$5&lt;&gt;"","Data Source Error","")))</f>
        <v/>
      </c>
      <c r="J73" s="523"/>
      <c r="K73" s="545"/>
      <c r="L73" s="545"/>
      <c r="M73" s="546"/>
      <c r="Y73" s="2687"/>
      <c r="Z73" s="2687"/>
      <c r="AA73" s="2687"/>
      <c r="AB73" s="2687"/>
    </row>
    <row r="74" spans="1:28" outlineLevel="1">
      <c r="A74" s="10"/>
      <c r="B74" s="2558" t="s">
        <v>406</v>
      </c>
      <c r="C74" s="2559"/>
      <c r="D74" s="191" t="s">
        <v>2513</v>
      </c>
      <c r="E74" s="1064">
        <f t="shared" ca="1" si="3"/>
        <v>0</v>
      </c>
      <c r="F74" s="549" t="str">
        <f t="shared" si="4"/>
        <v>Other Vehicle TypeDepreciation Cost / yr ($)</v>
      </c>
      <c r="G74" s="541"/>
      <c r="H74" s="919" t="str">
        <f ca="1">IF(G74&lt;&gt;"",G74,IFERROR(IF(G73&lt;&gt;"",H73/$H$11,IF(INDIRECT("'"&amp;$G$5&amp;"'!"&amp;ADDRESS(ROW(H74),COLUMN(H74)))="",IF(H73="","",H73/$H$11),INDIRECT("'"&amp;$G$5&amp;"'!"&amp;ADDRESS(ROW(H74),COLUMN(H74))))*$H$6),IF(INDIRECT("'"&amp;$G$5&amp;"'!"&amp;ADDRESS(ROW(H74),COLUMN(H74)))="","",IF($G$5&lt;&gt;"","Data Source Error",""))))</f>
        <v/>
      </c>
      <c r="J74" s="523"/>
      <c r="K74" s="545"/>
      <c r="L74" s="545"/>
      <c r="M74" s="546"/>
      <c r="Y74" s="2687"/>
      <c r="Z74" s="2687"/>
      <c r="AA74" s="2687"/>
      <c r="AB74" s="2687"/>
    </row>
    <row r="75" spans="1:28" outlineLevel="1">
      <c r="A75" s="10"/>
      <c r="B75" s="2558" t="s">
        <v>406</v>
      </c>
      <c r="C75" s="2559"/>
      <c r="D75" s="191" t="s">
        <v>2514</v>
      </c>
      <c r="E75" s="205">
        <f t="shared" ca="1" si="3"/>
        <v>0</v>
      </c>
      <c r="F75" s="549" t="str">
        <f t="shared" si="4"/>
        <v>Other Vehicle TypeInsurance cost /yr ($)</v>
      </c>
      <c r="G75" s="542"/>
      <c r="H75" s="919" t="str">
        <f ca="1">IF(G75&lt;&gt;"",G75,IFERROR(IF(INDIRECT("'"&amp;$G$5&amp;"'!"&amp;ADDRESS(ROW(H75),COLUMN(H75)))="","",INDIRECT("'"&amp;$G$5&amp;"'!"&amp;ADDRESS(ROW(H75),COLUMN(H75)))*$H$6),IF($G$5&lt;&gt;"","Data Source Error","")))</f>
        <v/>
      </c>
      <c r="J75" s="523"/>
      <c r="K75" s="545"/>
      <c r="L75" s="545"/>
      <c r="M75" s="546"/>
      <c r="Y75" s="2687"/>
      <c r="Z75" s="2687"/>
      <c r="AA75" s="2687"/>
      <c r="AB75" s="2687"/>
    </row>
    <row r="76" spans="1:28" outlineLevel="1">
      <c r="A76" s="10"/>
      <c r="B76" s="2558" t="s">
        <v>406</v>
      </c>
      <c r="C76" s="2559"/>
      <c r="D76" s="191" t="s">
        <v>2515</v>
      </c>
      <c r="E76" s="205">
        <f t="shared" ca="1" si="3"/>
        <v>0</v>
      </c>
      <c r="F76" s="549" t="str">
        <f t="shared" si="4"/>
        <v>Other Vehicle TypeMaintenance cost/km ($)</v>
      </c>
      <c r="G76" s="542"/>
      <c r="H76" s="919" t="str">
        <f ca="1">IF(G76&lt;&gt;"",G76,IFERROR(IF(INDIRECT("'"&amp;$G$5&amp;"'!"&amp;ADDRESS(ROW(H76),COLUMN(H76)))="","",INDIRECT("'"&amp;$G$5&amp;"'!"&amp;ADDRESS(ROW(H76),COLUMN(H76)))*$H$6),IF($G$5&lt;&gt;"","Data Source Error","")))</f>
        <v/>
      </c>
      <c r="J76" s="523"/>
      <c r="K76" s="545"/>
      <c r="L76" s="545"/>
      <c r="M76" s="546"/>
      <c r="Y76" s="2687"/>
      <c r="Z76" s="2687"/>
      <c r="AA76" s="2687"/>
      <c r="AB76" s="2687"/>
    </row>
    <row r="77" spans="1:28" outlineLevel="1">
      <c r="A77" s="10"/>
      <c r="B77" s="2558" t="s">
        <v>406</v>
      </c>
      <c r="C77" s="2559"/>
      <c r="D77" s="191" t="s">
        <v>41</v>
      </c>
      <c r="E77" s="205">
        <f t="shared" ca="1" si="3"/>
        <v>0</v>
      </c>
      <c r="F77" s="549" t="str">
        <f t="shared" si="4"/>
        <v>Other Vehicle TypeFuel Efficiency (km/liter)</v>
      </c>
      <c r="G77" s="543"/>
      <c r="H77" s="918" t="str">
        <f ca="1">IF(G77&lt;&gt;"",G77,IFERROR(IF(INDIRECT("'"&amp;$G$5&amp;"'!"&amp;ADDRESS(ROW(H77),COLUMN(H77)))="","",INDIRECT("'"&amp;$G$5&amp;"'!"&amp;ADDRESS(ROW(H77),COLUMN(H77)))),IF($G$5&lt;&gt;"","Data Source Error","")))</f>
        <v/>
      </c>
      <c r="J77" s="523"/>
      <c r="K77" s="545"/>
      <c r="L77" s="545"/>
      <c r="M77" s="546"/>
      <c r="Y77" s="2687"/>
      <c r="Z77" s="2687"/>
      <c r="AA77" s="2687"/>
      <c r="AB77" s="2687"/>
    </row>
    <row r="78" spans="1:28" outlineLevel="1">
      <c r="A78" s="10"/>
      <c r="B78" s="2585" t="s">
        <v>406</v>
      </c>
      <c r="C78" s="2586"/>
      <c r="D78" s="207" t="s">
        <v>43</v>
      </c>
      <c r="E78" s="205">
        <f t="shared" ca="1" si="3"/>
        <v>0</v>
      </c>
      <c r="F78" s="549" t="str">
        <f t="shared" si="4"/>
        <v>Other Vehicle TypeDelivery Capacity (m^3)</v>
      </c>
      <c r="G78" s="544"/>
      <c r="H78" s="920" t="str">
        <f ca="1">IF(G78&lt;&gt;"",G78,IFERROR(IF(INDIRECT("'"&amp;$G$5&amp;"'!"&amp;ADDRESS(ROW(H78),COLUMN(H78)))="","",INDIRECT("'"&amp;$G$5&amp;"'!"&amp;ADDRESS(ROW(H78),COLUMN(H78)))),IF($G$5&lt;&gt;"","Data Source Error","")))</f>
        <v/>
      </c>
      <c r="J78" s="525"/>
      <c r="K78" s="547"/>
      <c r="L78" s="547"/>
      <c r="M78" s="548"/>
      <c r="Y78" s="2687"/>
      <c r="Z78" s="2687"/>
      <c r="AA78" s="2687"/>
      <c r="AB78" s="2687"/>
    </row>
    <row r="79" spans="1:28">
      <c r="A79" s="212" t="s">
        <v>647</v>
      </c>
      <c r="C79" s="8"/>
    </row>
    <row r="80" spans="1:28">
      <c r="A80" s="10"/>
      <c r="B80" s="8"/>
      <c r="C80" s="8"/>
      <c r="H80" s="34"/>
    </row>
    <row r="81" spans="1:30" ht="29.25" customHeight="1">
      <c r="A81" s="10"/>
      <c r="B81" s="2318" t="s">
        <v>607</v>
      </c>
      <c r="C81" s="2318"/>
      <c r="D81" s="2318"/>
      <c r="E81" s="496"/>
      <c r="G81" s="212" t="s">
        <v>674</v>
      </c>
      <c r="H81" s="34"/>
    </row>
    <row r="82" spans="1:30" ht="25.5" customHeight="1">
      <c r="B82" s="591" t="s">
        <v>613</v>
      </c>
      <c r="C82" s="592"/>
      <c r="D82" s="592"/>
      <c r="E82" s="592"/>
      <c r="F82" s="592"/>
      <c r="G82" s="593"/>
      <c r="H82" s="592"/>
      <c r="I82" s="592"/>
      <c r="J82" s="593"/>
      <c r="K82" s="592"/>
      <c r="L82" s="592"/>
      <c r="M82" s="593"/>
      <c r="N82" s="592"/>
      <c r="O82" s="592"/>
      <c r="P82" s="593"/>
      <c r="Q82" s="592"/>
      <c r="R82" s="594"/>
      <c r="S82" s="593"/>
      <c r="T82" s="592"/>
      <c r="U82" s="594"/>
      <c r="V82" s="593"/>
      <c r="W82" s="592"/>
    </row>
    <row r="83" spans="1:30" ht="35.25" customHeight="1" outlineLevel="1">
      <c r="A83" s="148"/>
      <c r="B83" s="109"/>
      <c r="C83" s="109"/>
      <c r="D83" s="109"/>
      <c r="E83" s="499"/>
      <c r="F83" s="21"/>
      <c r="G83" s="2634" t="s">
        <v>31</v>
      </c>
      <c r="H83" s="2635"/>
      <c r="I83" s="983"/>
      <c r="J83" s="2634" t="s">
        <v>6</v>
      </c>
      <c r="K83" s="2635"/>
      <c r="L83" s="983"/>
      <c r="M83" s="2634" t="s">
        <v>7</v>
      </c>
      <c r="N83" s="2635"/>
      <c r="O83" s="983"/>
      <c r="P83" s="2634" t="s">
        <v>8</v>
      </c>
      <c r="Q83" s="2635"/>
      <c r="R83" s="983"/>
      <c r="S83" s="2634" t="s">
        <v>411</v>
      </c>
      <c r="T83" s="2635"/>
      <c r="U83" s="983"/>
      <c r="V83" s="2634" t="s">
        <v>412</v>
      </c>
      <c r="W83" s="2636"/>
    </row>
    <row r="84" spans="1:30" ht="15" customHeight="1" outlineLevel="1">
      <c r="A84" s="148"/>
      <c r="B84" s="499"/>
      <c r="C84" s="499"/>
      <c r="D84" s="499"/>
      <c r="E84" s="499"/>
      <c r="F84" s="21"/>
      <c r="G84" s="2637" t="s">
        <v>17</v>
      </c>
      <c r="H84" s="2639" t="s">
        <v>10</v>
      </c>
      <c r="J84" s="2637" t="s">
        <v>17</v>
      </c>
      <c r="K84" s="2639" t="s">
        <v>10</v>
      </c>
      <c r="M84" s="2637" t="s">
        <v>17</v>
      </c>
      <c r="N84" s="2639" t="s">
        <v>10</v>
      </c>
      <c r="P84" s="2637" t="s">
        <v>17</v>
      </c>
      <c r="Q84" s="2639" t="s">
        <v>10</v>
      </c>
      <c r="S84" s="2637" t="s">
        <v>17</v>
      </c>
      <c r="T84" s="2639" t="s">
        <v>10</v>
      </c>
      <c r="V84" s="2637" t="s">
        <v>17</v>
      </c>
      <c r="W84" s="2641" t="s">
        <v>10</v>
      </c>
    </row>
    <row r="85" spans="1:30" ht="15" customHeight="1" outlineLevel="1">
      <c r="A85" s="148"/>
      <c r="B85" s="2651"/>
      <c r="C85" s="2651"/>
      <c r="D85" s="2651"/>
      <c r="E85" s="811"/>
      <c r="F85" s="19"/>
      <c r="G85" s="2638"/>
      <c r="H85" s="2640"/>
      <c r="I85" s="236"/>
      <c r="J85" s="2638"/>
      <c r="K85" s="2640"/>
      <c r="L85" s="236"/>
      <c r="M85" s="2638"/>
      <c r="N85" s="2640"/>
      <c r="O85" s="236"/>
      <c r="P85" s="2638"/>
      <c r="Q85" s="2640"/>
      <c r="R85" s="236"/>
      <c r="S85" s="2638"/>
      <c r="T85" s="2640"/>
      <c r="U85" s="236"/>
      <c r="V85" s="2638"/>
      <c r="W85" s="2642"/>
      <c r="Y85" s="2619" t="s">
        <v>673</v>
      </c>
      <c r="Z85" s="2620"/>
      <c r="AA85" s="2620"/>
      <c r="AB85" s="2621"/>
    </row>
    <row r="86" spans="1:30" ht="36.75" customHeight="1" outlineLevel="1">
      <c r="B86" s="2650" t="s">
        <v>5472</v>
      </c>
      <c r="C86" s="2650"/>
      <c r="D86" s="2650"/>
      <c r="E86" s="182"/>
      <c r="F86" s="183"/>
      <c r="G86" s="561" t="s">
        <v>5547</v>
      </c>
      <c r="H86" s="914"/>
      <c r="I86" s="182"/>
      <c r="J86" s="628" t="s">
        <v>5547</v>
      </c>
      <c r="K86" s="914"/>
      <c r="L86" s="182"/>
      <c r="M86" s="628" t="s">
        <v>5547</v>
      </c>
      <c r="N86" s="914"/>
      <c r="O86" s="182"/>
      <c r="P86" s="552"/>
      <c r="Q86" s="891"/>
      <c r="R86" s="52"/>
      <c r="S86" s="810"/>
      <c r="T86" s="891"/>
      <c r="U86" s="52"/>
      <c r="V86" s="552"/>
      <c r="W86" s="894"/>
      <c r="Y86" s="2643"/>
      <c r="Z86" s="2644"/>
      <c r="AA86" s="2644"/>
      <c r="AB86" s="2645"/>
      <c r="AD86" s="52"/>
    </row>
    <row r="87" spans="1:30" ht="20.25" customHeight="1" outlineLevel="1">
      <c r="B87" s="2652" t="s">
        <v>5473</v>
      </c>
      <c r="C87" s="2652"/>
      <c r="D87" s="2652"/>
      <c r="E87" s="191"/>
      <c r="F87" s="187"/>
      <c r="G87" s="552" t="s">
        <v>31</v>
      </c>
      <c r="H87" s="915"/>
      <c r="I87" s="187"/>
      <c r="J87" s="551" t="s">
        <v>6</v>
      </c>
      <c r="K87" s="915"/>
      <c r="L87" s="187"/>
      <c r="M87" s="551" t="s">
        <v>7</v>
      </c>
      <c r="N87" s="915"/>
      <c r="O87" s="187"/>
      <c r="P87" s="552"/>
      <c r="Q87" s="892"/>
      <c r="R87" s="183"/>
      <c r="S87" s="552"/>
      <c r="T87" s="892"/>
      <c r="U87" s="183"/>
      <c r="V87" s="552"/>
      <c r="W87" s="895"/>
      <c r="Y87" s="2643"/>
      <c r="Z87" s="2644"/>
      <c r="AA87" s="2644"/>
      <c r="AB87" s="2645"/>
      <c r="AD87" s="52"/>
    </row>
    <row r="88" spans="1:30" s="52" customFormat="1" ht="17.899999999999999" customHeight="1" outlineLevel="1">
      <c r="B88" s="2646" t="s">
        <v>640</v>
      </c>
      <c r="C88" s="2646"/>
      <c r="D88" s="2646"/>
      <c r="E88" s="812"/>
      <c r="F88" s="207"/>
      <c r="G88" s="769"/>
      <c r="H88" s="893" t="str">
        <f ca="1">IF(G88&lt;&gt;"",G88,IFERROR(IF(INDIRECT("'"&amp;G$86&amp;"'!"&amp;VLOOKUP(G$87,'List Values'!$C$3:$D$6,2,FALSE)&amp;ROW(G88))="","",INDIRECT("'"&amp;G$86&amp;"'!"&amp;VLOOKUP(G$87,'List Values'!$C$3:$D$6,2,FALSE)&amp;ROW(G88))),IF($G$86&lt;&gt;"","Data Source Error","")))</f>
        <v>CMS</v>
      </c>
      <c r="I88" s="207"/>
      <c r="J88" s="769"/>
      <c r="K88" s="893" t="str">
        <f ca="1">IF($H$7&lt;2,"",IF(J88&lt;&gt;"",J88,IFERROR(IF(INDIRECT("'"&amp;J$86&amp;"'!"&amp;VLOOKUP(J$87,'List Values'!$C$3:$D$6,2,FALSE)&amp;ROW(J88))="","",INDIRECT("'"&amp;J$86&amp;"'!"&amp;VLOOKUP(J$87,'List Values'!$C$3:$D$6,2,FALSE)&amp;ROW(J88))),IF($J$86&lt;&gt;"","Data Source Error",""))))</f>
        <v>Regional WH</v>
      </c>
      <c r="L88" s="207"/>
      <c r="M88" s="769"/>
      <c r="N88" s="893" t="str">
        <f ca="1">IF($H$7&lt;3,"",IF(M88&lt;&gt;"",M88,IFERROR(IF(INDIRECT("'"&amp;M$86&amp;"'!"&amp;VLOOKUP(M$87,'List Values'!$C$3:$D$6,2,FALSE)&amp;ROW(M88))="","",INDIRECT("'"&amp;M$86&amp;"'!"&amp;VLOOKUP(M$87,'List Values'!$C$3:$D$6,2,FALSE)&amp;ROW(M88))),IF($M$86&lt;&gt;"","Data Source Error",""))))</f>
        <v>Health Facility</v>
      </c>
      <c r="O88" s="207"/>
      <c r="P88" s="813"/>
      <c r="Q88" s="893" t="str">
        <f ca="1">IF($H$7&lt;4,"",IF(P88&lt;&gt;"",P88,IFERROR(IF(INDIRECT("'"&amp;P$86&amp;"'!"&amp;VLOOKUP(P$87,'List Values'!$C$3:$D$6,2,FALSE)&amp;ROW(P88))="","",INDIRECT("'"&amp;P$86&amp;"'!"&amp;VLOOKUP(P$87,'List Values'!$C$3:$D$6,2,FALSE)&amp;ROW(P88))),IF($P$86&lt;&gt;"","Data Source Error",""))))</f>
        <v/>
      </c>
      <c r="R88" s="207"/>
      <c r="S88" s="813"/>
      <c r="T88" s="893" t="str">
        <f ca="1">IF($H$7&lt;5,"",IF(S88&lt;&gt;"",S88,IFERROR(IF(INDIRECT("'"&amp;S$86&amp;"'!"&amp;VLOOKUP(S$87,'List Values'!$C$3:$D$6,2,FALSE)&amp;ROW(S88))="","",INDIRECT("'"&amp;S$86&amp;"'!"&amp;VLOOKUP(S$87,'List Values'!$C$3:$D$6,2,FALSE)&amp;ROW(S88))),IF($S$86&lt;&gt;"","Data Source Error",""))))</f>
        <v/>
      </c>
      <c r="U88" s="207"/>
      <c r="V88" s="813"/>
      <c r="W88" s="896" t="str">
        <f ca="1">IF($H$7&lt;6,"",IF(V88&lt;&gt;"",V88,IFERROR(IF(INDIRECT("'"&amp;V$86&amp;"'!"&amp;VLOOKUP(V$87,'List Values'!$C$3:$D$6,2,FALSE)&amp;ROW(V88))="","",INDIRECT("'"&amp;V$86&amp;"'!"&amp;VLOOKUP(V$87,'List Values'!$C$3:$D$6,2,FALSE)&amp;ROW(V88))),IF($V$86&lt;&gt;"","Data Source Error",""))))</f>
        <v/>
      </c>
      <c r="Y88" s="2647"/>
      <c r="Z88" s="2648"/>
      <c r="AA88" s="2648"/>
      <c r="AB88" s="2649"/>
    </row>
    <row r="89" spans="1:30" ht="34.5" customHeight="1">
      <c r="A89" s="630" t="s">
        <v>652</v>
      </c>
      <c r="C89" s="52"/>
      <c r="D89" s="52"/>
      <c r="E89" s="52"/>
      <c r="G89" s="503"/>
      <c r="H89" s="504"/>
      <c r="J89" s="503"/>
      <c r="K89" s="504"/>
      <c r="M89" s="503"/>
      <c r="N89" s="504"/>
      <c r="P89" s="503"/>
      <c r="Q89" s="504"/>
      <c r="S89" s="503"/>
      <c r="T89" s="504"/>
      <c r="V89" s="503"/>
      <c r="W89" s="504"/>
    </row>
    <row r="90" spans="1:30" ht="27.75" customHeight="1">
      <c r="B90" s="591" t="s">
        <v>608</v>
      </c>
      <c r="C90" s="595"/>
      <c r="D90" s="595"/>
      <c r="E90" s="595"/>
      <c r="F90" s="596"/>
      <c r="G90" s="597"/>
      <c r="H90" s="594"/>
      <c r="I90" s="598"/>
      <c r="J90" s="597"/>
      <c r="K90" s="594"/>
      <c r="L90" s="598"/>
      <c r="M90" s="597"/>
      <c r="N90" s="594"/>
      <c r="O90" s="598"/>
      <c r="P90" s="597"/>
      <c r="Q90" s="594"/>
      <c r="R90" s="599"/>
      <c r="S90" s="594"/>
      <c r="T90" s="594"/>
      <c r="U90" s="599"/>
      <c r="V90" s="594"/>
      <c r="W90" s="594"/>
    </row>
    <row r="91" spans="1:30" ht="19.5" customHeight="1" outlineLevel="1">
      <c r="B91" s="505"/>
      <c r="C91" s="50"/>
      <c r="D91" s="50"/>
      <c r="E91" s="50"/>
      <c r="F91" s="36"/>
      <c r="G91" s="2654" t="str">
        <f ca="1">IF(H88="",G83,H88)&amp;" Tier"</f>
        <v>CMS Tier</v>
      </c>
      <c r="H91" s="2655"/>
      <c r="I91" s="508"/>
      <c r="J91" s="2654" t="str">
        <f ca="1">IF(K88="",J83,K88)&amp;" Tier"</f>
        <v>Regional WH Tier</v>
      </c>
      <c r="K91" s="2655"/>
      <c r="L91" s="508"/>
      <c r="M91" s="2654" t="str">
        <f ca="1">IF(N88="",M83,N88)&amp;" Tier"</f>
        <v>Health Facility Tier</v>
      </c>
      <c r="N91" s="2655"/>
      <c r="O91" s="507"/>
      <c r="P91" s="2654" t="str">
        <f ca="1">IF(Q88="",P83,Q88)&amp;" Tier"</f>
        <v>Tier 4 Tier</v>
      </c>
      <c r="Q91" s="2655"/>
      <c r="R91" s="507"/>
      <c r="S91" s="2654" t="str">
        <f ca="1">IF(T88="",S83,T88)&amp;" Tier"</f>
        <v>Tier 5 Tier</v>
      </c>
      <c r="T91" s="2655"/>
      <c r="U91" s="507"/>
      <c r="V91" s="2654" t="str">
        <f ca="1">IF(W88="",V83,W88)&amp;" Tier"</f>
        <v>Tier 6 Tier</v>
      </c>
      <c r="W91" s="2655"/>
      <c r="Y91" s="2619" t="s">
        <v>673</v>
      </c>
      <c r="Z91" s="2620"/>
      <c r="AA91" s="2620"/>
      <c r="AB91" s="2621"/>
    </row>
    <row r="92" spans="1:30" ht="14.25" customHeight="1" outlineLevel="1">
      <c r="B92" s="2653" t="s">
        <v>2371</v>
      </c>
      <c r="C92" s="2653"/>
      <c r="D92" s="2653"/>
      <c r="E92" s="186"/>
      <c r="F92" s="187"/>
      <c r="G92" s="553"/>
      <c r="H92" s="897">
        <f ca="1">IF(G92&lt;&gt;"",G92,IFERROR(IF(INDIRECT("'"&amp;G$86&amp;"'!"&amp;VLOOKUP(G$87,'List Values'!$C$3:$D$6,2,FALSE)&amp;ROW(G92))="","",INDIRECT("'"&amp;G$86&amp;"'!"&amp;VLOOKUP(G$87,'List Values'!$C$3:$D$6,2,FALSE)&amp;ROW(G92))),IF($G$86&lt;&gt;"","Data Source Error","")))</f>
        <v>390757</v>
      </c>
      <c r="I92" s="183"/>
      <c r="J92" s="553"/>
      <c r="K92" s="897">
        <f ca="1">IF($H$7&lt;2,"",IF(J92&lt;&gt;"",J92,IFERROR(IF(INDIRECT("'"&amp;J$86&amp;"'!"&amp;VLOOKUP(J$87,'List Values'!$C$3:$D$6,2,FALSE)&amp;ROW(J92))="","",INDIRECT("'"&amp;J$86&amp;"'!"&amp;VLOOKUP(J$87,'List Values'!$C$3:$D$6,2,FALSE)&amp;ROW(J92))),IF($J$86&lt;&gt;"","Data Source Error",""))))</f>
        <v>36459</v>
      </c>
      <c r="L92" s="183"/>
      <c r="M92" s="553"/>
      <c r="N92" s="897">
        <f ca="1">IF($H$7&lt;3,"",IF(M92&lt;&gt;"",M92,IFERROR(IF(INDIRECT("'"&amp;M$86&amp;"'!"&amp;VLOOKUP(M$87,'List Values'!$C$3:$D$6,2,FALSE)&amp;ROW(M92))="","",INDIRECT("'"&amp;M$86&amp;"'!"&amp;VLOOKUP(M$87,'List Values'!$C$3:$D$6,2,FALSE)&amp;ROW(M92))),IF($M$86&lt;&gt;"","Data Source Error",""))))</f>
        <v>36459</v>
      </c>
      <c r="O92" s="183"/>
      <c r="P92" s="587"/>
      <c r="Q92" s="907" t="str">
        <f ca="1">IF($H$7&lt;4,"",IF(P92&lt;&gt;"",P92,IFERROR(IF(INDIRECT("'"&amp;P$86&amp;"'!"&amp;VLOOKUP(P$87,'List Values'!$C$3:$D$6,2,FALSE)&amp;ROW(P92))="","",INDIRECT("'"&amp;P$86&amp;"'!"&amp;VLOOKUP(P$87,'List Values'!$C$3:$D$6,2,FALSE)&amp;ROW(P92))),IF($P$86&lt;&gt;"","Data Source Error",""))))</f>
        <v/>
      </c>
      <c r="R92" s="509"/>
      <c r="S92" s="558"/>
      <c r="T92" s="897" t="str">
        <f ca="1">IF($H$7&lt;5,"",IF(S92&lt;&gt;"",S92,IFERROR(IF(INDIRECT("'"&amp;S$86&amp;"'!"&amp;VLOOKUP(S$87,'List Values'!$C$3:$D$6,2,FALSE)&amp;ROW(S92))="","",INDIRECT("'"&amp;S$86&amp;"'!"&amp;VLOOKUP(S$87,'List Values'!$C$3:$D$6,2,FALSE)&amp;ROW(S92))),IF($S$86&lt;&gt;"","Data Source Error",""))))</f>
        <v/>
      </c>
      <c r="V92" s="558"/>
      <c r="W92" s="908" t="str">
        <f ca="1">IF($H$7&lt;6,"",IF(V92&lt;&gt;"",V92,IFERROR(IF(INDIRECT("'"&amp;V$86&amp;"'!"&amp;VLOOKUP(V$87,'List Values'!$C$3:$D$6,2,FALSE)&amp;ROW(V92))="","",INDIRECT("'"&amp;V$86&amp;"'!"&amp;VLOOKUP(V$87,'List Values'!$C$3:$D$6,2,FALSE)&amp;ROW(V92))),IF($V$86&lt;&gt;"","Data Source Error",""))))</f>
        <v/>
      </c>
      <c r="Y92" s="2643"/>
      <c r="Z92" s="2644"/>
      <c r="AA92" s="2644"/>
      <c r="AB92" s="2645"/>
      <c r="AD92" s="52"/>
    </row>
    <row r="93" spans="1:30" s="6" customFormat="1" ht="14.25" customHeight="1" outlineLevel="1">
      <c r="B93" s="2653" t="s">
        <v>5446</v>
      </c>
      <c r="C93" s="2653"/>
      <c r="D93" s="2653"/>
      <c r="E93" s="188"/>
      <c r="F93" s="189"/>
      <c r="G93" s="554"/>
      <c r="H93" s="898">
        <f ca="1">IF(G93&lt;&gt;"",G93,IFERROR(IF(INDIRECT("'"&amp;G$86&amp;"'!"&amp;VLOOKUP(G$87,'List Values'!$C$3:$D$6,2,FALSE)&amp;ROW(G93))="","",INDIRECT("'"&amp;G$86&amp;"'!"&amp;VLOOKUP(G$87,'List Values'!$C$3:$D$6,2,FALSE)&amp;ROW(G93))),IF($G$86&lt;&gt;"","Data Source Error","")))</f>
        <v>1</v>
      </c>
      <c r="I93" s="189"/>
      <c r="J93" s="554"/>
      <c r="K93" s="898">
        <f ca="1">IF($H$7&lt;2,"",IF(J93&lt;&gt;"",J93,IFERROR(IF(INDIRECT("'"&amp;J$86&amp;"'!"&amp;VLOOKUP(J$87,'List Values'!$C$3:$D$6,2,FALSE)&amp;ROW(J93))="","",INDIRECT("'"&amp;J$86&amp;"'!"&amp;VLOOKUP(J$87,'List Values'!$C$3:$D$6,2,FALSE)&amp;ROW(J93))),IF($J$86&lt;&gt;"","Data Source Error",""))))</f>
        <v>1</v>
      </c>
      <c r="L93" s="189"/>
      <c r="M93" s="554"/>
      <c r="N93" s="898">
        <f ca="1">IF($H$7&lt;3,"",IF(M93&lt;&gt;"",M93,IFERROR(IF(INDIRECT("'"&amp;M$86&amp;"'!"&amp;VLOOKUP(M$87,'List Values'!$C$3:$D$6,2,FALSE)&amp;ROW(M93))="","",INDIRECT("'"&amp;M$86&amp;"'!"&amp;VLOOKUP(M$87,'List Values'!$C$3:$D$6,2,FALSE)&amp;ROW(M93))),IF($M$86&lt;&gt;"","Data Source Error",""))))</f>
        <v>1</v>
      </c>
      <c r="O93" s="189"/>
      <c r="P93" s="559"/>
      <c r="Q93" s="898" t="str">
        <f ca="1">IF($H$7&lt;4,"",IF(P93&lt;&gt;"",P93,IFERROR(IF(INDIRECT("'"&amp;P$86&amp;"'!"&amp;VLOOKUP(P$87,'List Values'!$C$3:$D$6,2,FALSE)&amp;ROW(P93))="","",INDIRECT("'"&amp;P$86&amp;"'!"&amp;VLOOKUP(P$87,'List Values'!$C$3:$D$6,2,FALSE)&amp;ROW(P93))),IF($P$86&lt;&gt;"","Data Source Error",""))))</f>
        <v/>
      </c>
      <c r="S93" s="559"/>
      <c r="T93" s="898" t="str">
        <f ca="1">IF($H$7&lt;5,"",IF(S93&lt;&gt;"",S93,IFERROR(IF(INDIRECT("'"&amp;S$86&amp;"'!"&amp;VLOOKUP(S$87,'List Values'!$C$3:$D$6,2,FALSE)&amp;ROW(S93))="","",INDIRECT("'"&amp;S$86&amp;"'!"&amp;VLOOKUP(S$87,'List Values'!$C$3:$D$6,2,FALSE)&amp;ROW(S93))),IF($S$86&lt;&gt;"","Data Source Error",""))))</f>
        <v/>
      </c>
      <c r="V93" s="559"/>
      <c r="W93" s="909" t="str">
        <f ca="1">IF($H$7&lt;6,"",IF(V93&lt;&gt;"",V93,IFERROR(IF(INDIRECT("'"&amp;V$86&amp;"'!"&amp;VLOOKUP(V$87,'List Values'!$C$3:$D$6,2,FALSE)&amp;ROW(V93))="","",INDIRECT("'"&amp;V$86&amp;"'!"&amp;VLOOKUP(V$87,'List Values'!$C$3:$D$6,2,FALSE)&amp;ROW(V93))),IF($V$86&lt;&gt;"","Data Source Error",""))))</f>
        <v/>
      </c>
      <c r="Y93" s="2643"/>
      <c r="Z93" s="2644"/>
      <c r="AA93" s="2644"/>
      <c r="AB93" s="2645"/>
      <c r="AD93" s="52"/>
    </row>
    <row r="94" spans="1:30" s="6" customFormat="1" ht="14.25" customHeight="1" outlineLevel="1">
      <c r="B94" s="2653" t="s">
        <v>5447</v>
      </c>
      <c r="C94" s="2653"/>
      <c r="D94" s="2653"/>
      <c r="E94" s="188"/>
      <c r="F94" s="189"/>
      <c r="G94" s="493"/>
      <c r="H94" s="899"/>
      <c r="I94" s="190"/>
      <c r="J94" s="551"/>
      <c r="K94" s="903">
        <f ca="1">IF($H$7&lt;2,"",IF(J94&lt;&gt;"",J94,IFERROR(IF(INDIRECT("'"&amp;J$86&amp;"'!"&amp;VLOOKUP(J$87,'List Values'!$C$3:$D$6,2,FALSE)&amp;ROW(J94))="","",INDIRECT("'"&amp;J$86&amp;"'!"&amp;VLOOKUP(J$87,'List Values'!$C$3:$D$6,2,FALSE)&amp;ROW(J94))),IF($J$86&lt;&gt;"","Data Source Error",""))))</f>
        <v>0.05</v>
      </c>
      <c r="L94" s="190"/>
      <c r="M94" s="551"/>
      <c r="N94" s="905">
        <f ca="1">IF($H$7&lt;3,"",IF(M94&lt;&gt;"",M94,IFERROR(IF(INDIRECT("'"&amp;M$86&amp;"'!"&amp;VLOOKUP(M$87,'List Values'!$C$3:$D$6,2,FALSE)&amp;ROW(M94))="","",INDIRECT("'"&amp;M$86&amp;"'!"&amp;VLOOKUP(M$87,'List Values'!$C$3:$D$6,2,FALSE)&amp;ROW(M94))),IF($M$86&lt;&gt;"","Data Source Error",""))))</f>
        <v>0.05</v>
      </c>
      <c r="O94" s="189"/>
      <c r="P94" s="559"/>
      <c r="Q94" s="903" t="str">
        <f ca="1">IF($H$7&lt;4,"",IF(P94&lt;&gt;"",P94,IFERROR(IF(INDIRECT("'"&amp;P$86&amp;"'!"&amp;VLOOKUP(P$87,'List Values'!$C$3:$D$6,2,FALSE)&amp;ROW(P94))="","",INDIRECT("'"&amp;P$86&amp;"'!"&amp;VLOOKUP(P$87,'List Values'!$C$3:$D$6,2,FALSE)&amp;ROW(P94))),IF($P$86&lt;&gt;"","Data Source Error",""))))</f>
        <v/>
      </c>
      <c r="S94" s="559"/>
      <c r="T94" s="903" t="str">
        <f ca="1">IF($H$7&lt;5,"",IF(S94&lt;&gt;"",S94,IFERROR(IF(INDIRECT("'"&amp;S$86&amp;"'!"&amp;VLOOKUP(S$87,'List Values'!$C$3:$D$6,2,FALSE)&amp;ROW(S94))="","",INDIRECT("'"&amp;S$86&amp;"'!"&amp;VLOOKUP(S$87,'List Values'!$C$3:$D$6,2,FALSE)&amp;ROW(S94))),IF($S$86&lt;&gt;"","Data Source Error",""))))</f>
        <v/>
      </c>
      <c r="V94" s="559"/>
      <c r="W94" s="910" t="str">
        <f ca="1">IF($H$7&lt;6,"",IF(V94&lt;&gt;"",V94,IFERROR(IF(INDIRECT("'"&amp;V$86&amp;"'!"&amp;VLOOKUP(V$87,'List Values'!$C$3:$D$6,2,FALSE)&amp;ROW(V94))="","",INDIRECT("'"&amp;V$86&amp;"'!"&amp;VLOOKUP(V$87,'List Values'!$C$3:$D$6,2,FALSE)&amp;ROW(V94))),IF($V$86&lt;&gt;"","Data Source Error",""))))</f>
        <v/>
      </c>
      <c r="Y94" s="2643"/>
      <c r="Z94" s="2644"/>
      <c r="AA94" s="2644"/>
      <c r="AB94" s="2645"/>
      <c r="AD94" s="52"/>
    </row>
    <row r="95" spans="1:30" ht="15" customHeight="1" outlineLevel="1">
      <c r="B95" s="2653" t="s">
        <v>642</v>
      </c>
      <c r="C95" s="2653"/>
      <c r="D95" s="2653"/>
      <c r="E95" s="186"/>
      <c r="F95" s="187"/>
      <c r="G95" s="523"/>
      <c r="H95" s="900">
        <f ca="1">IF(G95&lt;&gt;"",G95,IFERROR(IF(INDIRECT("'"&amp;G$86&amp;"'!"&amp;VLOOKUP(G$87,'List Values'!$C$3:$D$6,2,FALSE)&amp;ROW(G95))="","",INDIRECT("'"&amp;G$86&amp;"'!"&amp;VLOOKUP(G$87,'List Values'!$C$3:$D$6,2,FALSE)&amp;ROW(G95))),IF($G$86&lt;&gt;"","Data Source Error","")))</f>
        <v>1</v>
      </c>
      <c r="I95" s="187"/>
      <c r="J95" s="523"/>
      <c r="K95" s="900">
        <f ca="1">IF($H$7&lt;2,"",IF(J95&lt;&gt;"",J95,IFERROR(IF(INDIRECT("'"&amp;J$86&amp;"'!"&amp;VLOOKUP(J$87,'List Values'!$C$3:$D$6,2,FALSE)&amp;ROW(J95))="","",INDIRECT("'"&amp;J$86&amp;"'!"&amp;VLOOKUP(J$87,'List Values'!$C$3:$D$6,2,FALSE)&amp;ROW(J95))),IF($J$86&lt;&gt;"","Data Source Error",""))))</f>
        <v>1</v>
      </c>
      <c r="L95" s="187"/>
      <c r="M95" s="523"/>
      <c r="N95" s="900">
        <f ca="1">IF($H$7&lt;3,"",IF(M95&lt;&gt;"",M95,IFERROR(IF(INDIRECT("'"&amp;M$86&amp;"'!"&amp;VLOOKUP(M$87,'List Values'!$C$3:$D$6,2,FALSE)&amp;ROW(M95))="","",INDIRECT("'"&amp;M$86&amp;"'!"&amp;VLOOKUP(M$87,'List Values'!$C$3:$D$6,2,FALSE)&amp;ROW(M95))),IF($M$86&lt;&gt;"","Data Source Error",""))))</f>
        <v>345</v>
      </c>
      <c r="O95" s="187"/>
      <c r="P95" s="560"/>
      <c r="Q95" s="900" t="str">
        <f ca="1">IF($H$7&lt;4,"",IF(P95&lt;&gt;"",P95,IFERROR(IF(INDIRECT("'"&amp;P$86&amp;"'!"&amp;VLOOKUP(P$87,'List Values'!$C$3:$D$6,2,FALSE)&amp;ROW(P95))="","",INDIRECT("'"&amp;P$86&amp;"'!"&amp;VLOOKUP(P$87,'List Values'!$C$3:$D$6,2,FALSE)&amp;ROW(P95))),IF($P$86&lt;&gt;"","Data Source Error",""))))</f>
        <v/>
      </c>
      <c r="R95" s="509" t="str">
        <f>IF(OR(G92&gt;0, J92&gt;0,M92&gt;0),"&lt;-- Land Area Changed - Check # of facilities","")</f>
        <v/>
      </c>
      <c r="S95" s="560"/>
      <c r="T95" s="900" t="str">
        <f ca="1">IF($H$7&lt;5,"",IF(S95&lt;&gt;"",S95,IFERROR(IF(INDIRECT("'"&amp;S$86&amp;"'!"&amp;VLOOKUP(S$87,'List Values'!$C$3:$D$6,2,FALSE)&amp;ROW(S95))="","",INDIRECT("'"&amp;S$86&amp;"'!"&amp;VLOOKUP(S$87,'List Values'!$C$3:$D$6,2,FALSE)&amp;ROW(S95))),IF($S$86&lt;&gt;"","Data Source Error",""))))</f>
        <v/>
      </c>
      <c r="V95" s="560"/>
      <c r="W95" s="911" t="str">
        <f ca="1">IF($H$7&lt;6,"",IF(V95&lt;&gt;"",V95,IFERROR(IF(INDIRECT("'"&amp;V$86&amp;"'!"&amp;VLOOKUP(V$87,'List Values'!$C$3:$D$6,2,FALSE)&amp;ROW(V95))="","",INDIRECT("'"&amp;V$86&amp;"'!"&amp;VLOOKUP(V$87,'List Values'!$C$3:$D$6,2,FALSE)&amp;ROW(V95))),IF($V$86&lt;&gt;"","Data Source Error",""))))</f>
        <v/>
      </c>
      <c r="Y95" s="2643"/>
      <c r="Z95" s="2644"/>
      <c r="AA95" s="2644"/>
      <c r="AB95" s="2645"/>
      <c r="AD95" s="52"/>
    </row>
    <row r="96" spans="1:30" ht="15" customHeight="1" outlineLevel="1">
      <c r="B96" s="2653" t="s">
        <v>5448</v>
      </c>
      <c r="C96" s="2653"/>
      <c r="D96" s="2653"/>
      <c r="E96" s="186"/>
      <c r="F96" s="187"/>
      <c r="G96" s="523"/>
      <c r="H96" s="900">
        <f ca="1">IF(G96&lt;&gt;"",G96,IFERROR(IF(INDIRECT("'"&amp;G$86&amp;"'!"&amp;VLOOKUP(G$87,'List Values'!$C$3:$D$6,2,FALSE)&amp;ROW(G96))="","",INDIRECT("'"&amp;G$86&amp;"'!"&amp;VLOOKUP(G$87,'List Values'!$C$3:$D$6,2,FALSE)&amp;ROW(G96))),IF($G$86&lt;&gt;"","Data Source Error","")))</f>
        <v>4</v>
      </c>
      <c r="I96" s="187"/>
      <c r="J96" s="523"/>
      <c r="K96" s="900">
        <f ca="1">IF($H$7&lt;2,"",IF(J96&lt;&gt;"",J96,IFERROR(IF(INDIRECT("'"&amp;J$86&amp;"'!"&amp;VLOOKUP(J$87,'List Values'!$C$3:$D$6,2,FALSE)&amp;ROW(J96))="","",INDIRECT("'"&amp;J$86&amp;"'!"&amp;VLOOKUP(J$87,'List Values'!$C$3:$D$6,2,FALSE)&amp;ROW(J96))),IF($J$86&lt;&gt;"","Data Source Error",""))))</f>
        <v>4</v>
      </c>
      <c r="L96" s="187"/>
      <c r="M96" s="523"/>
      <c r="N96" s="900">
        <f ca="1">IF($H$7&lt;3,"",IF(M96&lt;&gt;"",M96,IFERROR(IF(INDIRECT("'"&amp;M$86&amp;"'!"&amp;VLOOKUP(M$87,'List Values'!$C$3:$D$6,2,FALSE)&amp;ROW(M96))="","",INDIRECT("'"&amp;M$86&amp;"'!"&amp;VLOOKUP(M$87,'List Values'!$C$3:$D$6,2,FALSE)&amp;ROW(M96))),IF($M$86&lt;&gt;"","Data Source Error",""))))</f>
        <v>4</v>
      </c>
      <c r="O96" s="187"/>
      <c r="P96" s="560"/>
      <c r="Q96" s="900" t="str">
        <f ca="1">IF($H$7&lt;4,"",IF(P96&lt;&gt;"",P96,IFERROR(IF(INDIRECT("'"&amp;P$86&amp;"'!"&amp;VLOOKUP(P$87,'List Values'!$C$3:$D$6,2,FALSE)&amp;ROW(P96))="","",INDIRECT("'"&amp;P$86&amp;"'!"&amp;VLOOKUP(P$87,'List Values'!$C$3:$D$6,2,FALSE)&amp;ROW(P96))),IF($P$86&lt;&gt;"","Data Source Error",""))))</f>
        <v/>
      </c>
      <c r="S96" s="560"/>
      <c r="T96" s="900" t="str">
        <f ca="1">IF($H$7&lt;5,"",IF(S96&lt;&gt;"",S96,IFERROR(IF(INDIRECT("'"&amp;S$86&amp;"'!"&amp;VLOOKUP(S$87,'List Values'!$C$3:$D$6,2,FALSE)&amp;ROW(S96))="","",INDIRECT("'"&amp;S$86&amp;"'!"&amp;VLOOKUP(S$87,'List Values'!$C$3:$D$6,2,FALSE)&amp;ROW(S96))),IF($S$86&lt;&gt;"","Data Source Error",""))))</f>
        <v/>
      </c>
      <c r="V96" s="560"/>
      <c r="W96" s="911" t="str">
        <f ca="1">IF($H$7&lt;6,"",IF(V96&lt;&gt;"",V96,IFERROR(IF(INDIRECT("'"&amp;V$86&amp;"'!"&amp;VLOOKUP(V$87,'List Values'!$C$3:$D$6,2,FALSE)&amp;ROW(V96))="","",INDIRECT("'"&amp;V$86&amp;"'!"&amp;VLOOKUP(V$87,'List Values'!$C$3:$D$6,2,FALSE)&amp;ROW(V96))),IF($V$86&lt;&gt;"","Data Source Error",""))))</f>
        <v/>
      </c>
      <c r="Y96" s="2643"/>
      <c r="Z96" s="2644"/>
      <c r="AA96" s="2644"/>
      <c r="AB96" s="2645"/>
      <c r="AD96" s="52"/>
    </row>
    <row r="97" spans="1:30" ht="15" customHeight="1" outlineLevel="1">
      <c r="B97" s="2653" t="s">
        <v>602</v>
      </c>
      <c r="C97" s="2653"/>
      <c r="D97" s="2653"/>
      <c r="E97" s="186"/>
      <c r="F97" s="187"/>
      <c r="G97" s="523"/>
      <c r="H97" s="900">
        <f ca="1">IF(G97&lt;&gt;"",G97,IFERROR(IF(INDIRECT("'"&amp;G$86&amp;"'!"&amp;VLOOKUP(G$87,'List Values'!$C$3:$D$6,2,FALSE)&amp;ROW(G97))="","",INDIRECT("'"&amp;G$86&amp;"'!"&amp;VLOOKUP(G$87,'List Values'!$C$3:$D$6,2,FALSE)&amp;ROW(G97))),IF($G$86&lt;&gt;"","Data Source Error","")))</f>
        <v>1.3</v>
      </c>
      <c r="I97" s="187"/>
      <c r="J97" s="523"/>
      <c r="K97" s="900">
        <f ca="1">IF($H$7&lt;2,"",IF(J97&lt;&gt;"",J97,IFERROR(IF(INDIRECT("'"&amp;J$86&amp;"'!"&amp;VLOOKUP(J$87,'List Values'!$C$3:$D$6,2,FALSE)&amp;ROW(J97))="","",INDIRECT("'"&amp;J$86&amp;"'!"&amp;VLOOKUP(J$87,'List Values'!$C$3:$D$6,2,FALSE)&amp;ROW(J97))),IF($J$86&lt;&gt;"","Data Source Error",""))))</f>
        <v>1.5</v>
      </c>
      <c r="L97" s="187"/>
      <c r="M97" s="523"/>
      <c r="N97" s="900">
        <f ca="1">IF($H$7&lt;3,"",IF(M97&lt;&gt;"",M97,IFERROR(IF(INDIRECT("'"&amp;M$86&amp;"'!"&amp;VLOOKUP(M$87,'List Values'!$C$3:$D$6,2,FALSE)&amp;ROW(M97))="","",INDIRECT("'"&amp;M$86&amp;"'!"&amp;VLOOKUP(M$87,'List Values'!$C$3:$D$6,2,FALSE)&amp;ROW(M97))),IF($M$86&lt;&gt;"","Data Source Error",""))))</f>
        <v>1.7</v>
      </c>
      <c r="O97" s="187"/>
      <c r="P97" s="560"/>
      <c r="Q97" s="900" t="str">
        <f ca="1">IF($H$7&lt;4,"",IF(P97&lt;&gt;"",P97,IFERROR(IF(INDIRECT("'"&amp;P$86&amp;"'!"&amp;VLOOKUP(P$87,'List Values'!$C$3:$D$6,2,FALSE)&amp;ROW(P97))="","",INDIRECT("'"&amp;P$86&amp;"'!"&amp;VLOOKUP(P$87,'List Values'!$C$3:$D$6,2,FALSE)&amp;ROW(P97))),IF($P$86&lt;&gt;"","Data Source Error",""))))</f>
        <v/>
      </c>
      <c r="S97" s="560"/>
      <c r="T97" s="900" t="str">
        <f ca="1">IF($H$7&lt;5,"",IF(S97&lt;&gt;"",S97,IFERROR(IF(INDIRECT("'"&amp;S$86&amp;"'!"&amp;VLOOKUP(S$87,'List Values'!$C$3:$D$6,2,FALSE)&amp;ROW(S97))="","",INDIRECT("'"&amp;S$86&amp;"'!"&amp;VLOOKUP(S$87,'List Values'!$C$3:$D$6,2,FALSE)&amp;ROW(S97))),IF($S$86&lt;&gt;"","Data Source Error",""))))</f>
        <v/>
      </c>
      <c r="V97" s="560"/>
      <c r="W97" s="911" t="str">
        <f ca="1">IF($H$7&lt;6,"",IF(V97&lt;&gt;"",V97,IFERROR(IF(INDIRECT("'"&amp;V$86&amp;"'!"&amp;VLOOKUP(V$87,'List Values'!$C$3:$D$6,2,FALSE)&amp;ROW(V97))="","",INDIRECT("'"&amp;V$86&amp;"'!"&amp;VLOOKUP(V$87,'List Values'!$C$3:$D$6,2,FALSE)&amp;ROW(V97))),IF($V$86&lt;&gt;"","Data Source Error",""))))</f>
        <v/>
      </c>
      <c r="Y97" s="2643"/>
      <c r="Z97" s="2644"/>
      <c r="AA97" s="2644"/>
      <c r="AB97" s="2645"/>
      <c r="AD97" s="52"/>
    </row>
    <row r="98" spans="1:30" ht="15" customHeight="1" outlineLevel="1">
      <c r="B98" s="2653" t="s">
        <v>644</v>
      </c>
      <c r="C98" s="2653"/>
      <c r="D98" s="2653"/>
      <c r="E98" s="192"/>
      <c r="F98" s="187"/>
      <c r="G98" s="482"/>
      <c r="H98" s="901"/>
      <c r="I98" s="187"/>
      <c r="J98" s="523"/>
      <c r="K98" s="904">
        <f ca="1">IF($H$7&lt;2,"",IF(J$98&lt;&gt;"",J$98,
IF(AND(J$97="",J$95="",J$92=""),IFERROR(IF(INDIRECT("'"&amp;J$86&amp;"'!"&amp;VLOOKUP(J$87,'List Values'!$C$3:$D$6,2,FALSE)&amp;ROW(J98))="",K$97*(SQRT(H$92/H$95)/6)*(SQRT(2)+LN(1+SQRT(2))),INDIRECT("'"&amp;J$86&amp;"'!"&amp;VLOOKUP(J$87,'List Values'!$C$3:$D$6,2,FALSE)&amp;ROW(J98))),IF($J$86&lt;&gt;"","Data Source Error","")),
K$97*(SQRT(H$92/H$95)/6)*(SQRT(2)+LN(1+SQRT(2))))))</f>
        <v>289</v>
      </c>
      <c r="L98" s="193"/>
      <c r="M98" s="555"/>
      <c r="N98" s="904">
        <f ca="1">IF($H$7&lt;3,"",IF(M$98&lt;&gt;"",M$98,
IF(AND(M$97="",M$95="",M$92=""),IFERROR(IF(INDIRECT("'"&amp;M$86&amp;"'!"&amp;VLOOKUP(M$87,'List Values'!$C$3:$D$6,2,FALSE)&amp;ROW(M98))="",N$97*(SQRT(K$92/K$95)/6)*(SQRT(2)+LN(1+SQRT(2))),INDIRECT("'"&amp;M$86&amp;"'!"&amp;VLOOKUP(M$87,'List Values'!$C$3:$D$6,2,FALSE)&amp;ROW(M98))),IF($M$86&lt;&gt;"","Data Source Error","")),
N$97*(SQRT(K$92/K$95)/6)*(SQRT(2)+LN(1+SQRT(2))))))</f>
        <v>124.19206038512104</v>
      </c>
      <c r="O98" s="187"/>
      <c r="P98" s="523"/>
      <c r="Q98" s="1177" t="str">
        <f ca="1">IF($H$7&lt;4,"",IF(P$98&lt;&gt;"",P$98,
IF(AND(P$97="",P$95="",P$92=""),IFERROR(IF(INDIRECT("'"&amp;P$86&amp;"'!"&amp;VLOOKUP(P$87,'List Values'!$C$3:$D$6,2,FALSE)&amp;ROW(P98))="",Q$97*(SQRT(N$92/N$95)/6)*(SQRT(2)+LN(1+SQRT(2))),INDIRECT("'"&amp;P$86&amp;"'!"&amp;VLOOKUP(P$87,'List Values'!$C$3:$D$6,2,FALSE)&amp;ROW(P98))),IF($P$86&lt;&gt;"","Data Source Error","")),
Q$97*(SQRT(N$92/N$95)/6)*(SQRT(2)+LN(1+SQRT(2))))))</f>
        <v/>
      </c>
      <c r="S98" s="523"/>
      <c r="T98" s="904" t="str">
        <f ca="1">IF($H$7&lt;5,"",IF(S$98&lt;&gt;"",S$98,
IF(AND(S$97="",S$95="",S$92=""),IFERROR(IF(INDIRECT("'"&amp;S$86&amp;"'!"&amp;VLOOKUP(S$87,'List Values'!$C$3:$D$6,2,FALSE)&amp;ROW(S98))="",T$97*(SQRT(Q$92/Q$95)/6)*(SQRT(2)+LN(1+SQRT(2))),INDIRECT("'"&amp;S$86&amp;"'!"&amp;VLOOKUP(S$87,'List Values'!$C$3:$D$6,2,FALSE)&amp;ROW(S98))),IF($S$86&lt;&gt;"","Data Source Error","")),
T$97*(SQRT(Q$92/Q$95)/6)*(SQRT(2)+LN(1+SQRT(2))))))</f>
        <v/>
      </c>
      <c r="V98" s="523"/>
      <c r="W98" s="912" t="str">
        <f ca="1">IF($H$7&lt;6,"",IF(V$98&lt;&gt;"",V$98,
IF(AND(V$97="",V$95="",V$92=""),IFERROR(IF(INDIRECT("'"&amp;V$86&amp;"'!"&amp;VLOOKUP(V$87,'List Values'!$C$3:$D$6,2,FALSE)&amp;ROW(V98))="",W$97*(SQRT(T$92/T$95)/6)*(SQRT(2)+LN(1+SQRT(2))),INDIRECT("'"&amp;V$86&amp;"'!"&amp;VLOOKUP(V$87,'List Values'!$C$3:$D$6,2,FALSE)&amp;ROW(V98))),IF($V$86&lt;&gt;"","Data Source Error","")),
W$97*(SQRT(T$92/T$95)/6)*(SQRT(2)+LN(1+SQRT(2))))))</f>
        <v/>
      </c>
      <c r="Y98" s="2643"/>
      <c r="Z98" s="2644"/>
      <c r="AA98" s="2644"/>
      <c r="AB98" s="2645"/>
      <c r="AD98" s="52"/>
    </row>
    <row r="99" spans="1:30" outlineLevel="1">
      <c r="B99" s="2656" t="s">
        <v>645</v>
      </c>
      <c r="C99" s="2656"/>
      <c r="D99" s="2656"/>
      <c r="E99" s="196"/>
      <c r="F99" s="196"/>
      <c r="G99" s="525"/>
      <c r="H99" s="902">
        <f ca="1">IF(G$99&lt;&gt;"",G$99,
IF(AND(G$97="",G$95="",G$92=""),IFERROR(IF(INDIRECT("'"&amp;G$86&amp;"'!"&amp;VLOOKUP(G$87,'List Values'!$C$3:$D$6,2,FALSE)&amp;ROW(G99))="",IF(H$95=1,0,0.5*H$97*(SQRT(H$92/H$95)+SQRT(2*H$92/H$95))),INDIRECT("'"&amp;G$86&amp;"'!"&amp;VLOOKUP(G$87,'List Values'!$C$3:$D$6,2,FALSE)&amp;ROW(G99))),IF($G$86&lt;&gt;"","Data Source Error","")),
IF(H$95=1,0,0.5*H$97*(SQRT(H$92/H$95)+SQRT(2*H$92/H$95)))))</f>
        <v>0</v>
      </c>
      <c r="I99" s="196"/>
      <c r="J99" s="530"/>
      <c r="K99" s="943">
        <f ca="1">IF($H$7&lt;2,"",IF(J$99&lt;&gt;"",J$99,
IF(AND(J$97="",J$95="",J$92=""),IFERROR(IF(INDIRECT("'"&amp;J$86&amp;"'!"&amp;VLOOKUP(J$87,'List Values'!$C$3:$D$6,2,FALSE)&amp;ROW(J99))="",IF(K$95=1,0,0.5*K$97*(SQRT(K$92/K$95)+SQRT(2*K$92/K$95))),INDIRECT("'"&amp;J$86&amp;"'!"&amp;VLOOKUP(J$87,'List Values'!$C$3:$D$6,2,FALSE)&amp;ROW(J99))),IF($J$86&lt;&gt;"","Data Source Error","")),
IF(K$95=1,0,0.5*K$97*(SQRT(K$92/K$95)+SQRT(2*K$92/K$95))))))</f>
        <v>0</v>
      </c>
      <c r="L99" s="196"/>
      <c r="M99" s="556"/>
      <c r="N99" s="906">
        <f ca="1">IF($H$7&lt;3,"",IF(M$99&lt;&gt;"",M$99,
IF(AND(M$97="",M$95="",M$92=""),IFERROR(IF(INDIRECT("'"&amp;M$86&amp;"'!"&amp;VLOOKUP(M$87,'List Values'!$C$3:$D$6,2,FALSE)&amp;ROW(M99))="",IF(N$95=1,0,0.5*N$97*(SQRT(N$92/N$95)+SQRT(2*N$92/N$95))),INDIRECT("'"&amp;M$86&amp;"'!"&amp;VLOOKUP(M$87,'List Values'!$C$3:$D$6,2,FALSE)&amp;ROW(M99))),IF($M$86&lt;&gt;"","Data Source Error","")),
IF(N$95=1,0,0.5*N$97*(SQRT(N$92/N$95)+SQRT(2*N$92/N$95))))))</f>
        <v>21.09538422148453</v>
      </c>
      <c r="O99" s="196"/>
      <c r="P99" s="530"/>
      <c r="Q99" s="906" t="str">
        <f ca="1">IF($H$7&lt;4,"",IF(P$99&lt;&gt;"",P$99,
IF(AND(P$97="",P$95="",P$92=""),IFERROR(IF(INDIRECT("'"&amp;P$86&amp;"'!"&amp;VLOOKUP(P$87,'List Values'!$C$3:$D$6,2,FALSE)&amp;ROW(P99))="",IF(Q$95=1,0,0.5*Q$97*(SQRT(Q$92/Q$95)+SQRT(2*Q$92/Q$95))),INDIRECT("'"&amp;P$86&amp;"'!"&amp;VLOOKUP(P$87,'List Values'!$C$3:$D$6,2,FALSE)&amp;ROW(P99))),IF($P$86&lt;&gt;"","Data Source Error","")),
IF(Q$95=1,0,0.5*Q$97*(SQRT(Q$92/Q$95)+SQRT(2*Q$92/Q$95))))))</f>
        <v/>
      </c>
      <c r="S99" s="530"/>
      <c r="T99" s="906" t="str">
        <f ca="1">IF($H$7&lt;5,"",IF(S$99&lt;&gt;"",S$99,
IF(AND(S$97="",S$95="",S$92=""),IFERROR(IF(INDIRECT("'"&amp;S$86&amp;"'!"&amp;VLOOKUP(S$87,'List Values'!$C$3:$D$6,2,FALSE)&amp;ROW(S99))="",IF(T$95=1,0,0.5*T$97*(SQRT(T$92/T$95)+SQRT(2*T$92/T$95))),INDIRECT("'"&amp;S$86&amp;"'!"&amp;VLOOKUP(S$87,'List Values'!$C$3:$D$6,2,FALSE)&amp;ROW(S99))),IF($S$86&lt;&gt;"","Data Source Error","")),
IF(T$95=1,0,0.5*T$97*(SQRT(T$92/T$95)+SQRT(2*T$92/T$95))))))</f>
        <v/>
      </c>
      <c r="V99" s="530"/>
      <c r="W99" s="913" t="str">
        <f ca="1">IF($H$7&lt;6,"",IF(V$99&lt;&gt;"",V$99,
IF(AND(V$97="",V$95="",V$92=""),IFERROR(IF(INDIRECT("'"&amp;V$86&amp;"'!"&amp;VLOOKUP(V$87,'List Values'!$C$3:$D$6,2,FALSE)&amp;ROW(V99))="",IF(W$95=1,0,0.5*W$97*(SQRT(W$92/W$95)+SQRT(2*W$92/W$95))),INDIRECT("'"&amp;V$86&amp;"'!"&amp;VLOOKUP(V$87,'List Values'!$C$3:$D$6,2,FALSE)&amp;ROW(V99))),IF($V$86&lt;&gt;"","Data Source Error","")),
IF(W$95=1,0,0.5*W$97*(SQRT(W$92/W$95)+SQRT(2*W$92/W$95))))))</f>
        <v/>
      </c>
      <c r="Y99" s="2657"/>
      <c r="Z99" s="2658"/>
      <c r="AA99" s="2658"/>
      <c r="AB99" s="2659"/>
      <c r="AD99" s="52"/>
    </row>
    <row r="100" spans="1:30" ht="30" customHeight="1">
      <c r="A100" s="630" t="s">
        <v>653</v>
      </c>
      <c r="C100" s="130"/>
      <c r="D100" s="130"/>
      <c r="E100" s="130"/>
      <c r="G100" s="121"/>
      <c r="H100" s="69"/>
      <c r="K100" s="69"/>
      <c r="N100" s="69"/>
      <c r="Q100" s="69"/>
      <c r="S100" s="6"/>
      <c r="T100" s="69"/>
      <c r="V100" s="6"/>
      <c r="W100" s="69"/>
    </row>
    <row r="101" spans="1:30" ht="30.75" customHeight="1">
      <c r="B101" s="591" t="s">
        <v>614</v>
      </c>
      <c r="C101" s="596"/>
      <c r="D101" s="596"/>
      <c r="E101" s="596"/>
      <c r="F101" s="596"/>
      <c r="G101" s="597"/>
      <c r="H101" s="594"/>
      <c r="I101" s="596"/>
      <c r="J101" s="597"/>
      <c r="K101" s="594"/>
      <c r="L101" s="596"/>
      <c r="M101" s="597"/>
      <c r="N101" s="594"/>
      <c r="O101" s="596"/>
      <c r="P101" s="2660"/>
      <c r="Q101" s="2660"/>
      <c r="R101" s="594"/>
      <c r="S101" s="2660"/>
      <c r="T101" s="2660"/>
      <c r="U101" s="594"/>
      <c r="V101" s="2660"/>
      <c r="W101" s="2660"/>
    </row>
    <row r="102" spans="1:30" ht="19.5" customHeight="1" outlineLevel="1">
      <c r="B102" s="505"/>
      <c r="C102" s="36"/>
      <c r="D102" s="36"/>
      <c r="E102" s="36"/>
      <c r="F102" s="36"/>
      <c r="G102" s="2665" t="str">
        <f ca="1">"Storage at "&amp;H88</f>
        <v>Storage at CMS</v>
      </c>
      <c r="H102" s="2666"/>
      <c r="I102" s="129"/>
      <c r="J102" s="2665" t="str">
        <f ca="1">"Storage at "&amp;K88</f>
        <v>Storage at Regional WH</v>
      </c>
      <c r="K102" s="2666"/>
      <c r="L102" s="506"/>
      <c r="M102" s="2665" t="str">
        <f ca="1">"Storage at "&amp;N88</f>
        <v>Storage at Health Facility</v>
      </c>
      <c r="N102" s="2666"/>
      <c r="O102" s="506"/>
      <c r="P102" s="2665" t="str">
        <f ca="1">"Storage at "&amp;Q88</f>
        <v xml:space="preserve">Storage at </v>
      </c>
      <c r="Q102" s="2666"/>
      <c r="R102" s="129"/>
      <c r="S102" s="2665" t="str">
        <f ca="1">"Storage at "&amp;T88</f>
        <v xml:space="preserve">Storage at </v>
      </c>
      <c r="T102" s="2666"/>
      <c r="U102" s="129"/>
      <c r="V102" s="2665" t="str">
        <f ca="1">"Storage at "&amp;W88</f>
        <v xml:space="preserve">Storage at </v>
      </c>
      <c r="W102" s="2669"/>
      <c r="Y102" s="2619" t="s">
        <v>673</v>
      </c>
      <c r="Z102" s="2620"/>
      <c r="AA102" s="2620"/>
      <c r="AB102" s="2621"/>
    </row>
    <row r="103" spans="1:30" ht="11.25" customHeight="1" outlineLevel="1">
      <c r="A103" s="75"/>
      <c r="B103" s="1347"/>
      <c r="C103" s="2512"/>
      <c r="D103" s="2512"/>
      <c r="E103" s="185"/>
      <c r="F103" s="183"/>
      <c r="G103" s="2667"/>
      <c r="H103" s="2668"/>
      <c r="I103" s="1395"/>
      <c r="J103" s="2667"/>
      <c r="K103" s="2668"/>
      <c r="L103" s="1395"/>
      <c r="M103" s="2667"/>
      <c r="N103" s="2668"/>
      <c r="O103" s="1396"/>
      <c r="P103" s="2667"/>
      <c r="Q103" s="2668"/>
      <c r="R103" s="1396"/>
      <c r="S103" s="2667"/>
      <c r="T103" s="2668"/>
      <c r="U103" s="1396"/>
      <c r="V103" s="2667"/>
      <c r="W103" s="2670"/>
      <c r="Y103" s="2643"/>
      <c r="Z103" s="2644"/>
      <c r="AA103" s="2644"/>
      <c r="AB103" s="2645"/>
      <c r="AD103" s="52"/>
    </row>
    <row r="104" spans="1:30" ht="46.5" customHeight="1" outlineLevel="1">
      <c r="A104" s="75"/>
      <c r="B104" s="1387" t="s">
        <v>341</v>
      </c>
      <c r="C104" s="2512" t="s">
        <v>2373</v>
      </c>
      <c r="D104" s="2512"/>
      <c r="E104" s="197"/>
      <c r="F104" s="184"/>
      <c r="G104" s="586"/>
      <c r="H104" s="1391">
        <f ca="1">IF(G104&lt;&gt;"",G104,IFERROR(IF(INDIRECT("'"&amp;G$86&amp;"'!"&amp;VLOOKUP(G$87,'List Values'!$C$3:$D$6,2,FALSE)&amp;ROW(G104))="","",INDIRECT("'"&amp;G$86&amp;"'!"&amp;VLOOKUP(G$87,'List Values'!$C$3:$D$6,2,FALSE)&amp;ROW(G104))),IF($G$86&lt;&gt;"","Data Source Error","")))</f>
        <v>3</v>
      </c>
      <c r="I104" s="1392"/>
      <c r="J104" s="586"/>
      <c r="K104" s="1391">
        <f ca="1">IF($H$7&lt;2,"",IF(J104&lt;&gt;"",J104,IFERROR(IF(INDIRECT("'"&amp;J$86&amp;"'!"&amp;VLOOKUP(J$87,'List Values'!$C$3:$D$6,2,FALSE)&amp;ROW(J104))="","",INDIRECT("'"&amp;J$86&amp;"'!"&amp;VLOOKUP(J$87,'List Values'!$C$3:$D$6,2,FALSE)&amp;ROW(J104))),IF($J$86&lt;&gt;"","Data Source Error",""))))</f>
        <v>3</v>
      </c>
      <c r="L104" s="1392"/>
      <c r="M104" s="586"/>
      <c r="N104" s="1391">
        <f ca="1">IF($H$7&lt;3,"",IF(M104&lt;&gt;"",M104,IFERROR(IF(INDIRECT("'"&amp;M$86&amp;"'!"&amp;VLOOKUP(M$87,'List Values'!$C$3:$D$6,2,FALSE)&amp;ROW(M104))="","",INDIRECT("'"&amp;M$86&amp;"'!"&amp;VLOOKUP(M$87,'List Values'!$C$3:$D$6,2,FALSE)&amp;ROW(M104))),IF($M$86&lt;&gt;"","Data Source Error",""))))</f>
        <v>3</v>
      </c>
      <c r="O104" s="1393"/>
      <c r="P104" s="712"/>
      <c r="Q104" s="1394" t="str">
        <f ca="1">IF($H$7&lt;4,"",IF(P104&lt;&gt;"",P104,IFERROR(IF(INDIRECT("'"&amp;P$86&amp;"'!"&amp;VLOOKUP(P$87,'List Values'!$C$3:$D$6,2,FALSE)&amp;ROW(P104))="","",INDIRECT("'"&amp;P$86&amp;"'!"&amp;VLOOKUP(P$87,'List Values'!$C$3:$D$6,2,FALSE)&amp;ROW(P104))),IF($P$86&lt;&gt;"","Data Source Error",""))))</f>
        <v/>
      </c>
      <c r="S104" s="712"/>
      <c r="T104" s="1394" t="str">
        <f ca="1">IF($H$7&lt;5,"",IF(S104&lt;&gt;"",S104,IFERROR(IF(INDIRECT("'"&amp;S$86&amp;"'!"&amp;VLOOKUP(S$87,'List Values'!$C$3:$D$6,2,FALSE)&amp;ROW(S104))="","",INDIRECT("'"&amp;S$86&amp;"'!"&amp;VLOOKUP(S$87,'List Values'!$C$3:$D$6,2,FALSE)&amp;ROW(S104))),IF($S$86&lt;&gt;"","Data Source Error",""))))</f>
        <v/>
      </c>
      <c r="V104" s="712"/>
      <c r="W104" s="976" t="str">
        <f ca="1">IF($H$7&lt;6,"",IF(V104&lt;&gt;"",V104,IFERROR(IF(INDIRECT("'"&amp;V$86&amp;"'!"&amp;VLOOKUP(V$87,'List Values'!$C$3:$D$6,2,FALSE)&amp;ROW(V104))="","",INDIRECT("'"&amp;V$86&amp;"'!"&amp;VLOOKUP(V$87,'List Values'!$C$3:$D$6,2,FALSE)&amp;ROW(V104))),IF($V$86&lt;&gt;"","Data Source Error",""))))</f>
        <v/>
      </c>
      <c r="Y104" s="2643"/>
      <c r="Z104" s="2644"/>
      <c r="AA104" s="2644"/>
      <c r="AB104" s="2645"/>
      <c r="AD104" s="52"/>
    </row>
    <row r="105" spans="1:30" ht="29.25" customHeight="1" outlineLevel="1">
      <c r="A105" s="86"/>
      <c r="B105" s="2661" t="s">
        <v>185</v>
      </c>
      <c r="C105" s="2663" t="s">
        <v>231</v>
      </c>
      <c r="D105" s="2663"/>
      <c r="E105" s="198"/>
      <c r="F105" s="198"/>
      <c r="G105" s="563"/>
      <c r="H105" s="931" t="str">
        <f ca="1">IF(G105&lt;&gt;"",G105,IFERROR(IF(INDIRECT("'"&amp;G$86&amp;"'!"&amp;VLOOKUP(G$87,'List Values'!$C$3:$D$6,2,FALSE)&amp;ROW(G105))="","",INDIRECT("'"&amp;G$86&amp;"'!"&amp;VLOOKUP(G$87,'List Values'!$C$3:$D$6,2,FALSE)&amp;ROW(G105))),IF($G$86&lt;&gt;"","Data Source Error","")))</f>
        <v>Warehouse Staff - Floor worker</v>
      </c>
      <c r="I105" s="213"/>
      <c r="J105" s="563"/>
      <c r="K105" s="931" t="str">
        <f ca="1">IF($H$7&lt;2,"",IF(J105&lt;&gt;"",J105,IFERROR(IF(INDIRECT("'"&amp;J$86&amp;"'!"&amp;VLOOKUP(J$87,'List Values'!$C$3:$D$6,2,FALSE)&amp;ROW(J105))="","",INDIRECT("'"&amp;J$86&amp;"'!"&amp;VLOOKUP(J$87,'List Values'!$C$3:$D$6,2,FALSE)&amp;ROW(J105))),IF($J$86&lt;&gt;"","Data Source Error",""))))</f>
        <v>Warehouse Staff - Floor worker</v>
      </c>
      <c r="L105" s="213"/>
      <c r="M105" s="563"/>
      <c r="N105" s="931" t="str">
        <f ca="1">IF($H$7&lt;3,"",IF(M105&lt;&gt;"",M105,IFERROR(IF(INDIRECT("'"&amp;M$86&amp;"'!"&amp;VLOOKUP(M$87,'List Values'!$C$3:$D$6,2,FALSE)&amp;ROW(M105))="","",INDIRECT("'"&amp;M$86&amp;"'!"&amp;VLOOKUP(M$87,'List Values'!$C$3:$D$6,2,FALSE)&amp;ROW(M105))),IF($M$86&lt;&gt;"","Data Source Error",""))))</f>
        <v>Health Clinic - Nurse/Pharmacist in-charge</v>
      </c>
      <c r="O105" s="198"/>
      <c r="P105" s="531"/>
      <c r="Q105" s="942" t="str">
        <f ca="1">IF($H$7&lt;4,"",IF(P105&lt;&gt;"",P105,IFERROR(IF(INDIRECT("'"&amp;P$86&amp;"'!"&amp;VLOOKUP(P$87,'List Values'!$C$3:$D$6,2,FALSE)&amp;ROW(P105))="","",INDIRECT("'"&amp;P$86&amp;"'!"&amp;VLOOKUP(P$87,'List Values'!$C$3:$D$6,2,FALSE)&amp;ROW(P105))),IF($P$86&lt;&gt;"","Data Source Error",""))))</f>
        <v/>
      </c>
      <c r="S105" s="531"/>
      <c r="T105" s="942" t="str">
        <f ca="1">IF($H$7&lt;5,"",IF(S105&lt;&gt;"",S105,IFERROR(IF(INDIRECT("'"&amp;S$86&amp;"'!"&amp;VLOOKUP(S$87,'List Values'!$C$3:$D$6,2,FALSE)&amp;ROW(S105))="","",INDIRECT("'"&amp;S$86&amp;"'!"&amp;VLOOKUP(S$87,'List Values'!$C$3:$D$6,2,FALSE)&amp;ROW(S105))),IF($S$86&lt;&gt;"","Data Source Error",""))))</f>
        <v/>
      </c>
      <c r="V105" s="531"/>
      <c r="W105" s="948" t="str">
        <f ca="1">IF($H$7&lt;6,"",IF(V105&lt;&gt;"",V105,IFERROR(IF(INDIRECT("'"&amp;V$86&amp;"'!"&amp;VLOOKUP(V$87,'List Values'!$C$3:$D$6,2,FALSE)&amp;ROW(V105))="","",INDIRECT("'"&amp;V$86&amp;"'!"&amp;VLOOKUP(V$87,'List Values'!$C$3:$D$6,2,FALSE)&amp;ROW(V105))),IF($V$86&lt;&gt;"","Data Source Error",""))))</f>
        <v/>
      </c>
      <c r="Y105" s="2643"/>
      <c r="Z105" s="2644"/>
      <c r="AA105" s="2644"/>
      <c r="AB105" s="2645"/>
      <c r="AD105" s="52"/>
    </row>
    <row r="106" spans="1:30" ht="36" customHeight="1" outlineLevel="1">
      <c r="A106" s="86"/>
      <c r="B106" s="2662"/>
      <c r="C106" s="2583" t="s">
        <v>356</v>
      </c>
      <c r="D106" s="2583"/>
      <c r="E106" s="187"/>
      <c r="F106" s="187"/>
      <c r="G106" s="564"/>
      <c r="H106" s="932">
        <f ca="1">IF(G106&lt;&gt;"",G106,IFERROR(IF(INDIRECT("'"&amp;G$86&amp;"'!"&amp;VLOOKUP(G$87,'List Values'!$C$3:$D$6,2,FALSE)&amp;ROW(G106))="","",INDIRECT("'"&amp;G$86&amp;"'!"&amp;VLOOKUP(G$87,'List Values'!$C$3:$D$6,2,FALSE)&amp;ROW(G106))),IF($G$86&lt;&gt;"","Data Source Error","")))</f>
        <v>19.597765590762666</v>
      </c>
      <c r="I106" s="214"/>
      <c r="J106" s="564"/>
      <c r="K106" s="932">
        <f ca="1">IF($H$7&lt;2,"",IF(J106&lt;&gt;"",J106,IFERROR(IF(INDIRECT("'"&amp;J$86&amp;"'!"&amp;VLOOKUP(J$87,'List Values'!$C$3:$D$6,2,FALSE)&amp;ROW(J106))="","",INDIRECT("'"&amp;J$86&amp;"'!"&amp;VLOOKUP(J$87,'List Values'!$C$3:$D$6,2,FALSE)&amp;ROW(J106))),IF($J$86&lt;&gt;"","Data Source Error",""))))</f>
        <v>18.526926845386743</v>
      </c>
      <c r="L106" s="214"/>
      <c r="M106" s="573"/>
      <c r="N106" s="939">
        <f ca="1">IF($H$7&lt;3,"",IF(M106&lt;&gt;"",M106,IFERROR(IF(INDIRECT("'"&amp;M$86&amp;"'!"&amp;VLOOKUP(M$87,'List Values'!$C$3:$D$6,2,FALSE)&amp;ROW(M106))="","",INDIRECT("'"&amp;M$86&amp;"'!"&amp;VLOOKUP(M$87,'List Values'!$C$3:$D$6,2,FALSE)&amp;ROW(M106))),IF($M$86&lt;&gt;"","Data Source Error",""))))</f>
        <v>3.3288989356378036E-2</v>
      </c>
      <c r="O106" s="187"/>
      <c r="P106" s="528"/>
      <c r="Q106" s="904" t="str">
        <f ca="1">IF($H$7&lt;4,"",IF(P106&lt;&gt;"",P106,IFERROR(IF(INDIRECT("'"&amp;P$86&amp;"'!"&amp;VLOOKUP(P$87,'List Values'!$C$3:$D$6,2,FALSE)&amp;ROW(P106))="","",INDIRECT("'"&amp;P$86&amp;"'!"&amp;VLOOKUP(P$87,'List Values'!$C$3:$D$6,2,FALSE)&amp;ROW(P106))),IF($P$86&lt;&gt;"","Data Source Error",""))))</f>
        <v/>
      </c>
      <c r="S106" s="528"/>
      <c r="T106" s="904" t="str">
        <f ca="1">IF($H$7&lt;5,"",IF(S106&lt;&gt;"",S106,IFERROR(IF(INDIRECT("'"&amp;S$86&amp;"'!"&amp;VLOOKUP(S$87,'List Values'!$C$3:$D$6,2,FALSE)&amp;ROW(S106))="","",INDIRECT("'"&amp;S$86&amp;"'!"&amp;VLOOKUP(S$87,'List Values'!$C$3:$D$6,2,FALSE)&amp;ROW(S106))),IF($S$86&lt;&gt;"","Data Source Error",""))))</f>
        <v/>
      </c>
      <c r="V106" s="528"/>
      <c r="W106" s="912" t="str">
        <f ca="1">IF($H$7&lt;6,"",IF(V106&lt;&gt;"",V106,IFERROR(IF(INDIRECT("'"&amp;V$86&amp;"'!"&amp;VLOOKUP(V$87,'List Values'!$C$3:$D$6,2,FALSE)&amp;ROW(V106))="","",INDIRECT("'"&amp;V$86&amp;"'!"&amp;VLOOKUP(V$87,'List Values'!$C$3:$D$6,2,FALSE)&amp;ROW(V106))),IF($V$86&lt;&gt;"","Data Source Error",""))))</f>
        <v/>
      </c>
      <c r="Y106" s="2643"/>
      <c r="Z106" s="2644"/>
      <c r="AA106" s="2644"/>
      <c r="AB106" s="2645"/>
      <c r="AD106" s="52"/>
    </row>
    <row r="107" spans="1:30" ht="36.75" customHeight="1" outlineLevel="1">
      <c r="A107" s="86"/>
      <c r="B107" s="2612"/>
      <c r="C107" s="2664" t="s">
        <v>599</v>
      </c>
      <c r="D107" s="2664"/>
      <c r="E107" s="200"/>
      <c r="F107" s="200"/>
      <c r="G107" s="565"/>
      <c r="H107" s="933">
        <f ca="1">IF(G107&lt;&gt;"",G107,IFERROR(IF(INDIRECT("'"&amp;G$86&amp;"'!"&amp;VLOOKUP(G$87,'List Values'!$C$3:$D$6,2,FALSE)&amp;ROW(G107))="","",INDIRECT("'"&amp;G$86&amp;"'!"&amp;VLOOKUP(G$87,'List Values'!$C$3:$D$6,2,FALSE)&amp;ROW(G107))),IF($G$86&lt;&gt;"","Data Source Error","")))</f>
        <v>0.51956390740105851</v>
      </c>
      <c r="I107" s="492"/>
      <c r="J107" s="571"/>
      <c r="K107" s="933">
        <f ca="1">IF($H$7&lt;2,"",IF(J107&lt;&gt;"",J107,IFERROR(IF(INDIRECT("'"&amp;J$86&amp;"'!"&amp;VLOOKUP(J$87,'List Values'!$C$3:$D$6,2,FALSE)&amp;ROW(J107))="","",INDIRECT("'"&amp;J$86&amp;"'!"&amp;VLOOKUP(J$87,'List Values'!$C$3:$D$6,2,FALSE)&amp;ROW(J107))),IF($J$86&lt;&gt;"","Data Source Error",""))))</f>
        <v>0.54959420694220995</v>
      </c>
      <c r="L107" s="215"/>
      <c r="M107" s="565"/>
      <c r="N107" s="940">
        <f ca="1">IF($H$7&lt;3,"",IF(M107&lt;&gt;"",M107,IFERROR(IF(INDIRECT("'"&amp;M$86&amp;"'!"&amp;VLOOKUP(M$87,'List Values'!$C$3:$D$6,2,FALSE)&amp;ROW(M107))="","",INDIRECT("'"&amp;M$86&amp;"'!"&amp;VLOOKUP(M$87,'List Values'!$C$3:$D$6,2,FALSE)&amp;ROW(M107))),IF($M$86&lt;&gt;"","Data Source Error",""))))</f>
        <v>0.88659612260755372</v>
      </c>
      <c r="O107" s="187"/>
      <c r="P107" s="530"/>
      <c r="Q107" s="943" t="str">
        <f ca="1">IF($H$7&lt;4,"",IF(P107&lt;&gt;"",P107,IFERROR(IF(INDIRECT("'"&amp;P$86&amp;"'!"&amp;VLOOKUP(P$87,'List Values'!$C$3:$D$6,2,FALSE)&amp;ROW(P107))="","",INDIRECT("'"&amp;P$86&amp;"'!"&amp;VLOOKUP(P$87,'List Values'!$C$3:$D$6,2,FALSE)&amp;ROW(P107))),IF($P$86&lt;&gt;"","Data Source Error",""))))</f>
        <v/>
      </c>
      <c r="S107" s="530"/>
      <c r="T107" s="943" t="str">
        <f ca="1">IF($H$7&lt;5,"",IF(S107&lt;&gt;"",S107,IFERROR(IF(INDIRECT("'"&amp;S$86&amp;"'!"&amp;VLOOKUP(S$87,'List Values'!$C$3:$D$6,2,FALSE)&amp;ROW(S107))="","",INDIRECT("'"&amp;S$86&amp;"'!"&amp;VLOOKUP(S$87,'List Values'!$C$3:$D$6,2,FALSE)&amp;ROW(S107))),IF($S$86&lt;&gt;"","Data Source Error",""))))</f>
        <v/>
      </c>
      <c r="V107" s="530"/>
      <c r="W107" s="949" t="str">
        <f ca="1">IF($H$7&lt;6,"",IF(V107&lt;&gt;"",V107,IFERROR(IF(INDIRECT("'"&amp;V$86&amp;"'!"&amp;VLOOKUP(V$87,'List Values'!$C$3:$D$6,2,FALSE)&amp;ROW(V107))="","",INDIRECT("'"&amp;V$86&amp;"'!"&amp;VLOOKUP(V$87,'List Values'!$C$3:$D$6,2,FALSE)&amp;ROW(V107))),IF($V$86&lt;&gt;"","Data Source Error",""))))</f>
        <v/>
      </c>
      <c r="Y107" s="2643"/>
      <c r="Z107" s="2644"/>
      <c r="AA107" s="2644"/>
      <c r="AB107" s="2645"/>
      <c r="AD107" s="52"/>
    </row>
    <row r="108" spans="1:30" ht="19.5" customHeight="1" outlineLevel="1">
      <c r="A108" s="86"/>
      <c r="B108" s="2671" t="s">
        <v>394</v>
      </c>
      <c r="C108" s="2663" t="s">
        <v>375</v>
      </c>
      <c r="D108" s="2663"/>
      <c r="E108" s="199"/>
      <c r="F108" s="199"/>
      <c r="G108" s="1926"/>
      <c r="H108" s="934">
        <f ca="1">IF(G108&lt;&gt;"",G108,IFERROR(IF(INDIRECT("'"&amp;G$86&amp;"'!"&amp;VLOOKUP(G$87,'List Values'!$C$3:$D$6,2,FALSE)&amp;ROW(G108))="","",INDIRECT("'"&amp;G$86&amp;"'!"&amp;VLOOKUP(G$87,'List Values'!$C$3:$D$6,2,FALSE)&amp;ROW(G108))),IF($G$86&lt;&gt;"","Data Source Error","")))</f>
        <v>916.40625</v>
      </c>
      <c r="I108" s="216"/>
      <c r="J108" s="566"/>
      <c r="K108" s="934">
        <f ca="1">IF($H$7&lt;2,"",IF(J108&lt;&gt;"",J108,IFERROR(IF(INDIRECT("'"&amp;J$86&amp;"'!"&amp;VLOOKUP(J$87,'List Values'!$C$3:$D$6,2,FALSE)&amp;ROW(J108))="","",INDIRECT("'"&amp;J$86&amp;"'!"&amp;VLOOKUP(J$87,'List Values'!$C$3:$D$6,2,FALSE)&amp;ROW(J108))),IF($J$86&lt;&gt;"","Data Source Error",""))))</f>
        <v>916.40625</v>
      </c>
      <c r="L108" s="216"/>
      <c r="M108" s="566"/>
      <c r="N108" s="934">
        <f ca="1">IF($H$7&lt;3,"",IF(M108&lt;&gt;"",M108,IFERROR(IF(INDIRECT("'"&amp;M$86&amp;"'!"&amp;VLOOKUP(M$87,'List Values'!$C$3:$D$6,2,FALSE)&amp;ROW(M108))="","",INDIRECT("'"&amp;M$86&amp;"'!"&amp;VLOOKUP(M$87,'List Values'!$C$3:$D$6,2,FALSE)&amp;ROW(M108))),IF($M$86&lt;&gt;"","Data Source Error",""))))</f>
        <v>2.66</v>
      </c>
      <c r="O108" s="183"/>
      <c r="P108" s="574"/>
      <c r="Q108" s="944" t="str">
        <f ca="1">IF($H$7&lt;4,"",IF(P108&lt;&gt;"",P108,IFERROR(IF(INDIRECT("'"&amp;P$86&amp;"'!"&amp;VLOOKUP(P$87,'List Values'!$C$3:$D$6,2,FALSE)&amp;ROW(P108))="","",INDIRECT("'"&amp;P$86&amp;"'!"&amp;VLOOKUP(P$87,'List Values'!$C$3:$D$6,2,FALSE)&amp;ROW(P108))),IF($P$86&lt;&gt;"","Data Source Error",""))))</f>
        <v/>
      </c>
      <c r="S108" s="574"/>
      <c r="T108" s="944" t="str">
        <f ca="1">IF($H$7&lt;5,"",IF(S108&lt;&gt;"",S108,IFERROR(IF(INDIRECT("'"&amp;S$86&amp;"'!"&amp;VLOOKUP(S$87,'List Values'!$C$3:$D$6,2,FALSE)&amp;ROW(S108))="","",INDIRECT("'"&amp;S$86&amp;"'!"&amp;VLOOKUP(S$87,'List Values'!$C$3:$D$6,2,FALSE)&amp;ROW(S108))),IF($S$86&lt;&gt;"","Data Source Error",""))))</f>
        <v/>
      </c>
      <c r="V108" s="574"/>
      <c r="W108" s="950" t="str">
        <f ca="1">IF($H$7&lt;6,"",IF(V108&lt;&gt;"",V108,IFERROR(IF(INDIRECT("'"&amp;V$86&amp;"'!"&amp;VLOOKUP(V$87,'List Values'!$C$3:$D$6,2,FALSE)&amp;ROW(V108))="","",INDIRECT("'"&amp;V$86&amp;"'!"&amp;VLOOKUP(V$87,'List Values'!$C$3:$D$6,2,FALSE)&amp;ROW(V108))),IF($V$86&lt;&gt;"","Data Source Error",""))))</f>
        <v/>
      </c>
      <c r="Y108" s="2643"/>
      <c r="Z108" s="2644"/>
      <c r="AA108" s="2644"/>
      <c r="AB108" s="2645"/>
      <c r="AD108" s="52"/>
    </row>
    <row r="109" spans="1:30" ht="34.5" customHeight="1" outlineLevel="1">
      <c r="A109" s="86"/>
      <c r="B109" s="2672"/>
      <c r="C109" s="2583" t="s">
        <v>395</v>
      </c>
      <c r="D109" s="2583"/>
      <c r="E109" s="199"/>
      <c r="F109" s="199"/>
      <c r="G109" s="567"/>
      <c r="H109" s="935" t="str">
        <f ca="1">IF(G109&lt;&gt;"",G109,IFERROR(IF(INDIRECT("'"&amp;G$86&amp;"'!"&amp;VLOOKUP(G$87,'List Values'!$C$3:$D$6,2,FALSE)&amp;ROW(G109))="","",INDIRECT("'"&amp;G$86&amp;"'!"&amp;VLOOKUP(G$87,'List Values'!$C$3:$D$6,2,FALSE)&amp;ROW(G109))),IF($G$86&lt;&gt;"","Data Source Error","")))</f>
        <v/>
      </c>
      <c r="I109" s="248"/>
      <c r="J109" s="567"/>
      <c r="K109" s="935" t="str">
        <f ca="1">IF($H$7&lt;2,"",IF(J109&lt;&gt;"",J109,IFERROR(IF(INDIRECT("'"&amp;J$86&amp;"'!"&amp;VLOOKUP(J$87,'List Values'!$C$3:$D$6,2,FALSE)&amp;ROW(J109))="","",INDIRECT("'"&amp;J$86&amp;"'!"&amp;VLOOKUP(J$87,'List Values'!$C$3:$D$6,2,FALSE)&amp;ROW(J109))),IF($J$86&lt;&gt;"","Data Source Error",""))))</f>
        <v/>
      </c>
      <c r="L109" s="248"/>
      <c r="M109" s="567"/>
      <c r="N109" s="929" t="str">
        <f ca="1">IF($H$7&lt;3,"",IF(M109&lt;&gt;"",M109,IFERROR(IF(INDIRECT("'"&amp;M$86&amp;"'!"&amp;VLOOKUP(M$87,'List Values'!$C$3:$D$6,2,FALSE)&amp;ROW(M109))="","",INDIRECT("'"&amp;M$86&amp;"'!"&amp;VLOOKUP(M$87,'List Values'!$C$3:$D$6,2,FALSE)&amp;ROW(M109))),IF($M$86&lt;&gt;"","Data Source Error",""))))</f>
        <v/>
      </c>
      <c r="O109" s="183"/>
      <c r="P109" s="574"/>
      <c r="Q109" s="934" t="str">
        <f ca="1">IF($H$7&lt;4,"",IF(P109&lt;&gt;"",P109,IFERROR(IF(INDIRECT("'"&amp;P$86&amp;"'!"&amp;VLOOKUP(P$87,'List Values'!$C$3:$D$6,2,FALSE)&amp;ROW(P109))="","",INDIRECT("'"&amp;P$86&amp;"'!"&amp;VLOOKUP(P$87,'List Values'!$C$3:$D$6,2,FALSE)&amp;ROW(P109))),IF($P$86&lt;&gt;"","Data Source Error",""))))</f>
        <v/>
      </c>
      <c r="S109" s="574"/>
      <c r="T109" s="934" t="str">
        <f ca="1">IF($H$7&lt;5,"",IF(S109&lt;&gt;"",S109,IFERROR(IF(INDIRECT("'"&amp;S$86&amp;"'!"&amp;VLOOKUP(S$87,'List Values'!$C$3:$D$6,2,FALSE)&amp;ROW(S109))="","",INDIRECT("'"&amp;S$86&amp;"'!"&amp;VLOOKUP(S$87,'List Values'!$C$3:$D$6,2,FALSE)&amp;ROW(S109))),IF($S$86&lt;&gt;"","Data Source Error",""))))</f>
        <v/>
      </c>
      <c r="V109" s="574"/>
      <c r="W109" s="951" t="str">
        <f ca="1">IF($H$7&lt;6,"",IF(V109&lt;&gt;"",V109,IFERROR(IF(INDIRECT("'"&amp;V$86&amp;"'!"&amp;VLOOKUP(V$87,'List Values'!$C$3:$D$6,2,FALSE)&amp;ROW(V109))="","",INDIRECT("'"&amp;V$86&amp;"'!"&amp;VLOOKUP(V$87,'List Values'!$C$3:$D$6,2,FALSE)&amp;ROW(V109))),IF($V$86&lt;&gt;"","Data Source Error",""))))</f>
        <v/>
      </c>
      <c r="Y109" s="2643"/>
      <c r="Z109" s="2644"/>
      <c r="AA109" s="2644"/>
      <c r="AB109" s="2645"/>
      <c r="AD109" s="52"/>
    </row>
    <row r="110" spans="1:30" ht="34.5" customHeight="1" outlineLevel="1">
      <c r="A110" s="86"/>
      <c r="B110" s="2672"/>
      <c r="C110" s="2583" t="s">
        <v>5443</v>
      </c>
      <c r="D110" s="2583"/>
      <c r="E110" s="187"/>
      <c r="F110" s="187"/>
      <c r="G110" s="568"/>
      <c r="H110" s="1070">
        <f ca="1">IF(G110&lt;&gt;"",G110,IFERROR(IF(INDIRECT("'"&amp;G$86&amp;"'!"&amp;VLOOKUP(G$87,'List Values'!$C$3:$D$6,2,FALSE)&amp;ROW(G110))="","",INDIRECT("'"&amp;G$86&amp;"'!"&amp;VLOOKUP(G$87,'List Values'!$C$3:$D$6,2,FALSE)&amp;ROW(G110))*$H$6),IF($G$86&lt;&gt;"","Data Source Error","")))</f>
        <v>169.65084425619176</v>
      </c>
      <c r="I110" s="195"/>
      <c r="J110" s="568"/>
      <c r="K110" s="1070">
        <f ca="1">IF($H$7&lt;2,"",IF(J110&lt;&gt;"",J110,IFERROR(IF(INDIRECT("'"&amp;J$86&amp;"'!"&amp;VLOOKUP(J$87,'List Values'!$C$3:$D$6,2,FALSE)&amp;ROW(J110))="","",INDIRECT("'"&amp;J$86&amp;"'!"&amp;VLOOKUP(J$87,'List Values'!$C$3:$D$6,2,FALSE)&amp;ROW(J110))*$H$6),IF($J$86&lt;&gt;"","Data Source Error",""))))</f>
        <v>84.709602195082624</v>
      </c>
      <c r="L110" s="195"/>
      <c r="M110" s="568"/>
      <c r="N110" s="936">
        <f ca="1">IF($H$7&lt;3,"",IF(M110&lt;&gt;"",M110,IFERROR(IF(INDIRECT("'"&amp;M$86&amp;"'!"&amp;VLOOKUP(M$87,'List Values'!$C$3:$D$6,2,FALSE)&amp;ROW(M110))="","",INDIRECT("'"&amp;M$86&amp;"'!"&amp;VLOOKUP(M$87,'List Values'!$C$3:$D$6,2,FALSE)&amp;ROW(M110))*$H$6),IF($M$86&lt;&gt;"","Data Source Error",""))))</f>
        <v>187.45983087332772</v>
      </c>
      <c r="O110" s="187"/>
      <c r="P110" s="528"/>
      <c r="Q110" s="945" t="str">
        <f ca="1">IF($H$7&lt;4,"",IF(P110&lt;&gt;"",P110,IFERROR(IF(INDIRECT("'"&amp;P$86&amp;"'!"&amp;VLOOKUP(P$87,'List Values'!$C$3:$D$6,2,FALSE)&amp;ROW(P110))="","",INDIRECT("'"&amp;P$86&amp;"'!"&amp;VLOOKUP(P$87,'List Values'!$C$3:$D$6,2,FALSE)&amp;ROW(P110))*$H$6),IF($P$86&lt;&gt;"","Data Source Error",""))))</f>
        <v/>
      </c>
      <c r="S110" s="528"/>
      <c r="T110" s="945" t="str">
        <f ca="1">IF($H$7&lt;5,"",IF(S110&lt;&gt;"",S110,IFERROR(IF(INDIRECT("'"&amp;S$86&amp;"'!"&amp;VLOOKUP(S$87,'List Values'!$C$3:$D$6,2,FALSE)&amp;ROW(S110))="","",INDIRECT("'"&amp;S$86&amp;"'!"&amp;VLOOKUP(S$87,'List Values'!$C$3:$D$6,2,FALSE)&amp;ROW(S110))*$H$6),IF($S$86&lt;&gt;"","Data Source Error",""))))</f>
        <v/>
      </c>
      <c r="V110" s="528"/>
      <c r="W110" s="952" t="str">
        <f ca="1">IF($H$7&lt;6,"",IF(V110&lt;&gt;"",V110,IFERROR(IF(INDIRECT("'"&amp;V$86&amp;"'!"&amp;VLOOKUP(V$87,'List Values'!$C$3:$D$6,2,FALSE)&amp;ROW(V110))="","",INDIRECT("'"&amp;V$86&amp;"'!"&amp;VLOOKUP(V$87,'List Values'!$C$3:$D$6,2,FALSE)&amp;ROW(V110))*$H$6),IF($V$86&lt;&gt;"","Data Source Error",""))))</f>
        <v/>
      </c>
      <c r="Y110" s="2643"/>
      <c r="Z110" s="2644"/>
      <c r="AA110" s="2644"/>
      <c r="AB110" s="2645"/>
      <c r="AD110" s="52"/>
    </row>
    <row r="111" spans="1:30" ht="36" customHeight="1" outlineLevel="1">
      <c r="A111" s="86"/>
      <c r="B111" s="2672"/>
      <c r="C111" s="2583" t="s">
        <v>5444</v>
      </c>
      <c r="D111" s="2583"/>
      <c r="E111" s="187"/>
      <c r="F111" s="187"/>
      <c r="G111" s="568"/>
      <c r="H111" s="936">
        <f ca="1">IF(G111&lt;&gt;"",G111,IFERROR(IF(INDIRECT("'"&amp;G$86&amp;"'!"&amp;VLOOKUP(G$87,'List Values'!$C$3:$D$6,2,FALSE)&amp;ROW(G111))="","",INDIRECT("'"&amp;G$86&amp;"'!"&amp;VLOOKUP(G$87,'List Values'!$C$3:$D$6,2,FALSE)&amp;ROW(G111))*$H$6),IF($G$86&lt;&gt;"","Data Source Error","")))</f>
        <v>13.891187860080294</v>
      </c>
      <c r="I111" s="195"/>
      <c r="J111" s="568"/>
      <c r="K111" s="936">
        <f ca="1">IF($H$7&lt;2,"",IF(J111&lt;&gt;"",J111,IFERROR(IF(INDIRECT("'"&amp;J$86&amp;"'!"&amp;VLOOKUP(J$87,'List Values'!$C$3:$D$6,2,FALSE)&amp;ROW(J111))="","",INDIRECT("'"&amp;J$86&amp;"'!"&amp;VLOOKUP(J$87,'List Values'!$C$3:$D$6,2,FALSE)&amp;ROW(J111))*$H$6),IF($J$86&lt;&gt;"","Data Source Error",""))))</f>
        <v>28.152463822514672</v>
      </c>
      <c r="L111" s="195"/>
      <c r="M111" s="568"/>
      <c r="N111" s="936">
        <f ca="1">IF($H$7&lt;3,"",IF(M111&lt;&gt;"",M111,IFERROR(IF(INDIRECT("'"&amp;M$86&amp;"'!"&amp;VLOOKUP(M$87,'List Values'!$C$3:$D$6,2,FALSE)&amp;ROW(M111))="","",INDIRECT("'"&amp;M$86&amp;"'!"&amp;VLOOKUP(M$87,'List Values'!$C$3:$D$6,2,FALSE)&amp;ROW(M111))*$H$6),IF($M$86&lt;&gt;"","Data Source Error",""))))</f>
        <v>0</v>
      </c>
      <c r="O111" s="184"/>
      <c r="P111" s="529"/>
      <c r="Q111" s="945" t="str">
        <f ca="1">IF($H$7&lt;4,"",IF(P111&lt;&gt;"",P111,IFERROR(IF(INDIRECT("'"&amp;P$86&amp;"'!"&amp;VLOOKUP(P$87,'List Values'!$C$3:$D$6,2,FALSE)&amp;ROW(P111))="","",INDIRECT("'"&amp;P$86&amp;"'!"&amp;VLOOKUP(P$87,'List Values'!$C$3:$D$6,2,FALSE)&amp;ROW(P111))*$H$6),IF($P$86&lt;&gt;"","Data Source Error",""))))</f>
        <v/>
      </c>
      <c r="S111" s="529"/>
      <c r="T111" s="945" t="str">
        <f ca="1">IF($H$7&lt;5,"",IF(S111&lt;&gt;"",S111,IFERROR(IF(INDIRECT("'"&amp;S$86&amp;"'!"&amp;VLOOKUP(S$87,'List Values'!$C$3:$D$6,2,FALSE)&amp;ROW(S111))="","",INDIRECT("'"&amp;S$86&amp;"'!"&amp;VLOOKUP(S$87,'List Values'!$C$3:$D$6,2,FALSE)&amp;ROW(S111))*$H$6),IF($S$86&lt;&gt;"","Data Source Error",""))))</f>
        <v/>
      </c>
      <c r="U111" s="258"/>
      <c r="V111" s="529"/>
      <c r="W111" s="952" t="str">
        <f ca="1">IF($H$7&lt;6,"",IF(V111&lt;&gt;"",V111,IFERROR(IF(INDIRECT("'"&amp;V$86&amp;"'!"&amp;VLOOKUP(V$87,'List Values'!$C$3:$D$6,2,FALSE)&amp;ROW(V111))="","",INDIRECT("'"&amp;V$86&amp;"'!"&amp;VLOOKUP(V$87,'List Values'!$C$3:$D$6,2,FALSE)&amp;ROW(V111))*$H$6),IF($V$86&lt;&gt;"","Data Source Error",""))))</f>
        <v/>
      </c>
      <c r="X111" s="86"/>
      <c r="Y111" s="2643"/>
      <c r="Z111" s="2644"/>
      <c r="AA111" s="2644"/>
      <c r="AB111" s="2645"/>
      <c r="AD111" s="52"/>
    </row>
    <row r="112" spans="1:30" ht="33.75" customHeight="1" outlineLevel="1">
      <c r="B112" s="2673"/>
      <c r="C112" s="2664" t="s">
        <v>5445</v>
      </c>
      <c r="D112" s="2664"/>
      <c r="E112" s="196"/>
      <c r="F112" s="196"/>
      <c r="G112" s="569"/>
      <c r="H112" s="937">
        <f ca="1">IF(G112&lt;&gt;"",G112,IFERROR(IF(INDIRECT("'"&amp;G$86&amp;"'!"&amp;VLOOKUP(G$87,'List Values'!$C$3:$D$6,2,FALSE)&amp;ROW(G112))="","",INDIRECT("'"&amp;G$86&amp;"'!"&amp;VLOOKUP(G$87,'List Values'!$C$3:$D$6,2,FALSE)&amp;ROW(G112))*$H$6),IF($G$86&lt;&gt;"","Data Source Error","")))</f>
        <v>15</v>
      </c>
      <c r="I112" s="247"/>
      <c r="J112" s="569"/>
      <c r="K112" s="937">
        <f ca="1">IF($H$7&lt;2,"",IF(J112&lt;&gt;"",J112,IFERROR(IF(INDIRECT("'"&amp;J$86&amp;"'!"&amp;VLOOKUP(J$87,'List Values'!$C$3:$D$6,2,FALSE)&amp;ROW(J112))="","",INDIRECT("'"&amp;J$86&amp;"'!"&amp;VLOOKUP(J$87,'List Values'!$C$3:$D$6,2,FALSE)&amp;ROW(J112))*$H$6),IF($J$86&lt;&gt;"","Data Source Error",""))))</f>
        <v>15</v>
      </c>
      <c r="L112" s="247"/>
      <c r="M112" s="569"/>
      <c r="N112" s="937">
        <f ca="1">IF($H$7&lt;3,"",IF(M112&lt;&gt;"",M112,IFERROR(IF(INDIRECT("'"&amp;M$86&amp;"'!"&amp;VLOOKUP(M$87,'List Values'!$C$3:$D$6,2,FALSE)&amp;ROW(M112))="","",INDIRECT("'"&amp;M$86&amp;"'!"&amp;VLOOKUP(M$87,'List Values'!$C$3:$D$6,2,FALSE)&amp;ROW(M112))*$H$6),IF($M$86&lt;&gt;"","Data Source Error",""))))</f>
        <v>15</v>
      </c>
      <c r="O112" s="196"/>
      <c r="P112" s="530"/>
      <c r="Q112" s="946" t="str">
        <f ca="1">IF($H$7&lt;4,"",IF(P112&lt;&gt;"",P112,IFERROR(IF(INDIRECT("'"&amp;P$86&amp;"'!"&amp;VLOOKUP(P$87,'List Values'!$C$3:$D$6,2,FALSE)&amp;ROW(P112))="","",INDIRECT("'"&amp;P$86&amp;"'!"&amp;VLOOKUP(P$87,'List Values'!$C$3:$D$6,2,FALSE)&amp;ROW(P112))*$H$6),IF($P$86&lt;&gt;"","Data Source Error",""))))</f>
        <v/>
      </c>
      <c r="S112" s="530"/>
      <c r="T112" s="946" t="str">
        <f ca="1">IF($H$7&lt;5,"",IF(S112&lt;&gt;"",S112,IFERROR(IF(INDIRECT("'"&amp;S$86&amp;"'!"&amp;VLOOKUP(S$87,'List Values'!$C$3:$D$6,2,FALSE)&amp;ROW(S112))="","",INDIRECT("'"&amp;S$86&amp;"'!"&amp;VLOOKUP(S$87,'List Values'!$C$3:$D$6,2,FALSE)&amp;ROW(S112))*$H$6),IF($S$86&lt;&gt;"","Data Source Error",""))))</f>
        <v/>
      </c>
      <c r="V112" s="530"/>
      <c r="W112" s="953" t="str">
        <f ca="1">IF($H$7&lt;6,"",IF(V112&lt;&gt;"",V112,IFERROR(IF(INDIRECT("'"&amp;V$86&amp;"'!"&amp;VLOOKUP(V$87,'List Values'!$C$3:$D$6,2,FALSE)&amp;ROW(V112))="","",INDIRECT("'"&amp;V$86&amp;"'!"&amp;VLOOKUP(V$87,'List Values'!$C$3:$D$6,2,FALSE)&amp;ROW(V112))*$H$6),IF($V$86&lt;&gt;"","Data Source Error",""))))</f>
        <v/>
      </c>
      <c r="Y112" s="2643"/>
      <c r="Z112" s="2644"/>
      <c r="AA112" s="2644"/>
      <c r="AB112" s="2645"/>
      <c r="AD112" s="52"/>
    </row>
    <row r="113" spans="1:30" ht="33.75" customHeight="1" outlineLevel="1">
      <c r="B113" s="2671" t="s">
        <v>824</v>
      </c>
      <c r="C113" s="2663" t="s">
        <v>825</v>
      </c>
      <c r="D113" s="2663"/>
      <c r="E113" s="61"/>
      <c r="F113" s="61"/>
      <c r="G113" s="563"/>
      <c r="H113" s="938">
        <f ca="1">IF(G113&lt;&gt;"",G113,IFERROR(IF(INDIRECT("'"&amp;G$86&amp;"'!"&amp;VLOOKUP(G$87,'List Values'!$C$3:$D$6,2,FALSE)&amp;ROW(G113))="","",INDIRECT("'"&amp;G$86&amp;"'!"&amp;VLOOKUP(G$87,'List Values'!$C$3:$D$6,2,FALSE)&amp;ROW(G113))),IF($G$86&lt;&gt;"","Data Source Error","")))</f>
        <v>20</v>
      </c>
      <c r="I113" s="249"/>
      <c r="J113" s="572"/>
      <c r="K113" s="938">
        <f ca="1">IF($H$7&lt;2,"",IF(J113&lt;&gt;"",J113,IFERROR(IF(INDIRECT("'"&amp;J$86&amp;"'!"&amp;VLOOKUP(J$87,'List Values'!$C$3:$D$6,2,FALSE)&amp;ROW(J113))="","",INDIRECT("'"&amp;J$86&amp;"'!"&amp;VLOOKUP(J$87,'List Values'!$C$3:$D$6,2,FALSE)&amp;ROW(J113))),IF($J$86&lt;&gt;"","Data Source Error",""))))</f>
        <v>10</v>
      </c>
      <c r="L113" s="249"/>
      <c r="M113" s="572"/>
      <c r="N113" s="938">
        <f ca="1">IF($H$7&lt;3,"",IF(M113&lt;&gt;"",M113,IFERROR(IF(INDIRECT("'"&amp;M$86&amp;"'!"&amp;VLOOKUP(M$87,'List Values'!$C$3:$D$6,2,FALSE)&amp;ROW(M113))="","",INDIRECT("'"&amp;M$86&amp;"'!"&amp;VLOOKUP(M$87,'List Values'!$C$3:$D$6,2,FALSE)&amp;ROW(M113))),IF($M$86&lt;&gt;"","Data Source Error",""))))</f>
        <v>1</v>
      </c>
      <c r="O113" s="198"/>
      <c r="P113" s="531"/>
      <c r="Q113" s="942" t="str">
        <f ca="1">IF($H$7&lt;4,"",IF(P113&lt;&gt;"",P113,IFERROR(IF(INDIRECT("'"&amp;P$86&amp;"'!"&amp;VLOOKUP(P$87,'List Values'!$C$3:$D$6,2,FALSE)&amp;ROW(P113))="","",INDIRECT("'"&amp;P$86&amp;"'!"&amp;VLOOKUP(P$87,'List Values'!$C$3:$D$6,2,FALSE)&amp;ROW(P113))),IF($P$86&lt;&gt;"","Data Source Error",""))))</f>
        <v/>
      </c>
      <c r="S113" s="531"/>
      <c r="T113" s="942" t="str">
        <f ca="1">IF($H$7&lt;5,"",IF(S113&lt;&gt;"",S113,IFERROR(IF(INDIRECT("'"&amp;S$86&amp;"'!"&amp;VLOOKUP(S$87,'List Values'!$C$3:$D$6,2,FALSE)&amp;ROW(S113))="","",INDIRECT("'"&amp;S$86&amp;"'!"&amp;VLOOKUP(S$87,'List Values'!$C$3:$D$6,2,FALSE)&amp;ROW(S113))),IF($S$86&lt;&gt;"","Data Source Error",""))))</f>
        <v/>
      </c>
      <c r="V113" s="531"/>
      <c r="W113" s="948" t="str">
        <f ca="1">IF($H$7&lt;6,"",IF(V113&lt;&gt;"",V113,IFERROR(IF(INDIRECT("'"&amp;V$86&amp;"'!"&amp;VLOOKUP(V$87,'List Values'!$C$3:$D$6,2,FALSE)&amp;ROW(V113))="","",INDIRECT("'"&amp;V$86&amp;"'!"&amp;VLOOKUP(V$87,'List Values'!$C$3:$D$6,2,FALSE)&amp;ROW(V113))),IF($V$86&lt;&gt;"","Data Source Error",""))))</f>
        <v/>
      </c>
      <c r="Y113" s="2643"/>
      <c r="Z113" s="2644"/>
      <c r="AA113" s="2644"/>
      <c r="AB113" s="2645"/>
      <c r="AD113" s="52"/>
    </row>
    <row r="114" spans="1:30" ht="20.25" customHeight="1" outlineLevel="1">
      <c r="B114" s="2672"/>
      <c r="C114" s="2583" t="s">
        <v>826</v>
      </c>
      <c r="D114" s="2583"/>
      <c r="G114" s="564"/>
      <c r="H114" s="939">
        <f ca="1">IF(G114&lt;&gt;"",G114,IFERROR(IF(INDIRECT("'"&amp;G$86&amp;"'!"&amp;VLOOKUP(G$87,'List Values'!$C$3:$D$6,2,FALSE)&amp;ROW(G114))="","",INDIRECT("'"&amp;G$86&amp;"'!"&amp;VLOOKUP(G$87,'List Values'!$C$3:$D$6,2,FALSE)&amp;ROW(G114))),IF($G$86&lt;&gt;"","Data Source Error","")))</f>
        <v>0.01</v>
      </c>
      <c r="I114" s="214"/>
      <c r="J114" s="573"/>
      <c r="K114" s="939">
        <f ca="1">IF($H$7&lt;2,"",IF(J114&lt;&gt;"",J114,IFERROR(IF(INDIRECT("'"&amp;J$86&amp;"'!"&amp;VLOOKUP(J$87,'List Values'!$C$3:$D$6,2,FALSE)&amp;ROW(J114))="","",INDIRECT("'"&amp;J$86&amp;"'!"&amp;VLOOKUP(J$87,'List Values'!$C$3:$D$6,2,FALSE)&amp;ROW(J114))),IF($J$86&lt;&gt;"","Data Source Error",""))))</f>
        <v>0.01</v>
      </c>
      <c r="L114" s="214"/>
      <c r="M114" s="573"/>
      <c r="N114" s="939">
        <f ca="1">IF($H$7&lt;3,"",IF(M114&lt;&gt;"",M114,IFERROR(IF(INDIRECT("'"&amp;M$86&amp;"'!"&amp;VLOOKUP(M$87,'List Values'!$C$3:$D$6,2,FALSE)&amp;ROW(M114))="","",INDIRECT("'"&amp;M$86&amp;"'!"&amp;VLOOKUP(M$87,'List Values'!$C$3:$D$6,2,FALSE)&amp;ROW(M114))),IF($M$86&lt;&gt;"","Data Source Error",""))))</f>
        <v>0.01</v>
      </c>
      <c r="O114" s="187"/>
      <c r="P114" s="528"/>
      <c r="Q114" s="904" t="str">
        <f ca="1">IF($H$7&lt;4,"",IF(P114&lt;&gt;"",P114,IFERROR(IF(INDIRECT("'"&amp;P$86&amp;"'!"&amp;VLOOKUP(P$87,'List Values'!$C$3:$D$6,2,FALSE)&amp;ROW(P114))="","",INDIRECT("'"&amp;P$86&amp;"'!"&amp;VLOOKUP(P$87,'List Values'!$C$3:$D$6,2,FALSE)&amp;ROW(P114))),IF($P$86&lt;&gt;"","Data Source Error",""))))</f>
        <v/>
      </c>
      <c r="S114" s="528"/>
      <c r="T114" s="904" t="str">
        <f ca="1">IF($H$7&lt;5,"",IF(S114&lt;&gt;"",S114,IFERROR(IF(INDIRECT("'"&amp;S$86&amp;"'!"&amp;VLOOKUP(S$87,'List Values'!$C$3:$D$6,2,FALSE)&amp;ROW(S114))="","",INDIRECT("'"&amp;S$86&amp;"'!"&amp;VLOOKUP(S$87,'List Values'!$C$3:$D$6,2,FALSE)&amp;ROW(S114))),IF($S$86&lt;&gt;"","Data Source Error",""))))</f>
        <v/>
      </c>
      <c r="V114" s="528"/>
      <c r="W114" s="912" t="str">
        <f ca="1">IF($H$7&lt;6,"",IF(V114&lt;&gt;"",V114,IFERROR(IF(INDIRECT("'"&amp;V$86&amp;"'!"&amp;VLOOKUP(V$87,'List Values'!$C$3:$D$6,2,FALSE)&amp;ROW(V114))="","",INDIRECT("'"&amp;V$86&amp;"'!"&amp;VLOOKUP(V$87,'List Values'!$C$3:$D$6,2,FALSE)&amp;ROW(V114))),IF($V$86&lt;&gt;"","Data Source Error",""))))</f>
        <v/>
      </c>
      <c r="Y114" s="2643"/>
      <c r="Z114" s="2644"/>
      <c r="AA114" s="2644"/>
      <c r="AB114" s="2645"/>
      <c r="AD114" s="52"/>
    </row>
    <row r="115" spans="1:30" ht="20.25" customHeight="1" outlineLevel="1">
      <c r="B115" s="2672"/>
      <c r="C115" s="2583" t="s">
        <v>827</v>
      </c>
      <c r="D115" s="2583"/>
      <c r="G115" s="564"/>
      <c r="H115" s="936">
        <f ca="1">IF(G115&lt;&gt;"",G115,IFERROR(IF(INDIRECT("'"&amp;G$86&amp;"'!"&amp;VLOOKUP(G$87,'List Values'!$C$3:$D$6,2,FALSE)&amp;ROW(G115))="","",INDIRECT("'"&amp;G$86&amp;"'!"&amp;VLOOKUP(G$87,'List Values'!$C$3:$D$6,2,FALSE)&amp;ROW(G115))*$H$6),IF($G$86&lt;&gt;"","Data Source Error","")))</f>
        <v>150</v>
      </c>
      <c r="I115" s="250"/>
      <c r="J115" s="568"/>
      <c r="K115" s="936">
        <f ca="1">IF($H$7&lt;2,"",IF(J115&lt;&gt;"",J115,IFERROR(IF(INDIRECT("'"&amp;J$86&amp;"'!"&amp;VLOOKUP(J$87,'List Values'!$C$3:$D$6,2,FALSE)&amp;ROW(J115))="","",INDIRECT("'"&amp;J$86&amp;"'!"&amp;VLOOKUP(J$87,'List Values'!$C$3:$D$6,2,FALSE)&amp;ROW(J115))*$H$6),IF($J$86&lt;&gt;"","Data Source Error",""))))</f>
        <v>150</v>
      </c>
      <c r="L115" s="250"/>
      <c r="M115" s="568"/>
      <c r="N115" s="936">
        <f ca="1">IF($H$7&lt;3,"",IF(M115&lt;&gt;"",M115,IFERROR(IF(INDIRECT("'"&amp;M$86&amp;"'!"&amp;VLOOKUP(M$87,'List Values'!$C$3:$D$6,2,FALSE)&amp;ROW(M115))="","",INDIRECT("'"&amp;M$86&amp;"'!"&amp;VLOOKUP(M$87,'List Values'!$C$3:$D$6,2,FALSE)&amp;ROW(M115))*$H$6),IF($M$86&lt;&gt;"","Data Source Error",""))))</f>
        <v>150</v>
      </c>
      <c r="O115" s="187"/>
      <c r="P115" s="528"/>
      <c r="Q115" s="904" t="str">
        <f ca="1">IF($H$7&lt;4,"",IF(P115&lt;&gt;"",P115,IFERROR(IF(INDIRECT("'"&amp;P$86&amp;"'!"&amp;VLOOKUP(P$87,'List Values'!$C$3:$D$6,2,FALSE)&amp;ROW(P115))="","",INDIRECT("'"&amp;P$86&amp;"'!"&amp;VLOOKUP(P$87,'List Values'!$C$3:$D$6,2,FALSE)&amp;ROW(P115))*$H$6),IF($P$86&lt;&gt;"","Data Source Error",""))))</f>
        <v/>
      </c>
      <c r="S115" s="528"/>
      <c r="T115" s="904" t="str">
        <f ca="1">IF($H$7&lt;5,"",IF(S115&lt;&gt;"",S115,IFERROR(IF(INDIRECT("'"&amp;S$86&amp;"'!"&amp;VLOOKUP(S$87,'List Values'!$C$3:$D$6,2,FALSE)&amp;ROW(S115))="","",INDIRECT("'"&amp;S$86&amp;"'!"&amp;VLOOKUP(S$87,'List Values'!$C$3:$D$6,2,FALSE)&amp;ROW(S115))*$H$6),IF($S$86&lt;&gt;"","Data Source Error",""))))</f>
        <v/>
      </c>
      <c r="V115" s="528"/>
      <c r="W115" s="912" t="str">
        <f ca="1">IF($H$7&lt;6,"",IF(V115&lt;&gt;"",V115,IFERROR(IF(INDIRECT("'"&amp;V$86&amp;"'!"&amp;VLOOKUP(V$87,'List Values'!$C$3:$D$6,2,FALSE)&amp;ROW(V115))="","",INDIRECT("'"&amp;V$86&amp;"'!"&amp;VLOOKUP(V$87,'List Values'!$C$3:$D$6,2,FALSE)&amp;ROW(V115))*$H$6),IF($V$86&lt;&gt;"","Data Source Error",""))))</f>
        <v/>
      </c>
      <c r="Y115" s="2643"/>
      <c r="Z115" s="2644"/>
      <c r="AA115" s="2644"/>
      <c r="AB115" s="2645"/>
      <c r="AD115" s="52"/>
    </row>
    <row r="116" spans="1:30" ht="20.25" customHeight="1" outlineLevel="1">
      <c r="B116" s="2672"/>
      <c r="C116" s="2583" t="s">
        <v>828</v>
      </c>
      <c r="D116" s="2583"/>
      <c r="G116" s="564"/>
      <c r="H116" s="939">
        <f ca="1">IF(G116&lt;&gt;"",G116,IFERROR(IF(INDIRECT("'"&amp;G$86&amp;"'!"&amp;VLOOKUP(G$87,'List Values'!$C$3:$D$6,2,FALSE)&amp;ROW(G116))="","",INDIRECT("'"&amp;G$86&amp;"'!"&amp;VLOOKUP(G$87,'List Values'!$C$3:$D$6,2,FALSE)&amp;ROW(G116))*$H$6),IF($G$86&lt;&gt;"","Data Source Error","")))</f>
        <v>0</v>
      </c>
      <c r="I116" s="214"/>
      <c r="J116" s="573"/>
      <c r="K116" s="939">
        <f ca="1">IF($H$7&lt;2,"",IF(J116&lt;&gt;"",J116,IFERROR(IF(INDIRECT("'"&amp;J$86&amp;"'!"&amp;VLOOKUP(J$87,'List Values'!$C$3:$D$6,2,FALSE)&amp;ROW(J116))="","",INDIRECT("'"&amp;J$86&amp;"'!"&amp;VLOOKUP(J$87,'List Values'!$C$3:$D$6,2,FALSE)&amp;ROW(J116))*$H$6),IF($J$86&lt;&gt;"","Data Source Error",""))))</f>
        <v>0</v>
      </c>
      <c r="L116" s="214"/>
      <c r="M116" s="573"/>
      <c r="N116" s="939">
        <f ca="1">IF($H$7&lt;3,"",IF(M116&lt;&gt;"",M116,IFERROR(IF(INDIRECT("'"&amp;M$86&amp;"'!"&amp;VLOOKUP(M$87,'List Values'!$C$3:$D$6,2,FALSE)&amp;ROW(M116))="","",INDIRECT("'"&amp;M$86&amp;"'!"&amp;VLOOKUP(M$87,'List Values'!$C$3:$D$6,2,FALSE)&amp;ROW(M116))*$H$6),IF($M$86&lt;&gt;"","Data Source Error",""))))</f>
        <v>0</v>
      </c>
      <c r="O116" s="187"/>
      <c r="P116" s="528"/>
      <c r="Q116" s="904" t="str">
        <f ca="1">IF($H$7&lt;4,"",IF(P116&lt;&gt;"",P116,IFERROR(IF(INDIRECT("'"&amp;P$86&amp;"'!"&amp;VLOOKUP(P$87,'List Values'!$C$3:$D$6,2,FALSE)&amp;ROW(P116))="","",INDIRECT("'"&amp;P$86&amp;"'!"&amp;VLOOKUP(P$87,'List Values'!$C$3:$D$6,2,FALSE)&amp;ROW(P116))*$H$6),IF($P$86&lt;&gt;"","Data Source Error",""))))</f>
        <v/>
      </c>
      <c r="S116" s="528"/>
      <c r="T116" s="904" t="str">
        <f ca="1">IF($H$7&lt;5,"",IF(S116&lt;&gt;"",S116,IFERROR(IF(INDIRECT("'"&amp;S$86&amp;"'!"&amp;VLOOKUP(S$87,'List Values'!$C$3:$D$6,2,FALSE)&amp;ROW(S116))="","",INDIRECT("'"&amp;S$86&amp;"'!"&amp;VLOOKUP(S$87,'List Values'!$C$3:$D$6,2,FALSE)&amp;ROW(S116))*$H$6),IF($S$86&lt;&gt;"","Data Source Error",""))))</f>
        <v/>
      </c>
      <c r="V116" s="528"/>
      <c r="W116" s="912" t="str">
        <f ca="1">IF($H$7&lt;6,"",IF(V116&lt;&gt;"",V116,IFERROR(IF(INDIRECT("'"&amp;V$86&amp;"'!"&amp;VLOOKUP(V$87,'List Values'!$C$3:$D$6,2,FALSE)&amp;ROW(V116))="","",INDIRECT("'"&amp;V$86&amp;"'!"&amp;VLOOKUP(V$87,'List Values'!$C$3:$D$6,2,FALSE)&amp;ROW(V116))*$H$6),IF($V$86&lt;&gt;"","Data Source Error",""))))</f>
        <v/>
      </c>
      <c r="Y116" s="2643"/>
      <c r="Z116" s="2644"/>
      <c r="AA116" s="2644"/>
      <c r="AB116" s="2645"/>
      <c r="AD116" s="52"/>
    </row>
    <row r="117" spans="1:30" ht="35.25" customHeight="1" outlineLevel="1">
      <c r="B117" s="2673"/>
      <c r="C117" s="2664" t="s">
        <v>829</v>
      </c>
      <c r="D117" s="2664"/>
      <c r="E117" s="236"/>
      <c r="F117" s="236"/>
      <c r="G117" s="570"/>
      <c r="H117" s="893" t="str">
        <f ca="1">IF(G117&lt;&gt;"",G117,IFERROR(IF(INDIRECT("'"&amp;G$86&amp;"'!"&amp;VLOOKUP(G$87,'List Values'!$C$3:$D$6,2,FALSE)&amp;ROW(G117))="","",INDIRECT("'"&amp;G$86&amp;"'!"&amp;VLOOKUP(G$87,'List Values'!$C$3:$D$6,2,FALSE)&amp;ROW(G117))),IF($G$86&lt;&gt;"","Data Source Error","")))</f>
        <v>Downstream</v>
      </c>
      <c r="I117" s="275"/>
      <c r="J117" s="570"/>
      <c r="K117" s="893" t="str">
        <f ca="1">IF($H$7&lt;2,"",IF(J117&lt;&gt;"",J117,IFERROR(IF(INDIRECT("'"&amp;J$86&amp;"'!"&amp;VLOOKUP(J$87,'List Values'!$C$3:$D$6,2,FALSE)&amp;ROW(J117))="","",INDIRECT("'"&amp;J$86&amp;"'!"&amp;VLOOKUP(J$87,'List Values'!$C$3:$D$6,2,FALSE)&amp;ROW(J117))),IF($J$86&lt;&gt;"","Data Source Error",""))))</f>
        <v>Downstream</v>
      </c>
      <c r="L117" s="275"/>
      <c r="M117" s="570"/>
      <c r="N117" s="933" t="str">
        <f ca="1">IF($H$7&lt;3,"",IF(M117&lt;&gt;"",M117,IFERROR(IF(INDIRECT("'"&amp;M$86&amp;"'!"&amp;VLOOKUP(M$87,'List Values'!$C$3:$D$6,2,FALSE)&amp;ROW(M117))="","",INDIRECT("'"&amp;M$86&amp;"'!"&amp;VLOOKUP(M$87,'List Values'!$C$3:$D$6,2,FALSE)&amp;ROW(M117))),IF($M$86&lt;&gt;"","Data Source Error",""))))</f>
        <v>Upstream</v>
      </c>
      <c r="O117" s="236"/>
      <c r="P117" s="570"/>
      <c r="Q117" s="940" t="str">
        <f ca="1">IF($H$7&lt;4,"",IF(P117&lt;&gt;"",P117,IFERROR(IF(INDIRECT("'"&amp;P$86&amp;"'!"&amp;VLOOKUP(P$87,'List Values'!$C$3:$D$6,2,FALSE)&amp;ROW(P117))="","",INDIRECT("'"&amp;P$86&amp;"'!"&amp;VLOOKUP(P$87,'List Values'!$C$3:$D$6,2,FALSE)&amp;ROW(P117))),IF($P$86&lt;&gt;"","Data Source Error",""))))</f>
        <v/>
      </c>
      <c r="S117" s="570"/>
      <c r="T117" s="940" t="str">
        <f ca="1">IF($H$7&lt;5,"",IF(S117&lt;&gt;"",S117,IFERROR(IF(INDIRECT("'"&amp;S$86&amp;"'!"&amp;VLOOKUP(S$87,'List Values'!$C$3:$D$6,2,FALSE)&amp;ROW(S117))="","",INDIRECT("'"&amp;S$86&amp;"'!"&amp;VLOOKUP(S$87,'List Values'!$C$3:$D$6,2,FALSE)&amp;ROW(S117))),IF($S$86&lt;&gt;"","Data Source Error",""))))</f>
        <v/>
      </c>
      <c r="V117" s="570"/>
      <c r="W117" s="954" t="str">
        <f ca="1">IF($H$7&lt;6,"",IF(V117&lt;&gt;"",V117,IFERROR(IF(INDIRECT("'"&amp;V$86&amp;"'!"&amp;VLOOKUP(V$87,'List Values'!$C$3:$D$6,2,FALSE)&amp;ROW(V117))="","",INDIRECT("'"&amp;V$86&amp;"'!"&amp;VLOOKUP(V$87,'List Values'!$C$3:$D$6,2,FALSE)&amp;ROW(V117))),IF($V$86&lt;&gt;"","Data Source Error",""))))</f>
        <v/>
      </c>
      <c r="Y117" s="2657"/>
      <c r="Z117" s="2658"/>
      <c r="AA117" s="2658"/>
      <c r="AB117" s="2659"/>
      <c r="AD117" s="52"/>
    </row>
    <row r="118" spans="1:30" ht="28.5" customHeight="1">
      <c r="A118" s="630" t="s">
        <v>654</v>
      </c>
      <c r="C118" s="130"/>
      <c r="D118" s="130"/>
      <c r="E118" s="130"/>
      <c r="G118" s="121"/>
      <c r="H118" s="69"/>
      <c r="K118" s="69"/>
      <c r="N118" s="69"/>
      <c r="Q118" s="69"/>
    </row>
    <row r="119" spans="1:30" ht="26.25" customHeight="1" collapsed="1">
      <c r="B119" s="600" t="s">
        <v>603</v>
      </c>
      <c r="C119" s="596"/>
      <c r="D119" s="596"/>
      <c r="E119" s="596"/>
      <c r="F119" s="596"/>
      <c r="G119" s="597"/>
      <c r="H119" s="594"/>
      <c r="I119" s="596"/>
      <c r="J119" s="597"/>
      <c r="K119" s="594"/>
      <c r="L119" s="596"/>
      <c r="M119" s="597"/>
      <c r="N119" s="594"/>
      <c r="O119" s="596"/>
      <c r="P119" s="2660"/>
      <c r="Q119" s="2660"/>
      <c r="R119" s="594"/>
      <c r="S119" s="2660"/>
      <c r="T119" s="2660"/>
      <c r="U119" s="594"/>
      <c r="V119" s="2660"/>
      <c r="W119" s="2660"/>
      <c r="X119" s="86"/>
    </row>
    <row r="120" spans="1:30" ht="19.5" hidden="1" customHeight="1" outlineLevel="1">
      <c r="B120" s="505"/>
      <c r="C120" s="36"/>
      <c r="D120" s="36"/>
      <c r="E120" s="36"/>
      <c r="F120" s="36"/>
      <c r="G120" s="2674" t="str">
        <f ca="1">"Management at "&amp;H88</f>
        <v>Management at CMS</v>
      </c>
      <c r="H120" s="2678"/>
      <c r="I120" s="129"/>
      <c r="J120" s="2674" t="str">
        <f ca="1">"Management at "&amp;K88</f>
        <v>Management at Regional WH</v>
      </c>
      <c r="K120" s="2678"/>
      <c r="L120" s="129"/>
      <c r="M120" s="2674" t="str">
        <f ca="1">"Management at "&amp;N88</f>
        <v>Management at Health Facility</v>
      </c>
      <c r="N120" s="2678"/>
      <c r="O120" s="506"/>
      <c r="P120" s="2674" t="str">
        <f ca="1">"Management at "&amp;Q88</f>
        <v xml:space="preserve">Management at </v>
      </c>
      <c r="Q120" s="2678"/>
      <c r="R120" s="236"/>
      <c r="S120" s="2674" t="str">
        <f ca="1">"Management at "&amp;T88</f>
        <v xml:space="preserve">Management at </v>
      </c>
      <c r="T120" s="2678"/>
      <c r="U120" s="236"/>
      <c r="V120" s="2674" t="str">
        <f ca="1">"Management at "&amp;W88</f>
        <v xml:space="preserve">Management at </v>
      </c>
      <c r="W120" s="2675"/>
      <c r="X120" s="86"/>
      <c r="Y120" s="2619" t="s">
        <v>673</v>
      </c>
      <c r="Z120" s="2620"/>
      <c r="AA120" s="2620"/>
      <c r="AB120" s="2621"/>
    </row>
    <row r="121" spans="1:30" ht="52.5" hidden="1" customHeight="1" outlineLevel="1">
      <c r="A121" s="1"/>
      <c r="B121" s="2676" t="s">
        <v>5462</v>
      </c>
      <c r="C121" s="2676"/>
      <c r="D121" s="2676"/>
      <c r="E121" s="183"/>
      <c r="F121" s="183"/>
      <c r="G121" s="575"/>
      <c r="H121" s="955" t="str">
        <f ca="1">IF(G121&lt;&gt;"",G121,IFERROR(IF(INDIRECT("'"&amp;G$86&amp;"'!"&amp;VLOOKUP(G$87,'List Values'!$C$3:$D$6,2,FALSE)&amp;ROW(G121))="","",INDIRECT("'"&amp;G$86&amp;"'!"&amp;VLOOKUP(G$87,'List Values'!$C$3:$D$6,2,FALSE)&amp;ROW(G121))),IF($G$86&lt;&gt;"","Data Source Error","")))</f>
        <v>Cost per facility</v>
      </c>
      <c r="I121" s="201"/>
      <c r="J121" s="575"/>
      <c r="K121" s="955" t="str">
        <f ca="1">IF($H$7&lt;2,"",IF(J121&lt;&gt;"",J121,IFERROR(IF(INDIRECT("'"&amp;J$86&amp;"'!"&amp;VLOOKUP(J$87,'List Values'!$C$3:$D$6,2,FALSE)&amp;ROW(J121))="","",INDIRECT("'"&amp;J$86&amp;"'!"&amp;VLOOKUP(J$87,'List Values'!$C$3:$D$6,2,FALSE)&amp;ROW(J121))),IF($J$86&lt;&gt;"","Data Source Error",""))))</f>
        <v>Cost per facility</v>
      </c>
      <c r="L121" s="201"/>
      <c r="M121" s="575"/>
      <c r="N121" s="955" t="str">
        <f ca="1">IF($H$7&lt;3,"",IF(M121&lt;&gt;"",M121,IFERROR(IF(INDIRECT("'"&amp;M$86&amp;"'!"&amp;VLOOKUP(M$87,'List Values'!$C$3:$D$6,2,FALSE)&amp;ROW(M121))="","",INDIRECT("'"&amp;M$86&amp;"'!"&amp;VLOOKUP(M$87,'List Values'!$C$3:$D$6,2,FALSE)&amp;ROW(M121))),IF($M$86&lt;&gt;"","Data Source Error",""))))</f>
        <v>Cost per facility</v>
      </c>
      <c r="O121" s="183"/>
      <c r="P121" s="578"/>
      <c r="Q121" s="955" t="str">
        <f ca="1">IF($H$7&lt;4,"",IF(P121&lt;&gt;"",P121,IFERROR(IF(INDIRECT("'"&amp;P$86&amp;"'!"&amp;VLOOKUP(P$87,'List Values'!$C$3:$D$6,2,FALSE)&amp;ROW(P121))="","",INDIRECT("'"&amp;P$86&amp;"'!"&amp;VLOOKUP(P$87,'List Values'!$C$3:$D$6,2,FALSE)&amp;ROW(P121))),IF($P$86&lt;&gt;"","Data Source Error",""))))</f>
        <v/>
      </c>
      <c r="S121" s="578"/>
      <c r="T121" s="955" t="str">
        <f ca="1">IF($H$7&lt;5,"",IF(S121&lt;&gt;"",S121,IFERROR(IF(INDIRECT("'"&amp;S$86&amp;"'!"&amp;VLOOKUP(S$87,'List Values'!$C$3:$D$6,2,FALSE)&amp;ROW(S121))="","",INDIRECT("'"&amp;S$86&amp;"'!"&amp;VLOOKUP(S$87,'List Values'!$C$3:$D$6,2,FALSE)&amp;ROW(S121))),IF($S$86&lt;&gt;"","Data Source Error",""))))</f>
        <v/>
      </c>
      <c r="V121" s="578"/>
      <c r="W121" s="958" t="str">
        <f ca="1">IF($H$7&lt;6,"",IF(V121&lt;&gt;"",V121,IFERROR(IF(INDIRECT("'"&amp;V$86&amp;"'!"&amp;VLOOKUP(V$87,'List Values'!$C$3:$D$6,2,FALSE)&amp;ROW(V121))="","",INDIRECT("'"&amp;V$86&amp;"'!"&amp;VLOOKUP(V$87,'List Values'!$C$3:$D$6,2,FALSE)&amp;ROW(V121))),IF($V$86&lt;&gt;"","Data Source Error",""))))</f>
        <v/>
      </c>
      <c r="Y121" s="2643"/>
      <c r="Z121" s="2644"/>
      <c r="AA121" s="2644"/>
      <c r="AB121" s="2645"/>
    </row>
    <row r="122" spans="1:30" ht="30" hidden="1" customHeight="1" outlineLevel="1">
      <c r="B122" s="2677" t="s">
        <v>5463</v>
      </c>
      <c r="C122" s="2677"/>
      <c r="D122" s="2677"/>
      <c r="E122" s="187"/>
      <c r="F122" s="187"/>
      <c r="G122" s="576"/>
      <c r="H122" s="956">
        <f ca="1">IF(G122&lt;&gt;"",G122,IFERROR(IF(INDIRECT("'"&amp;G$86&amp;"'!"&amp;VLOOKUP(G$87,'List Values'!$C$3:$D$6,2,FALSE)&amp;ROW(G122))="","",INDIRECT("'"&amp;G$86&amp;"'!"&amp;VLOOKUP(G$87,'List Values'!$C$3:$D$6,2,FALSE)&amp;ROW(G122))*$H$6),IF($G$86&lt;&gt;"","Data Source Error","")))</f>
        <v>68518.335535384278</v>
      </c>
      <c r="I122" s="217"/>
      <c r="J122" s="576"/>
      <c r="K122" s="956">
        <f ca="1">IF($H$7&lt;2,"",IF(J122&lt;&gt;"",J122,IFERROR(IF(INDIRECT("'"&amp;J$86&amp;"'!"&amp;VLOOKUP(J$87,'List Values'!$C$3:$D$6,2,FALSE)&amp;ROW(J122))="","",INDIRECT("'"&amp;J$86&amp;"'!"&amp;VLOOKUP(J$87,'List Values'!$C$3:$D$6,2,FALSE)&amp;ROW(J122))*$H$6),IF($J$86&lt;&gt;"","Data Source Error",""))))</f>
        <v>13104</v>
      </c>
      <c r="L122" s="217"/>
      <c r="M122" s="576"/>
      <c r="N122" s="956">
        <f ca="1">IF($H$7&lt;3,"",IF(M122&lt;&gt;"",M122,IFERROR(IF(INDIRECT("'"&amp;M$86&amp;"'!"&amp;VLOOKUP(M$87,'List Values'!$C$3:$D$6,2,FALSE)&amp;ROW(M122))="","",INDIRECT("'"&amp;M$86&amp;"'!"&amp;VLOOKUP(M$87,'List Values'!$C$3:$D$6,2,FALSE)&amp;ROW(M122))*$H$6),IF($M$86&lt;&gt;"","Data Source Error",""))))</f>
        <v>146.23868975562249</v>
      </c>
      <c r="O122" s="187"/>
      <c r="P122" s="528"/>
      <c r="Q122" s="956" t="str">
        <f ca="1">IF($H$7&lt;4,"",IF(P122&lt;&gt;"",P122,IFERROR(IF(INDIRECT("'"&amp;P$86&amp;"'!"&amp;VLOOKUP(P$87,'List Values'!$C$3:$D$6,2,FALSE)&amp;ROW(P122))="","",INDIRECT("'"&amp;P$86&amp;"'!"&amp;VLOOKUP(P$87,'List Values'!$C$3:$D$6,2,FALSE)&amp;ROW(P122))*$H$6),IF($P$86&lt;&gt;"","Data Source Error",""))))</f>
        <v/>
      </c>
      <c r="S122" s="528"/>
      <c r="T122" s="956" t="str">
        <f ca="1">IF($H$7&lt;5,"",IF(S122&lt;&gt;"",S122,IFERROR(IF(INDIRECT("'"&amp;S$86&amp;"'!"&amp;VLOOKUP(S$87,'List Values'!$C$3:$D$6,2,FALSE)&amp;ROW(S122))="","",INDIRECT("'"&amp;S$86&amp;"'!"&amp;VLOOKUP(S$87,'List Values'!$C$3:$D$6,2,FALSE)&amp;ROW(S122))*$H$6),IF($S$86&lt;&gt;"","Data Source Error",""))))</f>
        <v/>
      </c>
      <c r="V122" s="528"/>
      <c r="W122" s="959" t="str">
        <f ca="1">IF($H$7&lt;6,"",IF(V122&lt;&gt;"",V122,IFERROR(IF(INDIRECT("'"&amp;V$86&amp;"'!"&amp;VLOOKUP(V$87,'List Values'!$C$3:$D$6,2,FALSE)&amp;ROW(V122))="","",INDIRECT("'"&amp;V$86&amp;"'!"&amp;VLOOKUP(V$87,'List Values'!$C$3:$D$6,2,FALSE)&amp;ROW(V122))*$H$6),IF($V$86&lt;&gt;"","Data Source Error",""))))</f>
        <v/>
      </c>
      <c r="Y122" s="2643"/>
      <c r="Z122" s="2644"/>
      <c r="AA122" s="2644"/>
      <c r="AB122" s="2645"/>
    </row>
    <row r="123" spans="1:30" ht="30.45" hidden="1" customHeight="1" outlineLevel="1">
      <c r="B123" s="2681" t="s">
        <v>5464</v>
      </c>
      <c r="C123" s="2681"/>
      <c r="D123" s="2681"/>
      <c r="E123" s="196"/>
      <c r="F123" s="196"/>
      <c r="G123" s="577"/>
      <c r="H123" s="957">
        <f ca="1">IF(G123&lt;&gt;"",G123,IFERROR(IF(INDIRECT("'"&amp;G$86&amp;"'!"&amp;VLOOKUP(G$87,'List Values'!$C$3:$D$6,2,FALSE)&amp;ROW(G123))="","",INDIRECT("'"&amp;G$86&amp;"'!"&amp;VLOOKUP(G$87,'List Values'!$C$3:$D$6,2,FALSE)&amp;ROW(G123))),IF($G$86&lt;&gt;"","Data Source Error","")))</f>
        <v>5.5705963849905903E-3</v>
      </c>
      <c r="I123" s="510"/>
      <c r="J123" s="577"/>
      <c r="K123" s="957">
        <f ca="1">IF($H$7&lt;2,"",IF(J123&lt;&gt;"",J123,IFERROR(IF(INDIRECT("'"&amp;J$86&amp;"'!"&amp;VLOOKUP(J$87,'List Values'!$C$3:$D$6,2,FALSE)&amp;ROW(J123))="","",INDIRECT("'"&amp;J$86&amp;"'!"&amp;VLOOKUP(J$87,'List Values'!$C$3:$D$6,2,FALSE)&amp;ROW(J123))),IF($J$86&lt;&gt;"","Data Source Error",""))))</f>
        <v>1.0653658536585366E-3</v>
      </c>
      <c r="L123" s="510"/>
      <c r="M123" s="577"/>
      <c r="N123" s="957">
        <f ca="1">IF($H$7&lt;3,"",IF(M123&lt;&gt;"",M123,IFERROR(IF(INDIRECT("'"&amp;M$86&amp;"'!"&amp;VLOOKUP(M$87,'List Values'!$C$3:$D$6,2,FALSE)&amp;ROW(M123))="","",INDIRECT("'"&amp;M$86&amp;"'!"&amp;VLOOKUP(M$87,'List Values'!$C$3:$D$6,2,FALSE)&amp;ROW(M123))),IF($M$86&lt;&gt;"","Data Source Error",""))))</f>
        <v>4.1018169077796547E-3</v>
      </c>
      <c r="O123" s="196"/>
      <c r="P123" s="530"/>
      <c r="Q123" s="957" t="str">
        <f ca="1">IF($H$7&lt;4,"",IF(P123&lt;&gt;"",P123,IFERROR(IF(INDIRECT("'"&amp;P$86&amp;"'!"&amp;VLOOKUP(P$87,'List Values'!$C$3:$D$6,2,FALSE)&amp;ROW(P123))="","",INDIRECT("'"&amp;P$86&amp;"'!"&amp;VLOOKUP(P$87,'List Values'!$C$3:$D$6,2,FALSE)&amp;ROW(P123))),IF($P$86&lt;&gt;"","Data Source Error",""))))</f>
        <v/>
      </c>
      <c r="R123" s="236"/>
      <c r="S123" s="530"/>
      <c r="T123" s="957" t="str">
        <f ca="1">IF($H$7&lt;5,"",IF(S123&lt;&gt;"",S123,IFERROR(IF(INDIRECT("'"&amp;S$86&amp;"'!"&amp;VLOOKUP(S$87,'List Values'!$C$3:$D$6,2,FALSE)&amp;ROW(S123))="","",INDIRECT("'"&amp;S$86&amp;"'!"&amp;VLOOKUP(S$87,'List Values'!$C$3:$D$6,2,FALSE)&amp;ROW(S123))),IF($S$86&lt;&gt;"","Data Source Error",""))))</f>
        <v/>
      </c>
      <c r="U123" s="236"/>
      <c r="V123" s="530"/>
      <c r="W123" s="960" t="str">
        <f ca="1">IF($H$7&lt;6,"",IF(V123&lt;&gt;"",V123,IFERROR(IF(INDIRECT("'"&amp;V$86&amp;"'!"&amp;VLOOKUP(V$87,'List Values'!$C$3:$D$6,2,FALSE)&amp;ROW(V123))="","",INDIRECT("'"&amp;V$86&amp;"'!"&amp;VLOOKUP(V$87,'List Values'!$C$3:$D$6,2,FALSE)&amp;ROW(V123))),IF($V$86&lt;&gt;"","Data Source Error",""))))</f>
        <v/>
      </c>
      <c r="Y123" s="2657"/>
      <c r="Z123" s="2658"/>
      <c r="AA123" s="2658"/>
      <c r="AB123" s="2659"/>
    </row>
    <row r="124" spans="1:30" ht="21" customHeight="1">
      <c r="A124" s="212" t="s">
        <v>352</v>
      </c>
      <c r="C124" s="130"/>
      <c r="D124" s="130"/>
      <c r="E124" s="130"/>
      <c r="G124" s="121"/>
      <c r="H124" s="69"/>
      <c r="K124" s="69"/>
      <c r="N124" s="69"/>
      <c r="Q124" s="69"/>
    </row>
    <row r="125" spans="1:30" ht="16" customHeight="1">
      <c r="A125" s="1"/>
      <c r="W125" s="4"/>
    </row>
    <row r="126" spans="1:30" ht="16" customHeight="1">
      <c r="A126" s="1"/>
      <c r="H126" s="147"/>
      <c r="W126" s="4"/>
    </row>
    <row r="127" spans="1:30" ht="16" customHeight="1">
      <c r="A127" s="1"/>
      <c r="W127" s="4"/>
    </row>
    <row r="128" spans="1:30" ht="16" customHeight="1">
      <c r="A128" s="1"/>
      <c r="W128" s="4"/>
    </row>
    <row r="129" spans="1:28" ht="41.25" customHeight="1">
      <c r="B129" s="2318" t="s">
        <v>606</v>
      </c>
      <c r="C129" s="2318"/>
      <c r="D129" s="2318"/>
      <c r="E129" s="496"/>
      <c r="F129" s="496"/>
      <c r="G129" s="497"/>
      <c r="H129" s="498"/>
      <c r="I129" s="8"/>
      <c r="J129" s="212" t="s">
        <v>674</v>
      </c>
    </row>
    <row r="130" spans="1:28" s="52" customFormat="1" ht="24" customHeight="1">
      <c r="B130" s="2682" t="s">
        <v>2498</v>
      </c>
      <c r="C130" s="2682"/>
      <c r="D130" s="2682"/>
      <c r="E130" s="2682"/>
      <c r="F130" s="2682"/>
      <c r="G130" s="2682"/>
      <c r="H130" s="2682"/>
      <c r="I130" s="601"/>
      <c r="J130" s="2683" t="str">
        <f ca="1">H88&amp;"  to  "&amp;K88</f>
        <v>CMS  to  Regional WH</v>
      </c>
      <c r="K130" s="2683"/>
      <c r="L130" s="601"/>
      <c r="M130" s="2683" t="str">
        <f ca="1">K88&amp;"  to  "&amp;N88</f>
        <v>Regional WH  to  Health Facility</v>
      </c>
      <c r="N130" s="2683"/>
      <c r="O130" s="601"/>
      <c r="P130" s="2683" t="str">
        <f ca="1">N88&amp;"  to  "&amp;Q88</f>
        <v xml:space="preserve">Health Facility  to  </v>
      </c>
      <c r="Q130" s="2683"/>
      <c r="R130" s="601"/>
      <c r="S130" s="2683" t="str">
        <f ca="1">Q88&amp;"  to  "&amp;T88</f>
        <v xml:space="preserve">  to  </v>
      </c>
      <c r="T130" s="2683"/>
      <c r="U130" s="601"/>
      <c r="V130" s="2683" t="str">
        <f ca="1">T88&amp;"  to  "&amp;W88</f>
        <v xml:space="preserve">  to  </v>
      </c>
      <c r="W130" s="2683"/>
    </row>
    <row r="131" spans="1:28" s="52" customFormat="1" ht="1.5" customHeight="1" outlineLevel="1">
      <c r="B131" s="2682"/>
      <c r="C131" s="2682"/>
      <c r="D131" s="2682"/>
      <c r="E131" s="2682"/>
      <c r="F131" s="2682"/>
      <c r="G131" s="2682"/>
      <c r="H131" s="2682"/>
      <c r="I131" s="601"/>
      <c r="J131" s="602"/>
      <c r="K131" s="602"/>
      <c r="L131" s="1207"/>
      <c r="M131" s="602"/>
      <c r="N131" s="602"/>
      <c r="O131" s="601"/>
      <c r="P131" s="602"/>
      <c r="Q131" s="602"/>
      <c r="R131" s="603"/>
      <c r="S131" s="602"/>
      <c r="T131" s="602"/>
      <c r="U131" s="603"/>
      <c r="V131" s="602"/>
      <c r="W131" s="602"/>
    </row>
    <row r="132" spans="1:28" s="52" customFormat="1" ht="30.75" customHeight="1" outlineLevel="1">
      <c r="B132" s="2682"/>
      <c r="C132" s="2682"/>
      <c r="D132" s="2682"/>
      <c r="E132" s="2682"/>
      <c r="F132" s="2682"/>
      <c r="G132" s="2682"/>
      <c r="H132" s="2682"/>
      <c r="I132" s="1206"/>
      <c r="J132" s="503" t="s">
        <v>17</v>
      </c>
      <c r="K132" s="1208" t="s">
        <v>10</v>
      </c>
      <c r="L132" s="8"/>
      <c r="M132" s="503" t="s">
        <v>17</v>
      </c>
      <c r="N132" s="1208" t="s">
        <v>10</v>
      </c>
      <c r="O132"/>
      <c r="P132" s="1209" t="s">
        <v>17</v>
      </c>
      <c r="Q132" s="1210" t="s">
        <v>10</v>
      </c>
      <c r="R132"/>
      <c r="S132" s="1209" t="s">
        <v>17</v>
      </c>
      <c r="T132" s="1210" t="s">
        <v>10</v>
      </c>
      <c r="U132"/>
      <c r="V132" s="1209" t="s">
        <v>17</v>
      </c>
      <c r="W132" s="1210" t="s">
        <v>10</v>
      </c>
      <c r="Y132" s="2619" t="s">
        <v>673</v>
      </c>
      <c r="Z132" s="2620"/>
      <c r="AA132" s="2620"/>
      <c r="AB132" s="2621"/>
    </row>
    <row r="133" spans="1:28" ht="32.25" customHeight="1" outlineLevel="1">
      <c r="A133" s="1"/>
      <c r="B133" s="2679" t="s">
        <v>2509</v>
      </c>
      <c r="C133" s="2679"/>
      <c r="D133" s="2679"/>
      <c r="E133" s="35"/>
      <c r="F133" s="35"/>
      <c r="G133" s="646"/>
      <c r="H133" s="647"/>
      <c r="I133" s="51"/>
      <c r="J133" s="586"/>
      <c r="K133" s="1203">
        <f ca="1">IF($H$7&lt;2,0,IF(J133&lt;&gt;"",J133,IFERROR(IF(INDIRECT("'"&amp;J$86&amp;"'!"&amp;VLOOKUP(J$87,'List Values'!$C$3:$D$6,2,FALSE)&amp;ROW(J133))="",0,INDIRECT("'"&amp;J$86&amp;"'!"&amp;VLOOKUP(J$87,'List Values'!$C$3:$D$6,2,FALSE)&amp;ROW(J133))),IF(J$86&lt;&gt;"","Data Source Error",0))))</f>
        <v>1</v>
      </c>
      <c r="L133" s="51"/>
      <c r="M133" s="586">
        <v>1</v>
      </c>
      <c r="N133" s="1203">
        <f ca="1">IF($H$7&lt;3,0,IF(M133&lt;&gt;"",M133,IFERROR(IF(INDIRECT("'"&amp;M$86&amp;"'!"&amp;VLOOKUP(M$87,'List Values'!$C$3:$D$6,2,FALSE)&amp;ROW(M133))="",0,INDIRECT("'"&amp;M$86&amp;"'!"&amp;VLOOKUP(M$87,'List Values'!$C$3:$D$6,2,FALSE)&amp;ROW(M133))),IF(M$86&lt;&gt;"","Data Source Error",0))))</f>
        <v>1</v>
      </c>
      <c r="O133" s="51"/>
      <c r="P133" s="1204"/>
      <c r="Q133" s="1203">
        <f ca="1">IF($H$7&lt;4,0,IF(P133&lt;&gt;"",P133,IFERROR(IF(INDIRECT("'"&amp;P$86&amp;"'!"&amp;VLOOKUP(P$87,'List Values'!$C$3:$D$6,2,FALSE)&amp;ROW(P133))="",0,INDIRECT("'"&amp;P$86&amp;"'!"&amp;VLOOKUP(P$87,'List Values'!$C$3:$D$6,2,FALSE)&amp;ROW(P133))),IF(P$86&lt;&gt;"","Data Source Error",0))))</f>
        <v>0</v>
      </c>
      <c r="S133" s="1204"/>
      <c r="T133" s="1203">
        <f ca="1">IF($H$7&lt;5,0,IF(S133&lt;&gt;"",S133,IFERROR(IF(INDIRECT("'"&amp;S$86&amp;"'!"&amp;VLOOKUP(S$87,'List Values'!$C$3:$D$6,2,FALSE)&amp;ROW(S133))="",0,INDIRECT("'"&amp;S$86&amp;"'!"&amp;VLOOKUP(S$87,'List Values'!$C$3:$D$6,2,FALSE)&amp;ROW(S133))),IF(S$86&lt;&gt;"","Data Source Error",0))))</f>
        <v>0</v>
      </c>
      <c r="V133" s="1204"/>
      <c r="W133" s="1205">
        <f ca="1">IF($H$7&lt;6,0,IF(V133&lt;&gt;"",V133,IFERROR(IF(INDIRECT("'"&amp;V$86&amp;"'!"&amp;VLOOKUP(V$87,'List Values'!$C$3:$D$6,2,FALSE)&amp;ROW(V133))="",0,INDIRECT("'"&amp;V$86&amp;"'!"&amp;VLOOKUP(V$87,'List Values'!$C$3:$D$6,2,FALSE)&amp;ROW(V133))),IF(V$86&lt;&gt;"","Data Source Error",0))))</f>
        <v>0</v>
      </c>
      <c r="Y133" s="2643"/>
      <c r="Z133" s="2644"/>
      <c r="AA133" s="2644"/>
      <c r="AB133" s="2645"/>
    </row>
    <row r="134" spans="1:28" ht="21" customHeight="1">
      <c r="A134" s="1"/>
      <c r="B134" s="612" t="s">
        <v>609</v>
      </c>
      <c r="C134" s="604"/>
      <c r="D134" s="604"/>
      <c r="E134" s="604"/>
      <c r="F134" s="604"/>
      <c r="G134" s="604"/>
      <c r="H134" s="604"/>
      <c r="I134" s="605"/>
      <c r="J134" s="606"/>
      <c r="K134" s="961"/>
      <c r="L134" s="605"/>
      <c r="M134" s="606"/>
      <c r="N134" s="961"/>
      <c r="O134" s="605"/>
      <c r="P134" s="607"/>
      <c r="Q134" s="961"/>
      <c r="R134" s="608"/>
      <c r="S134" s="607"/>
      <c r="T134" s="961"/>
      <c r="U134" s="608"/>
      <c r="V134" s="607"/>
      <c r="W134" s="961"/>
      <c r="Y134" s="631"/>
      <c r="Z134" s="631"/>
      <c r="AA134" s="631"/>
      <c r="AB134" s="631"/>
    </row>
    <row r="135" spans="1:28" ht="18.75" customHeight="1" outlineLevel="1">
      <c r="A135" s="252"/>
      <c r="B135" s="252"/>
      <c r="C135" s="2580" t="s">
        <v>631</v>
      </c>
      <c r="D135" s="2580"/>
      <c r="E135" s="202"/>
      <c r="F135" s="202"/>
      <c r="G135" s="634"/>
      <c r="H135" s="635"/>
      <c r="I135" s="52"/>
      <c r="J135" s="581"/>
      <c r="K135" s="962">
        <f ca="1">IF(OR($H$7&lt;2,K$133&lt;1),"",IF(J135&lt;&gt;"",J135,IFERROR(IF(INDIRECT("'"&amp;J$86&amp;"'!"&amp;VLOOKUP(J$87,'List Values'!$C$3:$D$6,2,FALSE)&amp;ROW(J135))="","",INDIRECT("'"&amp;J$86&amp;"'!"&amp;VLOOKUP(J$87,'List Values'!$C$3:$D$6,2,FALSE)&amp;ROW(J135))),IF(J$86&lt;&gt;"","Data Source Error",""))))</f>
        <v>1</v>
      </c>
      <c r="L135" s="626"/>
      <c r="M135" s="581"/>
      <c r="N135" s="962">
        <f ca="1">IF(OR($H$7&lt;3,N$133&lt;1),"",IF(M135&lt;&gt;"",M135,IFERROR(IF(INDIRECT("'"&amp;M$86&amp;"'!"&amp;VLOOKUP(M$87,'List Values'!$C$3:$D$6,2,FALSE)&amp;ROW(M135))="","",INDIRECT("'"&amp;M$86&amp;"'!"&amp;VLOOKUP(M$87,'List Values'!$C$3:$D$6,2,FALSE)&amp;ROW(M135))),IF(M$86&lt;&gt;"","Data Source Error",""))))</f>
        <v>1</v>
      </c>
      <c r="O135" s="627"/>
      <c r="P135" s="585"/>
      <c r="Q135" s="967" t="str">
        <f ca="1">IF(OR($H$7&lt;4,Q$133&lt;1),"",IF(P135&lt;&gt;"",P135,IFERROR(IF(INDIRECT("'"&amp;P$86&amp;"'!"&amp;VLOOKUP(P$87,'List Values'!$C$3:$D$6,2,FALSE)&amp;ROW(P135))="","",INDIRECT("'"&amp;P$86&amp;"'!"&amp;VLOOKUP(P$87,'List Values'!$C$3:$D$6,2,FALSE)&amp;ROW(P135))),IF(P$86&lt;&gt;"","Data Source Error",""))))</f>
        <v/>
      </c>
      <c r="R135" s="460"/>
      <c r="S135" s="585"/>
      <c r="T135" s="967" t="str">
        <f ca="1">IF(OR($H$7&lt;5,T$133&lt;1),"",IF(S135&lt;&gt;"",S135,IFERROR(IF(INDIRECT("'"&amp;S$86&amp;"'!"&amp;VLOOKUP(S$87,'List Values'!$C$3:$D$6,2,FALSE)&amp;ROW(S135))="","",INDIRECT("'"&amp;S$86&amp;"'!"&amp;VLOOKUP(S$87,'List Values'!$C$3:$D$6,2,FALSE)&amp;ROW(S135))),IF(S$86&lt;&gt;"","Data Source Error",""))))</f>
        <v/>
      </c>
      <c r="U135" s="460"/>
      <c r="V135" s="585"/>
      <c r="W135" s="973" t="str">
        <f ca="1">IF(OR($H$7&lt;6,W$133&lt;1),"",IF(V135&lt;&gt;"",V135,IFERROR(IF(INDIRECT("'"&amp;V$86&amp;"'!"&amp;VLOOKUP(V$87,'List Values'!$C$3:$D$6,2,FALSE)&amp;ROW(V135))="","",INDIRECT("'"&amp;V$86&amp;"'!"&amp;VLOOKUP(V$87,'List Values'!$C$3:$D$6,2,FALSE)&amp;ROW(V135))),IF(V$86&lt;&gt;"","Data Source Error",""))))</f>
        <v/>
      </c>
      <c r="Y135" s="2643"/>
      <c r="Z135" s="2644"/>
      <c r="AA135" s="2644"/>
      <c r="AB135" s="2645"/>
    </row>
    <row r="136" spans="1:28" ht="28.5" customHeight="1" outlineLevel="1">
      <c r="A136" s="252"/>
      <c r="B136" s="252"/>
      <c r="C136" s="2680" t="s">
        <v>633</v>
      </c>
      <c r="D136" s="2680"/>
      <c r="E136" s="192"/>
      <c r="F136" s="192"/>
      <c r="G136" s="636"/>
      <c r="H136" s="636"/>
      <c r="I136" s="520"/>
      <c r="J136" s="526"/>
      <c r="K136" s="963" t="str">
        <f ca="1">IF(OR($H$7&lt;2,K$133&lt;1),"",IF(J136&lt;&gt;"",J136,IFERROR(IF(INDIRECT("'"&amp;J$86&amp;"'!"&amp;VLOOKUP(J$87,'List Values'!$C$3:$D$6,2,FALSE)&amp;ROW(J136))="","",INDIRECT("'"&amp;J$86&amp;"'!"&amp;VLOOKUP(J$87,'List Values'!$C$3:$D$6,2,FALSE)&amp;ROW(J136))),IF(J$86&lt;&gt;"","Data Source Error",""))))</f>
        <v>Commercial Truck</v>
      </c>
      <c r="L136" s="52"/>
      <c r="M136" s="526"/>
      <c r="N136" s="963" t="str">
        <f ca="1">IF(OR($H$7&lt;3,N$133&lt;1),"",IF(M136&lt;&gt;"",M136,IFERROR(IF(INDIRECT("'"&amp;M$86&amp;"'!"&amp;VLOOKUP(M$87,'List Values'!$C$3:$D$6,2,FALSE)&amp;ROW(M136))="","",INDIRECT("'"&amp;M$86&amp;"'!"&amp;VLOOKUP(M$87,'List Values'!$C$3:$D$6,2,FALSE)&amp;ROW(M136))),IF(M$86&lt;&gt;"","Data Source Error",""))))</f>
        <v>Commercial Truck</v>
      </c>
      <c r="O136" s="187"/>
      <c r="P136" s="560"/>
      <c r="Q136" s="900" t="str">
        <f ca="1">IF(OR($H$7&lt;4,Q$133&lt;1),"",IF(P136&lt;&gt;"",P136,IFERROR(IF(INDIRECT("'"&amp;P$86&amp;"'!"&amp;VLOOKUP(P$87,'List Values'!$C$3:$D$6,2,FALSE)&amp;ROW(P136))="","",INDIRECT("'"&amp;P$86&amp;"'!"&amp;VLOOKUP(P$87,'List Values'!$C$3:$D$6,2,FALSE)&amp;ROW(P136))),IF(P$86&lt;&gt;"","Data Source Error",""))))</f>
        <v/>
      </c>
      <c r="S136" s="560"/>
      <c r="T136" s="900" t="str">
        <f ca="1">IF(OR($H$7&lt;5,T$133&lt;1),"",IF(S136&lt;&gt;"",S136,IFERROR(IF(INDIRECT("'"&amp;S$86&amp;"'!"&amp;VLOOKUP(S$87,'List Values'!$C$3:$D$6,2,FALSE)&amp;ROW(S136))="","",INDIRECT("'"&amp;S$86&amp;"'!"&amp;VLOOKUP(S$87,'List Values'!$C$3:$D$6,2,FALSE)&amp;ROW(S136))),IF(S$86&lt;&gt;"","Data Source Error",""))))</f>
        <v/>
      </c>
      <c r="V136" s="560"/>
      <c r="W136" s="911" t="str">
        <f ca="1">IF(OR($H$7&lt;6,W$133&lt;1),"",IF(V136&lt;&gt;"",V136,IFERROR(IF(INDIRECT("'"&amp;V$86&amp;"'!"&amp;VLOOKUP(V$87,'List Values'!$C$3:$D$6,2,FALSE)&amp;ROW(V136))="","",INDIRECT("'"&amp;V$86&amp;"'!"&amp;VLOOKUP(V$87,'List Values'!$C$3:$D$6,2,FALSE)&amp;ROW(V136))),IF(V$86&lt;&gt;"","Data Source Error",""))))</f>
        <v/>
      </c>
      <c r="Y136" s="2643"/>
      <c r="Z136" s="2644"/>
      <c r="AA136" s="2644"/>
      <c r="AB136" s="2645"/>
    </row>
    <row r="137" spans="1:28" ht="33.75" customHeight="1" outlineLevel="1">
      <c r="A137" s="252"/>
      <c r="B137" s="252"/>
      <c r="C137" s="2680" t="s">
        <v>2517</v>
      </c>
      <c r="D137" s="2680"/>
      <c r="E137" s="192"/>
      <c r="F137" s="192"/>
      <c r="G137" s="636"/>
      <c r="H137" s="637"/>
      <c r="I137" s="182"/>
      <c r="J137" s="561"/>
      <c r="K137" s="962" t="str">
        <f ca="1">IF(OR($H$7&lt;2,K$133&lt;1),"",IF(J137&lt;&gt;"",J137,IFERROR(IF(INDIRECT("'"&amp;J$86&amp;"'!"&amp;VLOOKUP(J$87,'List Values'!$C$3:$D$6,2,FALSE)&amp;ROW(J137))="","",INDIRECT("'"&amp;J$86&amp;"'!"&amp;VLOOKUP(J$87,'List Values'!$C$3:$D$6,2,FALSE)&amp;ROW(J137))),IF(J$86&lt;&gt;"","Data Source Error",""))))</f>
        <v>Owned</v>
      </c>
      <c r="L137" s="182"/>
      <c r="M137" s="561"/>
      <c r="N137" s="969" t="str">
        <f ca="1">IF(OR($H$7&lt;3,N$133&lt;1),"",IF(M137&lt;&gt;"",M137,IFERROR(IF(INDIRECT("'"&amp;M$86&amp;"'!"&amp;VLOOKUP(M$87,'List Values'!$C$3:$D$6,2,FALSE)&amp;ROW(M137))="","",INDIRECT("'"&amp;M$86&amp;"'!"&amp;VLOOKUP(M$87,'List Values'!$C$3:$D$6,2,FALSE)&amp;ROW(M137))),IF(M$86&lt;&gt;"","Data Source Error",""))))</f>
        <v>Owned</v>
      </c>
      <c r="O137" s="183"/>
      <c r="P137" s="558"/>
      <c r="Q137" s="897" t="str">
        <f ca="1">IF(OR($H$7&lt;4,Q$133&lt;1),"",IF(P137&lt;&gt;"",P137,IFERROR(IF(INDIRECT("'"&amp;P$86&amp;"'!"&amp;VLOOKUP(P$87,'List Values'!$C$3:$D$6,2,FALSE)&amp;ROW(P137))="","",INDIRECT("'"&amp;P$86&amp;"'!"&amp;VLOOKUP(P$87,'List Values'!$C$3:$D$6,2,FALSE)&amp;ROW(P137))),IF(P$86&lt;&gt;"","Data Source Error",""))))</f>
        <v/>
      </c>
      <c r="S137" s="558"/>
      <c r="T137" s="897" t="str">
        <f ca="1">IF(OR($H$7&lt;5,T$133&lt;1),"",IF(S137&lt;&gt;"",S137,IFERROR(IF(INDIRECT("'"&amp;S$86&amp;"'!"&amp;VLOOKUP(S$87,'List Values'!$C$3:$D$6,2,FALSE)&amp;ROW(S137))="","",INDIRECT("'"&amp;S$86&amp;"'!"&amp;VLOOKUP(S$87,'List Values'!$C$3:$D$6,2,FALSE)&amp;ROW(S137))),IF(S$86&lt;&gt;"","Data Source Error",""))))</f>
        <v/>
      </c>
      <c r="V137" s="558"/>
      <c r="W137" s="908" t="str">
        <f ca="1">IF(OR($H$7&lt;6,W$133&lt;1),"",IF(V137&lt;&gt;"",V137,IFERROR(IF(INDIRECT("'"&amp;V$86&amp;"'!"&amp;VLOOKUP(V$87,'List Values'!$C$3:$D$6,2,FALSE)&amp;ROW(V137))="","",INDIRECT("'"&amp;V$86&amp;"'!"&amp;VLOOKUP(V$87,'List Values'!$C$3:$D$6,2,FALSE)&amp;ROW(V137))),IF(V$86&lt;&gt;"","Data Source Error",""))))</f>
        <v/>
      </c>
      <c r="Y137" s="2643"/>
      <c r="Z137" s="2644"/>
      <c r="AA137" s="2644"/>
      <c r="AB137" s="2645"/>
    </row>
    <row r="138" spans="1:28" ht="33.75" customHeight="1" outlineLevel="1">
      <c r="A138" s="252"/>
      <c r="B138" s="252"/>
      <c r="C138" s="2684" t="s">
        <v>628</v>
      </c>
      <c r="D138" s="2684"/>
      <c r="E138" s="192"/>
      <c r="F138" s="192"/>
      <c r="G138" s="636"/>
      <c r="H138" s="637"/>
      <c r="I138" s="191"/>
      <c r="J138" s="526"/>
      <c r="K138" s="964" t="str">
        <f ca="1">IF(OR($H$7&lt;2,K$133&lt;1),"",IF(J138&lt;&gt;"",J138,IFERROR(IF(INDIRECT("'"&amp;J$86&amp;"'!"&amp;VLOOKUP(J$87,'List Values'!$C$3:$D$6,2,FALSE)&amp;ROW(J138))="","",INDIRECT("'"&amp;J$86&amp;"'!"&amp;VLOOKUP(J$87,'List Values'!$C$3:$D$6,2,FALSE)&amp;ROW(J138))),IF(J$86&lt;&gt;"","Data Source Error",""))))</f>
        <v xml:space="preserve">$ per km </v>
      </c>
      <c r="L138" s="191"/>
      <c r="M138" s="526"/>
      <c r="N138" s="963" t="str">
        <f ca="1">IF(OR($H$7&lt;3,N$133&lt;1),"",IF(M138&lt;&gt;"",M138,IFERROR(IF(INDIRECT("'"&amp;M$86&amp;"'!"&amp;VLOOKUP(M$87,'List Values'!$C$3:$D$6,2,FALSE)&amp;ROW(M138))="","",INDIRECT("'"&amp;M$86&amp;"'!"&amp;VLOOKUP(M$87,'List Values'!$C$3:$D$6,2,FALSE)&amp;ROW(M138))),IF(M$86&lt;&gt;"","Data Source Error",""))))</f>
        <v xml:space="preserve">$ per km </v>
      </c>
      <c r="O138" s="187"/>
      <c r="P138" s="560"/>
      <c r="Q138" s="900" t="str">
        <f ca="1">IF(OR($H$7&lt;4,Q$133&lt;1),"",IF(P138&lt;&gt;"",P138,IFERROR(IF(INDIRECT("'"&amp;P$86&amp;"'!"&amp;VLOOKUP(P$87,'List Values'!$C$3:$D$6,2,FALSE)&amp;ROW(P138))="","",INDIRECT("'"&amp;P$86&amp;"'!"&amp;VLOOKUP(P$87,'List Values'!$C$3:$D$6,2,FALSE)&amp;ROW(P138))),IF(P$86&lt;&gt;"","Data Source Error",""))))</f>
        <v/>
      </c>
      <c r="S138" s="560"/>
      <c r="T138" s="900" t="str">
        <f ca="1">IF(OR($H$7&lt;5,T$133&lt;1),"",IF(S138&lt;&gt;"",S138,IFERROR(IF(INDIRECT("'"&amp;S$86&amp;"'!"&amp;VLOOKUP(S$87,'List Values'!$C$3:$D$6,2,FALSE)&amp;ROW(S138))="","",INDIRECT("'"&amp;S$86&amp;"'!"&amp;VLOOKUP(S$87,'List Values'!$C$3:$D$6,2,FALSE)&amp;ROW(S138))),IF(S$86&lt;&gt;"","Data Source Error",""))))</f>
        <v/>
      </c>
      <c r="V138" s="560"/>
      <c r="W138" s="911" t="str">
        <f ca="1">IF(OR($H$7&lt;6,W$133&lt;1),"",IF(V138&lt;&gt;"",V138,IFERROR(IF(INDIRECT("'"&amp;V$86&amp;"'!"&amp;VLOOKUP(V$87,'List Values'!$C$3:$D$6,2,FALSE)&amp;ROW(V138))="","",INDIRECT("'"&amp;V$86&amp;"'!"&amp;VLOOKUP(V$87,'List Values'!$C$3:$D$6,2,FALSE)&amp;ROW(V138))),IF(V$86&lt;&gt;"","Data Source Error",""))))</f>
        <v/>
      </c>
      <c r="Y138" s="2643"/>
      <c r="Z138" s="2644"/>
      <c r="AA138" s="2644"/>
      <c r="AB138" s="2645"/>
    </row>
    <row r="139" spans="1:28" ht="33.75" customHeight="1" outlineLevel="1">
      <c r="A139" s="252"/>
      <c r="B139" s="252"/>
      <c r="C139" s="2684" t="s">
        <v>629</v>
      </c>
      <c r="D139" s="2684"/>
      <c r="E139" s="192"/>
      <c r="F139" s="192"/>
      <c r="G139" s="636"/>
      <c r="H139" s="637"/>
      <c r="I139" s="191"/>
      <c r="J139" s="568"/>
      <c r="K139" s="956">
        <f ca="1">IF(OR($H$7&lt;2,K$133&lt;1),"",IF(J139&lt;&gt;"",J139,IFERROR(IF(INDIRECT("'"&amp;J$86&amp;"'!"&amp;VLOOKUP(J$87,'List Values'!$C$3:$D$6,2,FALSE)&amp;ROW(J139))="","",INDIRECT("'"&amp;J$86&amp;"'!"&amp;VLOOKUP(J$87,'List Values'!$C$3:$D$6,2,FALSE)&amp;ROW(J139))*$H$6),IF(J$86&lt;&gt;"","Data Source Error",""))))</f>
        <v>1</v>
      </c>
      <c r="L139" s="622"/>
      <c r="M139" s="568"/>
      <c r="N139" s="956">
        <f ca="1">IF(OR($H$7&lt;3,N$133&lt;1),"",IF(M139&lt;&gt;"",M139,IFERROR(IF(INDIRECT("'"&amp;M$86&amp;"'!"&amp;VLOOKUP(M$87,'List Values'!$C$3:$D$6,2,FALSE)&amp;ROW(M139))="","",INDIRECT("'"&amp;M$86&amp;"'!"&amp;VLOOKUP(M$87,'List Values'!$C$3:$D$6,2,FALSE)&amp;ROW(M139))*$H$6),IF(M$86&lt;&gt;"","Data Source Error",""))))</f>
        <v>1</v>
      </c>
      <c r="O139" s="339"/>
      <c r="P139" s="623"/>
      <c r="Q139" s="936" t="str">
        <f ca="1">IF(OR($H$7&lt;4,Q$133&lt;1),"",IF(P139&lt;&gt;"",P139,IFERROR(IF(INDIRECT("'"&amp;P$86&amp;"'!"&amp;VLOOKUP(P$87,'List Values'!$C$3:$D$6,2,FALSE)&amp;ROW(P139))="","",INDIRECT("'"&amp;P$86&amp;"'!"&amp;VLOOKUP(P$87,'List Values'!$C$3:$D$6,2,FALSE)&amp;ROW(P139))*$H$6),IF(P$86&lt;&gt;"","Data Source Error",""))))</f>
        <v/>
      </c>
      <c r="R139" s="7"/>
      <c r="S139" s="623"/>
      <c r="T139" s="936" t="str">
        <f ca="1">IF(OR($H$7&lt;5,T$133&lt;1),"",IF(S139&lt;&gt;"",S139,IFERROR(IF(INDIRECT("'"&amp;S$86&amp;"'!"&amp;VLOOKUP(S$87,'List Values'!$C$3:$D$6,2,FALSE)&amp;ROW(S139))="","",INDIRECT("'"&amp;S$86&amp;"'!"&amp;VLOOKUP(S$87,'List Values'!$C$3:$D$6,2,FALSE)&amp;ROW(S139))*$H$6),IF(S$86&lt;&gt;"","Data Source Error",""))))</f>
        <v/>
      </c>
      <c r="U139" s="7"/>
      <c r="V139" s="623"/>
      <c r="W139" s="974" t="str">
        <f ca="1">IF(OR($H$7&lt;6,W$133&lt;1),"",IF(V139&lt;&gt;"",V139,IFERROR(IF(INDIRECT("'"&amp;V$86&amp;"'!"&amp;VLOOKUP(V$87,'List Values'!$C$3:$D$6,2,FALSE)&amp;ROW(V139))="","",INDIRECT("'"&amp;V$86&amp;"'!"&amp;VLOOKUP(V$87,'List Values'!$C$3:$D$6,2,FALSE)&amp;ROW(V139))*$H$6),IF(V$86&lt;&gt;"","Data Source Error",""))))</f>
        <v/>
      </c>
      <c r="Y139" s="2643"/>
      <c r="Z139" s="2644"/>
      <c r="AA139" s="2644"/>
      <c r="AB139" s="2645"/>
    </row>
    <row r="140" spans="1:28" ht="18.75" customHeight="1" outlineLevel="1">
      <c r="A140" s="252"/>
      <c r="B140" s="252"/>
      <c r="C140" s="2680" t="s">
        <v>632</v>
      </c>
      <c r="D140" s="2680"/>
      <c r="E140" s="192"/>
      <c r="F140" s="192"/>
      <c r="G140" s="636"/>
      <c r="H140" s="637"/>
      <c r="I140" s="191"/>
      <c r="J140" s="526"/>
      <c r="K140" s="963">
        <f ca="1">IF(OR($H$7&lt;2,K$133&lt;1),"",IF(J140&lt;&gt;"",J140,IFERROR(IF(INDIRECT("'"&amp;J$86&amp;"'!"&amp;VLOOKUP(J$87,'List Values'!$C$3:$D$6,2,FALSE)&amp;ROW(J140))="","",INDIRECT("'"&amp;J$86&amp;"'!"&amp;VLOOKUP(J$87,'List Values'!$C$3:$D$6,2,FALSE)&amp;ROW(J140))),IF(J$86&lt;&gt;"","Data Source Error",""))))</f>
        <v>1</v>
      </c>
      <c r="L140" s="191"/>
      <c r="M140" s="526"/>
      <c r="N140" s="963">
        <f ca="1">IF(OR($H$7&lt;3,N$133&lt;1),"",IF(M140&lt;&gt;"",M140,IFERROR(IF(INDIRECT("'"&amp;M$86&amp;"'!"&amp;VLOOKUP(M$87,'List Values'!$C$3:$D$6,2,FALSE)&amp;ROW(M140))="","",INDIRECT("'"&amp;M$86&amp;"'!"&amp;VLOOKUP(M$87,'List Values'!$C$3:$D$6,2,FALSE)&amp;ROW(M140))),IF(M$86&lt;&gt;"","Data Source Error",""))))</f>
        <v>1.5</v>
      </c>
      <c r="O140" s="187"/>
      <c r="P140" s="560"/>
      <c r="Q140" s="900" t="str">
        <f ca="1">IF(OR($H$7&lt;4,Q$133&lt;1),"",IF(P140&lt;&gt;"",P140,IFERROR(IF(INDIRECT("'"&amp;P$86&amp;"'!"&amp;VLOOKUP(P$87,'List Values'!$C$3:$D$6,2,FALSE)&amp;ROW(P140))="","",INDIRECT("'"&amp;P$86&amp;"'!"&amp;VLOOKUP(P$87,'List Values'!$C$3:$D$6,2,FALSE)&amp;ROW(P140))),IF(P$86&lt;&gt;"","Data Source Error",""))))</f>
        <v/>
      </c>
      <c r="S140" s="560"/>
      <c r="T140" s="900" t="str">
        <f ca="1">IF(OR($H$7&lt;5,T$133&lt;1),"",IF(S140&lt;&gt;"",S140,IFERROR(IF(INDIRECT("'"&amp;S$86&amp;"'!"&amp;VLOOKUP(S$87,'List Values'!$C$3:$D$6,2,FALSE)&amp;ROW(S140))="","",INDIRECT("'"&amp;S$86&amp;"'!"&amp;VLOOKUP(S$87,'List Values'!$C$3:$D$6,2,FALSE)&amp;ROW(S140))),IF(S$86&lt;&gt;"","Data Source Error",""))))</f>
        <v/>
      </c>
      <c r="V140" s="560"/>
      <c r="W140" s="911" t="str">
        <f ca="1">IF(OR($H$7&lt;6,W$133&lt;1),"",IF(V140&lt;&gt;"",V140,IFERROR(IF(INDIRECT("'"&amp;V$86&amp;"'!"&amp;VLOOKUP(V$87,'List Values'!$C$3:$D$6,2,FALSE)&amp;ROW(V140))="","",INDIRECT("'"&amp;V$86&amp;"'!"&amp;VLOOKUP(V$87,'List Values'!$C$3:$D$6,2,FALSE)&amp;ROW(V140))),IF(V$86&lt;&gt;"","Data Source Error",""))))</f>
        <v/>
      </c>
      <c r="Y140" s="2643"/>
      <c r="Z140" s="2644"/>
      <c r="AA140" s="2644"/>
      <c r="AB140" s="2645"/>
    </row>
    <row r="141" spans="1:28" ht="49.5" customHeight="1" outlineLevel="1">
      <c r="A141" s="252"/>
      <c r="B141" s="252"/>
      <c r="C141" s="2680" t="s">
        <v>5476</v>
      </c>
      <c r="D141" s="2680"/>
      <c r="E141" s="192"/>
      <c r="F141" s="192"/>
      <c r="G141" s="636"/>
      <c r="H141" s="637"/>
      <c r="I141" s="191"/>
      <c r="J141" s="619"/>
      <c r="K141" s="964">
        <f ca="1">IF(OR($H$7&lt;2,K$133&lt;1),"",IF(J141&lt;&gt;"",J141,IFERROR(IF(INDIRECT("'"&amp;J$86&amp;"'!"&amp;VLOOKUP(J$87,'List Values'!$C$3:$D$6,2,FALSE)&amp;ROW(J141))="","",INDIRECT("'"&amp;J$86&amp;"'!"&amp;VLOOKUP(J$87,'List Values'!$C$3:$D$6,2,FALSE)&amp;ROW(J141))),IF(J$86&lt;&gt;"","Data Source Error",""))))</f>
        <v>0</v>
      </c>
      <c r="L141" s="620"/>
      <c r="M141" s="619"/>
      <c r="N141" s="964">
        <f ca="1">IF(OR($H$7&lt;3,N$133&lt;1),"",IF(M141&lt;&gt;"",M141,IFERROR(IF(INDIRECT("'"&amp;M$86&amp;"'!"&amp;VLOOKUP(M$87,'List Values'!$C$3:$D$6,2,FALSE)&amp;ROW(M141))="","",INDIRECT("'"&amp;M$86&amp;"'!"&amp;VLOOKUP(M$87,'List Values'!$C$3:$D$6,2,FALSE)&amp;ROW(M141))),IF(M$86&lt;&gt;"","Data Source Error",""))))</f>
        <v>0</v>
      </c>
      <c r="O141" s="621"/>
      <c r="P141" s="619"/>
      <c r="Q141" s="971" t="str">
        <f ca="1">IF(OR($H$7&lt;4,Q$133&lt;1),"",IF(P141&lt;&gt;"",P141,IFERROR(IF(INDIRECT("'"&amp;P$86&amp;"'!"&amp;VLOOKUP(P$87,'List Values'!$C$3:$D$6,2,FALSE)&amp;ROW(P141))="","",INDIRECT("'"&amp;P$86&amp;"'!"&amp;VLOOKUP(P$87,'List Values'!$C$3:$D$6,2,FALSE)&amp;ROW(P141))),IF(P$86&lt;&gt;"","Data Source Error",""))))</f>
        <v/>
      </c>
      <c r="R141" s="147"/>
      <c r="S141" s="619"/>
      <c r="T141" s="971" t="str">
        <f ca="1">IF(OR($H$7&lt;5,T$133&lt;1),"",IF(S141&lt;&gt;"",S141,IFERROR(IF(INDIRECT("'"&amp;S$86&amp;"'!"&amp;VLOOKUP(S$87,'List Values'!$C$3:$D$6,2,FALSE)&amp;ROW(S141))="","",INDIRECT("'"&amp;S$86&amp;"'!"&amp;VLOOKUP(S$87,'List Values'!$C$3:$D$6,2,FALSE)&amp;ROW(S141))),IF(S$86&lt;&gt;"","Data Source Error",""))))</f>
        <v/>
      </c>
      <c r="U141" s="147"/>
      <c r="V141" s="619"/>
      <c r="W141" s="975" t="str">
        <f ca="1">IF(OR($H$7&lt;6,W$133&lt;1),"",IF(V141&lt;&gt;"",V141,IFERROR(IF(INDIRECT("'"&amp;V$86&amp;"'!"&amp;VLOOKUP(V$87,'List Values'!$C$3:$D$6,2,FALSE)&amp;ROW(V141))="","",INDIRECT("'"&amp;V$86&amp;"'!"&amp;VLOOKUP(V$87,'List Values'!$C$3:$D$6,2,FALSE)&amp;ROW(V141))),IF(V$86&lt;&gt;"","Data Source Error",""))))</f>
        <v/>
      </c>
      <c r="Y141" s="2643"/>
      <c r="Z141" s="2644"/>
      <c r="AA141" s="2644"/>
      <c r="AB141" s="2645"/>
    </row>
    <row r="142" spans="1:28" ht="55.5" customHeight="1" outlineLevel="1">
      <c r="A142" s="252"/>
      <c r="B142" s="252"/>
      <c r="C142" s="2680" t="s">
        <v>5477</v>
      </c>
      <c r="D142" s="2680"/>
      <c r="E142" s="192"/>
      <c r="F142" s="192"/>
      <c r="G142" s="636"/>
      <c r="H142" s="637"/>
      <c r="I142" s="191"/>
      <c r="J142" s="619"/>
      <c r="K142" s="964">
        <f ca="1">IF(OR($H$7&lt;2,K$133&lt;1),"",IF(J142&lt;&gt;"",J142,IFERROR(IF(INDIRECT("'"&amp;J$86&amp;"'!"&amp;VLOOKUP(J$87,'List Values'!$C$3:$D$6,2,FALSE)&amp;ROW(J142))="","",INDIRECT("'"&amp;J$86&amp;"'!"&amp;VLOOKUP(J$87,'List Values'!$C$3:$D$6,2,FALSE)&amp;ROW(J142))),IF(J$86&lt;&gt;"","Data Source Error",""))))</f>
        <v>0</v>
      </c>
      <c r="L142" s="620"/>
      <c r="M142" s="619"/>
      <c r="N142" s="964">
        <f ca="1">IF(OR($H$7&lt;3,N$133&lt;1),"",IF(M142&lt;&gt;"",M142,IFERROR(IF(INDIRECT("'"&amp;M$86&amp;"'!"&amp;VLOOKUP(M$87,'List Values'!$C$3:$D$6,2,FALSE)&amp;ROW(M142))="","",INDIRECT("'"&amp;M$86&amp;"'!"&amp;VLOOKUP(M$87,'List Values'!$C$3:$D$6,2,FALSE)&amp;ROW(M142))),IF(M$86&lt;&gt;"","Data Source Error",""))))</f>
        <v>0</v>
      </c>
      <c r="O142" s="621"/>
      <c r="P142" s="619"/>
      <c r="Q142" s="971" t="str">
        <f ca="1">IF(OR($H$7&lt;4,Q$133&lt;1),"",IF(P142&lt;&gt;"",P142,IFERROR(IF(INDIRECT("'"&amp;P$86&amp;"'!"&amp;VLOOKUP(P$87,'List Values'!$C$3:$D$6,2,FALSE)&amp;ROW(P142))="","",INDIRECT("'"&amp;P$86&amp;"'!"&amp;VLOOKUP(P$87,'List Values'!$C$3:$D$6,2,FALSE)&amp;ROW(P142))),IF(P$86&lt;&gt;"","Data Source Error",""))))</f>
        <v/>
      </c>
      <c r="R142" s="147"/>
      <c r="S142" s="619"/>
      <c r="T142" s="971" t="str">
        <f ca="1">IF(OR($H$7&lt;5,T$133&lt;1),"",IF(S142&lt;&gt;"",S142,IFERROR(IF(INDIRECT("'"&amp;S$86&amp;"'!"&amp;VLOOKUP(S$87,'List Values'!$C$3:$D$6,2,FALSE)&amp;ROW(S142))="","",INDIRECT("'"&amp;S$86&amp;"'!"&amp;VLOOKUP(S$87,'List Values'!$C$3:$D$6,2,FALSE)&amp;ROW(S142))),IF(S$86&lt;&gt;"","Data Source Error",""))))</f>
        <v/>
      </c>
      <c r="U142" s="147"/>
      <c r="V142" s="619"/>
      <c r="W142" s="975" t="str">
        <f ca="1">IF(OR($H$7&lt;6,W$133&lt;1),"",IF(V142&lt;&gt;"",V142,IFERROR(IF(INDIRECT("'"&amp;V$86&amp;"'!"&amp;VLOOKUP(V$87,'List Values'!$C$3:$D$6,2,FALSE)&amp;ROW(V142))="","",INDIRECT("'"&amp;V$86&amp;"'!"&amp;VLOOKUP(V$87,'List Values'!$C$3:$D$6,2,FALSE)&amp;ROW(V142))),IF(V$86&lt;&gt;"","Data Source Error",""))))</f>
        <v/>
      </c>
      <c r="Y142" s="2643"/>
      <c r="Z142" s="2644"/>
      <c r="AA142" s="2644"/>
      <c r="AB142" s="2645"/>
    </row>
    <row r="143" spans="1:28" ht="33.75" customHeight="1" outlineLevel="1">
      <c r="A143" s="252"/>
      <c r="B143" s="252"/>
      <c r="C143" s="2680" t="s">
        <v>331</v>
      </c>
      <c r="D143" s="2680"/>
      <c r="E143" s="192"/>
      <c r="F143" s="192"/>
      <c r="G143" s="636"/>
      <c r="H143" s="637"/>
      <c r="I143" s="191"/>
      <c r="J143" s="526"/>
      <c r="K143" s="963" t="str">
        <f ca="1">IF(OR($H$7&lt;2,K$133&lt;1),"",IF(J143&lt;&gt;"",J143,IFERROR(IF(INDIRECT("'"&amp;J$86&amp;"'!"&amp;VLOOKUP(J$87,'List Values'!$C$3:$D$6,2,FALSE)&amp;ROW(J143))="","",INDIRECT("'"&amp;J$86&amp;"'!"&amp;VLOOKUP(J$87,'List Values'!$C$3:$D$6,2,FALSE)&amp;ROW(J143))),IF(J$86&lt;&gt;"","Data Source Error",""))))</f>
        <v>Point-to-point</v>
      </c>
      <c r="L143" s="191"/>
      <c r="M143" s="526"/>
      <c r="N143" s="963" t="str">
        <f ca="1">IF(OR($H$7&lt;3,N$133&lt;1),"",IF(M143&lt;&gt;"",M143,IFERROR(IF(INDIRECT("'"&amp;M$86&amp;"'!"&amp;VLOOKUP(M$87,'List Values'!$C$3:$D$6,2,FALSE)&amp;ROW(M143))="","",INDIRECT("'"&amp;M$86&amp;"'!"&amp;VLOOKUP(M$87,'List Values'!$C$3:$D$6,2,FALSE)&amp;ROW(M143))),IF(M$86&lt;&gt;"","Data Source Error",""))))</f>
        <v>Route-based</v>
      </c>
      <c r="O143" s="187"/>
      <c r="P143" s="523"/>
      <c r="Q143" s="900" t="str">
        <f ca="1">IF(OR($H$7&lt;4,Q$133&lt;1),"",IF(P143&lt;&gt;"",P143,IFERROR(IF(INDIRECT("'"&amp;P$86&amp;"'!"&amp;VLOOKUP(P$87,'List Values'!$C$3:$D$6,2,FALSE)&amp;ROW(P143))="","",INDIRECT("'"&amp;P$86&amp;"'!"&amp;VLOOKUP(P$87,'List Values'!$C$3:$D$6,2,FALSE)&amp;ROW(P143))),IF(P$86&lt;&gt;"","Data Source Error",""))))</f>
        <v/>
      </c>
      <c r="S143" s="523"/>
      <c r="T143" s="900" t="str">
        <f ca="1">IF(OR($H$7&lt;5,T$133&lt;1),"",IF(S143&lt;&gt;"",S143,IFERROR(IF(INDIRECT("'"&amp;S$86&amp;"'!"&amp;VLOOKUP(S$87,'List Values'!$C$3:$D$6,2,FALSE)&amp;ROW(S143))="","",INDIRECT("'"&amp;S$86&amp;"'!"&amp;VLOOKUP(S$87,'List Values'!$C$3:$D$6,2,FALSE)&amp;ROW(S143))),IF(S$86&lt;&gt;"","Data Source Error",""))))</f>
        <v/>
      </c>
      <c r="V143" s="523"/>
      <c r="W143" s="911" t="str">
        <f ca="1">IF(OR($H$7&lt;6,W$133&lt;1),"",IF(V143&lt;&gt;"",V143,IFERROR(IF(INDIRECT("'"&amp;V$86&amp;"'!"&amp;VLOOKUP(V$87,'List Values'!$C$3:$D$6,2,FALSE)&amp;ROW(V143))="","",INDIRECT("'"&amp;V$86&amp;"'!"&amp;VLOOKUP(V$87,'List Values'!$C$3:$D$6,2,FALSE)&amp;ROW(V143))),IF(V$86&lt;&gt;"","Data Source Error",""))))</f>
        <v/>
      </c>
      <c r="Y143" s="2643"/>
      <c r="Z143" s="2644"/>
      <c r="AA143" s="2644"/>
      <c r="AB143" s="2645"/>
    </row>
    <row r="144" spans="1:28" ht="18.75" customHeight="1" outlineLevel="1">
      <c r="A144" s="252"/>
      <c r="B144" s="252"/>
      <c r="C144" s="2684" t="s">
        <v>332</v>
      </c>
      <c r="D144" s="2684"/>
      <c r="E144" s="192"/>
      <c r="F144" s="192"/>
      <c r="G144" s="636"/>
      <c r="H144" s="637"/>
      <c r="I144" s="191"/>
      <c r="J144" s="580"/>
      <c r="K144" s="963">
        <f ca="1">IF(OR($H$7&lt;2,K$133&lt;1),"",IF(J144&lt;&gt;"",J144,IFERROR(IF(INDIRECT("'"&amp;J$86&amp;"'!"&amp;VLOOKUP(J$87,'List Values'!$C$3:$D$6,2,FALSE)&amp;ROW(J144))="","",INDIRECT("'"&amp;J$86&amp;"'!"&amp;VLOOKUP(J$87,'List Values'!$C$3:$D$6,2,FALSE)&amp;ROW(J144))),IF(J$86&lt;&gt;"","Data Source Error",""))))</f>
        <v>2</v>
      </c>
      <c r="L144" s="191"/>
      <c r="M144" s="580"/>
      <c r="N144" s="963">
        <f ca="1">IF(OR($H$7&lt;3,N$133&lt;1),"",IF(M144&lt;&gt;"",M144,IFERROR(IF(INDIRECT("'"&amp;M$86&amp;"'!"&amp;VLOOKUP(M$87,'List Values'!$C$3:$D$6,2,FALSE)&amp;ROW(M144))="","",INDIRECT("'"&amp;M$86&amp;"'!"&amp;VLOOKUP(M$87,'List Values'!$C$3:$D$6,2,FALSE)&amp;ROW(M144))),IF(M$86&lt;&gt;"","Data Source Error",""))))</f>
        <v>2</v>
      </c>
      <c r="O144" s="187"/>
      <c r="P144" s="528"/>
      <c r="Q144" s="900" t="str">
        <f ca="1">IF(OR($H$7&lt;4,Q$133&lt;1),"",IF(P144&lt;&gt;"",P144,IFERROR(IF(INDIRECT("'"&amp;P$86&amp;"'!"&amp;VLOOKUP(P$87,'List Values'!$C$3:$D$6,2,FALSE)&amp;ROW(P144))="","",INDIRECT("'"&amp;P$86&amp;"'!"&amp;VLOOKUP(P$87,'List Values'!$C$3:$D$6,2,FALSE)&amp;ROW(P144))),IF(P$86&lt;&gt;"","Data Source Error",""))))</f>
        <v/>
      </c>
      <c r="S144" s="528"/>
      <c r="T144" s="900" t="str">
        <f ca="1">IF(OR($H$7&lt;5,T$133&lt;1),"",IF(S144&lt;&gt;"",S144,IFERROR(IF(INDIRECT("'"&amp;S$86&amp;"'!"&amp;VLOOKUP(S$87,'List Values'!$C$3:$D$6,2,FALSE)&amp;ROW(S144))="","",INDIRECT("'"&amp;S$86&amp;"'!"&amp;VLOOKUP(S$87,'List Values'!$C$3:$D$6,2,FALSE)&amp;ROW(S144))),IF(S$86&lt;&gt;"","Data Source Error",""))))</f>
        <v/>
      </c>
      <c r="V144" s="528"/>
      <c r="W144" s="911" t="str">
        <f ca="1">IF(OR($H$7&lt;6,W$133&lt;1),"",IF(V144&lt;&gt;"",V144,IFERROR(IF(INDIRECT("'"&amp;V$86&amp;"'!"&amp;VLOOKUP(V$87,'List Values'!$C$3:$D$6,2,FALSE)&amp;ROW(V144))="","",INDIRECT("'"&amp;V$86&amp;"'!"&amp;VLOOKUP(V$87,'List Values'!$C$3:$D$6,2,FALSE)&amp;ROW(V144))),IF(V$86&lt;&gt;"","Data Source Error",""))))</f>
        <v/>
      </c>
      <c r="Y144" s="2643"/>
      <c r="Z144" s="2644"/>
      <c r="AA144" s="2644"/>
      <c r="AB144" s="2645"/>
    </row>
    <row r="145" spans="1:28" ht="30" customHeight="1" outlineLevel="1">
      <c r="A145" s="252"/>
      <c r="B145" s="252"/>
      <c r="C145" s="2680" t="s">
        <v>2519</v>
      </c>
      <c r="D145" s="2680"/>
      <c r="E145" s="192"/>
      <c r="F145" s="192"/>
      <c r="G145" s="636"/>
      <c r="H145" s="637"/>
      <c r="I145" s="191"/>
      <c r="J145" s="580"/>
      <c r="K145" s="963" t="str">
        <f ca="1">IF(OR($H$7&lt;2,K$133&lt;1),"",IF(J145&lt;&gt;"",J145,IFERROR(IF(INDIRECT("'"&amp;J$86&amp;"'!"&amp;VLOOKUP(J$87,'List Values'!$C$3:$D$6,2,FALSE)&amp;ROW(J145))="","",INDIRECT("'"&amp;J$86&amp;"'!"&amp;VLOOKUP(J$87,'List Values'!$C$3:$D$6,2,FALSE)&amp;ROW(J145))),IF(J$86&lt;&gt;"","Data Source Error",""))))</f>
        <v>Transport team - Driver</v>
      </c>
      <c r="L145" s="191"/>
      <c r="M145" s="580"/>
      <c r="N145" s="963" t="str">
        <f ca="1">IF(OR($H$7&lt;3,N$133&lt;1),"",IF(M145&lt;&gt;"",M145,IFERROR(IF(INDIRECT("'"&amp;M$86&amp;"'!"&amp;VLOOKUP(M$87,'List Values'!$C$3:$D$6,2,FALSE)&amp;ROW(M145))="","",INDIRECT("'"&amp;M$86&amp;"'!"&amp;VLOOKUP(M$87,'List Values'!$C$3:$D$6,2,FALSE)&amp;ROW(M145))),IF(M$86&lt;&gt;"","Data Source Error",""))))</f>
        <v>Transport team - Driver</v>
      </c>
      <c r="O145" s="187"/>
      <c r="P145" s="528"/>
      <c r="Q145" s="900" t="str">
        <f ca="1">IF(OR($H$7&lt;4,Q$133&lt;1),"",IF(P145&lt;&gt;"",P145,IFERROR(IF(INDIRECT("'"&amp;P$86&amp;"'!"&amp;VLOOKUP(P$87,'List Values'!$C$3:$D$6,2,FALSE)&amp;ROW(P145))="","",INDIRECT("'"&amp;P$86&amp;"'!"&amp;VLOOKUP(P$87,'List Values'!$C$3:$D$6,2,FALSE)&amp;ROW(P145))),IF(P$86&lt;&gt;"","Data Source Error",""))))</f>
        <v/>
      </c>
      <c r="S145" s="528"/>
      <c r="T145" s="900" t="str">
        <f ca="1">IF(OR($H$7&lt;5,T$133&lt;1),"",IF(S145&lt;&gt;"",S145,IFERROR(IF(INDIRECT("'"&amp;S$86&amp;"'!"&amp;VLOOKUP(S$87,'List Values'!$C$3:$D$6,2,FALSE)&amp;ROW(S145))="","",INDIRECT("'"&amp;S$86&amp;"'!"&amp;VLOOKUP(S$87,'List Values'!$C$3:$D$6,2,FALSE)&amp;ROW(S145))),IF(S$86&lt;&gt;"","Data Source Error",""))))</f>
        <v/>
      </c>
      <c r="V145" s="528"/>
      <c r="W145" s="911" t="str">
        <f ca="1">IF(OR($H$7&lt;6,W$133&lt;1),"",IF(V145&lt;&gt;"",V145,IFERROR(IF(INDIRECT("'"&amp;V$86&amp;"'!"&amp;VLOOKUP(V$87,'List Values'!$C$3:$D$6,2,FALSE)&amp;ROW(V145))="","",INDIRECT("'"&amp;V$86&amp;"'!"&amp;VLOOKUP(V$87,'List Values'!$C$3:$D$6,2,FALSE)&amp;ROW(V145))),IF(V$86&lt;&gt;"","Data Source Error",""))))</f>
        <v/>
      </c>
      <c r="Y145" s="2643"/>
      <c r="Z145" s="2644"/>
      <c r="AA145" s="2644"/>
      <c r="AB145" s="2645"/>
    </row>
    <row r="146" spans="1:28" ht="36" customHeight="1" outlineLevel="1">
      <c r="A146" s="252"/>
      <c r="B146" s="252"/>
      <c r="C146" s="2680" t="s">
        <v>5474</v>
      </c>
      <c r="D146" s="2680"/>
      <c r="E146" s="192"/>
      <c r="F146" s="192"/>
      <c r="G146" s="636"/>
      <c r="H146" s="637"/>
      <c r="I146" s="191"/>
      <c r="J146" s="580"/>
      <c r="K146" s="963">
        <f ca="1">IF(OR($H$7&lt;2,K$133&lt;1),"",IF(J146&lt;&gt;"",J146,IFERROR(IF(INDIRECT("'"&amp;J$86&amp;"'!"&amp;VLOOKUP(J$87,'List Values'!$C$3:$D$6,2,FALSE)&amp;ROW(J146))="","",INDIRECT("'"&amp;J$86&amp;"'!"&amp;VLOOKUP(J$87,'List Values'!$C$3:$D$6,2,FALSE)&amp;ROW(J146))),IF(J$86&lt;&gt;"","Data Source Error",""))))</f>
        <v>0</v>
      </c>
      <c r="L146" s="191"/>
      <c r="M146" s="580"/>
      <c r="N146" s="963">
        <f ca="1">IF(OR($H$7&lt;3,N$133&lt;1),"",IF(M146&lt;&gt;"",M146,IFERROR(IF(INDIRECT("'"&amp;M$86&amp;"'!"&amp;VLOOKUP(M$87,'List Values'!$C$3:$D$6,2,FALSE)&amp;ROW(M146))="","",INDIRECT("'"&amp;M$86&amp;"'!"&amp;VLOOKUP(M$87,'List Values'!$C$3:$D$6,2,FALSE)&amp;ROW(M146))),IF(M$86&lt;&gt;"","Data Source Error",""))))</f>
        <v>0</v>
      </c>
      <c r="O146" s="187"/>
      <c r="P146" s="528"/>
      <c r="Q146" s="900" t="str">
        <f ca="1">IF(OR($H$7&lt;4,Q$133&lt;1),"",IF(P146&lt;&gt;"",P146,IFERROR(IF(INDIRECT("'"&amp;P$86&amp;"'!"&amp;VLOOKUP(P$87,'List Values'!$C$3:$D$6,2,FALSE)&amp;ROW(P146))="","",INDIRECT("'"&amp;P$86&amp;"'!"&amp;VLOOKUP(P$87,'List Values'!$C$3:$D$6,2,FALSE)&amp;ROW(P146))),IF(P$86&lt;&gt;"","Data Source Error",""))))</f>
        <v/>
      </c>
      <c r="S146" s="528"/>
      <c r="T146" s="900" t="str">
        <f ca="1">IF(OR($H$7&lt;5,T$133&lt;1),"",IF(S146&lt;&gt;"",S146,IFERROR(IF(INDIRECT("'"&amp;S$86&amp;"'!"&amp;VLOOKUP(S$87,'List Values'!$C$3:$D$6,2,FALSE)&amp;ROW(S146))="","",INDIRECT("'"&amp;S$86&amp;"'!"&amp;VLOOKUP(S$87,'List Values'!$C$3:$D$6,2,FALSE)&amp;ROW(S146))),IF(S$86&lt;&gt;"","Data Source Error",""))))</f>
        <v/>
      </c>
      <c r="V146" s="528"/>
      <c r="W146" s="911" t="str">
        <f ca="1">IF(OR($H$7&lt;6,W$133&lt;1),"",IF(V146&lt;&gt;"",V146,IFERROR(IF(INDIRECT("'"&amp;V$86&amp;"'!"&amp;VLOOKUP(V$87,'List Values'!$C$3:$D$6,2,FALSE)&amp;ROW(V146))="","",INDIRECT("'"&amp;V$86&amp;"'!"&amp;VLOOKUP(V$87,'List Values'!$C$3:$D$6,2,FALSE)&amp;ROW(V146))),IF(V$86&lt;&gt;"","Data Source Error",""))))</f>
        <v/>
      </c>
      <c r="Y146" s="2643"/>
      <c r="Z146" s="2644"/>
      <c r="AA146" s="2644"/>
      <c r="AB146" s="2645"/>
    </row>
    <row r="147" spans="1:28" ht="28.5" customHeight="1" outlineLevel="1">
      <c r="A147" s="252"/>
      <c r="B147" s="252"/>
      <c r="C147" s="2684" t="s">
        <v>5475</v>
      </c>
      <c r="D147" s="2684"/>
      <c r="E147" s="192"/>
      <c r="F147" s="192"/>
      <c r="G147" s="636"/>
      <c r="H147" s="637"/>
      <c r="I147" s="191"/>
      <c r="J147" s="580"/>
      <c r="K147" s="963" t="str">
        <f ca="1">IF(OR($H$7&lt;2,K$133&lt;1),"",IF(J147&lt;&gt;"",J147,IFERROR(IF(INDIRECT("'"&amp;J$86&amp;"'!"&amp;VLOOKUP(J$87,'List Values'!$C$3:$D$6,2,FALSE)&amp;ROW(J147))="","",INDIRECT("'"&amp;J$86&amp;"'!"&amp;VLOOKUP(J$87,'List Values'!$C$3:$D$6,2,FALSE)&amp;ROW(J147))),IF(J$86&lt;&gt;"","Data Source Error",""))))</f>
        <v/>
      </c>
      <c r="L147" s="191"/>
      <c r="M147" s="580"/>
      <c r="N147" s="963" t="str">
        <f ca="1">IF(OR($H$7&lt;3,N$133&lt;1),"",IF(M147&lt;&gt;"",M147,IFERROR(IF(INDIRECT("'"&amp;M$86&amp;"'!"&amp;VLOOKUP(M$87,'List Values'!$C$3:$D$6,2,FALSE)&amp;ROW(M147))="","",INDIRECT("'"&amp;M$86&amp;"'!"&amp;VLOOKUP(M$87,'List Values'!$C$3:$D$6,2,FALSE)&amp;ROW(M147))),IF(M$86&lt;&gt;"","Data Source Error",""))))</f>
        <v/>
      </c>
      <c r="O147" s="187"/>
      <c r="P147" s="528"/>
      <c r="Q147" s="900" t="str">
        <f ca="1">IF(OR($H$7&lt;4,Q$133&lt;1),"",IF(P147&lt;&gt;"",P147,IFERROR(IF(INDIRECT("'"&amp;P$86&amp;"'!"&amp;VLOOKUP(P$87,'List Values'!$C$3:$D$6,2,FALSE)&amp;ROW(P147))="","",INDIRECT("'"&amp;P$86&amp;"'!"&amp;VLOOKUP(P$87,'List Values'!$C$3:$D$6,2,FALSE)&amp;ROW(P147))),IF(P$86&lt;&gt;"","Data Source Error",""))))</f>
        <v/>
      </c>
      <c r="S147" s="528"/>
      <c r="T147" s="900" t="str">
        <f ca="1">IF(OR($H$7&lt;5,T$133&lt;1),"",IF(S147&lt;&gt;"",S147,IFERROR(IF(INDIRECT("'"&amp;S$86&amp;"'!"&amp;VLOOKUP(S$87,'List Values'!$C$3:$D$6,2,FALSE)&amp;ROW(S147))="","",INDIRECT("'"&amp;S$86&amp;"'!"&amp;VLOOKUP(S$87,'List Values'!$C$3:$D$6,2,FALSE)&amp;ROW(S147))),IF(S$86&lt;&gt;"","Data Source Error",""))))</f>
        <v/>
      </c>
      <c r="V147" s="528"/>
      <c r="W147" s="911" t="str">
        <f ca="1">IF(OR($H$7&lt;6,W$133&lt;1),"",IF(V147&lt;&gt;"",V147,IFERROR(IF(INDIRECT("'"&amp;V$86&amp;"'!"&amp;VLOOKUP(V$87,'List Values'!$C$3:$D$6,2,FALSE)&amp;ROW(V147))="","",INDIRECT("'"&amp;V$86&amp;"'!"&amp;VLOOKUP(V$87,'List Values'!$C$3:$D$6,2,FALSE)&amp;ROW(V147))),IF(V$86&lt;&gt;"","Data Source Error",""))))</f>
        <v/>
      </c>
      <c r="Y147" s="2643"/>
      <c r="Z147" s="2644"/>
      <c r="AA147" s="2644"/>
      <c r="AB147" s="2645"/>
    </row>
    <row r="148" spans="1:28" ht="37.5" customHeight="1" outlineLevel="1">
      <c r="A148" s="252"/>
      <c r="B148" s="252"/>
      <c r="C148" s="2680" t="s">
        <v>5478</v>
      </c>
      <c r="D148" s="2680"/>
      <c r="E148" s="192"/>
      <c r="F148" s="192"/>
      <c r="G148" s="636"/>
      <c r="H148" s="637"/>
      <c r="I148" s="191"/>
      <c r="J148" s="580"/>
      <c r="K148" s="963">
        <f ca="1">IF(OR($H$7&lt;2,K$133&lt;1),"",IF(J148&lt;&gt;"",J148,IFERROR(IF(INDIRECT("'"&amp;J$86&amp;"'!"&amp;VLOOKUP(J$87,'List Values'!$C$3:$D$6,2,FALSE)&amp;ROW(J148))="","",INDIRECT("'"&amp;J$86&amp;"'!"&amp;VLOOKUP(J$87,'List Values'!$C$3:$D$6,2,FALSE)&amp;ROW(J148))),IF(J$86&lt;&gt;"","Data Source Error",""))))</f>
        <v>60</v>
      </c>
      <c r="L148" s="191"/>
      <c r="M148" s="580"/>
      <c r="N148" s="963">
        <f ca="1">IF(OR($H$7&lt;3,N$133&lt;1),"",IF(M148&lt;&gt;"",M148,IFERROR(IF(INDIRECT("'"&amp;M$86&amp;"'!"&amp;VLOOKUP(M$87,'List Values'!$C$3:$D$6,2,FALSE)&amp;ROW(M148))="","",INDIRECT("'"&amp;M$86&amp;"'!"&amp;VLOOKUP(M$87,'List Values'!$C$3:$D$6,2,FALSE)&amp;ROW(M148))),IF(M$86&lt;&gt;"","Data Source Error",""))))</f>
        <v>20</v>
      </c>
      <c r="O148" s="187"/>
      <c r="P148" s="528"/>
      <c r="Q148" s="900" t="str">
        <f ca="1">IF(OR($H$7&lt;4,Q$133&lt;1),"",IF(P148&lt;&gt;"",P148,IFERROR(IF(INDIRECT("'"&amp;P$86&amp;"'!"&amp;VLOOKUP(P$87,'List Values'!$C$3:$D$6,2,FALSE)&amp;ROW(P148))="","",INDIRECT("'"&amp;P$86&amp;"'!"&amp;VLOOKUP(P$87,'List Values'!$C$3:$D$6,2,FALSE)&amp;ROW(P148))),IF(P$86&lt;&gt;"","Data Source Error",""))))</f>
        <v/>
      </c>
      <c r="S148" s="528"/>
      <c r="T148" s="900" t="str">
        <f ca="1">IF(OR($H$7&lt;5,T$133&lt;1),"",IF(S148&lt;&gt;"",S148,IFERROR(IF(INDIRECT("'"&amp;S$86&amp;"'!"&amp;VLOOKUP(S$87,'List Values'!$C$3:$D$6,2,FALSE)&amp;ROW(S148))="","",INDIRECT("'"&amp;S$86&amp;"'!"&amp;VLOOKUP(S$87,'List Values'!$C$3:$D$6,2,FALSE)&amp;ROW(S148))),IF(S$86&lt;&gt;"","Data Source Error",""))))</f>
        <v/>
      </c>
      <c r="V148" s="528"/>
      <c r="W148" s="911" t="str">
        <f ca="1">IF(OR($H$7&lt;6,W$133&lt;1),"",IF(V148&lt;&gt;"",V148,IFERROR(IF(INDIRECT("'"&amp;V$86&amp;"'!"&amp;VLOOKUP(V$87,'List Values'!$C$3:$D$6,2,FALSE)&amp;ROW(V148))="","",INDIRECT("'"&amp;V$86&amp;"'!"&amp;VLOOKUP(V$87,'List Values'!$C$3:$D$6,2,FALSE)&amp;ROW(V148))),IF(V$86&lt;&gt;"","Data Source Error",""))))</f>
        <v/>
      </c>
      <c r="Y148" s="2643"/>
      <c r="Z148" s="2644"/>
      <c r="AA148" s="2644"/>
      <c r="AB148" s="2645"/>
    </row>
    <row r="149" spans="1:28" ht="56.25" customHeight="1" outlineLevel="1">
      <c r="A149" s="252"/>
      <c r="B149" s="252"/>
      <c r="C149" s="2680" t="s">
        <v>5479</v>
      </c>
      <c r="D149" s="2680"/>
      <c r="E149" s="192"/>
      <c r="F149" s="192"/>
      <c r="G149" s="636"/>
      <c r="H149" s="637"/>
      <c r="I149" s="191"/>
      <c r="J149" s="580"/>
      <c r="K149" s="963">
        <f ca="1">IF(OR($H$7&lt;2,K$133&lt;1),"",IF(J149&lt;&gt;"",J149,IFERROR(IF(INDIRECT("'"&amp;J$86&amp;"'!"&amp;VLOOKUP(J$87,'List Values'!$C$3:$D$6,2,FALSE)&amp;ROW(J149))="","",INDIRECT("'"&amp;J$86&amp;"'!"&amp;VLOOKUP(J$87,'List Values'!$C$3:$D$6,2,FALSE)&amp;ROW(J149))),IF(J$86&lt;&gt;"","Data Source Error",""))))</f>
        <v>0</v>
      </c>
      <c r="L149" s="191"/>
      <c r="M149" s="580"/>
      <c r="N149" s="963">
        <f ca="1">IF(OR($H$7&lt;3,N$133&lt;1),"",IF(M149&lt;&gt;"",M149,IFERROR(IF(INDIRECT("'"&amp;M$86&amp;"'!"&amp;VLOOKUP(M$87,'List Values'!$C$3:$D$6,2,FALSE)&amp;ROW(M149))="","",INDIRECT("'"&amp;M$86&amp;"'!"&amp;VLOOKUP(M$87,'List Values'!$C$3:$D$6,2,FALSE)&amp;ROW(M149))),IF(M$86&lt;&gt;"","Data Source Error",""))))</f>
        <v>0</v>
      </c>
      <c r="O149" s="187"/>
      <c r="P149" s="528"/>
      <c r="Q149" s="900" t="str">
        <f ca="1">IF(OR($H$7&lt;4,Q$133&lt;1),"",IF(P149&lt;&gt;"",P149,IFERROR(IF(INDIRECT("'"&amp;P$86&amp;"'!"&amp;VLOOKUP(P$87,'List Values'!$C$3:$D$6,2,FALSE)&amp;ROW(P149))="","",INDIRECT("'"&amp;P$86&amp;"'!"&amp;VLOOKUP(P$87,'List Values'!$C$3:$D$6,2,FALSE)&amp;ROW(P149))),IF(P$86&lt;&gt;"","Data Source Error",""))))</f>
        <v/>
      </c>
      <c r="S149" s="528"/>
      <c r="T149" s="900" t="str">
        <f ca="1">IF(OR($H$7&lt;5,T$133&lt;1),"",IF(S149&lt;&gt;"",S149,IFERROR(IF(INDIRECT("'"&amp;S$86&amp;"'!"&amp;VLOOKUP(S$87,'List Values'!$C$3:$D$6,2,FALSE)&amp;ROW(S149))="","",INDIRECT("'"&amp;S$86&amp;"'!"&amp;VLOOKUP(S$87,'List Values'!$C$3:$D$6,2,FALSE)&amp;ROW(S149))),IF(S$86&lt;&gt;"","Data Source Error",""))))</f>
        <v/>
      </c>
      <c r="V149" s="528"/>
      <c r="W149" s="911" t="str">
        <f ca="1">IF(OR($H$7&lt;6,W$133&lt;1),"",IF(V149&lt;&gt;"",V149,IFERROR(IF(INDIRECT("'"&amp;V$86&amp;"'!"&amp;VLOOKUP(V$87,'List Values'!$C$3:$D$6,2,FALSE)&amp;ROW(V149))="","",INDIRECT("'"&amp;V$86&amp;"'!"&amp;VLOOKUP(V$87,'List Values'!$C$3:$D$6,2,FALSE)&amp;ROW(V149))),IF(V$86&lt;&gt;"","Data Source Error",""))))</f>
        <v/>
      </c>
      <c r="Y149" s="2643"/>
      <c r="Z149" s="2644"/>
      <c r="AA149" s="2644"/>
      <c r="AB149" s="2645"/>
    </row>
    <row r="150" spans="1:28" ht="51.75" customHeight="1" outlineLevel="1">
      <c r="A150" s="252"/>
      <c r="B150" s="252"/>
      <c r="C150" s="2680" t="s">
        <v>5480</v>
      </c>
      <c r="D150" s="2680"/>
      <c r="E150" s="192"/>
      <c r="F150" s="192"/>
      <c r="G150" s="636"/>
      <c r="H150" s="637"/>
      <c r="I150" s="191"/>
      <c r="J150" s="580"/>
      <c r="K150" s="963">
        <f ca="1">IF(OR($H$7&lt;2,K$133&lt;1),"",IF(J150&lt;&gt;"",J150,IFERROR(IF(INDIRECT("'"&amp;J$86&amp;"'!"&amp;VLOOKUP(J$87,'List Values'!$C$3:$D$6,2,FALSE)&amp;ROW(J150))="","",INDIRECT("'"&amp;J$86&amp;"'!"&amp;VLOOKUP(J$87,'List Values'!$C$3:$D$6,2,FALSE)&amp;ROW(J150))),IF(J$86&lt;&gt;"","Data Source Error",""))))</f>
        <v>0</v>
      </c>
      <c r="L150" s="191"/>
      <c r="M150" s="580"/>
      <c r="N150" s="963">
        <f ca="1">IF(OR($H$7&lt;3,N$133&lt;1),"",IF(M150&lt;&gt;"",M150,IFERROR(IF(INDIRECT("'"&amp;M$86&amp;"'!"&amp;VLOOKUP(M$87,'List Values'!$C$3:$D$6,2,FALSE)&amp;ROW(M150))="","",INDIRECT("'"&amp;M$86&amp;"'!"&amp;VLOOKUP(M$87,'List Values'!$C$3:$D$6,2,FALSE)&amp;ROW(M150))),IF(M$86&lt;&gt;"","Data Source Error",""))))</f>
        <v>0</v>
      </c>
      <c r="O150" s="187"/>
      <c r="P150" s="528"/>
      <c r="Q150" s="900" t="str">
        <f ca="1">IF(OR($H$7&lt;4,Q$133&lt;1),"",IF(P150&lt;&gt;"",P150,IFERROR(IF(INDIRECT("'"&amp;P$86&amp;"'!"&amp;VLOOKUP(P$87,'List Values'!$C$3:$D$6,2,FALSE)&amp;ROW(P150))="","",INDIRECT("'"&amp;P$86&amp;"'!"&amp;VLOOKUP(P$87,'List Values'!$C$3:$D$6,2,FALSE)&amp;ROW(P150))),IF(P$86&lt;&gt;"","Data Source Error",""))))</f>
        <v/>
      </c>
      <c r="S150" s="528"/>
      <c r="T150" s="900" t="str">
        <f ca="1">IF(OR($H$7&lt;5,T$133&lt;1),"",IF(S150&lt;&gt;"",S150,IFERROR(IF(INDIRECT("'"&amp;S$86&amp;"'!"&amp;VLOOKUP(S$87,'List Values'!$C$3:$D$6,2,FALSE)&amp;ROW(S150))="","",INDIRECT("'"&amp;S$86&amp;"'!"&amp;VLOOKUP(S$87,'List Values'!$C$3:$D$6,2,FALSE)&amp;ROW(S150))),IF(S$86&lt;&gt;"","Data Source Error",""))))</f>
        <v/>
      </c>
      <c r="V150" s="528"/>
      <c r="W150" s="911" t="str">
        <f ca="1">IF(OR($H$7&lt;6,W$133&lt;1),"",IF(V150&lt;&gt;"",V150,IFERROR(IF(INDIRECT("'"&amp;V$86&amp;"'!"&amp;VLOOKUP(V$87,'List Values'!$C$3:$D$6,2,FALSE)&amp;ROW(V150))="","",INDIRECT("'"&amp;V$86&amp;"'!"&amp;VLOOKUP(V$87,'List Values'!$C$3:$D$6,2,FALSE)&amp;ROW(V150))),IF(V$86&lt;&gt;"","Data Source Error",""))))</f>
        <v/>
      </c>
      <c r="Y150" s="2643"/>
      <c r="Z150" s="2644"/>
      <c r="AA150" s="2644"/>
      <c r="AB150" s="2645"/>
    </row>
    <row r="151" spans="1:28" ht="18.75" customHeight="1" outlineLevel="1">
      <c r="A151" s="252"/>
      <c r="B151" s="252"/>
      <c r="C151" s="2680" t="s">
        <v>648</v>
      </c>
      <c r="D151" s="2680"/>
      <c r="E151" s="192"/>
      <c r="F151" s="192"/>
      <c r="G151" s="636"/>
      <c r="H151" s="637"/>
      <c r="I151" s="191"/>
      <c r="J151" s="580"/>
      <c r="K151" s="963">
        <f ca="1">IF(OR($H$7&lt;2,K$133&lt;1),"",IF(J151&lt;&gt;"",J151,IFERROR(IF(INDIRECT("'"&amp;J$86&amp;"'!"&amp;VLOOKUP(J$87,'List Values'!$C$3:$D$6,2,FALSE)&amp;ROW(J151))="","",INDIRECT("'"&amp;J$86&amp;"'!"&amp;VLOOKUP(J$87,'List Values'!$C$3:$D$6,2,FALSE)&amp;ROW(J151))),IF(J$86&lt;&gt;"","Data Source Error",""))))</f>
        <v>100</v>
      </c>
      <c r="L151" s="191"/>
      <c r="M151" s="580"/>
      <c r="N151" s="963">
        <f ca="1">IF(OR($H$7&lt;3,N$133&lt;1),"",IF(M151&lt;&gt;"",M151,IFERROR(IF(INDIRECT("'"&amp;M$86&amp;"'!"&amp;VLOOKUP(M$87,'List Values'!$C$3:$D$6,2,FALSE)&amp;ROW(M151))="","",INDIRECT("'"&amp;M$86&amp;"'!"&amp;VLOOKUP(M$87,'List Values'!$C$3:$D$6,2,FALSE)&amp;ROW(M151))),IF(M$86&lt;&gt;"","Data Source Error",""))))</f>
        <v>25</v>
      </c>
      <c r="O151" s="187"/>
      <c r="P151" s="528"/>
      <c r="Q151" s="900" t="str">
        <f ca="1">IF(OR($H$7&lt;4,Q$133&lt;1),"",IF(P151&lt;&gt;"",P151,IFERROR(IF(INDIRECT("'"&amp;P$86&amp;"'!"&amp;VLOOKUP(P$87,'List Values'!$C$3:$D$6,2,FALSE)&amp;ROW(P151))="","",INDIRECT("'"&amp;P$86&amp;"'!"&amp;VLOOKUP(P$87,'List Values'!$C$3:$D$6,2,FALSE)&amp;ROW(P151))),IF(P$86&lt;&gt;"","Data Source Error",""))))</f>
        <v/>
      </c>
      <c r="S151" s="528"/>
      <c r="T151" s="900" t="str">
        <f ca="1">IF(OR($H$7&lt;5,T$133&lt;1),"",IF(S151&lt;&gt;"",S151,IFERROR(IF(INDIRECT("'"&amp;S$86&amp;"'!"&amp;VLOOKUP(S$87,'List Values'!$C$3:$D$6,2,FALSE)&amp;ROW(S151))="","",INDIRECT("'"&amp;S$86&amp;"'!"&amp;VLOOKUP(S$87,'List Values'!$C$3:$D$6,2,FALSE)&amp;ROW(S151))),IF(S$86&lt;&gt;"","Data Source Error",""))))</f>
        <v/>
      </c>
      <c r="V151" s="528"/>
      <c r="W151" s="911" t="str">
        <f ca="1">IF(OR($H$7&lt;6,W$133&lt;1),"",IF(V151&lt;&gt;"",V151,IFERROR(IF(INDIRECT("'"&amp;V$86&amp;"'!"&amp;VLOOKUP(V$87,'List Values'!$C$3:$D$6,2,FALSE)&amp;ROW(V151))="","",INDIRECT("'"&amp;V$86&amp;"'!"&amp;VLOOKUP(V$87,'List Values'!$C$3:$D$6,2,FALSE)&amp;ROW(V151))),IF(V$86&lt;&gt;"","Data Source Error",""))))</f>
        <v/>
      </c>
      <c r="Y151" s="2643"/>
      <c r="Z151" s="2644"/>
      <c r="AA151" s="2644"/>
      <c r="AB151" s="2645"/>
    </row>
    <row r="152" spans="1:28" ht="33.75" customHeight="1" outlineLevel="1" thickBot="1">
      <c r="A152" s="252"/>
      <c r="B152" s="252"/>
      <c r="C152" s="2680" t="s">
        <v>649</v>
      </c>
      <c r="D152" s="2680"/>
      <c r="E152" s="192"/>
      <c r="F152" s="192"/>
      <c r="G152" s="636"/>
      <c r="H152" s="637"/>
      <c r="I152" s="239"/>
      <c r="J152" s="624"/>
      <c r="K152" s="965">
        <f ca="1">IF(OR($H$7&lt;2,K$133&lt;1),"",IF(J152&lt;&gt;"",J152,IFERROR(IF(INDIRECT("'"&amp;J$86&amp;"'!"&amp;VLOOKUP(J$87,'List Values'!$C$3:$D$6,2,FALSE)&amp;ROW(J152))="","",INDIRECT("'"&amp;J$86&amp;"'!"&amp;VLOOKUP(J$87,'List Values'!$C$3:$D$6,2,FALSE)&amp;ROW(J152))),IF(J$86&lt;&gt;"","Data Source Error",""))))</f>
        <v>100</v>
      </c>
      <c r="L152" s="239"/>
      <c r="M152" s="624"/>
      <c r="N152" s="965">
        <f ca="1">IF(OR($H$7&lt;3,N$133&lt;1),"",IF(M152&lt;&gt;"",M152,IFERROR(IF(INDIRECT("'"&amp;M$86&amp;"'!"&amp;VLOOKUP(M$87,'List Values'!$C$3:$D$6,2,FALSE)&amp;ROW(M152))="","",INDIRECT("'"&amp;M$86&amp;"'!"&amp;VLOOKUP(M$87,'List Values'!$C$3:$D$6,2,FALSE)&amp;ROW(M152))),IF(M$86&lt;&gt;"","Data Source Error",""))))</f>
        <v>100</v>
      </c>
      <c r="O152" s="625"/>
      <c r="P152" s="528"/>
      <c r="Q152" s="900" t="str">
        <f ca="1">IF(OR($H$7&lt;4,Q$133&lt;1),"",IF(P152&lt;&gt;"",P152,IFERROR(IF(INDIRECT("'"&amp;P$86&amp;"'!"&amp;VLOOKUP(P$87,'List Values'!$C$3:$D$6,2,FALSE)&amp;ROW(P152))="","",INDIRECT("'"&amp;P$86&amp;"'!"&amp;VLOOKUP(P$87,'List Values'!$C$3:$D$6,2,FALSE)&amp;ROW(P152))),IF(P$86&lt;&gt;"","Data Source Error",""))))</f>
        <v/>
      </c>
      <c r="S152" s="528"/>
      <c r="T152" s="900" t="str">
        <f ca="1">IF(OR($H$7&lt;5,T$133&lt;1),"",IF(S152&lt;&gt;"",S152,IFERROR(IF(INDIRECT("'"&amp;S$86&amp;"'!"&amp;VLOOKUP(S$87,'List Values'!$C$3:$D$6,2,FALSE)&amp;ROW(S152))="","",INDIRECT("'"&amp;S$86&amp;"'!"&amp;VLOOKUP(S$87,'List Values'!$C$3:$D$6,2,FALSE)&amp;ROW(S152))),IF(S$86&lt;&gt;"","Data Source Error",""))))</f>
        <v/>
      </c>
      <c r="V152" s="528"/>
      <c r="W152" s="911" t="str">
        <f ca="1">IF(OR($H$7&lt;6,W$133&lt;1),"",IF(V152&lt;&gt;"",V152,IFERROR(IF(INDIRECT("'"&amp;V$86&amp;"'!"&amp;VLOOKUP(V$87,'List Values'!$C$3:$D$6,2,FALSE)&amp;ROW(V152))="","",INDIRECT("'"&amp;V$86&amp;"'!"&amp;VLOOKUP(V$87,'List Values'!$C$3:$D$6,2,FALSE)&amp;ROW(V152))),IF(V$86&lt;&gt;"","Data Source Error",""))))</f>
        <v/>
      </c>
      <c r="Y152" s="2643"/>
      <c r="Z152" s="2644"/>
      <c r="AA152" s="2644"/>
      <c r="AB152" s="2645"/>
    </row>
    <row r="153" spans="1:28" ht="33.75" customHeight="1" outlineLevel="1">
      <c r="A153" s="237"/>
      <c r="B153" s="252"/>
      <c r="C153" s="2680" t="s">
        <v>415</v>
      </c>
      <c r="D153" s="2680"/>
      <c r="E153" s="238"/>
      <c r="F153" s="238"/>
      <c r="G153" s="638"/>
      <c r="H153" s="639"/>
      <c r="I153" s="52"/>
      <c r="J153" s="583"/>
      <c r="K153" s="965" t="str">
        <f ca="1">IF(OR($H$7&lt;2,K$133&lt;1),"",IF(J153&lt;&gt;"",J153,IFERROR(IF(INDIRECT("'"&amp;J$86&amp;"'!"&amp;VLOOKUP(J$87,'List Values'!$C$3:$D$6,2,FALSE)&amp;ROW(J153))="","",INDIRECT("'"&amp;J$86&amp;"'!"&amp;VLOOKUP(J$87,'List Values'!$C$3:$D$6,2,FALSE)&amp;ROW(J153))),IF(J$86&lt;&gt;"","Data Source Error",""))))</f>
        <v>No</v>
      </c>
      <c r="L153" s="52"/>
      <c r="M153" s="583"/>
      <c r="N153" s="965" t="str">
        <f ca="1">IF(OR($H$7&lt;3,N$133&lt;1),"",IF(M153&lt;&gt;"",M153,IFERROR(IF(INDIRECT("'"&amp;M$86&amp;"'!"&amp;VLOOKUP(M$87,'List Values'!$C$3:$D$6,2,FALSE)&amp;ROW(M153))="","",INDIRECT("'"&amp;M$86&amp;"'!"&amp;VLOOKUP(M$87,'List Values'!$C$3:$D$6,2,FALSE)&amp;ROW(M153))),IF(M$86&lt;&gt;"","Data Source Error",""))))</f>
        <v>No</v>
      </c>
      <c r="P153" s="582"/>
      <c r="Q153" s="941" t="str">
        <f ca="1">IF(OR($H$7&lt;4,Q$133&lt;1),"",IF(P153&lt;&gt;"",P153,IFERROR(IF(INDIRECT("'"&amp;P$86&amp;"'!"&amp;VLOOKUP(P$87,'List Values'!$C$3:$D$6,2,FALSE)&amp;ROW(P153))="","",INDIRECT("'"&amp;P$86&amp;"'!"&amp;VLOOKUP(P$87,'List Values'!$C$3:$D$6,2,FALSE)&amp;ROW(P153))),IF(P$86&lt;&gt;"","Data Source Error",""))))</f>
        <v/>
      </c>
      <c r="S153" s="582"/>
      <c r="T153" s="972" t="str">
        <f ca="1">IF(OR($H$7&lt;5,T$133&lt;1),"",IF(S153&lt;&gt;"",S153,IFERROR(IF(INDIRECT("'"&amp;S$86&amp;"'!"&amp;VLOOKUP(S$87,'List Values'!$C$3:$D$6,2,FALSE)&amp;ROW(S153))="","",INDIRECT("'"&amp;S$86&amp;"'!"&amp;VLOOKUP(S$87,'List Values'!$C$3:$D$6,2,FALSE)&amp;ROW(S153))),IF(S$86&lt;&gt;"","Data Source Error",""))))</f>
        <v/>
      </c>
      <c r="V153" s="582"/>
      <c r="W153" s="976" t="str">
        <f ca="1">IF(OR($H$7&lt;6,W$133&lt;1),"",IF(V153&lt;&gt;"",V153,IFERROR(IF(INDIRECT("'"&amp;V$86&amp;"'!"&amp;VLOOKUP(V$87,'List Values'!$C$3:$D$6,2,FALSE)&amp;ROW(V153))="","",INDIRECT("'"&amp;V$86&amp;"'!"&amp;VLOOKUP(V$87,'List Values'!$C$3:$D$6,2,FALSE)&amp;ROW(V153))),IF(V$86&lt;&gt;"","Data Source Error",""))))</f>
        <v/>
      </c>
      <c r="Y153" s="2643"/>
      <c r="Z153" s="2644"/>
      <c r="AA153" s="2644"/>
      <c r="AB153" s="2645"/>
    </row>
    <row r="154" spans="1:28" ht="18.75" customHeight="1">
      <c r="A154" s="237"/>
      <c r="B154" s="612" t="s">
        <v>610</v>
      </c>
      <c r="C154" s="604"/>
      <c r="D154" s="604"/>
      <c r="E154" s="604"/>
      <c r="F154" s="604"/>
      <c r="G154" s="604"/>
      <c r="H154" s="604"/>
      <c r="I154" s="609"/>
      <c r="J154" s="605"/>
      <c r="K154" s="966"/>
      <c r="L154" s="609"/>
      <c r="M154" s="605"/>
      <c r="N154" s="961"/>
      <c r="O154" s="608"/>
      <c r="P154" s="610"/>
      <c r="Q154" s="970"/>
      <c r="R154" s="608"/>
      <c r="S154" s="610"/>
      <c r="T154" s="970"/>
      <c r="U154" s="608"/>
      <c r="V154" s="610"/>
      <c r="W154" s="970"/>
      <c r="Y154" s="631"/>
      <c r="Z154" s="631"/>
      <c r="AA154" s="631"/>
      <c r="AB154" s="631"/>
    </row>
    <row r="155" spans="1:28" ht="15.75" customHeight="1" outlineLevel="1">
      <c r="A155" s="252"/>
      <c r="B155" s="252"/>
      <c r="C155" s="2580" t="s">
        <v>731</v>
      </c>
      <c r="D155" s="2580"/>
      <c r="E155" s="202"/>
      <c r="F155" s="202"/>
      <c r="G155" s="634"/>
      <c r="H155" s="635"/>
      <c r="I155" s="183"/>
      <c r="J155" s="628"/>
      <c r="K155" s="967" t="str">
        <f ca="1">IF(OR($H$7&lt;2,K$133&lt;2),"",IF(J155&lt;&gt;"",J155,IFERROR(IF(INDIRECT("'"&amp;J$86&amp;"'!"&amp;VLOOKUP(J$87,'List Values'!$C$3:$D$6,2,FALSE)&amp;ROW(J155))="","",INDIRECT("'"&amp;J$86&amp;"'!"&amp;VLOOKUP(J$87,'List Values'!$C$3:$D$6,2,FALSE)&amp;ROW(J155))),IF(J$86&lt;&gt;"","Data Source Error",""))))</f>
        <v/>
      </c>
      <c r="L155" s="629"/>
      <c r="M155" s="628"/>
      <c r="N155" s="967" t="str">
        <f ca="1">IF(OR($H$7&lt;3,N$133&lt;2),"",IF(M155&lt;&gt;"",M155,IFERROR(IF(INDIRECT("'"&amp;M$86&amp;"'!"&amp;VLOOKUP(M$87,'List Values'!$C$3:$D$6,2,FALSE)&amp;ROW(M155))="","",INDIRECT("'"&amp;M$86&amp;"'!"&amp;VLOOKUP(M$87,'List Values'!$C$3:$D$6,2,FALSE)&amp;ROW(M155))),IF(M$86&lt;&gt;"","Data Source Error",""))))</f>
        <v/>
      </c>
      <c r="O155" s="629"/>
      <c r="P155" s="590"/>
      <c r="Q155" s="967" t="str">
        <f ca="1">IF(OR($H$7&lt;4,Q$133&lt;2),"",IF(P155&lt;&gt;"",P155,IFERROR(IF(INDIRECT("'"&amp;P$86&amp;"'!"&amp;VLOOKUP(P$87,'List Values'!$C$3:$D$6,2,FALSE)&amp;ROW(P155))="","",INDIRECT("'"&amp;P$86&amp;"'!"&amp;VLOOKUP(P$87,'List Values'!$C$3:$D$6,2,FALSE)&amp;ROW(P155))),IF(P$86&lt;&gt;"","Data Source Error",""))))</f>
        <v/>
      </c>
      <c r="R155" s="147"/>
      <c r="S155" s="590"/>
      <c r="T155" s="967" t="str">
        <f ca="1">IF(OR($H$7&lt;5,T$133&lt;2),"",IF(S155&lt;&gt;"",S155,IFERROR(IF(INDIRECT("'"&amp;S$86&amp;"'!"&amp;VLOOKUP(S$87,'List Values'!$C$3:$D$6,2,FALSE)&amp;ROW(S155))="","",INDIRECT("'"&amp;S$86&amp;"'!"&amp;VLOOKUP(S$87,'List Values'!$C$3:$D$6,2,FALSE)&amp;ROW(S155))),IF(S$86&lt;&gt;"","Data Source Error",""))))</f>
        <v/>
      </c>
      <c r="U155" s="147"/>
      <c r="V155" s="590"/>
      <c r="W155" s="973" t="str">
        <f ca="1">IF(OR($H$7&lt;6,W$133&lt;2),"",IF(V155&lt;&gt;"",V155,IFERROR(IF(INDIRECT("'"&amp;V$86&amp;"'!"&amp;VLOOKUP(V$87,'List Values'!$C$3:$D$6,2,FALSE)&amp;ROW(V155))="","",INDIRECT("'"&amp;V$86&amp;"'!"&amp;VLOOKUP(V$87,'List Values'!$C$3:$D$6,2,FALSE)&amp;ROW(V155))),IF(V$86&lt;&gt;"","Data Source Error",""))))</f>
        <v/>
      </c>
      <c r="Y155" s="2643"/>
      <c r="Z155" s="2644"/>
      <c r="AA155" s="2644"/>
      <c r="AB155" s="2645"/>
    </row>
    <row r="156" spans="1:28" ht="15.75" customHeight="1" outlineLevel="1">
      <c r="A156" s="252"/>
      <c r="B156" s="252"/>
      <c r="C156" s="2680" t="s">
        <v>626</v>
      </c>
      <c r="D156" s="2680"/>
      <c r="E156" s="192"/>
      <c r="F156" s="192"/>
      <c r="G156" s="636"/>
      <c r="H156" s="637"/>
      <c r="I156" s="187"/>
      <c r="J156" s="526"/>
      <c r="K156" s="900" t="str">
        <f ca="1">IF(OR($H$7&lt;2,K$133&lt;2),"",IF(J156&lt;&gt;"",J156,IFERROR(IF(INDIRECT("'"&amp;J$86&amp;"'!"&amp;VLOOKUP(J$87,'List Values'!$C$3:$D$6,2,FALSE)&amp;ROW(J156))="","",INDIRECT("'"&amp;J$86&amp;"'!"&amp;VLOOKUP(J$87,'List Values'!$C$3:$D$6,2,FALSE)&amp;ROW(J156))),IF(J$86&lt;&gt;"","Data Source Error",""))))</f>
        <v/>
      </c>
      <c r="L156" s="187"/>
      <c r="M156" s="526"/>
      <c r="N156" s="900" t="str">
        <f ca="1">IF(OR($H$7&lt;3,N$133&lt;2),"",IF(M156&lt;&gt;"",M156,IFERROR(IF(INDIRECT("'"&amp;M$86&amp;"'!"&amp;VLOOKUP(M$87,'List Values'!$C$3:$D$6,2,FALSE)&amp;ROW(M156))="","",INDIRECT("'"&amp;M$86&amp;"'!"&amp;VLOOKUP(M$87,'List Values'!$C$3:$D$6,2,FALSE)&amp;ROW(M156))),IF(M$86&lt;&gt;"","Data Source Error",""))))</f>
        <v/>
      </c>
      <c r="O156" s="187"/>
      <c r="P156" s="560"/>
      <c r="Q156" s="900" t="str">
        <f ca="1">IF(OR($H$7&lt;4,Q$133&lt;2),"",IF(P156&lt;&gt;"",P156,IFERROR(IF(INDIRECT("'"&amp;P$86&amp;"'!"&amp;VLOOKUP(P$87,'List Values'!$C$3:$D$6,2,FALSE)&amp;ROW(P156))="","",INDIRECT("'"&amp;P$86&amp;"'!"&amp;VLOOKUP(P$87,'List Values'!$C$3:$D$6,2,FALSE)&amp;ROW(P156))),IF(P$86&lt;&gt;"","Data Source Error",""))))</f>
        <v/>
      </c>
      <c r="S156" s="560"/>
      <c r="T156" s="900" t="str">
        <f ca="1">IF(OR($H$7&lt;5,T$133&lt;2),"",IF(S156&lt;&gt;"",S156,IFERROR(IF(INDIRECT("'"&amp;S$86&amp;"'!"&amp;VLOOKUP(S$87,'List Values'!$C$3:$D$6,2,FALSE)&amp;ROW(S156))="","",INDIRECT("'"&amp;S$86&amp;"'!"&amp;VLOOKUP(S$87,'List Values'!$C$3:$D$6,2,FALSE)&amp;ROW(S156))),IF(S$86&lt;&gt;"","Data Source Error",""))))</f>
        <v/>
      </c>
      <c r="V156" s="560"/>
      <c r="W156" s="911" t="str">
        <f ca="1">IF(OR($H$7&lt;6,W$133&lt;2),"",IF(V156&lt;&gt;"",V156,IFERROR(IF(INDIRECT("'"&amp;V$86&amp;"'!"&amp;VLOOKUP(V$87,'List Values'!$C$3:$D$6,2,FALSE)&amp;ROW(V156))="","",INDIRECT("'"&amp;V$86&amp;"'!"&amp;VLOOKUP(V$87,'List Values'!$C$3:$D$6,2,FALSE)&amp;ROW(V156))),IF(V$86&lt;&gt;"","Data Source Error",""))))</f>
        <v/>
      </c>
      <c r="Y156" s="2643"/>
      <c r="Z156" s="2644"/>
      <c r="AA156" s="2644"/>
      <c r="AB156" s="2645"/>
    </row>
    <row r="157" spans="1:28" ht="31.5" customHeight="1" outlineLevel="1">
      <c r="A157" s="252"/>
      <c r="B157" s="252"/>
      <c r="C157" s="2680" t="s">
        <v>2520</v>
      </c>
      <c r="D157" s="2680"/>
      <c r="E157" s="192"/>
      <c r="F157" s="192"/>
      <c r="G157" s="636"/>
      <c r="H157" s="637"/>
      <c r="I157" s="183"/>
      <c r="J157" s="561"/>
      <c r="K157" s="897" t="str">
        <f ca="1">IF(OR($H$7&lt;2,K$133&lt;2),"",IF(J157&lt;&gt;"",J157,IFERROR(IF(INDIRECT("'"&amp;J$86&amp;"'!"&amp;VLOOKUP(J$87,'List Values'!$C$3:$D$6,2,FALSE)&amp;ROW(J157))="","",INDIRECT("'"&amp;J$86&amp;"'!"&amp;VLOOKUP(J$87,'List Values'!$C$3:$D$6,2,FALSE)&amp;ROW(J157))),IF(J$86&lt;&gt;"","Data Source Error",""))))</f>
        <v/>
      </c>
      <c r="L157" s="183"/>
      <c r="M157" s="561"/>
      <c r="N157" s="897" t="str">
        <f ca="1">IF(OR($H$7&lt;3,N$133&lt;2),"",IF(M157&lt;&gt;"",M157,IFERROR(IF(INDIRECT("'"&amp;M$86&amp;"'!"&amp;VLOOKUP(M$87,'List Values'!$C$3:$D$6,2,FALSE)&amp;ROW(M157))="","",INDIRECT("'"&amp;M$86&amp;"'!"&amp;VLOOKUP(M$87,'List Values'!$C$3:$D$6,2,FALSE)&amp;ROW(M157))),IF(M$86&lt;&gt;"","Data Source Error",""))))</f>
        <v/>
      </c>
      <c r="O157" s="183"/>
      <c r="P157" s="558"/>
      <c r="Q157" s="897" t="str">
        <f ca="1">IF(OR($H$7&lt;4,Q$133&lt;2),"",IF(P157&lt;&gt;"",P157,IFERROR(IF(INDIRECT("'"&amp;P$86&amp;"'!"&amp;VLOOKUP(P$87,'List Values'!$C$3:$D$6,2,FALSE)&amp;ROW(P157))="","",INDIRECT("'"&amp;P$86&amp;"'!"&amp;VLOOKUP(P$87,'List Values'!$C$3:$D$6,2,FALSE)&amp;ROW(P157))),IF(P$86&lt;&gt;"","Data Source Error",""))))</f>
        <v/>
      </c>
      <c r="S157" s="558"/>
      <c r="T157" s="897" t="str">
        <f ca="1">IF(OR($H$7&lt;5,T$133&lt;2),"",IF(S157&lt;&gt;"",S157,IFERROR(IF(INDIRECT("'"&amp;S$86&amp;"'!"&amp;VLOOKUP(S$87,'List Values'!$C$3:$D$6,2,FALSE)&amp;ROW(S157))="","",INDIRECT("'"&amp;S$86&amp;"'!"&amp;VLOOKUP(S$87,'List Values'!$C$3:$D$6,2,FALSE)&amp;ROW(S157))),IF(S$86&lt;&gt;"","Data Source Error",""))))</f>
        <v/>
      </c>
      <c r="V157" s="558"/>
      <c r="W157" s="908" t="str">
        <f ca="1">IF(OR($H$7&lt;6,W$133&lt;2),"",IF(V157&lt;&gt;"",V157,IFERROR(IF(INDIRECT("'"&amp;V$86&amp;"'!"&amp;VLOOKUP(V$87,'List Values'!$C$3:$D$6,2,FALSE)&amp;ROW(V157))="","",INDIRECT("'"&amp;V$86&amp;"'!"&amp;VLOOKUP(V$87,'List Values'!$C$3:$D$6,2,FALSE)&amp;ROW(V157))),IF(V$86&lt;&gt;"","Data Source Error",""))))</f>
        <v/>
      </c>
      <c r="Y157" s="2643"/>
      <c r="Z157" s="2644"/>
      <c r="AA157" s="2644"/>
      <c r="AB157" s="2645"/>
    </row>
    <row r="158" spans="1:28" ht="31.5" customHeight="1" outlineLevel="1">
      <c r="A158" s="252"/>
      <c r="B158" s="252"/>
      <c r="C158" s="2684" t="s">
        <v>726</v>
      </c>
      <c r="D158" s="2684"/>
      <c r="E158" s="192"/>
      <c r="F158" s="192"/>
      <c r="G158" s="636"/>
      <c r="H158" s="637"/>
      <c r="I158" s="187"/>
      <c r="J158" s="526"/>
      <c r="K158" s="900" t="str">
        <f ca="1">IF(OR($H$7&lt;2,K$133&lt;2),"",IF(J158&lt;&gt;"",J158,IFERROR(IF(INDIRECT("'"&amp;J$86&amp;"'!"&amp;VLOOKUP(J$87,'List Values'!$C$3:$D$6,2,FALSE)&amp;ROW(J158))="","",INDIRECT("'"&amp;J$86&amp;"'!"&amp;VLOOKUP(J$87,'List Values'!$C$3:$D$6,2,FALSE)&amp;ROW(J158))),IF(J$86&lt;&gt;"","Data Source Error",""))))</f>
        <v/>
      </c>
      <c r="L158" s="187"/>
      <c r="M158" s="526"/>
      <c r="N158" s="900" t="str">
        <f ca="1">IF(OR($H$7&lt;3,N$133&lt;2),"",IF(M158&lt;&gt;"",M158,IFERROR(IF(INDIRECT("'"&amp;M$86&amp;"'!"&amp;VLOOKUP(M$87,'List Values'!$C$3:$D$6,2,FALSE)&amp;ROW(M158))="","",INDIRECT("'"&amp;M$86&amp;"'!"&amp;VLOOKUP(M$87,'List Values'!$C$3:$D$6,2,FALSE)&amp;ROW(M158))),IF(M$86&lt;&gt;"","Data Source Error",""))))</f>
        <v/>
      </c>
      <c r="O158" s="187"/>
      <c r="P158" s="560"/>
      <c r="Q158" s="900" t="str">
        <f ca="1">IF(OR($H$7&lt;4,Q$133&lt;2),"",IF(P158&lt;&gt;"",P158,IFERROR(IF(INDIRECT("'"&amp;P$86&amp;"'!"&amp;VLOOKUP(P$87,'List Values'!$C$3:$D$6,2,FALSE)&amp;ROW(P158))="","",INDIRECT("'"&amp;P$86&amp;"'!"&amp;VLOOKUP(P$87,'List Values'!$C$3:$D$6,2,FALSE)&amp;ROW(P158))),IF(P$86&lt;&gt;"","Data Source Error",""))))</f>
        <v/>
      </c>
      <c r="S158" s="560"/>
      <c r="T158" s="900" t="str">
        <f ca="1">IF(OR($H$7&lt;5,T$133&lt;2),"",IF(S158&lt;&gt;"",S158,IFERROR(IF(INDIRECT("'"&amp;S$86&amp;"'!"&amp;VLOOKUP(S$87,'List Values'!$C$3:$D$6,2,FALSE)&amp;ROW(S158))="","",INDIRECT("'"&amp;S$86&amp;"'!"&amp;VLOOKUP(S$87,'List Values'!$C$3:$D$6,2,FALSE)&amp;ROW(S158))),IF(S$86&lt;&gt;"","Data Source Error",""))))</f>
        <v/>
      </c>
      <c r="V158" s="560"/>
      <c r="W158" s="911" t="str">
        <f ca="1">IF(OR($H$7&lt;6,W$133&lt;2),"",IF(V158&lt;&gt;"",V158,IFERROR(IF(INDIRECT("'"&amp;V$86&amp;"'!"&amp;VLOOKUP(V$87,'List Values'!$C$3:$D$6,2,FALSE)&amp;ROW(V158))="","",INDIRECT("'"&amp;V$86&amp;"'!"&amp;VLOOKUP(V$87,'List Values'!$C$3:$D$6,2,FALSE)&amp;ROW(V158))),IF(V$86&lt;&gt;"","Data Source Error",""))))</f>
        <v/>
      </c>
      <c r="Y158" s="2643"/>
      <c r="Z158" s="2644"/>
      <c r="AA158" s="2644"/>
      <c r="AB158" s="2645"/>
    </row>
    <row r="159" spans="1:28" ht="31.5" customHeight="1" outlineLevel="1">
      <c r="A159" s="252"/>
      <c r="B159" s="252"/>
      <c r="C159" s="2684" t="s">
        <v>727</v>
      </c>
      <c r="D159" s="2684"/>
      <c r="E159" s="192"/>
      <c r="F159" s="192"/>
      <c r="G159" s="636"/>
      <c r="H159" s="637"/>
      <c r="I159" s="187"/>
      <c r="J159" s="568"/>
      <c r="K159" s="945" t="str">
        <f ca="1">IF(OR($H$7&lt;2,K$133&lt;2),"",IF(J159&lt;&gt;"",J159,IFERROR(IF(INDIRECT("'"&amp;J$86&amp;"'!"&amp;VLOOKUP(J$87,'List Values'!$C$3:$D$6,2,FALSE)&amp;ROW(J159))="","",INDIRECT("'"&amp;J$86&amp;"'!"&amp;VLOOKUP(J$87,'List Values'!$C$3:$D$6,2,FALSE)&amp;ROW(J159))*$H$6),IF(J$86&lt;&gt;"","Data Source Error",""))))</f>
        <v/>
      </c>
      <c r="L159" s="339"/>
      <c r="M159" s="568"/>
      <c r="N159" s="945" t="str">
        <f ca="1">IF(OR($H$7&lt;3,N$133&lt;2),"",IF(M159&lt;&gt;"",M159,IFERROR(IF(INDIRECT("'"&amp;M$86&amp;"'!"&amp;VLOOKUP(M$87,'List Values'!$C$3:$D$6,2,FALSE)&amp;ROW(M159))="","",INDIRECT("'"&amp;M$86&amp;"'!"&amp;VLOOKUP(M$87,'List Values'!$C$3:$D$6,2,FALSE)&amp;ROW(M159))*$H$6),IF(M$86&lt;&gt;"","Data Source Error",""))))</f>
        <v/>
      </c>
      <c r="O159" s="339"/>
      <c r="P159" s="623"/>
      <c r="Q159" s="945" t="str">
        <f ca="1">IF(OR($H$7&lt;4,Q$133&lt;2),"",IF(P159&lt;&gt;"",P159,IFERROR(IF(INDIRECT("'"&amp;P$86&amp;"'!"&amp;VLOOKUP(P$87,'List Values'!$C$3:$D$6,2,FALSE)&amp;ROW(P159))="","",INDIRECT("'"&amp;P$86&amp;"'!"&amp;VLOOKUP(P$87,'List Values'!$C$3:$D$6,2,FALSE)&amp;ROW(P159))*$H$6),IF(P$86&lt;&gt;"","Data Source Error",""))))</f>
        <v/>
      </c>
      <c r="R159" s="7"/>
      <c r="S159" s="623"/>
      <c r="T159" s="945" t="str">
        <f ca="1">IF(OR($H$7&lt;5,T$133&lt;2),"",IF(S159&lt;&gt;"",S159,IFERROR(IF(INDIRECT("'"&amp;S$86&amp;"'!"&amp;VLOOKUP(S$87,'List Values'!$C$3:$D$6,2,FALSE)&amp;ROW(S159))="","",INDIRECT("'"&amp;S$86&amp;"'!"&amp;VLOOKUP(S$87,'List Values'!$C$3:$D$6,2,FALSE)&amp;ROW(S159))*$H$6),IF(S$86&lt;&gt;"","Data Source Error",""))))</f>
        <v/>
      </c>
      <c r="U159" s="7"/>
      <c r="V159" s="623"/>
      <c r="W159" s="952" t="str">
        <f ca="1">IF(OR($H$7&lt;6,W$133&lt;2),"",IF(V159&lt;&gt;"",V159,IFERROR(IF(INDIRECT("'"&amp;V$86&amp;"'!"&amp;VLOOKUP(V$87,'List Values'!$C$3:$D$6,2,FALSE)&amp;ROW(V159))="","",INDIRECT("'"&amp;V$86&amp;"'!"&amp;VLOOKUP(V$87,'List Values'!$C$3:$D$6,2,FALSE)&amp;ROW(V159))*$H$6),IF(V$86&lt;&gt;"","Data Source Error",""))))</f>
        <v/>
      </c>
      <c r="Y159" s="2643"/>
      <c r="Z159" s="2644"/>
      <c r="AA159" s="2644"/>
      <c r="AB159" s="2645"/>
    </row>
    <row r="160" spans="1:28" ht="15.75" customHeight="1" outlineLevel="1">
      <c r="A160" s="252"/>
      <c r="B160" s="252"/>
      <c r="C160" s="2680" t="s">
        <v>732</v>
      </c>
      <c r="D160" s="2680"/>
      <c r="E160" s="192"/>
      <c r="F160" s="192"/>
      <c r="G160" s="636"/>
      <c r="H160" s="637"/>
      <c r="I160" s="187"/>
      <c r="J160" s="526"/>
      <c r="K160" s="900" t="str">
        <f ca="1">IF(OR($H$7&lt;2,K$133&lt;2),"",IF(J160&lt;&gt;"",J160,IFERROR(IF(INDIRECT("'"&amp;J$86&amp;"'!"&amp;VLOOKUP(J$87,'List Values'!$C$3:$D$6,2,FALSE)&amp;ROW(J160))="","",INDIRECT("'"&amp;J$86&amp;"'!"&amp;VLOOKUP(J$87,'List Values'!$C$3:$D$6,2,FALSE)&amp;ROW(J160))),IF(J$86&lt;&gt;"","Data Source Error",""))))</f>
        <v/>
      </c>
      <c r="L160" s="187"/>
      <c r="M160" s="526"/>
      <c r="N160" s="900" t="str">
        <f ca="1">IF(OR($H$7&lt;3,N$133&lt;2),"",IF(M160&lt;&gt;"",M160,IFERROR(IF(INDIRECT("'"&amp;M$86&amp;"'!"&amp;VLOOKUP(M$87,'List Values'!$C$3:$D$6,2,FALSE)&amp;ROW(M160))="","",INDIRECT("'"&amp;M$86&amp;"'!"&amp;VLOOKUP(M$87,'List Values'!$C$3:$D$6,2,FALSE)&amp;ROW(M160))),IF(M$86&lt;&gt;"","Data Source Error",""))))</f>
        <v/>
      </c>
      <c r="O160" s="187"/>
      <c r="P160" s="560"/>
      <c r="Q160" s="900" t="str">
        <f ca="1">IF(OR($H$7&lt;4,Q$133&lt;2),"",IF(P160&lt;&gt;"",P160,IFERROR(IF(INDIRECT("'"&amp;P$86&amp;"'!"&amp;VLOOKUP(P$87,'List Values'!$C$3:$D$6,2,FALSE)&amp;ROW(P160))="","",INDIRECT("'"&amp;P$86&amp;"'!"&amp;VLOOKUP(P$87,'List Values'!$C$3:$D$6,2,FALSE)&amp;ROW(P160))),IF(P$86&lt;&gt;"","Data Source Error",""))))</f>
        <v/>
      </c>
      <c r="S160" s="560"/>
      <c r="T160" s="900" t="str">
        <f ca="1">IF(OR($H$7&lt;5,T$133&lt;2),"",IF(S160&lt;&gt;"",S160,IFERROR(IF(INDIRECT("'"&amp;S$86&amp;"'!"&amp;VLOOKUP(S$87,'List Values'!$C$3:$D$6,2,FALSE)&amp;ROW(S160))="","",INDIRECT("'"&amp;S$86&amp;"'!"&amp;VLOOKUP(S$87,'List Values'!$C$3:$D$6,2,FALSE)&amp;ROW(S160))),IF(S$86&lt;&gt;"","Data Source Error",""))))</f>
        <v/>
      </c>
      <c r="V160" s="560"/>
      <c r="W160" s="911" t="str">
        <f ca="1">IF(OR($H$7&lt;6,W$133&lt;2),"",IF(V160&lt;&gt;"",V160,IFERROR(IF(INDIRECT("'"&amp;V$86&amp;"'!"&amp;VLOOKUP(V$87,'List Values'!$C$3:$D$6,2,FALSE)&amp;ROW(V160))="","",INDIRECT("'"&amp;V$86&amp;"'!"&amp;VLOOKUP(V$87,'List Values'!$C$3:$D$6,2,FALSE)&amp;ROW(V160))),IF(V$86&lt;&gt;"","Data Source Error",""))))</f>
        <v/>
      </c>
      <c r="Y160" s="2643"/>
      <c r="Z160" s="2644"/>
      <c r="AA160" s="2644"/>
      <c r="AB160" s="2645"/>
    </row>
    <row r="161" spans="1:28" ht="31.5" customHeight="1" outlineLevel="1">
      <c r="A161" s="252"/>
      <c r="B161" s="252"/>
      <c r="C161" s="2680" t="s">
        <v>2521</v>
      </c>
      <c r="D161" s="2680"/>
      <c r="E161" s="192"/>
      <c r="F161" s="192"/>
      <c r="G161" s="636"/>
      <c r="H161" s="637"/>
      <c r="I161" s="187"/>
      <c r="J161" s="619"/>
      <c r="K161" s="898" t="str">
        <f ca="1">IF(OR($H$7&lt;2,K$133&lt;2),"",IF(J161&lt;&gt;"",J161,IFERROR(IF(INDIRECT("'"&amp;J$86&amp;"'!"&amp;VLOOKUP(J$87,'List Values'!$C$3:$D$6,2,FALSE)&amp;ROW(J161))="","",INDIRECT("'"&amp;J$86&amp;"'!"&amp;VLOOKUP(J$87,'List Values'!$C$3:$D$6,2,FALSE)&amp;ROW(J161))),IF(J$86&lt;&gt;"","Data Source Error",""))))</f>
        <v/>
      </c>
      <c r="L161" s="621"/>
      <c r="M161" s="619"/>
      <c r="N161" s="898" t="str">
        <f ca="1">IF(OR($H$7&lt;3,N$133&lt;2),"",IF(M161&lt;&gt;"",M161,IFERROR(IF(INDIRECT("'"&amp;M$86&amp;"'!"&amp;VLOOKUP(M$87,'List Values'!$C$3:$D$6,2,FALSE)&amp;ROW(M161))="","",INDIRECT("'"&amp;M$86&amp;"'!"&amp;VLOOKUP(M$87,'List Values'!$C$3:$D$6,2,FALSE)&amp;ROW(M161))),IF(M$86&lt;&gt;"","Data Source Error",""))))</f>
        <v/>
      </c>
      <c r="O161" s="621"/>
      <c r="P161" s="619"/>
      <c r="Q161" s="898" t="str">
        <f ca="1">IF(OR($H$7&lt;4,Q$133&lt;2),"",IF(P161&lt;&gt;"",P161,IFERROR(IF(INDIRECT("'"&amp;P$86&amp;"'!"&amp;VLOOKUP(P$87,'List Values'!$C$3:$D$6,2,FALSE)&amp;ROW(P161))="","",INDIRECT("'"&amp;P$86&amp;"'!"&amp;VLOOKUP(P$87,'List Values'!$C$3:$D$6,2,FALSE)&amp;ROW(P161))),IF(P$86&lt;&gt;"","Data Source Error",""))))</f>
        <v/>
      </c>
      <c r="R161" s="147"/>
      <c r="S161" s="619"/>
      <c r="T161" s="898" t="str">
        <f ca="1">IF(OR($H$7&lt;5,T$133&lt;2),"",IF(S161&lt;&gt;"",S161,IFERROR(IF(INDIRECT("'"&amp;S$86&amp;"'!"&amp;VLOOKUP(S$87,'List Values'!$C$3:$D$6,2,FALSE)&amp;ROW(S161))="","",INDIRECT("'"&amp;S$86&amp;"'!"&amp;VLOOKUP(S$87,'List Values'!$C$3:$D$6,2,FALSE)&amp;ROW(S161))),IF(S$86&lt;&gt;"","Data Source Error",""))))</f>
        <v/>
      </c>
      <c r="U161" s="147"/>
      <c r="V161" s="619"/>
      <c r="W161" s="909" t="str">
        <f ca="1">IF(OR($H$7&lt;6,W$133&lt;2),"",IF(V161&lt;&gt;"",V161,IFERROR(IF(INDIRECT("'"&amp;V$86&amp;"'!"&amp;VLOOKUP(V$87,'List Values'!$C$3:$D$6,2,FALSE)&amp;ROW(V161))="","",INDIRECT("'"&amp;V$86&amp;"'!"&amp;VLOOKUP(V$87,'List Values'!$C$3:$D$6,2,FALSE)&amp;ROW(V161))),IF(V$86&lt;&gt;"","Data Source Error",""))))</f>
        <v/>
      </c>
      <c r="Y161" s="2643"/>
      <c r="Z161" s="2644"/>
      <c r="AA161" s="2644"/>
      <c r="AB161" s="2645"/>
    </row>
    <row r="162" spans="1:28" ht="31.5" customHeight="1" outlineLevel="1">
      <c r="A162" s="252"/>
      <c r="B162" s="252"/>
      <c r="C162" s="2680" t="s">
        <v>2522</v>
      </c>
      <c r="D162" s="2680"/>
      <c r="E162" s="192"/>
      <c r="F162" s="192"/>
      <c r="G162" s="636"/>
      <c r="H162" s="637"/>
      <c r="I162" s="187"/>
      <c r="J162" s="619"/>
      <c r="K162" s="898" t="str">
        <f ca="1">IF(OR($H$7&lt;2,K$133&lt;2),"",IF(J162&lt;&gt;"",J162,IFERROR(IF(INDIRECT("'"&amp;J$86&amp;"'!"&amp;VLOOKUP(J$87,'List Values'!$C$3:$D$6,2,FALSE)&amp;ROW(J162))="","",INDIRECT("'"&amp;J$86&amp;"'!"&amp;VLOOKUP(J$87,'List Values'!$C$3:$D$6,2,FALSE)&amp;ROW(J162))),IF(J$86&lt;&gt;"","Data Source Error",""))))</f>
        <v/>
      </c>
      <c r="L162" s="621"/>
      <c r="M162" s="619"/>
      <c r="N162" s="898" t="str">
        <f ca="1">IF(OR($H$7&lt;3,N$133&lt;2),"",IF(M162&lt;&gt;"",M162,IFERROR(IF(INDIRECT("'"&amp;M$86&amp;"'!"&amp;VLOOKUP(M$87,'List Values'!$C$3:$D$6,2,FALSE)&amp;ROW(M162))="","",INDIRECT("'"&amp;M$86&amp;"'!"&amp;VLOOKUP(M$87,'List Values'!$C$3:$D$6,2,FALSE)&amp;ROW(M162))),IF(M$86&lt;&gt;"","Data Source Error",""))))</f>
        <v/>
      </c>
      <c r="O162" s="621"/>
      <c r="P162" s="619"/>
      <c r="Q162" s="898" t="str">
        <f ca="1">IF(OR($H$7&lt;4,Q$133&lt;2),"",IF(P162&lt;&gt;"",P162,IFERROR(IF(INDIRECT("'"&amp;P$86&amp;"'!"&amp;VLOOKUP(P$87,'List Values'!$C$3:$D$6,2,FALSE)&amp;ROW(P162))="","",INDIRECT("'"&amp;P$86&amp;"'!"&amp;VLOOKUP(P$87,'List Values'!$C$3:$D$6,2,FALSE)&amp;ROW(P162))),IF(P$86&lt;&gt;"","Data Source Error",""))))</f>
        <v/>
      </c>
      <c r="R162" s="147"/>
      <c r="S162" s="619"/>
      <c r="T162" s="898" t="str">
        <f ca="1">IF(OR($H$7&lt;5,T$133&lt;2),"",IF(S162&lt;&gt;"",S162,IFERROR(IF(INDIRECT("'"&amp;S$86&amp;"'!"&amp;VLOOKUP(S$87,'List Values'!$C$3:$D$6,2,FALSE)&amp;ROW(S162))="","",INDIRECT("'"&amp;S$86&amp;"'!"&amp;VLOOKUP(S$87,'List Values'!$C$3:$D$6,2,FALSE)&amp;ROW(S162))),IF(S$86&lt;&gt;"","Data Source Error",""))))</f>
        <v/>
      </c>
      <c r="U162" s="147"/>
      <c r="V162" s="619"/>
      <c r="W162" s="909" t="str">
        <f ca="1">IF(OR($H$7&lt;6,W$133&lt;2),"",IF(V162&lt;&gt;"",V162,IFERROR(IF(INDIRECT("'"&amp;V$86&amp;"'!"&amp;VLOOKUP(V$87,'List Values'!$C$3:$D$6,2,FALSE)&amp;ROW(V162))="","",INDIRECT("'"&amp;V$86&amp;"'!"&amp;VLOOKUP(V$87,'List Values'!$C$3:$D$6,2,FALSE)&amp;ROW(V162))),IF(V$86&lt;&gt;"","Data Source Error",""))))</f>
        <v/>
      </c>
      <c r="Y162" s="2643"/>
      <c r="Z162" s="2644"/>
      <c r="AA162" s="2644"/>
      <c r="AB162" s="2645"/>
    </row>
    <row r="163" spans="1:28" ht="31.5" customHeight="1" outlineLevel="1">
      <c r="A163" s="252"/>
      <c r="B163" s="252"/>
      <c r="C163" s="2680" t="s">
        <v>253</v>
      </c>
      <c r="D163" s="2680"/>
      <c r="E163" s="192"/>
      <c r="F163" s="192"/>
      <c r="G163" s="636"/>
      <c r="H163" s="637"/>
      <c r="I163" s="187"/>
      <c r="J163" s="526"/>
      <c r="K163" s="900" t="str">
        <f ca="1">IF(OR($H$7&lt;2,K$133&lt;2),"",IF(J163&lt;&gt;"",J163,IFERROR(IF(INDIRECT("'"&amp;J$86&amp;"'!"&amp;VLOOKUP(J$87,'List Values'!$C$3:$D$6,2,FALSE)&amp;ROW(J163))="","",INDIRECT("'"&amp;J$86&amp;"'!"&amp;VLOOKUP(J$87,'List Values'!$C$3:$D$6,2,FALSE)&amp;ROW(J163))),IF(J$86&lt;&gt;"","Data Source Error",""))))</f>
        <v/>
      </c>
      <c r="L163" s="187"/>
      <c r="M163" s="526"/>
      <c r="N163" s="900" t="str">
        <f ca="1">IF(OR($H$7&lt;3,N$133&lt;2),"",IF(M163&lt;&gt;"",M163,IFERROR(IF(INDIRECT("'"&amp;M$86&amp;"'!"&amp;VLOOKUP(M$87,'List Values'!$C$3:$D$6,2,FALSE)&amp;ROW(M163))="","",INDIRECT("'"&amp;M$86&amp;"'!"&amp;VLOOKUP(M$87,'List Values'!$C$3:$D$6,2,FALSE)&amp;ROW(M163))),IF(M$86&lt;&gt;"","Data Source Error",""))))</f>
        <v/>
      </c>
      <c r="O163" s="187"/>
      <c r="P163" s="523"/>
      <c r="Q163" s="900" t="str">
        <f ca="1">IF(OR($H$7&lt;4,Q$133&lt;2),"",IF(P163&lt;&gt;"",P163,IFERROR(IF(INDIRECT("'"&amp;P$86&amp;"'!"&amp;VLOOKUP(P$87,'List Values'!$C$3:$D$6,2,FALSE)&amp;ROW(P163))="","",INDIRECT("'"&amp;P$86&amp;"'!"&amp;VLOOKUP(P$87,'List Values'!$C$3:$D$6,2,FALSE)&amp;ROW(P163))),IF(P$86&lt;&gt;"","Data Source Error",""))))</f>
        <v/>
      </c>
      <c r="S163" s="523"/>
      <c r="T163" s="900" t="str">
        <f ca="1">IF(OR($H$7&lt;5,T$133&lt;2),"",IF(S163&lt;&gt;"",S163,IFERROR(IF(INDIRECT("'"&amp;S$86&amp;"'!"&amp;VLOOKUP(S$87,'List Values'!$C$3:$D$6,2,FALSE)&amp;ROW(S163))="","",INDIRECT("'"&amp;S$86&amp;"'!"&amp;VLOOKUP(S$87,'List Values'!$C$3:$D$6,2,FALSE)&amp;ROW(S163))),IF(S$86&lt;&gt;"","Data Source Error",""))))</f>
        <v/>
      </c>
      <c r="V163" s="523"/>
      <c r="W163" s="911" t="str">
        <f ca="1">IF(OR($H$7&lt;6,W$133&lt;2),"",IF(V163&lt;&gt;"",V163,IFERROR(IF(INDIRECT("'"&amp;V$86&amp;"'!"&amp;VLOOKUP(V$87,'List Values'!$C$3:$D$6,2,FALSE)&amp;ROW(V163))="","",INDIRECT("'"&amp;V$86&amp;"'!"&amp;VLOOKUP(V$87,'List Values'!$C$3:$D$6,2,FALSE)&amp;ROW(V163))),IF(V$86&lt;&gt;"","Data Source Error",""))))</f>
        <v/>
      </c>
      <c r="Y163" s="2643"/>
      <c r="Z163" s="2644"/>
      <c r="AA163" s="2644"/>
      <c r="AB163" s="2645"/>
    </row>
    <row r="164" spans="1:28" ht="15.75" customHeight="1" outlineLevel="1">
      <c r="A164" s="252"/>
      <c r="B164" s="252"/>
      <c r="C164" s="2684" t="s">
        <v>244</v>
      </c>
      <c r="D164" s="2684"/>
      <c r="E164" s="192"/>
      <c r="F164" s="192"/>
      <c r="G164" s="636"/>
      <c r="H164" s="637"/>
      <c r="I164" s="187"/>
      <c r="J164" s="580"/>
      <c r="K164" s="900" t="str">
        <f ca="1">IF(OR($H$7&lt;2,K$133&lt;2),"",IF(J164&lt;&gt;"",J164,IFERROR(IF(INDIRECT("'"&amp;J$86&amp;"'!"&amp;VLOOKUP(J$87,'List Values'!$C$3:$D$6,2,FALSE)&amp;ROW(J164))="","",INDIRECT("'"&amp;J$86&amp;"'!"&amp;VLOOKUP(J$87,'List Values'!$C$3:$D$6,2,FALSE)&amp;ROW(J164))),IF(J$86&lt;&gt;"","Data Source Error",""))))</f>
        <v/>
      </c>
      <c r="L164" s="187"/>
      <c r="M164" s="580"/>
      <c r="N164" s="900" t="str">
        <f ca="1">IF(OR($H$7&lt;3,N$133&lt;2),"",IF(M164&lt;&gt;"",M164,IFERROR(IF(INDIRECT("'"&amp;M$86&amp;"'!"&amp;VLOOKUP(M$87,'List Values'!$C$3:$D$6,2,FALSE)&amp;ROW(M164))="","",INDIRECT("'"&amp;M$86&amp;"'!"&amp;VLOOKUP(M$87,'List Values'!$C$3:$D$6,2,FALSE)&amp;ROW(M164))),IF(M$86&lt;&gt;"","Data Source Error",""))))</f>
        <v/>
      </c>
      <c r="O164" s="187"/>
      <c r="P164" s="528"/>
      <c r="Q164" s="900" t="str">
        <f ca="1">IF(OR($H$7&lt;4,Q$133&lt;2),"",IF(P164&lt;&gt;"",P164,IFERROR(IF(INDIRECT("'"&amp;P$86&amp;"'!"&amp;VLOOKUP(P$87,'List Values'!$C$3:$D$6,2,FALSE)&amp;ROW(P164))="","",INDIRECT("'"&amp;P$86&amp;"'!"&amp;VLOOKUP(P$87,'List Values'!$C$3:$D$6,2,FALSE)&amp;ROW(P164))),IF(P$86&lt;&gt;"","Data Source Error",""))))</f>
        <v/>
      </c>
      <c r="S164" s="528"/>
      <c r="T164" s="900" t="str">
        <f ca="1">IF(OR($H$7&lt;5,T$133&lt;2),"",IF(S164&lt;&gt;"",S164,IFERROR(IF(INDIRECT("'"&amp;S$86&amp;"'!"&amp;VLOOKUP(S$87,'List Values'!$C$3:$D$6,2,FALSE)&amp;ROW(S164))="","",INDIRECT("'"&amp;S$86&amp;"'!"&amp;VLOOKUP(S$87,'List Values'!$C$3:$D$6,2,FALSE)&amp;ROW(S164))),IF(S$86&lt;&gt;"","Data Source Error",""))))</f>
        <v/>
      </c>
      <c r="V164" s="528"/>
      <c r="W164" s="911" t="str">
        <f ca="1">IF(OR($H$7&lt;6,W$133&lt;2),"",IF(V164&lt;&gt;"",V164,IFERROR(IF(INDIRECT("'"&amp;V$86&amp;"'!"&amp;VLOOKUP(V$87,'List Values'!$C$3:$D$6,2,FALSE)&amp;ROW(V164))="","",INDIRECT("'"&amp;V$86&amp;"'!"&amp;VLOOKUP(V$87,'List Values'!$C$3:$D$6,2,FALSE)&amp;ROW(V164))),IF(V$86&lt;&gt;"","Data Source Error",""))))</f>
        <v/>
      </c>
      <c r="Y164" s="2643"/>
      <c r="Z164" s="2644"/>
      <c r="AA164" s="2644"/>
      <c r="AB164" s="2645"/>
    </row>
    <row r="165" spans="1:28" ht="33" customHeight="1" outlineLevel="1">
      <c r="A165" s="252"/>
      <c r="B165" s="252"/>
      <c r="C165" s="2680" t="s">
        <v>2523</v>
      </c>
      <c r="D165" s="2680"/>
      <c r="E165" s="192"/>
      <c r="F165" s="192"/>
      <c r="G165" s="636"/>
      <c r="H165" s="637"/>
      <c r="I165" s="187"/>
      <c r="J165" s="580"/>
      <c r="K165" s="900" t="str">
        <f ca="1">IF(OR($H$7&lt;2,K$133&lt;2),"",IF(J165&lt;&gt;"",J165,IFERROR(IF(INDIRECT("'"&amp;J$86&amp;"'!"&amp;VLOOKUP(J$87,'List Values'!$C$3:$D$6,2,FALSE)&amp;ROW(J165))="","",INDIRECT("'"&amp;J$86&amp;"'!"&amp;VLOOKUP(J$87,'List Values'!$C$3:$D$6,2,FALSE)&amp;ROW(J165))),IF(J$86&lt;&gt;"","Data Source Error",""))))</f>
        <v/>
      </c>
      <c r="L165" s="187"/>
      <c r="M165" s="580"/>
      <c r="N165" s="900" t="str">
        <f ca="1">IF(OR($H$7&lt;3,N$133&lt;2),"",IF(M165&lt;&gt;"",M165,IFERROR(IF(INDIRECT("'"&amp;M$86&amp;"'!"&amp;VLOOKUP(M$87,'List Values'!$C$3:$D$6,2,FALSE)&amp;ROW(M165))="","",INDIRECT("'"&amp;M$86&amp;"'!"&amp;VLOOKUP(M$87,'List Values'!$C$3:$D$6,2,FALSE)&amp;ROW(M165))),IF(M$86&lt;&gt;"","Data Source Error",""))))</f>
        <v/>
      </c>
      <c r="O165" s="187"/>
      <c r="P165" s="528"/>
      <c r="Q165" s="900" t="str">
        <f ca="1">IF(OR($H$7&lt;4,Q$133&lt;2),"",IF(P165&lt;&gt;"",P165,IFERROR(IF(INDIRECT("'"&amp;P$86&amp;"'!"&amp;VLOOKUP(P$87,'List Values'!$C$3:$D$6,2,FALSE)&amp;ROW(P165))="","",INDIRECT("'"&amp;P$86&amp;"'!"&amp;VLOOKUP(P$87,'List Values'!$C$3:$D$6,2,FALSE)&amp;ROW(P165))),IF(P$86&lt;&gt;"","Data Source Error",""))))</f>
        <v/>
      </c>
      <c r="S165" s="528"/>
      <c r="T165" s="900" t="str">
        <f ca="1">IF(OR($H$7&lt;5,T$133&lt;2),"",IF(S165&lt;&gt;"",S165,IFERROR(IF(INDIRECT("'"&amp;S$86&amp;"'!"&amp;VLOOKUP(S$87,'List Values'!$C$3:$D$6,2,FALSE)&amp;ROW(S165))="","",INDIRECT("'"&amp;S$86&amp;"'!"&amp;VLOOKUP(S$87,'List Values'!$C$3:$D$6,2,FALSE)&amp;ROW(S165))),IF(S$86&lt;&gt;"","Data Source Error",""))))</f>
        <v/>
      </c>
      <c r="V165" s="528"/>
      <c r="W165" s="911" t="str">
        <f ca="1">IF(OR($H$7&lt;6,W$133&lt;2),"",IF(V165&lt;&gt;"",V165,IFERROR(IF(INDIRECT("'"&amp;V$86&amp;"'!"&amp;VLOOKUP(V$87,'List Values'!$C$3:$D$6,2,FALSE)&amp;ROW(V165))="","",INDIRECT("'"&amp;V$86&amp;"'!"&amp;VLOOKUP(V$87,'List Values'!$C$3:$D$6,2,FALSE)&amp;ROW(V165))),IF(V$86&lt;&gt;"","Data Source Error",""))))</f>
        <v/>
      </c>
      <c r="Y165" s="2643"/>
      <c r="Z165" s="2644"/>
      <c r="AA165" s="2644"/>
      <c r="AB165" s="2645"/>
    </row>
    <row r="166" spans="1:28" ht="15.75" customHeight="1" outlineLevel="1">
      <c r="A166" s="252"/>
      <c r="B166" s="252"/>
      <c r="C166" s="2680" t="s">
        <v>2524</v>
      </c>
      <c r="D166" s="2680"/>
      <c r="E166" s="192"/>
      <c r="F166" s="192"/>
      <c r="G166" s="636"/>
      <c r="H166" s="637"/>
      <c r="I166" s="187"/>
      <c r="J166" s="580"/>
      <c r="K166" s="900" t="str">
        <f ca="1">IF(OR($H$7&lt;2,K$133&lt;2),"",IF(J166&lt;&gt;"",J166,IFERROR(IF(INDIRECT("'"&amp;J$86&amp;"'!"&amp;VLOOKUP(J$87,'List Values'!$C$3:$D$6,2,FALSE)&amp;ROW(J166))="","",INDIRECT("'"&amp;J$86&amp;"'!"&amp;VLOOKUP(J$87,'List Values'!$C$3:$D$6,2,FALSE)&amp;ROW(J166))),IF(J$86&lt;&gt;"","Data Source Error",""))))</f>
        <v/>
      </c>
      <c r="L166" s="187"/>
      <c r="M166" s="580"/>
      <c r="N166" s="900" t="str">
        <f ca="1">IF(OR($H$7&lt;3,N$133&lt;2),"",IF(M166&lt;&gt;"",M166,IFERROR(IF(INDIRECT("'"&amp;M$86&amp;"'!"&amp;VLOOKUP(M$87,'List Values'!$C$3:$D$6,2,FALSE)&amp;ROW(M166))="","",INDIRECT("'"&amp;M$86&amp;"'!"&amp;VLOOKUP(M$87,'List Values'!$C$3:$D$6,2,FALSE)&amp;ROW(M166))),IF(M$86&lt;&gt;"","Data Source Error",""))))</f>
        <v/>
      </c>
      <c r="O166" s="187"/>
      <c r="P166" s="528"/>
      <c r="Q166" s="900" t="str">
        <f ca="1">IF(OR($H$7&lt;4,Q$133&lt;2),"",IF(P166&lt;&gt;"",P166,IFERROR(IF(INDIRECT("'"&amp;P$86&amp;"'!"&amp;VLOOKUP(P$87,'List Values'!$C$3:$D$6,2,FALSE)&amp;ROW(P166))="","",INDIRECT("'"&amp;P$86&amp;"'!"&amp;VLOOKUP(P$87,'List Values'!$C$3:$D$6,2,FALSE)&amp;ROW(P166))),IF(P$86&lt;&gt;"","Data Source Error",""))))</f>
        <v/>
      </c>
      <c r="S166" s="528"/>
      <c r="T166" s="900" t="str">
        <f ca="1">IF(OR($H$7&lt;5,T$133&lt;2),"",IF(S166&lt;&gt;"",S166,IFERROR(IF(INDIRECT("'"&amp;S$86&amp;"'!"&amp;VLOOKUP(S$87,'List Values'!$C$3:$D$6,2,FALSE)&amp;ROW(S166))="","",INDIRECT("'"&amp;S$86&amp;"'!"&amp;VLOOKUP(S$87,'List Values'!$C$3:$D$6,2,FALSE)&amp;ROW(S166))),IF(S$86&lt;&gt;"","Data Source Error",""))))</f>
        <v/>
      </c>
      <c r="V166" s="528"/>
      <c r="W166" s="911" t="str">
        <f ca="1">IF(OR($H$7&lt;6,W$133&lt;2),"",IF(V166&lt;&gt;"",V166,IFERROR(IF(INDIRECT("'"&amp;V$86&amp;"'!"&amp;VLOOKUP(V$87,'List Values'!$C$3:$D$6,2,FALSE)&amp;ROW(V166))="","",INDIRECT("'"&amp;V$86&amp;"'!"&amp;VLOOKUP(V$87,'List Values'!$C$3:$D$6,2,FALSE)&amp;ROW(V166))),IF(V$86&lt;&gt;"","Data Source Error",""))))</f>
        <v/>
      </c>
      <c r="Y166" s="2643"/>
      <c r="Z166" s="2644"/>
      <c r="AA166" s="2644"/>
      <c r="AB166" s="2645"/>
    </row>
    <row r="167" spans="1:28" ht="15.75" customHeight="1" outlineLevel="1">
      <c r="A167" s="252"/>
      <c r="B167" s="252"/>
      <c r="C167" s="2684" t="s">
        <v>2525</v>
      </c>
      <c r="D167" s="2684"/>
      <c r="E167" s="192"/>
      <c r="F167" s="192"/>
      <c r="G167" s="636"/>
      <c r="H167" s="637"/>
      <c r="I167" s="187"/>
      <c r="J167" s="580"/>
      <c r="K167" s="900" t="str">
        <f ca="1">IF(OR($H$7&lt;2,K$133&lt;2),"",IF(J167&lt;&gt;"",J167,IFERROR(IF(INDIRECT("'"&amp;J$86&amp;"'!"&amp;VLOOKUP(J$87,'List Values'!$C$3:$D$6,2,FALSE)&amp;ROW(J167))="","",INDIRECT("'"&amp;J$86&amp;"'!"&amp;VLOOKUP(J$87,'List Values'!$C$3:$D$6,2,FALSE)&amp;ROW(J167))),IF(J$86&lt;&gt;"","Data Source Error",""))))</f>
        <v/>
      </c>
      <c r="L167" s="187"/>
      <c r="M167" s="580"/>
      <c r="N167" s="900" t="str">
        <f ca="1">IF(OR($H$7&lt;3,N$133&lt;2),"",IF(M167&lt;&gt;"",M167,IFERROR(IF(INDIRECT("'"&amp;M$86&amp;"'!"&amp;VLOOKUP(M$87,'List Values'!$C$3:$D$6,2,FALSE)&amp;ROW(M167))="","",INDIRECT("'"&amp;M$86&amp;"'!"&amp;VLOOKUP(M$87,'List Values'!$C$3:$D$6,2,FALSE)&amp;ROW(M167))),IF(M$86&lt;&gt;"","Data Source Error",""))))</f>
        <v/>
      </c>
      <c r="O167" s="187"/>
      <c r="P167" s="528"/>
      <c r="Q167" s="900" t="str">
        <f ca="1">IF(OR($H$7&lt;4,Q$133&lt;2),"",IF(P167&lt;&gt;"",P167,IFERROR(IF(INDIRECT("'"&amp;P$86&amp;"'!"&amp;VLOOKUP(P$87,'List Values'!$C$3:$D$6,2,FALSE)&amp;ROW(P167))="","",INDIRECT("'"&amp;P$86&amp;"'!"&amp;VLOOKUP(P$87,'List Values'!$C$3:$D$6,2,FALSE)&amp;ROW(P167))),IF(P$86&lt;&gt;"","Data Source Error",""))))</f>
        <v/>
      </c>
      <c r="S167" s="528"/>
      <c r="T167" s="900" t="str">
        <f ca="1">IF(OR($H$7&lt;5,T$133&lt;2),"",IF(S167&lt;&gt;"",S167,IFERROR(IF(INDIRECT("'"&amp;S$86&amp;"'!"&amp;VLOOKUP(S$87,'List Values'!$C$3:$D$6,2,FALSE)&amp;ROW(S167))="","",INDIRECT("'"&amp;S$86&amp;"'!"&amp;VLOOKUP(S$87,'List Values'!$C$3:$D$6,2,FALSE)&amp;ROW(S167))),IF(S$86&lt;&gt;"","Data Source Error",""))))</f>
        <v/>
      </c>
      <c r="V167" s="528"/>
      <c r="W167" s="911" t="str">
        <f ca="1">IF(OR($H$7&lt;6,W$133&lt;2),"",IF(V167&lt;&gt;"",V167,IFERROR(IF(INDIRECT("'"&amp;V$86&amp;"'!"&amp;VLOOKUP(V$87,'List Values'!$C$3:$D$6,2,FALSE)&amp;ROW(V167))="","",INDIRECT("'"&amp;V$86&amp;"'!"&amp;VLOOKUP(V$87,'List Values'!$C$3:$D$6,2,FALSE)&amp;ROW(V167))),IF(V$86&lt;&gt;"","Data Source Error",""))))</f>
        <v/>
      </c>
      <c r="Y167" s="2643"/>
      <c r="Z167" s="2644"/>
      <c r="AA167" s="2644"/>
      <c r="AB167" s="2645"/>
    </row>
    <row r="168" spans="1:28" ht="31.5" customHeight="1" outlineLevel="1">
      <c r="A168" s="252"/>
      <c r="B168" s="252"/>
      <c r="C168" s="2680" t="s">
        <v>2526</v>
      </c>
      <c r="D168" s="2680"/>
      <c r="E168" s="192"/>
      <c r="F168" s="192"/>
      <c r="G168" s="636"/>
      <c r="H168" s="637"/>
      <c r="I168" s="187"/>
      <c r="J168" s="580"/>
      <c r="K168" s="900" t="str">
        <f ca="1">IF(OR($H$7&lt;2,K$133&lt;2),"",IF(J168&lt;&gt;"",J168,IFERROR(IF(INDIRECT("'"&amp;J$86&amp;"'!"&amp;VLOOKUP(J$87,'List Values'!$C$3:$D$6,2,FALSE)&amp;ROW(J168))="","",INDIRECT("'"&amp;J$86&amp;"'!"&amp;VLOOKUP(J$87,'List Values'!$C$3:$D$6,2,FALSE)&amp;ROW(J168))),IF(J$86&lt;&gt;"","Data Source Error",""))))</f>
        <v/>
      </c>
      <c r="L168" s="187"/>
      <c r="M168" s="580"/>
      <c r="N168" s="900" t="str">
        <f ca="1">IF(OR($H$7&lt;3,N$133&lt;2),"",IF(M168&lt;&gt;"",M168,IFERROR(IF(INDIRECT("'"&amp;M$86&amp;"'!"&amp;VLOOKUP(M$87,'List Values'!$C$3:$D$6,2,FALSE)&amp;ROW(M168))="","",INDIRECT("'"&amp;M$86&amp;"'!"&amp;VLOOKUP(M$87,'List Values'!$C$3:$D$6,2,FALSE)&amp;ROW(M168))),IF(M$86&lt;&gt;"","Data Source Error",""))))</f>
        <v/>
      </c>
      <c r="O168" s="187"/>
      <c r="P168" s="528"/>
      <c r="Q168" s="900" t="str">
        <f ca="1">IF(OR($H$7&lt;4,Q$133&lt;2),"",IF(P168&lt;&gt;"",P168,IFERROR(IF(INDIRECT("'"&amp;P$86&amp;"'!"&amp;VLOOKUP(P$87,'List Values'!$C$3:$D$6,2,FALSE)&amp;ROW(P168))="","",INDIRECT("'"&amp;P$86&amp;"'!"&amp;VLOOKUP(P$87,'List Values'!$C$3:$D$6,2,FALSE)&amp;ROW(P168))),IF(P$86&lt;&gt;"","Data Source Error",""))))</f>
        <v/>
      </c>
      <c r="S168" s="528"/>
      <c r="T168" s="900" t="str">
        <f ca="1">IF(OR($H$7&lt;5,T$133&lt;2),"",IF(S168&lt;&gt;"",S168,IFERROR(IF(INDIRECT("'"&amp;S$86&amp;"'!"&amp;VLOOKUP(S$87,'List Values'!$C$3:$D$6,2,FALSE)&amp;ROW(S168))="","",INDIRECT("'"&amp;S$86&amp;"'!"&amp;VLOOKUP(S$87,'List Values'!$C$3:$D$6,2,FALSE)&amp;ROW(S168))),IF(S$86&lt;&gt;"","Data Source Error",""))))</f>
        <v/>
      </c>
      <c r="V168" s="528"/>
      <c r="W168" s="911" t="str">
        <f ca="1">IF(OR($H$7&lt;6,W$133&lt;2),"",IF(V168&lt;&gt;"",V168,IFERROR(IF(INDIRECT("'"&amp;V$86&amp;"'!"&amp;VLOOKUP(V$87,'List Values'!$C$3:$D$6,2,FALSE)&amp;ROW(V168))="","",INDIRECT("'"&amp;V$86&amp;"'!"&amp;VLOOKUP(V$87,'List Values'!$C$3:$D$6,2,FALSE)&amp;ROW(V168))),IF(V$86&lt;&gt;"","Data Source Error",""))))</f>
        <v/>
      </c>
      <c r="Y168" s="2643"/>
      <c r="Z168" s="2644"/>
      <c r="AA168" s="2644"/>
      <c r="AB168" s="2645"/>
    </row>
    <row r="169" spans="1:28" ht="48" customHeight="1" outlineLevel="1">
      <c r="A169" s="252"/>
      <c r="B169" s="252"/>
      <c r="C169" s="2680" t="s">
        <v>2527</v>
      </c>
      <c r="D169" s="2680"/>
      <c r="E169" s="192"/>
      <c r="F169" s="192"/>
      <c r="G169" s="636"/>
      <c r="H169" s="637"/>
      <c r="I169" s="187"/>
      <c r="J169" s="580"/>
      <c r="K169" s="900" t="str">
        <f ca="1">IF(OR($H$7&lt;2,K$133&lt;2),"",IF(J169&lt;&gt;"",J169,IFERROR(IF(INDIRECT("'"&amp;J$86&amp;"'!"&amp;VLOOKUP(J$87,'List Values'!$C$3:$D$6,2,FALSE)&amp;ROW(J169))="","",INDIRECT("'"&amp;J$86&amp;"'!"&amp;VLOOKUP(J$87,'List Values'!$C$3:$D$6,2,FALSE)&amp;ROW(J169))),IF(J$86&lt;&gt;"","Data Source Error",""))))</f>
        <v/>
      </c>
      <c r="L169" s="187"/>
      <c r="M169" s="580"/>
      <c r="N169" s="900" t="str">
        <f ca="1">IF(OR($H$7&lt;3,N$133&lt;2),"",IF(M169&lt;&gt;"",M169,IFERROR(IF(INDIRECT("'"&amp;M$86&amp;"'!"&amp;VLOOKUP(M$87,'List Values'!$C$3:$D$6,2,FALSE)&amp;ROW(M169))="","",INDIRECT("'"&amp;M$86&amp;"'!"&amp;VLOOKUP(M$87,'List Values'!$C$3:$D$6,2,FALSE)&amp;ROW(M169))),IF(M$86&lt;&gt;"","Data Source Error",""))))</f>
        <v/>
      </c>
      <c r="O169" s="187"/>
      <c r="P169" s="528"/>
      <c r="Q169" s="900" t="str">
        <f ca="1">IF(OR($H$7&lt;4,Q$133&lt;2),"",IF(P169&lt;&gt;"",P169,IFERROR(IF(INDIRECT("'"&amp;P$86&amp;"'!"&amp;VLOOKUP(P$87,'List Values'!$C$3:$D$6,2,FALSE)&amp;ROW(P169))="","",INDIRECT("'"&amp;P$86&amp;"'!"&amp;VLOOKUP(P$87,'List Values'!$C$3:$D$6,2,FALSE)&amp;ROW(P169))),IF(P$86&lt;&gt;"","Data Source Error",""))))</f>
        <v/>
      </c>
      <c r="S169" s="528"/>
      <c r="T169" s="900" t="str">
        <f ca="1">IF(OR($H$7&lt;5,T$133&lt;2),"",IF(S169&lt;&gt;"",S169,IFERROR(IF(INDIRECT("'"&amp;S$86&amp;"'!"&amp;VLOOKUP(S$87,'List Values'!$C$3:$D$6,2,FALSE)&amp;ROW(S169))="","",INDIRECT("'"&amp;S$86&amp;"'!"&amp;VLOOKUP(S$87,'List Values'!$C$3:$D$6,2,FALSE)&amp;ROW(S169))),IF(S$86&lt;&gt;"","Data Source Error",""))))</f>
        <v/>
      </c>
      <c r="V169" s="528"/>
      <c r="W169" s="911" t="str">
        <f ca="1">IF(OR($H$7&lt;6,W$133&lt;2),"",IF(V169&lt;&gt;"",V169,IFERROR(IF(INDIRECT("'"&amp;V$86&amp;"'!"&amp;VLOOKUP(V$87,'List Values'!$C$3:$D$6,2,FALSE)&amp;ROW(V169))="","",INDIRECT("'"&amp;V$86&amp;"'!"&amp;VLOOKUP(V$87,'List Values'!$C$3:$D$6,2,FALSE)&amp;ROW(V169))),IF(V$86&lt;&gt;"","Data Source Error",""))))</f>
        <v/>
      </c>
      <c r="Y169" s="2643"/>
      <c r="Z169" s="2644"/>
      <c r="AA169" s="2644"/>
      <c r="AB169" s="2645"/>
    </row>
    <row r="170" spans="1:28" ht="46.5" customHeight="1" outlineLevel="1">
      <c r="A170" s="252"/>
      <c r="B170" s="252"/>
      <c r="C170" s="2680" t="s">
        <v>2528</v>
      </c>
      <c r="D170" s="2680"/>
      <c r="E170" s="192"/>
      <c r="F170" s="192"/>
      <c r="G170" s="636"/>
      <c r="H170" s="637"/>
      <c r="I170" s="187"/>
      <c r="J170" s="580"/>
      <c r="K170" s="900" t="str">
        <f ca="1">IF(OR($H$7&lt;2,K$133&lt;2),"",IF(J170&lt;&gt;"",J170,IFERROR(IF(INDIRECT("'"&amp;J$86&amp;"'!"&amp;VLOOKUP(J$87,'List Values'!$C$3:$D$6,2,FALSE)&amp;ROW(J170))="","",INDIRECT("'"&amp;J$86&amp;"'!"&amp;VLOOKUP(J$87,'List Values'!$C$3:$D$6,2,FALSE)&amp;ROW(J170))),IF(J$86&lt;&gt;"","Data Source Error",""))))</f>
        <v/>
      </c>
      <c r="L170" s="187"/>
      <c r="M170" s="580"/>
      <c r="N170" s="900" t="str">
        <f ca="1">IF(OR($H$7&lt;3,N$133&lt;2),"",IF(M170&lt;&gt;"",M170,IFERROR(IF(INDIRECT("'"&amp;M$86&amp;"'!"&amp;VLOOKUP(M$87,'List Values'!$C$3:$D$6,2,FALSE)&amp;ROW(M170))="","",INDIRECT("'"&amp;M$86&amp;"'!"&amp;VLOOKUP(M$87,'List Values'!$C$3:$D$6,2,FALSE)&amp;ROW(M170))),IF(M$86&lt;&gt;"","Data Source Error",""))))</f>
        <v/>
      </c>
      <c r="O170" s="187"/>
      <c r="P170" s="528"/>
      <c r="Q170" s="900" t="str">
        <f ca="1">IF(OR($H$7&lt;4,Q$133&lt;2),"",IF(P170&lt;&gt;"",P170,IFERROR(IF(INDIRECT("'"&amp;P$86&amp;"'!"&amp;VLOOKUP(P$87,'List Values'!$C$3:$D$6,2,FALSE)&amp;ROW(P170))="","",INDIRECT("'"&amp;P$86&amp;"'!"&amp;VLOOKUP(P$87,'List Values'!$C$3:$D$6,2,FALSE)&amp;ROW(P170))),IF(P$86&lt;&gt;"","Data Source Error",""))))</f>
        <v/>
      </c>
      <c r="S170" s="528"/>
      <c r="T170" s="900" t="str">
        <f ca="1">IF(OR($H$7&lt;5,T$133&lt;2),"",IF(S170&lt;&gt;"",S170,IFERROR(IF(INDIRECT("'"&amp;S$86&amp;"'!"&amp;VLOOKUP(S$87,'List Values'!$C$3:$D$6,2,FALSE)&amp;ROW(S170))="","",INDIRECT("'"&amp;S$86&amp;"'!"&amp;VLOOKUP(S$87,'List Values'!$C$3:$D$6,2,FALSE)&amp;ROW(S170))),IF(S$86&lt;&gt;"","Data Source Error",""))))</f>
        <v/>
      </c>
      <c r="V170" s="528"/>
      <c r="W170" s="911" t="str">
        <f ca="1">IF(OR($H$7&lt;6,W$133&lt;2),"",IF(V170&lt;&gt;"",V170,IFERROR(IF(INDIRECT("'"&amp;V$86&amp;"'!"&amp;VLOOKUP(V$87,'List Values'!$C$3:$D$6,2,FALSE)&amp;ROW(V170))="","",INDIRECT("'"&amp;V$86&amp;"'!"&amp;VLOOKUP(V$87,'List Values'!$C$3:$D$6,2,FALSE)&amp;ROW(V170))),IF(V$86&lt;&gt;"","Data Source Error",""))))</f>
        <v/>
      </c>
      <c r="Y170" s="2643"/>
      <c r="Z170" s="2644"/>
      <c r="AA170" s="2644"/>
      <c r="AB170" s="2645"/>
    </row>
    <row r="171" spans="1:28" ht="15.75" customHeight="1" outlineLevel="1">
      <c r="A171" s="252"/>
      <c r="B171" s="252"/>
      <c r="C171" s="2680" t="s">
        <v>650</v>
      </c>
      <c r="D171" s="2680"/>
      <c r="E171" s="192"/>
      <c r="F171" s="192"/>
      <c r="G171" s="636"/>
      <c r="H171" s="637"/>
      <c r="I171" s="187"/>
      <c r="J171" s="580"/>
      <c r="K171" s="900" t="str">
        <f ca="1">IF(OR($H$7&lt;2,K$133&lt;2),"",IF(J171&lt;&gt;"",J171,IFERROR(IF(INDIRECT("'"&amp;J$86&amp;"'!"&amp;VLOOKUP(J$87,'List Values'!$C$3:$D$6,2,FALSE)&amp;ROW(J171))="","",INDIRECT("'"&amp;J$86&amp;"'!"&amp;VLOOKUP(J$87,'List Values'!$C$3:$D$6,2,FALSE)&amp;ROW(J171))),IF(J$86&lt;&gt;"","Data Source Error",""))))</f>
        <v/>
      </c>
      <c r="L171" s="187"/>
      <c r="M171" s="580"/>
      <c r="N171" s="900" t="str">
        <f ca="1">IF(OR($H$7&lt;3,N$133&lt;2),"",IF(M171&lt;&gt;"",M171,IFERROR(IF(INDIRECT("'"&amp;M$86&amp;"'!"&amp;VLOOKUP(M$87,'List Values'!$C$3:$D$6,2,FALSE)&amp;ROW(M171))="","",INDIRECT("'"&amp;M$86&amp;"'!"&amp;VLOOKUP(M$87,'List Values'!$C$3:$D$6,2,FALSE)&amp;ROW(M171))),IF(M$86&lt;&gt;"","Data Source Error",""))))</f>
        <v/>
      </c>
      <c r="O171" s="187"/>
      <c r="P171" s="528"/>
      <c r="Q171" s="900" t="str">
        <f ca="1">IF(OR($H$7&lt;4,Q$133&lt;2),"",IF(P171&lt;&gt;"",P171,IFERROR(IF(INDIRECT("'"&amp;P$86&amp;"'!"&amp;VLOOKUP(P$87,'List Values'!$C$3:$D$6,2,FALSE)&amp;ROW(P171))="","",INDIRECT("'"&amp;P$86&amp;"'!"&amp;VLOOKUP(P$87,'List Values'!$C$3:$D$6,2,FALSE)&amp;ROW(P171))),IF(P$86&lt;&gt;"","Data Source Error",""))))</f>
        <v/>
      </c>
      <c r="S171" s="528"/>
      <c r="T171" s="900" t="str">
        <f ca="1">IF(OR($H$7&lt;5,T$133&lt;2),"",IF(S171&lt;&gt;"",S171,IFERROR(IF(INDIRECT("'"&amp;S$86&amp;"'!"&amp;VLOOKUP(S$87,'List Values'!$C$3:$D$6,2,FALSE)&amp;ROW(S171))="","",INDIRECT("'"&amp;S$86&amp;"'!"&amp;VLOOKUP(S$87,'List Values'!$C$3:$D$6,2,FALSE)&amp;ROW(S171))),IF(S$86&lt;&gt;"","Data Source Error",""))))</f>
        <v/>
      </c>
      <c r="V171" s="528"/>
      <c r="W171" s="911" t="str">
        <f ca="1">IF(OR($H$7&lt;6,W$133&lt;2),"",IF(V171&lt;&gt;"",V171,IFERROR(IF(INDIRECT("'"&amp;V$86&amp;"'!"&amp;VLOOKUP(V$87,'List Values'!$C$3:$D$6,2,FALSE)&amp;ROW(V171))="","",INDIRECT("'"&amp;V$86&amp;"'!"&amp;VLOOKUP(V$87,'List Values'!$C$3:$D$6,2,FALSE)&amp;ROW(V171))),IF(V$86&lt;&gt;"","Data Source Error",""))))</f>
        <v/>
      </c>
      <c r="Y171" s="2643"/>
      <c r="Z171" s="2644"/>
      <c r="AA171" s="2644"/>
      <c r="AB171" s="2645"/>
    </row>
    <row r="172" spans="1:28" ht="31.5" customHeight="1" outlineLevel="1">
      <c r="A172" s="252"/>
      <c r="B172" s="252"/>
      <c r="C172" s="2680" t="s">
        <v>651</v>
      </c>
      <c r="D172" s="2680"/>
      <c r="E172" s="192"/>
      <c r="F172" s="192"/>
      <c r="G172" s="636"/>
      <c r="H172" s="637"/>
      <c r="I172" s="184"/>
      <c r="J172" s="624"/>
      <c r="K172" s="941" t="str">
        <f ca="1">IF(OR($H$7&lt;2,K$133&lt;2),"",IF(J172&lt;&gt;"",J172,IFERROR(IF(INDIRECT("'"&amp;J$86&amp;"'!"&amp;VLOOKUP(J$87,'List Values'!$C$3:$D$6,2,FALSE)&amp;ROW(J172))="","",INDIRECT("'"&amp;J$86&amp;"'!"&amp;VLOOKUP(J$87,'List Values'!$C$3:$D$6,2,FALSE)&amp;ROW(J172))),IF(J$86&lt;&gt;"","Data Source Error",""))))</f>
        <v/>
      </c>
      <c r="L172" s="184"/>
      <c r="M172" s="624"/>
      <c r="N172" s="941" t="str">
        <f ca="1">IF(OR($H$7&lt;3,N$133&lt;2),"",IF(M172&lt;&gt;"",M172,IFERROR(IF(INDIRECT("'"&amp;M$86&amp;"'!"&amp;VLOOKUP(M$87,'List Values'!$C$3:$D$6,2,FALSE)&amp;ROW(M172))="","",INDIRECT("'"&amp;M$86&amp;"'!"&amp;VLOOKUP(M$87,'List Values'!$C$3:$D$6,2,FALSE)&amp;ROW(M172))),IF(M$86&lt;&gt;"","Data Source Error",""))))</f>
        <v/>
      </c>
      <c r="O172" s="184"/>
      <c r="P172" s="528"/>
      <c r="Q172" s="941" t="str">
        <f ca="1">IF(OR($H$7&lt;4,Q$133&lt;2),"",IF(P172&lt;&gt;"",P172,IFERROR(IF(INDIRECT("'"&amp;P$86&amp;"'!"&amp;VLOOKUP(P$87,'List Values'!$C$3:$D$6,2,FALSE)&amp;ROW(P172))="","",INDIRECT("'"&amp;P$86&amp;"'!"&amp;VLOOKUP(P$87,'List Values'!$C$3:$D$6,2,FALSE)&amp;ROW(P172))),IF(P$86&lt;&gt;"","Data Source Error",""))))</f>
        <v/>
      </c>
      <c r="S172" s="528"/>
      <c r="T172" s="941" t="str">
        <f ca="1">IF(OR($H$7&lt;5,T$133&lt;2),"",IF(S172&lt;&gt;"",S172,IFERROR(IF(INDIRECT("'"&amp;S$86&amp;"'!"&amp;VLOOKUP(S$87,'List Values'!$C$3:$D$6,2,FALSE)&amp;ROW(S172))="","",INDIRECT("'"&amp;S$86&amp;"'!"&amp;VLOOKUP(S$87,'List Values'!$C$3:$D$6,2,FALSE)&amp;ROW(S172))),IF(S$86&lt;&gt;"","Data Source Error",""))))</f>
        <v/>
      </c>
      <c r="V172" s="528"/>
      <c r="W172" s="947" t="str">
        <f ca="1">IF(OR($H$7&lt;6,W$133&lt;2),"",IF(V172&lt;&gt;"",V172,IFERROR(IF(INDIRECT("'"&amp;V$86&amp;"'!"&amp;VLOOKUP(V$87,'List Values'!$C$3:$D$6,2,FALSE)&amp;ROW(V172))="","",INDIRECT("'"&amp;V$86&amp;"'!"&amp;VLOOKUP(V$87,'List Values'!$C$3:$D$6,2,FALSE)&amp;ROW(V172))),IF(V$86&lt;&gt;"","Data Source Error",""))))</f>
        <v/>
      </c>
      <c r="Y172" s="2643"/>
      <c r="Z172" s="2644"/>
      <c r="AA172" s="2644"/>
      <c r="AB172" s="2645"/>
    </row>
    <row r="173" spans="1:28" ht="31.5" customHeight="1" outlineLevel="1">
      <c r="A173" s="237"/>
      <c r="B173" s="252"/>
      <c r="C173" s="2680" t="s">
        <v>684</v>
      </c>
      <c r="D173" s="2680"/>
      <c r="E173" s="238"/>
      <c r="F173" s="238"/>
      <c r="G173" s="638"/>
      <c r="H173" s="639"/>
      <c r="J173" s="583"/>
      <c r="K173" s="930" t="str">
        <f ca="1">IF(OR($H$7&lt;2,K$133&lt;2),"",IF(J173&lt;&gt;"",J173,IFERROR(IF(INDIRECT("'"&amp;J$86&amp;"'!"&amp;VLOOKUP(J$87,'List Values'!$C$3:$D$6,2,FALSE)&amp;ROW(J173))="","",INDIRECT("'"&amp;J$86&amp;"'!"&amp;VLOOKUP(J$87,'List Values'!$C$3:$D$6,2,FALSE)&amp;ROW(J173))),IF(J$86&lt;&gt;"","Data Source Error",""))))</f>
        <v/>
      </c>
      <c r="M173" s="583"/>
      <c r="N173" s="941" t="str">
        <f ca="1">IF(OR($H$7&lt;3,N$133&lt;2),"",IF(M173&lt;&gt;"",M173,IFERROR(IF(INDIRECT("'"&amp;M$86&amp;"'!"&amp;VLOOKUP(M$87,'List Values'!$C$3:$D$6,2,FALSE)&amp;ROW(M173))="","",INDIRECT("'"&amp;M$86&amp;"'!"&amp;VLOOKUP(M$87,'List Values'!$C$3:$D$6,2,FALSE)&amp;ROW(M173))),IF(M$86&lt;&gt;"","Data Source Error",""))))</f>
        <v/>
      </c>
      <c r="P173" s="582"/>
      <c r="Q173" s="941" t="str">
        <f ca="1">IF(OR($H$7&lt;4,Q$133&lt;2),"",IF(P173&lt;&gt;"",P173,IFERROR(IF(INDIRECT("'"&amp;P$86&amp;"'!"&amp;VLOOKUP(P$87,'List Values'!$C$3:$D$6,2,FALSE)&amp;ROW(P173))="","",INDIRECT("'"&amp;P$86&amp;"'!"&amp;VLOOKUP(P$87,'List Values'!$C$3:$D$6,2,FALSE)&amp;ROW(P173))),IF(P$86&lt;&gt;"","Data Source Error",""))))</f>
        <v/>
      </c>
      <c r="S173" s="582"/>
      <c r="T173" s="972" t="str">
        <f ca="1">IF(OR($H$7&lt;5,T$133&lt;2),"",IF(S173&lt;&gt;"",S173,IFERROR(IF(INDIRECT("'"&amp;S$86&amp;"'!"&amp;VLOOKUP(S$87,'List Values'!$C$3:$D$6,2,FALSE)&amp;ROW(S173))="","",INDIRECT("'"&amp;S$86&amp;"'!"&amp;VLOOKUP(S$87,'List Values'!$C$3:$D$6,2,FALSE)&amp;ROW(S173))),IF(S$86&lt;&gt;"","Data Source Error",""))))</f>
        <v/>
      </c>
      <c r="V173" s="582"/>
      <c r="W173" s="976" t="str">
        <f ca="1">IF(OR($H$7&lt;6,W$133&lt;2),"",IF(V173&lt;&gt;"",V173,IFERROR(IF(INDIRECT("'"&amp;V$86&amp;"'!"&amp;VLOOKUP(V$87,'List Values'!$C$3:$D$6,2,FALSE)&amp;ROW(V173))="","",INDIRECT("'"&amp;V$86&amp;"'!"&amp;VLOOKUP(V$87,'List Values'!$C$3:$D$6,2,FALSE)&amp;ROW(V173))),IF(V$86&lt;&gt;"","Data Source Error",""))))</f>
        <v/>
      </c>
      <c r="Y173" s="2643"/>
      <c r="Z173" s="2644"/>
      <c r="AA173" s="2644"/>
      <c r="AB173" s="2645"/>
    </row>
    <row r="174" spans="1:28" ht="18.75" customHeight="1">
      <c r="A174" s="237"/>
      <c r="B174" s="612" t="s">
        <v>611</v>
      </c>
      <c r="C174" s="604"/>
      <c r="D174" s="604"/>
      <c r="E174" s="604"/>
      <c r="F174" s="604"/>
      <c r="G174" s="604"/>
      <c r="H174" s="604"/>
      <c r="I174" s="608"/>
      <c r="J174" s="606"/>
      <c r="K174" s="961"/>
      <c r="L174" s="608"/>
      <c r="M174" s="610"/>
      <c r="N174" s="970"/>
      <c r="O174" s="608"/>
      <c r="P174" s="610"/>
      <c r="Q174" s="970"/>
      <c r="R174" s="608"/>
      <c r="S174" s="610"/>
      <c r="T174" s="970"/>
      <c r="U174" s="608"/>
      <c r="V174" s="610"/>
      <c r="W174" s="970"/>
      <c r="Y174" s="631"/>
      <c r="Z174" s="631"/>
      <c r="AA174" s="631"/>
      <c r="AB174" s="631"/>
    </row>
    <row r="175" spans="1:28" ht="15.75" customHeight="1" outlineLevel="1">
      <c r="A175" s="252"/>
      <c r="B175" s="252"/>
      <c r="C175" s="2680" t="s">
        <v>731</v>
      </c>
      <c r="D175" s="2680"/>
      <c r="E175" s="633"/>
      <c r="F175" s="633"/>
      <c r="G175" s="640"/>
      <c r="H175" s="641"/>
      <c r="I175" s="183"/>
      <c r="J175" s="628"/>
      <c r="K175" s="967" t="str">
        <f ca="1">IF(OR($H$7&lt;2,K$133&lt;3),"",IF(J175&lt;&gt;"",J175,IFERROR(IF(INDIRECT("'"&amp;J$86&amp;"'!"&amp;VLOOKUP(J$87,'List Values'!$C$3:$D$6,2,FALSE)&amp;ROW(J175))="","",INDIRECT("'"&amp;J$86&amp;"'!"&amp;VLOOKUP(J$87,'List Values'!$C$3:$D$6,2,FALSE)&amp;ROW(J175))),IF(J$86&lt;&gt;"","Data Source Error",""))))</f>
        <v/>
      </c>
      <c r="L175" s="629"/>
      <c r="M175" s="628"/>
      <c r="N175" s="967" t="str">
        <f ca="1">IF(OR($H$7&lt;3,N$133&lt;3),"",IF(M175&lt;&gt;"",M175,IFERROR(IF(INDIRECT("'"&amp;M$86&amp;"'!"&amp;VLOOKUP(M$87,'List Values'!$C$3:$D$6,2,FALSE)&amp;ROW(M175))="","",INDIRECT("'"&amp;M$86&amp;"'!"&amp;VLOOKUP(M$87,'List Values'!$C$3:$D$6,2,FALSE)&amp;ROW(M175))),IF(M$86&lt;&gt;"","Data Source Error",""))))</f>
        <v/>
      </c>
      <c r="O175" s="629"/>
      <c r="P175" s="590"/>
      <c r="Q175" s="967" t="str">
        <f ca="1">IF(OR($H$7&lt;4,Q$133&lt;3),"",IF(P175&lt;&gt;"",P175,IFERROR(IF(INDIRECT("'"&amp;P$86&amp;"'!"&amp;VLOOKUP(P$87,'List Values'!$C$3:$D$6,2,FALSE)&amp;ROW(P175))="","",INDIRECT("'"&amp;P$86&amp;"'!"&amp;VLOOKUP(P$87,'List Values'!$C$3:$D$6,2,FALSE)&amp;ROW(P175))),IF(P$86&lt;&gt;"","Data Source Error",""))))</f>
        <v/>
      </c>
      <c r="R175" s="147"/>
      <c r="S175" s="590"/>
      <c r="T175" s="967" t="str">
        <f ca="1">IF(OR($H$7&lt;5,T$133&lt;3),"",IF(S175&lt;&gt;"",S175,IFERROR(IF(INDIRECT("'"&amp;S$86&amp;"'!"&amp;VLOOKUP(S$87,'List Values'!$C$3:$D$6,2,FALSE)&amp;ROW(S175))="","",INDIRECT("'"&amp;S$86&amp;"'!"&amp;VLOOKUP(S$87,'List Values'!$C$3:$D$6,2,FALSE)&amp;ROW(S175))),IF(S$86&lt;&gt;"","Data Source Error",""))))</f>
        <v/>
      </c>
      <c r="U175" s="147"/>
      <c r="V175" s="590"/>
      <c r="W175" s="973" t="str">
        <f ca="1">IF(OR($H$7&lt;6,W$133&lt;3),"",IF(V175&lt;&gt;"",V175,IFERROR(IF(INDIRECT("'"&amp;V$86&amp;"'!"&amp;VLOOKUP(V$87,'List Values'!$C$3:$D$6,2,FALSE)&amp;ROW(V175))="","",INDIRECT("'"&amp;V$86&amp;"'!"&amp;VLOOKUP(V$87,'List Values'!$C$3:$D$6,2,FALSE)&amp;ROW(V175))),IF(V$86&lt;&gt;"","Data Source Error",""))))</f>
        <v/>
      </c>
      <c r="Y175" s="2643"/>
      <c r="Z175" s="2644"/>
      <c r="AA175" s="2644"/>
      <c r="AB175" s="2645"/>
    </row>
    <row r="176" spans="1:28" ht="15.75" customHeight="1" outlineLevel="1">
      <c r="A176" s="252"/>
      <c r="B176" s="252"/>
      <c r="C176" s="2680" t="s">
        <v>626</v>
      </c>
      <c r="D176" s="2680"/>
      <c r="E176" s="192"/>
      <c r="F176" s="192"/>
      <c r="G176" s="636"/>
      <c r="H176" s="637"/>
      <c r="I176" s="187"/>
      <c r="J176" s="526"/>
      <c r="K176" s="900" t="str">
        <f ca="1">IF(OR($H$7&lt;2,K$133&lt;3),"",IF(J176&lt;&gt;"",J176,IFERROR(IF(INDIRECT("'"&amp;J$86&amp;"'!"&amp;VLOOKUP(J$87,'List Values'!$C$3:$D$6,2,FALSE)&amp;ROW(J176))="","",INDIRECT("'"&amp;J$86&amp;"'!"&amp;VLOOKUP(J$87,'List Values'!$C$3:$D$6,2,FALSE)&amp;ROW(J176))),IF(J$86&lt;&gt;"","Data Source Error",""))))</f>
        <v/>
      </c>
      <c r="L176" s="187"/>
      <c r="M176" s="526"/>
      <c r="N176" s="900" t="str">
        <f ca="1">IF(OR($H$7&lt;3,N$133&lt;3),"",IF(M176&lt;&gt;"",M176,IFERROR(IF(INDIRECT("'"&amp;M$86&amp;"'!"&amp;VLOOKUP(M$87,'List Values'!$C$3:$D$6,2,FALSE)&amp;ROW(M176))="","",INDIRECT("'"&amp;M$86&amp;"'!"&amp;VLOOKUP(M$87,'List Values'!$C$3:$D$6,2,FALSE)&amp;ROW(M176))),IF(M$86&lt;&gt;"","Data Source Error",""))))</f>
        <v/>
      </c>
      <c r="O176" s="187"/>
      <c r="P176" s="560"/>
      <c r="Q176" s="900" t="str">
        <f ca="1">IF(OR($H$7&lt;4,Q$133&lt;3),"",IF(P176&lt;&gt;"",P176,IFERROR(IF(INDIRECT("'"&amp;P$86&amp;"'!"&amp;VLOOKUP(P$87,'List Values'!$C$3:$D$6,2,FALSE)&amp;ROW(P176))="","",INDIRECT("'"&amp;P$86&amp;"'!"&amp;VLOOKUP(P$87,'List Values'!$C$3:$D$6,2,FALSE)&amp;ROW(P176))),IF(P$86&lt;&gt;"","Data Source Error",""))))</f>
        <v/>
      </c>
      <c r="S176" s="560"/>
      <c r="T176" s="900" t="str">
        <f ca="1">IF(OR($H$7&lt;5,T$133&lt;3),"",IF(S176&lt;&gt;"",S176,IFERROR(IF(INDIRECT("'"&amp;S$86&amp;"'!"&amp;VLOOKUP(S$87,'List Values'!$C$3:$D$6,2,FALSE)&amp;ROW(S176))="","",INDIRECT("'"&amp;S$86&amp;"'!"&amp;VLOOKUP(S$87,'List Values'!$C$3:$D$6,2,FALSE)&amp;ROW(S176))),IF(S$86&lt;&gt;"","Data Source Error",""))))</f>
        <v/>
      </c>
      <c r="V176" s="560"/>
      <c r="W176" s="911" t="str">
        <f ca="1">IF(OR($H$7&lt;6,W$133&lt;3),"",IF(V176&lt;&gt;"",V176,IFERROR(IF(INDIRECT("'"&amp;V$86&amp;"'!"&amp;VLOOKUP(V$87,'List Values'!$C$3:$D$6,2,FALSE)&amp;ROW(V176))="","",INDIRECT("'"&amp;V$86&amp;"'!"&amp;VLOOKUP(V$87,'List Values'!$C$3:$D$6,2,FALSE)&amp;ROW(V176))),IF(V$86&lt;&gt;"","Data Source Error",""))))</f>
        <v/>
      </c>
      <c r="Y176" s="2643"/>
      <c r="Z176" s="2644"/>
      <c r="AA176" s="2644"/>
      <c r="AB176" s="2645"/>
    </row>
    <row r="177" spans="1:28" ht="30.75" customHeight="1" outlineLevel="1">
      <c r="A177" s="252"/>
      <c r="B177" s="252"/>
      <c r="C177" s="2680" t="s">
        <v>2520</v>
      </c>
      <c r="D177" s="2680"/>
      <c r="E177" s="192"/>
      <c r="F177" s="192"/>
      <c r="G177" s="636"/>
      <c r="H177" s="637"/>
      <c r="I177" s="183"/>
      <c r="J177" s="561"/>
      <c r="K177" s="897" t="str">
        <f ca="1">IF(OR($H$7&lt;2,K$133&lt;3),"",IF(J177&lt;&gt;"",J177,IFERROR(IF(INDIRECT("'"&amp;J$86&amp;"'!"&amp;VLOOKUP(J$87,'List Values'!$C$3:$D$6,2,FALSE)&amp;ROW(J177))="","",INDIRECT("'"&amp;J$86&amp;"'!"&amp;VLOOKUP(J$87,'List Values'!$C$3:$D$6,2,FALSE)&amp;ROW(J177))),IF(J$86&lt;&gt;"","Data Source Error",""))))</f>
        <v/>
      </c>
      <c r="L177" s="183"/>
      <c r="M177" s="561"/>
      <c r="N177" s="897" t="str">
        <f ca="1">IF(OR($H$7&lt;3,N$133&lt;3),"",IF(M177&lt;&gt;"",M177,IFERROR(IF(INDIRECT("'"&amp;M$86&amp;"'!"&amp;VLOOKUP(M$87,'List Values'!$C$3:$D$6,2,FALSE)&amp;ROW(M177))="","",INDIRECT("'"&amp;M$86&amp;"'!"&amp;VLOOKUP(M$87,'List Values'!$C$3:$D$6,2,FALSE)&amp;ROW(M177))),IF(M$86&lt;&gt;"","Data Source Error",""))))</f>
        <v/>
      </c>
      <c r="O177" s="183"/>
      <c r="P177" s="558"/>
      <c r="Q177" s="897" t="str">
        <f ca="1">IF(OR($H$7&lt;4,Q$133&lt;3),"",IF(P177&lt;&gt;"",P177,IFERROR(IF(INDIRECT("'"&amp;P$86&amp;"'!"&amp;VLOOKUP(P$87,'List Values'!$C$3:$D$6,2,FALSE)&amp;ROW(P177))="","",INDIRECT("'"&amp;P$86&amp;"'!"&amp;VLOOKUP(P$87,'List Values'!$C$3:$D$6,2,FALSE)&amp;ROW(P177))),IF(P$86&lt;&gt;"","Data Source Error",""))))</f>
        <v/>
      </c>
      <c r="S177" s="558"/>
      <c r="T177" s="897" t="str">
        <f ca="1">IF(OR($H$7&lt;5,T$133&lt;3),"",IF(S177&lt;&gt;"",S177,IFERROR(IF(INDIRECT("'"&amp;S$86&amp;"'!"&amp;VLOOKUP(S$87,'List Values'!$C$3:$D$6,2,FALSE)&amp;ROW(S177))="","",INDIRECT("'"&amp;S$86&amp;"'!"&amp;VLOOKUP(S$87,'List Values'!$C$3:$D$6,2,FALSE)&amp;ROW(S177))),IF(S$86&lt;&gt;"","Data Source Error",""))))</f>
        <v/>
      </c>
      <c r="V177" s="558"/>
      <c r="W177" s="908" t="str">
        <f ca="1">IF(OR($H$7&lt;6,W$133&lt;3),"",IF(V177&lt;&gt;"",V177,IFERROR(IF(INDIRECT("'"&amp;V$86&amp;"'!"&amp;VLOOKUP(V$87,'List Values'!$C$3:$D$6,2,FALSE)&amp;ROW(V177))="","",INDIRECT("'"&amp;V$86&amp;"'!"&amp;VLOOKUP(V$87,'List Values'!$C$3:$D$6,2,FALSE)&amp;ROW(V177))),IF(V$86&lt;&gt;"","Data Source Error",""))))</f>
        <v/>
      </c>
      <c r="Y177" s="2643"/>
      <c r="Z177" s="2644"/>
      <c r="AA177" s="2644"/>
      <c r="AB177" s="2645"/>
    </row>
    <row r="178" spans="1:28" ht="30.75" customHeight="1" outlineLevel="1">
      <c r="A178" s="252"/>
      <c r="B178" s="252"/>
      <c r="C178" s="2684" t="s">
        <v>726</v>
      </c>
      <c r="D178" s="2684"/>
      <c r="E178" s="192"/>
      <c r="F178" s="192"/>
      <c r="G178" s="636"/>
      <c r="H178" s="637"/>
      <c r="I178" s="187"/>
      <c r="J178" s="526"/>
      <c r="K178" s="900" t="str">
        <f ca="1">IF(OR($H$7&lt;2,K$133&lt;3),"",IF(J178&lt;&gt;"",J178,IFERROR(IF(INDIRECT("'"&amp;J$86&amp;"'!"&amp;VLOOKUP(J$87,'List Values'!$C$3:$D$6,2,FALSE)&amp;ROW(J178))="","",INDIRECT("'"&amp;J$86&amp;"'!"&amp;VLOOKUP(J$87,'List Values'!$C$3:$D$6,2,FALSE)&amp;ROW(J178))),IF(J$86&lt;&gt;"","Data Source Error",""))))</f>
        <v/>
      </c>
      <c r="L178" s="187"/>
      <c r="M178" s="526"/>
      <c r="N178" s="900" t="str">
        <f ca="1">IF(OR($H$7&lt;3,N$133&lt;3),"",IF(M178&lt;&gt;"",M178,IFERROR(IF(INDIRECT("'"&amp;M$86&amp;"'!"&amp;VLOOKUP(M$87,'List Values'!$C$3:$D$6,2,FALSE)&amp;ROW(M178))="","",INDIRECT("'"&amp;M$86&amp;"'!"&amp;VLOOKUP(M$87,'List Values'!$C$3:$D$6,2,FALSE)&amp;ROW(M178))),IF(M$86&lt;&gt;"","Data Source Error",""))))</f>
        <v/>
      </c>
      <c r="O178" s="187"/>
      <c r="P178" s="560"/>
      <c r="Q178" s="900" t="str">
        <f ca="1">IF(OR($H$7&lt;4,Q$133&lt;3),"",IF(P178&lt;&gt;"",P178,IFERROR(IF(INDIRECT("'"&amp;P$86&amp;"'!"&amp;VLOOKUP(P$87,'List Values'!$C$3:$D$6,2,FALSE)&amp;ROW(P178))="","",INDIRECT("'"&amp;P$86&amp;"'!"&amp;VLOOKUP(P$87,'List Values'!$C$3:$D$6,2,FALSE)&amp;ROW(P178))),IF(P$86&lt;&gt;"","Data Source Error",""))))</f>
        <v/>
      </c>
      <c r="S178" s="560"/>
      <c r="T178" s="900" t="str">
        <f ca="1">IF(OR($H$7&lt;5,T$133&lt;3),"",IF(S178&lt;&gt;"",S178,IFERROR(IF(INDIRECT("'"&amp;S$86&amp;"'!"&amp;VLOOKUP(S$87,'List Values'!$C$3:$D$6,2,FALSE)&amp;ROW(S178))="","",INDIRECT("'"&amp;S$86&amp;"'!"&amp;VLOOKUP(S$87,'List Values'!$C$3:$D$6,2,FALSE)&amp;ROW(S178))),IF(S$86&lt;&gt;"","Data Source Error",""))))</f>
        <v/>
      </c>
      <c r="V178" s="560"/>
      <c r="W178" s="911" t="str">
        <f ca="1">IF(OR($H$7&lt;6,W$133&lt;3),"",IF(V178&lt;&gt;"",V178,IFERROR(IF(INDIRECT("'"&amp;V$86&amp;"'!"&amp;VLOOKUP(V$87,'List Values'!$C$3:$D$6,2,FALSE)&amp;ROW(V178))="","",INDIRECT("'"&amp;V$86&amp;"'!"&amp;VLOOKUP(V$87,'List Values'!$C$3:$D$6,2,FALSE)&amp;ROW(V178))),IF(V$86&lt;&gt;"","Data Source Error",""))))</f>
        <v/>
      </c>
      <c r="Y178" s="2643"/>
      <c r="Z178" s="2644"/>
      <c r="AA178" s="2644"/>
      <c r="AB178" s="2645"/>
    </row>
    <row r="179" spans="1:28" ht="30.75" customHeight="1" outlineLevel="1">
      <c r="A179" s="252"/>
      <c r="B179" s="252"/>
      <c r="C179" s="2684" t="s">
        <v>727</v>
      </c>
      <c r="D179" s="2684"/>
      <c r="E179" s="192"/>
      <c r="F179" s="192"/>
      <c r="G179" s="636"/>
      <c r="H179" s="637"/>
      <c r="I179" s="187"/>
      <c r="J179" s="568"/>
      <c r="K179" s="945" t="str">
        <f ca="1">IF(OR($H$7&lt;2,K$133&lt;3),"",IF(J179&lt;&gt;"",J179,IFERROR(IF(INDIRECT("'"&amp;J$86&amp;"'!"&amp;VLOOKUP(J$87,'List Values'!$C$3:$D$6,2,FALSE)&amp;ROW(J179))="","",INDIRECT("'"&amp;J$86&amp;"'!"&amp;VLOOKUP(J$87,'List Values'!$C$3:$D$6,2,FALSE)&amp;ROW(J179))*$H$6),IF(J$86&lt;&gt;"","Data Source Error",""))))</f>
        <v/>
      </c>
      <c r="L179" s="339"/>
      <c r="M179" s="568"/>
      <c r="N179" s="945" t="str">
        <f ca="1">IF(OR($H$7&lt;3,N$133&lt;3),"",IF(M179&lt;&gt;"",M179,IFERROR(IF(INDIRECT("'"&amp;M$86&amp;"'!"&amp;VLOOKUP(M$87,'List Values'!$C$3:$D$6,2,FALSE)&amp;ROW(M179))="","",INDIRECT("'"&amp;M$86&amp;"'!"&amp;VLOOKUP(M$87,'List Values'!$C$3:$D$6,2,FALSE)&amp;ROW(M179))*$H$6),IF(M$86&lt;&gt;"","Data Source Error",""))))</f>
        <v/>
      </c>
      <c r="O179" s="339"/>
      <c r="P179" s="623"/>
      <c r="Q179" s="945" t="str">
        <f ca="1">IF(OR($H$7&lt;4,Q$133&lt;3),"",IF(P179&lt;&gt;"",P179,IFERROR(IF(INDIRECT("'"&amp;P$86&amp;"'!"&amp;VLOOKUP(P$87,'List Values'!$C$3:$D$6,2,FALSE)&amp;ROW(P179))="","",INDIRECT("'"&amp;P$86&amp;"'!"&amp;VLOOKUP(P$87,'List Values'!$C$3:$D$6,2,FALSE)&amp;ROW(P179))*$H$6),IF(P$86&lt;&gt;"","Data Source Error",""))))</f>
        <v/>
      </c>
      <c r="R179" s="7"/>
      <c r="S179" s="623"/>
      <c r="T179" s="945" t="str">
        <f ca="1">IF(OR($H$7&lt;5,T$133&lt;3),"",IF(S179&lt;&gt;"",S179,IFERROR(IF(INDIRECT("'"&amp;S$86&amp;"'!"&amp;VLOOKUP(S$87,'List Values'!$C$3:$D$6,2,FALSE)&amp;ROW(S179))="","",INDIRECT("'"&amp;S$86&amp;"'!"&amp;VLOOKUP(S$87,'List Values'!$C$3:$D$6,2,FALSE)&amp;ROW(S179))*$H$6),IF(S$86&lt;&gt;"","Data Source Error",""))))</f>
        <v/>
      </c>
      <c r="U179" s="7"/>
      <c r="V179" s="623"/>
      <c r="W179" s="952" t="str">
        <f ca="1">IF(OR($H$7&lt;6,W$133&lt;3),"",IF(V179&lt;&gt;"",V179,IFERROR(IF(INDIRECT("'"&amp;V$86&amp;"'!"&amp;VLOOKUP(V$87,'List Values'!$C$3:$D$6,2,FALSE)&amp;ROW(V179))="","",INDIRECT("'"&amp;V$86&amp;"'!"&amp;VLOOKUP(V$87,'List Values'!$C$3:$D$6,2,FALSE)&amp;ROW(V179))*$H$6),IF(V$86&lt;&gt;"","Data Source Error",""))))</f>
        <v/>
      </c>
      <c r="Y179" s="2643"/>
      <c r="Z179" s="2644"/>
      <c r="AA179" s="2644"/>
      <c r="AB179" s="2645"/>
    </row>
    <row r="180" spans="1:28" ht="15.75" customHeight="1" outlineLevel="1">
      <c r="A180" s="252"/>
      <c r="B180" s="252"/>
      <c r="C180" s="2680" t="s">
        <v>732</v>
      </c>
      <c r="D180" s="2680"/>
      <c r="E180" s="192"/>
      <c r="F180" s="192"/>
      <c r="G180" s="636"/>
      <c r="H180" s="637"/>
      <c r="I180" s="187"/>
      <c r="J180" s="526"/>
      <c r="K180" s="900" t="str">
        <f ca="1">IF(OR($H$7&lt;2,K$133&lt;3),"",IF(J180&lt;&gt;"",J180,IFERROR(IF(INDIRECT("'"&amp;J$86&amp;"'!"&amp;VLOOKUP(J$87,'List Values'!$C$3:$D$6,2,FALSE)&amp;ROW(J180))="","",INDIRECT("'"&amp;J$86&amp;"'!"&amp;VLOOKUP(J$87,'List Values'!$C$3:$D$6,2,FALSE)&amp;ROW(J180))),IF(J$86&lt;&gt;"","Data Source Error",""))))</f>
        <v/>
      </c>
      <c r="L180" s="187"/>
      <c r="M180" s="526"/>
      <c r="N180" s="900" t="str">
        <f ca="1">IF(OR($H$7&lt;3,N$133&lt;3),"",IF(M180&lt;&gt;"",M180,IFERROR(IF(INDIRECT("'"&amp;M$86&amp;"'!"&amp;VLOOKUP(M$87,'List Values'!$C$3:$D$6,2,FALSE)&amp;ROW(M180))="","",INDIRECT("'"&amp;M$86&amp;"'!"&amp;VLOOKUP(M$87,'List Values'!$C$3:$D$6,2,FALSE)&amp;ROW(M180))),IF(M$86&lt;&gt;"","Data Source Error",""))))</f>
        <v/>
      </c>
      <c r="O180" s="187"/>
      <c r="P180" s="560"/>
      <c r="Q180" s="900" t="str">
        <f ca="1">IF(OR($H$7&lt;4,Q$133&lt;3),"",IF(P180&lt;&gt;"",P180,IFERROR(IF(INDIRECT("'"&amp;P$86&amp;"'!"&amp;VLOOKUP(P$87,'List Values'!$C$3:$D$6,2,FALSE)&amp;ROW(P180))="","",INDIRECT("'"&amp;P$86&amp;"'!"&amp;VLOOKUP(P$87,'List Values'!$C$3:$D$6,2,FALSE)&amp;ROW(P180))),IF(P$86&lt;&gt;"","Data Source Error",""))))</f>
        <v/>
      </c>
      <c r="S180" s="560"/>
      <c r="T180" s="900" t="str">
        <f ca="1">IF(OR($H$7&lt;5,T$133&lt;3),"",IF(S180&lt;&gt;"",S180,IFERROR(IF(INDIRECT("'"&amp;S$86&amp;"'!"&amp;VLOOKUP(S$87,'List Values'!$C$3:$D$6,2,FALSE)&amp;ROW(S180))="","",INDIRECT("'"&amp;S$86&amp;"'!"&amp;VLOOKUP(S$87,'List Values'!$C$3:$D$6,2,FALSE)&amp;ROW(S180))),IF(S$86&lt;&gt;"","Data Source Error",""))))</f>
        <v/>
      </c>
      <c r="V180" s="560"/>
      <c r="W180" s="911" t="str">
        <f ca="1">IF(OR($H$7&lt;6,W$133&lt;3),"",IF(V180&lt;&gt;"",V180,IFERROR(IF(INDIRECT("'"&amp;V$86&amp;"'!"&amp;VLOOKUP(V$87,'List Values'!$C$3:$D$6,2,FALSE)&amp;ROW(V180))="","",INDIRECT("'"&amp;V$86&amp;"'!"&amp;VLOOKUP(V$87,'List Values'!$C$3:$D$6,2,FALSE)&amp;ROW(V180))),IF(V$86&lt;&gt;"","Data Source Error",""))))</f>
        <v/>
      </c>
      <c r="Y180" s="2643"/>
      <c r="Z180" s="2644"/>
      <c r="AA180" s="2644"/>
      <c r="AB180" s="2645"/>
    </row>
    <row r="181" spans="1:28" ht="30.75" customHeight="1" outlineLevel="1">
      <c r="A181" s="252"/>
      <c r="B181" s="252"/>
      <c r="C181" s="2680" t="s">
        <v>2521</v>
      </c>
      <c r="D181" s="2680"/>
      <c r="E181" s="192"/>
      <c r="F181" s="192"/>
      <c r="G181" s="636"/>
      <c r="H181" s="637"/>
      <c r="I181" s="187"/>
      <c r="J181" s="619"/>
      <c r="K181" s="898" t="str">
        <f ca="1">IF(OR($H$7&lt;2,K$133&lt;3),"",IF(J181&lt;&gt;"",J181,IFERROR(IF(INDIRECT("'"&amp;J$86&amp;"'!"&amp;VLOOKUP(J$87,'List Values'!$C$3:$D$6,2,FALSE)&amp;ROW(J181))="","",INDIRECT("'"&amp;J$86&amp;"'!"&amp;VLOOKUP(J$87,'List Values'!$C$3:$D$6,2,FALSE)&amp;ROW(J181))),IF(J$86&lt;&gt;"","Data Source Error",""))))</f>
        <v/>
      </c>
      <c r="L181" s="621"/>
      <c r="M181" s="619"/>
      <c r="N181" s="898" t="str">
        <f ca="1">IF(OR($H$7&lt;3,N$133&lt;3),"",IF(M181&lt;&gt;"",M181,IFERROR(IF(INDIRECT("'"&amp;M$86&amp;"'!"&amp;VLOOKUP(M$87,'List Values'!$C$3:$D$6,2,FALSE)&amp;ROW(M181))="","",INDIRECT("'"&amp;M$86&amp;"'!"&amp;VLOOKUP(M$87,'List Values'!$C$3:$D$6,2,FALSE)&amp;ROW(M181))),IF(M$86&lt;&gt;"","Data Source Error",""))))</f>
        <v/>
      </c>
      <c r="O181" s="621"/>
      <c r="P181" s="619"/>
      <c r="Q181" s="898" t="str">
        <f ca="1">IF(OR($H$7&lt;4,Q$133&lt;3),"",IF(P181&lt;&gt;"",P181,IFERROR(IF(INDIRECT("'"&amp;P$86&amp;"'!"&amp;VLOOKUP(P$87,'List Values'!$C$3:$D$6,2,FALSE)&amp;ROW(P181))="","",INDIRECT("'"&amp;P$86&amp;"'!"&amp;VLOOKUP(P$87,'List Values'!$C$3:$D$6,2,FALSE)&amp;ROW(P181))),IF(P$86&lt;&gt;"","Data Source Error",""))))</f>
        <v/>
      </c>
      <c r="R181" s="147"/>
      <c r="S181" s="619"/>
      <c r="T181" s="898" t="str">
        <f ca="1">IF(OR($H$7&lt;5,T$133&lt;3),"",IF(S181&lt;&gt;"",S181,IFERROR(IF(INDIRECT("'"&amp;S$86&amp;"'!"&amp;VLOOKUP(S$87,'List Values'!$C$3:$D$6,2,FALSE)&amp;ROW(S181))="","",INDIRECT("'"&amp;S$86&amp;"'!"&amp;VLOOKUP(S$87,'List Values'!$C$3:$D$6,2,FALSE)&amp;ROW(S181))),IF(S$86&lt;&gt;"","Data Source Error",""))))</f>
        <v/>
      </c>
      <c r="U181" s="147"/>
      <c r="V181" s="619"/>
      <c r="W181" s="909" t="str">
        <f ca="1">IF(OR($H$7&lt;6,W$133&lt;3),"",IF(V181&lt;&gt;"",V181,IFERROR(IF(INDIRECT("'"&amp;V$86&amp;"'!"&amp;VLOOKUP(V$87,'List Values'!$C$3:$D$6,2,FALSE)&amp;ROW(V181))="","",INDIRECT("'"&amp;V$86&amp;"'!"&amp;VLOOKUP(V$87,'List Values'!$C$3:$D$6,2,FALSE)&amp;ROW(V181))),IF(V$86&lt;&gt;"","Data Source Error",""))))</f>
        <v/>
      </c>
      <c r="Y181" s="2643"/>
      <c r="Z181" s="2644"/>
      <c r="AA181" s="2644"/>
      <c r="AB181" s="2645"/>
    </row>
    <row r="182" spans="1:28" ht="30.75" customHeight="1" outlineLevel="1">
      <c r="A182" s="252"/>
      <c r="B182" s="252"/>
      <c r="C182" s="2680" t="s">
        <v>2522</v>
      </c>
      <c r="D182" s="2680"/>
      <c r="E182" s="192"/>
      <c r="F182" s="192"/>
      <c r="G182" s="636"/>
      <c r="H182" s="637"/>
      <c r="I182" s="187"/>
      <c r="J182" s="619"/>
      <c r="K182" s="898" t="str">
        <f ca="1">IF(OR($H$7&lt;2,K$133&lt;3),"",IF(J182&lt;&gt;"",J182,IFERROR(IF(INDIRECT("'"&amp;J$86&amp;"'!"&amp;VLOOKUP(J$87,'List Values'!$C$3:$D$6,2,FALSE)&amp;ROW(J182))="","",INDIRECT("'"&amp;J$86&amp;"'!"&amp;VLOOKUP(J$87,'List Values'!$C$3:$D$6,2,FALSE)&amp;ROW(J182))),IF(J$86&lt;&gt;"","Data Source Error",""))))</f>
        <v/>
      </c>
      <c r="L182" s="621"/>
      <c r="M182" s="619"/>
      <c r="N182" s="971" t="str">
        <f ca="1">IF(OR($H$7&lt;3,N$133&lt;3),"",IF(M182&lt;&gt;"",M182,IFERROR(IF(INDIRECT("'"&amp;M$86&amp;"'!"&amp;VLOOKUP(M$87,'List Values'!$C$3:$D$6,2,FALSE)&amp;ROW(M182))="","",INDIRECT("'"&amp;M$86&amp;"'!"&amp;VLOOKUP(M$87,'List Values'!$C$3:$D$6,2,FALSE)&amp;ROW(M182))),IF(M$86&lt;&gt;"","Data Source Error",""))))</f>
        <v/>
      </c>
      <c r="O182" s="621"/>
      <c r="P182" s="619"/>
      <c r="Q182" s="898" t="str">
        <f ca="1">IF(OR($H$7&lt;4,Q$133&lt;3),"",IF(P182&lt;&gt;"",P182,IFERROR(IF(INDIRECT("'"&amp;P$86&amp;"'!"&amp;VLOOKUP(P$87,'List Values'!$C$3:$D$6,2,FALSE)&amp;ROW(P182))="","",INDIRECT("'"&amp;P$86&amp;"'!"&amp;VLOOKUP(P$87,'List Values'!$C$3:$D$6,2,FALSE)&amp;ROW(P182))),IF(P$86&lt;&gt;"","Data Source Error",""))))</f>
        <v/>
      </c>
      <c r="R182" s="147"/>
      <c r="S182" s="619"/>
      <c r="T182" s="898" t="str">
        <f ca="1">IF(OR($H$7&lt;5,T$133&lt;3),"",IF(S182&lt;&gt;"",S182,IFERROR(IF(INDIRECT("'"&amp;S$86&amp;"'!"&amp;VLOOKUP(S$87,'List Values'!$C$3:$D$6,2,FALSE)&amp;ROW(S182))="","",INDIRECT("'"&amp;S$86&amp;"'!"&amp;VLOOKUP(S$87,'List Values'!$C$3:$D$6,2,FALSE)&amp;ROW(S182))),IF(S$86&lt;&gt;"","Data Source Error",""))))</f>
        <v/>
      </c>
      <c r="U182" s="147"/>
      <c r="V182" s="619"/>
      <c r="W182" s="909" t="str">
        <f ca="1">IF(OR($H$7&lt;6,W$133&lt;3),"",IF(V182&lt;&gt;"",V182,IFERROR(IF(INDIRECT("'"&amp;V$86&amp;"'!"&amp;VLOOKUP(V$87,'List Values'!$C$3:$D$6,2,FALSE)&amp;ROW(V182))="","",INDIRECT("'"&amp;V$86&amp;"'!"&amp;VLOOKUP(V$87,'List Values'!$C$3:$D$6,2,FALSE)&amp;ROW(V182))),IF(V$86&lt;&gt;"","Data Source Error",""))))</f>
        <v/>
      </c>
      <c r="Y182" s="2643"/>
      <c r="Z182" s="2644"/>
      <c r="AA182" s="2644"/>
      <c r="AB182" s="2645"/>
    </row>
    <row r="183" spans="1:28" ht="31.5" customHeight="1" outlineLevel="1">
      <c r="A183" s="252"/>
      <c r="B183" s="252"/>
      <c r="C183" s="2680" t="s">
        <v>253</v>
      </c>
      <c r="D183" s="2680"/>
      <c r="E183" s="192"/>
      <c r="F183" s="192"/>
      <c r="G183" s="636"/>
      <c r="H183" s="637"/>
      <c r="I183" s="187"/>
      <c r="J183" s="526"/>
      <c r="K183" s="900" t="str">
        <f ca="1">IF(OR($H$7&lt;2,K$133&lt;3),"",IF(J183&lt;&gt;"",J183,IFERROR(IF(INDIRECT("'"&amp;J$86&amp;"'!"&amp;VLOOKUP(J$87,'List Values'!$C$3:$D$6,2,FALSE)&amp;ROW(J183))="","",INDIRECT("'"&amp;J$86&amp;"'!"&amp;VLOOKUP(J$87,'List Values'!$C$3:$D$6,2,FALSE)&amp;ROW(J183))),IF(J$86&lt;&gt;"","Data Source Error",""))))</f>
        <v/>
      </c>
      <c r="L183" s="187"/>
      <c r="M183" s="526"/>
      <c r="N183" s="900" t="str">
        <f ca="1">IF(OR($H$7&lt;3,N$133&lt;3),"",IF(M183&lt;&gt;"",M183,IFERROR(IF(INDIRECT("'"&amp;M$86&amp;"'!"&amp;VLOOKUP(M$87,'List Values'!$C$3:$D$6,2,FALSE)&amp;ROW(M183))="","",INDIRECT("'"&amp;M$86&amp;"'!"&amp;VLOOKUP(M$87,'List Values'!$C$3:$D$6,2,FALSE)&amp;ROW(M183))),IF(M$86&lt;&gt;"","Data Source Error",""))))</f>
        <v/>
      </c>
      <c r="O183" s="187"/>
      <c r="P183" s="523"/>
      <c r="Q183" s="900" t="str">
        <f ca="1">IF(OR($H$7&lt;4,Q$133&lt;3),"",IF(P183&lt;&gt;"",P183,IFERROR(IF(INDIRECT("'"&amp;P$86&amp;"'!"&amp;VLOOKUP(P$87,'List Values'!$C$3:$D$6,2,FALSE)&amp;ROW(P183))="","",INDIRECT("'"&amp;P$86&amp;"'!"&amp;VLOOKUP(P$87,'List Values'!$C$3:$D$6,2,FALSE)&amp;ROW(P183))),IF(P$86&lt;&gt;"","Data Source Error",""))))</f>
        <v/>
      </c>
      <c r="S183" s="523"/>
      <c r="T183" s="900" t="str">
        <f ca="1">IF(OR($H$7&lt;5,T$133&lt;3),"",IF(S183&lt;&gt;"",S183,IFERROR(IF(INDIRECT("'"&amp;S$86&amp;"'!"&amp;VLOOKUP(S$87,'List Values'!$C$3:$D$6,2,FALSE)&amp;ROW(S183))="","",INDIRECT("'"&amp;S$86&amp;"'!"&amp;VLOOKUP(S$87,'List Values'!$C$3:$D$6,2,FALSE)&amp;ROW(S183))),IF(S$86&lt;&gt;"","Data Source Error",""))))</f>
        <v/>
      </c>
      <c r="V183" s="523"/>
      <c r="W183" s="911" t="str">
        <f ca="1">IF(OR($H$7&lt;6,W$133&lt;3),"",IF(V183&lt;&gt;"",V183,IFERROR(IF(INDIRECT("'"&amp;V$86&amp;"'!"&amp;VLOOKUP(V$87,'List Values'!$C$3:$D$6,2,FALSE)&amp;ROW(V183))="","",INDIRECT("'"&amp;V$86&amp;"'!"&amp;VLOOKUP(V$87,'List Values'!$C$3:$D$6,2,FALSE)&amp;ROW(V183))),IF(V$86&lt;&gt;"","Data Source Error",""))))</f>
        <v/>
      </c>
      <c r="Y183" s="2643"/>
      <c r="Z183" s="2644"/>
      <c r="AA183" s="2644"/>
      <c r="AB183" s="2645"/>
    </row>
    <row r="184" spans="1:28" ht="15.75" customHeight="1" outlineLevel="1">
      <c r="A184" s="252"/>
      <c r="B184" s="252"/>
      <c r="C184" s="2684" t="s">
        <v>244</v>
      </c>
      <c r="D184" s="2684"/>
      <c r="E184" s="192"/>
      <c r="F184" s="192"/>
      <c r="G184" s="636"/>
      <c r="H184" s="637"/>
      <c r="I184" s="187"/>
      <c r="J184" s="580"/>
      <c r="K184" s="900" t="str">
        <f ca="1">IF(OR($H$7&lt;2,K$133&lt;3),"",IF(J184&lt;&gt;"",J184,IFERROR(IF(INDIRECT("'"&amp;J$86&amp;"'!"&amp;VLOOKUP(J$87,'List Values'!$C$3:$D$6,2,FALSE)&amp;ROW(J184))="","",INDIRECT("'"&amp;J$86&amp;"'!"&amp;VLOOKUP(J$87,'List Values'!$C$3:$D$6,2,FALSE)&amp;ROW(J184))),IF(J$86&lt;&gt;"","Data Source Error",""))))</f>
        <v/>
      </c>
      <c r="L184" s="187"/>
      <c r="M184" s="580"/>
      <c r="N184" s="900" t="str">
        <f ca="1">IF(OR($H$7&lt;3,N$133&lt;3),"",IF(M184&lt;&gt;"",M184,IFERROR(IF(INDIRECT("'"&amp;M$86&amp;"'!"&amp;VLOOKUP(M$87,'List Values'!$C$3:$D$6,2,FALSE)&amp;ROW(M184))="","",INDIRECT("'"&amp;M$86&amp;"'!"&amp;VLOOKUP(M$87,'List Values'!$C$3:$D$6,2,FALSE)&amp;ROW(M184))),IF(M$86&lt;&gt;"","Data Source Error",""))))</f>
        <v/>
      </c>
      <c r="O184" s="187"/>
      <c r="P184" s="528"/>
      <c r="Q184" s="900" t="str">
        <f ca="1">IF(OR($H$7&lt;4,Q$133&lt;3),"",IF(P184&lt;&gt;"",P184,IFERROR(IF(INDIRECT("'"&amp;P$86&amp;"'!"&amp;VLOOKUP(P$87,'List Values'!$C$3:$D$6,2,FALSE)&amp;ROW(P184))="","",INDIRECT("'"&amp;P$86&amp;"'!"&amp;VLOOKUP(P$87,'List Values'!$C$3:$D$6,2,FALSE)&amp;ROW(P184))),IF(P$86&lt;&gt;"","Data Source Error",""))))</f>
        <v/>
      </c>
      <c r="S184" s="528"/>
      <c r="T184" s="900" t="str">
        <f ca="1">IF(OR($H$7&lt;5,T$133&lt;3),"",IF(S184&lt;&gt;"",S184,IFERROR(IF(INDIRECT("'"&amp;S$86&amp;"'!"&amp;VLOOKUP(S$87,'List Values'!$C$3:$D$6,2,FALSE)&amp;ROW(S184))="","",INDIRECT("'"&amp;S$86&amp;"'!"&amp;VLOOKUP(S$87,'List Values'!$C$3:$D$6,2,FALSE)&amp;ROW(S184))),IF(S$86&lt;&gt;"","Data Source Error",""))))</f>
        <v/>
      </c>
      <c r="V184" s="528"/>
      <c r="W184" s="911" t="str">
        <f ca="1">IF(OR($H$7&lt;6,W$133&lt;3),"",IF(V184&lt;&gt;"",V184,IFERROR(IF(INDIRECT("'"&amp;V$86&amp;"'!"&amp;VLOOKUP(V$87,'List Values'!$C$3:$D$6,2,FALSE)&amp;ROW(V184))="","",INDIRECT("'"&amp;V$86&amp;"'!"&amp;VLOOKUP(V$87,'List Values'!$C$3:$D$6,2,FALSE)&amp;ROW(V184))),IF(V$86&lt;&gt;"","Data Source Error",""))))</f>
        <v/>
      </c>
      <c r="Y184" s="2643"/>
      <c r="Z184" s="2644"/>
      <c r="AA184" s="2644"/>
      <c r="AB184" s="2645"/>
    </row>
    <row r="185" spans="1:28" ht="30.75" customHeight="1" outlineLevel="1">
      <c r="A185" s="252"/>
      <c r="B185" s="252"/>
      <c r="C185" s="2680" t="s">
        <v>2523</v>
      </c>
      <c r="D185" s="2680"/>
      <c r="E185" s="192"/>
      <c r="F185" s="192"/>
      <c r="G185" s="636"/>
      <c r="H185" s="637"/>
      <c r="I185" s="187"/>
      <c r="J185" s="580"/>
      <c r="K185" s="900" t="str">
        <f ca="1">IF(OR($H$7&lt;2,K$133&lt;3),"",IF(J185&lt;&gt;"",J185,IFERROR(IF(INDIRECT("'"&amp;J$86&amp;"'!"&amp;VLOOKUP(J$87,'List Values'!$C$3:$D$6,2,FALSE)&amp;ROW(J185))="","",INDIRECT("'"&amp;J$86&amp;"'!"&amp;VLOOKUP(J$87,'List Values'!$C$3:$D$6,2,FALSE)&amp;ROW(J185))),IF(J$86&lt;&gt;"","Data Source Error",""))))</f>
        <v/>
      </c>
      <c r="L185" s="187"/>
      <c r="M185" s="580"/>
      <c r="N185" s="900" t="str">
        <f ca="1">IF(OR($H$7&lt;3,N$133&lt;3),"",IF(M185&lt;&gt;"",M185,IFERROR(IF(INDIRECT("'"&amp;M$86&amp;"'!"&amp;VLOOKUP(M$87,'List Values'!$C$3:$D$6,2,FALSE)&amp;ROW(M185))="","",INDIRECT("'"&amp;M$86&amp;"'!"&amp;VLOOKUP(M$87,'List Values'!$C$3:$D$6,2,FALSE)&amp;ROW(M185))),IF(M$86&lt;&gt;"","Data Source Error",""))))</f>
        <v/>
      </c>
      <c r="O185" s="187"/>
      <c r="P185" s="528"/>
      <c r="Q185" s="900" t="str">
        <f ca="1">IF(OR($H$7&lt;4,Q$133&lt;3),"",IF(P185&lt;&gt;"",P185,IFERROR(IF(INDIRECT("'"&amp;P$86&amp;"'!"&amp;VLOOKUP(P$87,'List Values'!$C$3:$D$6,2,FALSE)&amp;ROW(P185))="","",INDIRECT("'"&amp;P$86&amp;"'!"&amp;VLOOKUP(P$87,'List Values'!$C$3:$D$6,2,FALSE)&amp;ROW(P185))),IF(P$86&lt;&gt;"","Data Source Error",""))))</f>
        <v/>
      </c>
      <c r="S185" s="528"/>
      <c r="T185" s="900" t="str">
        <f ca="1">IF(OR($H$7&lt;5,T$133&lt;3),"",IF(S185&lt;&gt;"",S185,IFERROR(IF(INDIRECT("'"&amp;S$86&amp;"'!"&amp;VLOOKUP(S$87,'List Values'!$C$3:$D$6,2,FALSE)&amp;ROW(S185))="","",INDIRECT("'"&amp;S$86&amp;"'!"&amp;VLOOKUP(S$87,'List Values'!$C$3:$D$6,2,FALSE)&amp;ROW(S185))),IF(S$86&lt;&gt;"","Data Source Error",""))))</f>
        <v/>
      </c>
      <c r="V185" s="528"/>
      <c r="W185" s="911" t="str">
        <f ca="1">IF(OR($H$7&lt;6,W$133&lt;3),"",IF(V185&lt;&gt;"",V185,IFERROR(IF(INDIRECT("'"&amp;V$86&amp;"'!"&amp;VLOOKUP(V$87,'List Values'!$C$3:$D$6,2,FALSE)&amp;ROW(V185))="","",INDIRECT("'"&amp;V$86&amp;"'!"&amp;VLOOKUP(V$87,'List Values'!$C$3:$D$6,2,FALSE)&amp;ROW(V185))),IF(V$86&lt;&gt;"","Data Source Error",""))))</f>
        <v/>
      </c>
      <c r="Y185" s="2643"/>
      <c r="Z185" s="2644"/>
      <c r="AA185" s="2644"/>
      <c r="AB185" s="2645"/>
    </row>
    <row r="186" spans="1:28" ht="15.75" customHeight="1" outlineLevel="1">
      <c r="A186" s="252"/>
      <c r="B186" s="252"/>
      <c r="C186" s="2680" t="s">
        <v>2524</v>
      </c>
      <c r="D186" s="2680"/>
      <c r="E186" s="192"/>
      <c r="F186" s="192"/>
      <c r="G186" s="636"/>
      <c r="H186" s="637"/>
      <c r="I186" s="187"/>
      <c r="J186" s="580"/>
      <c r="K186" s="900" t="str">
        <f ca="1">IF(OR($H$7&lt;2,K$133&lt;3),"",IF(J186&lt;&gt;"",J186,IFERROR(IF(INDIRECT("'"&amp;J$86&amp;"'!"&amp;VLOOKUP(J$87,'List Values'!$C$3:$D$6,2,FALSE)&amp;ROW(J186))="","",INDIRECT("'"&amp;J$86&amp;"'!"&amp;VLOOKUP(J$87,'List Values'!$C$3:$D$6,2,FALSE)&amp;ROW(J186))),IF(J$86&lt;&gt;"","Data Source Error",""))))</f>
        <v/>
      </c>
      <c r="L186" s="187"/>
      <c r="M186" s="580"/>
      <c r="N186" s="900" t="str">
        <f ca="1">IF(OR($H$7&lt;3,N$133&lt;3),"",IF(M186&lt;&gt;"",M186,IFERROR(IF(INDIRECT("'"&amp;M$86&amp;"'!"&amp;VLOOKUP(M$87,'List Values'!$C$3:$D$6,2,FALSE)&amp;ROW(M186))="","",INDIRECT("'"&amp;M$86&amp;"'!"&amp;VLOOKUP(M$87,'List Values'!$C$3:$D$6,2,FALSE)&amp;ROW(M186))),IF(M$86&lt;&gt;"","Data Source Error",""))))</f>
        <v/>
      </c>
      <c r="O186" s="187"/>
      <c r="P186" s="528"/>
      <c r="Q186" s="900" t="str">
        <f ca="1">IF(OR($H$7&lt;4,Q$133&lt;3),"",IF(P186&lt;&gt;"",P186,IFERROR(IF(INDIRECT("'"&amp;P$86&amp;"'!"&amp;VLOOKUP(P$87,'List Values'!$C$3:$D$6,2,FALSE)&amp;ROW(P186))="","",INDIRECT("'"&amp;P$86&amp;"'!"&amp;VLOOKUP(P$87,'List Values'!$C$3:$D$6,2,FALSE)&amp;ROW(P186))),IF(P$86&lt;&gt;"","Data Source Error",""))))</f>
        <v/>
      </c>
      <c r="S186" s="528"/>
      <c r="T186" s="900" t="str">
        <f ca="1">IF(OR($H$7&lt;5,T$133&lt;3),"",IF(S186&lt;&gt;"",S186,IFERROR(IF(INDIRECT("'"&amp;S$86&amp;"'!"&amp;VLOOKUP(S$87,'List Values'!$C$3:$D$6,2,FALSE)&amp;ROW(S186))="","",INDIRECT("'"&amp;S$86&amp;"'!"&amp;VLOOKUP(S$87,'List Values'!$C$3:$D$6,2,FALSE)&amp;ROW(S186))),IF(S$86&lt;&gt;"","Data Source Error",""))))</f>
        <v/>
      </c>
      <c r="V186" s="528"/>
      <c r="W186" s="911" t="str">
        <f ca="1">IF(OR($H$7&lt;6,W$133&lt;3),"",IF(V186&lt;&gt;"",V186,IFERROR(IF(INDIRECT("'"&amp;V$86&amp;"'!"&amp;VLOOKUP(V$87,'List Values'!$C$3:$D$6,2,FALSE)&amp;ROW(V186))="","",INDIRECT("'"&amp;V$86&amp;"'!"&amp;VLOOKUP(V$87,'List Values'!$C$3:$D$6,2,FALSE)&amp;ROW(V186))),IF(V$86&lt;&gt;"","Data Source Error",""))))</f>
        <v/>
      </c>
      <c r="Y186" s="2643"/>
      <c r="Z186" s="2644"/>
      <c r="AA186" s="2644"/>
      <c r="AB186" s="2645"/>
    </row>
    <row r="187" spans="1:28" ht="15.65" customHeight="1" outlineLevel="1">
      <c r="A187" s="252"/>
      <c r="B187" s="252"/>
      <c r="C187" s="2684" t="s">
        <v>2525</v>
      </c>
      <c r="D187" s="2684"/>
      <c r="E187" s="192"/>
      <c r="F187" s="192"/>
      <c r="G187" s="636"/>
      <c r="H187" s="637"/>
      <c r="I187" s="187"/>
      <c r="J187" s="580"/>
      <c r="K187" s="900" t="str">
        <f ca="1">IF(OR($H$7&lt;2,K$133&lt;3),"",IF(J187&lt;&gt;"",J187,IFERROR(IF(INDIRECT("'"&amp;J$86&amp;"'!"&amp;VLOOKUP(J$87,'List Values'!$C$3:$D$6,2,FALSE)&amp;ROW(J187))="","",INDIRECT("'"&amp;J$86&amp;"'!"&amp;VLOOKUP(J$87,'List Values'!$C$3:$D$6,2,FALSE)&amp;ROW(J187))),IF(J$86&lt;&gt;"","Data Source Error",""))))</f>
        <v/>
      </c>
      <c r="L187" s="187"/>
      <c r="M187" s="580"/>
      <c r="N187" s="900" t="str">
        <f ca="1">IF(OR($H$7&lt;3,N$133&lt;3),"",IF(M187&lt;&gt;"",M187,IFERROR(IF(INDIRECT("'"&amp;M$86&amp;"'!"&amp;VLOOKUP(M$87,'List Values'!$C$3:$D$6,2,FALSE)&amp;ROW(M187))="","",INDIRECT("'"&amp;M$86&amp;"'!"&amp;VLOOKUP(M$87,'List Values'!$C$3:$D$6,2,FALSE)&amp;ROW(M187))),IF(M$86&lt;&gt;"","Data Source Error",""))))</f>
        <v/>
      </c>
      <c r="O187" s="187"/>
      <c r="P187" s="528"/>
      <c r="Q187" s="900" t="str">
        <f ca="1">IF(OR($H$7&lt;4,Q$133&lt;3),"",IF(P187&lt;&gt;"",P187,IFERROR(IF(INDIRECT("'"&amp;P$86&amp;"'!"&amp;VLOOKUP(P$87,'List Values'!$C$3:$D$6,2,FALSE)&amp;ROW(P187))="","",INDIRECT("'"&amp;P$86&amp;"'!"&amp;VLOOKUP(P$87,'List Values'!$C$3:$D$6,2,FALSE)&amp;ROW(P187))),IF(P$86&lt;&gt;"","Data Source Error",""))))</f>
        <v/>
      </c>
      <c r="S187" s="528"/>
      <c r="T187" s="900" t="str">
        <f ca="1">IF(OR($H$7&lt;5,T$133&lt;3),"",IF(S187&lt;&gt;"",S187,IFERROR(IF(INDIRECT("'"&amp;S$86&amp;"'!"&amp;VLOOKUP(S$87,'List Values'!$C$3:$D$6,2,FALSE)&amp;ROW(S187))="","",INDIRECT("'"&amp;S$86&amp;"'!"&amp;VLOOKUP(S$87,'List Values'!$C$3:$D$6,2,FALSE)&amp;ROW(S187))),IF(S$86&lt;&gt;"","Data Source Error",""))))</f>
        <v/>
      </c>
      <c r="V187" s="528"/>
      <c r="W187" s="911" t="str">
        <f ca="1">IF(OR($H$7&lt;6,W$133&lt;3),"",IF(V187&lt;&gt;"",V187,IFERROR(IF(INDIRECT("'"&amp;V$86&amp;"'!"&amp;VLOOKUP(V$87,'List Values'!$C$3:$D$6,2,FALSE)&amp;ROW(V187))="","",INDIRECT("'"&amp;V$86&amp;"'!"&amp;VLOOKUP(V$87,'List Values'!$C$3:$D$6,2,FALSE)&amp;ROW(V187))),IF(V$86&lt;&gt;"","Data Source Error",""))))</f>
        <v/>
      </c>
      <c r="Y187" s="2643"/>
      <c r="Z187" s="2644"/>
      <c r="AA187" s="2644"/>
      <c r="AB187" s="2645"/>
    </row>
    <row r="188" spans="1:28" ht="30.75" customHeight="1" outlineLevel="1">
      <c r="A188" s="252"/>
      <c r="B188" s="252"/>
      <c r="C188" s="2680" t="s">
        <v>2526</v>
      </c>
      <c r="D188" s="2680"/>
      <c r="E188" s="192"/>
      <c r="F188" s="192"/>
      <c r="G188" s="636"/>
      <c r="H188" s="637"/>
      <c r="I188" s="187"/>
      <c r="J188" s="580"/>
      <c r="K188" s="900" t="str">
        <f ca="1">IF(OR($H$7&lt;2,K$133&lt;3),"",IF(J188&lt;&gt;"",J188,IFERROR(IF(INDIRECT("'"&amp;J$86&amp;"'!"&amp;VLOOKUP(J$87,'List Values'!$C$3:$D$6,2,FALSE)&amp;ROW(J188))="","",INDIRECT("'"&amp;J$86&amp;"'!"&amp;VLOOKUP(J$87,'List Values'!$C$3:$D$6,2,FALSE)&amp;ROW(J188))),IF(J$86&lt;&gt;"","Data Source Error",""))))</f>
        <v/>
      </c>
      <c r="L188" s="187"/>
      <c r="M188" s="580"/>
      <c r="N188" s="900" t="str">
        <f ca="1">IF(OR($H$7&lt;3,N$133&lt;3),"",IF(M188&lt;&gt;"",M188,IFERROR(IF(INDIRECT("'"&amp;M$86&amp;"'!"&amp;VLOOKUP(M$87,'List Values'!$C$3:$D$6,2,FALSE)&amp;ROW(M188))="","",INDIRECT("'"&amp;M$86&amp;"'!"&amp;VLOOKUP(M$87,'List Values'!$C$3:$D$6,2,FALSE)&amp;ROW(M188))),IF(M$86&lt;&gt;"","Data Source Error",""))))</f>
        <v/>
      </c>
      <c r="O188" s="187"/>
      <c r="P188" s="528"/>
      <c r="Q188" s="900" t="str">
        <f ca="1">IF(OR($H$7&lt;4,Q$133&lt;3),"",IF(P188&lt;&gt;"",P188,IFERROR(IF(INDIRECT("'"&amp;P$86&amp;"'!"&amp;VLOOKUP(P$87,'List Values'!$C$3:$D$6,2,FALSE)&amp;ROW(P188))="","",INDIRECT("'"&amp;P$86&amp;"'!"&amp;VLOOKUP(P$87,'List Values'!$C$3:$D$6,2,FALSE)&amp;ROW(P188))),IF(P$86&lt;&gt;"","Data Source Error",""))))</f>
        <v/>
      </c>
      <c r="S188" s="528"/>
      <c r="T188" s="900" t="str">
        <f ca="1">IF(OR($H$7&lt;5,T$133&lt;3),"",IF(S188&lt;&gt;"",S188,IFERROR(IF(INDIRECT("'"&amp;S$86&amp;"'!"&amp;VLOOKUP(S$87,'List Values'!$C$3:$D$6,2,FALSE)&amp;ROW(S188))="","",INDIRECT("'"&amp;S$86&amp;"'!"&amp;VLOOKUP(S$87,'List Values'!$C$3:$D$6,2,FALSE)&amp;ROW(S188))),IF(S$86&lt;&gt;"","Data Source Error",""))))</f>
        <v/>
      </c>
      <c r="V188" s="528"/>
      <c r="W188" s="911" t="str">
        <f ca="1">IF(OR($H$7&lt;6,W$133&lt;3),"",IF(V188&lt;&gt;"",V188,IFERROR(IF(INDIRECT("'"&amp;V$86&amp;"'!"&amp;VLOOKUP(V$87,'List Values'!$C$3:$D$6,2,FALSE)&amp;ROW(V188))="","",INDIRECT("'"&amp;V$86&amp;"'!"&amp;VLOOKUP(V$87,'List Values'!$C$3:$D$6,2,FALSE)&amp;ROW(V188))),IF(V$86&lt;&gt;"","Data Source Error",""))))</f>
        <v/>
      </c>
      <c r="Y188" s="2643"/>
      <c r="Z188" s="2644"/>
      <c r="AA188" s="2644"/>
      <c r="AB188" s="2645"/>
    </row>
    <row r="189" spans="1:28" ht="30.75" customHeight="1" outlineLevel="1">
      <c r="A189" s="252"/>
      <c r="B189" s="252"/>
      <c r="C189" s="2680" t="s">
        <v>2527</v>
      </c>
      <c r="D189" s="2680"/>
      <c r="E189" s="192"/>
      <c r="F189" s="192"/>
      <c r="G189" s="636"/>
      <c r="H189" s="637"/>
      <c r="I189" s="187"/>
      <c r="J189" s="580"/>
      <c r="K189" s="900" t="str">
        <f ca="1">IF(OR($H$7&lt;2,K$133&lt;3),"",IF(J189&lt;&gt;"",J189,IFERROR(IF(INDIRECT("'"&amp;J$86&amp;"'!"&amp;VLOOKUP(J$87,'List Values'!$C$3:$D$6,2,FALSE)&amp;ROW(J189))="","",INDIRECT("'"&amp;J$86&amp;"'!"&amp;VLOOKUP(J$87,'List Values'!$C$3:$D$6,2,FALSE)&amp;ROW(J189))),IF(J$86&lt;&gt;"","Data Source Error",""))))</f>
        <v/>
      </c>
      <c r="L189" s="187"/>
      <c r="M189" s="580"/>
      <c r="N189" s="900" t="str">
        <f ca="1">IF(OR($H$7&lt;3,N$133&lt;3),"",IF(M189&lt;&gt;"",M189,IFERROR(IF(INDIRECT("'"&amp;M$86&amp;"'!"&amp;VLOOKUP(M$87,'List Values'!$C$3:$D$6,2,FALSE)&amp;ROW(M189))="","",INDIRECT("'"&amp;M$86&amp;"'!"&amp;VLOOKUP(M$87,'List Values'!$C$3:$D$6,2,FALSE)&amp;ROW(M189))),IF(M$86&lt;&gt;"","Data Source Error",""))))</f>
        <v/>
      </c>
      <c r="O189" s="187"/>
      <c r="P189" s="528"/>
      <c r="Q189" s="900" t="str">
        <f ca="1">IF(OR($H$7&lt;4,Q$133&lt;3),"",IF(P189&lt;&gt;"",P189,IFERROR(IF(INDIRECT("'"&amp;P$86&amp;"'!"&amp;VLOOKUP(P$87,'List Values'!$C$3:$D$6,2,FALSE)&amp;ROW(P189))="","",INDIRECT("'"&amp;P$86&amp;"'!"&amp;VLOOKUP(P$87,'List Values'!$C$3:$D$6,2,FALSE)&amp;ROW(P189))),IF(P$86&lt;&gt;"","Data Source Error",""))))</f>
        <v/>
      </c>
      <c r="S189" s="528"/>
      <c r="T189" s="900" t="str">
        <f ca="1">IF(OR($H$7&lt;5,T$133&lt;3),"",IF(S189&lt;&gt;"",S189,IFERROR(IF(INDIRECT("'"&amp;S$86&amp;"'!"&amp;VLOOKUP(S$87,'List Values'!$C$3:$D$6,2,FALSE)&amp;ROW(S189))="","",INDIRECT("'"&amp;S$86&amp;"'!"&amp;VLOOKUP(S$87,'List Values'!$C$3:$D$6,2,FALSE)&amp;ROW(S189))),IF(S$86&lt;&gt;"","Data Source Error",""))))</f>
        <v/>
      </c>
      <c r="V189" s="528"/>
      <c r="W189" s="911" t="str">
        <f ca="1">IF(OR($H$7&lt;6,W$133&lt;3),"",IF(V189&lt;&gt;"",V189,IFERROR(IF(INDIRECT("'"&amp;V$86&amp;"'!"&amp;VLOOKUP(V$87,'List Values'!$C$3:$D$6,2,FALSE)&amp;ROW(V189))="","",INDIRECT("'"&amp;V$86&amp;"'!"&amp;VLOOKUP(V$87,'List Values'!$C$3:$D$6,2,FALSE)&amp;ROW(V189))),IF(V$86&lt;&gt;"","Data Source Error",""))))</f>
        <v/>
      </c>
      <c r="Y189" s="2643"/>
      <c r="Z189" s="2644"/>
      <c r="AA189" s="2644"/>
      <c r="AB189" s="2645"/>
    </row>
    <row r="190" spans="1:28" ht="30.75" customHeight="1" outlineLevel="1">
      <c r="A190" s="252"/>
      <c r="B190" s="252"/>
      <c r="C190" s="2680" t="s">
        <v>2528</v>
      </c>
      <c r="D190" s="2680"/>
      <c r="E190" s="192"/>
      <c r="F190" s="192"/>
      <c r="G190" s="636"/>
      <c r="H190" s="637"/>
      <c r="I190" s="187"/>
      <c r="J190" s="580"/>
      <c r="K190" s="900" t="str">
        <f ca="1">IF(OR($H$7&lt;2,K$133&lt;3),"",IF(J190&lt;&gt;"",J190,IFERROR(IF(INDIRECT("'"&amp;J$86&amp;"'!"&amp;VLOOKUP(J$87,'List Values'!$C$3:$D$6,2,FALSE)&amp;ROW(J190))="","",INDIRECT("'"&amp;J$86&amp;"'!"&amp;VLOOKUP(J$87,'List Values'!$C$3:$D$6,2,FALSE)&amp;ROW(J190))),IF(J$86&lt;&gt;"","Data Source Error",""))))</f>
        <v/>
      </c>
      <c r="L190" s="187"/>
      <c r="M190" s="580"/>
      <c r="N190" s="900" t="str">
        <f ca="1">IF(OR($H$7&lt;3,N$133&lt;3),"",IF(M190&lt;&gt;"",M190,IFERROR(IF(INDIRECT("'"&amp;M$86&amp;"'!"&amp;VLOOKUP(M$87,'List Values'!$C$3:$D$6,2,FALSE)&amp;ROW(M190))="","",INDIRECT("'"&amp;M$86&amp;"'!"&amp;VLOOKUP(M$87,'List Values'!$C$3:$D$6,2,FALSE)&amp;ROW(M190))),IF(M$86&lt;&gt;"","Data Source Error",""))))</f>
        <v/>
      </c>
      <c r="O190" s="187"/>
      <c r="P190" s="528"/>
      <c r="Q190" s="900" t="str">
        <f ca="1">IF(OR($H$7&lt;4,Q$133&lt;3),"",IF(P190&lt;&gt;"",P190,IFERROR(IF(INDIRECT("'"&amp;P$86&amp;"'!"&amp;VLOOKUP(P$87,'List Values'!$C$3:$D$6,2,FALSE)&amp;ROW(P190))="","",INDIRECT("'"&amp;P$86&amp;"'!"&amp;VLOOKUP(P$87,'List Values'!$C$3:$D$6,2,FALSE)&amp;ROW(P190))),IF(P$86&lt;&gt;"","Data Source Error",""))))</f>
        <v/>
      </c>
      <c r="S190" s="528"/>
      <c r="T190" s="900" t="str">
        <f ca="1">IF(OR($H$7&lt;5,T$133&lt;3),"",IF(S190&lt;&gt;"",S190,IFERROR(IF(INDIRECT("'"&amp;S$86&amp;"'!"&amp;VLOOKUP(S$87,'List Values'!$C$3:$D$6,2,FALSE)&amp;ROW(S190))="","",INDIRECT("'"&amp;S$86&amp;"'!"&amp;VLOOKUP(S$87,'List Values'!$C$3:$D$6,2,FALSE)&amp;ROW(S190))),IF(S$86&lt;&gt;"","Data Source Error",""))))</f>
        <v/>
      </c>
      <c r="V190" s="528"/>
      <c r="W190" s="911" t="str">
        <f ca="1">IF(OR($H$7&lt;6,W$133&lt;3),"",IF(V190&lt;&gt;"",V190,IFERROR(IF(INDIRECT("'"&amp;V$86&amp;"'!"&amp;VLOOKUP(V$87,'List Values'!$C$3:$D$6,2,FALSE)&amp;ROW(V190))="","",INDIRECT("'"&amp;V$86&amp;"'!"&amp;VLOOKUP(V$87,'List Values'!$C$3:$D$6,2,FALSE)&amp;ROW(V190))),IF(V$86&lt;&gt;"","Data Source Error",""))))</f>
        <v/>
      </c>
      <c r="Y190" s="2643"/>
      <c r="Z190" s="2644"/>
      <c r="AA190" s="2644"/>
      <c r="AB190" s="2645"/>
    </row>
    <row r="191" spans="1:28" ht="15.75" customHeight="1" outlineLevel="1">
      <c r="A191" s="252"/>
      <c r="B191" s="252"/>
      <c r="C191" s="2680" t="s">
        <v>650</v>
      </c>
      <c r="D191" s="2680"/>
      <c r="E191" s="192"/>
      <c r="F191" s="192"/>
      <c r="G191" s="636"/>
      <c r="H191" s="637"/>
      <c r="I191" s="187"/>
      <c r="J191" s="580"/>
      <c r="K191" s="900" t="str">
        <f ca="1">IF(OR($H$7&lt;2,K$133&lt;3),"",IF(J191&lt;&gt;"",J191,IFERROR(IF(INDIRECT("'"&amp;J$86&amp;"'!"&amp;VLOOKUP(J$87,'List Values'!$C$3:$D$6,2,FALSE)&amp;ROW(J191))="","",INDIRECT("'"&amp;J$86&amp;"'!"&amp;VLOOKUP(J$87,'List Values'!$C$3:$D$6,2,FALSE)&amp;ROW(J191))),IF(J$86&lt;&gt;"","Data Source Error",""))))</f>
        <v/>
      </c>
      <c r="L191" s="187"/>
      <c r="M191" s="580"/>
      <c r="N191" s="900" t="str">
        <f ca="1">IF(OR($H$7&lt;3,N$133&lt;3),"",IF(M191&lt;&gt;"",M191,IFERROR(IF(INDIRECT("'"&amp;M$86&amp;"'!"&amp;VLOOKUP(M$87,'List Values'!$C$3:$D$6,2,FALSE)&amp;ROW(M191))="","",INDIRECT("'"&amp;M$86&amp;"'!"&amp;VLOOKUP(M$87,'List Values'!$C$3:$D$6,2,FALSE)&amp;ROW(M191))),IF(M$86&lt;&gt;"","Data Source Error",""))))</f>
        <v/>
      </c>
      <c r="O191" s="187"/>
      <c r="P191" s="528"/>
      <c r="Q191" s="900" t="str">
        <f ca="1">IF(OR($H$7&lt;4,Q$133&lt;3),"",IF(P191&lt;&gt;"",P191,IFERROR(IF(INDIRECT("'"&amp;P$86&amp;"'!"&amp;VLOOKUP(P$87,'List Values'!$C$3:$D$6,2,FALSE)&amp;ROW(P191))="","",INDIRECT("'"&amp;P$86&amp;"'!"&amp;VLOOKUP(P$87,'List Values'!$C$3:$D$6,2,FALSE)&amp;ROW(P191))),IF(P$86&lt;&gt;"","Data Source Error",""))))</f>
        <v/>
      </c>
      <c r="S191" s="528"/>
      <c r="T191" s="900" t="str">
        <f ca="1">IF(OR($H$7&lt;5,T$133&lt;3),"",IF(S191&lt;&gt;"",S191,IFERROR(IF(INDIRECT("'"&amp;S$86&amp;"'!"&amp;VLOOKUP(S$87,'List Values'!$C$3:$D$6,2,FALSE)&amp;ROW(S191))="","",INDIRECT("'"&amp;S$86&amp;"'!"&amp;VLOOKUP(S$87,'List Values'!$C$3:$D$6,2,FALSE)&amp;ROW(S191))),IF(S$86&lt;&gt;"","Data Source Error",""))))</f>
        <v/>
      </c>
      <c r="V191" s="528"/>
      <c r="W191" s="911" t="str">
        <f ca="1">IF(OR($H$7&lt;6,W$133&lt;3),"",IF(V191&lt;&gt;"",V191,IFERROR(IF(INDIRECT("'"&amp;V$86&amp;"'!"&amp;VLOOKUP(V$87,'List Values'!$C$3:$D$6,2,FALSE)&amp;ROW(V191))="","",INDIRECT("'"&amp;V$86&amp;"'!"&amp;VLOOKUP(V$87,'List Values'!$C$3:$D$6,2,FALSE)&amp;ROW(V191))),IF(V$86&lt;&gt;"","Data Source Error",""))))</f>
        <v/>
      </c>
      <c r="Y191" s="2643"/>
      <c r="Z191" s="2644"/>
      <c r="AA191" s="2644"/>
      <c r="AB191" s="2645"/>
    </row>
    <row r="192" spans="1:28" ht="30.75" customHeight="1" outlineLevel="1">
      <c r="A192" s="252"/>
      <c r="B192" s="252"/>
      <c r="C192" s="2680" t="s">
        <v>651</v>
      </c>
      <c r="D192" s="2680"/>
      <c r="E192" s="192"/>
      <c r="F192" s="192"/>
      <c r="G192" s="636"/>
      <c r="H192" s="637"/>
      <c r="I192" s="184"/>
      <c r="J192" s="624"/>
      <c r="K192" s="941" t="str">
        <f ca="1">IF(OR($H$7&lt;2,K$133&lt;3),"",IF(J192&lt;&gt;"",J192,IFERROR(IF(INDIRECT("'"&amp;J$86&amp;"'!"&amp;VLOOKUP(J$87,'List Values'!$C$3:$D$6,2,FALSE)&amp;ROW(J192))="","",INDIRECT("'"&amp;J$86&amp;"'!"&amp;VLOOKUP(J$87,'List Values'!$C$3:$D$6,2,FALSE)&amp;ROW(J192))),IF(J$86&lt;&gt;"","Data Source Error",""))))</f>
        <v/>
      </c>
      <c r="L192" s="184"/>
      <c r="M192" s="624"/>
      <c r="N192" s="941" t="str">
        <f ca="1">IF(OR($H$7&lt;3,N$133&lt;3),"",IF(M192&lt;&gt;"",M192,IFERROR(IF(INDIRECT("'"&amp;M$86&amp;"'!"&amp;VLOOKUP(M$87,'List Values'!$C$3:$D$6,2,FALSE)&amp;ROW(M192))="","",INDIRECT("'"&amp;M$86&amp;"'!"&amp;VLOOKUP(M$87,'List Values'!$C$3:$D$6,2,FALSE)&amp;ROW(M192))),IF(M$86&lt;&gt;"","Data Source Error",""))))</f>
        <v/>
      </c>
      <c r="O192" s="184"/>
      <c r="P192" s="528"/>
      <c r="Q192" s="941" t="str">
        <f ca="1">IF(OR($H$7&lt;4,Q$133&lt;3),"",IF(P192&lt;&gt;"",P192,IFERROR(IF(INDIRECT("'"&amp;P$86&amp;"'!"&amp;VLOOKUP(P$87,'List Values'!$C$3:$D$6,2,FALSE)&amp;ROW(P192))="","",INDIRECT("'"&amp;P$86&amp;"'!"&amp;VLOOKUP(P$87,'List Values'!$C$3:$D$6,2,FALSE)&amp;ROW(P192))),IF(P$86&lt;&gt;"","Data Source Error",""))))</f>
        <v/>
      </c>
      <c r="S192" s="528"/>
      <c r="T192" s="941" t="str">
        <f ca="1">IF(OR($H$7&lt;5,T$133&lt;3),"",IF(S192&lt;&gt;"",S192,IFERROR(IF(INDIRECT("'"&amp;S$86&amp;"'!"&amp;VLOOKUP(S$87,'List Values'!$C$3:$D$6,2,FALSE)&amp;ROW(S192))="","",INDIRECT("'"&amp;S$86&amp;"'!"&amp;VLOOKUP(S$87,'List Values'!$C$3:$D$6,2,FALSE)&amp;ROW(S192))),IF(S$86&lt;&gt;"","Data Source Error",""))))</f>
        <v/>
      </c>
      <c r="V192" s="528"/>
      <c r="W192" s="947" t="str">
        <f ca="1">IF(OR($H$7&lt;6,W$133&lt;3),"",IF(V192&lt;&gt;"",V192,IFERROR(IF(INDIRECT("'"&amp;V$86&amp;"'!"&amp;VLOOKUP(V$87,'List Values'!$C$3:$D$6,2,FALSE)&amp;ROW(V192))="","",INDIRECT("'"&amp;V$86&amp;"'!"&amp;VLOOKUP(V$87,'List Values'!$C$3:$D$6,2,FALSE)&amp;ROW(V192))),IF(V$86&lt;&gt;"","Data Source Error",""))))</f>
        <v/>
      </c>
      <c r="Y192" s="2643"/>
      <c r="Z192" s="2644"/>
      <c r="AA192" s="2644"/>
      <c r="AB192" s="2645"/>
    </row>
    <row r="193" spans="1:28" ht="30.75" customHeight="1" outlineLevel="1">
      <c r="A193" s="237"/>
      <c r="B193" s="511"/>
      <c r="C193" s="2680" t="s">
        <v>684</v>
      </c>
      <c r="D193" s="2680"/>
      <c r="E193" s="494"/>
      <c r="F193" s="494"/>
      <c r="G193" s="642"/>
      <c r="H193" s="643"/>
      <c r="I193" s="236"/>
      <c r="J193" s="583"/>
      <c r="K193" s="968" t="str">
        <f ca="1">IF(OR($H$7&lt;2,K$133&lt;3),"",IF(J193&lt;&gt;"",J193,IFERROR(IF(INDIRECT("'"&amp;J$86&amp;"'!"&amp;VLOOKUP(J$87,'List Values'!$C$3:$D$6,2,FALSE)&amp;ROW(J193))="","",INDIRECT("'"&amp;J$86&amp;"'!"&amp;VLOOKUP(J$87,'List Values'!$C$3:$D$6,2,FALSE)&amp;ROW(J193))),IF(J$86&lt;&gt;"","Data Source Error",""))))</f>
        <v/>
      </c>
      <c r="L193" s="236"/>
      <c r="M193" s="583"/>
      <c r="N193" s="968" t="str">
        <f ca="1">IF(OR($H$7&lt;3,N$133&lt;3),"",IF(M193&lt;&gt;"",M193,IFERROR(IF(INDIRECT("'"&amp;M$86&amp;"'!"&amp;VLOOKUP(M$87,'List Values'!$C$3:$D$6,2,FALSE)&amp;ROW(M193))="","",INDIRECT("'"&amp;M$86&amp;"'!"&amp;VLOOKUP(M$87,'List Values'!$C$3:$D$6,2,FALSE)&amp;ROW(M193))),IF(M$86&lt;&gt;"","Data Source Error",""))))</f>
        <v/>
      </c>
      <c r="O193" s="236"/>
      <c r="P193" s="582"/>
      <c r="Q193" s="968" t="str">
        <f ca="1">IF(OR($H$7&lt;4,Q$133&lt;3),"",IF(P193&lt;&gt;"",P193,IFERROR(IF(INDIRECT("'"&amp;P$86&amp;"'!"&amp;VLOOKUP(P$87,'List Values'!$C$3:$D$6,2,FALSE)&amp;ROW(P193))="","",INDIRECT("'"&amp;P$86&amp;"'!"&amp;VLOOKUP(P$87,'List Values'!$C$3:$D$6,2,FALSE)&amp;ROW(P193))),IF(P$86&lt;&gt;"","Data Source Error",""))))</f>
        <v/>
      </c>
      <c r="R193" s="236"/>
      <c r="S193" s="582"/>
      <c r="T193" s="968" t="str">
        <f ca="1">IF(OR($H$7&lt;5,T$133&lt;3),"",IF(S193&lt;&gt;"",S193,IFERROR(IF(INDIRECT("'"&amp;S$86&amp;"'!"&amp;VLOOKUP(S$87,'List Values'!$C$3:$D$6,2,FALSE)&amp;ROW(S193))="","",INDIRECT("'"&amp;S$86&amp;"'!"&amp;VLOOKUP(S$87,'List Values'!$C$3:$D$6,2,FALSE)&amp;ROW(S193))),IF(S$86&lt;&gt;"","Data Source Error",""))))</f>
        <v/>
      </c>
      <c r="U193" s="236"/>
      <c r="V193" s="582"/>
      <c r="W193" s="977" t="str">
        <f ca="1">IF(OR($H$7&lt;6,W$133&lt;3),"",IF(V193&lt;&gt;"",V193,IFERROR(IF(INDIRECT("'"&amp;V$86&amp;"'!"&amp;VLOOKUP(V$87,'List Values'!$C$3:$D$6,2,FALSE)&amp;ROW(V193))="","",INDIRECT("'"&amp;V$86&amp;"'!"&amp;VLOOKUP(V$87,'List Values'!$C$3:$D$6,2,FALSE)&amp;ROW(V193))),IF(V$86&lt;&gt;"","Data Source Error",""))))</f>
        <v/>
      </c>
      <c r="Y193" s="2657"/>
      <c r="Z193" s="2658"/>
      <c r="AA193" s="2658"/>
      <c r="AB193" s="2659"/>
    </row>
    <row r="194" spans="1:28" ht="27" customHeight="1">
      <c r="A194" s="212"/>
      <c r="B194" s="1211"/>
      <c r="C194" s="1212"/>
      <c r="D194" s="1212"/>
      <c r="E194" s="1212"/>
      <c r="F194" s="1211"/>
      <c r="G194" s="1213"/>
      <c r="H194" s="1214"/>
      <c r="I194" s="1211"/>
      <c r="J194" s="1215"/>
      <c r="K194" s="1214"/>
      <c r="L194" s="1211"/>
      <c r="M194" s="1215"/>
      <c r="N194" s="1214"/>
      <c r="O194" s="1211"/>
      <c r="P194" s="1215"/>
      <c r="Q194" s="1214"/>
      <c r="R194" s="1211"/>
      <c r="S194" s="1215"/>
      <c r="T194" s="1214"/>
      <c r="U194" s="1211"/>
      <c r="V194" s="1215"/>
      <c r="W194" s="1214"/>
    </row>
    <row r="195" spans="1:28" ht="25.5" customHeight="1">
      <c r="B195" s="2682" t="s">
        <v>2530</v>
      </c>
      <c r="C195" s="2682"/>
      <c r="D195" s="2682"/>
      <c r="E195" s="2682"/>
      <c r="F195" s="2682"/>
      <c r="G195" s="2682"/>
      <c r="H195" s="2682"/>
      <c r="I195" s="596"/>
      <c r="J195" s="2683" t="str">
        <f ca="1">H88&amp;" to "&amp;K88</f>
        <v>CMS to Regional WH</v>
      </c>
      <c r="K195" s="2683"/>
      <c r="L195" s="1219"/>
      <c r="M195" s="2683" t="str">
        <f ca="1">K88&amp;" to "&amp;N88</f>
        <v>Regional WH to Health Facility</v>
      </c>
      <c r="N195" s="2683"/>
      <c r="O195" s="1219"/>
      <c r="P195" s="2683" t="str">
        <f ca="1">N88&amp;" to "&amp;Q88</f>
        <v xml:space="preserve">Health Facility to </v>
      </c>
      <c r="Q195" s="2683"/>
      <c r="R195" s="1219"/>
      <c r="S195" s="2683" t="str">
        <f ca="1">Q88&amp;" to "&amp;T88</f>
        <v xml:space="preserve"> to </v>
      </c>
      <c r="T195" s="2683"/>
      <c r="U195" s="1219"/>
      <c r="V195" s="2683" t="str">
        <f ca="1">T88&amp;" to "&amp;W88</f>
        <v xml:space="preserve"> to </v>
      </c>
      <c r="W195" s="2683"/>
    </row>
    <row r="196" spans="1:28" ht="9.75" customHeight="1" outlineLevel="1">
      <c r="B196" s="2682"/>
      <c r="C196" s="2682"/>
      <c r="D196" s="2682"/>
      <c r="E196" s="2682"/>
      <c r="F196" s="2682"/>
      <c r="G196" s="2682"/>
      <c r="H196" s="2682"/>
      <c r="I196" s="596"/>
      <c r="J196" s="594"/>
      <c r="K196" s="594"/>
      <c r="L196" s="596"/>
      <c r="M196" s="594"/>
      <c r="N196" s="594"/>
      <c r="O196" s="596"/>
      <c r="P196" s="594"/>
      <c r="Q196" s="594"/>
      <c r="R196" s="594"/>
      <c r="S196" s="594"/>
      <c r="T196" s="594"/>
      <c r="U196" s="594"/>
      <c r="V196" s="594"/>
      <c r="W196" s="594"/>
      <c r="Y196" s="2619" t="s">
        <v>673</v>
      </c>
      <c r="Z196" s="2620"/>
      <c r="AA196" s="2620"/>
      <c r="AB196" s="2621"/>
    </row>
    <row r="197" spans="1:28" ht="32.15" customHeight="1" outlineLevel="1">
      <c r="A197" s="1"/>
      <c r="B197" s="2685" t="s">
        <v>2518</v>
      </c>
      <c r="C197" s="2685"/>
      <c r="D197" s="2685"/>
      <c r="E197" s="1691"/>
      <c r="F197" s="1691"/>
      <c r="G197" s="646"/>
      <c r="H197" s="647"/>
      <c r="I197" s="1216"/>
      <c r="J197" s="766"/>
      <c r="K197" s="1217">
        <f ca="1">IF($H$7&lt;2,0,IF(J197&lt;&gt;"",J197,IFERROR(IF(INDIRECT("'"&amp;J$86&amp;"'!"&amp;VLOOKUP(J$87,'List Values'!$C$3:$D$6,2,FALSE)&amp;ROW(J197))="",0,INDIRECT("'"&amp;J$86&amp;"'!"&amp;VLOOKUP(J$87,'List Values'!$C$3:$D$6,2,FALSE)&amp;ROW(J197))),IF(J$86&lt;&gt;"","Data Source Error",0))))</f>
        <v>0</v>
      </c>
      <c r="L197" s="1216"/>
      <c r="M197" s="766"/>
      <c r="N197" s="1217">
        <f ca="1">IF($H$7&lt;3,0,IF(M197&lt;&gt;"",M197,IFERROR(IF(INDIRECT("'"&amp;M$86&amp;"'!"&amp;VLOOKUP(M$87,'List Values'!$C$3:$D$6,2,FALSE)&amp;ROW(M197))="",0,INDIRECT("'"&amp;M$86&amp;"'!"&amp;VLOOKUP(M$87,'List Values'!$C$3:$D$6,2,FALSE)&amp;ROW(M197))),IF(M$86&lt;&gt;"","Data Source Error",0))))</f>
        <v>1</v>
      </c>
      <c r="O197" s="236"/>
      <c r="P197" s="767"/>
      <c r="Q197" s="1217">
        <f ca="1">IF($H$7&lt;4,0,IF(P197&lt;&gt;"",P197,IFERROR(IF(INDIRECT("'"&amp;P$86&amp;"'!"&amp;VLOOKUP(P$87,'List Values'!$C$3:$D$6,2,FALSE)&amp;ROW(P197))="",0,INDIRECT("'"&amp;P$86&amp;"'!"&amp;VLOOKUP(P$87,'List Values'!$C$3:$D$6,2,FALSE)&amp;ROW(P197))),IF(P$86&lt;&gt;"","Data Source Error",0))))</f>
        <v>0</v>
      </c>
      <c r="R197" s="236"/>
      <c r="S197" s="767"/>
      <c r="T197" s="1217">
        <f ca="1">IF($H$7&lt;5,0,IF(S197&lt;&gt;"",S197,IFERROR(IF(INDIRECT("'"&amp;S$86&amp;"'!"&amp;VLOOKUP(S$87,'List Values'!$C$3:$D$6,2,FALSE)&amp;ROW(S197))="",0,INDIRECT("'"&amp;S$86&amp;"'!"&amp;VLOOKUP(S$87,'List Values'!$C$3:$D$6,2,FALSE)&amp;ROW(S197))),IF(S$86&lt;&gt;"","Data Source Error",0))))</f>
        <v>0</v>
      </c>
      <c r="U197" s="236"/>
      <c r="V197" s="767"/>
      <c r="W197" s="1218">
        <f ca="1">IF($H$7&lt;6,0,IF(V197&lt;&gt;"",V197,IFERROR(IF(INDIRECT("'"&amp;V$86&amp;"'!"&amp;VLOOKUP(V$87,'List Values'!$C$3:$D$6,2,FALSE)&amp;ROW(V197))="",0,INDIRECT("'"&amp;V$86&amp;"'!"&amp;VLOOKUP(V$87,'List Values'!$C$3:$D$6,2,FALSE)&amp;ROW(V197))),IF(V$86&lt;&gt;"","Data Source Error",0))))</f>
        <v>0</v>
      </c>
      <c r="Y197" s="2643"/>
      <c r="Z197" s="2644"/>
      <c r="AA197" s="2644"/>
      <c r="AB197" s="2645"/>
    </row>
    <row r="198" spans="1:28" ht="21" customHeight="1">
      <c r="A198" s="1"/>
      <c r="B198" s="612" t="s">
        <v>616</v>
      </c>
      <c r="C198" s="607"/>
      <c r="D198" s="607"/>
      <c r="E198" s="607"/>
      <c r="F198" s="607"/>
      <c r="G198" s="607"/>
      <c r="H198" s="607"/>
      <c r="I198" s="609"/>
      <c r="J198" s="606"/>
      <c r="K198" s="961"/>
      <c r="L198" s="609"/>
      <c r="M198" s="606"/>
      <c r="N198" s="961"/>
      <c r="O198" s="608"/>
      <c r="P198" s="613"/>
      <c r="Q198" s="961"/>
      <c r="R198" s="608"/>
      <c r="S198" s="613"/>
      <c r="T198" s="961"/>
      <c r="U198" s="608"/>
      <c r="V198" s="613"/>
      <c r="W198" s="961"/>
      <c r="Y198" s="631"/>
      <c r="Z198" s="631"/>
      <c r="AA198" s="631"/>
      <c r="AB198" s="631"/>
    </row>
    <row r="199" spans="1:28" ht="15.75" customHeight="1" outlineLevel="1">
      <c r="A199" s="512"/>
      <c r="B199" s="252"/>
      <c r="C199" s="2580" t="s">
        <v>731</v>
      </c>
      <c r="D199" s="2580"/>
      <c r="E199" s="202"/>
      <c r="F199" s="202"/>
      <c r="G199" s="634"/>
      <c r="H199" s="635"/>
      <c r="I199" s="183"/>
      <c r="J199" s="628"/>
      <c r="K199" s="967" t="str">
        <f ca="1">IF(OR($H$7&lt;2,K$197&lt;1),"",IF(J199&lt;&gt;"",J199,IFERROR(IF(INDIRECT("'"&amp;J$86&amp;"'!"&amp;VLOOKUP(J$87,'List Values'!$C$3:$D$6,2,FALSE)&amp;ROW(J199))="","",INDIRECT("'"&amp;J$86&amp;"'!"&amp;VLOOKUP(J$87,'List Values'!$C$3:$D$6,2,FALSE)&amp;ROW(J199))),IF(J$86&lt;&gt;"","Data Source Error",""))))</f>
        <v/>
      </c>
      <c r="L199" s="629"/>
      <c r="M199" s="628"/>
      <c r="N199" s="967">
        <f ca="1">IF(OR($H$7&lt;3,N$197&lt;1),"",IF(M199&lt;&gt;"",M199,IFERROR(IF(INDIRECT("'"&amp;M$86&amp;"'!"&amp;VLOOKUP(M$87,'List Values'!$C$3:$D$6,2,FALSE)&amp;ROW(M199))="","",INDIRECT("'"&amp;M$86&amp;"'!"&amp;VLOOKUP(M$87,'List Values'!$C$3:$D$6,2,FALSE)&amp;ROW(M199))),IF(M$86&lt;&gt;"","Data Source Error",""))))</f>
        <v>1</v>
      </c>
      <c r="O199" s="629"/>
      <c r="P199" s="628"/>
      <c r="Q199" s="967" t="str">
        <f ca="1">IF(OR($H$7&lt;4,Q$197&lt;1),"",IF(P199&lt;&gt;"",P199,IFERROR(IF(INDIRECT("'"&amp;P$86&amp;"'!"&amp;VLOOKUP(P$87,'List Values'!$C$3:$D$6,2,FALSE)&amp;ROW(P199))="","",INDIRECT("'"&amp;P$86&amp;"'!"&amp;VLOOKUP(P$87,'List Values'!$C$3:$D$6,2,FALSE)&amp;ROW(P199))),IF(P$86&lt;&gt;"","Data Source Error",""))))</f>
        <v/>
      </c>
      <c r="R199" s="147"/>
      <c r="S199" s="628"/>
      <c r="T199" s="967" t="str">
        <f ca="1">IF(OR($H$7&lt;5,T$197&lt;1),"",IF(S199&lt;&gt;"",S199,IFERROR(IF(INDIRECT("'"&amp;S$86&amp;"'!"&amp;VLOOKUP(S$87,'List Values'!$C$3:$D$6,2,FALSE)&amp;ROW(S199))="","",INDIRECT("'"&amp;S$86&amp;"'!"&amp;VLOOKUP(S$87,'List Values'!$C$3:$D$6,2,FALSE)&amp;ROW(S199))),IF(S$86&lt;&gt;"","Data Source Error",""))))</f>
        <v/>
      </c>
      <c r="U199" s="147"/>
      <c r="V199" s="628"/>
      <c r="W199" s="973" t="str">
        <f ca="1">IF(OR($H$7&lt;6,W$197&lt;1),"",IF(V199&lt;&gt;"",V199,IFERROR(IF(INDIRECT("'"&amp;V$86&amp;"'!"&amp;VLOOKUP(V$87,'List Values'!$C$3:$D$6,2,FALSE)&amp;ROW(V199))="","",INDIRECT("'"&amp;V$86&amp;"'!"&amp;VLOOKUP(V$87,'List Values'!$C$3:$D$6,2,FALSE)&amp;ROW(V199))),IF(V$86&lt;&gt;"","Data Source Error",""))))</f>
        <v/>
      </c>
      <c r="Y199" s="2643"/>
      <c r="Z199" s="2644"/>
      <c r="AA199" s="2644"/>
      <c r="AB199" s="2645"/>
    </row>
    <row r="200" spans="1:28" ht="15.65" customHeight="1" outlineLevel="1">
      <c r="A200" s="512"/>
      <c r="B200" s="252"/>
      <c r="C200" s="2680" t="s">
        <v>626</v>
      </c>
      <c r="D200" s="2680"/>
      <c r="E200" s="192"/>
      <c r="F200" s="192"/>
      <c r="G200" s="636"/>
      <c r="H200" s="637"/>
      <c r="I200" s="187"/>
      <c r="J200" s="526"/>
      <c r="K200" s="979" t="str">
        <f ca="1">IF(OR($H$7&lt;2,K$197&lt;1),"",IF(J200&lt;&gt;"",J200,IFERROR(IF(INDIRECT("'"&amp;J$86&amp;"'!"&amp;VLOOKUP(J$87,'List Values'!$C$3:$D$6,2,FALSE)&amp;ROW(J200))="","",INDIRECT("'"&amp;J$86&amp;"'!"&amp;VLOOKUP(J$87,'List Values'!$C$3:$D$6,2,FALSE)&amp;ROW(J200))),IF(J$86&lt;&gt;"","Data Source Error",""))))</f>
        <v/>
      </c>
      <c r="L200" s="187"/>
      <c r="M200" s="526"/>
      <c r="N200" s="900" t="str">
        <f ca="1">IF(OR($H$7&lt;3,N$197&lt;1),"",IF(M200&lt;&gt;"",M200,IFERROR(IF(INDIRECT("'"&amp;M$86&amp;"'!"&amp;VLOOKUP(M$87,'List Values'!$C$3:$D$6,2,FALSE)&amp;ROW(M200))="","",INDIRECT("'"&amp;M$86&amp;"'!"&amp;VLOOKUP(M$87,'List Values'!$C$3:$D$6,2,FALSE)&amp;ROW(M200))),IF(M$86&lt;&gt;"","Data Source Error",""))))</f>
        <v>Car/Sport Utility/Consumer Vehicle</v>
      </c>
      <c r="O200" s="187"/>
      <c r="P200" s="526"/>
      <c r="Q200" s="900" t="str">
        <f ca="1">IF(OR($H$7&lt;4,Q$197&lt;1),"",IF(P200&lt;&gt;"",P200,IFERROR(IF(INDIRECT("'"&amp;P$86&amp;"'!"&amp;VLOOKUP(P$87,'List Values'!$C$3:$D$6,2,FALSE)&amp;ROW(P200))="","",INDIRECT("'"&amp;P$86&amp;"'!"&amp;VLOOKUP(P$87,'List Values'!$C$3:$D$6,2,FALSE)&amp;ROW(P200))),IF(P$86&lt;&gt;"","Data Source Error",""))))</f>
        <v/>
      </c>
      <c r="S200" s="526"/>
      <c r="T200" s="900" t="str">
        <f ca="1">IF(OR($H$7&lt;5,T$197&lt;1),"",IF(S200&lt;&gt;"",S200,IFERROR(IF(INDIRECT("'"&amp;S$86&amp;"'!"&amp;VLOOKUP(S$87,'List Values'!$C$3:$D$6,2,FALSE)&amp;ROW(S200))="","",INDIRECT("'"&amp;S$86&amp;"'!"&amp;VLOOKUP(S$87,'List Values'!$C$3:$D$6,2,FALSE)&amp;ROW(S200))),IF(S$86&lt;&gt;"","Data Source Error",""))))</f>
        <v/>
      </c>
      <c r="V200" s="526"/>
      <c r="W200" s="911" t="str">
        <f ca="1">IF(OR($H$7&lt;6,W$197&lt;1),"",IF(V200&lt;&gt;"",V200,IFERROR(IF(INDIRECT("'"&amp;V$86&amp;"'!"&amp;VLOOKUP(V$87,'List Values'!$C$3:$D$6,2,FALSE)&amp;ROW(V200))="","",INDIRECT("'"&amp;V$86&amp;"'!"&amp;VLOOKUP(V$87,'List Values'!$C$3:$D$6,2,FALSE)&amp;ROW(V200))),IF(V$86&lt;&gt;"","Data Source Error",""))))</f>
        <v/>
      </c>
      <c r="Y200" s="2643"/>
      <c r="Z200" s="2644"/>
      <c r="AA200" s="2644"/>
      <c r="AB200" s="2645"/>
    </row>
    <row r="201" spans="1:28" ht="31.5" customHeight="1" outlineLevel="1">
      <c r="A201" s="512"/>
      <c r="B201" s="252"/>
      <c r="C201" s="2680" t="s">
        <v>2520</v>
      </c>
      <c r="D201" s="2680"/>
      <c r="E201" s="192"/>
      <c r="F201" s="192"/>
      <c r="G201" s="636"/>
      <c r="H201" s="637"/>
      <c r="I201" s="187"/>
      <c r="J201" s="561" t="s">
        <v>218</v>
      </c>
      <c r="K201" s="900" t="str">
        <f ca="1">IF(OR($H$7&lt;2,K$197&lt;1),"",IF(J201&lt;&gt;"",J201,IFERROR(IF(INDIRECT("'"&amp;J$86&amp;"'!"&amp;VLOOKUP(J$87,'List Values'!$C$3:$D$6,2,FALSE)&amp;ROW(J201))="","",INDIRECT("'"&amp;J$86&amp;"'!"&amp;VLOOKUP(J$87,'List Values'!$C$3:$D$6,2,FALSE)&amp;ROW(J201))),IF(J$86&lt;&gt;"","Data Source Error",""))))</f>
        <v/>
      </c>
      <c r="L201" s="187"/>
      <c r="M201" s="561"/>
      <c r="N201" s="900" t="str">
        <f ca="1">IF(OR($H$7&lt;3,N$197&lt;1),"",IF(M201&lt;&gt;"",M201,IFERROR(IF(INDIRECT("'"&amp;M$86&amp;"'!"&amp;VLOOKUP(M$87,'List Values'!$C$3:$D$6,2,FALSE)&amp;ROW(M201))="","",INDIRECT("'"&amp;M$86&amp;"'!"&amp;VLOOKUP(M$87,'List Values'!$C$3:$D$6,2,FALSE)&amp;ROW(M201))),IF(M$86&lt;&gt;"","Data Source Error",""))))</f>
        <v>Owned</v>
      </c>
      <c r="O201" s="187"/>
      <c r="P201" s="561"/>
      <c r="Q201" s="900" t="str">
        <f ca="1">IF(OR($H$7&lt;4,Q$197&lt;1),"",IF(P201&lt;&gt;"",P201,IFERROR(IF(INDIRECT("'"&amp;P$86&amp;"'!"&amp;VLOOKUP(P$87,'List Values'!$C$3:$D$6,2,FALSE)&amp;ROW(P201))="","",INDIRECT("'"&amp;P$86&amp;"'!"&amp;VLOOKUP(P$87,'List Values'!$C$3:$D$6,2,FALSE)&amp;ROW(P201))),IF(P$86&lt;&gt;"","Data Source Error",""))))</f>
        <v/>
      </c>
      <c r="S201" s="561"/>
      <c r="T201" s="900" t="str">
        <f ca="1">IF(OR($H$7&lt;5,T$197&lt;1),"",IF(S201&lt;&gt;"",S201,IFERROR(IF(INDIRECT("'"&amp;S$86&amp;"'!"&amp;VLOOKUP(S$87,'List Values'!$C$3:$D$6,2,FALSE)&amp;ROW(S201))="","",INDIRECT("'"&amp;S$86&amp;"'!"&amp;VLOOKUP(S$87,'List Values'!$C$3:$D$6,2,FALSE)&amp;ROW(S201))),IF(S$86&lt;&gt;"","Data Source Error",""))))</f>
        <v/>
      </c>
      <c r="V201" s="561"/>
      <c r="W201" s="911" t="str">
        <f ca="1">IF(OR($H$7&lt;6,W$197&lt;1),"",IF(V201&lt;&gt;"",V201,IFERROR(IF(INDIRECT("'"&amp;V$86&amp;"'!"&amp;VLOOKUP(V$87,'List Values'!$C$3:$D$6,2,FALSE)&amp;ROW(V201))="","",INDIRECT("'"&amp;V$86&amp;"'!"&amp;VLOOKUP(V$87,'List Values'!$C$3:$D$6,2,FALSE)&amp;ROW(V201))),IF(V$86&lt;&gt;"","Data Source Error",""))))</f>
        <v/>
      </c>
      <c r="Y201" s="2643"/>
      <c r="Z201" s="2644"/>
      <c r="AA201" s="2644"/>
      <c r="AB201" s="2645"/>
    </row>
    <row r="202" spans="1:28" ht="31.5" customHeight="1" outlineLevel="1">
      <c r="A202" s="512"/>
      <c r="B202" s="252"/>
      <c r="C202" s="2684" t="s">
        <v>726</v>
      </c>
      <c r="D202" s="2684"/>
      <c r="E202" s="192"/>
      <c r="F202" s="192"/>
      <c r="G202" s="636"/>
      <c r="H202" s="637"/>
      <c r="I202" s="187"/>
      <c r="J202" s="526"/>
      <c r="K202" s="900" t="str">
        <f ca="1">IF(OR($H$7&lt;2,K$197&lt;1),"",IF(J202&lt;&gt;"",J202,IFERROR(IF(INDIRECT("'"&amp;J$86&amp;"'!"&amp;VLOOKUP(J$87,'List Values'!$C$3:$D$6,2,FALSE)&amp;ROW(J202))="","",INDIRECT("'"&amp;J$86&amp;"'!"&amp;VLOOKUP(J$87,'List Values'!$C$3:$D$6,2,FALSE)&amp;ROW(J202))),IF(J$86&lt;&gt;"","Data Source Error",""))))</f>
        <v/>
      </c>
      <c r="L202" s="187"/>
      <c r="M202" s="526"/>
      <c r="N202" s="900" t="str">
        <f ca="1">IF(OR($H$7&lt;3,N$197&lt;1),"",IF(M202&lt;&gt;"",M202,IFERROR(IF(INDIRECT("'"&amp;M$86&amp;"'!"&amp;VLOOKUP(M$87,'List Values'!$C$3:$D$6,2,FALSE)&amp;ROW(M202))="","",INDIRECT("'"&amp;M$86&amp;"'!"&amp;VLOOKUP(M$87,'List Values'!$C$3:$D$6,2,FALSE)&amp;ROW(M202))),IF(M$86&lt;&gt;"","Data Source Error",""))))</f>
        <v>#</v>
      </c>
      <c r="O202" s="187"/>
      <c r="P202" s="526"/>
      <c r="Q202" s="900" t="str">
        <f ca="1">IF(OR($H$7&lt;4,Q$197&lt;1),"",IF(P202&lt;&gt;"",P202,IFERROR(IF(INDIRECT("'"&amp;P$86&amp;"'!"&amp;VLOOKUP(P$87,'List Values'!$C$3:$D$6,2,FALSE)&amp;ROW(P202))="","",INDIRECT("'"&amp;P$86&amp;"'!"&amp;VLOOKUP(P$87,'List Values'!$C$3:$D$6,2,FALSE)&amp;ROW(P202))),IF(P$86&lt;&gt;"","Data Source Error",""))))</f>
        <v/>
      </c>
      <c r="S202" s="526"/>
      <c r="T202" s="900" t="str">
        <f ca="1">IF(OR($H$7&lt;5,T$197&lt;1),"",IF(S202&lt;&gt;"",S202,IFERROR(IF(INDIRECT("'"&amp;S$86&amp;"'!"&amp;VLOOKUP(S$87,'List Values'!$C$3:$D$6,2,FALSE)&amp;ROW(S202))="","",INDIRECT("'"&amp;S$86&amp;"'!"&amp;VLOOKUP(S$87,'List Values'!$C$3:$D$6,2,FALSE)&amp;ROW(S202))),IF(S$86&lt;&gt;"","Data Source Error",""))))</f>
        <v/>
      </c>
      <c r="V202" s="526"/>
      <c r="W202" s="911" t="str">
        <f ca="1">IF(OR($H$7&lt;6,W$197&lt;1),"",IF(V202&lt;&gt;"",V202,IFERROR(IF(INDIRECT("'"&amp;V$86&amp;"'!"&amp;VLOOKUP(V$87,'List Values'!$C$3:$D$6,2,FALSE)&amp;ROW(V202))="","",INDIRECT("'"&amp;V$86&amp;"'!"&amp;VLOOKUP(V$87,'List Values'!$C$3:$D$6,2,FALSE)&amp;ROW(V202))),IF(V$86&lt;&gt;"","Data Source Error",""))))</f>
        <v/>
      </c>
      <c r="Y202" s="2643"/>
      <c r="Z202" s="2644"/>
      <c r="AA202" s="2644"/>
      <c r="AB202" s="2645"/>
    </row>
    <row r="203" spans="1:28" ht="31.5" customHeight="1" outlineLevel="1">
      <c r="A203" s="512"/>
      <c r="B203" s="252"/>
      <c r="C203" s="2684" t="s">
        <v>727</v>
      </c>
      <c r="D203" s="2684"/>
      <c r="E203" s="192"/>
      <c r="F203" s="192"/>
      <c r="G203" s="636"/>
      <c r="H203" s="637"/>
      <c r="I203" s="187"/>
      <c r="J203" s="568"/>
      <c r="K203" s="945" t="str">
        <f ca="1">IF(OR($H$7&lt;2,K$197&lt;1),"",IF(J203&lt;&gt;"",J203,IFERROR(IF(INDIRECT("'"&amp;J$86&amp;"'!"&amp;VLOOKUP(J$87,'List Values'!$C$3:$D$6,2,FALSE)&amp;ROW(J203))="","",INDIRECT("'"&amp;J$86&amp;"'!"&amp;VLOOKUP(J$87,'List Values'!$C$3:$D$6,2,FALSE)&amp;ROW(J203))*$H$6),IF(J$86&lt;&gt;"","Data Source Error",""))))</f>
        <v/>
      </c>
      <c r="L203" s="339"/>
      <c r="M203" s="568"/>
      <c r="N203" s="945" t="str">
        <f ca="1">IF(OR($H$7&lt;3,N$197&lt;1),"",IF(M203&lt;&gt;"",M203,IFERROR(IF(INDIRECT("'"&amp;M$86&amp;"'!"&amp;VLOOKUP(M$87,'List Values'!$C$3:$D$6,2,FALSE)&amp;ROW(M203))="","",INDIRECT("'"&amp;M$86&amp;"'!"&amp;VLOOKUP(M$87,'List Values'!$C$3:$D$6,2,FALSE)&amp;ROW(M203))*$H$6),IF(M$86&lt;&gt;"","Data Source Error",""))))</f>
        <v>Data Source Error</v>
      </c>
      <c r="O203" s="339"/>
      <c r="P203" s="568"/>
      <c r="Q203" s="945" t="str">
        <f ca="1">IF(OR($H$7&lt;4,Q$197&lt;1),"",IF(P203&lt;&gt;"",P203,IFERROR(IF(INDIRECT("'"&amp;P$86&amp;"'!"&amp;VLOOKUP(P$87,'List Values'!$C$3:$D$6,2,FALSE)&amp;ROW(P203))="","",INDIRECT("'"&amp;P$86&amp;"'!"&amp;VLOOKUP(P$87,'List Values'!$C$3:$D$6,2,FALSE)&amp;ROW(P203))*$H$6),IF(P$86&lt;&gt;"","Data Source Error",""))))</f>
        <v/>
      </c>
      <c r="R203" s="7"/>
      <c r="S203" s="568"/>
      <c r="T203" s="945" t="str">
        <f ca="1">IF(OR($H$7&lt;5,T$197&lt;1),"",IF(S203&lt;&gt;"",S203,IFERROR(IF(INDIRECT("'"&amp;S$86&amp;"'!"&amp;VLOOKUP(S$87,'List Values'!$C$3:$D$6,2,FALSE)&amp;ROW(S203))="","",INDIRECT("'"&amp;S$86&amp;"'!"&amp;VLOOKUP(S$87,'List Values'!$C$3:$D$6,2,FALSE)&amp;ROW(S203))*$H$6),IF(S$86&lt;&gt;"","Data Source Error",""))))</f>
        <v/>
      </c>
      <c r="U203" s="7"/>
      <c r="V203" s="568"/>
      <c r="W203" s="952" t="str">
        <f ca="1">IF(OR($H$7&lt;6,W$197&lt;1),"",IF(V203&lt;&gt;"",V203,IFERROR(IF(INDIRECT("'"&amp;V$86&amp;"'!"&amp;VLOOKUP(V$87,'List Values'!$C$3:$D$6,2,FALSE)&amp;ROW(V203))="","",INDIRECT("'"&amp;V$86&amp;"'!"&amp;VLOOKUP(V$87,'List Values'!$C$3:$D$6,2,FALSE)&amp;ROW(V203))*$H$6),IF(V$86&lt;&gt;"","Data Source Error",""))))</f>
        <v/>
      </c>
      <c r="Y203" s="2643"/>
      <c r="Z203" s="2644"/>
      <c r="AA203" s="2644"/>
      <c r="AB203" s="2645"/>
    </row>
    <row r="204" spans="1:28" ht="15.75" customHeight="1" outlineLevel="1">
      <c r="A204" s="512"/>
      <c r="B204" s="252"/>
      <c r="C204" s="2680" t="s">
        <v>732</v>
      </c>
      <c r="D204" s="2680"/>
      <c r="E204" s="192"/>
      <c r="F204" s="192"/>
      <c r="G204" s="636"/>
      <c r="H204" s="637"/>
      <c r="I204" s="187"/>
      <c r="J204" s="526"/>
      <c r="K204" s="900" t="str">
        <f ca="1">IF(OR($H$7&lt;2,K$197&lt;1),"",IF(J204&lt;&gt;"",J204,IFERROR(IF(INDIRECT("'"&amp;J$86&amp;"'!"&amp;VLOOKUP(J$87,'List Values'!$C$3:$D$6,2,FALSE)&amp;ROW(J204))="","",INDIRECT("'"&amp;J$86&amp;"'!"&amp;VLOOKUP(J$87,'List Values'!$C$3:$D$6,2,FALSE)&amp;ROW(J204))),IF(J$86&lt;&gt;"","Data Source Error",""))))</f>
        <v/>
      </c>
      <c r="L204" s="187"/>
      <c r="M204" s="526"/>
      <c r="N204" s="900">
        <f ca="1">IF(OR($H$7&lt;3,N$197&lt;1),"",IF(M204&lt;&gt;"",M204,IFERROR(IF(INDIRECT("'"&amp;M$86&amp;"'!"&amp;VLOOKUP(M$87,'List Values'!$C$3:$D$6,2,FALSE)&amp;ROW(M204))="","",INDIRECT("'"&amp;M$86&amp;"'!"&amp;VLOOKUP(M$87,'List Values'!$C$3:$D$6,2,FALSE)&amp;ROW(M204))),IF(M$86&lt;&gt;"","Data Source Error",""))))</f>
        <v>5</v>
      </c>
      <c r="O204" s="187"/>
      <c r="P204" s="526"/>
      <c r="Q204" s="900" t="str">
        <f ca="1">IF(OR($H$7&lt;4,Q$197&lt;1),"",IF(P204&lt;&gt;"",P204,IFERROR(IF(INDIRECT("'"&amp;P$86&amp;"'!"&amp;VLOOKUP(P$87,'List Values'!$C$3:$D$6,2,FALSE)&amp;ROW(P204))="","",INDIRECT("'"&amp;P$86&amp;"'!"&amp;VLOOKUP(P$87,'List Values'!$C$3:$D$6,2,FALSE)&amp;ROW(P204))),IF(P$86&lt;&gt;"","Data Source Error",""))))</f>
        <v/>
      </c>
      <c r="S204" s="526"/>
      <c r="T204" s="900" t="str">
        <f ca="1">IF(OR($H$7&lt;5,T$197&lt;1),"",IF(S204&lt;&gt;"",S204,IFERROR(IF(INDIRECT("'"&amp;S$86&amp;"'!"&amp;VLOOKUP(S$87,'List Values'!$C$3:$D$6,2,FALSE)&amp;ROW(S204))="","",INDIRECT("'"&amp;S$86&amp;"'!"&amp;VLOOKUP(S$87,'List Values'!$C$3:$D$6,2,FALSE)&amp;ROW(S204))),IF(S$86&lt;&gt;"","Data Source Error",""))))</f>
        <v/>
      </c>
      <c r="V204" s="526"/>
      <c r="W204" s="911" t="str">
        <f ca="1">IF(OR($H$7&lt;6,W$197&lt;1),"",IF(V204&lt;&gt;"",V204,IFERROR(IF(INDIRECT("'"&amp;V$86&amp;"'!"&amp;VLOOKUP(V$87,'List Values'!$C$3:$D$6,2,FALSE)&amp;ROW(V204))="","",INDIRECT("'"&amp;V$86&amp;"'!"&amp;VLOOKUP(V$87,'List Values'!$C$3:$D$6,2,FALSE)&amp;ROW(V204))),IF(V$86&lt;&gt;"","Data Source Error",""))))</f>
        <v/>
      </c>
      <c r="Y204" s="2643"/>
      <c r="Z204" s="2644"/>
      <c r="AA204" s="2644"/>
      <c r="AB204" s="2645"/>
    </row>
    <row r="205" spans="1:28" ht="31.5" customHeight="1" outlineLevel="1">
      <c r="A205" s="512"/>
      <c r="B205" s="252"/>
      <c r="C205" s="2684" t="s">
        <v>634</v>
      </c>
      <c r="D205" s="2684"/>
      <c r="E205" s="203"/>
      <c r="F205" s="203"/>
      <c r="G205" s="644"/>
      <c r="H205" s="645"/>
      <c r="I205" s="183"/>
      <c r="J205" s="553"/>
      <c r="K205" s="897" t="str">
        <f ca="1">IF(OR($H$7&lt;2,K$197&lt;1),"",IF(J205&lt;&gt;"",J205,IFERROR(IF(INDIRECT("'"&amp;J$86&amp;"'!"&amp;VLOOKUP(J$87,'List Values'!$C$3:$D$6,2,FALSE)&amp;ROW(J205))="","",INDIRECT("'"&amp;J$86&amp;"'!"&amp;VLOOKUP(J$87,'List Values'!$C$3:$D$6,2,FALSE)&amp;ROW(J205))),IF(J$86&lt;&gt;"","Data Source Error",""))))</f>
        <v/>
      </c>
      <c r="L205" s="183"/>
      <c r="M205" s="553"/>
      <c r="N205" s="897" t="str">
        <f ca="1">IF(OR($H$7&lt;3,N$197&lt;1),"",IF(M205&lt;&gt;"",M205,IFERROR(IF(INDIRECT("'"&amp;M$86&amp;"'!"&amp;VLOOKUP(M$87,'List Values'!$C$3:$D$6,2,FALSE)&amp;ROW(M205))="","",INDIRECT("'"&amp;M$86&amp;"'!"&amp;VLOOKUP(M$87,'List Values'!$C$3:$D$6,2,FALSE)&amp;ROW(M205))),IF(M$86&lt;&gt;"","Data Source Error",""))))</f>
        <v>No</v>
      </c>
      <c r="O205" s="183"/>
      <c r="P205" s="553"/>
      <c r="Q205" s="897" t="str">
        <f ca="1">IF(OR($H$7&lt;4,Q$197&lt;1),"",IF(P205&lt;&gt;"",P205,IFERROR(IF(INDIRECT("'"&amp;P$86&amp;"'!"&amp;VLOOKUP(P$87,'List Values'!$C$3:$D$6,2,FALSE)&amp;ROW(P205))="","",INDIRECT("'"&amp;P$86&amp;"'!"&amp;VLOOKUP(P$87,'List Values'!$C$3:$D$6,2,FALSE)&amp;ROW(P205))),IF(P$86&lt;&gt;"","Data Source Error",""))))</f>
        <v/>
      </c>
      <c r="S205" s="553"/>
      <c r="T205" s="897" t="str">
        <f ca="1">IF(OR($H$7&lt;5,T$197&lt;1),"",IF(S205&lt;&gt;"",S205,IFERROR(IF(INDIRECT("'"&amp;S$86&amp;"'!"&amp;VLOOKUP(S$87,'List Values'!$C$3:$D$6,2,FALSE)&amp;ROW(S205))="","",INDIRECT("'"&amp;S$86&amp;"'!"&amp;VLOOKUP(S$87,'List Values'!$C$3:$D$6,2,FALSE)&amp;ROW(S205))),IF(S$86&lt;&gt;"","Data Source Error",""))))</f>
        <v/>
      </c>
      <c r="V205" s="553"/>
      <c r="W205" s="908" t="str">
        <f ca="1">IF(OR($H$7&lt;6,W$197&lt;1),"",IF(V205&lt;&gt;"",V205,IFERROR(IF(INDIRECT("'"&amp;V$86&amp;"'!"&amp;VLOOKUP(V$87,'List Values'!$C$3:$D$6,2,FALSE)&amp;ROW(V205))="","",INDIRECT("'"&amp;V$86&amp;"'!"&amp;VLOOKUP(V$87,'List Values'!$C$3:$D$6,2,FALSE)&amp;ROW(V205))),IF(V$86&lt;&gt;"","Data Source Error",""))))</f>
        <v/>
      </c>
      <c r="Y205" s="2643"/>
      <c r="Z205" s="2644"/>
      <c r="AA205" s="2644"/>
      <c r="AB205" s="2645"/>
    </row>
    <row r="206" spans="1:28" ht="31.5" customHeight="1" outlineLevel="1">
      <c r="A206" s="512"/>
      <c r="B206" s="252"/>
      <c r="C206" s="2680" t="s">
        <v>2521</v>
      </c>
      <c r="D206" s="2680"/>
      <c r="E206" s="192"/>
      <c r="F206" s="192"/>
      <c r="G206" s="636"/>
      <c r="H206" s="637"/>
      <c r="I206" s="187"/>
      <c r="J206" s="619"/>
      <c r="K206" s="898" t="str">
        <f ca="1">IF(OR($H$7&lt;2,K$197&lt;1),"",IF(J206&lt;&gt;"",J206,IFERROR(IF(INDIRECT("'"&amp;J$86&amp;"'!"&amp;VLOOKUP(J$87,'List Values'!$C$3:$D$6,2,FALSE)&amp;ROW(J206))="","",INDIRECT("'"&amp;J$86&amp;"'!"&amp;VLOOKUP(J$87,'List Values'!$C$3:$D$6,2,FALSE)&amp;ROW(J206))),IF(J$86&lt;&gt;"","Data Source Error",""))))</f>
        <v/>
      </c>
      <c r="L206" s="621"/>
      <c r="M206" s="619"/>
      <c r="N206" s="898">
        <f ca="1">IF(OR($H$7&lt;3,N$197&lt;1),"",IF(M206&lt;&gt;"",M206,IFERROR(IF(INDIRECT("'"&amp;M$86&amp;"'!"&amp;VLOOKUP(M$87,'List Values'!$C$3:$D$6,2,FALSE)&amp;ROW(M206))="","",INDIRECT("'"&amp;M$86&amp;"'!"&amp;VLOOKUP(M$87,'List Values'!$C$3:$D$6,2,FALSE)&amp;ROW(M206))),IF(M$86&lt;&gt;"","Data Source Error",""))))</f>
        <v>0</v>
      </c>
      <c r="O206" s="621"/>
      <c r="P206" s="619"/>
      <c r="Q206" s="898" t="str">
        <f ca="1">IF(OR($H$7&lt;4,Q$197&lt;1),"",IF(P206&lt;&gt;"",P206,IFERROR(IF(INDIRECT("'"&amp;P$86&amp;"'!"&amp;VLOOKUP(P$87,'List Values'!$C$3:$D$6,2,FALSE)&amp;ROW(P206))="","",INDIRECT("'"&amp;P$86&amp;"'!"&amp;VLOOKUP(P$87,'List Values'!$C$3:$D$6,2,FALSE)&amp;ROW(P206))),IF(P$86&lt;&gt;"","Data Source Error",""))))</f>
        <v/>
      </c>
      <c r="R206" s="147"/>
      <c r="S206" s="619"/>
      <c r="T206" s="898" t="str">
        <f ca="1">IF(OR($H$7&lt;5,T$197&lt;1),"",IF(S206&lt;&gt;"",S206,IFERROR(IF(INDIRECT("'"&amp;S$86&amp;"'!"&amp;VLOOKUP(S$87,'List Values'!$C$3:$D$6,2,FALSE)&amp;ROW(S206))="","",INDIRECT("'"&amp;S$86&amp;"'!"&amp;VLOOKUP(S$87,'List Values'!$C$3:$D$6,2,FALSE)&amp;ROW(S206))),IF(S$86&lt;&gt;"","Data Source Error",""))))</f>
        <v/>
      </c>
      <c r="U206" s="147"/>
      <c r="V206" s="619"/>
      <c r="W206" s="909" t="str">
        <f ca="1">IF(OR($H$7&lt;6,W$197&lt;1),"",IF(V206&lt;&gt;"",V206,IFERROR(IF(INDIRECT("'"&amp;V$86&amp;"'!"&amp;VLOOKUP(V$87,'List Values'!$C$3:$D$6,2,FALSE)&amp;ROW(V206))="","",INDIRECT("'"&amp;V$86&amp;"'!"&amp;VLOOKUP(V$87,'List Values'!$C$3:$D$6,2,FALSE)&amp;ROW(V206))),IF(V$86&lt;&gt;"","Data Source Error",""))))</f>
        <v/>
      </c>
      <c r="Y206" s="2643"/>
      <c r="Z206" s="2644"/>
      <c r="AA206" s="2644"/>
      <c r="AB206" s="2645"/>
    </row>
    <row r="207" spans="1:28" ht="31.5" customHeight="1" outlineLevel="1">
      <c r="A207" s="512"/>
      <c r="B207" s="252"/>
      <c r="C207" s="2680" t="s">
        <v>2522</v>
      </c>
      <c r="D207" s="2680"/>
      <c r="E207" s="192"/>
      <c r="F207" s="192"/>
      <c r="G207" s="636"/>
      <c r="H207" s="637"/>
      <c r="I207" s="187"/>
      <c r="J207" s="619"/>
      <c r="K207" s="898" t="str">
        <f ca="1">IF(OR($H$7&lt;2,K$197&lt;1),"",IF(J207&lt;&gt;"",J207,IFERROR(IF(INDIRECT("'"&amp;J$86&amp;"'!"&amp;VLOOKUP(J$87,'List Values'!$C$3:$D$6,2,FALSE)&amp;ROW(J207))="","",INDIRECT("'"&amp;J$86&amp;"'!"&amp;VLOOKUP(J$87,'List Values'!$C$3:$D$6,2,FALSE)&amp;ROW(J207))),IF(J$86&lt;&gt;"","Data Source Error",""))))</f>
        <v/>
      </c>
      <c r="L207" s="621"/>
      <c r="M207" s="619"/>
      <c r="N207" s="898">
        <f ca="1">IF(OR($H$7&lt;3,N$197&lt;1),"",IF(M207&lt;&gt;"",M207,IFERROR(IF(INDIRECT("'"&amp;M$86&amp;"'!"&amp;VLOOKUP(M$87,'List Values'!$C$3:$D$6,2,FALSE)&amp;ROW(M207))="","",INDIRECT("'"&amp;M$86&amp;"'!"&amp;VLOOKUP(M$87,'List Values'!$C$3:$D$6,2,FALSE)&amp;ROW(M207))),IF(M$86&lt;&gt;"","Data Source Error",""))))</f>
        <v>0</v>
      </c>
      <c r="O207" s="621"/>
      <c r="P207" s="619"/>
      <c r="Q207" s="898" t="str">
        <f ca="1">IF(OR($H$7&lt;4,Q$197&lt;1),"",IF(P207&lt;&gt;"",P207,IFERROR(IF(INDIRECT("'"&amp;P$86&amp;"'!"&amp;VLOOKUP(P$87,'List Values'!$C$3:$D$6,2,FALSE)&amp;ROW(P207))="","",INDIRECT("'"&amp;P$86&amp;"'!"&amp;VLOOKUP(P$87,'List Values'!$C$3:$D$6,2,FALSE)&amp;ROW(P207))),IF(P$86&lt;&gt;"","Data Source Error",""))))</f>
        <v/>
      </c>
      <c r="R207" s="147"/>
      <c r="S207" s="619"/>
      <c r="T207" s="898" t="str">
        <f ca="1">IF(OR($H$7&lt;5,T$197&lt;1),"",IF(S207&lt;&gt;"",S207,IFERROR(IF(INDIRECT("'"&amp;S$86&amp;"'!"&amp;VLOOKUP(S$87,'List Values'!$C$3:$D$6,2,FALSE)&amp;ROW(S207))="","",INDIRECT("'"&amp;S$86&amp;"'!"&amp;VLOOKUP(S$87,'List Values'!$C$3:$D$6,2,FALSE)&amp;ROW(S207))),IF(S$86&lt;&gt;"","Data Source Error",""))))</f>
        <v/>
      </c>
      <c r="U207" s="147"/>
      <c r="V207" s="619"/>
      <c r="W207" s="909" t="str">
        <f ca="1">IF(OR($H$7&lt;6,W$197&lt;1),"",IF(V207&lt;&gt;"",V207,IFERROR(IF(INDIRECT("'"&amp;V$86&amp;"'!"&amp;VLOOKUP(V$87,'List Values'!$C$3:$D$6,2,FALSE)&amp;ROW(V207))="","",INDIRECT("'"&amp;V$86&amp;"'!"&amp;VLOOKUP(V$87,'List Values'!$C$3:$D$6,2,FALSE)&amp;ROW(V207))),IF(V$86&lt;&gt;"","Data Source Error",""))))</f>
        <v/>
      </c>
      <c r="Y207" s="2643"/>
      <c r="Z207" s="2644"/>
      <c r="AA207" s="2644"/>
      <c r="AB207" s="2645"/>
    </row>
    <row r="208" spans="1:28" ht="33.75" customHeight="1" outlineLevel="1">
      <c r="A208" s="512"/>
      <c r="B208" s="252"/>
      <c r="C208" s="2680" t="s">
        <v>253</v>
      </c>
      <c r="D208" s="2680"/>
      <c r="E208" s="192"/>
      <c r="F208" s="192"/>
      <c r="G208" s="636"/>
      <c r="H208" s="637"/>
      <c r="I208" s="187"/>
      <c r="J208" s="526"/>
      <c r="K208" s="900" t="str">
        <f ca="1">IF(OR($H$7&lt;2,K$197&lt;1),"",IF(J208&lt;&gt;"",J208,IFERROR(IF(INDIRECT("'"&amp;J$86&amp;"'!"&amp;VLOOKUP(J$87,'List Values'!$C$3:$D$6,2,FALSE)&amp;ROW(J208))="","",INDIRECT("'"&amp;J$86&amp;"'!"&amp;VLOOKUP(J$87,'List Values'!$C$3:$D$6,2,FALSE)&amp;ROW(J208))),IF(J$86&lt;&gt;"","Data Source Error",""))))</f>
        <v/>
      </c>
      <c r="L208" s="187"/>
      <c r="M208" s="526"/>
      <c r="N208" s="900" t="str">
        <f ca="1">IF(OR($H$7&lt;3,N$197&lt;1),"",IF(M208&lt;&gt;"",M208,IFERROR(IF(INDIRECT("'"&amp;M$86&amp;"'!"&amp;VLOOKUP(M$87,'List Values'!$C$3:$D$6,2,FALSE)&amp;ROW(M208))="","",INDIRECT("'"&amp;M$86&amp;"'!"&amp;VLOOKUP(M$87,'List Values'!$C$3:$D$6,2,FALSE)&amp;ROW(M208))),IF(M$86&lt;&gt;"","Data Source Error",""))))</f>
        <v>Route-based</v>
      </c>
      <c r="O208" s="187"/>
      <c r="P208" s="526"/>
      <c r="Q208" s="900" t="str">
        <f ca="1">IF(OR($H$7&lt;4,Q$197&lt;1),"",IF(P208&lt;&gt;"",P208,IFERROR(IF(INDIRECT("'"&amp;P$86&amp;"'!"&amp;VLOOKUP(P$87,'List Values'!$C$3:$D$6,2,FALSE)&amp;ROW(P208))="","",INDIRECT("'"&amp;P$86&amp;"'!"&amp;VLOOKUP(P$87,'List Values'!$C$3:$D$6,2,FALSE)&amp;ROW(P208))),IF(P$86&lt;&gt;"","Data Source Error",""))))</f>
        <v/>
      </c>
      <c r="S208" s="526"/>
      <c r="T208" s="900" t="str">
        <f ca="1">IF(OR($H$7&lt;5,T$197&lt;1),"",IF(S208&lt;&gt;"",S208,IFERROR(IF(INDIRECT("'"&amp;S$86&amp;"'!"&amp;VLOOKUP(S$87,'List Values'!$C$3:$D$6,2,FALSE)&amp;ROW(S208))="","",INDIRECT("'"&amp;S$86&amp;"'!"&amp;VLOOKUP(S$87,'List Values'!$C$3:$D$6,2,FALSE)&amp;ROW(S208))),IF(S$86&lt;&gt;"","Data Source Error",""))))</f>
        <v/>
      </c>
      <c r="V208" s="526"/>
      <c r="W208" s="911" t="str">
        <f ca="1">IF(OR($H$7&lt;6,W$197&lt;1),"",IF(V208&lt;&gt;"",V208,IFERROR(IF(INDIRECT("'"&amp;V$86&amp;"'!"&amp;VLOOKUP(V$87,'List Values'!$C$3:$D$6,2,FALSE)&amp;ROW(V208))="","",INDIRECT("'"&amp;V$86&amp;"'!"&amp;VLOOKUP(V$87,'List Values'!$C$3:$D$6,2,FALSE)&amp;ROW(V208))),IF(V$86&lt;&gt;"","Data Source Error",""))))</f>
        <v/>
      </c>
      <c r="Y208" s="2643"/>
      <c r="Z208" s="2644"/>
      <c r="AA208" s="2644"/>
      <c r="AB208" s="2645"/>
    </row>
    <row r="209" spans="1:28" ht="15.75" customHeight="1" outlineLevel="1">
      <c r="A209" s="512"/>
      <c r="B209" s="252"/>
      <c r="C209" s="2684" t="s">
        <v>2529</v>
      </c>
      <c r="D209" s="2684"/>
      <c r="E209" s="192"/>
      <c r="F209" s="192"/>
      <c r="G209" s="636"/>
      <c r="H209" s="637"/>
      <c r="I209" s="187"/>
      <c r="J209" s="580"/>
      <c r="K209" s="900" t="str">
        <f ca="1">IF(OR($H$7&lt;2,K$197&lt;1),"",IF(J209&lt;&gt;"",J209,IFERROR(IF(INDIRECT("'"&amp;J$86&amp;"'!"&amp;VLOOKUP(J$87,'List Values'!$C$3:$D$6,2,FALSE)&amp;ROW(J209))="","",INDIRECT("'"&amp;J$86&amp;"'!"&amp;VLOOKUP(J$87,'List Values'!$C$3:$D$6,2,FALSE)&amp;ROW(J209))),IF(J$86&lt;&gt;"","Data Source Error",""))))</f>
        <v/>
      </c>
      <c r="L209" s="187"/>
      <c r="M209" s="580"/>
      <c r="N209" s="900">
        <f ca="1">IF(OR($H$7&lt;3,N$197&lt;1),"",IF(M209&lt;&gt;"",M209,IFERROR(IF(INDIRECT("'"&amp;M$86&amp;"'!"&amp;VLOOKUP(M$87,'List Values'!$C$3:$D$6,2,FALSE)&amp;ROW(M209))="","",INDIRECT("'"&amp;M$86&amp;"'!"&amp;VLOOKUP(M$87,'List Values'!$C$3:$D$6,2,FALSE)&amp;ROW(M209))),IF(M$86&lt;&gt;"","Data Source Error",""))))</f>
        <v>1</v>
      </c>
      <c r="O209" s="187"/>
      <c r="P209" s="580"/>
      <c r="Q209" s="900" t="str">
        <f ca="1">IF(OR($H$7&lt;4,Q$197&lt;1),"",IF(P209&lt;&gt;"",P209,IFERROR(IF(INDIRECT("'"&amp;P$86&amp;"'!"&amp;VLOOKUP(P$87,'List Values'!$C$3:$D$6,2,FALSE)&amp;ROW(P209))="","",INDIRECT("'"&amp;P$86&amp;"'!"&amp;VLOOKUP(P$87,'List Values'!$C$3:$D$6,2,FALSE)&amp;ROW(P209))),IF(P$86&lt;&gt;"","Data Source Error",""))))</f>
        <v/>
      </c>
      <c r="S209" s="580"/>
      <c r="T209" s="900" t="str">
        <f ca="1">IF(OR($H$7&lt;5,T$197&lt;1),"",IF(S209&lt;&gt;"",S209,IFERROR(IF(INDIRECT("'"&amp;S$86&amp;"'!"&amp;VLOOKUP(S$87,'List Values'!$C$3:$D$6,2,FALSE)&amp;ROW(S209))="","",INDIRECT("'"&amp;S$86&amp;"'!"&amp;VLOOKUP(S$87,'List Values'!$C$3:$D$6,2,FALSE)&amp;ROW(S209))),IF(S$86&lt;&gt;"","Data Source Error",""))))</f>
        <v/>
      </c>
      <c r="V209" s="580"/>
      <c r="W209" s="911" t="str">
        <f ca="1">IF(OR($H$7&lt;6,W$197&lt;1),"",IF(V209&lt;&gt;"",V209,IFERROR(IF(INDIRECT("'"&amp;V$86&amp;"'!"&amp;VLOOKUP(V$87,'List Values'!$C$3:$D$6,2,FALSE)&amp;ROW(V209))="","",INDIRECT("'"&amp;V$86&amp;"'!"&amp;VLOOKUP(V$87,'List Values'!$C$3:$D$6,2,FALSE)&amp;ROW(V209))),IF(V$86&lt;&gt;"","Data Source Error",""))))</f>
        <v/>
      </c>
      <c r="Y209" s="2643"/>
      <c r="Z209" s="2644"/>
      <c r="AA209" s="2644"/>
      <c r="AB209" s="2645"/>
    </row>
    <row r="210" spans="1:28" ht="33.75" customHeight="1" outlineLevel="1">
      <c r="A210" s="512"/>
      <c r="B210" s="252"/>
      <c r="C210" s="2680" t="s">
        <v>2523</v>
      </c>
      <c r="D210" s="2680"/>
      <c r="E210" s="192"/>
      <c r="F210" s="192"/>
      <c r="G210" s="636"/>
      <c r="H210" s="637"/>
      <c r="I210" s="187"/>
      <c r="J210" s="580"/>
      <c r="K210" s="900" t="str">
        <f ca="1">IF(OR($H$7&lt;2,K$197&lt;1),"",IF(J210&lt;&gt;"",J210,IFERROR(IF(INDIRECT("'"&amp;J$86&amp;"'!"&amp;VLOOKUP(J$87,'List Values'!$C$3:$D$6,2,FALSE)&amp;ROW(J210))="","",INDIRECT("'"&amp;J$86&amp;"'!"&amp;VLOOKUP(J$87,'List Values'!$C$3:$D$6,2,FALSE)&amp;ROW(J210))),IF(J$86&lt;&gt;"","Data Source Error",""))))</f>
        <v/>
      </c>
      <c r="L210" s="187"/>
      <c r="M210" s="580"/>
      <c r="N210" s="900" t="str">
        <f ca="1">IF(OR($H$7&lt;3,N$197&lt;1),"",IF(M210&lt;&gt;"",M210,IFERROR(IF(INDIRECT("'"&amp;M$86&amp;"'!"&amp;VLOOKUP(M$87,'List Values'!$C$3:$D$6,2,FALSE)&amp;ROW(M210))="","",INDIRECT("'"&amp;M$86&amp;"'!"&amp;VLOOKUP(M$87,'List Values'!$C$3:$D$6,2,FALSE)&amp;ROW(M210))),IF(M$86&lt;&gt;"","Data Source Error",""))))</f>
        <v>Transport team - Driver</v>
      </c>
      <c r="O210" s="187"/>
      <c r="P210" s="580"/>
      <c r="Q210" s="900" t="str">
        <f ca="1">IF(OR($H$7&lt;4,Q$197&lt;1),"",IF(P210&lt;&gt;"",P210,IFERROR(IF(INDIRECT("'"&amp;P$86&amp;"'!"&amp;VLOOKUP(P$87,'List Values'!$C$3:$D$6,2,FALSE)&amp;ROW(P210))="","",INDIRECT("'"&amp;P$86&amp;"'!"&amp;VLOOKUP(P$87,'List Values'!$C$3:$D$6,2,FALSE)&amp;ROW(P210))),IF(P$86&lt;&gt;"","Data Source Error",""))))</f>
        <v/>
      </c>
      <c r="S210" s="580"/>
      <c r="T210" s="900" t="str">
        <f ca="1">IF(OR($H$7&lt;5,T$197&lt;1),"",IF(S210&lt;&gt;"",S210,IFERROR(IF(INDIRECT("'"&amp;S$86&amp;"'!"&amp;VLOOKUP(S$87,'List Values'!$C$3:$D$6,2,FALSE)&amp;ROW(S210))="","",INDIRECT("'"&amp;S$86&amp;"'!"&amp;VLOOKUP(S$87,'List Values'!$C$3:$D$6,2,FALSE)&amp;ROW(S210))),IF(S$86&lt;&gt;"","Data Source Error",""))))</f>
        <v/>
      </c>
      <c r="V210" s="580"/>
      <c r="W210" s="911" t="str">
        <f ca="1">IF(OR($H$7&lt;6,W$197&lt;1),"",IF(V210&lt;&gt;"",V210,IFERROR(IF(INDIRECT("'"&amp;V$86&amp;"'!"&amp;VLOOKUP(V$87,'List Values'!$C$3:$D$6,2,FALSE)&amp;ROW(V210))="","",INDIRECT("'"&amp;V$86&amp;"'!"&amp;VLOOKUP(V$87,'List Values'!$C$3:$D$6,2,FALSE)&amp;ROW(V210))),IF(V$86&lt;&gt;"","Data Source Error",""))))</f>
        <v/>
      </c>
      <c r="Y210" s="2643"/>
      <c r="Z210" s="2644"/>
      <c r="AA210" s="2644"/>
      <c r="AB210" s="2645"/>
    </row>
    <row r="211" spans="1:28" ht="15.75" customHeight="1" outlineLevel="1">
      <c r="A211" s="512"/>
      <c r="B211" s="252"/>
      <c r="C211" s="2680" t="s">
        <v>2524</v>
      </c>
      <c r="D211" s="2680"/>
      <c r="E211" s="192"/>
      <c r="F211" s="192"/>
      <c r="G211" s="636"/>
      <c r="H211" s="637"/>
      <c r="I211" s="187"/>
      <c r="J211" s="580"/>
      <c r="K211" s="900" t="str">
        <f ca="1">IF(OR($H$7&lt;2,K$197&lt;1),"",IF(J211&lt;&gt;"",J211,IFERROR(IF(INDIRECT("'"&amp;J$86&amp;"'!"&amp;VLOOKUP(J$87,'List Values'!$C$3:$D$6,2,FALSE)&amp;ROW(J211))="","",INDIRECT("'"&amp;J$86&amp;"'!"&amp;VLOOKUP(J$87,'List Values'!$C$3:$D$6,2,FALSE)&amp;ROW(J211))),IF(J$86&lt;&gt;"","Data Source Error",""))))</f>
        <v/>
      </c>
      <c r="L211" s="187"/>
      <c r="M211" s="580"/>
      <c r="N211" s="900">
        <f ca="1">IF(OR($H$7&lt;3,N$197&lt;1),"",IF(M211&lt;&gt;"",M211,IFERROR(IF(INDIRECT("'"&amp;M$86&amp;"'!"&amp;VLOOKUP(M$87,'List Values'!$C$3:$D$6,2,FALSE)&amp;ROW(M211))="","",INDIRECT("'"&amp;M$86&amp;"'!"&amp;VLOOKUP(M$87,'List Values'!$C$3:$D$6,2,FALSE)&amp;ROW(M211))),IF(M$86&lt;&gt;"","Data Source Error",""))))</f>
        <v>1</v>
      </c>
      <c r="O211" s="187"/>
      <c r="P211" s="580"/>
      <c r="Q211" s="900" t="str">
        <f ca="1">IF(OR($H$7&lt;4,Q$197&lt;1),"",IF(P211&lt;&gt;"",P211,IFERROR(IF(INDIRECT("'"&amp;P$86&amp;"'!"&amp;VLOOKUP(P$87,'List Values'!$C$3:$D$6,2,FALSE)&amp;ROW(P211))="","",INDIRECT("'"&amp;P$86&amp;"'!"&amp;VLOOKUP(P$87,'List Values'!$C$3:$D$6,2,FALSE)&amp;ROW(P211))),IF(P$86&lt;&gt;"","Data Source Error",""))))</f>
        <v/>
      </c>
      <c r="S211" s="580"/>
      <c r="T211" s="900" t="str">
        <f ca="1">IF(OR($H$7&lt;5,T$197&lt;1),"",IF(S211&lt;&gt;"",S211,IFERROR(IF(INDIRECT("'"&amp;S$86&amp;"'!"&amp;VLOOKUP(S$87,'List Values'!$C$3:$D$6,2,FALSE)&amp;ROW(S211))="","",INDIRECT("'"&amp;S$86&amp;"'!"&amp;VLOOKUP(S$87,'List Values'!$C$3:$D$6,2,FALSE)&amp;ROW(S211))),IF(S$86&lt;&gt;"","Data Source Error",""))))</f>
        <v/>
      </c>
      <c r="V211" s="580"/>
      <c r="W211" s="911" t="str">
        <f ca="1">IF(OR($H$7&lt;6,W$197&lt;1),"",IF(V211&lt;&gt;"",V211,IFERROR(IF(INDIRECT("'"&amp;V$86&amp;"'!"&amp;VLOOKUP(V$87,'List Values'!$C$3:$D$6,2,FALSE)&amp;ROW(V211))="","",INDIRECT("'"&amp;V$86&amp;"'!"&amp;VLOOKUP(V$87,'List Values'!$C$3:$D$6,2,FALSE)&amp;ROW(V211))),IF(V$86&lt;&gt;"","Data Source Error",""))))</f>
        <v/>
      </c>
      <c r="Y211" s="2643"/>
      <c r="Z211" s="2644"/>
      <c r="AA211" s="2644"/>
      <c r="AB211" s="2645"/>
    </row>
    <row r="212" spans="1:28" ht="15.75" customHeight="1" outlineLevel="1">
      <c r="A212" s="512"/>
      <c r="B212" s="252"/>
      <c r="C212" s="2684" t="s">
        <v>2525</v>
      </c>
      <c r="D212" s="2684"/>
      <c r="E212" s="192"/>
      <c r="F212" s="192"/>
      <c r="G212" s="636"/>
      <c r="H212" s="637"/>
      <c r="I212" s="187"/>
      <c r="J212" s="580"/>
      <c r="K212" s="900" t="str">
        <f ca="1">IF(OR($H$7&lt;2,K$197&lt;1),"",IF(J212&lt;&gt;"",J212,IFERROR(IF(INDIRECT("'"&amp;J$86&amp;"'!"&amp;VLOOKUP(J$87,'List Values'!$C$3:$D$6,2,FALSE)&amp;ROW(J212))="","",INDIRECT("'"&amp;J$86&amp;"'!"&amp;VLOOKUP(J$87,'List Values'!$C$3:$D$6,2,FALSE)&amp;ROW(J212))),IF(J$86&lt;&gt;"","Data Source Error",""))))</f>
        <v/>
      </c>
      <c r="L212" s="187"/>
      <c r="M212" s="580"/>
      <c r="N212" s="900" t="str">
        <f ca="1">IF(OR($H$7&lt;3,N$197&lt;1),"",IF(M212&lt;&gt;"",M212,IFERROR(IF(INDIRECT("'"&amp;M$86&amp;"'!"&amp;VLOOKUP(M$87,'List Values'!$C$3:$D$6,2,FALSE)&amp;ROW(M212))="","",INDIRECT("'"&amp;M$86&amp;"'!"&amp;VLOOKUP(M$87,'List Values'!$C$3:$D$6,2,FALSE)&amp;ROW(M212))),IF(M$86&lt;&gt;"","Data Source Error",""))))</f>
        <v>#</v>
      </c>
      <c r="O212" s="187"/>
      <c r="P212" s="580"/>
      <c r="Q212" s="900" t="str">
        <f ca="1">IF(OR($H$7&lt;4,Q$197&lt;1),"",IF(P212&lt;&gt;"",P212,IFERROR(IF(INDIRECT("'"&amp;P$86&amp;"'!"&amp;VLOOKUP(P$87,'List Values'!$C$3:$D$6,2,FALSE)&amp;ROW(P212))="","",INDIRECT("'"&amp;P$86&amp;"'!"&amp;VLOOKUP(P$87,'List Values'!$C$3:$D$6,2,FALSE)&amp;ROW(P212))),IF(P$86&lt;&gt;"","Data Source Error",""))))</f>
        <v/>
      </c>
      <c r="S212" s="580"/>
      <c r="T212" s="900" t="str">
        <f ca="1">IF(OR($H$7&lt;5,T$197&lt;1),"",IF(S212&lt;&gt;"",S212,IFERROR(IF(INDIRECT("'"&amp;S$86&amp;"'!"&amp;VLOOKUP(S$87,'List Values'!$C$3:$D$6,2,FALSE)&amp;ROW(S212))="","",INDIRECT("'"&amp;S$86&amp;"'!"&amp;VLOOKUP(S$87,'List Values'!$C$3:$D$6,2,FALSE)&amp;ROW(S212))),IF(S$86&lt;&gt;"","Data Source Error",""))))</f>
        <v/>
      </c>
      <c r="V212" s="580"/>
      <c r="W212" s="911" t="str">
        <f ca="1">IF(OR($H$7&lt;6,W$197&lt;1),"",IF(V212&lt;&gt;"",V212,IFERROR(IF(INDIRECT("'"&amp;V$86&amp;"'!"&amp;VLOOKUP(V$87,'List Values'!$C$3:$D$6,2,FALSE)&amp;ROW(V212))="","",INDIRECT("'"&amp;V$86&amp;"'!"&amp;VLOOKUP(V$87,'List Values'!$C$3:$D$6,2,FALSE)&amp;ROW(V212))),IF(V$86&lt;&gt;"","Data Source Error",""))))</f>
        <v/>
      </c>
      <c r="Y212" s="2643"/>
      <c r="Z212" s="2644"/>
      <c r="AA212" s="2644"/>
      <c r="AB212" s="2645"/>
    </row>
    <row r="213" spans="1:28" ht="31.5" customHeight="1" outlineLevel="1">
      <c r="A213" s="512"/>
      <c r="B213" s="252"/>
      <c r="C213" s="2680" t="s">
        <v>2526</v>
      </c>
      <c r="D213" s="2680"/>
      <c r="E213" s="192"/>
      <c r="F213" s="192"/>
      <c r="G213" s="636"/>
      <c r="H213" s="637"/>
      <c r="I213" s="187"/>
      <c r="J213" s="580"/>
      <c r="K213" s="900" t="str">
        <f ca="1">IF(OR($H$7&lt;2,K$197&lt;1),"",IF(J213&lt;&gt;"",J213,IFERROR(IF(INDIRECT("'"&amp;J$86&amp;"'!"&amp;VLOOKUP(J$87,'List Values'!$C$3:$D$6,2,FALSE)&amp;ROW(J213))="","",INDIRECT("'"&amp;J$86&amp;"'!"&amp;VLOOKUP(J$87,'List Values'!$C$3:$D$6,2,FALSE)&amp;ROW(J213))),IF(J$86&lt;&gt;"","Data Source Error",""))))</f>
        <v/>
      </c>
      <c r="L213" s="187"/>
      <c r="M213" s="580"/>
      <c r="N213" s="900">
        <f ca="1">IF(OR($H$7&lt;3,N$197&lt;1),"",IF(M213&lt;&gt;"",M213,IFERROR(IF(INDIRECT("'"&amp;M$86&amp;"'!"&amp;VLOOKUP(M$87,'List Values'!$C$3:$D$6,2,FALSE)&amp;ROW(M213))="","",INDIRECT("'"&amp;M$86&amp;"'!"&amp;VLOOKUP(M$87,'List Values'!$C$3:$D$6,2,FALSE)&amp;ROW(M213))),IF(M$86&lt;&gt;"","Data Source Error",""))))</f>
        <v>210</v>
      </c>
      <c r="O213" s="187"/>
      <c r="P213" s="580"/>
      <c r="Q213" s="900" t="str">
        <f ca="1">IF(OR($H$7&lt;4,Q$197&lt;1),"",IF(P213&lt;&gt;"",P213,IFERROR(IF(INDIRECT("'"&amp;P$86&amp;"'!"&amp;VLOOKUP(P$87,'List Values'!$C$3:$D$6,2,FALSE)&amp;ROW(P213))="","",INDIRECT("'"&amp;P$86&amp;"'!"&amp;VLOOKUP(P$87,'List Values'!$C$3:$D$6,2,FALSE)&amp;ROW(P213))),IF(P$86&lt;&gt;"","Data Source Error",""))))</f>
        <v/>
      </c>
      <c r="S213" s="580"/>
      <c r="T213" s="900" t="str">
        <f ca="1">IF(OR($H$7&lt;5,T$197&lt;1),"",IF(S213&lt;&gt;"",S213,IFERROR(IF(INDIRECT("'"&amp;S$86&amp;"'!"&amp;VLOOKUP(S$87,'List Values'!$C$3:$D$6,2,FALSE)&amp;ROW(S213))="","",INDIRECT("'"&amp;S$86&amp;"'!"&amp;VLOOKUP(S$87,'List Values'!$C$3:$D$6,2,FALSE)&amp;ROW(S213))),IF(S$86&lt;&gt;"","Data Source Error",""))))</f>
        <v/>
      </c>
      <c r="V213" s="580"/>
      <c r="W213" s="911" t="str">
        <f ca="1">IF(OR($H$7&lt;6,W$197&lt;1),"",IF(V213&lt;&gt;"",V213,IFERROR(IF(INDIRECT("'"&amp;V$86&amp;"'!"&amp;VLOOKUP(V$87,'List Values'!$C$3:$D$6,2,FALSE)&amp;ROW(V213))="","",INDIRECT("'"&amp;V$86&amp;"'!"&amp;VLOOKUP(V$87,'List Values'!$C$3:$D$6,2,FALSE)&amp;ROW(V213))),IF(V$86&lt;&gt;"","Data Source Error",""))))</f>
        <v/>
      </c>
      <c r="Y213" s="2643"/>
      <c r="Z213" s="2644"/>
      <c r="AA213" s="2644"/>
      <c r="AB213" s="2645"/>
    </row>
    <row r="214" spans="1:28" ht="41.15" customHeight="1" outlineLevel="1">
      <c r="A214" s="512"/>
      <c r="B214" s="252"/>
      <c r="C214" s="2680" t="s">
        <v>2527</v>
      </c>
      <c r="D214" s="2680"/>
      <c r="E214" s="192"/>
      <c r="F214" s="192"/>
      <c r="G214" s="636"/>
      <c r="H214" s="637"/>
      <c r="I214" s="187"/>
      <c r="J214" s="580"/>
      <c r="K214" s="900" t="str">
        <f ca="1">IF(OR($H$7&lt;2,K$197&lt;1),"",IF(J214&lt;&gt;"",J214,IFERROR(IF(INDIRECT("'"&amp;J$86&amp;"'!"&amp;VLOOKUP(J$87,'List Values'!$C$3:$D$6,2,FALSE)&amp;ROW(J214))="","",INDIRECT("'"&amp;J$86&amp;"'!"&amp;VLOOKUP(J$87,'List Values'!$C$3:$D$6,2,FALSE)&amp;ROW(J214))),IF(J$86&lt;&gt;"","Data Source Error",""))))</f>
        <v/>
      </c>
      <c r="L214" s="187"/>
      <c r="M214" s="580"/>
      <c r="N214" s="900">
        <f ca="1">IF(OR($H$7&lt;3,N$197&lt;1),"",IF(M214&lt;&gt;"",M214,IFERROR(IF(INDIRECT("'"&amp;M$86&amp;"'!"&amp;VLOOKUP(M$87,'List Values'!$C$3:$D$6,2,FALSE)&amp;ROW(M214))="","",INDIRECT("'"&amp;M$86&amp;"'!"&amp;VLOOKUP(M$87,'List Values'!$C$3:$D$6,2,FALSE)&amp;ROW(M214))),IF(M$86&lt;&gt;"","Data Source Error",""))))</f>
        <v>0</v>
      </c>
      <c r="O214" s="187"/>
      <c r="P214" s="580"/>
      <c r="Q214" s="900" t="str">
        <f ca="1">IF(OR($H$7&lt;4,Q$197&lt;1),"",IF(P214&lt;&gt;"",P214,IFERROR(IF(INDIRECT("'"&amp;P$86&amp;"'!"&amp;VLOOKUP(P$87,'List Values'!$C$3:$D$6,2,FALSE)&amp;ROW(P214))="","",INDIRECT("'"&amp;P$86&amp;"'!"&amp;VLOOKUP(P$87,'List Values'!$C$3:$D$6,2,FALSE)&amp;ROW(P214))),IF(P$86&lt;&gt;"","Data Source Error",""))))</f>
        <v/>
      </c>
      <c r="S214" s="580"/>
      <c r="T214" s="900" t="str">
        <f ca="1">IF(OR($H$7&lt;5,T$197&lt;1),"",IF(S214&lt;&gt;"",S214,IFERROR(IF(INDIRECT("'"&amp;S$86&amp;"'!"&amp;VLOOKUP(S$87,'List Values'!$C$3:$D$6,2,FALSE)&amp;ROW(S214))="","",INDIRECT("'"&amp;S$86&amp;"'!"&amp;VLOOKUP(S$87,'List Values'!$C$3:$D$6,2,FALSE)&amp;ROW(S214))),IF(S$86&lt;&gt;"","Data Source Error",""))))</f>
        <v/>
      </c>
      <c r="V214" s="580"/>
      <c r="W214" s="911" t="str">
        <f ca="1">IF(OR($H$7&lt;6,W$197&lt;1),"",IF(V214&lt;&gt;"",V214,IFERROR(IF(INDIRECT("'"&amp;V$86&amp;"'!"&amp;VLOOKUP(V$87,'List Values'!$C$3:$D$6,2,FALSE)&amp;ROW(V214))="","",INDIRECT("'"&amp;V$86&amp;"'!"&amp;VLOOKUP(V$87,'List Values'!$C$3:$D$6,2,FALSE)&amp;ROW(V214))),IF(V$86&lt;&gt;"","Data Source Error",""))))</f>
        <v/>
      </c>
      <c r="Y214" s="2643"/>
      <c r="Z214" s="2644"/>
      <c r="AA214" s="2644"/>
      <c r="AB214" s="2645"/>
    </row>
    <row r="215" spans="1:28" ht="31.5" customHeight="1" outlineLevel="1">
      <c r="A215" s="512"/>
      <c r="B215" s="252"/>
      <c r="C215" s="2680" t="s">
        <v>2528</v>
      </c>
      <c r="D215" s="2680"/>
      <c r="E215" s="192"/>
      <c r="F215" s="192"/>
      <c r="G215" s="636"/>
      <c r="H215" s="637"/>
      <c r="I215" s="187"/>
      <c r="J215" s="580"/>
      <c r="K215" s="900" t="str">
        <f ca="1">IF(OR($H$7&lt;2,K$197&lt;1),"",IF(J215&lt;&gt;"",J215,IFERROR(IF(INDIRECT("'"&amp;J$86&amp;"'!"&amp;VLOOKUP(J$87,'List Values'!$C$3:$D$6,2,FALSE)&amp;ROW(J215))="","",INDIRECT("'"&amp;J$86&amp;"'!"&amp;VLOOKUP(J$87,'List Values'!$C$3:$D$6,2,FALSE)&amp;ROW(J215))),IF(J$86&lt;&gt;"","Data Source Error",""))))</f>
        <v/>
      </c>
      <c r="L215" s="187"/>
      <c r="M215" s="580"/>
      <c r="N215" s="900">
        <f ca="1">IF(OR($H$7&lt;3,N$197&lt;1),"",IF(M215&lt;&gt;"",M215,IFERROR(IF(INDIRECT("'"&amp;M$86&amp;"'!"&amp;VLOOKUP(M$87,'List Values'!$C$3:$D$6,2,FALSE)&amp;ROW(M215))="","",INDIRECT("'"&amp;M$86&amp;"'!"&amp;VLOOKUP(M$87,'List Values'!$C$3:$D$6,2,FALSE)&amp;ROW(M215))),IF(M$86&lt;&gt;"","Data Source Error",""))))</f>
        <v>0</v>
      </c>
      <c r="O215" s="187"/>
      <c r="P215" s="580"/>
      <c r="Q215" s="900" t="str">
        <f ca="1">IF(OR($H$7&lt;4,Q$197&lt;1),"",IF(P215&lt;&gt;"",P215,IFERROR(IF(INDIRECT("'"&amp;P$86&amp;"'!"&amp;VLOOKUP(P$87,'List Values'!$C$3:$D$6,2,FALSE)&amp;ROW(P215))="","",INDIRECT("'"&amp;P$86&amp;"'!"&amp;VLOOKUP(P$87,'List Values'!$C$3:$D$6,2,FALSE)&amp;ROW(P215))),IF(P$86&lt;&gt;"","Data Source Error",""))))</f>
        <v/>
      </c>
      <c r="S215" s="580"/>
      <c r="T215" s="900" t="str">
        <f ca="1">IF(OR($H$7&lt;5,T$197&lt;1),"",IF(S215&lt;&gt;"",S215,IFERROR(IF(INDIRECT("'"&amp;S$86&amp;"'!"&amp;VLOOKUP(S$87,'List Values'!$C$3:$D$6,2,FALSE)&amp;ROW(S215))="","",INDIRECT("'"&amp;S$86&amp;"'!"&amp;VLOOKUP(S$87,'List Values'!$C$3:$D$6,2,FALSE)&amp;ROW(S215))),IF(S$86&lt;&gt;"","Data Source Error",""))))</f>
        <v/>
      </c>
      <c r="V215" s="580"/>
      <c r="W215" s="911" t="str">
        <f ca="1">IF(OR($H$7&lt;6,W$197&lt;1),"",IF(V215&lt;&gt;"",V215,IFERROR(IF(INDIRECT("'"&amp;V$86&amp;"'!"&amp;VLOOKUP(V$87,'List Values'!$C$3:$D$6,2,FALSE)&amp;ROW(V215))="","",INDIRECT("'"&amp;V$86&amp;"'!"&amp;VLOOKUP(V$87,'List Values'!$C$3:$D$6,2,FALSE)&amp;ROW(V215))),IF(V$86&lt;&gt;"","Data Source Error",""))))</f>
        <v/>
      </c>
      <c r="Y215" s="2643"/>
      <c r="Z215" s="2644"/>
      <c r="AA215" s="2644"/>
      <c r="AB215" s="2645"/>
    </row>
    <row r="216" spans="1:28" ht="15.75" customHeight="1" outlineLevel="1">
      <c r="A216" s="512"/>
      <c r="B216" s="252"/>
      <c r="C216" s="2680" t="s">
        <v>650</v>
      </c>
      <c r="D216" s="2680"/>
      <c r="E216" s="192"/>
      <c r="F216" s="192"/>
      <c r="G216" s="636"/>
      <c r="H216" s="637"/>
      <c r="I216" s="187"/>
      <c r="J216" s="580"/>
      <c r="K216" s="900" t="str">
        <f ca="1">IF(OR($H$7&lt;2,K$197&lt;1),"",IF(J216&lt;&gt;"",J216,IFERROR(IF(INDIRECT("'"&amp;J$86&amp;"'!"&amp;VLOOKUP(J$87,'List Values'!$C$3:$D$6,2,FALSE)&amp;ROW(J216))="","",INDIRECT("'"&amp;J$86&amp;"'!"&amp;VLOOKUP(J$87,'List Values'!$C$3:$D$6,2,FALSE)&amp;ROW(J216))),IF(J$86&lt;&gt;"","Data Source Error",""))))</f>
        <v/>
      </c>
      <c r="L216" s="187"/>
      <c r="M216" s="580"/>
      <c r="N216" s="900">
        <f ca="1">IF(OR($H$7&lt;3,N$197&lt;1),"",IF(M216&lt;&gt;"",M216,IFERROR(IF(INDIRECT("'"&amp;M$86&amp;"'!"&amp;VLOOKUP(M$87,'List Values'!$C$3:$D$6,2,FALSE)&amp;ROW(M216))="","",INDIRECT("'"&amp;M$86&amp;"'!"&amp;VLOOKUP(M$87,'List Values'!$C$3:$D$6,2,FALSE)&amp;ROW(M216))),IF(M$86&lt;&gt;"","Data Source Error",""))))</f>
        <v>30</v>
      </c>
      <c r="O216" s="187"/>
      <c r="P216" s="580"/>
      <c r="Q216" s="900" t="str">
        <f ca="1">IF(OR($H$7&lt;4,Q$197&lt;1),"",IF(P216&lt;&gt;"",P216,IFERROR(IF(INDIRECT("'"&amp;P$86&amp;"'!"&amp;VLOOKUP(P$87,'List Values'!$C$3:$D$6,2,FALSE)&amp;ROW(P216))="","",INDIRECT("'"&amp;P$86&amp;"'!"&amp;VLOOKUP(P$87,'List Values'!$C$3:$D$6,2,FALSE)&amp;ROW(P216))),IF(P$86&lt;&gt;"","Data Source Error",""))))</f>
        <v/>
      </c>
      <c r="S216" s="580"/>
      <c r="T216" s="900" t="str">
        <f ca="1">IF(OR($H$7&lt;5,T$197&lt;1),"",IF(S216&lt;&gt;"",S216,IFERROR(IF(INDIRECT("'"&amp;S$86&amp;"'!"&amp;VLOOKUP(S$87,'List Values'!$C$3:$D$6,2,FALSE)&amp;ROW(S216))="","",INDIRECT("'"&amp;S$86&amp;"'!"&amp;VLOOKUP(S$87,'List Values'!$C$3:$D$6,2,FALSE)&amp;ROW(S216))),IF(S$86&lt;&gt;"","Data Source Error",""))))</f>
        <v/>
      </c>
      <c r="V216" s="580"/>
      <c r="W216" s="911" t="str">
        <f ca="1">IF(OR($H$7&lt;6,W$197&lt;1),"",IF(V216&lt;&gt;"",V216,IFERROR(IF(INDIRECT("'"&amp;V$86&amp;"'!"&amp;VLOOKUP(V$87,'List Values'!$C$3:$D$6,2,FALSE)&amp;ROW(V216))="","",INDIRECT("'"&amp;V$86&amp;"'!"&amp;VLOOKUP(V$87,'List Values'!$C$3:$D$6,2,FALSE)&amp;ROW(V216))),IF(V$86&lt;&gt;"","Data Source Error",""))))</f>
        <v/>
      </c>
      <c r="Y216" s="2643"/>
      <c r="Z216" s="2644"/>
      <c r="AA216" s="2644"/>
      <c r="AB216" s="2645"/>
    </row>
    <row r="217" spans="1:28" ht="31.5" customHeight="1" outlineLevel="1">
      <c r="A217" s="512"/>
      <c r="B217" s="511"/>
      <c r="C217" s="2680" t="s">
        <v>651</v>
      </c>
      <c r="D217" s="2680"/>
      <c r="E217" s="494"/>
      <c r="F217" s="494"/>
      <c r="G217" s="642"/>
      <c r="H217" s="643"/>
      <c r="I217" s="196"/>
      <c r="J217" s="624"/>
      <c r="K217" s="902" t="str">
        <f ca="1">IF(OR($H$7&lt;2,K$197&lt;1),"",IF(J217&lt;&gt;"",J217,IFERROR(IF(INDIRECT("'"&amp;J$86&amp;"'!"&amp;VLOOKUP(J$87,'List Values'!$C$3:$D$6,2,FALSE)&amp;ROW(J217))="","",INDIRECT("'"&amp;J$86&amp;"'!"&amp;VLOOKUP(J$87,'List Values'!$C$3:$D$6,2,FALSE)&amp;ROW(J217))),IF(J$86&lt;&gt;"","Data Source Error",""))))</f>
        <v/>
      </c>
      <c r="L217" s="196"/>
      <c r="M217" s="624"/>
      <c r="N217" s="902">
        <f ca="1">IF(OR($H$7&lt;3,N$197&lt;1),"",IF(M217&lt;&gt;"",M217,IFERROR(IF(INDIRECT("'"&amp;M$86&amp;"'!"&amp;VLOOKUP(M$87,'List Values'!$C$3:$D$6,2,FALSE)&amp;ROW(M217))="","",INDIRECT("'"&amp;M$86&amp;"'!"&amp;VLOOKUP(M$87,'List Values'!$C$3:$D$6,2,FALSE)&amp;ROW(M217))),IF(M$86&lt;&gt;"","Data Source Error",""))))</f>
        <v>100</v>
      </c>
      <c r="O217" s="196"/>
      <c r="P217" s="624"/>
      <c r="Q217" s="902" t="str">
        <f ca="1">IF(OR($H$7&lt;4,Q$197&lt;1),"",IF(P217&lt;&gt;"",P217,IFERROR(IF(INDIRECT("'"&amp;P$86&amp;"'!"&amp;VLOOKUP(P$87,'List Values'!$C$3:$D$6,2,FALSE)&amp;ROW(P217))="","",INDIRECT("'"&amp;P$86&amp;"'!"&amp;VLOOKUP(P$87,'List Values'!$C$3:$D$6,2,FALSE)&amp;ROW(P217))),IF(P$86&lt;&gt;"","Data Source Error",""))))</f>
        <v/>
      </c>
      <c r="R217" s="236"/>
      <c r="S217" s="624"/>
      <c r="T217" s="902" t="str">
        <f ca="1">IF(OR($H$7&lt;5,T$197&lt;1),"",IF(S217&lt;&gt;"",S217,IFERROR(IF(INDIRECT("'"&amp;S$86&amp;"'!"&amp;VLOOKUP(S$87,'List Values'!$C$3:$D$6,2,FALSE)&amp;ROW(S217))="","",INDIRECT("'"&amp;S$86&amp;"'!"&amp;VLOOKUP(S$87,'List Values'!$C$3:$D$6,2,FALSE)&amp;ROW(S217))),IF(S$86&lt;&gt;"","Data Source Error",""))))</f>
        <v/>
      </c>
      <c r="U217" s="236"/>
      <c r="V217" s="624"/>
      <c r="W217" s="982" t="str">
        <f ca="1">IF(OR($H$7&lt;6,W$197&lt;1),"",IF(V217&lt;&gt;"",V217,IFERROR(IF(INDIRECT("'"&amp;V$86&amp;"'!"&amp;VLOOKUP(V$87,'List Values'!$C$3:$D$6,2,FALSE)&amp;ROW(V217))="","",INDIRECT("'"&amp;V$86&amp;"'!"&amp;VLOOKUP(V$87,'List Values'!$C$3:$D$6,2,FALSE)&amp;ROW(V217))),IF(V$86&lt;&gt;"","Data Source Error",""))))</f>
        <v/>
      </c>
      <c r="Y217" s="2643"/>
      <c r="Z217" s="2644"/>
      <c r="AA217" s="2644"/>
      <c r="AB217" s="2645"/>
    </row>
    <row r="218" spans="1:28" ht="20.25" customHeight="1">
      <c r="A218" s="808"/>
      <c r="B218" s="612" t="s">
        <v>617</v>
      </c>
      <c r="C218" s="604"/>
      <c r="D218" s="604"/>
      <c r="E218" s="604"/>
      <c r="F218" s="604"/>
      <c r="G218" s="604"/>
      <c r="H218" s="604"/>
      <c r="I218" s="608"/>
      <c r="J218" s="610"/>
      <c r="K218" s="970"/>
      <c r="L218" s="608"/>
      <c r="M218" s="610"/>
      <c r="N218" s="970"/>
      <c r="O218" s="608"/>
      <c r="P218" s="610"/>
      <c r="Q218" s="970"/>
      <c r="R218" s="608"/>
      <c r="S218" s="610"/>
      <c r="T218" s="970"/>
      <c r="U218" s="608"/>
      <c r="V218" s="610"/>
      <c r="W218" s="970"/>
      <c r="Y218" s="631"/>
      <c r="Z218" s="631"/>
      <c r="AA218" s="631"/>
      <c r="AB218" s="631"/>
    </row>
    <row r="219" spans="1:28" ht="17.25" customHeight="1" outlineLevel="1">
      <c r="A219" s="513"/>
      <c r="B219" s="252"/>
      <c r="C219" s="2580" t="s">
        <v>731</v>
      </c>
      <c r="D219" s="2580"/>
      <c r="E219" s="202"/>
      <c r="F219" s="202"/>
      <c r="G219" s="634"/>
      <c r="H219" s="635"/>
      <c r="I219" s="183"/>
      <c r="J219" s="628"/>
      <c r="K219" s="967" t="str">
        <f ca="1">IF(OR($H$7&lt;2,K$197&lt;2),"",IF(J219&lt;&gt;"",J219,IFERROR(IF(INDIRECT("'"&amp;J$86&amp;"'!"&amp;VLOOKUP(J$87,'List Values'!$C$3:$D$6,2,FALSE)&amp;ROW(J219))="","",INDIRECT("'"&amp;J$86&amp;"'!"&amp;VLOOKUP(J$87,'List Values'!$C$3:$D$6,2,FALSE)&amp;ROW(J219))),IF(J$86&lt;&gt;"","Data Source Error",""))))</f>
        <v/>
      </c>
      <c r="L219" s="629"/>
      <c r="M219" s="628"/>
      <c r="N219" s="967" t="str">
        <f ca="1">IF(OR($H$7&lt;3,N$197&lt;2),"",IF(M219&lt;&gt;"",M219,IFERROR(IF(INDIRECT("'"&amp;M$86&amp;"'!"&amp;VLOOKUP(M$87,'List Values'!$C$3:$D$6,2,FALSE)&amp;ROW(M219))="","",INDIRECT("'"&amp;M$86&amp;"'!"&amp;VLOOKUP(M$87,'List Values'!$C$3:$D$6,2,FALSE)&amp;ROW(M219))),IF(M$86&lt;&gt;"","Data Source Error",""))))</f>
        <v/>
      </c>
      <c r="O219" s="629"/>
      <c r="P219" s="628"/>
      <c r="Q219" s="967" t="str">
        <f ca="1">IF(OR($H$7&lt;4,Q$197&lt;2),"",IF(P219&lt;&gt;"",P219,IFERROR(IF(INDIRECT("'"&amp;P$86&amp;"'!"&amp;VLOOKUP(P$87,'List Values'!$C$3:$D$6,2,FALSE)&amp;ROW(P219))="","",INDIRECT("'"&amp;P$86&amp;"'!"&amp;VLOOKUP(P$87,'List Values'!$C$3:$D$6,2,FALSE)&amp;ROW(P219))),IF(P$86&lt;&gt;"","Data Source Error",""))))</f>
        <v/>
      </c>
      <c r="R219" s="147"/>
      <c r="S219" s="628"/>
      <c r="T219" s="967" t="str">
        <f ca="1">IF(OR($H$7&lt;5,T$197&lt;2),"",IF(S219&lt;&gt;"",S219,IFERROR(IF(INDIRECT("'"&amp;S$86&amp;"'!"&amp;VLOOKUP(S$87,'List Values'!$C$3:$D$6,2,FALSE)&amp;ROW(S219))="","",INDIRECT("'"&amp;S$86&amp;"'!"&amp;VLOOKUP(S$87,'List Values'!$C$3:$D$6,2,FALSE)&amp;ROW(S219))),IF(S$86&lt;&gt;"","Data Source Error",""))))</f>
        <v/>
      </c>
      <c r="U219" s="147"/>
      <c r="V219" s="628"/>
      <c r="W219" s="973" t="str">
        <f ca="1">IF(OR($H$7&lt;6,W$197&lt;2),"",IF(V219&lt;&gt;"",V219,IFERROR(IF(INDIRECT("'"&amp;V$86&amp;"'!"&amp;VLOOKUP(V$87,'List Values'!$C$3:$D$6,2,FALSE)&amp;ROW(V219))="","",INDIRECT("'"&amp;V$86&amp;"'!"&amp;VLOOKUP(V$87,'List Values'!$C$3:$D$6,2,FALSE)&amp;ROW(V219))),IF(V$86&lt;&gt;"","Data Source Error",""))))</f>
        <v/>
      </c>
      <c r="Y219" s="2643"/>
      <c r="Z219" s="2644"/>
      <c r="AA219" s="2644"/>
      <c r="AB219" s="2645"/>
    </row>
    <row r="220" spans="1:28" ht="17.25" customHeight="1" outlineLevel="1">
      <c r="A220" s="513"/>
      <c r="B220" s="252"/>
      <c r="C220" s="2680" t="s">
        <v>626</v>
      </c>
      <c r="D220" s="2680"/>
      <c r="E220" s="202"/>
      <c r="F220" s="202"/>
      <c r="G220" s="634"/>
      <c r="H220" s="635"/>
      <c r="I220" s="187"/>
      <c r="J220" s="526"/>
      <c r="K220" s="900" t="str">
        <f ca="1">IF(OR($H$7&lt;2,K$197&lt;2),"",IF(J220&lt;&gt;"",J220,IFERROR(IF(INDIRECT("'"&amp;J$86&amp;"'!"&amp;VLOOKUP(J$87,'List Values'!$C$3:$D$6,2,FALSE)&amp;ROW(J220))="","",INDIRECT("'"&amp;J$86&amp;"'!"&amp;VLOOKUP(J$87,'List Values'!$C$3:$D$6,2,FALSE)&amp;ROW(J220))),IF(J$86&lt;&gt;"","Data Source Error",""))))</f>
        <v/>
      </c>
      <c r="L220" s="187"/>
      <c r="M220" s="526"/>
      <c r="N220" s="900" t="str">
        <f ca="1">IF(OR($H$7&lt;3,N$197&lt;2),"",IF(M220&lt;&gt;"",M220,IFERROR(IF(INDIRECT("'"&amp;M$86&amp;"'!"&amp;VLOOKUP(M$87,'List Values'!$C$3:$D$6,2,FALSE)&amp;ROW(M220))="","",INDIRECT("'"&amp;M$86&amp;"'!"&amp;VLOOKUP(M$87,'List Values'!$C$3:$D$6,2,FALSE)&amp;ROW(M220))),IF(M$86&lt;&gt;"","Data Source Error",""))))</f>
        <v/>
      </c>
      <c r="O220" s="187"/>
      <c r="P220" s="526"/>
      <c r="Q220" s="900" t="str">
        <f ca="1">IF(OR($H$7&lt;4,Q$197&lt;2),"",IF(P220&lt;&gt;"",P220,IFERROR(IF(INDIRECT("'"&amp;P$86&amp;"'!"&amp;VLOOKUP(P$87,'List Values'!$C$3:$D$6,2,FALSE)&amp;ROW(P220))="","",INDIRECT("'"&amp;P$86&amp;"'!"&amp;VLOOKUP(P$87,'List Values'!$C$3:$D$6,2,FALSE)&amp;ROW(P220))),IF(P$86&lt;&gt;"","Data Source Error",""))))</f>
        <v/>
      </c>
      <c r="S220" s="526"/>
      <c r="T220" s="900" t="str">
        <f ca="1">IF(OR($H$7&lt;5,T$197&lt;2),"",IF(S220&lt;&gt;"",S220,IFERROR(IF(INDIRECT("'"&amp;S$86&amp;"'!"&amp;VLOOKUP(S$87,'List Values'!$C$3:$D$6,2,FALSE)&amp;ROW(S220))="","",INDIRECT("'"&amp;S$86&amp;"'!"&amp;VLOOKUP(S$87,'List Values'!$C$3:$D$6,2,FALSE)&amp;ROW(S220))),IF(S$86&lt;&gt;"","Data Source Error",""))))</f>
        <v/>
      </c>
      <c r="V220" s="526"/>
      <c r="W220" s="911" t="str">
        <f ca="1">IF(OR($H$7&lt;6,W$197&lt;2),"",IF(V220&lt;&gt;"",V220,IFERROR(IF(INDIRECT("'"&amp;V$86&amp;"'!"&amp;VLOOKUP(V$87,'List Values'!$C$3:$D$6,2,FALSE)&amp;ROW(V220))="","",INDIRECT("'"&amp;V$86&amp;"'!"&amp;VLOOKUP(V$87,'List Values'!$C$3:$D$6,2,FALSE)&amp;ROW(V220))),IF(V$86&lt;&gt;"","Data Source Error",""))))</f>
        <v/>
      </c>
      <c r="Y220" s="2643"/>
      <c r="Z220" s="2644"/>
      <c r="AA220" s="2644"/>
      <c r="AB220" s="2645"/>
    </row>
    <row r="221" spans="1:28" ht="31" customHeight="1" outlineLevel="1">
      <c r="A221" s="513"/>
      <c r="B221" s="252"/>
      <c r="C221" s="2680" t="s">
        <v>2520</v>
      </c>
      <c r="D221" s="2680"/>
      <c r="E221" s="202"/>
      <c r="F221" s="202"/>
      <c r="G221" s="634"/>
      <c r="H221" s="635"/>
      <c r="I221" s="187"/>
      <c r="J221" s="561"/>
      <c r="K221" s="900" t="str">
        <f ca="1">IF(OR($H$7&lt;2,K$197&lt;2),"",IF(J221&lt;&gt;"",J221,IFERROR(IF(INDIRECT("'"&amp;J$86&amp;"'!"&amp;VLOOKUP(J$87,'List Values'!$C$3:$D$6,2,FALSE)&amp;ROW(J221))="","",INDIRECT("'"&amp;J$86&amp;"'!"&amp;VLOOKUP(J$87,'List Values'!$C$3:$D$6,2,FALSE)&amp;ROW(J221))),IF(J$86&lt;&gt;"","Data Source Error",""))))</f>
        <v/>
      </c>
      <c r="L221" s="187"/>
      <c r="M221" s="561"/>
      <c r="N221" s="900" t="str">
        <f ca="1">IF(OR($H$7&lt;3,N$197&lt;2),"",IF(M221&lt;&gt;"",M221,IFERROR(IF(INDIRECT("'"&amp;M$86&amp;"'!"&amp;VLOOKUP(M$87,'List Values'!$C$3:$D$6,2,FALSE)&amp;ROW(M221))="","",INDIRECT("'"&amp;M$86&amp;"'!"&amp;VLOOKUP(M$87,'List Values'!$C$3:$D$6,2,FALSE)&amp;ROW(M221))),IF(M$86&lt;&gt;"","Data Source Error",""))))</f>
        <v/>
      </c>
      <c r="O221" s="187"/>
      <c r="P221" s="561"/>
      <c r="Q221" s="900" t="str">
        <f ca="1">IF(OR($H$7&lt;4,Q$197&lt;2),"",IF(P221&lt;&gt;"",P221,IFERROR(IF(INDIRECT("'"&amp;P$86&amp;"'!"&amp;VLOOKUP(P$87,'List Values'!$C$3:$D$6,2,FALSE)&amp;ROW(P221))="","",INDIRECT("'"&amp;P$86&amp;"'!"&amp;VLOOKUP(P$87,'List Values'!$C$3:$D$6,2,FALSE)&amp;ROW(P221))),IF(P$86&lt;&gt;"","Data Source Error",""))))</f>
        <v/>
      </c>
      <c r="S221" s="561"/>
      <c r="T221" s="900" t="str">
        <f ca="1">IF(OR($H$7&lt;5,T$197&lt;2),"",IF(S221&lt;&gt;"",S221,IFERROR(IF(INDIRECT("'"&amp;S$86&amp;"'!"&amp;VLOOKUP(S$87,'List Values'!$C$3:$D$6,2,FALSE)&amp;ROW(S221))="","",INDIRECT("'"&amp;S$86&amp;"'!"&amp;VLOOKUP(S$87,'List Values'!$C$3:$D$6,2,FALSE)&amp;ROW(S221))),IF(S$86&lt;&gt;"","Data Source Error",""))))</f>
        <v/>
      </c>
      <c r="V221" s="561"/>
      <c r="W221" s="911" t="str">
        <f ca="1">IF(OR($H$7&lt;6,W$197&lt;2),"",IF(V221&lt;&gt;"",V221,IFERROR(IF(INDIRECT("'"&amp;V$86&amp;"'!"&amp;VLOOKUP(V$87,'List Values'!$C$3:$D$6,2,FALSE)&amp;ROW(V221))="","",INDIRECT("'"&amp;V$86&amp;"'!"&amp;VLOOKUP(V$87,'List Values'!$C$3:$D$6,2,FALSE)&amp;ROW(V221))),IF(V$86&lt;&gt;"","Data Source Error",""))))</f>
        <v/>
      </c>
      <c r="Y221" s="2643"/>
      <c r="Z221" s="2644"/>
      <c r="AA221" s="2644"/>
      <c r="AB221" s="2645"/>
    </row>
    <row r="222" spans="1:28" ht="31" customHeight="1" outlineLevel="1">
      <c r="A222" s="513"/>
      <c r="B222" s="252"/>
      <c r="C222" s="2684" t="s">
        <v>726</v>
      </c>
      <c r="D222" s="2684"/>
      <c r="E222" s="202"/>
      <c r="F222" s="202"/>
      <c r="G222" s="634"/>
      <c r="H222" s="635"/>
      <c r="I222" s="187"/>
      <c r="J222" s="526"/>
      <c r="K222" s="900" t="str">
        <f ca="1">IF(OR($H$7&lt;2,K$197&lt;2),"",IF(J222&lt;&gt;"",J222,IFERROR(IF(INDIRECT("'"&amp;J$86&amp;"'!"&amp;VLOOKUP(J$87,'List Values'!$C$3:$D$6,2,FALSE)&amp;ROW(J222))="","",INDIRECT("'"&amp;J$86&amp;"'!"&amp;VLOOKUP(J$87,'List Values'!$C$3:$D$6,2,FALSE)&amp;ROW(J222))),IF(J$86&lt;&gt;"","Data Source Error",""))))</f>
        <v/>
      </c>
      <c r="L222" s="187"/>
      <c r="M222" s="526"/>
      <c r="N222" s="900" t="str">
        <f ca="1">IF(OR($H$7&lt;3,N$197&lt;2),"",IF(M222&lt;&gt;"",M222,IFERROR(IF(INDIRECT("'"&amp;M$86&amp;"'!"&amp;VLOOKUP(M$87,'List Values'!$C$3:$D$6,2,FALSE)&amp;ROW(M222))="","",INDIRECT("'"&amp;M$86&amp;"'!"&amp;VLOOKUP(M$87,'List Values'!$C$3:$D$6,2,FALSE)&amp;ROW(M222))),IF(M$86&lt;&gt;"","Data Source Error",""))))</f>
        <v/>
      </c>
      <c r="O222" s="187"/>
      <c r="P222" s="526"/>
      <c r="Q222" s="900" t="str">
        <f ca="1">IF(OR($H$7&lt;4,Q$197&lt;2),"",IF(P222&lt;&gt;"",P222,IFERROR(IF(INDIRECT("'"&amp;P$86&amp;"'!"&amp;VLOOKUP(P$87,'List Values'!$C$3:$D$6,2,FALSE)&amp;ROW(P222))="","",INDIRECT("'"&amp;P$86&amp;"'!"&amp;VLOOKUP(P$87,'List Values'!$C$3:$D$6,2,FALSE)&amp;ROW(P222))),IF(P$86&lt;&gt;"","Data Source Error",""))))</f>
        <v/>
      </c>
      <c r="S222" s="526"/>
      <c r="T222" s="900" t="str">
        <f ca="1">IF(OR($H$7&lt;5,T$197&lt;2),"",IF(S222&lt;&gt;"",S222,IFERROR(IF(INDIRECT("'"&amp;S$86&amp;"'!"&amp;VLOOKUP(S$87,'List Values'!$C$3:$D$6,2,FALSE)&amp;ROW(S222))="","",INDIRECT("'"&amp;S$86&amp;"'!"&amp;VLOOKUP(S$87,'List Values'!$C$3:$D$6,2,FALSE)&amp;ROW(S222))),IF(S$86&lt;&gt;"","Data Source Error",""))))</f>
        <v/>
      </c>
      <c r="V222" s="526"/>
      <c r="W222" s="911" t="str">
        <f ca="1">IF(OR($H$7&lt;6,W$197&lt;2),"",IF(V222&lt;&gt;"",V222,IFERROR(IF(INDIRECT("'"&amp;V$86&amp;"'!"&amp;VLOOKUP(V$87,'List Values'!$C$3:$D$6,2,FALSE)&amp;ROW(V222))="","",INDIRECT("'"&amp;V$86&amp;"'!"&amp;VLOOKUP(V$87,'List Values'!$C$3:$D$6,2,FALSE)&amp;ROW(V222))),IF(V$86&lt;&gt;"","Data Source Error",""))))</f>
        <v/>
      </c>
      <c r="Y222" s="2643"/>
      <c r="Z222" s="2644"/>
      <c r="AA222" s="2644"/>
      <c r="AB222" s="2645"/>
    </row>
    <row r="223" spans="1:28" ht="33" customHeight="1" outlineLevel="1">
      <c r="A223" s="513"/>
      <c r="B223" s="252"/>
      <c r="C223" s="2684" t="s">
        <v>727</v>
      </c>
      <c r="D223" s="2684"/>
      <c r="E223" s="202"/>
      <c r="F223" s="202"/>
      <c r="G223" s="634"/>
      <c r="H223" s="635"/>
      <c r="I223" s="187"/>
      <c r="J223" s="568"/>
      <c r="K223" s="945" t="str">
        <f ca="1">IF(OR($H$7&lt;2,K$197&lt;2),"",IF(J223&lt;&gt;"",J223,IFERROR(IF(INDIRECT("'"&amp;J$86&amp;"'!"&amp;VLOOKUP(J$87,'List Values'!$C$3:$D$6,2,FALSE)&amp;ROW(J223))="","",INDIRECT("'"&amp;J$86&amp;"'!"&amp;VLOOKUP(J$87,'List Values'!$C$3:$D$6,2,FALSE)&amp;ROW(J223))*$H$6),IF(J$86&lt;&gt;"","Data Source Error",""))))</f>
        <v/>
      </c>
      <c r="L223" s="339"/>
      <c r="M223" s="568"/>
      <c r="N223" s="945" t="str">
        <f ca="1">IF(OR($H$7&lt;3,N$197&lt;2),"",IF(M223&lt;&gt;"",M223,IFERROR(IF(INDIRECT("'"&amp;M$86&amp;"'!"&amp;VLOOKUP(M$87,'List Values'!$C$3:$D$6,2,FALSE)&amp;ROW(M223))="","",INDIRECT("'"&amp;M$86&amp;"'!"&amp;VLOOKUP(M$87,'List Values'!$C$3:$D$6,2,FALSE)&amp;ROW(M223))*$H$6),IF(M$86&lt;&gt;"","Data Source Error",""))))</f>
        <v/>
      </c>
      <c r="O223" s="339"/>
      <c r="P223" s="568"/>
      <c r="Q223" s="945" t="str">
        <f ca="1">IF(OR($H$7&lt;4,Q$197&lt;2),"",IF(P223&lt;&gt;"",P223,IFERROR(IF(INDIRECT("'"&amp;P$86&amp;"'!"&amp;VLOOKUP(P$87,'List Values'!$C$3:$D$6,2,FALSE)&amp;ROW(P223))="","",INDIRECT("'"&amp;P$86&amp;"'!"&amp;VLOOKUP(P$87,'List Values'!$C$3:$D$6,2,FALSE)&amp;ROW(P223))*$H$6),IF(P$86&lt;&gt;"","Data Source Error",""))))</f>
        <v/>
      </c>
      <c r="R223" s="7"/>
      <c r="S223" s="568"/>
      <c r="T223" s="945" t="str">
        <f ca="1">IF(OR($H$7&lt;5,T$197&lt;2),"",IF(S223&lt;&gt;"",S223,IFERROR(IF(INDIRECT("'"&amp;S$86&amp;"'!"&amp;VLOOKUP(S$87,'List Values'!$C$3:$D$6,2,FALSE)&amp;ROW(S223))="","",INDIRECT("'"&amp;S$86&amp;"'!"&amp;VLOOKUP(S$87,'List Values'!$C$3:$D$6,2,FALSE)&amp;ROW(S223))*$H$6),IF(S$86&lt;&gt;"","Data Source Error",""))))</f>
        <v/>
      </c>
      <c r="U223" s="7"/>
      <c r="V223" s="568"/>
      <c r="W223" s="952" t="str">
        <f ca="1">IF(OR($H$7&lt;6,W$197&lt;2),"",IF(V223&lt;&gt;"",V223,IFERROR(IF(INDIRECT("'"&amp;V$86&amp;"'!"&amp;VLOOKUP(V$87,'List Values'!$C$3:$D$6,2,FALSE)&amp;ROW(V223))="","",INDIRECT("'"&amp;V$86&amp;"'!"&amp;VLOOKUP(V$87,'List Values'!$C$3:$D$6,2,FALSE)&amp;ROW(V223))*$H$6),IF(V$86&lt;&gt;"","Data Source Error",""))))</f>
        <v/>
      </c>
      <c r="Y223" s="2643"/>
      <c r="Z223" s="2644"/>
      <c r="AA223" s="2644"/>
      <c r="AB223" s="2645"/>
    </row>
    <row r="224" spans="1:28" ht="17.25" customHeight="1" outlineLevel="1">
      <c r="A224" s="513"/>
      <c r="B224" s="252"/>
      <c r="C224" s="2680" t="s">
        <v>732</v>
      </c>
      <c r="D224" s="2680"/>
      <c r="E224" s="202"/>
      <c r="F224" s="202"/>
      <c r="G224" s="634"/>
      <c r="H224" s="635"/>
      <c r="I224" s="187"/>
      <c r="J224" s="526"/>
      <c r="K224" s="900" t="str">
        <f ca="1">IF(OR($H$7&lt;2,K$197&lt;2),"",IF(J224&lt;&gt;"",J224,IFERROR(IF(INDIRECT("'"&amp;J$86&amp;"'!"&amp;VLOOKUP(J$87,'List Values'!$C$3:$D$6,2,FALSE)&amp;ROW(J224))="","",INDIRECT("'"&amp;J$86&amp;"'!"&amp;VLOOKUP(J$87,'List Values'!$C$3:$D$6,2,FALSE)&amp;ROW(J224))),IF(J$86&lt;&gt;"","Data Source Error",""))))</f>
        <v/>
      </c>
      <c r="L224" s="187"/>
      <c r="M224" s="526"/>
      <c r="N224" s="900" t="str">
        <f ca="1">IF(OR($H$7&lt;3,N$197&lt;2),"",IF(M224&lt;&gt;"",M224,IFERROR(IF(INDIRECT("'"&amp;M$86&amp;"'!"&amp;VLOOKUP(M$87,'List Values'!$C$3:$D$6,2,FALSE)&amp;ROW(M224))="","",INDIRECT("'"&amp;M$86&amp;"'!"&amp;VLOOKUP(M$87,'List Values'!$C$3:$D$6,2,FALSE)&amp;ROW(M224))),IF(M$86&lt;&gt;"","Data Source Error",""))))</f>
        <v/>
      </c>
      <c r="O224" s="187"/>
      <c r="P224" s="526"/>
      <c r="Q224" s="900" t="str">
        <f ca="1">IF(OR($H$7&lt;4,Q$197&lt;2),"",IF(P224&lt;&gt;"",P224,IFERROR(IF(INDIRECT("'"&amp;P$86&amp;"'!"&amp;VLOOKUP(P$87,'List Values'!$C$3:$D$6,2,FALSE)&amp;ROW(P224))="","",INDIRECT("'"&amp;P$86&amp;"'!"&amp;VLOOKUP(P$87,'List Values'!$C$3:$D$6,2,FALSE)&amp;ROW(P224))),IF(P$86&lt;&gt;"","Data Source Error",""))))</f>
        <v/>
      </c>
      <c r="S224" s="526"/>
      <c r="T224" s="900" t="str">
        <f ca="1">IF(OR($H$7&lt;5,T$197&lt;2),"",IF(S224&lt;&gt;"",S224,IFERROR(IF(INDIRECT("'"&amp;S$86&amp;"'!"&amp;VLOOKUP(S$87,'List Values'!$C$3:$D$6,2,FALSE)&amp;ROW(S224))="","",INDIRECT("'"&amp;S$86&amp;"'!"&amp;VLOOKUP(S$87,'List Values'!$C$3:$D$6,2,FALSE)&amp;ROW(S224))),IF(S$86&lt;&gt;"","Data Source Error",""))))</f>
        <v/>
      </c>
      <c r="V224" s="526"/>
      <c r="W224" s="911" t="str">
        <f ca="1">IF(OR($H$7&lt;6,W$197&lt;2),"",IF(V224&lt;&gt;"",V224,IFERROR(IF(INDIRECT("'"&amp;V$86&amp;"'!"&amp;VLOOKUP(V$87,'List Values'!$C$3:$D$6,2,FALSE)&amp;ROW(V224))="","",INDIRECT("'"&amp;V$86&amp;"'!"&amp;VLOOKUP(V$87,'List Values'!$C$3:$D$6,2,FALSE)&amp;ROW(V224))),IF(V$86&lt;&gt;"","Data Source Error",""))))</f>
        <v/>
      </c>
      <c r="Y224" s="2643"/>
      <c r="Z224" s="2644"/>
      <c r="AA224" s="2644"/>
      <c r="AB224" s="2645"/>
    </row>
    <row r="225" spans="1:28" ht="31" customHeight="1" outlineLevel="1">
      <c r="A225" s="513"/>
      <c r="B225" s="252"/>
      <c r="C225" s="2684" t="s">
        <v>730</v>
      </c>
      <c r="D225" s="2684"/>
      <c r="E225" s="202"/>
      <c r="F225" s="202"/>
      <c r="G225" s="634"/>
      <c r="H225" s="635"/>
      <c r="I225" s="183"/>
      <c r="J225" s="553"/>
      <c r="K225" s="897" t="str">
        <f ca="1">IF(OR($H$7&lt;2,K$197&lt;2),"",IF(J225&lt;&gt;"",J225,IFERROR(IF(INDIRECT("'"&amp;J$86&amp;"'!"&amp;VLOOKUP(J$87,'List Values'!$C$3:$D$6,2,FALSE)&amp;ROW(J225))="","",INDIRECT("'"&amp;J$86&amp;"'!"&amp;VLOOKUP(J$87,'List Values'!$C$3:$D$6,2,FALSE)&amp;ROW(J225))),IF(J$86&lt;&gt;"","Data Source Error",""))))</f>
        <v/>
      </c>
      <c r="L225" s="183"/>
      <c r="M225" s="553"/>
      <c r="N225" s="897" t="str">
        <f ca="1">IF(OR($H$7&lt;3,N$197&lt;2),"",IF(M225&lt;&gt;"",M225,IFERROR(IF(INDIRECT("'"&amp;M$86&amp;"'!"&amp;VLOOKUP(M$87,'List Values'!$C$3:$D$6,2,FALSE)&amp;ROW(M225))="","",INDIRECT("'"&amp;M$86&amp;"'!"&amp;VLOOKUP(M$87,'List Values'!$C$3:$D$6,2,FALSE)&amp;ROW(M225))),IF(M$86&lt;&gt;"","Data Source Error",""))))</f>
        <v/>
      </c>
      <c r="O225" s="183"/>
      <c r="P225" s="553"/>
      <c r="Q225" s="897" t="str">
        <f ca="1">IF(OR($H$7&lt;4,Q$197&lt;2),"",IF(P225&lt;&gt;"",P225,IFERROR(IF(INDIRECT("'"&amp;P$86&amp;"'!"&amp;VLOOKUP(P$87,'List Values'!$C$3:$D$6,2,FALSE)&amp;ROW(P225))="","",INDIRECT("'"&amp;P$86&amp;"'!"&amp;VLOOKUP(P$87,'List Values'!$C$3:$D$6,2,FALSE)&amp;ROW(P225))),IF(P$86&lt;&gt;"","Data Source Error",""))))</f>
        <v/>
      </c>
      <c r="S225" s="553"/>
      <c r="T225" s="897" t="str">
        <f ca="1">IF(OR($H$7&lt;5,T$197&lt;2),"",IF(S225&lt;&gt;"",S225,IFERROR(IF(INDIRECT("'"&amp;S$86&amp;"'!"&amp;VLOOKUP(S$87,'List Values'!$C$3:$D$6,2,FALSE)&amp;ROW(S225))="","",INDIRECT("'"&amp;S$86&amp;"'!"&amp;VLOOKUP(S$87,'List Values'!$C$3:$D$6,2,FALSE)&amp;ROW(S225))),IF(S$86&lt;&gt;"","Data Source Error",""))))</f>
        <v/>
      </c>
      <c r="V225" s="553"/>
      <c r="W225" s="908" t="str">
        <f ca="1">IF(OR($H$7&lt;6,W$197&lt;2),"",IF(V225&lt;&gt;"",V225,IFERROR(IF(INDIRECT("'"&amp;V$86&amp;"'!"&amp;VLOOKUP(V$87,'List Values'!$C$3:$D$6,2,FALSE)&amp;ROW(V225))="","",INDIRECT("'"&amp;V$86&amp;"'!"&amp;VLOOKUP(V$87,'List Values'!$C$3:$D$6,2,FALSE)&amp;ROW(V225))),IF(V$86&lt;&gt;"","Data Source Error",""))))</f>
        <v/>
      </c>
      <c r="Y225" s="2643"/>
      <c r="Z225" s="2644"/>
      <c r="AA225" s="2644"/>
      <c r="AB225" s="2645"/>
    </row>
    <row r="226" spans="1:28" ht="31" customHeight="1" outlineLevel="1">
      <c r="A226" s="513"/>
      <c r="B226" s="252"/>
      <c r="C226" s="2680" t="s">
        <v>2521</v>
      </c>
      <c r="D226" s="2680"/>
      <c r="E226" s="202"/>
      <c r="F226" s="202"/>
      <c r="G226" s="634"/>
      <c r="H226" s="635"/>
      <c r="I226" s="187"/>
      <c r="J226" s="619"/>
      <c r="K226" s="898" t="str">
        <f ca="1">IF(OR($H$7&lt;2,K$197&lt;2),"",IF(J226&lt;&gt;"",J226,IFERROR(IF(INDIRECT("'"&amp;J$86&amp;"'!"&amp;VLOOKUP(J$87,'List Values'!$C$3:$D$6,2,FALSE)&amp;ROW(J226))="","",INDIRECT("'"&amp;J$86&amp;"'!"&amp;VLOOKUP(J$87,'List Values'!$C$3:$D$6,2,FALSE)&amp;ROW(J226))),IF(J$86&lt;&gt;"","Data Source Error",""))))</f>
        <v/>
      </c>
      <c r="L226" s="621"/>
      <c r="M226" s="619"/>
      <c r="N226" s="898" t="str">
        <f ca="1">IF(OR($H$7&lt;3,N$197&lt;2),"",IF(M226&lt;&gt;"",M226,IFERROR(IF(INDIRECT("'"&amp;M$86&amp;"'!"&amp;VLOOKUP(M$87,'List Values'!$C$3:$D$6,2,FALSE)&amp;ROW(M226))="","",INDIRECT("'"&amp;M$86&amp;"'!"&amp;VLOOKUP(M$87,'List Values'!$C$3:$D$6,2,FALSE)&amp;ROW(M226))),IF(M$86&lt;&gt;"","Data Source Error",""))))</f>
        <v/>
      </c>
      <c r="O226" s="621"/>
      <c r="P226" s="619"/>
      <c r="Q226" s="898" t="str">
        <f ca="1">IF(OR($H$7&lt;4,Q$197&lt;2),"",IF(P226&lt;&gt;"",P226,IFERROR(IF(INDIRECT("'"&amp;P$86&amp;"'!"&amp;VLOOKUP(P$87,'List Values'!$C$3:$D$6,2,FALSE)&amp;ROW(P226))="","",INDIRECT("'"&amp;P$86&amp;"'!"&amp;VLOOKUP(P$87,'List Values'!$C$3:$D$6,2,FALSE)&amp;ROW(P226))),IF(P$86&lt;&gt;"","Data Source Error",""))))</f>
        <v/>
      </c>
      <c r="R226" s="147"/>
      <c r="S226" s="619"/>
      <c r="T226" s="898" t="str">
        <f ca="1">IF(OR($H$7&lt;5,T$197&lt;2),"",IF(S226&lt;&gt;"",S226,IFERROR(IF(INDIRECT("'"&amp;S$86&amp;"'!"&amp;VLOOKUP(S$87,'List Values'!$C$3:$D$6,2,FALSE)&amp;ROW(S226))="","",INDIRECT("'"&amp;S$86&amp;"'!"&amp;VLOOKUP(S$87,'List Values'!$C$3:$D$6,2,FALSE)&amp;ROW(S226))),IF(S$86&lt;&gt;"","Data Source Error",""))))</f>
        <v/>
      </c>
      <c r="U226" s="147"/>
      <c r="V226" s="619"/>
      <c r="W226" s="909" t="str">
        <f ca="1">IF(OR($H$7&lt;6,W$197&lt;2),"",IF(V226&lt;&gt;"",V226,IFERROR(IF(INDIRECT("'"&amp;V$86&amp;"'!"&amp;VLOOKUP(V$87,'List Values'!$C$3:$D$6,2,FALSE)&amp;ROW(V226))="","",INDIRECT("'"&amp;V$86&amp;"'!"&amp;VLOOKUP(V$87,'List Values'!$C$3:$D$6,2,FALSE)&amp;ROW(V226))),IF(V$86&lt;&gt;"","Data Source Error",""))))</f>
        <v/>
      </c>
      <c r="Y226" s="2643"/>
      <c r="Z226" s="2644"/>
      <c r="AA226" s="2644"/>
      <c r="AB226" s="2645"/>
    </row>
    <row r="227" spans="1:28" ht="31" customHeight="1" outlineLevel="1">
      <c r="A227" s="513"/>
      <c r="B227" s="252"/>
      <c r="C227" s="2680" t="s">
        <v>2522</v>
      </c>
      <c r="D227" s="2680"/>
      <c r="E227" s="202"/>
      <c r="F227" s="202"/>
      <c r="G227" s="634"/>
      <c r="H227" s="635"/>
      <c r="I227" s="187"/>
      <c r="J227" s="619"/>
      <c r="K227" s="898" t="str">
        <f ca="1">IF(OR($H$7&lt;2,K$197&lt;2),"",IF(J227&lt;&gt;"",J227,IFERROR(IF(INDIRECT("'"&amp;J$86&amp;"'!"&amp;VLOOKUP(J$87,'List Values'!$C$3:$D$6,2,FALSE)&amp;ROW(J227))="","",INDIRECT("'"&amp;J$86&amp;"'!"&amp;VLOOKUP(J$87,'List Values'!$C$3:$D$6,2,FALSE)&amp;ROW(J227))),IF(J$86&lt;&gt;"","Data Source Error",""))))</f>
        <v/>
      </c>
      <c r="L227" s="621"/>
      <c r="M227" s="619"/>
      <c r="N227" s="898" t="str">
        <f ca="1">IF(OR($H$7&lt;3,N$197&lt;2),"",IF(M227&lt;&gt;"",M227,IFERROR(IF(INDIRECT("'"&amp;M$86&amp;"'!"&amp;VLOOKUP(M$87,'List Values'!$C$3:$D$6,2,FALSE)&amp;ROW(M227))="","",INDIRECT("'"&amp;M$86&amp;"'!"&amp;VLOOKUP(M$87,'List Values'!$C$3:$D$6,2,FALSE)&amp;ROW(M227))),IF(M$86&lt;&gt;"","Data Source Error",""))))</f>
        <v/>
      </c>
      <c r="O227" s="621"/>
      <c r="P227" s="619"/>
      <c r="Q227" s="898" t="str">
        <f ca="1">IF(OR($H$7&lt;4,Q$197&lt;2),"",IF(P227&lt;&gt;"",P227,IFERROR(IF(INDIRECT("'"&amp;P$86&amp;"'!"&amp;VLOOKUP(P$87,'List Values'!$C$3:$D$6,2,FALSE)&amp;ROW(P227))="","",INDIRECT("'"&amp;P$86&amp;"'!"&amp;VLOOKUP(P$87,'List Values'!$C$3:$D$6,2,FALSE)&amp;ROW(P227))),IF(P$86&lt;&gt;"","Data Source Error",""))))</f>
        <v/>
      </c>
      <c r="R227" s="147"/>
      <c r="S227" s="619"/>
      <c r="T227" s="898" t="str">
        <f ca="1">IF(OR($H$7&lt;5,T$197&lt;2),"",IF(S227&lt;&gt;"",S227,IFERROR(IF(INDIRECT("'"&amp;S$86&amp;"'!"&amp;VLOOKUP(S$87,'List Values'!$C$3:$D$6,2,FALSE)&amp;ROW(S227))="","",INDIRECT("'"&amp;S$86&amp;"'!"&amp;VLOOKUP(S$87,'List Values'!$C$3:$D$6,2,FALSE)&amp;ROW(S227))),IF(S$86&lt;&gt;"","Data Source Error",""))))</f>
        <v/>
      </c>
      <c r="U227" s="147"/>
      <c r="V227" s="619"/>
      <c r="W227" s="909" t="str">
        <f ca="1">IF(OR($H$7&lt;6,W$197&lt;2),"",IF(V227&lt;&gt;"",V227,IFERROR(IF(INDIRECT("'"&amp;V$86&amp;"'!"&amp;VLOOKUP(V$87,'List Values'!$C$3:$D$6,2,FALSE)&amp;ROW(V227))="","",INDIRECT("'"&amp;V$86&amp;"'!"&amp;VLOOKUP(V$87,'List Values'!$C$3:$D$6,2,FALSE)&amp;ROW(V227))),IF(V$86&lt;&gt;"","Data Source Error",""))))</f>
        <v/>
      </c>
      <c r="Y227" s="2643"/>
      <c r="Z227" s="2644"/>
      <c r="AA227" s="2644"/>
      <c r="AB227" s="2645"/>
    </row>
    <row r="228" spans="1:28" ht="33" customHeight="1" outlineLevel="1">
      <c r="A228" s="513"/>
      <c r="B228" s="252"/>
      <c r="C228" s="2680" t="s">
        <v>253</v>
      </c>
      <c r="D228" s="2680"/>
      <c r="E228" s="202"/>
      <c r="F228" s="202"/>
      <c r="G228" s="634"/>
      <c r="H228" s="635"/>
      <c r="I228" s="187"/>
      <c r="J228" s="526"/>
      <c r="K228" s="900" t="str">
        <f ca="1">IF(OR($H$7&lt;2,K$197&lt;2),"",IF(J228&lt;&gt;"",J228,IFERROR(IF(INDIRECT("'"&amp;J$86&amp;"'!"&amp;VLOOKUP(J$87,'List Values'!$C$3:$D$6,2,FALSE)&amp;ROW(J228))="","",INDIRECT("'"&amp;J$86&amp;"'!"&amp;VLOOKUP(J$87,'List Values'!$C$3:$D$6,2,FALSE)&amp;ROW(J228))),IF(J$86&lt;&gt;"","Data Source Error",""))))</f>
        <v/>
      </c>
      <c r="L228" s="187"/>
      <c r="M228" s="526"/>
      <c r="N228" s="900" t="str">
        <f ca="1">IF(OR($H$7&lt;3,N$197&lt;2),"",IF(M228&lt;&gt;"",M228,IFERROR(IF(INDIRECT("'"&amp;M$86&amp;"'!"&amp;VLOOKUP(M$87,'List Values'!$C$3:$D$6,2,FALSE)&amp;ROW(M228))="","",INDIRECT("'"&amp;M$86&amp;"'!"&amp;VLOOKUP(M$87,'List Values'!$C$3:$D$6,2,FALSE)&amp;ROW(M228))),IF(M$86&lt;&gt;"","Data Source Error",""))))</f>
        <v/>
      </c>
      <c r="O228" s="187"/>
      <c r="P228" s="526"/>
      <c r="Q228" s="900" t="str">
        <f ca="1">IF(OR($H$7&lt;4,Q$197&lt;2),"",IF(P228&lt;&gt;"",P228,IFERROR(IF(INDIRECT("'"&amp;P$86&amp;"'!"&amp;VLOOKUP(P$87,'List Values'!$C$3:$D$6,2,FALSE)&amp;ROW(P228))="","",INDIRECT("'"&amp;P$86&amp;"'!"&amp;VLOOKUP(P$87,'List Values'!$C$3:$D$6,2,FALSE)&amp;ROW(P228))),IF(P$86&lt;&gt;"","Data Source Error",""))))</f>
        <v/>
      </c>
      <c r="S228" s="526"/>
      <c r="T228" s="900" t="str">
        <f ca="1">IF(OR($H$7&lt;5,T$197&lt;2),"",IF(S228&lt;&gt;"",S228,IFERROR(IF(INDIRECT("'"&amp;S$86&amp;"'!"&amp;VLOOKUP(S$87,'List Values'!$C$3:$D$6,2,FALSE)&amp;ROW(S228))="","",INDIRECT("'"&amp;S$86&amp;"'!"&amp;VLOOKUP(S$87,'List Values'!$C$3:$D$6,2,FALSE)&amp;ROW(S228))),IF(S$86&lt;&gt;"","Data Source Error",""))))</f>
        <v/>
      </c>
      <c r="V228" s="526"/>
      <c r="W228" s="911" t="str">
        <f ca="1">IF(OR($H$7&lt;6,W$197&lt;2),"",IF(V228&lt;&gt;"",V228,IFERROR(IF(INDIRECT("'"&amp;V$86&amp;"'!"&amp;VLOOKUP(V$87,'List Values'!$C$3:$D$6,2,FALSE)&amp;ROW(V228))="","",INDIRECT("'"&amp;V$86&amp;"'!"&amp;VLOOKUP(V$87,'List Values'!$C$3:$D$6,2,FALSE)&amp;ROW(V228))),IF(V$86&lt;&gt;"","Data Source Error",""))))</f>
        <v/>
      </c>
      <c r="Y228" s="2643"/>
      <c r="Z228" s="2644"/>
      <c r="AA228" s="2644"/>
      <c r="AB228" s="2645"/>
    </row>
    <row r="229" spans="1:28" ht="17.25" customHeight="1" outlineLevel="1">
      <c r="A229" s="513"/>
      <c r="B229" s="252"/>
      <c r="C229" s="2684" t="s">
        <v>2529</v>
      </c>
      <c r="D229" s="2684"/>
      <c r="E229" s="202"/>
      <c r="F229" s="202"/>
      <c r="G229" s="634"/>
      <c r="H229" s="635"/>
      <c r="I229" s="187"/>
      <c r="J229" s="580"/>
      <c r="K229" s="900" t="str">
        <f ca="1">IF(OR($H$7&lt;2,K$197&lt;2),"",IF(J229&lt;&gt;"",J229,IFERROR(IF(INDIRECT("'"&amp;J$86&amp;"'!"&amp;VLOOKUP(J$87,'List Values'!$C$3:$D$6,2,FALSE)&amp;ROW(J229))="","",INDIRECT("'"&amp;J$86&amp;"'!"&amp;VLOOKUP(J$87,'List Values'!$C$3:$D$6,2,FALSE)&amp;ROW(J229))),IF(J$86&lt;&gt;"","Data Source Error",""))))</f>
        <v/>
      </c>
      <c r="L229" s="187"/>
      <c r="M229" s="580"/>
      <c r="N229" s="900" t="str">
        <f ca="1">IF(OR($H$7&lt;3,N$197&lt;2),"",IF(M229&lt;&gt;"",M229,IFERROR(IF(INDIRECT("'"&amp;M$86&amp;"'!"&amp;VLOOKUP(M$87,'List Values'!$C$3:$D$6,2,FALSE)&amp;ROW(M229))="","",INDIRECT("'"&amp;M$86&amp;"'!"&amp;VLOOKUP(M$87,'List Values'!$C$3:$D$6,2,FALSE)&amp;ROW(M229))),IF(M$86&lt;&gt;"","Data Source Error",""))))</f>
        <v/>
      </c>
      <c r="O229" s="187"/>
      <c r="P229" s="580"/>
      <c r="Q229" s="900" t="str">
        <f ca="1">IF(OR($H$7&lt;4,Q$197&lt;2),"",IF(P229&lt;&gt;"",P229,IFERROR(IF(INDIRECT("'"&amp;P$86&amp;"'!"&amp;VLOOKUP(P$87,'List Values'!$C$3:$D$6,2,FALSE)&amp;ROW(P229))="","",INDIRECT("'"&amp;P$86&amp;"'!"&amp;VLOOKUP(P$87,'List Values'!$C$3:$D$6,2,FALSE)&amp;ROW(P229))),IF(P$86&lt;&gt;"","Data Source Error",""))))</f>
        <v/>
      </c>
      <c r="S229" s="580"/>
      <c r="T229" s="900" t="str">
        <f ca="1">IF(OR($H$7&lt;5,T$197&lt;2),"",IF(S229&lt;&gt;"",S229,IFERROR(IF(INDIRECT("'"&amp;S$86&amp;"'!"&amp;VLOOKUP(S$87,'List Values'!$C$3:$D$6,2,FALSE)&amp;ROW(S229))="","",INDIRECT("'"&amp;S$86&amp;"'!"&amp;VLOOKUP(S$87,'List Values'!$C$3:$D$6,2,FALSE)&amp;ROW(S229))),IF(S$86&lt;&gt;"","Data Source Error",""))))</f>
        <v/>
      </c>
      <c r="V229" s="580"/>
      <c r="W229" s="911" t="str">
        <f ca="1">IF(OR($H$7&lt;6,W$197&lt;2),"",IF(V229&lt;&gt;"",V229,IFERROR(IF(INDIRECT("'"&amp;V$86&amp;"'!"&amp;VLOOKUP(V$87,'List Values'!$C$3:$D$6,2,FALSE)&amp;ROW(V229))="","",INDIRECT("'"&amp;V$86&amp;"'!"&amp;VLOOKUP(V$87,'List Values'!$C$3:$D$6,2,FALSE)&amp;ROW(V229))),IF(V$86&lt;&gt;"","Data Source Error",""))))</f>
        <v/>
      </c>
      <c r="Y229" s="2643"/>
      <c r="Z229" s="2644"/>
      <c r="AA229" s="2644"/>
      <c r="AB229" s="2645"/>
    </row>
    <row r="230" spans="1:28" ht="33" customHeight="1" outlineLevel="1">
      <c r="A230" s="513"/>
      <c r="B230" s="252"/>
      <c r="C230" s="2680" t="s">
        <v>2523</v>
      </c>
      <c r="D230" s="2680"/>
      <c r="E230" s="202"/>
      <c r="F230" s="202"/>
      <c r="G230" s="634"/>
      <c r="H230" s="635"/>
      <c r="I230" s="187"/>
      <c r="J230" s="580"/>
      <c r="K230" s="900" t="str">
        <f ca="1">IF(OR($H$7&lt;2,K$197&lt;2),"",IF(J230&lt;&gt;"",J230,IFERROR(IF(INDIRECT("'"&amp;J$86&amp;"'!"&amp;VLOOKUP(J$87,'List Values'!$C$3:$D$6,2,FALSE)&amp;ROW(J230))="","",INDIRECT("'"&amp;J$86&amp;"'!"&amp;VLOOKUP(J$87,'List Values'!$C$3:$D$6,2,FALSE)&amp;ROW(J230))),IF(J$86&lt;&gt;"","Data Source Error",""))))</f>
        <v/>
      </c>
      <c r="L230" s="187"/>
      <c r="M230" s="580"/>
      <c r="N230" s="900" t="str">
        <f ca="1">IF(OR($H$7&lt;3,N$197&lt;2),"",IF(M230&lt;&gt;"",M230,IFERROR(IF(INDIRECT("'"&amp;M$86&amp;"'!"&amp;VLOOKUP(M$87,'List Values'!$C$3:$D$6,2,FALSE)&amp;ROW(M230))="","",INDIRECT("'"&amp;M$86&amp;"'!"&amp;VLOOKUP(M$87,'List Values'!$C$3:$D$6,2,FALSE)&amp;ROW(M230))),IF(M$86&lt;&gt;"","Data Source Error",""))))</f>
        <v/>
      </c>
      <c r="O230" s="187"/>
      <c r="P230" s="580"/>
      <c r="Q230" s="900" t="str">
        <f ca="1">IF(OR($H$7&lt;4,Q$197&lt;2),"",IF(P230&lt;&gt;"",P230,IFERROR(IF(INDIRECT("'"&amp;P$86&amp;"'!"&amp;VLOOKUP(P$87,'List Values'!$C$3:$D$6,2,FALSE)&amp;ROW(P230))="","",INDIRECT("'"&amp;P$86&amp;"'!"&amp;VLOOKUP(P$87,'List Values'!$C$3:$D$6,2,FALSE)&amp;ROW(P230))),IF(P$86&lt;&gt;"","Data Source Error",""))))</f>
        <v/>
      </c>
      <c r="S230" s="580"/>
      <c r="T230" s="900" t="str">
        <f ca="1">IF(OR($H$7&lt;5,T$197&lt;2),"",IF(S230&lt;&gt;"",S230,IFERROR(IF(INDIRECT("'"&amp;S$86&amp;"'!"&amp;VLOOKUP(S$87,'List Values'!$C$3:$D$6,2,FALSE)&amp;ROW(S230))="","",INDIRECT("'"&amp;S$86&amp;"'!"&amp;VLOOKUP(S$87,'List Values'!$C$3:$D$6,2,FALSE)&amp;ROW(S230))),IF(S$86&lt;&gt;"","Data Source Error",""))))</f>
        <v/>
      </c>
      <c r="V230" s="580"/>
      <c r="W230" s="911" t="str">
        <f ca="1">IF(OR($H$7&lt;6,W$197&lt;2),"",IF(V230&lt;&gt;"",V230,IFERROR(IF(INDIRECT("'"&amp;V$86&amp;"'!"&amp;VLOOKUP(V$87,'List Values'!$C$3:$D$6,2,FALSE)&amp;ROW(V230))="","",INDIRECT("'"&amp;V$86&amp;"'!"&amp;VLOOKUP(V$87,'List Values'!$C$3:$D$6,2,FALSE)&amp;ROW(V230))),IF(V$86&lt;&gt;"","Data Source Error",""))))</f>
        <v/>
      </c>
      <c r="Y230" s="2643"/>
      <c r="Z230" s="2644"/>
      <c r="AA230" s="2644"/>
      <c r="AB230" s="2645"/>
    </row>
    <row r="231" spans="1:28" ht="17.25" customHeight="1" outlineLevel="1">
      <c r="A231" s="513"/>
      <c r="B231" s="252"/>
      <c r="C231" s="2680" t="s">
        <v>2524</v>
      </c>
      <c r="D231" s="2680"/>
      <c r="E231" s="202"/>
      <c r="F231" s="202"/>
      <c r="G231" s="634"/>
      <c r="H231" s="635"/>
      <c r="I231" s="187"/>
      <c r="J231" s="580"/>
      <c r="K231" s="900" t="str">
        <f ca="1">IF(OR($H$7&lt;2,K$197&lt;2),"",IF(J231&lt;&gt;"",J231,IFERROR(IF(INDIRECT("'"&amp;J$86&amp;"'!"&amp;VLOOKUP(J$87,'List Values'!$C$3:$D$6,2,FALSE)&amp;ROW(J231))="","",INDIRECT("'"&amp;J$86&amp;"'!"&amp;VLOOKUP(J$87,'List Values'!$C$3:$D$6,2,FALSE)&amp;ROW(J231))),IF(J$86&lt;&gt;"","Data Source Error",""))))</f>
        <v/>
      </c>
      <c r="L231" s="187"/>
      <c r="M231" s="580"/>
      <c r="N231" s="900" t="str">
        <f ca="1">IF(OR($H$7&lt;3,N$197&lt;2),"",IF(M231&lt;&gt;"",M231,IFERROR(IF(INDIRECT("'"&amp;M$86&amp;"'!"&amp;VLOOKUP(M$87,'List Values'!$C$3:$D$6,2,FALSE)&amp;ROW(M231))="","",INDIRECT("'"&amp;M$86&amp;"'!"&amp;VLOOKUP(M$87,'List Values'!$C$3:$D$6,2,FALSE)&amp;ROW(M231))),IF(M$86&lt;&gt;"","Data Source Error",""))))</f>
        <v/>
      </c>
      <c r="O231" s="187"/>
      <c r="P231" s="580"/>
      <c r="Q231" s="900" t="str">
        <f ca="1">IF(OR($H$7&lt;4,Q$197&lt;2),"",IF(P231&lt;&gt;"",P231,IFERROR(IF(INDIRECT("'"&amp;P$86&amp;"'!"&amp;VLOOKUP(P$87,'List Values'!$C$3:$D$6,2,FALSE)&amp;ROW(P231))="","",INDIRECT("'"&amp;P$86&amp;"'!"&amp;VLOOKUP(P$87,'List Values'!$C$3:$D$6,2,FALSE)&amp;ROW(P231))),IF(P$86&lt;&gt;"","Data Source Error",""))))</f>
        <v/>
      </c>
      <c r="S231" s="580"/>
      <c r="T231" s="900" t="str">
        <f ca="1">IF(OR($H$7&lt;5,T$197&lt;2),"",IF(S231&lt;&gt;"",S231,IFERROR(IF(INDIRECT("'"&amp;S$86&amp;"'!"&amp;VLOOKUP(S$87,'List Values'!$C$3:$D$6,2,FALSE)&amp;ROW(S231))="","",INDIRECT("'"&amp;S$86&amp;"'!"&amp;VLOOKUP(S$87,'List Values'!$C$3:$D$6,2,FALSE)&amp;ROW(S231))),IF(S$86&lt;&gt;"","Data Source Error",""))))</f>
        <v/>
      </c>
      <c r="V231" s="580"/>
      <c r="W231" s="911" t="str">
        <f ca="1">IF(OR($H$7&lt;6,W$197&lt;2),"",IF(V231&lt;&gt;"",V231,IFERROR(IF(INDIRECT("'"&amp;V$86&amp;"'!"&amp;VLOOKUP(V$87,'List Values'!$C$3:$D$6,2,FALSE)&amp;ROW(V231))="","",INDIRECT("'"&amp;V$86&amp;"'!"&amp;VLOOKUP(V$87,'List Values'!$C$3:$D$6,2,FALSE)&amp;ROW(V231))),IF(V$86&lt;&gt;"","Data Source Error",""))))</f>
        <v/>
      </c>
      <c r="Y231" s="2643"/>
      <c r="Z231" s="2644"/>
      <c r="AA231" s="2644"/>
      <c r="AB231" s="2645"/>
    </row>
    <row r="232" spans="1:28" ht="17.25" customHeight="1" outlineLevel="1">
      <c r="A232" s="513"/>
      <c r="B232" s="252"/>
      <c r="C232" s="2684" t="s">
        <v>2525</v>
      </c>
      <c r="D232" s="2684"/>
      <c r="E232" s="202"/>
      <c r="F232" s="202"/>
      <c r="G232" s="634"/>
      <c r="H232" s="635"/>
      <c r="I232" s="187"/>
      <c r="J232" s="580"/>
      <c r="K232" s="900" t="str">
        <f ca="1">IF(OR($H$7&lt;2,K$197&lt;2),"",IF(J232&lt;&gt;"",J232,IFERROR(IF(INDIRECT("'"&amp;J$86&amp;"'!"&amp;VLOOKUP(J$87,'List Values'!$C$3:$D$6,2,FALSE)&amp;ROW(J232))="","",INDIRECT("'"&amp;J$86&amp;"'!"&amp;VLOOKUP(J$87,'List Values'!$C$3:$D$6,2,FALSE)&amp;ROW(J232))),IF(J$86&lt;&gt;"","Data Source Error",""))))</f>
        <v/>
      </c>
      <c r="L232" s="187"/>
      <c r="M232" s="580"/>
      <c r="N232" s="900" t="str">
        <f ca="1">IF(OR($H$7&lt;3,N$197&lt;2),"",IF(M232&lt;&gt;"",M232,IFERROR(IF(INDIRECT("'"&amp;M$86&amp;"'!"&amp;VLOOKUP(M$87,'List Values'!$C$3:$D$6,2,FALSE)&amp;ROW(M232))="","",INDIRECT("'"&amp;M$86&amp;"'!"&amp;VLOOKUP(M$87,'List Values'!$C$3:$D$6,2,FALSE)&amp;ROW(M232))),IF(M$86&lt;&gt;"","Data Source Error",""))))</f>
        <v/>
      </c>
      <c r="O232" s="187"/>
      <c r="P232" s="580"/>
      <c r="Q232" s="900" t="str">
        <f ca="1">IF(OR($H$7&lt;4,Q$197&lt;2),"",IF(P232&lt;&gt;"",P232,IFERROR(IF(INDIRECT("'"&amp;P$86&amp;"'!"&amp;VLOOKUP(P$87,'List Values'!$C$3:$D$6,2,FALSE)&amp;ROW(P232))="","",INDIRECT("'"&amp;P$86&amp;"'!"&amp;VLOOKUP(P$87,'List Values'!$C$3:$D$6,2,FALSE)&amp;ROW(P232))),IF(P$86&lt;&gt;"","Data Source Error",""))))</f>
        <v/>
      </c>
      <c r="S232" s="580"/>
      <c r="T232" s="900" t="str">
        <f ca="1">IF(OR($H$7&lt;5,T$197&lt;2),"",IF(S232&lt;&gt;"",S232,IFERROR(IF(INDIRECT("'"&amp;S$86&amp;"'!"&amp;VLOOKUP(S$87,'List Values'!$C$3:$D$6,2,FALSE)&amp;ROW(S232))="","",INDIRECT("'"&amp;S$86&amp;"'!"&amp;VLOOKUP(S$87,'List Values'!$C$3:$D$6,2,FALSE)&amp;ROW(S232))),IF(S$86&lt;&gt;"","Data Source Error",""))))</f>
        <v/>
      </c>
      <c r="V232" s="580"/>
      <c r="W232" s="911" t="str">
        <f ca="1">IF(OR($H$7&lt;6,W$197&lt;2),"",IF(V232&lt;&gt;"",V232,IFERROR(IF(INDIRECT("'"&amp;V$86&amp;"'!"&amp;VLOOKUP(V$87,'List Values'!$C$3:$D$6,2,FALSE)&amp;ROW(V232))="","",INDIRECT("'"&amp;V$86&amp;"'!"&amp;VLOOKUP(V$87,'List Values'!$C$3:$D$6,2,FALSE)&amp;ROW(V232))),IF(V$86&lt;&gt;"","Data Source Error",""))))</f>
        <v/>
      </c>
      <c r="Y232" s="2643"/>
      <c r="Z232" s="2644"/>
      <c r="AA232" s="2644"/>
      <c r="AB232" s="2645"/>
    </row>
    <row r="233" spans="1:28" ht="31" customHeight="1" outlineLevel="1">
      <c r="A233" s="513"/>
      <c r="B233" s="252"/>
      <c r="C233" s="2680" t="s">
        <v>2526</v>
      </c>
      <c r="D233" s="2680"/>
      <c r="E233" s="202"/>
      <c r="F233" s="202"/>
      <c r="G233" s="634"/>
      <c r="H233" s="635"/>
      <c r="I233" s="187"/>
      <c r="J233" s="580"/>
      <c r="K233" s="900" t="str">
        <f ca="1">IF(OR($H$7&lt;2,K$197&lt;2),"",IF(J233&lt;&gt;"",J233,IFERROR(IF(INDIRECT("'"&amp;J$86&amp;"'!"&amp;VLOOKUP(J$87,'List Values'!$C$3:$D$6,2,FALSE)&amp;ROW(J233))="","",INDIRECT("'"&amp;J$86&amp;"'!"&amp;VLOOKUP(J$87,'List Values'!$C$3:$D$6,2,FALSE)&amp;ROW(J233))),IF(J$86&lt;&gt;"","Data Source Error",""))))</f>
        <v/>
      </c>
      <c r="L233" s="187"/>
      <c r="M233" s="580"/>
      <c r="N233" s="900" t="str">
        <f ca="1">IF(OR($H$7&lt;3,N$197&lt;2),"",IF(M233&lt;&gt;"",M233,IFERROR(IF(INDIRECT("'"&amp;M$86&amp;"'!"&amp;VLOOKUP(M$87,'List Values'!$C$3:$D$6,2,FALSE)&amp;ROW(M233))="","",INDIRECT("'"&amp;M$86&amp;"'!"&amp;VLOOKUP(M$87,'List Values'!$C$3:$D$6,2,FALSE)&amp;ROW(M233))),IF(M$86&lt;&gt;"","Data Source Error",""))))</f>
        <v/>
      </c>
      <c r="O233" s="187"/>
      <c r="P233" s="580"/>
      <c r="Q233" s="900" t="str">
        <f ca="1">IF(OR($H$7&lt;4,Q$197&lt;2),"",IF(P233&lt;&gt;"",P233,IFERROR(IF(INDIRECT("'"&amp;P$86&amp;"'!"&amp;VLOOKUP(P$87,'List Values'!$C$3:$D$6,2,FALSE)&amp;ROW(P233))="","",INDIRECT("'"&amp;P$86&amp;"'!"&amp;VLOOKUP(P$87,'List Values'!$C$3:$D$6,2,FALSE)&amp;ROW(P233))),IF(P$86&lt;&gt;"","Data Source Error",""))))</f>
        <v/>
      </c>
      <c r="S233" s="580"/>
      <c r="T233" s="900" t="str">
        <f ca="1">IF(OR($H$7&lt;5,T$197&lt;2),"",IF(S233&lt;&gt;"",S233,IFERROR(IF(INDIRECT("'"&amp;S$86&amp;"'!"&amp;VLOOKUP(S$87,'List Values'!$C$3:$D$6,2,FALSE)&amp;ROW(S233))="","",INDIRECT("'"&amp;S$86&amp;"'!"&amp;VLOOKUP(S$87,'List Values'!$C$3:$D$6,2,FALSE)&amp;ROW(S233))),IF(S$86&lt;&gt;"","Data Source Error",""))))</f>
        <v/>
      </c>
      <c r="V233" s="580"/>
      <c r="W233" s="911" t="str">
        <f ca="1">IF(OR($H$7&lt;6,W$197&lt;2),"",IF(V233&lt;&gt;"",V233,IFERROR(IF(INDIRECT("'"&amp;V$86&amp;"'!"&amp;VLOOKUP(V$87,'List Values'!$C$3:$D$6,2,FALSE)&amp;ROW(V233))="","",INDIRECT("'"&amp;V$86&amp;"'!"&amp;VLOOKUP(V$87,'List Values'!$C$3:$D$6,2,FALSE)&amp;ROW(V233))),IF(V$86&lt;&gt;"","Data Source Error",""))))</f>
        <v/>
      </c>
      <c r="Y233" s="2643"/>
      <c r="Z233" s="2644"/>
      <c r="AA233" s="2644"/>
      <c r="AB233" s="2645"/>
    </row>
    <row r="234" spans="1:28" ht="33" customHeight="1" outlineLevel="1">
      <c r="A234" s="513"/>
      <c r="B234" s="252"/>
      <c r="C234" s="2680" t="s">
        <v>2527</v>
      </c>
      <c r="D234" s="2680"/>
      <c r="E234" s="202"/>
      <c r="F234" s="202"/>
      <c r="G234" s="634"/>
      <c r="H234" s="635"/>
      <c r="I234" s="187"/>
      <c r="J234" s="580"/>
      <c r="K234" s="900" t="str">
        <f ca="1">IF(OR($H$7&lt;2,K$197&lt;2),"",IF(J234&lt;&gt;"",J234,IFERROR(IF(INDIRECT("'"&amp;J$86&amp;"'!"&amp;VLOOKUP(J$87,'List Values'!$C$3:$D$6,2,FALSE)&amp;ROW(J234))="","",INDIRECT("'"&amp;J$86&amp;"'!"&amp;VLOOKUP(J$87,'List Values'!$C$3:$D$6,2,FALSE)&amp;ROW(J234))),IF(J$86&lt;&gt;"","Data Source Error",""))))</f>
        <v/>
      </c>
      <c r="L234" s="187"/>
      <c r="M234" s="580"/>
      <c r="N234" s="900" t="str">
        <f ca="1">IF(OR($H$7&lt;3,N$197&lt;2),"",IF(M234&lt;&gt;"",M234,IFERROR(IF(INDIRECT("'"&amp;M$86&amp;"'!"&amp;VLOOKUP(M$87,'List Values'!$C$3:$D$6,2,FALSE)&amp;ROW(M234))="","",INDIRECT("'"&amp;M$86&amp;"'!"&amp;VLOOKUP(M$87,'List Values'!$C$3:$D$6,2,FALSE)&amp;ROW(M234))),IF(M$86&lt;&gt;"","Data Source Error",""))))</f>
        <v/>
      </c>
      <c r="O234" s="187"/>
      <c r="P234" s="580"/>
      <c r="Q234" s="900" t="str">
        <f ca="1">IF(OR($H$7&lt;4,Q$197&lt;2),"",IF(P234&lt;&gt;"",P234,IFERROR(IF(INDIRECT("'"&amp;P$86&amp;"'!"&amp;VLOOKUP(P$87,'List Values'!$C$3:$D$6,2,FALSE)&amp;ROW(P234))="","",INDIRECT("'"&amp;P$86&amp;"'!"&amp;VLOOKUP(P$87,'List Values'!$C$3:$D$6,2,FALSE)&amp;ROW(P234))),IF(P$86&lt;&gt;"","Data Source Error",""))))</f>
        <v/>
      </c>
      <c r="S234" s="580"/>
      <c r="T234" s="900" t="str">
        <f ca="1">IF(OR($H$7&lt;5,T$197&lt;2),"",IF(S234&lt;&gt;"",S234,IFERROR(IF(INDIRECT("'"&amp;S$86&amp;"'!"&amp;VLOOKUP(S$87,'List Values'!$C$3:$D$6,2,FALSE)&amp;ROW(S234))="","",INDIRECT("'"&amp;S$86&amp;"'!"&amp;VLOOKUP(S$87,'List Values'!$C$3:$D$6,2,FALSE)&amp;ROW(S234))),IF(S$86&lt;&gt;"","Data Source Error",""))))</f>
        <v/>
      </c>
      <c r="V234" s="580"/>
      <c r="W234" s="911" t="str">
        <f ca="1">IF(OR($H$7&lt;6,W$197&lt;2),"",IF(V234&lt;&gt;"",V234,IFERROR(IF(INDIRECT("'"&amp;V$86&amp;"'!"&amp;VLOOKUP(V$87,'List Values'!$C$3:$D$6,2,FALSE)&amp;ROW(V234))="","",INDIRECT("'"&amp;V$86&amp;"'!"&amp;VLOOKUP(V$87,'List Values'!$C$3:$D$6,2,FALSE)&amp;ROW(V234))),IF(V$86&lt;&gt;"","Data Source Error",""))))</f>
        <v/>
      </c>
      <c r="Y234" s="2643"/>
      <c r="Z234" s="2644"/>
      <c r="AA234" s="2644"/>
      <c r="AB234" s="2645"/>
    </row>
    <row r="235" spans="1:28" ht="45" customHeight="1" outlineLevel="1">
      <c r="A235" s="513"/>
      <c r="B235" s="252"/>
      <c r="C235" s="2680" t="s">
        <v>2528</v>
      </c>
      <c r="D235" s="2680"/>
      <c r="E235" s="202"/>
      <c r="F235" s="202"/>
      <c r="G235" s="634"/>
      <c r="H235" s="635"/>
      <c r="I235" s="187"/>
      <c r="J235" s="580"/>
      <c r="K235" s="900" t="str">
        <f ca="1">IF(OR($H$7&lt;2,K$197&lt;2),"",IF(J235&lt;&gt;"",J235,IFERROR(IF(INDIRECT("'"&amp;J$86&amp;"'!"&amp;VLOOKUP(J$87,'List Values'!$C$3:$D$6,2,FALSE)&amp;ROW(J235))="","",INDIRECT("'"&amp;J$86&amp;"'!"&amp;VLOOKUP(J$87,'List Values'!$C$3:$D$6,2,FALSE)&amp;ROW(J235))),IF(J$86&lt;&gt;"","Data Source Error",""))))</f>
        <v/>
      </c>
      <c r="L235" s="187"/>
      <c r="M235" s="580"/>
      <c r="N235" s="900" t="str">
        <f ca="1">IF(OR($H$7&lt;3,N$197&lt;2),"",IF(M235&lt;&gt;"",M235,IFERROR(IF(INDIRECT("'"&amp;M$86&amp;"'!"&amp;VLOOKUP(M$87,'List Values'!$C$3:$D$6,2,FALSE)&amp;ROW(M235))="","",INDIRECT("'"&amp;M$86&amp;"'!"&amp;VLOOKUP(M$87,'List Values'!$C$3:$D$6,2,FALSE)&amp;ROW(M235))),IF(M$86&lt;&gt;"","Data Source Error",""))))</f>
        <v/>
      </c>
      <c r="O235" s="187"/>
      <c r="P235" s="580"/>
      <c r="Q235" s="900" t="str">
        <f ca="1">IF(OR($H$7&lt;4,Q$197&lt;2),"",IF(P235&lt;&gt;"",P235,IFERROR(IF(INDIRECT("'"&amp;P$86&amp;"'!"&amp;VLOOKUP(P$87,'List Values'!$C$3:$D$6,2,FALSE)&amp;ROW(P235))="","",INDIRECT("'"&amp;P$86&amp;"'!"&amp;VLOOKUP(P$87,'List Values'!$C$3:$D$6,2,FALSE)&amp;ROW(P235))),IF(P$86&lt;&gt;"","Data Source Error",""))))</f>
        <v/>
      </c>
      <c r="S235" s="580"/>
      <c r="T235" s="900" t="str">
        <f ca="1">IF(OR($H$7&lt;5,T$197&lt;2),"",IF(S235&lt;&gt;"",S235,IFERROR(IF(INDIRECT("'"&amp;S$86&amp;"'!"&amp;VLOOKUP(S$87,'List Values'!$C$3:$D$6,2,FALSE)&amp;ROW(S235))="","",INDIRECT("'"&amp;S$86&amp;"'!"&amp;VLOOKUP(S$87,'List Values'!$C$3:$D$6,2,FALSE)&amp;ROW(S235))),IF(S$86&lt;&gt;"","Data Source Error",""))))</f>
        <v/>
      </c>
      <c r="V235" s="580"/>
      <c r="W235" s="911" t="str">
        <f ca="1">IF(OR($H$7&lt;6,W$197&lt;2),"",IF(V235&lt;&gt;"",V235,IFERROR(IF(INDIRECT("'"&amp;V$86&amp;"'!"&amp;VLOOKUP(V$87,'List Values'!$C$3:$D$6,2,FALSE)&amp;ROW(V235))="","",INDIRECT("'"&amp;V$86&amp;"'!"&amp;VLOOKUP(V$87,'List Values'!$C$3:$D$6,2,FALSE)&amp;ROW(V235))),IF(V$86&lt;&gt;"","Data Source Error",""))))</f>
        <v/>
      </c>
      <c r="Y235" s="2643"/>
      <c r="Z235" s="2644"/>
      <c r="AA235" s="2644"/>
      <c r="AB235" s="2645"/>
    </row>
    <row r="236" spans="1:28" ht="17.25" customHeight="1" outlineLevel="1">
      <c r="A236" s="513"/>
      <c r="B236" s="252"/>
      <c r="C236" s="2680" t="s">
        <v>650</v>
      </c>
      <c r="D236" s="2680"/>
      <c r="E236" s="202"/>
      <c r="F236" s="202"/>
      <c r="G236" s="634"/>
      <c r="H236" s="635"/>
      <c r="I236" s="187"/>
      <c r="J236" s="580"/>
      <c r="K236" s="900" t="str">
        <f ca="1">IF(OR($H$7&lt;2,K$197&lt;2),"",IF(J236&lt;&gt;"",J236,IFERROR(IF(INDIRECT("'"&amp;J$86&amp;"'!"&amp;VLOOKUP(J$87,'List Values'!$C$3:$D$6,2,FALSE)&amp;ROW(J236))="","",INDIRECT("'"&amp;J$86&amp;"'!"&amp;VLOOKUP(J$87,'List Values'!$C$3:$D$6,2,FALSE)&amp;ROW(J236))),IF(J$86&lt;&gt;"","Data Source Error",""))))</f>
        <v/>
      </c>
      <c r="L236" s="187"/>
      <c r="M236" s="580"/>
      <c r="N236" s="900" t="str">
        <f ca="1">IF(OR($H$7&lt;3,N$197&lt;2),"",IF(M236&lt;&gt;"",M236,IFERROR(IF(INDIRECT("'"&amp;M$86&amp;"'!"&amp;VLOOKUP(M$87,'List Values'!$C$3:$D$6,2,FALSE)&amp;ROW(M236))="","",INDIRECT("'"&amp;M$86&amp;"'!"&amp;VLOOKUP(M$87,'List Values'!$C$3:$D$6,2,FALSE)&amp;ROW(M236))),IF(M$86&lt;&gt;"","Data Source Error",""))))</f>
        <v/>
      </c>
      <c r="O236" s="187"/>
      <c r="P236" s="580"/>
      <c r="Q236" s="900" t="str">
        <f ca="1">IF(OR($H$7&lt;4,Q$197&lt;2),"",IF(P236&lt;&gt;"",P236,IFERROR(IF(INDIRECT("'"&amp;P$86&amp;"'!"&amp;VLOOKUP(P$87,'List Values'!$C$3:$D$6,2,FALSE)&amp;ROW(P236))="","",INDIRECT("'"&amp;P$86&amp;"'!"&amp;VLOOKUP(P$87,'List Values'!$C$3:$D$6,2,FALSE)&amp;ROW(P236))),IF(P$86&lt;&gt;"","Data Source Error",""))))</f>
        <v/>
      </c>
      <c r="S236" s="580"/>
      <c r="T236" s="900" t="str">
        <f ca="1">IF(OR($H$7&lt;5,T$197&lt;2),"",IF(S236&lt;&gt;"",S236,IFERROR(IF(INDIRECT("'"&amp;S$86&amp;"'!"&amp;VLOOKUP(S$87,'List Values'!$C$3:$D$6,2,FALSE)&amp;ROW(S236))="","",INDIRECT("'"&amp;S$86&amp;"'!"&amp;VLOOKUP(S$87,'List Values'!$C$3:$D$6,2,FALSE)&amp;ROW(S236))),IF(S$86&lt;&gt;"","Data Source Error",""))))</f>
        <v/>
      </c>
      <c r="V236" s="580"/>
      <c r="W236" s="911" t="str">
        <f ca="1">IF(OR($H$7&lt;6,W$197&lt;2),"",IF(V236&lt;&gt;"",V236,IFERROR(IF(INDIRECT("'"&amp;V$86&amp;"'!"&amp;VLOOKUP(V$87,'List Values'!$C$3:$D$6,2,FALSE)&amp;ROW(V236))="","",INDIRECT("'"&amp;V$86&amp;"'!"&amp;VLOOKUP(V$87,'List Values'!$C$3:$D$6,2,FALSE)&amp;ROW(V236))),IF(V$86&lt;&gt;"","Data Source Error",""))))</f>
        <v/>
      </c>
      <c r="Y236" s="2643"/>
      <c r="Z236" s="2644"/>
      <c r="AA236" s="2644"/>
      <c r="AB236" s="2645"/>
    </row>
    <row r="237" spans="1:28" ht="31" customHeight="1" outlineLevel="1">
      <c r="A237" s="513"/>
      <c r="B237" s="252"/>
      <c r="C237" s="2680" t="s">
        <v>651</v>
      </c>
      <c r="D237" s="2680"/>
      <c r="E237" s="35"/>
      <c r="F237" s="35"/>
      <c r="G237" s="646"/>
      <c r="H237" s="647"/>
      <c r="I237" s="184"/>
      <c r="J237" s="624"/>
      <c r="K237" s="941" t="str">
        <f ca="1">IF(OR($H$7&lt;2,K$197&lt;2),"",IF(J237&lt;&gt;"",J237,IFERROR(IF(INDIRECT("'"&amp;J$86&amp;"'!"&amp;VLOOKUP(J$87,'List Values'!$C$3:$D$6,2,FALSE)&amp;ROW(J237))="","",INDIRECT("'"&amp;J$86&amp;"'!"&amp;VLOOKUP(J$87,'List Values'!$C$3:$D$6,2,FALSE)&amp;ROW(J237))),IF(J$86&lt;&gt;"","Data Source Error",""))))</f>
        <v/>
      </c>
      <c r="L237" s="184"/>
      <c r="M237" s="624"/>
      <c r="N237" s="941" t="str">
        <f ca="1">IF(OR($H$7&lt;3,N$197&lt;2),"",IF(M237&lt;&gt;"",M237,IFERROR(IF(INDIRECT("'"&amp;M$86&amp;"'!"&amp;VLOOKUP(M$87,'List Values'!$C$3:$D$6,2,FALSE)&amp;ROW(M237))="","",INDIRECT("'"&amp;M$86&amp;"'!"&amp;VLOOKUP(M$87,'List Values'!$C$3:$D$6,2,FALSE)&amp;ROW(M237))),IF(M$86&lt;&gt;"","Data Source Error",""))))</f>
        <v/>
      </c>
      <c r="O237" s="184"/>
      <c r="P237" s="624"/>
      <c r="Q237" s="941" t="str">
        <f ca="1">IF(OR($H$7&lt;4,Q$197&lt;2),"",IF(P237&lt;&gt;"",P237,IFERROR(IF(INDIRECT("'"&amp;P$86&amp;"'!"&amp;VLOOKUP(P$87,'List Values'!$C$3:$D$6,2,FALSE)&amp;ROW(P237))="","",INDIRECT("'"&amp;P$86&amp;"'!"&amp;VLOOKUP(P$87,'List Values'!$C$3:$D$6,2,FALSE)&amp;ROW(P237))),IF(P$86&lt;&gt;"","Data Source Error",""))))</f>
        <v/>
      </c>
      <c r="S237" s="624"/>
      <c r="T237" s="941" t="str">
        <f ca="1">IF(OR($H$7&lt;5,T$197&lt;2),"",IF(S237&lt;&gt;"",S237,IFERROR(IF(INDIRECT("'"&amp;S$86&amp;"'!"&amp;VLOOKUP(S$87,'List Values'!$C$3:$D$6,2,FALSE)&amp;ROW(S237))="","",INDIRECT("'"&amp;S$86&amp;"'!"&amp;VLOOKUP(S$87,'List Values'!$C$3:$D$6,2,FALSE)&amp;ROW(S237))),IF(S$86&lt;&gt;"","Data Source Error",""))))</f>
        <v/>
      </c>
      <c r="V237" s="624"/>
      <c r="W237" s="947" t="str">
        <f ca="1">IF(OR($H$7&lt;6,W$197&lt;2),"",IF(V237&lt;&gt;"",V237,IFERROR(IF(INDIRECT("'"&amp;V$86&amp;"'!"&amp;VLOOKUP(V$87,'List Values'!$C$3:$D$6,2,FALSE)&amp;ROW(V237))="","",INDIRECT("'"&amp;V$86&amp;"'!"&amp;VLOOKUP(V$87,'List Values'!$C$3:$D$6,2,FALSE)&amp;ROW(V237))),IF(V$86&lt;&gt;"","Data Source Error",""))))</f>
        <v/>
      </c>
      <c r="Y237" s="2643"/>
      <c r="Z237" s="2644"/>
      <c r="AA237" s="2644"/>
      <c r="AB237" s="2645"/>
    </row>
    <row r="238" spans="1:28" ht="20.25" customHeight="1">
      <c r="A238" s="807"/>
      <c r="B238" s="612" t="s">
        <v>618</v>
      </c>
      <c r="C238" s="604"/>
      <c r="D238" s="604"/>
      <c r="E238" s="614"/>
      <c r="F238" s="608"/>
      <c r="G238" s="615"/>
      <c r="H238" s="611"/>
      <c r="I238" s="608"/>
      <c r="J238" s="610"/>
      <c r="K238" s="970"/>
      <c r="L238" s="608"/>
      <c r="M238" s="610"/>
      <c r="N238" s="970"/>
      <c r="O238" s="608"/>
      <c r="P238" s="610"/>
      <c r="Q238" s="970"/>
      <c r="R238" s="608"/>
      <c r="S238" s="610"/>
      <c r="T238" s="970"/>
      <c r="U238" s="608"/>
      <c r="V238" s="610"/>
      <c r="W238" s="970"/>
      <c r="Y238" s="631"/>
      <c r="Z238" s="631"/>
      <c r="AA238" s="631"/>
      <c r="AB238" s="631"/>
    </row>
    <row r="239" spans="1:28" ht="15.75" customHeight="1" outlineLevel="1">
      <c r="A239" s="514"/>
      <c r="B239" s="252"/>
      <c r="C239" s="2580" t="s">
        <v>731</v>
      </c>
      <c r="D239" s="2580"/>
      <c r="E239" s="203"/>
      <c r="F239" s="203"/>
      <c r="G239" s="644"/>
      <c r="H239" s="645"/>
      <c r="I239" s="183"/>
      <c r="J239" s="628"/>
      <c r="K239" s="967" t="str">
        <f ca="1">IF(OR($H$7&lt;2,K$197&lt;3),"",IF(J239&lt;&gt;"",J239,IFERROR(IF(INDIRECT("'"&amp;J$86&amp;"'!"&amp;VLOOKUP(J$87,'List Values'!$C$3:$D$6,2,FALSE)&amp;ROW(J239))="","",INDIRECT("'"&amp;J$86&amp;"'!"&amp;VLOOKUP(J$87,'List Values'!$C$3:$D$6,2,FALSE)&amp;ROW(J239))),IF(J$86&lt;&gt;"","Data Source Error",""))))</f>
        <v/>
      </c>
      <c r="L239" s="629"/>
      <c r="M239" s="628"/>
      <c r="N239" s="967" t="str">
        <f ca="1">IF(OR($H$7&lt;3,N$197&lt;3),"",IF(M239&lt;&gt;"",M239,IFERROR(IF(INDIRECT("'"&amp;M$86&amp;"'!"&amp;VLOOKUP(M$87,'List Values'!$C$3:$D$6,2,FALSE)&amp;ROW(M239))="","",INDIRECT("'"&amp;M$86&amp;"'!"&amp;VLOOKUP(M$87,'List Values'!$C$3:$D$6,2,FALSE)&amp;ROW(M239))),IF(M$86&lt;&gt;"","Data Source Error",""))))</f>
        <v/>
      </c>
      <c r="O239" s="629"/>
      <c r="P239" s="628"/>
      <c r="Q239" s="967" t="str">
        <f ca="1">IF(OR($H$7&lt;4,Q$197&lt;3),"",IF(P239&lt;&gt;"",P239,IFERROR(IF(INDIRECT("'"&amp;P$86&amp;"'!"&amp;VLOOKUP(P$87,'List Values'!$C$3:$D$6,2,FALSE)&amp;ROW(P239))="","",INDIRECT("'"&amp;P$86&amp;"'!"&amp;VLOOKUP(P$87,'List Values'!$C$3:$D$6,2,FALSE)&amp;ROW(P239))),IF(P$86&lt;&gt;"","Data Source Error",""))))</f>
        <v/>
      </c>
      <c r="R239" s="147"/>
      <c r="S239" s="628"/>
      <c r="T239" s="967" t="str">
        <f ca="1">IF(OR($H$7&lt;5,T$197&lt;3),"",IF(S239&lt;&gt;"",S239,IFERROR(IF(INDIRECT("'"&amp;S$86&amp;"'!"&amp;VLOOKUP(S$87,'List Values'!$C$3:$D$6,2,FALSE)&amp;ROW(S239))="","",INDIRECT("'"&amp;S$86&amp;"'!"&amp;VLOOKUP(S$87,'List Values'!$C$3:$D$6,2,FALSE)&amp;ROW(S239))),IF(S$86&lt;&gt;"","Data Source Error",""))))</f>
        <v/>
      </c>
      <c r="U239" s="147"/>
      <c r="V239" s="628"/>
      <c r="W239" s="973" t="str">
        <f ca="1">IF(OR($H$7&lt;6,W$197&lt;3),"",IF(V239&lt;&gt;"",V239,IFERROR(IF(INDIRECT("'"&amp;V$86&amp;"'!"&amp;VLOOKUP(V$87,'List Values'!$C$3:$D$6,2,FALSE)&amp;ROW(V239))="","",INDIRECT("'"&amp;V$86&amp;"'!"&amp;VLOOKUP(V$87,'List Values'!$C$3:$D$6,2,FALSE)&amp;ROW(V239))),IF(V$86&lt;&gt;"","Data Source Error",""))))</f>
        <v/>
      </c>
      <c r="Y239" s="2643"/>
      <c r="Z239" s="2644"/>
      <c r="AA239" s="2644"/>
      <c r="AB239" s="2645"/>
    </row>
    <row r="240" spans="1:28" ht="15.75" customHeight="1" outlineLevel="1">
      <c r="A240" s="514"/>
      <c r="B240" s="252"/>
      <c r="C240" s="2680" t="s">
        <v>626</v>
      </c>
      <c r="D240" s="2680"/>
      <c r="E240" s="203"/>
      <c r="F240" s="203"/>
      <c r="G240" s="644"/>
      <c r="H240" s="645"/>
      <c r="I240" s="187"/>
      <c r="J240" s="526"/>
      <c r="K240" s="900" t="str">
        <f ca="1">IF(OR($H$7&lt;2,K$197&lt;3),"",IF(J240&lt;&gt;"",J240,IFERROR(IF(INDIRECT("'"&amp;J$86&amp;"'!"&amp;VLOOKUP(J$87,'List Values'!$C$3:$D$6,2,FALSE)&amp;ROW(J240))="","",INDIRECT("'"&amp;J$86&amp;"'!"&amp;VLOOKUP(J$87,'List Values'!$C$3:$D$6,2,FALSE)&amp;ROW(J240))),IF(J$86&lt;&gt;"","Data Source Error",""))))</f>
        <v/>
      </c>
      <c r="L240" s="187"/>
      <c r="M240" s="526"/>
      <c r="N240" s="900" t="str">
        <f ca="1">IF(OR($H$7&lt;3,N$197&lt;3),"",IF(M240&lt;&gt;"",M240,IFERROR(IF(INDIRECT("'"&amp;M$86&amp;"'!"&amp;VLOOKUP(M$87,'List Values'!$C$3:$D$6,2,FALSE)&amp;ROW(M240))="","",INDIRECT("'"&amp;M$86&amp;"'!"&amp;VLOOKUP(M$87,'List Values'!$C$3:$D$6,2,FALSE)&amp;ROW(M240))),IF(M$86&lt;&gt;"","Data Source Error",""))))</f>
        <v/>
      </c>
      <c r="O240" s="187"/>
      <c r="P240" s="526"/>
      <c r="Q240" s="900" t="str">
        <f ca="1">IF(OR($H$7&lt;4,Q$197&lt;3),"",IF(P240&lt;&gt;"",P240,IFERROR(IF(INDIRECT("'"&amp;P$86&amp;"'!"&amp;VLOOKUP(P$87,'List Values'!$C$3:$D$6,2,FALSE)&amp;ROW(P240))="","",INDIRECT("'"&amp;P$86&amp;"'!"&amp;VLOOKUP(P$87,'List Values'!$C$3:$D$6,2,FALSE)&amp;ROW(P240))),IF(P$86&lt;&gt;"","Data Source Error",""))))</f>
        <v/>
      </c>
      <c r="S240" s="526"/>
      <c r="T240" s="900" t="str">
        <f ca="1">IF(OR($H$7&lt;5,T$197&lt;3),"",IF(S240&lt;&gt;"",S240,IFERROR(IF(INDIRECT("'"&amp;S$86&amp;"'!"&amp;VLOOKUP(S$87,'List Values'!$C$3:$D$6,2,FALSE)&amp;ROW(S240))="","",INDIRECT("'"&amp;S$86&amp;"'!"&amp;VLOOKUP(S$87,'List Values'!$C$3:$D$6,2,FALSE)&amp;ROW(S240))),IF(S$86&lt;&gt;"","Data Source Error",""))))</f>
        <v/>
      </c>
      <c r="V240" s="526"/>
      <c r="W240" s="911" t="str">
        <f ca="1">IF(OR($H$7&lt;6,W$197&lt;3),"",IF(V240&lt;&gt;"",V240,IFERROR(IF(INDIRECT("'"&amp;V$86&amp;"'!"&amp;VLOOKUP(V$87,'List Values'!$C$3:$D$6,2,FALSE)&amp;ROW(V240))="","",INDIRECT("'"&amp;V$86&amp;"'!"&amp;VLOOKUP(V$87,'List Values'!$C$3:$D$6,2,FALSE)&amp;ROW(V240))),IF(V$86&lt;&gt;"","Data Source Error",""))))</f>
        <v/>
      </c>
      <c r="Y240" s="2643"/>
      <c r="Z240" s="2644"/>
      <c r="AA240" s="2644"/>
      <c r="AB240" s="2645"/>
    </row>
    <row r="241" spans="1:28" ht="29.25" customHeight="1" outlineLevel="1">
      <c r="A241" s="514"/>
      <c r="B241" s="252"/>
      <c r="C241" s="2680" t="s">
        <v>2520</v>
      </c>
      <c r="D241" s="2680"/>
      <c r="E241" s="203"/>
      <c r="F241" s="203"/>
      <c r="G241" s="644"/>
      <c r="H241" s="645"/>
      <c r="I241" s="187"/>
      <c r="J241" s="561"/>
      <c r="K241" s="900" t="str">
        <f ca="1">IF(OR($H$7&lt;2,K$197&lt;3),"",IF(J241&lt;&gt;"",J241,IFERROR(IF(INDIRECT("'"&amp;J$86&amp;"'!"&amp;VLOOKUP(J$87,'List Values'!$C$3:$D$6,2,FALSE)&amp;ROW(J241))="","",INDIRECT("'"&amp;J$86&amp;"'!"&amp;VLOOKUP(J$87,'List Values'!$C$3:$D$6,2,FALSE)&amp;ROW(J241))),IF(J$86&lt;&gt;"","Data Source Error",""))))</f>
        <v/>
      </c>
      <c r="L241" s="187"/>
      <c r="M241" s="561"/>
      <c r="N241" s="900" t="str">
        <f ca="1">IF(OR($H$7&lt;3,N$197&lt;3),"",IF(M241&lt;&gt;"",M241,IFERROR(IF(INDIRECT("'"&amp;M$86&amp;"'!"&amp;VLOOKUP(M$87,'List Values'!$C$3:$D$6,2,FALSE)&amp;ROW(M241))="","",INDIRECT("'"&amp;M$86&amp;"'!"&amp;VLOOKUP(M$87,'List Values'!$C$3:$D$6,2,FALSE)&amp;ROW(M241))),IF(M$86&lt;&gt;"","Data Source Error",""))))</f>
        <v/>
      </c>
      <c r="O241" s="187"/>
      <c r="P241" s="561"/>
      <c r="Q241" s="900" t="str">
        <f ca="1">IF(OR($H$7&lt;4,Q$197&lt;3),"",IF(P241&lt;&gt;"",P241,IFERROR(IF(INDIRECT("'"&amp;P$86&amp;"'!"&amp;VLOOKUP(P$87,'List Values'!$C$3:$D$6,2,FALSE)&amp;ROW(P241))="","",INDIRECT("'"&amp;P$86&amp;"'!"&amp;VLOOKUP(P$87,'List Values'!$C$3:$D$6,2,FALSE)&amp;ROW(P241))),IF(P$86&lt;&gt;"","Data Source Error",""))))</f>
        <v/>
      </c>
      <c r="S241" s="561"/>
      <c r="T241" s="900" t="str">
        <f ca="1">IF(OR($H$7&lt;5,T$197&lt;3),"",IF(S241&lt;&gt;"",S241,IFERROR(IF(INDIRECT("'"&amp;S$86&amp;"'!"&amp;VLOOKUP(S$87,'List Values'!$C$3:$D$6,2,FALSE)&amp;ROW(S241))="","",INDIRECT("'"&amp;S$86&amp;"'!"&amp;VLOOKUP(S$87,'List Values'!$C$3:$D$6,2,FALSE)&amp;ROW(S241))),IF(S$86&lt;&gt;"","Data Source Error",""))))</f>
        <v/>
      </c>
      <c r="V241" s="561"/>
      <c r="W241" s="911" t="str">
        <f ca="1">IF(OR($H$7&lt;6,W$197&lt;3),"",IF(V241&lt;&gt;"",V241,IFERROR(IF(INDIRECT("'"&amp;V$86&amp;"'!"&amp;VLOOKUP(V$87,'List Values'!$C$3:$D$6,2,FALSE)&amp;ROW(V241))="","",INDIRECT("'"&amp;V$86&amp;"'!"&amp;VLOOKUP(V$87,'List Values'!$C$3:$D$6,2,FALSE)&amp;ROW(V241))),IF(V$86&lt;&gt;"","Data Source Error",""))))</f>
        <v/>
      </c>
      <c r="Y241" s="2643"/>
      <c r="Z241" s="2644"/>
      <c r="AA241" s="2644"/>
      <c r="AB241" s="2645"/>
    </row>
    <row r="242" spans="1:28" ht="31" customHeight="1" outlineLevel="1">
      <c r="A242" s="514"/>
      <c r="B242" s="252"/>
      <c r="C242" s="2684" t="s">
        <v>726</v>
      </c>
      <c r="D242" s="2684"/>
      <c r="E242" s="203"/>
      <c r="F242" s="203"/>
      <c r="G242" s="644"/>
      <c r="H242" s="645"/>
      <c r="I242" s="187"/>
      <c r="J242" s="526"/>
      <c r="K242" s="900" t="str">
        <f ca="1">IF(OR($H$7&lt;2,K$197&lt;3),"",IF(J242&lt;&gt;"",J242,IFERROR(IF(INDIRECT("'"&amp;J$86&amp;"'!"&amp;VLOOKUP(J$87,'List Values'!$C$3:$D$6,2,FALSE)&amp;ROW(J242))="","",INDIRECT("'"&amp;J$86&amp;"'!"&amp;VLOOKUP(J$87,'List Values'!$C$3:$D$6,2,FALSE)&amp;ROW(J242))),IF(J$86&lt;&gt;"","Data Source Error",""))))</f>
        <v/>
      </c>
      <c r="L242" s="187"/>
      <c r="M242" s="526"/>
      <c r="N242" s="900" t="str">
        <f ca="1">IF(OR($H$7&lt;3,N$197&lt;3),"",IF(M242&lt;&gt;"",M242,IFERROR(IF(INDIRECT("'"&amp;M$86&amp;"'!"&amp;VLOOKUP(M$87,'List Values'!$C$3:$D$6,2,FALSE)&amp;ROW(M242))="","",INDIRECT("'"&amp;M$86&amp;"'!"&amp;VLOOKUP(M$87,'List Values'!$C$3:$D$6,2,FALSE)&amp;ROW(M242))),IF(M$86&lt;&gt;"","Data Source Error",""))))</f>
        <v/>
      </c>
      <c r="O242" s="187"/>
      <c r="P242" s="526"/>
      <c r="Q242" s="900" t="str">
        <f ca="1">IF(OR($H$7&lt;4,Q$197&lt;3),"",IF(P242&lt;&gt;"",P242,IFERROR(IF(INDIRECT("'"&amp;P$86&amp;"'!"&amp;VLOOKUP(P$87,'List Values'!$C$3:$D$6,2,FALSE)&amp;ROW(P242))="","",INDIRECT("'"&amp;P$86&amp;"'!"&amp;VLOOKUP(P$87,'List Values'!$C$3:$D$6,2,FALSE)&amp;ROW(P242))),IF(P$86&lt;&gt;"","Data Source Error",""))))</f>
        <v/>
      </c>
      <c r="S242" s="526"/>
      <c r="T242" s="900" t="str">
        <f ca="1">IF(OR($H$7&lt;5,T$197&lt;3),"",IF(S242&lt;&gt;"",S242,IFERROR(IF(INDIRECT("'"&amp;S$86&amp;"'!"&amp;VLOOKUP(S$87,'List Values'!$C$3:$D$6,2,FALSE)&amp;ROW(S242))="","",INDIRECT("'"&amp;S$86&amp;"'!"&amp;VLOOKUP(S$87,'List Values'!$C$3:$D$6,2,FALSE)&amp;ROW(S242))),IF(S$86&lt;&gt;"","Data Source Error",""))))</f>
        <v/>
      </c>
      <c r="V242" s="526"/>
      <c r="W242" s="911" t="str">
        <f ca="1">IF(OR($H$7&lt;6,W$197&lt;3),"",IF(V242&lt;&gt;"",V242,IFERROR(IF(INDIRECT("'"&amp;V$86&amp;"'!"&amp;VLOOKUP(V$87,'List Values'!$C$3:$D$6,2,FALSE)&amp;ROW(V242))="","",INDIRECT("'"&amp;V$86&amp;"'!"&amp;VLOOKUP(V$87,'List Values'!$C$3:$D$6,2,FALSE)&amp;ROW(V242))),IF(V$86&lt;&gt;"","Data Source Error",""))))</f>
        <v/>
      </c>
      <c r="Y242" s="2643"/>
      <c r="Z242" s="2644"/>
      <c r="AA242" s="2644"/>
      <c r="AB242" s="2645"/>
    </row>
    <row r="243" spans="1:28" ht="33.75" customHeight="1" outlineLevel="1">
      <c r="A243" s="514"/>
      <c r="B243" s="252"/>
      <c r="C243" s="2684" t="s">
        <v>727</v>
      </c>
      <c r="D243" s="2684"/>
      <c r="E243" s="202"/>
      <c r="F243" s="202"/>
      <c r="G243" s="634"/>
      <c r="H243" s="635"/>
      <c r="I243" s="187"/>
      <c r="J243" s="568"/>
      <c r="K243" s="945" t="str">
        <f ca="1">IF(OR($H$7&lt;2,K$197&lt;3),"",IF(J243&lt;&gt;"",J243,IFERROR(IF(INDIRECT("'"&amp;J$86&amp;"'!"&amp;VLOOKUP(J$87,'List Values'!$C$3:$D$6,2,FALSE)&amp;ROW(J243))="","",INDIRECT("'"&amp;J$86&amp;"'!"&amp;VLOOKUP(J$87,'List Values'!$C$3:$D$6,2,FALSE)&amp;ROW(J243))*$H$6),IF(J$86&lt;&gt;"","Data Source Error",""))))</f>
        <v/>
      </c>
      <c r="L243" s="339"/>
      <c r="M243" s="568"/>
      <c r="N243" s="945" t="str">
        <f ca="1">IF(OR($H$7&lt;3,N$197&lt;3),"",IF(M243&lt;&gt;"",M243,IFERROR(IF(INDIRECT("'"&amp;M$86&amp;"'!"&amp;VLOOKUP(M$87,'List Values'!$C$3:$D$6,2,FALSE)&amp;ROW(M243))="","",INDIRECT("'"&amp;M$86&amp;"'!"&amp;VLOOKUP(M$87,'List Values'!$C$3:$D$6,2,FALSE)&amp;ROW(M243))*$H$6),IF(M$86&lt;&gt;"","Data Source Error",""))))</f>
        <v/>
      </c>
      <c r="O243" s="339"/>
      <c r="P243" s="568"/>
      <c r="Q243" s="945" t="str">
        <f ca="1">IF(OR($H$7&lt;4,Q$197&lt;3),"",IF(P243&lt;&gt;"",P243,IFERROR(IF(INDIRECT("'"&amp;P$86&amp;"'!"&amp;VLOOKUP(P$87,'List Values'!$C$3:$D$6,2,FALSE)&amp;ROW(P243))="","",INDIRECT("'"&amp;P$86&amp;"'!"&amp;VLOOKUP(P$87,'List Values'!$C$3:$D$6,2,FALSE)&amp;ROW(P243))*$H$6),IF(P$86&lt;&gt;"","Data Source Error",""))))</f>
        <v/>
      </c>
      <c r="R243" s="7"/>
      <c r="S243" s="568"/>
      <c r="T243" s="945" t="str">
        <f ca="1">IF(OR($H$7&lt;5,T$197&lt;3),"",IF(S243&lt;&gt;"",S243,IFERROR(IF(INDIRECT("'"&amp;S$86&amp;"'!"&amp;VLOOKUP(S$87,'List Values'!$C$3:$D$6,2,FALSE)&amp;ROW(S243))="","",INDIRECT("'"&amp;S$86&amp;"'!"&amp;VLOOKUP(S$87,'List Values'!$C$3:$D$6,2,FALSE)&amp;ROW(S243))*$H$6),IF(S$86&lt;&gt;"","Data Source Error",""))))</f>
        <v/>
      </c>
      <c r="U243" s="7"/>
      <c r="V243" s="568"/>
      <c r="W243" s="952" t="str">
        <f ca="1">IF(OR($H$7&lt;6,W$197&lt;3),"",IF(V243&lt;&gt;"",V243,IFERROR(IF(INDIRECT("'"&amp;V$86&amp;"'!"&amp;VLOOKUP(V$87,'List Values'!$C$3:$D$6,2,FALSE)&amp;ROW(V243))="","",INDIRECT("'"&amp;V$86&amp;"'!"&amp;VLOOKUP(V$87,'List Values'!$C$3:$D$6,2,FALSE)&amp;ROW(V243))*$H$6),IF(V$86&lt;&gt;"","Data Source Error",""))))</f>
        <v/>
      </c>
      <c r="Y243" s="2643"/>
      <c r="Z243" s="2644"/>
      <c r="AA243" s="2644"/>
      <c r="AB243" s="2645"/>
    </row>
    <row r="244" spans="1:28" ht="15.75" customHeight="1" outlineLevel="1">
      <c r="A244" s="514"/>
      <c r="B244" s="252"/>
      <c r="C244" s="2680" t="s">
        <v>732</v>
      </c>
      <c r="D244" s="2680"/>
      <c r="E244" s="203"/>
      <c r="F244" s="203"/>
      <c r="G244" s="644"/>
      <c r="H244" s="645"/>
      <c r="I244" s="187"/>
      <c r="J244" s="526"/>
      <c r="K244" s="900" t="str">
        <f ca="1">IF(OR($H$7&lt;2,K$197&lt;3),"",IF(J244&lt;&gt;"",J244,IFERROR(IF(INDIRECT("'"&amp;J$86&amp;"'!"&amp;VLOOKUP(J$87,'List Values'!$C$3:$D$6,2,FALSE)&amp;ROW(J244))="","",INDIRECT("'"&amp;J$86&amp;"'!"&amp;VLOOKUP(J$87,'List Values'!$C$3:$D$6,2,FALSE)&amp;ROW(J244))),IF(J$86&lt;&gt;"","Data Source Error",""))))</f>
        <v/>
      </c>
      <c r="L244" s="187"/>
      <c r="M244" s="526"/>
      <c r="N244" s="900" t="str">
        <f ca="1">IF(OR($H$7&lt;3,N$197&lt;3),"",IF(M244&lt;&gt;"",M244,IFERROR(IF(INDIRECT("'"&amp;M$86&amp;"'!"&amp;VLOOKUP(M$87,'List Values'!$C$3:$D$6,2,FALSE)&amp;ROW(M244))="","",INDIRECT("'"&amp;M$86&amp;"'!"&amp;VLOOKUP(M$87,'List Values'!$C$3:$D$6,2,FALSE)&amp;ROW(M244))),IF(M$86&lt;&gt;"","Data Source Error",""))))</f>
        <v/>
      </c>
      <c r="O244" s="187"/>
      <c r="P244" s="526"/>
      <c r="Q244" s="900" t="str">
        <f ca="1">IF(OR($H$7&lt;4,Q$197&lt;3),"",IF(P244&lt;&gt;"",P244,IFERROR(IF(INDIRECT("'"&amp;P$86&amp;"'!"&amp;VLOOKUP(P$87,'List Values'!$C$3:$D$6,2,FALSE)&amp;ROW(P244))="","",INDIRECT("'"&amp;P$86&amp;"'!"&amp;VLOOKUP(P$87,'List Values'!$C$3:$D$6,2,FALSE)&amp;ROW(P244))),IF(P$86&lt;&gt;"","Data Source Error",""))))</f>
        <v/>
      </c>
      <c r="S244" s="526"/>
      <c r="T244" s="900" t="str">
        <f ca="1">IF(OR($H$7&lt;5,T$197&lt;3),"",IF(S244&lt;&gt;"",S244,IFERROR(IF(INDIRECT("'"&amp;S$86&amp;"'!"&amp;VLOOKUP(S$87,'List Values'!$C$3:$D$6,2,FALSE)&amp;ROW(S244))="","",INDIRECT("'"&amp;S$86&amp;"'!"&amp;VLOOKUP(S$87,'List Values'!$C$3:$D$6,2,FALSE)&amp;ROW(S244))),IF(S$86&lt;&gt;"","Data Source Error",""))))</f>
        <v/>
      </c>
      <c r="V244" s="526"/>
      <c r="W244" s="911" t="str">
        <f ca="1">IF(OR($H$7&lt;6,W$197&lt;3),"",IF(V244&lt;&gt;"",V244,IFERROR(IF(INDIRECT("'"&amp;V$86&amp;"'!"&amp;VLOOKUP(V$87,'List Values'!$C$3:$D$6,2,FALSE)&amp;ROW(V244))="","",INDIRECT("'"&amp;V$86&amp;"'!"&amp;VLOOKUP(V$87,'List Values'!$C$3:$D$6,2,FALSE)&amp;ROW(V244))),IF(V$86&lt;&gt;"","Data Source Error",""))))</f>
        <v/>
      </c>
      <c r="Y244" s="2643"/>
      <c r="Z244" s="2644"/>
      <c r="AA244" s="2644"/>
      <c r="AB244" s="2645"/>
    </row>
    <row r="245" spans="1:28" ht="31" customHeight="1" outlineLevel="1">
      <c r="A245" s="514"/>
      <c r="B245" s="252"/>
      <c r="C245" s="2684" t="s">
        <v>730</v>
      </c>
      <c r="D245" s="2684"/>
      <c r="E245" s="203"/>
      <c r="F245" s="203"/>
      <c r="G245" s="644"/>
      <c r="H245" s="645"/>
      <c r="I245" s="183"/>
      <c r="J245" s="553"/>
      <c r="K245" s="897" t="str">
        <f ca="1">IF(OR($H$7&lt;2,K$197&lt;3),"",IF(J245&lt;&gt;"",J245,IFERROR(IF(INDIRECT("'"&amp;J$86&amp;"'!"&amp;VLOOKUP(J$87,'List Values'!$C$3:$D$6,2,FALSE)&amp;ROW(J245))="","",INDIRECT("'"&amp;J$86&amp;"'!"&amp;VLOOKUP(J$87,'List Values'!$C$3:$D$6,2,FALSE)&amp;ROW(J245))),IF(J$86&lt;&gt;"","Data Source Error",""))))</f>
        <v/>
      </c>
      <c r="L245" s="183"/>
      <c r="M245" s="553"/>
      <c r="N245" s="897" t="str">
        <f ca="1">IF(OR($H$7&lt;3,N$197&lt;3),"",IF(M245&lt;&gt;"",M245,IFERROR(IF(INDIRECT("'"&amp;M$86&amp;"'!"&amp;VLOOKUP(M$87,'List Values'!$C$3:$D$6,2,FALSE)&amp;ROW(M245))="","",INDIRECT("'"&amp;M$86&amp;"'!"&amp;VLOOKUP(M$87,'List Values'!$C$3:$D$6,2,FALSE)&amp;ROW(M245))),IF(M$86&lt;&gt;"","Data Source Error",""))))</f>
        <v/>
      </c>
      <c r="O245" s="183"/>
      <c r="P245" s="553"/>
      <c r="Q245" s="897" t="str">
        <f ca="1">IF(OR($H$7&lt;4,Q$197&lt;3),"",IF(P245&lt;&gt;"",P245,IFERROR(IF(INDIRECT("'"&amp;P$86&amp;"'!"&amp;VLOOKUP(P$87,'List Values'!$C$3:$D$6,2,FALSE)&amp;ROW(P245))="","",INDIRECT("'"&amp;P$86&amp;"'!"&amp;VLOOKUP(P$87,'List Values'!$C$3:$D$6,2,FALSE)&amp;ROW(P245))),IF(P$86&lt;&gt;"","Data Source Error",""))))</f>
        <v/>
      </c>
      <c r="S245" s="553"/>
      <c r="T245" s="897" t="str">
        <f ca="1">IF(OR($H$7&lt;5,T$197&lt;3),"",IF(S245&lt;&gt;"",S245,IFERROR(IF(INDIRECT("'"&amp;S$86&amp;"'!"&amp;VLOOKUP(S$87,'List Values'!$C$3:$D$6,2,FALSE)&amp;ROW(S245))="","",INDIRECT("'"&amp;S$86&amp;"'!"&amp;VLOOKUP(S$87,'List Values'!$C$3:$D$6,2,FALSE)&amp;ROW(S245))),IF(S$86&lt;&gt;"","Data Source Error",""))))</f>
        <v/>
      </c>
      <c r="V245" s="553"/>
      <c r="W245" s="908" t="str">
        <f ca="1">IF(OR($H$7&lt;6,W$197&lt;3),"",IF(V245&lt;&gt;"",V245,IFERROR(IF(INDIRECT("'"&amp;V$86&amp;"'!"&amp;VLOOKUP(V$87,'List Values'!$C$3:$D$6,2,FALSE)&amp;ROW(V245))="","",INDIRECT("'"&amp;V$86&amp;"'!"&amp;VLOOKUP(V$87,'List Values'!$C$3:$D$6,2,FALSE)&amp;ROW(V245))),IF(V$86&lt;&gt;"","Data Source Error",""))))</f>
        <v/>
      </c>
      <c r="Y245" s="2643"/>
      <c r="Z245" s="2644"/>
      <c r="AA245" s="2644"/>
      <c r="AB245" s="2645"/>
    </row>
    <row r="246" spans="1:28" ht="31" customHeight="1" outlineLevel="1">
      <c r="A246" s="514"/>
      <c r="B246" s="252"/>
      <c r="C246" s="2680" t="s">
        <v>2521</v>
      </c>
      <c r="D246" s="2680"/>
      <c r="E246" s="203"/>
      <c r="F246" s="203"/>
      <c r="G246" s="644"/>
      <c r="H246" s="645"/>
      <c r="I246" s="187"/>
      <c r="J246" s="619"/>
      <c r="K246" s="898" t="str">
        <f ca="1">IF(OR($H$7&lt;2,K$197&lt;3),"",IF(J246&lt;&gt;"",J246,IFERROR(IF(INDIRECT("'"&amp;J$86&amp;"'!"&amp;VLOOKUP(J$87,'List Values'!$C$3:$D$6,2,FALSE)&amp;ROW(J246))="","",INDIRECT("'"&amp;J$86&amp;"'!"&amp;VLOOKUP(J$87,'List Values'!$C$3:$D$6,2,FALSE)&amp;ROW(J246))),IF(J$86&lt;&gt;"","Data Source Error",""))))</f>
        <v/>
      </c>
      <c r="L246" s="621"/>
      <c r="M246" s="619"/>
      <c r="N246" s="898" t="str">
        <f ca="1">IF(OR($H$7&lt;3,N$197&lt;3),"",IF(M246&lt;&gt;"",M246,IFERROR(IF(INDIRECT("'"&amp;M$86&amp;"'!"&amp;VLOOKUP(M$87,'List Values'!$C$3:$D$6,2,FALSE)&amp;ROW(M246))="","",INDIRECT("'"&amp;M$86&amp;"'!"&amp;VLOOKUP(M$87,'List Values'!$C$3:$D$6,2,FALSE)&amp;ROW(M246))),IF(M$86&lt;&gt;"","Data Source Error",""))))</f>
        <v/>
      </c>
      <c r="O246" s="621"/>
      <c r="P246" s="619"/>
      <c r="Q246" s="898" t="str">
        <f ca="1">IF(OR($H$7&lt;4,Q$197&lt;3),"",IF(P246&lt;&gt;"",P246,IFERROR(IF(INDIRECT("'"&amp;P$86&amp;"'!"&amp;VLOOKUP(P$87,'List Values'!$C$3:$D$6,2,FALSE)&amp;ROW(P246))="","",INDIRECT("'"&amp;P$86&amp;"'!"&amp;VLOOKUP(P$87,'List Values'!$C$3:$D$6,2,FALSE)&amp;ROW(P246))),IF(P$86&lt;&gt;"","Data Source Error",""))))</f>
        <v/>
      </c>
      <c r="R246" s="147"/>
      <c r="S246" s="619"/>
      <c r="T246" s="898" t="str">
        <f ca="1">IF(OR($H$7&lt;5,T$197&lt;3),"",IF(S246&lt;&gt;"",S246,IFERROR(IF(INDIRECT("'"&amp;S$86&amp;"'!"&amp;VLOOKUP(S$87,'List Values'!$C$3:$D$6,2,FALSE)&amp;ROW(S246))="","",INDIRECT("'"&amp;S$86&amp;"'!"&amp;VLOOKUP(S$87,'List Values'!$C$3:$D$6,2,FALSE)&amp;ROW(S246))),IF(S$86&lt;&gt;"","Data Source Error",""))))</f>
        <v/>
      </c>
      <c r="U246" s="147"/>
      <c r="V246" s="619"/>
      <c r="W246" s="909" t="str">
        <f ca="1">IF(OR($H$7&lt;6,W$197&lt;3),"",IF(V246&lt;&gt;"",V246,IFERROR(IF(INDIRECT("'"&amp;V$86&amp;"'!"&amp;VLOOKUP(V$87,'List Values'!$C$3:$D$6,2,FALSE)&amp;ROW(V246))="","",INDIRECT("'"&amp;V$86&amp;"'!"&amp;VLOOKUP(V$87,'List Values'!$C$3:$D$6,2,FALSE)&amp;ROW(V246))),IF(V$86&lt;&gt;"","Data Source Error",""))))</f>
        <v/>
      </c>
      <c r="Y246" s="2643"/>
      <c r="Z246" s="2644"/>
      <c r="AA246" s="2644"/>
      <c r="AB246" s="2645"/>
    </row>
    <row r="247" spans="1:28" ht="31" customHeight="1" outlineLevel="1">
      <c r="A247" s="514"/>
      <c r="B247" s="252"/>
      <c r="C247" s="2680" t="s">
        <v>2522</v>
      </c>
      <c r="D247" s="2680"/>
      <c r="E247" s="203"/>
      <c r="F247" s="203"/>
      <c r="G247" s="644"/>
      <c r="H247" s="645"/>
      <c r="I247" s="187"/>
      <c r="J247" s="619"/>
      <c r="K247" s="898" t="str">
        <f ca="1">IF(OR($H$7&lt;2,K$197&lt;3),"",IF(J247&lt;&gt;"",J247,IFERROR(IF(INDIRECT("'"&amp;J$86&amp;"'!"&amp;VLOOKUP(J$87,'List Values'!$C$3:$D$6,2,FALSE)&amp;ROW(J247))="","",INDIRECT("'"&amp;J$86&amp;"'!"&amp;VLOOKUP(J$87,'List Values'!$C$3:$D$6,2,FALSE)&amp;ROW(J247))),IF(J$86&lt;&gt;"","Data Source Error",""))))</f>
        <v/>
      </c>
      <c r="L247" s="621"/>
      <c r="M247" s="619"/>
      <c r="N247" s="898" t="str">
        <f ca="1">IF(OR($H$7&lt;3,N$197&lt;3),"",IF(M247&lt;&gt;"",M247,IFERROR(IF(INDIRECT("'"&amp;M$86&amp;"'!"&amp;VLOOKUP(M$87,'List Values'!$C$3:$D$6,2,FALSE)&amp;ROW(M247))="","",INDIRECT("'"&amp;M$86&amp;"'!"&amp;VLOOKUP(M$87,'List Values'!$C$3:$D$6,2,FALSE)&amp;ROW(M247))),IF(M$86&lt;&gt;"","Data Source Error",""))))</f>
        <v/>
      </c>
      <c r="O247" s="621"/>
      <c r="P247" s="619"/>
      <c r="Q247" s="898" t="str">
        <f ca="1">IF(OR($H$7&lt;4,Q$197&lt;3),"",IF(P247&lt;&gt;"",P247,IFERROR(IF(INDIRECT("'"&amp;P$86&amp;"'!"&amp;VLOOKUP(P$87,'List Values'!$C$3:$D$6,2,FALSE)&amp;ROW(P247))="","",INDIRECT("'"&amp;P$86&amp;"'!"&amp;VLOOKUP(P$87,'List Values'!$C$3:$D$6,2,FALSE)&amp;ROW(P247))),IF(P$86&lt;&gt;"","Data Source Error",""))))</f>
        <v/>
      </c>
      <c r="R247" s="147"/>
      <c r="S247" s="619"/>
      <c r="T247" s="898" t="str">
        <f ca="1">IF(OR($H$7&lt;5,T$197&lt;3),"",IF(S247&lt;&gt;"",S247,IFERROR(IF(INDIRECT("'"&amp;S$86&amp;"'!"&amp;VLOOKUP(S$87,'List Values'!$C$3:$D$6,2,FALSE)&amp;ROW(S247))="","",INDIRECT("'"&amp;S$86&amp;"'!"&amp;VLOOKUP(S$87,'List Values'!$C$3:$D$6,2,FALSE)&amp;ROW(S247))),IF(S$86&lt;&gt;"","Data Source Error",""))))</f>
        <v/>
      </c>
      <c r="U247" s="147"/>
      <c r="V247" s="619"/>
      <c r="W247" s="909" t="str">
        <f ca="1">IF(OR($H$7&lt;6,W$197&lt;3),"",IF(V247&lt;&gt;"",V247,IFERROR(IF(INDIRECT("'"&amp;V$86&amp;"'!"&amp;VLOOKUP(V$87,'List Values'!$C$3:$D$6,2,FALSE)&amp;ROW(V247))="","",INDIRECT("'"&amp;V$86&amp;"'!"&amp;VLOOKUP(V$87,'List Values'!$C$3:$D$6,2,FALSE)&amp;ROW(V247))),IF(V$86&lt;&gt;"","Data Source Error",""))))</f>
        <v/>
      </c>
      <c r="Y247" s="2643"/>
      <c r="Z247" s="2644"/>
      <c r="AA247" s="2644"/>
      <c r="AB247" s="2645"/>
    </row>
    <row r="248" spans="1:28" ht="33.75" customHeight="1" outlineLevel="1">
      <c r="A248" s="514"/>
      <c r="B248" s="252"/>
      <c r="C248" s="2680" t="s">
        <v>253</v>
      </c>
      <c r="D248" s="2680"/>
      <c r="E248" s="202"/>
      <c r="F248" s="202"/>
      <c r="G248" s="634"/>
      <c r="H248" s="635"/>
      <c r="I248" s="187"/>
      <c r="J248" s="526"/>
      <c r="K248" s="900" t="str">
        <f ca="1">IF(OR($H$7&lt;2,K$197&lt;3),"",IF(J248&lt;&gt;"",J248,IFERROR(IF(INDIRECT("'"&amp;J$86&amp;"'!"&amp;VLOOKUP(J$87,'List Values'!$C$3:$D$6,2,FALSE)&amp;ROW(J248))="","",INDIRECT("'"&amp;J$86&amp;"'!"&amp;VLOOKUP(J$87,'List Values'!$C$3:$D$6,2,FALSE)&amp;ROW(J248))),IF(J$86&lt;&gt;"","Data Source Error",""))))</f>
        <v/>
      </c>
      <c r="L248" s="187"/>
      <c r="M248" s="526"/>
      <c r="N248" s="900" t="str">
        <f ca="1">IF(OR($H$7&lt;3,N$197&lt;3),"",IF(M248&lt;&gt;"",M248,IFERROR(IF(INDIRECT("'"&amp;M$86&amp;"'!"&amp;VLOOKUP(M$87,'List Values'!$C$3:$D$6,2,FALSE)&amp;ROW(M248))="","",INDIRECT("'"&amp;M$86&amp;"'!"&amp;VLOOKUP(M$87,'List Values'!$C$3:$D$6,2,FALSE)&amp;ROW(M248))),IF(M$86&lt;&gt;"","Data Source Error",""))))</f>
        <v/>
      </c>
      <c r="O248" s="187"/>
      <c r="P248" s="526"/>
      <c r="Q248" s="900" t="str">
        <f ca="1">IF(OR($H$7&lt;4,Q$197&lt;3),"",IF(P248&lt;&gt;"",P248,IFERROR(IF(INDIRECT("'"&amp;P$86&amp;"'!"&amp;VLOOKUP(P$87,'List Values'!$C$3:$D$6,2,FALSE)&amp;ROW(P248))="","",INDIRECT("'"&amp;P$86&amp;"'!"&amp;VLOOKUP(P$87,'List Values'!$C$3:$D$6,2,FALSE)&amp;ROW(P248))),IF(P$86&lt;&gt;"","Data Source Error",""))))</f>
        <v/>
      </c>
      <c r="S248" s="526"/>
      <c r="T248" s="900" t="str">
        <f ca="1">IF(OR($H$7&lt;5,T$197&lt;3),"",IF(S248&lt;&gt;"",S248,IFERROR(IF(INDIRECT("'"&amp;S$86&amp;"'!"&amp;VLOOKUP(S$87,'List Values'!$C$3:$D$6,2,FALSE)&amp;ROW(S248))="","",INDIRECT("'"&amp;S$86&amp;"'!"&amp;VLOOKUP(S$87,'List Values'!$C$3:$D$6,2,FALSE)&amp;ROW(S248))),IF(S$86&lt;&gt;"","Data Source Error",""))))</f>
        <v/>
      </c>
      <c r="V248" s="526"/>
      <c r="W248" s="911" t="str">
        <f ca="1">IF(OR($H$7&lt;6,W$197&lt;3),"",IF(V248&lt;&gt;"",V248,IFERROR(IF(INDIRECT("'"&amp;V$86&amp;"'!"&amp;VLOOKUP(V$87,'List Values'!$C$3:$D$6,2,FALSE)&amp;ROW(V248))="","",INDIRECT("'"&amp;V$86&amp;"'!"&amp;VLOOKUP(V$87,'List Values'!$C$3:$D$6,2,FALSE)&amp;ROW(V248))),IF(V$86&lt;&gt;"","Data Source Error",""))))</f>
        <v/>
      </c>
      <c r="Y248" s="2643"/>
      <c r="Z248" s="2644"/>
      <c r="AA248" s="2644"/>
      <c r="AB248" s="2645"/>
    </row>
    <row r="249" spans="1:28" ht="15.75" customHeight="1" outlineLevel="1">
      <c r="A249" s="514"/>
      <c r="B249" s="252"/>
      <c r="C249" s="2684" t="s">
        <v>2529</v>
      </c>
      <c r="D249" s="2684"/>
      <c r="E249" s="203"/>
      <c r="F249" s="203"/>
      <c r="G249" s="644"/>
      <c r="H249" s="645"/>
      <c r="I249" s="187"/>
      <c r="J249" s="580"/>
      <c r="K249" s="900" t="str">
        <f ca="1">IF(OR($H$7&lt;2,K$197&lt;3),"",IF(J249&lt;&gt;"",J249,IFERROR(IF(INDIRECT("'"&amp;J$86&amp;"'!"&amp;VLOOKUP(J$87,'List Values'!$C$3:$D$6,2,FALSE)&amp;ROW(J249))="","",INDIRECT("'"&amp;J$86&amp;"'!"&amp;VLOOKUP(J$87,'List Values'!$C$3:$D$6,2,FALSE)&amp;ROW(J249))),IF(J$86&lt;&gt;"","Data Source Error",""))))</f>
        <v/>
      </c>
      <c r="L249" s="187"/>
      <c r="M249" s="580"/>
      <c r="N249" s="900" t="str">
        <f ca="1">IF(OR($H$7&lt;3,N$197&lt;3),"",IF(M249&lt;&gt;"",M249,IFERROR(IF(INDIRECT("'"&amp;M$86&amp;"'!"&amp;VLOOKUP(M$87,'List Values'!$C$3:$D$6,2,FALSE)&amp;ROW(M249))="","",INDIRECT("'"&amp;M$86&amp;"'!"&amp;VLOOKUP(M$87,'List Values'!$C$3:$D$6,2,FALSE)&amp;ROW(M249))),IF(M$86&lt;&gt;"","Data Source Error",""))))</f>
        <v/>
      </c>
      <c r="O249" s="187"/>
      <c r="P249" s="580"/>
      <c r="Q249" s="900" t="str">
        <f ca="1">IF(OR($H$7&lt;4,Q$197&lt;3),"",IF(P249&lt;&gt;"",P249,IFERROR(IF(INDIRECT("'"&amp;P$86&amp;"'!"&amp;VLOOKUP(P$87,'List Values'!$C$3:$D$6,2,FALSE)&amp;ROW(P249))="","",INDIRECT("'"&amp;P$86&amp;"'!"&amp;VLOOKUP(P$87,'List Values'!$C$3:$D$6,2,FALSE)&amp;ROW(P249))),IF(P$86&lt;&gt;"","Data Source Error",""))))</f>
        <v/>
      </c>
      <c r="S249" s="580"/>
      <c r="T249" s="900" t="str">
        <f ca="1">IF(OR($H$7&lt;5,T$197&lt;3),"",IF(S249&lt;&gt;"",S249,IFERROR(IF(INDIRECT("'"&amp;S$86&amp;"'!"&amp;VLOOKUP(S$87,'List Values'!$C$3:$D$6,2,FALSE)&amp;ROW(S249))="","",INDIRECT("'"&amp;S$86&amp;"'!"&amp;VLOOKUP(S$87,'List Values'!$C$3:$D$6,2,FALSE)&amp;ROW(S249))),IF(S$86&lt;&gt;"","Data Source Error",""))))</f>
        <v/>
      </c>
      <c r="V249" s="580"/>
      <c r="W249" s="911" t="str">
        <f ca="1">IF(OR($H$7&lt;6,W$197&lt;3),"",IF(V249&lt;&gt;"",V249,IFERROR(IF(INDIRECT("'"&amp;V$86&amp;"'!"&amp;VLOOKUP(V$87,'List Values'!$C$3:$D$6,2,FALSE)&amp;ROW(V249))="","",INDIRECT("'"&amp;V$86&amp;"'!"&amp;VLOOKUP(V$87,'List Values'!$C$3:$D$6,2,FALSE)&amp;ROW(V249))),IF(V$86&lt;&gt;"","Data Source Error",""))))</f>
        <v/>
      </c>
      <c r="Y249" s="2643"/>
      <c r="Z249" s="2644"/>
      <c r="AA249" s="2644"/>
      <c r="AB249" s="2645"/>
    </row>
    <row r="250" spans="1:28" ht="30" customHeight="1" outlineLevel="1">
      <c r="A250" s="514"/>
      <c r="B250" s="252"/>
      <c r="C250" s="2680" t="s">
        <v>2523</v>
      </c>
      <c r="D250" s="2680"/>
      <c r="E250" s="203"/>
      <c r="F250" s="203"/>
      <c r="G250" s="644"/>
      <c r="H250" s="645"/>
      <c r="I250" s="187"/>
      <c r="J250" s="580"/>
      <c r="K250" s="900" t="str">
        <f ca="1">IF(OR($H$7&lt;2,K$197&lt;3),"",IF(J250&lt;&gt;"",J250,IFERROR(IF(INDIRECT("'"&amp;J$86&amp;"'!"&amp;VLOOKUP(J$87,'List Values'!$C$3:$D$6,2,FALSE)&amp;ROW(J250))="","",INDIRECT("'"&amp;J$86&amp;"'!"&amp;VLOOKUP(J$87,'List Values'!$C$3:$D$6,2,FALSE)&amp;ROW(J250))),IF(J$86&lt;&gt;"","Data Source Error",""))))</f>
        <v/>
      </c>
      <c r="L250" s="187"/>
      <c r="M250" s="580"/>
      <c r="N250" s="900" t="str">
        <f ca="1">IF(OR($H$7&lt;3,N$197&lt;3),"",IF(M250&lt;&gt;"",M250,IFERROR(IF(INDIRECT("'"&amp;M$86&amp;"'!"&amp;VLOOKUP(M$87,'List Values'!$C$3:$D$6,2,FALSE)&amp;ROW(M250))="","",INDIRECT("'"&amp;M$86&amp;"'!"&amp;VLOOKUP(M$87,'List Values'!$C$3:$D$6,2,FALSE)&amp;ROW(M250))),IF(M$86&lt;&gt;"","Data Source Error",""))))</f>
        <v/>
      </c>
      <c r="O250" s="187"/>
      <c r="P250" s="580"/>
      <c r="Q250" s="900" t="str">
        <f ca="1">IF(OR($H$7&lt;4,Q$197&lt;3),"",IF(P250&lt;&gt;"",P250,IFERROR(IF(INDIRECT("'"&amp;P$86&amp;"'!"&amp;VLOOKUP(P$87,'List Values'!$C$3:$D$6,2,FALSE)&amp;ROW(P250))="","",INDIRECT("'"&amp;P$86&amp;"'!"&amp;VLOOKUP(P$87,'List Values'!$C$3:$D$6,2,FALSE)&amp;ROW(P250))),IF(P$86&lt;&gt;"","Data Source Error",""))))</f>
        <v/>
      </c>
      <c r="S250" s="580"/>
      <c r="T250" s="900" t="str">
        <f ca="1">IF(OR($H$7&lt;5,T$197&lt;3),"",IF(S250&lt;&gt;"",S250,IFERROR(IF(INDIRECT("'"&amp;S$86&amp;"'!"&amp;VLOOKUP(S$87,'List Values'!$C$3:$D$6,2,FALSE)&amp;ROW(S250))="","",INDIRECT("'"&amp;S$86&amp;"'!"&amp;VLOOKUP(S$87,'List Values'!$C$3:$D$6,2,FALSE)&amp;ROW(S250))),IF(S$86&lt;&gt;"","Data Source Error",""))))</f>
        <v/>
      </c>
      <c r="V250" s="580"/>
      <c r="W250" s="911" t="str">
        <f ca="1">IF(OR($H$7&lt;6,W$197&lt;3),"",IF(V250&lt;&gt;"",V250,IFERROR(IF(INDIRECT("'"&amp;V$86&amp;"'!"&amp;VLOOKUP(V$87,'List Values'!$C$3:$D$6,2,FALSE)&amp;ROW(V250))="","",INDIRECT("'"&amp;V$86&amp;"'!"&amp;VLOOKUP(V$87,'List Values'!$C$3:$D$6,2,FALSE)&amp;ROW(V250))),IF(V$86&lt;&gt;"","Data Source Error",""))))</f>
        <v/>
      </c>
      <c r="Y250" s="2643"/>
      <c r="Z250" s="2644"/>
      <c r="AA250" s="2644"/>
      <c r="AB250" s="2645"/>
    </row>
    <row r="251" spans="1:28" ht="15.75" customHeight="1" outlineLevel="1">
      <c r="A251" s="514"/>
      <c r="B251" s="252"/>
      <c r="C251" s="2680" t="s">
        <v>2524</v>
      </c>
      <c r="D251" s="2680"/>
      <c r="E251" s="203"/>
      <c r="F251" s="203"/>
      <c r="G251" s="644"/>
      <c r="H251" s="645"/>
      <c r="I251" s="187"/>
      <c r="J251" s="580"/>
      <c r="K251" s="900" t="str">
        <f ca="1">IF(OR($H$7&lt;2,K$197&lt;3),"",IF(J251&lt;&gt;"",J251,IFERROR(IF(INDIRECT("'"&amp;J$86&amp;"'!"&amp;VLOOKUP(J$87,'List Values'!$C$3:$D$6,2,FALSE)&amp;ROW(J251))="","",INDIRECT("'"&amp;J$86&amp;"'!"&amp;VLOOKUP(J$87,'List Values'!$C$3:$D$6,2,FALSE)&amp;ROW(J251))),IF(J$86&lt;&gt;"","Data Source Error",""))))</f>
        <v/>
      </c>
      <c r="L251" s="187"/>
      <c r="M251" s="580"/>
      <c r="N251" s="900" t="str">
        <f ca="1">IF(OR($H$7&lt;3,N$197&lt;3),"",IF(M251&lt;&gt;"",M251,IFERROR(IF(INDIRECT("'"&amp;M$86&amp;"'!"&amp;VLOOKUP(M$87,'List Values'!$C$3:$D$6,2,FALSE)&amp;ROW(M251))="","",INDIRECT("'"&amp;M$86&amp;"'!"&amp;VLOOKUP(M$87,'List Values'!$C$3:$D$6,2,FALSE)&amp;ROW(M251))),IF(M$86&lt;&gt;"","Data Source Error",""))))</f>
        <v/>
      </c>
      <c r="O251" s="187"/>
      <c r="P251" s="580"/>
      <c r="Q251" s="900" t="str">
        <f ca="1">IF(OR($H$7&lt;4,Q$197&lt;3),"",IF(P251&lt;&gt;"",P251,IFERROR(IF(INDIRECT("'"&amp;P$86&amp;"'!"&amp;VLOOKUP(P$87,'List Values'!$C$3:$D$6,2,FALSE)&amp;ROW(P251))="","",INDIRECT("'"&amp;P$86&amp;"'!"&amp;VLOOKUP(P$87,'List Values'!$C$3:$D$6,2,FALSE)&amp;ROW(P251))),IF(P$86&lt;&gt;"","Data Source Error",""))))</f>
        <v/>
      </c>
      <c r="S251" s="580"/>
      <c r="T251" s="900" t="str">
        <f ca="1">IF(OR($H$7&lt;5,T$197&lt;3),"",IF(S251&lt;&gt;"",S251,IFERROR(IF(INDIRECT("'"&amp;S$86&amp;"'!"&amp;VLOOKUP(S$87,'List Values'!$C$3:$D$6,2,FALSE)&amp;ROW(S251))="","",INDIRECT("'"&amp;S$86&amp;"'!"&amp;VLOOKUP(S$87,'List Values'!$C$3:$D$6,2,FALSE)&amp;ROW(S251))),IF(S$86&lt;&gt;"","Data Source Error",""))))</f>
        <v/>
      </c>
      <c r="V251" s="580"/>
      <c r="W251" s="911" t="str">
        <f ca="1">IF(OR($H$7&lt;6,W$197&lt;3),"",IF(V251&lt;&gt;"",V251,IFERROR(IF(INDIRECT("'"&amp;V$86&amp;"'!"&amp;VLOOKUP(V$87,'List Values'!$C$3:$D$6,2,FALSE)&amp;ROW(V251))="","",INDIRECT("'"&amp;V$86&amp;"'!"&amp;VLOOKUP(V$87,'List Values'!$C$3:$D$6,2,FALSE)&amp;ROW(V251))),IF(V$86&lt;&gt;"","Data Source Error",""))))</f>
        <v/>
      </c>
      <c r="Y251" s="2643"/>
      <c r="Z251" s="2644"/>
      <c r="AA251" s="2644"/>
      <c r="AB251" s="2645"/>
    </row>
    <row r="252" spans="1:28" ht="15.75" customHeight="1" outlineLevel="1">
      <c r="A252" s="514"/>
      <c r="B252" s="252"/>
      <c r="C252" s="2684" t="s">
        <v>2525</v>
      </c>
      <c r="D252" s="2684"/>
      <c r="E252" s="203"/>
      <c r="F252" s="203"/>
      <c r="G252" s="644"/>
      <c r="H252" s="645"/>
      <c r="I252" s="187"/>
      <c r="J252" s="580"/>
      <c r="K252" s="900" t="str">
        <f ca="1">IF(OR($H$7&lt;2,K$197&lt;3),"",IF(J252&lt;&gt;"",J252,IFERROR(IF(INDIRECT("'"&amp;J$86&amp;"'!"&amp;VLOOKUP(J$87,'List Values'!$C$3:$D$6,2,FALSE)&amp;ROW(J252))="","",INDIRECT("'"&amp;J$86&amp;"'!"&amp;VLOOKUP(J$87,'List Values'!$C$3:$D$6,2,FALSE)&amp;ROW(J252))),IF(J$86&lt;&gt;"","Data Source Error",""))))</f>
        <v/>
      </c>
      <c r="L252" s="187"/>
      <c r="M252" s="580"/>
      <c r="N252" s="900" t="str">
        <f ca="1">IF(OR($H$7&lt;3,N$197&lt;3),"",IF(M252&lt;&gt;"",M252,IFERROR(IF(INDIRECT("'"&amp;M$86&amp;"'!"&amp;VLOOKUP(M$87,'List Values'!$C$3:$D$6,2,FALSE)&amp;ROW(M252))="","",INDIRECT("'"&amp;M$86&amp;"'!"&amp;VLOOKUP(M$87,'List Values'!$C$3:$D$6,2,FALSE)&amp;ROW(M252))),IF(M$86&lt;&gt;"","Data Source Error",""))))</f>
        <v/>
      </c>
      <c r="O252" s="187"/>
      <c r="P252" s="580"/>
      <c r="Q252" s="900" t="str">
        <f ca="1">IF(OR($H$7&lt;4,Q$197&lt;3),"",IF(P252&lt;&gt;"",P252,IFERROR(IF(INDIRECT("'"&amp;P$86&amp;"'!"&amp;VLOOKUP(P$87,'List Values'!$C$3:$D$6,2,FALSE)&amp;ROW(P252))="","",INDIRECT("'"&amp;P$86&amp;"'!"&amp;VLOOKUP(P$87,'List Values'!$C$3:$D$6,2,FALSE)&amp;ROW(P252))),IF(P$86&lt;&gt;"","Data Source Error",""))))</f>
        <v/>
      </c>
      <c r="S252" s="580"/>
      <c r="T252" s="900" t="str">
        <f ca="1">IF(OR($H$7&lt;5,T$197&lt;3),"",IF(S252&lt;&gt;"",S252,IFERROR(IF(INDIRECT("'"&amp;S$86&amp;"'!"&amp;VLOOKUP(S$87,'List Values'!$C$3:$D$6,2,FALSE)&amp;ROW(S252))="","",INDIRECT("'"&amp;S$86&amp;"'!"&amp;VLOOKUP(S$87,'List Values'!$C$3:$D$6,2,FALSE)&amp;ROW(S252))),IF(S$86&lt;&gt;"","Data Source Error",""))))</f>
        <v/>
      </c>
      <c r="V252" s="580"/>
      <c r="W252" s="911" t="str">
        <f ca="1">IF(OR($H$7&lt;6,W$197&lt;3),"",IF(V252&lt;&gt;"",V252,IFERROR(IF(INDIRECT("'"&amp;V$86&amp;"'!"&amp;VLOOKUP(V$87,'List Values'!$C$3:$D$6,2,FALSE)&amp;ROW(V252))="","",INDIRECT("'"&amp;V$86&amp;"'!"&amp;VLOOKUP(V$87,'List Values'!$C$3:$D$6,2,FALSE)&amp;ROW(V252))),IF(V$86&lt;&gt;"","Data Source Error",""))))</f>
        <v/>
      </c>
      <c r="Y252" s="2643"/>
      <c r="Z252" s="2644"/>
      <c r="AA252" s="2644"/>
      <c r="AB252" s="2645"/>
    </row>
    <row r="253" spans="1:28" ht="31" customHeight="1" outlineLevel="1">
      <c r="A253" s="514"/>
      <c r="B253" s="252"/>
      <c r="C253" s="2680" t="s">
        <v>2526</v>
      </c>
      <c r="D253" s="2680"/>
      <c r="E253" s="203"/>
      <c r="F253" s="203"/>
      <c r="G253" s="644"/>
      <c r="H253" s="645"/>
      <c r="I253" s="187"/>
      <c r="J253" s="580"/>
      <c r="K253" s="900" t="str">
        <f ca="1">IF(OR($H$7&lt;2,K$197&lt;3),"",IF(J253&lt;&gt;"",J253,IFERROR(IF(INDIRECT("'"&amp;J$86&amp;"'!"&amp;VLOOKUP(J$87,'List Values'!$C$3:$D$6,2,FALSE)&amp;ROW(J253))="","",INDIRECT("'"&amp;J$86&amp;"'!"&amp;VLOOKUP(J$87,'List Values'!$C$3:$D$6,2,FALSE)&amp;ROW(J253))),IF(J$86&lt;&gt;"","Data Source Error",""))))</f>
        <v/>
      </c>
      <c r="L253" s="187"/>
      <c r="M253" s="580"/>
      <c r="N253" s="900" t="str">
        <f ca="1">IF(OR($H$7&lt;3,N$197&lt;3),"",IF(M253&lt;&gt;"",M253,IFERROR(IF(INDIRECT("'"&amp;M$86&amp;"'!"&amp;VLOOKUP(M$87,'List Values'!$C$3:$D$6,2,FALSE)&amp;ROW(M253))="","",INDIRECT("'"&amp;M$86&amp;"'!"&amp;VLOOKUP(M$87,'List Values'!$C$3:$D$6,2,FALSE)&amp;ROW(M253))),IF(M$86&lt;&gt;"","Data Source Error",""))))</f>
        <v/>
      </c>
      <c r="O253" s="187"/>
      <c r="P253" s="580"/>
      <c r="Q253" s="900" t="str">
        <f ca="1">IF(OR($H$7&lt;4,Q$197&lt;3),"",IF(P253&lt;&gt;"",P253,IFERROR(IF(INDIRECT("'"&amp;P$86&amp;"'!"&amp;VLOOKUP(P$87,'List Values'!$C$3:$D$6,2,FALSE)&amp;ROW(P253))="","",INDIRECT("'"&amp;P$86&amp;"'!"&amp;VLOOKUP(P$87,'List Values'!$C$3:$D$6,2,FALSE)&amp;ROW(P253))),IF(P$86&lt;&gt;"","Data Source Error",""))))</f>
        <v/>
      </c>
      <c r="S253" s="580"/>
      <c r="T253" s="900" t="str">
        <f ca="1">IF(OR($H$7&lt;5,T$197&lt;3),"",IF(S253&lt;&gt;"",S253,IFERROR(IF(INDIRECT("'"&amp;S$86&amp;"'!"&amp;VLOOKUP(S$87,'List Values'!$C$3:$D$6,2,FALSE)&amp;ROW(S253))="","",INDIRECT("'"&amp;S$86&amp;"'!"&amp;VLOOKUP(S$87,'List Values'!$C$3:$D$6,2,FALSE)&amp;ROW(S253))),IF(S$86&lt;&gt;"","Data Source Error",""))))</f>
        <v/>
      </c>
      <c r="V253" s="580"/>
      <c r="W253" s="911" t="str">
        <f ca="1">IF(OR($H$7&lt;6,W$197&lt;3),"",IF(V253&lt;&gt;"",V253,IFERROR(IF(INDIRECT("'"&amp;V$86&amp;"'!"&amp;VLOOKUP(V$87,'List Values'!$C$3:$D$6,2,FALSE)&amp;ROW(V253))="","",INDIRECT("'"&amp;V$86&amp;"'!"&amp;VLOOKUP(V$87,'List Values'!$C$3:$D$6,2,FALSE)&amp;ROW(V253))),IF(V$86&lt;&gt;"","Data Source Error",""))))</f>
        <v/>
      </c>
      <c r="Y253" s="2643"/>
      <c r="Z253" s="2644"/>
      <c r="AA253" s="2644"/>
      <c r="AB253" s="2645"/>
    </row>
    <row r="254" spans="1:28" ht="33.75" customHeight="1" outlineLevel="1">
      <c r="A254" s="514"/>
      <c r="B254" s="252"/>
      <c r="C254" s="2680" t="s">
        <v>2527</v>
      </c>
      <c r="D254" s="2680"/>
      <c r="E254" s="202"/>
      <c r="F254" s="202"/>
      <c r="G254" s="634"/>
      <c r="H254" s="635"/>
      <c r="I254" s="187"/>
      <c r="J254" s="580"/>
      <c r="K254" s="900" t="str">
        <f ca="1">IF(OR($H$7&lt;2,K$197&lt;3),"",IF(J254&lt;&gt;"",J254,IFERROR(IF(INDIRECT("'"&amp;J$86&amp;"'!"&amp;VLOOKUP(J$87,'List Values'!$C$3:$D$6,2,FALSE)&amp;ROW(J254))="","",INDIRECT("'"&amp;J$86&amp;"'!"&amp;VLOOKUP(J$87,'List Values'!$C$3:$D$6,2,FALSE)&amp;ROW(J254))),IF(J$86&lt;&gt;"","Data Source Error",""))))</f>
        <v/>
      </c>
      <c r="L254" s="187"/>
      <c r="M254" s="580"/>
      <c r="N254" s="900" t="str">
        <f ca="1">IF(OR($H$7&lt;3,N$197&lt;3),"",IF(M254&lt;&gt;"",M254,IFERROR(IF(INDIRECT("'"&amp;M$86&amp;"'!"&amp;VLOOKUP(M$87,'List Values'!$C$3:$D$6,2,FALSE)&amp;ROW(M254))="","",INDIRECT("'"&amp;M$86&amp;"'!"&amp;VLOOKUP(M$87,'List Values'!$C$3:$D$6,2,FALSE)&amp;ROW(M254))),IF(M$86&lt;&gt;"","Data Source Error",""))))</f>
        <v/>
      </c>
      <c r="O254" s="187"/>
      <c r="P254" s="580"/>
      <c r="Q254" s="900" t="str">
        <f ca="1">IF(OR($H$7&lt;4,Q$197&lt;3),"",IF(P254&lt;&gt;"",P254,IFERROR(IF(INDIRECT("'"&amp;P$86&amp;"'!"&amp;VLOOKUP(P$87,'List Values'!$C$3:$D$6,2,FALSE)&amp;ROW(P254))="","",INDIRECT("'"&amp;P$86&amp;"'!"&amp;VLOOKUP(P$87,'List Values'!$C$3:$D$6,2,FALSE)&amp;ROW(P254))),IF(P$86&lt;&gt;"","Data Source Error",""))))</f>
        <v/>
      </c>
      <c r="S254" s="580"/>
      <c r="T254" s="900" t="str">
        <f ca="1">IF(OR($H$7&lt;5,T$197&lt;3),"",IF(S254&lt;&gt;"",S254,IFERROR(IF(INDIRECT("'"&amp;S$86&amp;"'!"&amp;VLOOKUP(S$87,'List Values'!$C$3:$D$6,2,FALSE)&amp;ROW(S254))="","",INDIRECT("'"&amp;S$86&amp;"'!"&amp;VLOOKUP(S$87,'List Values'!$C$3:$D$6,2,FALSE)&amp;ROW(S254))),IF(S$86&lt;&gt;"","Data Source Error",""))))</f>
        <v/>
      </c>
      <c r="V254" s="580"/>
      <c r="W254" s="911" t="str">
        <f ca="1">IF(OR($H$7&lt;6,W$197&lt;3),"",IF(V254&lt;&gt;"",V254,IFERROR(IF(INDIRECT("'"&amp;V$86&amp;"'!"&amp;VLOOKUP(V$87,'List Values'!$C$3:$D$6,2,FALSE)&amp;ROW(V254))="","",INDIRECT("'"&amp;V$86&amp;"'!"&amp;VLOOKUP(V$87,'List Values'!$C$3:$D$6,2,FALSE)&amp;ROW(V254))),IF(V$86&lt;&gt;"","Data Source Error",""))))</f>
        <v/>
      </c>
      <c r="Y254" s="2643"/>
      <c r="Z254" s="2644"/>
      <c r="AA254" s="2644"/>
      <c r="AB254" s="2645"/>
    </row>
    <row r="255" spans="1:28" ht="33.75" customHeight="1" outlineLevel="1">
      <c r="A255" s="514"/>
      <c r="B255" s="252"/>
      <c r="C255" s="2680" t="s">
        <v>2528</v>
      </c>
      <c r="D255" s="2680"/>
      <c r="E255" s="202"/>
      <c r="F255" s="202"/>
      <c r="G255" s="634"/>
      <c r="H255" s="635"/>
      <c r="I255" s="187"/>
      <c r="J255" s="580"/>
      <c r="K255" s="900" t="str">
        <f ca="1">IF(OR($H$7&lt;2,K$197&lt;3),"",IF(J255&lt;&gt;"",J255,IFERROR(IF(INDIRECT("'"&amp;J$86&amp;"'!"&amp;VLOOKUP(J$87,'List Values'!$C$3:$D$6,2,FALSE)&amp;ROW(J255))="","",INDIRECT("'"&amp;J$86&amp;"'!"&amp;VLOOKUP(J$87,'List Values'!$C$3:$D$6,2,FALSE)&amp;ROW(J255))),IF(J$86&lt;&gt;"","Data Source Error",""))))</f>
        <v/>
      </c>
      <c r="L255" s="187"/>
      <c r="M255" s="580"/>
      <c r="N255" s="900" t="str">
        <f ca="1">IF(OR($H$7&lt;3,N$197&lt;3),"",IF(M255&lt;&gt;"",M255,IFERROR(IF(INDIRECT("'"&amp;M$86&amp;"'!"&amp;VLOOKUP(M$87,'List Values'!$C$3:$D$6,2,FALSE)&amp;ROW(M255))="","",INDIRECT("'"&amp;M$86&amp;"'!"&amp;VLOOKUP(M$87,'List Values'!$C$3:$D$6,2,FALSE)&amp;ROW(M255))),IF(M$86&lt;&gt;"","Data Source Error",""))))</f>
        <v/>
      </c>
      <c r="O255" s="187"/>
      <c r="P255" s="580"/>
      <c r="Q255" s="900" t="str">
        <f ca="1">IF(OR($H$7&lt;4,Q$197&lt;3),"",IF(P255&lt;&gt;"",P255,IFERROR(IF(INDIRECT("'"&amp;P$86&amp;"'!"&amp;VLOOKUP(P$87,'List Values'!$C$3:$D$6,2,FALSE)&amp;ROW(P255))="","",INDIRECT("'"&amp;P$86&amp;"'!"&amp;VLOOKUP(P$87,'List Values'!$C$3:$D$6,2,FALSE)&amp;ROW(P255))),IF(P$86&lt;&gt;"","Data Source Error",""))))</f>
        <v/>
      </c>
      <c r="S255" s="580"/>
      <c r="T255" s="900" t="str">
        <f ca="1">IF(OR($H$7&lt;5,T$197&lt;3),"",IF(S255&lt;&gt;"",S255,IFERROR(IF(INDIRECT("'"&amp;S$86&amp;"'!"&amp;VLOOKUP(S$87,'List Values'!$C$3:$D$6,2,FALSE)&amp;ROW(S255))="","",INDIRECT("'"&amp;S$86&amp;"'!"&amp;VLOOKUP(S$87,'List Values'!$C$3:$D$6,2,FALSE)&amp;ROW(S255))),IF(S$86&lt;&gt;"","Data Source Error",""))))</f>
        <v/>
      </c>
      <c r="V255" s="580"/>
      <c r="W255" s="911" t="str">
        <f ca="1">IF(OR($H$7&lt;6,W$197&lt;3),"",IF(V255&lt;&gt;"",V255,IFERROR(IF(INDIRECT("'"&amp;V$86&amp;"'!"&amp;VLOOKUP(V$87,'List Values'!$C$3:$D$6,2,FALSE)&amp;ROW(V255))="","",INDIRECT("'"&amp;V$86&amp;"'!"&amp;VLOOKUP(V$87,'List Values'!$C$3:$D$6,2,FALSE)&amp;ROW(V255))),IF(V$86&lt;&gt;"","Data Source Error",""))))</f>
        <v/>
      </c>
      <c r="Y255" s="2643"/>
      <c r="Z255" s="2644"/>
      <c r="AA255" s="2644"/>
      <c r="AB255" s="2645"/>
    </row>
    <row r="256" spans="1:28" ht="15.75" customHeight="1" outlineLevel="1">
      <c r="A256" s="514"/>
      <c r="B256" s="252"/>
      <c r="C256" s="2680" t="s">
        <v>650</v>
      </c>
      <c r="D256" s="2680"/>
      <c r="E256" s="203"/>
      <c r="F256" s="203"/>
      <c r="G256" s="644"/>
      <c r="H256" s="645"/>
      <c r="I256" s="187"/>
      <c r="J256" s="580"/>
      <c r="K256" s="900" t="str">
        <f ca="1">IF(OR($H$7&lt;2,K$197&lt;3),"",IF(J256&lt;&gt;"",J256,IFERROR(IF(INDIRECT("'"&amp;J$86&amp;"'!"&amp;VLOOKUP(J$87,'List Values'!$C$3:$D$6,2,FALSE)&amp;ROW(J256))="","",INDIRECT("'"&amp;J$86&amp;"'!"&amp;VLOOKUP(J$87,'List Values'!$C$3:$D$6,2,FALSE)&amp;ROW(J256))),IF(J$86&lt;&gt;"","Data Source Error",""))))</f>
        <v/>
      </c>
      <c r="L256" s="187"/>
      <c r="M256" s="580"/>
      <c r="N256" s="900" t="str">
        <f ca="1">IF(OR($H$7&lt;3,N$197&lt;3),"",IF(M256&lt;&gt;"",M256,IFERROR(IF(INDIRECT("'"&amp;M$86&amp;"'!"&amp;VLOOKUP(M$87,'List Values'!$C$3:$D$6,2,FALSE)&amp;ROW(M256))="","",INDIRECT("'"&amp;M$86&amp;"'!"&amp;VLOOKUP(M$87,'List Values'!$C$3:$D$6,2,FALSE)&amp;ROW(M256))),IF(M$86&lt;&gt;"","Data Source Error",""))))</f>
        <v/>
      </c>
      <c r="O256" s="187"/>
      <c r="P256" s="580"/>
      <c r="Q256" s="900" t="str">
        <f ca="1">IF(OR($H$7&lt;4,Q$197&lt;3),"",IF(P256&lt;&gt;"",P256,IFERROR(IF(INDIRECT("'"&amp;P$86&amp;"'!"&amp;VLOOKUP(P$87,'List Values'!$C$3:$D$6,2,FALSE)&amp;ROW(P256))="","",INDIRECT("'"&amp;P$86&amp;"'!"&amp;VLOOKUP(P$87,'List Values'!$C$3:$D$6,2,FALSE)&amp;ROW(P256))),IF(P$86&lt;&gt;"","Data Source Error",""))))</f>
        <v/>
      </c>
      <c r="S256" s="580"/>
      <c r="T256" s="900" t="str">
        <f ca="1">IF(OR($H$7&lt;5,T$197&lt;3),"",IF(S256&lt;&gt;"",S256,IFERROR(IF(INDIRECT("'"&amp;S$86&amp;"'!"&amp;VLOOKUP(S$87,'List Values'!$C$3:$D$6,2,FALSE)&amp;ROW(S256))="","",INDIRECT("'"&amp;S$86&amp;"'!"&amp;VLOOKUP(S$87,'List Values'!$C$3:$D$6,2,FALSE)&amp;ROW(S256))),IF(S$86&lt;&gt;"","Data Source Error",""))))</f>
        <v/>
      </c>
      <c r="V256" s="580"/>
      <c r="W256" s="911" t="str">
        <f ca="1">IF(OR($H$7&lt;6,W$197&lt;3),"",IF(V256&lt;&gt;"",V256,IFERROR(IF(INDIRECT("'"&amp;V$86&amp;"'!"&amp;VLOOKUP(V$87,'List Values'!$C$3:$D$6,2,FALSE)&amp;ROW(V256))="","",INDIRECT("'"&amp;V$86&amp;"'!"&amp;VLOOKUP(V$87,'List Values'!$C$3:$D$6,2,FALSE)&amp;ROW(V256))),IF(V$86&lt;&gt;"","Data Source Error",""))))</f>
        <v/>
      </c>
      <c r="Y256" s="2643"/>
      <c r="Z256" s="2644"/>
      <c r="AA256" s="2644"/>
      <c r="AB256" s="2645"/>
    </row>
    <row r="257" spans="1:28" ht="31" customHeight="1" outlineLevel="1">
      <c r="A257" s="514"/>
      <c r="B257" s="252"/>
      <c r="C257" s="2680" t="s">
        <v>651</v>
      </c>
      <c r="D257" s="2680"/>
      <c r="E257" s="51"/>
      <c r="F257" s="51"/>
      <c r="G257" s="500"/>
      <c r="H257" s="648"/>
      <c r="I257" s="184"/>
      <c r="J257" s="624"/>
      <c r="K257" s="941" t="str">
        <f ca="1">IF(OR($H$7&lt;2,K$197&lt;3),"",IF(J257&lt;&gt;"",J257,IFERROR(IF(INDIRECT("'"&amp;J$86&amp;"'!"&amp;VLOOKUP(J$87,'List Values'!$C$3:$D$6,2,FALSE)&amp;ROW(J257))="","",INDIRECT("'"&amp;J$86&amp;"'!"&amp;VLOOKUP(J$87,'List Values'!$C$3:$D$6,2,FALSE)&amp;ROW(J257))),IF(J$86&lt;&gt;"","Data Source Error",""))))</f>
        <v/>
      </c>
      <c r="L257" s="184"/>
      <c r="M257" s="624"/>
      <c r="N257" s="941" t="str">
        <f ca="1">IF(OR($H$7&lt;3,N$197&lt;3),"",IF(M257&lt;&gt;"",M257,IFERROR(IF(INDIRECT("'"&amp;M$86&amp;"'!"&amp;VLOOKUP(M$87,'List Values'!$C$3:$D$6,2,FALSE)&amp;ROW(M257))="","",INDIRECT("'"&amp;M$86&amp;"'!"&amp;VLOOKUP(M$87,'List Values'!$C$3:$D$6,2,FALSE)&amp;ROW(M257))),IF(M$86&lt;&gt;"","Data Source Error",""))))</f>
        <v/>
      </c>
      <c r="O257" s="184"/>
      <c r="P257" s="624"/>
      <c r="Q257" s="941" t="str">
        <f ca="1">IF(OR($H$7&lt;4,Q$197&lt;3),"",IF(P257&lt;&gt;"",P257,IFERROR(IF(INDIRECT("'"&amp;P$86&amp;"'!"&amp;VLOOKUP(P$87,'List Values'!$C$3:$D$6,2,FALSE)&amp;ROW(P257))="","",INDIRECT("'"&amp;P$86&amp;"'!"&amp;VLOOKUP(P$87,'List Values'!$C$3:$D$6,2,FALSE)&amp;ROW(P257))),IF(P$86&lt;&gt;"","Data Source Error",""))))</f>
        <v/>
      </c>
      <c r="S257" s="624"/>
      <c r="T257" s="941" t="str">
        <f ca="1">IF(OR($H$7&lt;5,T$197&lt;3),"",IF(S257&lt;&gt;"",S257,IFERROR(IF(INDIRECT("'"&amp;S$86&amp;"'!"&amp;VLOOKUP(S$87,'List Values'!$C$3:$D$6,2,FALSE)&amp;ROW(S257))="","",INDIRECT("'"&amp;S$86&amp;"'!"&amp;VLOOKUP(S$87,'List Values'!$C$3:$D$6,2,FALSE)&amp;ROW(S257))),IF(S$86&lt;&gt;"","Data Source Error",""))))</f>
        <v/>
      </c>
      <c r="V257" s="624"/>
      <c r="W257" s="947" t="str">
        <f ca="1">IF(OR($H$7&lt;6,W$197&lt;3),"",IF(V257&lt;&gt;"",V257,IFERROR(IF(INDIRECT("'"&amp;V$86&amp;"'!"&amp;VLOOKUP(V$87,'List Values'!$C$3:$D$6,2,FALSE)&amp;ROW(V257))="","",INDIRECT("'"&amp;V$86&amp;"'!"&amp;VLOOKUP(V$87,'List Values'!$C$3:$D$6,2,FALSE)&amp;ROW(V257))),IF(V$86&lt;&gt;"","Data Source Error",""))))</f>
        <v/>
      </c>
      <c r="Y257" s="2657"/>
      <c r="Z257" s="2658"/>
      <c r="AA257" s="2658"/>
      <c r="AB257" s="2659"/>
    </row>
    <row r="258" spans="1:28" ht="27" customHeight="1" collapsed="1">
      <c r="A258" s="212"/>
      <c r="B258" s="61"/>
      <c r="C258" s="516"/>
      <c r="D258" s="516"/>
      <c r="E258" s="516"/>
      <c r="F258" s="61"/>
      <c r="G258" s="517"/>
      <c r="H258" s="518"/>
      <c r="I258" s="61"/>
      <c r="J258" s="519"/>
      <c r="K258" s="980"/>
      <c r="L258" s="61"/>
      <c r="M258" s="519"/>
      <c r="N258" s="980"/>
      <c r="O258" s="61"/>
      <c r="P258" s="519"/>
      <c r="Q258" s="980"/>
      <c r="R258" s="61"/>
      <c r="S258" s="519"/>
      <c r="T258" s="980"/>
      <c r="U258" s="61"/>
      <c r="V258" s="519"/>
      <c r="W258" s="980"/>
    </row>
    <row r="259" spans="1:28" ht="30.75" customHeight="1">
      <c r="B259" s="2682" t="s">
        <v>2499</v>
      </c>
      <c r="C259" s="2682"/>
      <c r="D259" s="2682"/>
      <c r="E259" s="2682"/>
      <c r="F259" s="2682"/>
      <c r="G259" s="2682"/>
      <c r="H259" s="2682"/>
      <c r="I259" s="1164"/>
      <c r="J259" s="2683" t="str">
        <f ca="1">H88&amp;" to "&amp;K88</f>
        <v>CMS to Regional WH</v>
      </c>
      <c r="K259" s="2683"/>
      <c r="L259" s="1164"/>
      <c r="M259" s="2683" t="str">
        <f ca="1">K88&amp;" to "&amp;N88</f>
        <v>Regional WH to Health Facility</v>
      </c>
      <c r="N259" s="2683"/>
      <c r="O259" s="1164"/>
      <c r="P259" s="2683" t="str">
        <f ca="1">N88&amp;" to "&amp;Q88</f>
        <v xml:space="preserve">Health Facility to </v>
      </c>
      <c r="Q259" s="2683"/>
      <c r="R259" s="1164"/>
      <c r="S259" s="2683" t="str">
        <f ca="1">Q88&amp;" to "&amp;T88</f>
        <v xml:space="preserve"> to </v>
      </c>
      <c r="T259" s="2683"/>
      <c r="U259" s="1164"/>
      <c r="V259" s="2683" t="str">
        <f ca="1">T88&amp;" to "&amp;W88</f>
        <v xml:space="preserve"> to </v>
      </c>
      <c r="W259" s="2683"/>
    </row>
    <row r="260" spans="1:28" ht="29.25" customHeight="1" outlineLevel="1">
      <c r="A260" s="1"/>
      <c r="B260" s="2686" t="s">
        <v>2531</v>
      </c>
      <c r="C260" s="2686"/>
      <c r="D260" s="2686"/>
      <c r="E260" s="694"/>
      <c r="F260" s="694"/>
      <c r="G260" s="646"/>
      <c r="H260" s="647"/>
      <c r="I260" s="44"/>
      <c r="J260" s="588"/>
      <c r="K260" s="978">
        <f ca="1">IF($H$7&lt;2,0,IF(J260&lt;&gt;"",J260,IFERROR(IF(INDIRECT("'"&amp;J$86&amp;"'!"&amp;VLOOKUP(J$87,'List Values'!$C$3:$D$6,2,FALSE)&amp;ROW(J260))="",0,INDIRECT("'"&amp;J$86&amp;"'!"&amp;VLOOKUP(J$87,'List Values'!$C$3:$D$6,2,FALSE)&amp;ROW(J260))),IF(J$86&lt;&gt;"","Data Source Error",0))))</f>
        <v>0</v>
      </c>
      <c r="L260" s="44"/>
      <c r="M260" s="588"/>
      <c r="N260" s="978">
        <f ca="1">IF($H$7&lt;3,0,IF(M260&lt;&gt;"",M260,IFERROR(IF(INDIRECT("'"&amp;M$86&amp;"'!"&amp;VLOOKUP(M$87,'List Values'!$C$3:$D$6,2,FALSE)&amp;ROW(M260))="",0,INDIRECT("'"&amp;M$86&amp;"'!"&amp;VLOOKUP(M$87,'List Values'!$C$3:$D$6,2,FALSE)&amp;ROW(M260))),IF(M$86&lt;&gt;"","Data Source Error",0))))</f>
        <v>0</v>
      </c>
      <c r="O260" s="44"/>
      <c r="P260" s="589"/>
      <c r="Q260" s="978">
        <f ca="1">IF($H$7&lt;4,0,IF(P260&lt;&gt;"",P260,IFERROR(IF(INDIRECT("'"&amp;P$86&amp;"'!"&amp;VLOOKUP(P$87,'List Values'!$C$3:$D$6,2,FALSE)&amp;ROW(P260))="",0,INDIRECT("'"&amp;P$86&amp;"'!"&amp;VLOOKUP(P$87,'List Values'!$C$3:$D$6,2,FALSE)&amp;ROW(P260))),IF(P$86&lt;&gt;"","Data Source Error",0))))</f>
        <v>0</v>
      </c>
      <c r="R260" s="27"/>
      <c r="S260" s="589"/>
      <c r="T260" s="978">
        <f ca="1">IF($H$7&lt;5,0,IF(S260&lt;&gt;"",S260,IFERROR(IF(INDIRECT("'"&amp;S$86&amp;"'!"&amp;VLOOKUP(S$87,'List Values'!$C$3:$D$6,2,FALSE)&amp;ROW(S260))="",0,INDIRECT("'"&amp;S$86&amp;"'!"&amp;VLOOKUP(S$87,'List Values'!$C$3:$D$6,2,FALSE)&amp;ROW(S260))),IF(S$86&lt;&gt;"","Data Source Error",0))))</f>
        <v>0</v>
      </c>
      <c r="U260" s="27"/>
      <c r="V260" s="589"/>
      <c r="W260" s="981">
        <f ca="1">IF($H$7&lt;6,0,IF(V260&lt;&gt;"",V260,IFERROR(IF(INDIRECT("'"&amp;V$86&amp;"'!"&amp;VLOOKUP(V$87,'List Values'!$C$3:$D$6,2,FALSE)&amp;ROW(V260))="",0,INDIRECT("'"&amp;V$86&amp;"'!"&amp;VLOOKUP(V$87,'List Values'!$C$3:$D$6,2,FALSE)&amp;ROW(V260))),IF(V$86&lt;&gt;"","Data Source Error",0))))</f>
        <v>0</v>
      </c>
      <c r="Y260" s="2619" t="s">
        <v>673</v>
      </c>
      <c r="Z260" s="2620"/>
      <c r="AA260" s="2620"/>
      <c r="AB260" s="2621"/>
    </row>
    <row r="261" spans="1:28" ht="32.25" customHeight="1" outlineLevel="1">
      <c r="B261" s="2686" t="s">
        <v>2532</v>
      </c>
      <c r="C261" s="2686"/>
      <c r="D261" s="2686"/>
      <c r="E261" s="694"/>
      <c r="F261" s="694"/>
      <c r="G261" s="646"/>
      <c r="H261" s="647"/>
      <c r="I261" s="483"/>
      <c r="J261" s="588"/>
      <c r="K261" s="978">
        <f ca="1">IF($H$7&lt;2,0,IF(J261&lt;&gt;"",J261,IFERROR(IF(INDIRECT("'"&amp;J$86&amp;"'!"&amp;VLOOKUP(J$87,'List Values'!$C$3:$D$6,2,FALSE)&amp;ROW(J261))="",IF(K$260=0,0,K$96),INDIRECT("'"&amp;J$86&amp;"'!"&amp;VLOOKUP(J$87,'List Values'!$C$3:$D$6,2,FALSE)&amp;ROW(J261))),IF(J$86&lt;&gt;"","Data Source Error",0))))</f>
        <v>0</v>
      </c>
      <c r="L261" s="515"/>
      <c r="M261" s="588"/>
      <c r="N261" s="978">
        <f ca="1">IF($H$7&lt;3,0,IF(M261&lt;&gt;"",M261,IFERROR(IF(INDIRECT("'"&amp;M$86&amp;"'!"&amp;VLOOKUP(M$87,'List Values'!$C$3:$D$6,2,FALSE)&amp;ROW(M261))="",IF(N$260=0,0,N$96),INDIRECT("'"&amp;M$86&amp;"'!"&amp;VLOOKUP(M$87,'List Values'!$C$3:$D$6,2,FALSE)&amp;ROW(M261))),IF(M$86&lt;&gt;"","Data Source Error",0))))</f>
        <v>0</v>
      </c>
      <c r="O261" s="515"/>
      <c r="P261" s="589"/>
      <c r="Q261" s="978">
        <f ca="1">IF($H$7&lt;4,0,IF(P261&lt;&gt;"",P261,IFERROR(IF(INDIRECT("'"&amp;P$86&amp;"'!"&amp;VLOOKUP(P$87,'List Values'!$C$3:$D$6,2,FALSE)&amp;ROW(P261))="",IF(Q$260=0,0,Q$96),INDIRECT("'"&amp;P$86&amp;"'!"&amp;VLOOKUP(P$87,'List Values'!$C$3:$D$6,2,FALSE)&amp;ROW(P261))),IF(P$86&lt;&gt;"","Data Source Error",0))))</f>
        <v>0</v>
      </c>
      <c r="R261" s="515"/>
      <c r="S261" s="589"/>
      <c r="T261" s="978">
        <f ca="1">IF($H$7&lt;5,0,IF(S261&lt;&gt;"",S261,IFERROR(IF(INDIRECT("'"&amp;S$86&amp;"'!"&amp;VLOOKUP(S$87,'List Values'!$C$3:$D$6,2,FALSE)&amp;ROW(S261))="",IF(T$260=0,0,T$96),INDIRECT("'"&amp;S$86&amp;"'!"&amp;VLOOKUP(S$87,'List Values'!$C$3:$D$6,2,FALSE)&amp;ROW(S261))),IF(S$86&lt;&gt;"","Data Source Error",0))))</f>
        <v>0</v>
      </c>
      <c r="U261" s="515"/>
      <c r="V261" s="589"/>
      <c r="W261" s="981">
        <f ca="1">IF($H$7&lt;6,0,IF(V261&lt;&gt;"",V261,IFERROR(IF(INDIRECT("'"&amp;V$86&amp;"'!"&amp;VLOOKUP(V$87,'List Values'!$C$3:$D$6,2,FALSE)&amp;ROW(V261))="",IF(W$260=0,0,W$96),INDIRECT("'"&amp;V$86&amp;"'!"&amp;VLOOKUP(V$87,'List Values'!$C$3:$D$6,2,FALSE)&amp;ROW(V261))),IF(V$86&lt;&gt;"","Data Source Error",0))))</f>
        <v>0</v>
      </c>
      <c r="Y261" s="2643"/>
      <c r="Z261" s="2644"/>
      <c r="AA261" s="2644"/>
      <c r="AB261" s="2645"/>
    </row>
    <row r="262" spans="1:28" ht="21" customHeight="1">
      <c r="A262" s="1"/>
      <c r="B262" s="612" t="s">
        <v>619</v>
      </c>
      <c r="C262" s="604"/>
      <c r="D262" s="604"/>
      <c r="E262" s="614"/>
      <c r="F262" s="608"/>
      <c r="G262" s="615"/>
      <c r="H262" s="611"/>
      <c r="I262" s="608"/>
      <c r="J262" s="610"/>
      <c r="K262" s="970"/>
      <c r="L262" s="608"/>
      <c r="M262" s="610"/>
      <c r="N262" s="970"/>
      <c r="O262" s="608"/>
      <c r="P262" s="610"/>
      <c r="Q262" s="970"/>
      <c r="R262" s="608"/>
      <c r="S262" s="610"/>
      <c r="T262" s="970"/>
      <c r="U262" s="608"/>
      <c r="V262" s="610"/>
      <c r="W262" s="970"/>
      <c r="Y262" s="631"/>
      <c r="Z262" s="631"/>
      <c r="AA262" s="631"/>
      <c r="AB262" s="631"/>
    </row>
    <row r="263" spans="1:28" ht="15.75" customHeight="1" outlineLevel="1">
      <c r="A263" s="512"/>
      <c r="B263" s="252"/>
      <c r="C263" s="2580" t="s">
        <v>625</v>
      </c>
      <c r="D263" s="2580"/>
      <c r="E263" s="202"/>
      <c r="F263" s="202"/>
      <c r="G263" s="634"/>
      <c r="H263" s="635"/>
      <c r="I263" s="183"/>
      <c r="J263" s="628"/>
      <c r="K263" s="967" t="str">
        <f ca="1">IF(OR($H$7&lt;2,K$260&lt;1),"",IF(J263&lt;&gt;"",J263,IFERROR(IF(INDIRECT("'"&amp;J$86&amp;"'!"&amp;VLOOKUP(J$87,'List Values'!$C$3:$D$6,2,FALSE)&amp;ROW(J263))="","",INDIRECT("'"&amp;J$86&amp;"'!"&amp;VLOOKUP(J$87,'List Values'!$C$3:$D$6,2,FALSE)&amp;ROW(J263))),IF(J$86&lt;&gt;"","Data Source Error",""))))</f>
        <v/>
      </c>
      <c r="L263" s="629"/>
      <c r="M263" s="628"/>
      <c r="N263" s="967" t="str">
        <f ca="1">IF(OR($H$7&lt;3,N$260&lt;1),"",IF(M263&lt;&gt;"",M263,IFERROR(IF(INDIRECT("'"&amp;M$86&amp;"'!"&amp;VLOOKUP(M$87,'List Values'!$C$3:$D$6,2,FALSE)&amp;ROW(M263))="","",INDIRECT("'"&amp;M$86&amp;"'!"&amp;VLOOKUP(M$87,'List Values'!$C$3:$D$6,2,FALSE)&amp;ROW(M263))),IF(M$86&lt;&gt;"","Data Source Error",""))))</f>
        <v/>
      </c>
      <c r="O263" s="629"/>
      <c r="P263" s="628"/>
      <c r="Q263" s="967" t="str">
        <f ca="1">IF(OR($H$7&lt;4,Q$260&lt;1),"",IF(P263&lt;&gt;"",P263,IFERROR(IF(INDIRECT("'"&amp;P$86&amp;"'!"&amp;VLOOKUP(P$87,'List Values'!$C$3:$D$6,2,FALSE)&amp;ROW(P263))="","",INDIRECT("'"&amp;P$86&amp;"'!"&amp;VLOOKUP(P$87,'List Values'!$C$3:$D$6,2,FALSE)&amp;ROW(P263))),IF(P$86&lt;&gt;"","Data Source Error",""))))</f>
        <v/>
      </c>
      <c r="R263" s="147"/>
      <c r="S263" s="628"/>
      <c r="T263" s="967" t="str">
        <f ca="1">IF(OR($H$7&lt;5,T$260&lt;1),"",IF(S263&lt;&gt;"",S263,IFERROR(IF(INDIRECT("'"&amp;S$86&amp;"'!"&amp;VLOOKUP(S$87,'List Values'!$C$3:$D$6,2,FALSE)&amp;ROW(S263))="","",INDIRECT("'"&amp;S$86&amp;"'!"&amp;VLOOKUP(S$87,'List Values'!$C$3:$D$6,2,FALSE)&amp;ROW(S263))),IF(S$86&lt;&gt;"","Data Source Error",""))))</f>
        <v/>
      </c>
      <c r="U263" s="147"/>
      <c r="V263" s="628"/>
      <c r="W263" s="973" t="str">
        <f ca="1">IF(OR($H$7&lt;6,W$260&lt;1),"",IF(V263&lt;&gt;"",V263,IFERROR(IF(INDIRECT("'"&amp;V$86&amp;"'!"&amp;VLOOKUP(V$87,'List Values'!$C$3:$D$6,2,FALSE)&amp;ROW(V263))="","",INDIRECT("'"&amp;V$86&amp;"'!"&amp;VLOOKUP(V$87,'List Values'!$C$3:$D$6,2,FALSE)&amp;ROW(V263))),IF(V$86&lt;&gt;"","Data Source Error",""))))</f>
        <v/>
      </c>
      <c r="Y263" s="2643"/>
      <c r="Z263" s="2644"/>
      <c r="AA263" s="2644"/>
      <c r="AB263" s="2645"/>
    </row>
    <row r="264" spans="1:28" ht="15.75" customHeight="1" outlineLevel="1">
      <c r="A264" s="512"/>
      <c r="B264" s="252"/>
      <c r="C264" s="2680" t="s">
        <v>626</v>
      </c>
      <c r="D264" s="2680"/>
      <c r="E264" s="192"/>
      <c r="F264" s="192"/>
      <c r="G264" s="636"/>
      <c r="H264" s="637"/>
      <c r="I264" s="187"/>
      <c r="J264" s="526"/>
      <c r="K264" s="900" t="str">
        <f ca="1">IF(OR($H$7&lt;2,K$260&lt;1),"",IF(J264&lt;&gt;"",J264,IFERROR(IF(INDIRECT("'"&amp;J$86&amp;"'!"&amp;VLOOKUP(J$87,'List Values'!$C$3:$D$6,2,FALSE)&amp;ROW(J264))="","",INDIRECT("'"&amp;J$86&amp;"'!"&amp;VLOOKUP(J$87,'List Values'!$C$3:$D$6,2,FALSE)&amp;ROW(J264))),IF(J$86&lt;&gt;"","Data Source Error",""))))</f>
        <v/>
      </c>
      <c r="L264" s="187"/>
      <c r="M264" s="526"/>
      <c r="N264" s="900" t="str">
        <f ca="1">IF(OR($H$7&lt;3,N$260&lt;1),"",IF(M264&lt;&gt;"",M264,IFERROR(IF(INDIRECT("'"&amp;M$86&amp;"'!"&amp;VLOOKUP(M$87,'List Values'!$C$3:$D$6,2,FALSE)&amp;ROW(M264))="","",INDIRECT("'"&amp;M$86&amp;"'!"&amp;VLOOKUP(M$87,'List Values'!$C$3:$D$6,2,FALSE)&amp;ROW(M264))),IF(M$86&lt;&gt;"","Data Source Error",""))))</f>
        <v/>
      </c>
      <c r="O264" s="187"/>
      <c r="P264" s="526"/>
      <c r="Q264" s="900" t="str">
        <f ca="1">IF(OR($H$7&lt;4,Q$260&lt;1),"",IF(P264&lt;&gt;"",P264,IFERROR(IF(INDIRECT("'"&amp;P$86&amp;"'!"&amp;VLOOKUP(P$87,'List Values'!$C$3:$D$6,2,FALSE)&amp;ROW(P264))="","",INDIRECT("'"&amp;P$86&amp;"'!"&amp;VLOOKUP(P$87,'List Values'!$C$3:$D$6,2,FALSE)&amp;ROW(P264))),IF(P$86&lt;&gt;"","Data Source Error",""))))</f>
        <v/>
      </c>
      <c r="S264" s="526"/>
      <c r="T264" s="900" t="str">
        <f ca="1">IF(OR($H$7&lt;5,T$260&lt;1),"",IF(S264&lt;&gt;"",S264,IFERROR(IF(INDIRECT("'"&amp;S$86&amp;"'!"&amp;VLOOKUP(S$87,'List Values'!$C$3:$D$6,2,FALSE)&amp;ROW(S264))="","",INDIRECT("'"&amp;S$86&amp;"'!"&amp;VLOOKUP(S$87,'List Values'!$C$3:$D$6,2,FALSE)&amp;ROW(S264))),IF(S$86&lt;&gt;"","Data Source Error",""))))</f>
        <v/>
      </c>
      <c r="V264" s="526"/>
      <c r="W264" s="911" t="str">
        <f ca="1">IF(OR($H$7&lt;6,W$260&lt;1),"",IF(V264&lt;&gt;"",V264,IFERROR(IF(INDIRECT("'"&amp;V$86&amp;"'!"&amp;VLOOKUP(V$87,'List Values'!$C$3:$D$6,2,FALSE)&amp;ROW(V264))="","",INDIRECT("'"&amp;V$86&amp;"'!"&amp;VLOOKUP(V$87,'List Values'!$C$3:$D$6,2,FALSE)&amp;ROW(V264))),IF(V$86&lt;&gt;"","Data Source Error",""))))</f>
        <v/>
      </c>
      <c r="Y264" s="2643"/>
      <c r="Z264" s="2644"/>
      <c r="AA264" s="2644"/>
      <c r="AB264" s="2645"/>
    </row>
    <row r="265" spans="1:28" ht="31" customHeight="1" outlineLevel="1">
      <c r="A265" s="512"/>
      <c r="B265" s="252"/>
      <c r="C265" s="2680" t="s">
        <v>627</v>
      </c>
      <c r="D265" s="2680"/>
      <c r="E265" s="192"/>
      <c r="F265" s="192"/>
      <c r="G265" s="636"/>
      <c r="H265" s="637"/>
      <c r="I265" s="187"/>
      <c r="J265" s="561"/>
      <c r="K265" s="900" t="str">
        <f ca="1">IF(OR($H$7&lt;2,K$260&lt;1),"",IF(J265&lt;&gt;"",J265,IFERROR(IF(INDIRECT("'"&amp;J$86&amp;"'!"&amp;VLOOKUP(J$87,'List Values'!$C$3:$D$6,2,FALSE)&amp;ROW(J265))="","",INDIRECT("'"&amp;J$86&amp;"'!"&amp;VLOOKUP(J$87,'List Values'!$C$3:$D$6,2,FALSE)&amp;ROW(J265))),IF(J$86&lt;&gt;"","Data Source Error",""))))</f>
        <v/>
      </c>
      <c r="L265" s="187"/>
      <c r="M265" s="561"/>
      <c r="N265" s="900" t="str">
        <f ca="1">IF(OR($H$7&lt;3,N$260&lt;1),"",IF(M265&lt;&gt;"",M265,IFERROR(IF(INDIRECT("'"&amp;M$86&amp;"'!"&amp;VLOOKUP(M$87,'List Values'!$C$3:$D$6,2,FALSE)&amp;ROW(M265))="","",INDIRECT("'"&amp;M$86&amp;"'!"&amp;VLOOKUP(M$87,'List Values'!$C$3:$D$6,2,FALSE)&amp;ROW(M265))),IF(M$86&lt;&gt;"","Data Source Error",""))))</f>
        <v/>
      </c>
      <c r="O265" s="187"/>
      <c r="P265" s="561"/>
      <c r="Q265" s="900" t="str">
        <f ca="1">IF(OR($H$7&lt;4,Q$260&lt;1),"",IF(P265&lt;&gt;"",P265,IFERROR(IF(INDIRECT("'"&amp;P$86&amp;"'!"&amp;VLOOKUP(P$87,'List Values'!$C$3:$D$6,2,FALSE)&amp;ROW(P265))="","",INDIRECT("'"&amp;P$86&amp;"'!"&amp;VLOOKUP(P$87,'List Values'!$C$3:$D$6,2,FALSE)&amp;ROW(P265))),IF(P$86&lt;&gt;"","Data Source Error",""))))</f>
        <v/>
      </c>
      <c r="S265" s="561"/>
      <c r="T265" s="900" t="str">
        <f ca="1">IF(OR($H$7&lt;5,T$260&lt;1),"",IF(S265&lt;&gt;"",S265,IFERROR(IF(INDIRECT("'"&amp;S$86&amp;"'!"&amp;VLOOKUP(S$87,'List Values'!$C$3:$D$6,2,FALSE)&amp;ROW(S265))="","",INDIRECT("'"&amp;S$86&amp;"'!"&amp;VLOOKUP(S$87,'List Values'!$C$3:$D$6,2,FALSE)&amp;ROW(S265))),IF(S$86&lt;&gt;"","Data Source Error",""))))</f>
        <v/>
      </c>
      <c r="V265" s="561"/>
      <c r="W265" s="911" t="str">
        <f ca="1">IF(OR($H$7&lt;6,W$260&lt;1),"",IF(V265&lt;&gt;"",V265,IFERROR(IF(INDIRECT("'"&amp;V$86&amp;"'!"&amp;VLOOKUP(V$87,'List Values'!$C$3:$D$6,2,FALSE)&amp;ROW(V265))="","",INDIRECT("'"&amp;V$86&amp;"'!"&amp;VLOOKUP(V$87,'List Values'!$C$3:$D$6,2,FALSE)&amp;ROW(V265))),IF(V$86&lt;&gt;"","Data Source Error",""))))</f>
        <v/>
      </c>
      <c r="Y265" s="2643"/>
      <c r="Z265" s="2644"/>
      <c r="AA265" s="2644"/>
      <c r="AB265" s="2645"/>
    </row>
    <row r="266" spans="1:28" ht="31" customHeight="1" outlineLevel="1">
      <c r="A266" s="512"/>
      <c r="B266" s="252"/>
      <c r="C266" s="2684" t="s">
        <v>628</v>
      </c>
      <c r="D266" s="2684"/>
      <c r="E266" s="192"/>
      <c r="F266" s="192"/>
      <c r="G266" s="636"/>
      <c r="H266" s="637"/>
      <c r="I266" s="187"/>
      <c r="J266" s="526"/>
      <c r="K266" s="900" t="str">
        <f ca="1">IF(OR($H$7&lt;2,K$260&lt;1),"",IF(J266&lt;&gt;"",J266,IFERROR(IF(INDIRECT("'"&amp;J$86&amp;"'!"&amp;VLOOKUP(J$87,'List Values'!$C$3:$D$6,2,FALSE)&amp;ROW(J266))="","",INDIRECT("'"&amp;J$86&amp;"'!"&amp;VLOOKUP(J$87,'List Values'!$C$3:$D$6,2,FALSE)&amp;ROW(J266))),IF(J$86&lt;&gt;"","Data Source Error",""))))</f>
        <v/>
      </c>
      <c r="L266" s="187"/>
      <c r="M266" s="526"/>
      <c r="N266" s="900" t="str">
        <f ca="1">IF(OR($H$7&lt;3,N$260&lt;1),"",IF(M266&lt;&gt;"",M266,IFERROR(IF(INDIRECT("'"&amp;M$86&amp;"'!"&amp;VLOOKUP(M$87,'List Values'!$C$3:$D$6,2,FALSE)&amp;ROW(M266))="","",INDIRECT("'"&amp;M$86&amp;"'!"&amp;VLOOKUP(M$87,'List Values'!$C$3:$D$6,2,FALSE)&amp;ROW(M266))),IF(M$86&lt;&gt;"","Data Source Error",""))))</f>
        <v/>
      </c>
      <c r="O266" s="187"/>
      <c r="P266" s="526"/>
      <c r="Q266" s="900" t="str">
        <f ca="1">IF(OR($H$7&lt;4,Q$260&lt;1),"",IF(P266&lt;&gt;"",P266,IFERROR(IF(INDIRECT("'"&amp;P$86&amp;"'!"&amp;VLOOKUP(P$87,'List Values'!$C$3:$D$6,2,FALSE)&amp;ROW(P266))="","",INDIRECT("'"&amp;P$86&amp;"'!"&amp;VLOOKUP(P$87,'List Values'!$C$3:$D$6,2,FALSE)&amp;ROW(P266))),IF(P$86&lt;&gt;"","Data Source Error",""))))</f>
        <v/>
      </c>
      <c r="S266" s="526"/>
      <c r="T266" s="900" t="str">
        <f ca="1">IF(OR($H$7&lt;5,T$260&lt;1),"",IF(S266&lt;&gt;"",S266,IFERROR(IF(INDIRECT("'"&amp;S$86&amp;"'!"&amp;VLOOKUP(S$87,'List Values'!$C$3:$D$6,2,FALSE)&amp;ROW(S266))="","",INDIRECT("'"&amp;S$86&amp;"'!"&amp;VLOOKUP(S$87,'List Values'!$C$3:$D$6,2,FALSE)&amp;ROW(S266))),IF(S$86&lt;&gt;"","Data Source Error",""))))</f>
        <v/>
      </c>
      <c r="V266" s="526"/>
      <c r="W266" s="911" t="str">
        <f ca="1">IF(OR($H$7&lt;6,W$260&lt;1),"",IF(V266&lt;&gt;"",V266,IFERROR(IF(INDIRECT("'"&amp;V$86&amp;"'!"&amp;VLOOKUP(V$87,'List Values'!$C$3:$D$6,2,FALSE)&amp;ROW(V266))="","",INDIRECT("'"&amp;V$86&amp;"'!"&amp;VLOOKUP(V$87,'List Values'!$C$3:$D$6,2,FALSE)&amp;ROW(V266))),IF(V$86&lt;&gt;"","Data Source Error",""))))</f>
        <v/>
      </c>
      <c r="Y266" s="2643"/>
      <c r="Z266" s="2644"/>
      <c r="AA266" s="2644"/>
      <c r="AB266" s="2645"/>
    </row>
    <row r="267" spans="1:28" ht="33" customHeight="1" outlineLevel="1">
      <c r="A267" s="512"/>
      <c r="B267" s="252"/>
      <c r="C267" s="2684" t="s">
        <v>629</v>
      </c>
      <c r="D267" s="2684"/>
      <c r="E267" s="192"/>
      <c r="F267" s="192"/>
      <c r="G267" s="636"/>
      <c r="H267" s="637"/>
      <c r="I267" s="187"/>
      <c r="J267" s="568"/>
      <c r="K267" s="945" t="str">
        <f ca="1">IF(OR($H$7&lt;2,K$260&lt;1),"",IF(J267&lt;&gt;"",J267,IFERROR(IF(INDIRECT("'"&amp;J$86&amp;"'!"&amp;VLOOKUP(J$87,'List Values'!$C$3:$D$6,2,FALSE)&amp;ROW(J267))="","",INDIRECT("'"&amp;J$86&amp;"'!"&amp;VLOOKUP(J$87,'List Values'!$C$3:$D$6,2,FALSE)&amp;ROW(J267))),IF(J$86&lt;&gt;"","Data Source Error",""))))</f>
        <v/>
      </c>
      <c r="L267" s="339"/>
      <c r="M267" s="568"/>
      <c r="N267" s="945" t="str">
        <f ca="1">IF(OR($H$7&lt;3,N$260&lt;1),"",IF(M267&lt;&gt;"",M267,IFERROR(IF(INDIRECT("'"&amp;M$86&amp;"'!"&amp;VLOOKUP(M$87,'List Values'!$C$3:$D$6,2,FALSE)&amp;ROW(M267))="","",INDIRECT("'"&amp;M$86&amp;"'!"&amp;VLOOKUP(M$87,'List Values'!$C$3:$D$6,2,FALSE)&amp;ROW(M267))),IF(M$86&lt;&gt;"","Data Source Error",""))))</f>
        <v/>
      </c>
      <c r="O267" s="339"/>
      <c r="P267" s="568"/>
      <c r="Q267" s="945" t="str">
        <f ca="1">IF(OR($H$7&lt;4,Q$260&lt;1),"",IF(P267&lt;&gt;"",P267,IFERROR(IF(INDIRECT("'"&amp;P$86&amp;"'!"&amp;VLOOKUP(P$87,'List Values'!$C$3:$D$6,2,FALSE)&amp;ROW(P267))="","",INDIRECT("'"&amp;P$86&amp;"'!"&amp;VLOOKUP(P$87,'List Values'!$C$3:$D$6,2,FALSE)&amp;ROW(P267))),IF(P$86&lt;&gt;"","Data Source Error",""))))</f>
        <v/>
      </c>
      <c r="R267" s="7"/>
      <c r="S267" s="568"/>
      <c r="T267" s="945" t="str">
        <f ca="1">IF(OR($H$7&lt;5,T$260&lt;1),"",IF(S267&lt;&gt;"",S267,IFERROR(IF(INDIRECT("'"&amp;S$86&amp;"'!"&amp;VLOOKUP(S$87,'List Values'!$C$3:$D$6,2,FALSE)&amp;ROW(S267))="","",INDIRECT("'"&amp;S$86&amp;"'!"&amp;VLOOKUP(S$87,'List Values'!$C$3:$D$6,2,FALSE)&amp;ROW(S267))),IF(S$86&lt;&gt;"","Data Source Error",""))))</f>
        <v/>
      </c>
      <c r="U267" s="7"/>
      <c r="V267" s="568"/>
      <c r="W267" s="952" t="str">
        <f ca="1">IF(OR($H$7&lt;6,W$260&lt;1),"",IF(V267&lt;&gt;"",V267,IFERROR(IF(INDIRECT("'"&amp;V$86&amp;"'!"&amp;VLOOKUP(V$87,'List Values'!$C$3:$D$6,2,FALSE)&amp;ROW(V267))="","",INDIRECT("'"&amp;V$86&amp;"'!"&amp;VLOOKUP(V$87,'List Values'!$C$3:$D$6,2,FALSE)&amp;ROW(V267))),IF(V$86&lt;&gt;"","Data Source Error",""))))</f>
        <v/>
      </c>
      <c r="Y267" s="2643"/>
      <c r="Z267" s="2644"/>
      <c r="AA267" s="2644"/>
      <c r="AB267" s="2645"/>
    </row>
    <row r="268" spans="1:28" ht="15.75" customHeight="1" outlineLevel="1">
      <c r="A268" s="512"/>
      <c r="B268" s="252"/>
      <c r="C268" s="2680" t="s">
        <v>630</v>
      </c>
      <c r="D268" s="2680"/>
      <c r="E268" s="192"/>
      <c r="F268" s="192"/>
      <c r="G268" s="636"/>
      <c r="H268" s="637"/>
      <c r="I268" s="187"/>
      <c r="J268" s="526"/>
      <c r="K268" s="900" t="str">
        <f ca="1">IF(OR($H$7&lt;2,K$260&lt;1),"",IF(J268&lt;&gt;"",J268,IFERROR(IF(INDIRECT("'"&amp;J$86&amp;"'!"&amp;VLOOKUP(J$87,'List Values'!$C$3:$D$6,2,FALSE)&amp;ROW(J268))="","",INDIRECT("'"&amp;J$86&amp;"'!"&amp;VLOOKUP(J$87,'List Values'!$C$3:$D$6,2,FALSE)&amp;ROW(J268))),IF(J$86&lt;&gt;"","Data Source Error",""))))</f>
        <v/>
      </c>
      <c r="L268" s="187"/>
      <c r="M268" s="526"/>
      <c r="N268" s="900" t="str">
        <f ca="1">IF(OR($H$7&lt;3,N$260&lt;1),"",IF(M268&lt;&gt;"",M268,IFERROR(IF(INDIRECT("'"&amp;M$86&amp;"'!"&amp;VLOOKUP(M$87,'List Values'!$C$3:$D$6,2,FALSE)&amp;ROW(M268))="","",INDIRECT("'"&amp;M$86&amp;"'!"&amp;VLOOKUP(M$87,'List Values'!$C$3:$D$6,2,FALSE)&amp;ROW(M268))),IF(M$86&lt;&gt;"","Data Source Error",""))))</f>
        <v/>
      </c>
      <c r="O268" s="187"/>
      <c r="P268" s="526"/>
      <c r="Q268" s="900" t="str">
        <f ca="1">IF(OR($H$7&lt;4,Q$260&lt;1),"",IF(P268&lt;&gt;"",P268,IFERROR(IF(INDIRECT("'"&amp;P$86&amp;"'!"&amp;VLOOKUP(P$87,'List Values'!$C$3:$D$6,2,FALSE)&amp;ROW(P268))="","",INDIRECT("'"&amp;P$86&amp;"'!"&amp;VLOOKUP(P$87,'List Values'!$C$3:$D$6,2,FALSE)&amp;ROW(P268))),IF(P$86&lt;&gt;"","Data Source Error",""))))</f>
        <v/>
      </c>
      <c r="S268" s="526"/>
      <c r="T268" s="900" t="str">
        <f ca="1">IF(OR($H$7&lt;5,T$260&lt;1),"",IF(S268&lt;&gt;"",S268,IFERROR(IF(INDIRECT("'"&amp;S$86&amp;"'!"&amp;VLOOKUP(S$87,'List Values'!$C$3:$D$6,2,FALSE)&amp;ROW(S268))="","",INDIRECT("'"&amp;S$86&amp;"'!"&amp;VLOOKUP(S$87,'List Values'!$C$3:$D$6,2,FALSE)&amp;ROW(S268))),IF(S$86&lt;&gt;"","Data Source Error",""))))</f>
        <v/>
      </c>
      <c r="V268" s="526"/>
      <c r="W268" s="911" t="str">
        <f ca="1">IF(OR($H$7&lt;6,W$260&lt;1),"",IF(V268&lt;&gt;"",V268,IFERROR(IF(INDIRECT("'"&amp;V$86&amp;"'!"&amp;VLOOKUP(V$87,'List Values'!$C$3:$D$6,2,FALSE)&amp;ROW(V268))="","",INDIRECT("'"&amp;V$86&amp;"'!"&amp;VLOOKUP(V$87,'List Values'!$C$3:$D$6,2,FALSE)&amp;ROW(V268))),IF(V$86&lt;&gt;"","Data Source Error",""))))</f>
        <v/>
      </c>
      <c r="Y268" s="2643"/>
      <c r="Z268" s="2644"/>
      <c r="AA268" s="2644"/>
      <c r="AB268" s="2645"/>
    </row>
    <row r="269" spans="1:28" ht="31" customHeight="1" outlineLevel="1">
      <c r="A269" s="512"/>
      <c r="B269" s="252"/>
      <c r="C269" s="2684" t="s">
        <v>634</v>
      </c>
      <c r="D269" s="2684"/>
      <c r="E269" s="203"/>
      <c r="F269" s="203"/>
      <c r="G269" s="644"/>
      <c r="H269" s="645"/>
      <c r="I269" s="183"/>
      <c r="J269" s="553"/>
      <c r="K269" s="897" t="str">
        <f ca="1">IF(OR($H$7&lt;2,K$260&lt;1),"",IF(J269&lt;&gt;"",J269,IFERROR(IF(INDIRECT("'"&amp;J$86&amp;"'!"&amp;VLOOKUP(J$87,'List Values'!$C$3:$D$6,2,FALSE)&amp;ROW(J269))="","",INDIRECT("'"&amp;J$86&amp;"'!"&amp;VLOOKUP(J$87,'List Values'!$C$3:$D$6,2,FALSE)&amp;ROW(J269))),IF(J$86&lt;&gt;"","Data Source Error",""))))</f>
        <v/>
      </c>
      <c r="L269" s="183"/>
      <c r="M269" s="553"/>
      <c r="N269" s="897" t="str">
        <f ca="1">IF(OR($H$7&lt;3,N$260&lt;1),"",IF(M269&lt;&gt;"",M269,IFERROR(IF(INDIRECT("'"&amp;M$86&amp;"'!"&amp;VLOOKUP(M$87,'List Values'!$C$3:$D$6,2,FALSE)&amp;ROW(M269))="","",INDIRECT("'"&amp;M$86&amp;"'!"&amp;VLOOKUP(M$87,'List Values'!$C$3:$D$6,2,FALSE)&amp;ROW(M269))),IF(M$86&lt;&gt;"","Data Source Error",""))))</f>
        <v/>
      </c>
      <c r="O269" s="183"/>
      <c r="P269" s="553"/>
      <c r="Q269" s="897" t="str">
        <f ca="1">IF(OR($H$7&lt;4,Q$260&lt;1),"",IF(P269&lt;&gt;"",P269,IFERROR(IF(INDIRECT("'"&amp;P$86&amp;"'!"&amp;VLOOKUP(P$87,'List Values'!$C$3:$D$6,2,FALSE)&amp;ROW(P269))="","",INDIRECT("'"&amp;P$86&amp;"'!"&amp;VLOOKUP(P$87,'List Values'!$C$3:$D$6,2,FALSE)&amp;ROW(P269))),IF(P$86&lt;&gt;"","Data Source Error",""))))</f>
        <v/>
      </c>
      <c r="S269" s="553"/>
      <c r="T269" s="897" t="str">
        <f ca="1">IF(OR($H$7&lt;5,T$260&lt;1),"",IF(S269&lt;&gt;"",S269,IFERROR(IF(INDIRECT("'"&amp;S$86&amp;"'!"&amp;VLOOKUP(S$87,'List Values'!$C$3:$D$6,2,FALSE)&amp;ROW(S269))="","",INDIRECT("'"&amp;S$86&amp;"'!"&amp;VLOOKUP(S$87,'List Values'!$C$3:$D$6,2,FALSE)&amp;ROW(S269))),IF(S$86&lt;&gt;"","Data Source Error",""))))</f>
        <v/>
      </c>
      <c r="V269" s="553"/>
      <c r="W269" s="908" t="str">
        <f ca="1">IF(OR($H$7&lt;6,W$260&lt;1),"",IF(V269&lt;&gt;"",V269,IFERROR(IF(INDIRECT("'"&amp;V$86&amp;"'!"&amp;VLOOKUP(V$87,'List Values'!$C$3:$D$6,2,FALSE)&amp;ROW(V269))="","",INDIRECT("'"&amp;V$86&amp;"'!"&amp;VLOOKUP(V$87,'List Values'!$C$3:$D$6,2,FALSE)&amp;ROW(V269))),IF(V$86&lt;&gt;"","Data Source Error",""))))</f>
        <v/>
      </c>
      <c r="Y269" s="2643"/>
      <c r="Z269" s="2644"/>
      <c r="AA269" s="2644"/>
      <c r="AB269" s="2645"/>
    </row>
    <row r="270" spans="1:28" ht="31" customHeight="1" outlineLevel="1">
      <c r="A270" s="512"/>
      <c r="B270" s="252"/>
      <c r="C270" s="2680" t="s">
        <v>1551</v>
      </c>
      <c r="D270" s="2680"/>
      <c r="E270" s="192"/>
      <c r="F270" s="192"/>
      <c r="G270" s="636"/>
      <c r="H270" s="637"/>
      <c r="I270" s="187"/>
      <c r="J270" s="619"/>
      <c r="K270" s="898" t="str">
        <f ca="1">IF(OR($H$7&lt;2,K$260&lt;1),"",IF(J270&lt;&gt;"",J270,IFERROR(IF(INDIRECT("'"&amp;J$86&amp;"'!"&amp;VLOOKUP(J$87,'List Values'!$C$3:$D$6,2,FALSE)&amp;ROW(J270))="","",INDIRECT("'"&amp;J$86&amp;"'!"&amp;VLOOKUP(J$87,'List Values'!$C$3:$D$6,2,FALSE)&amp;ROW(J270))),IF(J$86&lt;&gt;"","Data Source Error",""))))</f>
        <v/>
      </c>
      <c r="L270" s="621"/>
      <c r="M270" s="619"/>
      <c r="N270" s="898" t="str">
        <f ca="1">IF(OR($H$7&lt;3,N$260&lt;1),"",IF(M270&lt;&gt;"",M270,IFERROR(IF(INDIRECT("'"&amp;M$86&amp;"'!"&amp;VLOOKUP(M$87,'List Values'!$C$3:$D$6,2,FALSE)&amp;ROW(M270))="","",INDIRECT("'"&amp;M$86&amp;"'!"&amp;VLOOKUP(M$87,'List Values'!$C$3:$D$6,2,FALSE)&amp;ROW(M270))),IF(M$86&lt;&gt;"","Data Source Error",""))))</f>
        <v/>
      </c>
      <c r="O270" s="621"/>
      <c r="P270" s="619"/>
      <c r="Q270" s="898" t="str">
        <f ca="1">IF(OR($H$7&lt;4,Q$260&lt;1),"",IF(P270&lt;&gt;"",P270,IFERROR(IF(INDIRECT("'"&amp;P$86&amp;"'!"&amp;VLOOKUP(P$87,'List Values'!$C$3:$D$6,2,FALSE)&amp;ROW(P270))="","",INDIRECT("'"&amp;P$86&amp;"'!"&amp;VLOOKUP(P$87,'List Values'!$C$3:$D$6,2,FALSE)&amp;ROW(P270))),IF(P$86&lt;&gt;"","Data Source Error",""))))</f>
        <v/>
      </c>
      <c r="R270" s="147"/>
      <c r="S270" s="619"/>
      <c r="T270" s="898" t="str">
        <f ca="1">IF(OR($H$7&lt;5,T$260&lt;1),"",IF(S270&lt;&gt;"",S270,IFERROR(IF(INDIRECT("'"&amp;S$86&amp;"'!"&amp;VLOOKUP(S$87,'List Values'!$C$3:$D$6,2,FALSE)&amp;ROW(S270))="","",INDIRECT("'"&amp;S$86&amp;"'!"&amp;VLOOKUP(S$87,'List Values'!$C$3:$D$6,2,FALSE)&amp;ROW(S270))),IF(S$86&lt;&gt;"","Data Source Error",""))))</f>
        <v/>
      </c>
      <c r="U270" s="147"/>
      <c r="V270" s="619"/>
      <c r="W270" s="909" t="str">
        <f ca="1">IF(OR($H$7&lt;6,W$260&lt;1),"",IF(V270&lt;&gt;"",V270,IFERROR(IF(INDIRECT("'"&amp;V$86&amp;"'!"&amp;VLOOKUP(V$87,'List Values'!$C$3:$D$6,2,FALSE)&amp;ROW(V270))="","",INDIRECT("'"&amp;V$86&amp;"'!"&amp;VLOOKUP(V$87,'List Values'!$C$3:$D$6,2,FALSE)&amp;ROW(V270))),IF(V$86&lt;&gt;"","Data Source Error",""))))</f>
        <v/>
      </c>
      <c r="Y270" s="2643"/>
      <c r="Z270" s="2644"/>
      <c r="AA270" s="2644"/>
      <c r="AB270" s="2645"/>
    </row>
    <row r="271" spans="1:28" ht="31" customHeight="1" outlineLevel="1">
      <c r="A271" s="512"/>
      <c r="B271" s="252"/>
      <c r="C271" s="2680" t="s">
        <v>1552</v>
      </c>
      <c r="D271" s="2680"/>
      <c r="E271" s="192"/>
      <c r="F271" s="192"/>
      <c r="G271" s="636"/>
      <c r="H271" s="637"/>
      <c r="I271" s="187"/>
      <c r="J271" s="619"/>
      <c r="K271" s="898" t="str">
        <f ca="1">IF(OR($H$7&lt;2,K$260&lt;1),"",IF(J271&lt;&gt;"",J271,IFERROR(IF(INDIRECT("'"&amp;J$86&amp;"'!"&amp;VLOOKUP(J$87,'List Values'!$C$3:$D$6,2,FALSE)&amp;ROW(J271))="","",INDIRECT("'"&amp;J$86&amp;"'!"&amp;VLOOKUP(J$87,'List Values'!$C$3:$D$6,2,FALSE)&amp;ROW(J271))),IF(J$86&lt;&gt;"","Data Source Error",""))))</f>
        <v/>
      </c>
      <c r="L271" s="621"/>
      <c r="M271" s="619"/>
      <c r="N271" s="898" t="str">
        <f ca="1">IF(OR($H$7&lt;3,N$260&lt;1),"",IF(M271&lt;&gt;"",M271,IFERROR(IF(INDIRECT("'"&amp;M$86&amp;"'!"&amp;VLOOKUP(M$87,'List Values'!$C$3:$D$6,2,FALSE)&amp;ROW(M271))="","",INDIRECT("'"&amp;M$86&amp;"'!"&amp;VLOOKUP(M$87,'List Values'!$C$3:$D$6,2,FALSE)&amp;ROW(M271))),IF(M$86&lt;&gt;"","Data Source Error",""))))</f>
        <v/>
      </c>
      <c r="O271" s="621"/>
      <c r="P271" s="619"/>
      <c r="Q271" s="898" t="str">
        <f ca="1">IF(OR($H$7&lt;4,Q$260&lt;1),"",IF(P271&lt;&gt;"",P271,IFERROR(IF(INDIRECT("'"&amp;P$86&amp;"'!"&amp;VLOOKUP(P$87,'List Values'!$C$3:$D$6,2,FALSE)&amp;ROW(P271))="","",INDIRECT("'"&amp;P$86&amp;"'!"&amp;VLOOKUP(P$87,'List Values'!$C$3:$D$6,2,FALSE)&amp;ROW(P271))),IF(P$86&lt;&gt;"","Data Source Error",""))))</f>
        <v/>
      </c>
      <c r="R271" s="147"/>
      <c r="S271" s="619"/>
      <c r="T271" s="898" t="str">
        <f ca="1">IF(OR($H$7&lt;5,T$260&lt;1),"",IF(S271&lt;&gt;"",S271,IFERROR(IF(INDIRECT("'"&amp;S$86&amp;"'!"&amp;VLOOKUP(S$87,'List Values'!$C$3:$D$6,2,FALSE)&amp;ROW(S271))="","",INDIRECT("'"&amp;S$86&amp;"'!"&amp;VLOOKUP(S$87,'List Values'!$C$3:$D$6,2,FALSE)&amp;ROW(S271))),IF(S$86&lt;&gt;"","Data Source Error",""))))</f>
        <v/>
      </c>
      <c r="U271" s="147"/>
      <c r="V271" s="619"/>
      <c r="W271" s="909" t="str">
        <f ca="1">IF(OR($H$7&lt;6,W$260&lt;1),"",IF(V271&lt;&gt;"",V271,IFERROR(IF(INDIRECT("'"&amp;V$86&amp;"'!"&amp;VLOOKUP(V$87,'List Values'!$C$3:$D$6,2,FALSE)&amp;ROW(V271))="","",INDIRECT("'"&amp;V$86&amp;"'!"&amp;VLOOKUP(V$87,'List Values'!$C$3:$D$6,2,FALSE)&amp;ROW(V271))),IF(V$86&lt;&gt;"","Data Source Error",""))))</f>
        <v/>
      </c>
      <c r="Y271" s="2643"/>
      <c r="Z271" s="2644"/>
      <c r="AA271" s="2644"/>
      <c r="AB271" s="2645"/>
    </row>
    <row r="272" spans="1:28" ht="33" customHeight="1" outlineLevel="1">
      <c r="A272" s="512"/>
      <c r="B272" s="252"/>
      <c r="C272" s="2680" t="s">
        <v>331</v>
      </c>
      <c r="D272" s="2680"/>
      <c r="E272" s="192"/>
      <c r="F272" s="192"/>
      <c r="G272" s="636"/>
      <c r="H272" s="637"/>
      <c r="I272" s="187"/>
      <c r="J272" s="526"/>
      <c r="K272" s="900" t="str">
        <f ca="1">IF(OR($H$7&lt;2,K$260&lt;1),"",IF(J272&lt;&gt;"",J272,IFERROR(IF(INDIRECT("'"&amp;J$86&amp;"'!"&amp;VLOOKUP(J$87,'List Values'!$C$3:$D$6,2,FALSE)&amp;ROW(J272))="","",INDIRECT("'"&amp;J$86&amp;"'!"&amp;VLOOKUP(J$87,'List Values'!$C$3:$D$6,2,FALSE)&amp;ROW(J272))),IF(J$86&lt;&gt;"","Data Source Error",""))))</f>
        <v/>
      </c>
      <c r="L272" s="187"/>
      <c r="M272" s="526"/>
      <c r="N272" s="900" t="str">
        <f ca="1">IF(OR($H$7&lt;3,N$260&lt;1),"",IF(M272&lt;&gt;"",M272,IFERROR(IF(INDIRECT("'"&amp;M$86&amp;"'!"&amp;VLOOKUP(M$87,'List Values'!$C$3:$D$6,2,FALSE)&amp;ROW(M272))="","",INDIRECT("'"&amp;M$86&amp;"'!"&amp;VLOOKUP(M$87,'List Values'!$C$3:$D$6,2,FALSE)&amp;ROW(M272))),IF(M$86&lt;&gt;"","Data Source Error",""))))</f>
        <v/>
      </c>
      <c r="O272" s="187"/>
      <c r="P272" s="526"/>
      <c r="Q272" s="900" t="str">
        <f ca="1">IF(OR($H$7&lt;4,Q$260&lt;1),"",IF(P272&lt;&gt;"",P272,IFERROR(IF(INDIRECT("'"&amp;P$86&amp;"'!"&amp;VLOOKUP(P$87,'List Values'!$C$3:$D$6,2,FALSE)&amp;ROW(P272))="","",INDIRECT("'"&amp;P$86&amp;"'!"&amp;VLOOKUP(P$87,'List Values'!$C$3:$D$6,2,FALSE)&amp;ROW(P272))),IF(P$86&lt;&gt;"","Data Source Error",""))))</f>
        <v/>
      </c>
      <c r="S272" s="526"/>
      <c r="T272" s="900" t="str">
        <f ca="1">IF(OR($H$7&lt;5,T$260&lt;1),"",IF(S272&lt;&gt;"",S272,IFERROR(IF(INDIRECT("'"&amp;S$86&amp;"'!"&amp;VLOOKUP(S$87,'List Values'!$C$3:$D$6,2,FALSE)&amp;ROW(S272))="","",INDIRECT("'"&amp;S$86&amp;"'!"&amp;VLOOKUP(S$87,'List Values'!$C$3:$D$6,2,FALSE)&amp;ROW(S272))),IF(S$86&lt;&gt;"","Data Source Error",""))))</f>
        <v/>
      </c>
      <c r="V272" s="526"/>
      <c r="W272" s="911" t="str">
        <f ca="1">IF(OR($H$7&lt;6,W$260&lt;1),"",IF(V272&lt;&gt;"",V272,IFERROR(IF(INDIRECT("'"&amp;V$86&amp;"'!"&amp;VLOOKUP(V$87,'List Values'!$C$3:$D$6,2,FALSE)&amp;ROW(V272))="","",INDIRECT("'"&amp;V$86&amp;"'!"&amp;VLOOKUP(V$87,'List Values'!$C$3:$D$6,2,FALSE)&amp;ROW(V272))),IF(V$86&lt;&gt;"","Data Source Error",""))))</f>
        <v/>
      </c>
      <c r="Y272" s="2643"/>
      <c r="Z272" s="2644"/>
      <c r="AA272" s="2644"/>
      <c r="AB272" s="2645"/>
    </row>
    <row r="273" spans="1:28" ht="15.75" customHeight="1" outlineLevel="1">
      <c r="A273" s="512"/>
      <c r="B273" s="252"/>
      <c r="C273" s="2684" t="s">
        <v>332</v>
      </c>
      <c r="D273" s="2684"/>
      <c r="E273" s="192"/>
      <c r="F273" s="192"/>
      <c r="G273" s="636"/>
      <c r="H273" s="637"/>
      <c r="I273" s="187"/>
      <c r="J273" s="580"/>
      <c r="K273" s="900" t="str">
        <f ca="1">IF(OR($H$7&lt;2,K$260&lt;1),"",IF(J273&lt;&gt;"",J273,IFERROR(IF(INDIRECT("'"&amp;J$86&amp;"'!"&amp;VLOOKUP(J$87,'List Values'!$C$3:$D$6,2,FALSE)&amp;ROW(J273))="","",INDIRECT("'"&amp;J$86&amp;"'!"&amp;VLOOKUP(J$87,'List Values'!$C$3:$D$6,2,FALSE)&amp;ROW(J273))),IF(J$86&lt;&gt;"","Data Source Error",""))))</f>
        <v/>
      </c>
      <c r="L273" s="187"/>
      <c r="M273" s="580"/>
      <c r="N273" s="900" t="str">
        <f ca="1">IF(OR($H$7&lt;3,N$260&lt;1),"",IF(M273&lt;&gt;"",M273,IFERROR(IF(INDIRECT("'"&amp;M$86&amp;"'!"&amp;VLOOKUP(M$87,'List Values'!$C$3:$D$6,2,FALSE)&amp;ROW(M273))="","",INDIRECT("'"&amp;M$86&amp;"'!"&amp;VLOOKUP(M$87,'List Values'!$C$3:$D$6,2,FALSE)&amp;ROW(M273))),IF(M$86&lt;&gt;"","Data Source Error",""))))</f>
        <v/>
      </c>
      <c r="O273" s="187"/>
      <c r="P273" s="580"/>
      <c r="Q273" s="900" t="str">
        <f ca="1">IF(OR($H$7&lt;4,Q$260&lt;1),"",IF(P273&lt;&gt;"",P273,IFERROR(IF(INDIRECT("'"&amp;P$86&amp;"'!"&amp;VLOOKUP(P$87,'List Values'!$C$3:$D$6,2,FALSE)&amp;ROW(P273))="","",INDIRECT("'"&amp;P$86&amp;"'!"&amp;VLOOKUP(P$87,'List Values'!$C$3:$D$6,2,FALSE)&amp;ROW(P273))),IF(P$86&lt;&gt;"","Data Source Error",""))))</f>
        <v/>
      </c>
      <c r="S273" s="580"/>
      <c r="T273" s="900" t="str">
        <f ca="1">IF(OR($H$7&lt;5,T$260&lt;1),"",IF(S273&lt;&gt;"",S273,IFERROR(IF(INDIRECT("'"&amp;S$86&amp;"'!"&amp;VLOOKUP(S$87,'List Values'!$C$3:$D$6,2,FALSE)&amp;ROW(S273))="","",INDIRECT("'"&amp;S$86&amp;"'!"&amp;VLOOKUP(S$87,'List Values'!$C$3:$D$6,2,FALSE)&amp;ROW(S273))),IF(S$86&lt;&gt;"","Data Source Error",""))))</f>
        <v/>
      </c>
      <c r="V273" s="580"/>
      <c r="W273" s="911" t="str">
        <f ca="1">IF(OR($H$7&lt;6,W$260&lt;1),"",IF(V273&lt;&gt;"",V273,IFERROR(IF(INDIRECT("'"&amp;V$86&amp;"'!"&amp;VLOOKUP(V$87,'List Values'!$C$3:$D$6,2,FALSE)&amp;ROW(V273))="","",INDIRECT("'"&amp;V$86&amp;"'!"&amp;VLOOKUP(V$87,'List Values'!$C$3:$D$6,2,FALSE)&amp;ROW(V273))),IF(V$86&lt;&gt;"","Data Source Error",""))))</f>
        <v/>
      </c>
      <c r="Y273" s="2643"/>
      <c r="Z273" s="2644"/>
      <c r="AA273" s="2644"/>
      <c r="AB273" s="2645"/>
    </row>
    <row r="274" spans="1:28" ht="30.75" customHeight="1" outlineLevel="1">
      <c r="A274" s="512"/>
      <c r="B274" s="252"/>
      <c r="C274" s="2680" t="s">
        <v>839</v>
      </c>
      <c r="D274" s="2680"/>
      <c r="E274" s="192"/>
      <c r="F274" s="192"/>
      <c r="G274" s="636"/>
      <c r="H274" s="637"/>
      <c r="I274" s="187"/>
      <c r="J274" s="580"/>
      <c r="K274" s="900" t="str">
        <f ca="1">IF(OR($H$7&lt;2,K$260&lt;1),"",IF(J274&lt;&gt;"",J274,IFERROR(IF(INDIRECT("'"&amp;J$86&amp;"'!"&amp;VLOOKUP(J$87,'List Values'!$C$3:$D$6,2,FALSE)&amp;ROW(J274))="","",INDIRECT("'"&amp;J$86&amp;"'!"&amp;VLOOKUP(J$87,'List Values'!$C$3:$D$6,2,FALSE)&amp;ROW(J274))),IF(J$86&lt;&gt;"","Data Source Error",""))))</f>
        <v/>
      </c>
      <c r="L274" s="187"/>
      <c r="M274" s="580"/>
      <c r="N274" s="900" t="str">
        <f ca="1">IF(OR($H$7&lt;3,N$260&lt;1),"",IF(M274&lt;&gt;"",M274,IFERROR(IF(INDIRECT("'"&amp;M$86&amp;"'!"&amp;VLOOKUP(M$87,'List Values'!$C$3:$D$6,2,FALSE)&amp;ROW(M274))="","",INDIRECT("'"&amp;M$86&amp;"'!"&amp;VLOOKUP(M$87,'List Values'!$C$3:$D$6,2,FALSE)&amp;ROW(M274))),IF(M$86&lt;&gt;"","Data Source Error",""))))</f>
        <v/>
      </c>
      <c r="O274" s="187"/>
      <c r="P274" s="580"/>
      <c r="Q274" s="900" t="str">
        <f ca="1">IF(OR($H$7&lt;4,Q$260&lt;1),"",IF(P274&lt;&gt;"",P274,IFERROR(IF(INDIRECT("'"&amp;P$86&amp;"'!"&amp;VLOOKUP(P$87,'List Values'!$C$3:$D$6,2,FALSE)&amp;ROW(P274))="","",INDIRECT("'"&amp;P$86&amp;"'!"&amp;VLOOKUP(P$87,'List Values'!$C$3:$D$6,2,FALSE)&amp;ROW(P274))),IF(P$86&lt;&gt;"","Data Source Error",""))))</f>
        <v/>
      </c>
      <c r="S274" s="580"/>
      <c r="T274" s="900" t="str">
        <f ca="1">IF(OR($H$7&lt;5,T$260&lt;1),"",IF(S274&lt;&gt;"",S274,IFERROR(IF(INDIRECT("'"&amp;S$86&amp;"'!"&amp;VLOOKUP(S$87,'List Values'!$C$3:$D$6,2,FALSE)&amp;ROW(S274))="","",INDIRECT("'"&amp;S$86&amp;"'!"&amp;VLOOKUP(S$87,'List Values'!$C$3:$D$6,2,FALSE)&amp;ROW(S274))),IF(S$86&lt;&gt;"","Data Source Error",""))))</f>
        <v/>
      </c>
      <c r="V274" s="580"/>
      <c r="W274" s="911" t="str">
        <f ca="1">IF(OR($H$7&lt;6,W$260&lt;1),"",IF(V274&lt;&gt;"",V274,IFERROR(IF(INDIRECT("'"&amp;V$86&amp;"'!"&amp;VLOOKUP(V$87,'List Values'!$C$3:$D$6,2,FALSE)&amp;ROW(V274))="","",INDIRECT("'"&amp;V$86&amp;"'!"&amp;VLOOKUP(V$87,'List Values'!$C$3:$D$6,2,FALSE)&amp;ROW(V274))),IF(V$86&lt;&gt;"","Data Source Error",""))))</f>
        <v/>
      </c>
      <c r="Y274" s="2643"/>
      <c r="Z274" s="2644"/>
      <c r="AA274" s="2644"/>
      <c r="AB274" s="2645"/>
    </row>
    <row r="275" spans="1:28" ht="15.75" customHeight="1" outlineLevel="1">
      <c r="A275" s="512"/>
      <c r="B275" s="252"/>
      <c r="C275" s="2680" t="s">
        <v>334</v>
      </c>
      <c r="D275" s="2680"/>
      <c r="E275" s="192"/>
      <c r="F275" s="192"/>
      <c r="G275" s="636"/>
      <c r="H275" s="637"/>
      <c r="I275" s="187"/>
      <c r="J275" s="580"/>
      <c r="K275" s="900" t="str">
        <f ca="1">IF(OR($H$7&lt;2,K$260&lt;1),"",IF(J275&lt;&gt;"",J275,IFERROR(IF(INDIRECT("'"&amp;J$86&amp;"'!"&amp;VLOOKUP(J$87,'List Values'!$C$3:$D$6,2,FALSE)&amp;ROW(J275))="","",INDIRECT("'"&amp;J$86&amp;"'!"&amp;VLOOKUP(J$87,'List Values'!$C$3:$D$6,2,FALSE)&amp;ROW(J275))),IF(J$86&lt;&gt;"","Data Source Error",""))))</f>
        <v/>
      </c>
      <c r="L275" s="187"/>
      <c r="M275" s="580"/>
      <c r="N275" s="900" t="str">
        <f ca="1">IF(OR($H$7&lt;3,N$260&lt;1),"",IF(M275&lt;&gt;"",M275,IFERROR(IF(INDIRECT("'"&amp;M$86&amp;"'!"&amp;VLOOKUP(M$87,'List Values'!$C$3:$D$6,2,FALSE)&amp;ROW(M275))="","",INDIRECT("'"&amp;M$86&amp;"'!"&amp;VLOOKUP(M$87,'List Values'!$C$3:$D$6,2,FALSE)&amp;ROW(M275))),IF(M$86&lt;&gt;"","Data Source Error",""))))</f>
        <v/>
      </c>
      <c r="O275" s="187"/>
      <c r="P275" s="580"/>
      <c r="Q275" s="900" t="str">
        <f ca="1">IF(OR($H$7&lt;4,Q$260&lt;1),"",IF(P275&lt;&gt;"",P275,IFERROR(IF(INDIRECT("'"&amp;P$86&amp;"'!"&amp;VLOOKUP(P$87,'List Values'!$C$3:$D$6,2,FALSE)&amp;ROW(P275))="","",INDIRECT("'"&amp;P$86&amp;"'!"&amp;VLOOKUP(P$87,'List Values'!$C$3:$D$6,2,FALSE)&amp;ROW(P275))),IF(P$86&lt;&gt;"","Data Source Error",""))))</f>
        <v/>
      </c>
      <c r="S275" s="580"/>
      <c r="T275" s="900" t="str">
        <f ca="1">IF(OR($H$7&lt;5,T$260&lt;1),"",IF(S275&lt;&gt;"",S275,IFERROR(IF(INDIRECT("'"&amp;S$86&amp;"'!"&amp;VLOOKUP(S$87,'List Values'!$C$3:$D$6,2,FALSE)&amp;ROW(S275))="","",INDIRECT("'"&amp;S$86&amp;"'!"&amp;VLOOKUP(S$87,'List Values'!$C$3:$D$6,2,FALSE)&amp;ROW(S275))),IF(S$86&lt;&gt;"","Data Source Error",""))))</f>
        <v/>
      </c>
      <c r="V275" s="580"/>
      <c r="W275" s="911" t="str">
        <f ca="1">IF(OR($H$7&lt;6,W$260&lt;1),"",IF(V275&lt;&gt;"",V275,IFERROR(IF(INDIRECT("'"&amp;V$86&amp;"'!"&amp;VLOOKUP(V$87,'List Values'!$C$3:$D$6,2,FALSE)&amp;ROW(V275))="","",INDIRECT("'"&amp;V$86&amp;"'!"&amp;VLOOKUP(V$87,'List Values'!$C$3:$D$6,2,FALSE)&amp;ROW(V275))),IF(V$86&lt;&gt;"","Data Source Error",""))))</f>
        <v/>
      </c>
      <c r="Y275" s="2643"/>
      <c r="Z275" s="2644"/>
      <c r="AA275" s="2644"/>
      <c r="AB275" s="2645"/>
    </row>
    <row r="276" spans="1:28" ht="15.75" customHeight="1" outlineLevel="1">
      <c r="A276" s="512"/>
      <c r="B276" s="252"/>
      <c r="C276" s="2684" t="s">
        <v>335</v>
      </c>
      <c r="D276" s="2684"/>
      <c r="E276" s="192"/>
      <c r="F276" s="192"/>
      <c r="G276" s="636"/>
      <c r="H276" s="637"/>
      <c r="I276" s="187"/>
      <c r="J276" s="580"/>
      <c r="K276" s="900" t="str">
        <f ca="1">IF(OR($H$7&lt;2,K$260&lt;1),"",IF(J276&lt;&gt;"",J276,IFERROR(IF(INDIRECT("'"&amp;J$86&amp;"'!"&amp;VLOOKUP(J$87,'List Values'!$C$3:$D$6,2,FALSE)&amp;ROW(J276))="","",INDIRECT("'"&amp;J$86&amp;"'!"&amp;VLOOKUP(J$87,'List Values'!$C$3:$D$6,2,FALSE)&amp;ROW(J276))),IF(J$86&lt;&gt;"","Data Source Error",""))))</f>
        <v/>
      </c>
      <c r="L276" s="187"/>
      <c r="M276" s="580"/>
      <c r="N276" s="900" t="str">
        <f ca="1">IF(OR($H$7&lt;3,N$260&lt;1),"",IF(M276&lt;&gt;"",M276,IFERROR(IF(INDIRECT("'"&amp;M$86&amp;"'!"&amp;VLOOKUP(M$87,'List Values'!$C$3:$D$6,2,FALSE)&amp;ROW(M276))="","",INDIRECT("'"&amp;M$86&amp;"'!"&amp;VLOOKUP(M$87,'List Values'!$C$3:$D$6,2,FALSE)&amp;ROW(M276))),IF(M$86&lt;&gt;"","Data Source Error",""))))</f>
        <v/>
      </c>
      <c r="O276" s="187"/>
      <c r="P276" s="580"/>
      <c r="Q276" s="900" t="str">
        <f ca="1">IF(OR($H$7&lt;4,Q$260&lt;1),"",IF(P276&lt;&gt;"",P276,IFERROR(IF(INDIRECT("'"&amp;P$86&amp;"'!"&amp;VLOOKUP(P$87,'List Values'!$C$3:$D$6,2,FALSE)&amp;ROW(P276))="","",INDIRECT("'"&amp;P$86&amp;"'!"&amp;VLOOKUP(P$87,'List Values'!$C$3:$D$6,2,FALSE)&amp;ROW(P276))),IF(P$86&lt;&gt;"","Data Source Error",""))))</f>
        <v/>
      </c>
      <c r="S276" s="580"/>
      <c r="T276" s="900" t="str">
        <f ca="1">IF(OR($H$7&lt;5,T$260&lt;1),"",IF(S276&lt;&gt;"",S276,IFERROR(IF(INDIRECT("'"&amp;S$86&amp;"'!"&amp;VLOOKUP(S$87,'List Values'!$C$3:$D$6,2,FALSE)&amp;ROW(S276))="","",INDIRECT("'"&amp;S$86&amp;"'!"&amp;VLOOKUP(S$87,'List Values'!$C$3:$D$6,2,FALSE)&amp;ROW(S276))),IF(S$86&lt;&gt;"","Data Source Error",""))))</f>
        <v/>
      </c>
      <c r="V276" s="580"/>
      <c r="W276" s="911" t="str">
        <f ca="1">IF(OR($H$7&lt;6,W$260&lt;1),"",IF(V276&lt;&gt;"",V276,IFERROR(IF(INDIRECT("'"&amp;V$86&amp;"'!"&amp;VLOOKUP(V$87,'List Values'!$C$3:$D$6,2,FALSE)&amp;ROW(V276))="","",INDIRECT("'"&amp;V$86&amp;"'!"&amp;VLOOKUP(V$87,'List Values'!$C$3:$D$6,2,FALSE)&amp;ROW(V276))),IF(V$86&lt;&gt;"","Data Source Error",""))))</f>
        <v/>
      </c>
      <c r="Y276" s="2643"/>
      <c r="Z276" s="2644"/>
      <c r="AA276" s="2644"/>
      <c r="AB276" s="2645"/>
    </row>
    <row r="277" spans="1:28" ht="31" customHeight="1" outlineLevel="1">
      <c r="A277" s="512"/>
      <c r="B277" s="252"/>
      <c r="C277" s="2680" t="s">
        <v>336</v>
      </c>
      <c r="D277" s="2680"/>
      <c r="E277" s="192"/>
      <c r="F277" s="192"/>
      <c r="G277" s="636"/>
      <c r="H277" s="637"/>
      <c r="I277" s="187"/>
      <c r="J277" s="580"/>
      <c r="K277" s="900" t="str">
        <f ca="1">IF(OR($H$7&lt;2,K$260&lt;1),"",IF(J277&lt;&gt;"",J277,IFERROR(IF(INDIRECT("'"&amp;J$86&amp;"'!"&amp;VLOOKUP(J$87,'List Values'!$C$3:$D$6,2,FALSE)&amp;ROW(J277))="","",INDIRECT("'"&amp;J$86&amp;"'!"&amp;VLOOKUP(J$87,'List Values'!$C$3:$D$6,2,FALSE)&amp;ROW(J277))),IF(J$86&lt;&gt;"","Data Source Error",""))))</f>
        <v/>
      </c>
      <c r="L277" s="187"/>
      <c r="M277" s="580"/>
      <c r="N277" s="900" t="str">
        <f ca="1">IF(OR($H$7&lt;3,N$260&lt;1),"",IF(M277&lt;&gt;"",M277,IFERROR(IF(INDIRECT("'"&amp;M$86&amp;"'!"&amp;VLOOKUP(M$87,'List Values'!$C$3:$D$6,2,FALSE)&amp;ROW(M277))="","",INDIRECT("'"&amp;M$86&amp;"'!"&amp;VLOOKUP(M$87,'List Values'!$C$3:$D$6,2,FALSE)&amp;ROW(M277))),IF(M$86&lt;&gt;"","Data Source Error",""))))</f>
        <v/>
      </c>
      <c r="O277" s="187"/>
      <c r="P277" s="580"/>
      <c r="Q277" s="900" t="str">
        <f ca="1">IF(OR($H$7&lt;4,Q$260&lt;1),"",IF(P277&lt;&gt;"",P277,IFERROR(IF(INDIRECT("'"&amp;P$86&amp;"'!"&amp;VLOOKUP(P$87,'List Values'!$C$3:$D$6,2,FALSE)&amp;ROW(P277))="","",INDIRECT("'"&amp;P$86&amp;"'!"&amp;VLOOKUP(P$87,'List Values'!$C$3:$D$6,2,FALSE)&amp;ROW(P277))),IF(P$86&lt;&gt;"","Data Source Error",""))))</f>
        <v/>
      </c>
      <c r="S277" s="580"/>
      <c r="T277" s="900" t="str">
        <f ca="1">IF(OR($H$7&lt;5,T$260&lt;1),"",IF(S277&lt;&gt;"",S277,IFERROR(IF(INDIRECT("'"&amp;S$86&amp;"'!"&amp;VLOOKUP(S$87,'List Values'!$C$3:$D$6,2,FALSE)&amp;ROW(S277))="","",INDIRECT("'"&amp;S$86&amp;"'!"&amp;VLOOKUP(S$87,'List Values'!$C$3:$D$6,2,FALSE)&amp;ROW(S277))),IF(S$86&lt;&gt;"","Data Source Error",""))))</f>
        <v/>
      </c>
      <c r="V277" s="580"/>
      <c r="W277" s="911" t="str">
        <f ca="1">IF(OR($H$7&lt;6,W$260&lt;1),"",IF(V277&lt;&gt;"",V277,IFERROR(IF(INDIRECT("'"&amp;V$86&amp;"'!"&amp;VLOOKUP(V$87,'List Values'!$C$3:$D$6,2,FALSE)&amp;ROW(V277))="","",INDIRECT("'"&amp;V$86&amp;"'!"&amp;VLOOKUP(V$87,'List Values'!$C$3:$D$6,2,FALSE)&amp;ROW(V277))),IF(V$86&lt;&gt;"","Data Source Error",""))))</f>
        <v/>
      </c>
      <c r="Y277" s="2643"/>
      <c r="Z277" s="2644"/>
      <c r="AA277" s="2644"/>
      <c r="AB277" s="2645"/>
    </row>
    <row r="278" spans="1:28" ht="33" customHeight="1" outlineLevel="1">
      <c r="A278" s="512"/>
      <c r="B278" s="252"/>
      <c r="C278" s="2680" t="s">
        <v>337</v>
      </c>
      <c r="D278" s="2680"/>
      <c r="E278" s="192"/>
      <c r="F278" s="192"/>
      <c r="G278" s="636"/>
      <c r="H278" s="637"/>
      <c r="I278" s="187"/>
      <c r="J278" s="580"/>
      <c r="K278" s="900" t="str">
        <f ca="1">IF(OR($H$7&lt;2,K$260&lt;1),"",IF(J278&lt;&gt;"",J278,IFERROR(IF(INDIRECT("'"&amp;J$86&amp;"'!"&amp;VLOOKUP(J$87,'List Values'!$C$3:$D$6,2,FALSE)&amp;ROW(J278))="","",INDIRECT("'"&amp;J$86&amp;"'!"&amp;VLOOKUP(J$87,'List Values'!$C$3:$D$6,2,FALSE)&amp;ROW(J278))),IF(J$86&lt;&gt;"","Data Source Error",""))))</f>
        <v/>
      </c>
      <c r="L278" s="187"/>
      <c r="M278" s="580"/>
      <c r="N278" s="900" t="str">
        <f ca="1">IF(OR($H$7&lt;3,N$260&lt;1),"",IF(M278&lt;&gt;"",M278,IFERROR(IF(INDIRECT("'"&amp;M$86&amp;"'!"&amp;VLOOKUP(M$87,'List Values'!$C$3:$D$6,2,FALSE)&amp;ROW(M278))="","",INDIRECT("'"&amp;M$86&amp;"'!"&amp;VLOOKUP(M$87,'List Values'!$C$3:$D$6,2,FALSE)&amp;ROW(M278))),IF(M$86&lt;&gt;"","Data Source Error",""))))</f>
        <v/>
      </c>
      <c r="O278" s="187"/>
      <c r="P278" s="580"/>
      <c r="Q278" s="900" t="str">
        <f ca="1">IF(OR($H$7&lt;4,Q$260&lt;1),"",IF(P278&lt;&gt;"",P278,IFERROR(IF(INDIRECT("'"&amp;P$86&amp;"'!"&amp;VLOOKUP(P$87,'List Values'!$C$3:$D$6,2,FALSE)&amp;ROW(P278))="","",INDIRECT("'"&amp;P$86&amp;"'!"&amp;VLOOKUP(P$87,'List Values'!$C$3:$D$6,2,FALSE)&amp;ROW(P278))),IF(P$86&lt;&gt;"","Data Source Error",""))))</f>
        <v/>
      </c>
      <c r="S278" s="580"/>
      <c r="T278" s="900" t="str">
        <f ca="1">IF(OR($H$7&lt;5,T$260&lt;1),"",IF(S278&lt;&gt;"",S278,IFERROR(IF(INDIRECT("'"&amp;S$86&amp;"'!"&amp;VLOOKUP(S$87,'List Values'!$C$3:$D$6,2,FALSE)&amp;ROW(S278))="","",INDIRECT("'"&amp;S$86&amp;"'!"&amp;VLOOKUP(S$87,'List Values'!$C$3:$D$6,2,FALSE)&amp;ROW(S278))),IF(S$86&lt;&gt;"","Data Source Error",""))))</f>
        <v/>
      </c>
      <c r="V278" s="580"/>
      <c r="W278" s="911" t="str">
        <f ca="1">IF(OR($H$7&lt;6,W$260&lt;1),"",IF(V278&lt;&gt;"",V278,IFERROR(IF(INDIRECT("'"&amp;V$86&amp;"'!"&amp;VLOOKUP(V$87,'List Values'!$C$3:$D$6,2,FALSE)&amp;ROW(V278))="","",INDIRECT("'"&amp;V$86&amp;"'!"&amp;VLOOKUP(V$87,'List Values'!$C$3:$D$6,2,FALSE)&amp;ROW(V278))),IF(V$86&lt;&gt;"","Data Source Error",""))))</f>
        <v/>
      </c>
      <c r="Y278" s="2643"/>
      <c r="Z278" s="2644"/>
      <c r="AA278" s="2644"/>
      <c r="AB278" s="2645"/>
    </row>
    <row r="279" spans="1:28" ht="33" customHeight="1" outlineLevel="1">
      <c r="A279" s="512"/>
      <c r="B279" s="252"/>
      <c r="C279" s="2680" t="s">
        <v>338</v>
      </c>
      <c r="D279" s="2680"/>
      <c r="E279" s="192"/>
      <c r="F279" s="192"/>
      <c r="G279" s="636"/>
      <c r="H279" s="637"/>
      <c r="I279" s="187"/>
      <c r="J279" s="580"/>
      <c r="K279" s="900" t="str">
        <f ca="1">IF(OR($H$7&lt;2,K$260&lt;1),"",IF(J279&lt;&gt;"",J279,IFERROR(IF(INDIRECT("'"&amp;J$86&amp;"'!"&amp;VLOOKUP(J$87,'List Values'!$C$3:$D$6,2,FALSE)&amp;ROW(J279))="","",INDIRECT("'"&amp;J$86&amp;"'!"&amp;VLOOKUP(J$87,'List Values'!$C$3:$D$6,2,FALSE)&amp;ROW(J279))),IF(J$86&lt;&gt;"","Data Source Error",""))))</f>
        <v/>
      </c>
      <c r="L279" s="187"/>
      <c r="M279" s="580"/>
      <c r="N279" s="900" t="str">
        <f ca="1">IF(OR($H$7&lt;3,N$260&lt;1),"",IF(M279&lt;&gt;"",M279,IFERROR(IF(INDIRECT("'"&amp;M$86&amp;"'!"&amp;VLOOKUP(M$87,'List Values'!$C$3:$D$6,2,FALSE)&amp;ROW(M279))="","",INDIRECT("'"&amp;M$86&amp;"'!"&amp;VLOOKUP(M$87,'List Values'!$C$3:$D$6,2,FALSE)&amp;ROW(M279))),IF(M$86&lt;&gt;"","Data Source Error",""))))</f>
        <v/>
      </c>
      <c r="O279" s="187"/>
      <c r="P279" s="580"/>
      <c r="Q279" s="900" t="str">
        <f ca="1">IF(OR($H$7&lt;4,Q$260&lt;1),"",IF(P279&lt;&gt;"",P279,IFERROR(IF(INDIRECT("'"&amp;P$86&amp;"'!"&amp;VLOOKUP(P$87,'List Values'!$C$3:$D$6,2,FALSE)&amp;ROW(P279))="","",INDIRECT("'"&amp;P$86&amp;"'!"&amp;VLOOKUP(P$87,'List Values'!$C$3:$D$6,2,FALSE)&amp;ROW(P279))),IF(P$86&lt;&gt;"","Data Source Error",""))))</f>
        <v/>
      </c>
      <c r="S279" s="580"/>
      <c r="T279" s="900" t="str">
        <f ca="1">IF(OR($H$7&lt;5,T$260&lt;1),"",IF(S279&lt;&gt;"",S279,IFERROR(IF(INDIRECT("'"&amp;S$86&amp;"'!"&amp;VLOOKUP(S$87,'List Values'!$C$3:$D$6,2,FALSE)&amp;ROW(S279))="","",INDIRECT("'"&amp;S$86&amp;"'!"&amp;VLOOKUP(S$87,'List Values'!$C$3:$D$6,2,FALSE)&amp;ROW(S279))),IF(S$86&lt;&gt;"","Data Source Error",""))))</f>
        <v/>
      </c>
      <c r="V279" s="580"/>
      <c r="W279" s="911" t="str">
        <f ca="1">IF(OR($H$7&lt;6,W$260&lt;1),"",IF(V279&lt;&gt;"",V279,IFERROR(IF(INDIRECT("'"&amp;V$86&amp;"'!"&amp;VLOOKUP(V$87,'List Values'!$C$3:$D$6,2,FALSE)&amp;ROW(V279))="","",INDIRECT("'"&amp;V$86&amp;"'!"&amp;VLOOKUP(V$87,'List Values'!$C$3:$D$6,2,FALSE)&amp;ROW(V279))),IF(V$86&lt;&gt;"","Data Source Error",""))))</f>
        <v/>
      </c>
      <c r="Y279" s="2643"/>
      <c r="Z279" s="2644"/>
      <c r="AA279" s="2644"/>
      <c r="AB279" s="2645"/>
    </row>
    <row r="280" spans="1:28" ht="15.75" customHeight="1" outlineLevel="1">
      <c r="A280" s="512"/>
      <c r="B280" s="252"/>
      <c r="C280" s="2680" t="s">
        <v>650</v>
      </c>
      <c r="D280" s="2680"/>
      <c r="E280" s="192"/>
      <c r="F280" s="192"/>
      <c r="G280" s="636"/>
      <c r="H280" s="637"/>
      <c r="I280" s="187"/>
      <c r="J280" s="580"/>
      <c r="K280" s="900" t="str">
        <f ca="1">IF(OR($H$7&lt;2,K$260&lt;1),"",IF(J280&lt;&gt;"",J280,IFERROR(IF(INDIRECT("'"&amp;J$86&amp;"'!"&amp;VLOOKUP(J$87,'List Values'!$C$3:$D$6,2,FALSE)&amp;ROW(J280))="","",INDIRECT("'"&amp;J$86&amp;"'!"&amp;VLOOKUP(J$87,'List Values'!$C$3:$D$6,2,FALSE)&amp;ROW(J280))),IF(J$86&lt;&gt;"","Data Source Error",""))))</f>
        <v/>
      </c>
      <c r="L280" s="187"/>
      <c r="M280" s="580"/>
      <c r="N280" s="900" t="str">
        <f ca="1">IF(OR($H$7&lt;3,N$260&lt;1),"",IF(M280&lt;&gt;"",M280,IFERROR(IF(INDIRECT("'"&amp;M$86&amp;"'!"&amp;VLOOKUP(M$87,'List Values'!$C$3:$D$6,2,FALSE)&amp;ROW(M280))="","",INDIRECT("'"&amp;M$86&amp;"'!"&amp;VLOOKUP(M$87,'List Values'!$C$3:$D$6,2,FALSE)&amp;ROW(M280))),IF(M$86&lt;&gt;"","Data Source Error",""))))</f>
        <v/>
      </c>
      <c r="O280" s="187"/>
      <c r="P280" s="580"/>
      <c r="Q280" s="900" t="str">
        <f ca="1">IF(OR($H$7&lt;4,Q$260&lt;1),"",IF(P280&lt;&gt;"",P280,IFERROR(IF(INDIRECT("'"&amp;P$86&amp;"'!"&amp;VLOOKUP(P$87,'List Values'!$C$3:$D$6,2,FALSE)&amp;ROW(P280))="","",INDIRECT("'"&amp;P$86&amp;"'!"&amp;VLOOKUP(P$87,'List Values'!$C$3:$D$6,2,FALSE)&amp;ROW(P280))),IF(P$86&lt;&gt;"","Data Source Error",""))))</f>
        <v/>
      </c>
      <c r="S280" s="580"/>
      <c r="T280" s="900" t="str">
        <f ca="1">IF(OR($H$7&lt;5,T$260&lt;1),"",IF(S280&lt;&gt;"",S280,IFERROR(IF(INDIRECT("'"&amp;S$86&amp;"'!"&amp;VLOOKUP(S$87,'List Values'!$C$3:$D$6,2,FALSE)&amp;ROW(S280))="","",INDIRECT("'"&amp;S$86&amp;"'!"&amp;VLOOKUP(S$87,'List Values'!$C$3:$D$6,2,FALSE)&amp;ROW(S280))),IF(S$86&lt;&gt;"","Data Source Error",""))))</f>
        <v/>
      </c>
      <c r="V280" s="580"/>
      <c r="W280" s="911" t="str">
        <f ca="1">IF(OR($H$7&lt;6,W$260&lt;1),"",IF(V280&lt;&gt;"",V280,IFERROR(IF(INDIRECT("'"&amp;V$86&amp;"'!"&amp;VLOOKUP(V$87,'List Values'!$C$3:$D$6,2,FALSE)&amp;ROW(V280))="","",INDIRECT("'"&amp;V$86&amp;"'!"&amp;VLOOKUP(V$87,'List Values'!$C$3:$D$6,2,FALSE)&amp;ROW(V280))),IF(V$86&lt;&gt;"","Data Source Error",""))))</f>
        <v/>
      </c>
      <c r="Y280" s="2643"/>
      <c r="Z280" s="2644"/>
      <c r="AA280" s="2644"/>
      <c r="AB280" s="2645"/>
    </row>
    <row r="281" spans="1:28" ht="31" customHeight="1" outlineLevel="1">
      <c r="A281" s="512"/>
      <c r="B281" s="252"/>
      <c r="C281" s="2680" t="s">
        <v>651</v>
      </c>
      <c r="D281" s="2680"/>
      <c r="E281" s="238"/>
      <c r="F281" s="238"/>
      <c r="G281" s="638"/>
      <c r="H281" s="639"/>
      <c r="I281" s="184"/>
      <c r="J281" s="624"/>
      <c r="K281" s="941" t="str">
        <f ca="1">IF(OR($H$7&lt;2,K$260&lt;1),"",IF(J281&lt;&gt;"",J281,IFERROR(IF(INDIRECT("'"&amp;J$86&amp;"'!"&amp;VLOOKUP(J$87,'List Values'!$C$3:$D$6,2,FALSE)&amp;ROW(J281))="","",INDIRECT("'"&amp;J$86&amp;"'!"&amp;VLOOKUP(J$87,'List Values'!$C$3:$D$6,2,FALSE)&amp;ROW(J281))),IF(J$86&lt;&gt;"","Data Source Error",""))))</f>
        <v/>
      </c>
      <c r="L281" s="184"/>
      <c r="M281" s="624"/>
      <c r="N281" s="941" t="str">
        <f ca="1">IF(OR($H$7&lt;3,N$260&lt;1),"",IF(M281&lt;&gt;"",M281,IFERROR(IF(INDIRECT("'"&amp;M$86&amp;"'!"&amp;VLOOKUP(M$87,'List Values'!$C$3:$D$6,2,FALSE)&amp;ROW(M281))="","",INDIRECT("'"&amp;M$86&amp;"'!"&amp;VLOOKUP(M$87,'List Values'!$C$3:$D$6,2,FALSE)&amp;ROW(M281))),IF(M$86&lt;&gt;"","Data Source Error",""))))</f>
        <v/>
      </c>
      <c r="O281" s="184"/>
      <c r="P281" s="624"/>
      <c r="Q281" s="941" t="str">
        <f ca="1">IF(OR($H$7&lt;4,Q$260&lt;1),"",IF(P281&lt;&gt;"",P281,IFERROR(IF(INDIRECT("'"&amp;P$86&amp;"'!"&amp;VLOOKUP(P$87,'List Values'!$C$3:$D$6,2,FALSE)&amp;ROW(P281))="","",INDIRECT("'"&amp;P$86&amp;"'!"&amp;VLOOKUP(P$87,'List Values'!$C$3:$D$6,2,FALSE)&amp;ROW(P281))),IF(P$86&lt;&gt;"","Data Source Error",""))))</f>
        <v/>
      </c>
      <c r="S281" s="624"/>
      <c r="T281" s="941" t="str">
        <f ca="1">IF(OR($H$7&lt;5,T$260&lt;1),"",IF(S281&lt;&gt;"",S281,IFERROR(IF(INDIRECT("'"&amp;S$86&amp;"'!"&amp;VLOOKUP(S$87,'List Values'!$C$3:$D$6,2,FALSE)&amp;ROW(S281))="","",INDIRECT("'"&amp;S$86&amp;"'!"&amp;VLOOKUP(S$87,'List Values'!$C$3:$D$6,2,FALSE)&amp;ROW(S281))),IF(S$86&lt;&gt;"","Data Source Error",""))))</f>
        <v/>
      </c>
      <c r="V281" s="624"/>
      <c r="W281" s="947" t="str">
        <f ca="1">IF(OR($H$7&lt;6,W$260&lt;1),"",IF(V281&lt;&gt;"",V281,IFERROR(IF(INDIRECT("'"&amp;V$86&amp;"'!"&amp;VLOOKUP(V$87,'List Values'!$C$3:$D$6,2,FALSE)&amp;ROW(V281))="","",INDIRECT("'"&amp;V$86&amp;"'!"&amp;VLOOKUP(V$87,'List Values'!$C$3:$D$6,2,FALSE)&amp;ROW(V281))),IF(V$86&lt;&gt;"","Data Source Error",""))))</f>
        <v/>
      </c>
      <c r="Y281" s="2643"/>
      <c r="Z281" s="2644"/>
      <c r="AA281" s="2644"/>
      <c r="AB281" s="2645"/>
    </row>
    <row r="282" spans="1:28" ht="21" customHeight="1">
      <c r="A282" s="808"/>
      <c r="B282" s="612" t="s">
        <v>620</v>
      </c>
      <c r="C282" s="604"/>
      <c r="D282" s="604"/>
      <c r="E282" s="614"/>
      <c r="F282" s="608"/>
      <c r="G282" s="615"/>
      <c r="H282" s="611"/>
      <c r="I282" s="608"/>
      <c r="J282" s="610"/>
      <c r="K282" s="970"/>
      <c r="L282" s="608"/>
      <c r="M282" s="610"/>
      <c r="N282" s="970"/>
      <c r="O282" s="608"/>
      <c r="P282" s="610"/>
      <c r="Q282" s="970"/>
      <c r="R282" s="608"/>
      <c r="S282" s="610"/>
      <c r="T282" s="970"/>
      <c r="U282" s="608"/>
      <c r="V282" s="610"/>
      <c r="W282" s="970"/>
      <c r="Y282" s="631"/>
      <c r="Z282" s="631"/>
      <c r="AA282" s="631"/>
      <c r="AB282" s="631"/>
    </row>
    <row r="283" spans="1:28" ht="15.75" customHeight="1" outlineLevel="1">
      <c r="A283" s="513"/>
      <c r="B283" s="252"/>
      <c r="C283" s="2580" t="s">
        <v>625</v>
      </c>
      <c r="D283" s="2580"/>
      <c r="E283" s="202"/>
      <c r="F283" s="202"/>
      <c r="G283" s="634"/>
      <c r="H283" s="635"/>
      <c r="I283" s="183"/>
      <c r="J283" s="628"/>
      <c r="K283" s="967" t="str">
        <f ca="1">IF(OR($H$7&lt;2,K$260&lt;2),"",IF(J283&lt;&gt;"",J283,IFERROR(IF(INDIRECT("'"&amp;J$86&amp;"'!"&amp;VLOOKUP(J$87,'List Values'!$C$3:$D$6,2,FALSE)&amp;ROW(J283))="","",INDIRECT("'"&amp;J$86&amp;"'!"&amp;VLOOKUP(J$87,'List Values'!$C$3:$D$6,2,FALSE)&amp;ROW(J283))),IF(J$86&lt;&gt;"","Data Source Error",""))))</f>
        <v/>
      </c>
      <c r="L283" s="629"/>
      <c r="M283" s="628"/>
      <c r="N283" s="967" t="str">
        <f ca="1">IF(OR($H$7&lt;3,N$260&lt;2),"",IF(M283&lt;&gt;"",M283,IFERROR(IF(INDIRECT("'"&amp;M$86&amp;"'!"&amp;VLOOKUP(M$87,'List Values'!$C$3:$D$6,2,FALSE)&amp;ROW(M283))="","",INDIRECT("'"&amp;M$86&amp;"'!"&amp;VLOOKUP(M$87,'List Values'!$C$3:$D$6,2,FALSE)&amp;ROW(M283))),IF(M$86&lt;&gt;"","Data Source Error",""))))</f>
        <v/>
      </c>
      <c r="O283" s="629"/>
      <c r="P283" s="628"/>
      <c r="Q283" s="967" t="str">
        <f ca="1">IF(OR($H$7&lt;4,Q$260&lt;2),"",IF(P283&lt;&gt;"",P283,IFERROR(IF(INDIRECT("'"&amp;P$86&amp;"'!"&amp;VLOOKUP(P$87,'List Values'!$C$3:$D$6,2,FALSE)&amp;ROW(P283))="","",INDIRECT("'"&amp;P$86&amp;"'!"&amp;VLOOKUP(P$87,'List Values'!$C$3:$D$6,2,FALSE)&amp;ROW(P283))),IF(P$86&lt;&gt;"","Data Source Error",""))))</f>
        <v/>
      </c>
      <c r="R283" s="147"/>
      <c r="S283" s="628"/>
      <c r="T283" s="967" t="str">
        <f ca="1">IF(OR($H$7&lt;5,T$260&lt;2),"",IF(S283&lt;&gt;"",S283,IFERROR(IF(INDIRECT("'"&amp;S$86&amp;"'!"&amp;VLOOKUP(S$87,'List Values'!$C$3:$D$6,2,FALSE)&amp;ROW(S283))="","",INDIRECT("'"&amp;S$86&amp;"'!"&amp;VLOOKUP(S$87,'List Values'!$C$3:$D$6,2,FALSE)&amp;ROW(S283))),IF(S$86&lt;&gt;"","Data Source Error",""))))</f>
        <v/>
      </c>
      <c r="U283" s="147"/>
      <c r="V283" s="628"/>
      <c r="W283" s="973" t="str">
        <f ca="1">IF(OR($H$7&lt;6,W$260&lt;2),"",IF(V283&lt;&gt;"",V283,IFERROR(IF(INDIRECT("'"&amp;V$86&amp;"'!"&amp;VLOOKUP(V$87,'List Values'!$C$3:$D$6,2,FALSE)&amp;ROW(V283))="","",INDIRECT("'"&amp;V$86&amp;"'!"&amp;VLOOKUP(V$87,'List Values'!$C$3:$D$6,2,FALSE)&amp;ROW(V283))),IF(V$86&lt;&gt;"","Data Source Error",""))))</f>
        <v/>
      </c>
      <c r="Y283" s="2643"/>
      <c r="Z283" s="2644"/>
      <c r="AA283" s="2644"/>
      <c r="AB283" s="2645"/>
    </row>
    <row r="284" spans="1:28" ht="15.75" customHeight="1" outlineLevel="1">
      <c r="A284" s="513"/>
      <c r="B284" s="252"/>
      <c r="C284" s="2680" t="s">
        <v>626</v>
      </c>
      <c r="D284" s="2680"/>
      <c r="E284" s="192"/>
      <c r="F284" s="192"/>
      <c r="G284" s="636"/>
      <c r="H284" s="637"/>
      <c r="I284" s="187"/>
      <c r="J284" s="526"/>
      <c r="K284" s="900" t="str">
        <f ca="1">IF(OR($H$7&lt;2,K$260&lt;2),"",IF(J284&lt;&gt;"",J284,IFERROR(IF(INDIRECT("'"&amp;J$86&amp;"'!"&amp;VLOOKUP(J$87,'List Values'!$C$3:$D$6,2,FALSE)&amp;ROW(J284))="","",INDIRECT("'"&amp;J$86&amp;"'!"&amp;VLOOKUP(J$87,'List Values'!$C$3:$D$6,2,FALSE)&amp;ROW(J284))),IF(J$86&lt;&gt;"","Data Source Error",""))))</f>
        <v/>
      </c>
      <c r="L284" s="187"/>
      <c r="M284" s="526"/>
      <c r="N284" s="900" t="str">
        <f ca="1">IF(OR($H$7&lt;3,N$260&lt;2),"",IF(M284&lt;&gt;"",M284,IFERROR(IF(INDIRECT("'"&amp;M$86&amp;"'!"&amp;VLOOKUP(M$87,'List Values'!$C$3:$D$6,2,FALSE)&amp;ROW(M284))="","",INDIRECT("'"&amp;M$86&amp;"'!"&amp;VLOOKUP(M$87,'List Values'!$C$3:$D$6,2,FALSE)&amp;ROW(M284))),IF(M$86&lt;&gt;"","Data Source Error",""))))</f>
        <v/>
      </c>
      <c r="O284" s="187"/>
      <c r="P284" s="526"/>
      <c r="Q284" s="900" t="str">
        <f ca="1">IF(OR($H$7&lt;4,Q$260&lt;2),"",IF(P284&lt;&gt;"",P284,IFERROR(IF(INDIRECT("'"&amp;P$86&amp;"'!"&amp;VLOOKUP(P$87,'List Values'!$C$3:$D$6,2,FALSE)&amp;ROW(P284))="","",INDIRECT("'"&amp;P$86&amp;"'!"&amp;VLOOKUP(P$87,'List Values'!$C$3:$D$6,2,FALSE)&amp;ROW(P284))),IF(P$86&lt;&gt;"","Data Source Error",""))))</f>
        <v/>
      </c>
      <c r="S284" s="526"/>
      <c r="T284" s="900" t="str">
        <f ca="1">IF(OR($H$7&lt;5,T$260&lt;2),"",IF(S284&lt;&gt;"",S284,IFERROR(IF(INDIRECT("'"&amp;S$86&amp;"'!"&amp;VLOOKUP(S$87,'List Values'!$C$3:$D$6,2,FALSE)&amp;ROW(S284))="","",INDIRECT("'"&amp;S$86&amp;"'!"&amp;VLOOKUP(S$87,'List Values'!$C$3:$D$6,2,FALSE)&amp;ROW(S284))),IF(S$86&lt;&gt;"","Data Source Error",""))))</f>
        <v/>
      </c>
      <c r="V284" s="526"/>
      <c r="W284" s="911" t="str">
        <f ca="1">IF(OR($H$7&lt;6,W$260&lt;2),"",IF(V284&lt;&gt;"",V284,IFERROR(IF(INDIRECT("'"&amp;V$86&amp;"'!"&amp;VLOOKUP(V$87,'List Values'!$C$3:$D$6,2,FALSE)&amp;ROW(V284))="","",INDIRECT("'"&amp;V$86&amp;"'!"&amp;VLOOKUP(V$87,'List Values'!$C$3:$D$6,2,FALSE)&amp;ROW(V284))),IF(V$86&lt;&gt;"","Data Source Error",""))))</f>
        <v/>
      </c>
      <c r="Y284" s="2643"/>
      <c r="Z284" s="2644"/>
      <c r="AA284" s="2644"/>
      <c r="AB284" s="2645"/>
    </row>
    <row r="285" spans="1:28" ht="31" customHeight="1" outlineLevel="1">
      <c r="A285" s="513"/>
      <c r="B285" s="252"/>
      <c r="C285" s="2680" t="s">
        <v>627</v>
      </c>
      <c r="D285" s="2680"/>
      <c r="E285" s="192"/>
      <c r="F285" s="192"/>
      <c r="G285" s="636"/>
      <c r="H285" s="637"/>
      <c r="I285" s="187"/>
      <c r="J285" s="561"/>
      <c r="K285" s="900" t="str">
        <f ca="1">IF(OR($H$7&lt;2,K$260&lt;2),"",IF(J285&lt;&gt;"",J285,IFERROR(IF(INDIRECT("'"&amp;J$86&amp;"'!"&amp;VLOOKUP(J$87,'List Values'!$C$3:$D$6,2,FALSE)&amp;ROW(J285))="","",INDIRECT("'"&amp;J$86&amp;"'!"&amp;VLOOKUP(J$87,'List Values'!$C$3:$D$6,2,FALSE)&amp;ROW(J285))),IF(J$86&lt;&gt;"","Data Source Error",""))))</f>
        <v/>
      </c>
      <c r="L285" s="187"/>
      <c r="M285" s="561"/>
      <c r="N285" s="900" t="str">
        <f ca="1">IF(OR($H$7&lt;3,N$260&lt;2),"",IF(M285&lt;&gt;"",M285,IFERROR(IF(INDIRECT("'"&amp;M$86&amp;"'!"&amp;VLOOKUP(M$87,'List Values'!$C$3:$D$6,2,FALSE)&amp;ROW(M285))="","",INDIRECT("'"&amp;M$86&amp;"'!"&amp;VLOOKUP(M$87,'List Values'!$C$3:$D$6,2,FALSE)&amp;ROW(M285))),IF(M$86&lt;&gt;"","Data Source Error",""))))</f>
        <v/>
      </c>
      <c r="O285" s="187"/>
      <c r="P285" s="561"/>
      <c r="Q285" s="900" t="str">
        <f ca="1">IF(OR($H$7&lt;4,Q$260&lt;2),"",IF(P285&lt;&gt;"",P285,IFERROR(IF(INDIRECT("'"&amp;P$86&amp;"'!"&amp;VLOOKUP(P$87,'List Values'!$C$3:$D$6,2,FALSE)&amp;ROW(P285))="","",INDIRECT("'"&amp;P$86&amp;"'!"&amp;VLOOKUP(P$87,'List Values'!$C$3:$D$6,2,FALSE)&amp;ROW(P285))),IF(P$86&lt;&gt;"","Data Source Error",""))))</f>
        <v/>
      </c>
      <c r="S285" s="561"/>
      <c r="T285" s="900" t="str">
        <f ca="1">IF(OR($H$7&lt;5,T$260&lt;2),"",IF(S285&lt;&gt;"",S285,IFERROR(IF(INDIRECT("'"&amp;S$86&amp;"'!"&amp;VLOOKUP(S$87,'List Values'!$C$3:$D$6,2,FALSE)&amp;ROW(S285))="","",INDIRECT("'"&amp;S$86&amp;"'!"&amp;VLOOKUP(S$87,'List Values'!$C$3:$D$6,2,FALSE)&amp;ROW(S285))),IF(S$86&lt;&gt;"","Data Source Error",""))))</f>
        <v/>
      </c>
      <c r="V285" s="561"/>
      <c r="W285" s="911" t="str">
        <f ca="1">IF(OR($H$7&lt;6,W$260&lt;2),"",IF(V285&lt;&gt;"",V285,IFERROR(IF(INDIRECT("'"&amp;V$86&amp;"'!"&amp;VLOOKUP(V$87,'List Values'!$C$3:$D$6,2,FALSE)&amp;ROW(V285))="","",INDIRECT("'"&amp;V$86&amp;"'!"&amp;VLOOKUP(V$87,'List Values'!$C$3:$D$6,2,FALSE)&amp;ROW(V285))),IF(V$86&lt;&gt;"","Data Source Error",""))))</f>
        <v/>
      </c>
      <c r="Y285" s="2643"/>
      <c r="Z285" s="2644"/>
      <c r="AA285" s="2644"/>
      <c r="AB285" s="2645"/>
    </row>
    <row r="286" spans="1:28" ht="31" customHeight="1" outlineLevel="1">
      <c r="A286" s="513"/>
      <c r="B286" s="252"/>
      <c r="C286" s="2684" t="s">
        <v>628</v>
      </c>
      <c r="D286" s="2684"/>
      <c r="E286" s="192"/>
      <c r="F286" s="192"/>
      <c r="G286" s="636"/>
      <c r="H286" s="637"/>
      <c r="I286" s="187"/>
      <c r="J286" s="526"/>
      <c r="K286" s="900" t="str">
        <f ca="1">IF(OR($H$7&lt;2,K$260&lt;2),"",IF(J286&lt;&gt;"",J286,IFERROR(IF(INDIRECT("'"&amp;J$86&amp;"'!"&amp;VLOOKUP(J$87,'List Values'!$C$3:$D$6,2,FALSE)&amp;ROW(J286))="","",INDIRECT("'"&amp;J$86&amp;"'!"&amp;VLOOKUP(J$87,'List Values'!$C$3:$D$6,2,FALSE)&amp;ROW(J286))),IF(J$86&lt;&gt;"","Data Source Error",""))))</f>
        <v/>
      </c>
      <c r="L286" s="187"/>
      <c r="M286" s="526"/>
      <c r="N286" s="900" t="str">
        <f ca="1">IF(OR($H$7&lt;3,N$260&lt;2),"",IF(M286&lt;&gt;"",M286,IFERROR(IF(INDIRECT("'"&amp;M$86&amp;"'!"&amp;VLOOKUP(M$87,'List Values'!$C$3:$D$6,2,FALSE)&amp;ROW(M286))="","",INDIRECT("'"&amp;M$86&amp;"'!"&amp;VLOOKUP(M$87,'List Values'!$C$3:$D$6,2,FALSE)&amp;ROW(M286))),IF(M$86&lt;&gt;"","Data Source Error",""))))</f>
        <v/>
      </c>
      <c r="O286" s="187"/>
      <c r="P286" s="526"/>
      <c r="Q286" s="900" t="str">
        <f ca="1">IF(OR($H$7&lt;4,Q$260&lt;2),"",IF(P286&lt;&gt;"",P286,IFERROR(IF(INDIRECT("'"&amp;P$86&amp;"'!"&amp;VLOOKUP(P$87,'List Values'!$C$3:$D$6,2,FALSE)&amp;ROW(P286))="","",INDIRECT("'"&amp;P$86&amp;"'!"&amp;VLOOKUP(P$87,'List Values'!$C$3:$D$6,2,FALSE)&amp;ROW(P286))),IF(P$86&lt;&gt;"","Data Source Error",""))))</f>
        <v/>
      </c>
      <c r="S286" s="526"/>
      <c r="T286" s="900" t="str">
        <f ca="1">IF(OR($H$7&lt;5,T$260&lt;2),"",IF(S286&lt;&gt;"",S286,IFERROR(IF(INDIRECT("'"&amp;S$86&amp;"'!"&amp;VLOOKUP(S$87,'List Values'!$C$3:$D$6,2,FALSE)&amp;ROW(S286))="","",INDIRECT("'"&amp;S$86&amp;"'!"&amp;VLOOKUP(S$87,'List Values'!$C$3:$D$6,2,FALSE)&amp;ROW(S286))),IF(S$86&lt;&gt;"","Data Source Error",""))))</f>
        <v/>
      </c>
      <c r="V286" s="526"/>
      <c r="W286" s="911" t="str">
        <f ca="1">IF(OR($H$7&lt;6,W$260&lt;2),"",IF(V286&lt;&gt;"",V286,IFERROR(IF(INDIRECT("'"&amp;V$86&amp;"'!"&amp;VLOOKUP(V$87,'List Values'!$C$3:$D$6,2,FALSE)&amp;ROW(V286))="","",INDIRECT("'"&amp;V$86&amp;"'!"&amp;VLOOKUP(V$87,'List Values'!$C$3:$D$6,2,FALSE)&amp;ROW(V286))),IF(V$86&lt;&gt;"","Data Source Error",""))))</f>
        <v/>
      </c>
      <c r="Y286" s="2643"/>
      <c r="Z286" s="2644"/>
      <c r="AA286" s="2644"/>
      <c r="AB286" s="2645"/>
    </row>
    <row r="287" spans="1:28" ht="33" customHeight="1" outlineLevel="1">
      <c r="A287" s="513"/>
      <c r="B287" s="252"/>
      <c r="C287" s="2684" t="s">
        <v>629</v>
      </c>
      <c r="D287" s="2684"/>
      <c r="E287" s="192"/>
      <c r="F287" s="192"/>
      <c r="G287" s="636"/>
      <c r="H287" s="637"/>
      <c r="I287" s="187"/>
      <c r="J287" s="568"/>
      <c r="K287" s="945" t="str">
        <f ca="1">IF(OR($H$7&lt;2,K$260&lt;2),"",IF(J287&lt;&gt;"",J287,IFERROR(IF(INDIRECT("'"&amp;J$86&amp;"'!"&amp;VLOOKUP(J$87,'List Values'!$C$3:$D$6,2,FALSE)&amp;ROW(J287))="","",INDIRECT("'"&amp;J$86&amp;"'!"&amp;VLOOKUP(J$87,'List Values'!$C$3:$D$6,2,FALSE)&amp;ROW(J287))),IF(J$86&lt;&gt;"","Data Source Error",""))))</f>
        <v/>
      </c>
      <c r="L287" s="339"/>
      <c r="M287" s="568"/>
      <c r="N287" s="945" t="str">
        <f ca="1">IF(OR($H$7&lt;3,N$260&lt;2),"",IF(M287&lt;&gt;"",M287,IFERROR(IF(INDIRECT("'"&amp;M$86&amp;"'!"&amp;VLOOKUP(M$87,'List Values'!$C$3:$D$6,2,FALSE)&amp;ROW(M287))="","",INDIRECT("'"&amp;M$86&amp;"'!"&amp;VLOOKUP(M$87,'List Values'!$C$3:$D$6,2,FALSE)&amp;ROW(M287))),IF(M$86&lt;&gt;"","Data Source Error",""))))</f>
        <v/>
      </c>
      <c r="O287" s="339"/>
      <c r="P287" s="568"/>
      <c r="Q287" s="945" t="str">
        <f ca="1">IF(OR($H$7&lt;4,Q$260&lt;2),"",IF(P287&lt;&gt;"",P287,IFERROR(IF(INDIRECT("'"&amp;P$86&amp;"'!"&amp;VLOOKUP(P$87,'List Values'!$C$3:$D$6,2,FALSE)&amp;ROW(P287))="","",INDIRECT("'"&amp;P$86&amp;"'!"&amp;VLOOKUP(P$87,'List Values'!$C$3:$D$6,2,FALSE)&amp;ROW(P287))),IF(P$86&lt;&gt;"","Data Source Error",""))))</f>
        <v/>
      </c>
      <c r="R287" s="7"/>
      <c r="S287" s="568"/>
      <c r="T287" s="945" t="str">
        <f ca="1">IF(OR($H$7&lt;5,T$260&lt;2),"",IF(S287&lt;&gt;"",S287,IFERROR(IF(INDIRECT("'"&amp;S$86&amp;"'!"&amp;VLOOKUP(S$87,'List Values'!$C$3:$D$6,2,FALSE)&amp;ROW(S287))="","",INDIRECT("'"&amp;S$86&amp;"'!"&amp;VLOOKUP(S$87,'List Values'!$C$3:$D$6,2,FALSE)&amp;ROW(S287))),IF(S$86&lt;&gt;"","Data Source Error",""))))</f>
        <v/>
      </c>
      <c r="U287" s="7"/>
      <c r="V287" s="568"/>
      <c r="W287" s="952" t="str">
        <f ca="1">IF(OR($H$7&lt;6,W$260&lt;2),"",IF(V287&lt;&gt;"",V287,IFERROR(IF(INDIRECT("'"&amp;V$86&amp;"'!"&amp;VLOOKUP(V$87,'List Values'!$C$3:$D$6,2,FALSE)&amp;ROW(V287))="","",INDIRECT("'"&amp;V$86&amp;"'!"&amp;VLOOKUP(V$87,'List Values'!$C$3:$D$6,2,FALSE)&amp;ROW(V287))),IF(V$86&lt;&gt;"","Data Source Error",""))))</f>
        <v/>
      </c>
      <c r="Y287" s="2643"/>
      <c r="Z287" s="2644"/>
      <c r="AA287" s="2644"/>
      <c r="AB287" s="2645"/>
    </row>
    <row r="288" spans="1:28" ht="15.75" customHeight="1" outlineLevel="1">
      <c r="A288" s="513"/>
      <c r="B288" s="252"/>
      <c r="C288" s="2680" t="s">
        <v>630</v>
      </c>
      <c r="D288" s="2680"/>
      <c r="E288" s="192"/>
      <c r="F288" s="192"/>
      <c r="G288" s="636"/>
      <c r="H288" s="637"/>
      <c r="I288" s="187"/>
      <c r="J288" s="526"/>
      <c r="K288" s="900" t="str">
        <f ca="1">IF(OR($H$7&lt;2,K$260&lt;2),"",IF(J288&lt;&gt;"",J288,IFERROR(IF(INDIRECT("'"&amp;J$86&amp;"'!"&amp;VLOOKUP(J$87,'List Values'!$C$3:$D$6,2,FALSE)&amp;ROW(J288))="","",INDIRECT("'"&amp;J$86&amp;"'!"&amp;VLOOKUP(J$87,'List Values'!$C$3:$D$6,2,FALSE)&amp;ROW(J288))),IF(J$86&lt;&gt;"","Data Source Error",""))))</f>
        <v/>
      </c>
      <c r="L288" s="187"/>
      <c r="M288" s="526"/>
      <c r="N288" s="900" t="str">
        <f ca="1">IF(OR($H$7&lt;3,N$260&lt;2),"",IF(M288&lt;&gt;"",M288,IFERROR(IF(INDIRECT("'"&amp;M$86&amp;"'!"&amp;VLOOKUP(M$87,'List Values'!$C$3:$D$6,2,FALSE)&amp;ROW(M288))="","",INDIRECT("'"&amp;M$86&amp;"'!"&amp;VLOOKUP(M$87,'List Values'!$C$3:$D$6,2,FALSE)&amp;ROW(M288))),IF(M$86&lt;&gt;"","Data Source Error",""))))</f>
        <v/>
      </c>
      <c r="O288" s="187"/>
      <c r="P288" s="526"/>
      <c r="Q288" s="900" t="str">
        <f ca="1">IF(OR($H$7&lt;4,Q$260&lt;2),"",IF(P288&lt;&gt;"",P288,IFERROR(IF(INDIRECT("'"&amp;P$86&amp;"'!"&amp;VLOOKUP(P$87,'List Values'!$C$3:$D$6,2,FALSE)&amp;ROW(P288))="","",INDIRECT("'"&amp;P$86&amp;"'!"&amp;VLOOKUP(P$87,'List Values'!$C$3:$D$6,2,FALSE)&amp;ROW(P288))),IF(P$86&lt;&gt;"","Data Source Error",""))))</f>
        <v/>
      </c>
      <c r="S288" s="526"/>
      <c r="T288" s="900" t="str">
        <f ca="1">IF(OR($H$7&lt;5,T$260&lt;2),"",IF(S288&lt;&gt;"",S288,IFERROR(IF(INDIRECT("'"&amp;S$86&amp;"'!"&amp;VLOOKUP(S$87,'List Values'!$C$3:$D$6,2,FALSE)&amp;ROW(S288))="","",INDIRECT("'"&amp;S$86&amp;"'!"&amp;VLOOKUP(S$87,'List Values'!$C$3:$D$6,2,FALSE)&amp;ROW(S288))),IF(S$86&lt;&gt;"","Data Source Error",""))))</f>
        <v/>
      </c>
      <c r="V288" s="526"/>
      <c r="W288" s="911" t="str">
        <f ca="1">IF(OR($H$7&lt;6,W$260&lt;2),"",IF(V288&lt;&gt;"",V288,IFERROR(IF(INDIRECT("'"&amp;V$86&amp;"'!"&amp;VLOOKUP(V$87,'List Values'!$C$3:$D$6,2,FALSE)&amp;ROW(V288))="","",INDIRECT("'"&amp;V$86&amp;"'!"&amp;VLOOKUP(V$87,'List Values'!$C$3:$D$6,2,FALSE)&amp;ROW(V288))),IF(V$86&lt;&gt;"","Data Source Error",""))))</f>
        <v/>
      </c>
      <c r="Y288" s="2643"/>
      <c r="Z288" s="2644"/>
      <c r="AA288" s="2644"/>
      <c r="AB288" s="2645"/>
    </row>
    <row r="289" spans="1:28" ht="31" customHeight="1" outlineLevel="1">
      <c r="A289" s="513"/>
      <c r="B289" s="252"/>
      <c r="C289" s="2684" t="s">
        <v>634</v>
      </c>
      <c r="D289" s="2684"/>
      <c r="E289" s="202"/>
      <c r="F289" s="202"/>
      <c r="G289" s="634"/>
      <c r="H289" s="635"/>
      <c r="I289" s="183"/>
      <c r="J289" s="553"/>
      <c r="K289" s="897" t="str">
        <f ca="1">IF(OR($H$7&lt;2,K$260&lt;2),"",IF(J289&lt;&gt;"",J289,IFERROR(IF(INDIRECT("'"&amp;J$86&amp;"'!"&amp;VLOOKUP(J$87,'List Values'!$C$3:$D$6,2,FALSE)&amp;ROW(J289))="","",INDIRECT("'"&amp;J$86&amp;"'!"&amp;VLOOKUP(J$87,'List Values'!$C$3:$D$6,2,FALSE)&amp;ROW(J289))),IF(J$86&lt;&gt;"","Data Source Error",""))))</f>
        <v/>
      </c>
      <c r="L289" s="183"/>
      <c r="M289" s="553"/>
      <c r="N289" s="897" t="str">
        <f ca="1">IF(OR($H$7&lt;3,N$260&lt;2),"",IF(M289&lt;&gt;"",M289,IFERROR(IF(INDIRECT("'"&amp;M$86&amp;"'!"&amp;VLOOKUP(M$87,'List Values'!$C$3:$D$6,2,FALSE)&amp;ROW(M289))="","",INDIRECT("'"&amp;M$86&amp;"'!"&amp;VLOOKUP(M$87,'List Values'!$C$3:$D$6,2,FALSE)&amp;ROW(M289))),IF(M$86&lt;&gt;"","Data Source Error",""))))</f>
        <v/>
      </c>
      <c r="O289" s="183"/>
      <c r="P289" s="553"/>
      <c r="Q289" s="897" t="str">
        <f ca="1">IF(OR($H$7&lt;4,Q$260&lt;2),"",IF(P289&lt;&gt;"",P289,IFERROR(IF(INDIRECT("'"&amp;P$86&amp;"'!"&amp;VLOOKUP(P$87,'List Values'!$C$3:$D$6,2,FALSE)&amp;ROW(P289))="","",INDIRECT("'"&amp;P$86&amp;"'!"&amp;VLOOKUP(P$87,'List Values'!$C$3:$D$6,2,FALSE)&amp;ROW(P289))),IF(P$86&lt;&gt;"","Data Source Error",""))))</f>
        <v/>
      </c>
      <c r="S289" s="553"/>
      <c r="T289" s="897" t="str">
        <f ca="1">IF(OR($H$7&lt;5,T$260&lt;2),"",IF(S289&lt;&gt;"",S289,IFERROR(IF(INDIRECT("'"&amp;S$86&amp;"'!"&amp;VLOOKUP(S$87,'List Values'!$C$3:$D$6,2,FALSE)&amp;ROW(S289))="","",INDIRECT("'"&amp;S$86&amp;"'!"&amp;VLOOKUP(S$87,'List Values'!$C$3:$D$6,2,FALSE)&amp;ROW(S289))),IF(S$86&lt;&gt;"","Data Source Error",""))))</f>
        <v/>
      </c>
      <c r="V289" s="553"/>
      <c r="W289" s="908" t="str">
        <f ca="1">IF(OR($H$7&lt;6,W$260&lt;2),"",IF(V289&lt;&gt;"",V289,IFERROR(IF(INDIRECT("'"&amp;V$86&amp;"'!"&amp;VLOOKUP(V$87,'List Values'!$C$3:$D$6,2,FALSE)&amp;ROW(V289))="","",INDIRECT("'"&amp;V$86&amp;"'!"&amp;VLOOKUP(V$87,'List Values'!$C$3:$D$6,2,FALSE)&amp;ROW(V289))),IF(V$86&lt;&gt;"","Data Source Error",""))))</f>
        <v/>
      </c>
      <c r="Y289" s="2643"/>
      <c r="Z289" s="2644"/>
      <c r="AA289" s="2644"/>
      <c r="AB289" s="2645"/>
    </row>
    <row r="290" spans="1:28" ht="31" customHeight="1" outlineLevel="1">
      <c r="A290" s="513"/>
      <c r="B290" s="252"/>
      <c r="C290" s="2680" t="s">
        <v>1551</v>
      </c>
      <c r="D290" s="2680"/>
      <c r="E290" s="192"/>
      <c r="F290" s="192"/>
      <c r="G290" s="636"/>
      <c r="H290" s="637"/>
      <c r="I290" s="187"/>
      <c r="J290" s="619"/>
      <c r="K290" s="898" t="str">
        <f ca="1">IF(OR($H$7&lt;2,K$260&lt;2),"",IF(J290&lt;&gt;"",J290,IFERROR(IF(INDIRECT("'"&amp;J$86&amp;"'!"&amp;VLOOKUP(J$87,'List Values'!$C$3:$D$6,2,FALSE)&amp;ROW(J290))="","",INDIRECT("'"&amp;J$86&amp;"'!"&amp;VLOOKUP(J$87,'List Values'!$C$3:$D$6,2,FALSE)&amp;ROW(J290))),IF(J$86&lt;&gt;"","Data Source Error",""))))</f>
        <v/>
      </c>
      <c r="L290" s="621"/>
      <c r="M290" s="619"/>
      <c r="N290" s="898" t="str">
        <f ca="1">IF(OR($H$7&lt;3,N$260&lt;2),"",IF(M290&lt;&gt;"",M290,IFERROR(IF(INDIRECT("'"&amp;M$86&amp;"'!"&amp;VLOOKUP(M$87,'List Values'!$C$3:$D$6,2,FALSE)&amp;ROW(M290))="","",INDIRECT("'"&amp;M$86&amp;"'!"&amp;VLOOKUP(M$87,'List Values'!$C$3:$D$6,2,FALSE)&amp;ROW(M290))),IF(M$86&lt;&gt;"","Data Source Error",""))))</f>
        <v/>
      </c>
      <c r="O290" s="621"/>
      <c r="P290" s="619"/>
      <c r="Q290" s="898" t="str">
        <f ca="1">IF(OR($H$7&lt;4,Q$260&lt;2),"",IF(P290&lt;&gt;"",P290,IFERROR(IF(INDIRECT("'"&amp;P$86&amp;"'!"&amp;VLOOKUP(P$87,'List Values'!$C$3:$D$6,2,FALSE)&amp;ROW(P290))="","",INDIRECT("'"&amp;P$86&amp;"'!"&amp;VLOOKUP(P$87,'List Values'!$C$3:$D$6,2,FALSE)&amp;ROW(P290))),IF(P$86&lt;&gt;"","Data Source Error",""))))</f>
        <v/>
      </c>
      <c r="R290" s="147"/>
      <c r="S290" s="619"/>
      <c r="T290" s="898" t="str">
        <f ca="1">IF(OR($H$7&lt;5,T$260&lt;2),"",IF(S290&lt;&gt;"",S290,IFERROR(IF(INDIRECT("'"&amp;S$86&amp;"'!"&amp;VLOOKUP(S$87,'List Values'!$C$3:$D$6,2,FALSE)&amp;ROW(S290))="","",INDIRECT("'"&amp;S$86&amp;"'!"&amp;VLOOKUP(S$87,'List Values'!$C$3:$D$6,2,FALSE)&amp;ROW(S290))),IF(S$86&lt;&gt;"","Data Source Error",""))))</f>
        <v/>
      </c>
      <c r="U290" s="147"/>
      <c r="V290" s="619"/>
      <c r="W290" s="909" t="str">
        <f ca="1">IF(OR($H$7&lt;6,W$260&lt;2),"",IF(V290&lt;&gt;"",V290,IFERROR(IF(INDIRECT("'"&amp;V$86&amp;"'!"&amp;VLOOKUP(V$87,'List Values'!$C$3:$D$6,2,FALSE)&amp;ROW(V290))="","",INDIRECT("'"&amp;V$86&amp;"'!"&amp;VLOOKUP(V$87,'List Values'!$C$3:$D$6,2,FALSE)&amp;ROW(V290))),IF(V$86&lt;&gt;"","Data Source Error",""))))</f>
        <v/>
      </c>
      <c r="Y290" s="2643"/>
      <c r="Z290" s="2644"/>
      <c r="AA290" s="2644"/>
      <c r="AB290" s="2645"/>
    </row>
    <row r="291" spans="1:28" ht="31" customHeight="1" outlineLevel="1">
      <c r="A291" s="513"/>
      <c r="B291" s="252"/>
      <c r="C291" s="2680" t="s">
        <v>1552</v>
      </c>
      <c r="D291" s="2680"/>
      <c r="E291" s="192"/>
      <c r="F291" s="192"/>
      <c r="G291" s="636"/>
      <c r="H291" s="637"/>
      <c r="I291" s="187"/>
      <c r="J291" s="619"/>
      <c r="K291" s="898" t="str">
        <f ca="1">IF(OR($H$7&lt;2,K$260&lt;2),"",IF(J291&lt;&gt;"",J291,IFERROR(IF(INDIRECT("'"&amp;J$86&amp;"'!"&amp;VLOOKUP(J$87,'List Values'!$C$3:$D$6,2,FALSE)&amp;ROW(J291))="","",INDIRECT("'"&amp;J$86&amp;"'!"&amp;VLOOKUP(J$87,'List Values'!$C$3:$D$6,2,FALSE)&amp;ROW(J291))),IF(J$86&lt;&gt;"","Data Source Error",""))))</f>
        <v/>
      </c>
      <c r="L291" s="621"/>
      <c r="M291" s="619"/>
      <c r="N291" s="898" t="str">
        <f ca="1">IF(OR($H$7&lt;3,N$260&lt;2),"",IF(M291&lt;&gt;"",M291,IFERROR(IF(INDIRECT("'"&amp;M$86&amp;"'!"&amp;VLOOKUP(M$87,'List Values'!$C$3:$D$6,2,FALSE)&amp;ROW(M291))="","",INDIRECT("'"&amp;M$86&amp;"'!"&amp;VLOOKUP(M$87,'List Values'!$C$3:$D$6,2,FALSE)&amp;ROW(M291))),IF(M$86&lt;&gt;"","Data Source Error",""))))</f>
        <v/>
      </c>
      <c r="O291" s="621"/>
      <c r="P291" s="619"/>
      <c r="Q291" s="898" t="str">
        <f ca="1">IF(OR($H$7&lt;4,Q$260&lt;2),"",IF(P291&lt;&gt;"",P291,IFERROR(IF(INDIRECT("'"&amp;P$86&amp;"'!"&amp;VLOOKUP(P$87,'List Values'!$C$3:$D$6,2,FALSE)&amp;ROW(P291))="","",INDIRECT("'"&amp;P$86&amp;"'!"&amp;VLOOKUP(P$87,'List Values'!$C$3:$D$6,2,FALSE)&amp;ROW(P291))),IF(P$86&lt;&gt;"","Data Source Error",""))))</f>
        <v/>
      </c>
      <c r="R291" s="147"/>
      <c r="S291" s="619"/>
      <c r="T291" s="898" t="str">
        <f ca="1">IF(OR($H$7&lt;5,T$260&lt;2),"",IF(S291&lt;&gt;"",S291,IFERROR(IF(INDIRECT("'"&amp;S$86&amp;"'!"&amp;VLOOKUP(S$87,'List Values'!$C$3:$D$6,2,FALSE)&amp;ROW(S291))="","",INDIRECT("'"&amp;S$86&amp;"'!"&amp;VLOOKUP(S$87,'List Values'!$C$3:$D$6,2,FALSE)&amp;ROW(S291))),IF(S$86&lt;&gt;"","Data Source Error",""))))</f>
        <v/>
      </c>
      <c r="U291" s="147"/>
      <c r="V291" s="619"/>
      <c r="W291" s="909" t="str">
        <f ca="1">IF(OR($H$7&lt;6,W$260&lt;2),"",IF(V291&lt;&gt;"",V291,IFERROR(IF(INDIRECT("'"&amp;V$86&amp;"'!"&amp;VLOOKUP(V$87,'List Values'!$C$3:$D$6,2,FALSE)&amp;ROW(V291))="","",INDIRECT("'"&amp;V$86&amp;"'!"&amp;VLOOKUP(V$87,'List Values'!$C$3:$D$6,2,FALSE)&amp;ROW(V291))),IF(V$86&lt;&gt;"","Data Source Error",""))))</f>
        <v/>
      </c>
      <c r="Y291" s="2643"/>
      <c r="Z291" s="2644"/>
      <c r="AA291" s="2644"/>
      <c r="AB291" s="2645"/>
    </row>
    <row r="292" spans="1:28" ht="33" customHeight="1" outlineLevel="1">
      <c r="A292" s="513"/>
      <c r="B292" s="252"/>
      <c r="C292" s="2680" t="s">
        <v>331</v>
      </c>
      <c r="D292" s="2680"/>
      <c r="E292" s="192"/>
      <c r="F292" s="192"/>
      <c r="G292" s="636"/>
      <c r="H292" s="637"/>
      <c r="I292" s="187"/>
      <c r="J292" s="526"/>
      <c r="K292" s="935" t="str">
        <f ca="1">IF(OR($H$7&lt;2,K$260&lt;2),"",IF(J292&lt;&gt;"",J292,IFERROR(IF(INDIRECT("'"&amp;J$86&amp;"'!"&amp;VLOOKUP(J$87,'List Values'!$C$3:$D$6,2,FALSE)&amp;ROW(J292))="","",INDIRECT("'"&amp;J$86&amp;"'!"&amp;VLOOKUP(J$87,'List Values'!$C$3:$D$6,2,FALSE)&amp;ROW(J292))),IF(J$86&lt;&gt;"","Data Source Error",""))))</f>
        <v/>
      </c>
      <c r="L292" s="187"/>
      <c r="M292" s="526"/>
      <c r="N292" s="900" t="str">
        <f ca="1">IF(OR($H$7&lt;3,N$260&lt;2),"",IF(M292&lt;&gt;"",M292,IFERROR(IF(INDIRECT("'"&amp;M$86&amp;"'!"&amp;VLOOKUP(M$87,'List Values'!$C$3:$D$6,2,FALSE)&amp;ROW(M292))="","",INDIRECT("'"&amp;M$86&amp;"'!"&amp;VLOOKUP(M$87,'List Values'!$C$3:$D$6,2,FALSE)&amp;ROW(M292))),IF(M$86&lt;&gt;"","Data Source Error",""))))</f>
        <v/>
      </c>
      <c r="O292" s="187"/>
      <c r="P292" s="526"/>
      <c r="Q292" s="900" t="str">
        <f ca="1">IF(OR($H$7&lt;4,Q$260&lt;2),"",IF(P292&lt;&gt;"",P292,IFERROR(IF(INDIRECT("'"&amp;P$86&amp;"'!"&amp;VLOOKUP(P$87,'List Values'!$C$3:$D$6,2,FALSE)&amp;ROW(P292))="","",INDIRECT("'"&amp;P$86&amp;"'!"&amp;VLOOKUP(P$87,'List Values'!$C$3:$D$6,2,FALSE)&amp;ROW(P292))),IF(P$86&lt;&gt;"","Data Source Error",""))))</f>
        <v/>
      </c>
      <c r="S292" s="526"/>
      <c r="T292" s="900" t="str">
        <f ca="1">IF(OR($H$7&lt;5,T$260&lt;2),"",IF(S292&lt;&gt;"",S292,IFERROR(IF(INDIRECT("'"&amp;S$86&amp;"'!"&amp;VLOOKUP(S$87,'List Values'!$C$3:$D$6,2,FALSE)&amp;ROW(S292))="","",INDIRECT("'"&amp;S$86&amp;"'!"&amp;VLOOKUP(S$87,'List Values'!$C$3:$D$6,2,FALSE)&amp;ROW(S292))),IF(S$86&lt;&gt;"","Data Source Error",""))))</f>
        <v/>
      </c>
      <c r="V292" s="526"/>
      <c r="W292" s="911" t="str">
        <f ca="1">IF(OR($H$7&lt;6,W$260&lt;2),"",IF(V292&lt;&gt;"",V292,IFERROR(IF(INDIRECT("'"&amp;V$86&amp;"'!"&amp;VLOOKUP(V$87,'List Values'!$C$3:$D$6,2,FALSE)&amp;ROW(V292))="","",INDIRECT("'"&amp;V$86&amp;"'!"&amp;VLOOKUP(V$87,'List Values'!$C$3:$D$6,2,FALSE)&amp;ROW(V292))),IF(V$86&lt;&gt;"","Data Source Error",""))))</f>
        <v/>
      </c>
      <c r="Y292" s="2643"/>
      <c r="Z292" s="2644"/>
      <c r="AA292" s="2644"/>
      <c r="AB292" s="2645"/>
    </row>
    <row r="293" spans="1:28" ht="15.75" customHeight="1" outlineLevel="1">
      <c r="A293" s="513"/>
      <c r="B293" s="252"/>
      <c r="C293" s="2684" t="s">
        <v>332</v>
      </c>
      <c r="D293" s="2684"/>
      <c r="E293" s="192"/>
      <c r="F293" s="192"/>
      <c r="G293" s="636"/>
      <c r="H293" s="637"/>
      <c r="I293" s="187"/>
      <c r="J293" s="580"/>
      <c r="K293" s="900" t="str">
        <f ca="1">IF(OR($H$7&lt;2,K$260&lt;2),"",IF(J293&lt;&gt;"",J293,IFERROR(IF(INDIRECT("'"&amp;J$86&amp;"'!"&amp;VLOOKUP(J$87,'List Values'!$C$3:$D$6,2,FALSE)&amp;ROW(J293))="","",INDIRECT("'"&amp;J$86&amp;"'!"&amp;VLOOKUP(J$87,'List Values'!$C$3:$D$6,2,FALSE)&amp;ROW(J293))),IF(J$86&lt;&gt;"","Data Source Error",""))))</f>
        <v/>
      </c>
      <c r="L293" s="187"/>
      <c r="M293" s="580"/>
      <c r="N293" s="900" t="str">
        <f ca="1">IF(OR($H$7&lt;3,N$260&lt;2),"",IF(M293&lt;&gt;"",M293,IFERROR(IF(INDIRECT("'"&amp;M$86&amp;"'!"&amp;VLOOKUP(M$87,'List Values'!$C$3:$D$6,2,FALSE)&amp;ROW(M293))="","",INDIRECT("'"&amp;M$86&amp;"'!"&amp;VLOOKUP(M$87,'List Values'!$C$3:$D$6,2,FALSE)&amp;ROW(M293))),IF(M$86&lt;&gt;"","Data Source Error",""))))</f>
        <v/>
      </c>
      <c r="O293" s="187"/>
      <c r="P293" s="580"/>
      <c r="Q293" s="900" t="str">
        <f ca="1">IF(OR($H$7&lt;4,Q$260&lt;2),"",IF(P293&lt;&gt;"",P293,IFERROR(IF(INDIRECT("'"&amp;P$86&amp;"'!"&amp;VLOOKUP(P$87,'List Values'!$C$3:$D$6,2,FALSE)&amp;ROW(P293))="","",INDIRECT("'"&amp;P$86&amp;"'!"&amp;VLOOKUP(P$87,'List Values'!$C$3:$D$6,2,FALSE)&amp;ROW(P293))),IF(P$86&lt;&gt;"","Data Source Error",""))))</f>
        <v/>
      </c>
      <c r="S293" s="580"/>
      <c r="T293" s="900" t="str">
        <f ca="1">IF(OR($H$7&lt;5,T$260&lt;2),"",IF(S293&lt;&gt;"",S293,IFERROR(IF(INDIRECT("'"&amp;S$86&amp;"'!"&amp;VLOOKUP(S$87,'List Values'!$C$3:$D$6,2,FALSE)&amp;ROW(S293))="","",INDIRECT("'"&amp;S$86&amp;"'!"&amp;VLOOKUP(S$87,'List Values'!$C$3:$D$6,2,FALSE)&amp;ROW(S293))),IF(S$86&lt;&gt;"","Data Source Error",""))))</f>
        <v/>
      </c>
      <c r="V293" s="580"/>
      <c r="W293" s="911" t="str">
        <f ca="1">IF(OR($H$7&lt;6,W$260&lt;2),"",IF(V293&lt;&gt;"",V293,IFERROR(IF(INDIRECT("'"&amp;V$86&amp;"'!"&amp;VLOOKUP(V$87,'List Values'!$C$3:$D$6,2,FALSE)&amp;ROW(V293))="","",INDIRECT("'"&amp;V$86&amp;"'!"&amp;VLOOKUP(V$87,'List Values'!$C$3:$D$6,2,FALSE)&amp;ROW(V293))),IF(V$86&lt;&gt;"","Data Source Error",""))))</f>
        <v/>
      </c>
      <c r="Y293" s="2643"/>
      <c r="Z293" s="2644"/>
      <c r="AA293" s="2644"/>
      <c r="AB293" s="2645"/>
    </row>
    <row r="294" spans="1:28" ht="30.75" customHeight="1" outlineLevel="1">
      <c r="A294" s="513"/>
      <c r="B294" s="252"/>
      <c r="C294" s="2680" t="s">
        <v>839</v>
      </c>
      <c r="D294" s="2680"/>
      <c r="E294" s="192"/>
      <c r="F294" s="192"/>
      <c r="G294" s="636"/>
      <c r="H294" s="637"/>
      <c r="I294" s="187"/>
      <c r="J294" s="580"/>
      <c r="K294" s="900" t="str">
        <f ca="1">IF(OR($H$7&lt;2,K$260&lt;2),"",IF(J294&lt;&gt;"",J294,IFERROR(IF(INDIRECT("'"&amp;J$86&amp;"'!"&amp;VLOOKUP(J$87,'List Values'!$C$3:$D$6,2,FALSE)&amp;ROW(J294))="","",INDIRECT("'"&amp;J$86&amp;"'!"&amp;VLOOKUP(J$87,'List Values'!$C$3:$D$6,2,FALSE)&amp;ROW(J294))),IF(J$86&lt;&gt;"","Data Source Error",""))))</f>
        <v/>
      </c>
      <c r="L294" s="187"/>
      <c r="M294" s="580"/>
      <c r="N294" s="900" t="str">
        <f ca="1">IF(OR($H$7&lt;3,N$260&lt;2),"",IF(M294&lt;&gt;"",M294,IFERROR(IF(INDIRECT("'"&amp;M$86&amp;"'!"&amp;VLOOKUP(M$87,'List Values'!$C$3:$D$6,2,FALSE)&amp;ROW(M294))="","",INDIRECT("'"&amp;M$86&amp;"'!"&amp;VLOOKUP(M$87,'List Values'!$C$3:$D$6,2,FALSE)&amp;ROW(M294))),IF(M$86&lt;&gt;"","Data Source Error",""))))</f>
        <v/>
      </c>
      <c r="O294" s="187"/>
      <c r="P294" s="580"/>
      <c r="Q294" s="900" t="str">
        <f ca="1">IF(OR($H$7&lt;4,Q$260&lt;2),"",IF(P294&lt;&gt;"",P294,IFERROR(IF(INDIRECT("'"&amp;P$86&amp;"'!"&amp;VLOOKUP(P$87,'List Values'!$C$3:$D$6,2,FALSE)&amp;ROW(P294))="","",INDIRECT("'"&amp;P$86&amp;"'!"&amp;VLOOKUP(P$87,'List Values'!$C$3:$D$6,2,FALSE)&amp;ROW(P294))),IF(P$86&lt;&gt;"","Data Source Error",""))))</f>
        <v/>
      </c>
      <c r="S294" s="580"/>
      <c r="T294" s="900" t="str">
        <f ca="1">IF(OR($H$7&lt;5,T$260&lt;2),"",IF(S294&lt;&gt;"",S294,IFERROR(IF(INDIRECT("'"&amp;S$86&amp;"'!"&amp;VLOOKUP(S$87,'List Values'!$C$3:$D$6,2,FALSE)&amp;ROW(S294))="","",INDIRECT("'"&amp;S$86&amp;"'!"&amp;VLOOKUP(S$87,'List Values'!$C$3:$D$6,2,FALSE)&amp;ROW(S294))),IF(S$86&lt;&gt;"","Data Source Error",""))))</f>
        <v/>
      </c>
      <c r="V294" s="580"/>
      <c r="W294" s="911" t="str">
        <f ca="1">IF(OR($H$7&lt;6,W$260&lt;2),"",IF(V294&lt;&gt;"",V294,IFERROR(IF(INDIRECT("'"&amp;V$86&amp;"'!"&amp;VLOOKUP(V$87,'List Values'!$C$3:$D$6,2,FALSE)&amp;ROW(V294))="","",INDIRECT("'"&amp;V$86&amp;"'!"&amp;VLOOKUP(V$87,'List Values'!$C$3:$D$6,2,FALSE)&amp;ROW(V294))),IF(V$86&lt;&gt;"","Data Source Error",""))))</f>
        <v/>
      </c>
      <c r="Y294" s="2643"/>
      <c r="Z294" s="2644"/>
      <c r="AA294" s="2644"/>
      <c r="AB294" s="2645"/>
    </row>
    <row r="295" spans="1:28" ht="15.75" customHeight="1" outlineLevel="1">
      <c r="A295" s="513"/>
      <c r="B295" s="252"/>
      <c r="C295" s="2680" t="s">
        <v>334</v>
      </c>
      <c r="D295" s="2680"/>
      <c r="E295" s="192"/>
      <c r="F295" s="192"/>
      <c r="G295" s="636"/>
      <c r="H295" s="637"/>
      <c r="I295" s="187"/>
      <c r="J295" s="580"/>
      <c r="K295" s="900" t="str">
        <f ca="1">IF(OR($H$7&lt;2,K$260&lt;2),"",IF(J295&lt;&gt;"",J295,IFERROR(IF(INDIRECT("'"&amp;J$86&amp;"'!"&amp;VLOOKUP(J$87,'List Values'!$C$3:$D$6,2,FALSE)&amp;ROW(J295))="","",INDIRECT("'"&amp;J$86&amp;"'!"&amp;VLOOKUP(J$87,'List Values'!$C$3:$D$6,2,FALSE)&amp;ROW(J295))),IF(J$86&lt;&gt;"","Data Source Error",""))))</f>
        <v/>
      </c>
      <c r="L295" s="187"/>
      <c r="M295" s="580"/>
      <c r="N295" s="900" t="str">
        <f ca="1">IF(OR($H$7&lt;3,N$260&lt;2),"",IF(M295&lt;&gt;"",M295,IFERROR(IF(INDIRECT("'"&amp;M$86&amp;"'!"&amp;VLOOKUP(M$87,'List Values'!$C$3:$D$6,2,FALSE)&amp;ROW(M295))="","",INDIRECT("'"&amp;M$86&amp;"'!"&amp;VLOOKUP(M$87,'List Values'!$C$3:$D$6,2,FALSE)&amp;ROW(M295))),IF(M$86&lt;&gt;"","Data Source Error",""))))</f>
        <v/>
      </c>
      <c r="O295" s="187"/>
      <c r="P295" s="580"/>
      <c r="Q295" s="900" t="str">
        <f ca="1">IF(OR($H$7&lt;4,Q$260&lt;2),"",IF(P295&lt;&gt;"",P295,IFERROR(IF(INDIRECT("'"&amp;P$86&amp;"'!"&amp;VLOOKUP(P$87,'List Values'!$C$3:$D$6,2,FALSE)&amp;ROW(P295))="","",INDIRECT("'"&amp;P$86&amp;"'!"&amp;VLOOKUP(P$87,'List Values'!$C$3:$D$6,2,FALSE)&amp;ROW(P295))),IF(P$86&lt;&gt;"","Data Source Error",""))))</f>
        <v/>
      </c>
      <c r="S295" s="580"/>
      <c r="T295" s="900" t="str">
        <f ca="1">IF(OR($H$7&lt;5,T$260&lt;2),"",IF(S295&lt;&gt;"",S295,IFERROR(IF(INDIRECT("'"&amp;S$86&amp;"'!"&amp;VLOOKUP(S$87,'List Values'!$C$3:$D$6,2,FALSE)&amp;ROW(S295))="","",INDIRECT("'"&amp;S$86&amp;"'!"&amp;VLOOKUP(S$87,'List Values'!$C$3:$D$6,2,FALSE)&amp;ROW(S295))),IF(S$86&lt;&gt;"","Data Source Error",""))))</f>
        <v/>
      </c>
      <c r="V295" s="580"/>
      <c r="W295" s="911" t="str">
        <f ca="1">IF(OR($H$7&lt;6,W$260&lt;2),"",IF(V295&lt;&gt;"",V295,IFERROR(IF(INDIRECT("'"&amp;V$86&amp;"'!"&amp;VLOOKUP(V$87,'List Values'!$C$3:$D$6,2,FALSE)&amp;ROW(V295))="","",INDIRECT("'"&amp;V$86&amp;"'!"&amp;VLOOKUP(V$87,'List Values'!$C$3:$D$6,2,FALSE)&amp;ROW(V295))),IF(V$86&lt;&gt;"","Data Source Error",""))))</f>
        <v/>
      </c>
      <c r="Y295" s="2643"/>
      <c r="Z295" s="2644"/>
      <c r="AA295" s="2644"/>
      <c r="AB295" s="2645"/>
    </row>
    <row r="296" spans="1:28" ht="15.75" customHeight="1" outlineLevel="1">
      <c r="A296" s="513"/>
      <c r="B296" s="252"/>
      <c r="C296" s="2684" t="s">
        <v>335</v>
      </c>
      <c r="D296" s="2684"/>
      <c r="E296" s="192"/>
      <c r="F296" s="192"/>
      <c r="G296" s="636"/>
      <c r="H296" s="637"/>
      <c r="I296" s="187"/>
      <c r="J296" s="580"/>
      <c r="K296" s="900" t="str">
        <f ca="1">IF(OR($H$7&lt;2,K$260&lt;2),"",IF(J296&lt;&gt;"",J296,IFERROR(IF(INDIRECT("'"&amp;J$86&amp;"'!"&amp;VLOOKUP(J$87,'List Values'!$C$3:$D$6,2,FALSE)&amp;ROW(J296))="","",INDIRECT("'"&amp;J$86&amp;"'!"&amp;VLOOKUP(J$87,'List Values'!$C$3:$D$6,2,FALSE)&amp;ROW(J296))),IF(J$86&lt;&gt;"","Data Source Error",""))))</f>
        <v/>
      </c>
      <c r="L296" s="187"/>
      <c r="M296" s="580"/>
      <c r="N296" s="900" t="str">
        <f ca="1">IF(OR($H$7&lt;3,N$260&lt;2),"",IF(M296&lt;&gt;"",M296,IFERROR(IF(INDIRECT("'"&amp;M$86&amp;"'!"&amp;VLOOKUP(M$87,'List Values'!$C$3:$D$6,2,FALSE)&amp;ROW(M296))="","",INDIRECT("'"&amp;M$86&amp;"'!"&amp;VLOOKUP(M$87,'List Values'!$C$3:$D$6,2,FALSE)&amp;ROW(M296))),IF(M$86&lt;&gt;"","Data Source Error",""))))</f>
        <v/>
      </c>
      <c r="O296" s="187"/>
      <c r="P296" s="580"/>
      <c r="Q296" s="900" t="str">
        <f ca="1">IF(OR($H$7&lt;4,Q$260&lt;2),"",IF(P296&lt;&gt;"",P296,IFERROR(IF(INDIRECT("'"&amp;P$86&amp;"'!"&amp;VLOOKUP(P$87,'List Values'!$C$3:$D$6,2,FALSE)&amp;ROW(P296))="","",INDIRECT("'"&amp;P$86&amp;"'!"&amp;VLOOKUP(P$87,'List Values'!$C$3:$D$6,2,FALSE)&amp;ROW(P296))),IF(P$86&lt;&gt;"","Data Source Error",""))))</f>
        <v/>
      </c>
      <c r="S296" s="580"/>
      <c r="T296" s="900" t="str">
        <f ca="1">IF(OR($H$7&lt;5,T$260&lt;2),"",IF(S296&lt;&gt;"",S296,IFERROR(IF(INDIRECT("'"&amp;S$86&amp;"'!"&amp;VLOOKUP(S$87,'List Values'!$C$3:$D$6,2,FALSE)&amp;ROW(S296))="","",INDIRECT("'"&amp;S$86&amp;"'!"&amp;VLOOKUP(S$87,'List Values'!$C$3:$D$6,2,FALSE)&amp;ROW(S296))),IF(S$86&lt;&gt;"","Data Source Error",""))))</f>
        <v/>
      </c>
      <c r="V296" s="580"/>
      <c r="W296" s="911" t="str">
        <f ca="1">IF(OR($H$7&lt;6,W$260&lt;2),"",IF(V296&lt;&gt;"",V296,IFERROR(IF(INDIRECT("'"&amp;V$86&amp;"'!"&amp;VLOOKUP(V$87,'List Values'!$C$3:$D$6,2,FALSE)&amp;ROW(V296))="","",INDIRECT("'"&amp;V$86&amp;"'!"&amp;VLOOKUP(V$87,'List Values'!$C$3:$D$6,2,FALSE)&amp;ROW(V296))),IF(V$86&lt;&gt;"","Data Source Error",""))))</f>
        <v/>
      </c>
      <c r="Y296" s="2643"/>
      <c r="Z296" s="2644"/>
      <c r="AA296" s="2644"/>
      <c r="AB296" s="2645"/>
    </row>
    <row r="297" spans="1:28" ht="31" customHeight="1" outlineLevel="1">
      <c r="A297" s="513"/>
      <c r="B297" s="252"/>
      <c r="C297" s="2680" t="s">
        <v>336</v>
      </c>
      <c r="D297" s="2680"/>
      <c r="E297" s="192"/>
      <c r="F297" s="192"/>
      <c r="G297" s="636"/>
      <c r="H297" s="637"/>
      <c r="I297" s="187"/>
      <c r="J297" s="580"/>
      <c r="K297" s="900" t="str">
        <f ca="1">IF(OR($H$7&lt;2,K$260&lt;2),"",IF(J297&lt;&gt;"",J297,IFERROR(IF(INDIRECT("'"&amp;J$86&amp;"'!"&amp;VLOOKUP(J$87,'List Values'!$C$3:$D$6,2,FALSE)&amp;ROW(J297))="","",INDIRECT("'"&amp;J$86&amp;"'!"&amp;VLOOKUP(J$87,'List Values'!$C$3:$D$6,2,FALSE)&amp;ROW(J297))),IF(J$86&lt;&gt;"","Data Source Error",""))))</f>
        <v/>
      </c>
      <c r="L297" s="187"/>
      <c r="M297" s="580"/>
      <c r="N297" s="900" t="str">
        <f ca="1">IF(OR($H$7&lt;3,N$260&lt;2),"",IF(M297&lt;&gt;"",M297,IFERROR(IF(INDIRECT("'"&amp;M$86&amp;"'!"&amp;VLOOKUP(M$87,'List Values'!$C$3:$D$6,2,FALSE)&amp;ROW(M297))="","",INDIRECT("'"&amp;M$86&amp;"'!"&amp;VLOOKUP(M$87,'List Values'!$C$3:$D$6,2,FALSE)&amp;ROW(M297))),IF(M$86&lt;&gt;"","Data Source Error",""))))</f>
        <v/>
      </c>
      <c r="O297" s="187"/>
      <c r="P297" s="580"/>
      <c r="Q297" s="900" t="str">
        <f ca="1">IF(OR($H$7&lt;4,Q$260&lt;2),"",IF(P297&lt;&gt;"",P297,IFERROR(IF(INDIRECT("'"&amp;P$86&amp;"'!"&amp;VLOOKUP(P$87,'List Values'!$C$3:$D$6,2,FALSE)&amp;ROW(P297))="","",INDIRECT("'"&amp;P$86&amp;"'!"&amp;VLOOKUP(P$87,'List Values'!$C$3:$D$6,2,FALSE)&amp;ROW(P297))),IF(P$86&lt;&gt;"","Data Source Error",""))))</f>
        <v/>
      </c>
      <c r="S297" s="580"/>
      <c r="T297" s="900" t="str">
        <f ca="1">IF(OR($H$7&lt;5,T$260&lt;2),"",IF(S297&lt;&gt;"",S297,IFERROR(IF(INDIRECT("'"&amp;S$86&amp;"'!"&amp;VLOOKUP(S$87,'List Values'!$C$3:$D$6,2,FALSE)&amp;ROW(S297))="","",INDIRECT("'"&amp;S$86&amp;"'!"&amp;VLOOKUP(S$87,'List Values'!$C$3:$D$6,2,FALSE)&amp;ROW(S297))),IF(S$86&lt;&gt;"","Data Source Error",""))))</f>
        <v/>
      </c>
      <c r="V297" s="580"/>
      <c r="W297" s="911" t="str">
        <f ca="1">IF(OR($H$7&lt;6,W$260&lt;2),"",IF(V297&lt;&gt;"",V297,IFERROR(IF(INDIRECT("'"&amp;V$86&amp;"'!"&amp;VLOOKUP(V$87,'List Values'!$C$3:$D$6,2,FALSE)&amp;ROW(V297))="","",INDIRECT("'"&amp;V$86&amp;"'!"&amp;VLOOKUP(V$87,'List Values'!$C$3:$D$6,2,FALSE)&amp;ROW(V297))),IF(V$86&lt;&gt;"","Data Source Error",""))))</f>
        <v/>
      </c>
      <c r="Y297" s="2643"/>
      <c r="Z297" s="2644"/>
      <c r="AA297" s="2644"/>
      <c r="AB297" s="2645"/>
    </row>
    <row r="298" spans="1:28" ht="33" customHeight="1" outlineLevel="1">
      <c r="A298" s="513"/>
      <c r="B298" s="252"/>
      <c r="C298" s="2680" t="s">
        <v>337</v>
      </c>
      <c r="D298" s="2680"/>
      <c r="E298" s="192"/>
      <c r="F298" s="192"/>
      <c r="G298" s="636"/>
      <c r="H298" s="637"/>
      <c r="I298" s="187"/>
      <c r="J298" s="580"/>
      <c r="K298" s="900" t="str">
        <f ca="1">IF(OR($H$7&lt;2,K$260&lt;2),"",IF(J298&lt;&gt;"",J298,IFERROR(IF(INDIRECT("'"&amp;J$86&amp;"'!"&amp;VLOOKUP(J$87,'List Values'!$C$3:$D$6,2,FALSE)&amp;ROW(J298))="","",INDIRECT("'"&amp;J$86&amp;"'!"&amp;VLOOKUP(J$87,'List Values'!$C$3:$D$6,2,FALSE)&amp;ROW(J298))),IF(J$86&lt;&gt;"","Data Source Error",""))))</f>
        <v/>
      </c>
      <c r="L298" s="187"/>
      <c r="M298" s="580"/>
      <c r="N298" s="900" t="str">
        <f ca="1">IF(OR($H$7&lt;3,N$260&lt;2),"",IF(M298&lt;&gt;"",M298,IFERROR(IF(INDIRECT("'"&amp;M$86&amp;"'!"&amp;VLOOKUP(M$87,'List Values'!$C$3:$D$6,2,FALSE)&amp;ROW(M298))="","",INDIRECT("'"&amp;M$86&amp;"'!"&amp;VLOOKUP(M$87,'List Values'!$C$3:$D$6,2,FALSE)&amp;ROW(M298))),IF(M$86&lt;&gt;"","Data Source Error",""))))</f>
        <v/>
      </c>
      <c r="O298" s="187"/>
      <c r="P298" s="580"/>
      <c r="Q298" s="900" t="str">
        <f ca="1">IF(OR($H$7&lt;4,Q$260&lt;2),"",IF(P298&lt;&gt;"",P298,IFERROR(IF(INDIRECT("'"&amp;P$86&amp;"'!"&amp;VLOOKUP(P$87,'List Values'!$C$3:$D$6,2,FALSE)&amp;ROW(P298))="","",INDIRECT("'"&amp;P$86&amp;"'!"&amp;VLOOKUP(P$87,'List Values'!$C$3:$D$6,2,FALSE)&amp;ROW(P298))),IF(P$86&lt;&gt;"","Data Source Error",""))))</f>
        <v/>
      </c>
      <c r="S298" s="580"/>
      <c r="T298" s="900" t="str">
        <f ca="1">IF(OR($H$7&lt;5,T$260&lt;2),"",IF(S298&lt;&gt;"",S298,IFERROR(IF(INDIRECT("'"&amp;S$86&amp;"'!"&amp;VLOOKUP(S$87,'List Values'!$C$3:$D$6,2,FALSE)&amp;ROW(S298))="","",INDIRECT("'"&amp;S$86&amp;"'!"&amp;VLOOKUP(S$87,'List Values'!$C$3:$D$6,2,FALSE)&amp;ROW(S298))),IF(S$86&lt;&gt;"","Data Source Error",""))))</f>
        <v/>
      </c>
      <c r="V298" s="580"/>
      <c r="W298" s="911" t="str">
        <f ca="1">IF(OR($H$7&lt;6,W$260&lt;2),"",IF(V298&lt;&gt;"",V298,IFERROR(IF(INDIRECT("'"&amp;V$86&amp;"'!"&amp;VLOOKUP(V$87,'List Values'!$C$3:$D$6,2,FALSE)&amp;ROW(V298))="","",INDIRECT("'"&amp;V$86&amp;"'!"&amp;VLOOKUP(V$87,'List Values'!$C$3:$D$6,2,FALSE)&amp;ROW(V298))),IF(V$86&lt;&gt;"","Data Source Error",""))))</f>
        <v/>
      </c>
      <c r="Y298" s="2643"/>
      <c r="Z298" s="2644"/>
      <c r="AA298" s="2644"/>
      <c r="AB298" s="2645"/>
    </row>
    <row r="299" spans="1:28" ht="33" customHeight="1" outlineLevel="1">
      <c r="A299" s="513"/>
      <c r="B299" s="252"/>
      <c r="C299" s="2680" t="s">
        <v>338</v>
      </c>
      <c r="D299" s="2680"/>
      <c r="E299" s="192"/>
      <c r="F299" s="192"/>
      <c r="G299" s="636"/>
      <c r="H299" s="637"/>
      <c r="I299" s="187"/>
      <c r="J299" s="580"/>
      <c r="K299" s="900" t="str">
        <f ca="1">IF(OR($H$7&lt;2,K$260&lt;2),"",IF(J299&lt;&gt;"",J299,IFERROR(IF(INDIRECT("'"&amp;J$86&amp;"'!"&amp;VLOOKUP(J$87,'List Values'!$C$3:$D$6,2,FALSE)&amp;ROW(J299))="","",INDIRECT("'"&amp;J$86&amp;"'!"&amp;VLOOKUP(J$87,'List Values'!$C$3:$D$6,2,FALSE)&amp;ROW(J299))),IF(J$86&lt;&gt;"","Data Source Error",""))))</f>
        <v/>
      </c>
      <c r="L299" s="187"/>
      <c r="M299" s="580"/>
      <c r="N299" s="900" t="str">
        <f ca="1">IF(OR($H$7&lt;3,N$260&lt;2),"",IF(M299&lt;&gt;"",M299,IFERROR(IF(INDIRECT("'"&amp;M$86&amp;"'!"&amp;VLOOKUP(M$87,'List Values'!$C$3:$D$6,2,FALSE)&amp;ROW(M299))="","",INDIRECT("'"&amp;M$86&amp;"'!"&amp;VLOOKUP(M$87,'List Values'!$C$3:$D$6,2,FALSE)&amp;ROW(M299))),IF(M$86&lt;&gt;"","Data Source Error",""))))</f>
        <v/>
      </c>
      <c r="O299" s="187"/>
      <c r="P299" s="580"/>
      <c r="Q299" s="900" t="str">
        <f ca="1">IF(OR($H$7&lt;4,Q$260&lt;2),"",IF(P299&lt;&gt;"",P299,IFERROR(IF(INDIRECT("'"&amp;P$86&amp;"'!"&amp;VLOOKUP(P$87,'List Values'!$C$3:$D$6,2,FALSE)&amp;ROW(P299))="","",INDIRECT("'"&amp;P$86&amp;"'!"&amp;VLOOKUP(P$87,'List Values'!$C$3:$D$6,2,FALSE)&amp;ROW(P299))),IF(P$86&lt;&gt;"","Data Source Error",""))))</f>
        <v/>
      </c>
      <c r="S299" s="580"/>
      <c r="T299" s="900" t="str">
        <f ca="1">IF(OR($H$7&lt;5,T$260&lt;2),"",IF(S299&lt;&gt;"",S299,IFERROR(IF(INDIRECT("'"&amp;S$86&amp;"'!"&amp;VLOOKUP(S$87,'List Values'!$C$3:$D$6,2,FALSE)&amp;ROW(S299))="","",INDIRECT("'"&amp;S$86&amp;"'!"&amp;VLOOKUP(S$87,'List Values'!$C$3:$D$6,2,FALSE)&amp;ROW(S299))),IF(S$86&lt;&gt;"","Data Source Error",""))))</f>
        <v/>
      </c>
      <c r="V299" s="580"/>
      <c r="W299" s="911" t="str">
        <f ca="1">IF(OR($H$7&lt;6,W$260&lt;2),"",IF(V299&lt;&gt;"",V299,IFERROR(IF(INDIRECT("'"&amp;V$86&amp;"'!"&amp;VLOOKUP(V$87,'List Values'!$C$3:$D$6,2,FALSE)&amp;ROW(V299))="","",INDIRECT("'"&amp;V$86&amp;"'!"&amp;VLOOKUP(V$87,'List Values'!$C$3:$D$6,2,FALSE)&amp;ROW(V299))),IF(V$86&lt;&gt;"","Data Source Error",""))))</f>
        <v/>
      </c>
      <c r="Y299" s="2643"/>
      <c r="Z299" s="2644"/>
      <c r="AA299" s="2644"/>
      <c r="AB299" s="2645"/>
    </row>
    <row r="300" spans="1:28" ht="15.75" customHeight="1" outlineLevel="1">
      <c r="A300" s="513"/>
      <c r="B300" s="252"/>
      <c r="C300" s="2680" t="s">
        <v>650</v>
      </c>
      <c r="D300" s="2680"/>
      <c r="E300" s="192"/>
      <c r="F300" s="192"/>
      <c r="G300" s="636"/>
      <c r="H300" s="637"/>
      <c r="I300" s="187"/>
      <c r="J300" s="580"/>
      <c r="K300" s="900" t="str">
        <f ca="1">IF(OR($H$7&lt;2,K$260&lt;2),"",IF(J300&lt;&gt;"",J300,IFERROR(IF(INDIRECT("'"&amp;J$86&amp;"'!"&amp;VLOOKUP(J$87,'List Values'!$C$3:$D$6,2,FALSE)&amp;ROW(J300))="","",INDIRECT("'"&amp;J$86&amp;"'!"&amp;VLOOKUP(J$87,'List Values'!$C$3:$D$6,2,FALSE)&amp;ROW(J300))),IF(J$86&lt;&gt;"","Data Source Error",""))))</f>
        <v/>
      </c>
      <c r="L300" s="187"/>
      <c r="M300" s="580"/>
      <c r="N300" s="900" t="str">
        <f ca="1">IF(OR($H$7&lt;3,N$260&lt;2),"",IF(M300&lt;&gt;"",M300,IFERROR(IF(INDIRECT("'"&amp;M$86&amp;"'!"&amp;VLOOKUP(M$87,'List Values'!$C$3:$D$6,2,FALSE)&amp;ROW(M300))="","",INDIRECT("'"&amp;M$86&amp;"'!"&amp;VLOOKUP(M$87,'List Values'!$C$3:$D$6,2,FALSE)&amp;ROW(M300))),IF(M$86&lt;&gt;"","Data Source Error",""))))</f>
        <v/>
      </c>
      <c r="O300" s="187"/>
      <c r="P300" s="580"/>
      <c r="Q300" s="900" t="str">
        <f ca="1">IF(OR($H$7&lt;4,Q$260&lt;2),"",IF(P300&lt;&gt;"",P300,IFERROR(IF(INDIRECT("'"&amp;P$86&amp;"'!"&amp;VLOOKUP(P$87,'List Values'!$C$3:$D$6,2,FALSE)&amp;ROW(P300))="","",INDIRECT("'"&amp;P$86&amp;"'!"&amp;VLOOKUP(P$87,'List Values'!$C$3:$D$6,2,FALSE)&amp;ROW(P300))),IF(P$86&lt;&gt;"","Data Source Error",""))))</f>
        <v/>
      </c>
      <c r="S300" s="580"/>
      <c r="T300" s="900" t="str">
        <f ca="1">IF(OR($H$7&lt;5,T$260&lt;2),"",IF(S300&lt;&gt;"",S300,IFERROR(IF(INDIRECT("'"&amp;S$86&amp;"'!"&amp;VLOOKUP(S$87,'List Values'!$C$3:$D$6,2,FALSE)&amp;ROW(S300))="","",INDIRECT("'"&amp;S$86&amp;"'!"&amp;VLOOKUP(S$87,'List Values'!$C$3:$D$6,2,FALSE)&amp;ROW(S300))),IF(S$86&lt;&gt;"","Data Source Error",""))))</f>
        <v/>
      </c>
      <c r="V300" s="580"/>
      <c r="W300" s="911" t="str">
        <f ca="1">IF(OR($H$7&lt;6,W$260&lt;2),"",IF(V300&lt;&gt;"",V300,IFERROR(IF(INDIRECT("'"&amp;V$86&amp;"'!"&amp;VLOOKUP(V$87,'List Values'!$C$3:$D$6,2,FALSE)&amp;ROW(V300))="","",INDIRECT("'"&amp;V$86&amp;"'!"&amp;VLOOKUP(V$87,'List Values'!$C$3:$D$6,2,FALSE)&amp;ROW(V300))),IF(V$86&lt;&gt;"","Data Source Error",""))))</f>
        <v/>
      </c>
      <c r="Y300" s="2643"/>
      <c r="Z300" s="2644"/>
      <c r="AA300" s="2644"/>
      <c r="AB300" s="2645"/>
    </row>
    <row r="301" spans="1:28" ht="31" customHeight="1" outlineLevel="1">
      <c r="A301" s="513"/>
      <c r="B301" s="252"/>
      <c r="C301" s="2680" t="s">
        <v>651</v>
      </c>
      <c r="D301" s="2680"/>
      <c r="E301" s="238"/>
      <c r="F301" s="238"/>
      <c r="G301" s="638"/>
      <c r="H301" s="639"/>
      <c r="I301" s="184"/>
      <c r="J301" s="624"/>
      <c r="K301" s="941" t="str">
        <f ca="1">IF(OR($H$7&lt;2,K$260&lt;2),"",IF(J301&lt;&gt;"",J301,IFERROR(IF(INDIRECT("'"&amp;J$86&amp;"'!"&amp;VLOOKUP(J$87,'List Values'!$C$3:$D$6,2,FALSE)&amp;ROW(J301))="","",INDIRECT("'"&amp;J$86&amp;"'!"&amp;VLOOKUP(J$87,'List Values'!$C$3:$D$6,2,FALSE)&amp;ROW(J301))),IF(J$86&lt;&gt;"","Data Source Error",""))))</f>
        <v/>
      </c>
      <c r="L301" s="184"/>
      <c r="M301" s="624"/>
      <c r="N301" s="941" t="str">
        <f ca="1">IF(OR($H$7&lt;3,N$260&lt;2),"",IF(M301&lt;&gt;"",M301,IFERROR(IF(INDIRECT("'"&amp;M$86&amp;"'!"&amp;VLOOKUP(M$87,'List Values'!$C$3:$D$6,2,FALSE)&amp;ROW(M301))="","",INDIRECT("'"&amp;M$86&amp;"'!"&amp;VLOOKUP(M$87,'List Values'!$C$3:$D$6,2,FALSE)&amp;ROW(M301))),IF(M$86&lt;&gt;"","Data Source Error",""))))</f>
        <v/>
      </c>
      <c r="O301" s="184"/>
      <c r="P301" s="624"/>
      <c r="Q301" s="941" t="str">
        <f ca="1">IF(OR($H$7&lt;4,Q$260&lt;2),"",IF(P301&lt;&gt;"",P301,IFERROR(IF(INDIRECT("'"&amp;P$86&amp;"'!"&amp;VLOOKUP(P$87,'List Values'!$C$3:$D$6,2,FALSE)&amp;ROW(P301))="","",INDIRECT("'"&amp;P$86&amp;"'!"&amp;VLOOKUP(P$87,'List Values'!$C$3:$D$6,2,FALSE)&amp;ROW(P301))),IF(P$86&lt;&gt;"","Data Source Error",""))))</f>
        <v/>
      </c>
      <c r="S301" s="624"/>
      <c r="T301" s="941" t="str">
        <f ca="1">IF(OR($H$7&lt;5,T$260&lt;2),"",IF(S301&lt;&gt;"",S301,IFERROR(IF(INDIRECT("'"&amp;S$86&amp;"'!"&amp;VLOOKUP(S$87,'List Values'!$C$3:$D$6,2,FALSE)&amp;ROW(S301))="","",INDIRECT("'"&amp;S$86&amp;"'!"&amp;VLOOKUP(S$87,'List Values'!$C$3:$D$6,2,FALSE)&amp;ROW(S301))),IF(S$86&lt;&gt;"","Data Source Error",""))))</f>
        <v/>
      </c>
      <c r="V301" s="624"/>
      <c r="W301" s="947" t="str">
        <f ca="1">IF(OR($H$7&lt;6,W$260&lt;2),"",IF(V301&lt;&gt;"",V301,IFERROR(IF(INDIRECT("'"&amp;V$86&amp;"'!"&amp;VLOOKUP(V$87,'List Values'!$C$3:$D$6,2,FALSE)&amp;ROW(V301))="","",INDIRECT("'"&amp;V$86&amp;"'!"&amp;VLOOKUP(V$87,'List Values'!$C$3:$D$6,2,FALSE)&amp;ROW(V301))),IF(V$86&lt;&gt;"","Data Source Error",""))))</f>
        <v/>
      </c>
      <c r="Y301" s="2643"/>
      <c r="Z301" s="2644"/>
      <c r="AA301" s="2644"/>
      <c r="AB301" s="2645"/>
    </row>
    <row r="302" spans="1:28" ht="21" customHeight="1">
      <c r="A302" s="807"/>
      <c r="B302" s="612" t="s">
        <v>621</v>
      </c>
      <c r="C302" s="604"/>
      <c r="D302" s="604"/>
      <c r="E302" s="614"/>
      <c r="F302" s="608"/>
      <c r="G302" s="615"/>
      <c r="H302" s="611"/>
      <c r="I302" s="608"/>
      <c r="J302" s="610"/>
      <c r="K302" s="970"/>
      <c r="L302" s="608"/>
      <c r="M302" s="610"/>
      <c r="N302" s="970"/>
      <c r="O302" s="608"/>
      <c r="P302" s="610"/>
      <c r="Q302" s="970"/>
      <c r="R302" s="608"/>
      <c r="S302" s="610"/>
      <c r="T302" s="970"/>
      <c r="U302" s="608"/>
      <c r="V302" s="610"/>
      <c r="W302" s="970"/>
      <c r="Y302" s="631"/>
      <c r="Z302" s="631"/>
      <c r="AA302" s="631"/>
      <c r="AB302" s="631"/>
    </row>
    <row r="303" spans="1:28" ht="15.75" customHeight="1" outlineLevel="1">
      <c r="A303" s="514"/>
      <c r="B303" s="252"/>
      <c r="C303" s="2580" t="s">
        <v>625</v>
      </c>
      <c r="D303" s="2580"/>
      <c r="E303" s="202"/>
      <c r="F303" s="202"/>
      <c r="G303" s="634"/>
      <c r="H303" s="635"/>
      <c r="I303" s="183"/>
      <c r="J303" s="628"/>
      <c r="K303" s="967" t="str">
        <f ca="1">IF(OR($H$7&lt;2,K$260&lt;3),"",IF(J303&lt;&gt;"",J303,IFERROR(IF(INDIRECT("'"&amp;J$86&amp;"'!"&amp;VLOOKUP(J$87,'List Values'!$C$3:$D$6,2,FALSE)&amp;ROW(J303))="","",INDIRECT("'"&amp;J$86&amp;"'!"&amp;VLOOKUP(J$87,'List Values'!$C$3:$D$6,2,FALSE)&amp;ROW(J303))),IF(J$86&lt;&gt;"","Data Source Error",""))))</f>
        <v/>
      </c>
      <c r="L303" s="629"/>
      <c r="M303" s="628"/>
      <c r="N303" s="967" t="str">
        <f ca="1">IF(OR($H$7&lt;3,N$260&lt;3),"",IF(M303&lt;&gt;"",M303,IFERROR(IF(INDIRECT("'"&amp;M$86&amp;"'!"&amp;VLOOKUP(M$87,'List Values'!$C$3:$D$6,2,FALSE)&amp;ROW(M303))="","",INDIRECT("'"&amp;M$86&amp;"'!"&amp;VLOOKUP(M$87,'List Values'!$C$3:$D$6,2,FALSE)&amp;ROW(M303))),IF(M$86&lt;&gt;"","Data Source Error",""))))</f>
        <v/>
      </c>
      <c r="O303" s="629"/>
      <c r="P303" s="628"/>
      <c r="Q303" s="967" t="str">
        <f ca="1">IF(OR($H$7&lt;4,Q$260&lt;3),"",IF(P303&lt;&gt;"",P303,IFERROR(IF(INDIRECT("'"&amp;P$86&amp;"'!"&amp;VLOOKUP(P$87,'List Values'!$C$3:$D$6,2,FALSE)&amp;ROW(P303))="","",INDIRECT("'"&amp;P$86&amp;"'!"&amp;VLOOKUP(P$87,'List Values'!$C$3:$D$6,2,FALSE)&amp;ROW(P303))),IF(P$86&lt;&gt;"","Data Source Error",""))))</f>
        <v/>
      </c>
      <c r="R303" s="147"/>
      <c r="S303" s="628"/>
      <c r="T303" s="967" t="str">
        <f ca="1">IF(OR($H$7&lt;5,T$260&lt;3),"",IF(S303&lt;&gt;"",S303,IFERROR(IF(INDIRECT("'"&amp;S$86&amp;"'!"&amp;VLOOKUP(S$87,'List Values'!$C$3:$D$6,2,FALSE)&amp;ROW(S303))="","",INDIRECT("'"&amp;S$86&amp;"'!"&amp;VLOOKUP(S$87,'List Values'!$C$3:$D$6,2,FALSE)&amp;ROW(S303))),IF(S$86&lt;&gt;"","Data Source Error",""))))</f>
        <v/>
      </c>
      <c r="U303" s="147"/>
      <c r="V303" s="628"/>
      <c r="W303" s="973" t="str">
        <f ca="1">IF(OR($H$7&lt;6,W$260&lt;3),"",IF(V303&lt;&gt;"",V303,IFERROR(IF(INDIRECT("'"&amp;V$86&amp;"'!"&amp;VLOOKUP(V$87,'List Values'!$C$3:$D$6,2,FALSE)&amp;ROW(V303))="","",INDIRECT("'"&amp;V$86&amp;"'!"&amp;VLOOKUP(V$87,'List Values'!$C$3:$D$6,2,FALSE)&amp;ROW(V303))),IF(V$86&lt;&gt;"","Data Source Error",""))))</f>
        <v/>
      </c>
      <c r="Y303" s="2643"/>
      <c r="Z303" s="2644"/>
      <c r="AA303" s="2644"/>
      <c r="AB303" s="2645"/>
    </row>
    <row r="304" spans="1:28" ht="15.75" customHeight="1" outlineLevel="1">
      <c r="A304" s="514"/>
      <c r="B304" s="252"/>
      <c r="C304" s="2680" t="s">
        <v>626</v>
      </c>
      <c r="D304" s="2680"/>
      <c r="E304" s="192"/>
      <c r="F304" s="192"/>
      <c r="G304" s="636"/>
      <c r="H304" s="637"/>
      <c r="I304" s="187"/>
      <c r="J304" s="526"/>
      <c r="K304" s="900" t="str">
        <f ca="1">IF(OR($H$7&lt;2,K$260&lt;3),"",IF(J304&lt;&gt;"",J304,IFERROR(IF(INDIRECT("'"&amp;J$86&amp;"'!"&amp;VLOOKUP(J$87,'List Values'!$C$3:$D$6,2,FALSE)&amp;ROW(J304))="","",INDIRECT("'"&amp;J$86&amp;"'!"&amp;VLOOKUP(J$87,'List Values'!$C$3:$D$6,2,FALSE)&amp;ROW(J304))),IF(J$86&lt;&gt;"","Data Source Error",""))))</f>
        <v/>
      </c>
      <c r="L304" s="187"/>
      <c r="M304" s="526"/>
      <c r="N304" s="900" t="str">
        <f ca="1">IF(OR($H$7&lt;3,N$260&lt;3),"",IF(M304&lt;&gt;"",M304,IFERROR(IF(INDIRECT("'"&amp;M$86&amp;"'!"&amp;VLOOKUP(M$87,'List Values'!$C$3:$D$6,2,FALSE)&amp;ROW(M304))="","",INDIRECT("'"&amp;M$86&amp;"'!"&amp;VLOOKUP(M$87,'List Values'!$C$3:$D$6,2,FALSE)&amp;ROW(M304))),IF(M$86&lt;&gt;"","Data Source Error",""))))</f>
        <v/>
      </c>
      <c r="O304" s="187"/>
      <c r="P304" s="526"/>
      <c r="Q304" s="900" t="str">
        <f ca="1">IF(OR($H$7&lt;4,Q$260&lt;3),"",IF(P304&lt;&gt;"",P304,IFERROR(IF(INDIRECT("'"&amp;P$86&amp;"'!"&amp;VLOOKUP(P$87,'List Values'!$C$3:$D$6,2,FALSE)&amp;ROW(P304))="","",INDIRECT("'"&amp;P$86&amp;"'!"&amp;VLOOKUP(P$87,'List Values'!$C$3:$D$6,2,FALSE)&amp;ROW(P304))),IF(P$86&lt;&gt;"","Data Source Error",""))))</f>
        <v/>
      </c>
      <c r="S304" s="526"/>
      <c r="T304" s="900" t="str">
        <f ca="1">IF(OR($H$7&lt;5,T$260&lt;3),"",IF(S304&lt;&gt;"",S304,IFERROR(IF(INDIRECT("'"&amp;S$86&amp;"'!"&amp;VLOOKUP(S$87,'List Values'!$C$3:$D$6,2,FALSE)&amp;ROW(S304))="","",INDIRECT("'"&amp;S$86&amp;"'!"&amp;VLOOKUP(S$87,'List Values'!$C$3:$D$6,2,FALSE)&amp;ROW(S304))),IF(S$86&lt;&gt;"","Data Source Error",""))))</f>
        <v/>
      </c>
      <c r="V304" s="526"/>
      <c r="W304" s="911" t="str">
        <f ca="1">IF(OR($H$7&lt;6,W$260&lt;3),"",IF(V304&lt;&gt;"",V304,IFERROR(IF(INDIRECT("'"&amp;V$86&amp;"'!"&amp;VLOOKUP(V$87,'List Values'!$C$3:$D$6,2,FALSE)&amp;ROW(V304))="","",INDIRECT("'"&amp;V$86&amp;"'!"&amp;VLOOKUP(V$87,'List Values'!$C$3:$D$6,2,FALSE)&amp;ROW(V304))),IF(V$86&lt;&gt;"","Data Source Error",""))))</f>
        <v/>
      </c>
      <c r="Y304" s="2643"/>
      <c r="Z304" s="2644"/>
      <c r="AA304" s="2644"/>
      <c r="AB304" s="2645"/>
    </row>
    <row r="305" spans="1:28" ht="31" customHeight="1" outlineLevel="1">
      <c r="A305" s="514"/>
      <c r="B305" s="252"/>
      <c r="C305" s="2680" t="s">
        <v>627</v>
      </c>
      <c r="D305" s="2680"/>
      <c r="E305" s="192"/>
      <c r="F305" s="192"/>
      <c r="G305" s="636"/>
      <c r="H305" s="637"/>
      <c r="I305" s="187"/>
      <c r="J305" s="561"/>
      <c r="K305" s="900" t="str">
        <f ca="1">IF(OR($H$7&lt;2,K$260&lt;3),"",IF(J305&lt;&gt;"",J305,IFERROR(IF(INDIRECT("'"&amp;J$86&amp;"'!"&amp;VLOOKUP(J$87,'List Values'!$C$3:$D$6,2,FALSE)&amp;ROW(J305))="","",INDIRECT("'"&amp;J$86&amp;"'!"&amp;VLOOKUP(J$87,'List Values'!$C$3:$D$6,2,FALSE)&amp;ROW(J305))),IF(J$86&lt;&gt;"","Data Source Error",""))))</f>
        <v/>
      </c>
      <c r="L305" s="187"/>
      <c r="M305" s="561"/>
      <c r="N305" s="900" t="str">
        <f ca="1">IF(OR($H$7&lt;3,N$260&lt;3),"",IF(M305&lt;&gt;"",M305,IFERROR(IF(INDIRECT("'"&amp;M$86&amp;"'!"&amp;VLOOKUP(M$87,'List Values'!$C$3:$D$6,2,FALSE)&amp;ROW(M305))="","",INDIRECT("'"&amp;M$86&amp;"'!"&amp;VLOOKUP(M$87,'List Values'!$C$3:$D$6,2,FALSE)&amp;ROW(M305))),IF(M$86&lt;&gt;"","Data Source Error",""))))</f>
        <v/>
      </c>
      <c r="O305" s="187"/>
      <c r="P305" s="561"/>
      <c r="Q305" s="900" t="str">
        <f ca="1">IF(OR($H$7&lt;4,Q$260&lt;3),"",IF(P305&lt;&gt;"",P305,IFERROR(IF(INDIRECT("'"&amp;P$86&amp;"'!"&amp;VLOOKUP(P$87,'List Values'!$C$3:$D$6,2,FALSE)&amp;ROW(P305))="","",INDIRECT("'"&amp;P$86&amp;"'!"&amp;VLOOKUP(P$87,'List Values'!$C$3:$D$6,2,FALSE)&amp;ROW(P305))),IF(P$86&lt;&gt;"","Data Source Error",""))))</f>
        <v/>
      </c>
      <c r="S305" s="561"/>
      <c r="T305" s="900" t="str">
        <f ca="1">IF(OR($H$7&lt;5,T$260&lt;3),"",IF(S305&lt;&gt;"",S305,IFERROR(IF(INDIRECT("'"&amp;S$86&amp;"'!"&amp;VLOOKUP(S$87,'List Values'!$C$3:$D$6,2,FALSE)&amp;ROW(S305))="","",INDIRECT("'"&amp;S$86&amp;"'!"&amp;VLOOKUP(S$87,'List Values'!$C$3:$D$6,2,FALSE)&amp;ROW(S305))),IF(S$86&lt;&gt;"","Data Source Error",""))))</f>
        <v/>
      </c>
      <c r="V305" s="561"/>
      <c r="W305" s="911" t="str">
        <f ca="1">IF(OR($H$7&lt;6,W$260&lt;3),"",IF(V305&lt;&gt;"",V305,IFERROR(IF(INDIRECT("'"&amp;V$86&amp;"'!"&amp;VLOOKUP(V$87,'List Values'!$C$3:$D$6,2,FALSE)&amp;ROW(V305))="","",INDIRECT("'"&amp;V$86&amp;"'!"&amp;VLOOKUP(V$87,'List Values'!$C$3:$D$6,2,FALSE)&amp;ROW(V305))),IF(V$86&lt;&gt;"","Data Source Error",""))))</f>
        <v/>
      </c>
      <c r="Y305" s="2643"/>
      <c r="Z305" s="2644"/>
      <c r="AA305" s="2644"/>
      <c r="AB305" s="2645"/>
    </row>
    <row r="306" spans="1:28" ht="31" customHeight="1" outlineLevel="1">
      <c r="A306" s="514"/>
      <c r="B306" s="252"/>
      <c r="C306" s="2684" t="s">
        <v>628</v>
      </c>
      <c r="D306" s="2684"/>
      <c r="E306" s="192"/>
      <c r="F306" s="192"/>
      <c r="G306" s="636"/>
      <c r="H306" s="637"/>
      <c r="I306" s="187"/>
      <c r="J306" s="526"/>
      <c r="K306" s="900" t="str">
        <f ca="1">IF(OR($H$7&lt;2,K$260&lt;3),"",IF(J306&lt;&gt;"",J306,IFERROR(IF(INDIRECT("'"&amp;J$86&amp;"'!"&amp;VLOOKUP(J$87,'List Values'!$C$3:$D$6,2,FALSE)&amp;ROW(J306))="","",INDIRECT("'"&amp;J$86&amp;"'!"&amp;VLOOKUP(J$87,'List Values'!$C$3:$D$6,2,FALSE)&amp;ROW(J306))),IF(J$86&lt;&gt;"","Data Source Error",""))))</f>
        <v/>
      </c>
      <c r="L306" s="187"/>
      <c r="M306" s="526"/>
      <c r="N306" s="900" t="str">
        <f ca="1">IF(OR($H$7&lt;3,N$260&lt;3),"",IF(M306&lt;&gt;"",M306,IFERROR(IF(INDIRECT("'"&amp;M$86&amp;"'!"&amp;VLOOKUP(M$87,'List Values'!$C$3:$D$6,2,FALSE)&amp;ROW(M306))="","",INDIRECT("'"&amp;M$86&amp;"'!"&amp;VLOOKUP(M$87,'List Values'!$C$3:$D$6,2,FALSE)&amp;ROW(M306))),IF(M$86&lt;&gt;"","Data Source Error",""))))</f>
        <v/>
      </c>
      <c r="O306" s="187"/>
      <c r="P306" s="526"/>
      <c r="Q306" s="900" t="str">
        <f ca="1">IF(OR($H$7&lt;4,Q$260&lt;3),"",IF(P306&lt;&gt;"",P306,IFERROR(IF(INDIRECT("'"&amp;P$86&amp;"'!"&amp;VLOOKUP(P$87,'List Values'!$C$3:$D$6,2,FALSE)&amp;ROW(P306))="","",INDIRECT("'"&amp;P$86&amp;"'!"&amp;VLOOKUP(P$87,'List Values'!$C$3:$D$6,2,FALSE)&amp;ROW(P306))),IF(P$86&lt;&gt;"","Data Source Error",""))))</f>
        <v/>
      </c>
      <c r="S306" s="526"/>
      <c r="T306" s="900" t="str">
        <f ca="1">IF(OR($H$7&lt;5,T$260&lt;3),"",IF(S306&lt;&gt;"",S306,IFERROR(IF(INDIRECT("'"&amp;S$86&amp;"'!"&amp;VLOOKUP(S$87,'List Values'!$C$3:$D$6,2,FALSE)&amp;ROW(S306))="","",INDIRECT("'"&amp;S$86&amp;"'!"&amp;VLOOKUP(S$87,'List Values'!$C$3:$D$6,2,FALSE)&amp;ROW(S306))),IF(S$86&lt;&gt;"","Data Source Error",""))))</f>
        <v/>
      </c>
      <c r="V306" s="526"/>
      <c r="W306" s="911" t="str">
        <f ca="1">IF(OR($H$7&lt;6,W$260&lt;3),"",IF(V306&lt;&gt;"",V306,IFERROR(IF(INDIRECT("'"&amp;V$86&amp;"'!"&amp;VLOOKUP(V$87,'List Values'!$C$3:$D$6,2,FALSE)&amp;ROW(V306))="","",INDIRECT("'"&amp;V$86&amp;"'!"&amp;VLOOKUP(V$87,'List Values'!$C$3:$D$6,2,FALSE)&amp;ROW(V306))),IF(V$86&lt;&gt;"","Data Source Error",""))))</f>
        <v/>
      </c>
      <c r="Y306" s="2643"/>
      <c r="Z306" s="2644"/>
      <c r="AA306" s="2644"/>
      <c r="AB306" s="2645"/>
    </row>
    <row r="307" spans="1:28" ht="33" customHeight="1" outlineLevel="1">
      <c r="A307" s="514"/>
      <c r="B307" s="252"/>
      <c r="C307" s="2684" t="s">
        <v>629</v>
      </c>
      <c r="D307" s="2684"/>
      <c r="E307" s="192"/>
      <c r="F307" s="192"/>
      <c r="G307" s="636"/>
      <c r="H307" s="637"/>
      <c r="I307" s="187"/>
      <c r="J307" s="568"/>
      <c r="K307" s="945" t="str">
        <f ca="1">IF(OR($H$7&lt;2,K$260&lt;3),"",IF(J307&lt;&gt;"",J307,IFERROR(IF(INDIRECT("'"&amp;J$86&amp;"'!"&amp;VLOOKUP(J$87,'List Values'!$C$3:$D$6,2,FALSE)&amp;ROW(J307))="","",INDIRECT("'"&amp;J$86&amp;"'!"&amp;VLOOKUP(J$87,'List Values'!$C$3:$D$6,2,FALSE)&amp;ROW(J307))),IF(J$86&lt;&gt;"","Data Source Error",""))))</f>
        <v/>
      </c>
      <c r="L307" s="339"/>
      <c r="M307" s="568"/>
      <c r="N307" s="945" t="str">
        <f ca="1">IF(OR($H$7&lt;3,N$260&lt;3),"",IF(M307&lt;&gt;"",M307,IFERROR(IF(INDIRECT("'"&amp;M$86&amp;"'!"&amp;VLOOKUP(M$87,'List Values'!$C$3:$D$6,2,FALSE)&amp;ROW(M307))="","",INDIRECT("'"&amp;M$86&amp;"'!"&amp;VLOOKUP(M$87,'List Values'!$C$3:$D$6,2,FALSE)&amp;ROW(M307))),IF(M$86&lt;&gt;"","Data Source Error",""))))</f>
        <v/>
      </c>
      <c r="O307" s="339"/>
      <c r="P307" s="568"/>
      <c r="Q307" s="945" t="str">
        <f ca="1">IF(OR($H$7&lt;4,Q$260&lt;3),"",IF(P307&lt;&gt;"",P307,IFERROR(IF(INDIRECT("'"&amp;P$86&amp;"'!"&amp;VLOOKUP(P$87,'List Values'!$C$3:$D$6,2,FALSE)&amp;ROW(P307))="","",INDIRECT("'"&amp;P$86&amp;"'!"&amp;VLOOKUP(P$87,'List Values'!$C$3:$D$6,2,FALSE)&amp;ROW(P307))),IF(P$86&lt;&gt;"","Data Source Error",""))))</f>
        <v/>
      </c>
      <c r="R307" s="7"/>
      <c r="S307" s="568"/>
      <c r="T307" s="945" t="str">
        <f ca="1">IF(OR($H$7&lt;5,T$260&lt;3),"",IF(S307&lt;&gt;"",S307,IFERROR(IF(INDIRECT("'"&amp;S$86&amp;"'!"&amp;VLOOKUP(S$87,'List Values'!$C$3:$D$6,2,FALSE)&amp;ROW(S307))="","",INDIRECT("'"&amp;S$86&amp;"'!"&amp;VLOOKUP(S$87,'List Values'!$C$3:$D$6,2,FALSE)&amp;ROW(S307))),IF(S$86&lt;&gt;"","Data Source Error",""))))</f>
        <v/>
      </c>
      <c r="U307" s="7"/>
      <c r="V307" s="568"/>
      <c r="W307" s="952" t="str">
        <f ca="1">IF(OR($H$7&lt;6,W$260&lt;3),"",IF(V307&lt;&gt;"",V307,IFERROR(IF(INDIRECT("'"&amp;V$86&amp;"'!"&amp;VLOOKUP(V$87,'List Values'!$C$3:$D$6,2,FALSE)&amp;ROW(V307))="","",INDIRECT("'"&amp;V$86&amp;"'!"&amp;VLOOKUP(V$87,'List Values'!$C$3:$D$6,2,FALSE)&amp;ROW(V307))),IF(V$86&lt;&gt;"","Data Source Error",""))))</f>
        <v/>
      </c>
      <c r="Y307" s="2643"/>
      <c r="Z307" s="2644"/>
      <c r="AA307" s="2644"/>
      <c r="AB307" s="2645"/>
    </row>
    <row r="308" spans="1:28" ht="15.75" customHeight="1" outlineLevel="1">
      <c r="A308" s="514"/>
      <c r="B308" s="252"/>
      <c r="C308" s="2680" t="s">
        <v>630</v>
      </c>
      <c r="D308" s="2680"/>
      <c r="E308" s="192"/>
      <c r="F308" s="192"/>
      <c r="G308" s="636"/>
      <c r="H308" s="637"/>
      <c r="I308" s="187"/>
      <c r="J308" s="526"/>
      <c r="K308" s="900" t="str">
        <f ca="1">IF(OR($H$7&lt;2,K$260&lt;3),"",IF(J308&lt;&gt;"",J308,IFERROR(IF(INDIRECT("'"&amp;J$86&amp;"'!"&amp;VLOOKUP(J$87,'List Values'!$C$3:$D$6,2,FALSE)&amp;ROW(J308))="","",INDIRECT("'"&amp;J$86&amp;"'!"&amp;VLOOKUP(J$87,'List Values'!$C$3:$D$6,2,FALSE)&amp;ROW(J308))),IF(J$86&lt;&gt;"","Data Source Error",""))))</f>
        <v/>
      </c>
      <c r="L308" s="187"/>
      <c r="M308" s="526"/>
      <c r="N308" s="900" t="str">
        <f ca="1">IF(OR($H$7&lt;3,N$260&lt;3),"",IF(M308&lt;&gt;"",M308,IFERROR(IF(INDIRECT("'"&amp;M$86&amp;"'!"&amp;VLOOKUP(M$87,'List Values'!$C$3:$D$6,2,FALSE)&amp;ROW(M308))="","",INDIRECT("'"&amp;M$86&amp;"'!"&amp;VLOOKUP(M$87,'List Values'!$C$3:$D$6,2,FALSE)&amp;ROW(M308))),IF(M$86&lt;&gt;"","Data Source Error",""))))</f>
        <v/>
      </c>
      <c r="O308" s="187"/>
      <c r="P308" s="526"/>
      <c r="Q308" s="900" t="str">
        <f ca="1">IF(OR($H$7&lt;4,Q$260&lt;3),"",IF(P308&lt;&gt;"",P308,IFERROR(IF(INDIRECT("'"&amp;P$86&amp;"'!"&amp;VLOOKUP(P$87,'List Values'!$C$3:$D$6,2,FALSE)&amp;ROW(P308))="","",INDIRECT("'"&amp;P$86&amp;"'!"&amp;VLOOKUP(P$87,'List Values'!$C$3:$D$6,2,FALSE)&amp;ROW(P308))),IF(P$86&lt;&gt;"","Data Source Error",""))))</f>
        <v/>
      </c>
      <c r="S308" s="526"/>
      <c r="T308" s="900" t="str">
        <f ca="1">IF(OR($H$7&lt;5,T$260&lt;3),"",IF(S308&lt;&gt;"",S308,IFERROR(IF(INDIRECT("'"&amp;S$86&amp;"'!"&amp;VLOOKUP(S$87,'List Values'!$C$3:$D$6,2,FALSE)&amp;ROW(S308))="","",INDIRECT("'"&amp;S$86&amp;"'!"&amp;VLOOKUP(S$87,'List Values'!$C$3:$D$6,2,FALSE)&amp;ROW(S308))),IF(S$86&lt;&gt;"","Data Source Error",""))))</f>
        <v/>
      </c>
      <c r="V308" s="526"/>
      <c r="W308" s="911" t="str">
        <f ca="1">IF(OR($H$7&lt;6,W$260&lt;3),"",IF(V308&lt;&gt;"",V308,IFERROR(IF(INDIRECT("'"&amp;V$86&amp;"'!"&amp;VLOOKUP(V$87,'List Values'!$C$3:$D$6,2,FALSE)&amp;ROW(V308))="","",INDIRECT("'"&amp;V$86&amp;"'!"&amp;VLOOKUP(V$87,'List Values'!$C$3:$D$6,2,FALSE)&amp;ROW(V308))),IF(V$86&lt;&gt;"","Data Source Error",""))))</f>
        <v/>
      </c>
      <c r="Y308" s="2643"/>
      <c r="Z308" s="2644"/>
      <c r="AA308" s="2644"/>
      <c r="AB308" s="2645"/>
    </row>
    <row r="309" spans="1:28" ht="31" customHeight="1" outlineLevel="1">
      <c r="A309" s="514"/>
      <c r="B309" s="252"/>
      <c r="C309" s="2684" t="s">
        <v>634</v>
      </c>
      <c r="D309" s="2684"/>
      <c r="E309" s="202"/>
      <c r="F309" s="202"/>
      <c r="G309" s="634"/>
      <c r="H309" s="635"/>
      <c r="I309" s="183"/>
      <c r="J309" s="553"/>
      <c r="K309" s="897" t="str">
        <f ca="1">IF(OR($H$7&lt;2,K$260&lt;3),"",IF(J309&lt;&gt;"",J309,IFERROR(IF(INDIRECT("'"&amp;J$86&amp;"'!"&amp;VLOOKUP(J$87,'List Values'!$C$3:$D$6,2,FALSE)&amp;ROW(J309))="","",INDIRECT("'"&amp;J$86&amp;"'!"&amp;VLOOKUP(J$87,'List Values'!$C$3:$D$6,2,FALSE)&amp;ROW(J309))),IF(J$86&lt;&gt;"","Data Source Error",""))))</f>
        <v/>
      </c>
      <c r="L309" s="183"/>
      <c r="M309" s="553"/>
      <c r="N309" s="897" t="str">
        <f ca="1">IF(OR($H$7&lt;3,N$260&lt;3),"",IF(M309&lt;&gt;"",M309,IFERROR(IF(INDIRECT("'"&amp;M$86&amp;"'!"&amp;VLOOKUP(M$87,'List Values'!$C$3:$D$6,2,FALSE)&amp;ROW(M309))="","",INDIRECT("'"&amp;M$86&amp;"'!"&amp;VLOOKUP(M$87,'List Values'!$C$3:$D$6,2,FALSE)&amp;ROW(M309))),IF(M$86&lt;&gt;"","Data Source Error",""))))</f>
        <v/>
      </c>
      <c r="O309" s="183"/>
      <c r="P309" s="553"/>
      <c r="Q309" s="897" t="str">
        <f ca="1">IF(OR($H$7&lt;4,Q$260&lt;3),"",IF(P309&lt;&gt;"",P309,IFERROR(IF(INDIRECT("'"&amp;P$86&amp;"'!"&amp;VLOOKUP(P$87,'List Values'!$C$3:$D$6,2,FALSE)&amp;ROW(P309))="","",INDIRECT("'"&amp;P$86&amp;"'!"&amp;VLOOKUP(P$87,'List Values'!$C$3:$D$6,2,FALSE)&amp;ROW(P309))),IF(P$86&lt;&gt;"","Data Source Error",""))))</f>
        <v/>
      </c>
      <c r="S309" s="553"/>
      <c r="T309" s="897" t="str">
        <f ca="1">IF(OR($H$7&lt;5,T$260&lt;3),"",IF(S309&lt;&gt;"",S309,IFERROR(IF(INDIRECT("'"&amp;S$86&amp;"'!"&amp;VLOOKUP(S$87,'List Values'!$C$3:$D$6,2,FALSE)&amp;ROW(S309))="","",INDIRECT("'"&amp;S$86&amp;"'!"&amp;VLOOKUP(S$87,'List Values'!$C$3:$D$6,2,FALSE)&amp;ROW(S309))),IF(S$86&lt;&gt;"","Data Source Error",""))))</f>
        <v/>
      </c>
      <c r="V309" s="553"/>
      <c r="W309" s="908" t="str">
        <f ca="1">IF(OR($H$7&lt;6,W$260&lt;3),"",IF(V309&lt;&gt;"",V309,IFERROR(IF(INDIRECT("'"&amp;V$86&amp;"'!"&amp;VLOOKUP(V$87,'List Values'!$C$3:$D$6,2,FALSE)&amp;ROW(V309))="","",INDIRECT("'"&amp;V$86&amp;"'!"&amp;VLOOKUP(V$87,'List Values'!$C$3:$D$6,2,FALSE)&amp;ROW(V309))),IF(V$86&lt;&gt;"","Data Source Error",""))))</f>
        <v/>
      </c>
      <c r="Y309" s="2643"/>
      <c r="Z309" s="2644"/>
      <c r="AA309" s="2644"/>
      <c r="AB309" s="2645"/>
    </row>
    <row r="310" spans="1:28" ht="31" customHeight="1" outlineLevel="1">
      <c r="A310" s="514"/>
      <c r="B310" s="252"/>
      <c r="C310" s="2680" t="s">
        <v>1551</v>
      </c>
      <c r="D310" s="2680"/>
      <c r="E310" s="192"/>
      <c r="F310" s="192"/>
      <c r="G310" s="636"/>
      <c r="H310" s="637"/>
      <c r="I310" s="187"/>
      <c r="J310" s="619"/>
      <c r="K310" s="898" t="str">
        <f ca="1">IF(OR($H$7&lt;2,K$260&lt;3),"",IF(J310&lt;&gt;"",J310,IFERROR(IF(INDIRECT("'"&amp;J$86&amp;"'!"&amp;VLOOKUP(J$87,'List Values'!$C$3:$D$6,2,FALSE)&amp;ROW(J310))="","",INDIRECT("'"&amp;J$86&amp;"'!"&amp;VLOOKUP(J$87,'List Values'!$C$3:$D$6,2,FALSE)&amp;ROW(J310))),IF(J$86&lt;&gt;"","Data Source Error",""))))</f>
        <v/>
      </c>
      <c r="L310" s="621"/>
      <c r="M310" s="619"/>
      <c r="N310" s="898" t="str">
        <f ca="1">IF(OR($H$7&lt;3,N$260&lt;3),"",IF(M310&lt;&gt;"",M310,IFERROR(IF(INDIRECT("'"&amp;M$86&amp;"'!"&amp;VLOOKUP(M$87,'List Values'!$C$3:$D$6,2,FALSE)&amp;ROW(M310))="","",INDIRECT("'"&amp;M$86&amp;"'!"&amp;VLOOKUP(M$87,'List Values'!$C$3:$D$6,2,FALSE)&amp;ROW(M310))),IF(M$86&lt;&gt;"","Data Source Error",""))))</f>
        <v/>
      </c>
      <c r="O310" s="621"/>
      <c r="P310" s="619"/>
      <c r="Q310" s="898" t="str">
        <f ca="1">IF(OR($H$7&lt;4,Q$260&lt;3),"",IF(P310&lt;&gt;"",P310,IFERROR(IF(INDIRECT("'"&amp;P$86&amp;"'!"&amp;VLOOKUP(P$87,'List Values'!$C$3:$D$6,2,FALSE)&amp;ROW(P310))="","",INDIRECT("'"&amp;P$86&amp;"'!"&amp;VLOOKUP(P$87,'List Values'!$C$3:$D$6,2,FALSE)&amp;ROW(P310))),IF(P$86&lt;&gt;"","Data Source Error",""))))</f>
        <v/>
      </c>
      <c r="R310" s="147"/>
      <c r="S310" s="619"/>
      <c r="T310" s="898" t="str">
        <f ca="1">IF(OR($H$7&lt;5,T$260&lt;3),"",IF(S310&lt;&gt;"",S310,IFERROR(IF(INDIRECT("'"&amp;S$86&amp;"'!"&amp;VLOOKUP(S$87,'List Values'!$C$3:$D$6,2,FALSE)&amp;ROW(S310))="","",INDIRECT("'"&amp;S$86&amp;"'!"&amp;VLOOKUP(S$87,'List Values'!$C$3:$D$6,2,FALSE)&amp;ROW(S310))),IF(S$86&lt;&gt;"","Data Source Error",""))))</f>
        <v/>
      </c>
      <c r="U310" s="147"/>
      <c r="V310" s="619"/>
      <c r="W310" s="909" t="str">
        <f ca="1">IF(OR($H$7&lt;6,W$260&lt;3),"",IF(V310&lt;&gt;"",V310,IFERROR(IF(INDIRECT("'"&amp;V$86&amp;"'!"&amp;VLOOKUP(V$87,'List Values'!$C$3:$D$6,2,FALSE)&amp;ROW(V310))="","",INDIRECT("'"&amp;V$86&amp;"'!"&amp;VLOOKUP(V$87,'List Values'!$C$3:$D$6,2,FALSE)&amp;ROW(V310))),IF(V$86&lt;&gt;"","Data Source Error",""))))</f>
        <v/>
      </c>
      <c r="Y310" s="2643"/>
      <c r="Z310" s="2644"/>
      <c r="AA310" s="2644"/>
      <c r="AB310" s="2645"/>
    </row>
    <row r="311" spans="1:28" ht="31" customHeight="1" outlineLevel="1">
      <c r="A311" s="514"/>
      <c r="B311" s="252"/>
      <c r="C311" s="2680" t="s">
        <v>1552</v>
      </c>
      <c r="D311" s="2680"/>
      <c r="E311" s="192"/>
      <c r="F311" s="192"/>
      <c r="G311" s="636"/>
      <c r="H311" s="637"/>
      <c r="I311" s="187"/>
      <c r="J311" s="619"/>
      <c r="K311" s="898" t="str">
        <f ca="1">IF(OR($H$7&lt;2,K$260&lt;3),"",IF(J311&lt;&gt;"",J311,IFERROR(IF(INDIRECT("'"&amp;J$86&amp;"'!"&amp;VLOOKUP(J$87,'List Values'!$C$3:$D$6,2,FALSE)&amp;ROW(J311))="","",INDIRECT("'"&amp;J$86&amp;"'!"&amp;VLOOKUP(J$87,'List Values'!$C$3:$D$6,2,FALSE)&amp;ROW(J311))),IF(J$86&lt;&gt;"","Data Source Error",""))))</f>
        <v/>
      </c>
      <c r="L311" s="621"/>
      <c r="M311" s="619"/>
      <c r="N311" s="898" t="str">
        <f ca="1">IF(OR($H$7&lt;3,N$260&lt;3),"",IF(M311&lt;&gt;"",M311,IFERROR(IF(INDIRECT("'"&amp;M$86&amp;"'!"&amp;VLOOKUP(M$87,'List Values'!$C$3:$D$6,2,FALSE)&amp;ROW(M311))="","",INDIRECT("'"&amp;M$86&amp;"'!"&amp;VLOOKUP(M$87,'List Values'!$C$3:$D$6,2,FALSE)&amp;ROW(M311))),IF(M$86&lt;&gt;"","Data Source Error",""))))</f>
        <v/>
      </c>
      <c r="O311" s="621"/>
      <c r="P311" s="619"/>
      <c r="Q311" s="898" t="str">
        <f ca="1">IF(OR($H$7&lt;4,Q$260&lt;3),"",IF(P311&lt;&gt;"",P311,IFERROR(IF(INDIRECT("'"&amp;P$86&amp;"'!"&amp;VLOOKUP(P$87,'List Values'!$C$3:$D$6,2,FALSE)&amp;ROW(P311))="","",INDIRECT("'"&amp;P$86&amp;"'!"&amp;VLOOKUP(P$87,'List Values'!$C$3:$D$6,2,FALSE)&amp;ROW(P311))),IF(P$86&lt;&gt;"","Data Source Error",""))))</f>
        <v/>
      </c>
      <c r="R311" s="147"/>
      <c r="S311" s="619"/>
      <c r="T311" s="898" t="str">
        <f ca="1">IF(OR($H$7&lt;5,T$260&lt;3),"",IF(S311&lt;&gt;"",S311,IFERROR(IF(INDIRECT("'"&amp;S$86&amp;"'!"&amp;VLOOKUP(S$87,'List Values'!$C$3:$D$6,2,FALSE)&amp;ROW(S311))="","",INDIRECT("'"&amp;S$86&amp;"'!"&amp;VLOOKUP(S$87,'List Values'!$C$3:$D$6,2,FALSE)&amp;ROW(S311))),IF(S$86&lt;&gt;"","Data Source Error",""))))</f>
        <v/>
      </c>
      <c r="U311" s="147"/>
      <c r="V311" s="619"/>
      <c r="W311" s="909" t="str">
        <f ca="1">IF(OR($H$7&lt;6,W$260&lt;3),"",IF(V311&lt;&gt;"",V311,IFERROR(IF(INDIRECT("'"&amp;V$86&amp;"'!"&amp;VLOOKUP(V$87,'List Values'!$C$3:$D$6,2,FALSE)&amp;ROW(V311))="","",INDIRECT("'"&amp;V$86&amp;"'!"&amp;VLOOKUP(V$87,'List Values'!$C$3:$D$6,2,FALSE)&amp;ROW(V311))),IF(V$86&lt;&gt;"","Data Source Error",""))))</f>
        <v/>
      </c>
      <c r="Y311" s="2643"/>
      <c r="Z311" s="2644"/>
      <c r="AA311" s="2644"/>
      <c r="AB311" s="2645"/>
    </row>
    <row r="312" spans="1:28" ht="33" customHeight="1" outlineLevel="1">
      <c r="A312" s="514"/>
      <c r="B312" s="252"/>
      <c r="C312" s="2680" t="s">
        <v>331</v>
      </c>
      <c r="D312" s="2680"/>
      <c r="E312" s="192"/>
      <c r="F312" s="192"/>
      <c r="G312" s="636"/>
      <c r="H312" s="637"/>
      <c r="I312" s="187"/>
      <c r="J312" s="526"/>
      <c r="K312" s="900" t="str">
        <f ca="1">IF(OR($H$7&lt;2,K$260&lt;3),"",IF(J312&lt;&gt;"",J312,IFERROR(IF(INDIRECT("'"&amp;J$86&amp;"'!"&amp;VLOOKUP(J$87,'List Values'!$C$3:$D$6,2,FALSE)&amp;ROW(J312))="","",INDIRECT("'"&amp;J$86&amp;"'!"&amp;VLOOKUP(J$87,'List Values'!$C$3:$D$6,2,FALSE)&amp;ROW(J312))),IF(J$86&lt;&gt;"","Data Source Error",""))))</f>
        <v/>
      </c>
      <c r="L312" s="187"/>
      <c r="M312" s="526"/>
      <c r="N312" s="900" t="str">
        <f ca="1">IF(OR($H$7&lt;3,N$260&lt;3),"",IF(M312&lt;&gt;"",M312,IFERROR(IF(INDIRECT("'"&amp;M$86&amp;"'!"&amp;VLOOKUP(M$87,'List Values'!$C$3:$D$6,2,FALSE)&amp;ROW(M312))="","",INDIRECT("'"&amp;M$86&amp;"'!"&amp;VLOOKUP(M$87,'List Values'!$C$3:$D$6,2,FALSE)&amp;ROW(M312))),IF(M$86&lt;&gt;"","Data Source Error",""))))</f>
        <v/>
      </c>
      <c r="O312" s="187"/>
      <c r="P312" s="526"/>
      <c r="Q312" s="900" t="str">
        <f ca="1">IF(OR($H$7&lt;4,Q$260&lt;3),"",IF(P312&lt;&gt;"",P312,IFERROR(IF(INDIRECT("'"&amp;P$86&amp;"'!"&amp;VLOOKUP(P$87,'List Values'!$C$3:$D$6,2,FALSE)&amp;ROW(P312))="","",INDIRECT("'"&amp;P$86&amp;"'!"&amp;VLOOKUP(P$87,'List Values'!$C$3:$D$6,2,FALSE)&amp;ROW(P312))),IF(P$86&lt;&gt;"","Data Source Error",""))))</f>
        <v/>
      </c>
      <c r="S312" s="526"/>
      <c r="T312" s="900" t="str">
        <f ca="1">IF(OR($H$7&lt;5,T$260&lt;3),"",IF(S312&lt;&gt;"",S312,IFERROR(IF(INDIRECT("'"&amp;S$86&amp;"'!"&amp;VLOOKUP(S$87,'List Values'!$C$3:$D$6,2,FALSE)&amp;ROW(S312))="","",INDIRECT("'"&amp;S$86&amp;"'!"&amp;VLOOKUP(S$87,'List Values'!$C$3:$D$6,2,FALSE)&amp;ROW(S312))),IF(S$86&lt;&gt;"","Data Source Error",""))))</f>
        <v/>
      </c>
      <c r="V312" s="526"/>
      <c r="W312" s="911" t="str">
        <f ca="1">IF(OR($H$7&lt;6,W$260&lt;3),"",IF(V312&lt;&gt;"",V312,IFERROR(IF(INDIRECT("'"&amp;V$86&amp;"'!"&amp;VLOOKUP(V$87,'List Values'!$C$3:$D$6,2,FALSE)&amp;ROW(V312))="","",INDIRECT("'"&amp;V$86&amp;"'!"&amp;VLOOKUP(V$87,'List Values'!$C$3:$D$6,2,FALSE)&amp;ROW(V312))),IF(V$86&lt;&gt;"","Data Source Error",""))))</f>
        <v/>
      </c>
      <c r="Y312" s="2643"/>
      <c r="Z312" s="2644"/>
      <c r="AA312" s="2644"/>
      <c r="AB312" s="2645"/>
    </row>
    <row r="313" spans="1:28" ht="15.75" customHeight="1" outlineLevel="1">
      <c r="A313" s="514"/>
      <c r="B313" s="252"/>
      <c r="C313" s="2684" t="s">
        <v>332</v>
      </c>
      <c r="D313" s="2684"/>
      <c r="E313" s="192"/>
      <c r="F313" s="192"/>
      <c r="G313" s="636"/>
      <c r="H313" s="637"/>
      <c r="I313" s="187"/>
      <c r="J313" s="580"/>
      <c r="K313" s="900" t="str">
        <f ca="1">IF(OR($H$7&lt;2,K$260&lt;3),"",IF(J313&lt;&gt;"",J313,IFERROR(IF(INDIRECT("'"&amp;J$86&amp;"'!"&amp;VLOOKUP(J$87,'List Values'!$C$3:$D$6,2,FALSE)&amp;ROW(J313))="","",INDIRECT("'"&amp;J$86&amp;"'!"&amp;VLOOKUP(J$87,'List Values'!$C$3:$D$6,2,FALSE)&amp;ROW(J313))),IF(J$86&lt;&gt;"","Data Source Error",""))))</f>
        <v/>
      </c>
      <c r="L313" s="187"/>
      <c r="M313" s="580"/>
      <c r="N313" s="900" t="str">
        <f ca="1">IF(OR($H$7&lt;3,N$260&lt;3),"",IF(M313&lt;&gt;"",M313,IFERROR(IF(INDIRECT("'"&amp;M$86&amp;"'!"&amp;VLOOKUP(M$87,'List Values'!$C$3:$D$6,2,FALSE)&amp;ROW(M313))="","",INDIRECT("'"&amp;M$86&amp;"'!"&amp;VLOOKUP(M$87,'List Values'!$C$3:$D$6,2,FALSE)&amp;ROW(M313))),IF(M$86&lt;&gt;"","Data Source Error",""))))</f>
        <v/>
      </c>
      <c r="O313" s="187"/>
      <c r="P313" s="580"/>
      <c r="Q313" s="900" t="str">
        <f ca="1">IF(OR($H$7&lt;4,Q$260&lt;3),"",IF(P313&lt;&gt;"",P313,IFERROR(IF(INDIRECT("'"&amp;P$86&amp;"'!"&amp;VLOOKUP(P$87,'List Values'!$C$3:$D$6,2,FALSE)&amp;ROW(P313))="","",INDIRECT("'"&amp;P$86&amp;"'!"&amp;VLOOKUP(P$87,'List Values'!$C$3:$D$6,2,FALSE)&amp;ROW(P313))),IF(P$86&lt;&gt;"","Data Source Error",""))))</f>
        <v/>
      </c>
      <c r="S313" s="580"/>
      <c r="T313" s="900" t="str">
        <f ca="1">IF(OR($H$7&lt;5,T$260&lt;3),"",IF(S313&lt;&gt;"",S313,IFERROR(IF(INDIRECT("'"&amp;S$86&amp;"'!"&amp;VLOOKUP(S$87,'List Values'!$C$3:$D$6,2,FALSE)&amp;ROW(S313))="","",INDIRECT("'"&amp;S$86&amp;"'!"&amp;VLOOKUP(S$87,'List Values'!$C$3:$D$6,2,FALSE)&amp;ROW(S313))),IF(S$86&lt;&gt;"","Data Source Error",""))))</f>
        <v/>
      </c>
      <c r="V313" s="580"/>
      <c r="W313" s="911" t="str">
        <f ca="1">IF(OR($H$7&lt;6,W$260&lt;3),"",IF(V313&lt;&gt;"",V313,IFERROR(IF(INDIRECT("'"&amp;V$86&amp;"'!"&amp;VLOOKUP(V$87,'List Values'!$C$3:$D$6,2,FALSE)&amp;ROW(V313))="","",INDIRECT("'"&amp;V$86&amp;"'!"&amp;VLOOKUP(V$87,'List Values'!$C$3:$D$6,2,FALSE)&amp;ROW(V313))),IF(V$86&lt;&gt;"","Data Source Error",""))))</f>
        <v/>
      </c>
      <c r="Y313" s="2643"/>
      <c r="Z313" s="2644"/>
      <c r="AA313" s="2644"/>
      <c r="AB313" s="2645"/>
    </row>
    <row r="314" spans="1:28" ht="31.5" customHeight="1" outlineLevel="1">
      <c r="A314" s="514"/>
      <c r="B314" s="252"/>
      <c r="C314" s="2680" t="s">
        <v>839</v>
      </c>
      <c r="D314" s="2680"/>
      <c r="E314" s="192"/>
      <c r="F314" s="192"/>
      <c r="G314" s="636"/>
      <c r="H314" s="637"/>
      <c r="I314" s="187"/>
      <c r="J314" s="580"/>
      <c r="K314" s="900" t="str">
        <f ca="1">IF(OR($H$7&lt;2,K$260&lt;3),"",IF(J314&lt;&gt;"",J314,IFERROR(IF(INDIRECT("'"&amp;J$86&amp;"'!"&amp;VLOOKUP(J$87,'List Values'!$C$3:$D$6,2,FALSE)&amp;ROW(J314))="","",INDIRECT("'"&amp;J$86&amp;"'!"&amp;VLOOKUP(J$87,'List Values'!$C$3:$D$6,2,FALSE)&amp;ROW(J314))),IF(J$86&lt;&gt;"","Data Source Error",""))))</f>
        <v/>
      </c>
      <c r="L314" s="187"/>
      <c r="M314" s="580"/>
      <c r="N314" s="900" t="str">
        <f ca="1">IF(OR($H$7&lt;3,N$260&lt;3),"",IF(M314&lt;&gt;"",M314,IFERROR(IF(INDIRECT("'"&amp;M$86&amp;"'!"&amp;VLOOKUP(M$87,'List Values'!$C$3:$D$6,2,FALSE)&amp;ROW(M314))="","",INDIRECT("'"&amp;M$86&amp;"'!"&amp;VLOOKUP(M$87,'List Values'!$C$3:$D$6,2,FALSE)&amp;ROW(M314))),IF(M$86&lt;&gt;"","Data Source Error",""))))</f>
        <v/>
      </c>
      <c r="O314" s="187"/>
      <c r="P314" s="580"/>
      <c r="Q314" s="900" t="str">
        <f ca="1">IF(OR($H$7&lt;4,Q$260&lt;3),"",IF(P314&lt;&gt;"",P314,IFERROR(IF(INDIRECT("'"&amp;P$86&amp;"'!"&amp;VLOOKUP(P$87,'List Values'!$C$3:$D$6,2,FALSE)&amp;ROW(P314))="","",INDIRECT("'"&amp;P$86&amp;"'!"&amp;VLOOKUP(P$87,'List Values'!$C$3:$D$6,2,FALSE)&amp;ROW(P314))),IF(P$86&lt;&gt;"","Data Source Error",""))))</f>
        <v/>
      </c>
      <c r="S314" s="580"/>
      <c r="T314" s="900" t="str">
        <f ca="1">IF(OR($H$7&lt;5,T$260&lt;3),"",IF(S314&lt;&gt;"",S314,IFERROR(IF(INDIRECT("'"&amp;S$86&amp;"'!"&amp;VLOOKUP(S$87,'List Values'!$C$3:$D$6,2,FALSE)&amp;ROW(S314))="","",INDIRECT("'"&amp;S$86&amp;"'!"&amp;VLOOKUP(S$87,'List Values'!$C$3:$D$6,2,FALSE)&amp;ROW(S314))),IF(S$86&lt;&gt;"","Data Source Error",""))))</f>
        <v/>
      </c>
      <c r="V314" s="580"/>
      <c r="W314" s="911" t="str">
        <f ca="1">IF(OR($H$7&lt;6,W$260&lt;3),"",IF(V314&lt;&gt;"",V314,IFERROR(IF(INDIRECT("'"&amp;V$86&amp;"'!"&amp;VLOOKUP(V$87,'List Values'!$C$3:$D$6,2,FALSE)&amp;ROW(V314))="","",INDIRECT("'"&amp;V$86&amp;"'!"&amp;VLOOKUP(V$87,'List Values'!$C$3:$D$6,2,FALSE)&amp;ROW(V314))),IF(V$86&lt;&gt;"","Data Source Error",""))))</f>
        <v/>
      </c>
      <c r="Y314" s="2643"/>
      <c r="Z314" s="2644"/>
      <c r="AA314" s="2644"/>
      <c r="AB314" s="2645"/>
    </row>
    <row r="315" spans="1:28" ht="15.75" customHeight="1" outlineLevel="1">
      <c r="A315" s="514"/>
      <c r="B315" s="252"/>
      <c r="C315" s="2680" t="s">
        <v>334</v>
      </c>
      <c r="D315" s="2680"/>
      <c r="E315" s="192"/>
      <c r="F315" s="192"/>
      <c r="G315" s="636"/>
      <c r="H315" s="637"/>
      <c r="I315" s="187"/>
      <c r="J315" s="580"/>
      <c r="K315" s="900" t="str">
        <f ca="1">IF(OR($H$7&lt;2,K$260&lt;3),"",IF(J315&lt;&gt;"",J315,IFERROR(IF(INDIRECT("'"&amp;J$86&amp;"'!"&amp;VLOOKUP(J$87,'List Values'!$C$3:$D$6,2,FALSE)&amp;ROW(J315))="","",INDIRECT("'"&amp;J$86&amp;"'!"&amp;VLOOKUP(J$87,'List Values'!$C$3:$D$6,2,FALSE)&amp;ROW(J315))),IF(J$86&lt;&gt;"","Data Source Error",""))))</f>
        <v/>
      </c>
      <c r="L315" s="187"/>
      <c r="M315" s="580"/>
      <c r="N315" s="900" t="str">
        <f ca="1">IF(OR($H$7&lt;3,N$260&lt;3),"",IF(M315&lt;&gt;"",M315,IFERROR(IF(INDIRECT("'"&amp;M$86&amp;"'!"&amp;VLOOKUP(M$87,'List Values'!$C$3:$D$6,2,FALSE)&amp;ROW(M315))="","",INDIRECT("'"&amp;M$86&amp;"'!"&amp;VLOOKUP(M$87,'List Values'!$C$3:$D$6,2,FALSE)&amp;ROW(M315))),IF(M$86&lt;&gt;"","Data Source Error",""))))</f>
        <v/>
      </c>
      <c r="O315" s="187"/>
      <c r="P315" s="580"/>
      <c r="Q315" s="900" t="str">
        <f ca="1">IF(OR($H$7&lt;4,Q$260&lt;3),"",IF(P315&lt;&gt;"",P315,IFERROR(IF(INDIRECT("'"&amp;P$86&amp;"'!"&amp;VLOOKUP(P$87,'List Values'!$C$3:$D$6,2,FALSE)&amp;ROW(P315))="","",INDIRECT("'"&amp;P$86&amp;"'!"&amp;VLOOKUP(P$87,'List Values'!$C$3:$D$6,2,FALSE)&amp;ROW(P315))),IF(P$86&lt;&gt;"","Data Source Error",""))))</f>
        <v/>
      </c>
      <c r="S315" s="580"/>
      <c r="T315" s="900" t="str">
        <f ca="1">IF(OR($H$7&lt;5,T$260&lt;3),"",IF(S315&lt;&gt;"",S315,IFERROR(IF(INDIRECT("'"&amp;S$86&amp;"'!"&amp;VLOOKUP(S$87,'List Values'!$C$3:$D$6,2,FALSE)&amp;ROW(S315))="","",INDIRECT("'"&amp;S$86&amp;"'!"&amp;VLOOKUP(S$87,'List Values'!$C$3:$D$6,2,FALSE)&amp;ROW(S315))),IF(S$86&lt;&gt;"","Data Source Error",""))))</f>
        <v/>
      </c>
      <c r="V315" s="580"/>
      <c r="W315" s="911" t="str">
        <f ca="1">IF(OR($H$7&lt;6,W$260&lt;3),"",IF(V315&lt;&gt;"",V315,IFERROR(IF(INDIRECT("'"&amp;V$86&amp;"'!"&amp;VLOOKUP(V$87,'List Values'!$C$3:$D$6,2,FALSE)&amp;ROW(V315))="","",INDIRECT("'"&amp;V$86&amp;"'!"&amp;VLOOKUP(V$87,'List Values'!$C$3:$D$6,2,FALSE)&amp;ROW(V315))),IF(V$86&lt;&gt;"","Data Source Error",""))))</f>
        <v/>
      </c>
      <c r="Y315" s="2643"/>
      <c r="Z315" s="2644"/>
      <c r="AA315" s="2644"/>
      <c r="AB315" s="2645"/>
    </row>
    <row r="316" spans="1:28" ht="15.75" customHeight="1" outlineLevel="1">
      <c r="A316" s="514"/>
      <c r="B316" s="252"/>
      <c r="C316" s="2684" t="s">
        <v>335</v>
      </c>
      <c r="D316" s="2684"/>
      <c r="E316" s="192"/>
      <c r="F316" s="192"/>
      <c r="G316" s="636"/>
      <c r="H316" s="637"/>
      <c r="I316" s="187"/>
      <c r="J316" s="580"/>
      <c r="K316" s="900" t="str">
        <f ca="1">IF(OR($H$7&lt;2,K$260&lt;3),"",IF(J316&lt;&gt;"",J316,IFERROR(IF(INDIRECT("'"&amp;J$86&amp;"'!"&amp;VLOOKUP(J$87,'List Values'!$C$3:$D$6,2,FALSE)&amp;ROW(J316))="","",INDIRECT("'"&amp;J$86&amp;"'!"&amp;VLOOKUP(J$87,'List Values'!$C$3:$D$6,2,FALSE)&amp;ROW(J316))),IF(J$86&lt;&gt;"","Data Source Error",""))))</f>
        <v/>
      </c>
      <c r="L316" s="187"/>
      <c r="M316" s="580"/>
      <c r="N316" s="900" t="str">
        <f ca="1">IF(OR($H$7&lt;3,N$260&lt;3),"",IF(M316&lt;&gt;"",M316,IFERROR(IF(INDIRECT("'"&amp;M$86&amp;"'!"&amp;VLOOKUP(M$87,'List Values'!$C$3:$D$6,2,FALSE)&amp;ROW(M316))="","",INDIRECT("'"&amp;M$86&amp;"'!"&amp;VLOOKUP(M$87,'List Values'!$C$3:$D$6,2,FALSE)&amp;ROW(M316))),IF(M$86&lt;&gt;"","Data Source Error",""))))</f>
        <v/>
      </c>
      <c r="O316" s="187"/>
      <c r="P316" s="580"/>
      <c r="Q316" s="900" t="str">
        <f ca="1">IF(OR($H$7&lt;4,Q$260&lt;3),"",IF(P316&lt;&gt;"",P316,IFERROR(IF(INDIRECT("'"&amp;P$86&amp;"'!"&amp;VLOOKUP(P$87,'List Values'!$C$3:$D$6,2,FALSE)&amp;ROW(P316))="","",INDIRECT("'"&amp;P$86&amp;"'!"&amp;VLOOKUP(P$87,'List Values'!$C$3:$D$6,2,FALSE)&amp;ROW(P316))),IF(P$86&lt;&gt;"","Data Source Error",""))))</f>
        <v/>
      </c>
      <c r="S316" s="580"/>
      <c r="T316" s="900" t="str">
        <f ca="1">IF(OR($H$7&lt;5,T$260&lt;3),"",IF(S316&lt;&gt;"",S316,IFERROR(IF(INDIRECT("'"&amp;S$86&amp;"'!"&amp;VLOOKUP(S$87,'List Values'!$C$3:$D$6,2,FALSE)&amp;ROW(S316))="","",INDIRECT("'"&amp;S$86&amp;"'!"&amp;VLOOKUP(S$87,'List Values'!$C$3:$D$6,2,FALSE)&amp;ROW(S316))),IF(S$86&lt;&gt;"","Data Source Error",""))))</f>
        <v/>
      </c>
      <c r="V316" s="580"/>
      <c r="W316" s="911" t="str">
        <f ca="1">IF(OR($H$7&lt;6,W$260&lt;3),"",IF(V316&lt;&gt;"",V316,IFERROR(IF(INDIRECT("'"&amp;V$86&amp;"'!"&amp;VLOOKUP(V$87,'List Values'!$C$3:$D$6,2,FALSE)&amp;ROW(V316))="","",INDIRECT("'"&amp;V$86&amp;"'!"&amp;VLOOKUP(V$87,'List Values'!$C$3:$D$6,2,FALSE)&amp;ROW(V316))),IF(V$86&lt;&gt;"","Data Source Error",""))))</f>
        <v/>
      </c>
      <c r="Y316" s="2643"/>
      <c r="Z316" s="2644"/>
      <c r="AA316" s="2644"/>
      <c r="AB316" s="2645"/>
    </row>
    <row r="317" spans="1:28" ht="31" customHeight="1" outlineLevel="1">
      <c r="A317" s="514"/>
      <c r="B317" s="252"/>
      <c r="C317" s="2680" t="s">
        <v>336</v>
      </c>
      <c r="D317" s="2680"/>
      <c r="E317" s="192"/>
      <c r="F317" s="192"/>
      <c r="G317" s="636"/>
      <c r="H317" s="637"/>
      <c r="I317" s="187"/>
      <c r="J317" s="580"/>
      <c r="K317" s="900" t="str">
        <f ca="1">IF(OR($H$7&lt;2,K$260&lt;3),"",IF(J317&lt;&gt;"",J317,IFERROR(IF(INDIRECT("'"&amp;J$86&amp;"'!"&amp;VLOOKUP(J$87,'List Values'!$C$3:$D$6,2,FALSE)&amp;ROW(J317))="","",INDIRECT("'"&amp;J$86&amp;"'!"&amp;VLOOKUP(J$87,'List Values'!$C$3:$D$6,2,FALSE)&amp;ROW(J317))),IF(J$86&lt;&gt;"","Data Source Error",""))))</f>
        <v/>
      </c>
      <c r="L317" s="187"/>
      <c r="M317" s="580"/>
      <c r="N317" s="900" t="str">
        <f ca="1">IF(OR($H$7&lt;3,N$260&lt;3),"",IF(M317&lt;&gt;"",M317,IFERROR(IF(INDIRECT("'"&amp;M$86&amp;"'!"&amp;VLOOKUP(M$87,'List Values'!$C$3:$D$6,2,FALSE)&amp;ROW(M317))="","",INDIRECT("'"&amp;M$86&amp;"'!"&amp;VLOOKUP(M$87,'List Values'!$C$3:$D$6,2,FALSE)&amp;ROW(M317))),IF(M$86&lt;&gt;"","Data Source Error",""))))</f>
        <v/>
      </c>
      <c r="O317" s="187"/>
      <c r="P317" s="580"/>
      <c r="Q317" s="900" t="str">
        <f ca="1">IF(OR($H$7&lt;4,Q$260&lt;3),"",IF(P317&lt;&gt;"",P317,IFERROR(IF(INDIRECT("'"&amp;P$86&amp;"'!"&amp;VLOOKUP(P$87,'List Values'!$C$3:$D$6,2,FALSE)&amp;ROW(P317))="","",INDIRECT("'"&amp;P$86&amp;"'!"&amp;VLOOKUP(P$87,'List Values'!$C$3:$D$6,2,FALSE)&amp;ROW(P317))),IF(P$86&lt;&gt;"","Data Source Error",""))))</f>
        <v/>
      </c>
      <c r="S317" s="580"/>
      <c r="T317" s="900" t="str">
        <f ca="1">IF(OR($H$7&lt;5,T$260&lt;3),"",IF(S317&lt;&gt;"",S317,IFERROR(IF(INDIRECT("'"&amp;S$86&amp;"'!"&amp;VLOOKUP(S$87,'List Values'!$C$3:$D$6,2,FALSE)&amp;ROW(S317))="","",INDIRECT("'"&amp;S$86&amp;"'!"&amp;VLOOKUP(S$87,'List Values'!$C$3:$D$6,2,FALSE)&amp;ROW(S317))),IF(S$86&lt;&gt;"","Data Source Error",""))))</f>
        <v/>
      </c>
      <c r="V317" s="580"/>
      <c r="W317" s="911" t="str">
        <f ca="1">IF(OR($H$7&lt;6,W$260&lt;3),"",IF(V317&lt;&gt;"",V317,IFERROR(IF(INDIRECT("'"&amp;V$86&amp;"'!"&amp;VLOOKUP(V$87,'List Values'!$C$3:$D$6,2,FALSE)&amp;ROW(V317))="","",INDIRECT("'"&amp;V$86&amp;"'!"&amp;VLOOKUP(V$87,'List Values'!$C$3:$D$6,2,FALSE)&amp;ROW(V317))),IF(V$86&lt;&gt;"","Data Source Error",""))))</f>
        <v/>
      </c>
      <c r="Y317" s="2643"/>
      <c r="Z317" s="2644"/>
      <c r="AA317" s="2644"/>
      <c r="AB317" s="2645"/>
    </row>
    <row r="318" spans="1:28" ht="33" customHeight="1" outlineLevel="1">
      <c r="A318" s="514"/>
      <c r="B318" s="252"/>
      <c r="C318" s="2680" t="s">
        <v>337</v>
      </c>
      <c r="D318" s="2680"/>
      <c r="E318" s="192"/>
      <c r="F318" s="192"/>
      <c r="G318" s="636"/>
      <c r="H318" s="637"/>
      <c r="I318" s="187"/>
      <c r="J318" s="580"/>
      <c r="K318" s="900" t="str">
        <f ca="1">IF(OR($H$7&lt;2,K$260&lt;3),"",IF(J318&lt;&gt;"",J318,IFERROR(IF(INDIRECT("'"&amp;J$86&amp;"'!"&amp;VLOOKUP(J$87,'List Values'!$C$3:$D$6,2,FALSE)&amp;ROW(J318))="","",INDIRECT("'"&amp;J$86&amp;"'!"&amp;VLOOKUP(J$87,'List Values'!$C$3:$D$6,2,FALSE)&amp;ROW(J318))),IF(J$86&lt;&gt;"","Data Source Error",""))))</f>
        <v/>
      </c>
      <c r="L318" s="187"/>
      <c r="M318" s="580"/>
      <c r="N318" s="900" t="str">
        <f ca="1">IF(OR($H$7&lt;3,N$260&lt;3),"",IF(M318&lt;&gt;"",M318,IFERROR(IF(INDIRECT("'"&amp;M$86&amp;"'!"&amp;VLOOKUP(M$87,'List Values'!$C$3:$D$6,2,FALSE)&amp;ROW(M318))="","",INDIRECT("'"&amp;M$86&amp;"'!"&amp;VLOOKUP(M$87,'List Values'!$C$3:$D$6,2,FALSE)&amp;ROW(M318))),IF(M$86&lt;&gt;"","Data Source Error",""))))</f>
        <v/>
      </c>
      <c r="O318" s="187"/>
      <c r="P318" s="580"/>
      <c r="Q318" s="900" t="str">
        <f ca="1">IF(OR($H$7&lt;4,Q$260&lt;3),"",IF(P318&lt;&gt;"",P318,IFERROR(IF(INDIRECT("'"&amp;P$86&amp;"'!"&amp;VLOOKUP(P$87,'List Values'!$C$3:$D$6,2,FALSE)&amp;ROW(P318))="","",INDIRECT("'"&amp;P$86&amp;"'!"&amp;VLOOKUP(P$87,'List Values'!$C$3:$D$6,2,FALSE)&amp;ROW(P318))),IF(P$86&lt;&gt;"","Data Source Error",""))))</f>
        <v/>
      </c>
      <c r="S318" s="580"/>
      <c r="T318" s="900" t="str">
        <f ca="1">IF(OR($H$7&lt;5,T$260&lt;3),"",IF(S318&lt;&gt;"",S318,IFERROR(IF(INDIRECT("'"&amp;S$86&amp;"'!"&amp;VLOOKUP(S$87,'List Values'!$C$3:$D$6,2,FALSE)&amp;ROW(S318))="","",INDIRECT("'"&amp;S$86&amp;"'!"&amp;VLOOKUP(S$87,'List Values'!$C$3:$D$6,2,FALSE)&amp;ROW(S318))),IF(S$86&lt;&gt;"","Data Source Error",""))))</f>
        <v/>
      </c>
      <c r="V318" s="580"/>
      <c r="W318" s="911" t="str">
        <f ca="1">IF(OR($H$7&lt;6,W$260&lt;3),"",IF(V318&lt;&gt;"",V318,IFERROR(IF(INDIRECT("'"&amp;V$86&amp;"'!"&amp;VLOOKUP(V$87,'List Values'!$C$3:$D$6,2,FALSE)&amp;ROW(V318))="","",INDIRECT("'"&amp;V$86&amp;"'!"&amp;VLOOKUP(V$87,'List Values'!$C$3:$D$6,2,FALSE)&amp;ROW(V318))),IF(V$86&lt;&gt;"","Data Source Error",""))))</f>
        <v/>
      </c>
      <c r="Y318" s="2643"/>
      <c r="Z318" s="2644"/>
      <c r="AA318" s="2644"/>
      <c r="AB318" s="2645"/>
    </row>
    <row r="319" spans="1:28" ht="33" customHeight="1" outlineLevel="1">
      <c r="A319" s="514"/>
      <c r="B319" s="252"/>
      <c r="C319" s="2680" t="s">
        <v>338</v>
      </c>
      <c r="D319" s="2680"/>
      <c r="E319" s="192"/>
      <c r="F319" s="192"/>
      <c r="G319" s="636"/>
      <c r="H319" s="637"/>
      <c r="I319" s="187"/>
      <c r="J319" s="580"/>
      <c r="K319" s="900" t="str">
        <f ca="1">IF(OR($H$7&lt;2,K$260&lt;3),"",IF(J319&lt;&gt;"",J319,IFERROR(IF(INDIRECT("'"&amp;J$86&amp;"'!"&amp;VLOOKUP(J$87,'List Values'!$C$3:$D$6,2,FALSE)&amp;ROW(J319))="","",INDIRECT("'"&amp;J$86&amp;"'!"&amp;VLOOKUP(J$87,'List Values'!$C$3:$D$6,2,FALSE)&amp;ROW(J319))),IF(J$86&lt;&gt;"","Data Source Error",""))))</f>
        <v/>
      </c>
      <c r="L319" s="187"/>
      <c r="M319" s="580"/>
      <c r="N319" s="900" t="str">
        <f ca="1">IF(OR($H$7&lt;3,N$260&lt;3),"",IF(M319&lt;&gt;"",M319,IFERROR(IF(INDIRECT("'"&amp;M$86&amp;"'!"&amp;VLOOKUP(M$87,'List Values'!$C$3:$D$6,2,FALSE)&amp;ROW(M319))="","",INDIRECT("'"&amp;M$86&amp;"'!"&amp;VLOOKUP(M$87,'List Values'!$C$3:$D$6,2,FALSE)&amp;ROW(M319))),IF(M$86&lt;&gt;"","Data Source Error",""))))</f>
        <v/>
      </c>
      <c r="O319" s="187"/>
      <c r="P319" s="580"/>
      <c r="Q319" s="900" t="str">
        <f ca="1">IF(OR($H$7&lt;4,Q$260&lt;3),"",IF(P319&lt;&gt;"",P319,IFERROR(IF(INDIRECT("'"&amp;P$86&amp;"'!"&amp;VLOOKUP(P$87,'List Values'!$C$3:$D$6,2,FALSE)&amp;ROW(P319))="","",INDIRECT("'"&amp;P$86&amp;"'!"&amp;VLOOKUP(P$87,'List Values'!$C$3:$D$6,2,FALSE)&amp;ROW(P319))),IF(P$86&lt;&gt;"","Data Source Error",""))))</f>
        <v/>
      </c>
      <c r="S319" s="580"/>
      <c r="T319" s="900" t="str">
        <f ca="1">IF(OR($H$7&lt;5,T$260&lt;3),"",IF(S319&lt;&gt;"",S319,IFERROR(IF(INDIRECT("'"&amp;S$86&amp;"'!"&amp;VLOOKUP(S$87,'List Values'!$C$3:$D$6,2,FALSE)&amp;ROW(S319))="","",INDIRECT("'"&amp;S$86&amp;"'!"&amp;VLOOKUP(S$87,'List Values'!$C$3:$D$6,2,FALSE)&amp;ROW(S319))),IF(S$86&lt;&gt;"","Data Source Error",""))))</f>
        <v/>
      </c>
      <c r="V319" s="580"/>
      <c r="W319" s="911" t="str">
        <f ca="1">IF(OR($H$7&lt;6,W$260&lt;3),"",IF(V319&lt;&gt;"",V319,IFERROR(IF(INDIRECT("'"&amp;V$86&amp;"'!"&amp;VLOOKUP(V$87,'List Values'!$C$3:$D$6,2,FALSE)&amp;ROW(V319))="","",INDIRECT("'"&amp;V$86&amp;"'!"&amp;VLOOKUP(V$87,'List Values'!$C$3:$D$6,2,FALSE)&amp;ROW(V319))),IF(V$86&lt;&gt;"","Data Source Error",""))))</f>
        <v/>
      </c>
      <c r="Y319" s="2643"/>
      <c r="Z319" s="2644"/>
      <c r="AA319" s="2644"/>
      <c r="AB319" s="2645"/>
    </row>
    <row r="320" spans="1:28" ht="15.75" customHeight="1" outlineLevel="1">
      <c r="A320" s="514"/>
      <c r="B320" s="252"/>
      <c r="C320" s="2680" t="s">
        <v>650</v>
      </c>
      <c r="D320" s="2680"/>
      <c r="E320" s="192"/>
      <c r="F320" s="192"/>
      <c r="G320" s="636"/>
      <c r="H320" s="637"/>
      <c r="I320" s="187"/>
      <c r="J320" s="580"/>
      <c r="K320" s="900" t="str">
        <f ca="1">IF(OR($H$7&lt;2,K$260&lt;3),"",IF(J320&lt;&gt;"",J320,IFERROR(IF(INDIRECT("'"&amp;J$86&amp;"'!"&amp;VLOOKUP(J$87,'List Values'!$C$3:$D$6,2,FALSE)&amp;ROW(J320))="","",INDIRECT("'"&amp;J$86&amp;"'!"&amp;VLOOKUP(J$87,'List Values'!$C$3:$D$6,2,FALSE)&amp;ROW(J320))),IF(J$86&lt;&gt;"","Data Source Error",""))))</f>
        <v/>
      </c>
      <c r="L320" s="187"/>
      <c r="M320" s="580"/>
      <c r="N320" s="900" t="str">
        <f ca="1">IF(OR($H$7&lt;3,N$260&lt;3),"",IF(M320&lt;&gt;"",M320,IFERROR(IF(INDIRECT("'"&amp;M$86&amp;"'!"&amp;VLOOKUP(M$87,'List Values'!$C$3:$D$6,2,FALSE)&amp;ROW(M320))="","",INDIRECT("'"&amp;M$86&amp;"'!"&amp;VLOOKUP(M$87,'List Values'!$C$3:$D$6,2,FALSE)&amp;ROW(M320))),IF(M$86&lt;&gt;"","Data Source Error",""))))</f>
        <v/>
      </c>
      <c r="O320" s="187"/>
      <c r="P320" s="580"/>
      <c r="Q320" s="900" t="str">
        <f ca="1">IF(OR($H$7&lt;4,Q$260&lt;3),"",IF(P320&lt;&gt;"",P320,IFERROR(IF(INDIRECT("'"&amp;P$86&amp;"'!"&amp;VLOOKUP(P$87,'List Values'!$C$3:$D$6,2,FALSE)&amp;ROW(P320))="","",INDIRECT("'"&amp;P$86&amp;"'!"&amp;VLOOKUP(P$87,'List Values'!$C$3:$D$6,2,FALSE)&amp;ROW(P320))),IF(P$86&lt;&gt;"","Data Source Error",""))))</f>
        <v/>
      </c>
      <c r="S320" s="580"/>
      <c r="T320" s="900" t="str">
        <f ca="1">IF(OR($H$7&lt;5,T$260&lt;3),"",IF(S320&lt;&gt;"",S320,IFERROR(IF(INDIRECT("'"&amp;S$86&amp;"'!"&amp;VLOOKUP(S$87,'List Values'!$C$3:$D$6,2,FALSE)&amp;ROW(S320))="","",INDIRECT("'"&amp;S$86&amp;"'!"&amp;VLOOKUP(S$87,'List Values'!$C$3:$D$6,2,FALSE)&amp;ROW(S320))),IF(S$86&lt;&gt;"","Data Source Error",""))))</f>
        <v/>
      </c>
      <c r="V320" s="580"/>
      <c r="W320" s="911" t="str">
        <f ca="1">IF(OR($H$7&lt;6,W$260&lt;3),"",IF(V320&lt;&gt;"",V320,IFERROR(IF(INDIRECT("'"&amp;V$86&amp;"'!"&amp;VLOOKUP(V$87,'List Values'!$C$3:$D$6,2,FALSE)&amp;ROW(V320))="","",INDIRECT("'"&amp;V$86&amp;"'!"&amp;VLOOKUP(V$87,'List Values'!$C$3:$D$6,2,FALSE)&amp;ROW(V320))),IF(V$86&lt;&gt;"","Data Source Error",""))))</f>
        <v/>
      </c>
      <c r="Y320" s="2643"/>
      <c r="Z320" s="2644"/>
      <c r="AA320" s="2644"/>
      <c r="AB320" s="2645"/>
    </row>
    <row r="321" spans="1:28" ht="31" customHeight="1" outlineLevel="1">
      <c r="A321" s="514"/>
      <c r="B321" s="252"/>
      <c r="C321" s="2646" t="s">
        <v>651</v>
      </c>
      <c r="D321" s="2646"/>
      <c r="E321" s="494"/>
      <c r="F321" s="494"/>
      <c r="G321" s="642"/>
      <c r="H321" s="643"/>
      <c r="I321" s="196"/>
      <c r="J321" s="632"/>
      <c r="K321" s="902" t="str">
        <f ca="1">IF(OR($H$7&lt;2,K$260&lt;3),"",IF(J321&lt;&gt;"",J321,IFERROR(IF(INDIRECT("'"&amp;J$86&amp;"'!"&amp;VLOOKUP(J$87,'List Values'!$C$3:$D$6,2,FALSE)&amp;ROW(J321))="","",INDIRECT("'"&amp;J$86&amp;"'!"&amp;VLOOKUP(J$87,'List Values'!$C$3:$D$6,2,FALSE)&amp;ROW(J321))),IF(J$86&lt;&gt;"","Data Source Error",""))))</f>
        <v/>
      </c>
      <c r="L321" s="196"/>
      <c r="M321" s="632"/>
      <c r="N321" s="902" t="str">
        <f ca="1">IF(OR($H$7&lt;3,N$260&lt;3),"",IF(M321&lt;&gt;"",M321,IFERROR(IF(INDIRECT("'"&amp;M$86&amp;"'!"&amp;VLOOKUP(M$87,'List Values'!$C$3:$D$6,2,FALSE)&amp;ROW(M321))="","",INDIRECT("'"&amp;M$86&amp;"'!"&amp;VLOOKUP(M$87,'List Values'!$C$3:$D$6,2,FALSE)&amp;ROW(M321))),IF(M$86&lt;&gt;"","Data Source Error",""))))</f>
        <v/>
      </c>
      <c r="O321" s="196"/>
      <c r="P321" s="632"/>
      <c r="Q321" s="902" t="str">
        <f ca="1">IF(OR($H$7&lt;4,Q$260&lt;3),"",IF(P321&lt;&gt;"",P321,IFERROR(IF(INDIRECT("'"&amp;P$86&amp;"'!"&amp;VLOOKUP(P$87,'List Values'!$C$3:$D$6,2,FALSE)&amp;ROW(P321))="","",INDIRECT("'"&amp;P$86&amp;"'!"&amp;VLOOKUP(P$87,'List Values'!$C$3:$D$6,2,FALSE)&amp;ROW(P321))),IF(P$86&lt;&gt;"","Data Source Error",""))))</f>
        <v/>
      </c>
      <c r="R321" s="236"/>
      <c r="S321" s="632"/>
      <c r="T321" s="902" t="str">
        <f ca="1">IF(OR($H$7&lt;5,T$260&lt;3),"",IF(S321&lt;&gt;"",S321,IFERROR(IF(INDIRECT("'"&amp;S$86&amp;"'!"&amp;VLOOKUP(S$87,'List Values'!$C$3:$D$6,2,FALSE)&amp;ROW(S321))="","",INDIRECT("'"&amp;S$86&amp;"'!"&amp;VLOOKUP(S$87,'List Values'!$C$3:$D$6,2,FALSE)&amp;ROW(S321))),IF(S$86&lt;&gt;"","Data Source Error",""))))</f>
        <v/>
      </c>
      <c r="U321" s="236"/>
      <c r="V321" s="632"/>
      <c r="W321" s="982" t="str">
        <f ca="1">IF(OR($H$7&lt;6,W$260&lt;3),"",IF(V321&lt;&gt;"",V321,IFERROR(IF(INDIRECT("'"&amp;V$86&amp;"'!"&amp;VLOOKUP(V$87,'List Values'!$C$3:$D$6,2,FALSE)&amp;ROW(V321))="","",INDIRECT("'"&amp;V$86&amp;"'!"&amp;VLOOKUP(V$87,'List Values'!$C$3:$D$6,2,FALSE)&amp;ROW(V321))),IF(V$86&lt;&gt;"","Data Source Error",""))))</f>
        <v/>
      </c>
      <c r="Y321" s="2657"/>
      <c r="Z321" s="2658"/>
      <c r="AA321" s="2658"/>
      <c r="AB321" s="2659"/>
    </row>
    <row r="322" spans="1:28" ht="21" customHeight="1" collapsed="1">
      <c r="A322" s="212"/>
      <c r="C322" s="130"/>
      <c r="D322" s="130"/>
      <c r="E322" s="130"/>
      <c r="G322" s="121"/>
      <c r="H322" s="69"/>
      <c r="K322" s="972"/>
      <c r="N322" s="972"/>
      <c r="Q322" s="972"/>
      <c r="S322" s="6"/>
      <c r="T322" s="972"/>
      <c r="V322" s="6"/>
      <c r="W322" s="972"/>
    </row>
    <row r="323" spans="1:28" ht="14.9" customHeight="1">
      <c r="G323" s="144"/>
      <c r="H323" s="145"/>
      <c r="I323" s="146"/>
      <c r="J323" s="254"/>
      <c r="K323" s="145"/>
      <c r="L323" s="146"/>
      <c r="M323" s="254"/>
      <c r="N323" s="145"/>
      <c r="O323" s="146"/>
      <c r="P323" s="254"/>
      <c r="Q323" s="145"/>
    </row>
    <row r="324" spans="1:28" ht="14.25" customHeight="1">
      <c r="G324" s="224"/>
      <c r="H324" s="145"/>
      <c r="I324" s="147"/>
      <c r="J324" s="224"/>
      <c r="K324" s="145"/>
      <c r="L324" s="147"/>
      <c r="M324" s="224"/>
      <c r="N324" s="145"/>
      <c r="Q324" s="145" t="str">
        <f ca="1">IFERROR(#REF!/Q106,"")</f>
        <v/>
      </c>
    </row>
    <row r="329" spans="1:28">
      <c r="K329" s="37"/>
    </row>
    <row r="330" spans="1:28">
      <c r="N330" s="37"/>
    </row>
  </sheetData>
  <sheetProtection algorithmName="SHA-512" hashValue="Z8NduYl+AV6+FJaiAL4iVMTDARZct3A3V3RpJmi0NpSFyqlMuo6ZUh+iINCwgqYdnsDavyXKljmD7qDyiJtByA==" saltValue="VfehKIigjj3MpDjBbMnLoQ==" spinCount="100000" sheet="1" formatColumns="0" formatRows="0" sort="0" autoFilter="0" pivotTables="0"/>
  <protectedRanges>
    <protectedRange sqref="Y5:AB12 Y16:AB22 Y27:AB38 Y86:AB88 Y92:AB99 Y103:AB117 Y121:AB123 Y133:AB193 Y197:AB257 Y260:AB321" name="Notes"/>
    <protectedRange sqref="G5:G12 G16:G21 G28:G38 J28:J38 M27:P38 G43:G78 J43:M78" name="Sections 1 to 4"/>
    <protectedRange sqref="G86:G88 J86:J88 M86:M88 P86:P88 S86:S88 V86:V88 G92:G99 J92:J99 M92:M99 P92:P99 S92:S99 V92:V99 G104:G117 J104:J117 M104:M117 P104:P117 S104:S117 V104:V117 G121:G123 J121:J123 M121:M123 P121:P123 S121:S123 V121:V123" name="Section 5"/>
    <protectedRange sqref="J133:J193 M133:M193 P133:P193 S133:S193 V133:V193 J197:J257 M197:M257 P197:P257 S197:S257 V197:V257 J260:J321 M260:M321 P260:P321 S260:S321 V260:V321" name="Section 6"/>
  </protectedRanges>
  <dataConsolidate link="1"/>
  <mergeCells count="632">
    <mergeCell ref="A1:K1"/>
    <mergeCell ref="Y15:AB15"/>
    <mergeCell ref="Y16:AB16"/>
    <mergeCell ref="Y17:AB17"/>
    <mergeCell ref="Y18:AB18"/>
    <mergeCell ref="Y19:AB19"/>
    <mergeCell ref="Y20:AB20"/>
    <mergeCell ref="Y21:AB21"/>
    <mergeCell ref="Y77:AB77"/>
    <mergeCell ref="Y4:AB4"/>
    <mergeCell ref="Y5:AB5"/>
    <mergeCell ref="Y6:AB6"/>
    <mergeCell ref="Y7:AB7"/>
    <mergeCell ref="Y8:AB8"/>
    <mergeCell ref="Y9:AB9"/>
    <mergeCell ref="Y10:AB10"/>
    <mergeCell ref="Y11:AB11"/>
    <mergeCell ref="Y12:AB12"/>
    <mergeCell ref="Y41:AB41"/>
    <mergeCell ref="Y42:AB42"/>
    <mergeCell ref="Y43:AB43"/>
    <mergeCell ref="Y44:AB44"/>
    <mergeCell ref="Y45:AB45"/>
    <mergeCell ref="Y46:AB46"/>
    <mergeCell ref="Y78:AB78"/>
    <mergeCell ref="Y26:AB26"/>
    <mergeCell ref="Y27:AB27"/>
    <mergeCell ref="Y28:AB28"/>
    <mergeCell ref="Y29:AB29"/>
    <mergeCell ref="Y30:AB30"/>
    <mergeCell ref="Y31:AB31"/>
    <mergeCell ref="Y32:AB32"/>
    <mergeCell ref="Y33:AB33"/>
    <mergeCell ref="Y34:AB34"/>
    <mergeCell ref="Y35:AB35"/>
    <mergeCell ref="Y36:AB36"/>
    <mergeCell ref="Y37:AB37"/>
    <mergeCell ref="Y38:AB38"/>
    <mergeCell ref="Y68:AB68"/>
    <mergeCell ref="Y50:AB50"/>
    <mergeCell ref="Y51:AB51"/>
    <mergeCell ref="Y52:AB52"/>
    <mergeCell ref="Y53:AB53"/>
    <mergeCell ref="Y54:AB54"/>
    <mergeCell ref="Y55:AB55"/>
    <mergeCell ref="Y56:AB56"/>
    <mergeCell ref="Y57:AB57"/>
    <mergeCell ref="Y58:AB58"/>
    <mergeCell ref="Y47:AB47"/>
    <mergeCell ref="Y48:AB48"/>
    <mergeCell ref="Y49:AB49"/>
    <mergeCell ref="Y69:AB69"/>
    <mergeCell ref="Y70:AB70"/>
    <mergeCell ref="Y71:AB71"/>
    <mergeCell ref="Y72:AB72"/>
    <mergeCell ref="Y73:AB73"/>
    <mergeCell ref="Y74:AB74"/>
    <mergeCell ref="Y75:AB75"/>
    <mergeCell ref="Y76:AB76"/>
    <mergeCell ref="Y59:AB59"/>
    <mergeCell ref="Y60:AB60"/>
    <mergeCell ref="Y61:AB61"/>
    <mergeCell ref="Y62:AB62"/>
    <mergeCell ref="Y63:AB63"/>
    <mergeCell ref="Y64:AB64"/>
    <mergeCell ref="Y65:AB65"/>
    <mergeCell ref="Y66:AB66"/>
    <mergeCell ref="Y67:AB67"/>
    <mergeCell ref="C320:D320"/>
    <mergeCell ref="Y320:AB320"/>
    <mergeCell ref="C321:D321"/>
    <mergeCell ref="Y321:AB321"/>
    <mergeCell ref="C317:D317"/>
    <mergeCell ref="Y317:AB317"/>
    <mergeCell ref="C318:D318"/>
    <mergeCell ref="Y318:AB318"/>
    <mergeCell ref="C319:D319"/>
    <mergeCell ref="Y319:AB319"/>
    <mergeCell ref="C314:D314"/>
    <mergeCell ref="Y314:AB314"/>
    <mergeCell ref="C315:D315"/>
    <mergeCell ref="Y315:AB315"/>
    <mergeCell ref="C316:D316"/>
    <mergeCell ref="Y316:AB316"/>
    <mergeCell ref="C311:D311"/>
    <mergeCell ref="Y311:AB311"/>
    <mergeCell ref="C312:D312"/>
    <mergeCell ref="Y312:AB312"/>
    <mergeCell ref="C313:D313"/>
    <mergeCell ref="Y313:AB313"/>
    <mergeCell ref="C308:D308"/>
    <mergeCell ref="Y308:AB308"/>
    <mergeCell ref="C309:D309"/>
    <mergeCell ref="Y309:AB309"/>
    <mergeCell ref="C310:D310"/>
    <mergeCell ref="Y310:AB310"/>
    <mergeCell ref="C305:D305"/>
    <mergeCell ref="Y305:AB305"/>
    <mergeCell ref="C306:D306"/>
    <mergeCell ref="Y306:AB306"/>
    <mergeCell ref="C307:D307"/>
    <mergeCell ref="Y307:AB307"/>
    <mergeCell ref="C301:D301"/>
    <mergeCell ref="Y301:AB301"/>
    <mergeCell ref="C303:D303"/>
    <mergeCell ref="Y303:AB303"/>
    <mergeCell ref="C304:D304"/>
    <mergeCell ref="Y304:AB304"/>
    <mergeCell ref="C298:D298"/>
    <mergeCell ref="Y298:AB298"/>
    <mergeCell ref="C299:D299"/>
    <mergeCell ref="Y299:AB299"/>
    <mergeCell ref="C300:D300"/>
    <mergeCell ref="Y300:AB300"/>
    <mergeCell ref="C295:D295"/>
    <mergeCell ref="Y295:AB295"/>
    <mergeCell ref="C296:D296"/>
    <mergeCell ref="Y296:AB296"/>
    <mergeCell ref="C297:D297"/>
    <mergeCell ref="Y297:AB297"/>
    <mergeCell ref="C292:D292"/>
    <mergeCell ref="Y292:AB292"/>
    <mergeCell ref="C293:D293"/>
    <mergeCell ref="Y293:AB293"/>
    <mergeCell ref="C294:D294"/>
    <mergeCell ref="Y294:AB294"/>
    <mergeCell ref="C289:D289"/>
    <mergeCell ref="Y289:AB289"/>
    <mergeCell ref="C290:D290"/>
    <mergeCell ref="Y290:AB290"/>
    <mergeCell ref="C291:D291"/>
    <mergeCell ref="Y291:AB291"/>
    <mergeCell ref="C286:D286"/>
    <mergeCell ref="Y286:AB286"/>
    <mergeCell ref="C287:D287"/>
    <mergeCell ref="Y287:AB287"/>
    <mergeCell ref="C288:D288"/>
    <mergeCell ref="Y288:AB288"/>
    <mergeCell ref="C283:D283"/>
    <mergeCell ref="Y283:AB283"/>
    <mergeCell ref="C284:D284"/>
    <mergeCell ref="Y284:AB284"/>
    <mergeCell ref="C285:D285"/>
    <mergeCell ref="Y285:AB285"/>
    <mergeCell ref="C279:D279"/>
    <mergeCell ref="Y279:AB279"/>
    <mergeCell ref="C280:D280"/>
    <mergeCell ref="Y280:AB280"/>
    <mergeCell ref="C281:D281"/>
    <mergeCell ref="Y281:AB281"/>
    <mergeCell ref="C276:D276"/>
    <mergeCell ref="Y276:AB276"/>
    <mergeCell ref="C277:D277"/>
    <mergeCell ref="Y277:AB277"/>
    <mergeCell ref="C278:D278"/>
    <mergeCell ref="Y278:AB278"/>
    <mergeCell ref="C273:D273"/>
    <mergeCell ref="Y273:AB273"/>
    <mergeCell ref="C274:D274"/>
    <mergeCell ref="Y274:AB274"/>
    <mergeCell ref="C275:D275"/>
    <mergeCell ref="Y275:AB275"/>
    <mergeCell ref="C270:D270"/>
    <mergeCell ref="Y270:AB270"/>
    <mergeCell ref="C271:D271"/>
    <mergeCell ref="Y271:AB271"/>
    <mergeCell ref="C272:D272"/>
    <mergeCell ref="Y272:AB272"/>
    <mergeCell ref="C267:D267"/>
    <mergeCell ref="Y267:AB267"/>
    <mergeCell ref="C268:D268"/>
    <mergeCell ref="Y268:AB268"/>
    <mergeCell ref="C269:D269"/>
    <mergeCell ref="Y269:AB269"/>
    <mergeCell ref="C264:D264"/>
    <mergeCell ref="Y264:AB264"/>
    <mergeCell ref="C265:D265"/>
    <mergeCell ref="Y265:AB265"/>
    <mergeCell ref="C266:D266"/>
    <mergeCell ref="Y266:AB266"/>
    <mergeCell ref="Y260:AB260"/>
    <mergeCell ref="C263:D263"/>
    <mergeCell ref="Y263:AB263"/>
    <mergeCell ref="B260:D260"/>
    <mergeCell ref="B261:D261"/>
    <mergeCell ref="Y261:AB261"/>
    <mergeCell ref="C257:D257"/>
    <mergeCell ref="Y257:AB257"/>
    <mergeCell ref="B259:H259"/>
    <mergeCell ref="J259:K259"/>
    <mergeCell ref="M259:N259"/>
    <mergeCell ref="P259:Q259"/>
    <mergeCell ref="S259:T259"/>
    <mergeCell ref="V259:W259"/>
    <mergeCell ref="C254:D254"/>
    <mergeCell ref="Y254:AB254"/>
    <mergeCell ref="C255:D255"/>
    <mergeCell ref="Y255:AB255"/>
    <mergeCell ref="C256:D256"/>
    <mergeCell ref="Y256:AB256"/>
    <mergeCell ref="C251:D251"/>
    <mergeCell ref="Y251:AB251"/>
    <mergeCell ref="C252:D252"/>
    <mergeCell ref="Y252:AB252"/>
    <mergeCell ref="C253:D253"/>
    <mergeCell ref="Y253:AB253"/>
    <mergeCell ref="C248:D248"/>
    <mergeCell ref="Y248:AB248"/>
    <mergeCell ref="C249:D249"/>
    <mergeCell ref="Y249:AB249"/>
    <mergeCell ref="C250:D250"/>
    <mergeCell ref="Y250:AB250"/>
    <mergeCell ref="C245:D245"/>
    <mergeCell ref="Y245:AB245"/>
    <mergeCell ref="C246:D246"/>
    <mergeCell ref="Y246:AB246"/>
    <mergeCell ref="C247:D247"/>
    <mergeCell ref="Y247:AB247"/>
    <mergeCell ref="C242:D242"/>
    <mergeCell ref="Y242:AB242"/>
    <mergeCell ref="C243:D243"/>
    <mergeCell ref="Y243:AB243"/>
    <mergeCell ref="C244:D244"/>
    <mergeCell ref="Y244:AB244"/>
    <mergeCell ref="C239:D239"/>
    <mergeCell ref="Y239:AB239"/>
    <mergeCell ref="C240:D240"/>
    <mergeCell ref="Y240:AB240"/>
    <mergeCell ref="C241:D241"/>
    <mergeCell ref="Y241:AB241"/>
    <mergeCell ref="C235:D235"/>
    <mergeCell ref="Y235:AB235"/>
    <mergeCell ref="C236:D236"/>
    <mergeCell ref="Y236:AB236"/>
    <mergeCell ref="C237:D237"/>
    <mergeCell ref="Y237:AB237"/>
    <mergeCell ref="C232:D232"/>
    <mergeCell ref="Y232:AB232"/>
    <mergeCell ref="C233:D233"/>
    <mergeCell ref="Y233:AB233"/>
    <mergeCell ref="C234:D234"/>
    <mergeCell ref="Y234:AB234"/>
    <mergeCell ref="C229:D229"/>
    <mergeCell ref="Y229:AB229"/>
    <mergeCell ref="C230:D230"/>
    <mergeCell ref="Y230:AB230"/>
    <mergeCell ref="C231:D231"/>
    <mergeCell ref="Y231:AB231"/>
    <mergeCell ref="C226:D226"/>
    <mergeCell ref="Y226:AB226"/>
    <mergeCell ref="C227:D227"/>
    <mergeCell ref="Y227:AB227"/>
    <mergeCell ref="C228:D228"/>
    <mergeCell ref="Y228:AB228"/>
    <mergeCell ref="C223:D223"/>
    <mergeCell ref="Y223:AB223"/>
    <mergeCell ref="C224:D224"/>
    <mergeCell ref="Y224:AB224"/>
    <mergeCell ref="C225:D225"/>
    <mergeCell ref="Y225:AB225"/>
    <mergeCell ref="C220:D220"/>
    <mergeCell ref="Y220:AB220"/>
    <mergeCell ref="C221:D221"/>
    <mergeCell ref="Y221:AB221"/>
    <mergeCell ref="C222:D222"/>
    <mergeCell ref="Y222:AB222"/>
    <mergeCell ref="C216:D216"/>
    <mergeCell ref="Y216:AB216"/>
    <mergeCell ref="C217:D217"/>
    <mergeCell ref="Y217:AB217"/>
    <mergeCell ref="C219:D219"/>
    <mergeCell ref="Y219:AB219"/>
    <mergeCell ref="C213:D213"/>
    <mergeCell ref="Y213:AB213"/>
    <mergeCell ref="C214:D214"/>
    <mergeCell ref="Y214:AB214"/>
    <mergeCell ref="C215:D215"/>
    <mergeCell ref="Y215:AB215"/>
    <mergeCell ref="C210:D210"/>
    <mergeCell ref="Y210:AB210"/>
    <mergeCell ref="C211:D211"/>
    <mergeCell ref="Y211:AB211"/>
    <mergeCell ref="C212:D212"/>
    <mergeCell ref="Y212:AB212"/>
    <mergeCell ref="C207:D207"/>
    <mergeCell ref="Y207:AB207"/>
    <mergeCell ref="C208:D208"/>
    <mergeCell ref="Y208:AB208"/>
    <mergeCell ref="C209:D209"/>
    <mergeCell ref="Y209:AB209"/>
    <mergeCell ref="C204:D204"/>
    <mergeCell ref="Y204:AB204"/>
    <mergeCell ref="C205:D205"/>
    <mergeCell ref="Y205:AB205"/>
    <mergeCell ref="C206:D206"/>
    <mergeCell ref="Y206:AB206"/>
    <mergeCell ref="C201:D201"/>
    <mergeCell ref="Y201:AB201"/>
    <mergeCell ref="C202:D202"/>
    <mergeCell ref="Y202:AB202"/>
    <mergeCell ref="C203:D203"/>
    <mergeCell ref="Y203:AB203"/>
    <mergeCell ref="Y197:AB197"/>
    <mergeCell ref="C199:D199"/>
    <mergeCell ref="Y199:AB199"/>
    <mergeCell ref="C200:D200"/>
    <mergeCell ref="Y200:AB200"/>
    <mergeCell ref="B197:D197"/>
    <mergeCell ref="C193:D193"/>
    <mergeCell ref="Y193:AB193"/>
    <mergeCell ref="B195:H196"/>
    <mergeCell ref="J195:K195"/>
    <mergeCell ref="M195:N195"/>
    <mergeCell ref="P195:Q195"/>
    <mergeCell ref="S195:T195"/>
    <mergeCell ref="V195:W195"/>
    <mergeCell ref="Y196:AB196"/>
    <mergeCell ref="C190:D190"/>
    <mergeCell ref="Y190:AB190"/>
    <mergeCell ref="C191:D191"/>
    <mergeCell ref="Y191:AB191"/>
    <mergeCell ref="C192:D192"/>
    <mergeCell ref="Y192:AB192"/>
    <mergeCell ref="C187:D187"/>
    <mergeCell ref="Y187:AB187"/>
    <mergeCell ref="C188:D188"/>
    <mergeCell ref="Y188:AB188"/>
    <mergeCell ref="C189:D189"/>
    <mergeCell ref="Y189:AB189"/>
    <mergeCell ref="C184:D184"/>
    <mergeCell ref="Y184:AB184"/>
    <mergeCell ref="C185:D185"/>
    <mergeCell ref="Y185:AB185"/>
    <mergeCell ref="C186:D186"/>
    <mergeCell ref="Y186:AB186"/>
    <mergeCell ref="C181:D181"/>
    <mergeCell ref="Y181:AB181"/>
    <mergeCell ref="C182:D182"/>
    <mergeCell ref="Y182:AB182"/>
    <mergeCell ref="C183:D183"/>
    <mergeCell ref="Y183:AB183"/>
    <mergeCell ref="C178:D178"/>
    <mergeCell ref="Y178:AB178"/>
    <mergeCell ref="C179:D179"/>
    <mergeCell ref="Y179:AB179"/>
    <mergeCell ref="C180:D180"/>
    <mergeCell ref="Y180:AB180"/>
    <mergeCell ref="C175:D175"/>
    <mergeCell ref="Y175:AB175"/>
    <mergeCell ref="C176:D176"/>
    <mergeCell ref="Y176:AB176"/>
    <mergeCell ref="C177:D177"/>
    <mergeCell ref="Y177:AB177"/>
    <mergeCell ref="C171:D171"/>
    <mergeCell ref="Y171:AB171"/>
    <mergeCell ref="C172:D172"/>
    <mergeCell ref="Y172:AB172"/>
    <mergeCell ref="C173:D173"/>
    <mergeCell ref="Y173:AB173"/>
    <mergeCell ref="C168:D168"/>
    <mergeCell ref="Y168:AB168"/>
    <mergeCell ref="C169:D169"/>
    <mergeCell ref="Y169:AB169"/>
    <mergeCell ref="C170:D170"/>
    <mergeCell ref="Y170:AB170"/>
    <mergeCell ref="C165:D165"/>
    <mergeCell ref="Y165:AB165"/>
    <mergeCell ref="C166:D166"/>
    <mergeCell ref="Y166:AB166"/>
    <mergeCell ref="C167:D167"/>
    <mergeCell ref="Y167:AB167"/>
    <mergeCell ref="C162:D162"/>
    <mergeCell ref="Y162:AB162"/>
    <mergeCell ref="C163:D163"/>
    <mergeCell ref="Y163:AB163"/>
    <mergeCell ref="C164:D164"/>
    <mergeCell ref="Y164:AB164"/>
    <mergeCell ref="C159:D159"/>
    <mergeCell ref="Y159:AB159"/>
    <mergeCell ref="C160:D160"/>
    <mergeCell ref="Y160:AB160"/>
    <mergeCell ref="C161:D161"/>
    <mergeCell ref="Y161:AB161"/>
    <mergeCell ref="C156:D156"/>
    <mergeCell ref="Y156:AB156"/>
    <mergeCell ref="C157:D157"/>
    <mergeCell ref="Y157:AB157"/>
    <mergeCell ref="C158:D158"/>
    <mergeCell ref="Y158:AB158"/>
    <mergeCell ref="C152:D152"/>
    <mergeCell ref="Y152:AB152"/>
    <mergeCell ref="C153:D153"/>
    <mergeCell ref="Y153:AB153"/>
    <mergeCell ref="C155:D155"/>
    <mergeCell ref="Y155:AB155"/>
    <mergeCell ref="C149:D149"/>
    <mergeCell ref="Y149:AB149"/>
    <mergeCell ref="C150:D150"/>
    <mergeCell ref="Y150:AB150"/>
    <mergeCell ref="C151:D151"/>
    <mergeCell ref="Y151:AB151"/>
    <mergeCell ref="C146:D146"/>
    <mergeCell ref="Y146:AB146"/>
    <mergeCell ref="C147:D147"/>
    <mergeCell ref="Y147:AB147"/>
    <mergeCell ref="C148:D148"/>
    <mergeCell ref="Y148:AB148"/>
    <mergeCell ref="C143:D143"/>
    <mergeCell ref="Y143:AB143"/>
    <mergeCell ref="C144:D144"/>
    <mergeCell ref="Y144:AB144"/>
    <mergeCell ref="C145:D145"/>
    <mergeCell ref="Y145:AB145"/>
    <mergeCell ref="C140:D140"/>
    <mergeCell ref="Y140:AB140"/>
    <mergeCell ref="C141:D141"/>
    <mergeCell ref="Y141:AB141"/>
    <mergeCell ref="C142:D142"/>
    <mergeCell ref="Y142:AB142"/>
    <mergeCell ref="C137:D137"/>
    <mergeCell ref="Y137:AB137"/>
    <mergeCell ref="C138:D138"/>
    <mergeCell ref="Y138:AB138"/>
    <mergeCell ref="C139:D139"/>
    <mergeCell ref="Y139:AB139"/>
    <mergeCell ref="B133:D133"/>
    <mergeCell ref="Y133:AB133"/>
    <mergeCell ref="C135:D135"/>
    <mergeCell ref="Y135:AB135"/>
    <mergeCell ref="C136:D136"/>
    <mergeCell ref="Y136:AB136"/>
    <mergeCell ref="B123:D123"/>
    <mergeCell ref="Y123:AB123"/>
    <mergeCell ref="B129:D129"/>
    <mergeCell ref="B130:H132"/>
    <mergeCell ref="J130:K130"/>
    <mergeCell ref="M130:N130"/>
    <mergeCell ref="P130:Q130"/>
    <mergeCell ref="S130:T130"/>
    <mergeCell ref="V130:W130"/>
    <mergeCell ref="Y132:AB132"/>
    <mergeCell ref="V120:W120"/>
    <mergeCell ref="Y120:AB120"/>
    <mergeCell ref="B121:D121"/>
    <mergeCell ref="Y121:AB121"/>
    <mergeCell ref="B122:D122"/>
    <mergeCell ref="Y122:AB122"/>
    <mergeCell ref="C117:D117"/>
    <mergeCell ref="Y117:AB117"/>
    <mergeCell ref="P119:Q119"/>
    <mergeCell ref="S119:T119"/>
    <mergeCell ref="V119:W119"/>
    <mergeCell ref="G120:H120"/>
    <mergeCell ref="J120:K120"/>
    <mergeCell ref="M120:N120"/>
    <mergeCell ref="P120:Q120"/>
    <mergeCell ref="S120:T120"/>
    <mergeCell ref="Y112:AB112"/>
    <mergeCell ref="B113:B117"/>
    <mergeCell ref="C113:D113"/>
    <mergeCell ref="Y113:AB113"/>
    <mergeCell ref="C114:D114"/>
    <mergeCell ref="Y114:AB114"/>
    <mergeCell ref="C115:D115"/>
    <mergeCell ref="Y115:AB115"/>
    <mergeCell ref="C116:D116"/>
    <mergeCell ref="Y116:AB116"/>
    <mergeCell ref="B108:B112"/>
    <mergeCell ref="C108:D108"/>
    <mergeCell ref="Y108:AB108"/>
    <mergeCell ref="C109:D109"/>
    <mergeCell ref="Y109:AB109"/>
    <mergeCell ref="C110:D110"/>
    <mergeCell ref="Y110:AB110"/>
    <mergeCell ref="C111:D111"/>
    <mergeCell ref="Y111:AB111"/>
    <mergeCell ref="C112:D112"/>
    <mergeCell ref="B105:B107"/>
    <mergeCell ref="C105:D105"/>
    <mergeCell ref="Y105:AB105"/>
    <mergeCell ref="C106:D106"/>
    <mergeCell ref="Y106:AB106"/>
    <mergeCell ref="C107:D107"/>
    <mergeCell ref="Y107:AB107"/>
    <mergeCell ref="Y102:AB102"/>
    <mergeCell ref="C103:D103"/>
    <mergeCell ref="Y103:AB103"/>
    <mergeCell ref="C104:D104"/>
    <mergeCell ref="Y104:AB104"/>
    <mergeCell ref="G102:H103"/>
    <mergeCell ref="J102:K103"/>
    <mergeCell ref="M102:N103"/>
    <mergeCell ref="P102:Q103"/>
    <mergeCell ref="S102:T103"/>
    <mergeCell ref="V102:W103"/>
    <mergeCell ref="B98:D98"/>
    <mergeCell ref="Y98:AB98"/>
    <mergeCell ref="B99:D99"/>
    <mergeCell ref="Y99:AB99"/>
    <mergeCell ref="P101:Q101"/>
    <mergeCell ref="S101:T101"/>
    <mergeCell ref="V101:W101"/>
    <mergeCell ref="B95:D95"/>
    <mergeCell ref="Y95:AB95"/>
    <mergeCell ref="B96:D96"/>
    <mergeCell ref="Y96:AB96"/>
    <mergeCell ref="B97:D97"/>
    <mergeCell ref="Y97:AB97"/>
    <mergeCell ref="Y91:AB91"/>
    <mergeCell ref="B92:D92"/>
    <mergeCell ref="Y92:AB92"/>
    <mergeCell ref="B93:D93"/>
    <mergeCell ref="Y93:AB93"/>
    <mergeCell ref="B94:D94"/>
    <mergeCell ref="Y94:AB94"/>
    <mergeCell ref="G91:H91"/>
    <mergeCell ref="J91:K91"/>
    <mergeCell ref="M91:N91"/>
    <mergeCell ref="P91:Q91"/>
    <mergeCell ref="S91:T91"/>
    <mergeCell ref="V91:W91"/>
    <mergeCell ref="Y85:AB85"/>
    <mergeCell ref="Y86:AB86"/>
    <mergeCell ref="Y87:AB87"/>
    <mergeCell ref="B88:D88"/>
    <mergeCell ref="Y88:AB88"/>
    <mergeCell ref="N84:N85"/>
    <mergeCell ref="P84:P85"/>
    <mergeCell ref="Q84:Q85"/>
    <mergeCell ref="S84:S85"/>
    <mergeCell ref="T84:T85"/>
    <mergeCell ref="V84:V85"/>
    <mergeCell ref="B86:D86"/>
    <mergeCell ref="B85:D85"/>
    <mergeCell ref="B87:D87"/>
    <mergeCell ref="J83:K83"/>
    <mergeCell ref="M83:N83"/>
    <mergeCell ref="P83:Q83"/>
    <mergeCell ref="S83:T83"/>
    <mergeCell ref="V83:W83"/>
    <mergeCell ref="G84:G85"/>
    <mergeCell ref="H84:H85"/>
    <mergeCell ref="J84:J85"/>
    <mergeCell ref="K84:K85"/>
    <mergeCell ref="M84:M85"/>
    <mergeCell ref="W84:W85"/>
    <mergeCell ref="B75:C75"/>
    <mergeCell ref="B76:C76"/>
    <mergeCell ref="B77:C77"/>
    <mergeCell ref="B78:C78"/>
    <mergeCell ref="B81:D81"/>
    <mergeCell ref="G83:H83"/>
    <mergeCell ref="B69:C69"/>
    <mergeCell ref="B70:C70"/>
    <mergeCell ref="B71:C71"/>
    <mergeCell ref="B72:C72"/>
    <mergeCell ref="B73:C73"/>
    <mergeCell ref="B74:C74"/>
    <mergeCell ref="B63:C63"/>
    <mergeCell ref="B64:C64"/>
    <mergeCell ref="B65:C65"/>
    <mergeCell ref="B66:C66"/>
    <mergeCell ref="B67:C67"/>
    <mergeCell ref="B68:C68"/>
    <mergeCell ref="B57:C57"/>
    <mergeCell ref="B58:C58"/>
    <mergeCell ref="B59:C59"/>
    <mergeCell ref="B60:C60"/>
    <mergeCell ref="B61:C61"/>
    <mergeCell ref="B62:C62"/>
    <mergeCell ref="B53:C53"/>
    <mergeCell ref="B54:C54"/>
    <mergeCell ref="B55:C55"/>
    <mergeCell ref="B56:C56"/>
    <mergeCell ref="B45:C45"/>
    <mergeCell ref="B46:C46"/>
    <mergeCell ref="B47:C47"/>
    <mergeCell ref="B48:C48"/>
    <mergeCell ref="B49:C49"/>
    <mergeCell ref="B50:C50"/>
    <mergeCell ref="B44:C44"/>
    <mergeCell ref="B34:D34"/>
    <mergeCell ref="B35:D35"/>
    <mergeCell ref="B36:D36"/>
    <mergeCell ref="B37:D37"/>
    <mergeCell ref="B38:D38"/>
    <mergeCell ref="B41:E41"/>
    <mergeCell ref="B51:C51"/>
    <mergeCell ref="B52:C52"/>
    <mergeCell ref="B33:D33"/>
    <mergeCell ref="B25:E26"/>
    <mergeCell ref="G25:H25"/>
    <mergeCell ref="J25:K25"/>
    <mergeCell ref="J41:M41"/>
    <mergeCell ref="B42:C42"/>
    <mergeCell ref="J42:M42"/>
    <mergeCell ref="B27:D27"/>
    <mergeCell ref="B43:C43"/>
    <mergeCell ref="J43:M43"/>
    <mergeCell ref="M25:P25"/>
    <mergeCell ref="M26:P26"/>
    <mergeCell ref="M15:S15"/>
    <mergeCell ref="B30:D30"/>
    <mergeCell ref="B31:D31"/>
    <mergeCell ref="B32:D32"/>
    <mergeCell ref="B16:E16"/>
    <mergeCell ref="B19:E19"/>
    <mergeCell ref="B20:E20"/>
    <mergeCell ref="B21:E21"/>
    <mergeCell ref="B24:E24"/>
    <mergeCell ref="B28:D28"/>
    <mergeCell ref="B29:D29"/>
    <mergeCell ref="K15:K16"/>
    <mergeCell ref="K17:K19"/>
    <mergeCell ref="Q16:S19"/>
    <mergeCell ref="Q20:S20"/>
    <mergeCell ref="Q21:S21"/>
    <mergeCell ref="M20:N20"/>
    <mergeCell ref="M21:N22"/>
    <mergeCell ref="P21:P22"/>
    <mergeCell ref="B14:E14"/>
    <mergeCell ref="B17:E17"/>
    <mergeCell ref="B18:E18"/>
    <mergeCell ref="B3:E3"/>
    <mergeCell ref="B5:E5"/>
    <mergeCell ref="B6:E6"/>
    <mergeCell ref="B7:E7"/>
    <mergeCell ref="B8:E8"/>
    <mergeCell ref="B9:E9"/>
    <mergeCell ref="B10:E10"/>
    <mergeCell ref="B11:E11"/>
    <mergeCell ref="B12:E12"/>
  </mergeCells>
  <conditionalFormatting sqref="H123 K123 N123 Q123 T123 W123">
    <cfRule type="expression" dxfId="2621" priority="462">
      <formula>H$121&lt;&gt;"Cost as % commodity value"</formula>
    </cfRule>
  </conditionalFormatting>
  <conditionalFormatting sqref="N122">
    <cfRule type="expression" dxfId="2620" priority="460">
      <formula>$N$121="Cost as % commodity value"</formula>
    </cfRule>
  </conditionalFormatting>
  <conditionalFormatting sqref="G17">
    <cfRule type="expression" dxfId="2619" priority="458">
      <formula>IF(#REF!="","Population changed - check value")</formula>
    </cfRule>
  </conditionalFormatting>
  <conditionalFormatting sqref="K122">
    <cfRule type="expression" dxfId="2618" priority="457">
      <formula>$N$121="Cost as % commodity value"</formula>
    </cfRule>
  </conditionalFormatting>
  <conditionalFormatting sqref="H122 K122 N122 Q122 T122 W122">
    <cfRule type="expression" dxfId="2617" priority="456">
      <formula>H$121&lt;&gt;"Cost per facility"</formula>
    </cfRule>
  </conditionalFormatting>
  <conditionalFormatting sqref="P196:Q196 P131:Q131 O142:Q160 O162:Q180 O207:Q225 O227:Q245 O271:Q289 O291:Q309 O311:Q321 O261 O197:Q205 O196 O182:Q195 O132:Q140 O131 O82:Q101 O262:Q269 O247:Q260 O104:Q130 O102:P102 O103">
    <cfRule type="expression" dxfId="2616" priority="1">
      <formula>$H$7&lt;4</formula>
    </cfRule>
  </conditionalFormatting>
  <conditionalFormatting sqref="J135:K140 J142:K153">
    <cfRule type="expression" dxfId="2615" priority="256">
      <formula>$K$133&lt;1</formula>
    </cfRule>
  </conditionalFormatting>
  <conditionalFormatting sqref="P135:Q140 P142:Q153">
    <cfRule type="expression" dxfId="2614" priority="278">
      <formula>$Q$133&lt;1</formula>
    </cfRule>
  </conditionalFormatting>
  <conditionalFormatting sqref="J155:K160 J162:K173">
    <cfRule type="expression" dxfId="2613" priority="211">
      <formula>$K$133&lt;2</formula>
    </cfRule>
  </conditionalFormatting>
  <conditionalFormatting sqref="M155:N160 M162:N173">
    <cfRule type="expression" dxfId="2612" priority="276">
      <formula>$N$133&lt;2</formula>
    </cfRule>
  </conditionalFormatting>
  <conditionalFormatting sqref="P155:Q160 P162:Q173">
    <cfRule type="expression" dxfId="2611" priority="450">
      <formula>$Q$133&lt;2</formula>
    </cfRule>
  </conditionalFormatting>
  <conditionalFormatting sqref="J175:K180 J182:K193">
    <cfRule type="expression" dxfId="2610" priority="221">
      <formula>$K$133&lt;3</formula>
    </cfRule>
  </conditionalFormatting>
  <conditionalFormatting sqref="M175:N180 M182:N193">
    <cfRule type="expression" dxfId="2609" priority="449">
      <formula>$N$133&lt;3</formula>
    </cfRule>
  </conditionalFormatting>
  <conditionalFormatting sqref="P175:Q180 P182:Q193">
    <cfRule type="expression" dxfId="2608" priority="448">
      <formula>$Q$133&lt;3</formula>
    </cfRule>
  </conditionalFormatting>
  <conditionalFormatting sqref="J199:K205 J207:K217">
    <cfRule type="expression" dxfId="2607" priority="219">
      <formula>$K$197&lt;1</formula>
    </cfRule>
  </conditionalFormatting>
  <conditionalFormatting sqref="M199:N205 M207:N217">
    <cfRule type="expression" dxfId="2606" priority="446">
      <formula>$N$197&lt;1</formula>
    </cfRule>
  </conditionalFormatting>
  <conditionalFormatting sqref="P199:Q205 P207:Q217">
    <cfRule type="expression" dxfId="2605" priority="445">
      <formula>$Q$197&lt;1</formula>
    </cfRule>
  </conditionalFormatting>
  <conditionalFormatting sqref="J219:K225 J227:K237">
    <cfRule type="expression" dxfId="2604" priority="217">
      <formula>$K$197&lt;2</formula>
    </cfRule>
  </conditionalFormatting>
  <conditionalFormatting sqref="M219:N225 M227:N237">
    <cfRule type="expression" dxfId="2603" priority="444">
      <formula>$N$197&lt;2</formula>
    </cfRule>
  </conditionalFormatting>
  <conditionalFormatting sqref="P219:Q225 P227:Q237">
    <cfRule type="expression" dxfId="2602" priority="443">
      <formula>$Q$197&lt;2</formula>
    </cfRule>
  </conditionalFormatting>
  <conditionalFormatting sqref="J239:K245 J247:K257">
    <cfRule type="expression" dxfId="2601" priority="215">
      <formula>$K$197&lt;3</formula>
    </cfRule>
  </conditionalFormatting>
  <conditionalFormatting sqref="M239:N245 M247:N257">
    <cfRule type="expression" dxfId="2600" priority="441">
      <formula>$N$197&lt;3</formula>
    </cfRule>
  </conditionalFormatting>
  <conditionalFormatting sqref="P239:Q245 P247:Q257">
    <cfRule type="expression" dxfId="2599" priority="440">
      <formula>$Q$197&lt;3</formula>
    </cfRule>
  </conditionalFormatting>
  <conditionalFormatting sqref="B199:B205 E199:H205 E207:H217 B207:B217">
    <cfRule type="expression" dxfId="2598" priority="438">
      <formula>MAX($H$197,$K$197,$N$197,$Q$197,$T$197,$W$197)&lt;1</formula>
    </cfRule>
  </conditionalFormatting>
  <conditionalFormatting sqref="B239:H245 B247:H257">
    <cfRule type="expression" dxfId="2597" priority="437">
      <formula>MAX($H$197,$K$197,$N$197,$Q$197,$T$197,$W$197)&lt;3</formula>
    </cfRule>
  </conditionalFormatting>
  <conditionalFormatting sqref="B155:B160 B162:B173">
    <cfRule type="expression" dxfId="2596" priority="433">
      <formula>MAX($H$133,$K$133,$N$133,$Q$133,$T$133,$W$133)&lt;2</formula>
    </cfRule>
  </conditionalFormatting>
  <conditionalFormatting sqref="B175:B180 B182:B193">
    <cfRule type="expression" dxfId="2595" priority="432">
      <formula>MAX($H$133,$K$133,$N$133,$Q$133,$T$133,$W$133)&lt;3</formula>
    </cfRule>
  </conditionalFormatting>
  <conditionalFormatting sqref="B219:H225 B227:H237">
    <cfRule type="expression" dxfId="2594" priority="431">
      <formula>MAX($H$197,$K$197,$N$197,$Q$197,$T$197,$W$197)&lt;2</formula>
    </cfRule>
  </conditionalFormatting>
  <conditionalFormatting sqref="H7">
    <cfRule type="expression" dxfId="2593" priority="429">
      <formula>OR(H7&lt;1,H7&gt;6)</formula>
    </cfRule>
  </conditionalFormatting>
  <conditionalFormatting sqref="H6:H7 H9:H12 H17:H19 H92:H93 H95:H97 K92:K99 N92:N99 Q92:Q99 T92:T99 W92:W99 H104 K104 H106:H109 K106:K109 N106:N109 Q106:Q116 T106:T116 W106:W116 K135 N135 Q135 T135 W135 K139:K140 N139:N140 Q139:Q140 T139:T140 W139:W140 K144 N144 Q144 T144 W144 K146 N146 Q146 T146 W146 K148:K152 N148:N152 Q148:Q152 T148:T152 W148:W152 K155 N155 Q155 T155 W155 K159:K160 N159:N160 Q159:Q160 T159:T160 W159:W160 K164 N164 Q164 T164 W164 K166 N166 Q166 T166 W166 K168:K172 N168:N172 Q168:Q172 T168:T172 W168:W172 K175 N175 Q175 T175 W175 K179:K180 N179:N180 Q179:Q180 T179:T180 W179:W180 K184 N184 Q184 T184 W184 K186 N186 Q186 T186 W186 K188:K192 N188:N192 Q188:Q192 T188:T192 W188:W192 K197 N197 Q197 T197 W197 K199 N199 Q199 T199 W199 N203:N204 Q203:Q204 T203:T204 W203:W204 N207 Q207 T207 W207 K207 K203:K204 K209 N209 Q209 T209 W209 K211 N211 Q211 T211 W211 K213:K217 N213:N217 Q213:Q217 T213:T217 W213:W217 K219 N219 Q219 T219 W219 K223:K224 N223:N224 Q223:Q224 T223:T224 W223:W224 K227 N227 Q227 T227 W227 K229 N229 Q229 T229 W229 K231 N231 Q231 T231 W231 K233:K237 N233:N237 Q233:Q237 T233:T237 W233:W237 K239 N239 Q239 T239 W239 K243:K244 N243:N244 Q243:Q244 T243:T244 W243:W244 K247 N247 Q247 T247 W247 K249 N249 Q249 T249 W249 K251 N251 Q251 T251 W251 K253:K257 N253:N257 Q253:Q257 T253:T257 W253:W257 K263 N263 Q263 T263 W263 K267:K268 N267:N268 Q267:Q268 T267:T268 W267:W268 K271 N271 Q271 T271 W271 K273 N273 Q273 T273 W273 K275 N275 Q275 T275 W275 K277:K281 N277:N281 Q277:Q281 T277:T281 W277:W281 K283 N283 Q283 T283 W283 K287:K288 N287:N288 Q287:Q288 T287:T288 W287:W288 K291 N291 Q291 T291 W291 K293 N293 Q293 T293 W293 K295 N295 Q295 T295 W295 K297:K301 N297:N301 Q297:Q301 T297:T301 W297:W301 K303 N303 Q303 T303 W303 K307:K308 N307:N308 Q307:Q308 T307:T308 W307:W308 K311 N311 Q311 T311 W311 K313 N313 Q313 T313 W313 K315 N315 Q315 T315 W315 K317:K321 N317:N321 Q317:Q321 T317:T321 W317:W321 N112:N116 K112:K116 H112:H116 N104 Q104 T104 W104 H99 W142 T142 Q142 N142 K142 W162 T162 Q162 N162 K162 W182 T182 Q182 N182 K182">
    <cfRule type="expression" dxfId="2592" priority="479">
      <formula>AND(ISTEXT(H6),H6&lt;&gt;"")</formula>
    </cfRule>
  </conditionalFormatting>
  <conditionalFormatting sqref="K94 N94 Q94 T94 W94">
    <cfRule type="expression" dxfId="2591" priority="430">
      <formula>K94&lt;0</formula>
    </cfRule>
  </conditionalFormatting>
  <conditionalFormatting sqref="H114:H116 K114:K116 N114:N116 Q114:Q116 T114:T116 W114:W116">
    <cfRule type="expression" dxfId="2590" priority="428">
      <formula>H114&lt;0</formula>
    </cfRule>
  </conditionalFormatting>
  <conditionalFormatting sqref="S135:T140 S142:T153">
    <cfRule type="expression" dxfId="2589" priority="426">
      <formula>$T$133&lt;1</formula>
    </cfRule>
  </conditionalFormatting>
  <conditionalFormatting sqref="S155:T160 S162:T173">
    <cfRule type="expression" dxfId="2588" priority="425">
      <formula>$T$133&lt;2</formula>
    </cfRule>
  </conditionalFormatting>
  <conditionalFormatting sqref="S175:T180 S182:T193">
    <cfRule type="expression" dxfId="2587" priority="424">
      <formula>$T$133&lt;3</formula>
    </cfRule>
  </conditionalFormatting>
  <conditionalFormatting sqref="S199:T205 S207:T217">
    <cfRule type="expression" dxfId="2586" priority="423">
      <formula>$T$197&lt;1</formula>
    </cfRule>
  </conditionalFormatting>
  <conditionalFormatting sqref="S219:T225 S227:T237">
    <cfRule type="expression" dxfId="2585" priority="422">
      <formula>$T$197&lt;2</formula>
    </cfRule>
  </conditionalFormatting>
  <conditionalFormatting sqref="S239:T245 S247:T257">
    <cfRule type="expression" dxfId="2584" priority="421">
      <formula>$T$197&lt;3</formula>
    </cfRule>
  </conditionalFormatting>
  <conditionalFormatting sqref="T94">
    <cfRule type="expression" dxfId="2583" priority="420">
      <formula>OR(S94&lt;0,S94&gt;1,ISTEXT(S94))</formula>
    </cfRule>
  </conditionalFormatting>
  <conditionalFormatting sqref="V135:W140 V142:W153">
    <cfRule type="expression" dxfId="2582" priority="419">
      <formula>$W$133&lt;1</formula>
    </cfRule>
  </conditionalFormatting>
  <conditionalFormatting sqref="V155:W160 V162:W173">
    <cfRule type="expression" dxfId="2581" priority="418">
      <formula>$W$133&lt;2</formula>
    </cfRule>
  </conditionalFormatting>
  <conditionalFormatting sqref="V175:W180 V182:W193">
    <cfRule type="expression" dxfId="2580" priority="417">
      <formula>$W$133&lt;3</formula>
    </cfRule>
  </conditionalFormatting>
  <conditionalFormatting sqref="V199:W205 V207:W217">
    <cfRule type="expression" dxfId="2579" priority="416">
      <formula>$W$197&lt;1</formula>
    </cfRule>
  </conditionalFormatting>
  <conditionalFormatting sqref="V219:W225 V227:W237">
    <cfRule type="expression" dxfId="2578" priority="415">
      <formula>$W$197&lt;2</formula>
    </cfRule>
  </conditionalFormatting>
  <conditionalFormatting sqref="V239:W245 V247:W257">
    <cfRule type="expression" dxfId="2577" priority="414">
      <formula>$W$197&lt;3</formula>
    </cfRule>
  </conditionalFormatting>
  <conditionalFormatting sqref="W94">
    <cfRule type="expression" dxfId="2576" priority="413">
      <formula>OR(V94&lt;0,V94&gt;1,ISTEXT(V94))</formula>
    </cfRule>
  </conditionalFormatting>
  <conditionalFormatting sqref="Q122">
    <cfRule type="expression" dxfId="2575" priority="427">
      <formula>$Q$121="Cost as % commodity value"</formula>
    </cfRule>
  </conditionalFormatting>
  <conditionalFormatting sqref="T122">
    <cfRule type="expression" dxfId="2574" priority="411">
      <formula>$T$121="Cost as % commodity value"</formula>
    </cfRule>
  </conditionalFormatting>
  <conditionalFormatting sqref="W122">
    <cfRule type="expression" dxfId="2573" priority="409">
      <formula>$W$121="Cost as % commodity value"</formula>
    </cfRule>
  </conditionalFormatting>
  <conditionalFormatting sqref="B135:C136 B137:B140 E135:H140 E142:H153 B142:B153">
    <cfRule type="expression" dxfId="2572" priority="406">
      <formula>MAX($H$133,$K$133,$N$133,$Q$133,$T$133,$W$133)&lt;1</formula>
    </cfRule>
  </conditionalFormatting>
  <conditionalFormatting sqref="L110:M111 L82:N101 L142:N160 L162:N180 L207:N225 L227:N245 L271:N289 L291:N309 L311:N321 L261 L197:N205 L196 L182:N195 L132:N140 L131 L112:N130 L262:N269 L247:N260 L104:N109 L102:M102 L103">
    <cfRule type="expression" dxfId="2571" priority="255">
      <formula>$H$7&lt;3</formula>
    </cfRule>
  </conditionalFormatting>
  <conditionalFormatting sqref="K129 J112:K128 J110:J111 J82:K101 J142:K160 J162:K180 J207:K225 J227:K245 J271:K289 J291:K309 J311:K321 J197:K205 J182:K195 J132:K140 J130:K130 J262:K269 J247:K260 J104:K109 J102">
    <cfRule type="expression" dxfId="2570" priority="210">
      <formula>$H$7&lt;2</formula>
    </cfRule>
  </conditionalFormatting>
  <conditionalFormatting sqref="S196:T196 S131:T131 R142:T160 R162:T180 R207:T225 R227:T245 R271:T289 R291:T309 R311:T321 R261 R197:T205 R196 R182:T195 R132:T140 R131 R82:T101 R262:T269 R247:T260 R104:T130 R102:S102 R103">
    <cfRule type="expression" dxfId="2569" priority="2">
      <formula>$H$7&lt;5</formula>
    </cfRule>
  </conditionalFormatting>
  <conditionalFormatting sqref="V196:W196 V131:W131 U142:W160 U162:W180 U207:W225 U227:W245 U271:W289 U291:W309 U311:W321 U261 U197:W205 U196 U182:W195 U132:W140 U131 U82:W101 U262:W269 U247:W260 U104:W130 U102:V102 U103">
    <cfRule type="expression" dxfId="2568" priority="266">
      <formula>$H$7&lt;6</formula>
    </cfRule>
  </conditionalFormatting>
  <conditionalFormatting sqref="V259">
    <cfRule type="expression" dxfId="2567" priority="402">
      <formula>$H$7&lt;2</formula>
    </cfRule>
  </conditionalFormatting>
  <conditionalFormatting sqref="C137">
    <cfRule type="expression" dxfId="2566" priority="399">
      <formula>MAX($H$133,$K$133,$N$133,$Q$133,$T$133,$W$133)&lt;1</formula>
    </cfRule>
  </conditionalFormatting>
  <conditionalFormatting sqref="C138">
    <cfRule type="expression" dxfId="2565" priority="398">
      <formula>MAX($H$133,$K$133,$N$133,$Q$133,$T$133,$W$133)&lt;1</formula>
    </cfRule>
  </conditionalFormatting>
  <conditionalFormatting sqref="C139">
    <cfRule type="expression" dxfId="2564" priority="397">
      <formula>MAX($H$133,$K$133,$N$133,$Q$133,$T$133,$W$133)&lt;1</formula>
    </cfRule>
  </conditionalFormatting>
  <conditionalFormatting sqref="C140">
    <cfRule type="expression" dxfId="2563" priority="396">
      <formula>MAX($H$133,$K$133,$N$133,$Q$133,$T$133,$W$133)&lt;1</formula>
    </cfRule>
  </conditionalFormatting>
  <conditionalFormatting sqref="C142">
    <cfRule type="expression" dxfId="2562" priority="395">
      <formula>MAX($H$133,$K$133,$N$133,$Q$133,$T$133,$W$133)&lt;1</formula>
    </cfRule>
  </conditionalFormatting>
  <conditionalFormatting sqref="C143">
    <cfRule type="expression" dxfId="2561" priority="394">
      <formula>MAX($H$133,$K$133,$N$133,$Q$133,$T$133,$W$133)&lt;1</formula>
    </cfRule>
  </conditionalFormatting>
  <conditionalFormatting sqref="C144">
    <cfRule type="expression" dxfId="2560" priority="393">
      <formula>MAX($H$133,$K$133,$N$133,$Q$133,$T$133,$W$133)&lt;1</formula>
    </cfRule>
  </conditionalFormatting>
  <conditionalFormatting sqref="C145">
    <cfRule type="expression" dxfId="2559" priority="392">
      <formula>MAX($H$133,$K$133,$N$133,$Q$133,$T$133,$W$133)&lt;1</formula>
    </cfRule>
  </conditionalFormatting>
  <conditionalFormatting sqref="C146">
    <cfRule type="expression" dxfId="2558" priority="391">
      <formula>MAX($H$133,$K$133,$N$133,$Q$133,$T$133,$W$133)&lt;1</formula>
    </cfRule>
  </conditionalFormatting>
  <conditionalFormatting sqref="C147">
    <cfRule type="expression" dxfId="2557" priority="390">
      <formula>MAX($H$133,$K$133,$N$133,$Q$133,$T$133,$W$133)&lt;1</formula>
    </cfRule>
  </conditionalFormatting>
  <conditionalFormatting sqref="C148">
    <cfRule type="expression" dxfId="2556" priority="389">
      <formula>MAX($H$133,$K$133,$N$133,$Q$133,$T$133,$W$133)&lt;1</formula>
    </cfRule>
  </conditionalFormatting>
  <conditionalFormatting sqref="C149">
    <cfRule type="expression" dxfId="2555" priority="388">
      <formula>MAX($H$133,$K$133,$N$133,$Q$133,$T$133,$W$133)&lt;1</formula>
    </cfRule>
  </conditionalFormatting>
  <conditionalFormatting sqref="C150">
    <cfRule type="expression" dxfId="2554" priority="387">
      <formula>MAX($H$133,$K$133,$N$133,$Q$133,$T$133,$W$133)&lt;1</formula>
    </cfRule>
  </conditionalFormatting>
  <conditionalFormatting sqref="C151">
    <cfRule type="expression" dxfId="2553" priority="386">
      <formula>MAX($H$133,$K$133,$N$133,$Q$133,$T$133,$W$133)&lt;1</formula>
    </cfRule>
  </conditionalFormatting>
  <conditionalFormatting sqref="C152">
    <cfRule type="expression" dxfId="2552" priority="385">
      <formula>MAX($H$133,$K$133,$N$133,$Q$133,$T$133,$W$133)&lt;1</formula>
    </cfRule>
  </conditionalFormatting>
  <conditionalFormatting sqref="C153">
    <cfRule type="expression" dxfId="2551" priority="384">
      <formula>MAX($H$133,$K$133,$N$133,$Q$133,$T$133,$W$133)&lt;1</formula>
    </cfRule>
  </conditionalFormatting>
  <conditionalFormatting sqref="C219:C220">
    <cfRule type="expression" dxfId="2550" priority="367">
      <formula>MAX($H$197,$K$197,$N$197,$Q$197,$T$197,$W$197)&lt;1</formula>
    </cfRule>
  </conditionalFormatting>
  <conditionalFormatting sqref="C221">
    <cfRule type="expression" dxfId="2549" priority="366">
      <formula>MAX($H$197,$K$197,$N$197,$Q$197,$T$197,$W$197)&lt;1</formula>
    </cfRule>
  </conditionalFormatting>
  <conditionalFormatting sqref="C222">
    <cfRule type="expression" dxfId="2548" priority="365">
      <formula>MAX($H$197,$K$197,$N$197,$Q$197,$T$197,$W$197)&lt;1</formula>
    </cfRule>
  </conditionalFormatting>
  <conditionalFormatting sqref="C223">
    <cfRule type="expression" dxfId="2547" priority="364">
      <formula>MAX($H$197,$K$197,$N$197,$Q$197,$T$197,$W$197)&lt;1</formula>
    </cfRule>
  </conditionalFormatting>
  <conditionalFormatting sqref="C224">
    <cfRule type="expression" dxfId="2546" priority="363">
      <formula>MAX($H$197,$K$197,$N$197,$Q$197,$T$197,$W$197)&lt;1</formula>
    </cfRule>
  </conditionalFormatting>
  <conditionalFormatting sqref="C225">
    <cfRule type="expression" dxfId="2545" priority="362">
      <formula>MAX($H$197,$K$197,$N$197,$Q$197,$T$197,$W$197)&lt;1</formula>
    </cfRule>
  </conditionalFormatting>
  <conditionalFormatting sqref="C227">
    <cfRule type="expression" dxfId="2544" priority="361">
      <formula>MAX($H$197,$K$197,$N$197,$Q$197,$T$197,$W$197)&lt;1</formula>
    </cfRule>
  </conditionalFormatting>
  <conditionalFormatting sqref="C228">
    <cfRule type="expression" dxfId="2543" priority="360">
      <formula>MAX($H$197,$K$197,$N$197,$Q$197,$T$197,$W$197)&lt;1</formula>
    </cfRule>
  </conditionalFormatting>
  <conditionalFormatting sqref="C229">
    <cfRule type="expression" dxfId="2542" priority="359">
      <formula>MAX($H$197,$K$197,$N$197,$Q$197,$T$197,$W$197)&lt;1</formula>
    </cfRule>
  </conditionalFormatting>
  <conditionalFormatting sqref="C230">
    <cfRule type="expression" dxfId="2541" priority="358">
      <formula>MAX($H$197,$K$197,$N$197,$Q$197,$T$197,$W$197)&lt;1</formula>
    </cfRule>
  </conditionalFormatting>
  <conditionalFormatting sqref="C231">
    <cfRule type="expression" dxfId="2540" priority="357">
      <formula>MAX($H$197,$K$197,$N$197,$Q$197,$T$197,$W$197)&lt;1</formula>
    </cfRule>
  </conditionalFormatting>
  <conditionalFormatting sqref="C232">
    <cfRule type="expression" dxfId="2539" priority="356">
      <formula>MAX($H$197,$K$197,$N$197,$Q$197,$T$197,$W$197)&lt;1</formula>
    </cfRule>
  </conditionalFormatting>
  <conditionalFormatting sqref="C233">
    <cfRule type="expression" dxfId="2538" priority="355">
      <formula>MAX($H$197,$K$197,$N$197,$Q$197,$T$197,$W$197)&lt;1</formula>
    </cfRule>
  </conditionalFormatting>
  <conditionalFormatting sqref="C234">
    <cfRule type="expression" dxfId="2537" priority="354">
      <formula>MAX($H$197,$K$197,$N$197,$Q$197,$T$197,$W$197)&lt;1</formula>
    </cfRule>
  </conditionalFormatting>
  <conditionalFormatting sqref="C235">
    <cfRule type="expression" dxfId="2536" priority="353">
      <formula>MAX($H$197,$K$197,$N$197,$Q$197,$T$197,$W$197)&lt;1</formula>
    </cfRule>
  </conditionalFormatting>
  <conditionalFormatting sqref="C236">
    <cfRule type="expression" dxfId="2535" priority="352">
      <formula>MAX($H$197,$K$197,$N$197,$Q$197,$T$197,$W$197)&lt;1</formula>
    </cfRule>
  </conditionalFormatting>
  <conditionalFormatting sqref="C237">
    <cfRule type="expression" dxfId="2534" priority="351">
      <formula>MAX($H$197,$K$197,$N$197,$Q$197,$T$197,$W$197)&lt;1</formula>
    </cfRule>
  </conditionalFormatting>
  <conditionalFormatting sqref="C239:C240">
    <cfRule type="expression" dxfId="2533" priority="350">
      <formula>MAX($H$197,$K$197,$N$197,$Q$197,$T$197,$W$197)&lt;1</formula>
    </cfRule>
  </conditionalFormatting>
  <conditionalFormatting sqref="C241">
    <cfRule type="expression" dxfId="2532" priority="349">
      <formula>MAX($H$197,$K$197,$N$197,$Q$197,$T$197,$W$197)&lt;1</formula>
    </cfRule>
  </conditionalFormatting>
  <conditionalFormatting sqref="C242">
    <cfRule type="expression" dxfId="2531" priority="348">
      <formula>MAX($H$197,$K$197,$N$197,$Q$197,$T$197,$W$197)&lt;1</formula>
    </cfRule>
  </conditionalFormatting>
  <conditionalFormatting sqref="C243">
    <cfRule type="expression" dxfId="2530" priority="347">
      <formula>MAX($H$197,$K$197,$N$197,$Q$197,$T$197,$W$197)&lt;1</formula>
    </cfRule>
  </conditionalFormatting>
  <conditionalFormatting sqref="C244">
    <cfRule type="expression" dxfId="2529" priority="346">
      <formula>MAX($H$197,$K$197,$N$197,$Q$197,$T$197,$W$197)&lt;1</formula>
    </cfRule>
  </conditionalFormatting>
  <conditionalFormatting sqref="C245">
    <cfRule type="expression" dxfId="2528" priority="345">
      <formula>MAX($H$197,$K$197,$N$197,$Q$197,$T$197,$W$197)&lt;1</formula>
    </cfRule>
  </conditionalFormatting>
  <conditionalFormatting sqref="C247">
    <cfRule type="expression" dxfId="2527" priority="344">
      <formula>MAX($H$197,$K$197,$N$197,$Q$197,$T$197,$W$197)&lt;1</formula>
    </cfRule>
  </conditionalFormatting>
  <conditionalFormatting sqref="C248">
    <cfRule type="expression" dxfId="2526" priority="343">
      <formula>MAX($H$197,$K$197,$N$197,$Q$197,$T$197,$W$197)&lt;1</formula>
    </cfRule>
  </conditionalFormatting>
  <conditionalFormatting sqref="C249">
    <cfRule type="expression" dxfId="2525" priority="342">
      <formula>MAX($H$197,$K$197,$N$197,$Q$197,$T$197,$W$197)&lt;1</formula>
    </cfRule>
  </conditionalFormatting>
  <conditionalFormatting sqref="C250">
    <cfRule type="expression" dxfId="2524" priority="341">
      <formula>MAX($H$197,$K$197,$N$197,$Q$197,$T$197,$W$197)&lt;1</formula>
    </cfRule>
  </conditionalFormatting>
  <conditionalFormatting sqref="C251">
    <cfRule type="expression" dxfId="2523" priority="340">
      <formula>MAX($H$197,$K$197,$N$197,$Q$197,$T$197,$W$197)&lt;1</formula>
    </cfRule>
  </conditionalFormatting>
  <conditionalFormatting sqref="C252">
    <cfRule type="expression" dxfId="2522" priority="339">
      <formula>MAX($H$197,$K$197,$N$197,$Q$197,$T$197,$W$197)&lt;1</formula>
    </cfRule>
  </conditionalFormatting>
  <conditionalFormatting sqref="C253">
    <cfRule type="expression" dxfId="2521" priority="338">
      <formula>MAX($H$197,$K$197,$N$197,$Q$197,$T$197,$W$197)&lt;1</formula>
    </cfRule>
  </conditionalFormatting>
  <conditionalFormatting sqref="C254">
    <cfRule type="expression" dxfId="2520" priority="337">
      <formula>MAX($H$197,$K$197,$N$197,$Q$197,$T$197,$W$197)&lt;1</formula>
    </cfRule>
  </conditionalFormatting>
  <conditionalFormatting sqref="C255">
    <cfRule type="expression" dxfId="2519" priority="336">
      <formula>MAX($H$197,$K$197,$N$197,$Q$197,$T$197,$W$197)&lt;1</formula>
    </cfRule>
  </conditionalFormatting>
  <conditionalFormatting sqref="C256">
    <cfRule type="expression" dxfId="2518" priority="335">
      <formula>MAX($H$197,$K$197,$N$197,$Q$197,$T$197,$W$197)&lt;1</formula>
    </cfRule>
  </conditionalFormatting>
  <conditionalFormatting sqref="C257">
    <cfRule type="expression" dxfId="2517" priority="334">
      <formula>MAX($H$197,$K$197,$N$197,$Q$197,$T$197,$W$197)&lt;1</formula>
    </cfRule>
  </conditionalFormatting>
  <conditionalFormatting sqref="C263:C264">
    <cfRule type="expression" dxfId="2516" priority="333">
      <formula>MAX($H$197,$K$197,$N$197,$Q$197,$T$197,$W$197)&lt;1</formula>
    </cfRule>
  </conditionalFormatting>
  <conditionalFormatting sqref="C265">
    <cfRule type="expression" dxfId="2515" priority="332">
      <formula>MAX($H$197,$K$197,$N$197,$Q$197,$T$197,$W$197)&lt;1</formula>
    </cfRule>
  </conditionalFormatting>
  <conditionalFormatting sqref="C266">
    <cfRule type="expression" dxfId="2514" priority="331">
      <formula>MAX($H$197,$K$197,$N$197,$Q$197,$T$197,$W$197)&lt;1</formula>
    </cfRule>
  </conditionalFormatting>
  <conditionalFormatting sqref="C267">
    <cfRule type="expression" dxfId="2513" priority="330">
      <formula>MAX($H$197,$K$197,$N$197,$Q$197,$T$197,$W$197)&lt;1</formula>
    </cfRule>
  </conditionalFormatting>
  <conditionalFormatting sqref="C268">
    <cfRule type="expression" dxfId="2512" priority="329">
      <formula>MAX($H$197,$K$197,$N$197,$Q$197,$T$197,$W$197)&lt;1</formula>
    </cfRule>
  </conditionalFormatting>
  <conditionalFormatting sqref="C269">
    <cfRule type="expression" dxfId="2511" priority="328">
      <formula>MAX($H$197,$K$197,$N$197,$Q$197,$T$197,$W$197)&lt;1</formula>
    </cfRule>
  </conditionalFormatting>
  <conditionalFormatting sqref="C271">
    <cfRule type="expression" dxfId="2510" priority="327">
      <formula>MAX($H$197,$K$197,$N$197,$Q$197,$T$197,$W$197)&lt;1</formula>
    </cfRule>
  </conditionalFormatting>
  <conditionalFormatting sqref="C272">
    <cfRule type="expression" dxfId="2509" priority="326">
      <formula>MAX($H$197,$K$197,$N$197,$Q$197,$T$197,$W$197)&lt;1</formula>
    </cfRule>
  </conditionalFormatting>
  <conditionalFormatting sqref="C273">
    <cfRule type="expression" dxfId="2508" priority="325">
      <formula>MAX($H$197,$K$197,$N$197,$Q$197,$T$197,$W$197)&lt;1</formula>
    </cfRule>
  </conditionalFormatting>
  <conditionalFormatting sqref="C274">
    <cfRule type="expression" dxfId="2507" priority="324">
      <formula>MAX($H$197,$K$197,$N$197,$Q$197,$T$197,$W$197)&lt;1</formula>
    </cfRule>
  </conditionalFormatting>
  <conditionalFormatting sqref="C275">
    <cfRule type="expression" dxfId="2506" priority="323">
      <formula>MAX($H$197,$K$197,$N$197,$Q$197,$T$197,$W$197)&lt;1</formula>
    </cfRule>
  </conditionalFormatting>
  <conditionalFormatting sqref="C276">
    <cfRule type="expression" dxfId="2505" priority="322">
      <formula>MAX($H$197,$K$197,$N$197,$Q$197,$T$197,$W$197)&lt;1</formula>
    </cfRule>
  </conditionalFormatting>
  <conditionalFormatting sqref="C277">
    <cfRule type="expression" dxfId="2504" priority="321">
      <formula>MAX($H$197,$K$197,$N$197,$Q$197,$T$197,$W$197)&lt;1</formula>
    </cfRule>
  </conditionalFormatting>
  <conditionalFormatting sqref="C278">
    <cfRule type="expression" dxfId="2503" priority="320">
      <formula>MAX($H$197,$K$197,$N$197,$Q$197,$T$197,$W$197)&lt;1</formula>
    </cfRule>
  </conditionalFormatting>
  <conditionalFormatting sqref="C279">
    <cfRule type="expression" dxfId="2502" priority="319">
      <formula>MAX($H$197,$K$197,$N$197,$Q$197,$T$197,$W$197)&lt;1</formula>
    </cfRule>
  </conditionalFormatting>
  <conditionalFormatting sqref="C280">
    <cfRule type="expression" dxfId="2501" priority="318">
      <formula>MAX($H$197,$K$197,$N$197,$Q$197,$T$197,$W$197)&lt;1</formula>
    </cfRule>
  </conditionalFormatting>
  <conditionalFormatting sqref="C281">
    <cfRule type="expression" dxfId="2500" priority="317">
      <formula>MAX($H$197,$K$197,$N$197,$Q$197,$T$197,$W$197)&lt;1</formula>
    </cfRule>
  </conditionalFormatting>
  <conditionalFormatting sqref="C283:C284">
    <cfRule type="expression" dxfId="2499" priority="316">
      <formula>MAX($H$197,$K$197,$N$197,$Q$197,$T$197,$W$197)&lt;1</formula>
    </cfRule>
  </conditionalFormatting>
  <conditionalFormatting sqref="C285">
    <cfRule type="expression" dxfId="2498" priority="315">
      <formula>MAX($H$197,$K$197,$N$197,$Q$197,$T$197,$W$197)&lt;1</formula>
    </cfRule>
  </conditionalFormatting>
  <conditionalFormatting sqref="C286">
    <cfRule type="expression" dxfId="2497" priority="314">
      <formula>MAX($H$197,$K$197,$N$197,$Q$197,$T$197,$W$197)&lt;1</formula>
    </cfRule>
  </conditionalFormatting>
  <conditionalFormatting sqref="C287">
    <cfRule type="expression" dxfId="2496" priority="313">
      <formula>MAX($H$197,$K$197,$N$197,$Q$197,$T$197,$W$197)&lt;1</formula>
    </cfRule>
  </conditionalFormatting>
  <conditionalFormatting sqref="C288">
    <cfRule type="expression" dxfId="2495" priority="312">
      <formula>MAX($H$197,$K$197,$N$197,$Q$197,$T$197,$W$197)&lt;1</formula>
    </cfRule>
  </conditionalFormatting>
  <conditionalFormatting sqref="C289">
    <cfRule type="expression" dxfId="2494" priority="311">
      <formula>MAX($H$197,$K$197,$N$197,$Q$197,$T$197,$W$197)&lt;1</formula>
    </cfRule>
  </conditionalFormatting>
  <conditionalFormatting sqref="C291">
    <cfRule type="expression" dxfId="2493" priority="310">
      <formula>MAX($H$197,$K$197,$N$197,$Q$197,$T$197,$W$197)&lt;1</formula>
    </cfRule>
  </conditionalFormatting>
  <conditionalFormatting sqref="C292">
    <cfRule type="expression" dxfId="2492" priority="309">
      <formula>MAX($H$197,$K$197,$N$197,$Q$197,$T$197,$W$197)&lt;1</formula>
    </cfRule>
  </conditionalFormatting>
  <conditionalFormatting sqref="C293">
    <cfRule type="expression" dxfId="2491" priority="308">
      <formula>MAX($H$197,$K$197,$N$197,$Q$197,$T$197,$W$197)&lt;1</formula>
    </cfRule>
  </conditionalFormatting>
  <conditionalFormatting sqref="C294">
    <cfRule type="expression" dxfId="2490" priority="307">
      <formula>MAX($H$197,$K$197,$N$197,$Q$197,$T$197,$W$197)&lt;1</formula>
    </cfRule>
  </conditionalFormatting>
  <conditionalFormatting sqref="C295">
    <cfRule type="expression" dxfId="2489" priority="306">
      <formula>MAX($H$197,$K$197,$N$197,$Q$197,$T$197,$W$197)&lt;1</formula>
    </cfRule>
  </conditionalFormatting>
  <conditionalFormatting sqref="C296">
    <cfRule type="expression" dxfId="2488" priority="305">
      <formula>MAX($H$197,$K$197,$N$197,$Q$197,$T$197,$W$197)&lt;1</formula>
    </cfRule>
  </conditionalFormatting>
  <conditionalFormatting sqref="C297">
    <cfRule type="expression" dxfId="2487" priority="304">
      <formula>MAX($H$197,$K$197,$N$197,$Q$197,$T$197,$W$197)&lt;1</formula>
    </cfRule>
  </conditionalFormatting>
  <conditionalFormatting sqref="C298">
    <cfRule type="expression" dxfId="2486" priority="303">
      <formula>MAX($H$197,$K$197,$N$197,$Q$197,$T$197,$W$197)&lt;1</formula>
    </cfRule>
  </conditionalFormatting>
  <conditionalFormatting sqref="C299">
    <cfRule type="expression" dxfId="2485" priority="302">
      <formula>MAX($H$197,$K$197,$N$197,$Q$197,$T$197,$W$197)&lt;1</formula>
    </cfRule>
  </conditionalFormatting>
  <conditionalFormatting sqref="C300">
    <cfRule type="expression" dxfId="2484" priority="301">
      <formula>MAX($H$197,$K$197,$N$197,$Q$197,$T$197,$W$197)&lt;1</formula>
    </cfRule>
  </conditionalFormatting>
  <conditionalFormatting sqref="C301">
    <cfRule type="expression" dxfId="2483" priority="300">
      <formula>MAX($H$197,$K$197,$N$197,$Q$197,$T$197,$W$197)&lt;1</formula>
    </cfRule>
  </conditionalFormatting>
  <conditionalFormatting sqref="C303:C304">
    <cfRule type="expression" dxfId="2482" priority="299">
      <formula>MAX($H$197,$K$197,$N$197,$Q$197,$T$197,$W$197)&lt;1</formula>
    </cfRule>
  </conditionalFormatting>
  <conditionalFormatting sqref="C305">
    <cfRule type="expression" dxfId="2481" priority="298">
      <formula>MAX($H$197,$K$197,$N$197,$Q$197,$T$197,$W$197)&lt;1</formula>
    </cfRule>
  </conditionalFormatting>
  <conditionalFormatting sqref="C306">
    <cfRule type="expression" dxfId="2480" priority="297">
      <formula>MAX($H$197,$K$197,$N$197,$Q$197,$T$197,$W$197)&lt;1</formula>
    </cfRule>
  </conditionalFormatting>
  <conditionalFormatting sqref="C307">
    <cfRule type="expression" dxfId="2479" priority="296">
      <formula>MAX($H$197,$K$197,$N$197,$Q$197,$T$197,$W$197)&lt;1</formula>
    </cfRule>
  </conditionalFormatting>
  <conditionalFormatting sqref="C308">
    <cfRule type="expression" dxfId="2478" priority="295">
      <formula>MAX($H$197,$K$197,$N$197,$Q$197,$T$197,$W$197)&lt;1</formula>
    </cfRule>
  </conditionalFormatting>
  <conditionalFormatting sqref="C309">
    <cfRule type="expression" dxfId="2477" priority="294">
      <formula>MAX($H$197,$K$197,$N$197,$Q$197,$T$197,$W$197)&lt;1</formula>
    </cfRule>
  </conditionalFormatting>
  <conditionalFormatting sqref="C311">
    <cfRule type="expression" dxfId="2476" priority="293">
      <formula>MAX($H$197,$K$197,$N$197,$Q$197,$T$197,$W$197)&lt;1</formula>
    </cfRule>
  </conditionalFormatting>
  <conditionalFormatting sqref="C312">
    <cfRule type="expression" dxfId="2475" priority="292">
      <formula>MAX($H$197,$K$197,$N$197,$Q$197,$T$197,$W$197)&lt;1</formula>
    </cfRule>
  </conditionalFormatting>
  <conditionalFormatting sqref="C313">
    <cfRule type="expression" dxfId="2474" priority="291">
      <formula>MAX($H$197,$K$197,$N$197,$Q$197,$T$197,$W$197)&lt;1</formula>
    </cfRule>
  </conditionalFormatting>
  <conditionalFormatting sqref="C314">
    <cfRule type="expression" dxfId="2473" priority="290">
      <formula>MAX($H$197,$K$197,$N$197,$Q$197,$T$197,$W$197)&lt;1</formula>
    </cfRule>
  </conditionalFormatting>
  <conditionalFormatting sqref="C315">
    <cfRule type="expression" dxfId="2472" priority="289">
      <formula>MAX($H$197,$K$197,$N$197,$Q$197,$T$197,$W$197)&lt;1</formula>
    </cfRule>
  </conditionalFormatting>
  <conditionalFormatting sqref="C316">
    <cfRule type="expression" dxfId="2471" priority="288">
      <formula>MAX($H$197,$K$197,$N$197,$Q$197,$T$197,$W$197)&lt;1</formula>
    </cfRule>
  </conditionalFormatting>
  <conditionalFormatting sqref="C317">
    <cfRule type="expression" dxfId="2470" priority="287">
      <formula>MAX($H$197,$K$197,$N$197,$Q$197,$T$197,$W$197)&lt;1</formula>
    </cfRule>
  </conditionalFormatting>
  <conditionalFormatting sqref="C318">
    <cfRule type="expression" dxfId="2469" priority="286">
      <formula>MAX($H$197,$K$197,$N$197,$Q$197,$T$197,$W$197)&lt;1</formula>
    </cfRule>
  </conditionalFormatting>
  <conditionalFormatting sqref="C319">
    <cfRule type="expression" dxfId="2468" priority="285">
      <formula>MAX($H$197,$K$197,$N$197,$Q$197,$T$197,$W$197)&lt;1</formula>
    </cfRule>
  </conditionalFormatting>
  <conditionalFormatting sqref="C320">
    <cfRule type="expression" dxfId="2467" priority="284">
      <formula>MAX($H$197,$K$197,$N$197,$Q$197,$T$197,$W$197)&lt;1</formula>
    </cfRule>
  </conditionalFormatting>
  <conditionalFormatting sqref="C321">
    <cfRule type="expression" dxfId="2466" priority="283">
      <formula>MAX($H$197,$K$197,$N$197,$Q$197,$T$197,$W$197)&lt;1</formula>
    </cfRule>
  </conditionalFormatting>
  <conditionalFormatting sqref="H28:H38 K28:K38">
    <cfRule type="expression" dxfId="2465" priority="282">
      <formula>AND(H28="",$F28&gt;0)</formula>
    </cfRule>
  </conditionalFormatting>
  <conditionalFormatting sqref="H43:H78">
    <cfRule type="expression" dxfId="2464" priority="281">
      <formula>AND(OR(H43="",H43="#"),E43&gt;0)</formula>
    </cfRule>
  </conditionalFormatting>
  <conditionalFormatting sqref="H6 H9:H12 H19 H92 K92 N92 Q92 T92 W92 H95:H96 K95:K96 N95:N96 Q95:Q96 T95:T96 W95:W96 K98 N98 Q98 T98 W98 H104 K104 N104 Q104 T104 W104 H108 K108 N108 Q108 T108 W108 K151:K152 N151:N152 Q151:Q152 T151:T152 W151:W152 K171:K172 N171:N172 Q171:Q172 T171:T172 W171:W172 K191:K192 N191:N192 Q191:Q192 T191:T192 W191:W192 K216:K217 N216:N217 Q216:Q217 T216:T217 W216:W217 K236:K237 N236:N237 Q236:Q237 T236:T237 W236:W237 K256:K257 N256:N257 Q256:Q257 T256:T257 W256:W257 K280:K281 N280:N281 Q280:Q281 T280:T281 W280:W281 K300:K301 N300:N301 Q300:Q301 T300:T301 W300:W301 K320:K321 N320:N321 Q320:Q321 T320:T321 W320:W321">
    <cfRule type="expression" dxfId="2463" priority="461">
      <formula>H6&lt;=0</formula>
    </cfRule>
  </conditionalFormatting>
  <conditionalFormatting sqref="G87 J87 M87 P87 S87 V87">
    <cfRule type="expression" dxfId="2462" priority="405">
      <formula>AND(ISBLANK(G87),NOT(ISBLANK(G86)))</formula>
    </cfRule>
  </conditionalFormatting>
  <conditionalFormatting sqref="P86 G86 J86 M86 S86 V86">
    <cfRule type="expression" dxfId="2461" priority="280">
      <formula>OR(AND(ISBLANK(G86),NOT(ISBLANK(G87))),AND(NOT(ISBLANK(G86)),IFERROR(INDIRECT("'"&amp;G86&amp;"'!A1"),TRUE)))</formula>
    </cfRule>
  </conditionalFormatting>
  <conditionalFormatting sqref="H88 K88 N88 Q88 T88 W88">
    <cfRule type="expression" dxfId="2460" priority="447">
      <formula>H88=""</formula>
    </cfRule>
  </conditionalFormatting>
  <conditionalFormatting sqref="M135:N140 M142:N153">
    <cfRule type="expression" dxfId="2459" priority="403">
      <formula>$N$133&lt;1</formula>
    </cfRule>
  </conditionalFormatting>
  <conditionalFormatting sqref="K133 N133 Q133 T133 W133 K197 N197 Q197 T197 W197 K260 N260 Q260 T260 W260">
    <cfRule type="expression" dxfId="2458" priority="267">
      <formula>AND(K133=0,J133="")</formula>
    </cfRule>
    <cfRule type="expression" dxfId="2457" priority="404">
      <formula>OR(K133&lt;0,K133&gt;3)</formula>
    </cfRule>
  </conditionalFormatting>
  <conditionalFormatting sqref="H8 H17:H18 H21 H27:H38 K27:K38 H43:H78 H93:H94 K93:K94 N93:N94 Q93:Q94 T93:T94 W93:W94 K99 N99 Q99 T99 W99 H106:H107 K106:K107 N106:N107 Q106:Q107 T106:T107 W106:W107 H109:H116 K109:K116 N109:N116 Q109:Q116 T109:T116 W109:W116 H122:H123 K122:K123 N122:N123 Q122:Q123 T122:T123 W122:W123 K133 N133 Q133 T133 W133 K135 N135 Q135 T135 W135 K139:K140 N139:N140 Q139:Q140 T139:T140 W139:W140 K144 N144 Q144 T144 W144 K146 N146 Q146 T146 W146 K148:K150 N148:N150 Q148:Q150 T148:T150 W148:W150 K155 N155 Q155 T155 W155 K159:K160 N159:N160 Q159:Q160 T159:T160 W159:W160 K164 N164 Q164 T164 W164 K166 N166 Q166 T166 W166 K168:K170 N168:N170 Q168:Q170 T168:T170 W168:W170 K175 N175 Q175 T175 W175 K179:K180 N179:N180 Q179:Q180 T179:T180 W179:W180 K184 N184 Q184 T184 W184 K186 N186 Q186 T186 W186 K188:K190 N188:N190 Q188:Q190 T188:T190 W188:W190 K199 N199 Q199 T199 W199 K203:K204 N203:N204 Q203:Q204 T203:T204 W203:W204 K207 N207 Q207 T207 W207 K209 N209 Q209 T209 W209 K211 N211 Q211 T211 W211 K213:K215 N213:N215 Q213:Q215 T213:T215 W213:W215 K219 N219 Q219 T219 W219 K223:K224 N223:N224 Q223:Q224 T223:T224 W223:W224 K227 N227 Q227 T227 W227 K229 N229 Q229 T229 W229 K231 N231 Q231 T231 W231 K233:K235 N233:N235 Q233:Q235 T233:T235 W233:W235 K239 N239 Q239 T239 W239 K243:K244 N243:N244 Q243:Q244 T243:T244 W243:W244 K247 N247 Q247 T247 W247 K249 N249 Q249 T249 W249 K251 N251 Q251 T251 W251 K253:K255 N253:N255 Q253:Q255 T253:T255 W253:W255 K263 N263 Q263 T263 W263 K267:K268 N267:N268 Q267:Q268 T267:T268 W267:W268 K271 N271 Q271 T271 W271 K273 N273 Q273 T273 W273 K275 N275 Q275 T275 W275 K277:K279 N277:N279 Q277:Q279 T277:T279 W277:W279 K283 N283 Q283 T283 W283 K287:K288 N287:N288 Q287:Q288 T287:T288 W287:W288 K291 N291 Q291 T291 W291 K293 N293 Q293 T293 W293 K295 N295 Q295 T295 W295 K297:K299 N297:N299 Q297:Q299 T297:T299 W297:W299 K303 N303 Q303 T303 W303 K307:K308 N307:N308 Q307:Q308 T307:T308 W307:W308 K311 N311 Q311 T311 W311 K313 N313 Q313 T313 W313 K315 N315 Q315 T315 W315 K317:K319 N317:N319 Q317:Q319 T317:T319 W317:W319 W142 T142 Q142 N142 K142 W162 T162 Q162 N162 K162 W182 T182 Q182 N182 K182">
    <cfRule type="expression" dxfId="2456" priority="480">
      <formula>H8&lt;0</formula>
    </cfRule>
  </conditionalFormatting>
  <conditionalFormatting sqref="H99">
    <cfRule type="expression" dxfId="2455" priority="268">
      <formula>$H$7&lt;2</formula>
    </cfRule>
  </conditionalFormatting>
  <conditionalFormatting sqref="H99">
    <cfRule type="expression" dxfId="2454" priority="269">
      <formula>H99&lt;0</formula>
    </cfRule>
  </conditionalFormatting>
  <conditionalFormatting sqref="H6:H12 H17:H20 H92:H93 H95:H97 H99 K92:K99 N92:N99 Q92:Q99 T92:T99 W92:W99 K133 N133 Q133 T133 W133 K135:K136 N135:N136 Q135:Q136 T135:T136 W135:W136 K155:K156 N155:N156 Q155:Q156 T155:T156 W155:W156 K175:K176 N175:N176 Q175:Q176 T175:T176 W175:W176 K197 N197 Q197 T197 W197 K199:K200 N199:N200 Q199:Q200 T199:T200 W199:W200 K219:K220 N219:N220 Q219:Q220 T219:T220 W219:W220 K239:K240 N239:N240 Q239:Q240 T239:T240 W239:W240 K260 N260 Q260 T260 W260 K263:K264 N263:N264 Q263:Q264 T263:T264 W263:W264 K283:K284 N283:N284 Q283:Q284 T283:T284 W283:W284 K303:K304 N303:N304 Q303:Q304 T303:T304 W303:W304 K317:K319 N317:N319 Q317:Q319 T317:T319 W317:W319 W297:W299 T297:T299 Q297:Q299 N297:N299 K297:K299 K277:K279 N277:N279 Q277:Q279 T277:T279 W277:W279 W253:W255 T253:T255 Q253:Q255 N253:N255 K253:K255 K233:K235 N233:N235 Q233:Q235 T233:T235 W233:W235 W213:W215 T213:T215 Q213:Q215 N213:N215 K213:K215 K188:K190 N188:N190 Q188:Q190 T188:T190 W188:W190 W168:W170 T168:T170 Q168:Q170 N168:N170 K168:K170 K148:K150 N148:N150 Q148:Q150 T148:T150 W148:W150">
    <cfRule type="expression" dxfId="2453" priority="481">
      <formula>H6=""</formula>
    </cfRule>
  </conditionalFormatting>
  <conditionalFormatting sqref="H17:H18">
    <cfRule type="expression" dxfId="2452" priority="265">
      <formula>SUM($H$17:$H$18)=0</formula>
    </cfRule>
  </conditionalFormatting>
  <conditionalFormatting sqref="K137:K140 N137:N140 Q137:Q140 T137:T140 W137:W140 K151:K152 N151:N152 Q151:Q152 T151:T152 W151:W152">
    <cfRule type="expression" dxfId="2451" priority="260">
      <formula>OR(K$136="Public Transport 1",K$136="Public Transport 2")</formula>
    </cfRule>
  </conditionalFormatting>
  <conditionalFormatting sqref="J137:J140 M137:M140 P137:P140 S137:S140 V137:V140 J151:J152 M151:M152 P151:P152 S151:S152 V151:V152">
    <cfRule type="expression" dxfId="2450" priority="274">
      <formula>OR(K$136="Public Transport 1",K$136="Public Transport 2")</formula>
    </cfRule>
  </conditionalFormatting>
  <conditionalFormatting sqref="J144 M144 P144 S144 V144 J151 M151 P151 S151 V151">
    <cfRule type="expression" dxfId="2449" priority="263">
      <formula>AND(K$143&lt;&gt;"Route-based", K$143&lt;&gt;"")</formula>
    </cfRule>
  </conditionalFormatting>
  <conditionalFormatting sqref="K144 N144 Q144 T144 W144">
    <cfRule type="expression" dxfId="2448" priority="257">
      <formula>AND(K$143&lt;&gt;"Route-based", K$143&lt;&gt;"")</formula>
    </cfRule>
  </conditionalFormatting>
  <conditionalFormatting sqref="J147 M147 P147 S147 V147 J167 M167 P167 S167 V167 J187 M187 P187 S187 V187 J212 M212 P212 S212 V212 J232 M232 P232 S232 V232 J252 M252 P252 S252 V252 J276 M276 P276 S276 V276 J296 M296 P296 S296 V296 J316 M316 P316 S316 V316">
    <cfRule type="expression" dxfId="2447" priority="407">
      <formula>K146=0</formula>
    </cfRule>
  </conditionalFormatting>
  <conditionalFormatting sqref="K147 N147 Q147 T147 W147 K167 N167 Q167 T167 W167 K187 N187 Q187 T187 W187 K212 N212 Q212 T212 W212 K232 N232 Q232 T232 W232 K252 N252 Q252 T252 W252 K276 N276 Q276 T276 W276 K296 N296 Q296 T296 W296 K316 N316 Q316 T316 W316">
    <cfRule type="expression" dxfId="2446" priority="261">
      <formula>K146=0</formula>
    </cfRule>
  </conditionalFormatting>
  <conditionalFormatting sqref="K151 N151 Q151 T151 W151">
    <cfRule type="expression" dxfId="2445" priority="277">
      <formula>AND(K$143&lt;&gt;"Route-based",K$143&lt;&gt;"")</formula>
    </cfRule>
  </conditionalFormatting>
  <conditionalFormatting sqref="J138:J139 M138:M139 P138:P139 S138:S139 V138:V139">
    <cfRule type="expression" dxfId="2444" priority="259">
      <formula>AND(K$137&lt;&gt;"Rented",K$137&lt;&gt;"Contracted to 3PL",K$137&lt;&gt;"")</formula>
    </cfRule>
  </conditionalFormatting>
  <conditionalFormatting sqref="K138:K139 N138:N139 Q138:Q139 T138:T139 W138:W139">
    <cfRule type="expression" dxfId="2443" priority="258">
      <formula>AND(K$137&lt;&gt;"Rented",K$137&lt;&gt;"Contracted to 3PL",K$137&lt;&gt;"")</formula>
    </cfRule>
  </conditionalFormatting>
  <conditionalFormatting sqref="K144 N144 Q144 T144 W144 K164 N164 Q164 T164 W164 K184 N184 Q184 T184 W184 K209 N209 Q209 T209 W209 K229 N229 Q229 T229 W229 K249 N249 Q249 T249 W249 K273 N273 Q273 T273 W273 K293 N293 Q293 T293 W293 K313 N313 Q313 T313 W313">
    <cfRule type="expression" dxfId="2442" priority="262">
      <formula>AND(K143="Route-based",K144="")</formula>
    </cfRule>
  </conditionalFormatting>
  <conditionalFormatting sqref="J157:J160 J171:J172 M157:M160 M171:M172 P157:P160 P171:P172 S157:S160 S171:S172 V157:V160 V171:V172">
    <cfRule type="expression" dxfId="2441" priority="453">
      <formula>OR(K$156="Public Transport 1",K$156="Public Transport 2")</formula>
    </cfRule>
  </conditionalFormatting>
  <conditionalFormatting sqref="K157:K160 K171:K172 N157:N160 N171:N172 Q157:Q160 Q171:Q172 T157:T160 T171:T172 W157:W160 W171:W172">
    <cfRule type="expression" dxfId="2440" priority="451">
      <formula>OR(K$156="Public Transport 1",K$156="Public Transport 2")</formula>
    </cfRule>
  </conditionalFormatting>
  <conditionalFormatting sqref="J177:J180 M177:M180 P177:P180 S177:S180 V177:V180 J191:J192 M191:M192 P191:P192 S191:S192 V191:V192">
    <cfRule type="expression" dxfId="2439" priority="401">
      <formula>OR(K$176="Public Transport 1",K$176="Public Transport 2")</formula>
    </cfRule>
  </conditionalFormatting>
  <conditionalFormatting sqref="K177:K180 N177:N180 Q177:Q180 T177:T180 W177:W180 K191:K192 N191:N192 Q191:Q192 T191:T192 W191:W192">
    <cfRule type="expression" dxfId="2438" priority="253">
      <formula>OR(K$176="Public Transport 1",K$176="Public Transport 2")</formula>
    </cfRule>
  </conditionalFormatting>
  <conditionalFormatting sqref="J201:J205 M201:M205 P201:P205 S201:S205 V201:V205 J216:J217 M216:M217 P216:P217 S216:S217 V216:V217">
    <cfRule type="expression" dxfId="2437" priority="275">
      <formula>OR(K$200="Public Transport 1",K$200="Public Transport 2")</formula>
    </cfRule>
  </conditionalFormatting>
  <conditionalFormatting sqref="K201:K205 N201:N205 Q201:Q205 T201:T205 W201:W205 K216:K217 N216:N217 Q216:Q217 T216:T217 W216:W217">
    <cfRule type="expression" dxfId="2436" priority="251">
      <formula>OR(K$200="Public Transport 1",K$200="Public Transport 2")</formula>
    </cfRule>
  </conditionalFormatting>
  <conditionalFormatting sqref="J221:J225 M221:M225 P221:P225 S221:S225 V221:V225 J236:J237 M236:M237 P236:P237 S236:S237 V236:V237">
    <cfRule type="expression" dxfId="2435" priority="442">
      <formula>OR(K$220="Public Transport 1",K$220="Public Transport 2")</formula>
    </cfRule>
  </conditionalFormatting>
  <conditionalFormatting sqref="K221:K225 N221:N225 Q221:Q225 T221:T225 W221:W225 K236:K237 N236:N237 Q236:Q237 T236:T237 W236:W237">
    <cfRule type="expression" dxfId="2434" priority="249">
      <formula>OR(K$220="Public Transport 1",K$220="Public Transport 2")</formula>
    </cfRule>
  </conditionalFormatting>
  <conditionalFormatting sqref="J241:J245 M241:M245 P241:P245 S241:S245 V241:V245 J256:J257 M256:M257 P256:P257 S256:S257 V256:V257">
    <cfRule type="expression" dxfId="2433" priority="439">
      <formula>OR(K$240="Public Transport 1",K$240="Public Transport 2")</formula>
    </cfRule>
  </conditionalFormatting>
  <conditionalFormatting sqref="K241:K245 N241:N245 Q241:Q245 T241:T245 W241:W245 K256:K257 N256:N257 Q256:Q257 T256:T257 W256:W257">
    <cfRule type="expression" dxfId="2432" priority="247">
      <formula>OR(K$240="Public Transport 1",K$240="Public Transport 2")</formula>
    </cfRule>
  </conditionalFormatting>
  <conditionalFormatting sqref="J265:J269 M265:M269 P265:P269 S265:S269 V265:V269 J280:J281 M280:M281 P280:P281 S280:S281 V280:V281">
    <cfRule type="expression" dxfId="2431" priority="436">
      <formula>OR(K$264="Public Transport 1",K$264="Public Transport 2")</formula>
    </cfRule>
  </conditionalFormatting>
  <conditionalFormatting sqref="K265:K269 N265:N269 Q265:Q269 T265:T269 W265:W269 K280:K281 N280:N281 Q280:Q281 T280:T281 W280:W281">
    <cfRule type="expression" dxfId="2430" priority="245">
      <formula>OR(K$264="Public Transport 1",K$264="Public Transport 2")</formula>
    </cfRule>
  </conditionalFormatting>
  <conditionalFormatting sqref="J285:J289 M285:M289 P285:P289 S285:S289 V285:V289 J300:J301 M300:M301 P300:P301 S300:S301 V300:V301">
    <cfRule type="expression" dxfId="2429" priority="435">
      <formula>OR(K$284="Public Transport 1",K$284="Public Transport 2")</formula>
    </cfRule>
  </conditionalFormatting>
  <conditionalFormatting sqref="K285:K289 N285:N289 Q285:Q289 T285:T289 W285:W289 K300:K301 N300:N301 Q300:Q301 T300:T301 W300:W301">
    <cfRule type="expression" dxfId="2428" priority="243">
      <formula>OR(K$284="Public Transport 1",K$284="Public Transport 2")</formula>
    </cfRule>
  </conditionalFormatting>
  <conditionalFormatting sqref="J305:J309 M305:M309 P305:P309 S305:S309 V305:V309 J320:J321 M320:M321 P320:P321 S320:S321 V320:V321">
    <cfRule type="expression" dxfId="2427" priority="434">
      <formula>OR(K$304="Public Transport 1",K$304="Public Transport 2")</formula>
    </cfRule>
  </conditionalFormatting>
  <conditionalFormatting sqref="K305:K309 N305:N309 Q305:Q309 T305:T309 W305:W309 K320:K321 N320:N321 Q320:Q321 T320:T321 W320:W321">
    <cfRule type="expression" dxfId="2426" priority="241">
      <formula>OR(K$304="Public Transport 1",K$304="Public Transport 2")</formula>
    </cfRule>
  </conditionalFormatting>
  <conditionalFormatting sqref="J158:J159 M158:M159 P158:P159 S158:S159 V158:V159">
    <cfRule type="expression" dxfId="2425" priority="254">
      <formula>AND(K$157&lt;&gt;"Rented",K$157&lt;&gt;"Contracted to 3PL",K$157&lt;&gt;"")</formula>
    </cfRule>
  </conditionalFormatting>
  <conditionalFormatting sqref="K158:K159 N158:N159 Q158:Q159 T158:T159 W158:W159">
    <cfRule type="expression" dxfId="2424" priority="239">
      <formula>AND(K$157&lt;&gt;"Rented",K$157&lt;&gt;"Contracted to 3PL",K$157&lt;&gt;"")</formula>
    </cfRule>
  </conditionalFormatting>
  <conditionalFormatting sqref="J178:J179 M178:M179 P178:P179 S178:S179 V178:V179">
    <cfRule type="expression" dxfId="2423" priority="252">
      <formula>AND(K$177&lt;&gt;"Rented",K$177&lt;&gt;"Contracted to 3PL",K$177&lt;&gt;"")</formula>
    </cfRule>
  </conditionalFormatting>
  <conditionalFormatting sqref="K178:K179 N178:N179 Q178:Q179 T178:T179 W178:W179">
    <cfRule type="expression" dxfId="2422" priority="237">
      <formula>AND(K$177&lt;&gt;"Rented",K$177&lt;&gt;"Contracted to 3PL",K$177&lt;&gt;"")</formula>
    </cfRule>
  </conditionalFormatting>
  <conditionalFormatting sqref="J202:J203 M202:M203 P202:P203 S202:S203 V202:V203">
    <cfRule type="expression" dxfId="2421" priority="250">
      <formula>AND(K$201&lt;&gt;"Rented",K$201&lt;&gt;"Contracted to 3PL",K$201&lt;&gt;"")</formula>
    </cfRule>
  </conditionalFormatting>
  <conditionalFormatting sqref="K202:K203 N202:N203 Q202:Q203 T202:T203 W202:W203">
    <cfRule type="expression" dxfId="2420" priority="235">
      <formula>AND(K$201&lt;&gt;"Rented",K$201&lt;&gt;"Contracted to 3PL",K$201&lt;&gt;"")</formula>
    </cfRule>
  </conditionalFormatting>
  <conditionalFormatting sqref="J222:J223 M222:M223 P222:P223 S222:S223 V222:V223">
    <cfRule type="expression" dxfId="2419" priority="248">
      <formula>AND(K$221&lt;&gt;"Rented",K$221&lt;&gt;"Contracted to 3PL",K$221&lt;&gt;"")</formula>
    </cfRule>
  </conditionalFormatting>
  <conditionalFormatting sqref="K222:K223 N222:N223 Q222:Q223 T222:T223 W222:W223">
    <cfRule type="expression" dxfId="2418" priority="233">
      <formula>AND(K$221&lt;&gt;"Rented",K$221&lt;&gt;"Contracted to 3PL",K$221&lt;&gt;"")</formula>
    </cfRule>
  </conditionalFormatting>
  <conditionalFormatting sqref="J242:J243 M242:M243 P242:P243 S242:S243 V242:V243">
    <cfRule type="expression" dxfId="2417" priority="246">
      <formula>AND(K$241&lt;&gt;"Rented",K$241&lt;&gt;"Contracted to 3PL",K$241&lt;&gt;"")</formula>
    </cfRule>
  </conditionalFormatting>
  <conditionalFormatting sqref="K242:K243 N242:N243 Q242:Q243 T242:T243 W242:W243">
    <cfRule type="expression" dxfId="2416" priority="231">
      <formula>AND(K$241&lt;&gt;"Rented",K$241&lt;&gt;"Contracted to 3PL",K$241&lt;&gt;"")</formula>
    </cfRule>
  </conditionalFormatting>
  <conditionalFormatting sqref="J266:J267 M266:M267 P266:P267 S266:S267 V266:V267">
    <cfRule type="expression" dxfId="2415" priority="244">
      <formula>AND(K$265&lt;&gt;"Rented",K$265&lt;&gt;"Contracted to 3PL",K$265&lt;&gt;"")</formula>
    </cfRule>
  </conditionalFormatting>
  <conditionalFormatting sqref="K266:K267 N266:N267 Q266:Q267 T266:T267 W266:W267">
    <cfRule type="expression" dxfId="2414" priority="229">
      <formula>AND(K$265&lt;&gt;"Rented",K$265&lt;&gt;"Contracted to 3PL",K$265&lt;&gt;"")</formula>
    </cfRule>
  </conditionalFormatting>
  <conditionalFormatting sqref="J286:J287 M286:M287 P286:P287 S286:S287 V286:V287">
    <cfRule type="expression" dxfId="2413" priority="242">
      <formula>AND(K$285&lt;&gt;"Rented",K$285&lt;&gt;"Contracted to 3PL",K$285&lt;&gt;"")</formula>
    </cfRule>
  </conditionalFormatting>
  <conditionalFormatting sqref="K286:K287 N286:N287 Q286:Q287 T286:T287 W286:W287">
    <cfRule type="expression" dxfId="2412" priority="227">
      <formula>AND(K$285&lt;&gt;"Rented",K$285&lt;&gt;"Contracted to 3PL",K$285&lt;&gt;"")</formula>
    </cfRule>
  </conditionalFormatting>
  <conditionalFormatting sqref="J306:J307 M306:M307 P306:P307 S306:S307 V306:V307">
    <cfRule type="expression" dxfId="2411" priority="240">
      <formula>AND(K$305&lt;&gt;"Rented",K$305&lt;&gt;"Contracted to 3PL",K$305&lt;&gt;"")</formula>
    </cfRule>
  </conditionalFormatting>
  <conditionalFormatting sqref="K306:K307 N306:N307 Q306:Q307 T306:T307 W306:W307">
    <cfRule type="expression" dxfId="2410" priority="225">
      <formula>AND(K$305&lt;&gt;"Rented",K$305&lt;&gt;"Contracted to 3PL",K$305&lt;&gt;"")</formula>
    </cfRule>
  </conditionalFormatting>
  <conditionalFormatting sqref="J164 M164 P164 S164 V164">
    <cfRule type="expression" dxfId="2409" priority="238">
      <formula>AND(K$163&lt;&gt;"Route-based", K$163&lt;&gt;"")</formula>
    </cfRule>
  </conditionalFormatting>
  <conditionalFormatting sqref="K164 N164 Q164 T164 W164">
    <cfRule type="expression" dxfId="2408" priority="223">
      <formula>AND(K$163&lt;&gt;"Route-based", K$163&lt;&gt;"")</formula>
    </cfRule>
  </conditionalFormatting>
  <conditionalFormatting sqref="J184 M184 P184 S184 V184">
    <cfRule type="expression" dxfId="2407" priority="236">
      <formula>AND(K$183&lt;&gt;"Route-based", K$183&lt;&gt;"")</formula>
    </cfRule>
  </conditionalFormatting>
  <conditionalFormatting sqref="K184 N184 Q184 T184 W184">
    <cfRule type="expression" dxfId="2406" priority="222">
      <formula>AND(K$183&lt;&gt;"Route-based", K$183&lt;&gt;"")</formula>
    </cfRule>
  </conditionalFormatting>
  <conditionalFormatting sqref="J209 M209 P209 S209 V209">
    <cfRule type="expression" dxfId="2405" priority="234">
      <formula>AND(K$208&lt;&gt;"Route-based", K$208&lt;&gt;"")</formula>
    </cfRule>
  </conditionalFormatting>
  <conditionalFormatting sqref="K209 N209 Q209 T209 W209">
    <cfRule type="expression" dxfId="2404" priority="220">
      <formula>AND(K$208&lt;&gt;"Route-based", K$208&lt;&gt;"")</formula>
    </cfRule>
  </conditionalFormatting>
  <conditionalFormatting sqref="J229 M229 P229 S229 V229">
    <cfRule type="expression" dxfId="2403" priority="232">
      <formula>AND(K$228&lt;&gt;"Route-based", K$228&lt;&gt;"")</formula>
    </cfRule>
  </conditionalFormatting>
  <conditionalFormatting sqref="K229 N229 Q229 T229 W229">
    <cfRule type="expression" dxfId="2402" priority="218">
      <formula>AND(K$228&lt;&gt;"Route-based", K$228&lt;&gt;"")</formula>
    </cfRule>
  </conditionalFormatting>
  <conditionalFormatting sqref="J249 M249 P249 S249 V249">
    <cfRule type="expression" dxfId="2401" priority="230">
      <formula>AND(K$248&lt;&gt;"Route-based", K$248&lt;&gt;"")</formula>
    </cfRule>
  </conditionalFormatting>
  <conditionalFormatting sqref="K249 N249 Q249 T249 W249">
    <cfRule type="expression" dxfId="2400" priority="216">
      <formula>AND(K$248&lt;&gt;"Route-based", K$248&lt;&gt;"")</formula>
    </cfRule>
  </conditionalFormatting>
  <conditionalFormatting sqref="J273 M273 P273 S273 V273">
    <cfRule type="expression" dxfId="2399" priority="228">
      <formula>AND(K$272&lt;&gt;"Route-based", K$272&lt;&gt;"")</formula>
    </cfRule>
  </conditionalFormatting>
  <conditionalFormatting sqref="K273 N273 Q273 T273 W273">
    <cfRule type="expression" dxfId="2398" priority="214">
      <formula>AND(K$272&lt;&gt;"Route-based", K$272&lt;&gt;"")</formula>
    </cfRule>
  </conditionalFormatting>
  <conditionalFormatting sqref="J293 M293 P293 S293 V293">
    <cfRule type="expression" dxfId="2397" priority="226">
      <formula>AND(K$292&lt;&gt;"Route-based", K$292&lt;&gt;"")</formula>
    </cfRule>
  </conditionalFormatting>
  <conditionalFormatting sqref="K293 N293 Q293 T293 W293">
    <cfRule type="expression" dxfId="2396" priority="213">
      <formula>AND(K$292&lt;&gt;"Route-based", K$292&lt;&gt;"")</formula>
    </cfRule>
  </conditionalFormatting>
  <conditionalFormatting sqref="J313 M313 P313 S313 V313">
    <cfRule type="expression" dxfId="2395" priority="224">
      <formula>AND(K$312&lt;&gt;"Route-based", K$312&lt;&gt;"")</formula>
    </cfRule>
  </conditionalFormatting>
  <conditionalFormatting sqref="K313 N313 Q313 T313 W313">
    <cfRule type="expression" dxfId="2394" priority="212">
      <formula>AND(K$312&lt;&gt;"Route-based", K$312&lt;&gt;"")</formula>
    </cfRule>
  </conditionalFormatting>
  <conditionalFormatting sqref="O141:Q141">
    <cfRule type="expression" dxfId="2393" priority="199">
      <formula>$H$7&lt;4</formula>
    </cfRule>
  </conditionalFormatting>
  <conditionalFormatting sqref="J141:K141">
    <cfRule type="expression" dxfId="2392" priority="198">
      <formula>$K$133&lt;1</formula>
    </cfRule>
  </conditionalFormatting>
  <conditionalFormatting sqref="P141:Q141">
    <cfRule type="expression" dxfId="2391" priority="200">
      <formula>$Q$133&lt;1</formula>
    </cfRule>
  </conditionalFormatting>
  <conditionalFormatting sqref="W141 T141 Q141 N141 K141">
    <cfRule type="expression" dxfId="2390" priority="208">
      <formula>AND(ISTEXT(K141),K141&lt;&gt;"")</formula>
    </cfRule>
  </conditionalFormatting>
  <conditionalFormatting sqref="S141:T141">
    <cfRule type="expression" dxfId="2389" priority="207">
      <formula>$T$133&lt;1</formula>
    </cfRule>
  </conditionalFormatting>
  <conditionalFormatting sqref="V141:W141">
    <cfRule type="expression" dxfId="2388" priority="206">
      <formula>$W$133&lt;1</formula>
    </cfRule>
  </conditionalFormatting>
  <conditionalFormatting sqref="E141:H141 B141">
    <cfRule type="expression" dxfId="2387" priority="205">
      <formula>MAX($H$133,$K$133,$N$133,$Q$133,$T$133,$W$133)&lt;1</formula>
    </cfRule>
  </conditionalFormatting>
  <conditionalFormatting sqref="L141:N141">
    <cfRule type="expression" dxfId="2386" priority="197">
      <formula>$H$7&lt;3</formula>
    </cfRule>
  </conditionalFormatting>
  <conditionalFormatting sqref="J141:K141">
    <cfRule type="expression" dxfId="2385" priority="196">
      <formula>$H$7&lt;2</formula>
    </cfRule>
  </conditionalFormatting>
  <conditionalFormatting sqref="R141:T141">
    <cfRule type="expression" dxfId="2384" priority="203">
      <formula>$H$7&lt;5</formula>
    </cfRule>
  </conditionalFormatting>
  <conditionalFormatting sqref="U141:W141">
    <cfRule type="expression" dxfId="2383" priority="201">
      <formula>$H$7&lt;6</formula>
    </cfRule>
  </conditionalFormatting>
  <conditionalFormatting sqref="C141">
    <cfRule type="expression" dxfId="2382" priority="202">
      <formula>MAX($H$133,$K$133,$N$133,$Q$133,$T$133,$W$133)&lt;1</formula>
    </cfRule>
  </conditionalFormatting>
  <conditionalFormatting sqref="M141:N141">
    <cfRule type="expression" dxfId="2381" priority="204">
      <formula>$N$133&lt;1</formula>
    </cfRule>
  </conditionalFormatting>
  <conditionalFormatting sqref="W141 T141 Q141 N141 K141">
    <cfRule type="expression" dxfId="2380" priority="209">
      <formula>K141&lt;0</formula>
    </cfRule>
  </conditionalFormatting>
  <conditionalFormatting sqref="O161:Q161">
    <cfRule type="expression" dxfId="2379" priority="186">
      <formula>$H$7&lt;4</formula>
    </cfRule>
  </conditionalFormatting>
  <conditionalFormatting sqref="J161:K161">
    <cfRule type="expression" dxfId="2378" priority="184">
      <formula>$K$133&lt;2</formula>
    </cfRule>
  </conditionalFormatting>
  <conditionalFormatting sqref="M161:N161">
    <cfRule type="expression" dxfId="2377" priority="187">
      <formula>$N$133&lt;2</formula>
    </cfRule>
  </conditionalFormatting>
  <conditionalFormatting sqref="P161:Q161">
    <cfRule type="expression" dxfId="2376" priority="193">
      <formula>$Q$133&lt;2</formula>
    </cfRule>
  </conditionalFormatting>
  <conditionalFormatting sqref="B161">
    <cfRule type="expression" dxfId="2375" priority="192">
      <formula>MAX($H$133,$K$133,$N$133,$Q$133,$T$133,$W$133)&lt;2</formula>
    </cfRule>
  </conditionalFormatting>
  <conditionalFormatting sqref="W161 T161 Q161 N161 K161">
    <cfRule type="expression" dxfId="2374" priority="194">
      <formula>AND(ISTEXT(K161),K161&lt;&gt;"")</formula>
    </cfRule>
  </conditionalFormatting>
  <conditionalFormatting sqref="S161:T161">
    <cfRule type="expression" dxfId="2373" priority="191">
      <formula>$T$133&lt;2</formula>
    </cfRule>
  </conditionalFormatting>
  <conditionalFormatting sqref="V161:W161">
    <cfRule type="expression" dxfId="2372" priority="190">
      <formula>$W$133&lt;2</formula>
    </cfRule>
  </conditionalFormatting>
  <conditionalFormatting sqref="L161:N161">
    <cfRule type="expression" dxfId="2371" priority="185">
      <formula>$H$7&lt;3</formula>
    </cfRule>
  </conditionalFormatting>
  <conditionalFormatting sqref="J161:K161">
    <cfRule type="expression" dxfId="2370" priority="183">
      <formula>$H$7&lt;2</formula>
    </cfRule>
  </conditionalFormatting>
  <conditionalFormatting sqref="R161:T161">
    <cfRule type="expression" dxfId="2369" priority="189">
      <formula>$H$7&lt;5</formula>
    </cfRule>
  </conditionalFormatting>
  <conditionalFormatting sqref="U161:W161">
    <cfRule type="expression" dxfId="2368" priority="188">
      <formula>$H$7&lt;6</formula>
    </cfRule>
  </conditionalFormatting>
  <conditionalFormatting sqref="W161 T161 Q161 N161 K161">
    <cfRule type="expression" dxfId="2367" priority="195">
      <formula>K161&lt;0</formula>
    </cfRule>
  </conditionalFormatting>
  <conditionalFormatting sqref="O181:Q181">
    <cfRule type="expression" dxfId="2366" priority="173">
      <formula>$H$7&lt;4</formula>
    </cfRule>
  </conditionalFormatting>
  <conditionalFormatting sqref="J181:K181">
    <cfRule type="expression" dxfId="2365" priority="171">
      <formula>$K$133&lt;3</formula>
    </cfRule>
  </conditionalFormatting>
  <conditionalFormatting sqref="M181:N181">
    <cfRule type="expression" dxfId="2364" priority="180">
      <formula>$N$133&lt;3</formula>
    </cfRule>
  </conditionalFormatting>
  <conditionalFormatting sqref="P181:Q181">
    <cfRule type="expression" dxfId="2363" priority="179">
      <formula>$Q$133&lt;3</formula>
    </cfRule>
  </conditionalFormatting>
  <conditionalFormatting sqref="B181">
    <cfRule type="expression" dxfId="2362" priority="178">
      <formula>MAX($H$133,$K$133,$N$133,$Q$133,$T$133,$W$133)&lt;3</formula>
    </cfRule>
  </conditionalFormatting>
  <conditionalFormatting sqref="W181 T181 Q181 N181 K181">
    <cfRule type="expression" dxfId="2361" priority="181">
      <formula>AND(ISTEXT(K181),K181&lt;&gt;"")</formula>
    </cfRule>
  </conditionalFormatting>
  <conditionalFormatting sqref="S181:T181">
    <cfRule type="expression" dxfId="2360" priority="177">
      <formula>$T$133&lt;3</formula>
    </cfRule>
  </conditionalFormatting>
  <conditionalFormatting sqref="V181:W181">
    <cfRule type="expression" dxfId="2359" priority="176">
      <formula>$W$133&lt;3</formula>
    </cfRule>
  </conditionalFormatting>
  <conditionalFormatting sqref="L181:N181">
    <cfRule type="expression" dxfId="2358" priority="172">
      <formula>$H$7&lt;3</formula>
    </cfRule>
  </conditionalFormatting>
  <conditionalFormatting sqref="J181:K181">
    <cfRule type="expression" dxfId="2357" priority="170">
      <formula>$H$7&lt;2</formula>
    </cfRule>
  </conditionalFormatting>
  <conditionalFormatting sqref="R181:T181">
    <cfRule type="expression" dxfId="2356" priority="175">
      <formula>$H$7&lt;5</formula>
    </cfRule>
  </conditionalFormatting>
  <conditionalFormatting sqref="U181:W181">
    <cfRule type="expression" dxfId="2355" priority="174">
      <formula>$H$7&lt;6</formula>
    </cfRule>
  </conditionalFormatting>
  <conditionalFormatting sqref="W181 T181 Q181 N181 K181">
    <cfRule type="expression" dxfId="2354" priority="182">
      <formula>K181&lt;0</formula>
    </cfRule>
  </conditionalFormatting>
  <conditionalFormatting sqref="O206:Q206">
    <cfRule type="expression" dxfId="2353" priority="159">
      <formula>$H$7&lt;4</formula>
    </cfRule>
  </conditionalFormatting>
  <conditionalFormatting sqref="J206:K206">
    <cfRule type="expression" dxfId="2352" priority="157">
      <formula>$K$197&lt;1</formula>
    </cfRule>
  </conditionalFormatting>
  <conditionalFormatting sqref="M206:N206">
    <cfRule type="expression" dxfId="2351" priority="167">
      <formula>$N$197&lt;1</formula>
    </cfRule>
  </conditionalFormatting>
  <conditionalFormatting sqref="P206:Q206">
    <cfRule type="expression" dxfId="2350" priority="166">
      <formula>$Q$197&lt;1</formula>
    </cfRule>
  </conditionalFormatting>
  <conditionalFormatting sqref="E206:H206 B206">
    <cfRule type="expression" dxfId="2349" priority="165">
      <formula>MAX($H$197,$K$197,$N$197,$Q$197,$T$197,$W$197)&lt;1</formula>
    </cfRule>
  </conditionalFormatting>
  <conditionalFormatting sqref="N206 Q206 T206 W206 K206">
    <cfRule type="expression" dxfId="2348" priority="168">
      <formula>AND(ISTEXT(K206),K206&lt;&gt;"")</formula>
    </cfRule>
  </conditionalFormatting>
  <conditionalFormatting sqref="S206:T206">
    <cfRule type="expression" dxfId="2347" priority="164">
      <formula>$T$197&lt;1</formula>
    </cfRule>
  </conditionalFormatting>
  <conditionalFormatting sqref="V206:W206">
    <cfRule type="expression" dxfId="2346" priority="163">
      <formula>$W$197&lt;1</formula>
    </cfRule>
  </conditionalFormatting>
  <conditionalFormatting sqref="L206:N206">
    <cfRule type="expression" dxfId="2345" priority="158">
      <formula>$H$7&lt;3</formula>
    </cfRule>
  </conditionalFormatting>
  <conditionalFormatting sqref="J206:K206">
    <cfRule type="expression" dxfId="2344" priority="156">
      <formula>$H$7&lt;2</formula>
    </cfRule>
  </conditionalFormatting>
  <conditionalFormatting sqref="R206:T206">
    <cfRule type="expression" dxfId="2343" priority="162">
      <formula>$H$7&lt;5</formula>
    </cfRule>
  </conditionalFormatting>
  <conditionalFormatting sqref="U206:W206">
    <cfRule type="expression" dxfId="2342" priority="160">
      <formula>$H$7&lt;6</formula>
    </cfRule>
  </conditionalFormatting>
  <conditionalFormatting sqref="K206 N206 Q206 T206 W206">
    <cfRule type="expression" dxfId="2341" priority="169">
      <formula>K206&lt;0</formula>
    </cfRule>
  </conditionalFormatting>
  <conditionalFormatting sqref="O226:Q226">
    <cfRule type="expression" dxfId="2340" priority="145">
      <formula>$H$7&lt;4</formula>
    </cfRule>
  </conditionalFormatting>
  <conditionalFormatting sqref="J226:K226">
    <cfRule type="expression" dxfId="2339" priority="143">
      <formula>$K$197&lt;2</formula>
    </cfRule>
  </conditionalFormatting>
  <conditionalFormatting sqref="M226:N226">
    <cfRule type="expression" dxfId="2338" priority="153">
      <formula>$N$197&lt;2</formula>
    </cfRule>
  </conditionalFormatting>
  <conditionalFormatting sqref="P226:Q226">
    <cfRule type="expression" dxfId="2337" priority="152">
      <formula>$Q$197&lt;2</formula>
    </cfRule>
  </conditionalFormatting>
  <conditionalFormatting sqref="B226:H226">
    <cfRule type="expression" dxfId="2336" priority="151">
      <formula>MAX($H$197,$K$197,$N$197,$Q$197,$T$197,$W$197)&lt;2</formula>
    </cfRule>
  </conditionalFormatting>
  <conditionalFormatting sqref="K226 N226 Q226 T226 W226">
    <cfRule type="expression" dxfId="2335" priority="154">
      <formula>AND(ISTEXT(K226),K226&lt;&gt;"")</formula>
    </cfRule>
  </conditionalFormatting>
  <conditionalFormatting sqref="S226:T226">
    <cfRule type="expression" dxfId="2334" priority="150">
      <formula>$T$197&lt;2</formula>
    </cfRule>
  </conditionalFormatting>
  <conditionalFormatting sqref="V226:W226">
    <cfRule type="expression" dxfId="2333" priority="149">
      <formula>$W$197&lt;2</formula>
    </cfRule>
  </conditionalFormatting>
  <conditionalFormatting sqref="L226:N226">
    <cfRule type="expression" dxfId="2332" priority="144">
      <formula>$H$7&lt;3</formula>
    </cfRule>
  </conditionalFormatting>
  <conditionalFormatting sqref="J226:K226">
    <cfRule type="expression" dxfId="2331" priority="142">
      <formula>$H$7&lt;2</formula>
    </cfRule>
  </conditionalFormatting>
  <conditionalFormatting sqref="R226:T226">
    <cfRule type="expression" dxfId="2330" priority="148">
      <formula>$H$7&lt;5</formula>
    </cfRule>
  </conditionalFormatting>
  <conditionalFormatting sqref="U226:W226">
    <cfRule type="expression" dxfId="2329" priority="146">
      <formula>$H$7&lt;6</formula>
    </cfRule>
  </conditionalFormatting>
  <conditionalFormatting sqref="C226">
    <cfRule type="expression" dxfId="2328" priority="147">
      <formula>MAX($H$197,$K$197,$N$197,$Q$197,$T$197,$W$197)&lt;1</formula>
    </cfRule>
  </conditionalFormatting>
  <conditionalFormatting sqref="K226 N226 Q226 T226 W226">
    <cfRule type="expression" dxfId="2327" priority="155">
      <formula>K226&lt;0</formula>
    </cfRule>
  </conditionalFormatting>
  <conditionalFormatting sqref="O246:Q246">
    <cfRule type="expression" dxfId="2326" priority="131">
      <formula>$H$7&lt;4</formula>
    </cfRule>
  </conditionalFormatting>
  <conditionalFormatting sqref="J246:K246">
    <cfRule type="expression" dxfId="2325" priority="129">
      <formula>$K$197&lt;3</formula>
    </cfRule>
  </conditionalFormatting>
  <conditionalFormatting sqref="M246:N246">
    <cfRule type="expression" dxfId="2324" priority="139">
      <formula>$N$197&lt;3</formula>
    </cfRule>
  </conditionalFormatting>
  <conditionalFormatting sqref="P246:Q246">
    <cfRule type="expression" dxfId="2323" priority="138">
      <formula>$Q$197&lt;3</formula>
    </cfRule>
  </conditionalFormatting>
  <conditionalFormatting sqref="B246:H246">
    <cfRule type="expression" dxfId="2322" priority="137">
      <formula>MAX($H$197,$K$197,$N$197,$Q$197,$T$197,$W$197)&lt;3</formula>
    </cfRule>
  </conditionalFormatting>
  <conditionalFormatting sqref="K246 N246 Q246 T246 W246">
    <cfRule type="expression" dxfId="2321" priority="140">
      <formula>AND(ISTEXT(K246),K246&lt;&gt;"")</formula>
    </cfRule>
  </conditionalFormatting>
  <conditionalFormatting sqref="S246:T246">
    <cfRule type="expression" dxfId="2320" priority="136">
      <formula>$T$197&lt;3</formula>
    </cfRule>
  </conditionalFormatting>
  <conditionalFormatting sqref="V246:W246">
    <cfRule type="expression" dxfId="2319" priority="135">
      <formula>$W$197&lt;3</formula>
    </cfRule>
  </conditionalFormatting>
  <conditionalFormatting sqref="L246:N246">
    <cfRule type="expression" dxfId="2318" priority="130">
      <formula>$H$7&lt;3</formula>
    </cfRule>
  </conditionalFormatting>
  <conditionalFormatting sqref="J246:K246">
    <cfRule type="expression" dxfId="2317" priority="128">
      <formula>$H$7&lt;2</formula>
    </cfRule>
  </conditionalFormatting>
  <conditionalFormatting sqref="R246:T246">
    <cfRule type="expression" dxfId="2316" priority="134">
      <formula>$H$7&lt;5</formula>
    </cfRule>
  </conditionalFormatting>
  <conditionalFormatting sqref="U246:W246">
    <cfRule type="expression" dxfId="2315" priority="132">
      <formula>$H$7&lt;6</formula>
    </cfRule>
  </conditionalFormatting>
  <conditionalFormatting sqref="C246">
    <cfRule type="expression" dxfId="2314" priority="133">
      <formula>MAX($H$197,$K$197,$N$197,$Q$197,$T$197,$W$197)&lt;1</formula>
    </cfRule>
  </conditionalFormatting>
  <conditionalFormatting sqref="K246 N246 Q246 T246 W246">
    <cfRule type="expression" dxfId="2313" priority="141">
      <formula>K246&lt;0</formula>
    </cfRule>
  </conditionalFormatting>
  <conditionalFormatting sqref="O270:Q270">
    <cfRule type="expression" dxfId="2312" priority="122">
      <formula>$H$7&lt;4</formula>
    </cfRule>
  </conditionalFormatting>
  <conditionalFormatting sqref="K270 N270 Q270 T270 W270">
    <cfRule type="expression" dxfId="2311" priority="126">
      <formula>AND(ISTEXT(K270),K270&lt;&gt;"")</formula>
    </cfRule>
  </conditionalFormatting>
  <conditionalFormatting sqref="L270:N270">
    <cfRule type="expression" dxfId="2310" priority="121">
      <formula>$H$7&lt;3</formula>
    </cfRule>
  </conditionalFormatting>
  <conditionalFormatting sqref="J270:K270">
    <cfRule type="expression" dxfId="2309" priority="120">
      <formula>$H$7&lt;2</formula>
    </cfRule>
  </conditionalFormatting>
  <conditionalFormatting sqref="R270:T270">
    <cfRule type="expression" dxfId="2308" priority="125">
      <formula>$H$7&lt;5</formula>
    </cfRule>
  </conditionalFormatting>
  <conditionalFormatting sqref="U270:W270">
    <cfRule type="expression" dxfId="2307" priority="123">
      <formula>$H$7&lt;6</formula>
    </cfRule>
  </conditionalFormatting>
  <conditionalFormatting sqref="C270">
    <cfRule type="expression" dxfId="2306" priority="124">
      <formula>MAX($H$197,$K$197,$N$197,$Q$197,$T$197,$W$197)&lt;1</formula>
    </cfRule>
  </conditionalFormatting>
  <conditionalFormatting sqref="K270 N270 Q270 T270 W270">
    <cfRule type="expression" dxfId="2305" priority="127">
      <formula>K270&lt;0</formula>
    </cfRule>
  </conditionalFormatting>
  <conditionalFormatting sqref="O290:Q290">
    <cfRule type="expression" dxfId="2304" priority="114">
      <formula>$H$7&lt;4</formula>
    </cfRule>
  </conditionalFormatting>
  <conditionalFormatting sqref="K290 N290 Q290 T290 W290">
    <cfRule type="expression" dxfId="2303" priority="118">
      <formula>AND(ISTEXT(K290),K290&lt;&gt;"")</formula>
    </cfRule>
  </conditionalFormatting>
  <conditionalFormatting sqref="L290:N290">
    <cfRule type="expression" dxfId="2302" priority="113">
      <formula>$H$7&lt;3</formula>
    </cfRule>
  </conditionalFormatting>
  <conditionalFormatting sqref="J290:K290">
    <cfRule type="expression" dxfId="2301" priority="112">
      <formula>$H$7&lt;2</formula>
    </cfRule>
  </conditionalFormatting>
  <conditionalFormatting sqref="R290:T290">
    <cfRule type="expression" dxfId="2300" priority="117">
      <formula>$H$7&lt;5</formula>
    </cfRule>
  </conditionalFormatting>
  <conditionalFormatting sqref="U290:W290">
    <cfRule type="expression" dxfId="2299" priority="115">
      <formula>$H$7&lt;6</formula>
    </cfRule>
  </conditionalFormatting>
  <conditionalFormatting sqref="C290">
    <cfRule type="expression" dxfId="2298" priority="116">
      <formula>MAX($H$197,$K$197,$N$197,$Q$197,$T$197,$W$197)&lt;1</formula>
    </cfRule>
  </conditionalFormatting>
  <conditionalFormatting sqref="K290 N290 Q290 T290 W290">
    <cfRule type="expression" dxfId="2297" priority="119">
      <formula>K290&lt;0</formula>
    </cfRule>
  </conditionalFormatting>
  <conditionalFormatting sqref="O310:Q310">
    <cfRule type="expression" dxfId="2296" priority="106">
      <formula>$H$7&lt;4</formula>
    </cfRule>
  </conditionalFormatting>
  <conditionalFormatting sqref="K310 N310 Q310 T310 W310">
    <cfRule type="expression" dxfId="2295" priority="110">
      <formula>AND(ISTEXT(K310),K310&lt;&gt;"")</formula>
    </cfRule>
  </conditionalFormatting>
  <conditionalFormatting sqref="L310:N310">
    <cfRule type="expression" dxfId="2294" priority="105">
      <formula>$H$7&lt;3</formula>
    </cfRule>
  </conditionalFormatting>
  <conditionalFormatting sqref="J310:K310">
    <cfRule type="expression" dxfId="2293" priority="104">
      <formula>$H$7&lt;2</formula>
    </cfRule>
  </conditionalFormatting>
  <conditionalFormatting sqref="R310:T310">
    <cfRule type="expression" dxfId="2292" priority="109">
      <formula>$H$7&lt;5</formula>
    </cfRule>
  </conditionalFormatting>
  <conditionalFormatting sqref="U310:W310">
    <cfRule type="expression" dxfId="2291" priority="107">
      <formula>$H$7&lt;6</formula>
    </cfRule>
  </conditionalFormatting>
  <conditionalFormatting sqref="C310">
    <cfRule type="expression" dxfId="2290" priority="108">
      <formula>MAX($H$197,$K$197,$N$197,$Q$197,$T$197,$W$197)&lt;1</formula>
    </cfRule>
  </conditionalFormatting>
  <conditionalFormatting sqref="K310 N310 Q310 T310 W310">
    <cfRule type="expression" dxfId="2289" priority="111">
      <formula>K310&lt;0</formula>
    </cfRule>
  </conditionalFormatting>
  <conditionalFormatting sqref="J263:K281">
    <cfRule type="expression" dxfId="2288" priority="452">
      <formula>$K$260&lt;1</formula>
    </cfRule>
  </conditionalFormatting>
  <conditionalFormatting sqref="M263:N281">
    <cfRule type="expression" dxfId="2287" priority="454">
      <formula>$N$260&lt;1</formula>
    </cfRule>
  </conditionalFormatting>
  <conditionalFormatting sqref="J283:K301">
    <cfRule type="expression" dxfId="2286" priority="466">
      <formula>$K$260&lt;2</formula>
    </cfRule>
  </conditionalFormatting>
  <conditionalFormatting sqref="M283:N301">
    <cfRule type="expression" dxfId="2285" priority="467">
      <formula>$N$260&lt;2</formula>
    </cfRule>
  </conditionalFormatting>
  <conditionalFormatting sqref="P263:Q281">
    <cfRule type="expression" dxfId="2284" priority="455">
      <formula>$Q$260&lt;1</formula>
    </cfRule>
  </conditionalFormatting>
  <conditionalFormatting sqref="P283:Q301">
    <cfRule type="expression" dxfId="2283" priority="469">
      <formula>$Q$260&lt;2</formula>
    </cfRule>
  </conditionalFormatting>
  <conditionalFormatting sqref="J303:K321">
    <cfRule type="expression" dxfId="2282" priority="470">
      <formula>$K$260&lt;3</formula>
    </cfRule>
  </conditionalFormatting>
  <conditionalFormatting sqref="M303:N321">
    <cfRule type="expression" dxfId="2281" priority="471">
      <formula>$N$260&lt;3</formula>
    </cfRule>
  </conditionalFormatting>
  <conditionalFormatting sqref="P303:Q321">
    <cfRule type="expression" dxfId="2280" priority="472">
      <formula>$Q$260&lt;3</formula>
    </cfRule>
  </conditionalFormatting>
  <conditionalFormatting sqref="B263:H281">
    <cfRule type="expression" dxfId="2279" priority="473">
      <formula>MAX($H$260,$K$260,$N$260,$Q$260,$T$260,$W$260)&lt;1</formula>
    </cfRule>
  </conditionalFormatting>
  <conditionalFormatting sqref="B283:H301">
    <cfRule type="expression" dxfId="2278" priority="474">
      <formula>MAX($H$260,$K$260,$N$260,$Q$260,$T$260,$W$260)&lt;2</formula>
    </cfRule>
  </conditionalFormatting>
  <conditionalFormatting sqref="B303:H321">
    <cfRule type="expression" dxfId="2277" priority="475">
      <formula>MAX($H$260,$K$260,$N$260,$Q$260,$T$260,$W$260)&lt;3</formula>
    </cfRule>
  </conditionalFormatting>
  <conditionalFormatting sqref="S263:T281">
    <cfRule type="expression" dxfId="2276" priority="464">
      <formula>$T$260&lt;1</formula>
    </cfRule>
  </conditionalFormatting>
  <conditionalFormatting sqref="S283:T301">
    <cfRule type="expression" dxfId="2275" priority="477">
      <formula>$T$260&lt;2</formula>
    </cfRule>
  </conditionalFormatting>
  <conditionalFormatting sqref="S303:T321">
    <cfRule type="expression" dxfId="2274" priority="478">
      <formula>$T$260&lt;3</formula>
    </cfRule>
  </conditionalFormatting>
  <conditionalFormatting sqref="V263:W281">
    <cfRule type="expression" dxfId="2273" priority="465">
      <formula>$W$260&lt;1</formula>
    </cfRule>
  </conditionalFormatting>
  <conditionalFormatting sqref="V283:W301">
    <cfRule type="expression" dxfId="2272" priority="468">
      <formula>$W$260&lt;2</formula>
    </cfRule>
  </conditionalFormatting>
  <conditionalFormatting sqref="V303:W321">
    <cfRule type="expression" dxfId="2271" priority="476">
      <formula>$W$260&lt;3</formula>
    </cfRule>
  </conditionalFormatting>
  <conditionalFormatting sqref="J261:K261">
    <cfRule type="expression" dxfId="2270" priority="101">
      <formula>$H$7&lt;2</formula>
    </cfRule>
  </conditionalFormatting>
  <conditionalFormatting sqref="K261">
    <cfRule type="expression" dxfId="2269" priority="102">
      <formula>AND(K261=0,J261="")</formula>
    </cfRule>
  </conditionalFormatting>
  <conditionalFormatting sqref="K261">
    <cfRule type="expression" dxfId="2268" priority="103">
      <formula>K261=""</formula>
    </cfRule>
  </conditionalFormatting>
  <conditionalFormatting sqref="M261:N261">
    <cfRule type="expression" dxfId="2267" priority="98">
      <formula>$H$7&lt;3</formula>
    </cfRule>
  </conditionalFormatting>
  <conditionalFormatting sqref="N261">
    <cfRule type="expression" dxfId="2266" priority="99">
      <formula>AND(N261=0,M261="")</formula>
    </cfRule>
  </conditionalFormatting>
  <conditionalFormatting sqref="N261">
    <cfRule type="expression" dxfId="2265" priority="100">
      <formula>N261=""</formula>
    </cfRule>
  </conditionalFormatting>
  <conditionalFormatting sqref="P261:Q261">
    <cfRule type="expression" dxfId="2264" priority="95">
      <formula>$H$7&lt;4</formula>
    </cfRule>
  </conditionalFormatting>
  <conditionalFormatting sqref="Q261">
    <cfRule type="expression" dxfId="2263" priority="96">
      <formula>AND(Q261=0,P261="")</formula>
    </cfRule>
  </conditionalFormatting>
  <conditionalFormatting sqref="Q261">
    <cfRule type="expression" dxfId="2262" priority="97">
      <formula>Q261=""</formula>
    </cfRule>
  </conditionalFormatting>
  <conditionalFormatting sqref="S261:T261">
    <cfRule type="expression" dxfId="2261" priority="93">
      <formula>$H$7&lt;5</formula>
    </cfRule>
  </conditionalFormatting>
  <conditionalFormatting sqref="T261">
    <cfRule type="expression" dxfId="2260" priority="92">
      <formula>AND(T261=0,S261="")</formula>
    </cfRule>
  </conditionalFormatting>
  <conditionalFormatting sqref="T261">
    <cfRule type="expression" dxfId="2259" priority="94">
      <formula>T261=""</formula>
    </cfRule>
  </conditionalFormatting>
  <conditionalFormatting sqref="V261:W261">
    <cfRule type="expression" dxfId="2258" priority="90">
      <formula>$H$7&lt;6</formula>
    </cfRule>
  </conditionalFormatting>
  <conditionalFormatting sqref="W261">
    <cfRule type="expression" dxfId="2257" priority="89">
      <formula>AND(W261=0,V261="")</formula>
    </cfRule>
  </conditionalFormatting>
  <conditionalFormatting sqref="W261">
    <cfRule type="expression" dxfId="2256" priority="91">
      <formula>W261=""</formula>
    </cfRule>
  </conditionalFormatting>
  <conditionalFormatting sqref="K15:S22">
    <cfRule type="expression" dxfId="2255" priority="88">
      <formula>$G$16&lt;&gt;"Yes"</formula>
    </cfRule>
  </conditionalFormatting>
  <conditionalFormatting sqref="J16">
    <cfRule type="expression" dxfId="2254" priority="86">
      <formula>$G$16&lt;&gt;"Yes"</formula>
    </cfRule>
  </conditionalFormatting>
  <conditionalFormatting sqref="C155:D160 C162:D173">
    <cfRule type="expression" dxfId="2253" priority="26">
      <formula>MAX($H$133,$K$133,$N$133,$Q$133,$T$133,$W$133)&lt;2</formula>
    </cfRule>
  </conditionalFormatting>
  <conditionalFormatting sqref="C161:D161">
    <cfRule type="expression" dxfId="2252" priority="25">
      <formula>MAX($H$133,$K$133,$N$133,$Q$133,$T$133,$W$133)&lt;2</formula>
    </cfRule>
  </conditionalFormatting>
  <conditionalFormatting sqref="C175:D180 C182:D193">
    <cfRule type="expression" dxfId="2251" priority="24">
      <formula>MAX($H$133,$K$133,$N$133,$Q$133,$T$133,$W$133)&lt;3</formula>
    </cfRule>
  </conditionalFormatting>
  <conditionalFormatting sqref="C181:D181">
    <cfRule type="expression" dxfId="2250" priority="23">
      <formula>MAX($H$133,$K$133,$N$133,$Q$133,$T$133,$W$133)&lt;3</formula>
    </cfRule>
  </conditionalFormatting>
  <conditionalFormatting sqref="C199:C200">
    <cfRule type="expression" dxfId="2249" priority="22">
      <formula>MAX($H$197,$K$197,$N$197,$Q$197,$T$197,$W$197)&lt;1</formula>
    </cfRule>
  </conditionalFormatting>
  <conditionalFormatting sqref="C201">
    <cfRule type="expression" dxfId="2248" priority="21">
      <formula>MAX($H$197,$K$197,$N$197,$Q$197,$T$197,$W$197)&lt;1</formula>
    </cfRule>
  </conditionalFormatting>
  <conditionalFormatting sqref="C202">
    <cfRule type="expression" dxfId="2247" priority="20">
      <formula>MAX($H$197,$K$197,$N$197,$Q$197,$T$197,$W$197)&lt;1</formula>
    </cfRule>
  </conditionalFormatting>
  <conditionalFormatting sqref="C203">
    <cfRule type="expression" dxfId="2246" priority="19">
      <formula>MAX($H$197,$K$197,$N$197,$Q$197,$T$197,$W$197)&lt;1</formula>
    </cfRule>
  </conditionalFormatting>
  <conditionalFormatting sqref="C204">
    <cfRule type="expression" dxfId="2245" priority="18">
      <formula>MAX($H$197,$K$197,$N$197,$Q$197,$T$197,$W$197)&lt;1</formula>
    </cfRule>
  </conditionalFormatting>
  <conditionalFormatting sqref="C205">
    <cfRule type="expression" dxfId="2244" priority="17">
      <formula>MAX($H$197,$K$197,$N$197,$Q$197,$T$197,$W$197)&lt;1</formula>
    </cfRule>
  </conditionalFormatting>
  <conditionalFormatting sqref="C207">
    <cfRule type="expression" dxfId="2243" priority="16">
      <formula>MAX($H$197,$K$197,$N$197,$Q$197,$T$197,$W$197)&lt;1</formula>
    </cfRule>
  </conditionalFormatting>
  <conditionalFormatting sqref="C208">
    <cfRule type="expression" dxfId="2242" priority="15">
      <formula>MAX($H$197,$K$197,$N$197,$Q$197,$T$197,$W$197)&lt;1</formula>
    </cfRule>
  </conditionalFormatting>
  <conditionalFormatting sqref="C209">
    <cfRule type="expression" dxfId="2241" priority="14">
      <formula>MAX($H$197,$K$197,$N$197,$Q$197,$T$197,$W$197)&lt;1</formula>
    </cfRule>
  </conditionalFormatting>
  <conditionalFormatting sqref="C210">
    <cfRule type="expression" dxfId="2240" priority="13">
      <formula>MAX($H$197,$K$197,$N$197,$Q$197,$T$197,$W$197)&lt;1</formula>
    </cfRule>
  </conditionalFormatting>
  <conditionalFormatting sqref="C211">
    <cfRule type="expression" dxfId="2239" priority="12">
      <formula>MAX($H$197,$K$197,$N$197,$Q$197,$T$197,$W$197)&lt;1</formula>
    </cfRule>
  </conditionalFormatting>
  <conditionalFormatting sqref="C212">
    <cfRule type="expression" dxfId="2238" priority="11">
      <formula>MAX($H$197,$K$197,$N$197,$Q$197,$T$197,$W$197)&lt;1</formula>
    </cfRule>
  </conditionalFormatting>
  <conditionalFormatting sqref="C213">
    <cfRule type="expression" dxfId="2237" priority="10">
      <formula>MAX($H$197,$K$197,$N$197,$Q$197,$T$197,$W$197)&lt;1</formula>
    </cfRule>
  </conditionalFormatting>
  <conditionalFormatting sqref="C214">
    <cfRule type="expression" dxfId="2236" priority="9">
      <formula>MAX($H$197,$K$197,$N$197,$Q$197,$T$197,$W$197)&lt;1</formula>
    </cfRule>
  </conditionalFormatting>
  <conditionalFormatting sqref="C215">
    <cfRule type="expression" dxfId="2235" priority="8">
      <formula>MAX($H$197,$K$197,$N$197,$Q$197,$T$197,$W$197)&lt;1</formula>
    </cfRule>
  </conditionalFormatting>
  <conditionalFormatting sqref="C216">
    <cfRule type="expression" dxfId="2234" priority="7">
      <formula>MAX($H$197,$K$197,$N$197,$Q$197,$T$197,$W$197)&lt;1</formula>
    </cfRule>
  </conditionalFormatting>
  <conditionalFormatting sqref="C217">
    <cfRule type="expression" dxfId="2233" priority="6">
      <formula>MAX($H$197,$K$197,$N$197,$Q$197,$T$197,$W$197)&lt;1</formula>
    </cfRule>
  </conditionalFormatting>
  <conditionalFormatting sqref="C206">
    <cfRule type="expression" dxfId="2232" priority="5">
      <formula>MAX($H$197,$K$197,$N$197,$Q$197,$T$197,$W$197)&lt;1</formula>
    </cfRule>
  </conditionalFormatting>
  <conditionalFormatting sqref="G122 J122 M122 P122 S122 V122">
    <cfRule type="expression" dxfId="2231" priority="400">
      <formula>H$121&lt;&gt;"Cost per facility"</formula>
    </cfRule>
  </conditionalFormatting>
  <conditionalFormatting sqref="G123 J123 M123 P123 S123 V123">
    <cfRule type="expression" dxfId="2230" priority="279">
      <formula>H$121&lt;&gt;"Cost as % commodity value"</formula>
    </cfRule>
  </conditionalFormatting>
  <dataValidations count="17">
    <dataValidation type="list" allowBlank="1" showInputMessage="1" showErrorMessage="1" sqref="P16" xr:uid="{00000000-0002-0000-0900-000000000000}">
      <formula1>"Vaccines, Reproductive Health,General"</formula1>
    </dataValidation>
    <dataValidation type="decimal" operator="greaterThanOrEqual" allowBlank="1" showInputMessage="1" showErrorMessage="1" sqref="G97 J97 M97 P97 S97 V97" xr:uid="{00000000-0002-0000-0900-000001000000}">
      <formula1>1</formula1>
    </dataValidation>
    <dataValidation type="list" allowBlank="1" showInputMessage="1" showErrorMessage="1" sqref="S105 V314 V316 S314 S316 P314 P316 M314 M316 J314 J316 V294 V296 S294 S296 P294 P296 M294 M296 J294 J296 V274 V276 S274 S276 P274 P276 M274 M276 J274 J276 V250 V252 S250 S252 P250 P252 M250 M252 J250 J252 V230 V232 S230 S232 P230 P232 M230 M232 J230 J232 V210 V212 S210 S212 P210 P212 M210 M212 J210 J212 V185 V187 V165 V167 S185 S187 S165 S167 P185 P187 P165 P167 M185 M187 M165 M167 J185 J187 J165 J167 V145 S145 P145 M145 J145 V147 S147 P147 M147 J147 J105 G105 P105 M105 V105" xr:uid="{00000000-0002-0000-0900-000002000000}">
      <formula1>$B$27:$B$38</formula1>
    </dataValidation>
    <dataValidation type="list" allowBlank="1" showInputMessage="1" showErrorMessage="1" sqref="G117 S117 J117 M117 P117 V117" xr:uid="{00000000-0002-0000-0900-000003000000}">
      <formula1>"Upstream,Downstream"</formula1>
    </dataValidation>
    <dataValidation type="whole" allowBlank="1" showInputMessage="1" showErrorMessage="1" sqref="G7" xr:uid="{00000000-0002-0000-0900-000004000000}">
      <formula1>1</formula1>
      <formula2>6</formula2>
    </dataValidation>
    <dataValidation type="decimal" operator="greaterThanOrEqual" allowBlank="1" showInputMessage="1" showErrorMessage="1" sqref="G146 P139 S139 V139 G148:G150 P146 S146 V146 G46 S148:S150 J186 M186 G49:G52 V148:V150 J188:J190 M188:M190 G166 J166 M166 P166 G168:G170 J168:J170 M168:M170 P168:P170 G211 V188:V190 J211 M203 G213:G215 J203 J213:J215 M213:M215 G231 V203 J223 M223 G233:G235 V213:V215 J233:J235 M233:M235 G251 V223 J243 M243 G253:G255 V233:V235 J253:J255 M253:M255 G275 V243 J277:J279 M277:M279 G277:G279 V253:V255 J275 M275 G295 V277:V279 J297:J299 M297:M299 G297:G299 V275 J295 M295 G315 V297:V299 J317:J319 M317:M319 G317:G319 V295 J315 M315 G73:G76 S104 J122:J123 M122:M123 P122:P123 G28:G38 J28:J38 G12 G43 G55:G58 G122:G123 V98:V99 S122:S123 V122:V123 G8 G186 G188:G190 G67 G69:G70 G98:G99 J98:J99 M98:M99 P98:P99 S98:S99 G63:G64 G104 J104 M104 P104 G106:G107 J106:J107 M106:M107 P106:P107 S106:S107 V106:V107 G109:G113 J109:J113 M109:M113 P109:P113 S109:S113 V109:V113 G115:G116 J115:J116 M115:M116 P115:P116 S115:S116 V115:V116 J139 M139 J146 M146 J148:J150 M148:M150 P148:P150 J159 J179 M159 M179 P159 P179 P186 P188:P190 S159 S166 S168:S170 S179 S186 S188:S190 V159 V166 V168:V170 V179 V186 M211 P211 P203 P213:P215 S211 S203 S213:S215 V211 J231 M231 P231 P223 P233:P235 S231 S223 S233:S235 V231 J251 M251 P251 P243 P253:P255 S251 S243 S253:S255 V251 J267 M267 P267 P277:P279 P275 S267 S277:S279 S275 V267 J287 M287 P287 P297:P299 P295 S287 S297:S299 S295 V287 J307 M307 P307 P317:P319 P315 S307 S317:S319 S315 V307 V317:V319 V315 G17:G18 V104" xr:uid="{00000000-0002-0000-0900-000005000000}">
      <formula1>0</formula1>
    </dataValidation>
    <dataValidation type="decimal" allowBlank="1" showInputMessage="1" showErrorMessage="1" sqref="M310:M311 V135 J310:J311 S135 P135 G303 J175 M175 S141:S142 J181:J182 V141:V142 M181:M182 M155 P155 J155 M161:M162 J161:J162 P161:P162 V175 M206:M207 V181:V182 J206:J207 G199 J199 G246:G247 G206:G207 J226:J227 M226:M227 V206:V207 J219 G219 V199 M199 G226:G227 J246:J247 M246:M247 V226:V227 J239 G239 V219 M219 M239 J270:J271 M270:M271 V246:V247 J263 G263 V239 G270:G271 M263 J290:J291 J283 V270:V271 V263 G283 G290:G291 M290:M291 M283 V290:V291 G310:G311 J303 V283 M303 J135 M135 J141:J142 M141:M142 P141:P142 P175 P181:P182 S155 S161:S162 S175 S181:S182 V155 V161:V162 P206:P207 P199 S206:S207 S199 P226:P227 P219 S226:S227 S219 P246:P247 P239 S246:S247 S239 P270:P271 P263 S270:S271 S263 P290:P291 P283 S290:S291 S283 P310:P311 P303 S310:S311 S303 V310:V311 V303" xr:uid="{00000000-0002-0000-0900-000006000000}">
      <formula1>0</formula1>
      <formula2>1</formula2>
    </dataValidation>
    <dataValidation type="whole" allowBlank="1" showInputMessage="1" showErrorMessage="1" sqref="J133:J134 M133:M134 P133:P134 S133 V133 J197 M197 P197 S197 V197 J260 M260 P260 S260 V260" xr:uid="{00000000-0002-0000-0900-000007000000}">
      <formula1>0</formula1>
      <formula2>3</formula2>
    </dataValidation>
    <dataValidation type="whole" operator="greaterThan" allowBlank="1" showInputMessage="1" showErrorMessage="1" sqref="G95:G96 J95:J96 M95:M96 P95:P96 S95:S96 V95:V96" xr:uid="{00000000-0002-0000-0900-000008000000}">
      <formula1>0</formula1>
    </dataValidation>
    <dataValidation type="decimal" allowBlank="1" showInputMessage="1" showErrorMessage="1" sqref="G94 J94 M94 P94 S94 V94" xr:uid="{00000000-0002-0000-0900-000009000000}">
      <formula1>0</formula1>
      <formula2>99.9999</formula2>
    </dataValidation>
    <dataValidation type="decimal" operator="greaterThan" allowBlank="1" showInputMessage="1" showErrorMessage="1" sqref="G68 G77:G78 G6 V308 G71:G72 V92 G216 G9:G11 P171:P172 G236:G238 P262 V256:V257 V280:V281 S92 S114 P114 V114 G92 P151:P152 M180 P180 P160 J160 V191:V192 V184 M209 V209 J229 M229 G203:G204 V236:V237 J256:J257 M256:M257 G223:G224 V249 J273 M273 V273 J293 M293 V300:V301 J320:J321 M320:M321 P92 S140 V140 J140 J92 S151:S152 J184 M184 G307:G308 S160 M164 P164 G209 J216:J218 M216:M218 P216:P218 G229 J236:J238 M236:M238 P236:P238 G249 V229 J249 M249 G273 V244 M280:M282 P280:P282 G293 V268 M300:M302 P300:P302 G313 V293 J313 M313 P144 S144 G151:G152 V144 M92 V151:V152 J191:J192 M191:M192 G171:G172 J164 M171:M172 G191:G192 J209 M204 J171:J172 V204 J224 M224 J204 G256:G257 V224 J244 M244 J268 M268 G280:G282 G262 J288 M288 G300:G302 G267:G268 G320:G321 V288 J308 M308 J180 G21 G19 G44:G45 G47:G48 G53:G54 G287:G288 V108 S108 P108 G243:G244 J262 M262 M108 G108 J108 G114 J114 M114 M140 V313 J144 M144 J151:J152 M151:M152 P191:P192 S180 P184 V160 S171:S172 S164 V180 S191:S192 S184 P140 V164 V171:V172 M160 P209 P204 S216:S217 S209 S204 V216:V217 P229 P224 S236:S237 S229 S224 P256:P257 P249 P244 S256:S257 S249 S244 J280:J282 P273 P268 S280:S281 S273 S268 J300:J302 P293 P288 S300:S301 S293 S288 P320:P321 P313 P308 S320:S321 S313 S308 V320:V321 G59:G62 G65:G66" xr:uid="{00000000-0002-0000-0900-00000A000000}">
      <formula1>0</formula1>
    </dataValidation>
    <dataValidation type="decimal" allowBlank="1" showInputMessage="1" showErrorMessage="1" sqref="G93 J93 M93 P93 S93 V93" xr:uid="{00000000-0002-0000-0900-00000B000000}">
      <formula1>0.0001</formula1>
      <formula2>2</formula2>
    </dataValidation>
    <dataValidation type="list" allowBlank="1" showInputMessage="1" showErrorMessage="1" sqref="G121 J121 M121 P121 S121 V121" xr:uid="{00000000-0002-0000-0900-00000C000000}">
      <formula1>"Cost per facility, Cost as % commodity value"</formula1>
    </dataValidation>
    <dataValidation type="list" allowBlank="1" showInputMessage="1" showErrorMessage="1" sqref="G316 G274 G276 G212 G232 G210 G294 G230 G147 G167 G296 G250 G314 G252 G187" xr:uid="{00000000-0002-0000-0900-00000D000000}">
      <formula1>$B$28:$B$38</formula1>
    </dataValidation>
    <dataValidation type="list" allowBlank="1" showInputMessage="1" showErrorMessage="1" sqref="J309 M205 V289 V205 G309 P205 M225 V225 G289 P225 M245 V245 V309 P245 M269 V269 J289 P269 P289 S205 P309 S225 J205 S245 J225 S269 J245 S289 J269 S309 M289 M309" xr:uid="{00000000-0002-0000-0900-00000E000000}">
      <formula1>"Yes, No"</formula1>
    </dataValidation>
    <dataValidation type="list" allowBlank="1" showInputMessage="1" showErrorMessage="1" sqref="M248 G312 J312 J208 V272 V228 V143 G228 M272 J292 P163 M228 M183 G248 J183 J248 J272 G272 V183 M163 M208 V292 G292 M292 V208 J163 M312 V248 J228 G208 J143 M143 P143 S143 P183 S163 S183 V163 P208 S208 P228 S228 P248 S248 P272 S272 P292 S292 P312 S312 V312" xr:uid="{00000000-0002-0000-0900-00000F000000}">
      <formula1>"Route-based,Point-to-point"</formula1>
    </dataValidation>
    <dataValidation type="list" allowBlank="1" showInputMessage="1" showErrorMessage="1" sqref="G193 V173:V174 J173:J174 M173:M174 P173:P174 S173:S174 G153:G154 V153:V154 S153:S154 P153:P154 M153:M154 J153:J154 J193 G173:G174 S193 P193 M193 V193 G16" xr:uid="{00000000-0002-0000-0900-000010000000}">
      <formula1>"Yes,No"</formula1>
    </dataValidation>
  </dataValidations>
  <hyperlinks>
    <hyperlink ref="K20" location="'Vaccine Demand Volume &amp; Value'!A1" display="Vaccines Demand V&amp;V" xr:uid="{00000000-0004-0000-0900-000000000000}"/>
    <hyperlink ref="K21" location="'RH Demand Volume &amp; Value'!A1" display="RH Demand V&amp;V" xr:uid="{00000000-0004-0000-0900-000001000000}"/>
    <hyperlink ref="Q20:S20" location="'Vaccine Demand Volume &amp; Value'!A1" display="1. Vaccine Demand Volume &amp; Value" xr:uid="{00000000-0004-0000-0900-000002000000}"/>
    <hyperlink ref="Q21:S21" location="'RH Demand Volume &amp; Value'!A1" display="2. RH Demand Volume &amp; Value" xr:uid="{00000000-0004-0000-0900-000003000000}"/>
    <hyperlink ref="K22" location="'General Demand Volume'!A1" display="c. General Demand Vol." xr:uid="{00000000-0004-0000-0900-000004000000}"/>
    <hyperlink ref="Q22" location="'General Demand Volume'!A1" display="c. General Demand Volume" xr:uid="{00000000-0004-0000-0900-000005000000}"/>
  </hyperlinks>
  <pageMargins left="0.7" right="0.7" top="0.75" bottom="0.75" header="0.3" footer="0.3"/>
  <pageSetup orientation="portrait" r:id="rId1"/>
  <ignoredErrors>
    <ignoredError sqref="Q122 T122 W122 N122 K122" formula="1"/>
  </ignoredErrors>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900-000011000000}">
          <x14:formula1>
            <xm:f>'Scenario Manager'!$O$7:$O$12</xm:f>
          </x14:formula1>
          <xm:sqref>G5 G86 J86 M86 P86 S86 V86</xm:sqref>
        </x14:dataValidation>
        <x14:dataValidation type="list" allowBlank="1" showInputMessage="1" showErrorMessage="1" xr:uid="{00000000-0002-0000-0900-000012000000}">
          <x14:formula1>
            <xm:f>'List Values'!$C$3:$C$8</xm:f>
          </x14:formula1>
          <xm:sqref>G87 J87 M87 P87 S87 V87</xm:sqref>
        </x14:dataValidation>
        <x14:dataValidation type="list" allowBlank="1" showInputMessage="1" showErrorMessage="1" xr:uid="{00000000-0002-0000-0900-000013000000}">
          <x14:formula1>
            <xm:f>'List Values'!$G$3:$G$9</xm:f>
          </x14:formula1>
          <xm:sqref>J304 V264 J284 M284 V284 V136 M304 J176 M176 G304 J156 M156 P156 G200 V176 J200 M200 G220 V200 J220 M220 G240 V220 J240 M240 G264 V240 J264 M264 G284 J136 M136 P136 S136 P176 S156 S176 V156 P200 S200 P220 S220 P240 S240 P264 S264 P284 S284 P304 S304 V304</xm:sqref>
        </x14:dataValidation>
        <x14:dataValidation type="list" operator="greaterThan" allowBlank="1" showInputMessage="1" showErrorMessage="1" xr:uid="{00000000-0002-0000-0900-000014000000}">
          <x14:formula1>
            <xm:f>'List Values'!$B$3:$B$4</xm:f>
          </x14:formula1>
          <xm:sqref>G20</xm:sqref>
        </x14:dataValidation>
        <x14:dataValidation type="list" allowBlank="1" showInputMessage="1" showErrorMessage="1" xr:uid="{00000000-0002-0000-0900-000015000000}">
          <x14:formula1>
            <xm:f>'List Values'!$B$3:$B$4</xm:f>
          </x14:formula1>
          <xm:sqref>G20 J19 P20</xm:sqref>
        </x14:dataValidation>
        <x14:dataValidation type="list" allowBlank="1" showInputMessage="1" showErrorMessage="1" xr:uid="{00000000-0002-0000-0900-000016000000}">
          <x14:formula1>
            <xm:f>'List Values'!$E$3:$E$7</xm:f>
          </x14:formula1>
          <xm:sqref>T137</xm:sqref>
        </x14:dataValidation>
        <x14:dataValidation type="list" allowBlank="1" showInputMessage="1" showErrorMessage="1" xr:uid="{00000000-0002-0000-0900-000017000000}">
          <x14:formula1>
            <xm:f>'List Values'!$F$3:$F$7</xm:f>
          </x14:formula1>
          <xm:sqref>M306 J286 M286 G306 J306 V138 J178 M178 V286 J158 M158 P158 G202 V178 J202 M202 G222 V202 J222 M222 G242 V222 J242 M242 G266 V242 J266 M266 G286 V266 J138 M138 P138 S138 P178 S158 S178 V158 P202 S202 P222 S222 P242 S242 P266 S266 P286 S286 P306 S306 V306</xm:sqref>
        </x14:dataValidation>
        <x14:dataValidation type="list" allowBlank="1" showInputMessage="1" showErrorMessage="1" xr:uid="{00000000-0002-0000-0900-000018000000}">
          <x14:formula1>
            <xm:f>'List Values'!$E$3:$E$5</xm:f>
          </x14:formula1>
          <xm:sqref>M305 M285 J285 V265 M177 J177 V137 J305 V285 J157 M157 P157 M201 J201 V177 G305 G221 V201 J221 M221 M241 J241 V221 G241 G285 V241 J265 M265 J137 M137 P137 S137 P177 S157 S177 V157 P201 S201 P221 S221 P241 S241 P265 S265 P285 S285 P305 S305 V305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E680B-1887-4307-A770-1B18F53EE262}">
  <sheetPr>
    <tabColor theme="4" tint="0.59999389629810485"/>
    <outlinePr summaryBelow="0"/>
  </sheetPr>
  <dimension ref="A1:AF330"/>
  <sheetViews>
    <sheetView showGridLines="0" zoomScale="80" zoomScaleNormal="80" zoomScalePageLayoutView="80" workbookViewId="0">
      <pane xSplit="4" ySplit="2" topLeftCell="E29" activePane="bottomRight" state="frozen"/>
      <selection activeCell="M87" sqref="M87"/>
      <selection pane="topRight" activeCell="M87" sqref="M87"/>
      <selection pane="bottomLeft" activeCell="M87" sqref="M87"/>
      <selection pane="bottomRight" activeCell="G22" sqref="G22"/>
    </sheetView>
  </sheetViews>
  <sheetFormatPr defaultColWidth="8.84375" defaultRowHeight="14.6" outlineLevelRow="1"/>
  <cols>
    <col min="1" max="1" width="7.69140625" customWidth="1"/>
    <col min="2" max="2" width="13.69140625" customWidth="1"/>
    <col min="3" max="3" width="34.15234375" customWidth="1"/>
    <col min="4" max="4" width="46.3828125" customWidth="1"/>
    <col min="5" max="5" width="0.69140625" customWidth="1"/>
    <col min="6" max="6" width="0.3828125" customWidth="1"/>
    <col min="7" max="7" width="18.3828125" style="6" customWidth="1"/>
    <col min="8" max="8" width="21.84375" customWidth="1"/>
    <col min="9" max="9" width="0.3828125" customWidth="1"/>
    <col min="10" max="10" width="21.3828125" style="6" customWidth="1"/>
    <col min="11" max="11" width="25" customWidth="1"/>
    <col min="12" max="12" width="0.3828125" customWidth="1"/>
    <col min="13" max="13" width="24.69140625" style="6" customWidth="1"/>
    <col min="14" max="14" width="20.3828125" customWidth="1"/>
    <col min="15" max="15" width="0.3046875" customWidth="1"/>
    <col min="16" max="16" width="20.15234375" style="6" customWidth="1"/>
    <col min="17" max="17" width="18.84375" customWidth="1"/>
    <col min="18" max="18" width="0.3046875" customWidth="1"/>
    <col min="19" max="19" width="18.15234375" customWidth="1"/>
    <col min="20" max="20" width="19.15234375" customWidth="1"/>
    <col min="21" max="21" width="0.3046875" customWidth="1"/>
    <col min="22" max="22" width="17" customWidth="1"/>
    <col min="23" max="23" width="20" customWidth="1"/>
    <col min="25" max="25" width="26.3046875" customWidth="1"/>
    <col min="26" max="26" width="14.84375" customWidth="1"/>
    <col min="27" max="27" width="21.3046875" customWidth="1"/>
    <col min="28" max="28" width="18.84375" customWidth="1"/>
    <col min="30" max="30" width="8.84375" customWidth="1"/>
  </cols>
  <sheetData>
    <row r="1" spans="1:32" ht="36.75" customHeight="1">
      <c r="A1" s="2688" t="s">
        <v>5799</v>
      </c>
      <c r="B1" s="2689"/>
      <c r="C1" s="2689"/>
      <c r="D1" s="2689"/>
      <c r="E1" s="2689"/>
      <c r="F1" s="2689"/>
      <c r="G1" s="2689"/>
      <c r="H1" s="2689"/>
      <c r="I1" s="2689"/>
      <c r="J1" s="2689"/>
      <c r="K1" s="2689"/>
      <c r="X1" s="6"/>
    </row>
    <row r="2" spans="1:32" ht="9" customHeight="1">
      <c r="X2" s="6"/>
    </row>
    <row r="3" spans="1:32" ht="33" customHeight="1">
      <c r="B3" s="2391" t="s">
        <v>304</v>
      </c>
      <c r="C3" s="2391"/>
      <c r="D3" s="2391"/>
      <c r="E3" s="2391"/>
      <c r="V3" s="36"/>
      <c r="W3" s="36"/>
      <c r="X3" s="6"/>
      <c r="Y3" s="36"/>
      <c r="Z3" s="36"/>
      <c r="AA3" s="36"/>
      <c r="AB3" s="36"/>
      <c r="AC3" s="36"/>
      <c r="AD3" s="36"/>
      <c r="AE3" s="36"/>
      <c r="AF3" s="36"/>
    </row>
    <row r="4" spans="1:32" ht="30" customHeight="1" outlineLevel="1">
      <c r="B4" s="54"/>
      <c r="C4" s="236"/>
      <c r="D4" s="236"/>
      <c r="E4" s="5"/>
      <c r="G4" s="255" t="s">
        <v>17</v>
      </c>
      <c r="H4" s="924" t="s">
        <v>2510</v>
      </c>
      <c r="V4" s="36"/>
      <c r="W4" s="36"/>
      <c r="X4" s="6"/>
      <c r="Y4" s="2619" t="s">
        <v>673</v>
      </c>
      <c r="Z4" s="2620"/>
      <c r="AA4" s="2620"/>
      <c r="AB4" s="2621"/>
      <c r="AC4" s="36"/>
      <c r="AD4" s="36"/>
      <c r="AE4" s="36"/>
      <c r="AF4" s="36"/>
    </row>
    <row r="5" spans="1:32" ht="33" customHeight="1" outlineLevel="1">
      <c r="B5" s="2561" t="s">
        <v>2516</v>
      </c>
      <c r="C5" s="2562"/>
      <c r="D5" s="2562"/>
      <c r="E5" s="2563"/>
      <c r="G5" s="521" t="s">
        <v>5547</v>
      </c>
      <c r="H5" s="928"/>
      <c r="V5" s="36"/>
      <c r="W5" s="36"/>
      <c r="X5" s="6"/>
      <c r="Y5" s="2643" t="s">
        <v>2334</v>
      </c>
      <c r="Z5" s="2644"/>
      <c r="AA5" s="2644"/>
      <c r="AB5" s="2645"/>
      <c r="AC5" s="36"/>
      <c r="AD5" s="36"/>
      <c r="AE5" s="36"/>
      <c r="AF5" s="36"/>
    </row>
    <row r="6" spans="1:32" ht="30.75" customHeight="1" outlineLevel="1">
      <c r="B6" s="2564" t="s">
        <v>5544</v>
      </c>
      <c r="C6" s="2565"/>
      <c r="D6" s="2565"/>
      <c r="E6" s="2566"/>
      <c r="G6" s="522"/>
      <c r="H6" s="918">
        <f ca="1">IF(G6&lt;&gt;"",G6,IFERROR(IF(INDIRECT("'"&amp;$G$5&amp;"'!"&amp;ADDRESS(ROW(H6),COLUMN(H6)))="","",INDIRECT("'"&amp;G$5&amp;"'!"&amp;ADDRESS(ROW(H6),COLUMN(H6)))),IF($G$5&lt;&gt;"","Data Source Error","")))</f>
        <v>1</v>
      </c>
      <c r="V6" s="36"/>
      <c r="W6" s="36"/>
      <c r="X6" s="6"/>
      <c r="Y6" s="2643"/>
      <c r="Z6" s="2644"/>
      <c r="AA6" s="2644"/>
      <c r="AB6" s="2645"/>
      <c r="AC6" s="36"/>
      <c r="AD6" s="36"/>
      <c r="AE6" s="36"/>
      <c r="AF6" s="36"/>
    </row>
    <row r="7" spans="1:32" ht="16.5" customHeight="1" outlineLevel="1">
      <c r="B7" s="2567" t="s">
        <v>413</v>
      </c>
      <c r="C7" s="2568"/>
      <c r="D7" s="2568"/>
      <c r="E7" s="2569"/>
      <c r="G7" s="523"/>
      <c r="H7" s="918">
        <f ca="1">IF(G7&lt;&gt;"",G7,IFERROR(IF(INDIRECT("'"&amp;$G$5&amp;"'!"&amp;ADDRESS(ROW(H7),COLUMN(H7)))="","",INDIRECT("'"&amp;$G$5&amp;"'!"&amp;ADDRESS(ROW(H7),COLUMN(H7)))),IF($G$5&lt;&gt;"","Data Source Error","")))</f>
        <v>3</v>
      </c>
      <c r="V7" s="36"/>
      <c r="W7" s="36"/>
      <c r="X7" s="6"/>
      <c r="Y7" s="2643"/>
      <c r="Z7" s="2644"/>
      <c r="AA7" s="2644"/>
      <c r="AB7" s="2645"/>
      <c r="AC7" s="36"/>
      <c r="AD7" s="36"/>
      <c r="AE7" s="36"/>
      <c r="AF7" s="36"/>
    </row>
    <row r="8" spans="1:32" ht="15" customHeight="1" outlineLevel="1">
      <c r="B8" s="2567" t="s">
        <v>11</v>
      </c>
      <c r="C8" s="2568"/>
      <c r="D8" s="2568"/>
      <c r="E8" s="2569"/>
      <c r="G8" s="524"/>
      <c r="H8" s="1065">
        <f ca="1">IF(G8&lt;&gt;"",G8,IFERROR(IF(INDIRECT("'"&amp;$G$5&amp;"'!"&amp;ADDRESS(ROW(H8),COLUMN(H8)))="","",INDIRECT("'"&amp;$G$5&amp;"'!"&amp;ADDRESS(ROW(H8),COLUMN(H8)))*$H$6),IF($G$5&lt;&gt;"","Data Source Error","")))</f>
        <v>1.37</v>
      </c>
      <c r="N8" s="6"/>
      <c r="O8" s="6"/>
      <c r="Q8" s="6"/>
      <c r="R8" s="6"/>
      <c r="S8" s="6"/>
      <c r="T8" s="6"/>
      <c r="V8" s="36"/>
      <c r="W8" s="36"/>
      <c r="X8" s="6"/>
      <c r="Y8" s="2643"/>
      <c r="Z8" s="2644"/>
      <c r="AA8" s="2644"/>
      <c r="AB8" s="2645"/>
      <c r="AC8" s="36"/>
      <c r="AD8" s="36"/>
      <c r="AE8" s="36"/>
      <c r="AF8" s="36"/>
    </row>
    <row r="9" spans="1:32" ht="15" customHeight="1" outlineLevel="1">
      <c r="B9" s="2567" t="s">
        <v>12</v>
      </c>
      <c r="C9" s="2568"/>
      <c r="D9" s="2568"/>
      <c r="E9" s="2569"/>
      <c r="G9" s="523"/>
      <c r="H9" s="918">
        <f ca="1">IF(G9&lt;&gt;"",G9,IFERROR(IF(INDIRECT("'"&amp;$G$5&amp;"'!"&amp;ADDRESS(ROW(H9),COLUMN(H9)))="","",INDIRECT("'"&amp;$G$5&amp;"'!"&amp;ADDRESS(ROW(H9),COLUMN(H9)))),IF($G$5&lt;&gt;"","Data Source Error","")))</f>
        <v>240</v>
      </c>
      <c r="V9" s="36"/>
      <c r="W9" s="36"/>
      <c r="X9" s="6"/>
      <c r="Y9" s="2643"/>
      <c r="Z9" s="2644"/>
      <c r="AA9" s="2644"/>
      <c r="AB9" s="2645"/>
      <c r="AC9" s="36"/>
      <c r="AD9" s="36"/>
      <c r="AE9" s="36"/>
      <c r="AF9" s="36"/>
    </row>
    <row r="10" spans="1:32" ht="15" customHeight="1" outlineLevel="1">
      <c r="B10" s="2567" t="s">
        <v>13</v>
      </c>
      <c r="C10" s="2568"/>
      <c r="D10" s="2568"/>
      <c r="E10" s="2569"/>
      <c r="G10" s="523"/>
      <c r="H10" s="918">
        <f ca="1">IF(G10&lt;&gt;"",G10,IFERROR(IF(INDIRECT("'"&amp;$G$5&amp;"'!"&amp;ADDRESS(ROW(H10),COLUMN(H10)))="","",INDIRECT("'"&amp;$G$5&amp;"'!"&amp;ADDRESS(ROW(H10),COLUMN(H10)))),IF($G$5&lt;&gt;"","Data Source Error","")))</f>
        <v>8</v>
      </c>
      <c r="V10" s="36"/>
      <c r="W10" s="36"/>
      <c r="X10" s="6"/>
      <c r="Y10" s="2643"/>
      <c r="Z10" s="2644"/>
      <c r="AA10" s="2644"/>
      <c r="AB10" s="2645"/>
      <c r="AC10" s="36"/>
      <c r="AD10" s="36"/>
      <c r="AE10" s="36"/>
      <c r="AF10" s="36"/>
    </row>
    <row r="11" spans="1:32" ht="15" customHeight="1" outlineLevel="1">
      <c r="B11" s="2567" t="s">
        <v>388</v>
      </c>
      <c r="C11" s="2568"/>
      <c r="D11" s="2568"/>
      <c r="E11" s="2569"/>
      <c r="G11" s="523"/>
      <c r="H11" s="918">
        <f ca="1">IF(G11&lt;&gt;"",G11,IFERROR(IF(INDIRECT("'"&amp;$G$5&amp;"'!"&amp;ADDRESS(ROW(H11),COLUMN(H11)))="","",INDIRECT("'"&amp;$G$5&amp;"'!"&amp;ADDRESS(ROW(H11),COLUMN(H11)))),IF($G$5&lt;&gt;"","Data Source Error","")))</f>
        <v>5</v>
      </c>
      <c r="V11" s="36"/>
      <c r="W11" s="36"/>
      <c r="X11" s="6"/>
      <c r="Y11" s="2643"/>
      <c r="Z11" s="2644"/>
      <c r="AA11" s="2644"/>
      <c r="AB11" s="2645"/>
      <c r="AC11" s="36"/>
      <c r="AD11" s="36"/>
      <c r="AE11" s="36"/>
      <c r="AF11" s="36"/>
    </row>
    <row r="12" spans="1:32" ht="14.25" customHeight="1" outlineLevel="1">
      <c r="B12" s="2570" t="s">
        <v>399</v>
      </c>
      <c r="C12" s="2571"/>
      <c r="D12" s="2571"/>
      <c r="E12" s="2572"/>
      <c r="G12" s="2057"/>
      <c r="H12" s="920">
        <f ca="1">IF(G12&lt;&gt;"",G12,IFERROR(IF(INDIRECT("'"&amp;$G$5&amp;"'!"&amp;ADDRESS(ROW(H12),COLUMN(H12)))="","",INDIRECT("'"&amp;$G$5&amp;"'!"&amp;ADDRESS(ROW(H12),COLUMN(H12)))),IF($G$5&lt;&gt;"","Data Source Error","")))</f>
        <v>5</v>
      </c>
      <c r="V12" s="36"/>
      <c r="W12" s="36"/>
      <c r="X12" s="6"/>
      <c r="Y12" s="2643"/>
      <c r="Z12" s="2644"/>
      <c r="AA12" s="2644"/>
      <c r="AB12" s="2645"/>
      <c r="AC12" s="36"/>
      <c r="AD12" s="36"/>
      <c r="AE12" s="36"/>
      <c r="AF12" s="36"/>
    </row>
    <row r="13" spans="1:32" ht="36.75" customHeight="1">
      <c r="A13" s="630" t="s">
        <v>355</v>
      </c>
      <c r="C13" s="39"/>
      <c r="D13" s="39"/>
      <c r="E13" s="39"/>
      <c r="G13" s="121"/>
      <c r="H13" s="11"/>
      <c r="N13" s="6"/>
      <c r="P13"/>
      <c r="T13" s="36"/>
      <c r="U13" s="36"/>
      <c r="V13" s="6"/>
      <c r="W13" s="36"/>
      <c r="X13" s="36"/>
      <c r="Y13" s="36"/>
      <c r="Z13" s="36"/>
      <c r="AA13" s="36"/>
      <c r="AB13" s="36"/>
      <c r="AC13" s="36"/>
      <c r="AD13" s="36"/>
    </row>
    <row r="14" spans="1:32" ht="35.25" customHeight="1">
      <c r="B14" s="2391" t="s">
        <v>296</v>
      </c>
      <c r="C14" s="2391"/>
      <c r="D14" s="2391"/>
      <c r="E14" s="2391"/>
      <c r="G14" s="121"/>
      <c r="H14" s="11"/>
      <c r="AD14" s="36"/>
      <c r="AE14" s="36"/>
      <c r="AF14" s="36"/>
    </row>
    <row r="15" spans="1:32" ht="33.65" customHeight="1" outlineLevel="1">
      <c r="B15" s="54"/>
      <c r="C15" s="236"/>
      <c r="D15" s="236"/>
      <c r="E15" s="5"/>
      <c r="G15" s="255" t="s">
        <v>17</v>
      </c>
      <c r="H15" s="924" t="s">
        <v>2510</v>
      </c>
      <c r="J15" s="274"/>
      <c r="K15" s="2589" t="s">
        <v>5500</v>
      </c>
      <c r="M15" s="2573" t="s">
        <v>5506</v>
      </c>
      <c r="N15" s="2574"/>
      <c r="O15" s="2574"/>
      <c r="P15" s="2575"/>
      <c r="Q15" s="2574"/>
      <c r="R15" s="2574"/>
      <c r="S15" s="2576"/>
      <c r="T15" s="1690"/>
      <c r="U15" s="1690"/>
      <c r="V15" s="1690"/>
      <c r="Y15" s="2619" t="s">
        <v>673</v>
      </c>
      <c r="Z15" s="2620"/>
      <c r="AA15" s="2620"/>
      <c r="AB15" s="2621"/>
      <c r="AD15" s="36"/>
      <c r="AE15" s="36"/>
      <c r="AF15" s="36"/>
    </row>
    <row r="16" spans="1:32" ht="18.75" customHeight="1" outlineLevel="1" collapsed="1">
      <c r="B16" s="2579" t="s">
        <v>5471</v>
      </c>
      <c r="C16" s="2580"/>
      <c r="D16" s="2580"/>
      <c r="E16" s="2581"/>
      <c r="G16" s="521"/>
      <c r="H16" s="1687"/>
      <c r="J16" s="1690" t="s">
        <v>2440</v>
      </c>
      <c r="K16" s="2589"/>
      <c r="M16" s="1874" t="s">
        <v>2507</v>
      </c>
      <c r="N16" s="44"/>
      <c r="O16" s="1875"/>
      <c r="P16" s="1885" t="s">
        <v>2062</v>
      </c>
      <c r="Q16" s="2590" t="s">
        <v>5507</v>
      </c>
      <c r="R16" s="2591"/>
      <c r="S16" s="2592"/>
      <c r="T16" s="1688"/>
      <c r="U16" s="1688"/>
      <c r="V16" s="1688"/>
      <c r="Y16" s="2643"/>
      <c r="Z16" s="2644"/>
      <c r="AA16" s="2644"/>
      <c r="AB16" s="2645"/>
      <c r="AD16" s="36"/>
      <c r="AE16" s="36"/>
      <c r="AF16" s="36"/>
    </row>
    <row r="17" spans="1:32" ht="15" customHeight="1" outlineLevel="1">
      <c r="B17" s="2555" t="s">
        <v>367</v>
      </c>
      <c r="C17" s="2556"/>
      <c r="D17" s="2556"/>
      <c r="E17" s="2557"/>
      <c r="G17" s="553">
        <v>2932.5</v>
      </c>
      <c r="H17" s="925">
        <f ca="1">IF(G17&lt;&gt;"",G17,IFERROR(IF($G$16="Yes",$P$17,IF(INDIRECT("'"&amp;$G$5&amp;"'!"&amp;ADDRESS(ROW(H17),COLUMN(H17)))="","",INDIRECT("'"&amp;$G$5&amp;"'!"&amp;ADDRESS(ROW(H17),COLUMN(H17))))),IF($G$5&lt;&gt;"","Data Source Error","")))</f>
        <v>2932.5</v>
      </c>
      <c r="K17" s="2589" t="s">
        <v>5508</v>
      </c>
      <c r="M17" s="1873" t="s">
        <v>5503</v>
      </c>
      <c r="N17" s="1873"/>
      <c r="O17" s="1873"/>
      <c r="P17" s="1868">
        <f ca="1">IF($P$16="Vaccines",'Vaccine Demand Volume &amp; Value'!$G$82,IF($P$16="Reproductive Health",'RH Demand Volume &amp; Value'!$J$67, IF($P$16="General",'General Demand Volume'!$AB$9,"")))</f>
        <v>119.95700266668503</v>
      </c>
      <c r="Q17" s="2593"/>
      <c r="R17" s="2594"/>
      <c r="S17" s="2595"/>
      <c r="T17" s="1688"/>
      <c r="U17" s="1688"/>
      <c r="V17" s="1688"/>
      <c r="Y17" s="2643"/>
      <c r="Z17" s="2644"/>
      <c r="AA17" s="2644"/>
      <c r="AB17" s="2645"/>
      <c r="AD17" s="36"/>
      <c r="AE17" s="36"/>
    </row>
    <row r="18" spans="1:32" ht="15" customHeight="1" outlineLevel="1">
      <c r="B18" s="2558" t="s">
        <v>678</v>
      </c>
      <c r="C18" s="2559"/>
      <c r="D18" s="2559"/>
      <c r="E18" s="2560"/>
      <c r="G18" s="523"/>
      <c r="H18" s="918">
        <f ca="1">IF(G18&lt;&gt;"",G18,IFERROR(IF($G$16="Yes",$P$18,IF(INDIRECT("'"&amp;$G$5&amp;"'!"&amp;ADDRESS(ROW(H18),COLUMN(H18)))="","",INDIRECT("'"&amp;$G$5&amp;"'!"&amp;ADDRESS(ROW(H18),COLUMN(H18))))),IF($G$5&lt;&gt;"","Data Source Error","")))</f>
        <v>0</v>
      </c>
      <c r="K18" s="2589"/>
      <c r="M18" s="1876" t="s">
        <v>5504</v>
      </c>
      <c r="N18" s="1877"/>
      <c r="O18" s="1878"/>
      <c r="P18" s="1872">
        <f>IF($P$16="Vaccines",'Vaccine Demand Volume &amp; Value'!$G$81,IF($P$16="Reproductive Health",0, IF($P$16="General",'General Demand Volume'!$AB$11,"")))</f>
        <v>0</v>
      </c>
      <c r="Q18" s="2593"/>
      <c r="R18" s="2594"/>
      <c r="S18" s="2595"/>
      <c r="T18" s="1688"/>
      <c r="U18" s="1688"/>
      <c r="V18" s="1688"/>
      <c r="Y18" s="2643"/>
      <c r="Z18" s="2644"/>
      <c r="AA18" s="2644"/>
      <c r="AB18" s="2645"/>
      <c r="AD18" s="36"/>
      <c r="AE18" s="36"/>
      <c r="AF18" s="36"/>
    </row>
    <row r="19" spans="1:32" ht="15" customHeight="1" outlineLevel="1">
      <c r="B19" s="2558" t="s">
        <v>130</v>
      </c>
      <c r="C19" s="2559"/>
      <c r="D19" s="2559"/>
      <c r="E19" s="2560"/>
      <c r="G19" s="523"/>
      <c r="H19" s="918">
        <f ca="1">IF(G19&lt;&gt;"",G19,IFERROR(IF($G$16="Yes",$P$19,IF(INDIRECT("'"&amp;$G$5&amp;"'!"&amp;ADDRESS(ROW(H19),COLUMN(H19)))="","",INDIRECT("'"&amp;$G$5&amp;"'!"&amp;ADDRESS(ROW(H19),COLUMN(H19))))),IF($G$5&lt;&gt;"","Data Source Error","")))</f>
        <v>109</v>
      </c>
      <c r="K19" s="2589"/>
      <c r="M19" s="1876" t="s">
        <v>2508</v>
      </c>
      <c r="N19" s="1879"/>
      <c r="O19" s="1880"/>
      <c r="P19" s="1871">
        <f>IF($P$16="Vaccines",'Vaccine Demand Volume &amp; Value'!$G$83 + 'Vaccine Demand Volume &amp; Value'!$G$84,IF($P$16="Reproductive Health",'RH Demand Volume &amp; Value'!$L$47,IF($P$16="General",'General Demand Volume'!$AB$17,"")))</f>
        <v>10</v>
      </c>
      <c r="Q19" s="2593"/>
      <c r="R19" s="2594"/>
      <c r="S19" s="2595"/>
      <c r="T19" s="1688"/>
      <c r="U19" s="1688"/>
      <c r="V19" s="1688"/>
      <c r="Y19" s="2643"/>
      <c r="Z19" s="2644"/>
      <c r="AA19" s="2644"/>
      <c r="AB19" s="2645"/>
      <c r="AD19" s="36"/>
      <c r="AE19" s="36"/>
      <c r="AF19" s="36"/>
    </row>
    <row r="20" spans="1:32" ht="30" customHeight="1" outlineLevel="1">
      <c r="B20" s="2582" t="s">
        <v>373</v>
      </c>
      <c r="C20" s="2583"/>
      <c r="D20" s="2583"/>
      <c r="E20" s="2584"/>
      <c r="G20" s="526"/>
      <c r="H20" s="926" t="str">
        <f ca="1">IF(G20&lt;&gt;"",G20,IFERROR(IF($G$16="Yes",$P$20,IF(INDIRECT("'"&amp;$G$5&amp;"'!"&amp;ADDRESS(ROW(H20),COLUMN(H20)))="","",INDIRECT("'"&amp;$G$5&amp;"'!"&amp;ADDRESS(ROW(H20),COLUMN(H20))))),IF($G$5&lt;&gt;"","Data Source Error","")))</f>
        <v>Delivered</v>
      </c>
      <c r="K20" s="1882" t="s">
        <v>5439</v>
      </c>
      <c r="M20" s="2102" t="s">
        <v>5505</v>
      </c>
      <c r="N20" s="2250"/>
      <c r="O20" s="1881"/>
      <c r="P20" s="1870" t="s">
        <v>370</v>
      </c>
      <c r="Q20" s="2596" t="s">
        <v>5441</v>
      </c>
      <c r="R20" s="2597"/>
      <c r="S20" s="2598"/>
      <c r="T20" s="1688"/>
      <c r="U20" s="1688"/>
      <c r="V20" s="1688"/>
      <c r="Y20" s="2643"/>
      <c r="Z20" s="2644"/>
      <c r="AA20" s="2644"/>
      <c r="AB20" s="2645"/>
      <c r="AD20" s="36"/>
      <c r="AE20" s="36"/>
      <c r="AF20" s="36"/>
    </row>
    <row r="21" spans="1:32" ht="15" customHeight="1" outlineLevel="1">
      <c r="B21" s="2585" t="s">
        <v>2512</v>
      </c>
      <c r="C21" s="2586"/>
      <c r="D21" s="2586"/>
      <c r="E21" s="2587"/>
      <c r="G21" s="527">
        <v>18450000</v>
      </c>
      <c r="H21" s="927">
        <f ca="1">IF(G21&lt;&gt;"",G21,IFERROR(IF($G$16="Yes",$P$21,IF(INDIRECT("'"&amp;$G$5&amp;"'!"&amp;ADDRESS(ROW(H21),COLUMN(H21)))="","",INDIRECT("'"&amp;$G$5&amp;"'!"&amp;ADDRESS(ROW(H21),COLUMN(H21)))*$H$6)),IF($G$5&lt;&gt;"","Data Source Error","")))</f>
        <v>18450000</v>
      </c>
      <c r="J21" s="251"/>
      <c r="K21" s="1883" t="s">
        <v>5440</v>
      </c>
      <c r="M21" s="2602" t="s">
        <v>838</v>
      </c>
      <c r="N21" s="2603"/>
      <c r="O21" s="1867"/>
      <c r="P21" s="2606">
        <f ca="1">IF($P$16="Vaccines",'Vaccine Demand Volume &amp; Value'!$G$85,IF($P$16="Reproductive Health",'RH Demand Volume &amp; Value'!$K$67,IF($P$16="General","","")))</f>
        <v>5458781.7452971619</v>
      </c>
      <c r="Q21" s="2599" t="s">
        <v>5442</v>
      </c>
      <c r="R21" s="2600"/>
      <c r="S21" s="2601"/>
      <c r="T21" s="1688"/>
      <c r="U21" s="1688"/>
      <c r="V21" s="1688"/>
      <c r="W21" s="36"/>
      <c r="X21" s="6"/>
      <c r="Y21" s="2643"/>
      <c r="Z21" s="2644"/>
      <c r="AA21" s="2644"/>
      <c r="AB21" s="2645"/>
      <c r="AC21" s="36"/>
      <c r="AD21" s="36"/>
      <c r="AE21" s="36"/>
      <c r="AF21" s="36"/>
    </row>
    <row r="22" spans="1:32" ht="16.5" customHeight="1">
      <c r="A22" s="212" t="s">
        <v>354</v>
      </c>
      <c r="C22" s="50"/>
      <c r="D22" s="50"/>
      <c r="E22" s="50"/>
      <c r="G22" s="110"/>
      <c r="H22" s="50"/>
      <c r="I22" s="50"/>
      <c r="J22" s="110"/>
      <c r="K22" s="1884" t="s">
        <v>5501</v>
      </c>
      <c r="M22" s="2604"/>
      <c r="N22" s="2605"/>
      <c r="O22" s="236"/>
      <c r="P22" s="2607"/>
      <c r="Q22" s="1869" t="s">
        <v>5502</v>
      </c>
      <c r="R22" s="236"/>
      <c r="S22" s="5"/>
      <c r="W22" s="36"/>
      <c r="X22" s="6"/>
      <c r="Y22" s="36"/>
      <c r="Z22" s="36"/>
      <c r="AA22" s="36"/>
      <c r="AB22" s="36"/>
      <c r="AC22" s="36"/>
      <c r="AD22" s="36"/>
      <c r="AE22" s="36"/>
      <c r="AF22" s="36"/>
    </row>
    <row r="23" spans="1:32" ht="16.5" customHeight="1">
      <c r="W23" s="36"/>
      <c r="X23" s="6"/>
      <c r="Y23" s="36"/>
      <c r="Z23" s="36"/>
      <c r="AA23" s="36"/>
      <c r="AB23" s="36"/>
      <c r="AC23" s="36"/>
      <c r="AD23" s="36"/>
      <c r="AE23" s="36"/>
      <c r="AF23" s="36"/>
    </row>
    <row r="24" spans="1:32" ht="37.5" customHeight="1">
      <c r="B24" s="2588" t="s">
        <v>5419</v>
      </c>
      <c r="C24" s="2588"/>
      <c r="D24" s="2588"/>
      <c r="E24" s="2588"/>
      <c r="G24" s="252"/>
      <c r="H24" s="86"/>
      <c r="I24" s="1"/>
      <c r="J24" s="252"/>
      <c r="K24" s="86"/>
      <c r="V24" s="36"/>
      <c r="W24" s="36"/>
      <c r="X24" s="36"/>
      <c r="Y24" s="36"/>
      <c r="Z24" s="36"/>
      <c r="AA24" s="36"/>
      <c r="AB24" s="36"/>
      <c r="AC24" s="36"/>
      <c r="AD24" s="36"/>
      <c r="AE24" s="36"/>
      <c r="AF24" s="36"/>
    </row>
    <row r="25" spans="1:32" ht="16" customHeight="1" outlineLevel="1">
      <c r="B25" s="2608" t="s">
        <v>23</v>
      </c>
      <c r="C25" s="2609"/>
      <c r="D25" s="2609"/>
      <c r="E25" s="2610"/>
      <c r="G25" s="2614" t="s">
        <v>72</v>
      </c>
      <c r="H25" s="2615"/>
      <c r="J25" s="2614" t="s">
        <v>24</v>
      </c>
      <c r="K25" s="2615"/>
      <c r="M25" s="2629" t="s">
        <v>405</v>
      </c>
      <c r="N25" s="2630"/>
      <c r="O25" s="2630"/>
      <c r="P25" s="2631"/>
      <c r="V25" s="36"/>
      <c r="W25" s="36"/>
      <c r="X25" s="36"/>
      <c r="Y25" s="36"/>
      <c r="Z25" s="36"/>
      <c r="AA25" s="36"/>
      <c r="AB25" s="36"/>
      <c r="AC25" s="36"/>
      <c r="AD25" s="36"/>
      <c r="AE25" s="36"/>
      <c r="AF25" s="36"/>
    </row>
    <row r="26" spans="1:32" ht="36.75" customHeight="1" outlineLevel="1">
      <c r="B26" s="2611"/>
      <c r="C26" s="2612"/>
      <c r="D26" s="2612"/>
      <c r="E26" s="2613"/>
      <c r="G26" s="253" t="s">
        <v>17</v>
      </c>
      <c r="H26" s="921" t="s">
        <v>2510</v>
      </c>
      <c r="J26" s="255" t="s">
        <v>17</v>
      </c>
      <c r="K26" s="921" t="s">
        <v>2510</v>
      </c>
      <c r="M26" s="2619" t="s">
        <v>419</v>
      </c>
      <c r="N26" s="2620"/>
      <c r="O26" s="2620"/>
      <c r="P26" s="2621"/>
      <c r="V26" s="36"/>
      <c r="W26" s="36"/>
      <c r="X26" s="36"/>
      <c r="Y26" s="2619" t="s">
        <v>673</v>
      </c>
      <c r="Z26" s="2620"/>
      <c r="AA26" s="2620"/>
      <c r="AB26" s="2621"/>
      <c r="AC26" s="36"/>
      <c r="AD26" s="36"/>
      <c r="AE26" s="36"/>
      <c r="AF26" s="36"/>
    </row>
    <row r="27" spans="1:32" ht="14.25" customHeight="1" outlineLevel="1">
      <c r="B27" s="2622" t="s">
        <v>604</v>
      </c>
      <c r="C27" s="2623"/>
      <c r="D27" s="2623"/>
      <c r="E27" s="618"/>
      <c r="F27">
        <f t="shared" ref="F27:F38" ca="1" si="0">IF(OR(
$H$105=B27,$K$105=B27,$N$105=B27,$Q$105=B27,$T$105=B27,$W$105=B27,
$K$145=B27,$N$145=B27,$Q$145=B27,$T$145=B27,$W$145=B27,$K$147=B27,$N$147=B27,$Q$147=B27,$T$147=B27,$W$147=B27,
$K$165=B27,$N$165=B27,$Q$165=B27,$T$165=B27,$W$165=B27,$K$167=B27,$N$167=B27,$Q$167=B27,$T$167=B27,$W$167=B27,
$K$185=B27,$N$185=B27,$Q$185=B27,$T$185=B27,$W$185=B27,$K$187=B27,$N$187=B27,$Q$187=B27,$T$187=B27,$W$187=B27,
$K$210=B27,$N$210=B27,$Q$210=B27,$T$210=B27,$W$210=B27,$K$212=B27,$N$212=B27,$Q$212=B27,$T$212=B27,$W$212=B27,
$K$230=B27,,$N$230=B27,$Q$230=B27,$T$230=B27,$W$230=B27,$K$232=B27,$N$232=B27,$Q$232=B27,$T$232=B27,$W$232=B27,
$K$250=B27,$N$250=B27,$Q$250=B27,$T$250=B27,$W$250=B27,$K$252=B27,$N$252=B27,$Q$252=B27,$T$252=B27,$W$252=B27,
$K$274=B27,$N$274=B27,$Q$274=B27,$T$274=B27,$W$274=B27,$K$276=B27,$N$276=B27,$Q$276=B27,$T$276=B27,$W$276=B27,
$K$294=B27,$N$294=B27,$Q$294=B27,$T$294=B27,$W$294=B27,$K$296=B27,$N$296=B27,$Q$296=B27,$T$296=B27,$W$296=B27,
$K$314=B27,$N$314=B27,$Q$314=B27,$T$314=B27,$W$314=B27,$K$316=B27,$N$316=B27,$Q$316=B27,$T$316=B27,$W$316=B27),1,0)</f>
        <v>0</v>
      </c>
      <c r="G27" s="688"/>
      <c r="H27" s="922">
        <v>0</v>
      </c>
      <c r="J27" s="688"/>
      <c r="K27" s="922">
        <v>0</v>
      </c>
      <c r="M27" s="528"/>
      <c r="N27" s="532"/>
      <c r="O27" s="532"/>
      <c r="P27" s="533"/>
      <c r="V27" s="36"/>
      <c r="W27" s="36"/>
      <c r="X27" s="36"/>
      <c r="Y27" s="2643"/>
      <c r="Z27" s="2644"/>
      <c r="AA27" s="2644"/>
      <c r="AB27" s="2645"/>
      <c r="AC27" s="36"/>
      <c r="AD27" s="36"/>
      <c r="AE27" s="36"/>
      <c r="AF27" s="36"/>
    </row>
    <row r="28" spans="1:32" ht="16" customHeight="1" outlineLevel="1">
      <c r="B28" s="2577" t="s">
        <v>19</v>
      </c>
      <c r="C28" s="2578"/>
      <c r="D28" s="2578"/>
      <c r="E28" s="617"/>
      <c r="F28">
        <f t="shared" ca="1" si="0"/>
        <v>1</v>
      </c>
      <c r="G28" s="689"/>
      <c r="H28" s="919">
        <f ca="1">IF(G28&lt;&gt;"",G28,IFERROR(IF(INDIRECT("'"&amp;$G$5&amp;"'!"&amp;ADDRESS(ROW(H28),COLUMN(H28)))="","",INDIRECT("'"&amp;$G$5&amp;"'!"&amp;ADDRESS(ROW(H28),COLUMN(H28)))*$H$6),IF($G$5&lt;&gt;"","Data Source Error","")))</f>
        <v>2.7965144230769217</v>
      </c>
      <c r="I28" s="183"/>
      <c r="J28" s="689"/>
      <c r="K28" s="919">
        <f ca="1">IF(J28&lt;&gt;"",J28,IFERROR(IF(INDIRECT("'"&amp;$G$5&amp;"'!"&amp;ADDRESS(ROW(K28),COLUMN(K28)))="","",INDIRECT("'"&amp;$G$5&amp;"'!"&amp;ADDRESS(ROW(K28),COLUMN(K28)))*$H$6),IF($G$5&lt;&gt;"","Data Source Error","")))</f>
        <v>30</v>
      </c>
      <c r="M28" s="528"/>
      <c r="N28" s="532"/>
      <c r="O28" s="532"/>
      <c r="P28" s="533"/>
      <c r="V28" s="36"/>
      <c r="W28" s="36"/>
      <c r="X28" s="36"/>
      <c r="Y28" s="2643"/>
      <c r="Z28" s="2644"/>
      <c r="AA28" s="2644"/>
      <c r="AB28" s="2645"/>
      <c r="AC28" s="36" t="s">
        <v>166</v>
      </c>
      <c r="AD28" s="36"/>
      <c r="AE28" s="36"/>
      <c r="AF28" s="36"/>
    </row>
    <row r="29" spans="1:32" outlineLevel="1">
      <c r="B29" s="2577" t="s">
        <v>20</v>
      </c>
      <c r="C29" s="2578"/>
      <c r="D29" s="2578"/>
      <c r="E29" s="2066"/>
      <c r="F29">
        <f t="shared" ca="1" si="0"/>
        <v>0</v>
      </c>
      <c r="G29" s="689"/>
      <c r="H29" s="919">
        <f t="shared" ref="H29:H38" ca="1" si="1">IF(G29&lt;&gt;"",G29,IFERROR(IF(INDIRECT("'"&amp;$G$5&amp;"'!"&amp;ADDRESS(ROW(H29),COLUMN(H29)))="","",INDIRECT("'"&amp;$G$5&amp;"'!"&amp;ADDRESS(ROW(H29),COLUMN(H29)))*$H$6),IF($G$5&lt;&gt;"","Data Source Error","")))</f>
        <v>2.36</v>
      </c>
      <c r="I29" s="187"/>
      <c r="J29" s="689"/>
      <c r="K29" s="919">
        <f t="shared" ref="K29:K38" ca="1" si="2">IF(J29&lt;&gt;"",J29,IFERROR(IF(INDIRECT("'"&amp;$G$5&amp;"'!"&amp;ADDRESS(ROW(K29),COLUMN(K29)))="","",INDIRECT("'"&amp;$G$5&amp;"'!"&amp;ADDRESS(ROW(K29),COLUMN(K29)))*$H$6),IF($G$5&lt;&gt;"","Data Source Error","")))</f>
        <v>30</v>
      </c>
      <c r="M29" s="528"/>
      <c r="N29" s="532"/>
      <c r="O29" s="532"/>
      <c r="P29" s="533"/>
      <c r="V29" s="36"/>
      <c r="W29" s="36"/>
      <c r="X29" s="36"/>
      <c r="Y29" s="2643"/>
      <c r="Z29" s="2644"/>
      <c r="AA29" s="2644"/>
      <c r="AB29" s="2645"/>
      <c r="AC29" s="36" t="s">
        <v>168</v>
      </c>
      <c r="AD29" s="36"/>
      <c r="AE29" s="36"/>
      <c r="AF29" s="36"/>
    </row>
    <row r="30" spans="1:32" outlineLevel="1">
      <c r="B30" s="2577" t="s">
        <v>21</v>
      </c>
      <c r="C30" s="2578"/>
      <c r="D30" s="2578"/>
      <c r="E30" s="2066"/>
      <c r="F30">
        <f t="shared" ca="1" si="0"/>
        <v>0</v>
      </c>
      <c r="G30" s="689"/>
      <c r="H30" s="919">
        <f t="shared" ca="1" si="1"/>
        <v>4.915775</v>
      </c>
      <c r="I30" s="187"/>
      <c r="J30" s="689"/>
      <c r="K30" s="919">
        <f t="shared" ca="1" si="2"/>
        <v>31.65</v>
      </c>
      <c r="M30" s="528"/>
      <c r="N30" s="532"/>
      <c r="O30" s="532"/>
      <c r="P30" s="533"/>
      <c r="V30" s="36"/>
      <c r="W30" s="36"/>
      <c r="X30" s="36"/>
      <c r="Y30" s="2643"/>
      <c r="Z30" s="2644"/>
      <c r="AA30" s="2644"/>
      <c r="AB30" s="2645"/>
      <c r="AC30" s="36" t="s">
        <v>170</v>
      </c>
      <c r="AD30" s="36"/>
      <c r="AE30" s="36"/>
      <c r="AF30" s="36"/>
    </row>
    <row r="31" spans="1:32" outlineLevel="1">
      <c r="B31" s="2577" t="s">
        <v>22</v>
      </c>
      <c r="C31" s="2578"/>
      <c r="D31" s="2578"/>
      <c r="E31" s="2066"/>
      <c r="F31">
        <f t="shared" ca="1" si="0"/>
        <v>1</v>
      </c>
      <c r="G31" s="689"/>
      <c r="H31" s="919">
        <f t="shared" ca="1" si="1"/>
        <v>5.91</v>
      </c>
      <c r="I31" s="187"/>
      <c r="J31" s="689"/>
      <c r="K31" s="919">
        <f t="shared" ca="1" si="2"/>
        <v>30</v>
      </c>
      <c r="M31" s="528"/>
      <c r="N31" s="532"/>
      <c r="O31" s="532"/>
      <c r="P31" s="533"/>
      <c r="V31" s="36"/>
      <c r="W31" s="36"/>
      <c r="X31" s="36"/>
      <c r="Y31" s="2643"/>
      <c r="Z31" s="2644"/>
      <c r="AA31" s="2644"/>
      <c r="AB31" s="2645"/>
      <c r="AC31" s="36"/>
      <c r="AD31" s="36"/>
      <c r="AE31" s="36"/>
      <c r="AF31" s="36"/>
    </row>
    <row r="32" spans="1:32" outlineLevel="1">
      <c r="B32" s="2577" t="s">
        <v>402</v>
      </c>
      <c r="C32" s="2578"/>
      <c r="D32" s="2578"/>
      <c r="E32" s="2066"/>
      <c r="F32">
        <f t="shared" ca="1" si="0"/>
        <v>1</v>
      </c>
      <c r="G32" s="689"/>
      <c r="H32" s="919">
        <f t="shared" ca="1" si="1"/>
        <v>5</v>
      </c>
      <c r="I32" s="187"/>
      <c r="J32" s="689"/>
      <c r="K32" s="919">
        <f t="shared" ca="1" si="2"/>
        <v>30</v>
      </c>
      <c r="M32" s="528"/>
      <c r="N32" s="532"/>
      <c r="O32" s="532"/>
      <c r="P32" s="533"/>
      <c r="V32" s="36"/>
      <c r="W32" s="36"/>
      <c r="X32" s="36"/>
      <c r="Y32" s="2643"/>
      <c r="Z32" s="2644"/>
      <c r="AA32" s="2644"/>
      <c r="AB32" s="2645"/>
      <c r="AC32" s="36"/>
      <c r="AD32" s="36"/>
      <c r="AE32" s="36"/>
      <c r="AF32" s="36"/>
    </row>
    <row r="33" spans="1:32" outlineLevel="1">
      <c r="B33" s="2577" t="s">
        <v>401</v>
      </c>
      <c r="C33" s="2578"/>
      <c r="D33" s="2578"/>
      <c r="E33" s="2066"/>
      <c r="F33">
        <f t="shared" ca="1" si="0"/>
        <v>0</v>
      </c>
      <c r="G33" s="689"/>
      <c r="H33" s="919">
        <f t="shared" ca="1" si="1"/>
        <v>5.91</v>
      </c>
      <c r="I33" s="187"/>
      <c r="J33" s="689"/>
      <c r="K33" s="919">
        <f t="shared" ca="1" si="2"/>
        <v>30</v>
      </c>
      <c r="M33" s="528"/>
      <c r="N33" s="532"/>
      <c r="O33" s="532"/>
      <c r="P33" s="533"/>
      <c r="V33" s="36"/>
      <c r="W33" s="36"/>
      <c r="X33" s="36"/>
      <c r="Y33" s="2643"/>
      <c r="Z33" s="2644"/>
      <c r="AA33" s="2644"/>
      <c r="AB33" s="2645"/>
      <c r="AC33" s="36"/>
      <c r="AD33" s="36"/>
      <c r="AE33" s="36"/>
      <c r="AF33" s="36"/>
    </row>
    <row r="34" spans="1:32" outlineLevel="1">
      <c r="B34" s="2577" t="s">
        <v>403</v>
      </c>
      <c r="C34" s="2578"/>
      <c r="D34" s="2578"/>
      <c r="E34" s="2066"/>
      <c r="F34">
        <f t="shared" ca="1" si="0"/>
        <v>0</v>
      </c>
      <c r="G34" s="689"/>
      <c r="H34" s="919">
        <f t="shared" ca="1" si="1"/>
        <v>5.91</v>
      </c>
      <c r="I34" s="187"/>
      <c r="J34" s="689"/>
      <c r="K34" s="919">
        <f t="shared" ca="1" si="2"/>
        <v>30</v>
      </c>
      <c r="M34" s="528"/>
      <c r="N34" s="532"/>
      <c r="O34" s="532"/>
      <c r="P34" s="533"/>
      <c r="V34" s="36"/>
      <c r="W34" s="36"/>
      <c r="X34" s="36"/>
      <c r="Y34" s="2643"/>
      <c r="Z34" s="2644"/>
      <c r="AA34" s="2644"/>
      <c r="AB34" s="2645"/>
      <c r="AC34" s="36" t="s">
        <v>169</v>
      </c>
      <c r="AD34" s="36"/>
      <c r="AE34" s="36"/>
      <c r="AF34" s="36"/>
    </row>
    <row r="35" spans="1:32" outlineLevel="1">
      <c r="B35" s="2577" t="s">
        <v>404</v>
      </c>
      <c r="C35" s="2578"/>
      <c r="D35" s="2578"/>
      <c r="E35" s="2066"/>
      <c r="F35">
        <f t="shared" ca="1" si="0"/>
        <v>0</v>
      </c>
      <c r="G35" s="689"/>
      <c r="H35" s="919">
        <f t="shared" ca="1" si="1"/>
        <v>5</v>
      </c>
      <c r="I35" s="187"/>
      <c r="J35" s="689"/>
      <c r="K35" s="919">
        <f t="shared" ca="1" si="2"/>
        <v>30</v>
      </c>
      <c r="M35" s="528"/>
      <c r="N35" s="532"/>
      <c r="O35" s="532"/>
      <c r="P35" s="533"/>
      <c r="V35" s="36"/>
      <c r="W35" s="36"/>
      <c r="X35" s="36"/>
      <c r="Y35" s="2643"/>
      <c r="Z35" s="2644"/>
      <c r="AA35" s="2644"/>
      <c r="AB35" s="2645"/>
      <c r="AC35" s="36" t="s">
        <v>167</v>
      </c>
      <c r="AD35" s="36"/>
      <c r="AE35" s="36"/>
      <c r="AF35" s="36"/>
    </row>
    <row r="36" spans="1:32" outlineLevel="1">
      <c r="B36" s="2577" t="s">
        <v>416</v>
      </c>
      <c r="C36" s="2578"/>
      <c r="D36" s="2578"/>
      <c r="E36" s="276"/>
      <c r="F36">
        <f t="shared" ca="1" si="0"/>
        <v>0</v>
      </c>
      <c r="G36" s="690"/>
      <c r="H36" s="919" t="str">
        <f t="shared" ca="1" si="1"/>
        <v/>
      </c>
      <c r="I36" s="184"/>
      <c r="J36" s="690"/>
      <c r="K36" s="919" t="str">
        <f t="shared" ca="1" si="2"/>
        <v/>
      </c>
      <c r="M36" s="529"/>
      <c r="N36" s="534"/>
      <c r="O36" s="534"/>
      <c r="P36" s="535"/>
      <c r="V36" s="36"/>
      <c r="W36" s="36"/>
      <c r="X36" s="36"/>
      <c r="Y36" s="2643"/>
      <c r="Z36" s="2644"/>
      <c r="AA36" s="2644"/>
      <c r="AB36" s="2645"/>
      <c r="AC36" s="36"/>
      <c r="AD36" s="36"/>
      <c r="AE36" s="36"/>
      <c r="AF36" s="36"/>
    </row>
    <row r="37" spans="1:32" outlineLevel="1">
      <c r="B37" s="2577" t="s">
        <v>417</v>
      </c>
      <c r="C37" s="2578"/>
      <c r="D37" s="2578"/>
      <c r="E37" s="276"/>
      <c r="F37">
        <f t="shared" ca="1" si="0"/>
        <v>0</v>
      </c>
      <c r="G37" s="690"/>
      <c r="H37" s="919" t="str">
        <f t="shared" ca="1" si="1"/>
        <v/>
      </c>
      <c r="I37" s="184"/>
      <c r="J37" s="690"/>
      <c r="K37" s="919" t="str">
        <f t="shared" ca="1" si="2"/>
        <v/>
      </c>
      <c r="M37" s="529"/>
      <c r="N37" s="534"/>
      <c r="O37" s="534"/>
      <c r="P37" s="535"/>
      <c r="V37" s="36"/>
      <c r="W37" s="36"/>
      <c r="X37" s="36"/>
      <c r="Y37" s="2643"/>
      <c r="Z37" s="2644"/>
      <c r="AA37" s="2644"/>
      <c r="AB37" s="2645"/>
      <c r="AC37" s="36"/>
      <c r="AD37" s="36"/>
      <c r="AE37" s="36"/>
      <c r="AF37" s="36"/>
    </row>
    <row r="38" spans="1:32" outlineLevel="1">
      <c r="B38" s="2632" t="s">
        <v>418</v>
      </c>
      <c r="C38" s="2633"/>
      <c r="D38" s="2633"/>
      <c r="E38" s="210"/>
      <c r="F38">
        <f t="shared" ca="1" si="0"/>
        <v>0</v>
      </c>
      <c r="G38" s="691"/>
      <c r="H38" s="923">
        <f t="shared" ca="1" si="1"/>
        <v>7.8750999999999998</v>
      </c>
      <c r="I38" s="184"/>
      <c r="J38" s="691"/>
      <c r="K38" s="923">
        <f t="shared" ca="1" si="2"/>
        <v>75</v>
      </c>
      <c r="M38" s="530"/>
      <c r="N38" s="536"/>
      <c r="O38" s="536"/>
      <c r="P38" s="537"/>
      <c r="V38" s="36"/>
      <c r="W38" s="36"/>
      <c r="X38" s="36"/>
      <c r="Y38" s="2657"/>
      <c r="Z38" s="2658"/>
      <c r="AA38" s="2658"/>
      <c r="AB38" s="2659"/>
      <c r="AC38" s="36"/>
      <c r="AD38" s="36"/>
      <c r="AE38" s="36"/>
      <c r="AF38" s="36"/>
    </row>
    <row r="39" spans="1:32">
      <c r="A39" s="212" t="s">
        <v>353</v>
      </c>
      <c r="V39" s="36"/>
      <c r="W39" s="36"/>
      <c r="X39" s="36"/>
      <c r="Y39" s="36"/>
      <c r="Z39" s="36"/>
      <c r="AA39" s="36"/>
      <c r="AB39" s="36"/>
      <c r="AC39" s="36"/>
      <c r="AD39" s="36"/>
      <c r="AE39" s="36"/>
      <c r="AF39" s="36"/>
    </row>
    <row r="40" spans="1:32">
      <c r="A40" s="10"/>
      <c r="B40" s="2053"/>
      <c r="C40" s="2053"/>
      <c r="V40" s="36"/>
      <c r="W40" s="36"/>
      <c r="X40" s="36"/>
      <c r="Y40" s="36"/>
      <c r="Z40" s="36"/>
      <c r="AA40" s="36"/>
      <c r="AB40" s="36"/>
      <c r="AC40" s="36"/>
      <c r="AD40" s="36"/>
      <c r="AE40" s="36"/>
      <c r="AF40" s="36"/>
    </row>
    <row r="41" spans="1:32" ht="37.5" customHeight="1">
      <c r="B41" s="2588" t="s">
        <v>5631</v>
      </c>
      <c r="C41" s="2588"/>
      <c r="D41" s="2588"/>
      <c r="E41" s="2588"/>
      <c r="F41" s="148"/>
      <c r="J41" s="2616"/>
      <c r="K41" s="2616"/>
      <c r="L41" s="2616"/>
      <c r="M41" s="2616"/>
      <c r="V41" s="36"/>
      <c r="W41" s="36"/>
      <c r="X41" s="36"/>
      <c r="Y41" s="2690"/>
      <c r="Z41" s="2690"/>
      <c r="AA41" s="2690"/>
      <c r="AB41" s="2690"/>
      <c r="AC41" s="36"/>
      <c r="AD41" s="36"/>
      <c r="AE41" s="36"/>
      <c r="AF41" s="36"/>
    </row>
    <row r="42" spans="1:32" ht="29.15" outlineLevel="1">
      <c r="A42" s="10"/>
      <c r="B42" s="2617" t="s">
        <v>34</v>
      </c>
      <c r="C42" s="2618"/>
      <c r="D42" s="1636" t="s">
        <v>35</v>
      </c>
      <c r="E42" s="1637"/>
      <c r="F42" s="616"/>
      <c r="G42" s="253" t="s">
        <v>17</v>
      </c>
      <c r="H42" s="2056" t="s">
        <v>2510</v>
      </c>
      <c r="J42" s="2619" t="s">
        <v>420</v>
      </c>
      <c r="K42" s="2620"/>
      <c r="L42" s="2620"/>
      <c r="M42" s="2621"/>
      <c r="V42" s="36"/>
      <c r="W42" s="36"/>
      <c r="X42" s="36"/>
      <c r="Y42" s="2687"/>
      <c r="Z42" s="2687"/>
      <c r="AA42" s="2687"/>
      <c r="AB42" s="2687"/>
      <c r="AC42" s="36"/>
      <c r="AD42" s="36"/>
      <c r="AE42" s="36"/>
      <c r="AF42" s="36"/>
    </row>
    <row r="43" spans="1:32" outlineLevel="1">
      <c r="A43" s="10"/>
      <c r="B43" s="2624" t="s">
        <v>136</v>
      </c>
      <c r="C43" s="2625"/>
      <c r="D43" s="2055" t="s">
        <v>164</v>
      </c>
      <c r="E43" s="205">
        <f t="shared" ref="E43:E78" ca="1" si="3">IF(OR($K$136=B43,$N$136=B43,$Q$136=B43,$T$136=B43,$W$136=B43,
$K$156=B43,$N$156=B43,$Q$156=B43,$T$156=B43,$W$156=B43,
$K$176=B43,$N$176=B43,$Q$176=B43,$T$176=B43,$W$176=B43,
$K$200=B43,$N$200=B43,$Q$200=B43,$T$200=B43,$W$200=B43,
$K$220=B43,$N$220=B43,$Q$220=B43,$T$220=B43,$W$220=B43,
$K$240=B43,$N$240=B43,$Q$240=B43,$T$240=B43,$W$240=B43,
$K$264=B43,$N$264=B43,$Q$264=B43,$T$264=B43,$W$264=B43,
$K$284=B43,$N$284=B43,$Q$284=B43,$T$284=B43,$W$284=B43,
$K$304=B43,$N$304=B43,$Q$304=B43,$T$304=B43,$W$304=B43),1,0)</f>
        <v>0</v>
      </c>
      <c r="F43" s="549" t="str">
        <f t="shared" ref="F43:F78" si="4">B43&amp;D43</f>
        <v>Public Transport 1Average cost ($) per trip (one-way)</v>
      </c>
      <c r="G43" s="538"/>
      <c r="H43" s="917">
        <f ca="1">IF(G43&lt;&gt;"",G43,IFERROR(IF(INDIRECT("'"&amp;$G$5&amp;"'!"&amp;ADDRESS(ROW(H43),COLUMN(H43)))="","",INDIRECT("'"&amp;$G$5&amp;"'!"&amp;ADDRESS(ROW(H43),COLUMN(H43)))*$H$6),IF($G$5&lt;&gt;"","Data Source Error","")))</f>
        <v>0</v>
      </c>
      <c r="J43" s="2626"/>
      <c r="K43" s="2627"/>
      <c r="L43" s="2627"/>
      <c r="M43" s="2628"/>
      <c r="V43" s="36"/>
      <c r="W43" s="36"/>
      <c r="X43" s="36"/>
      <c r="Y43" s="2687"/>
      <c r="Z43" s="2687"/>
      <c r="AA43" s="2687"/>
      <c r="AB43" s="2687"/>
      <c r="AC43" s="36"/>
      <c r="AD43" s="36"/>
      <c r="AE43" s="36"/>
      <c r="AF43" s="36"/>
    </row>
    <row r="44" spans="1:32" outlineLevel="1">
      <c r="A44" s="10"/>
      <c r="B44" s="2558" t="s">
        <v>136</v>
      </c>
      <c r="C44" s="2559"/>
      <c r="D44" s="2054" t="s">
        <v>135</v>
      </c>
      <c r="E44" s="205">
        <f t="shared" ca="1" si="3"/>
        <v>0</v>
      </c>
      <c r="F44" s="549" t="str">
        <f t="shared" si="4"/>
        <v>Public Transport 1Average duration (hrs) per trip</v>
      </c>
      <c r="G44" s="539"/>
      <c r="H44" s="918">
        <f ca="1">IF(G44&lt;&gt;"",G44,IFERROR(IF(INDIRECT("'"&amp;$G$5&amp;"'!"&amp;ADDRESS(ROW(H44),COLUMN(H44)))="","",INDIRECT("'"&amp;$G$5&amp;"'!"&amp;ADDRESS(ROW(H44),COLUMN(H44)))),IF($G$5&lt;&gt;"","Data Source Error","")))</f>
        <v>0</v>
      </c>
      <c r="J44" s="523"/>
      <c r="K44" s="545"/>
      <c r="L44" s="545"/>
      <c r="M44" s="546"/>
      <c r="V44" s="36"/>
      <c r="W44" s="36"/>
      <c r="X44" s="36"/>
      <c r="Y44" s="2687"/>
      <c r="Z44" s="2687"/>
      <c r="AA44" s="2687"/>
      <c r="AB44" s="2687"/>
      <c r="AC44" s="36"/>
      <c r="AD44" s="36"/>
      <c r="AE44" s="36"/>
      <c r="AF44" s="36"/>
    </row>
    <row r="45" spans="1:32" outlineLevel="1">
      <c r="A45" s="10"/>
      <c r="B45" s="2558" t="s">
        <v>136</v>
      </c>
      <c r="C45" s="2559"/>
      <c r="D45" s="2063" t="s">
        <v>2511</v>
      </c>
      <c r="E45" s="205">
        <f t="shared" ca="1" si="3"/>
        <v>0</v>
      </c>
      <c r="F45" s="549" t="str">
        <f t="shared" si="4"/>
        <v>Public Transport 1Maximum delivery capacity (m^3)</v>
      </c>
      <c r="G45" s="539"/>
      <c r="H45" s="918">
        <f ca="1">IF(G45&lt;&gt;"",G45,IFERROR(IF(INDIRECT("'"&amp;$G$5&amp;"'!"&amp;ADDRESS(ROW(H45),COLUMN(H45)))="","",INDIRECT("'"&amp;$G$5&amp;"'!"&amp;ADDRESS(ROW(H45),COLUMN(H45)))),IF($G$5&lt;&gt;"","Data Source Error","")))</f>
        <v>0</v>
      </c>
      <c r="J45" s="523"/>
      <c r="K45" s="545"/>
      <c r="L45" s="545"/>
      <c r="M45" s="546"/>
      <c r="Y45" s="2687"/>
      <c r="Z45" s="2687"/>
      <c r="AA45" s="2687"/>
      <c r="AB45" s="2687"/>
    </row>
    <row r="46" spans="1:32" outlineLevel="1">
      <c r="A46" s="10"/>
      <c r="B46" s="2624" t="s">
        <v>137</v>
      </c>
      <c r="C46" s="2625"/>
      <c r="D46" s="1822" t="s">
        <v>164</v>
      </c>
      <c r="E46" s="205">
        <f t="shared" ca="1" si="3"/>
        <v>0</v>
      </c>
      <c r="F46" s="549" t="str">
        <f t="shared" si="4"/>
        <v>Public Transport 2Average cost ($) per trip (one-way)</v>
      </c>
      <c r="G46" s="538"/>
      <c r="H46" s="917">
        <f ca="1">IF(G46&lt;&gt;"",G46,IFERROR(IF(INDIRECT("'"&amp;$G$5&amp;"'!"&amp;ADDRESS(ROW(H46),COLUMN(H46)))="","",INDIRECT("'"&amp;$G$5&amp;"'!"&amp;ADDRESS(ROW(H46),COLUMN(H46)))*$H$6),IF($G$5&lt;&gt;"","Data Source Error","")))</f>
        <v>0</v>
      </c>
      <c r="J46" s="523"/>
      <c r="K46" s="545"/>
      <c r="L46" s="545"/>
      <c r="M46" s="546"/>
      <c r="Y46" s="2687"/>
      <c r="Z46" s="2687"/>
      <c r="AA46" s="2687"/>
      <c r="AB46" s="2687"/>
    </row>
    <row r="47" spans="1:32" outlineLevel="1">
      <c r="A47" s="10"/>
      <c r="B47" s="2558" t="s">
        <v>137</v>
      </c>
      <c r="C47" s="2559"/>
      <c r="D47" s="2063" t="s">
        <v>135</v>
      </c>
      <c r="E47" s="205">
        <f t="shared" ca="1" si="3"/>
        <v>0</v>
      </c>
      <c r="F47" s="549" t="str">
        <f t="shared" si="4"/>
        <v>Public Transport 2Average duration (hrs) per trip</v>
      </c>
      <c r="G47" s="539"/>
      <c r="H47" s="918">
        <f ca="1">IF(G47&lt;&gt;"",G47,IFERROR(IF(INDIRECT("'"&amp;$G$5&amp;"'!"&amp;ADDRESS(ROW(H47),COLUMN(H47)))="","",INDIRECT("'"&amp;$G$5&amp;"'!"&amp;ADDRESS(ROW(H47),COLUMN(H47)))),IF($G$5&lt;&gt;"","Data Source Error","")))</f>
        <v>0</v>
      </c>
      <c r="J47" s="523"/>
      <c r="K47" s="545"/>
      <c r="L47" s="545"/>
      <c r="M47" s="546"/>
      <c r="Y47" s="2687"/>
      <c r="Z47" s="2687"/>
      <c r="AA47" s="2687"/>
      <c r="AB47" s="2687"/>
    </row>
    <row r="48" spans="1:32" outlineLevel="1">
      <c r="A48" s="10"/>
      <c r="B48" s="2558" t="s">
        <v>137</v>
      </c>
      <c r="C48" s="2559"/>
      <c r="D48" s="2063" t="s">
        <v>2511</v>
      </c>
      <c r="E48" s="205">
        <f t="shared" ca="1" si="3"/>
        <v>0</v>
      </c>
      <c r="F48" s="549" t="str">
        <f t="shared" si="4"/>
        <v>Public Transport 2Maximum delivery capacity (m^3)</v>
      </c>
      <c r="G48" s="539"/>
      <c r="H48" s="918">
        <f ca="1">IF(G48&lt;&gt;"",G48,IFERROR(IF(INDIRECT("'"&amp;$G$5&amp;"'!"&amp;ADDRESS(ROW(H48),COLUMN(H48)))="","",INDIRECT("'"&amp;$G$5&amp;"'!"&amp;ADDRESS(ROW(H48),COLUMN(H48)))),IF($G$5&lt;&gt;"","Data Source Error","")))</f>
        <v>0</v>
      </c>
      <c r="J48" s="523"/>
      <c r="K48" s="545"/>
      <c r="L48" s="545"/>
      <c r="M48" s="546"/>
      <c r="Y48" s="2687"/>
      <c r="Z48" s="2687"/>
      <c r="AA48" s="2687"/>
      <c r="AB48" s="2687"/>
    </row>
    <row r="49" spans="1:28" ht="18" customHeight="1" outlineLevel="1">
      <c r="A49" s="10"/>
      <c r="B49" s="2624" t="s">
        <v>36</v>
      </c>
      <c r="C49" s="2625"/>
      <c r="D49" s="208" t="s">
        <v>1545</v>
      </c>
      <c r="E49" s="205">
        <f t="shared" ca="1" si="3"/>
        <v>0</v>
      </c>
      <c r="F49" s="549" t="str">
        <f t="shared" si="4"/>
        <v>MotorcyclePurchase Price ($)</v>
      </c>
      <c r="G49" s="540"/>
      <c r="H49" s="917" t="str">
        <f ca="1">IF(G49&lt;&gt;"",G49,IFERROR(IF(INDIRECT("'"&amp;$G$5&amp;"'!"&amp;ADDRESS(ROW(H49),COLUMN(H49)))="","",INDIRECT("'"&amp;$G$5&amp;"'!"&amp;ADDRESS(ROW(H49),COLUMN(H49)))*$H$6),IF($G$5&lt;&gt;"","Data Source Error","")))</f>
        <v/>
      </c>
      <c r="J49" s="523"/>
      <c r="K49" s="545"/>
      <c r="L49" s="545"/>
      <c r="M49" s="546"/>
      <c r="Y49" s="2687"/>
      <c r="Z49" s="2687"/>
      <c r="AA49" s="2687"/>
      <c r="AB49" s="2687"/>
    </row>
    <row r="50" spans="1:28" outlineLevel="1">
      <c r="A50" s="10"/>
      <c r="B50" s="2558" t="s">
        <v>36</v>
      </c>
      <c r="C50" s="2559"/>
      <c r="D50" s="191" t="s">
        <v>2513</v>
      </c>
      <c r="E50" s="1064">
        <f t="shared" ca="1" si="3"/>
        <v>0</v>
      </c>
      <c r="F50" s="549" t="str">
        <f t="shared" si="4"/>
        <v>MotorcycleDepreciation Cost / yr ($)</v>
      </c>
      <c r="G50" s="541"/>
      <c r="H50" s="919" t="str">
        <f ca="1">IF(G50&lt;&gt;"",G50,IFERROR(IF(G49&lt;&gt;"",H49/$H$11,IF(INDIRECT("'"&amp;$G$5&amp;"'!"&amp;ADDRESS(ROW(H50),COLUMN(H50)))="",IF(H49="","",H49/$H$11),INDIRECT("'"&amp;$G$5&amp;"'!"&amp;ADDRESS(ROW(H50),COLUMN(H50))))*$H$6),IF(INDIRECT("'"&amp;$G$5&amp;"'!"&amp;ADDRESS(ROW(H50),COLUMN(H50)))="","",IF($G$5&lt;&gt;"","Data Source Error",""))))</f>
        <v/>
      </c>
      <c r="J50" s="523"/>
      <c r="K50" s="545"/>
      <c r="L50" s="545"/>
      <c r="M50" s="546"/>
      <c r="Y50" s="2687"/>
      <c r="Z50" s="2687"/>
      <c r="AA50" s="2687"/>
      <c r="AB50" s="2687"/>
    </row>
    <row r="51" spans="1:28" outlineLevel="1">
      <c r="A51" s="10"/>
      <c r="B51" s="2558" t="s">
        <v>36</v>
      </c>
      <c r="C51" s="2559"/>
      <c r="D51" s="191" t="s">
        <v>2514</v>
      </c>
      <c r="E51" s="205">
        <f t="shared" ca="1" si="3"/>
        <v>0</v>
      </c>
      <c r="F51" s="549" t="str">
        <f t="shared" si="4"/>
        <v>MotorcycleInsurance cost /yr ($)</v>
      </c>
      <c r="G51" s="542"/>
      <c r="H51" s="919" t="str">
        <f ca="1">IF(G51&lt;&gt;"",G51,IFERROR(IF(INDIRECT("'"&amp;$G$5&amp;"'!"&amp;ADDRESS(ROW(H51),COLUMN(H51)))="","",INDIRECT("'"&amp;$G$5&amp;"'!"&amp;ADDRESS(ROW(H51),COLUMN(H51)))*$H$6),IF($G$5&lt;&gt;"","Data Source Error","")))</f>
        <v/>
      </c>
      <c r="J51" s="523"/>
      <c r="K51" s="545"/>
      <c r="L51" s="545"/>
      <c r="M51" s="546"/>
      <c r="Y51" s="2687"/>
      <c r="Z51" s="2687"/>
      <c r="AA51" s="2687"/>
      <c r="AB51" s="2687"/>
    </row>
    <row r="52" spans="1:28" outlineLevel="1">
      <c r="A52" s="10"/>
      <c r="B52" s="2558" t="s">
        <v>36</v>
      </c>
      <c r="C52" s="2559"/>
      <c r="D52" s="191" t="s">
        <v>2515</v>
      </c>
      <c r="E52" s="205">
        <f t="shared" ca="1" si="3"/>
        <v>0</v>
      </c>
      <c r="F52" s="549" t="str">
        <f t="shared" si="4"/>
        <v>MotorcycleMaintenance cost/km ($)</v>
      </c>
      <c r="G52" s="542"/>
      <c r="H52" s="919" t="str">
        <f ca="1">IF(G52&lt;&gt;"",G52,IFERROR(IF(INDIRECT("'"&amp;$G$5&amp;"'!"&amp;ADDRESS(ROW(H52),COLUMN(H52)))="","",INDIRECT("'"&amp;$G$5&amp;"'!"&amp;ADDRESS(ROW(H52),COLUMN(H52)))*$H$6),IF($G$5&lt;&gt;"","Data Source Error","")))</f>
        <v/>
      </c>
      <c r="J52" s="523"/>
      <c r="K52" s="545"/>
      <c r="L52" s="545"/>
      <c r="M52" s="546"/>
      <c r="Y52" s="2687"/>
      <c r="Z52" s="2687"/>
      <c r="AA52" s="2687"/>
      <c r="AB52" s="2687"/>
    </row>
    <row r="53" spans="1:28" outlineLevel="1">
      <c r="A53" s="10"/>
      <c r="B53" s="2558" t="s">
        <v>36</v>
      </c>
      <c r="C53" s="2559"/>
      <c r="D53" s="191" t="s">
        <v>41</v>
      </c>
      <c r="E53" s="205">
        <f t="shared" ca="1" si="3"/>
        <v>0</v>
      </c>
      <c r="F53" s="549" t="str">
        <f t="shared" si="4"/>
        <v>MotorcycleFuel Efficiency (km/liter)</v>
      </c>
      <c r="G53" s="543"/>
      <c r="H53" s="918" t="str">
        <f ca="1">IF(G53&lt;&gt;"",G53,IFERROR(IF(INDIRECT("'"&amp;$G$5&amp;"'!"&amp;ADDRESS(ROW(H53),COLUMN(H53)))="","",INDIRECT("'"&amp;$G$5&amp;"'!"&amp;ADDRESS(ROW(H53),COLUMN(H53)))),IF($G$5&lt;&gt;"","Data Source Error","")))</f>
        <v/>
      </c>
      <c r="J53" s="523"/>
      <c r="K53" s="545"/>
      <c r="L53" s="545"/>
      <c r="M53" s="546"/>
      <c r="Y53" s="2687"/>
      <c r="Z53" s="2687"/>
      <c r="AA53" s="2687"/>
      <c r="AB53" s="2687"/>
    </row>
    <row r="54" spans="1:28" ht="15.45" outlineLevel="1">
      <c r="A54" s="10"/>
      <c r="B54" s="2585" t="s">
        <v>36</v>
      </c>
      <c r="C54" s="2586"/>
      <c r="D54" s="207" t="s">
        <v>43</v>
      </c>
      <c r="E54" s="205">
        <f t="shared" ca="1" si="3"/>
        <v>0</v>
      </c>
      <c r="F54" s="549" t="str">
        <f t="shared" si="4"/>
        <v>MotorcycleDelivery Capacity (m^3)</v>
      </c>
      <c r="G54" s="544"/>
      <c r="H54" s="920" t="str">
        <f ca="1">IF(G54&lt;&gt;"",G54,IFERROR(IF(INDIRECT("'"&amp;$G$5&amp;"'!"&amp;ADDRESS(ROW(H54),COLUMN(H54)))="","",INDIRECT("'"&amp;$G$5&amp;"'!"&amp;ADDRESS(ROW(H54),COLUMN(H54)))),IF($G$5&lt;&gt;"","Data Source Error","")))</f>
        <v/>
      </c>
      <c r="J54" s="523"/>
      <c r="K54" s="545"/>
      <c r="L54" s="545"/>
      <c r="M54" s="546"/>
      <c r="O54" s="218"/>
      <c r="Y54" s="2687"/>
      <c r="Z54" s="2687"/>
      <c r="AA54" s="2687"/>
      <c r="AB54" s="2687"/>
    </row>
    <row r="55" spans="1:28" outlineLevel="1">
      <c r="A55" s="10"/>
      <c r="B55" s="2624" t="s">
        <v>407</v>
      </c>
      <c r="C55" s="2625"/>
      <c r="D55" s="208" t="s">
        <v>1545</v>
      </c>
      <c r="E55" s="205">
        <f t="shared" ca="1" si="3"/>
        <v>1</v>
      </c>
      <c r="F55" s="549" t="str">
        <f t="shared" si="4"/>
        <v>Car/Sport Utility/Consumer VehiclePurchase Price ($)</v>
      </c>
      <c r="G55" s="540"/>
      <c r="H55" s="917">
        <f ca="1">IF(G55&lt;&gt;"",G55,IFERROR(IF(INDIRECT("'"&amp;$G$5&amp;"'!"&amp;ADDRESS(ROW(H55),COLUMN(H55)))="","",INDIRECT("'"&amp;$G$5&amp;"'!"&amp;ADDRESS(ROW(H55),COLUMN(H55)))*$H$6),IF($G$5&lt;&gt;"","Data Source Error","")))</f>
        <v>60939.499795095864</v>
      </c>
      <c r="J55" s="523"/>
      <c r="K55" s="545"/>
      <c r="L55" s="545"/>
      <c r="M55" s="546"/>
      <c r="Y55" s="2687"/>
      <c r="Z55" s="2687"/>
      <c r="AA55" s="2687"/>
      <c r="AB55" s="2687"/>
    </row>
    <row r="56" spans="1:28" outlineLevel="1">
      <c r="A56" s="10"/>
      <c r="B56" s="2558" t="s">
        <v>407</v>
      </c>
      <c r="C56" s="2559"/>
      <c r="D56" s="191" t="s">
        <v>2513</v>
      </c>
      <c r="E56" s="205">
        <f t="shared" ca="1" si="3"/>
        <v>1</v>
      </c>
      <c r="F56" s="549" t="str">
        <f t="shared" si="4"/>
        <v>Car/Sport Utility/Consumer VehicleDepreciation Cost / yr ($)</v>
      </c>
      <c r="G56" s="541"/>
      <c r="H56" s="919">
        <f ca="1">IF(G56&lt;&gt;"",G56,IFERROR(IF(G55&lt;&gt;"",H55/$H$11,IF(INDIRECT("'"&amp;$G$5&amp;"'!"&amp;ADDRESS(ROW(H56),COLUMN(H56)))="",IF(H55="","",H55/$H$11),INDIRECT("'"&amp;$G$5&amp;"'!"&amp;ADDRESS(ROW(H56),COLUMN(H56))))*$H$6),IF(INDIRECT("'"&amp;$G$5&amp;"'!"&amp;ADDRESS(ROW(H56),COLUMN(H56)))="","",IF($G$5&lt;&gt;"","Data Source Error",""))))</f>
        <v>12187.899959019172</v>
      </c>
      <c r="J56" s="523"/>
      <c r="K56" s="545"/>
      <c r="L56" s="545"/>
      <c r="M56" s="546"/>
      <c r="Y56" s="2687"/>
      <c r="Z56" s="2687"/>
      <c r="AA56" s="2687"/>
      <c r="AB56" s="2687"/>
    </row>
    <row r="57" spans="1:28" outlineLevel="1">
      <c r="A57" s="10"/>
      <c r="B57" s="2558" t="s">
        <v>407</v>
      </c>
      <c r="C57" s="2559"/>
      <c r="D57" s="191" t="s">
        <v>2514</v>
      </c>
      <c r="E57" s="205">
        <f t="shared" ca="1" si="3"/>
        <v>1</v>
      </c>
      <c r="F57" s="549" t="str">
        <f t="shared" si="4"/>
        <v>Car/Sport Utility/Consumer VehicleInsurance cost /yr ($)</v>
      </c>
      <c r="G57" s="542"/>
      <c r="H57" s="919">
        <f ca="1">IF(G57&lt;&gt;"",G57,IFERROR(IF(INDIRECT("'"&amp;$G$5&amp;"'!"&amp;ADDRESS(ROW(H57),COLUMN(H57)))="","",INDIRECT("'"&amp;$G$5&amp;"'!"&amp;ADDRESS(ROW(H57),COLUMN(H57)))*$H$6),IF($G$5&lt;&gt;"","Data Source Error","")))</f>
        <v>2323.9499999999998</v>
      </c>
      <c r="J57" s="523"/>
      <c r="K57" s="545"/>
      <c r="L57" s="545"/>
      <c r="M57" s="546"/>
      <c r="Y57" s="2687"/>
      <c r="Z57" s="2687"/>
      <c r="AA57" s="2687"/>
      <c r="AB57" s="2687"/>
    </row>
    <row r="58" spans="1:28" outlineLevel="1">
      <c r="A58" s="10"/>
      <c r="B58" s="2558" t="s">
        <v>407</v>
      </c>
      <c r="C58" s="2559"/>
      <c r="D58" s="191" t="s">
        <v>2515</v>
      </c>
      <c r="E58" s="205">
        <f t="shared" ca="1" si="3"/>
        <v>1</v>
      </c>
      <c r="F58" s="549" t="str">
        <f t="shared" si="4"/>
        <v>Car/Sport Utility/Consumer VehicleMaintenance cost/km ($)</v>
      </c>
      <c r="G58" s="542"/>
      <c r="H58" s="919">
        <f ca="1">IF(G58&lt;&gt;"",G58,IFERROR(IF(INDIRECT("'"&amp;$G$5&amp;"'!"&amp;ADDRESS(ROW(H58),COLUMN(H58)))="","",INDIRECT("'"&amp;$G$5&amp;"'!"&amp;ADDRESS(ROW(H58),COLUMN(H58)))*$H$6),IF($G$5&lt;&gt;"","Data Source Error","")))</f>
        <v>0.12</v>
      </c>
      <c r="J58" s="523"/>
      <c r="K58" s="545"/>
      <c r="L58" s="545"/>
      <c r="M58" s="546"/>
      <c r="Y58" s="2687"/>
      <c r="Z58" s="2687"/>
      <c r="AA58" s="2687"/>
      <c r="AB58" s="2687"/>
    </row>
    <row r="59" spans="1:28" outlineLevel="1">
      <c r="A59" s="10"/>
      <c r="B59" s="2558" t="s">
        <v>407</v>
      </c>
      <c r="C59" s="2559"/>
      <c r="D59" s="191" t="s">
        <v>41</v>
      </c>
      <c r="E59" s="205">
        <f t="shared" ca="1" si="3"/>
        <v>1</v>
      </c>
      <c r="F59" s="549" t="str">
        <f t="shared" si="4"/>
        <v>Car/Sport Utility/Consumer VehicleFuel Efficiency (km/liter)</v>
      </c>
      <c r="G59" s="543"/>
      <c r="H59" s="918">
        <f ca="1">IF(G59&lt;&gt;"",G59,IFERROR(IF(INDIRECT("'"&amp;$G$5&amp;"'!"&amp;ADDRESS(ROW(H59),COLUMN(H59)))="","",INDIRECT("'"&amp;$G$5&amp;"'!"&amp;ADDRESS(ROW(H59),COLUMN(H59)))),IF($G$5&lt;&gt;"","Data Source Error","")))</f>
        <v>6.9</v>
      </c>
      <c r="J59" s="523"/>
      <c r="K59" s="545"/>
      <c r="L59" s="545"/>
      <c r="M59" s="546"/>
      <c r="Y59" s="2687"/>
      <c r="Z59" s="2687"/>
      <c r="AA59" s="2687"/>
      <c r="AB59" s="2687"/>
    </row>
    <row r="60" spans="1:28" outlineLevel="1">
      <c r="A60" s="10"/>
      <c r="B60" s="2585" t="s">
        <v>407</v>
      </c>
      <c r="C60" s="2586"/>
      <c r="D60" s="207" t="s">
        <v>43</v>
      </c>
      <c r="E60" s="205">
        <f t="shared" ca="1" si="3"/>
        <v>1</v>
      </c>
      <c r="F60" s="549" t="str">
        <f t="shared" si="4"/>
        <v>Car/Sport Utility/Consumer VehicleDelivery Capacity (m^3)</v>
      </c>
      <c r="G60" s="544"/>
      <c r="H60" s="920">
        <f ca="1">IF(G60&lt;&gt;"",G60,IFERROR(IF(INDIRECT("'"&amp;$G$5&amp;"'!"&amp;ADDRESS(ROW(H60),COLUMN(H60)))="","",INDIRECT("'"&amp;$G$5&amp;"'!"&amp;ADDRESS(ROW(H60),COLUMN(H60)))),IF($G$5&lt;&gt;"","Data Source Error","")))</f>
        <v>2</v>
      </c>
      <c r="J60" s="523"/>
      <c r="K60" s="545"/>
      <c r="L60" s="545"/>
      <c r="M60" s="546"/>
      <c r="Y60" s="2687"/>
      <c r="Z60" s="2687"/>
      <c r="AA60" s="2687"/>
      <c r="AB60" s="2687"/>
    </row>
    <row r="61" spans="1:28" outlineLevel="1">
      <c r="A61" s="10"/>
      <c r="B61" s="2624" t="s">
        <v>279</v>
      </c>
      <c r="C61" s="2625"/>
      <c r="D61" s="208" t="s">
        <v>1545</v>
      </c>
      <c r="E61" s="205">
        <f t="shared" ca="1" si="3"/>
        <v>1</v>
      </c>
      <c r="F61" s="549" t="str">
        <f t="shared" si="4"/>
        <v>Commercial TruckPurchase Price ($)</v>
      </c>
      <c r="G61" s="540"/>
      <c r="H61" s="917">
        <f ca="1">IF(G61&lt;&gt;"",G61,IFERROR(IF(INDIRECT("'"&amp;$G$5&amp;"'!"&amp;ADDRESS(ROW(H61),COLUMN(H61)))="","",INDIRECT("'"&amp;$G$5&amp;"'!"&amp;ADDRESS(ROW(H61),COLUMN(H61)))*$H$6),IF($G$5&lt;&gt;"","Data Source Error","")))</f>
        <v>70448.990000000005</v>
      </c>
      <c r="J61" s="523"/>
      <c r="K61" s="545"/>
      <c r="L61" s="545"/>
      <c r="M61" s="546"/>
      <c r="Y61" s="2687"/>
      <c r="Z61" s="2687"/>
      <c r="AA61" s="2687"/>
      <c r="AB61" s="2687"/>
    </row>
    <row r="62" spans="1:28" outlineLevel="1">
      <c r="A62" s="10"/>
      <c r="B62" s="2558" t="s">
        <v>279</v>
      </c>
      <c r="C62" s="2559"/>
      <c r="D62" s="191" t="s">
        <v>2513</v>
      </c>
      <c r="E62" s="1064">
        <f t="shared" ca="1" si="3"/>
        <v>1</v>
      </c>
      <c r="F62" s="549" t="str">
        <f t="shared" si="4"/>
        <v>Commercial TruckDepreciation Cost / yr ($)</v>
      </c>
      <c r="G62" s="541"/>
      <c r="H62" s="919">
        <f ca="1">IF(G62&lt;&gt;"",G62,IFERROR(IF(G61&lt;&gt;"",H61/$H$11,IF(INDIRECT("'"&amp;$G$5&amp;"'!"&amp;ADDRESS(ROW(H62),COLUMN(H62)))="",IF(H61="","",H61/$H$11),INDIRECT("'"&amp;$G$5&amp;"'!"&amp;ADDRESS(ROW(H62),COLUMN(H62))))*$H$6),IF(INDIRECT("'"&amp;$G$5&amp;"'!"&amp;ADDRESS(ROW(H62),COLUMN(H62)))="","",IF($G$5&lt;&gt;"","Data Source Error",""))))</f>
        <v>14089.798000000001</v>
      </c>
      <c r="J62" s="523"/>
      <c r="K62" s="545"/>
      <c r="L62" s="545"/>
      <c r="M62" s="546"/>
      <c r="Y62" s="2687"/>
      <c r="Z62" s="2687"/>
      <c r="AA62" s="2687"/>
      <c r="AB62" s="2687"/>
    </row>
    <row r="63" spans="1:28" outlineLevel="1">
      <c r="A63" s="10"/>
      <c r="B63" s="2558" t="s">
        <v>279</v>
      </c>
      <c r="C63" s="2559"/>
      <c r="D63" s="191" t="s">
        <v>2514</v>
      </c>
      <c r="E63" s="205">
        <f t="shared" ca="1" si="3"/>
        <v>1</v>
      </c>
      <c r="F63" s="549" t="str">
        <f t="shared" si="4"/>
        <v>Commercial TruckInsurance cost /yr ($)</v>
      </c>
      <c r="G63" s="542"/>
      <c r="H63" s="919">
        <f ca="1">IF(G63&lt;&gt;"",G63,IFERROR(IF(INDIRECT("'"&amp;$G$5&amp;"'!"&amp;ADDRESS(ROW(H63),COLUMN(H63)))="","",INDIRECT("'"&amp;$G$5&amp;"'!"&amp;ADDRESS(ROW(H63),COLUMN(H63)))*$H$6),IF($G$5&lt;&gt;"","Data Source Error","")))</f>
        <v>2575.86</v>
      </c>
      <c r="J63" s="523"/>
      <c r="K63" s="545"/>
      <c r="L63" s="545"/>
      <c r="M63" s="546"/>
      <c r="Y63" s="2687"/>
      <c r="Z63" s="2687"/>
      <c r="AA63" s="2687"/>
      <c r="AB63" s="2687"/>
    </row>
    <row r="64" spans="1:28" outlineLevel="1">
      <c r="A64" s="10"/>
      <c r="B64" s="2558" t="s">
        <v>279</v>
      </c>
      <c r="C64" s="2559"/>
      <c r="D64" s="191" t="s">
        <v>2515</v>
      </c>
      <c r="E64" s="205">
        <f t="shared" ca="1" si="3"/>
        <v>1</v>
      </c>
      <c r="F64" s="549" t="str">
        <f t="shared" si="4"/>
        <v>Commercial TruckMaintenance cost/km ($)</v>
      </c>
      <c r="G64" s="542"/>
      <c r="H64" s="919">
        <f ca="1">IF(G64&lt;&gt;"",G64,IFERROR(IF(INDIRECT("'"&amp;$G$5&amp;"'!"&amp;ADDRESS(ROW(H64),COLUMN(H64)))="","",INDIRECT("'"&amp;$G$5&amp;"'!"&amp;ADDRESS(ROW(H64),COLUMN(H64)))*$H$6),IF($G$5&lt;&gt;"","Data Source Error","")))</f>
        <v>0.38</v>
      </c>
      <c r="J64" s="523"/>
      <c r="K64" s="545"/>
      <c r="L64" s="545"/>
      <c r="M64" s="546"/>
      <c r="Y64" s="2687"/>
      <c r="Z64" s="2687"/>
      <c r="AA64" s="2687"/>
      <c r="AB64" s="2687"/>
    </row>
    <row r="65" spans="1:28" outlineLevel="1">
      <c r="A65" s="10"/>
      <c r="B65" s="2558" t="s">
        <v>279</v>
      </c>
      <c r="C65" s="2559"/>
      <c r="D65" s="191" t="s">
        <v>41</v>
      </c>
      <c r="E65" s="205">
        <f t="shared" ca="1" si="3"/>
        <v>1</v>
      </c>
      <c r="F65" s="549" t="str">
        <f t="shared" si="4"/>
        <v>Commercial TruckFuel Efficiency (km/liter)</v>
      </c>
      <c r="G65" s="543"/>
      <c r="H65" s="918">
        <f ca="1">IF(G65&lt;&gt;"",G65,IFERROR(IF(INDIRECT("'"&amp;$G$5&amp;"'!"&amp;ADDRESS(ROW(H65),COLUMN(H65)))="","",INDIRECT("'"&amp;$G$5&amp;"'!"&amp;ADDRESS(ROW(H65),COLUMN(H65)))),IF($G$5&lt;&gt;"","Data Source Error","")))</f>
        <v>3.86</v>
      </c>
      <c r="J65" s="523"/>
      <c r="K65" s="545"/>
      <c r="L65" s="545"/>
      <c r="M65" s="546"/>
      <c r="Y65" s="2687"/>
      <c r="Z65" s="2687"/>
      <c r="AA65" s="2687"/>
      <c r="AB65" s="2687"/>
    </row>
    <row r="66" spans="1:28" outlineLevel="1">
      <c r="A66" s="10"/>
      <c r="B66" s="2585" t="s">
        <v>279</v>
      </c>
      <c r="C66" s="2586"/>
      <c r="D66" s="207" t="s">
        <v>43</v>
      </c>
      <c r="E66" s="205">
        <f t="shared" ca="1" si="3"/>
        <v>1</v>
      </c>
      <c r="F66" s="549" t="str">
        <f t="shared" si="4"/>
        <v>Commercial TruckDelivery Capacity (m^3)</v>
      </c>
      <c r="G66" s="544"/>
      <c r="H66" s="920">
        <f ca="1">IF(G66&lt;&gt;"",G66,IFERROR(IF(INDIRECT("'"&amp;$G$5&amp;"'!"&amp;ADDRESS(ROW(H66),COLUMN(H66)))="","",INDIRECT("'"&amp;$G$5&amp;"'!"&amp;ADDRESS(ROW(H66),COLUMN(H66)))),IF($G$5&lt;&gt;"","Data Source Error","")))</f>
        <v>12</v>
      </c>
      <c r="J66" s="523"/>
      <c r="K66" s="545"/>
      <c r="L66" s="545"/>
      <c r="M66" s="546"/>
      <c r="Y66" s="2687"/>
      <c r="Z66" s="2687"/>
      <c r="AA66" s="2687"/>
      <c r="AB66" s="2687"/>
    </row>
    <row r="67" spans="1:28" outlineLevel="1">
      <c r="A67" s="10"/>
      <c r="B67" s="2624" t="s">
        <v>410</v>
      </c>
      <c r="C67" s="2625"/>
      <c r="D67" s="208" t="s">
        <v>1545</v>
      </c>
      <c r="E67" s="205">
        <f t="shared" ca="1" si="3"/>
        <v>0</v>
      </c>
      <c r="F67" s="549" t="str">
        <f t="shared" si="4"/>
        <v>Refrigerated VehiclePurchase Price ($)</v>
      </c>
      <c r="G67" s="540"/>
      <c r="H67" s="917" t="str">
        <f ca="1">IF(G67&lt;&gt;"",G67,IFERROR(IF(INDIRECT("'"&amp;$G$5&amp;"'!"&amp;ADDRESS(ROW(H67),COLUMN(H67)))="","",INDIRECT("'"&amp;$G$5&amp;"'!"&amp;ADDRESS(ROW(H67),COLUMN(H67)))*$H$6),IF($G$5&lt;&gt;"","Data Source Error","")))</f>
        <v/>
      </c>
      <c r="J67" s="523"/>
      <c r="K67" s="545"/>
      <c r="L67" s="545"/>
      <c r="M67" s="546"/>
      <c r="Y67" s="2687"/>
      <c r="Z67" s="2687"/>
      <c r="AA67" s="2687"/>
      <c r="AB67" s="2687"/>
    </row>
    <row r="68" spans="1:28" outlineLevel="1">
      <c r="A68" s="10"/>
      <c r="B68" s="2558" t="s">
        <v>410</v>
      </c>
      <c r="C68" s="2559"/>
      <c r="D68" s="191" t="s">
        <v>2513</v>
      </c>
      <c r="E68" s="1064">
        <f t="shared" ca="1" si="3"/>
        <v>0</v>
      </c>
      <c r="F68" s="549" t="str">
        <f t="shared" si="4"/>
        <v>Refrigerated VehicleDepreciation Cost / yr ($)</v>
      </c>
      <c r="G68" s="541"/>
      <c r="H68" s="919" t="str">
        <f ca="1">IF(G68&lt;&gt;"",G68,IFERROR(IF(G67&lt;&gt;"",H67/$H$11,IF(INDIRECT("'"&amp;$G$5&amp;"'!"&amp;ADDRESS(ROW(H68),COLUMN(H68)))="",IF(H67="","",H67/$H$11),INDIRECT("'"&amp;$G$5&amp;"'!"&amp;ADDRESS(ROW(H68),COLUMN(H68))))*$H$6),IF(INDIRECT("'"&amp;$G$5&amp;"'!"&amp;ADDRESS(ROW(H68),COLUMN(H68)))="","",IF($G$5&lt;&gt;"","Data Source Error",""))))</f>
        <v/>
      </c>
      <c r="J68" s="1797"/>
      <c r="K68" s="545"/>
      <c r="L68" s="545"/>
      <c r="M68" s="546"/>
      <c r="Y68" s="2687"/>
      <c r="Z68" s="2687"/>
      <c r="AA68" s="2687"/>
      <c r="AB68" s="2687"/>
    </row>
    <row r="69" spans="1:28" outlineLevel="1">
      <c r="A69" s="10"/>
      <c r="B69" s="2558" t="s">
        <v>410</v>
      </c>
      <c r="C69" s="2559"/>
      <c r="D69" s="191" t="s">
        <v>2514</v>
      </c>
      <c r="E69" s="205">
        <f t="shared" ca="1" si="3"/>
        <v>0</v>
      </c>
      <c r="F69" s="549" t="str">
        <f t="shared" si="4"/>
        <v>Refrigerated VehicleInsurance cost /yr ($)</v>
      </c>
      <c r="G69" s="542"/>
      <c r="H69" s="919" t="str">
        <f ca="1">IF(G69&lt;&gt;"",G69,IFERROR(IF(INDIRECT("'"&amp;$G$5&amp;"'!"&amp;ADDRESS(ROW(H69),COLUMN(H69)))="","",INDIRECT("'"&amp;$G$5&amp;"'!"&amp;ADDRESS(ROW(H69),COLUMN(H69)))*$H$6),IF($G$5&lt;&gt;"","Data Source Error","")))</f>
        <v/>
      </c>
      <c r="J69" s="523"/>
      <c r="K69" s="545"/>
      <c r="L69" s="545"/>
      <c r="M69" s="546"/>
      <c r="Y69" s="2687"/>
      <c r="Z69" s="2687"/>
      <c r="AA69" s="2687"/>
      <c r="AB69" s="2687"/>
    </row>
    <row r="70" spans="1:28" outlineLevel="1">
      <c r="A70" s="10"/>
      <c r="B70" s="2558" t="s">
        <v>410</v>
      </c>
      <c r="C70" s="2559"/>
      <c r="D70" s="191" t="s">
        <v>2515</v>
      </c>
      <c r="E70" s="205">
        <f t="shared" ca="1" si="3"/>
        <v>0</v>
      </c>
      <c r="F70" s="549" t="str">
        <f t="shared" si="4"/>
        <v>Refrigerated VehicleMaintenance cost/km ($)</v>
      </c>
      <c r="G70" s="542"/>
      <c r="H70" s="919" t="str">
        <f ca="1">IF(G70&lt;&gt;"",G70,IFERROR(IF(INDIRECT("'"&amp;$G$5&amp;"'!"&amp;ADDRESS(ROW(H70),COLUMN(H70)))="","",INDIRECT("'"&amp;$G$5&amp;"'!"&amp;ADDRESS(ROW(H70),COLUMN(H70)))*$H$6),IF($G$5&lt;&gt;"","Data Source Error","")))</f>
        <v/>
      </c>
      <c r="J70" s="523"/>
      <c r="K70" s="545"/>
      <c r="L70" s="545"/>
      <c r="M70" s="546"/>
      <c r="Y70" s="2687"/>
      <c r="Z70" s="2687"/>
      <c r="AA70" s="2687"/>
      <c r="AB70" s="2687"/>
    </row>
    <row r="71" spans="1:28" outlineLevel="1">
      <c r="A71" s="10"/>
      <c r="B71" s="2558" t="s">
        <v>410</v>
      </c>
      <c r="C71" s="2559"/>
      <c r="D71" s="191" t="s">
        <v>41</v>
      </c>
      <c r="E71" s="205">
        <f t="shared" ca="1" si="3"/>
        <v>0</v>
      </c>
      <c r="F71" s="549" t="str">
        <f t="shared" si="4"/>
        <v>Refrigerated VehicleFuel Efficiency (km/liter)</v>
      </c>
      <c r="G71" s="543"/>
      <c r="H71" s="918" t="str">
        <f ca="1">IF(G71&lt;&gt;"",G71,IFERROR(IF(INDIRECT("'"&amp;$G$5&amp;"'!"&amp;ADDRESS(ROW(H71),COLUMN(H71)))="","",INDIRECT("'"&amp;$G$5&amp;"'!"&amp;ADDRESS(ROW(H71),COLUMN(H71)))),IF($G$5&lt;&gt;"","Data Source Error","")))</f>
        <v/>
      </c>
      <c r="J71" s="523"/>
      <c r="K71" s="545"/>
      <c r="L71" s="545"/>
      <c r="M71" s="546"/>
      <c r="Y71" s="2687"/>
      <c r="Z71" s="2687"/>
      <c r="AA71" s="2687"/>
      <c r="AB71" s="2687"/>
    </row>
    <row r="72" spans="1:28" outlineLevel="1">
      <c r="A72" s="10"/>
      <c r="B72" s="2585" t="s">
        <v>410</v>
      </c>
      <c r="C72" s="2586"/>
      <c r="D72" s="207" t="s">
        <v>43</v>
      </c>
      <c r="E72" s="205">
        <f t="shared" ca="1" si="3"/>
        <v>0</v>
      </c>
      <c r="F72" s="549" t="str">
        <f t="shared" si="4"/>
        <v>Refrigerated VehicleDelivery Capacity (m^3)</v>
      </c>
      <c r="G72" s="544"/>
      <c r="H72" s="920" t="str">
        <f ca="1">IF(G72&lt;&gt;"",G72,IFERROR(IF(INDIRECT("'"&amp;$G$5&amp;"'!"&amp;ADDRESS(ROW(H72),COLUMN(H72)))="","",INDIRECT("'"&amp;$G$5&amp;"'!"&amp;ADDRESS(ROW(H72),COLUMN(H72)))),IF($G$5&lt;&gt;"","Data Source Error","")))</f>
        <v/>
      </c>
      <c r="J72" s="523"/>
      <c r="K72" s="545"/>
      <c r="L72" s="545"/>
      <c r="M72" s="546"/>
      <c r="Y72" s="2687"/>
      <c r="Z72" s="2687"/>
      <c r="AA72" s="2687"/>
      <c r="AB72" s="2687"/>
    </row>
    <row r="73" spans="1:28" outlineLevel="1">
      <c r="A73" s="10"/>
      <c r="B73" s="2624" t="s">
        <v>406</v>
      </c>
      <c r="C73" s="2625"/>
      <c r="D73" s="208" t="s">
        <v>1545</v>
      </c>
      <c r="E73" s="205">
        <f t="shared" ca="1" si="3"/>
        <v>0</v>
      </c>
      <c r="F73" s="549" t="str">
        <f t="shared" si="4"/>
        <v>Other Vehicle TypePurchase Price ($)</v>
      </c>
      <c r="G73" s="540"/>
      <c r="H73" s="917" t="str">
        <f ca="1">IF(G73&lt;&gt;"",G73,IFERROR(IF(INDIRECT("'"&amp;$G$5&amp;"'!"&amp;ADDRESS(ROW(H73),COLUMN(H73)))="","",INDIRECT("'"&amp;$G$5&amp;"'!"&amp;ADDRESS(ROW(H73),COLUMN(H73)))*$H$6),IF($G$5&lt;&gt;"","Data Source Error","")))</f>
        <v/>
      </c>
      <c r="J73" s="523"/>
      <c r="K73" s="545"/>
      <c r="L73" s="545"/>
      <c r="M73" s="546"/>
      <c r="Y73" s="2687"/>
      <c r="Z73" s="2687"/>
      <c r="AA73" s="2687"/>
      <c r="AB73" s="2687"/>
    </row>
    <row r="74" spans="1:28" outlineLevel="1">
      <c r="A74" s="10"/>
      <c r="B74" s="2558" t="s">
        <v>406</v>
      </c>
      <c r="C74" s="2559"/>
      <c r="D74" s="191" t="s">
        <v>2513</v>
      </c>
      <c r="E74" s="1064">
        <f t="shared" ca="1" si="3"/>
        <v>0</v>
      </c>
      <c r="F74" s="549" t="str">
        <f t="shared" si="4"/>
        <v>Other Vehicle TypeDepreciation Cost / yr ($)</v>
      </c>
      <c r="G74" s="541"/>
      <c r="H74" s="919" t="str">
        <f ca="1">IF(G74&lt;&gt;"",G74,IFERROR(IF(G73&lt;&gt;"",H73/$H$11,IF(INDIRECT("'"&amp;$G$5&amp;"'!"&amp;ADDRESS(ROW(H74),COLUMN(H74)))="",IF(H73="","",H73/$H$11),INDIRECT("'"&amp;$G$5&amp;"'!"&amp;ADDRESS(ROW(H74),COLUMN(H74))))*$H$6),IF(INDIRECT("'"&amp;$G$5&amp;"'!"&amp;ADDRESS(ROW(H74),COLUMN(H74)))="","",IF($G$5&lt;&gt;"","Data Source Error",""))))</f>
        <v/>
      </c>
      <c r="J74" s="523"/>
      <c r="K74" s="545"/>
      <c r="L74" s="545"/>
      <c r="M74" s="546"/>
      <c r="Y74" s="2687"/>
      <c r="Z74" s="2687"/>
      <c r="AA74" s="2687"/>
      <c r="AB74" s="2687"/>
    </row>
    <row r="75" spans="1:28" outlineLevel="1">
      <c r="A75" s="10"/>
      <c r="B75" s="2558" t="s">
        <v>406</v>
      </c>
      <c r="C75" s="2559"/>
      <c r="D75" s="191" t="s">
        <v>2514</v>
      </c>
      <c r="E75" s="205">
        <f t="shared" ca="1" si="3"/>
        <v>0</v>
      </c>
      <c r="F75" s="549" t="str">
        <f t="shared" si="4"/>
        <v>Other Vehicle TypeInsurance cost /yr ($)</v>
      </c>
      <c r="G75" s="542"/>
      <c r="H75" s="919" t="str">
        <f ca="1">IF(G75&lt;&gt;"",G75,IFERROR(IF(INDIRECT("'"&amp;$G$5&amp;"'!"&amp;ADDRESS(ROW(H75),COLUMN(H75)))="","",INDIRECT("'"&amp;$G$5&amp;"'!"&amp;ADDRESS(ROW(H75),COLUMN(H75)))*$H$6),IF($G$5&lt;&gt;"","Data Source Error","")))</f>
        <v/>
      </c>
      <c r="J75" s="523"/>
      <c r="K75" s="545"/>
      <c r="L75" s="545"/>
      <c r="M75" s="546"/>
      <c r="Y75" s="2687"/>
      <c r="Z75" s="2687"/>
      <c r="AA75" s="2687"/>
      <c r="AB75" s="2687"/>
    </row>
    <row r="76" spans="1:28" outlineLevel="1">
      <c r="A76" s="10"/>
      <c r="B76" s="2558" t="s">
        <v>406</v>
      </c>
      <c r="C76" s="2559"/>
      <c r="D76" s="191" t="s">
        <v>2515</v>
      </c>
      <c r="E76" s="205">
        <f t="shared" ca="1" si="3"/>
        <v>0</v>
      </c>
      <c r="F76" s="549" t="str">
        <f t="shared" si="4"/>
        <v>Other Vehicle TypeMaintenance cost/km ($)</v>
      </c>
      <c r="G76" s="542"/>
      <c r="H76" s="919" t="str">
        <f ca="1">IF(G76&lt;&gt;"",G76,IFERROR(IF(INDIRECT("'"&amp;$G$5&amp;"'!"&amp;ADDRESS(ROW(H76),COLUMN(H76)))="","",INDIRECT("'"&amp;$G$5&amp;"'!"&amp;ADDRESS(ROW(H76),COLUMN(H76)))*$H$6),IF($G$5&lt;&gt;"","Data Source Error","")))</f>
        <v/>
      </c>
      <c r="J76" s="523"/>
      <c r="K76" s="545"/>
      <c r="L76" s="545"/>
      <c r="M76" s="546"/>
      <c r="Y76" s="2687"/>
      <c r="Z76" s="2687"/>
      <c r="AA76" s="2687"/>
      <c r="AB76" s="2687"/>
    </row>
    <row r="77" spans="1:28" outlineLevel="1">
      <c r="A77" s="10"/>
      <c r="B77" s="2558" t="s">
        <v>406</v>
      </c>
      <c r="C77" s="2559"/>
      <c r="D77" s="191" t="s">
        <v>41</v>
      </c>
      <c r="E77" s="205">
        <f t="shared" ca="1" si="3"/>
        <v>0</v>
      </c>
      <c r="F77" s="549" t="str">
        <f t="shared" si="4"/>
        <v>Other Vehicle TypeFuel Efficiency (km/liter)</v>
      </c>
      <c r="G77" s="543"/>
      <c r="H77" s="918" t="str">
        <f ca="1">IF(G77&lt;&gt;"",G77,IFERROR(IF(INDIRECT("'"&amp;$G$5&amp;"'!"&amp;ADDRESS(ROW(H77),COLUMN(H77)))="","",INDIRECT("'"&amp;$G$5&amp;"'!"&amp;ADDRESS(ROW(H77),COLUMN(H77)))),IF($G$5&lt;&gt;"","Data Source Error","")))</f>
        <v/>
      </c>
      <c r="J77" s="523"/>
      <c r="K77" s="545"/>
      <c r="L77" s="545"/>
      <c r="M77" s="546"/>
      <c r="Y77" s="2687"/>
      <c r="Z77" s="2687"/>
      <c r="AA77" s="2687"/>
      <c r="AB77" s="2687"/>
    </row>
    <row r="78" spans="1:28" outlineLevel="1">
      <c r="A78" s="10"/>
      <c r="B78" s="2585" t="s">
        <v>406</v>
      </c>
      <c r="C78" s="2586"/>
      <c r="D78" s="207" t="s">
        <v>43</v>
      </c>
      <c r="E78" s="205">
        <f t="shared" ca="1" si="3"/>
        <v>0</v>
      </c>
      <c r="F78" s="549" t="str">
        <f t="shared" si="4"/>
        <v>Other Vehicle TypeDelivery Capacity (m^3)</v>
      </c>
      <c r="G78" s="544"/>
      <c r="H78" s="920" t="str">
        <f ca="1">IF(G78&lt;&gt;"",G78,IFERROR(IF(INDIRECT("'"&amp;$G$5&amp;"'!"&amp;ADDRESS(ROW(H78),COLUMN(H78)))="","",INDIRECT("'"&amp;$G$5&amp;"'!"&amp;ADDRESS(ROW(H78),COLUMN(H78)))),IF($G$5&lt;&gt;"","Data Source Error","")))</f>
        <v/>
      </c>
      <c r="J78" s="2057"/>
      <c r="K78" s="2058"/>
      <c r="L78" s="2058"/>
      <c r="M78" s="2059"/>
      <c r="Y78" s="2687"/>
      <c r="Z78" s="2687"/>
      <c r="AA78" s="2687"/>
      <c r="AB78" s="2687"/>
    </row>
    <row r="79" spans="1:28">
      <c r="A79" s="212" t="s">
        <v>647</v>
      </c>
      <c r="C79" s="2053"/>
    </row>
    <row r="80" spans="1:28">
      <c r="A80" s="10"/>
      <c r="B80" s="2053"/>
      <c r="C80" s="2053"/>
      <c r="H80" s="34"/>
    </row>
    <row r="81" spans="1:30" ht="29.25" customHeight="1">
      <c r="A81" s="10"/>
      <c r="B81" s="2318" t="s">
        <v>607</v>
      </c>
      <c r="C81" s="2318"/>
      <c r="D81" s="2318"/>
      <c r="E81" s="496"/>
      <c r="G81" s="212" t="s">
        <v>674</v>
      </c>
      <c r="H81" s="34"/>
    </row>
    <row r="82" spans="1:30" ht="25.5" customHeight="1">
      <c r="B82" s="2068" t="s">
        <v>613</v>
      </c>
      <c r="C82" s="592"/>
      <c r="D82" s="592"/>
      <c r="E82" s="592"/>
      <c r="F82" s="592"/>
      <c r="G82" s="593"/>
      <c r="H82" s="592"/>
      <c r="I82" s="592"/>
      <c r="J82" s="593"/>
      <c r="K82" s="592"/>
      <c r="L82" s="592"/>
      <c r="M82" s="593"/>
      <c r="N82" s="592"/>
      <c r="O82" s="592"/>
      <c r="P82" s="593"/>
      <c r="Q82" s="592"/>
      <c r="R82" s="594"/>
      <c r="S82" s="593"/>
      <c r="T82" s="592"/>
      <c r="U82" s="594"/>
      <c r="V82" s="593"/>
      <c r="W82" s="592"/>
    </row>
    <row r="83" spans="1:30" ht="35.25" customHeight="1" outlineLevel="1">
      <c r="A83" s="148"/>
      <c r="B83" s="109"/>
      <c r="C83" s="109"/>
      <c r="D83" s="109"/>
      <c r="E83" s="499"/>
      <c r="F83" s="21"/>
      <c r="G83" s="2634" t="s">
        <v>31</v>
      </c>
      <c r="H83" s="2635"/>
      <c r="I83" s="983"/>
      <c r="J83" s="2634" t="s">
        <v>6</v>
      </c>
      <c r="K83" s="2635"/>
      <c r="L83" s="983"/>
      <c r="M83" s="2634" t="s">
        <v>7</v>
      </c>
      <c r="N83" s="2635"/>
      <c r="O83" s="983"/>
      <c r="P83" s="2634" t="s">
        <v>8</v>
      </c>
      <c r="Q83" s="2635"/>
      <c r="R83" s="983"/>
      <c r="S83" s="2634" t="s">
        <v>411</v>
      </c>
      <c r="T83" s="2635"/>
      <c r="U83" s="983"/>
      <c r="V83" s="2634" t="s">
        <v>412</v>
      </c>
      <c r="W83" s="2636"/>
    </row>
    <row r="84" spans="1:30" ht="15" customHeight="1" outlineLevel="1">
      <c r="A84" s="148"/>
      <c r="B84" s="499"/>
      <c r="C84" s="499"/>
      <c r="D84" s="499"/>
      <c r="E84" s="499"/>
      <c r="F84" s="21"/>
      <c r="G84" s="2637" t="s">
        <v>17</v>
      </c>
      <c r="H84" s="2639" t="s">
        <v>10</v>
      </c>
      <c r="J84" s="2637" t="s">
        <v>17</v>
      </c>
      <c r="K84" s="2639" t="s">
        <v>10</v>
      </c>
      <c r="M84" s="2637" t="s">
        <v>17</v>
      </c>
      <c r="N84" s="2639" t="s">
        <v>10</v>
      </c>
      <c r="P84" s="2637" t="s">
        <v>17</v>
      </c>
      <c r="Q84" s="2639" t="s">
        <v>10</v>
      </c>
      <c r="S84" s="2637" t="s">
        <v>17</v>
      </c>
      <c r="T84" s="2639" t="s">
        <v>10</v>
      </c>
      <c r="V84" s="2637" t="s">
        <v>17</v>
      </c>
      <c r="W84" s="2641" t="s">
        <v>10</v>
      </c>
    </row>
    <row r="85" spans="1:30" ht="15" customHeight="1" outlineLevel="1">
      <c r="A85" s="148"/>
      <c r="B85" s="2651"/>
      <c r="C85" s="2651"/>
      <c r="D85" s="2651"/>
      <c r="E85" s="2061"/>
      <c r="F85" s="19"/>
      <c r="G85" s="2638"/>
      <c r="H85" s="2640"/>
      <c r="I85" s="236"/>
      <c r="J85" s="2638"/>
      <c r="K85" s="2640"/>
      <c r="L85" s="236"/>
      <c r="M85" s="2638"/>
      <c r="N85" s="2640"/>
      <c r="O85" s="236"/>
      <c r="P85" s="2638"/>
      <c r="Q85" s="2640"/>
      <c r="R85" s="236"/>
      <c r="S85" s="2638"/>
      <c r="T85" s="2640"/>
      <c r="U85" s="236"/>
      <c r="V85" s="2638"/>
      <c r="W85" s="2642"/>
      <c r="Y85" s="2619" t="s">
        <v>673</v>
      </c>
      <c r="Z85" s="2620"/>
      <c r="AA85" s="2620"/>
      <c r="AB85" s="2621"/>
    </row>
    <row r="86" spans="1:30" ht="36.75" customHeight="1" outlineLevel="1">
      <c r="B86" s="2650" t="s">
        <v>5472</v>
      </c>
      <c r="C86" s="2650"/>
      <c r="D86" s="2650"/>
      <c r="E86" s="182"/>
      <c r="F86" s="183"/>
      <c r="G86" s="561" t="s">
        <v>5547</v>
      </c>
      <c r="H86" s="914"/>
      <c r="I86" s="182"/>
      <c r="J86" s="628" t="s">
        <v>5547</v>
      </c>
      <c r="K86" s="914"/>
      <c r="L86" s="182"/>
      <c r="M86" s="628" t="s">
        <v>5547</v>
      </c>
      <c r="N86" s="914"/>
      <c r="O86" s="182"/>
      <c r="P86" s="552"/>
      <c r="Q86" s="891"/>
      <c r="R86" s="52"/>
      <c r="S86" s="810"/>
      <c r="T86" s="891"/>
      <c r="U86" s="52"/>
      <c r="V86" s="552"/>
      <c r="W86" s="894"/>
      <c r="Y86" s="2643"/>
      <c r="Z86" s="2644"/>
      <c r="AA86" s="2644"/>
      <c r="AB86" s="2645"/>
      <c r="AD86" s="52"/>
    </row>
    <row r="87" spans="1:30" ht="20.25" customHeight="1" outlineLevel="1">
      <c r="B87" s="2652" t="s">
        <v>5473</v>
      </c>
      <c r="C87" s="2652"/>
      <c r="D87" s="2652"/>
      <c r="E87" s="191"/>
      <c r="F87" s="187"/>
      <c r="G87" s="552" t="s">
        <v>31</v>
      </c>
      <c r="H87" s="915"/>
      <c r="I87" s="187"/>
      <c r="J87" s="551" t="s">
        <v>6</v>
      </c>
      <c r="K87" s="915"/>
      <c r="L87" s="187"/>
      <c r="M87" s="551" t="s">
        <v>7</v>
      </c>
      <c r="N87" s="915"/>
      <c r="O87" s="187"/>
      <c r="P87" s="552"/>
      <c r="Q87" s="892"/>
      <c r="R87" s="183"/>
      <c r="S87" s="552"/>
      <c r="T87" s="892"/>
      <c r="U87" s="183"/>
      <c r="V87" s="552"/>
      <c r="W87" s="895"/>
      <c r="Y87" s="2643"/>
      <c r="Z87" s="2644"/>
      <c r="AA87" s="2644"/>
      <c r="AB87" s="2645"/>
      <c r="AD87" s="52"/>
    </row>
    <row r="88" spans="1:30" s="52" customFormat="1" ht="17.899999999999999" customHeight="1" outlineLevel="1">
      <c r="B88" s="2646" t="s">
        <v>640</v>
      </c>
      <c r="C88" s="2646"/>
      <c r="D88" s="2646"/>
      <c r="E88" s="812"/>
      <c r="F88" s="207"/>
      <c r="G88" s="769"/>
      <c r="H88" s="893" t="str">
        <f ca="1">IF(G88&lt;&gt;"",G88,IFERROR(IF(INDIRECT("'"&amp;G$86&amp;"'!"&amp;VLOOKUP(G$87,'List Values'!$C$3:$D$6,2,FALSE)&amp;ROW(G88))="","",INDIRECT("'"&amp;G$86&amp;"'!"&amp;VLOOKUP(G$87,'List Values'!$C$3:$D$6,2,FALSE)&amp;ROW(G88))),IF($G$86&lt;&gt;"","Data Source Error","")))</f>
        <v>CMS</v>
      </c>
      <c r="I88" s="207"/>
      <c r="J88" s="769"/>
      <c r="K88" s="893" t="str">
        <f ca="1">IF($H$7&lt;2,"",IF(J88&lt;&gt;"",J88,IFERROR(IF(INDIRECT("'"&amp;J$86&amp;"'!"&amp;VLOOKUP(J$87,'List Values'!$C$3:$D$6,2,FALSE)&amp;ROW(J88))="","",INDIRECT("'"&amp;J$86&amp;"'!"&amp;VLOOKUP(J$87,'List Values'!$C$3:$D$6,2,FALSE)&amp;ROW(J88))),IF($J$86&lt;&gt;"","Data Source Error",""))))</f>
        <v>Regional WH</v>
      </c>
      <c r="L88" s="207"/>
      <c r="M88" s="769"/>
      <c r="N88" s="893" t="str">
        <f ca="1">IF($H$7&lt;3,"",IF(M88&lt;&gt;"",M88,IFERROR(IF(INDIRECT("'"&amp;M$86&amp;"'!"&amp;VLOOKUP(M$87,'List Values'!$C$3:$D$6,2,FALSE)&amp;ROW(M88))="","",INDIRECT("'"&amp;M$86&amp;"'!"&amp;VLOOKUP(M$87,'List Values'!$C$3:$D$6,2,FALSE)&amp;ROW(M88))),IF($M$86&lt;&gt;"","Data Source Error",""))))</f>
        <v>Health Facility</v>
      </c>
      <c r="O88" s="207"/>
      <c r="P88" s="813"/>
      <c r="Q88" s="893" t="str">
        <f ca="1">IF($H$7&lt;4,"",IF(P88&lt;&gt;"",P88,IFERROR(IF(INDIRECT("'"&amp;P$86&amp;"'!"&amp;VLOOKUP(P$87,'List Values'!$C$3:$D$6,2,FALSE)&amp;ROW(P88))="","",INDIRECT("'"&amp;P$86&amp;"'!"&amp;VLOOKUP(P$87,'List Values'!$C$3:$D$6,2,FALSE)&amp;ROW(P88))),IF($P$86&lt;&gt;"","Data Source Error",""))))</f>
        <v/>
      </c>
      <c r="R88" s="207"/>
      <c r="S88" s="813"/>
      <c r="T88" s="893" t="str">
        <f ca="1">IF($H$7&lt;5,"",IF(S88&lt;&gt;"",S88,IFERROR(IF(INDIRECT("'"&amp;S$86&amp;"'!"&amp;VLOOKUP(S$87,'List Values'!$C$3:$D$6,2,FALSE)&amp;ROW(S88))="","",INDIRECT("'"&amp;S$86&amp;"'!"&amp;VLOOKUP(S$87,'List Values'!$C$3:$D$6,2,FALSE)&amp;ROW(S88))),IF($S$86&lt;&gt;"","Data Source Error",""))))</f>
        <v/>
      </c>
      <c r="U88" s="207"/>
      <c r="V88" s="813"/>
      <c r="W88" s="896" t="str">
        <f ca="1">IF($H$7&lt;6,"",IF(V88&lt;&gt;"",V88,IFERROR(IF(INDIRECT("'"&amp;V$86&amp;"'!"&amp;VLOOKUP(V$87,'List Values'!$C$3:$D$6,2,FALSE)&amp;ROW(V88))="","",INDIRECT("'"&amp;V$86&amp;"'!"&amp;VLOOKUP(V$87,'List Values'!$C$3:$D$6,2,FALSE)&amp;ROW(V88))),IF($V$86&lt;&gt;"","Data Source Error",""))))</f>
        <v/>
      </c>
      <c r="Y88" s="2647"/>
      <c r="Z88" s="2648"/>
      <c r="AA88" s="2648"/>
      <c r="AB88" s="2649"/>
    </row>
    <row r="89" spans="1:30" ht="34.5" customHeight="1">
      <c r="A89" s="630" t="s">
        <v>652</v>
      </c>
      <c r="C89" s="52"/>
      <c r="D89" s="52"/>
      <c r="E89" s="52"/>
      <c r="G89" s="2067"/>
      <c r="H89" s="504"/>
      <c r="J89" s="2067"/>
      <c r="K89" s="504"/>
      <c r="M89" s="2067"/>
      <c r="N89" s="504"/>
      <c r="P89" s="2067"/>
      <c r="Q89" s="504"/>
      <c r="S89" s="2067"/>
      <c r="T89" s="504"/>
      <c r="V89" s="2067"/>
      <c r="W89" s="504"/>
    </row>
    <row r="90" spans="1:30" ht="27.75" customHeight="1">
      <c r="B90" s="2068" t="s">
        <v>608</v>
      </c>
      <c r="C90" s="595"/>
      <c r="D90" s="595"/>
      <c r="E90" s="595"/>
      <c r="F90" s="596"/>
      <c r="G90" s="597"/>
      <c r="H90" s="594"/>
      <c r="I90" s="598"/>
      <c r="J90" s="597"/>
      <c r="K90" s="594"/>
      <c r="L90" s="598"/>
      <c r="M90" s="597"/>
      <c r="N90" s="594"/>
      <c r="O90" s="598"/>
      <c r="P90" s="597"/>
      <c r="Q90" s="594"/>
      <c r="R90" s="599"/>
      <c r="S90" s="594"/>
      <c r="T90" s="594"/>
      <c r="U90" s="599"/>
      <c r="V90" s="594"/>
      <c r="W90" s="594"/>
    </row>
    <row r="91" spans="1:30" ht="19.5" customHeight="1" outlineLevel="1">
      <c r="B91" s="505"/>
      <c r="C91" s="50"/>
      <c r="D91" s="50"/>
      <c r="E91" s="50"/>
      <c r="F91" s="36"/>
      <c r="G91" s="2654" t="str">
        <f ca="1">IF(H88="",G83,H88)&amp;" Tier"</f>
        <v>CMS Tier</v>
      </c>
      <c r="H91" s="2655"/>
      <c r="I91" s="508"/>
      <c r="J91" s="2654" t="str">
        <f ca="1">IF(K88="",J83,K88)&amp;" Tier"</f>
        <v>Regional WH Tier</v>
      </c>
      <c r="K91" s="2655"/>
      <c r="L91" s="508"/>
      <c r="M91" s="2654" t="str">
        <f ca="1">IF(N88="",M83,N88)&amp;" Tier"</f>
        <v>Health Facility Tier</v>
      </c>
      <c r="N91" s="2655"/>
      <c r="O91" s="507"/>
      <c r="P91" s="2654" t="str">
        <f ca="1">IF(Q88="",P83,Q88)&amp;" Tier"</f>
        <v>Tier 4 Tier</v>
      </c>
      <c r="Q91" s="2655"/>
      <c r="R91" s="507"/>
      <c r="S91" s="2654" t="str">
        <f ca="1">IF(T88="",S83,T88)&amp;" Tier"</f>
        <v>Tier 5 Tier</v>
      </c>
      <c r="T91" s="2655"/>
      <c r="U91" s="507"/>
      <c r="V91" s="2654" t="str">
        <f ca="1">IF(W88="",V83,W88)&amp;" Tier"</f>
        <v>Tier 6 Tier</v>
      </c>
      <c r="W91" s="2655"/>
      <c r="Y91" s="2619" t="s">
        <v>673</v>
      </c>
      <c r="Z91" s="2620"/>
      <c r="AA91" s="2620"/>
      <c r="AB91" s="2621"/>
    </row>
    <row r="92" spans="1:30" ht="14.25" customHeight="1" outlineLevel="1">
      <c r="B92" s="2653" t="s">
        <v>2371</v>
      </c>
      <c r="C92" s="2653"/>
      <c r="D92" s="2653"/>
      <c r="E92" s="186"/>
      <c r="F92" s="187"/>
      <c r="G92" s="553"/>
      <c r="H92" s="897">
        <f ca="1">IF(G92&lt;&gt;"",G92,IFERROR(IF(INDIRECT("'"&amp;G$86&amp;"'!"&amp;VLOOKUP(G$87,'List Values'!$C$3:$D$6,2,FALSE)&amp;ROW(G92))="","",INDIRECT("'"&amp;G$86&amp;"'!"&amp;VLOOKUP(G$87,'List Values'!$C$3:$D$6,2,FALSE)&amp;ROW(G92))),IF($G$86&lt;&gt;"","Data Source Error","")))</f>
        <v>390757</v>
      </c>
      <c r="I92" s="183"/>
      <c r="J92" s="553"/>
      <c r="K92" s="897">
        <f ca="1">IF($H$7&lt;2,"",IF(J92&lt;&gt;"",J92,IFERROR(IF(INDIRECT("'"&amp;J$86&amp;"'!"&amp;VLOOKUP(J$87,'List Values'!$C$3:$D$6,2,FALSE)&amp;ROW(J92))="","",INDIRECT("'"&amp;J$86&amp;"'!"&amp;VLOOKUP(J$87,'List Values'!$C$3:$D$6,2,FALSE)&amp;ROW(J92))),IF($J$86&lt;&gt;"","Data Source Error",""))))</f>
        <v>36459</v>
      </c>
      <c r="L92" s="183"/>
      <c r="M92" s="553"/>
      <c r="N92" s="897">
        <f ca="1">IF($H$7&lt;3,"",IF(M92&lt;&gt;"",M92,IFERROR(IF(INDIRECT("'"&amp;M$86&amp;"'!"&amp;VLOOKUP(M$87,'List Values'!$C$3:$D$6,2,FALSE)&amp;ROW(M92))="","",INDIRECT("'"&amp;M$86&amp;"'!"&amp;VLOOKUP(M$87,'List Values'!$C$3:$D$6,2,FALSE)&amp;ROW(M92))),IF($M$86&lt;&gt;"","Data Source Error",""))))</f>
        <v>36459</v>
      </c>
      <c r="O92" s="183"/>
      <c r="P92" s="587"/>
      <c r="Q92" s="907" t="str">
        <f ca="1">IF($H$7&lt;4,"",IF(P92&lt;&gt;"",P92,IFERROR(IF(INDIRECT("'"&amp;P$86&amp;"'!"&amp;VLOOKUP(P$87,'List Values'!$C$3:$D$6,2,FALSE)&amp;ROW(P92))="","",INDIRECT("'"&amp;P$86&amp;"'!"&amp;VLOOKUP(P$87,'List Values'!$C$3:$D$6,2,FALSE)&amp;ROW(P92))),IF($P$86&lt;&gt;"","Data Source Error",""))))</f>
        <v/>
      </c>
      <c r="R92" s="509"/>
      <c r="S92" s="558"/>
      <c r="T92" s="897" t="str">
        <f ca="1">IF($H$7&lt;5,"",IF(S92&lt;&gt;"",S92,IFERROR(IF(INDIRECT("'"&amp;S$86&amp;"'!"&amp;VLOOKUP(S$87,'List Values'!$C$3:$D$6,2,FALSE)&amp;ROW(S92))="","",INDIRECT("'"&amp;S$86&amp;"'!"&amp;VLOOKUP(S$87,'List Values'!$C$3:$D$6,2,FALSE)&amp;ROW(S92))),IF($S$86&lt;&gt;"","Data Source Error",""))))</f>
        <v/>
      </c>
      <c r="V92" s="558"/>
      <c r="W92" s="908" t="str">
        <f ca="1">IF($H$7&lt;6,"",IF(V92&lt;&gt;"",V92,IFERROR(IF(INDIRECT("'"&amp;V$86&amp;"'!"&amp;VLOOKUP(V$87,'List Values'!$C$3:$D$6,2,FALSE)&amp;ROW(V92))="","",INDIRECT("'"&amp;V$86&amp;"'!"&amp;VLOOKUP(V$87,'List Values'!$C$3:$D$6,2,FALSE)&amp;ROW(V92))),IF($V$86&lt;&gt;"","Data Source Error",""))))</f>
        <v/>
      </c>
      <c r="Y92" s="2643"/>
      <c r="Z92" s="2644"/>
      <c r="AA92" s="2644"/>
      <c r="AB92" s="2645"/>
      <c r="AD92" s="52"/>
    </row>
    <row r="93" spans="1:30" s="6" customFormat="1" ht="14.25" customHeight="1" outlineLevel="1">
      <c r="B93" s="2653" t="s">
        <v>5446</v>
      </c>
      <c r="C93" s="2653"/>
      <c r="D93" s="2653"/>
      <c r="E93" s="188"/>
      <c r="F93" s="189"/>
      <c r="G93" s="554"/>
      <c r="H93" s="898">
        <f ca="1">IF(G93&lt;&gt;"",G93,IFERROR(IF(INDIRECT("'"&amp;G$86&amp;"'!"&amp;VLOOKUP(G$87,'List Values'!$C$3:$D$6,2,FALSE)&amp;ROW(G93))="","",INDIRECT("'"&amp;G$86&amp;"'!"&amp;VLOOKUP(G$87,'List Values'!$C$3:$D$6,2,FALSE)&amp;ROW(G93))),IF($G$86&lt;&gt;"","Data Source Error","")))</f>
        <v>1</v>
      </c>
      <c r="I93" s="189"/>
      <c r="J93" s="554"/>
      <c r="K93" s="898">
        <f ca="1">IF($H$7&lt;2,"",IF(J93&lt;&gt;"",J93,IFERROR(IF(INDIRECT("'"&amp;J$86&amp;"'!"&amp;VLOOKUP(J$87,'List Values'!$C$3:$D$6,2,FALSE)&amp;ROW(J93))="","",INDIRECT("'"&amp;J$86&amp;"'!"&amp;VLOOKUP(J$87,'List Values'!$C$3:$D$6,2,FALSE)&amp;ROW(J93))),IF($J$86&lt;&gt;"","Data Source Error",""))))</f>
        <v>1</v>
      </c>
      <c r="L93" s="189"/>
      <c r="M93" s="554"/>
      <c r="N93" s="898">
        <f ca="1">IF($H$7&lt;3,"",IF(M93&lt;&gt;"",M93,IFERROR(IF(INDIRECT("'"&amp;M$86&amp;"'!"&amp;VLOOKUP(M$87,'List Values'!$C$3:$D$6,2,FALSE)&amp;ROW(M93))="","",INDIRECT("'"&amp;M$86&amp;"'!"&amp;VLOOKUP(M$87,'List Values'!$C$3:$D$6,2,FALSE)&amp;ROW(M93))),IF($M$86&lt;&gt;"","Data Source Error",""))))</f>
        <v>1</v>
      </c>
      <c r="O93" s="189"/>
      <c r="P93" s="559"/>
      <c r="Q93" s="898" t="str">
        <f ca="1">IF($H$7&lt;4,"",IF(P93&lt;&gt;"",P93,IFERROR(IF(INDIRECT("'"&amp;P$86&amp;"'!"&amp;VLOOKUP(P$87,'List Values'!$C$3:$D$6,2,FALSE)&amp;ROW(P93))="","",INDIRECT("'"&amp;P$86&amp;"'!"&amp;VLOOKUP(P$87,'List Values'!$C$3:$D$6,2,FALSE)&amp;ROW(P93))),IF($P$86&lt;&gt;"","Data Source Error",""))))</f>
        <v/>
      </c>
      <c r="S93" s="559"/>
      <c r="T93" s="898" t="str">
        <f ca="1">IF($H$7&lt;5,"",IF(S93&lt;&gt;"",S93,IFERROR(IF(INDIRECT("'"&amp;S$86&amp;"'!"&amp;VLOOKUP(S$87,'List Values'!$C$3:$D$6,2,FALSE)&amp;ROW(S93))="","",INDIRECT("'"&amp;S$86&amp;"'!"&amp;VLOOKUP(S$87,'List Values'!$C$3:$D$6,2,FALSE)&amp;ROW(S93))),IF($S$86&lt;&gt;"","Data Source Error",""))))</f>
        <v/>
      </c>
      <c r="V93" s="559"/>
      <c r="W93" s="909" t="str">
        <f ca="1">IF($H$7&lt;6,"",IF(V93&lt;&gt;"",V93,IFERROR(IF(INDIRECT("'"&amp;V$86&amp;"'!"&amp;VLOOKUP(V$87,'List Values'!$C$3:$D$6,2,FALSE)&amp;ROW(V93))="","",INDIRECT("'"&amp;V$86&amp;"'!"&amp;VLOOKUP(V$87,'List Values'!$C$3:$D$6,2,FALSE)&amp;ROW(V93))),IF($V$86&lt;&gt;"","Data Source Error",""))))</f>
        <v/>
      </c>
      <c r="Y93" s="2643"/>
      <c r="Z93" s="2644"/>
      <c r="AA93" s="2644"/>
      <c r="AB93" s="2645"/>
      <c r="AD93" s="52"/>
    </row>
    <row r="94" spans="1:30" s="6" customFormat="1" ht="14.25" customHeight="1" outlineLevel="1">
      <c r="B94" s="2653" t="s">
        <v>5447</v>
      </c>
      <c r="C94" s="2653"/>
      <c r="D94" s="2653"/>
      <c r="E94" s="188"/>
      <c r="F94" s="189"/>
      <c r="G94" s="493"/>
      <c r="H94" s="899"/>
      <c r="I94" s="190"/>
      <c r="J94" s="551"/>
      <c r="K94" s="903">
        <f ca="1">IF($H$7&lt;2,"",IF(J94&lt;&gt;"",J94,IFERROR(IF(INDIRECT("'"&amp;J$86&amp;"'!"&amp;VLOOKUP(J$87,'List Values'!$C$3:$D$6,2,FALSE)&amp;ROW(J94))="","",INDIRECT("'"&amp;J$86&amp;"'!"&amp;VLOOKUP(J$87,'List Values'!$C$3:$D$6,2,FALSE)&amp;ROW(J94))),IF($J$86&lt;&gt;"","Data Source Error",""))))</f>
        <v>0.05</v>
      </c>
      <c r="L94" s="190"/>
      <c r="M94" s="551"/>
      <c r="N94" s="905">
        <f ca="1">IF($H$7&lt;3,"",IF(M94&lt;&gt;"",M94,IFERROR(IF(INDIRECT("'"&amp;M$86&amp;"'!"&amp;VLOOKUP(M$87,'List Values'!$C$3:$D$6,2,FALSE)&amp;ROW(M94))="","",INDIRECT("'"&amp;M$86&amp;"'!"&amp;VLOOKUP(M$87,'List Values'!$C$3:$D$6,2,FALSE)&amp;ROW(M94))),IF($M$86&lt;&gt;"","Data Source Error",""))))</f>
        <v>0.05</v>
      </c>
      <c r="O94" s="189"/>
      <c r="P94" s="559"/>
      <c r="Q94" s="903" t="str">
        <f ca="1">IF($H$7&lt;4,"",IF(P94&lt;&gt;"",P94,IFERROR(IF(INDIRECT("'"&amp;P$86&amp;"'!"&amp;VLOOKUP(P$87,'List Values'!$C$3:$D$6,2,FALSE)&amp;ROW(P94))="","",INDIRECT("'"&amp;P$86&amp;"'!"&amp;VLOOKUP(P$87,'List Values'!$C$3:$D$6,2,FALSE)&amp;ROW(P94))),IF($P$86&lt;&gt;"","Data Source Error",""))))</f>
        <v/>
      </c>
      <c r="S94" s="559"/>
      <c r="T94" s="903" t="str">
        <f ca="1">IF($H$7&lt;5,"",IF(S94&lt;&gt;"",S94,IFERROR(IF(INDIRECT("'"&amp;S$86&amp;"'!"&amp;VLOOKUP(S$87,'List Values'!$C$3:$D$6,2,FALSE)&amp;ROW(S94))="","",INDIRECT("'"&amp;S$86&amp;"'!"&amp;VLOOKUP(S$87,'List Values'!$C$3:$D$6,2,FALSE)&amp;ROW(S94))),IF($S$86&lt;&gt;"","Data Source Error",""))))</f>
        <v/>
      </c>
      <c r="V94" s="559"/>
      <c r="W94" s="910" t="str">
        <f ca="1">IF($H$7&lt;6,"",IF(V94&lt;&gt;"",V94,IFERROR(IF(INDIRECT("'"&amp;V$86&amp;"'!"&amp;VLOOKUP(V$87,'List Values'!$C$3:$D$6,2,FALSE)&amp;ROW(V94))="","",INDIRECT("'"&amp;V$86&amp;"'!"&amp;VLOOKUP(V$87,'List Values'!$C$3:$D$6,2,FALSE)&amp;ROW(V94))),IF($V$86&lt;&gt;"","Data Source Error",""))))</f>
        <v/>
      </c>
      <c r="Y94" s="2643"/>
      <c r="Z94" s="2644"/>
      <c r="AA94" s="2644"/>
      <c r="AB94" s="2645"/>
      <c r="AD94" s="52"/>
    </row>
    <row r="95" spans="1:30" ht="15" customHeight="1" outlineLevel="1">
      <c r="B95" s="2653" t="s">
        <v>642</v>
      </c>
      <c r="C95" s="2653"/>
      <c r="D95" s="2653"/>
      <c r="E95" s="186"/>
      <c r="F95" s="187"/>
      <c r="G95" s="523"/>
      <c r="H95" s="900">
        <f ca="1">IF(G95&lt;&gt;"",G95,IFERROR(IF(INDIRECT("'"&amp;G$86&amp;"'!"&amp;VLOOKUP(G$87,'List Values'!$C$3:$D$6,2,FALSE)&amp;ROW(G95))="","",INDIRECT("'"&amp;G$86&amp;"'!"&amp;VLOOKUP(G$87,'List Values'!$C$3:$D$6,2,FALSE)&amp;ROW(G95))),IF($G$86&lt;&gt;"","Data Source Error","")))</f>
        <v>1</v>
      </c>
      <c r="I95" s="187"/>
      <c r="J95" s="523"/>
      <c r="K95" s="900">
        <f ca="1">IF($H$7&lt;2,"",IF(J95&lt;&gt;"",J95,IFERROR(IF(INDIRECT("'"&amp;J$86&amp;"'!"&amp;VLOOKUP(J$87,'List Values'!$C$3:$D$6,2,FALSE)&amp;ROW(J95))="","",INDIRECT("'"&amp;J$86&amp;"'!"&amp;VLOOKUP(J$87,'List Values'!$C$3:$D$6,2,FALSE)&amp;ROW(J95))),IF($J$86&lt;&gt;"","Data Source Error",""))))</f>
        <v>1</v>
      </c>
      <c r="L95" s="187"/>
      <c r="M95" s="523"/>
      <c r="N95" s="900">
        <f ca="1">IF($H$7&lt;3,"",IF(M95&lt;&gt;"",M95,IFERROR(IF(INDIRECT("'"&amp;M$86&amp;"'!"&amp;VLOOKUP(M$87,'List Values'!$C$3:$D$6,2,FALSE)&amp;ROW(M95))="","",INDIRECT("'"&amp;M$86&amp;"'!"&amp;VLOOKUP(M$87,'List Values'!$C$3:$D$6,2,FALSE)&amp;ROW(M95))),IF($M$86&lt;&gt;"","Data Source Error",""))))</f>
        <v>345</v>
      </c>
      <c r="O95" s="187"/>
      <c r="P95" s="560"/>
      <c r="Q95" s="900" t="str">
        <f ca="1">IF($H$7&lt;4,"",IF(P95&lt;&gt;"",P95,IFERROR(IF(INDIRECT("'"&amp;P$86&amp;"'!"&amp;VLOOKUP(P$87,'List Values'!$C$3:$D$6,2,FALSE)&amp;ROW(P95))="","",INDIRECT("'"&amp;P$86&amp;"'!"&amp;VLOOKUP(P$87,'List Values'!$C$3:$D$6,2,FALSE)&amp;ROW(P95))),IF($P$86&lt;&gt;"","Data Source Error",""))))</f>
        <v/>
      </c>
      <c r="R95" s="509" t="str">
        <f>IF(OR(G92&gt;0, J92&gt;0,M92&gt;0),"&lt;-- Land Area Changed - Check # of facilities","")</f>
        <v/>
      </c>
      <c r="S95" s="560"/>
      <c r="T95" s="900" t="str">
        <f ca="1">IF($H$7&lt;5,"",IF(S95&lt;&gt;"",S95,IFERROR(IF(INDIRECT("'"&amp;S$86&amp;"'!"&amp;VLOOKUP(S$87,'List Values'!$C$3:$D$6,2,FALSE)&amp;ROW(S95))="","",INDIRECT("'"&amp;S$86&amp;"'!"&amp;VLOOKUP(S$87,'List Values'!$C$3:$D$6,2,FALSE)&amp;ROW(S95))),IF($S$86&lt;&gt;"","Data Source Error",""))))</f>
        <v/>
      </c>
      <c r="V95" s="560"/>
      <c r="W95" s="911" t="str">
        <f ca="1">IF($H$7&lt;6,"",IF(V95&lt;&gt;"",V95,IFERROR(IF(INDIRECT("'"&amp;V$86&amp;"'!"&amp;VLOOKUP(V$87,'List Values'!$C$3:$D$6,2,FALSE)&amp;ROW(V95))="","",INDIRECT("'"&amp;V$86&amp;"'!"&amp;VLOOKUP(V$87,'List Values'!$C$3:$D$6,2,FALSE)&amp;ROW(V95))),IF($V$86&lt;&gt;"","Data Source Error",""))))</f>
        <v/>
      </c>
      <c r="Y95" s="2643"/>
      <c r="Z95" s="2644"/>
      <c r="AA95" s="2644"/>
      <c r="AB95" s="2645"/>
      <c r="AD95" s="52"/>
    </row>
    <row r="96" spans="1:30" ht="15" customHeight="1" outlineLevel="1">
      <c r="B96" s="2653" t="s">
        <v>5448</v>
      </c>
      <c r="C96" s="2653"/>
      <c r="D96" s="2653"/>
      <c r="E96" s="186"/>
      <c r="F96" s="187"/>
      <c r="G96" s="523"/>
      <c r="H96" s="900">
        <f ca="1">IF(G96&lt;&gt;"",G96,IFERROR(IF(INDIRECT("'"&amp;G$86&amp;"'!"&amp;VLOOKUP(G$87,'List Values'!$C$3:$D$6,2,FALSE)&amp;ROW(G96))="","",INDIRECT("'"&amp;G$86&amp;"'!"&amp;VLOOKUP(G$87,'List Values'!$C$3:$D$6,2,FALSE)&amp;ROW(G96))),IF($G$86&lt;&gt;"","Data Source Error","")))</f>
        <v>4</v>
      </c>
      <c r="I96" s="187"/>
      <c r="J96" s="523"/>
      <c r="K96" s="900">
        <f ca="1">IF($H$7&lt;2,"",IF(J96&lt;&gt;"",J96,IFERROR(IF(INDIRECT("'"&amp;J$86&amp;"'!"&amp;VLOOKUP(J$87,'List Values'!$C$3:$D$6,2,FALSE)&amp;ROW(J96))="","",INDIRECT("'"&amp;J$86&amp;"'!"&amp;VLOOKUP(J$87,'List Values'!$C$3:$D$6,2,FALSE)&amp;ROW(J96))),IF($J$86&lt;&gt;"","Data Source Error",""))))</f>
        <v>4</v>
      </c>
      <c r="L96" s="187"/>
      <c r="M96" s="523"/>
      <c r="N96" s="900">
        <f ca="1">IF($H$7&lt;3,"",IF(M96&lt;&gt;"",M96,IFERROR(IF(INDIRECT("'"&amp;M$86&amp;"'!"&amp;VLOOKUP(M$87,'List Values'!$C$3:$D$6,2,FALSE)&amp;ROW(M96))="","",INDIRECT("'"&amp;M$86&amp;"'!"&amp;VLOOKUP(M$87,'List Values'!$C$3:$D$6,2,FALSE)&amp;ROW(M96))),IF($M$86&lt;&gt;"","Data Source Error",""))))</f>
        <v>4</v>
      </c>
      <c r="O96" s="187"/>
      <c r="P96" s="560"/>
      <c r="Q96" s="900" t="str">
        <f ca="1">IF($H$7&lt;4,"",IF(P96&lt;&gt;"",P96,IFERROR(IF(INDIRECT("'"&amp;P$86&amp;"'!"&amp;VLOOKUP(P$87,'List Values'!$C$3:$D$6,2,FALSE)&amp;ROW(P96))="","",INDIRECT("'"&amp;P$86&amp;"'!"&amp;VLOOKUP(P$87,'List Values'!$C$3:$D$6,2,FALSE)&amp;ROW(P96))),IF($P$86&lt;&gt;"","Data Source Error",""))))</f>
        <v/>
      </c>
      <c r="S96" s="560"/>
      <c r="T96" s="900" t="str">
        <f ca="1">IF($H$7&lt;5,"",IF(S96&lt;&gt;"",S96,IFERROR(IF(INDIRECT("'"&amp;S$86&amp;"'!"&amp;VLOOKUP(S$87,'List Values'!$C$3:$D$6,2,FALSE)&amp;ROW(S96))="","",INDIRECT("'"&amp;S$86&amp;"'!"&amp;VLOOKUP(S$87,'List Values'!$C$3:$D$6,2,FALSE)&amp;ROW(S96))),IF($S$86&lt;&gt;"","Data Source Error",""))))</f>
        <v/>
      </c>
      <c r="V96" s="560"/>
      <c r="W96" s="911" t="str">
        <f ca="1">IF($H$7&lt;6,"",IF(V96&lt;&gt;"",V96,IFERROR(IF(INDIRECT("'"&amp;V$86&amp;"'!"&amp;VLOOKUP(V$87,'List Values'!$C$3:$D$6,2,FALSE)&amp;ROW(V96))="","",INDIRECT("'"&amp;V$86&amp;"'!"&amp;VLOOKUP(V$87,'List Values'!$C$3:$D$6,2,FALSE)&amp;ROW(V96))),IF($V$86&lt;&gt;"","Data Source Error",""))))</f>
        <v/>
      </c>
      <c r="Y96" s="2643"/>
      <c r="Z96" s="2644"/>
      <c r="AA96" s="2644"/>
      <c r="AB96" s="2645"/>
      <c r="AD96" s="52"/>
    </row>
    <row r="97" spans="1:30" ht="15" customHeight="1" outlineLevel="1">
      <c r="B97" s="2653" t="s">
        <v>602</v>
      </c>
      <c r="C97" s="2653"/>
      <c r="D97" s="2653"/>
      <c r="E97" s="186"/>
      <c r="F97" s="187"/>
      <c r="G97" s="523"/>
      <c r="H97" s="900">
        <f ca="1">IF(G97&lt;&gt;"",G97,IFERROR(IF(INDIRECT("'"&amp;G$86&amp;"'!"&amp;VLOOKUP(G$87,'List Values'!$C$3:$D$6,2,FALSE)&amp;ROW(G97))="","",INDIRECT("'"&amp;G$86&amp;"'!"&amp;VLOOKUP(G$87,'List Values'!$C$3:$D$6,2,FALSE)&amp;ROW(G97))),IF($G$86&lt;&gt;"","Data Source Error","")))</f>
        <v>1.3</v>
      </c>
      <c r="I97" s="187"/>
      <c r="J97" s="523"/>
      <c r="K97" s="900">
        <f ca="1">IF($H$7&lt;2,"",IF(J97&lt;&gt;"",J97,IFERROR(IF(INDIRECT("'"&amp;J$86&amp;"'!"&amp;VLOOKUP(J$87,'List Values'!$C$3:$D$6,2,FALSE)&amp;ROW(J97))="","",INDIRECT("'"&amp;J$86&amp;"'!"&amp;VLOOKUP(J$87,'List Values'!$C$3:$D$6,2,FALSE)&amp;ROW(J97))),IF($J$86&lt;&gt;"","Data Source Error",""))))</f>
        <v>1.5</v>
      </c>
      <c r="L97" s="187"/>
      <c r="M97" s="523"/>
      <c r="N97" s="900">
        <f ca="1">IF($H$7&lt;3,"",IF(M97&lt;&gt;"",M97,IFERROR(IF(INDIRECT("'"&amp;M$86&amp;"'!"&amp;VLOOKUP(M$87,'List Values'!$C$3:$D$6,2,FALSE)&amp;ROW(M97))="","",INDIRECT("'"&amp;M$86&amp;"'!"&amp;VLOOKUP(M$87,'List Values'!$C$3:$D$6,2,FALSE)&amp;ROW(M97))),IF($M$86&lt;&gt;"","Data Source Error",""))))</f>
        <v>1.7</v>
      </c>
      <c r="O97" s="187"/>
      <c r="P97" s="560"/>
      <c r="Q97" s="900" t="str">
        <f ca="1">IF($H$7&lt;4,"",IF(P97&lt;&gt;"",P97,IFERROR(IF(INDIRECT("'"&amp;P$86&amp;"'!"&amp;VLOOKUP(P$87,'List Values'!$C$3:$D$6,2,FALSE)&amp;ROW(P97))="","",INDIRECT("'"&amp;P$86&amp;"'!"&amp;VLOOKUP(P$87,'List Values'!$C$3:$D$6,2,FALSE)&amp;ROW(P97))),IF($P$86&lt;&gt;"","Data Source Error",""))))</f>
        <v/>
      </c>
      <c r="S97" s="560"/>
      <c r="T97" s="900" t="str">
        <f ca="1">IF($H$7&lt;5,"",IF(S97&lt;&gt;"",S97,IFERROR(IF(INDIRECT("'"&amp;S$86&amp;"'!"&amp;VLOOKUP(S$87,'List Values'!$C$3:$D$6,2,FALSE)&amp;ROW(S97))="","",INDIRECT("'"&amp;S$86&amp;"'!"&amp;VLOOKUP(S$87,'List Values'!$C$3:$D$6,2,FALSE)&amp;ROW(S97))),IF($S$86&lt;&gt;"","Data Source Error",""))))</f>
        <v/>
      </c>
      <c r="V97" s="560"/>
      <c r="W97" s="911" t="str">
        <f ca="1">IF($H$7&lt;6,"",IF(V97&lt;&gt;"",V97,IFERROR(IF(INDIRECT("'"&amp;V$86&amp;"'!"&amp;VLOOKUP(V$87,'List Values'!$C$3:$D$6,2,FALSE)&amp;ROW(V97))="","",INDIRECT("'"&amp;V$86&amp;"'!"&amp;VLOOKUP(V$87,'List Values'!$C$3:$D$6,2,FALSE)&amp;ROW(V97))),IF($V$86&lt;&gt;"","Data Source Error",""))))</f>
        <v/>
      </c>
      <c r="Y97" s="2643"/>
      <c r="Z97" s="2644"/>
      <c r="AA97" s="2644"/>
      <c r="AB97" s="2645"/>
      <c r="AD97" s="52"/>
    </row>
    <row r="98" spans="1:30" ht="15" customHeight="1" outlineLevel="1">
      <c r="B98" s="2653" t="s">
        <v>644</v>
      </c>
      <c r="C98" s="2653"/>
      <c r="D98" s="2653"/>
      <c r="E98" s="2062"/>
      <c r="F98" s="187"/>
      <c r="G98" s="482"/>
      <c r="H98" s="901"/>
      <c r="I98" s="187"/>
      <c r="J98" s="523"/>
      <c r="K98" s="904">
        <f ca="1">IF($H$7&lt;2,"",IF(J$98&lt;&gt;"",J$98,
IF(AND(J$97="",J$95="",J$92=""),IFERROR(IF(INDIRECT("'"&amp;J$86&amp;"'!"&amp;VLOOKUP(J$87,'List Values'!$C$3:$D$6,2,FALSE)&amp;ROW(J98))="",K$97*(SQRT(H$92/H$95)/6)*(SQRT(2)+LN(1+SQRT(2))),INDIRECT("'"&amp;J$86&amp;"'!"&amp;VLOOKUP(J$87,'List Values'!$C$3:$D$6,2,FALSE)&amp;ROW(J98))),IF($J$86&lt;&gt;"","Data Source Error","")),
K$97*(SQRT(H$92/H$95)/6)*(SQRT(2)+LN(1+SQRT(2))))))</f>
        <v>289</v>
      </c>
      <c r="L98" s="193"/>
      <c r="M98" s="555"/>
      <c r="N98" s="904">
        <f ca="1">IF($H$7&lt;3,"",IF(M$98&lt;&gt;"",M$98,
IF(AND(M$97="",M$95="",M$92=""),IFERROR(IF(INDIRECT("'"&amp;M$86&amp;"'!"&amp;VLOOKUP(M$87,'List Values'!$C$3:$D$6,2,FALSE)&amp;ROW(M98))="",N$97*(SQRT(K$92/K$95)/6)*(SQRT(2)+LN(1+SQRT(2))),INDIRECT("'"&amp;M$86&amp;"'!"&amp;VLOOKUP(M$87,'List Values'!$C$3:$D$6,2,FALSE)&amp;ROW(M98))),IF($M$86&lt;&gt;"","Data Source Error","")),
N$97*(SQRT(K$92/K$95)/6)*(SQRT(2)+LN(1+SQRT(2))))))</f>
        <v>124.19206038512104</v>
      </c>
      <c r="O98" s="187"/>
      <c r="P98" s="523"/>
      <c r="Q98" s="1177" t="str">
        <f ca="1">IF($H$7&lt;4,"",IF(P$98&lt;&gt;"",P$98,
IF(AND(P$97="",P$95="",P$92=""),IFERROR(IF(INDIRECT("'"&amp;P$86&amp;"'!"&amp;VLOOKUP(P$87,'List Values'!$C$3:$D$6,2,FALSE)&amp;ROW(P98))="",Q$97*(SQRT(N$92/N$95)/6)*(SQRT(2)+LN(1+SQRT(2))),INDIRECT("'"&amp;P$86&amp;"'!"&amp;VLOOKUP(P$87,'List Values'!$C$3:$D$6,2,FALSE)&amp;ROW(P98))),IF($P$86&lt;&gt;"","Data Source Error","")),
Q$97*(SQRT(N$92/N$95)/6)*(SQRT(2)+LN(1+SQRT(2))))))</f>
        <v/>
      </c>
      <c r="S98" s="523"/>
      <c r="T98" s="904" t="str">
        <f ca="1">IF($H$7&lt;5,"",IF(S$98&lt;&gt;"",S$98,
IF(AND(S$97="",S$95="",S$92=""),IFERROR(IF(INDIRECT("'"&amp;S$86&amp;"'!"&amp;VLOOKUP(S$87,'List Values'!$C$3:$D$6,2,FALSE)&amp;ROW(S98))="",T$97*(SQRT(Q$92/Q$95)/6)*(SQRT(2)+LN(1+SQRT(2))),INDIRECT("'"&amp;S$86&amp;"'!"&amp;VLOOKUP(S$87,'List Values'!$C$3:$D$6,2,FALSE)&amp;ROW(S98))),IF($S$86&lt;&gt;"","Data Source Error","")),
T$97*(SQRT(Q$92/Q$95)/6)*(SQRT(2)+LN(1+SQRT(2))))))</f>
        <v/>
      </c>
      <c r="V98" s="523"/>
      <c r="W98" s="912" t="str">
        <f ca="1">IF($H$7&lt;6,"",IF(V$98&lt;&gt;"",V$98,
IF(AND(V$97="",V$95="",V$92=""),IFERROR(IF(INDIRECT("'"&amp;V$86&amp;"'!"&amp;VLOOKUP(V$87,'List Values'!$C$3:$D$6,2,FALSE)&amp;ROW(V98))="",W$97*(SQRT(T$92/T$95)/6)*(SQRT(2)+LN(1+SQRT(2))),INDIRECT("'"&amp;V$86&amp;"'!"&amp;VLOOKUP(V$87,'List Values'!$C$3:$D$6,2,FALSE)&amp;ROW(V98))),IF($V$86&lt;&gt;"","Data Source Error","")),
W$97*(SQRT(T$92/T$95)/6)*(SQRT(2)+LN(1+SQRT(2))))))</f>
        <v/>
      </c>
      <c r="Y98" s="2643"/>
      <c r="Z98" s="2644"/>
      <c r="AA98" s="2644"/>
      <c r="AB98" s="2645"/>
      <c r="AD98" s="52"/>
    </row>
    <row r="99" spans="1:30" outlineLevel="1">
      <c r="B99" s="2656" t="s">
        <v>645</v>
      </c>
      <c r="C99" s="2656"/>
      <c r="D99" s="2656"/>
      <c r="E99" s="196"/>
      <c r="F99" s="196"/>
      <c r="G99" s="2057"/>
      <c r="H99" s="902">
        <f ca="1">IF(G$99&lt;&gt;"",G$99,
IF(AND(G$97="",G$95="",G$92=""),IFERROR(IF(INDIRECT("'"&amp;G$86&amp;"'!"&amp;VLOOKUP(G$87,'List Values'!$C$3:$D$6,2,FALSE)&amp;ROW(G99))="",IF(H$95=1,0,0.5*H$97*(SQRT(H$92/H$95)+SQRT(2*H$92/H$95))),INDIRECT("'"&amp;G$86&amp;"'!"&amp;VLOOKUP(G$87,'List Values'!$C$3:$D$6,2,FALSE)&amp;ROW(G99))),IF($G$86&lt;&gt;"","Data Source Error","")),
IF(H$95=1,0,0.5*H$97*(SQRT(H$92/H$95)+SQRT(2*H$92/H$95)))))</f>
        <v>0</v>
      </c>
      <c r="I99" s="196"/>
      <c r="J99" s="530"/>
      <c r="K99" s="943">
        <f ca="1">IF($H$7&lt;2,"",IF(J$99&lt;&gt;"",J$99,
IF(AND(J$97="",J$95="",J$92=""),IFERROR(IF(INDIRECT("'"&amp;J$86&amp;"'!"&amp;VLOOKUP(J$87,'List Values'!$C$3:$D$6,2,FALSE)&amp;ROW(J99))="",IF(K$95=1,0,0.5*K$97*(SQRT(K$92/K$95)+SQRT(2*K$92/K$95))),INDIRECT("'"&amp;J$86&amp;"'!"&amp;VLOOKUP(J$87,'List Values'!$C$3:$D$6,2,FALSE)&amp;ROW(J99))),IF($J$86&lt;&gt;"","Data Source Error","")),
IF(K$95=1,0,0.5*K$97*(SQRT(K$92/K$95)+SQRT(2*K$92/K$95))))))</f>
        <v>0</v>
      </c>
      <c r="L99" s="196"/>
      <c r="M99" s="556"/>
      <c r="N99" s="906">
        <f ca="1">IF($H$7&lt;3,"",IF(M$99&lt;&gt;"",M$99,
IF(AND(M$97="",M$95="",M$92=""),IFERROR(IF(INDIRECT("'"&amp;M$86&amp;"'!"&amp;VLOOKUP(M$87,'List Values'!$C$3:$D$6,2,FALSE)&amp;ROW(M99))="",IF(N$95=1,0,0.5*N$97*(SQRT(N$92/N$95)+SQRT(2*N$92/N$95))),INDIRECT("'"&amp;M$86&amp;"'!"&amp;VLOOKUP(M$87,'List Values'!$C$3:$D$6,2,FALSE)&amp;ROW(M99))),IF($M$86&lt;&gt;"","Data Source Error","")),
IF(N$95=1,0,0.5*N$97*(SQRT(N$92/N$95)+SQRT(2*N$92/N$95))))))</f>
        <v>21.09538422148453</v>
      </c>
      <c r="O99" s="196"/>
      <c r="P99" s="530"/>
      <c r="Q99" s="906" t="str">
        <f ca="1">IF($H$7&lt;4,"",IF(P$99&lt;&gt;"",P$99,
IF(AND(P$97="",P$95="",P$92=""),IFERROR(IF(INDIRECT("'"&amp;P$86&amp;"'!"&amp;VLOOKUP(P$87,'List Values'!$C$3:$D$6,2,FALSE)&amp;ROW(P99))="",IF(Q$95=1,0,0.5*Q$97*(SQRT(Q$92/Q$95)+SQRT(2*Q$92/Q$95))),INDIRECT("'"&amp;P$86&amp;"'!"&amp;VLOOKUP(P$87,'List Values'!$C$3:$D$6,2,FALSE)&amp;ROW(P99))),IF($P$86&lt;&gt;"","Data Source Error","")),
IF(Q$95=1,0,0.5*Q$97*(SQRT(Q$92/Q$95)+SQRT(2*Q$92/Q$95))))))</f>
        <v/>
      </c>
      <c r="S99" s="530"/>
      <c r="T99" s="906" t="str">
        <f ca="1">IF($H$7&lt;5,"",IF(S$99&lt;&gt;"",S$99,
IF(AND(S$97="",S$95="",S$92=""),IFERROR(IF(INDIRECT("'"&amp;S$86&amp;"'!"&amp;VLOOKUP(S$87,'List Values'!$C$3:$D$6,2,FALSE)&amp;ROW(S99))="",IF(T$95=1,0,0.5*T$97*(SQRT(T$92/T$95)+SQRT(2*T$92/T$95))),INDIRECT("'"&amp;S$86&amp;"'!"&amp;VLOOKUP(S$87,'List Values'!$C$3:$D$6,2,FALSE)&amp;ROW(S99))),IF($S$86&lt;&gt;"","Data Source Error","")),
IF(T$95=1,0,0.5*T$97*(SQRT(T$92/T$95)+SQRT(2*T$92/T$95))))))</f>
        <v/>
      </c>
      <c r="V99" s="530"/>
      <c r="W99" s="913" t="str">
        <f ca="1">IF($H$7&lt;6,"",IF(V$99&lt;&gt;"",V$99,
IF(AND(V$97="",V$95="",V$92=""),IFERROR(IF(INDIRECT("'"&amp;V$86&amp;"'!"&amp;VLOOKUP(V$87,'List Values'!$C$3:$D$6,2,FALSE)&amp;ROW(V99))="",IF(W$95=1,0,0.5*W$97*(SQRT(W$92/W$95)+SQRT(2*W$92/W$95))),INDIRECT("'"&amp;V$86&amp;"'!"&amp;VLOOKUP(V$87,'List Values'!$C$3:$D$6,2,FALSE)&amp;ROW(V99))),IF($V$86&lt;&gt;"","Data Source Error","")),
IF(W$95=1,0,0.5*W$97*(SQRT(W$92/W$95)+SQRT(2*W$92/W$95))))))</f>
        <v/>
      </c>
      <c r="Y99" s="2657"/>
      <c r="Z99" s="2658"/>
      <c r="AA99" s="2658"/>
      <c r="AB99" s="2659"/>
      <c r="AD99" s="52"/>
    </row>
    <row r="100" spans="1:30" ht="30" customHeight="1">
      <c r="A100" s="630" t="s">
        <v>653</v>
      </c>
      <c r="C100" s="130"/>
      <c r="D100" s="130"/>
      <c r="E100" s="130"/>
      <c r="G100" s="121"/>
      <c r="H100" s="69"/>
      <c r="K100" s="69"/>
      <c r="N100" s="69"/>
      <c r="Q100" s="69"/>
      <c r="S100" s="6"/>
      <c r="T100" s="69"/>
      <c r="V100" s="6"/>
      <c r="W100" s="69"/>
    </row>
    <row r="101" spans="1:30" ht="30.75" customHeight="1">
      <c r="B101" s="2068" t="s">
        <v>614</v>
      </c>
      <c r="C101" s="596"/>
      <c r="D101" s="596"/>
      <c r="E101" s="596"/>
      <c r="F101" s="596"/>
      <c r="G101" s="597"/>
      <c r="H101" s="594"/>
      <c r="I101" s="596"/>
      <c r="J101" s="597"/>
      <c r="K101" s="594"/>
      <c r="L101" s="596"/>
      <c r="M101" s="597"/>
      <c r="N101" s="594"/>
      <c r="O101" s="596"/>
      <c r="P101" s="2660"/>
      <c r="Q101" s="2660"/>
      <c r="R101" s="594"/>
      <c r="S101" s="2660"/>
      <c r="T101" s="2660"/>
      <c r="U101" s="594"/>
      <c r="V101" s="2660"/>
      <c r="W101" s="2660"/>
    </row>
    <row r="102" spans="1:30" ht="19.5" customHeight="1" outlineLevel="1">
      <c r="B102" s="505"/>
      <c r="C102" s="36"/>
      <c r="D102" s="36"/>
      <c r="E102" s="36"/>
      <c r="F102" s="36"/>
      <c r="G102" s="2665" t="str">
        <f ca="1">"Storage at "&amp;H88</f>
        <v>Storage at CMS</v>
      </c>
      <c r="H102" s="2666"/>
      <c r="I102" s="129"/>
      <c r="J102" s="2665" t="str">
        <f ca="1">"Storage at "&amp;K88</f>
        <v>Storage at Regional WH</v>
      </c>
      <c r="K102" s="2666"/>
      <c r="L102" s="506"/>
      <c r="M102" s="2665" t="str">
        <f ca="1">"Storage at "&amp;N88</f>
        <v>Storage at Health Facility</v>
      </c>
      <c r="N102" s="2666"/>
      <c r="O102" s="506"/>
      <c r="P102" s="2665" t="str">
        <f ca="1">"Storage at "&amp;Q88</f>
        <v xml:space="preserve">Storage at </v>
      </c>
      <c r="Q102" s="2666"/>
      <c r="R102" s="129"/>
      <c r="S102" s="2665" t="str">
        <f ca="1">"Storage at "&amp;T88</f>
        <v xml:space="preserve">Storage at </v>
      </c>
      <c r="T102" s="2666"/>
      <c r="U102" s="129"/>
      <c r="V102" s="2665" t="str">
        <f ca="1">"Storage at "&amp;W88</f>
        <v xml:space="preserve">Storage at </v>
      </c>
      <c r="W102" s="2669"/>
      <c r="Y102" s="2619" t="s">
        <v>673</v>
      </c>
      <c r="Z102" s="2620"/>
      <c r="AA102" s="2620"/>
      <c r="AB102" s="2621"/>
    </row>
    <row r="103" spans="1:30" ht="11.25" customHeight="1" outlineLevel="1">
      <c r="A103" s="75"/>
      <c r="B103" s="1347"/>
      <c r="C103" s="2512"/>
      <c r="D103" s="2512"/>
      <c r="E103" s="185"/>
      <c r="F103" s="183"/>
      <c r="G103" s="2667"/>
      <c r="H103" s="2668"/>
      <c r="I103" s="1395"/>
      <c r="J103" s="2667"/>
      <c r="K103" s="2668"/>
      <c r="L103" s="1395"/>
      <c r="M103" s="2667"/>
      <c r="N103" s="2668"/>
      <c r="O103" s="1396"/>
      <c r="P103" s="2667"/>
      <c r="Q103" s="2668"/>
      <c r="R103" s="1396"/>
      <c r="S103" s="2667"/>
      <c r="T103" s="2668"/>
      <c r="U103" s="1396"/>
      <c r="V103" s="2667"/>
      <c r="W103" s="2670"/>
      <c r="Y103" s="2643"/>
      <c r="Z103" s="2644"/>
      <c r="AA103" s="2644"/>
      <c r="AB103" s="2645"/>
      <c r="AD103" s="52"/>
    </row>
    <row r="104" spans="1:30" ht="46.5" customHeight="1" outlineLevel="1">
      <c r="A104" s="75"/>
      <c r="B104" s="2064" t="s">
        <v>341</v>
      </c>
      <c r="C104" s="2512" t="s">
        <v>2373</v>
      </c>
      <c r="D104" s="2512"/>
      <c r="E104" s="197"/>
      <c r="F104" s="184"/>
      <c r="G104" s="586"/>
      <c r="H104" s="1391">
        <f ca="1">IF(G104&lt;&gt;"",G104,IFERROR(IF(INDIRECT("'"&amp;G$86&amp;"'!"&amp;VLOOKUP(G$87,'List Values'!$C$3:$D$6,2,FALSE)&amp;ROW(G104))="","",INDIRECT("'"&amp;G$86&amp;"'!"&amp;VLOOKUP(G$87,'List Values'!$C$3:$D$6,2,FALSE)&amp;ROW(G104))),IF($G$86&lt;&gt;"","Data Source Error","")))</f>
        <v>3</v>
      </c>
      <c r="I104" s="1392"/>
      <c r="J104" s="586"/>
      <c r="K104" s="1391">
        <f ca="1">IF($H$7&lt;2,"",IF(J104&lt;&gt;"",J104,IFERROR(IF(INDIRECT("'"&amp;J$86&amp;"'!"&amp;VLOOKUP(J$87,'List Values'!$C$3:$D$6,2,FALSE)&amp;ROW(J104))="","",INDIRECT("'"&amp;J$86&amp;"'!"&amp;VLOOKUP(J$87,'List Values'!$C$3:$D$6,2,FALSE)&amp;ROW(J104))),IF($J$86&lt;&gt;"","Data Source Error",""))))</f>
        <v>3</v>
      </c>
      <c r="L104" s="1392"/>
      <c r="M104" s="586"/>
      <c r="N104" s="1391">
        <f ca="1">IF($H$7&lt;3,"",IF(M104&lt;&gt;"",M104,IFERROR(IF(INDIRECT("'"&amp;M$86&amp;"'!"&amp;VLOOKUP(M$87,'List Values'!$C$3:$D$6,2,FALSE)&amp;ROW(M104))="","",INDIRECT("'"&amp;M$86&amp;"'!"&amp;VLOOKUP(M$87,'List Values'!$C$3:$D$6,2,FALSE)&amp;ROW(M104))),IF($M$86&lt;&gt;"","Data Source Error",""))))</f>
        <v>3</v>
      </c>
      <c r="O104" s="1393"/>
      <c r="P104" s="712"/>
      <c r="Q104" s="1394" t="str">
        <f ca="1">IF($H$7&lt;4,"",IF(P104&lt;&gt;"",P104,IFERROR(IF(INDIRECT("'"&amp;P$86&amp;"'!"&amp;VLOOKUP(P$87,'List Values'!$C$3:$D$6,2,FALSE)&amp;ROW(P104))="","",INDIRECT("'"&amp;P$86&amp;"'!"&amp;VLOOKUP(P$87,'List Values'!$C$3:$D$6,2,FALSE)&amp;ROW(P104))),IF($P$86&lt;&gt;"","Data Source Error",""))))</f>
        <v/>
      </c>
      <c r="S104" s="712"/>
      <c r="T104" s="1394" t="str">
        <f ca="1">IF($H$7&lt;5,"",IF(S104&lt;&gt;"",S104,IFERROR(IF(INDIRECT("'"&amp;S$86&amp;"'!"&amp;VLOOKUP(S$87,'List Values'!$C$3:$D$6,2,FALSE)&amp;ROW(S104))="","",INDIRECT("'"&amp;S$86&amp;"'!"&amp;VLOOKUP(S$87,'List Values'!$C$3:$D$6,2,FALSE)&amp;ROW(S104))),IF($S$86&lt;&gt;"","Data Source Error",""))))</f>
        <v/>
      </c>
      <c r="V104" s="712"/>
      <c r="W104" s="976" t="str">
        <f ca="1">IF($H$7&lt;6,"",IF(V104&lt;&gt;"",V104,IFERROR(IF(INDIRECT("'"&amp;V$86&amp;"'!"&amp;VLOOKUP(V$87,'List Values'!$C$3:$D$6,2,FALSE)&amp;ROW(V104))="","",INDIRECT("'"&amp;V$86&amp;"'!"&amp;VLOOKUP(V$87,'List Values'!$C$3:$D$6,2,FALSE)&amp;ROW(V104))),IF($V$86&lt;&gt;"","Data Source Error",""))))</f>
        <v/>
      </c>
      <c r="Y104" s="2643"/>
      <c r="Z104" s="2644"/>
      <c r="AA104" s="2644"/>
      <c r="AB104" s="2645"/>
      <c r="AD104" s="52"/>
    </row>
    <row r="105" spans="1:30" ht="29.25" customHeight="1" outlineLevel="1">
      <c r="A105" s="86"/>
      <c r="B105" s="2661" t="s">
        <v>185</v>
      </c>
      <c r="C105" s="2663" t="s">
        <v>231</v>
      </c>
      <c r="D105" s="2663"/>
      <c r="E105" s="198"/>
      <c r="F105" s="198"/>
      <c r="G105" s="563"/>
      <c r="H105" s="931" t="str">
        <f ca="1">IF(G105&lt;&gt;"",G105,IFERROR(IF(INDIRECT("'"&amp;G$86&amp;"'!"&amp;VLOOKUP(G$87,'List Values'!$C$3:$D$6,2,FALSE)&amp;ROW(G105))="","",INDIRECT("'"&amp;G$86&amp;"'!"&amp;VLOOKUP(G$87,'List Values'!$C$3:$D$6,2,FALSE)&amp;ROW(G105))),IF($G$86&lt;&gt;"","Data Source Error","")))</f>
        <v>Warehouse Staff - Floor worker</v>
      </c>
      <c r="I105" s="213"/>
      <c r="J105" s="563"/>
      <c r="K105" s="931" t="str">
        <f ca="1">IF($H$7&lt;2,"",IF(J105&lt;&gt;"",J105,IFERROR(IF(INDIRECT("'"&amp;J$86&amp;"'!"&amp;VLOOKUP(J$87,'List Values'!$C$3:$D$6,2,FALSE)&amp;ROW(J105))="","",INDIRECT("'"&amp;J$86&amp;"'!"&amp;VLOOKUP(J$87,'List Values'!$C$3:$D$6,2,FALSE)&amp;ROW(J105))),IF($J$86&lt;&gt;"","Data Source Error",""))))</f>
        <v>Warehouse Staff - Floor worker</v>
      </c>
      <c r="L105" s="213"/>
      <c r="M105" s="563"/>
      <c r="N105" s="931" t="str">
        <f ca="1">IF($H$7&lt;3,"",IF(M105&lt;&gt;"",M105,IFERROR(IF(INDIRECT("'"&amp;M$86&amp;"'!"&amp;VLOOKUP(M$87,'List Values'!$C$3:$D$6,2,FALSE)&amp;ROW(M105))="","",INDIRECT("'"&amp;M$86&amp;"'!"&amp;VLOOKUP(M$87,'List Values'!$C$3:$D$6,2,FALSE)&amp;ROW(M105))),IF($M$86&lt;&gt;"","Data Source Error",""))))</f>
        <v>Health Clinic - Nurse/Pharmacist in-charge</v>
      </c>
      <c r="O105" s="198"/>
      <c r="P105" s="531"/>
      <c r="Q105" s="942" t="str">
        <f ca="1">IF($H$7&lt;4,"",IF(P105&lt;&gt;"",P105,IFERROR(IF(INDIRECT("'"&amp;P$86&amp;"'!"&amp;VLOOKUP(P$87,'List Values'!$C$3:$D$6,2,FALSE)&amp;ROW(P105))="","",INDIRECT("'"&amp;P$86&amp;"'!"&amp;VLOOKUP(P$87,'List Values'!$C$3:$D$6,2,FALSE)&amp;ROW(P105))),IF($P$86&lt;&gt;"","Data Source Error",""))))</f>
        <v/>
      </c>
      <c r="S105" s="531"/>
      <c r="T105" s="942" t="str">
        <f ca="1">IF($H$7&lt;5,"",IF(S105&lt;&gt;"",S105,IFERROR(IF(INDIRECT("'"&amp;S$86&amp;"'!"&amp;VLOOKUP(S$87,'List Values'!$C$3:$D$6,2,FALSE)&amp;ROW(S105))="","",INDIRECT("'"&amp;S$86&amp;"'!"&amp;VLOOKUP(S$87,'List Values'!$C$3:$D$6,2,FALSE)&amp;ROW(S105))),IF($S$86&lt;&gt;"","Data Source Error",""))))</f>
        <v/>
      </c>
      <c r="V105" s="531"/>
      <c r="W105" s="948" t="str">
        <f ca="1">IF($H$7&lt;6,"",IF(V105&lt;&gt;"",V105,IFERROR(IF(INDIRECT("'"&amp;V$86&amp;"'!"&amp;VLOOKUP(V$87,'List Values'!$C$3:$D$6,2,FALSE)&amp;ROW(V105))="","",INDIRECT("'"&amp;V$86&amp;"'!"&amp;VLOOKUP(V$87,'List Values'!$C$3:$D$6,2,FALSE)&amp;ROW(V105))),IF($V$86&lt;&gt;"","Data Source Error",""))))</f>
        <v/>
      </c>
      <c r="Y105" s="2643"/>
      <c r="Z105" s="2644"/>
      <c r="AA105" s="2644"/>
      <c r="AB105" s="2645"/>
      <c r="AD105" s="52"/>
    </row>
    <row r="106" spans="1:30" ht="36" customHeight="1" outlineLevel="1">
      <c r="A106" s="86"/>
      <c r="B106" s="2662"/>
      <c r="C106" s="2583" t="s">
        <v>356</v>
      </c>
      <c r="D106" s="2583"/>
      <c r="E106" s="187"/>
      <c r="F106" s="187"/>
      <c r="G106" s="564"/>
      <c r="H106" s="932">
        <f ca="1">IF(G106&lt;&gt;"",G106,IFERROR(IF(INDIRECT("'"&amp;G$86&amp;"'!"&amp;VLOOKUP(G$87,'List Values'!$C$3:$D$6,2,FALSE)&amp;ROW(G106))="","",INDIRECT("'"&amp;G$86&amp;"'!"&amp;VLOOKUP(G$87,'List Values'!$C$3:$D$6,2,FALSE)&amp;ROW(G106))),IF($G$86&lt;&gt;"","Data Source Error","")))</f>
        <v>19.597765590762666</v>
      </c>
      <c r="I106" s="214"/>
      <c r="J106" s="564"/>
      <c r="K106" s="932">
        <f ca="1">IF($H$7&lt;2,"",IF(J106&lt;&gt;"",J106,IFERROR(IF(INDIRECT("'"&amp;J$86&amp;"'!"&amp;VLOOKUP(J$87,'List Values'!$C$3:$D$6,2,FALSE)&amp;ROW(J106))="","",INDIRECT("'"&amp;J$86&amp;"'!"&amp;VLOOKUP(J$87,'List Values'!$C$3:$D$6,2,FALSE)&amp;ROW(J106))),IF($J$86&lt;&gt;"","Data Source Error",""))))</f>
        <v>18.526926845386743</v>
      </c>
      <c r="L106" s="214"/>
      <c r="M106" s="573"/>
      <c r="N106" s="939">
        <f ca="1">IF($H$7&lt;3,"",IF(M106&lt;&gt;"",M106,IFERROR(IF(INDIRECT("'"&amp;M$86&amp;"'!"&amp;VLOOKUP(M$87,'List Values'!$C$3:$D$6,2,FALSE)&amp;ROW(M106))="","",INDIRECT("'"&amp;M$86&amp;"'!"&amp;VLOOKUP(M$87,'List Values'!$C$3:$D$6,2,FALSE)&amp;ROW(M106))),IF($M$86&lt;&gt;"","Data Source Error",""))))</f>
        <v>3.3288989356378036E-2</v>
      </c>
      <c r="O106" s="187"/>
      <c r="P106" s="528"/>
      <c r="Q106" s="904" t="str">
        <f ca="1">IF($H$7&lt;4,"",IF(P106&lt;&gt;"",P106,IFERROR(IF(INDIRECT("'"&amp;P$86&amp;"'!"&amp;VLOOKUP(P$87,'List Values'!$C$3:$D$6,2,FALSE)&amp;ROW(P106))="","",INDIRECT("'"&amp;P$86&amp;"'!"&amp;VLOOKUP(P$87,'List Values'!$C$3:$D$6,2,FALSE)&amp;ROW(P106))),IF($P$86&lt;&gt;"","Data Source Error",""))))</f>
        <v/>
      </c>
      <c r="S106" s="528"/>
      <c r="T106" s="904" t="str">
        <f ca="1">IF($H$7&lt;5,"",IF(S106&lt;&gt;"",S106,IFERROR(IF(INDIRECT("'"&amp;S$86&amp;"'!"&amp;VLOOKUP(S$87,'List Values'!$C$3:$D$6,2,FALSE)&amp;ROW(S106))="","",INDIRECT("'"&amp;S$86&amp;"'!"&amp;VLOOKUP(S$87,'List Values'!$C$3:$D$6,2,FALSE)&amp;ROW(S106))),IF($S$86&lt;&gt;"","Data Source Error",""))))</f>
        <v/>
      </c>
      <c r="V106" s="528"/>
      <c r="W106" s="912" t="str">
        <f ca="1">IF($H$7&lt;6,"",IF(V106&lt;&gt;"",V106,IFERROR(IF(INDIRECT("'"&amp;V$86&amp;"'!"&amp;VLOOKUP(V$87,'List Values'!$C$3:$D$6,2,FALSE)&amp;ROW(V106))="","",INDIRECT("'"&amp;V$86&amp;"'!"&amp;VLOOKUP(V$87,'List Values'!$C$3:$D$6,2,FALSE)&amp;ROW(V106))),IF($V$86&lt;&gt;"","Data Source Error",""))))</f>
        <v/>
      </c>
      <c r="Y106" s="2643"/>
      <c r="Z106" s="2644"/>
      <c r="AA106" s="2644"/>
      <c r="AB106" s="2645"/>
      <c r="AD106" s="52"/>
    </row>
    <row r="107" spans="1:30" ht="36.75" customHeight="1" outlineLevel="1">
      <c r="A107" s="86"/>
      <c r="B107" s="2612"/>
      <c r="C107" s="2664" t="s">
        <v>599</v>
      </c>
      <c r="D107" s="2664"/>
      <c r="E107" s="200"/>
      <c r="F107" s="200"/>
      <c r="G107" s="565"/>
      <c r="H107" s="933">
        <f ca="1">IF(G107&lt;&gt;"",G107,IFERROR(IF(INDIRECT("'"&amp;G$86&amp;"'!"&amp;VLOOKUP(G$87,'List Values'!$C$3:$D$6,2,FALSE)&amp;ROW(G107))="","",INDIRECT("'"&amp;G$86&amp;"'!"&amp;VLOOKUP(G$87,'List Values'!$C$3:$D$6,2,FALSE)&amp;ROW(G107))),IF($G$86&lt;&gt;"","Data Source Error","")))</f>
        <v>0.51956390740105851</v>
      </c>
      <c r="I107" s="492"/>
      <c r="J107" s="571"/>
      <c r="K107" s="933">
        <f ca="1">IF($H$7&lt;2,"",IF(J107&lt;&gt;"",J107,IFERROR(IF(INDIRECT("'"&amp;J$86&amp;"'!"&amp;VLOOKUP(J$87,'List Values'!$C$3:$D$6,2,FALSE)&amp;ROW(J107))="","",INDIRECT("'"&amp;J$86&amp;"'!"&amp;VLOOKUP(J$87,'List Values'!$C$3:$D$6,2,FALSE)&amp;ROW(J107))),IF($J$86&lt;&gt;"","Data Source Error",""))))</f>
        <v>0.54959420694220995</v>
      </c>
      <c r="L107" s="215"/>
      <c r="M107" s="565"/>
      <c r="N107" s="940">
        <f ca="1">IF($H$7&lt;3,"",IF(M107&lt;&gt;"",M107,IFERROR(IF(INDIRECT("'"&amp;M$86&amp;"'!"&amp;VLOOKUP(M$87,'List Values'!$C$3:$D$6,2,FALSE)&amp;ROW(M107))="","",INDIRECT("'"&amp;M$86&amp;"'!"&amp;VLOOKUP(M$87,'List Values'!$C$3:$D$6,2,FALSE)&amp;ROW(M107))),IF($M$86&lt;&gt;"","Data Source Error",""))))</f>
        <v>0.88659612260755372</v>
      </c>
      <c r="O107" s="187"/>
      <c r="P107" s="530"/>
      <c r="Q107" s="943" t="str">
        <f ca="1">IF($H$7&lt;4,"",IF(P107&lt;&gt;"",P107,IFERROR(IF(INDIRECT("'"&amp;P$86&amp;"'!"&amp;VLOOKUP(P$87,'List Values'!$C$3:$D$6,2,FALSE)&amp;ROW(P107))="","",INDIRECT("'"&amp;P$86&amp;"'!"&amp;VLOOKUP(P$87,'List Values'!$C$3:$D$6,2,FALSE)&amp;ROW(P107))),IF($P$86&lt;&gt;"","Data Source Error",""))))</f>
        <v/>
      </c>
      <c r="S107" s="530"/>
      <c r="T107" s="943" t="str">
        <f ca="1">IF($H$7&lt;5,"",IF(S107&lt;&gt;"",S107,IFERROR(IF(INDIRECT("'"&amp;S$86&amp;"'!"&amp;VLOOKUP(S$87,'List Values'!$C$3:$D$6,2,FALSE)&amp;ROW(S107))="","",INDIRECT("'"&amp;S$86&amp;"'!"&amp;VLOOKUP(S$87,'List Values'!$C$3:$D$6,2,FALSE)&amp;ROW(S107))),IF($S$86&lt;&gt;"","Data Source Error",""))))</f>
        <v/>
      </c>
      <c r="V107" s="530"/>
      <c r="W107" s="949" t="str">
        <f ca="1">IF($H$7&lt;6,"",IF(V107&lt;&gt;"",V107,IFERROR(IF(INDIRECT("'"&amp;V$86&amp;"'!"&amp;VLOOKUP(V$87,'List Values'!$C$3:$D$6,2,FALSE)&amp;ROW(V107))="","",INDIRECT("'"&amp;V$86&amp;"'!"&amp;VLOOKUP(V$87,'List Values'!$C$3:$D$6,2,FALSE)&amp;ROW(V107))),IF($V$86&lt;&gt;"","Data Source Error",""))))</f>
        <v/>
      </c>
      <c r="Y107" s="2643"/>
      <c r="Z107" s="2644"/>
      <c r="AA107" s="2644"/>
      <c r="AB107" s="2645"/>
      <c r="AD107" s="52"/>
    </row>
    <row r="108" spans="1:30" ht="19.5" customHeight="1" outlineLevel="1">
      <c r="A108" s="86"/>
      <c r="B108" s="2671" t="s">
        <v>394</v>
      </c>
      <c r="C108" s="2663" t="s">
        <v>375</v>
      </c>
      <c r="D108" s="2663"/>
      <c r="E108" s="199"/>
      <c r="F108" s="199"/>
      <c r="G108" s="1926"/>
      <c r="H108" s="934">
        <f ca="1">IF(G108&lt;&gt;"",G108,IFERROR(IF(INDIRECT("'"&amp;G$86&amp;"'!"&amp;VLOOKUP(G$87,'List Values'!$C$3:$D$6,2,FALSE)&amp;ROW(G108))="","",INDIRECT("'"&amp;G$86&amp;"'!"&amp;VLOOKUP(G$87,'List Values'!$C$3:$D$6,2,FALSE)&amp;ROW(G108))),IF($G$86&lt;&gt;"","Data Source Error","")))</f>
        <v>916.40625</v>
      </c>
      <c r="I108" s="216"/>
      <c r="J108" s="566"/>
      <c r="K108" s="934">
        <f ca="1">IF($H$7&lt;2,"",IF(J108&lt;&gt;"",J108,IFERROR(IF(INDIRECT("'"&amp;J$86&amp;"'!"&amp;VLOOKUP(J$87,'List Values'!$C$3:$D$6,2,FALSE)&amp;ROW(J108))="","",INDIRECT("'"&amp;J$86&amp;"'!"&amp;VLOOKUP(J$87,'List Values'!$C$3:$D$6,2,FALSE)&amp;ROW(J108))),IF($J$86&lt;&gt;"","Data Source Error",""))))</f>
        <v>916.40625</v>
      </c>
      <c r="L108" s="216"/>
      <c r="M108" s="566"/>
      <c r="N108" s="934">
        <f ca="1">IF($H$7&lt;3,"",IF(M108&lt;&gt;"",M108,IFERROR(IF(INDIRECT("'"&amp;M$86&amp;"'!"&amp;VLOOKUP(M$87,'List Values'!$C$3:$D$6,2,FALSE)&amp;ROW(M108))="","",INDIRECT("'"&amp;M$86&amp;"'!"&amp;VLOOKUP(M$87,'List Values'!$C$3:$D$6,2,FALSE)&amp;ROW(M108))),IF($M$86&lt;&gt;"","Data Source Error",""))))</f>
        <v>2.66</v>
      </c>
      <c r="O108" s="183"/>
      <c r="P108" s="574"/>
      <c r="Q108" s="944" t="str">
        <f ca="1">IF($H$7&lt;4,"",IF(P108&lt;&gt;"",P108,IFERROR(IF(INDIRECT("'"&amp;P$86&amp;"'!"&amp;VLOOKUP(P$87,'List Values'!$C$3:$D$6,2,FALSE)&amp;ROW(P108))="","",INDIRECT("'"&amp;P$86&amp;"'!"&amp;VLOOKUP(P$87,'List Values'!$C$3:$D$6,2,FALSE)&amp;ROW(P108))),IF($P$86&lt;&gt;"","Data Source Error",""))))</f>
        <v/>
      </c>
      <c r="S108" s="574"/>
      <c r="T108" s="944" t="str">
        <f ca="1">IF($H$7&lt;5,"",IF(S108&lt;&gt;"",S108,IFERROR(IF(INDIRECT("'"&amp;S$86&amp;"'!"&amp;VLOOKUP(S$87,'List Values'!$C$3:$D$6,2,FALSE)&amp;ROW(S108))="","",INDIRECT("'"&amp;S$86&amp;"'!"&amp;VLOOKUP(S$87,'List Values'!$C$3:$D$6,2,FALSE)&amp;ROW(S108))),IF($S$86&lt;&gt;"","Data Source Error",""))))</f>
        <v/>
      </c>
      <c r="V108" s="574"/>
      <c r="W108" s="950" t="str">
        <f ca="1">IF($H$7&lt;6,"",IF(V108&lt;&gt;"",V108,IFERROR(IF(INDIRECT("'"&amp;V$86&amp;"'!"&amp;VLOOKUP(V$87,'List Values'!$C$3:$D$6,2,FALSE)&amp;ROW(V108))="","",INDIRECT("'"&amp;V$86&amp;"'!"&amp;VLOOKUP(V$87,'List Values'!$C$3:$D$6,2,FALSE)&amp;ROW(V108))),IF($V$86&lt;&gt;"","Data Source Error",""))))</f>
        <v/>
      </c>
      <c r="Y108" s="2643"/>
      <c r="Z108" s="2644"/>
      <c r="AA108" s="2644"/>
      <c r="AB108" s="2645"/>
      <c r="AD108" s="52"/>
    </row>
    <row r="109" spans="1:30" ht="34.5" customHeight="1" outlineLevel="1">
      <c r="A109" s="86"/>
      <c r="B109" s="2672"/>
      <c r="C109" s="2583" t="s">
        <v>395</v>
      </c>
      <c r="D109" s="2583"/>
      <c r="E109" s="199"/>
      <c r="F109" s="199"/>
      <c r="G109" s="567"/>
      <c r="H109" s="935" t="str">
        <f ca="1">IF(G109&lt;&gt;"",G109,IFERROR(IF(INDIRECT("'"&amp;G$86&amp;"'!"&amp;VLOOKUP(G$87,'List Values'!$C$3:$D$6,2,FALSE)&amp;ROW(G109))="","",INDIRECT("'"&amp;G$86&amp;"'!"&amp;VLOOKUP(G$87,'List Values'!$C$3:$D$6,2,FALSE)&amp;ROW(G109))),IF($G$86&lt;&gt;"","Data Source Error","")))</f>
        <v/>
      </c>
      <c r="I109" s="248"/>
      <c r="J109" s="567"/>
      <c r="K109" s="935" t="str">
        <f ca="1">IF($H$7&lt;2,"",IF(J109&lt;&gt;"",J109,IFERROR(IF(INDIRECT("'"&amp;J$86&amp;"'!"&amp;VLOOKUP(J$87,'List Values'!$C$3:$D$6,2,FALSE)&amp;ROW(J109))="","",INDIRECT("'"&amp;J$86&amp;"'!"&amp;VLOOKUP(J$87,'List Values'!$C$3:$D$6,2,FALSE)&amp;ROW(J109))),IF($J$86&lt;&gt;"","Data Source Error",""))))</f>
        <v/>
      </c>
      <c r="L109" s="248"/>
      <c r="M109" s="567"/>
      <c r="N109" s="929" t="str">
        <f ca="1">IF($H$7&lt;3,"",IF(M109&lt;&gt;"",M109,IFERROR(IF(INDIRECT("'"&amp;M$86&amp;"'!"&amp;VLOOKUP(M$87,'List Values'!$C$3:$D$6,2,FALSE)&amp;ROW(M109))="","",INDIRECT("'"&amp;M$86&amp;"'!"&amp;VLOOKUP(M$87,'List Values'!$C$3:$D$6,2,FALSE)&amp;ROW(M109))),IF($M$86&lt;&gt;"","Data Source Error",""))))</f>
        <v/>
      </c>
      <c r="O109" s="183"/>
      <c r="P109" s="574"/>
      <c r="Q109" s="934" t="str">
        <f ca="1">IF($H$7&lt;4,"",IF(P109&lt;&gt;"",P109,IFERROR(IF(INDIRECT("'"&amp;P$86&amp;"'!"&amp;VLOOKUP(P$87,'List Values'!$C$3:$D$6,2,FALSE)&amp;ROW(P109))="","",INDIRECT("'"&amp;P$86&amp;"'!"&amp;VLOOKUP(P$87,'List Values'!$C$3:$D$6,2,FALSE)&amp;ROW(P109))),IF($P$86&lt;&gt;"","Data Source Error",""))))</f>
        <v/>
      </c>
      <c r="S109" s="574"/>
      <c r="T109" s="934" t="str">
        <f ca="1">IF($H$7&lt;5,"",IF(S109&lt;&gt;"",S109,IFERROR(IF(INDIRECT("'"&amp;S$86&amp;"'!"&amp;VLOOKUP(S$87,'List Values'!$C$3:$D$6,2,FALSE)&amp;ROW(S109))="","",INDIRECT("'"&amp;S$86&amp;"'!"&amp;VLOOKUP(S$87,'List Values'!$C$3:$D$6,2,FALSE)&amp;ROW(S109))),IF($S$86&lt;&gt;"","Data Source Error",""))))</f>
        <v/>
      </c>
      <c r="V109" s="574"/>
      <c r="W109" s="951" t="str">
        <f ca="1">IF($H$7&lt;6,"",IF(V109&lt;&gt;"",V109,IFERROR(IF(INDIRECT("'"&amp;V$86&amp;"'!"&amp;VLOOKUP(V$87,'List Values'!$C$3:$D$6,2,FALSE)&amp;ROW(V109))="","",INDIRECT("'"&amp;V$86&amp;"'!"&amp;VLOOKUP(V$87,'List Values'!$C$3:$D$6,2,FALSE)&amp;ROW(V109))),IF($V$86&lt;&gt;"","Data Source Error",""))))</f>
        <v/>
      </c>
      <c r="Y109" s="2643"/>
      <c r="Z109" s="2644"/>
      <c r="AA109" s="2644"/>
      <c r="AB109" s="2645"/>
      <c r="AD109" s="52"/>
    </row>
    <row r="110" spans="1:30" ht="34.5" customHeight="1" outlineLevel="1">
      <c r="A110" s="86"/>
      <c r="B110" s="2672"/>
      <c r="C110" s="2583" t="s">
        <v>5443</v>
      </c>
      <c r="D110" s="2583"/>
      <c r="E110" s="187"/>
      <c r="F110" s="187"/>
      <c r="G110" s="568"/>
      <c r="H110" s="1070">
        <f ca="1">IF(G110&lt;&gt;"",G110,IFERROR(IF(INDIRECT("'"&amp;G$86&amp;"'!"&amp;VLOOKUP(G$87,'List Values'!$C$3:$D$6,2,FALSE)&amp;ROW(G110))="","",INDIRECT("'"&amp;G$86&amp;"'!"&amp;VLOOKUP(G$87,'List Values'!$C$3:$D$6,2,FALSE)&amp;ROW(G110))*$H$6),IF($G$86&lt;&gt;"","Data Source Error","")))</f>
        <v>169.65084425619176</v>
      </c>
      <c r="I110" s="195"/>
      <c r="J110" s="568"/>
      <c r="K110" s="1070">
        <f ca="1">IF($H$7&lt;2,"",IF(J110&lt;&gt;"",J110,IFERROR(IF(INDIRECT("'"&amp;J$86&amp;"'!"&amp;VLOOKUP(J$87,'List Values'!$C$3:$D$6,2,FALSE)&amp;ROW(J110))="","",INDIRECT("'"&amp;J$86&amp;"'!"&amp;VLOOKUP(J$87,'List Values'!$C$3:$D$6,2,FALSE)&amp;ROW(J110))*$H$6),IF($J$86&lt;&gt;"","Data Source Error",""))))</f>
        <v>84.709602195082624</v>
      </c>
      <c r="L110" s="195"/>
      <c r="M110" s="568"/>
      <c r="N110" s="936">
        <f ca="1">IF($H$7&lt;3,"",IF(M110&lt;&gt;"",M110,IFERROR(IF(INDIRECT("'"&amp;M$86&amp;"'!"&amp;VLOOKUP(M$87,'List Values'!$C$3:$D$6,2,FALSE)&amp;ROW(M110))="","",INDIRECT("'"&amp;M$86&amp;"'!"&amp;VLOOKUP(M$87,'List Values'!$C$3:$D$6,2,FALSE)&amp;ROW(M110))*$H$6),IF($M$86&lt;&gt;"","Data Source Error",""))))</f>
        <v>187.45983087332772</v>
      </c>
      <c r="O110" s="187"/>
      <c r="P110" s="528"/>
      <c r="Q110" s="945" t="str">
        <f ca="1">IF($H$7&lt;4,"",IF(P110&lt;&gt;"",P110,IFERROR(IF(INDIRECT("'"&amp;P$86&amp;"'!"&amp;VLOOKUP(P$87,'List Values'!$C$3:$D$6,2,FALSE)&amp;ROW(P110))="","",INDIRECT("'"&amp;P$86&amp;"'!"&amp;VLOOKUP(P$87,'List Values'!$C$3:$D$6,2,FALSE)&amp;ROW(P110))*$H$6),IF($P$86&lt;&gt;"","Data Source Error",""))))</f>
        <v/>
      </c>
      <c r="S110" s="528"/>
      <c r="T110" s="945" t="str">
        <f ca="1">IF($H$7&lt;5,"",IF(S110&lt;&gt;"",S110,IFERROR(IF(INDIRECT("'"&amp;S$86&amp;"'!"&amp;VLOOKUP(S$87,'List Values'!$C$3:$D$6,2,FALSE)&amp;ROW(S110))="","",INDIRECT("'"&amp;S$86&amp;"'!"&amp;VLOOKUP(S$87,'List Values'!$C$3:$D$6,2,FALSE)&amp;ROW(S110))*$H$6),IF($S$86&lt;&gt;"","Data Source Error",""))))</f>
        <v/>
      </c>
      <c r="V110" s="528"/>
      <c r="W110" s="952" t="str">
        <f ca="1">IF($H$7&lt;6,"",IF(V110&lt;&gt;"",V110,IFERROR(IF(INDIRECT("'"&amp;V$86&amp;"'!"&amp;VLOOKUP(V$87,'List Values'!$C$3:$D$6,2,FALSE)&amp;ROW(V110))="","",INDIRECT("'"&amp;V$86&amp;"'!"&amp;VLOOKUP(V$87,'List Values'!$C$3:$D$6,2,FALSE)&amp;ROW(V110))*$H$6),IF($V$86&lt;&gt;"","Data Source Error",""))))</f>
        <v/>
      </c>
      <c r="Y110" s="2643"/>
      <c r="Z110" s="2644"/>
      <c r="AA110" s="2644"/>
      <c r="AB110" s="2645"/>
      <c r="AD110" s="52"/>
    </row>
    <row r="111" spans="1:30" ht="36" customHeight="1" outlineLevel="1">
      <c r="A111" s="86"/>
      <c r="B111" s="2672"/>
      <c r="C111" s="2583" t="s">
        <v>5444</v>
      </c>
      <c r="D111" s="2583"/>
      <c r="E111" s="187"/>
      <c r="F111" s="187"/>
      <c r="G111" s="568"/>
      <c r="H111" s="936">
        <f ca="1">IF(G111&lt;&gt;"",G111,IFERROR(IF(INDIRECT("'"&amp;G$86&amp;"'!"&amp;VLOOKUP(G$87,'List Values'!$C$3:$D$6,2,FALSE)&amp;ROW(G111))="","",INDIRECT("'"&amp;G$86&amp;"'!"&amp;VLOOKUP(G$87,'List Values'!$C$3:$D$6,2,FALSE)&amp;ROW(G111))*$H$6),IF($G$86&lt;&gt;"","Data Source Error","")))</f>
        <v>13.891187860080294</v>
      </c>
      <c r="I111" s="195"/>
      <c r="J111" s="568"/>
      <c r="K111" s="936">
        <f ca="1">IF($H$7&lt;2,"",IF(J111&lt;&gt;"",J111,IFERROR(IF(INDIRECT("'"&amp;J$86&amp;"'!"&amp;VLOOKUP(J$87,'List Values'!$C$3:$D$6,2,FALSE)&amp;ROW(J111))="","",INDIRECT("'"&amp;J$86&amp;"'!"&amp;VLOOKUP(J$87,'List Values'!$C$3:$D$6,2,FALSE)&amp;ROW(J111))*$H$6),IF($J$86&lt;&gt;"","Data Source Error",""))))</f>
        <v>28.152463822514672</v>
      </c>
      <c r="L111" s="195"/>
      <c r="M111" s="568"/>
      <c r="N111" s="936">
        <f ca="1">IF($H$7&lt;3,"",IF(M111&lt;&gt;"",M111,IFERROR(IF(INDIRECT("'"&amp;M$86&amp;"'!"&amp;VLOOKUP(M$87,'List Values'!$C$3:$D$6,2,FALSE)&amp;ROW(M111))="","",INDIRECT("'"&amp;M$86&amp;"'!"&amp;VLOOKUP(M$87,'List Values'!$C$3:$D$6,2,FALSE)&amp;ROW(M111))*$H$6),IF($M$86&lt;&gt;"","Data Source Error",""))))</f>
        <v>0</v>
      </c>
      <c r="O111" s="184"/>
      <c r="P111" s="529"/>
      <c r="Q111" s="945" t="str">
        <f ca="1">IF($H$7&lt;4,"",IF(P111&lt;&gt;"",P111,IFERROR(IF(INDIRECT("'"&amp;P$86&amp;"'!"&amp;VLOOKUP(P$87,'List Values'!$C$3:$D$6,2,FALSE)&amp;ROW(P111))="","",INDIRECT("'"&amp;P$86&amp;"'!"&amp;VLOOKUP(P$87,'List Values'!$C$3:$D$6,2,FALSE)&amp;ROW(P111))*$H$6),IF($P$86&lt;&gt;"","Data Source Error",""))))</f>
        <v/>
      </c>
      <c r="S111" s="529"/>
      <c r="T111" s="945" t="str">
        <f ca="1">IF($H$7&lt;5,"",IF(S111&lt;&gt;"",S111,IFERROR(IF(INDIRECT("'"&amp;S$86&amp;"'!"&amp;VLOOKUP(S$87,'List Values'!$C$3:$D$6,2,FALSE)&amp;ROW(S111))="","",INDIRECT("'"&amp;S$86&amp;"'!"&amp;VLOOKUP(S$87,'List Values'!$C$3:$D$6,2,FALSE)&amp;ROW(S111))*$H$6),IF($S$86&lt;&gt;"","Data Source Error",""))))</f>
        <v/>
      </c>
      <c r="U111" s="258"/>
      <c r="V111" s="529"/>
      <c r="W111" s="952" t="str">
        <f ca="1">IF($H$7&lt;6,"",IF(V111&lt;&gt;"",V111,IFERROR(IF(INDIRECT("'"&amp;V$86&amp;"'!"&amp;VLOOKUP(V$87,'List Values'!$C$3:$D$6,2,FALSE)&amp;ROW(V111))="","",INDIRECT("'"&amp;V$86&amp;"'!"&amp;VLOOKUP(V$87,'List Values'!$C$3:$D$6,2,FALSE)&amp;ROW(V111))*$H$6),IF($V$86&lt;&gt;"","Data Source Error",""))))</f>
        <v/>
      </c>
      <c r="X111" s="86"/>
      <c r="Y111" s="2643"/>
      <c r="Z111" s="2644"/>
      <c r="AA111" s="2644"/>
      <c r="AB111" s="2645"/>
      <c r="AD111" s="52"/>
    </row>
    <row r="112" spans="1:30" ht="33.75" customHeight="1" outlineLevel="1">
      <c r="B112" s="2673"/>
      <c r="C112" s="2664" t="s">
        <v>5445</v>
      </c>
      <c r="D112" s="2664"/>
      <c r="E112" s="196"/>
      <c r="F112" s="196"/>
      <c r="G112" s="569"/>
      <c r="H112" s="937">
        <f ca="1">IF(G112&lt;&gt;"",G112,IFERROR(IF(INDIRECT("'"&amp;G$86&amp;"'!"&amp;VLOOKUP(G$87,'List Values'!$C$3:$D$6,2,FALSE)&amp;ROW(G112))="","",INDIRECT("'"&amp;G$86&amp;"'!"&amp;VLOOKUP(G$87,'List Values'!$C$3:$D$6,2,FALSE)&amp;ROW(G112))*$H$6),IF($G$86&lt;&gt;"","Data Source Error","")))</f>
        <v>15</v>
      </c>
      <c r="I112" s="247"/>
      <c r="J112" s="569"/>
      <c r="K112" s="937">
        <f ca="1">IF($H$7&lt;2,"",IF(J112&lt;&gt;"",J112,IFERROR(IF(INDIRECT("'"&amp;J$86&amp;"'!"&amp;VLOOKUP(J$87,'List Values'!$C$3:$D$6,2,FALSE)&amp;ROW(J112))="","",INDIRECT("'"&amp;J$86&amp;"'!"&amp;VLOOKUP(J$87,'List Values'!$C$3:$D$6,2,FALSE)&amp;ROW(J112))*$H$6),IF($J$86&lt;&gt;"","Data Source Error",""))))</f>
        <v>15</v>
      </c>
      <c r="L112" s="247"/>
      <c r="M112" s="569"/>
      <c r="N112" s="937">
        <f ca="1">IF($H$7&lt;3,"",IF(M112&lt;&gt;"",M112,IFERROR(IF(INDIRECT("'"&amp;M$86&amp;"'!"&amp;VLOOKUP(M$87,'List Values'!$C$3:$D$6,2,FALSE)&amp;ROW(M112))="","",INDIRECT("'"&amp;M$86&amp;"'!"&amp;VLOOKUP(M$87,'List Values'!$C$3:$D$6,2,FALSE)&amp;ROW(M112))*$H$6),IF($M$86&lt;&gt;"","Data Source Error",""))))</f>
        <v>15</v>
      </c>
      <c r="O112" s="196"/>
      <c r="P112" s="530"/>
      <c r="Q112" s="946" t="str">
        <f ca="1">IF($H$7&lt;4,"",IF(P112&lt;&gt;"",P112,IFERROR(IF(INDIRECT("'"&amp;P$86&amp;"'!"&amp;VLOOKUP(P$87,'List Values'!$C$3:$D$6,2,FALSE)&amp;ROW(P112))="","",INDIRECT("'"&amp;P$86&amp;"'!"&amp;VLOOKUP(P$87,'List Values'!$C$3:$D$6,2,FALSE)&amp;ROW(P112))*$H$6),IF($P$86&lt;&gt;"","Data Source Error",""))))</f>
        <v/>
      </c>
      <c r="S112" s="530"/>
      <c r="T112" s="946" t="str">
        <f ca="1">IF($H$7&lt;5,"",IF(S112&lt;&gt;"",S112,IFERROR(IF(INDIRECT("'"&amp;S$86&amp;"'!"&amp;VLOOKUP(S$87,'List Values'!$C$3:$D$6,2,FALSE)&amp;ROW(S112))="","",INDIRECT("'"&amp;S$86&amp;"'!"&amp;VLOOKUP(S$87,'List Values'!$C$3:$D$6,2,FALSE)&amp;ROW(S112))*$H$6),IF($S$86&lt;&gt;"","Data Source Error",""))))</f>
        <v/>
      </c>
      <c r="V112" s="530"/>
      <c r="W112" s="953" t="str">
        <f ca="1">IF($H$7&lt;6,"",IF(V112&lt;&gt;"",V112,IFERROR(IF(INDIRECT("'"&amp;V$86&amp;"'!"&amp;VLOOKUP(V$87,'List Values'!$C$3:$D$6,2,FALSE)&amp;ROW(V112))="","",INDIRECT("'"&amp;V$86&amp;"'!"&amp;VLOOKUP(V$87,'List Values'!$C$3:$D$6,2,FALSE)&amp;ROW(V112))*$H$6),IF($V$86&lt;&gt;"","Data Source Error",""))))</f>
        <v/>
      </c>
      <c r="Y112" s="2643"/>
      <c r="Z112" s="2644"/>
      <c r="AA112" s="2644"/>
      <c r="AB112" s="2645"/>
      <c r="AD112" s="52"/>
    </row>
    <row r="113" spans="1:30" ht="33.75" customHeight="1" outlineLevel="1">
      <c r="B113" s="2671" t="s">
        <v>824</v>
      </c>
      <c r="C113" s="2663" t="s">
        <v>825</v>
      </c>
      <c r="D113" s="2663"/>
      <c r="E113" s="61"/>
      <c r="F113" s="61"/>
      <c r="G113" s="563"/>
      <c r="H113" s="938">
        <f ca="1">IF(G113&lt;&gt;"",G113,IFERROR(IF(INDIRECT("'"&amp;G$86&amp;"'!"&amp;VLOOKUP(G$87,'List Values'!$C$3:$D$6,2,FALSE)&amp;ROW(G113))="","",INDIRECT("'"&amp;G$86&amp;"'!"&amp;VLOOKUP(G$87,'List Values'!$C$3:$D$6,2,FALSE)&amp;ROW(G113))),IF($G$86&lt;&gt;"","Data Source Error","")))</f>
        <v>20</v>
      </c>
      <c r="I113" s="249"/>
      <c r="J113" s="572"/>
      <c r="K113" s="938">
        <f ca="1">IF($H$7&lt;2,"",IF(J113&lt;&gt;"",J113,IFERROR(IF(INDIRECT("'"&amp;J$86&amp;"'!"&amp;VLOOKUP(J$87,'List Values'!$C$3:$D$6,2,FALSE)&amp;ROW(J113))="","",INDIRECT("'"&amp;J$86&amp;"'!"&amp;VLOOKUP(J$87,'List Values'!$C$3:$D$6,2,FALSE)&amp;ROW(J113))),IF($J$86&lt;&gt;"","Data Source Error",""))))</f>
        <v>10</v>
      </c>
      <c r="L113" s="249"/>
      <c r="M113" s="572"/>
      <c r="N113" s="938">
        <f ca="1">IF($H$7&lt;3,"",IF(M113&lt;&gt;"",M113,IFERROR(IF(INDIRECT("'"&amp;M$86&amp;"'!"&amp;VLOOKUP(M$87,'List Values'!$C$3:$D$6,2,FALSE)&amp;ROW(M113))="","",INDIRECT("'"&amp;M$86&amp;"'!"&amp;VLOOKUP(M$87,'List Values'!$C$3:$D$6,2,FALSE)&amp;ROW(M113))),IF($M$86&lt;&gt;"","Data Source Error",""))))</f>
        <v>1</v>
      </c>
      <c r="O113" s="198"/>
      <c r="P113" s="531"/>
      <c r="Q113" s="942" t="str">
        <f ca="1">IF($H$7&lt;4,"",IF(P113&lt;&gt;"",P113,IFERROR(IF(INDIRECT("'"&amp;P$86&amp;"'!"&amp;VLOOKUP(P$87,'List Values'!$C$3:$D$6,2,FALSE)&amp;ROW(P113))="","",INDIRECT("'"&amp;P$86&amp;"'!"&amp;VLOOKUP(P$87,'List Values'!$C$3:$D$6,2,FALSE)&amp;ROW(P113))),IF($P$86&lt;&gt;"","Data Source Error",""))))</f>
        <v/>
      </c>
      <c r="S113" s="531"/>
      <c r="T113" s="942" t="str">
        <f ca="1">IF($H$7&lt;5,"",IF(S113&lt;&gt;"",S113,IFERROR(IF(INDIRECT("'"&amp;S$86&amp;"'!"&amp;VLOOKUP(S$87,'List Values'!$C$3:$D$6,2,FALSE)&amp;ROW(S113))="","",INDIRECT("'"&amp;S$86&amp;"'!"&amp;VLOOKUP(S$87,'List Values'!$C$3:$D$6,2,FALSE)&amp;ROW(S113))),IF($S$86&lt;&gt;"","Data Source Error",""))))</f>
        <v/>
      </c>
      <c r="V113" s="531"/>
      <c r="W113" s="948" t="str">
        <f ca="1">IF($H$7&lt;6,"",IF(V113&lt;&gt;"",V113,IFERROR(IF(INDIRECT("'"&amp;V$86&amp;"'!"&amp;VLOOKUP(V$87,'List Values'!$C$3:$D$6,2,FALSE)&amp;ROW(V113))="","",INDIRECT("'"&amp;V$86&amp;"'!"&amp;VLOOKUP(V$87,'List Values'!$C$3:$D$6,2,FALSE)&amp;ROW(V113))),IF($V$86&lt;&gt;"","Data Source Error",""))))</f>
        <v/>
      </c>
      <c r="Y113" s="2643"/>
      <c r="Z113" s="2644"/>
      <c r="AA113" s="2644"/>
      <c r="AB113" s="2645"/>
      <c r="AD113" s="52"/>
    </row>
    <row r="114" spans="1:30" ht="20.25" customHeight="1" outlineLevel="1">
      <c r="B114" s="2672"/>
      <c r="C114" s="2583" t="s">
        <v>826</v>
      </c>
      <c r="D114" s="2583"/>
      <c r="G114" s="564"/>
      <c r="H114" s="939">
        <f ca="1">IF(G114&lt;&gt;"",G114,IFERROR(IF(INDIRECT("'"&amp;G$86&amp;"'!"&amp;VLOOKUP(G$87,'List Values'!$C$3:$D$6,2,FALSE)&amp;ROW(G114))="","",INDIRECT("'"&amp;G$86&amp;"'!"&amp;VLOOKUP(G$87,'List Values'!$C$3:$D$6,2,FALSE)&amp;ROW(G114))),IF($G$86&lt;&gt;"","Data Source Error","")))</f>
        <v>0.01</v>
      </c>
      <c r="I114" s="214"/>
      <c r="J114" s="573"/>
      <c r="K114" s="939">
        <f ca="1">IF($H$7&lt;2,"",IF(J114&lt;&gt;"",J114,IFERROR(IF(INDIRECT("'"&amp;J$86&amp;"'!"&amp;VLOOKUP(J$87,'List Values'!$C$3:$D$6,2,FALSE)&amp;ROW(J114))="","",INDIRECT("'"&amp;J$86&amp;"'!"&amp;VLOOKUP(J$87,'List Values'!$C$3:$D$6,2,FALSE)&amp;ROW(J114))),IF($J$86&lt;&gt;"","Data Source Error",""))))</f>
        <v>0.01</v>
      </c>
      <c r="L114" s="214"/>
      <c r="M114" s="573"/>
      <c r="N114" s="939">
        <f ca="1">IF($H$7&lt;3,"",IF(M114&lt;&gt;"",M114,IFERROR(IF(INDIRECT("'"&amp;M$86&amp;"'!"&amp;VLOOKUP(M$87,'List Values'!$C$3:$D$6,2,FALSE)&amp;ROW(M114))="","",INDIRECT("'"&amp;M$86&amp;"'!"&amp;VLOOKUP(M$87,'List Values'!$C$3:$D$6,2,FALSE)&amp;ROW(M114))),IF($M$86&lt;&gt;"","Data Source Error",""))))</f>
        <v>0.01</v>
      </c>
      <c r="O114" s="187"/>
      <c r="P114" s="528"/>
      <c r="Q114" s="904" t="str">
        <f ca="1">IF($H$7&lt;4,"",IF(P114&lt;&gt;"",P114,IFERROR(IF(INDIRECT("'"&amp;P$86&amp;"'!"&amp;VLOOKUP(P$87,'List Values'!$C$3:$D$6,2,FALSE)&amp;ROW(P114))="","",INDIRECT("'"&amp;P$86&amp;"'!"&amp;VLOOKUP(P$87,'List Values'!$C$3:$D$6,2,FALSE)&amp;ROW(P114))),IF($P$86&lt;&gt;"","Data Source Error",""))))</f>
        <v/>
      </c>
      <c r="S114" s="528"/>
      <c r="T114" s="904" t="str">
        <f ca="1">IF($H$7&lt;5,"",IF(S114&lt;&gt;"",S114,IFERROR(IF(INDIRECT("'"&amp;S$86&amp;"'!"&amp;VLOOKUP(S$87,'List Values'!$C$3:$D$6,2,FALSE)&amp;ROW(S114))="","",INDIRECT("'"&amp;S$86&amp;"'!"&amp;VLOOKUP(S$87,'List Values'!$C$3:$D$6,2,FALSE)&amp;ROW(S114))),IF($S$86&lt;&gt;"","Data Source Error",""))))</f>
        <v/>
      </c>
      <c r="V114" s="528"/>
      <c r="W114" s="912" t="str">
        <f ca="1">IF($H$7&lt;6,"",IF(V114&lt;&gt;"",V114,IFERROR(IF(INDIRECT("'"&amp;V$86&amp;"'!"&amp;VLOOKUP(V$87,'List Values'!$C$3:$D$6,2,FALSE)&amp;ROW(V114))="","",INDIRECT("'"&amp;V$86&amp;"'!"&amp;VLOOKUP(V$87,'List Values'!$C$3:$D$6,2,FALSE)&amp;ROW(V114))),IF($V$86&lt;&gt;"","Data Source Error",""))))</f>
        <v/>
      </c>
      <c r="Y114" s="2643"/>
      <c r="Z114" s="2644"/>
      <c r="AA114" s="2644"/>
      <c r="AB114" s="2645"/>
      <c r="AD114" s="52"/>
    </row>
    <row r="115" spans="1:30" ht="20.25" customHeight="1" outlineLevel="1">
      <c r="B115" s="2672"/>
      <c r="C115" s="2583" t="s">
        <v>827</v>
      </c>
      <c r="D115" s="2583"/>
      <c r="G115" s="564"/>
      <c r="H115" s="936">
        <f ca="1">IF(G115&lt;&gt;"",G115,IFERROR(IF(INDIRECT("'"&amp;G$86&amp;"'!"&amp;VLOOKUP(G$87,'List Values'!$C$3:$D$6,2,FALSE)&amp;ROW(G115))="","",INDIRECT("'"&amp;G$86&amp;"'!"&amp;VLOOKUP(G$87,'List Values'!$C$3:$D$6,2,FALSE)&amp;ROW(G115))*$H$6),IF($G$86&lt;&gt;"","Data Source Error","")))</f>
        <v>150</v>
      </c>
      <c r="I115" s="250"/>
      <c r="J115" s="568"/>
      <c r="K115" s="936">
        <f ca="1">IF($H$7&lt;2,"",IF(J115&lt;&gt;"",J115,IFERROR(IF(INDIRECT("'"&amp;J$86&amp;"'!"&amp;VLOOKUP(J$87,'List Values'!$C$3:$D$6,2,FALSE)&amp;ROW(J115))="","",INDIRECT("'"&amp;J$86&amp;"'!"&amp;VLOOKUP(J$87,'List Values'!$C$3:$D$6,2,FALSE)&amp;ROW(J115))*$H$6),IF($J$86&lt;&gt;"","Data Source Error",""))))</f>
        <v>150</v>
      </c>
      <c r="L115" s="250"/>
      <c r="M115" s="568"/>
      <c r="N115" s="936">
        <f ca="1">IF($H$7&lt;3,"",IF(M115&lt;&gt;"",M115,IFERROR(IF(INDIRECT("'"&amp;M$86&amp;"'!"&amp;VLOOKUP(M$87,'List Values'!$C$3:$D$6,2,FALSE)&amp;ROW(M115))="","",INDIRECT("'"&amp;M$86&amp;"'!"&amp;VLOOKUP(M$87,'List Values'!$C$3:$D$6,2,FALSE)&amp;ROW(M115))*$H$6),IF($M$86&lt;&gt;"","Data Source Error",""))))</f>
        <v>150</v>
      </c>
      <c r="O115" s="187"/>
      <c r="P115" s="528"/>
      <c r="Q115" s="904" t="str">
        <f ca="1">IF($H$7&lt;4,"",IF(P115&lt;&gt;"",P115,IFERROR(IF(INDIRECT("'"&amp;P$86&amp;"'!"&amp;VLOOKUP(P$87,'List Values'!$C$3:$D$6,2,FALSE)&amp;ROW(P115))="","",INDIRECT("'"&amp;P$86&amp;"'!"&amp;VLOOKUP(P$87,'List Values'!$C$3:$D$6,2,FALSE)&amp;ROW(P115))*$H$6),IF($P$86&lt;&gt;"","Data Source Error",""))))</f>
        <v/>
      </c>
      <c r="S115" s="528"/>
      <c r="T115" s="904" t="str">
        <f ca="1">IF($H$7&lt;5,"",IF(S115&lt;&gt;"",S115,IFERROR(IF(INDIRECT("'"&amp;S$86&amp;"'!"&amp;VLOOKUP(S$87,'List Values'!$C$3:$D$6,2,FALSE)&amp;ROW(S115))="","",INDIRECT("'"&amp;S$86&amp;"'!"&amp;VLOOKUP(S$87,'List Values'!$C$3:$D$6,2,FALSE)&amp;ROW(S115))*$H$6),IF($S$86&lt;&gt;"","Data Source Error",""))))</f>
        <v/>
      </c>
      <c r="V115" s="528"/>
      <c r="W115" s="912" t="str">
        <f ca="1">IF($H$7&lt;6,"",IF(V115&lt;&gt;"",V115,IFERROR(IF(INDIRECT("'"&amp;V$86&amp;"'!"&amp;VLOOKUP(V$87,'List Values'!$C$3:$D$6,2,FALSE)&amp;ROW(V115))="","",INDIRECT("'"&amp;V$86&amp;"'!"&amp;VLOOKUP(V$87,'List Values'!$C$3:$D$6,2,FALSE)&amp;ROW(V115))*$H$6),IF($V$86&lt;&gt;"","Data Source Error",""))))</f>
        <v/>
      </c>
      <c r="Y115" s="2643"/>
      <c r="Z115" s="2644"/>
      <c r="AA115" s="2644"/>
      <c r="AB115" s="2645"/>
      <c r="AD115" s="52"/>
    </row>
    <row r="116" spans="1:30" ht="20.25" customHeight="1" outlineLevel="1">
      <c r="B116" s="2672"/>
      <c r="C116" s="2583" t="s">
        <v>828</v>
      </c>
      <c r="D116" s="2583"/>
      <c r="G116" s="564"/>
      <c r="H116" s="939">
        <f ca="1">IF(G116&lt;&gt;"",G116,IFERROR(IF(INDIRECT("'"&amp;G$86&amp;"'!"&amp;VLOOKUP(G$87,'List Values'!$C$3:$D$6,2,FALSE)&amp;ROW(G116))="","",INDIRECT("'"&amp;G$86&amp;"'!"&amp;VLOOKUP(G$87,'List Values'!$C$3:$D$6,2,FALSE)&amp;ROW(G116))*$H$6),IF($G$86&lt;&gt;"","Data Source Error","")))</f>
        <v>0</v>
      </c>
      <c r="I116" s="214"/>
      <c r="J116" s="573"/>
      <c r="K116" s="939">
        <f ca="1">IF($H$7&lt;2,"",IF(J116&lt;&gt;"",J116,IFERROR(IF(INDIRECT("'"&amp;J$86&amp;"'!"&amp;VLOOKUP(J$87,'List Values'!$C$3:$D$6,2,FALSE)&amp;ROW(J116))="","",INDIRECT("'"&amp;J$86&amp;"'!"&amp;VLOOKUP(J$87,'List Values'!$C$3:$D$6,2,FALSE)&amp;ROW(J116))*$H$6),IF($J$86&lt;&gt;"","Data Source Error",""))))</f>
        <v>0</v>
      </c>
      <c r="L116" s="214"/>
      <c r="M116" s="573"/>
      <c r="N116" s="939">
        <f ca="1">IF($H$7&lt;3,"",IF(M116&lt;&gt;"",M116,IFERROR(IF(INDIRECT("'"&amp;M$86&amp;"'!"&amp;VLOOKUP(M$87,'List Values'!$C$3:$D$6,2,FALSE)&amp;ROW(M116))="","",INDIRECT("'"&amp;M$86&amp;"'!"&amp;VLOOKUP(M$87,'List Values'!$C$3:$D$6,2,FALSE)&amp;ROW(M116))*$H$6),IF($M$86&lt;&gt;"","Data Source Error",""))))</f>
        <v>0</v>
      </c>
      <c r="O116" s="187"/>
      <c r="P116" s="528"/>
      <c r="Q116" s="904" t="str">
        <f ca="1">IF($H$7&lt;4,"",IF(P116&lt;&gt;"",P116,IFERROR(IF(INDIRECT("'"&amp;P$86&amp;"'!"&amp;VLOOKUP(P$87,'List Values'!$C$3:$D$6,2,FALSE)&amp;ROW(P116))="","",INDIRECT("'"&amp;P$86&amp;"'!"&amp;VLOOKUP(P$87,'List Values'!$C$3:$D$6,2,FALSE)&amp;ROW(P116))*$H$6),IF($P$86&lt;&gt;"","Data Source Error",""))))</f>
        <v/>
      </c>
      <c r="S116" s="528"/>
      <c r="T116" s="904" t="str">
        <f ca="1">IF($H$7&lt;5,"",IF(S116&lt;&gt;"",S116,IFERROR(IF(INDIRECT("'"&amp;S$86&amp;"'!"&amp;VLOOKUP(S$87,'List Values'!$C$3:$D$6,2,FALSE)&amp;ROW(S116))="","",INDIRECT("'"&amp;S$86&amp;"'!"&amp;VLOOKUP(S$87,'List Values'!$C$3:$D$6,2,FALSE)&amp;ROW(S116))*$H$6),IF($S$86&lt;&gt;"","Data Source Error",""))))</f>
        <v/>
      </c>
      <c r="V116" s="528"/>
      <c r="W116" s="912" t="str">
        <f ca="1">IF($H$7&lt;6,"",IF(V116&lt;&gt;"",V116,IFERROR(IF(INDIRECT("'"&amp;V$86&amp;"'!"&amp;VLOOKUP(V$87,'List Values'!$C$3:$D$6,2,FALSE)&amp;ROW(V116))="","",INDIRECT("'"&amp;V$86&amp;"'!"&amp;VLOOKUP(V$87,'List Values'!$C$3:$D$6,2,FALSE)&amp;ROW(V116))*$H$6),IF($V$86&lt;&gt;"","Data Source Error",""))))</f>
        <v/>
      </c>
      <c r="Y116" s="2643"/>
      <c r="Z116" s="2644"/>
      <c r="AA116" s="2644"/>
      <c r="AB116" s="2645"/>
      <c r="AD116" s="52"/>
    </row>
    <row r="117" spans="1:30" ht="35.25" customHeight="1" outlineLevel="1">
      <c r="B117" s="2673"/>
      <c r="C117" s="2664" t="s">
        <v>829</v>
      </c>
      <c r="D117" s="2664"/>
      <c r="E117" s="236"/>
      <c r="F117" s="236"/>
      <c r="G117" s="570"/>
      <c r="H117" s="893" t="str">
        <f ca="1">IF(G117&lt;&gt;"",G117,IFERROR(IF(INDIRECT("'"&amp;G$86&amp;"'!"&amp;VLOOKUP(G$87,'List Values'!$C$3:$D$6,2,FALSE)&amp;ROW(G117))="","",INDIRECT("'"&amp;G$86&amp;"'!"&amp;VLOOKUP(G$87,'List Values'!$C$3:$D$6,2,FALSE)&amp;ROW(G117))),IF($G$86&lt;&gt;"","Data Source Error","")))</f>
        <v>Downstream</v>
      </c>
      <c r="I117" s="275"/>
      <c r="J117" s="570"/>
      <c r="K117" s="893" t="str">
        <f ca="1">IF($H$7&lt;2,"",IF(J117&lt;&gt;"",J117,IFERROR(IF(INDIRECT("'"&amp;J$86&amp;"'!"&amp;VLOOKUP(J$87,'List Values'!$C$3:$D$6,2,FALSE)&amp;ROW(J117))="","",INDIRECT("'"&amp;J$86&amp;"'!"&amp;VLOOKUP(J$87,'List Values'!$C$3:$D$6,2,FALSE)&amp;ROW(J117))),IF($J$86&lt;&gt;"","Data Source Error",""))))</f>
        <v>Downstream</v>
      </c>
      <c r="L117" s="275"/>
      <c r="M117" s="570"/>
      <c r="N117" s="933" t="str">
        <f ca="1">IF($H$7&lt;3,"",IF(M117&lt;&gt;"",M117,IFERROR(IF(INDIRECT("'"&amp;M$86&amp;"'!"&amp;VLOOKUP(M$87,'List Values'!$C$3:$D$6,2,FALSE)&amp;ROW(M117))="","",INDIRECT("'"&amp;M$86&amp;"'!"&amp;VLOOKUP(M$87,'List Values'!$C$3:$D$6,2,FALSE)&amp;ROW(M117))),IF($M$86&lt;&gt;"","Data Source Error",""))))</f>
        <v>Upstream</v>
      </c>
      <c r="O117" s="236"/>
      <c r="P117" s="570"/>
      <c r="Q117" s="940" t="str">
        <f ca="1">IF($H$7&lt;4,"",IF(P117&lt;&gt;"",P117,IFERROR(IF(INDIRECT("'"&amp;P$86&amp;"'!"&amp;VLOOKUP(P$87,'List Values'!$C$3:$D$6,2,FALSE)&amp;ROW(P117))="","",INDIRECT("'"&amp;P$86&amp;"'!"&amp;VLOOKUP(P$87,'List Values'!$C$3:$D$6,2,FALSE)&amp;ROW(P117))),IF($P$86&lt;&gt;"","Data Source Error",""))))</f>
        <v/>
      </c>
      <c r="S117" s="570"/>
      <c r="T117" s="940" t="str">
        <f ca="1">IF($H$7&lt;5,"",IF(S117&lt;&gt;"",S117,IFERROR(IF(INDIRECT("'"&amp;S$86&amp;"'!"&amp;VLOOKUP(S$87,'List Values'!$C$3:$D$6,2,FALSE)&amp;ROW(S117))="","",INDIRECT("'"&amp;S$86&amp;"'!"&amp;VLOOKUP(S$87,'List Values'!$C$3:$D$6,2,FALSE)&amp;ROW(S117))),IF($S$86&lt;&gt;"","Data Source Error",""))))</f>
        <v/>
      </c>
      <c r="V117" s="570"/>
      <c r="W117" s="954" t="str">
        <f ca="1">IF($H$7&lt;6,"",IF(V117&lt;&gt;"",V117,IFERROR(IF(INDIRECT("'"&amp;V$86&amp;"'!"&amp;VLOOKUP(V$87,'List Values'!$C$3:$D$6,2,FALSE)&amp;ROW(V117))="","",INDIRECT("'"&amp;V$86&amp;"'!"&amp;VLOOKUP(V$87,'List Values'!$C$3:$D$6,2,FALSE)&amp;ROW(V117))),IF($V$86&lt;&gt;"","Data Source Error",""))))</f>
        <v/>
      </c>
      <c r="Y117" s="2657"/>
      <c r="Z117" s="2658"/>
      <c r="AA117" s="2658"/>
      <c r="AB117" s="2659"/>
      <c r="AD117" s="52"/>
    </row>
    <row r="118" spans="1:30" ht="28.5" customHeight="1">
      <c r="A118" s="630" t="s">
        <v>654</v>
      </c>
      <c r="C118" s="130"/>
      <c r="D118" s="130"/>
      <c r="E118" s="130"/>
      <c r="G118" s="121"/>
      <c r="H118" s="69"/>
      <c r="K118" s="69"/>
      <c r="N118" s="69"/>
      <c r="Q118" s="69"/>
    </row>
    <row r="119" spans="1:30" ht="26.25" customHeight="1" collapsed="1">
      <c r="B119" s="600" t="s">
        <v>603</v>
      </c>
      <c r="C119" s="596"/>
      <c r="D119" s="596"/>
      <c r="E119" s="596"/>
      <c r="F119" s="596"/>
      <c r="G119" s="597"/>
      <c r="H119" s="594"/>
      <c r="I119" s="596"/>
      <c r="J119" s="597"/>
      <c r="K119" s="594"/>
      <c r="L119" s="596"/>
      <c r="M119" s="597"/>
      <c r="N119" s="594"/>
      <c r="O119" s="596"/>
      <c r="P119" s="2660"/>
      <c r="Q119" s="2660"/>
      <c r="R119" s="594"/>
      <c r="S119" s="2660"/>
      <c r="T119" s="2660"/>
      <c r="U119" s="594"/>
      <c r="V119" s="2660"/>
      <c r="W119" s="2660"/>
      <c r="X119" s="86"/>
    </row>
    <row r="120" spans="1:30" ht="19.5" hidden="1" customHeight="1" outlineLevel="1">
      <c r="B120" s="505"/>
      <c r="C120" s="36"/>
      <c r="D120" s="36"/>
      <c r="E120" s="36"/>
      <c r="F120" s="36"/>
      <c r="G120" s="2674" t="str">
        <f ca="1">"Management at "&amp;H88</f>
        <v>Management at CMS</v>
      </c>
      <c r="H120" s="2678"/>
      <c r="I120" s="129"/>
      <c r="J120" s="2674" t="str">
        <f ca="1">"Management at "&amp;K88</f>
        <v>Management at Regional WH</v>
      </c>
      <c r="K120" s="2678"/>
      <c r="L120" s="129"/>
      <c r="M120" s="2674" t="str">
        <f ca="1">"Management at "&amp;N88</f>
        <v>Management at Health Facility</v>
      </c>
      <c r="N120" s="2678"/>
      <c r="O120" s="506"/>
      <c r="P120" s="2674" t="str">
        <f ca="1">"Management at "&amp;Q88</f>
        <v xml:space="preserve">Management at </v>
      </c>
      <c r="Q120" s="2678"/>
      <c r="R120" s="236"/>
      <c r="S120" s="2674" t="str">
        <f ca="1">"Management at "&amp;T88</f>
        <v xml:space="preserve">Management at </v>
      </c>
      <c r="T120" s="2678"/>
      <c r="U120" s="236"/>
      <c r="V120" s="2674" t="str">
        <f ca="1">"Management at "&amp;W88</f>
        <v xml:space="preserve">Management at </v>
      </c>
      <c r="W120" s="2675"/>
      <c r="X120" s="86"/>
      <c r="Y120" s="2619" t="s">
        <v>673</v>
      </c>
      <c r="Z120" s="2620"/>
      <c r="AA120" s="2620"/>
      <c r="AB120" s="2621"/>
    </row>
    <row r="121" spans="1:30" ht="52.5" hidden="1" customHeight="1" outlineLevel="1">
      <c r="A121" s="1"/>
      <c r="B121" s="2676" t="s">
        <v>5462</v>
      </c>
      <c r="C121" s="2676"/>
      <c r="D121" s="2676"/>
      <c r="E121" s="183"/>
      <c r="F121" s="183"/>
      <c r="G121" s="575"/>
      <c r="H121" s="955" t="str">
        <f ca="1">IF(G121&lt;&gt;"",G121,IFERROR(IF(INDIRECT("'"&amp;G$86&amp;"'!"&amp;VLOOKUP(G$87,'List Values'!$C$3:$D$6,2,FALSE)&amp;ROW(G121))="","",INDIRECT("'"&amp;G$86&amp;"'!"&amp;VLOOKUP(G$87,'List Values'!$C$3:$D$6,2,FALSE)&amp;ROW(G121))),IF($G$86&lt;&gt;"","Data Source Error","")))</f>
        <v>Cost per facility</v>
      </c>
      <c r="I121" s="201"/>
      <c r="J121" s="575"/>
      <c r="K121" s="955" t="str">
        <f ca="1">IF($H$7&lt;2,"",IF(J121&lt;&gt;"",J121,IFERROR(IF(INDIRECT("'"&amp;J$86&amp;"'!"&amp;VLOOKUP(J$87,'List Values'!$C$3:$D$6,2,FALSE)&amp;ROW(J121))="","",INDIRECT("'"&amp;J$86&amp;"'!"&amp;VLOOKUP(J$87,'List Values'!$C$3:$D$6,2,FALSE)&amp;ROW(J121))),IF($J$86&lt;&gt;"","Data Source Error",""))))</f>
        <v>Cost per facility</v>
      </c>
      <c r="L121" s="201"/>
      <c r="M121" s="575"/>
      <c r="N121" s="955" t="str">
        <f ca="1">IF($H$7&lt;3,"",IF(M121&lt;&gt;"",M121,IFERROR(IF(INDIRECT("'"&amp;M$86&amp;"'!"&amp;VLOOKUP(M$87,'List Values'!$C$3:$D$6,2,FALSE)&amp;ROW(M121))="","",INDIRECT("'"&amp;M$86&amp;"'!"&amp;VLOOKUP(M$87,'List Values'!$C$3:$D$6,2,FALSE)&amp;ROW(M121))),IF($M$86&lt;&gt;"","Data Source Error",""))))</f>
        <v>Cost per facility</v>
      </c>
      <c r="O121" s="183"/>
      <c r="P121" s="578"/>
      <c r="Q121" s="955" t="str">
        <f ca="1">IF($H$7&lt;4,"",IF(P121&lt;&gt;"",P121,IFERROR(IF(INDIRECT("'"&amp;P$86&amp;"'!"&amp;VLOOKUP(P$87,'List Values'!$C$3:$D$6,2,FALSE)&amp;ROW(P121))="","",INDIRECT("'"&amp;P$86&amp;"'!"&amp;VLOOKUP(P$87,'List Values'!$C$3:$D$6,2,FALSE)&amp;ROW(P121))),IF($P$86&lt;&gt;"","Data Source Error",""))))</f>
        <v/>
      </c>
      <c r="S121" s="578"/>
      <c r="T121" s="955" t="str">
        <f ca="1">IF($H$7&lt;5,"",IF(S121&lt;&gt;"",S121,IFERROR(IF(INDIRECT("'"&amp;S$86&amp;"'!"&amp;VLOOKUP(S$87,'List Values'!$C$3:$D$6,2,FALSE)&amp;ROW(S121))="","",INDIRECT("'"&amp;S$86&amp;"'!"&amp;VLOOKUP(S$87,'List Values'!$C$3:$D$6,2,FALSE)&amp;ROW(S121))),IF($S$86&lt;&gt;"","Data Source Error",""))))</f>
        <v/>
      </c>
      <c r="V121" s="578"/>
      <c r="W121" s="958" t="str">
        <f ca="1">IF($H$7&lt;6,"",IF(V121&lt;&gt;"",V121,IFERROR(IF(INDIRECT("'"&amp;V$86&amp;"'!"&amp;VLOOKUP(V$87,'List Values'!$C$3:$D$6,2,FALSE)&amp;ROW(V121))="","",INDIRECT("'"&amp;V$86&amp;"'!"&amp;VLOOKUP(V$87,'List Values'!$C$3:$D$6,2,FALSE)&amp;ROW(V121))),IF($V$86&lt;&gt;"","Data Source Error",""))))</f>
        <v/>
      </c>
      <c r="Y121" s="2643"/>
      <c r="Z121" s="2644"/>
      <c r="AA121" s="2644"/>
      <c r="AB121" s="2645"/>
    </row>
    <row r="122" spans="1:30" ht="30" hidden="1" customHeight="1" outlineLevel="1">
      <c r="B122" s="2677" t="s">
        <v>5463</v>
      </c>
      <c r="C122" s="2677"/>
      <c r="D122" s="2677"/>
      <c r="E122" s="187"/>
      <c r="F122" s="187"/>
      <c r="G122" s="576"/>
      <c r="H122" s="956">
        <f ca="1">IF(G122&lt;&gt;"",G122,IFERROR(IF(INDIRECT("'"&amp;G$86&amp;"'!"&amp;VLOOKUP(G$87,'List Values'!$C$3:$D$6,2,FALSE)&amp;ROW(G122))="","",INDIRECT("'"&amp;G$86&amp;"'!"&amp;VLOOKUP(G$87,'List Values'!$C$3:$D$6,2,FALSE)&amp;ROW(G122))*$H$6),IF($G$86&lt;&gt;"","Data Source Error","")))</f>
        <v>68518.335535384278</v>
      </c>
      <c r="I122" s="217"/>
      <c r="J122" s="576"/>
      <c r="K122" s="956">
        <f ca="1">IF($H$7&lt;2,"",IF(J122&lt;&gt;"",J122,IFERROR(IF(INDIRECT("'"&amp;J$86&amp;"'!"&amp;VLOOKUP(J$87,'List Values'!$C$3:$D$6,2,FALSE)&amp;ROW(J122))="","",INDIRECT("'"&amp;J$86&amp;"'!"&amp;VLOOKUP(J$87,'List Values'!$C$3:$D$6,2,FALSE)&amp;ROW(J122))*$H$6),IF($J$86&lt;&gt;"","Data Source Error",""))))</f>
        <v>13104</v>
      </c>
      <c r="L122" s="217"/>
      <c r="M122" s="576"/>
      <c r="N122" s="956">
        <f ca="1">IF($H$7&lt;3,"",IF(M122&lt;&gt;"",M122,IFERROR(IF(INDIRECT("'"&amp;M$86&amp;"'!"&amp;VLOOKUP(M$87,'List Values'!$C$3:$D$6,2,FALSE)&amp;ROW(M122))="","",INDIRECT("'"&amp;M$86&amp;"'!"&amp;VLOOKUP(M$87,'List Values'!$C$3:$D$6,2,FALSE)&amp;ROW(M122))*$H$6),IF($M$86&lt;&gt;"","Data Source Error",""))))</f>
        <v>146.23868975562249</v>
      </c>
      <c r="O122" s="187"/>
      <c r="P122" s="528"/>
      <c r="Q122" s="956" t="str">
        <f ca="1">IF($H$7&lt;4,"",IF(P122&lt;&gt;"",P122,IFERROR(IF(INDIRECT("'"&amp;P$86&amp;"'!"&amp;VLOOKUP(P$87,'List Values'!$C$3:$D$6,2,FALSE)&amp;ROW(P122))="","",INDIRECT("'"&amp;P$86&amp;"'!"&amp;VLOOKUP(P$87,'List Values'!$C$3:$D$6,2,FALSE)&amp;ROW(P122))*$H$6),IF($P$86&lt;&gt;"","Data Source Error",""))))</f>
        <v/>
      </c>
      <c r="S122" s="528"/>
      <c r="T122" s="956" t="str">
        <f ca="1">IF($H$7&lt;5,"",IF(S122&lt;&gt;"",S122,IFERROR(IF(INDIRECT("'"&amp;S$86&amp;"'!"&amp;VLOOKUP(S$87,'List Values'!$C$3:$D$6,2,FALSE)&amp;ROW(S122))="","",INDIRECT("'"&amp;S$86&amp;"'!"&amp;VLOOKUP(S$87,'List Values'!$C$3:$D$6,2,FALSE)&amp;ROW(S122))*$H$6),IF($S$86&lt;&gt;"","Data Source Error",""))))</f>
        <v/>
      </c>
      <c r="V122" s="528"/>
      <c r="W122" s="959" t="str">
        <f ca="1">IF($H$7&lt;6,"",IF(V122&lt;&gt;"",V122,IFERROR(IF(INDIRECT("'"&amp;V$86&amp;"'!"&amp;VLOOKUP(V$87,'List Values'!$C$3:$D$6,2,FALSE)&amp;ROW(V122))="","",INDIRECT("'"&amp;V$86&amp;"'!"&amp;VLOOKUP(V$87,'List Values'!$C$3:$D$6,2,FALSE)&amp;ROW(V122))*$H$6),IF($V$86&lt;&gt;"","Data Source Error",""))))</f>
        <v/>
      </c>
      <c r="Y122" s="2643"/>
      <c r="Z122" s="2644"/>
      <c r="AA122" s="2644"/>
      <c r="AB122" s="2645"/>
    </row>
    <row r="123" spans="1:30" ht="30.45" hidden="1" customHeight="1" outlineLevel="1">
      <c r="B123" s="2681" t="s">
        <v>5464</v>
      </c>
      <c r="C123" s="2681"/>
      <c r="D123" s="2681"/>
      <c r="E123" s="196"/>
      <c r="F123" s="196"/>
      <c r="G123" s="577"/>
      <c r="H123" s="957">
        <f ca="1">IF(G123&lt;&gt;"",G123,IFERROR(IF(INDIRECT("'"&amp;G$86&amp;"'!"&amp;VLOOKUP(G$87,'List Values'!$C$3:$D$6,2,FALSE)&amp;ROW(G123))="","",INDIRECT("'"&amp;G$86&amp;"'!"&amp;VLOOKUP(G$87,'List Values'!$C$3:$D$6,2,FALSE)&amp;ROW(G123))),IF($G$86&lt;&gt;"","Data Source Error","")))</f>
        <v>5.5705963849905903E-3</v>
      </c>
      <c r="I123" s="510"/>
      <c r="J123" s="577"/>
      <c r="K123" s="957">
        <f ca="1">IF($H$7&lt;2,"",IF(J123&lt;&gt;"",J123,IFERROR(IF(INDIRECT("'"&amp;J$86&amp;"'!"&amp;VLOOKUP(J$87,'List Values'!$C$3:$D$6,2,FALSE)&amp;ROW(J123))="","",INDIRECT("'"&amp;J$86&amp;"'!"&amp;VLOOKUP(J$87,'List Values'!$C$3:$D$6,2,FALSE)&amp;ROW(J123))),IF($J$86&lt;&gt;"","Data Source Error",""))))</f>
        <v>1.0653658536585366E-3</v>
      </c>
      <c r="L123" s="510"/>
      <c r="M123" s="577"/>
      <c r="N123" s="957">
        <f ca="1">IF($H$7&lt;3,"",IF(M123&lt;&gt;"",M123,IFERROR(IF(INDIRECT("'"&amp;M$86&amp;"'!"&amp;VLOOKUP(M$87,'List Values'!$C$3:$D$6,2,FALSE)&amp;ROW(M123))="","",INDIRECT("'"&amp;M$86&amp;"'!"&amp;VLOOKUP(M$87,'List Values'!$C$3:$D$6,2,FALSE)&amp;ROW(M123))),IF($M$86&lt;&gt;"","Data Source Error",""))))</f>
        <v>4.1018169077796547E-3</v>
      </c>
      <c r="O123" s="196"/>
      <c r="P123" s="530"/>
      <c r="Q123" s="957" t="str">
        <f ca="1">IF($H$7&lt;4,"",IF(P123&lt;&gt;"",P123,IFERROR(IF(INDIRECT("'"&amp;P$86&amp;"'!"&amp;VLOOKUP(P$87,'List Values'!$C$3:$D$6,2,FALSE)&amp;ROW(P123))="","",INDIRECT("'"&amp;P$86&amp;"'!"&amp;VLOOKUP(P$87,'List Values'!$C$3:$D$6,2,FALSE)&amp;ROW(P123))),IF($P$86&lt;&gt;"","Data Source Error",""))))</f>
        <v/>
      </c>
      <c r="R123" s="236"/>
      <c r="S123" s="530"/>
      <c r="T123" s="957" t="str">
        <f ca="1">IF($H$7&lt;5,"",IF(S123&lt;&gt;"",S123,IFERROR(IF(INDIRECT("'"&amp;S$86&amp;"'!"&amp;VLOOKUP(S$87,'List Values'!$C$3:$D$6,2,FALSE)&amp;ROW(S123))="","",INDIRECT("'"&amp;S$86&amp;"'!"&amp;VLOOKUP(S$87,'List Values'!$C$3:$D$6,2,FALSE)&amp;ROW(S123))),IF($S$86&lt;&gt;"","Data Source Error",""))))</f>
        <v/>
      </c>
      <c r="U123" s="236"/>
      <c r="V123" s="530"/>
      <c r="W123" s="960" t="str">
        <f ca="1">IF($H$7&lt;6,"",IF(V123&lt;&gt;"",V123,IFERROR(IF(INDIRECT("'"&amp;V$86&amp;"'!"&amp;VLOOKUP(V$87,'List Values'!$C$3:$D$6,2,FALSE)&amp;ROW(V123))="","",INDIRECT("'"&amp;V$86&amp;"'!"&amp;VLOOKUP(V$87,'List Values'!$C$3:$D$6,2,FALSE)&amp;ROW(V123))),IF($V$86&lt;&gt;"","Data Source Error",""))))</f>
        <v/>
      </c>
      <c r="Y123" s="2657"/>
      <c r="Z123" s="2658"/>
      <c r="AA123" s="2658"/>
      <c r="AB123" s="2659"/>
    </row>
    <row r="124" spans="1:30" ht="21" customHeight="1">
      <c r="A124" s="212" t="s">
        <v>352</v>
      </c>
      <c r="C124" s="130"/>
      <c r="D124" s="130"/>
      <c r="E124" s="130"/>
      <c r="G124" s="121"/>
      <c r="H124" s="69"/>
      <c r="K124" s="69"/>
      <c r="N124" s="69"/>
      <c r="Q124" s="69"/>
    </row>
    <row r="125" spans="1:30" ht="16" customHeight="1">
      <c r="A125" s="1"/>
      <c r="W125" s="4"/>
    </row>
    <row r="126" spans="1:30" ht="16" customHeight="1">
      <c r="A126" s="1"/>
      <c r="H126" s="147"/>
      <c r="W126" s="4"/>
    </row>
    <row r="127" spans="1:30" ht="16" customHeight="1">
      <c r="A127" s="1"/>
      <c r="W127" s="4"/>
    </row>
    <row r="128" spans="1:30" ht="16" customHeight="1">
      <c r="A128" s="1"/>
      <c r="W128" s="4"/>
    </row>
    <row r="129" spans="1:28" ht="41.25" customHeight="1">
      <c r="B129" s="2318" t="s">
        <v>606</v>
      </c>
      <c r="C129" s="2318"/>
      <c r="D129" s="2318"/>
      <c r="E129" s="496"/>
      <c r="F129" s="496"/>
      <c r="G129" s="497"/>
      <c r="H129" s="498"/>
      <c r="I129" s="2053"/>
      <c r="J129" s="212" t="s">
        <v>674</v>
      </c>
    </row>
    <row r="130" spans="1:28" s="52" customFormat="1" ht="24" customHeight="1">
      <c r="B130" s="2682" t="s">
        <v>2498</v>
      </c>
      <c r="C130" s="2682"/>
      <c r="D130" s="2682"/>
      <c r="E130" s="2682"/>
      <c r="F130" s="2682"/>
      <c r="G130" s="2682"/>
      <c r="H130" s="2682"/>
      <c r="I130" s="601"/>
      <c r="J130" s="2683" t="str">
        <f ca="1">H88&amp;"  to  "&amp;K88</f>
        <v>CMS  to  Regional WH</v>
      </c>
      <c r="K130" s="2683"/>
      <c r="L130" s="601"/>
      <c r="M130" s="2683" t="str">
        <f ca="1">K88&amp;"  to  "&amp;N88</f>
        <v>Regional WH  to  Health Facility</v>
      </c>
      <c r="N130" s="2683"/>
      <c r="O130" s="601"/>
      <c r="P130" s="2683" t="str">
        <f ca="1">N88&amp;"  to  "&amp;Q88</f>
        <v xml:space="preserve">Health Facility  to  </v>
      </c>
      <c r="Q130" s="2683"/>
      <c r="R130" s="601"/>
      <c r="S130" s="2683" t="str">
        <f ca="1">Q88&amp;"  to  "&amp;T88</f>
        <v xml:space="preserve">  to  </v>
      </c>
      <c r="T130" s="2683"/>
      <c r="U130" s="601"/>
      <c r="V130" s="2683" t="str">
        <f ca="1">T88&amp;"  to  "&amp;W88</f>
        <v xml:space="preserve">  to  </v>
      </c>
      <c r="W130" s="2683"/>
    </row>
    <row r="131" spans="1:28" s="52" customFormat="1" ht="1.5" customHeight="1" outlineLevel="1">
      <c r="B131" s="2682"/>
      <c r="C131" s="2682"/>
      <c r="D131" s="2682"/>
      <c r="E131" s="2682"/>
      <c r="F131" s="2682"/>
      <c r="G131" s="2682"/>
      <c r="H131" s="2682"/>
      <c r="I131" s="601"/>
      <c r="J131" s="602"/>
      <c r="K131" s="602"/>
      <c r="L131" s="1207"/>
      <c r="M131" s="602"/>
      <c r="N131" s="602"/>
      <c r="O131" s="601"/>
      <c r="P131" s="602"/>
      <c r="Q131" s="602"/>
      <c r="R131" s="603"/>
      <c r="S131" s="602"/>
      <c r="T131" s="602"/>
      <c r="U131" s="603"/>
      <c r="V131" s="602"/>
      <c r="W131" s="602"/>
    </row>
    <row r="132" spans="1:28" s="52" customFormat="1" ht="30.75" customHeight="1" outlineLevel="1">
      <c r="B132" s="2682"/>
      <c r="C132" s="2682"/>
      <c r="D132" s="2682"/>
      <c r="E132" s="2682"/>
      <c r="F132" s="2682"/>
      <c r="G132" s="2682"/>
      <c r="H132" s="2682"/>
      <c r="I132" s="1206"/>
      <c r="J132" s="2067" t="s">
        <v>17</v>
      </c>
      <c r="K132" s="1208" t="s">
        <v>10</v>
      </c>
      <c r="L132" s="2053"/>
      <c r="M132" s="2067" t="s">
        <v>17</v>
      </c>
      <c r="N132" s="1208" t="s">
        <v>10</v>
      </c>
      <c r="O132"/>
      <c r="P132" s="1209" t="s">
        <v>17</v>
      </c>
      <c r="Q132" s="1210" t="s">
        <v>10</v>
      </c>
      <c r="R132"/>
      <c r="S132" s="1209" t="s">
        <v>17</v>
      </c>
      <c r="T132" s="1210" t="s">
        <v>10</v>
      </c>
      <c r="U132"/>
      <c r="V132" s="1209" t="s">
        <v>17</v>
      </c>
      <c r="W132" s="1210" t="s">
        <v>10</v>
      </c>
      <c r="Y132" s="2619" t="s">
        <v>673</v>
      </c>
      <c r="Z132" s="2620"/>
      <c r="AA132" s="2620"/>
      <c r="AB132" s="2621"/>
    </row>
    <row r="133" spans="1:28" ht="32.25" customHeight="1" outlineLevel="1">
      <c r="A133" s="1"/>
      <c r="B133" s="2679" t="s">
        <v>2509</v>
      </c>
      <c r="C133" s="2679"/>
      <c r="D133" s="2679"/>
      <c r="E133" s="35"/>
      <c r="F133" s="35"/>
      <c r="G133" s="646"/>
      <c r="H133" s="647"/>
      <c r="I133" s="51"/>
      <c r="J133" s="586"/>
      <c r="K133" s="1203">
        <f ca="1">IF($H$7&lt;2,0,IF(J133&lt;&gt;"",J133,IFERROR(IF(INDIRECT("'"&amp;J$86&amp;"'!"&amp;VLOOKUP(J$87,'List Values'!$C$3:$D$6,2,FALSE)&amp;ROW(J133))="",0,INDIRECT("'"&amp;J$86&amp;"'!"&amp;VLOOKUP(J$87,'List Values'!$C$3:$D$6,2,FALSE)&amp;ROW(J133))),IF(J$86&lt;&gt;"","Data Source Error",0))))</f>
        <v>1</v>
      </c>
      <c r="L133" s="51"/>
      <c r="M133" s="586">
        <v>1</v>
      </c>
      <c r="N133" s="1203">
        <f ca="1">IF($H$7&lt;3,0,IF(M133&lt;&gt;"",M133,IFERROR(IF(INDIRECT("'"&amp;M$86&amp;"'!"&amp;VLOOKUP(M$87,'List Values'!$C$3:$D$6,2,FALSE)&amp;ROW(M133))="",0,INDIRECT("'"&amp;M$86&amp;"'!"&amp;VLOOKUP(M$87,'List Values'!$C$3:$D$6,2,FALSE)&amp;ROW(M133))),IF(M$86&lt;&gt;"","Data Source Error",0))))</f>
        <v>1</v>
      </c>
      <c r="O133" s="51"/>
      <c r="P133" s="1204"/>
      <c r="Q133" s="1203">
        <f ca="1">IF($H$7&lt;4,0,IF(P133&lt;&gt;"",P133,IFERROR(IF(INDIRECT("'"&amp;P$86&amp;"'!"&amp;VLOOKUP(P$87,'List Values'!$C$3:$D$6,2,FALSE)&amp;ROW(P133))="",0,INDIRECT("'"&amp;P$86&amp;"'!"&amp;VLOOKUP(P$87,'List Values'!$C$3:$D$6,2,FALSE)&amp;ROW(P133))),IF(P$86&lt;&gt;"","Data Source Error",0))))</f>
        <v>0</v>
      </c>
      <c r="S133" s="1204"/>
      <c r="T133" s="1203">
        <f ca="1">IF($H$7&lt;5,0,IF(S133&lt;&gt;"",S133,IFERROR(IF(INDIRECT("'"&amp;S$86&amp;"'!"&amp;VLOOKUP(S$87,'List Values'!$C$3:$D$6,2,FALSE)&amp;ROW(S133))="",0,INDIRECT("'"&amp;S$86&amp;"'!"&amp;VLOOKUP(S$87,'List Values'!$C$3:$D$6,2,FALSE)&amp;ROW(S133))),IF(S$86&lt;&gt;"","Data Source Error",0))))</f>
        <v>0</v>
      </c>
      <c r="V133" s="1204"/>
      <c r="W133" s="1205">
        <f ca="1">IF($H$7&lt;6,0,IF(V133&lt;&gt;"",V133,IFERROR(IF(INDIRECT("'"&amp;V$86&amp;"'!"&amp;VLOOKUP(V$87,'List Values'!$C$3:$D$6,2,FALSE)&amp;ROW(V133))="",0,INDIRECT("'"&amp;V$86&amp;"'!"&amp;VLOOKUP(V$87,'List Values'!$C$3:$D$6,2,FALSE)&amp;ROW(V133))),IF(V$86&lt;&gt;"","Data Source Error",0))))</f>
        <v>0</v>
      </c>
      <c r="Y133" s="2643"/>
      <c r="Z133" s="2644"/>
      <c r="AA133" s="2644"/>
      <c r="AB133" s="2645"/>
    </row>
    <row r="134" spans="1:28" ht="21" customHeight="1">
      <c r="A134" s="1"/>
      <c r="B134" s="612" t="s">
        <v>609</v>
      </c>
      <c r="C134" s="604"/>
      <c r="D134" s="604"/>
      <c r="E134" s="604"/>
      <c r="F134" s="604"/>
      <c r="G134" s="604"/>
      <c r="H134" s="604"/>
      <c r="I134" s="605"/>
      <c r="J134" s="606"/>
      <c r="K134" s="961"/>
      <c r="L134" s="605"/>
      <c r="M134" s="606"/>
      <c r="N134" s="961"/>
      <c r="O134" s="605"/>
      <c r="P134" s="607"/>
      <c r="Q134" s="961"/>
      <c r="R134" s="608"/>
      <c r="S134" s="607"/>
      <c r="T134" s="961"/>
      <c r="U134" s="608"/>
      <c r="V134" s="607"/>
      <c r="W134" s="961"/>
      <c r="Y134" s="631"/>
      <c r="Z134" s="631"/>
      <c r="AA134" s="631"/>
      <c r="AB134" s="631"/>
    </row>
    <row r="135" spans="1:28" ht="18.75" customHeight="1" outlineLevel="1">
      <c r="A135" s="252"/>
      <c r="B135" s="252"/>
      <c r="C135" s="2580" t="s">
        <v>631</v>
      </c>
      <c r="D135" s="2580"/>
      <c r="E135" s="202"/>
      <c r="F135" s="202"/>
      <c r="G135" s="634"/>
      <c r="H135" s="635"/>
      <c r="I135" s="52"/>
      <c r="J135" s="581"/>
      <c r="K135" s="962">
        <f ca="1">IF(OR($H$7&lt;2,K$133&lt;1),"",IF(J135&lt;&gt;"",J135,IFERROR(IF(INDIRECT("'"&amp;J$86&amp;"'!"&amp;VLOOKUP(J$87,'List Values'!$C$3:$D$6,2,FALSE)&amp;ROW(J135))="","",INDIRECT("'"&amp;J$86&amp;"'!"&amp;VLOOKUP(J$87,'List Values'!$C$3:$D$6,2,FALSE)&amp;ROW(J135))),IF(J$86&lt;&gt;"","Data Source Error",""))))</f>
        <v>1</v>
      </c>
      <c r="L135" s="626"/>
      <c r="M135" s="581"/>
      <c r="N135" s="962">
        <f ca="1">IF(OR($H$7&lt;3,N$133&lt;1),"",IF(M135&lt;&gt;"",M135,IFERROR(IF(INDIRECT("'"&amp;M$86&amp;"'!"&amp;VLOOKUP(M$87,'List Values'!$C$3:$D$6,2,FALSE)&amp;ROW(M135))="","",INDIRECT("'"&amp;M$86&amp;"'!"&amp;VLOOKUP(M$87,'List Values'!$C$3:$D$6,2,FALSE)&amp;ROW(M135))),IF(M$86&lt;&gt;"","Data Source Error",""))))</f>
        <v>1</v>
      </c>
      <c r="O135" s="627"/>
      <c r="P135" s="585"/>
      <c r="Q135" s="967" t="str">
        <f ca="1">IF(OR($H$7&lt;4,Q$133&lt;1),"",IF(P135&lt;&gt;"",P135,IFERROR(IF(INDIRECT("'"&amp;P$86&amp;"'!"&amp;VLOOKUP(P$87,'List Values'!$C$3:$D$6,2,FALSE)&amp;ROW(P135))="","",INDIRECT("'"&amp;P$86&amp;"'!"&amp;VLOOKUP(P$87,'List Values'!$C$3:$D$6,2,FALSE)&amp;ROW(P135))),IF(P$86&lt;&gt;"","Data Source Error",""))))</f>
        <v/>
      </c>
      <c r="R135" s="460"/>
      <c r="S135" s="585"/>
      <c r="T135" s="967" t="str">
        <f ca="1">IF(OR($H$7&lt;5,T$133&lt;1),"",IF(S135&lt;&gt;"",S135,IFERROR(IF(INDIRECT("'"&amp;S$86&amp;"'!"&amp;VLOOKUP(S$87,'List Values'!$C$3:$D$6,2,FALSE)&amp;ROW(S135))="","",INDIRECT("'"&amp;S$86&amp;"'!"&amp;VLOOKUP(S$87,'List Values'!$C$3:$D$6,2,FALSE)&amp;ROW(S135))),IF(S$86&lt;&gt;"","Data Source Error",""))))</f>
        <v/>
      </c>
      <c r="U135" s="460"/>
      <c r="V135" s="585"/>
      <c r="W135" s="973" t="str">
        <f ca="1">IF(OR($H$7&lt;6,W$133&lt;1),"",IF(V135&lt;&gt;"",V135,IFERROR(IF(INDIRECT("'"&amp;V$86&amp;"'!"&amp;VLOOKUP(V$87,'List Values'!$C$3:$D$6,2,FALSE)&amp;ROW(V135))="","",INDIRECT("'"&amp;V$86&amp;"'!"&amp;VLOOKUP(V$87,'List Values'!$C$3:$D$6,2,FALSE)&amp;ROW(V135))),IF(V$86&lt;&gt;"","Data Source Error",""))))</f>
        <v/>
      </c>
      <c r="Y135" s="2643"/>
      <c r="Z135" s="2644"/>
      <c r="AA135" s="2644"/>
      <c r="AB135" s="2645"/>
    </row>
    <row r="136" spans="1:28" ht="28.5" customHeight="1" outlineLevel="1">
      <c r="A136" s="252"/>
      <c r="B136" s="252"/>
      <c r="C136" s="2680" t="s">
        <v>633</v>
      </c>
      <c r="D136" s="2680"/>
      <c r="E136" s="2062"/>
      <c r="F136" s="2062"/>
      <c r="G136" s="636"/>
      <c r="H136" s="636"/>
      <c r="I136" s="520"/>
      <c r="J136" s="526"/>
      <c r="K136" s="963" t="str">
        <f ca="1">IF(OR($H$7&lt;2,K$133&lt;1),"",IF(J136&lt;&gt;"",J136,IFERROR(IF(INDIRECT("'"&amp;J$86&amp;"'!"&amp;VLOOKUP(J$87,'List Values'!$C$3:$D$6,2,FALSE)&amp;ROW(J136))="","",INDIRECT("'"&amp;J$86&amp;"'!"&amp;VLOOKUP(J$87,'List Values'!$C$3:$D$6,2,FALSE)&amp;ROW(J136))),IF(J$86&lt;&gt;"","Data Source Error",""))))</f>
        <v>Commercial Truck</v>
      </c>
      <c r="L136" s="52"/>
      <c r="M136" s="526"/>
      <c r="N136" s="963" t="str">
        <f ca="1">IF(OR($H$7&lt;3,N$133&lt;1),"",IF(M136&lt;&gt;"",M136,IFERROR(IF(INDIRECT("'"&amp;M$86&amp;"'!"&amp;VLOOKUP(M$87,'List Values'!$C$3:$D$6,2,FALSE)&amp;ROW(M136))="","",INDIRECT("'"&amp;M$86&amp;"'!"&amp;VLOOKUP(M$87,'List Values'!$C$3:$D$6,2,FALSE)&amp;ROW(M136))),IF(M$86&lt;&gt;"","Data Source Error",""))))</f>
        <v>Commercial Truck</v>
      </c>
      <c r="O136" s="187"/>
      <c r="P136" s="560"/>
      <c r="Q136" s="900" t="str">
        <f ca="1">IF(OR($H$7&lt;4,Q$133&lt;1),"",IF(P136&lt;&gt;"",P136,IFERROR(IF(INDIRECT("'"&amp;P$86&amp;"'!"&amp;VLOOKUP(P$87,'List Values'!$C$3:$D$6,2,FALSE)&amp;ROW(P136))="","",INDIRECT("'"&amp;P$86&amp;"'!"&amp;VLOOKUP(P$87,'List Values'!$C$3:$D$6,2,FALSE)&amp;ROW(P136))),IF(P$86&lt;&gt;"","Data Source Error",""))))</f>
        <v/>
      </c>
      <c r="S136" s="560"/>
      <c r="T136" s="900" t="str">
        <f ca="1">IF(OR($H$7&lt;5,T$133&lt;1),"",IF(S136&lt;&gt;"",S136,IFERROR(IF(INDIRECT("'"&amp;S$86&amp;"'!"&amp;VLOOKUP(S$87,'List Values'!$C$3:$D$6,2,FALSE)&amp;ROW(S136))="","",INDIRECT("'"&amp;S$86&amp;"'!"&amp;VLOOKUP(S$87,'List Values'!$C$3:$D$6,2,FALSE)&amp;ROW(S136))),IF(S$86&lt;&gt;"","Data Source Error",""))))</f>
        <v/>
      </c>
      <c r="V136" s="560"/>
      <c r="W136" s="911" t="str">
        <f ca="1">IF(OR($H$7&lt;6,W$133&lt;1),"",IF(V136&lt;&gt;"",V136,IFERROR(IF(INDIRECT("'"&amp;V$86&amp;"'!"&amp;VLOOKUP(V$87,'List Values'!$C$3:$D$6,2,FALSE)&amp;ROW(V136))="","",INDIRECT("'"&amp;V$86&amp;"'!"&amp;VLOOKUP(V$87,'List Values'!$C$3:$D$6,2,FALSE)&amp;ROW(V136))),IF(V$86&lt;&gt;"","Data Source Error",""))))</f>
        <v/>
      </c>
      <c r="Y136" s="2643"/>
      <c r="Z136" s="2644"/>
      <c r="AA136" s="2644"/>
      <c r="AB136" s="2645"/>
    </row>
    <row r="137" spans="1:28" ht="33.75" customHeight="1" outlineLevel="1">
      <c r="A137" s="252"/>
      <c r="B137" s="252"/>
      <c r="C137" s="2680" t="s">
        <v>2517</v>
      </c>
      <c r="D137" s="2680"/>
      <c r="E137" s="2062"/>
      <c r="F137" s="2062"/>
      <c r="G137" s="636"/>
      <c r="H137" s="637"/>
      <c r="I137" s="182"/>
      <c r="J137" s="561"/>
      <c r="K137" s="962" t="str">
        <f ca="1">IF(OR($H$7&lt;2,K$133&lt;1),"",IF(J137&lt;&gt;"",J137,IFERROR(IF(INDIRECT("'"&amp;J$86&amp;"'!"&amp;VLOOKUP(J$87,'List Values'!$C$3:$D$6,2,FALSE)&amp;ROW(J137))="","",INDIRECT("'"&amp;J$86&amp;"'!"&amp;VLOOKUP(J$87,'List Values'!$C$3:$D$6,2,FALSE)&amp;ROW(J137))),IF(J$86&lt;&gt;"","Data Source Error",""))))</f>
        <v>Owned</v>
      </c>
      <c r="L137" s="182"/>
      <c r="M137" s="561"/>
      <c r="N137" s="969" t="str">
        <f ca="1">IF(OR($H$7&lt;3,N$133&lt;1),"",IF(M137&lt;&gt;"",M137,IFERROR(IF(INDIRECT("'"&amp;M$86&amp;"'!"&amp;VLOOKUP(M$87,'List Values'!$C$3:$D$6,2,FALSE)&amp;ROW(M137))="","",INDIRECT("'"&amp;M$86&amp;"'!"&amp;VLOOKUP(M$87,'List Values'!$C$3:$D$6,2,FALSE)&amp;ROW(M137))),IF(M$86&lt;&gt;"","Data Source Error",""))))</f>
        <v>Owned</v>
      </c>
      <c r="O137" s="183"/>
      <c r="P137" s="558"/>
      <c r="Q137" s="897" t="str">
        <f ca="1">IF(OR($H$7&lt;4,Q$133&lt;1),"",IF(P137&lt;&gt;"",P137,IFERROR(IF(INDIRECT("'"&amp;P$86&amp;"'!"&amp;VLOOKUP(P$87,'List Values'!$C$3:$D$6,2,FALSE)&amp;ROW(P137))="","",INDIRECT("'"&amp;P$86&amp;"'!"&amp;VLOOKUP(P$87,'List Values'!$C$3:$D$6,2,FALSE)&amp;ROW(P137))),IF(P$86&lt;&gt;"","Data Source Error",""))))</f>
        <v/>
      </c>
      <c r="S137" s="558"/>
      <c r="T137" s="897" t="str">
        <f ca="1">IF(OR($H$7&lt;5,T$133&lt;1),"",IF(S137&lt;&gt;"",S137,IFERROR(IF(INDIRECT("'"&amp;S$86&amp;"'!"&amp;VLOOKUP(S$87,'List Values'!$C$3:$D$6,2,FALSE)&amp;ROW(S137))="","",INDIRECT("'"&amp;S$86&amp;"'!"&amp;VLOOKUP(S$87,'List Values'!$C$3:$D$6,2,FALSE)&amp;ROW(S137))),IF(S$86&lt;&gt;"","Data Source Error",""))))</f>
        <v/>
      </c>
      <c r="V137" s="558"/>
      <c r="W137" s="908" t="str">
        <f ca="1">IF(OR($H$7&lt;6,W$133&lt;1),"",IF(V137&lt;&gt;"",V137,IFERROR(IF(INDIRECT("'"&amp;V$86&amp;"'!"&amp;VLOOKUP(V$87,'List Values'!$C$3:$D$6,2,FALSE)&amp;ROW(V137))="","",INDIRECT("'"&amp;V$86&amp;"'!"&amp;VLOOKUP(V$87,'List Values'!$C$3:$D$6,2,FALSE)&amp;ROW(V137))),IF(V$86&lt;&gt;"","Data Source Error",""))))</f>
        <v/>
      </c>
      <c r="Y137" s="2643"/>
      <c r="Z137" s="2644"/>
      <c r="AA137" s="2644"/>
      <c r="AB137" s="2645"/>
    </row>
    <row r="138" spans="1:28" ht="33.75" customHeight="1" outlineLevel="1">
      <c r="A138" s="252"/>
      <c r="B138" s="252"/>
      <c r="C138" s="2684" t="s">
        <v>628</v>
      </c>
      <c r="D138" s="2684"/>
      <c r="E138" s="2062"/>
      <c r="F138" s="2062"/>
      <c r="G138" s="636"/>
      <c r="H138" s="637"/>
      <c r="I138" s="191"/>
      <c r="J138" s="526"/>
      <c r="K138" s="964" t="str">
        <f ca="1">IF(OR($H$7&lt;2,K$133&lt;1),"",IF(J138&lt;&gt;"",J138,IFERROR(IF(INDIRECT("'"&amp;J$86&amp;"'!"&amp;VLOOKUP(J$87,'List Values'!$C$3:$D$6,2,FALSE)&amp;ROW(J138))="","",INDIRECT("'"&amp;J$86&amp;"'!"&amp;VLOOKUP(J$87,'List Values'!$C$3:$D$6,2,FALSE)&amp;ROW(J138))),IF(J$86&lt;&gt;"","Data Source Error",""))))</f>
        <v xml:space="preserve">$ per km </v>
      </c>
      <c r="L138" s="191"/>
      <c r="M138" s="526"/>
      <c r="N138" s="963" t="str">
        <f ca="1">IF(OR($H$7&lt;3,N$133&lt;1),"",IF(M138&lt;&gt;"",M138,IFERROR(IF(INDIRECT("'"&amp;M$86&amp;"'!"&amp;VLOOKUP(M$87,'List Values'!$C$3:$D$6,2,FALSE)&amp;ROW(M138))="","",INDIRECT("'"&amp;M$86&amp;"'!"&amp;VLOOKUP(M$87,'List Values'!$C$3:$D$6,2,FALSE)&amp;ROW(M138))),IF(M$86&lt;&gt;"","Data Source Error",""))))</f>
        <v xml:space="preserve">$ per km </v>
      </c>
      <c r="O138" s="187"/>
      <c r="P138" s="560"/>
      <c r="Q138" s="900" t="str">
        <f ca="1">IF(OR($H$7&lt;4,Q$133&lt;1),"",IF(P138&lt;&gt;"",P138,IFERROR(IF(INDIRECT("'"&amp;P$86&amp;"'!"&amp;VLOOKUP(P$87,'List Values'!$C$3:$D$6,2,FALSE)&amp;ROW(P138))="","",INDIRECT("'"&amp;P$86&amp;"'!"&amp;VLOOKUP(P$87,'List Values'!$C$3:$D$6,2,FALSE)&amp;ROW(P138))),IF(P$86&lt;&gt;"","Data Source Error",""))))</f>
        <v/>
      </c>
      <c r="S138" s="560"/>
      <c r="T138" s="900" t="str">
        <f ca="1">IF(OR($H$7&lt;5,T$133&lt;1),"",IF(S138&lt;&gt;"",S138,IFERROR(IF(INDIRECT("'"&amp;S$86&amp;"'!"&amp;VLOOKUP(S$87,'List Values'!$C$3:$D$6,2,FALSE)&amp;ROW(S138))="","",INDIRECT("'"&amp;S$86&amp;"'!"&amp;VLOOKUP(S$87,'List Values'!$C$3:$D$6,2,FALSE)&amp;ROW(S138))),IF(S$86&lt;&gt;"","Data Source Error",""))))</f>
        <v/>
      </c>
      <c r="V138" s="560"/>
      <c r="W138" s="911" t="str">
        <f ca="1">IF(OR($H$7&lt;6,W$133&lt;1),"",IF(V138&lt;&gt;"",V138,IFERROR(IF(INDIRECT("'"&amp;V$86&amp;"'!"&amp;VLOOKUP(V$87,'List Values'!$C$3:$D$6,2,FALSE)&amp;ROW(V138))="","",INDIRECT("'"&amp;V$86&amp;"'!"&amp;VLOOKUP(V$87,'List Values'!$C$3:$D$6,2,FALSE)&amp;ROW(V138))),IF(V$86&lt;&gt;"","Data Source Error",""))))</f>
        <v/>
      </c>
      <c r="Y138" s="2643"/>
      <c r="Z138" s="2644"/>
      <c r="AA138" s="2644"/>
      <c r="AB138" s="2645"/>
    </row>
    <row r="139" spans="1:28" ht="33.75" customHeight="1" outlineLevel="1">
      <c r="A139" s="252"/>
      <c r="B139" s="252"/>
      <c r="C139" s="2684" t="s">
        <v>629</v>
      </c>
      <c r="D139" s="2684"/>
      <c r="E139" s="2062"/>
      <c r="F139" s="2062"/>
      <c r="G139" s="636"/>
      <c r="H139" s="637"/>
      <c r="I139" s="191"/>
      <c r="J139" s="568"/>
      <c r="K139" s="956">
        <f ca="1">IF(OR($H$7&lt;2,K$133&lt;1),"",IF(J139&lt;&gt;"",J139,IFERROR(IF(INDIRECT("'"&amp;J$86&amp;"'!"&amp;VLOOKUP(J$87,'List Values'!$C$3:$D$6,2,FALSE)&amp;ROW(J139))="","",INDIRECT("'"&amp;J$86&amp;"'!"&amp;VLOOKUP(J$87,'List Values'!$C$3:$D$6,2,FALSE)&amp;ROW(J139))*$H$6),IF(J$86&lt;&gt;"","Data Source Error",""))))</f>
        <v>1</v>
      </c>
      <c r="L139" s="622"/>
      <c r="M139" s="568"/>
      <c r="N139" s="956">
        <f ca="1">IF(OR($H$7&lt;3,N$133&lt;1),"",IF(M139&lt;&gt;"",M139,IFERROR(IF(INDIRECT("'"&amp;M$86&amp;"'!"&amp;VLOOKUP(M$87,'List Values'!$C$3:$D$6,2,FALSE)&amp;ROW(M139))="","",INDIRECT("'"&amp;M$86&amp;"'!"&amp;VLOOKUP(M$87,'List Values'!$C$3:$D$6,2,FALSE)&amp;ROW(M139))*$H$6),IF(M$86&lt;&gt;"","Data Source Error",""))))</f>
        <v>1</v>
      </c>
      <c r="O139" s="339"/>
      <c r="P139" s="623"/>
      <c r="Q139" s="936" t="str">
        <f ca="1">IF(OR($H$7&lt;4,Q$133&lt;1),"",IF(P139&lt;&gt;"",P139,IFERROR(IF(INDIRECT("'"&amp;P$86&amp;"'!"&amp;VLOOKUP(P$87,'List Values'!$C$3:$D$6,2,FALSE)&amp;ROW(P139))="","",INDIRECT("'"&amp;P$86&amp;"'!"&amp;VLOOKUP(P$87,'List Values'!$C$3:$D$6,2,FALSE)&amp;ROW(P139))*$H$6),IF(P$86&lt;&gt;"","Data Source Error",""))))</f>
        <v/>
      </c>
      <c r="R139" s="7"/>
      <c r="S139" s="623"/>
      <c r="T139" s="936" t="str">
        <f ca="1">IF(OR($H$7&lt;5,T$133&lt;1),"",IF(S139&lt;&gt;"",S139,IFERROR(IF(INDIRECT("'"&amp;S$86&amp;"'!"&amp;VLOOKUP(S$87,'List Values'!$C$3:$D$6,2,FALSE)&amp;ROW(S139))="","",INDIRECT("'"&amp;S$86&amp;"'!"&amp;VLOOKUP(S$87,'List Values'!$C$3:$D$6,2,FALSE)&amp;ROW(S139))*$H$6),IF(S$86&lt;&gt;"","Data Source Error",""))))</f>
        <v/>
      </c>
      <c r="U139" s="7"/>
      <c r="V139" s="623"/>
      <c r="W139" s="974" t="str">
        <f ca="1">IF(OR($H$7&lt;6,W$133&lt;1),"",IF(V139&lt;&gt;"",V139,IFERROR(IF(INDIRECT("'"&amp;V$86&amp;"'!"&amp;VLOOKUP(V$87,'List Values'!$C$3:$D$6,2,FALSE)&amp;ROW(V139))="","",INDIRECT("'"&amp;V$86&amp;"'!"&amp;VLOOKUP(V$87,'List Values'!$C$3:$D$6,2,FALSE)&amp;ROW(V139))*$H$6),IF(V$86&lt;&gt;"","Data Source Error",""))))</f>
        <v/>
      </c>
      <c r="Y139" s="2643"/>
      <c r="Z139" s="2644"/>
      <c r="AA139" s="2644"/>
      <c r="AB139" s="2645"/>
    </row>
    <row r="140" spans="1:28" ht="18.75" customHeight="1" outlineLevel="1">
      <c r="A140" s="252"/>
      <c r="B140" s="252"/>
      <c r="C140" s="2680" t="s">
        <v>632</v>
      </c>
      <c r="D140" s="2680"/>
      <c r="E140" s="2062"/>
      <c r="F140" s="2062"/>
      <c r="G140" s="636"/>
      <c r="H140" s="637"/>
      <c r="I140" s="191"/>
      <c r="J140" s="526"/>
      <c r="K140" s="963">
        <f ca="1">IF(OR($H$7&lt;2,K$133&lt;1),"",IF(J140&lt;&gt;"",J140,IFERROR(IF(INDIRECT("'"&amp;J$86&amp;"'!"&amp;VLOOKUP(J$87,'List Values'!$C$3:$D$6,2,FALSE)&amp;ROW(J140))="","",INDIRECT("'"&amp;J$86&amp;"'!"&amp;VLOOKUP(J$87,'List Values'!$C$3:$D$6,2,FALSE)&amp;ROW(J140))),IF(J$86&lt;&gt;"","Data Source Error",""))))</f>
        <v>1</v>
      </c>
      <c r="L140" s="191"/>
      <c r="M140" s="526"/>
      <c r="N140" s="963">
        <f ca="1">IF(OR($H$7&lt;3,N$133&lt;1),"",IF(M140&lt;&gt;"",M140,IFERROR(IF(INDIRECT("'"&amp;M$86&amp;"'!"&amp;VLOOKUP(M$87,'List Values'!$C$3:$D$6,2,FALSE)&amp;ROW(M140))="","",INDIRECT("'"&amp;M$86&amp;"'!"&amp;VLOOKUP(M$87,'List Values'!$C$3:$D$6,2,FALSE)&amp;ROW(M140))),IF(M$86&lt;&gt;"","Data Source Error",""))))</f>
        <v>1.5</v>
      </c>
      <c r="O140" s="187"/>
      <c r="P140" s="560"/>
      <c r="Q140" s="900" t="str">
        <f ca="1">IF(OR($H$7&lt;4,Q$133&lt;1),"",IF(P140&lt;&gt;"",P140,IFERROR(IF(INDIRECT("'"&amp;P$86&amp;"'!"&amp;VLOOKUP(P$87,'List Values'!$C$3:$D$6,2,FALSE)&amp;ROW(P140))="","",INDIRECT("'"&amp;P$86&amp;"'!"&amp;VLOOKUP(P$87,'List Values'!$C$3:$D$6,2,FALSE)&amp;ROW(P140))),IF(P$86&lt;&gt;"","Data Source Error",""))))</f>
        <v/>
      </c>
      <c r="S140" s="560"/>
      <c r="T140" s="900" t="str">
        <f ca="1">IF(OR($H$7&lt;5,T$133&lt;1),"",IF(S140&lt;&gt;"",S140,IFERROR(IF(INDIRECT("'"&amp;S$86&amp;"'!"&amp;VLOOKUP(S$87,'List Values'!$C$3:$D$6,2,FALSE)&amp;ROW(S140))="","",INDIRECT("'"&amp;S$86&amp;"'!"&amp;VLOOKUP(S$87,'List Values'!$C$3:$D$6,2,FALSE)&amp;ROW(S140))),IF(S$86&lt;&gt;"","Data Source Error",""))))</f>
        <v/>
      </c>
      <c r="V140" s="560"/>
      <c r="W140" s="911" t="str">
        <f ca="1">IF(OR($H$7&lt;6,W$133&lt;1),"",IF(V140&lt;&gt;"",V140,IFERROR(IF(INDIRECT("'"&amp;V$86&amp;"'!"&amp;VLOOKUP(V$87,'List Values'!$C$3:$D$6,2,FALSE)&amp;ROW(V140))="","",INDIRECT("'"&amp;V$86&amp;"'!"&amp;VLOOKUP(V$87,'List Values'!$C$3:$D$6,2,FALSE)&amp;ROW(V140))),IF(V$86&lt;&gt;"","Data Source Error",""))))</f>
        <v/>
      </c>
      <c r="Y140" s="2643"/>
      <c r="Z140" s="2644"/>
      <c r="AA140" s="2644"/>
      <c r="AB140" s="2645"/>
    </row>
    <row r="141" spans="1:28" ht="49.5" customHeight="1" outlineLevel="1">
      <c r="A141" s="252"/>
      <c r="B141" s="252"/>
      <c r="C141" s="2680" t="s">
        <v>5476</v>
      </c>
      <c r="D141" s="2680"/>
      <c r="E141" s="2062"/>
      <c r="F141" s="2062"/>
      <c r="G141" s="636"/>
      <c r="H141" s="637"/>
      <c r="I141" s="191"/>
      <c r="J141" s="619"/>
      <c r="K141" s="964">
        <f ca="1">IF(OR($H$7&lt;2,K$133&lt;1),"",IF(J141&lt;&gt;"",J141,IFERROR(IF(INDIRECT("'"&amp;J$86&amp;"'!"&amp;VLOOKUP(J$87,'List Values'!$C$3:$D$6,2,FALSE)&amp;ROW(J141))="","",INDIRECT("'"&amp;J$86&amp;"'!"&amp;VLOOKUP(J$87,'List Values'!$C$3:$D$6,2,FALSE)&amp;ROW(J141))),IF(J$86&lt;&gt;"","Data Source Error",""))))</f>
        <v>0</v>
      </c>
      <c r="L141" s="620"/>
      <c r="M141" s="619"/>
      <c r="N141" s="964">
        <f ca="1">IF(OR($H$7&lt;3,N$133&lt;1),"",IF(M141&lt;&gt;"",M141,IFERROR(IF(INDIRECT("'"&amp;M$86&amp;"'!"&amp;VLOOKUP(M$87,'List Values'!$C$3:$D$6,2,FALSE)&amp;ROW(M141))="","",INDIRECT("'"&amp;M$86&amp;"'!"&amp;VLOOKUP(M$87,'List Values'!$C$3:$D$6,2,FALSE)&amp;ROW(M141))),IF(M$86&lt;&gt;"","Data Source Error",""))))</f>
        <v>0</v>
      </c>
      <c r="O141" s="621"/>
      <c r="P141" s="619"/>
      <c r="Q141" s="971" t="str">
        <f ca="1">IF(OR($H$7&lt;4,Q$133&lt;1),"",IF(P141&lt;&gt;"",P141,IFERROR(IF(INDIRECT("'"&amp;P$86&amp;"'!"&amp;VLOOKUP(P$87,'List Values'!$C$3:$D$6,2,FALSE)&amp;ROW(P141))="","",INDIRECT("'"&amp;P$86&amp;"'!"&amp;VLOOKUP(P$87,'List Values'!$C$3:$D$6,2,FALSE)&amp;ROW(P141))),IF(P$86&lt;&gt;"","Data Source Error",""))))</f>
        <v/>
      </c>
      <c r="R141" s="147"/>
      <c r="S141" s="619"/>
      <c r="T141" s="971" t="str">
        <f ca="1">IF(OR($H$7&lt;5,T$133&lt;1),"",IF(S141&lt;&gt;"",S141,IFERROR(IF(INDIRECT("'"&amp;S$86&amp;"'!"&amp;VLOOKUP(S$87,'List Values'!$C$3:$D$6,2,FALSE)&amp;ROW(S141))="","",INDIRECT("'"&amp;S$86&amp;"'!"&amp;VLOOKUP(S$87,'List Values'!$C$3:$D$6,2,FALSE)&amp;ROW(S141))),IF(S$86&lt;&gt;"","Data Source Error",""))))</f>
        <v/>
      </c>
      <c r="U141" s="147"/>
      <c r="V141" s="619"/>
      <c r="W141" s="975" t="str">
        <f ca="1">IF(OR($H$7&lt;6,W$133&lt;1),"",IF(V141&lt;&gt;"",V141,IFERROR(IF(INDIRECT("'"&amp;V$86&amp;"'!"&amp;VLOOKUP(V$87,'List Values'!$C$3:$D$6,2,FALSE)&amp;ROW(V141))="","",INDIRECT("'"&amp;V$86&amp;"'!"&amp;VLOOKUP(V$87,'List Values'!$C$3:$D$6,2,FALSE)&amp;ROW(V141))),IF(V$86&lt;&gt;"","Data Source Error",""))))</f>
        <v/>
      </c>
      <c r="Y141" s="2643"/>
      <c r="Z141" s="2644"/>
      <c r="AA141" s="2644"/>
      <c r="AB141" s="2645"/>
    </row>
    <row r="142" spans="1:28" ht="55.5" customHeight="1" outlineLevel="1">
      <c r="A142" s="252"/>
      <c r="B142" s="252"/>
      <c r="C142" s="2680" t="s">
        <v>5477</v>
      </c>
      <c r="D142" s="2680"/>
      <c r="E142" s="2062"/>
      <c r="F142" s="2062"/>
      <c r="G142" s="636"/>
      <c r="H142" s="637"/>
      <c r="I142" s="191"/>
      <c r="J142" s="619"/>
      <c r="K142" s="964">
        <f ca="1">IF(OR($H$7&lt;2,K$133&lt;1),"",IF(J142&lt;&gt;"",J142,IFERROR(IF(INDIRECT("'"&amp;J$86&amp;"'!"&amp;VLOOKUP(J$87,'List Values'!$C$3:$D$6,2,FALSE)&amp;ROW(J142))="","",INDIRECT("'"&amp;J$86&amp;"'!"&amp;VLOOKUP(J$87,'List Values'!$C$3:$D$6,2,FALSE)&amp;ROW(J142))),IF(J$86&lt;&gt;"","Data Source Error",""))))</f>
        <v>0</v>
      </c>
      <c r="L142" s="620"/>
      <c r="M142" s="619"/>
      <c r="N142" s="964">
        <f ca="1">IF(OR($H$7&lt;3,N$133&lt;1),"",IF(M142&lt;&gt;"",M142,IFERROR(IF(INDIRECT("'"&amp;M$86&amp;"'!"&amp;VLOOKUP(M$87,'List Values'!$C$3:$D$6,2,FALSE)&amp;ROW(M142))="","",INDIRECT("'"&amp;M$86&amp;"'!"&amp;VLOOKUP(M$87,'List Values'!$C$3:$D$6,2,FALSE)&amp;ROW(M142))),IF(M$86&lt;&gt;"","Data Source Error",""))))</f>
        <v>0</v>
      </c>
      <c r="O142" s="621"/>
      <c r="P142" s="619"/>
      <c r="Q142" s="971" t="str">
        <f ca="1">IF(OR($H$7&lt;4,Q$133&lt;1),"",IF(P142&lt;&gt;"",P142,IFERROR(IF(INDIRECT("'"&amp;P$86&amp;"'!"&amp;VLOOKUP(P$87,'List Values'!$C$3:$D$6,2,FALSE)&amp;ROW(P142))="","",INDIRECT("'"&amp;P$86&amp;"'!"&amp;VLOOKUP(P$87,'List Values'!$C$3:$D$6,2,FALSE)&amp;ROW(P142))),IF(P$86&lt;&gt;"","Data Source Error",""))))</f>
        <v/>
      </c>
      <c r="R142" s="147"/>
      <c r="S142" s="619"/>
      <c r="T142" s="971" t="str">
        <f ca="1">IF(OR($H$7&lt;5,T$133&lt;1),"",IF(S142&lt;&gt;"",S142,IFERROR(IF(INDIRECT("'"&amp;S$86&amp;"'!"&amp;VLOOKUP(S$87,'List Values'!$C$3:$D$6,2,FALSE)&amp;ROW(S142))="","",INDIRECT("'"&amp;S$86&amp;"'!"&amp;VLOOKUP(S$87,'List Values'!$C$3:$D$6,2,FALSE)&amp;ROW(S142))),IF(S$86&lt;&gt;"","Data Source Error",""))))</f>
        <v/>
      </c>
      <c r="U142" s="147"/>
      <c r="V142" s="619"/>
      <c r="W142" s="975" t="str">
        <f ca="1">IF(OR($H$7&lt;6,W$133&lt;1),"",IF(V142&lt;&gt;"",V142,IFERROR(IF(INDIRECT("'"&amp;V$86&amp;"'!"&amp;VLOOKUP(V$87,'List Values'!$C$3:$D$6,2,FALSE)&amp;ROW(V142))="","",INDIRECT("'"&amp;V$86&amp;"'!"&amp;VLOOKUP(V$87,'List Values'!$C$3:$D$6,2,FALSE)&amp;ROW(V142))),IF(V$86&lt;&gt;"","Data Source Error",""))))</f>
        <v/>
      </c>
      <c r="Y142" s="2643"/>
      <c r="Z142" s="2644"/>
      <c r="AA142" s="2644"/>
      <c r="AB142" s="2645"/>
    </row>
    <row r="143" spans="1:28" ht="33.75" customHeight="1" outlineLevel="1">
      <c r="A143" s="252"/>
      <c r="B143" s="252"/>
      <c r="C143" s="2680" t="s">
        <v>331</v>
      </c>
      <c r="D143" s="2680"/>
      <c r="E143" s="2062"/>
      <c r="F143" s="2062"/>
      <c r="G143" s="636"/>
      <c r="H143" s="637"/>
      <c r="I143" s="191"/>
      <c r="J143" s="526"/>
      <c r="K143" s="963" t="str">
        <f ca="1">IF(OR($H$7&lt;2,K$133&lt;1),"",IF(J143&lt;&gt;"",J143,IFERROR(IF(INDIRECT("'"&amp;J$86&amp;"'!"&amp;VLOOKUP(J$87,'List Values'!$C$3:$D$6,2,FALSE)&amp;ROW(J143))="","",INDIRECT("'"&amp;J$86&amp;"'!"&amp;VLOOKUP(J$87,'List Values'!$C$3:$D$6,2,FALSE)&amp;ROW(J143))),IF(J$86&lt;&gt;"","Data Source Error",""))))</f>
        <v>Point-to-point</v>
      </c>
      <c r="L143" s="191"/>
      <c r="M143" s="526"/>
      <c r="N143" s="963" t="str">
        <f ca="1">IF(OR($H$7&lt;3,N$133&lt;1),"",IF(M143&lt;&gt;"",M143,IFERROR(IF(INDIRECT("'"&amp;M$86&amp;"'!"&amp;VLOOKUP(M$87,'List Values'!$C$3:$D$6,2,FALSE)&amp;ROW(M143))="","",INDIRECT("'"&amp;M$86&amp;"'!"&amp;VLOOKUP(M$87,'List Values'!$C$3:$D$6,2,FALSE)&amp;ROW(M143))),IF(M$86&lt;&gt;"","Data Source Error",""))))</f>
        <v>Route-based</v>
      </c>
      <c r="O143" s="187"/>
      <c r="P143" s="523"/>
      <c r="Q143" s="900" t="str">
        <f ca="1">IF(OR($H$7&lt;4,Q$133&lt;1),"",IF(P143&lt;&gt;"",P143,IFERROR(IF(INDIRECT("'"&amp;P$86&amp;"'!"&amp;VLOOKUP(P$87,'List Values'!$C$3:$D$6,2,FALSE)&amp;ROW(P143))="","",INDIRECT("'"&amp;P$86&amp;"'!"&amp;VLOOKUP(P$87,'List Values'!$C$3:$D$6,2,FALSE)&amp;ROW(P143))),IF(P$86&lt;&gt;"","Data Source Error",""))))</f>
        <v/>
      </c>
      <c r="S143" s="523"/>
      <c r="T143" s="900" t="str">
        <f ca="1">IF(OR($H$7&lt;5,T$133&lt;1),"",IF(S143&lt;&gt;"",S143,IFERROR(IF(INDIRECT("'"&amp;S$86&amp;"'!"&amp;VLOOKUP(S$87,'List Values'!$C$3:$D$6,2,FALSE)&amp;ROW(S143))="","",INDIRECT("'"&amp;S$86&amp;"'!"&amp;VLOOKUP(S$87,'List Values'!$C$3:$D$6,2,FALSE)&amp;ROW(S143))),IF(S$86&lt;&gt;"","Data Source Error",""))))</f>
        <v/>
      </c>
      <c r="V143" s="523"/>
      <c r="W143" s="911" t="str">
        <f ca="1">IF(OR($H$7&lt;6,W$133&lt;1),"",IF(V143&lt;&gt;"",V143,IFERROR(IF(INDIRECT("'"&amp;V$86&amp;"'!"&amp;VLOOKUP(V$87,'List Values'!$C$3:$D$6,2,FALSE)&amp;ROW(V143))="","",INDIRECT("'"&amp;V$86&amp;"'!"&amp;VLOOKUP(V$87,'List Values'!$C$3:$D$6,2,FALSE)&amp;ROW(V143))),IF(V$86&lt;&gt;"","Data Source Error",""))))</f>
        <v/>
      </c>
      <c r="Y143" s="2643"/>
      <c r="Z143" s="2644"/>
      <c r="AA143" s="2644"/>
      <c r="AB143" s="2645"/>
    </row>
    <row r="144" spans="1:28" ht="18.75" customHeight="1" outlineLevel="1">
      <c r="A144" s="252"/>
      <c r="B144" s="252"/>
      <c r="C144" s="2684" t="s">
        <v>332</v>
      </c>
      <c r="D144" s="2684"/>
      <c r="E144" s="2062"/>
      <c r="F144" s="2062"/>
      <c r="G144" s="636"/>
      <c r="H144" s="637"/>
      <c r="I144" s="191"/>
      <c r="J144" s="580"/>
      <c r="K144" s="963">
        <f ca="1">IF(OR($H$7&lt;2,K$133&lt;1),"",IF(J144&lt;&gt;"",J144,IFERROR(IF(INDIRECT("'"&amp;J$86&amp;"'!"&amp;VLOOKUP(J$87,'List Values'!$C$3:$D$6,2,FALSE)&amp;ROW(J144))="","",INDIRECT("'"&amp;J$86&amp;"'!"&amp;VLOOKUP(J$87,'List Values'!$C$3:$D$6,2,FALSE)&amp;ROW(J144))),IF(J$86&lt;&gt;"","Data Source Error",""))))</f>
        <v>2</v>
      </c>
      <c r="L144" s="191"/>
      <c r="M144" s="580"/>
      <c r="N144" s="963">
        <f ca="1">IF(OR($H$7&lt;3,N$133&lt;1),"",IF(M144&lt;&gt;"",M144,IFERROR(IF(INDIRECT("'"&amp;M$86&amp;"'!"&amp;VLOOKUP(M$87,'List Values'!$C$3:$D$6,2,FALSE)&amp;ROW(M144))="","",INDIRECT("'"&amp;M$86&amp;"'!"&amp;VLOOKUP(M$87,'List Values'!$C$3:$D$6,2,FALSE)&amp;ROW(M144))),IF(M$86&lt;&gt;"","Data Source Error",""))))</f>
        <v>2</v>
      </c>
      <c r="O144" s="187"/>
      <c r="P144" s="528"/>
      <c r="Q144" s="900" t="str">
        <f ca="1">IF(OR($H$7&lt;4,Q$133&lt;1),"",IF(P144&lt;&gt;"",P144,IFERROR(IF(INDIRECT("'"&amp;P$86&amp;"'!"&amp;VLOOKUP(P$87,'List Values'!$C$3:$D$6,2,FALSE)&amp;ROW(P144))="","",INDIRECT("'"&amp;P$86&amp;"'!"&amp;VLOOKUP(P$87,'List Values'!$C$3:$D$6,2,FALSE)&amp;ROW(P144))),IF(P$86&lt;&gt;"","Data Source Error",""))))</f>
        <v/>
      </c>
      <c r="S144" s="528"/>
      <c r="T144" s="900" t="str">
        <f ca="1">IF(OR($H$7&lt;5,T$133&lt;1),"",IF(S144&lt;&gt;"",S144,IFERROR(IF(INDIRECT("'"&amp;S$86&amp;"'!"&amp;VLOOKUP(S$87,'List Values'!$C$3:$D$6,2,FALSE)&amp;ROW(S144))="","",INDIRECT("'"&amp;S$86&amp;"'!"&amp;VLOOKUP(S$87,'List Values'!$C$3:$D$6,2,FALSE)&amp;ROW(S144))),IF(S$86&lt;&gt;"","Data Source Error",""))))</f>
        <v/>
      </c>
      <c r="V144" s="528"/>
      <c r="W144" s="911" t="str">
        <f ca="1">IF(OR($H$7&lt;6,W$133&lt;1),"",IF(V144&lt;&gt;"",V144,IFERROR(IF(INDIRECT("'"&amp;V$86&amp;"'!"&amp;VLOOKUP(V$87,'List Values'!$C$3:$D$6,2,FALSE)&amp;ROW(V144))="","",INDIRECT("'"&amp;V$86&amp;"'!"&amp;VLOOKUP(V$87,'List Values'!$C$3:$D$6,2,FALSE)&amp;ROW(V144))),IF(V$86&lt;&gt;"","Data Source Error",""))))</f>
        <v/>
      </c>
      <c r="Y144" s="2643"/>
      <c r="Z144" s="2644"/>
      <c r="AA144" s="2644"/>
      <c r="AB144" s="2645"/>
    </row>
    <row r="145" spans="1:28" ht="30" customHeight="1" outlineLevel="1">
      <c r="A145" s="252"/>
      <c r="B145" s="252"/>
      <c r="C145" s="2680" t="s">
        <v>2519</v>
      </c>
      <c r="D145" s="2680"/>
      <c r="E145" s="2062"/>
      <c r="F145" s="2062"/>
      <c r="G145" s="636"/>
      <c r="H145" s="637"/>
      <c r="I145" s="191"/>
      <c r="J145" s="580"/>
      <c r="K145" s="963" t="str">
        <f ca="1">IF(OR($H$7&lt;2,K$133&lt;1),"",IF(J145&lt;&gt;"",J145,IFERROR(IF(INDIRECT("'"&amp;J$86&amp;"'!"&amp;VLOOKUP(J$87,'List Values'!$C$3:$D$6,2,FALSE)&amp;ROW(J145))="","",INDIRECT("'"&amp;J$86&amp;"'!"&amp;VLOOKUP(J$87,'List Values'!$C$3:$D$6,2,FALSE)&amp;ROW(J145))),IF(J$86&lt;&gt;"","Data Source Error",""))))</f>
        <v>Transport team - Driver</v>
      </c>
      <c r="L145" s="191"/>
      <c r="M145" s="580"/>
      <c r="N145" s="963" t="str">
        <f ca="1">IF(OR($H$7&lt;3,N$133&lt;1),"",IF(M145&lt;&gt;"",M145,IFERROR(IF(INDIRECT("'"&amp;M$86&amp;"'!"&amp;VLOOKUP(M$87,'List Values'!$C$3:$D$6,2,FALSE)&amp;ROW(M145))="","",INDIRECT("'"&amp;M$86&amp;"'!"&amp;VLOOKUP(M$87,'List Values'!$C$3:$D$6,2,FALSE)&amp;ROW(M145))),IF(M$86&lt;&gt;"","Data Source Error",""))))</f>
        <v>Transport team - Driver</v>
      </c>
      <c r="O145" s="187"/>
      <c r="P145" s="528"/>
      <c r="Q145" s="900" t="str">
        <f ca="1">IF(OR($H$7&lt;4,Q$133&lt;1),"",IF(P145&lt;&gt;"",P145,IFERROR(IF(INDIRECT("'"&amp;P$86&amp;"'!"&amp;VLOOKUP(P$87,'List Values'!$C$3:$D$6,2,FALSE)&amp;ROW(P145))="","",INDIRECT("'"&amp;P$86&amp;"'!"&amp;VLOOKUP(P$87,'List Values'!$C$3:$D$6,2,FALSE)&amp;ROW(P145))),IF(P$86&lt;&gt;"","Data Source Error",""))))</f>
        <v/>
      </c>
      <c r="S145" s="528"/>
      <c r="T145" s="900" t="str">
        <f ca="1">IF(OR($H$7&lt;5,T$133&lt;1),"",IF(S145&lt;&gt;"",S145,IFERROR(IF(INDIRECT("'"&amp;S$86&amp;"'!"&amp;VLOOKUP(S$87,'List Values'!$C$3:$D$6,2,FALSE)&amp;ROW(S145))="","",INDIRECT("'"&amp;S$86&amp;"'!"&amp;VLOOKUP(S$87,'List Values'!$C$3:$D$6,2,FALSE)&amp;ROW(S145))),IF(S$86&lt;&gt;"","Data Source Error",""))))</f>
        <v/>
      </c>
      <c r="V145" s="528"/>
      <c r="W145" s="911" t="str">
        <f ca="1">IF(OR($H$7&lt;6,W$133&lt;1),"",IF(V145&lt;&gt;"",V145,IFERROR(IF(INDIRECT("'"&amp;V$86&amp;"'!"&amp;VLOOKUP(V$87,'List Values'!$C$3:$D$6,2,FALSE)&amp;ROW(V145))="","",INDIRECT("'"&amp;V$86&amp;"'!"&amp;VLOOKUP(V$87,'List Values'!$C$3:$D$6,2,FALSE)&amp;ROW(V145))),IF(V$86&lt;&gt;"","Data Source Error",""))))</f>
        <v/>
      </c>
      <c r="Y145" s="2643"/>
      <c r="Z145" s="2644"/>
      <c r="AA145" s="2644"/>
      <c r="AB145" s="2645"/>
    </row>
    <row r="146" spans="1:28" ht="36" customHeight="1" outlineLevel="1">
      <c r="A146" s="252"/>
      <c r="B146" s="252"/>
      <c r="C146" s="2680" t="s">
        <v>5474</v>
      </c>
      <c r="D146" s="2680"/>
      <c r="E146" s="2062"/>
      <c r="F146" s="2062"/>
      <c r="G146" s="636"/>
      <c r="H146" s="637"/>
      <c r="I146" s="191"/>
      <c r="J146" s="580"/>
      <c r="K146" s="963">
        <f ca="1">IF(OR($H$7&lt;2,K$133&lt;1),"",IF(J146&lt;&gt;"",J146,IFERROR(IF(INDIRECT("'"&amp;J$86&amp;"'!"&amp;VLOOKUP(J$87,'List Values'!$C$3:$D$6,2,FALSE)&amp;ROW(J146))="","",INDIRECT("'"&amp;J$86&amp;"'!"&amp;VLOOKUP(J$87,'List Values'!$C$3:$D$6,2,FALSE)&amp;ROW(J146))),IF(J$86&lt;&gt;"","Data Source Error",""))))</f>
        <v>0</v>
      </c>
      <c r="L146" s="191"/>
      <c r="M146" s="580"/>
      <c r="N146" s="963">
        <f ca="1">IF(OR($H$7&lt;3,N$133&lt;1),"",IF(M146&lt;&gt;"",M146,IFERROR(IF(INDIRECT("'"&amp;M$86&amp;"'!"&amp;VLOOKUP(M$87,'List Values'!$C$3:$D$6,2,FALSE)&amp;ROW(M146))="","",INDIRECT("'"&amp;M$86&amp;"'!"&amp;VLOOKUP(M$87,'List Values'!$C$3:$D$6,2,FALSE)&amp;ROW(M146))),IF(M$86&lt;&gt;"","Data Source Error",""))))</f>
        <v>0</v>
      </c>
      <c r="O146" s="187"/>
      <c r="P146" s="528"/>
      <c r="Q146" s="900" t="str">
        <f ca="1">IF(OR($H$7&lt;4,Q$133&lt;1),"",IF(P146&lt;&gt;"",P146,IFERROR(IF(INDIRECT("'"&amp;P$86&amp;"'!"&amp;VLOOKUP(P$87,'List Values'!$C$3:$D$6,2,FALSE)&amp;ROW(P146))="","",INDIRECT("'"&amp;P$86&amp;"'!"&amp;VLOOKUP(P$87,'List Values'!$C$3:$D$6,2,FALSE)&amp;ROW(P146))),IF(P$86&lt;&gt;"","Data Source Error",""))))</f>
        <v/>
      </c>
      <c r="S146" s="528"/>
      <c r="T146" s="900" t="str">
        <f ca="1">IF(OR($H$7&lt;5,T$133&lt;1),"",IF(S146&lt;&gt;"",S146,IFERROR(IF(INDIRECT("'"&amp;S$86&amp;"'!"&amp;VLOOKUP(S$87,'List Values'!$C$3:$D$6,2,FALSE)&amp;ROW(S146))="","",INDIRECT("'"&amp;S$86&amp;"'!"&amp;VLOOKUP(S$87,'List Values'!$C$3:$D$6,2,FALSE)&amp;ROW(S146))),IF(S$86&lt;&gt;"","Data Source Error",""))))</f>
        <v/>
      </c>
      <c r="V146" s="528"/>
      <c r="W146" s="911" t="str">
        <f ca="1">IF(OR($H$7&lt;6,W$133&lt;1),"",IF(V146&lt;&gt;"",V146,IFERROR(IF(INDIRECT("'"&amp;V$86&amp;"'!"&amp;VLOOKUP(V$87,'List Values'!$C$3:$D$6,2,FALSE)&amp;ROW(V146))="","",INDIRECT("'"&amp;V$86&amp;"'!"&amp;VLOOKUP(V$87,'List Values'!$C$3:$D$6,2,FALSE)&amp;ROW(V146))),IF(V$86&lt;&gt;"","Data Source Error",""))))</f>
        <v/>
      </c>
      <c r="Y146" s="2643"/>
      <c r="Z146" s="2644"/>
      <c r="AA146" s="2644"/>
      <c r="AB146" s="2645"/>
    </row>
    <row r="147" spans="1:28" ht="28.5" customHeight="1" outlineLevel="1">
      <c r="A147" s="252"/>
      <c r="B147" s="252"/>
      <c r="C147" s="2684" t="s">
        <v>5475</v>
      </c>
      <c r="D147" s="2684"/>
      <c r="E147" s="2062"/>
      <c r="F147" s="2062"/>
      <c r="G147" s="636"/>
      <c r="H147" s="637"/>
      <c r="I147" s="191"/>
      <c r="J147" s="580"/>
      <c r="K147" s="963" t="str">
        <f ca="1">IF(OR($H$7&lt;2,K$133&lt;1),"",IF(J147&lt;&gt;"",J147,IFERROR(IF(INDIRECT("'"&amp;J$86&amp;"'!"&amp;VLOOKUP(J$87,'List Values'!$C$3:$D$6,2,FALSE)&amp;ROW(J147))="","",INDIRECT("'"&amp;J$86&amp;"'!"&amp;VLOOKUP(J$87,'List Values'!$C$3:$D$6,2,FALSE)&amp;ROW(J147))),IF(J$86&lt;&gt;"","Data Source Error",""))))</f>
        <v/>
      </c>
      <c r="L147" s="191"/>
      <c r="M147" s="580"/>
      <c r="N147" s="963" t="str">
        <f ca="1">IF(OR($H$7&lt;3,N$133&lt;1),"",IF(M147&lt;&gt;"",M147,IFERROR(IF(INDIRECT("'"&amp;M$86&amp;"'!"&amp;VLOOKUP(M$87,'List Values'!$C$3:$D$6,2,FALSE)&amp;ROW(M147))="","",INDIRECT("'"&amp;M$86&amp;"'!"&amp;VLOOKUP(M$87,'List Values'!$C$3:$D$6,2,FALSE)&amp;ROW(M147))),IF(M$86&lt;&gt;"","Data Source Error",""))))</f>
        <v/>
      </c>
      <c r="O147" s="187"/>
      <c r="P147" s="528"/>
      <c r="Q147" s="900" t="str">
        <f ca="1">IF(OR($H$7&lt;4,Q$133&lt;1),"",IF(P147&lt;&gt;"",P147,IFERROR(IF(INDIRECT("'"&amp;P$86&amp;"'!"&amp;VLOOKUP(P$87,'List Values'!$C$3:$D$6,2,FALSE)&amp;ROW(P147))="","",INDIRECT("'"&amp;P$86&amp;"'!"&amp;VLOOKUP(P$87,'List Values'!$C$3:$D$6,2,FALSE)&amp;ROW(P147))),IF(P$86&lt;&gt;"","Data Source Error",""))))</f>
        <v/>
      </c>
      <c r="S147" s="528"/>
      <c r="T147" s="900" t="str">
        <f ca="1">IF(OR($H$7&lt;5,T$133&lt;1),"",IF(S147&lt;&gt;"",S147,IFERROR(IF(INDIRECT("'"&amp;S$86&amp;"'!"&amp;VLOOKUP(S$87,'List Values'!$C$3:$D$6,2,FALSE)&amp;ROW(S147))="","",INDIRECT("'"&amp;S$86&amp;"'!"&amp;VLOOKUP(S$87,'List Values'!$C$3:$D$6,2,FALSE)&amp;ROW(S147))),IF(S$86&lt;&gt;"","Data Source Error",""))))</f>
        <v/>
      </c>
      <c r="V147" s="528"/>
      <c r="W147" s="911" t="str">
        <f ca="1">IF(OR($H$7&lt;6,W$133&lt;1),"",IF(V147&lt;&gt;"",V147,IFERROR(IF(INDIRECT("'"&amp;V$86&amp;"'!"&amp;VLOOKUP(V$87,'List Values'!$C$3:$D$6,2,FALSE)&amp;ROW(V147))="","",INDIRECT("'"&amp;V$86&amp;"'!"&amp;VLOOKUP(V$87,'List Values'!$C$3:$D$6,2,FALSE)&amp;ROW(V147))),IF(V$86&lt;&gt;"","Data Source Error",""))))</f>
        <v/>
      </c>
      <c r="Y147" s="2643"/>
      <c r="Z147" s="2644"/>
      <c r="AA147" s="2644"/>
      <c r="AB147" s="2645"/>
    </row>
    <row r="148" spans="1:28" ht="37.5" customHeight="1" outlineLevel="1">
      <c r="A148" s="252"/>
      <c r="B148" s="252"/>
      <c r="C148" s="2680" t="s">
        <v>5478</v>
      </c>
      <c r="D148" s="2680"/>
      <c r="E148" s="2062"/>
      <c r="F148" s="2062"/>
      <c r="G148" s="636"/>
      <c r="H148" s="637"/>
      <c r="I148" s="191"/>
      <c r="J148" s="580"/>
      <c r="K148" s="963">
        <f ca="1">IF(OR($H$7&lt;2,K$133&lt;1),"",IF(J148&lt;&gt;"",J148,IFERROR(IF(INDIRECT("'"&amp;J$86&amp;"'!"&amp;VLOOKUP(J$87,'List Values'!$C$3:$D$6,2,FALSE)&amp;ROW(J148))="","",INDIRECT("'"&amp;J$86&amp;"'!"&amp;VLOOKUP(J$87,'List Values'!$C$3:$D$6,2,FALSE)&amp;ROW(J148))),IF(J$86&lt;&gt;"","Data Source Error",""))))</f>
        <v>60</v>
      </c>
      <c r="L148" s="191"/>
      <c r="M148" s="580"/>
      <c r="N148" s="963">
        <f ca="1">IF(OR($H$7&lt;3,N$133&lt;1),"",IF(M148&lt;&gt;"",M148,IFERROR(IF(INDIRECT("'"&amp;M$86&amp;"'!"&amp;VLOOKUP(M$87,'List Values'!$C$3:$D$6,2,FALSE)&amp;ROW(M148))="","",INDIRECT("'"&amp;M$86&amp;"'!"&amp;VLOOKUP(M$87,'List Values'!$C$3:$D$6,2,FALSE)&amp;ROW(M148))),IF(M$86&lt;&gt;"","Data Source Error",""))))</f>
        <v>20</v>
      </c>
      <c r="O148" s="187"/>
      <c r="P148" s="528"/>
      <c r="Q148" s="900" t="str">
        <f ca="1">IF(OR($H$7&lt;4,Q$133&lt;1),"",IF(P148&lt;&gt;"",P148,IFERROR(IF(INDIRECT("'"&amp;P$86&amp;"'!"&amp;VLOOKUP(P$87,'List Values'!$C$3:$D$6,2,FALSE)&amp;ROW(P148))="","",INDIRECT("'"&amp;P$86&amp;"'!"&amp;VLOOKUP(P$87,'List Values'!$C$3:$D$6,2,FALSE)&amp;ROW(P148))),IF(P$86&lt;&gt;"","Data Source Error",""))))</f>
        <v/>
      </c>
      <c r="S148" s="528"/>
      <c r="T148" s="900" t="str">
        <f ca="1">IF(OR($H$7&lt;5,T$133&lt;1),"",IF(S148&lt;&gt;"",S148,IFERROR(IF(INDIRECT("'"&amp;S$86&amp;"'!"&amp;VLOOKUP(S$87,'List Values'!$C$3:$D$6,2,FALSE)&amp;ROW(S148))="","",INDIRECT("'"&amp;S$86&amp;"'!"&amp;VLOOKUP(S$87,'List Values'!$C$3:$D$6,2,FALSE)&amp;ROW(S148))),IF(S$86&lt;&gt;"","Data Source Error",""))))</f>
        <v/>
      </c>
      <c r="V148" s="528"/>
      <c r="W148" s="911" t="str">
        <f ca="1">IF(OR($H$7&lt;6,W$133&lt;1),"",IF(V148&lt;&gt;"",V148,IFERROR(IF(INDIRECT("'"&amp;V$86&amp;"'!"&amp;VLOOKUP(V$87,'List Values'!$C$3:$D$6,2,FALSE)&amp;ROW(V148))="","",INDIRECT("'"&amp;V$86&amp;"'!"&amp;VLOOKUP(V$87,'List Values'!$C$3:$D$6,2,FALSE)&amp;ROW(V148))),IF(V$86&lt;&gt;"","Data Source Error",""))))</f>
        <v/>
      </c>
      <c r="Y148" s="2643"/>
      <c r="Z148" s="2644"/>
      <c r="AA148" s="2644"/>
      <c r="AB148" s="2645"/>
    </row>
    <row r="149" spans="1:28" ht="56.25" customHeight="1" outlineLevel="1">
      <c r="A149" s="252"/>
      <c r="B149" s="252"/>
      <c r="C149" s="2680" t="s">
        <v>5479</v>
      </c>
      <c r="D149" s="2680"/>
      <c r="E149" s="2062"/>
      <c r="F149" s="2062"/>
      <c r="G149" s="636"/>
      <c r="H149" s="637"/>
      <c r="I149" s="191"/>
      <c r="J149" s="580"/>
      <c r="K149" s="963">
        <f ca="1">IF(OR($H$7&lt;2,K$133&lt;1),"",IF(J149&lt;&gt;"",J149,IFERROR(IF(INDIRECT("'"&amp;J$86&amp;"'!"&amp;VLOOKUP(J$87,'List Values'!$C$3:$D$6,2,FALSE)&amp;ROW(J149))="","",INDIRECT("'"&amp;J$86&amp;"'!"&amp;VLOOKUP(J$87,'List Values'!$C$3:$D$6,2,FALSE)&amp;ROW(J149))),IF(J$86&lt;&gt;"","Data Source Error",""))))</f>
        <v>0</v>
      </c>
      <c r="L149" s="191"/>
      <c r="M149" s="580"/>
      <c r="N149" s="963">
        <f ca="1">IF(OR($H$7&lt;3,N$133&lt;1),"",IF(M149&lt;&gt;"",M149,IFERROR(IF(INDIRECT("'"&amp;M$86&amp;"'!"&amp;VLOOKUP(M$87,'List Values'!$C$3:$D$6,2,FALSE)&amp;ROW(M149))="","",INDIRECT("'"&amp;M$86&amp;"'!"&amp;VLOOKUP(M$87,'List Values'!$C$3:$D$6,2,FALSE)&amp;ROW(M149))),IF(M$86&lt;&gt;"","Data Source Error",""))))</f>
        <v>0</v>
      </c>
      <c r="O149" s="187"/>
      <c r="P149" s="528"/>
      <c r="Q149" s="900" t="str">
        <f ca="1">IF(OR($H$7&lt;4,Q$133&lt;1),"",IF(P149&lt;&gt;"",P149,IFERROR(IF(INDIRECT("'"&amp;P$86&amp;"'!"&amp;VLOOKUP(P$87,'List Values'!$C$3:$D$6,2,FALSE)&amp;ROW(P149))="","",INDIRECT("'"&amp;P$86&amp;"'!"&amp;VLOOKUP(P$87,'List Values'!$C$3:$D$6,2,FALSE)&amp;ROW(P149))),IF(P$86&lt;&gt;"","Data Source Error",""))))</f>
        <v/>
      </c>
      <c r="S149" s="528"/>
      <c r="T149" s="900" t="str">
        <f ca="1">IF(OR($H$7&lt;5,T$133&lt;1),"",IF(S149&lt;&gt;"",S149,IFERROR(IF(INDIRECT("'"&amp;S$86&amp;"'!"&amp;VLOOKUP(S$87,'List Values'!$C$3:$D$6,2,FALSE)&amp;ROW(S149))="","",INDIRECT("'"&amp;S$86&amp;"'!"&amp;VLOOKUP(S$87,'List Values'!$C$3:$D$6,2,FALSE)&amp;ROW(S149))),IF(S$86&lt;&gt;"","Data Source Error",""))))</f>
        <v/>
      </c>
      <c r="V149" s="528"/>
      <c r="W149" s="911" t="str">
        <f ca="1">IF(OR($H$7&lt;6,W$133&lt;1),"",IF(V149&lt;&gt;"",V149,IFERROR(IF(INDIRECT("'"&amp;V$86&amp;"'!"&amp;VLOOKUP(V$87,'List Values'!$C$3:$D$6,2,FALSE)&amp;ROW(V149))="","",INDIRECT("'"&amp;V$86&amp;"'!"&amp;VLOOKUP(V$87,'List Values'!$C$3:$D$6,2,FALSE)&amp;ROW(V149))),IF(V$86&lt;&gt;"","Data Source Error",""))))</f>
        <v/>
      </c>
      <c r="Y149" s="2643"/>
      <c r="Z149" s="2644"/>
      <c r="AA149" s="2644"/>
      <c r="AB149" s="2645"/>
    </row>
    <row r="150" spans="1:28" ht="51.75" customHeight="1" outlineLevel="1">
      <c r="A150" s="252"/>
      <c r="B150" s="252"/>
      <c r="C150" s="2680" t="s">
        <v>5480</v>
      </c>
      <c r="D150" s="2680"/>
      <c r="E150" s="2062"/>
      <c r="F150" s="2062"/>
      <c r="G150" s="636"/>
      <c r="H150" s="637"/>
      <c r="I150" s="191"/>
      <c r="J150" s="580"/>
      <c r="K150" s="963">
        <f ca="1">IF(OR($H$7&lt;2,K$133&lt;1),"",IF(J150&lt;&gt;"",J150,IFERROR(IF(INDIRECT("'"&amp;J$86&amp;"'!"&amp;VLOOKUP(J$87,'List Values'!$C$3:$D$6,2,FALSE)&amp;ROW(J150))="","",INDIRECT("'"&amp;J$86&amp;"'!"&amp;VLOOKUP(J$87,'List Values'!$C$3:$D$6,2,FALSE)&amp;ROW(J150))),IF(J$86&lt;&gt;"","Data Source Error",""))))</f>
        <v>0</v>
      </c>
      <c r="L150" s="191"/>
      <c r="M150" s="580"/>
      <c r="N150" s="963">
        <f ca="1">IF(OR($H$7&lt;3,N$133&lt;1),"",IF(M150&lt;&gt;"",M150,IFERROR(IF(INDIRECT("'"&amp;M$86&amp;"'!"&amp;VLOOKUP(M$87,'List Values'!$C$3:$D$6,2,FALSE)&amp;ROW(M150))="","",INDIRECT("'"&amp;M$86&amp;"'!"&amp;VLOOKUP(M$87,'List Values'!$C$3:$D$6,2,FALSE)&amp;ROW(M150))),IF(M$86&lt;&gt;"","Data Source Error",""))))</f>
        <v>0</v>
      </c>
      <c r="O150" s="187"/>
      <c r="P150" s="528"/>
      <c r="Q150" s="900" t="str">
        <f ca="1">IF(OR($H$7&lt;4,Q$133&lt;1),"",IF(P150&lt;&gt;"",P150,IFERROR(IF(INDIRECT("'"&amp;P$86&amp;"'!"&amp;VLOOKUP(P$87,'List Values'!$C$3:$D$6,2,FALSE)&amp;ROW(P150))="","",INDIRECT("'"&amp;P$86&amp;"'!"&amp;VLOOKUP(P$87,'List Values'!$C$3:$D$6,2,FALSE)&amp;ROW(P150))),IF(P$86&lt;&gt;"","Data Source Error",""))))</f>
        <v/>
      </c>
      <c r="S150" s="528"/>
      <c r="T150" s="900" t="str">
        <f ca="1">IF(OR($H$7&lt;5,T$133&lt;1),"",IF(S150&lt;&gt;"",S150,IFERROR(IF(INDIRECT("'"&amp;S$86&amp;"'!"&amp;VLOOKUP(S$87,'List Values'!$C$3:$D$6,2,FALSE)&amp;ROW(S150))="","",INDIRECT("'"&amp;S$86&amp;"'!"&amp;VLOOKUP(S$87,'List Values'!$C$3:$D$6,2,FALSE)&amp;ROW(S150))),IF(S$86&lt;&gt;"","Data Source Error",""))))</f>
        <v/>
      </c>
      <c r="V150" s="528"/>
      <c r="W150" s="911" t="str">
        <f ca="1">IF(OR($H$7&lt;6,W$133&lt;1),"",IF(V150&lt;&gt;"",V150,IFERROR(IF(INDIRECT("'"&amp;V$86&amp;"'!"&amp;VLOOKUP(V$87,'List Values'!$C$3:$D$6,2,FALSE)&amp;ROW(V150))="","",INDIRECT("'"&amp;V$86&amp;"'!"&amp;VLOOKUP(V$87,'List Values'!$C$3:$D$6,2,FALSE)&amp;ROW(V150))),IF(V$86&lt;&gt;"","Data Source Error",""))))</f>
        <v/>
      </c>
      <c r="Y150" s="2643"/>
      <c r="Z150" s="2644"/>
      <c r="AA150" s="2644"/>
      <c r="AB150" s="2645"/>
    </row>
    <row r="151" spans="1:28" ht="18.75" customHeight="1" outlineLevel="1">
      <c r="A151" s="252"/>
      <c r="B151" s="252"/>
      <c r="C151" s="2680" t="s">
        <v>648</v>
      </c>
      <c r="D151" s="2680"/>
      <c r="E151" s="2062"/>
      <c r="F151" s="2062"/>
      <c r="G151" s="636"/>
      <c r="H151" s="637"/>
      <c r="I151" s="191"/>
      <c r="J151" s="580"/>
      <c r="K151" s="963">
        <f ca="1">IF(OR($H$7&lt;2,K$133&lt;1),"",IF(J151&lt;&gt;"",J151,IFERROR(IF(INDIRECT("'"&amp;J$86&amp;"'!"&amp;VLOOKUP(J$87,'List Values'!$C$3:$D$6,2,FALSE)&amp;ROW(J151))="","",INDIRECT("'"&amp;J$86&amp;"'!"&amp;VLOOKUP(J$87,'List Values'!$C$3:$D$6,2,FALSE)&amp;ROW(J151))),IF(J$86&lt;&gt;"","Data Source Error",""))))</f>
        <v>100</v>
      </c>
      <c r="L151" s="191"/>
      <c r="M151" s="580"/>
      <c r="N151" s="963">
        <f ca="1">IF(OR($H$7&lt;3,N$133&lt;1),"",IF(M151&lt;&gt;"",M151,IFERROR(IF(INDIRECT("'"&amp;M$86&amp;"'!"&amp;VLOOKUP(M$87,'List Values'!$C$3:$D$6,2,FALSE)&amp;ROW(M151))="","",INDIRECT("'"&amp;M$86&amp;"'!"&amp;VLOOKUP(M$87,'List Values'!$C$3:$D$6,2,FALSE)&amp;ROW(M151))),IF(M$86&lt;&gt;"","Data Source Error",""))))</f>
        <v>25</v>
      </c>
      <c r="O151" s="187"/>
      <c r="P151" s="528"/>
      <c r="Q151" s="900" t="str">
        <f ca="1">IF(OR($H$7&lt;4,Q$133&lt;1),"",IF(P151&lt;&gt;"",P151,IFERROR(IF(INDIRECT("'"&amp;P$86&amp;"'!"&amp;VLOOKUP(P$87,'List Values'!$C$3:$D$6,2,FALSE)&amp;ROW(P151))="","",INDIRECT("'"&amp;P$86&amp;"'!"&amp;VLOOKUP(P$87,'List Values'!$C$3:$D$6,2,FALSE)&amp;ROW(P151))),IF(P$86&lt;&gt;"","Data Source Error",""))))</f>
        <v/>
      </c>
      <c r="S151" s="528"/>
      <c r="T151" s="900" t="str">
        <f ca="1">IF(OR($H$7&lt;5,T$133&lt;1),"",IF(S151&lt;&gt;"",S151,IFERROR(IF(INDIRECT("'"&amp;S$86&amp;"'!"&amp;VLOOKUP(S$87,'List Values'!$C$3:$D$6,2,FALSE)&amp;ROW(S151))="","",INDIRECT("'"&amp;S$86&amp;"'!"&amp;VLOOKUP(S$87,'List Values'!$C$3:$D$6,2,FALSE)&amp;ROW(S151))),IF(S$86&lt;&gt;"","Data Source Error",""))))</f>
        <v/>
      </c>
      <c r="V151" s="528"/>
      <c r="W151" s="911" t="str">
        <f ca="1">IF(OR($H$7&lt;6,W$133&lt;1),"",IF(V151&lt;&gt;"",V151,IFERROR(IF(INDIRECT("'"&amp;V$86&amp;"'!"&amp;VLOOKUP(V$87,'List Values'!$C$3:$D$6,2,FALSE)&amp;ROW(V151))="","",INDIRECT("'"&amp;V$86&amp;"'!"&amp;VLOOKUP(V$87,'List Values'!$C$3:$D$6,2,FALSE)&amp;ROW(V151))),IF(V$86&lt;&gt;"","Data Source Error",""))))</f>
        <v/>
      </c>
      <c r="Y151" s="2643"/>
      <c r="Z151" s="2644"/>
      <c r="AA151" s="2644"/>
      <c r="AB151" s="2645"/>
    </row>
    <row r="152" spans="1:28" ht="33.75" customHeight="1" outlineLevel="1" thickBot="1">
      <c r="A152" s="252"/>
      <c r="B152" s="252"/>
      <c r="C152" s="2680" t="s">
        <v>649</v>
      </c>
      <c r="D152" s="2680"/>
      <c r="E152" s="2062"/>
      <c r="F152" s="2062"/>
      <c r="G152" s="636"/>
      <c r="H152" s="637"/>
      <c r="I152" s="239"/>
      <c r="J152" s="624"/>
      <c r="K152" s="965">
        <f ca="1">IF(OR($H$7&lt;2,K$133&lt;1),"",IF(J152&lt;&gt;"",J152,IFERROR(IF(INDIRECT("'"&amp;J$86&amp;"'!"&amp;VLOOKUP(J$87,'List Values'!$C$3:$D$6,2,FALSE)&amp;ROW(J152))="","",INDIRECT("'"&amp;J$86&amp;"'!"&amp;VLOOKUP(J$87,'List Values'!$C$3:$D$6,2,FALSE)&amp;ROW(J152))),IF(J$86&lt;&gt;"","Data Source Error",""))))</f>
        <v>100</v>
      </c>
      <c r="L152" s="239"/>
      <c r="M152" s="624"/>
      <c r="N152" s="965">
        <f ca="1">IF(OR($H$7&lt;3,N$133&lt;1),"",IF(M152&lt;&gt;"",M152,IFERROR(IF(INDIRECT("'"&amp;M$86&amp;"'!"&amp;VLOOKUP(M$87,'List Values'!$C$3:$D$6,2,FALSE)&amp;ROW(M152))="","",INDIRECT("'"&amp;M$86&amp;"'!"&amp;VLOOKUP(M$87,'List Values'!$C$3:$D$6,2,FALSE)&amp;ROW(M152))),IF(M$86&lt;&gt;"","Data Source Error",""))))</f>
        <v>100</v>
      </c>
      <c r="O152" s="625"/>
      <c r="P152" s="528"/>
      <c r="Q152" s="900" t="str">
        <f ca="1">IF(OR($H$7&lt;4,Q$133&lt;1),"",IF(P152&lt;&gt;"",P152,IFERROR(IF(INDIRECT("'"&amp;P$86&amp;"'!"&amp;VLOOKUP(P$87,'List Values'!$C$3:$D$6,2,FALSE)&amp;ROW(P152))="","",INDIRECT("'"&amp;P$86&amp;"'!"&amp;VLOOKUP(P$87,'List Values'!$C$3:$D$6,2,FALSE)&amp;ROW(P152))),IF(P$86&lt;&gt;"","Data Source Error",""))))</f>
        <v/>
      </c>
      <c r="S152" s="528"/>
      <c r="T152" s="900" t="str">
        <f ca="1">IF(OR($H$7&lt;5,T$133&lt;1),"",IF(S152&lt;&gt;"",S152,IFERROR(IF(INDIRECT("'"&amp;S$86&amp;"'!"&amp;VLOOKUP(S$87,'List Values'!$C$3:$D$6,2,FALSE)&amp;ROW(S152))="","",INDIRECT("'"&amp;S$86&amp;"'!"&amp;VLOOKUP(S$87,'List Values'!$C$3:$D$6,2,FALSE)&amp;ROW(S152))),IF(S$86&lt;&gt;"","Data Source Error",""))))</f>
        <v/>
      </c>
      <c r="V152" s="528"/>
      <c r="W152" s="911" t="str">
        <f ca="1">IF(OR($H$7&lt;6,W$133&lt;1),"",IF(V152&lt;&gt;"",V152,IFERROR(IF(INDIRECT("'"&amp;V$86&amp;"'!"&amp;VLOOKUP(V$87,'List Values'!$C$3:$D$6,2,FALSE)&amp;ROW(V152))="","",INDIRECT("'"&amp;V$86&amp;"'!"&amp;VLOOKUP(V$87,'List Values'!$C$3:$D$6,2,FALSE)&amp;ROW(V152))),IF(V$86&lt;&gt;"","Data Source Error",""))))</f>
        <v/>
      </c>
      <c r="Y152" s="2643"/>
      <c r="Z152" s="2644"/>
      <c r="AA152" s="2644"/>
      <c r="AB152" s="2645"/>
    </row>
    <row r="153" spans="1:28" ht="33.75" customHeight="1" outlineLevel="1">
      <c r="A153" s="237"/>
      <c r="B153" s="252"/>
      <c r="C153" s="2680" t="s">
        <v>415</v>
      </c>
      <c r="D153" s="2680"/>
      <c r="E153" s="238"/>
      <c r="F153" s="238"/>
      <c r="G153" s="638"/>
      <c r="H153" s="639"/>
      <c r="I153" s="52"/>
      <c r="J153" s="583"/>
      <c r="K153" s="965" t="str">
        <f ca="1">IF(OR($H$7&lt;2,K$133&lt;1),"",IF(J153&lt;&gt;"",J153,IFERROR(IF(INDIRECT("'"&amp;J$86&amp;"'!"&amp;VLOOKUP(J$87,'List Values'!$C$3:$D$6,2,FALSE)&amp;ROW(J153))="","",INDIRECT("'"&amp;J$86&amp;"'!"&amp;VLOOKUP(J$87,'List Values'!$C$3:$D$6,2,FALSE)&amp;ROW(J153))),IF(J$86&lt;&gt;"","Data Source Error",""))))</f>
        <v>No</v>
      </c>
      <c r="L153" s="52"/>
      <c r="M153" s="583"/>
      <c r="N153" s="965" t="str">
        <f ca="1">IF(OR($H$7&lt;3,N$133&lt;1),"",IF(M153&lt;&gt;"",M153,IFERROR(IF(INDIRECT("'"&amp;M$86&amp;"'!"&amp;VLOOKUP(M$87,'List Values'!$C$3:$D$6,2,FALSE)&amp;ROW(M153))="","",INDIRECT("'"&amp;M$86&amp;"'!"&amp;VLOOKUP(M$87,'List Values'!$C$3:$D$6,2,FALSE)&amp;ROW(M153))),IF(M$86&lt;&gt;"","Data Source Error",""))))</f>
        <v>No</v>
      </c>
      <c r="P153" s="582"/>
      <c r="Q153" s="941" t="str">
        <f ca="1">IF(OR($H$7&lt;4,Q$133&lt;1),"",IF(P153&lt;&gt;"",P153,IFERROR(IF(INDIRECT("'"&amp;P$86&amp;"'!"&amp;VLOOKUP(P$87,'List Values'!$C$3:$D$6,2,FALSE)&amp;ROW(P153))="","",INDIRECT("'"&amp;P$86&amp;"'!"&amp;VLOOKUP(P$87,'List Values'!$C$3:$D$6,2,FALSE)&amp;ROW(P153))),IF(P$86&lt;&gt;"","Data Source Error",""))))</f>
        <v/>
      </c>
      <c r="S153" s="582"/>
      <c r="T153" s="972" t="str">
        <f ca="1">IF(OR($H$7&lt;5,T$133&lt;1),"",IF(S153&lt;&gt;"",S153,IFERROR(IF(INDIRECT("'"&amp;S$86&amp;"'!"&amp;VLOOKUP(S$87,'List Values'!$C$3:$D$6,2,FALSE)&amp;ROW(S153))="","",INDIRECT("'"&amp;S$86&amp;"'!"&amp;VLOOKUP(S$87,'List Values'!$C$3:$D$6,2,FALSE)&amp;ROW(S153))),IF(S$86&lt;&gt;"","Data Source Error",""))))</f>
        <v/>
      </c>
      <c r="V153" s="582"/>
      <c r="W153" s="976" t="str">
        <f ca="1">IF(OR($H$7&lt;6,W$133&lt;1),"",IF(V153&lt;&gt;"",V153,IFERROR(IF(INDIRECT("'"&amp;V$86&amp;"'!"&amp;VLOOKUP(V$87,'List Values'!$C$3:$D$6,2,FALSE)&amp;ROW(V153))="","",INDIRECT("'"&amp;V$86&amp;"'!"&amp;VLOOKUP(V$87,'List Values'!$C$3:$D$6,2,FALSE)&amp;ROW(V153))),IF(V$86&lt;&gt;"","Data Source Error",""))))</f>
        <v/>
      </c>
      <c r="Y153" s="2643"/>
      <c r="Z153" s="2644"/>
      <c r="AA153" s="2644"/>
      <c r="AB153" s="2645"/>
    </row>
    <row r="154" spans="1:28" ht="18.75" customHeight="1">
      <c r="A154" s="237"/>
      <c r="B154" s="612" t="s">
        <v>610</v>
      </c>
      <c r="C154" s="604"/>
      <c r="D154" s="604"/>
      <c r="E154" s="604"/>
      <c r="F154" s="604"/>
      <c r="G154" s="604"/>
      <c r="H154" s="604"/>
      <c r="I154" s="609"/>
      <c r="J154" s="605"/>
      <c r="K154" s="966"/>
      <c r="L154" s="609"/>
      <c r="M154" s="605"/>
      <c r="N154" s="961"/>
      <c r="O154" s="608"/>
      <c r="P154" s="610"/>
      <c r="Q154" s="970"/>
      <c r="R154" s="608"/>
      <c r="S154" s="610"/>
      <c r="T154" s="970"/>
      <c r="U154" s="608"/>
      <c r="V154" s="610"/>
      <c r="W154" s="970"/>
      <c r="Y154" s="631"/>
      <c r="Z154" s="631"/>
      <c r="AA154" s="631"/>
      <c r="AB154" s="631"/>
    </row>
    <row r="155" spans="1:28" ht="15.75" customHeight="1" outlineLevel="1">
      <c r="A155" s="252"/>
      <c r="B155" s="252"/>
      <c r="C155" s="2580" t="s">
        <v>731</v>
      </c>
      <c r="D155" s="2580"/>
      <c r="E155" s="202"/>
      <c r="F155" s="202"/>
      <c r="G155" s="634"/>
      <c r="H155" s="635"/>
      <c r="I155" s="183"/>
      <c r="J155" s="628"/>
      <c r="K155" s="967" t="str">
        <f ca="1">IF(OR($H$7&lt;2,K$133&lt;2),"",IF(J155&lt;&gt;"",J155,IFERROR(IF(INDIRECT("'"&amp;J$86&amp;"'!"&amp;VLOOKUP(J$87,'List Values'!$C$3:$D$6,2,FALSE)&amp;ROW(J155))="","",INDIRECT("'"&amp;J$86&amp;"'!"&amp;VLOOKUP(J$87,'List Values'!$C$3:$D$6,2,FALSE)&amp;ROW(J155))),IF(J$86&lt;&gt;"","Data Source Error",""))))</f>
        <v/>
      </c>
      <c r="L155" s="629"/>
      <c r="M155" s="628"/>
      <c r="N155" s="967" t="str">
        <f ca="1">IF(OR($H$7&lt;3,N$133&lt;2),"",IF(M155&lt;&gt;"",M155,IFERROR(IF(INDIRECT("'"&amp;M$86&amp;"'!"&amp;VLOOKUP(M$87,'List Values'!$C$3:$D$6,2,FALSE)&amp;ROW(M155))="","",INDIRECT("'"&amp;M$86&amp;"'!"&amp;VLOOKUP(M$87,'List Values'!$C$3:$D$6,2,FALSE)&amp;ROW(M155))),IF(M$86&lt;&gt;"","Data Source Error",""))))</f>
        <v/>
      </c>
      <c r="O155" s="629"/>
      <c r="P155" s="590"/>
      <c r="Q155" s="967" t="str">
        <f ca="1">IF(OR($H$7&lt;4,Q$133&lt;2),"",IF(P155&lt;&gt;"",P155,IFERROR(IF(INDIRECT("'"&amp;P$86&amp;"'!"&amp;VLOOKUP(P$87,'List Values'!$C$3:$D$6,2,FALSE)&amp;ROW(P155))="","",INDIRECT("'"&amp;P$86&amp;"'!"&amp;VLOOKUP(P$87,'List Values'!$C$3:$D$6,2,FALSE)&amp;ROW(P155))),IF(P$86&lt;&gt;"","Data Source Error",""))))</f>
        <v/>
      </c>
      <c r="R155" s="147"/>
      <c r="S155" s="590"/>
      <c r="T155" s="967" t="str">
        <f ca="1">IF(OR($H$7&lt;5,T$133&lt;2),"",IF(S155&lt;&gt;"",S155,IFERROR(IF(INDIRECT("'"&amp;S$86&amp;"'!"&amp;VLOOKUP(S$87,'List Values'!$C$3:$D$6,2,FALSE)&amp;ROW(S155))="","",INDIRECT("'"&amp;S$86&amp;"'!"&amp;VLOOKUP(S$87,'List Values'!$C$3:$D$6,2,FALSE)&amp;ROW(S155))),IF(S$86&lt;&gt;"","Data Source Error",""))))</f>
        <v/>
      </c>
      <c r="U155" s="147"/>
      <c r="V155" s="590"/>
      <c r="W155" s="973" t="str">
        <f ca="1">IF(OR($H$7&lt;6,W$133&lt;2),"",IF(V155&lt;&gt;"",V155,IFERROR(IF(INDIRECT("'"&amp;V$86&amp;"'!"&amp;VLOOKUP(V$87,'List Values'!$C$3:$D$6,2,FALSE)&amp;ROW(V155))="","",INDIRECT("'"&amp;V$86&amp;"'!"&amp;VLOOKUP(V$87,'List Values'!$C$3:$D$6,2,FALSE)&amp;ROW(V155))),IF(V$86&lt;&gt;"","Data Source Error",""))))</f>
        <v/>
      </c>
      <c r="Y155" s="2643"/>
      <c r="Z155" s="2644"/>
      <c r="AA155" s="2644"/>
      <c r="AB155" s="2645"/>
    </row>
    <row r="156" spans="1:28" ht="15.75" customHeight="1" outlineLevel="1">
      <c r="A156" s="252"/>
      <c r="B156" s="252"/>
      <c r="C156" s="2680" t="s">
        <v>626</v>
      </c>
      <c r="D156" s="2680"/>
      <c r="E156" s="2062"/>
      <c r="F156" s="2062"/>
      <c r="G156" s="636"/>
      <c r="H156" s="637"/>
      <c r="I156" s="187"/>
      <c r="J156" s="526"/>
      <c r="K156" s="900" t="str">
        <f ca="1">IF(OR($H$7&lt;2,K$133&lt;2),"",IF(J156&lt;&gt;"",J156,IFERROR(IF(INDIRECT("'"&amp;J$86&amp;"'!"&amp;VLOOKUP(J$87,'List Values'!$C$3:$D$6,2,FALSE)&amp;ROW(J156))="","",INDIRECT("'"&amp;J$86&amp;"'!"&amp;VLOOKUP(J$87,'List Values'!$C$3:$D$6,2,FALSE)&amp;ROW(J156))),IF(J$86&lt;&gt;"","Data Source Error",""))))</f>
        <v/>
      </c>
      <c r="L156" s="187"/>
      <c r="M156" s="526"/>
      <c r="N156" s="900" t="str">
        <f ca="1">IF(OR($H$7&lt;3,N$133&lt;2),"",IF(M156&lt;&gt;"",M156,IFERROR(IF(INDIRECT("'"&amp;M$86&amp;"'!"&amp;VLOOKUP(M$87,'List Values'!$C$3:$D$6,2,FALSE)&amp;ROW(M156))="","",INDIRECT("'"&amp;M$86&amp;"'!"&amp;VLOOKUP(M$87,'List Values'!$C$3:$D$6,2,FALSE)&amp;ROW(M156))),IF(M$86&lt;&gt;"","Data Source Error",""))))</f>
        <v/>
      </c>
      <c r="O156" s="187"/>
      <c r="P156" s="560"/>
      <c r="Q156" s="900" t="str">
        <f ca="1">IF(OR($H$7&lt;4,Q$133&lt;2),"",IF(P156&lt;&gt;"",P156,IFERROR(IF(INDIRECT("'"&amp;P$86&amp;"'!"&amp;VLOOKUP(P$87,'List Values'!$C$3:$D$6,2,FALSE)&amp;ROW(P156))="","",INDIRECT("'"&amp;P$86&amp;"'!"&amp;VLOOKUP(P$87,'List Values'!$C$3:$D$6,2,FALSE)&amp;ROW(P156))),IF(P$86&lt;&gt;"","Data Source Error",""))))</f>
        <v/>
      </c>
      <c r="S156" s="560"/>
      <c r="T156" s="900" t="str">
        <f ca="1">IF(OR($H$7&lt;5,T$133&lt;2),"",IF(S156&lt;&gt;"",S156,IFERROR(IF(INDIRECT("'"&amp;S$86&amp;"'!"&amp;VLOOKUP(S$87,'List Values'!$C$3:$D$6,2,FALSE)&amp;ROW(S156))="","",INDIRECT("'"&amp;S$86&amp;"'!"&amp;VLOOKUP(S$87,'List Values'!$C$3:$D$6,2,FALSE)&amp;ROW(S156))),IF(S$86&lt;&gt;"","Data Source Error",""))))</f>
        <v/>
      </c>
      <c r="V156" s="560"/>
      <c r="W156" s="911" t="str">
        <f ca="1">IF(OR($H$7&lt;6,W$133&lt;2),"",IF(V156&lt;&gt;"",V156,IFERROR(IF(INDIRECT("'"&amp;V$86&amp;"'!"&amp;VLOOKUP(V$87,'List Values'!$C$3:$D$6,2,FALSE)&amp;ROW(V156))="","",INDIRECT("'"&amp;V$86&amp;"'!"&amp;VLOOKUP(V$87,'List Values'!$C$3:$D$6,2,FALSE)&amp;ROW(V156))),IF(V$86&lt;&gt;"","Data Source Error",""))))</f>
        <v/>
      </c>
      <c r="Y156" s="2643"/>
      <c r="Z156" s="2644"/>
      <c r="AA156" s="2644"/>
      <c r="AB156" s="2645"/>
    </row>
    <row r="157" spans="1:28" ht="31.5" customHeight="1" outlineLevel="1">
      <c r="A157" s="252"/>
      <c r="B157" s="252"/>
      <c r="C157" s="2680" t="s">
        <v>2520</v>
      </c>
      <c r="D157" s="2680"/>
      <c r="E157" s="2062"/>
      <c r="F157" s="2062"/>
      <c r="G157" s="636"/>
      <c r="H157" s="637"/>
      <c r="I157" s="183"/>
      <c r="J157" s="561"/>
      <c r="K157" s="897" t="str">
        <f ca="1">IF(OR($H$7&lt;2,K$133&lt;2),"",IF(J157&lt;&gt;"",J157,IFERROR(IF(INDIRECT("'"&amp;J$86&amp;"'!"&amp;VLOOKUP(J$87,'List Values'!$C$3:$D$6,2,FALSE)&amp;ROW(J157))="","",INDIRECT("'"&amp;J$86&amp;"'!"&amp;VLOOKUP(J$87,'List Values'!$C$3:$D$6,2,FALSE)&amp;ROW(J157))),IF(J$86&lt;&gt;"","Data Source Error",""))))</f>
        <v/>
      </c>
      <c r="L157" s="183"/>
      <c r="M157" s="561"/>
      <c r="N157" s="897" t="str">
        <f ca="1">IF(OR($H$7&lt;3,N$133&lt;2),"",IF(M157&lt;&gt;"",M157,IFERROR(IF(INDIRECT("'"&amp;M$86&amp;"'!"&amp;VLOOKUP(M$87,'List Values'!$C$3:$D$6,2,FALSE)&amp;ROW(M157))="","",INDIRECT("'"&amp;M$86&amp;"'!"&amp;VLOOKUP(M$87,'List Values'!$C$3:$D$6,2,FALSE)&amp;ROW(M157))),IF(M$86&lt;&gt;"","Data Source Error",""))))</f>
        <v/>
      </c>
      <c r="O157" s="183"/>
      <c r="P157" s="558"/>
      <c r="Q157" s="897" t="str">
        <f ca="1">IF(OR($H$7&lt;4,Q$133&lt;2),"",IF(P157&lt;&gt;"",P157,IFERROR(IF(INDIRECT("'"&amp;P$86&amp;"'!"&amp;VLOOKUP(P$87,'List Values'!$C$3:$D$6,2,FALSE)&amp;ROW(P157))="","",INDIRECT("'"&amp;P$86&amp;"'!"&amp;VLOOKUP(P$87,'List Values'!$C$3:$D$6,2,FALSE)&amp;ROW(P157))),IF(P$86&lt;&gt;"","Data Source Error",""))))</f>
        <v/>
      </c>
      <c r="S157" s="558"/>
      <c r="T157" s="897" t="str">
        <f ca="1">IF(OR($H$7&lt;5,T$133&lt;2),"",IF(S157&lt;&gt;"",S157,IFERROR(IF(INDIRECT("'"&amp;S$86&amp;"'!"&amp;VLOOKUP(S$87,'List Values'!$C$3:$D$6,2,FALSE)&amp;ROW(S157))="","",INDIRECT("'"&amp;S$86&amp;"'!"&amp;VLOOKUP(S$87,'List Values'!$C$3:$D$6,2,FALSE)&amp;ROW(S157))),IF(S$86&lt;&gt;"","Data Source Error",""))))</f>
        <v/>
      </c>
      <c r="V157" s="558"/>
      <c r="W157" s="908" t="str">
        <f ca="1">IF(OR($H$7&lt;6,W$133&lt;2),"",IF(V157&lt;&gt;"",V157,IFERROR(IF(INDIRECT("'"&amp;V$86&amp;"'!"&amp;VLOOKUP(V$87,'List Values'!$C$3:$D$6,2,FALSE)&amp;ROW(V157))="","",INDIRECT("'"&amp;V$86&amp;"'!"&amp;VLOOKUP(V$87,'List Values'!$C$3:$D$6,2,FALSE)&amp;ROW(V157))),IF(V$86&lt;&gt;"","Data Source Error",""))))</f>
        <v/>
      </c>
      <c r="Y157" s="2643"/>
      <c r="Z157" s="2644"/>
      <c r="AA157" s="2644"/>
      <c r="AB157" s="2645"/>
    </row>
    <row r="158" spans="1:28" ht="31.5" customHeight="1" outlineLevel="1">
      <c r="A158" s="252"/>
      <c r="B158" s="252"/>
      <c r="C158" s="2684" t="s">
        <v>726</v>
      </c>
      <c r="D158" s="2684"/>
      <c r="E158" s="2062"/>
      <c r="F158" s="2062"/>
      <c r="G158" s="636"/>
      <c r="H158" s="637"/>
      <c r="I158" s="187"/>
      <c r="J158" s="526"/>
      <c r="K158" s="900" t="str">
        <f ca="1">IF(OR($H$7&lt;2,K$133&lt;2),"",IF(J158&lt;&gt;"",J158,IFERROR(IF(INDIRECT("'"&amp;J$86&amp;"'!"&amp;VLOOKUP(J$87,'List Values'!$C$3:$D$6,2,FALSE)&amp;ROW(J158))="","",INDIRECT("'"&amp;J$86&amp;"'!"&amp;VLOOKUP(J$87,'List Values'!$C$3:$D$6,2,FALSE)&amp;ROW(J158))),IF(J$86&lt;&gt;"","Data Source Error",""))))</f>
        <v/>
      </c>
      <c r="L158" s="187"/>
      <c r="M158" s="526"/>
      <c r="N158" s="900" t="str">
        <f ca="1">IF(OR($H$7&lt;3,N$133&lt;2),"",IF(M158&lt;&gt;"",M158,IFERROR(IF(INDIRECT("'"&amp;M$86&amp;"'!"&amp;VLOOKUP(M$87,'List Values'!$C$3:$D$6,2,FALSE)&amp;ROW(M158))="","",INDIRECT("'"&amp;M$86&amp;"'!"&amp;VLOOKUP(M$87,'List Values'!$C$3:$D$6,2,FALSE)&amp;ROW(M158))),IF(M$86&lt;&gt;"","Data Source Error",""))))</f>
        <v/>
      </c>
      <c r="O158" s="187"/>
      <c r="P158" s="560"/>
      <c r="Q158" s="900" t="str">
        <f ca="1">IF(OR($H$7&lt;4,Q$133&lt;2),"",IF(P158&lt;&gt;"",P158,IFERROR(IF(INDIRECT("'"&amp;P$86&amp;"'!"&amp;VLOOKUP(P$87,'List Values'!$C$3:$D$6,2,FALSE)&amp;ROW(P158))="","",INDIRECT("'"&amp;P$86&amp;"'!"&amp;VLOOKUP(P$87,'List Values'!$C$3:$D$6,2,FALSE)&amp;ROW(P158))),IF(P$86&lt;&gt;"","Data Source Error",""))))</f>
        <v/>
      </c>
      <c r="S158" s="560"/>
      <c r="T158" s="900" t="str">
        <f ca="1">IF(OR($H$7&lt;5,T$133&lt;2),"",IF(S158&lt;&gt;"",S158,IFERROR(IF(INDIRECT("'"&amp;S$86&amp;"'!"&amp;VLOOKUP(S$87,'List Values'!$C$3:$D$6,2,FALSE)&amp;ROW(S158))="","",INDIRECT("'"&amp;S$86&amp;"'!"&amp;VLOOKUP(S$87,'List Values'!$C$3:$D$6,2,FALSE)&amp;ROW(S158))),IF(S$86&lt;&gt;"","Data Source Error",""))))</f>
        <v/>
      </c>
      <c r="V158" s="560"/>
      <c r="W158" s="911" t="str">
        <f ca="1">IF(OR($H$7&lt;6,W$133&lt;2),"",IF(V158&lt;&gt;"",V158,IFERROR(IF(INDIRECT("'"&amp;V$86&amp;"'!"&amp;VLOOKUP(V$87,'List Values'!$C$3:$D$6,2,FALSE)&amp;ROW(V158))="","",INDIRECT("'"&amp;V$86&amp;"'!"&amp;VLOOKUP(V$87,'List Values'!$C$3:$D$6,2,FALSE)&amp;ROW(V158))),IF(V$86&lt;&gt;"","Data Source Error",""))))</f>
        <v/>
      </c>
      <c r="Y158" s="2643"/>
      <c r="Z158" s="2644"/>
      <c r="AA158" s="2644"/>
      <c r="AB158" s="2645"/>
    </row>
    <row r="159" spans="1:28" ht="31.5" customHeight="1" outlineLevel="1">
      <c r="A159" s="252"/>
      <c r="B159" s="252"/>
      <c r="C159" s="2684" t="s">
        <v>727</v>
      </c>
      <c r="D159" s="2684"/>
      <c r="E159" s="2062"/>
      <c r="F159" s="2062"/>
      <c r="G159" s="636"/>
      <c r="H159" s="637"/>
      <c r="I159" s="187"/>
      <c r="J159" s="568"/>
      <c r="K159" s="945" t="str">
        <f ca="1">IF(OR($H$7&lt;2,K$133&lt;2),"",IF(J159&lt;&gt;"",J159,IFERROR(IF(INDIRECT("'"&amp;J$86&amp;"'!"&amp;VLOOKUP(J$87,'List Values'!$C$3:$D$6,2,FALSE)&amp;ROW(J159))="","",INDIRECT("'"&amp;J$86&amp;"'!"&amp;VLOOKUP(J$87,'List Values'!$C$3:$D$6,2,FALSE)&amp;ROW(J159))*$H$6),IF(J$86&lt;&gt;"","Data Source Error",""))))</f>
        <v/>
      </c>
      <c r="L159" s="339"/>
      <c r="M159" s="568"/>
      <c r="N159" s="945" t="str">
        <f ca="1">IF(OR($H$7&lt;3,N$133&lt;2),"",IF(M159&lt;&gt;"",M159,IFERROR(IF(INDIRECT("'"&amp;M$86&amp;"'!"&amp;VLOOKUP(M$87,'List Values'!$C$3:$D$6,2,FALSE)&amp;ROW(M159))="","",INDIRECT("'"&amp;M$86&amp;"'!"&amp;VLOOKUP(M$87,'List Values'!$C$3:$D$6,2,FALSE)&amp;ROW(M159))*$H$6),IF(M$86&lt;&gt;"","Data Source Error",""))))</f>
        <v/>
      </c>
      <c r="O159" s="339"/>
      <c r="P159" s="623"/>
      <c r="Q159" s="945" t="str">
        <f ca="1">IF(OR($H$7&lt;4,Q$133&lt;2),"",IF(P159&lt;&gt;"",P159,IFERROR(IF(INDIRECT("'"&amp;P$86&amp;"'!"&amp;VLOOKUP(P$87,'List Values'!$C$3:$D$6,2,FALSE)&amp;ROW(P159))="","",INDIRECT("'"&amp;P$86&amp;"'!"&amp;VLOOKUP(P$87,'List Values'!$C$3:$D$6,2,FALSE)&amp;ROW(P159))*$H$6),IF(P$86&lt;&gt;"","Data Source Error",""))))</f>
        <v/>
      </c>
      <c r="R159" s="7"/>
      <c r="S159" s="623"/>
      <c r="T159" s="945" t="str">
        <f ca="1">IF(OR($H$7&lt;5,T$133&lt;2),"",IF(S159&lt;&gt;"",S159,IFERROR(IF(INDIRECT("'"&amp;S$86&amp;"'!"&amp;VLOOKUP(S$87,'List Values'!$C$3:$D$6,2,FALSE)&amp;ROW(S159))="","",INDIRECT("'"&amp;S$86&amp;"'!"&amp;VLOOKUP(S$87,'List Values'!$C$3:$D$6,2,FALSE)&amp;ROW(S159))*$H$6),IF(S$86&lt;&gt;"","Data Source Error",""))))</f>
        <v/>
      </c>
      <c r="U159" s="7"/>
      <c r="V159" s="623"/>
      <c r="W159" s="952" t="str">
        <f ca="1">IF(OR($H$7&lt;6,W$133&lt;2),"",IF(V159&lt;&gt;"",V159,IFERROR(IF(INDIRECT("'"&amp;V$86&amp;"'!"&amp;VLOOKUP(V$87,'List Values'!$C$3:$D$6,2,FALSE)&amp;ROW(V159))="","",INDIRECT("'"&amp;V$86&amp;"'!"&amp;VLOOKUP(V$87,'List Values'!$C$3:$D$6,2,FALSE)&amp;ROW(V159))*$H$6),IF(V$86&lt;&gt;"","Data Source Error",""))))</f>
        <v/>
      </c>
      <c r="Y159" s="2643"/>
      <c r="Z159" s="2644"/>
      <c r="AA159" s="2644"/>
      <c r="AB159" s="2645"/>
    </row>
    <row r="160" spans="1:28" ht="15.75" customHeight="1" outlineLevel="1">
      <c r="A160" s="252"/>
      <c r="B160" s="252"/>
      <c r="C160" s="2680" t="s">
        <v>732</v>
      </c>
      <c r="D160" s="2680"/>
      <c r="E160" s="2062"/>
      <c r="F160" s="2062"/>
      <c r="G160" s="636"/>
      <c r="H160" s="637"/>
      <c r="I160" s="187"/>
      <c r="J160" s="526"/>
      <c r="K160" s="900" t="str">
        <f ca="1">IF(OR($H$7&lt;2,K$133&lt;2),"",IF(J160&lt;&gt;"",J160,IFERROR(IF(INDIRECT("'"&amp;J$86&amp;"'!"&amp;VLOOKUP(J$87,'List Values'!$C$3:$D$6,2,FALSE)&amp;ROW(J160))="","",INDIRECT("'"&amp;J$86&amp;"'!"&amp;VLOOKUP(J$87,'List Values'!$C$3:$D$6,2,FALSE)&amp;ROW(J160))),IF(J$86&lt;&gt;"","Data Source Error",""))))</f>
        <v/>
      </c>
      <c r="L160" s="187"/>
      <c r="M160" s="526"/>
      <c r="N160" s="900" t="str">
        <f ca="1">IF(OR($H$7&lt;3,N$133&lt;2),"",IF(M160&lt;&gt;"",M160,IFERROR(IF(INDIRECT("'"&amp;M$86&amp;"'!"&amp;VLOOKUP(M$87,'List Values'!$C$3:$D$6,2,FALSE)&amp;ROW(M160))="","",INDIRECT("'"&amp;M$86&amp;"'!"&amp;VLOOKUP(M$87,'List Values'!$C$3:$D$6,2,FALSE)&amp;ROW(M160))),IF(M$86&lt;&gt;"","Data Source Error",""))))</f>
        <v/>
      </c>
      <c r="O160" s="187"/>
      <c r="P160" s="560"/>
      <c r="Q160" s="900" t="str">
        <f ca="1">IF(OR($H$7&lt;4,Q$133&lt;2),"",IF(P160&lt;&gt;"",P160,IFERROR(IF(INDIRECT("'"&amp;P$86&amp;"'!"&amp;VLOOKUP(P$87,'List Values'!$C$3:$D$6,2,FALSE)&amp;ROW(P160))="","",INDIRECT("'"&amp;P$86&amp;"'!"&amp;VLOOKUP(P$87,'List Values'!$C$3:$D$6,2,FALSE)&amp;ROW(P160))),IF(P$86&lt;&gt;"","Data Source Error",""))))</f>
        <v/>
      </c>
      <c r="S160" s="560"/>
      <c r="T160" s="900" t="str">
        <f ca="1">IF(OR($H$7&lt;5,T$133&lt;2),"",IF(S160&lt;&gt;"",S160,IFERROR(IF(INDIRECT("'"&amp;S$86&amp;"'!"&amp;VLOOKUP(S$87,'List Values'!$C$3:$D$6,2,FALSE)&amp;ROW(S160))="","",INDIRECT("'"&amp;S$86&amp;"'!"&amp;VLOOKUP(S$87,'List Values'!$C$3:$D$6,2,FALSE)&amp;ROW(S160))),IF(S$86&lt;&gt;"","Data Source Error",""))))</f>
        <v/>
      </c>
      <c r="V160" s="560"/>
      <c r="W160" s="911" t="str">
        <f ca="1">IF(OR($H$7&lt;6,W$133&lt;2),"",IF(V160&lt;&gt;"",V160,IFERROR(IF(INDIRECT("'"&amp;V$86&amp;"'!"&amp;VLOOKUP(V$87,'List Values'!$C$3:$D$6,2,FALSE)&amp;ROW(V160))="","",INDIRECT("'"&amp;V$86&amp;"'!"&amp;VLOOKUP(V$87,'List Values'!$C$3:$D$6,2,FALSE)&amp;ROW(V160))),IF(V$86&lt;&gt;"","Data Source Error",""))))</f>
        <v/>
      </c>
      <c r="Y160" s="2643"/>
      <c r="Z160" s="2644"/>
      <c r="AA160" s="2644"/>
      <c r="AB160" s="2645"/>
    </row>
    <row r="161" spans="1:28" ht="31.5" customHeight="1" outlineLevel="1">
      <c r="A161" s="252"/>
      <c r="B161" s="252"/>
      <c r="C161" s="2680" t="s">
        <v>2521</v>
      </c>
      <c r="D161" s="2680"/>
      <c r="E161" s="2062"/>
      <c r="F161" s="2062"/>
      <c r="G161" s="636"/>
      <c r="H161" s="637"/>
      <c r="I161" s="187"/>
      <c r="J161" s="619"/>
      <c r="K161" s="898" t="str">
        <f ca="1">IF(OR($H$7&lt;2,K$133&lt;2),"",IF(J161&lt;&gt;"",J161,IFERROR(IF(INDIRECT("'"&amp;J$86&amp;"'!"&amp;VLOOKUP(J$87,'List Values'!$C$3:$D$6,2,FALSE)&amp;ROW(J161))="","",INDIRECT("'"&amp;J$86&amp;"'!"&amp;VLOOKUP(J$87,'List Values'!$C$3:$D$6,2,FALSE)&amp;ROW(J161))),IF(J$86&lt;&gt;"","Data Source Error",""))))</f>
        <v/>
      </c>
      <c r="L161" s="621"/>
      <c r="M161" s="619"/>
      <c r="N161" s="898" t="str">
        <f ca="1">IF(OR($H$7&lt;3,N$133&lt;2),"",IF(M161&lt;&gt;"",M161,IFERROR(IF(INDIRECT("'"&amp;M$86&amp;"'!"&amp;VLOOKUP(M$87,'List Values'!$C$3:$D$6,2,FALSE)&amp;ROW(M161))="","",INDIRECT("'"&amp;M$86&amp;"'!"&amp;VLOOKUP(M$87,'List Values'!$C$3:$D$6,2,FALSE)&amp;ROW(M161))),IF(M$86&lt;&gt;"","Data Source Error",""))))</f>
        <v/>
      </c>
      <c r="O161" s="621"/>
      <c r="P161" s="619"/>
      <c r="Q161" s="898" t="str">
        <f ca="1">IF(OR($H$7&lt;4,Q$133&lt;2),"",IF(P161&lt;&gt;"",P161,IFERROR(IF(INDIRECT("'"&amp;P$86&amp;"'!"&amp;VLOOKUP(P$87,'List Values'!$C$3:$D$6,2,FALSE)&amp;ROW(P161))="","",INDIRECT("'"&amp;P$86&amp;"'!"&amp;VLOOKUP(P$87,'List Values'!$C$3:$D$6,2,FALSE)&amp;ROW(P161))),IF(P$86&lt;&gt;"","Data Source Error",""))))</f>
        <v/>
      </c>
      <c r="R161" s="147"/>
      <c r="S161" s="619"/>
      <c r="T161" s="898" t="str">
        <f ca="1">IF(OR($H$7&lt;5,T$133&lt;2),"",IF(S161&lt;&gt;"",S161,IFERROR(IF(INDIRECT("'"&amp;S$86&amp;"'!"&amp;VLOOKUP(S$87,'List Values'!$C$3:$D$6,2,FALSE)&amp;ROW(S161))="","",INDIRECT("'"&amp;S$86&amp;"'!"&amp;VLOOKUP(S$87,'List Values'!$C$3:$D$6,2,FALSE)&amp;ROW(S161))),IF(S$86&lt;&gt;"","Data Source Error",""))))</f>
        <v/>
      </c>
      <c r="U161" s="147"/>
      <c r="V161" s="619"/>
      <c r="W161" s="909" t="str">
        <f ca="1">IF(OR($H$7&lt;6,W$133&lt;2),"",IF(V161&lt;&gt;"",V161,IFERROR(IF(INDIRECT("'"&amp;V$86&amp;"'!"&amp;VLOOKUP(V$87,'List Values'!$C$3:$D$6,2,FALSE)&amp;ROW(V161))="","",INDIRECT("'"&amp;V$86&amp;"'!"&amp;VLOOKUP(V$87,'List Values'!$C$3:$D$6,2,FALSE)&amp;ROW(V161))),IF(V$86&lt;&gt;"","Data Source Error",""))))</f>
        <v/>
      </c>
      <c r="Y161" s="2643"/>
      <c r="Z161" s="2644"/>
      <c r="AA161" s="2644"/>
      <c r="AB161" s="2645"/>
    </row>
    <row r="162" spans="1:28" ht="31.5" customHeight="1" outlineLevel="1">
      <c r="A162" s="252"/>
      <c r="B162" s="252"/>
      <c r="C162" s="2680" t="s">
        <v>2522</v>
      </c>
      <c r="D162" s="2680"/>
      <c r="E162" s="2062"/>
      <c r="F162" s="2062"/>
      <c r="G162" s="636"/>
      <c r="H162" s="637"/>
      <c r="I162" s="187"/>
      <c r="J162" s="619"/>
      <c r="K162" s="898" t="str">
        <f ca="1">IF(OR($H$7&lt;2,K$133&lt;2),"",IF(J162&lt;&gt;"",J162,IFERROR(IF(INDIRECT("'"&amp;J$86&amp;"'!"&amp;VLOOKUP(J$87,'List Values'!$C$3:$D$6,2,FALSE)&amp;ROW(J162))="","",INDIRECT("'"&amp;J$86&amp;"'!"&amp;VLOOKUP(J$87,'List Values'!$C$3:$D$6,2,FALSE)&amp;ROW(J162))),IF(J$86&lt;&gt;"","Data Source Error",""))))</f>
        <v/>
      </c>
      <c r="L162" s="621"/>
      <c r="M162" s="619"/>
      <c r="N162" s="898" t="str">
        <f ca="1">IF(OR($H$7&lt;3,N$133&lt;2),"",IF(M162&lt;&gt;"",M162,IFERROR(IF(INDIRECT("'"&amp;M$86&amp;"'!"&amp;VLOOKUP(M$87,'List Values'!$C$3:$D$6,2,FALSE)&amp;ROW(M162))="","",INDIRECT("'"&amp;M$86&amp;"'!"&amp;VLOOKUP(M$87,'List Values'!$C$3:$D$6,2,FALSE)&amp;ROW(M162))),IF(M$86&lt;&gt;"","Data Source Error",""))))</f>
        <v/>
      </c>
      <c r="O162" s="621"/>
      <c r="P162" s="619"/>
      <c r="Q162" s="898" t="str">
        <f ca="1">IF(OR($H$7&lt;4,Q$133&lt;2),"",IF(P162&lt;&gt;"",P162,IFERROR(IF(INDIRECT("'"&amp;P$86&amp;"'!"&amp;VLOOKUP(P$87,'List Values'!$C$3:$D$6,2,FALSE)&amp;ROW(P162))="","",INDIRECT("'"&amp;P$86&amp;"'!"&amp;VLOOKUP(P$87,'List Values'!$C$3:$D$6,2,FALSE)&amp;ROW(P162))),IF(P$86&lt;&gt;"","Data Source Error",""))))</f>
        <v/>
      </c>
      <c r="R162" s="147"/>
      <c r="S162" s="619"/>
      <c r="T162" s="898" t="str">
        <f ca="1">IF(OR($H$7&lt;5,T$133&lt;2),"",IF(S162&lt;&gt;"",S162,IFERROR(IF(INDIRECT("'"&amp;S$86&amp;"'!"&amp;VLOOKUP(S$87,'List Values'!$C$3:$D$6,2,FALSE)&amp;ROW(S162))="","",INDIRECT("'"&amp;S$86&amp;"'!"&amp;VLOOKUP(S$87,'List Values'!$C$3:$D$6,2,FALSE)&amp;ROW(S162))),IF(S$86&lt;&gt;"","Data Source Error",""))))</f>
        <v/>
      </c>
      <c r="U162" s="147"/>
      <c r="V162" s="619"/>
      <c r="W162" s="909" t="str">
        <f ca="1">IF(OR($H$7&lt;6,W$133&lt;2),"",IF(V162&lt;&gt;"",V162,IFERROR(IF(INDIRECT("'"&amp;V$86&amp;"'!"&amp;VLOOKUP(V$87,'List Values'!$C$3:$D$6,2,FALSE)&amp;ROW(V162))="","",INDIRECT("'"&amp;V$86&amp;"'!"&amp;VLOOKUP(V$87,'List Values'!$C$3:$D$6,2,FALSE)&amp;ROW(V162))),IF(V$86&lt;&gt;"","Data Source Error",""))))</f>
        <v/>
      </c>
      <c r="Y162" s="2643"/>
      <c r="Z162" s="2644"/>
      <c r="AA162" s="2644"/>
      <c r="AB162" s="2645"/>
    </row>
    <row r="163" spans="1:28" ht="31.5" customHeight="1" outlineLevel="1">
      <c r="A163" s="252"/>
      <c r="B163" s="252"/>
      <c r="C163" s="2680" t="s">
        <v>253</v>
      </c>
      <c r="D163" s="2680"/>
      <c r="E163" s="2062"/>
      <c r="F163" s="2062"/>
      <c r="G163" s="636"/>
      <c r="H163" s="637"/>
      <c r="I163" s="187"/>
      <c r="J163" s="526"/>
      <c r="K163" s="900" t="str">
        <f ca="1">IF(OR($H$7&lt;2,K$133&lt;2),"",IF(J163&lt;&gt;"",J163,IFERROR(IF(INDIRECT("'"&amp;J$86&amp;"'!"&amp;VLOOKUP(J$87,'List Values'!$C$3:$D$6,2,FALSE)&amp;ROW(J163))="","",INDIRECT("'"&amp;J$86&amp;"'!"&amp;VLOOKUP(J$87,'List Values'!$C$3:$D$6,2,FALSE)&amp;ROW(J163))),IF(J$86&lt;&gt;"","Data Source Error",""))))</f>
        <v/>
      </c>
      <c r="L163" s="187"/>
      <c r="M163" s="526"/>
      <c r="N163" s="900" t="str">
        <f ca="1">IF(OR($H$7&lt;3,N$133&lt;2),"",IF(M163&lt;&gt;"",M163,IFERROR(IF(INDIRECT("'"&amp;M$86&amp;"'!"&amp;VLOOKUP(M$87,'List Values'!$C$3:$D$6,2,FALSE)&amp;ROW(M163))="","",INDIRECT("'"&amp;M$86&amp;"'!"&amp;VLOOKUP(M$87,'List Values'!$C$3:$D$6,2,FALSE)&amp;ROW(M163))),IF(M$86&lt;&gt;"","Data Source Error",""))))</f>
        <v/>
      </c>
      <c r="O163" s="187"/>
      <c r="P163" s="523"/>
      <c r="Q163" s="900" t="str">
        <f ca="1">IF(OR($H$7&lt;4,Q$133&lt;2),"",IF(P163&lt;&gt;"",P163,IFERROR(IF(INDIRECT("'"&amp;P$86&amp;"'!"&amp;VLOOKUP(P$87,'List Values'!$C$3:$D$6,2,FALSE)&amp;ROW(P163))="","",INDIRECT("'"&amp;P$86&amp;"'!"&amp;VLOOKUP(P$87,'List Values'!$C$3:$D$6,2,FALSE)&amp;ROW(P163))),IF(P$86&lt;&gt;"","Data Source Error",""))))</f>
        <v/>
      </c>
      <c r="S163" s="523"/>
      <c r="T163" s="900" t="str">
        <f ca="1">IF(OR($H$7&lt;5,T$133&lt;2),"",IF(S163&lt;&gt;"",S163,IFERROR(IF(INDIRECT("'"&amp;S$86&amp;"'!"&amp;VLOOKUP(S$87,'List Values'!$C$3:$D$6,2,FALSE)&amp;ROW(S163))="","",INDIRECT("'"&amp;S$86&amp;"'!"&amp;VLOOKUP(S$87,'List Values'!$C$3:$D$6,2,FALSE)&amp;ROW(S163))),IF(S$86&lt;&gt;"","Data Source Error",""))))</f>
        <v/>
      </c>
      <c r="V163" s="523"/>
      <c r="W163" s="911" t="str">
        <f ca="1">IF(OR($H$7&lt;6,W$133&lt;2),"",IF(V163&lt;&gt;"",V163,IFERROR(IF(INDIRECT("'"&amp;V$86&amp;"'!"&amp;VLOOKUP(V$87,'List Values'!$C$3:$D$6,2,FALSE)&amp;ROW(V163))="","",INDIRECT("'"&amp;V$86&amp;"'!"&amp;VLOOKUP(V$87,'List Values'!$C$3:$D$6,2,FALSE)&amp;ROW(V163))),IF(V$86&lt;&gt;"","Data Source Error",""))))</f>
        <v/>
      </c>
      <c r="Y163" s="2643"/>
      <c r="Z163" s="2644"/>
      <c r="AA163" s="2644"/>
      <c r="AB163" s="2645"/>
    </row>
    <row r="164" spans="1:28" ht="15.75" customHeight="1" outlineLevel="1">
      <c r="A164" s="252"/>
      <c r="B164" s="252"/>
      <c r="C164" s="2684" t="s">
        <v>244</v>
      </c>
      <c r="D164" s="2684"/>
      <c r="E164" s="2062"/>
      <c r="F164" s="2062"/>
      <c r="G164" s="636"/>
      <c r="H164" s="637"/>
      <c r="I164" s="187"/>
      <c r="J164" s="580"/>
      <c r="K164" s="900" t="str">
        <f ca="1">IF(OR($H$7&lt;2,K$133&lt;2),"",IF(J164&lt;&gt;"",J164,IFERROR(IF(INDIRECT("'"&amp;J$86&amp;"'!"&amp;VLOOKUP(J$87,'List Values'!$C$3:$D$6,2,FALSE)&amp;ROW(J164))="","",INDIRECT("'"&amp;J$86&amp;"'!"&amp;VLOOKUP(J$87,'List Values'!$C$3:$D$6,2,FALSE)&amp;ROW(J164))),IF(J$86&lt;&gt;"","Data Source Error",""))))</f>
        <v/>
      </c>
      <c r="L164" s="187"/>
      <c r="M164" s="580"/>
      <c r="N164" s="900" t="str">
        <f ca="1">IF(OR($H$7&lt;3,N$133&lt;2),"",IF(M164&lt;&gt;"",M164,IFERROR(IF(INDIRECT("'"&amp;M$86&amp;"'!"&amp;VLOOKUP(M$87,'List Values'!$C$3:$D$6,2,FALSE)&amp;ROW(M164))="","",INDIRECT("'"&amp;M$86&amp;"'!"&amp;VLOOKUP(M$87,'List Values'!$C$3:$D$6,2,FALSE)&amp;ROW(M164))),IF(M$86&lt;&gt;"","Data Source Error",""))))</f>
        <v/>
      </c>
      <c r="O164" s="187"/>
      <c r="P164" s="528"/>
      <c r="Q164" s="900" t="str">
        <f ca="1">IF(OR($H$7&lt;4,Q$133&lt;2),"",IF(P164&lt;&gt;"",P164,IFERROR(IF(INDIRECT("'"&amp;P$86&amp;"'!"&amp;VLOOKUP(P$87,'List Values'!$C$3:$D$6,2,FALSE)&amp;ROW(P164))="","",INDIRECT("'"&amp;P$86&amp;"'!"&amp;VLOOKUP(P$87,'List Values'!$C$3:$D$6,2,FALSE)&amp;ROW(P164))),IF(P$86&lt;&gt;"","Data Source Error",""))))</f>
        <v/>
      </c>
      <c r="S164" s="528"/>
      <c r="T164" s="900" t="str">
        <f ca="1">IF(OR($H$7&lt;5,T$133&lt;2),"",IF(S164&lt;&gt;"",S164,IFERROR(IF(INDIRECT("'"&amp;S$86&amp;"'!"&amp;VLOOKUP(S$87,'List Values'!$C$3:$D$6,2,FALSE)&amp;ROW(S164))="","",INDIRECT("'"&amp;S$86&amp;"'!"&amp;VLOOKUP(S$87,'List Values'!$C$3:$D$6,2,FALSE)&amp;ROW(S164))),IF(S$86&lt;&gt;"","Data Source Error",""))))</f>
        <v/>
      </c>
      <c r="V164" s="528"/>
      <c r="W164" s="911" t="str">
        <f ca="1">IF(OR($H$7&lt;6,W$133&lt;2),"",IF(V164&lt;&gt;"",V164,IFERROR(IF(INDIRECT("'"&amp;V$86&amp;"'!"&amp;VLOOKUP(V$87,'List Values'!$C$3:$D$6,2,FALSE)&amp;ROW(V164))="","",INDIRECT("'"&amp;V$86&amp;"'!"&amp;VLOOKUP(V$87,'List Values'!$C$3:$D$6,2,FALSE)&amp;ROW(V164))),IF(V$86&lt;&gt;"","Data Source Error",""))))</f>
        <v/>
      </c>
      <c r="Y164" s="2643"/>
      <c r="Z164" s="2644"/>
      <c r="AA164" s="2644"/>
      <c r="AB164" s="2645"/>
    </row>
    <row r="165" spans="1:28" ht="33" customHeight="1" outlineLevel="1">
      <c r="A165" s="252"/>
      <c r="B165" s="252"/>
      <c r="C165" s="2680" t="s">
        <v>2523</v>
      </c>
      <c r="D165" s="2680"/>
      <c r="E165" s="2062"/>
      <c r="F165" s="2062"/>
      <c r="G165" s="636"/>
      <c r="H165" s="637"/>
      <c r="I165" s="187"/>
      <c r="J165" s="580"/>
      <c r="K165" s="900" t="str">
        <f ca="1">IF(OR($H$7&lt;2,K$133&lt;2),"",IF(J165&lt;&gt;"",J165,IFERROR(IF(INDIRECT("'"&amp;J$86&amp;"'!"&amp;VLOOKUP(J$87,'List Values'!$C$3:$D$6,2,FALSE)&amp;ROW(J165))="","",INDIRECT("'"&amp;J$86&amp;"'!"&amp;VLOOKUP(J$87,'List Values'!$C$3:$D$6,2,FALSE)&amp;ROW(J165))),IF(J$86&lt;&gt;"","Data Source Error",""))))</f>
        <v/>
      </c>
      <c r="L165" s="187"/>
      <c r="M165" s="580"/>
      <c r="N165" s="900" t="str">
        <f ca="1">IF(OR($H$7&lt;3,N$133&lt;2),"",IF(M165&lt;&gt;"",M165,IFERROR(IF(INDIRECT("'"&amp;M$86&amp;"'!"&amp;VLOOKUP(M$87,'List Values'!$C$3:$D$6,2,FALSE)&amp;ROW(M165))="","",INDIRECT("'"&amp;M$86&amp;"'!"&amp;VLOOKUP(M$87,'List Values'!$C$3:$D$6,2,FALSE)&amp;ROW(M165))),IF(M$86&lt;&gt;"","Data Source Error",""))))</f>
        <v/>
      </c>
      <c r="O165" s="187"/>
      <c r="P165" s="528"/>
      <c r="Q165" s="900" t="str">
        <f ca="1">IF(OR($H$7&lt;4,Q$133&lt;2),"",IF(P165&lt;&gt;"",P165,IFERROR(IF(INDIRECT("'"&amp;P$86&amp;"'!"&amp;VLOOKUP(P$87,'List Values'!$C$3:$D$6,2,FALSE)&amp;ROW(P165))="","",INDIRECT("'"&amp;P$86&amp;"'!"&amp;VLOOKUP(P$87,'List Values'!$C$3:$D$6,2,FALSE)&amp;ROW(P165))),IF(P$86&lt;&gt;"","Data Source Error",""))))</f>
        <v/>
      </c>
      <c r="S165" s="528"/>
      <c r="T165" s="900" t="str">
        <f ca="1">IF(OR($H$7&lt;5,T$133&lt;2),"",IF(S165&lt;&gt;"",S165,IFERROR(IF(INDIRECT("'"&amp;S$86&amp;"'!"&amp;VLOOKUP(S$87,'List Values'!$C$3:$D$6,2,FALSE)&amp;ROW(S165))="","",INDIRECT("'"&amp;S$86&amp;"'!"&amp;VLOOKUP(S$87,'List Values'!$C$3:$D$6,2,FALSE)&amp;ROW(S165))),IF(S$86&lt;&gt;"","Data Source Error",""))))</f>
        <v/>
      </c>
      <c r="V165" s="528"/>
      <c r="W165" s="911" t="str">
        <f ca="1">IF(OR($H$7&lt;6,W$133&lt;2),"",IF(V165&lt;&gt;"",V165,IFERROR(IF(INDIRECT("'"&amp;V$86&amp;"'!"&amp;VLOOKUP(V$87,'List Values'!$C$3:$D$6,2,FALSE)&amp;ROW(V165))="","",INDIRECT("'"&amp;V$86&amp;"'!"&amp;VLOOKUP(V$87,'List Values'!$C$3:$D$6,2,FALSE)&amp;ROW(V165))),IF(V$86&lt;&gt;"","Data Source Error",""))))</f>
        <v/>
      </c>
      <c r="Y165" s="2643"/>
      <c r="Z165" s="2644"/>
      <c r="AA165" s="2644"/>
      <c r="AB165" s="2645"/>
    </row>
    <row r="166" spans="1:28" ht="15.75" customHeight="1" outlineLevel="1">
      <c r="A166" s="252"/>
      <c r="B166" s="252"/>
      <c r="C166" s="2680" t="s">
        <v>2524</v>
      </c>
      <c r="D166" s="2680"/>
      <c r="E166" s="2062"/>
      <c r="F166" s="2062"/>
      <c r="G166" s="636"/>
      <c r="H166" s="637"/>
      <c r="I166" s="187"/>
      <c r="J166" s="580"/>
      <c r="K166" s="900" t="str">
        <f ca="1">IF(OR($H$7&lt;2,K$133&lt;2),"",IF(J166&lt;&gt;"",J166,IFERROR(IF(INDIRECT("'"&amp;J$86&amp;"'!"&amp;VLOOKUP(J$87,'List Values'!$C$3:$D$6,2,FALSE)&amp;ROW(J166))="","",INDIRECT("'"&amp;J$86&amp;"'!"&amp;VLOOKUP(J$87,'List Values'!$C$3:$D$6,2,FALSE)&amp;ROW(J166))),IF(J$86&lt;&gt;"","Data Source Error",""))))</f>
        <v/>
      </c>
      <c r="L166" s="187"/>
      <c r="M166" s="580"/>
      <c r="N166" s="900" t="str">
        <f ca="1">IF(OR($H$7&lt;3,N$133&lt;2),"",IF(M166&lt;&gt;"",M166,IFERROR(IF(INDIRECT("'"&amp;M$86&amp;"'!"&amp;VLOOKUP(M$87,'List Values'!$C$3:$D$6,2,FALSE)&amp;ROW(M166))="","",INDIRECT("'"&amp;M$86&amp;"'!"&amp;VLOOKUP(M$87,'List Values'!$C$3:$D$6,2,FALSE)&amp;ROW(M166))),IF(M$86&lt;&gt;"","Data Source Error",""))))</f>
        <v/>
      </c>
      <c r="O166" s="187"/>
      <c r="P166" s="528"/>
      <c r="Q166" s="900" t="str">
        <f ca="1">IF(OR($H$7&lt;4,Q$133&lt;2),"",IF(P166&lt;&gt;"",P166,IFERROR(IF(INDIRECT("'"&amp;P$86&amp;"'!"&amp;VLOOKUP(P$87,'List Values'!$C$3:$D$6,2,FALSE)&amp;ROW(P166))="","",INDIRECT("'"&amp;P$86&amp;"'!"&amp;VLOOKUP(P$87,'List Values'!$C$3:$D$6,2,FALSE)&amp;ROW(P166))),IF(P$86&lt;&gt;"","Data Source Error",""))))</f>
        <v/>
      </c>
      <c r="S166" s="528"/>
      <c r="T166" s="900" t="str">
        <f ca="1">IF(OR($H$7&lt;5,T$133&lt;2),"",IF(S166&lt;&gt;"",S166,IFERROR(IF(INDIRECT("'"&amp;S$86&amp;"'!"&amp;VLOOKUP(S$87,'List Values'!$C$3:$D$6,2,FALSE)&amp;ROW(S166))="","",INDIRECT("'"&amp;S$86&amp;"'!"&amp;VLOOKUP(S$87,'List Values'!$C$3:$D$6,2,FALSE)&amp;ROW(S166))),IF(S$86&lt;&gt;"","Data Source Error",""))))</f>
        <v/>
      </c>
      <c r="V166" s="528"/>
      <c r="W166" s="911" t="str">
        <f ca="1">IF(OR($H$7&lt;6,W$133&lt;2),"",IF(V166&lt;&gt;"",V166,IFERROR(IF(INDIRECT("'"&amp;V$86&amp;"'!"&amp;VLOOKUP(V$87,'List Values'!$C$3:$D$6,2,FALSE)&amp;ROW(V166))="","",INDIRECT("'"&amp;V$86&amp;"'!"&amp;VLOOKUP(V$87,'List Values'!$C$3:$D$6,2,FALSE)&amp;ROW(V166))),IF(V$86&lt;&gt;"","Data Source Error",""))))</f>
        <v/>
      </c>
      <c r="Y166" s="2643"/>
      <c r="Z166" s="2644"/>
      <c r="AA166" s="2644"/>
      <c r="AB166" s="2645"/>
    </row>
    <row r="167" spans="1:28" ht="15.75" customHeight="1" outlineLevel="1">
      <c r="A167" s="252"/>
      <c r="B167" s="252"/>
      <c r="C167" s="2684" t="s">
        <v>2525</v>
      </c>
      <c r="D167" s="2684"/>
      <c r="E167" s="2062"/>
      <c r="F167" s="2062"/>
      <c r="G167" s="636"/>
      <c r="H167" s="637"/>
      <c r="I167" s="187"/>
      <c r="J167" s="580"/>
      <c r="K167" s="900" t="str">
        <f ca="1">IF(OR($H$7&lt;2,K$133&lt;2),"",IF(J167&lt;&gt;"",J167,IFERROR(IF(INDIRECT("'"&amp;J$86&amp;"'!"&amp;VLOOKUP(J$87,'List Values'!$C$3:$D$6,2,FALSE)&amp;ROW(J167))="","",INDIRECT("'"&amp;J$86&amp;"'!"&amp;VLOOKUP(J$87,'List Values'!$C$3:$D$6,2,FALSE)&amp;ROW(J167))),IF(J$86&lt;&gt;"","Data Source Error",""))))</f>
        <v/>
      </c>
      <c r="L167" s="187"/>
      <c r="M167" s="580"/>
      <c r="N167" s="900" t="str">
        <f ca="1">IF(OR($H$7&lt;3,N$133&lt;2),"",IF(M167&lt;&gt;"",M167,IFERROR(IF(INDIRECT("'"&amp;M$86&amp;"'!"&amp;VLOOKUP(M$87,'List Values'!$C$3:$D$6,2,FALSE)&amp;ROW(M167))="","",INDIRECT("'"&amp;M$86&amp;"'!"&amp;VLOOKUP(M$87,'List Values'!$C$3:$D$6,2,FALSE)&amp;ROW(M167))),IF(M$86&lt;&gt;"","Data Source Error",""))))</f>
        <v/>
      </c>
      <c r="O167" s="187"/>
      <c r="P167" s="528"/>
      <c r="Q167" s="900" t="str">
        <f ca="1">IF(OR($H$7&lt;4,Q$133&lt;2),"",IF(P167&lt;&gt;"",P167,IFERROR(IF(INDIRECT("'"&amp;P$86&amp;"'!"&amp;VLOOKUP(P$87,'List Values'!$C$3:$D$6,2,FALSE)&amp;ROW(P167))="","",INDIRECT("'"&amp;P$86&amp;"'!"&amp;VLOOKUP(P$87,'List Values'!$C$3:$D$6,2,FALSE)&amp;ROW(P167))),IF(P$86&lt;&gt;"","Data Source Error",""))))</f>
        <v/>
      </c>
      <c r="S167" s="528"/>
      <c r="T167" s="900" t="str">
        <f ca="1">IF(OR($H$7&lt;5,T$133&lt;2),"",IF(S167&lt;&gt;"",S167,IFERROR(IF(INDIRECT("'"&amp;S$86&amp;"'!"&amp;VLOOKUP(S$87,'List Values'!$C$3:$D$6,2,FALSE)&amp;ROW(S167))="","",INDIRECT("'"&amp;S$86&amp;"'!"&amp;VLOOKUP(S$87,'List Values'!$C$3:$D$6,2,FALSE)&amp;ROW(S167))),IF(S$86&lt;&gt;"","Data Source Error",""))))</f>
        <v/>
      </c>
      <c r="V167" s="528"/>
      <c r="W167" s="911" t="str">
        <f ca="1">IF(OR($H$7&lt;6,W$133&lt;2),"",IF(V167&lt;&gt;"",V167,IFERROR(IF(INDIRECT("'"&amp;V$86&amp;"'!"&amp;VLOOKUP(V$87,'List Values'!$C$3:$D$6,2,FALSE)&amp;ROW(V167))="","",INDIRECT("'"&amp;V$86&amp;"'!"&amp;VLOOKUP(V$87,'List Values'!$C$3:$D$6,2,FALSE)&amp;ROW(V167))),IF(V$86&lt;&gt;"","Data Source Error",""))))</f>
        <v/>
      </c>
      <c r="Y167" s="2643"/>
      <c r="Z167" s="2644"/>
      <c r="AA167" s="2644"/>
      <c r="AB167" s="2645"/>
    </row>
    <row r="168" spans="1:28" ht="31.5" customHeight="1" outlineLevel="1">
      <c r="A168" s="252"/>
      <c r="B168" s="252"/>
      <c r="C168" s="2680" t="s">
        <v>2526</v>
      </c>
      <c r="D168" s="2680"/>
      <c r="E168" s="2062"/>
      <c r="F168" s="2062"/>
      <c r="G168" s="636"/>
      <c r="H168" s="637"/>
      <c r="I168" s="187"/>
      <c r="J168" s="580"/>
      <c r="K168" s="900" t="str">
        <f ca="1">IF(OR($H$7&lt;2,K$133&lt;2),"",IF(J168&lt;&gt;"",J168,IFERROR(IF(INDIRECT("'"&amp;J$86&amp;"'!"&amp;VLOOKUP(J$87,'List Values'!$C$3:$D$6,2,FALSE)&amp;ROW(J168))="","",INDIRECT("'"&amp;J$86&amp;"'!"&amp;VLOOKUP(J$87,'List Values'!$C$3:$D$6,2,FALSE)&amp;ROW(J168))),IF(J$86&lt;&gt;"","Data Source Error",""))))</f>
        <v/>
      </c>
      <c r="L168" s="187"/>
      <c r="M168" s="580"/>
      <c r="N168" s="900" t="str">
        <f ca="1">IF(OR($H$7&lt;3,N$133&lt;2),"",IF(M168&lt;&gt;"",M168,IFERROR(IF(INDIRECT("'"&amp;M$86&amp;"'!"&amp;VLOOKUP(M$87,'List Values'!$C$3:$D$6,2,FALSE)&amp;ROW(M168))="","",INDIRECT("'"&amp;M$86&amp;"'!"&amp;VLOOKUP(M$87,'List Values'!$C$3:$D$6,2,FALSE)&amp;ROW(M168))),IF(M$86&lt;&gt;"","Data Source Error",""))))</f>
        <v/>
      </c>
      <c r="O168" s="187"/>
      <c r="P168" s="528"/>
      <c r="Q168" s="900" t="str">
        <f ca="1">IF(OR($H$7&lt;4,Q$133&lt;2),"",IF(P168&lt;&gt;"",P168,IFERROR(IF(INDIRECT("'"&amp;P$86&amp;"'!"&amp;VLOOKUP(P$87,'List Values'!$C$3:$D$6,2,FALSE)&amp;ROW(P168))="","",INDIRECT("'"&amp;P$86&amp;"'!"&amp;VLOOKUP(P$87,'List Values'!$C$3:$D$6,2,FALSE)&amp;ROW(P168))),IF(P$86&lt;&gt;"","Data Source Error",""))))</f>
        <v/>
      </c>
      <c r="S168" s="528"/>
      <c r="T168" s="900" t="str">
        <f ca="1">IF(OR($H$7&lt;5,T$133&lt;2),"",IF(S168&lt;&gt;"",S168,IFERROR(IF(INDIRECT("'"&amp;S$86&amp;"'!"&amp;VLOOKUP(S$87,'List Values'!$C$3:$D$6,2,FALSE)&amp;ROW(S168))="","",INDIRECT("'"&amp;S$86&amp;"'!"&amp;VLOOKUP(S$87,'List Values'!$C$3:$D$6,2,FALSE)&amp;ROW(S168))),IF(S$86&lt;&gt;"","Data Source Error",""))))</f>
        <v/>
      </c>
      <c r="V168" s="528"/>
      <c r="W168" s="911" t="str">
        <f ca="1">IF(OR($H$7&lt;6,W$133&lt;2),"",IF(V168&lt;&gt;"",V168,IFERROR(IF(INDIRECT("'"&amp;V$86&amp;"'!"&amp;VLOOKUP(V$87,'List Values'!$C$3:$D$6,2,FALSE)&amp;ROW(V168))="","",INDIRECT("'"&amp;V$86&amp;"'!"&amp;VLOOKUP(V$87,'List Values'!$C$3:$D$6,2,FALSE)&amp;ROW(V168))),IF(V$86&lt;&gt;"","Data Source Error",""))))</f>
        <v/>
      </c>
      <c r="Y168" s="2643"/>
      <c r="Z168" s="2644"/>
      <c r="AA168" s="2644"/>
      <c r="AB168" s="2645"/>
    </row>
    <row r="169" spans="1:28" ht="48" customHeight="1" outlineLevel="1">
      <c r="A169" s="252"/>
      <c r="B169" s="252"/>
      <c r="C169" s="2680" t="s">
        <v>2527</v>
      </c>
      <c r="D169" s="2680"/>
      <c r="E169" s="2062"/>
      <c r="F169" s="2062"/>
      <c r="G169" s="636"/>
      <c r="H169" s="637"/>
      <c r="I169" s="187"/>
      <c r="J169" s="580"/>
      <c r="K169" s="900" t="str">
        <f ca="1">IF(OR($H$7&lt;2,K$133&lt;2),"",IF(J169&lt;&gt;"",J169,IFERROR(IF(INDIRECT("'"&amp;J$86&amp;"'!"&amp;VLOOKUP(J$87,'List Values'!$C$3:$D$6,2,FALSE)&amp;ROW(J169))="","",INDIRECT("'"&amp;J$86&amp;"'!"&amp;VLOOKUP(J$87,'List Values'!$C$3:$D$6,2,FALSE)&amp;ROW(J169))),IF(J$86&lt;&gt;"","Data Source Error",""))))</f>
        <v/>
      </c>
      <c r="L169" s="187"/>
      <c r="M169" s="580"/>
      <c r="N169" s="900" t="str">
        <f ca="1">IF(OR($H$7&lt;3,N$133&lt;2),"",IF(M169&lt;&gt;"",M169,IFERROR(IF(INDIRECT("'"&amp;M$86&amp;"'!"&amp;VLOOKUP(M$87,'List Values'!$C$3:$D$6,2,FALSE)&amp;ROW(M169))="","",INDIRECT("'"&amp;M$86&amp;"'!"&amp;VLOOKUP(M$87,'List Values'!$C$3:$D$6,2,FALSE)&amp;ROW(M169))),IF(M$86&lt;&gt;"","Data Source Error",""))))</f>
        <v/>
      </c>
      <c r="O169" s="187"/>
      <c r="P169" s="528"/>
      <c r="Q169" s="900" t="str">
        <f ca="1">IF(OR($H$7&lt;4,Q$133&lt;2),"",IF(P169&lt;&gt;"",P169,IFERROR(IF(INDIRECT("'"&amp;P$86&amp;"'!"&amp;VLOOKUP(P$87,'List Values'!$C$3:$D$6,2,FALSE)&amp;ROW(P169))="","",INDIRECT("'"&amp;P$86&amp;"'!"&amp;VLOOKUP(P$87,'List Values'!$C$3:$D$6,2,FALSE)&amp;ROW(P169))),IF(P$86&lt;&gt;"","Data Source Error",""))))</f>
        <v/>
      </c>
      <c r="S169" s="528"/>
      <c r="T169" s="900" t="str">
        <f ca="1">IF(OR($H$7&lt;5,T$133&lt;2),"",IF(S169&lt;&gt;"",S169,IFERROR(IF(INDIRECT("'"&amp;S$86&amp;"'!"&amp;VLOOKUP(S$87,'List Values'!$C$3:$D$6,2,FALSE)&amp;ROW(S169))="","",INDIRECT("'"&amp;S$86&amp;"'!"&amp;VLOOKUP(S$87,'List Values'!$C$3:$D$6,2,FALSE)&amp;ROW(S169))),IF(S$86&lt;&gt;"","Data Source Error",""))))</f>
        <v/>
      </c>
      <c r="V169" s="528"/>
      <c r="W169" s="911" t="str">
        <f ca="1">IF(OR($H$7&lt;6,W$133&lt;2),"",IF(V169&lt;&gt;"",V169,IFERROR(IF(INDIRECT("'"&amp;V$86&amp;"'!"&amp;VLOOKUP(V$87,'List Values'!$C$3:$D$6,2,FALSE)&amp;ROW(V169))="","",INDIRECT("'"&amp;V$86&amp;"'!"&amp;VLOOKUP(V$87,'List Values'!$C$3:$D$6,2,FALSE)&amp;ROW(V169))),IF(V$86&lt;&gt;"","Data Source Error",""))))</f>
        <v/>
      </c>
      <c r="Y169" s="2643"/>
      <c r="Z169" s="2644"/>
      <c r="AA169" s="2644"/>
      <c r="AB169" s="2645"/>
    </row>
    <row r="170" spans="1:28" ht="46.5" customHeight="1" outlineLevel="1">
      <c r="A170" s="252"/>
      <c r="B170" s="252"/>
      <c r="C170" s="2680" t="s">
        <v>2528</v>
      </c>
      <c r="D170" s="2680"/>
      <c r="E170" s="2062"/>
      <c r="F170" s="2062"/>
      <c r="G170" s="636"/>
      <c r="H170" s="637"/>
      <c r="I170" s="187"/>
      <c r="J170" s="580"/>
      <c r="K170" s="900" t="str">
        <f ca="1">IF(OR($H$7&lt;2,K$133&lt;2),"",IF(J170&lt;&gt;"",J170,IFERROR(IF(INDIRECT("'"&amp;J$86&amp;"'!"&amp;VLOOKUP(J$87,'List Values'!$C$3:$D$6,2,FALSE)&amp;ROW(J170))="","",INDIRECT("'"&amp;J$86&amp;"'!"&amp;VLOOKUP(J$87,'List Values'!$C$3:$D$6,2,FALSE)&amp;ROW(J170))),IF(J$86&lt;&gt;"","Data Source Error",""))))</f>
        <v/>
      </c>
      <c r="L170" s="187"/>
      <c r="M170" s="580"/>
      <c r="N170" s="900" t="str">
        <f ca="1">IF(OR($H$7&lt;3,N$133&lt;2),"",IF(M170&lt;&gt;"",M170,IFERROR(IF(INDIRECT("'"&amp;M$86&amp;"'!"&amp;VLOOKUP(M$87,'List Values'!$C$3:$D$6,2,FALSE)&amp;ROW(M170))="","",INDIRECT("'"&amp;M$86&amp;"'!"&amp;VLOOKUP(M$87,'List Values'!$C$3:$D$6,2,FALSE)&amp;ROW(M170))),IF(M$86&lt;&gt;"","Data Source Error",""))))</f>
        <v/>
      </c>
      <c r="O170" s="187"/>
      <c r="P170" s="528"/>
      <c r="Q170" s="900" t="str">
        <f ca="1">IF(OR($H$7&lt;4,Q$133&lt;2),"",IF(P170&lt;&gt;"",P170,IFERROR(IF(INDIRECT("'"&amp;P$86&amp;"'!"&amp;VLOOKUP(P$87,'List Values'!$C$3:$D$6,2,FALSE)&amp;ROW(P170))="","",INDIRECT("'"&amp;P$86&amp;"'!"&amp;VLOOKUP(P$87,'List Values'!$C$3:$D$6,2,FALSE)&amp;ROW(P170))),IF(P$86&lt;&gt;"","Data Source Error",""))))</f>
        <v/>
      </c>
      <c r="S170" s="528"/>
      <c r="T170" s="900" t="str">
        <f ca="1">IF(OR($H$7&lt;5,T$133&lt;2),"",IF(S170&lt;&gt;"",S170,IFERROR(IF(INDIRECT("'"&amp;S$86&amp;"'!"&amp;VLOOKUP(S$87,'List Values'!$C$3:$D$6,2,FALSE)&amp;ROW(S170))="","",INDIRECT("'"&amp;S$86&amp;"'!"&amp;VLOOKUP(S$87,'List Values'!$C$3:$D$6,2,FALSE)&amp;ROW(S170))),IF(S$86&lt;&gt;"","Data Source Error",""))))</f>
        <v/>
      </c>
      <c r="V170" s="528"/>
      <c r="W170" s="911" t="str">
        <f ca="1">IF(OR($H$7&lt;6,W$133&lt;2),"",IF(V170&lt;&gt;"",V170,IFERROR(IF(INDIRECT("'"&amp;V$86&amp;"'!"&amp;VLOOKUP(V$87,'List Values'!$C$3:$D$6,2,FALSE)&amp;ROW(V170))="","",INDIRECT("'"&amp;V$86&amp;"'!"&amp;VLOOKUP(V$87,'List Values'!$C$3:$D$6,2,FALSE)&amp;ROW(V170))),IF(V$86&lt;&gt;"","Data Source Error",""))))</f>
        <v/>
      </c>
      <c r="Y170" s="2643"/>
      <c r="Z170" s="2644"/>
      <c r="AA170" s="2644"/>
      <c r="AB170" s="2645"/>
    </row>
    <row r="171" spans="1:28" ht="15.75" customHeight="1" outlineLevel="1">
      <c r="A171" s="252"/>
      <c r="B171" s="252"/>
      <c r="C171" s="2680" t="s">
        <v>650</v>
      </c>
      <c r="D171" s="2680"/>
      <c r="E171" s="2062"/>
      <c r="F171" s="2062"/>
      <c r="G171" s="636"/>
      <c r="H171" s="637"/>
      <c r="I171" s="187"/>
      <c r="J171" s="580"/>
      <c r="K171" s="900" t="str">
        <f ca="1">IF(OR($H$7&lt;2,K$133&lt;2),"",IF(J171&lt;&gt;"",J171,IFERROR(IF(INDIRECT("'"&amp;J$86&amp;"'!"&amp;VLOOKUP(J$87,'List Values'!$C$3:$D$6,2,FALSE)&amp;ROW(J171))="","",INDIRECT("'"&amp;J$86&amp;"'!"&amp;VLOOKUP(J$87,'List Values'!$C$3:$D$6,2,FALSE)&amp;ROW(J171))),IF(J$86&lt;&gt;"","Data Source Error",""))))</f>
        <v/>
      </c>
      <c r="L171" s="187"/>
      <c r="M171" s="580"/>
      <c r="N171" s="900" t="str">
        <f ca="1">IF(OR($H$7&lt;3,N$133&lt;2),"",IF(M171&lt;&gt;"",M171,IFERROR(IF(INDIRECT("'"&amp;M$86&amp;"'!"&amp;VLOOKUP(M$87,'List Values'!$C$3:$D$6,2,FALSE)&amp;ROW(M171))="","",INDIRECT("'"&amp;M$86&amp;"'!"&amp;VLOOKUP(M$87,'List Values'!$C$3:$D$6,2,FALSE)&amp;ROW(M171))),IF(M$86&lt;&gt;"","Data Source Error",""))))</f>
        <v/>
      </c>
      <c r="O171" s="187"/>
      <c r="P171" s="528"/>
      <c r="Q171" s="900" t="str">
        <f ca="1">IF(OR($H$7&lt;4,Q$133&lt;2),"",IF(P171&lt;&gt;"",P171,IFERROR(IF(INDIRECT("'"&amp;P$86&amp;"'!"&amp;VLOOKUP(P$87,'List Values'!$C$3:$D$6,2,FALSE)&amp;ROW(P171))="","",INDIRECT("'"&amp;P$86&amp;"'!"&amp;VLOOKUP(P$87,'List Values'!$C$3:$D$6,2,FALSE)&amp;ROW(P171))),IF(P$86&lt;&gt;"","Data Source Error",""))))</f>
        <v/>
      </c>
      <c r="S171" s="528"/>
      <c r="T171" s="900" t="str">
        <f ca="1">IF(OR($H$7&lt;5,T$133&lt;2),"",IF(S171&lt;&gt;"",S171,IFERROR(IF(INDIRECT("'"&amp;S$86&amp;"'!"&amp;VLOOKUP(S$87,'List Values'!$C$3:$D$6,2,FALSE)&amp;ROW(S171))="","",INDIRECT("'"&amp;S$86&amp;"'!"&amp;VLOOKUP(S$87,'List Values'!$C$3:$D$6,2,FALSE)&amp;ROW(S171))),IF(S$86&lt;&gt;"","Data Source Error",""))))</f>
        <v/>
      </c>
      <c r="V171" s="528"/>
      <c r="W171" s="911" t="str">
        <f ca="1">IF(OR($H$7&lt;6,W$133&lt;2),"",IF(V171&lt;&gt;"",V171,IFERROR(IF(INDIRECT("'"&amp;V$86&amp;"'!"&amp;VLOOKUP(V$87,'List Values'!$C$3:$D$6,2,FALSE)&amp;ROW(V171))="","",INDIRECT("'"&amp;V$86&amp;"'!"&amp;VLOOKUP(V$87,'List Values'!$C$3:$D$6,2,FALSE)&amp;ROW(V171))),IF(V$86&lt;&gt;"","Data Source Error",""))))</f>
        <v/>
      </c>
      <c r="Y171" s="2643"/>
      <c r="Z171" s="2644"/>
      <c r="AA171" s="2644"/>
      <c r="AB171" s="2645"/>
    </row>
    <row r="172" spans="1:28" ht="31.5" customHeight="1" outlineLevel="1">
      <c r="A172" s="252"/>
      <c r="B172" s="252"/>
      <c r="C172" s="2680" t="s">
        <v>651</v>
      </c>
      <c r="D172" s="2680"/>
      <c r="E172" s="2062"/>
      <c r="F172" s="2062"/>
      <c r="G172" s="636"/>
      <c r="H172" s="637"/>
      <c r="I172" s="184"/>
      <c r="J172" s="624"/>
      <c r="K172" s="941" t="str">
        <f ca="1">IF(OR($H$7&lt;2,K$133&lt;2),"",IF(J172&lt;&gt;"",J172,IFERROR(IF(INDIRECT("'"&amp;J$86&amp;"'!"&amp;VLOOKUP(J$87,'List Values'!$C$3:$D$6,2,FALSE)&amp;ROW(J172))="","",INDIRECT("'"&amp;J$86&amp;"'!"&amp;VLOOKUP(J$87,'List Values'!$C$3:$D$6,2,FALSE)&amp;ROW(J172))),IF(J$86&lt;&gt;"","Data Source Error",""))))</f>
        <v/>
      </c>
      <c r="L172" s="184"/>
      <c r="M172" s="624"/>
      <c r="N172" s="941" t="str">
        <f ca="1">IF(OR($H$7&lt;3,N$133&lt;2),"",IF(M172&lt;&gt;"",M172,IFERROR(IF(INDIRECT("'"&amp;M$86&amp;"'!"&amp;VLOOKUP(M$87,'List Values'!$C$3:$D$6,2,FALSE)&amp;ROW(M172))="","",INDIRECT("'"&amp;M$86&amp;"'!"&amp;VLOOKUP(M$87,'List Values'!$C$3:$D$6,2,FALSE)&amp;ROW(M172))),IF(M$86&lt;&gt;"","Data Source Error",""))))</f>
        <v/>
      </c>
      <c r="O172" s="184"/>
      <c r="P172" s="528"/>
      <c r="Q172" s="941" t="str">
        <f ca="1">IF(OR($H$7&lt;4,Q$133&lt;2),"",IF(P172&lt;&gt;"",P172,IFERROR(IF(INDIRECT("'"&amp;P$86&amp;"'!"&amp;VLOOKUP(P$87,'List Values'!$C$3:$D$6,2,FALSE)&amp;ROW(P172))="","",INDIRECT("'"&amp;P$86&amp;"'!"&amp;VLOOKUP(P$87,'List Values'!$C$3:$D$6,2,FALSE)&amp;ROW(P172))),IF(P$86&lt;&gt;"","Data Source Error",""))))</f>
        <v/>
      </c>
      <c r="S172" s="528"/>
      <c r="T172" s="941" t="str">
        <f ca="1">IF(OR($H$7&lt;5,T$133&lt;2),"",IF(S172&lt;&gt;"",S172,IFERROR(IF(INDIRECT("'"&amp;S$86&amp;"'!"&amp;VLOOKUP(S$87,'List Values'!$C$3:$D$6,2,FALSE)&amp;ROW(S172))="","",INDIRECT("'"&amp;S$86&amp;"'!"&amp;VLOOKUP(S$87,'List Values'!$C$3:$D$6,2,FALSE)&amp;ROW(S172))),IF(S$86&lt;&gt;"","Data Source Error",""))))</f>
        <v/>
      </c>
      <c r="V172" s="528"/>
      <c r="W172" s="947" t="str">
        <f ca="1">IF(OR($H$7&lt;6,W$133&lt;2),"",IF(V172&lt;&gt;"",V172,IFERROR(IF(INDIRECT("'"&amp;V$86&amp;"'!"&amp;VLOOKUP(V$87,'List Values'!$C$3:$D$6,2,FALSE)&amp;ROW(V172))="","",INDIRECT("'"&amp;V$86&amp;"'!"&amp;VLOOKUP(V$87,'List Values'!$C$3:$D$6,2,FALSE)&amp;ROW(V172))),IF(V$86&lt;&gt;"","Data Source Error",""))))</f>
        <v/>
      </c>
      <c r="Y172" s="2643"/>
      <c r="Z172" s="2644"/>
      <c r="AA172" s="2644"/>
      <c r="AB172" s="2645"/>
    </row>
    <row r="173" spans="1:28" ht="31.5" customHeight="1" outlineLevel="1">
      <c r="A173" s="237"/>
      <c r="B173" s="252"/>
      <c r="C173" s="2680" t="s">
        <v>684</v>
      </c>
      <c r="D173" s="2680"/>
      <c r="E173" s="238"/>
      <c r="F173" s="238"/>
      <c r="G173" s="638"/>
      <c r="H173" s="639"/>
      <c r="J173" s="583"/>
      <c r="K173" s="930" t="str">
        <f ca="1">IF(OR($H$7&lt;2,K$133&lt;2),"",IF(J173&lt;&gt;"",J173,IFERROR(IF(INDIRECT("'"&amp;J$86&amp;"'!"&amp;VLOOKUP(J$87,'List Values'!$C$3:$D$6,2,FALSE)&amp;ROW(J173))="","",INDIRECT("'"&amp;J$86&amp;"'!"&amp;VLOOKUP(J$87,'List Values'!$C$3:$D$6,2,FALSE)&amp;ROW(J173))),IF(J$86&lt;&gt;"","Data Source Error",""))))</f>
        <v/>
      </c>
      <c r="M173" s="583"/>
      <c r="N173" s="941" t="str">
        <f ca="1">IF(OR($H$7&lt;3,N$133&lt;2),"",IF(M173&lt;&gt;"",M173,IFERROR(IF(INDIRECT("'"&amp;M$86&amp;"'!"&amp;VLOOKUP(M$87,'List Values'!$C$3:$D$6,2,FALSE)&amp;ROW(M173))="","",INDIRECT("'"&amp;M$86&amp;"'!"&amp;VLOOKUP(M$87,'List Values'!$C$3:$D$6,2,FALSE)&amp;ROW(M173))),IF(M$86&lt;&gt;"","Data Source Error",""))))</f>
        <v/>
      </c>
      <c r="P173" s="582"/>
      <c r="Q173" s="941" t="str">
        <f ca="1">IF(OR($H$7&lt;4,Q$133&lt;2),"",IF(P173&lt;&gt;"",P173,IFERROR(IF(INDIRECT("'"&amp;P$86&amp;"'!"&amp;VLOOKUP(P$87,'List Values'!$C$3:$D$6,2,FALSE)&amp;ROW(P173))="","",INDIRECT("'"&amp;P$86&amp;"'!"&amp;VLOOKUP(P$87,'List Values'!$C$3:$D$6,2,FALSE)&amp;ROW(P173))),IF(P$86&lt;&gt;"","Data Source Error",""))))</f>
        <v/>
      </c>
      <c r="S173" s="582"/>
      <c r="T173" s="972" t="str">
        <f ca="1">IF(OR($H$7&lt;5,T$133&lt;2),"",IF(S173&lt;&gt;"",S173,IFERROR(IF(INDIRECT("'"&amp;S$86&amp;"'!"&amp;VLOOKUP(S$87,'List Values'!$C$3:$D$6,2,FALSE)&amp;ROW(S173))="","",INDIRECT("'"&amp;S$86&amp;"'!"&amp;VLOOKUP(S$87,'List Values'!$C$3:$D$6,2,FALSE)&amp;ROW(S173))),IF(S$86&lt;&gt;"","Data Source Error",""))))</f>
        <v/>
      </c>
      <c r="V173" s="582"/>
      <c r="W173" s="976" t="str">
        <f ca="1">IF(OR($H$7&lt;6,W$133&lt;2),"",IF(V173&lt;&gt;"",V173,IFERROR(IF(INDIRECT("'"&amp;V$86&amp;"'!"&amp;VLOOKUP(V$87,'List Values'!$C$3:$D$6,2,FALSE)&amp;ROW(V173))="","",INDIRECT("'"&amp;V$86&amp;"'!"&amp;VLOOKUP(V$87,'List Values'!$C$3:$D$6,2,FALSE)&amp;ROW(V173))),IF(V$86&lt;&gt;"","Data Source Error",""))))</f>
        <v/>
      </c>
      <c r="Y173" s="2643"/>
      <c r="Z173" s="2644"/>
      <c r="AA173" s="2644"/>
      <c r="AB173" s="2645"/>
    </row>
    <row r="174" spans="1:28" ht="18.75" customHeight="1">
      <c r="A174" s="237"/>
      <c r="B174" s="612" t="s">
        <v>611</v>
      </c>
      <c r="C174" s="604"/>
      <c r="D174" s="604"/>
      <c r="E174" s="604"/>
      <c r="F174" s="604"/>
      <c r="G174" s="604"/>
      <c r="H174" s="604"/>
      <c r="I174" s="608"/>
      <c r="J174" s="606"/>
      <c r="K174" s="961"/>
      <c r="L174" s="608"/>
      <c r="M174" s="610"/>
      <c r="N174" s="970"/>
      <c r="O174" s="608"/>
      <c r="P174" s="610"/>
      <c r="Q174" s="970"/>
      <c r="R174" s="608"/>
      <c r="S174" s="610"/>
      <c r="T174" s="970"/>
      <c r="U174" s="608"/>
      <c r="V174" s="610"/>
      <c r="W174" s="970"/>
      <c r="Y174" s="631"/>
      <c r="Z174" s="631"/>
      <c r="AA174" s="631"/>
      <c r="AB174" s="631"/>
    </row>
    <row r="175" spans="1:28" ht="15.75" customHeight="1" outlineLevel="1">
      <c r="A175" s="252"/>
      <c r="B175" s="252"/>
      <c r="C175" s="2680" t="s">
        <v>731</v>
      </c>
      <c r="D175" s="2680"/>
      <c r="E175" s="2060"/>
      <c r="F175" s="2060"/>
      <c r="G175" s="640"/>
      <c r="H175" s="641"/>
      <c r="I175" s="183"/>
      <c r="J175" s="628"/>
      <c r="K175" s="967" t="str">
        <f ca="1">IF(OR($H$7&lt;2,K$133&lt;3),"",IF(J175&lt;&gt;"",J175,IFERROR(IF(INDIRECT("'"&amp;J$86&amp;"'!"&amp;VLOOKUP(J$87,'List Values'!$C$3:$D$6,2,FALSE)&amp;ROW(J175))="","",INDIRECT("'"&amp;J$86&amp;"'!"&amp;VLOOKUP(J$87,'List Values'!$C$3:$D$6,2,FALSE)&amp;ROW(J175))),IF(J$86&lt;&gt;"","Data Source Error",""))))</f>
        <v/>
      </c>
      <c r="L175" s="629"/>
      <c r="M175" s="628"/>
      <c r="N175" s="967" t="str">
        <f ca="1">IF(OR($H$7&lt;3,N$133&lt;3),"",IF(M175&lt;&gt;"",M175,IFERROR(IF(INDIRECT("'"&amp;M$86&amp;"'!"&amp;VLOOKUP(M$87,'List Values'!$C$3:$D$6,2,FALSE)&amp;ROW(M175))="","",INDIRECT("'"&amp;M$86&amp;"'!"&amp;VLOOKUP(M$87,'List Values'!$C$3:$D$6,2,FALSE)&amp;ROW(M175))),IF(M$86&lt;&gt;"","Data Source Error",""))))</f>
        <v/>
      </c>
      <c r="O175" s="629"/>
      <c r="P175" s="590"/>
      <c r="Q175" s="967" t="str">
        <f ca="1">IF(OR($H$7&lt;4,Q$133&lt;3),"",IF(P175&lt;&gt;"",P175,IFERROR(IF(INDIRECT("'"&amp;P$86&amp;"'!"&amp;VLOOKUP(P$87,'List Values'!$C$3:$D$6,2,FALSE)&amp;ROW(P175))="","",INDIRECT("'"&amp;P$86&amp;"'!"&amp;VLOOKUP(P$87,'List Values'!$C$3:$D$6,2,FALSE)&amp;ROW(P175))),IF(P$86&lt;&gt;"","Data Source Error",""))))</f>
        <v/>
      </c>
      <c r="R175" s="147"/>
      <c r="S175" s="590"/>
      <c r="T175" s="967" t="str">
        <f ca="1">IF(OR($H$7&lt;5,T$133&lt;3),"",IF(S175&lt;&gt;"",S175,IFERROR(IF(INDIRECT("'"&amp;S$86&amp;"'!"&amp;VLOOKUP(S$87,'List Values'!$C$3:$D$6,2,FALSE)&amp;ROW(S175))="","",INDIRECT("'"&amp;S$86&amp;"'!"&amp;VLOOKUP(S$87,'List Values'!$C$3:$D$6,2,FALSE)&amp;ROW(S175))),IF(S$86&lt;&gt;"","Data Source Error",""))))</f>
        <v/>
      </c>
      <c r="U175" s="147"/>
      <c r="V175" s="590"/>
      <c r="W175" s="973" t="str">
        <f ca="1">IF(OR($H$7&lt;6,W$133&lt;3),"",IF(V175&lt;&gt;"",V175,IFERROR(IF(INDIRECT("'"&amp;V$86&amp;"'!"&amp;VLOOKUP(V$87,'List Values'!$C$3:$D$6,2,FALSE)&amp;ROW(V175))="","",INDIRECT("'"&amp;V$86&amp;"'!"&amp;VLOOKUP(V$87,'List Values'!$C$3:$D$6,2,FALSE)&amp;ROW(V175))),IF(V$86&lt;&gt;"","Data Source Error",""))))</f>
        <v/>
      </c>
      <c r="Y175" s="2643"/>
      <c r="Z175" s="2644"/>
      <c r="AA175" s="2644"/>
      <c r="AB175" s="2645"/>
    </row>
    <row r="176" spans="1:28" ht="15.75" customHeight="1" outlineLevel="1">
      <c r="A176" s="252"/>
      <c r="B176" s="252"/>
      <c r="C176" s="2680" t="s">
        <v>626</v>
      </c>
      <c r="D176" s="2680"/>
      <c r="E176" s="2062"/>
      <c r="F176" s="2062"/>
      <c r="G176" s="636"/>
      <c r="H176" s="637"/>
      <c r="I176" s="187"/>
      <c r="J176" s="526"/>
      <c r="K176" s="900" t="str">
        <f ca="1">IF(OR($H$7&lt;2,K$133&lt;3),"",IF(J176&lt;&gt;"",J176,IFERROR(IF(INDIRECT("'"&amp;J$86&amp;"'!"&amp;VLOOKUP(J$87,'List Values'!$C$3:$D$6,2,FALSE)&amp;ROW(J176))="","",INDIRECT("'"&amp;J$86&amp;"'!"&amp;VLOOKUP(J$87,'List Values'!$C$3:$D$6,2,FALSE)&amp;ROW(J176))),IF(J$86&lt;&gt;"","Data Source Error",""))))</f>
        <v/>
      </c>
      <c r="L176" s="187"/>
      <c r="M176" s="526"/>
      <c r="N176" s="900" t="str">
        <f ca="1">IF(OR($H$7&lt;3,N$133&lt;3),"",IF(M176&lt;&gt;"",M176,IFERROR(IF(INDIRECT("'"&amp;M$86&amp;"'!"&amp;VLOOKUP(M$87,'List Values'!$C$3:$D$6,2,FALSE)&amp;ROW(M176))="","",INDIRECT("'"&amp;M$86&amp;"'!"&amp;VLOOKUP(M$87,'List Values'!$C$3:$D$6,2,FALSE)&amp;ROW(M176))),IF(M$86&lt;&gt;"","Data Source Error",""))))</f>
        <v/>
      </c>
      <c r="O176" s="187"/>
      <c r="P176" s="560"/>
      <c r="Q176" s="900" t="str">
        <f ca="1">IF(OR($H$7&lt;4,Q$133&lt;3),"",IF(P176&lt;&gt;"",P176,IFERROR(IF(INDIRECT("'"&amp;P$86&amp;"'!"&amp;VLOOKUP(P$87,'List Values'!$C$3:$D$6,2,FALSE)&amp;ROW(P176))="","",INDIRECT("'"&amp;P$86&amp;"'!"&amp;VLOOKUP(P$87,'List Values'!$C$3:$D$6,2,FALSE)&amp;ROW(P176))),IF(P$86&lt;&gt;"","Data Source Error",""))))</f>
        <v/>
      </c>
      <c r="S176" s="560"/>
      <c r="T176" s="900" t="str">
        <f ca="1">IF(OR($H$7&lt;5,T$133&lt;3),"",IF(S176&lt;&gt;"",S176,IFERROR(IF(INDIRECT("'"&amp;S$86&amp;"'!"&amp;VLOOKUP(S$87,'List Values'!$C$3:$D$6,2,FALSE)&amp;ROW(S176))="","",INDIRECT("'"&amp;S$86&amp;"'!"&amp;VLOOKUP(S$87,'List Values'!$C$3:$D$6,2,FALSE)&amp;ROW(S176))),IF(S$86&lt;&gt;"","Data Source Error",""))))</f>
        <v/>
      </c>
      <c r="V176" s="560"/>
      <c r="W176" s="911" t="str">
        <f ca="1">IF(OR($H$7&lt;6,W$133&lt;3),"",IF(V176&lt;&gt;"",V176,IFERROR(IF(INDIRECT("'"&amp;V$86&amp;"'!"&amp;VLOOKUP(V$87,'List Values'!$C$3:$D$6,2,FALSE)&amp;ROW(V176))="","",INDIRECT("'"&amp;V$86&amp;"'!"&amp;VLOOKUP(V$87,'List Values'!$C$3:$D$6,2,FALSE)&amp;ROW(V176))),IF(V$86&lt;&gt;"","Data Source Error",""))))</f>
        <v/>
      </c>
      <c r="Y176" s="2643"/>
      <c r="Z176" s="2644"/>
      <c r="AA176" s="2644"/>
      <c r="AB176" s="2645"/>
    </row>
    <row r="177" spans="1:28" ht="30.75" customHeight="1" outlineLevel="1">
      <c r="A177" s="252"/>
      <c r="B177" s="252"/>
      <c r="C177" s="2680" t="s">
        <v>2520</v>
      </c>
      <c r="D177" s="2680"/>
      <c r="E177" s="2062"/>
      <c r="F177" s="2062"/>
      <c r="G177" s="636"/>
      <c r="H177" s="637"/>
      <c r="I177" s="183"/>
      <c r="J177" s="561"/>
      <c r="K177" s="897" t="str">
        <f ca="1">IF(OR($H$7&lt;2,K$133&lt;3),"",IF(J177&lt;&gt;"",J177,IFERROR(IF(INDIRECT("'"&amp;J$86&amp;"'!"&amp;VLOOKUP(J$87,'List Values'!$C$3:$D$6,2,FALSE)&amp;ROW(J177))="","",INDIRECT("'"&amp;J$86&amp;"'!"&amp;VLOOKUP(J$87,'List Values'!$C$3:$D$6,2,FALSE)&amp;ROW(J177))),IF(J$86&lt;&gt;"","Data Source Error",""))))</f>
        <v/>
      </c>
      <c r="L177" s="183"/>
      <c r="M177" s="561"/>
      <c r="N177" s="897" t="str">
        <f ca="1">IF(OR($H$7&lt;3,N$133&lt;3),"",IF(M177&lt;&gt;"",M177,IFERROR(IF(INDIRECT("'"&amp;M$86&amp;"'!"&amp;VLOOKUP(M$87,'List Values'!$C$3:$D$6,2,FALSE)&amp;ROW(M177))="","",INDIRECT("'"&amp;M$86&amp;"'!"&amp;VLOOKUP(M$87,'List Values'!$C$3:$D$6,2,FALSE)&amp;ROW(M177))),IF(M$86&lt;&gt;"","Data Source Error",""))))</f>
        <v/>
      </c>
      <c r="O177" s="183"/>
      <c r="P177" s="558"/>
      <c r="Q177" s="897" t="str">
        <f ca="1">IF(OR($H$7&lt;4,Q$133&lt;3),"",IF(P177&lt;&gt;"",P177,IFERROR(IF(INDIRECT("'"&amp;P$86&amp;"'!"&amp;VLOOKUP(P$87,'List Values'!$C$3:$D$6,2,FALSE)&amp;ROW(P177))="","",INDIRECT("'"&amp;P$86&amp;"'!"&amp;VLOOKUP(P$87,'List Values'!$C$3:$D$6,2,FALSE)&amp;ROW(P177))),IF(P$86&lt;&gt;"","Data Source Error",""))))</f>
        <v/>
      </c>
      <c r="S177" s="558"/>
      <c r="T177" s="897" t="str">
        <f ca="1">IF(OR($H$7&lt;5,T$133&lt;3),"",IF(S177&lt;&gt;"",S177,IFERROR(IF(INDIRECT("'"&amp;S$86&amp;"'!"&amp;VLOOKUP(S$87,'List Values'!$C$3:$D$6,2,FALSE)&amp;ROW(S177))="","",INDIRECT("'"&amp;S$86&amp;"'!"&amp;VLOOKUP(S$87,'List Values'!$C$3:$D$6,2,FALSE)&amp;ROW(S177))),IF(S$86&lt;&gt;"","Data Source Error",""))))</f>
        <v/>
      </c>
      <c r="V177" s="558"/>
      <c r="W177" s="908" t="str">
        <f ca="1">IF(OR($H$7&lt;6,W$133&lt;3),"",IF(V177&lt;&gt;"",V177,IFERROR(IF(INDIRECT("'"&amp;V$86&amp;"'!"&amp;VLOOKUP(V$87,'List Values'!$C$3:$D$6,2,FALSE)&amp;ROW(V177))="","",INDIRECT("'"&amp;V$86&amp;"'!"&amp;VLOOKUP(V$87,'List Values'!$C$3:$D$6,2,FALSE)&amp;ROW(V177))),IF(V$86&lt;&gt;"","Data Source Error",""))))</f>
        <v/>
      </c>
      <c r="Y177" s="2643"/>
      <c r="Z177" s="2644"/>
      <c r="AA177" s="2644"/>
      <c r="AB177" s="2645"/>
    </row>
    <row r="178" spans="1:28" ht="30.75" customHeight="1" outlineLevel="1">
      <c r="A178" s="252"/>
      <c r="B178" s="252"/>
      <c r="C178" s="2684" t="s">
        <v>726</v>
      </c>
      <c r="D178" s="2684"/>
      <c r="E178" s="2062"/>
      <c r="F178" s="2062"/>
      <c r="G178" s="636"/>
      <c r="H178" s="637"/>
      <c r="I178" s="187"/>
      <c r="J178" s="526"/>
      <c r="K178" s="900" t="str">
        <f ca="1">IF(OR($H$7&lt;2,K$133&lt;3),"",IF(J178&lt;&gt;"",J178,IFERROR(IF(INDIRECT("'"&amp;J$86&amp;"'!"&amp;VLOOKUP(J$87,'List Values'!$C$3:$D$6,2,FALSE)&amp;ROW(J178))="","",INDIRECT("'"&amp;J$86&amp;"'!"&amp;VLOOKUP(J$87,'List Values'!$C$3:$D$6,2,FALSE)&amp;ROW(J178))),IF(J$86&lt;&gt;"","Data Source Error",""))))</f>
        <v/>
      </c>
      <c r="L178" s="187"/>
      <c r="M178" s="526"/>
      <c r="N178" s="900" t="str">
        <f ca="1">IF(OR($H$7&lt;3,N$133&lt;3),"",IF(M178&lt;&gt;"",M178,IFERROR(IF(INDIRECT("'"&amp;M$86&amp;"'!"&amp;VLOOKUP(M$87,'List Values'!$C$3:$D$6,2,FALSE)&amp;ROW(M178))="","",INDIRECT("'"&amp;M$86&amp;"'!"&amp;VLOOKUP(M$87,'List Values'!$C$3:$D$6,2,FALSE)&amp;ROW(M178))),IF(M$86&lt;&gt;"","Data Source Error",""))))</f>
        <v/>
      </c>
      <c r="O178" s="187"/>
      <c r="P178" s="560"/>
      <c r="Q178" s="900" t="str">
        <f ca="1">IF(OR($H$7&lt;4,Q$133&lt;3),"",IF(P178&lt;&gt;"",P178,IFERROR(IF(INDIRECT("'"&amp;P$86&amp;"'!"&amp;VLOOKUP(P$87,'List Values'!$C$3:$D$6,2,FALSE)&amp;ROW(P178))="","",INDIRECT("'"&amp;P$86&amp;"'!"&amp;VLOOKUP(P$87,'List Values'!$C$3:$D$6,2,FALSE)&amp;ROW(P178))),IF(P$86&lt;&gt;"","Data Source Error",""))))</f>
        <v/>
      </c>
      <c r="S178" s="560"/>
      <c r="T178" s="900" t="str">
        <f ca="1">IF(OR($H$7&lt;5,T$133&lt;3),"",IF(S178&lt;&gt;"",S178,IFERROR(IF(INDIRECT("'"&amp;S$86&amp;"'!"&amp;VLOOKUP(S$87,'List Values'!$C$3:$D$6,2,FALSE)&amp;ROW(S178))="","",INDIRECT("'"&amp;S$86&amp;"'!"&amp;VLOOKUP(S$87,'List Values'!$C$3:$D$6,2,FALSE)&amp;ROW(S178))),IF(S$86&lt;&gt;"","Data Source Error",""))))</f>
        <v/>
      </c>
      <c r="V178" s="560"/>
      <c r="W178" s="911" t="str">
        <f ca="1">IF(OR($H$7&lt;6,W$133&lt;3),"",IF(V178&lt;&gt;"",V178,IFERROR(IF(INDIRECT("'"&amp;V$86&amp;"'!"&amp;VLOOKUP(V$87,'List Values'!$C$3:$D$6,2,FALSE)&amp;ROW(V178))="","",INDIRECT("'"&amp;V$86&amp;"'!"&amp;VLOOKUP(V$87,'List Values'!$C$3:$D$6,2,FALSE)&amp;ROW(V178))),IF(V$86&lt;&gt;"","Data Source Error",""))))</f>
        <v/>
      </c>
      <c r="Y178" s="2643"/>
      <c r="Z178" s="2644"/>
      <c r="AA178" s="2644"/>
      <c r="AB178" s="2645"/>
    </row>
    <row r="179" spans="1:28" ht="30.75" customHeight="1" outlineLevel="1">
      <c r="A179" s="252"/>
      <c r="B179" s="252"/>
      <c r="C179" s="2684" t="s">
        <v>727</v>
      </c>
      <c r="D179" s="2684"/>
      <c r="E179" s="2062"/>
      <c r="F179" s="2062"/>
      <c r="G179" s="636"/>
      <c r="H179" s="637"/>
      <c r="I179" s="187"/>
      <c r="J179" s="568"/>
      <c r="K179" s="945" t="str">
        <f ca="1">IF(OR($H$7&lt;2,K$133&lt;3),"",IF(J179&lt;&gt;"",J179,IFERROR(IF(INDIRECT("'"&amp;J$86&amp;"'!"&amp;VLOOKUP(J$87,'List Values'!$C$3:$D$6,2,FALSE)&amp;ROW(J179))="","",INDIRECT("'"&amp;J$86&amp;"'!"&amp;VLOOKUP(J$87,'List Values'!$C$3:$D$6,2,FALSE)&amp;ROW(J179))*$H$6),IF(J$86&lt;&gt;"","Data Source Error",""))))</f>
        <v/>
      </c>
      <c r="L179" s="339"/>
      <c r="M179" s="568"/>
      <c r="N179" s="945" t="str">
        <f ca="1">IF(OR($H$7&lt;3,N$133&lt;3),"",IF(M179&lt;&gt;"",M179,IFERROR(IF(INDIRECT("'"&amp;M$86&amp;"'!"&amp;VLOOKUP(M$87,'List Values'!$C$3:$D$6,2,FALSE)&amp;ROW(M179))="","",INDIRECT("'"&amp;M$86&amp;"'!"&amp;VLOOKUP(M$87,'List Values'!$C$3:$D$6,2,FALSE)&amp;ROW(M179))*$H$6),IF(M$86&lt;&gt;"","Data Source Error",""))))</f>
        <v/>
      </c>
      <c r="O179" s="339"/>
      <c r="P179" s="623"/>
      <c r="Q179" s="945" t="str">
        <f ca="1">IF(OR($H$7&lt;4,Q$133&lt;3),"",IF(P179&lt;&gt;"",P179,IFERROR(IF(INDIRECT("'"&amp;P$86&amp;"'!"&amp;VLOOKUP(P$87,'List Values'!$C$3:$D$6,2,FALSE)&amp;ROW(P179))="","",INDIRECT("'"&amp;P$86&amp;"'!"&amp;VLOOKUP(P$87,'List Values'!$C$3:$D$6,2,FALSE)&amp;ROW(P179))*$H$6),IF(P$86&lt;&gt;"","Data Source Error",""))))</f>
        <v/>
      </c>
      <c r="R179" s="7"/>
      <c r="S179" s="623"/>
      <c r="T179" s="945" t="str">
        <f ca="1">IF(OR($H$7&lt;5,T$133&lt;3),"",IF(S179&lt;&gt;"",S179,IFERROR(IF(INDIRECT("'"&amp;S$86&amp;"'!"&amp;VLOOKUP(S$87,'List Values'!$C$3:$D$6,2,FALSE)&amp;ROW(S179))="","",INDIRECT("'"&amp;S$86&amp;"'!"&amp;VLOOKUP(S$87,'List Values'!$C$3:$D$6,2,FALSE)&amp;ROW(S179))*$H$6),IF(S$86&lt;&gt;"","Data Source Error",""))))</f>
        <v/>
      </c>
      <c r="U179" s="7"/>
      <c r="V179" s="623"/>
      <c r="W179" s="952" t="str">
        <f ca="1">IF(OR($H$7&lt;6,W$133&lt;3),"",IF(V179&lt;&gt;"",V179,IFERROR(IF(INDIRECT("'"&amp;V$86&amp;"'!"&amp;VLOOKUP(V$87,'List Values'!$C$3:$D$6,2,FALSE)&amp;ROW(V179))="","",INDIRECT("'"&amp;V$86&amp;"'!"&amp;VLOOKUP(V$87,'List Values'!$C$3:$D$6,2,FALSE)&amp;ROW(V179))*$H$6),IF(V$86&lt;&gt;"","Data Source Error",""))))</f>
        <v/>
      </c>
      <c r="Y179" s="2643"/>
      <c r="Z179" s="2644"/>
      <c r="AA179" s="2644"/>
      <c r="AB179" s="2645"/>
    </row>
    <row r="180" spans="1:28" ht="15.75" customHeight="1" outlineLevel="1">
      <c r="A180" s="252"/>
      <c r="B180" s="252"/>
      <c r="C180" s="2680" t="s">
        <v>732</v>
      </c>
      <c r="D180" s="2680"/>
      <c r="E180" s="2062"/>
      <c r="F180" s="2062"/>
      <c r="G180" s="636"/>
      <c r="H180" s="637"/>
      <c r="I180" s="187"/>
      <c r="J180" s="526"/>
      <c r="K180" s="900" t="str">
        <f ca="1">IF(OR($H$7&lt;2,K$133&lt;3),"",IF(J180&lt;&gt;"",J180,IFERROR(IF(INDIRECT("'"&amp;J$86&amp;"'!"&amp;VLOOKUP(J$87,'List Values'!$C$3:$D$6,2,FALSE)&amp;ROW(J180))="","",INDIRECT("'"&amp;J$86&amp;"'!"&amp;VLOOKUP(J$87,'List Values'!$C$3:$D$6,2,FALSE)&amp;ROW(J180))),IF(J$86&lt;&gt;"","Data Source Error",""))))</f>
        <v/>
      </c>
      <c r="L180" s="187"/>
      <c r="M180" s="526"/>
      <c r="N180" s="900" t="str">
        <f ca="1">IF(OR($H$7&lt;3,N$133&lt;3),"",IF(M180&lt;&gt;"",M180,IFERROR(IF(INDIRECT("'"&amp;M$86&amp;"'!"&amp;VLOOKUP(M$87,'List Values'!$C$3:$D$6,2,FALSE)&amp;ROW(M180))="","",INDIRECT("'"&amp;M$86&amp;"'!"&amp;VLOOKUP(M$87,'List Values'!$C$3:$D$6,2,FALSE)&amp;ROW(M180))),IF(M$86&lt;&gt;"","Data Source Error",""))))</f>
        <v/>
      </c>
      <c r="O180" s="187"/>
      <c r="P180" s="560"/>
      <c r="Q180" s="900" t="str">
        <f ca="1">IF(OR($H$7&lt;4,Q$133&lt;3),"",IF(P180&lt;&gt;"",P180,IFERROR(IF(INDIRECT("'"&amp;P$86&amp;"'!"&amp;VLOOKUP(P$87,'List Values'!$C$3:$D$6,2,FALSE)&amp;ROW(P180))="","",INDIRECT("'"&amp;P$86&amp;"'!"&amp;VLOOKUP(P$87,'List Values'!$C$3:$D$6,2,FALSE)&amp;ROW(P180))),IF(P$86&lt;&gt;"","Data Source Error",""))))</f>
        <v/>
      </c>
      <c r="S180" s="560"/>
      <c r="T180" s="900" t="str">
        <f ca="1">IF(OR($H$7&lt;5,T$133&lt;3),"",IF(S180&lt;&gt;"",S180,IFERROR(IF(INDIRECT("'"&amp;S$86&amp;"'!"&amp;VLOOKUP(S$87,'List Values'!$C$3:$D$6,2,FALSE)&amp;ROW(S180))="","",INDIRECT("'"&amp;S$86&amp;"'!"&amp;VLOOKUP(S$87,'List Values'!$C$3:$D$6,2,FALSE)&amp;ROW(S180))),IF(S$86&lt;&gt;"","Data Source Error",""))))</f>
        <v/>
      </c>
      <c r="V180" s="560"/>
      <c r="W180" s="911" t="str">
        <f ca="1">IF(OR($H$7&lt;6,W$133&lt;3),"",IF(V180&lt;&gt;"",V180,IFERROR(IF(INDIRECT("'"&amp;V$86&amp;"'!"&amp;VLOOKUP(V$87,'List Values'!$C$3:$D$6,2,FALSE)&amp;ROW(V180))="","",INDIRECT("'"&amp;V$86&amp;"'!"&amp;VLOOKUP(V$87,'List Values'!$C$3:$D$6,2,FALSE)&amp;ROW(V180))),IF(V$86&lt;&gt;"","Data Source Error",""))))</f>
        <v/>
      </c>
      <c r="Y180" s="2643"/>
      <c r="Z180" s="2644"/>
      <c r="AA180" s="2644"/>
      <c r="AB180" s="2645"/>
    </row>
    <row r="181" spans="1:28" ht="30.75" customHeight="1" outlineLevel="1">
      <c r="A181" s="252"/>
      <c r="B181" s="252"/>
      <c r="C181" s="2680" t="s">
        <v>2521</v>
      </c>
      <c r="D181" s="2680"/>
      <c r="E181" s="2062"/>
      <c r="F181" s="2062"/>
      <c r="G181" s="636"/>
      <c r="H181" s="637"/>
      <c r="I181" s="187"/>
      <c r="J181" s="619"/>
      <c r="K181" s="898" t="str">
        <f ca="1">IF(OR($H$7&lt;2,K$133&lt;3),"",IF(J181&lt;&gt;"",J181,IFERROR(IF(INDIRECT("'"&amp;J$86&amp;"'!"&amp;VLOOKUP(J$87,'List Values'!$C$3:$D$6,2,FALSE)&amp;ROW(J181))="","",INDIRECT("'"&amp;J$86&amp;"'!"&amp;VLOOKUP(J$87,'List Values'!$C$3:$D$6,2,FALSE)&amp;ROW(J181))),IF(J$86&lt;&gt;"","Data Source Error",""))))</f>
        <v/>
      </c>
      <c r="L181" s="621"/>
      <c r="M181" s="619"/>
      <c r="N181" s="898" t="str">
        <f ca="1">IF(OR($H$7&lt;3,N$133&lt;3),"",IF(M181&lt;&gt;"",M181,IFERROR(IF(INDIRECT("'"&amp;M$86&amp;"'!"&amp;VLOOKUP(M$87,'List Values'!$C$3:$D$6,2,FALSE)&amp;ROW(M181))="","",INDIRECT("'"&amp;M$86&amp;"'!"&amp;VLOOKUP(M$87,'List Values'!$C$3:$D$6,2,FALSE)&amp;ROW(M181))),IF(M$86&lt;&gt;"","Data Source Error",""))))</f>
        <v/>
      </c>
      <c r="O181" s="621"/>
      <c r="P181" s="619"/>
      <c r="Q181" s="898" t="str">
        <f ca="1">IF(OR($H$7&lt;4,Q$133&lt;3),"",IF(P181&lt;&gt;"",P181,IFERROR(IF(INDIRECT("'"&amp;P$86&amp;"'!"&amp;VLOOKUP(P$87,'List Values'!$C$3:$D$6,2,FALSE)&amp;ROW(P181))="","",INDIRECT("'"&amp;P$86&amp;"'!"&amp;VLOOKUP(P$87,'List Values'!$C$3:$D$6,2,FALSE)&amp;ROW(P181))),IF(P$86&lt;&gt;"","Data Source Error",""))))</f>
        <v/>
      </c>
      <c r="R181" s="147"/>
      <c r="S181" s="619"/>
      <c r="T181" s="898" t="str">
        <f ca="1">IF(OR($H$7&lt;5,T$133&lt;3),"",IF(S181&lt;&gt;"",S181,IFERROR(IF(INDIRECT("'"&amp;S$86&amp;"'!"&amp;VLOOKUP(S$87,'List Values'!$C$3:$D$6,2,FALSE)&amp;ROW(S181))="","",INDIRECT("'"&amp;S$86&amp;"'!"&amp;VLOOKUP(S$87,'List Values'!$C$3:$D$6,2,FALSE)&amp;ROW(S181))),IF(S$86&lt;&gt;"","Data Source Error",""))))</f>
        <v/>
      </c>
      <c r="U181" s="147"/>
      <c r="V181" s="619"/>
      <c r="W181" s="909" t="str">
        <f ca="1">IF(OR($H$7&lt;6,W$133&lt;3),"",IF(V181&lt;&gt;"",V181,IFERROR(IF(INDIRECT("'"&amp;V$86&amp;"'!"&amp;VLOOKUP(V$87,'List Values'!$C$3:$D$6,2,FALSE)&amp;ROW(V181))="","",INDIRECT("'"&amp;V$86&amp;"'!"&amp;VLOOKUP(V$87,'List Values'!$C$3:$D$6,2,FALSE)&amp;ROW(V181))),IF(V$86&lt;&gt;"","Data Source Error",""))))</f>
        <v/>
      </c>
      <c r="Y181" s="2643"/>
      <c r="Z181" s="2644"/>
      <c r="AA181" s="2644"/>
      <c r="AB181" s="2645"/>
    </row>
    <row r="182" spans="1:28" ht="30.75" customHeight="1" outlineLevel="1">
      <c r="A182" s="252"/>
      <c r="B182" s="252"/>
      <c r="C182" s="2680" t="s">
        <v>2522</v>
      </c>
      <c r="D182" s="2680"/>
      <c r="E182" s="2062"/>
      <c r="F182" s="2062"/>
      <c r="G182" s="636"/>
      <c r="H182" s="637"/>
      <c r="I182" s="187"/>
      <c r="J182" s="619"/>
      <c r="K182" s="898" t="str">
        <f ca="1">IF(OR($H$7&lt;2,K$133&lt;3),"",IF(J182&lt;&gt;"",J182,IFERROR(IF(INDIRECT("'"&amp;J$86&amp;"'!"&amp;VLOOKUP(J$87,'List Values'!$C$3:$D$6,2,FALSE)&amp;ROW(J182))="","",INDIRECT("'"&amp;J$86&amp;"'!"&amp;VLOOKUP(J$87,'List Values'!$C$3:$D$6,2,FALSE)&amp;ROW(J182))),IF(J$86&lt;&gt;"","Data Source Error",""))))</f>
        <v/>
      </c>
      <c r="L182" s="621"/>
      <c r="M182" s="619"/>
      <c r="N182" s="971" t="str">
        <f ca="1">IF(OR($H$7&lt;3,N$133&lt;3),"",IF(M182&lt;&gt;"",M182,IFERROR(IF(INDIRECT("'"&amp;M$86&amp;"'!"&amp;VLOOKUP(M$87,'List Values'!$C$3:$D$6,2,FALSE)&amp;ROW(M182))="","",INDIRECT("'"&amp;M$86&amp;"'!"&amp;VLOOKUP(M$87,'List Values'!$C$3:$D$6,2,FALSE)&amp;ROW(M182))),IF(M$86&lt;&gt;"","Data Source Error",""))))</f>
        <v/>
      </c>
      <c r="O182" s="621"/>
      <c r="P182" s="619"/>
      <c r="Q182" s="898" t="str">
        <f ca="1">IF(OR($H$7&lt;4,Q$133&lt;3),"",IF(P182&lt;&gt;"",P182,IFERROR(IF(INDIRECT("'"&amp;P$86&amp;"'!"&amp;VLOOKUP(P$87,'List Values'!$C$3:$D$6,2,FALSE)&amp;ROW(P182))="","",INDIRECT("'"&amp;P$86&amp;"'!"&amp;VLOOKUP(P$87,'List Values'!$C$3:$D$6,2,FALSE)&amp;ROW(P182))),IF(P$86&lt;&gt;"","Data Source Error",""))))</f>
        <v/>
      </c>
      <c r="R182" s="147"/>
      <c r="S182" s="619"/>
      <c r="T182" s="898" t="str">
        <f ca="1">IF(OR($H$7&lt;5,T$133&lt;3),"",IF(S182&lt;&gt;"",S182,IFERROR(IF(INDIRECT("'"&amp;S$86&amp;"'!"&amp;VLOOKUP(S$87,'List Values'!$C$3:$D$6,2,FALSE)&amp;ROW(S182))="","",INDIRECT("'"&amp;S$86&amp;"'!"&amp;VLOOKUP(S$87,'List Values'!$C$3:$D$6,2,FALSE)&amp;ROW(S182))),IF(S$86&lt;&gt;"","Data Source Error",""))))</f>
        <v/>
      </c>
      <c r="U182" s="147"/>
      <c r="V182" s="619"/>
      <c r="W182" s="909" t="str">
        <f ca="1">IF(OR($H$7&lt;6,W$133&lt;3),"",IF(V182&lt;&gt;"",V182,IFERROR(IF(INDIRECT("'"&amp;V$86&amp;"'!"&amp;VLOOKUP(V$87,'List Values'!$C$3:$D$6,2,FALSE)&amp;ROW(V182))="","",INDIRECT("'"&amp;V$86&amp;"'!"&amp;VLOOKUP(V$87,'List Values'!$C$3:$D$6,2,FALSE)&amp;ROW(V182))),IF(V$86&lt;&gt;"","Data Source Error",""))))</f>
        <v/>
      </c>
      <c r="Y182" s="2643"/>
      <c r="Z182" s="2644"/>
      <c r="AA182" s="2644"/>
      <c r="AB182" s="2645"/>
    </row>
    <row r="183" spans="1:28" ht="31.5" customHeight="1" outlineLevel="1">
      <c r="A183" s="252"/>
      <c r="B183" s="252"/>
      <c r="C183" s="2680" t="s">
        <v>253</v>
      </c>
      <c r="D183" s="2680"/>
      <c r="E183" s="2062"/>
      <c r="F183" s="2062"/>
      <c r="G183" s="636"/>
      <c r="H183" s="637"/>
      <c r="I183" s="187"/>
      <c r="J183" s="526"/>
      <c r="K183" s="900" t="str">
        <f ca="1">IF(OR($H$7&lt;2,K$133&lt;3),"",IF(J183&lt;&gt;"",J183,IFERROR(IF(INDIRECT("'"&amp;J$86&amp;"'!"&amp;VLOOKUP(J$87,'List Values'!$C$3:$D$6,2,FALSE)&amp;ROW(J183))="","",INDIRECT("'"&amp;J$86&amp;"'!"&amp;VLOOKUP(J$87,'List Values'!$C$3:$D$6,2,FALSE)&amp;ROW(J183))),IF(J$86&lt;&gt;"","Data Source Error",""))))</f>
        <v/>
      </c>
      <c r="L183" s="187"/>
      <c r="M183" s="526"/>
      <c r="N183" s="900" t="str">
        <f ca="1">IF(OR($H$7&lt;3,N$133&lt;3),"",IF(M183&lt;&gt;"",M183,IFERROR(IF(INDIRECT("'"&amp;M$86&amp;"'!"&amp;VLOOKUP(M$87,'List Values'!$C$3:$D$6,2,FALSE)&amp;ROW(M183))="","",INDIRECT("'"&amp;M$86&amp;"'!"&amp;VLOOKUP(M$87,'List Values'!$C$3:$D$6,2,FALSE)&amp;ROW(M183))),IF(M$86&lt;&gt;"","Data Source Error",""))))</f>
        <v/>
      </c>
      <c r="O183" s="187"/>
      <c r="P183" s="523"/>
      <c r="Q183" s="900" t="str">
        <f ca="1">IF(OR($H$7&lt;4,Q$133&lt;3),"",IF(P183&lt;&gt;"",P183,IFERROR(IF(INDIRECT("'"&amp;P$86&amp;"'!"&amp;VLOOKUP(P$87,'List Values'!$C$3:$D$6,2,FALSE)&amp;ROW(P183))="","",INDIRECT("'"&amp;P$86&amp;"'!"&amp;VLOOKUP(P$87,'List Values'!$C$3:$D$6,2,FALSE)&amp;ROW(P183))),IF(P$86&lt;&gt;"","Data Source Error",""))))</f>
        <v/>
      </c>
      <c r="S183" s="523"/>
      <c r="T183" s="900" t="str">
        <f ca="1">IF(OR($H$7&lt;5,T$133&lt;3),"",IF(S183&lt;&gt;"",S183,IFERROR(IF(INDIRECT("'"&amp;S$86&amp;"'!"&amp;VLOOKUP(S$87,'List Values'!$C$3:$D$6,2,FALSE)&amp;ROW(S183))="","",INDIRECT("'"&amp;S$86&amp;"'!"&amp;VLOOKUP(S$87,'List Values'!$C$3:$D$6,2,FALSE)&amp;ROW(S183))),IF(S$86&lt;&gt;"","Data Source Error",""))))</f>
        <v/>
      </c>
      <c r="V183" s="523"/>
      <c r="W183" s="911" t="str">
        <f ca="1">IF(OR($H$7&lt;6,W$133&lt;3),"",IF(V183&lt;&gt;"",V183,IFERROR(IF(INDIRECT("'"&amp;V$86&amp;"'!"&amp;VLOOKUP(V$87,'List Values'!$C$3:$D$6,2,FALSE)&amp;ROW(V183))="","",INDIRECT("'"&amp;V$86&amp;"'!"&amp;VLOOKUP(V$87,'List Values'!$C$3:$D$6,2,FALSE)&amp;ROW(V183))),IF(V$86&lt;&gt;"","Data Source Error",""))))</f>
        <v/>
      </c>
      <c r="Y183" s="2643"/>
      <c r="Z183" s="2644"/>
      <c r="AA183" s="2644"/>
      <c r="AB183" s="2645"/>
    </row>
    <row r="184" spans="1:28" ht="15.75" customHeight="1" outlineLevel="1">
      <c r="A184" s="252"/>
      <c r="B184" s="252"/>
      <c r="C184" s="2684" t="s">
        <v>244</v>
      </c>
      <c r="D184" s="2684"/>
      <c r="E184" s="2062"/>
      <c r="F184" s="2062"/>
      <c r="G184" s="636"/>
      <c r="H184" s="637"/>
      <c r="I184" s="187"/>
      <c r="J184" s="580"/>
      <c r="K184" s="900" t="str">
        <f ca="1">IF(OR($H$7&lt;2,K$133&lt;3),"",IF(J184&lt;&gt;"",J184,IFERROR(IF(INDIRECT("'"&amp;J$86&amp;"'!"&amp;VLOOKUP(J$87,'List Values'!$C$3:$D$6,2,FALSE)&amp;ROW(J184))="","",INDIRECT("'"&amp;J$86&amp;"'!"&amp;VLOOKUP(J$87,'List Values'!$C$3:$D$6,2,FALSE)&amp;ROW(J184))),IF(J$86&lt;&gt;"","Data Source Error",""))))</f>
        <v/>
      </c>
      <c r="L184" s="187"/>
      <c r="M184" s="580"/>
      <c r="N184" s="900" t="str">
        <f ca="1">IF(OR($H$7&lt;3,N$133&lt;3),"",IF(M184&lt;&gt;"",M184,IFERROR(IF(INDIRECT("'"&amp;M$86&amp;"'!"&amp;VLOOKUP(M$87,'List Values'!$C$3:$D$6,2,FALSE)&amp;ROW(M184))="","",INDIRECT("'"&amp;M$86&amp;"'!"&amp;VLOOKUP(M$87,'List Values'!$C$3:$D$6,2,FALSE)&amp;ROW(M184))),IF(M$86&lt;&gt;"","Data Source Error",""))))</f>
        <v/>
      </c>
      <c r="O184" s="187"/>
      <c r="P184" s="528"/>
      <c r="Q184" s="900" t="str">
        <f ca="1">IF(OR($H$7&lt;4,Q$133&lt;3),"",IF(P184&lt;&gt;"",P184,IFERROR(IF(INDIRECT("'"&amp;P$86&amp;"'!"&amp;VLOOKUP(P$87,'List Values'!$C$3:$D$6,2,FALSE)&amp;ROW(P184))="","",INDIRECT("'"&amp;P$86&amp;"'!"&amp;VLOOKUP(P$87,'List Values'!$C$3:$D$6,2,FALSE)&amp;ROW(P184))),IF(P$86&lt;&gt;"","Data Source Error",""))))</f>
        <v/>
      </c>
      <c r="S184" s="528"/>
      <c r="T184" s="900" t="str">
        <f ca="1">IF(OR($H$7&lt;5,T$133&lt;3),"",IF(S184&lt;&gt;"",S184,IFERROR(IF(INDIRECT("'"&amp;S$86&amp;"'!"&amp;VLOOKUP(S$87,'List Values'!$C$3:$D$6,2,FALSE)&amp;ROW(S184))="","",INDIRECT("'"&amp;S$86&amp;"'!"&amp;VLOOKUP(S$87,'List Values'!$C$3:$D$6,2,FALSE)&amp;ROW(S184))),IF(S$86&lt;&gt;"","Data Source Error",""))))</f>
        <v/>
      </c>
      <c r="V184" s="528"/>
      <c r="W184" s="911" t="str">
        <f ca="1">IF(OR($H$7&lt;6,W$133&lt;3),"",IF(V184&lt;&gt;"",V184,IFERROR(IF(INDIRECT("'"&amp;V$86&amp;"'!"&amp;VLOOKUP(V$87,'List Values'!$C$3:$D$6,2,FALSE)&amp;ROW(V184))="","",INDIRECT("'"&amp;V$86&amp;"'!"&amp;VLOOKUP(V$87,'List Values'!$C$3:$D$6,2,FALSE)&amp;ROW(V184))),IF(V$86&lt;&gt;"","Data Source Error",""))))</f>
        <v/>
      </c>
      <c r="Y184" s="2643"/>
      <c r="Z184" s="2644"/>
      <c r="AA184" s="2644"/>
      <c r="AB184" s="2645"/>
    </row>
    <row r="185" spans="1:28" ht="30.75" customHeight="1" outlineLevel="1">
      <c r="A185" s="252"/>
      <c r="B185" s="252"/>
      <c r="C185" s="2680" t="s">
        <v>2523</v>
      </c>
      <c r="D185" s="2680"/>
      <c r="E185" s="2062"/>
      <c r="F185" s="2062"/>
      <c r="G185" s="636"/>
      <c r="H185" s="637"/>
      <c r="I185" s="187"/>
      <c r="J185" s="580"/>
      <c r="K185" s="900" t="str">
        <f ca="1">IF(OR($H$7&lt;2,K$133&lt;3),"",IF(J185&lt;&gt;"",J185,IFERROR(IF(INDIRECT("'"&amp;J$86&amp;"'!"&amp;VLOOKUP(J$87,'List Values'!$C$3:$D$6,2,FALSE)&amp;ROW(J185))="","",INDIRECT("'"&amp;J$86&amp;"'!"&amp;VLOOKUP(J$87,'List Values'!$C$3:$D$6,2,FALSE)&amp;ROW(J185))),IF(J$86&lt;&gt;"","Data Source Error",""))))</f>
        <v/>
      </c>
      <c r="L185" s="187"/>
      <c r="M185" s="580"/>
      <c r="N185" s="900" t="str">
        <f ca="1">IF(OR($H$7&lt;3,N$133&lt;3),"",IF(M185&lt;&gt;"",M185,IFERROR(IF(INDIRECT("'"&amp;M$86&amp;"'!"&amp;VLOOKUP(M$87,'List Values'!$C$3:$D$6,2,FALSE)&amp;ROW(M185))="","",INDIRECT("'"&amp;M$86&amp;"'!"&amp;VLOOKUP(M$87,'List Values'!$C$3:$D$6,2,FALSE)&amp;ROW(M185))),IF(M$86&lt;&gt;"","Data Source Error",""))))</f>
        <v/>
      </c>
      <c r="O185" s="187"/>
      <c r="P185" s="528"/>
      <c r="Q185" s="900" t="str">
        <f ca="1">IF(OR($H$7&lt;4,Q$133&lt;3),"",IF(P185&lt;&gt;"",P185,IFERROR(IF(INDIRECT("'"&amp;P$86&amp;"'!"&amp;VLOOKUP(P$87,'List Values'!$C$3:$D$6,2,FALSE)&amp;ROW(P185))="","",INDIRECT("'"&amp;P$86&amp;"'!"&amp;VLOOKUP(P$87,'List Values'!$C$3:$D$6,2,FALSE)&amp;ROW(P185))),IF(P$86&lt;&gt;"","Data Source Error",""))))</f>
        <v/>
      </c>
      <c r="S185" s="528"/>
      <c r="T185" s="900" t="str">
        <f ca="1">IF(OR($H$7&lt;5,T$133&lt;3),"",IF(S185&lt;&gt;"",S185,IFERROR(IF(INDIRECT("'"&amp;S$86&amp;"'!"&amp;VLOOKUP(S$87,'List Values'!$C$3:$D$6,2,FALSE)&amp;ROW(S185))="","",INDIRECT("'"&amp;S$86&amp;"'!"&amp;VLOOKUP(S$87,'List Values'!$C$3:$D$6,2,FALSE)&amp;ROW(S185))),IF(S$86&lt;&gt;"","Data Source Error",""))))</f>
        <v/>
      </c>
      <c r="V185" s="528"/>
      <c r="W185" s="911" t="str">
        <f ca="1">IF(OR($H$7&lt;6,W$133&lt;3),"",IF(V185&lt;&gt;"",V185,IFERROR(IF(INDIRECT("'"&amp;V$86&amp;"'!"&amp;VLOOKUP(V$87,'List Values'!$C$3:$D$6,2,FALSE)&amp;ROW(V185))="","",INDIRECT("'"&amp;V$86&amp;"'!"&amp;VLOOKUP(V$87,'List Values'!$C$3:$D$6,2,FALSE)&amp;ROW(V185))),IF(V$86&lt;&gt;"","Data Source Error",""))))</f>
        <v/>
      </c>
      <c r="Y185" s="2643"/>
      <c r="Z185" s="2644"/>
      <c r="AA185" s="2644"/>
      <c r="AB185" s="2645"/>
    </row>
    <row r="186" spans="1:28" ht="15.75" customHeight="1" outlineLevel="1">
      <c r="A186" s="252"/>
      <c r="B186" s="252"/>
      <c r="C186" s="2680" t="s">
        <v>2524</v>
      </c>
      <c r="D186" s="2680"/>
      <c r="E186" s="2062"/>
      <c r="F186" s="2062"/>
      <c r="G186" s="636"/>
      <c r="H186" s="637"/>
      <c r="I186" s="187"/>
      <c r="J186" s="580"/>
      <c r="K186" s="900" t="str">
        <f ca="1">IF(OR($H$7&lt;2,K$133&lt;3),"",IF(J186&lt;&gt;"",J186,IFERROR(IF(INDIRECT("'"&amp;J$86&amp;"'!"&amp;VLOOKUP(J$87,'List Values'!$C$3:$D$6,2,FALSE)&amp;ROW(J186))="","",INDIRECT("'"&amp;J$86&amp;"'!"&amp;VLOOKUP(J$87,'List Values'!$C$3:$D$6,2,FALSE)&amp;ROW(J186))),IF(J$86&lt;&gt;"","Data Source Error",""))))</f>
        <v/>
      </c>
      <c r="L186" s="187"/>
      <c r="M186" s="580"/>
      <c r="N186" s="900" t="str">
        <f ca="1">IF(OR($H$7&lt;3,N$133&lt;3),"",IF(M186&lt;&gt;"",M186,IFERROR(IF(INDIRECT("'"&amp;M$86&amp;"'!"&amp;VLOOKUP(M$87,'List Values'!$C$3:$D$6,2,FALSE)&amp;ROW(M186))="","",INDIRECT("'"&amp;M$86&amp;"'!"&amp;VLOOKUP(M$87,'List Values'!$C$3:$D$6,2,FALSE)&amp;ROW(M186))),IF(M$86&lt;&gt;"","Data Source Error",""))))</f>
        <v/>
      </c>
      <c r="O186" s="187"/>
      <c r="P186" s="528"/>
      <c r="Q186" s="900" t="str">
        <f ca="1">IF(OR($H$7&lt;4,Q$133&lt;3),"",IF(P186&lt;&gt;"",P186,IFERROR(IF(INDIRECT("'"&amp;P$86&amp;"'!"&amp;VLOOKUP(P$87,'List Values'!$C$3:$D$6,2,FALSE)&amp;ROW(P186))="","",INDIRECT("'"&amp;P$86&amp;"'!"&amp;VLOOKUP(P$87,'List Values'!$C$3:$D$6,2,FALSE)&amp;ROW(P186))),IF(P$86&lt;&gt;"","Data Source Error",""))))</f>
        <v/>
      </c>
      <c r="S186" s="528"/>
      <c r="T186" s="900" t="str">
        <f ca="1">IF(OR($H$7&lt;5,T$133&lt;3),"",IF(S186&lt;&gt;"",S186,IFERROR(IF(INDIRECT("'"&amp;S$86&amp;"'!"&amp;VLOOKUP(S$87,'List Values'!$C$3:$D$6,2,FALSE)&amp;ROW(S186))="","",INDIRECT("'"&amp;S$86&amp;"'!"&amp;VLOOKUP(S$87,'List Values'!$C$3:$D$6,2,FALSE)&amp;ROW(S186))),IF(S$86&lt;&gt;"","Data Source Error",""))))</f>
        <v/>
      </c>
      <c r="V186" s="528"/>
      <c r="W186" s="911" t="str">
        <f ca="1">IF(OR($H$7&lt;6,W$133&lt;3),"",IF(V186&lt;&gt;"",V186,IFERROR(IF(INDIRECT("'"&amp;V$86&amp;"'!"&amp;VLOOKUP(V$87,'List Values'!$C$3:$D$6,2,FALSE)&amp;ROW(V186))="","",INDIRECT("'"&amp;V$86&amp;"'!"&amp;VLOOKUP(V$87,'List Values'!$C$3:$D$6,2,FALSE)&amp;ROW(V186))),IF(V$86&lt;&gt;"","Data Source Error",""))))</f>
        <v/>
      </c>
      <c r="Y186" s="2643"/>
      <c r="Z186" s="2644"/>
      <c r="AA186" s="2644"/>
      <c r="AB186" s="2645"/>
    </row>
    <row r="187" spans="1:28" ht="15.65" customHeight="1" outlineLevel="1">
      <c r="A187" s="252"/>
      <c r="B187" s="252"/>
      <c r="C187" s="2684" t="s">
        <v>2525</v>
      </c>
      <c r="D187" s="2684"/>
      <c r="E187" s="2062"/>
      <c r="F187" s="2062"/>
      <c r="G187" s="636"/>
      <c r="H187" s="637"/>
      <c r="I187" s="187"/>
      <c r="J187" s="580"/>
      <c r="K187" s="900" t="str">
        <f ca="1">IF(OR($H$7&lt;2,K$133&lt;3),"",IF(J187&lt;&gt;"",J187,IFERROR(IF(INDIRECT("'"&amp;J$86&amp;"'!"&amp;VLOOKUP(J$87,'List Values'!$C$3:$D$6,2,FALSE)&amp;ROW(J187))="","",INDIRECT("'"&amp;J$86&amp;"'!"&amp;VLOOKUP(J$87,'List Values'!$C$3:$D$6,2,FALSE)&amp;ROW(J187))),IF(J$86&lt;&gt;"","Data Source Error",""))))</f>
        <v/>
      </c>
      <c r="L187" s="187"/>
      <c r="M187" s="580"/>
      <c r="N187" s="900" t="str">
        <f ca="1">IF(OR($H$7&lt;3,N$133&lt;3),"",IF(M187&lt;&gt;"",M187,IFERROR(IF(INDIRECT("'"&amp;M$86&amp;"'!"&amp;VLOOKUP(M$87,'List Values'!$C$3:$D$6,2,FALSE)&amp;ROW(M187))="","",INDIRECT("'"&amp;M$86&amp;"'!"&amp;VLOOKUP(M$87,'List Values'!$C$3:$D$6,2,FALSE)&amp;ROW(M187))),IF(M$86&lt;&gt;"","Data Source Error",""))))</f>
        <v/>
      </c>
      <c r="O187" s="187"/>
      <c r="P187" s="528"/>
      <c r="Q187" s="900" t="str">
        <f ca="1">IF(OR($H$7&lt;4,Q$133&lt;3),"",IF(P187&lt;&gt;"",P187,IFERROR(IF(INDIRECT("'"&amp;P$86&amp;"'!"&amp;VLOOKUP(P$87,'List Values'!$C$3:$D$6,2,FALSE)&amp;ROW(P187))="","",INDIRECT("'"&amp;P$86&amp;"'!"&amp;VLOOKUP(P$87,'List Values'!$C$3:$D$6,2,FALSE)&amp;ROW(P187))),IF(P$86&lt;&gt;"","Data Source Error",""))))</f>
        <v/>
      </c>
      <c r="S187" s="528"/>
      <c r="T187" s="900" t="str">
        <f ca="1">IF(OR($H$7&lt;5,T$133&lt;3),"",IF(S187&lt;&gt;"",S187,IFERROR(IF(INDIRECT("'"&amp;S$86&amp;"'!"&amp;VLOOKUP(S$87,'List Values'!$C$3:$D$6,2,FALSE)&amp;ROW(S187))="","",INDIRECT("'"&amp;S$86&amp;"'!"&amp;VLOOKUP(S$87,'List Values'!$C$3:$D$6,2,FALSE)&amp;ROW(S187))),IF(S$86&lt;&gt;"","Data Source Error",""))))</f>
        <v/>
      </c>
      <c r="V187" s="528"/>
      <c r="W187" s="911" t="str">
        <f ca="1">IF(OR($H$7&lt;6,W$133&lt;3),"",IF(V187&lt;&gt;"",V187,IFERROR(IF(INDIRECT("'"&amp;V$86&amp;"'!"&amp;VLOOKUP(V$87,'List Values'!$C$3:$D$6,2,FALSE)&amp;ROW(V187))="","",INDIRECT("'"&amp;V$86&amp;"'!"&amp;VLOOKUP(V$87,'List Values'!$C$3:$D$6,2,FALSE)&amp;ROW(V187))),IF(V$86&lt;&gt;"","Data Source Error",""))))</f>
        <v/>
      </c>
      <c r="Y187" s="2643"/>
      <c r="Z187" s="2644"/>
      <c r="AA187" s="2644"/>
      <c r="AB187" s="2645"/>
    </row>
    <row r="188" spans="1:28" ht="30.75" customHeight="1" outlineLevel="1">
      <c r="A188" s="252"/>
      <c r="B188" s="252"/>
      <c r="C188" s="2680" t="s">
        <v>2526</v>
      </c>
      <c r="D188" s="2680"/>
      <c r="E188" s="2062"/>
      <c r="F188" s="2062"/>
      <c r="G188" s="636"/>
      <c r="H188" s="637"/>
      <c r="I188" s="187"/>
      <c r="J188" s="580"/>
      <c r="K188" s="900" t="str">
        <f ca="1">IF(OR($H$7&lt;2,K$133&lt;3),"",IF(J188&lt;&gt;"",J188,IFERROR(IF(INDIRECT("'"&amp;J$86&amp;"'!"&amp;VLOOKUP(J$87,'List Values'!$C$3:$D$6,2,FALSE)&amp;ROW(J188))="","",INDIRECT("'"&amp;J$86&amp;"'!"&amp;VLOOKUP(J$87,'List Values'!$C$3:$D$6,2,FALSE)&amp;ROW(J188))),IF(J$86&lt;&gt;"","Data Source Error",""))))</f>
        <v/>
      </c>
      <c r="L188" s="187"/>
      <c r="M188" s="580"/>
      <c r="N188" s="900" t="str">
        <f ca="1">IF(OR($H$7&lt;3,N$133&lt;3),"",IF(M188&lt;&gt;"",M188,IFERROR(IF(INDIRECT("'"&amp;M$86&amp;"'!"&amp;VLOOKUP(M$87,'List Values'!$C$3:$D$6,2,FALSE)&amp;ROW(M188))="","",INDIRECT("'"&amp;M$86&amp;"'!"&amp;VLOOKUP(M$87,'List Values'!$C$3:$D$6,2,FALSE)&amp;ROW(M188))),IF(M$86&lt;&gt;"","Data Source Error",""))))</f>
        <v/>
      </c>
      <c r="O188" s="187"/>
      <c r="P188" s="528"/>
      <c r="Q188" s="900" t="str">
        <f ca="1">IF(OR($H$7&lt;4,Q$133&lt;3),"",IF(P188&lt;&gt;"",P188,IFERROR(IF(INDIRECT("'"&amp;P$86&amp;"'!"&amp;VLOOKUP(P$87,'List Values'!$C$3:$D$6,2,FALSE)&amp;ROW(P188))="","",INDIRECT("'"&amp;P$86&amp;"'!"&amp;VLOOKUP(P$87,'List Values'!$C$3:$D$6,2,FALSE)&amp;ROW(P188))),IF(P$86&lt;&gt;"","Data Source Error",""))))</f>
        <v/>
      </c>
      <c r="S188" s="528"/>
      <c r="T188" s="900" t="str">
        <f ca="1">IF(OR($H$7&lt;5,T$133&lt;3),"",IF(S188&lt;&gt;"",S188,IFERROR(IF(INDIRECT("'"&amp;S$86&amp;"'!"&amp;VLOOKUP(S$87,'List Values'!$C$3:$D$6,2,FALSE)&amp;ROW(S188))="","",INDIRECT("'"&amp;S$86&amp;"'!"&amp;VLOOKUP(S$87,'List Values'!$C$3:$D$6,2,FALSE)&amp;ROW(S188))),IF(S$86&lt;&gt;"","Data Source Error",""))))</f>
        <v/>
      </c>
      <c r="V188" s="528"/>
      <c r="W188" s="911" t="str">
        <f ca="1">IF(OR($H$7&lt;6,W$133&lt;3),"",IF(V188&lt;&gt;"",V188,IFERROR(IF(INDIRECT("'"&amp;V$86&amp;"'!"&amp;VLOOKUP(V$87,'List Values'!$C$3:$D$6,2,FALSE)&amp;ROW(V188))="","",INDIRECT("'"&amp;V$86&amp;"'!"&amp;VLOOKUP(V$87,'List Values'!$C$3:$D$6,2,FALSE)&amp;ROW(V188))),IF(V$86&lt;&gt;"","Data Source Error",""))))</f>
        <v/>
      </c>
      <c r="Y188" s="2643"/>
      <c r="Z188" s="2644"/>
      <c r="AA188" s="2644"/>
      <c r="AB188" s="2645"/>
    </row>
    <row r="189" spans="1:28" ht="30.75" customHeight="1" outlineLevel="1">
      <c r="A189" s="252"/>
      <c r="B189" s="252"/>
      <c r="C189" s="2680" t="s">
        <v>2527</v>
      </c>
      <c r="D189" s="2680"/>
      <c r="E189" s="2062"/>
      <c r="F189" s="2062"/>
      <c r="G189" s="636"/>
      <c r="H189" s="637"/>
      <c r="I189" s="187"/>
      <c r="J189" s="580"/>
      <c r="K189" s="900" t="str">
        <f ca="1">IF(OR($H$7&lt;2,K$133&lt;3),"",IF(J189&lt;&gt;"",J189,IFERROR(IF(INDIRECT("'"&amp;J$86&amp;"'!"&amp;VLOOKUP(J$87,'List Values'!$C$3:$D$6,2,FALSE)&amp;ROW(J189))="","",INDIRECT("'"&amp;J$86&amp;"'!"&amp;VLOOKUP(J$87,'List Values'!$C$3:$D$6,2,FALSE)&amp;ROW(J189))),IF(J$86&lt;&gt;"","Data Source Error",""))))</f>
        <v/>
      </c>
      <c r="L189" s="187"/>
      <c r="M189" s="580"/>
      <c r="N189" s="900" t="str">
        <f ca="1">IF(OR($H$7&lt;3,N$133&lt;3),"",IF(M189&lt;&gt;"",M189,IFERROR(IF(INDIRECT("'"&amp;M$86&amp;"'!"&amp;VLOOKUP(M$87,'List Values'!$C$3:$D$6,2,FALSE)&amp;ROW(M189))="","",INDIRECT("'"&amp;M$86&amp;"'!"&amp;VLOOKUP(M$87,'List Values'!$C$3:$D$6,2,FALSE)&amp;ROW(M189))),IF(M$86&lt;&gt;"","Data Source Error",""))))</f>
        <v/>
      </c>
      <c r="O189" s="187"/>
      <c r="P189" s="528"/>
      <c r="Q189" s="900" t="str">
        <f ca="1">IF(OR($H$7&lt;4,Q$133&lt;3),"",IF(P189&lt;&gt;"",P189,IFERROR(IF(INDIRECT("'"&amp;P$86&amp;"'!"&amp;VLOOKUP(P$87,'List Values'!$C$3:$D$6,2,FALSE)&amp;ROW(P189))="","",INDIRECT("'"&amp;P$86&amp;"'!"&amp;VLOOKUP(P$87,'List Values'!$C$3:$D$6,2,FALSE)&amp;ROW(P189))),IF(P$86&lt;&gt;"","Data Source Error",""))))</f>
        <v/>
      </c>
      <c r="S189" s="528"/>
      <c r="T189" s="900" t="str">
        <f ca="1">IF(OR($H$7&lt;5,T$133&lt;3),"",IF(S189&lt;&gt;"",S189,IFERROR(IF(INDIRECT("'"&amp;S$86&amp;"'!"&amp;VLOOKUP(S$87,'List Values'!$C$3:$D$6,2,FALSE)&amp;ROW(S189))="","",INDIRECT("'"&amp;S$86&amp;"'!"&amp;VLOOKUP(S$87,'List Values'!$C$3:$D$6,2,FALSE)&amp;ROW(S189))),IF(S$86&lt;&gt;"","Data Source Error",""))))</f>
        <v/>
      </c>
      <c r="V189" s="528"/>
      <c r="W189" s="911" t="str">
        <f ca="1">IF(OR($H$7&lt;6,W$133&lt;3),"",IF(V189&lt;&gt;"",V189,IFERROR(IF(INDIRECT("'"&amp;V$86&amp;"'!"&amp;VLOOKUP(V$87,'List Values'!$C$3:$D$6,2,FALSE)&amp;ROW(V189))="","",INDIRECT("'"&amp;V$86&amp;"'!"&amp;VLOOKUP(V$87,'List Values'!$C$3:$D$6,2,FALSE)&amp;ROW(V189))),IF(V$86&lt;&gt;"","Data Source Error",""))))</f>
        <v/>
      </c>
      <c r="Y189" s="2643"/>
      <c r="Z189" s="2644"/>
      <c r="AA189" s="2644"/>
      <c r="AB189" s="2645"/>
    </row>
    <row r="190" spans="1:28" ht="30.75" customHeight="1" outlineLevel="1">
      <c r="A190" s="252"/>
      <c r="B190" s="252"/>
      <c r="C190" s="2680" t="s">
        <v>2528</v>
      </c>
      <c r="D190" s="2680"/>
      <c r="E190" s="2062"/>
      <c r="F190" s="2062"/>
      <c r="G190" s="636"/>
      <c r="H190" s="637"/>
      <c r="I190" s="187"/>
      <c r="J190" s="580"/>
      <c r="K190" s="900" t="str">
        <f ca="1">IF(OR($H$7&lt;2,K$133&lt;3),"",IF(J190&lt;&gt;"",J190,IFERROR(IF(INDIRECT("'"&amp;J$86&amp;"'!"&amp;VLOOKUP(J$87,'List Values'!$C$3:$D$6,2,FALSE)&amp;ROW(J190))="","",INDIRECT("'"&amp;J$86&amp;"'!"&amp;VLOOKUP(J$87,'List Values'!$C$3:$D$6,2,FALSE)&amp;ROW(J190))),IF(J$86&lt;&gt;"","Data Source Error",""))))</f>
        <v/>
      </c>
      <c r="L190" s="187"/>
      <c r="M190" s="580"/>
      <c r="N190" s="900" t="str">
        <f ca="1">IF(OR($H$7&lt;3,N$133&lt;3),"",IF(M190&lt;&gt;"",M190,IFERROR(IF(INDIRECT("'"&amp;M$86&amp;"'!"&amp;VLOOKUP(M$87,'List Values'!$C$3:$D$6,2,FALSE)&amp;ROW(M190))="","",INDIRECT("'"&amp;M$86&amp;"'!"&amp;VLOOKUP(M$87,'List Values'!$C$3:$D$6,2,FALSE)&amp;ROW(M190))),IF(M$86&lt;&gt;"","Data Source Error",""))))</f>
        <v/>
      </c>
      <c r="O190" s="187"/>
      <c r="P190" s="528"/>
      <c r="Q190" s="900" t="str">
        <f ca="1">IF(OR($H$7&lt;4,Q$133&lt;3),"",IF(P190&lt;&gt;"",P190,IFERROR(IF(INDIRECT("'"&amp;P$86&amp;"'!"&amp;VLOOKUP(P$87,'List Values'!$C$3:$D$6,2,FALSE)&amp;ROW(P190))="","",INDIRECT("'"&amp;P$86&amp;"'!"&amp;VLOOKUP(P$87,'List Values'!$C$3:$D$6,2,FALSE)&amp;ROW(P190))),IF(P$86&lt;&gt;"","Data Source Error",""))))</f>
        <v/>
      </c>
      <c r="S190" s="528"/>
      <c r="T190" s="900" t="str">
        <f ca="1">IF(OR($H$7&lt;5,T$133&lt;3),"",IF(S190&lt;&gt;"",S190,IFERROR(IF(INDIRECT("'"&amp;S$86&amp;"'!"&amp;VLOOKUP(S$87,'List Values'!$C$3:$D$6,2,FALSE)&amp;ROW(S190))="","",INDIRECT("'"&amp;S$86&amp;"'!"&amp;VLOOKUP(S$87,'List Values'!$C$3:$D$6,2,FALSE)&amp;ROW(S190))),IF(S$86&lt;&gt;"","Data Source Error",""))))</f>
        <v/>
      </c>
      <c r="V190" s="528"/>
      <c r="W190" s="911" t="str">
        <f ca="1">IF(OR($H$7&lt;6,W$133&lt;3),"",IF(V190&lt;&gt;"",V190,IFERROR(IF(INDIRECT("'"&amp;V$86&amp;"'!"&amp;VLOOKUP(V$87,'List Values'!$C$3:$D$6,2,FALSE)&amp;ROW(V190))="","",INDIRECT("'"&amp;V$86&amp;"'!"&amp;VLOOKUP(V$87,'List Values'!$C$3:$D$6,2,FALSE)&amp;ROW(V190))),IF(V$86&lt;&gt;"","Data Source Error",""))))</f>
        <v/>
      </c>
      <c r="Y190" s="2643"/>
      <c r="Z190" s="2644"/>
      <c r="AA190" s="2644"/>
      <c r="AB190" s="2645"/>
    </row>
    <row r="191" spans="1:28" ht="15.75" customHeight="1" outlineLevel="1">
      <c r="A191" s="252"/>
      <c r="B191" s="252"/>
      <c r="C191" s="2680" t="s">
        <v>650</v>
      </c>
      <c r="D191" s="2680"/>
      <c r="E191" s="2062"/>
      <c r="F191" s="2062"/>
      <c r="G191" s="636"/>
      <c r="H191" s="637"/>
      <c r="I191" s="187"/>
      <c r="J191" s="580"/>
      <c r="K191" s="900" t="str">
        <f ca="1">IF(OR($H$7&lt;2,K$133&lt;3),"",IF(J191&lt;&gt;"",J191,IFERROR(IF(INDIRECT("'"&amp;J$86&amp;"'!"&amp;VLOOKUP(J$87,'List Values'!$C$3:$D$6,2,FALSE)&amp;ROW(J191))="","",INDIRECT("'"&amp;J$86&amp;"'!"&amp;VLOOKUP(J$87,'List Values'!$C$3:$D$6,2,FALSE)&amp;ROW(J191))),IF(J$86&lt;&gt;"","Data Source Error",""))))</f>
        <v/>
      </c>
      <c r="L191" s="187"/>
      <c r="M191" s="580"/>
      <c r="N191" s="900" t="str">
        <f ca="1">IF(OR($H$7&lt;3,N$133&lt;3),"",IF(M191&lt;&gt;"",M191,IFERROR(IF(INDIRECT("'"&amp;M$86&amp;"'!"&amp;VLOOKUP(M$87,'List Values'!$C$3:$D$6,2,FALSE)&amp;ROW(M191))="","",INDIRECT("'"&amp;M$86&amp;"'!"&amp;VLOOKUP(M$87,'List Values'!$C$3:$D$6,2,FALSE)&amp;ROW(M191))),IF(M$86&lt;&gt;"","Data Source Error",""))))</f>
        <v/>
      </c>
      <c r="O191" s="187"/>
      <c r="P191" s="528"/>
      <c r="Q191" s="900" t="str">
        <f ca="1">IF(OR($H$7&lt;4,Q$133&lt;3),"",IF(P191&lt;&gt;"",P191,IFERROR(IF(INDIRECT("'"&amp;P$86&amp;"'!"&amp;VLOOKUP(P$87,'List Values'!$C$3:$D$6,2,FALSE)&amp;ROW(P191))="","",INDIRECT("'"&amp;P$86&amp;"'!"&amp;VLOOKUP(P$87,'List Values'!$C$3:$D$6,2,FALSE)&amp;ROW(P191))),IF(P$86&lt;&gt;"","Data Source Error",""))))</f>
        <v/>
      </c>
      <c r="S191" s="528"/>
      <c r="T191" s="900" t="str">
        <f ca="1">IF(OR($H$7&lt;5,T$133&lt;3),"",IF(S191&lt;&gt;"",S191,IFERROR(IF(INDIRECT("'"&amp;S$86&amp;"'!"&amp;VLOOKUP(S$87,'List Values'!$C$3:$D$6,2,FALSE)&amp;ROW(S191))="","",INDIRECT("'"&amp;S$86&amp;"'!"&amp;VLOOKUP(S$87,'List Values'!$C$3:$D$6,2,FALSE)&amp;ROW(S191))),IF(S$86&lt;&gt;"","Data Source Error",""))))</f>
        <v/>
      </c>
      <c r="V191" s="528"/>
      <c r="W191" s="911" t="str">
        <f ca="1">IF(OR($H$7&lt;6,W$133&lt;3),"",IF(V191&lt;&gt;"",V191,IFERROR(IF(INDIRECT("'"&amp;V$86&amp;"'!"&amp;VLOOKUP(V$87,'List Values'!$C$3:$D$6,2,FALSE)&amp;ROW(V191))="","",INDIRECT("'"&amp;V$86&amp;"'!"&amp;VLOOKUP(V$87,'List Values'!$C$3:$D$6,2,FALSE)&amp;ROW(V191))),IF(V$86&lt;&gt;"","Data Source Error",""))))</f>
        <v/>
      </c>
      <c r="Y191" s="2643"/>
      <c r="Z191" s="2644"/>
      <c r="AA191" s="2644"/>
      <c r="AB191" s="2645"/>
    </row>
    <row r="192" spans="1:28" ht="30.75" customHeight="1" outlineLevel="1">
      <c r="A192" s="252"/>
      <c r="B192" s="252"/>
      <c r="C192" s="2680" t="s">
        <v>651</v>
      </c>
      <c r="D192" s="2680"/>
      <c r="E192" s="2062"/>
      <c r="F192" s="2062"/>
      <c r="G192" s="636"/>
      <c r="H192" s="637"/>
      <c r="I192" s="184"/>
      <c r="J192" s="624"/>
      <c r="K192" s="941" t="str">
        <f ca="1">IF(OR($H$7&lt;2,K$133&lt;3),"",IF(J192&lt;&gt;"",J192,IFERROR(IF(INDIRECT("'"&amp;J$86&amp;"'!"&amp;VLOOKUP(J$87,'List Values'!$C$3:$D$6,2,FALSE)&amp;ROW(J192))="","",INDIRECT("'"&amp;J$86&amp;"'!"&amp;VLOOKUP(J$87,'List Values'!$C$3:$D$6,2,FALSE)&amp;ROW(J192))),IF(J$86&lt;&gt;"","Data Source Error",""))))</f>
        <v/>
      </c>
      <c r="L192" s="184"/>
      <c r="M192" s="624"/>
      <c r="N192" s="941" t="str">
        <f ca="1">IF(OR($H$7&lt;3,N$133&lt;3),"",IF(M192&lt;&gt;"",M192,IFERROR(IF(INDIRECT("'"&amp;M$86&amp;"'!"&amp;VLOOKUP(M$87,'List Values'!$C$3:$D$6,2,FALSE)&amp;ROW(M192))="","",INDIRECT("'"&amp;M$86&amp;"'!"&amp;VLOOKUP(M$87,'List Values'!$C$3:$D$6,2,FALSE)&amp;ROW(M192))),IF(M$86&lt;&gt;"","Data Source Error",""))))</f>
        <v/>
      </c>
      <c r="O192" s="184"/>
      <c r="P192" s="528"/>
      <c r="Q192" s="941" t="str">
        <f ca="1">IF(OR($H$7&lt;4,Q$133&lt;3),"",IF(P192&lt;&gt;"",P192,IFERROR(IF(INDIRECT("'"&amp;P$86&amp;"'!"&amp;VLOOKUP(P$87,'List Values'!$C$3:$D$6,2,FALSE)&amp;ROW(P192))="","",INDIRECT("'"&amp;P$86&amp;"'!"&amp;VLOOKUP(P$87,'List Values'!$C$3:$D$6,2,FALSE)&amp;ROW(P192))),IF(P$86&lt;&gt;"","Data Source Error",""))))</f>
        <v/>
      </c>
      <c r="S192" s="528"/>
      <c r="T192" s="941" t="str">
        <f ca="1">IF(OR($H$7&lt;5,T$133&lt;3),"",IF(S192&lt;&gt;"",S192,IFERROR(IF(INDIRECT("'"&amp;S$86&amp;"'!"&amp;VLOOKUP(S$87,'List Values'!$C$3:$D$6,2,FALSE)&amp;ROW(S192))="","",INDIRECT("'"&amp;S$86&amp;"'!"&amp;VLOOKUP(S$87,'List Values'!$C$3:$D$6,2,FALSE)&amp;ROW(S192))),IF(S$86&lt;&gt;"","Data Source Error",""))))</f>
        <v/>
      </c>
      <c r="V192" s="528"/>
      <c r="W192" s="947" t="str">
        <f ca="1">IF(OR($H$7&lt;6,W$133&lt;3),"",IF(V192&lt;&gt;"",V192,IFERROR(IF(INDIRECT("'"&amp;V$86&amp;"'!"&amp;VLOOKUP(V$87,'List Values'!$C$3:$D$6,2,FALSE)&amp;ROW(V192))="","",INDIRECT("'"&amp;V$86&amp;"'!"&amp;VLOOKUP(V$87,'List Values'!$C$3:$D$6,2,FALSE)&amp;ROW(V192))),IF(V$86&lt;&gt;"","Data Source Error",""))))</f>
        <v/>
      </c>
      <c r="Y192" s="2643"/>
      <c r="Z192" s="2644"/>
      <c r="AA192" s="2644"/>
      <c r="AB192" s="2645"/>
    </row>
    <row r="193" spans="1:28" ht="30.75" customHeight="1" outlineLevel="1">
      <c r="A193" s="237"/>
      <c r="B193" s="511"/>
      <c r="C193" s="2680" t="s">
        <v>684</v>
      </c>
      <c r="D193" s="2680"/>
      <c r="E193" s="494"/>
      <c r="F193" s="494"/>
      <c r="G193" s="642"/>
      <c r="H193" s="643"/>
      <c r="I193" s="236"/>
      <c r="J193" s="583"/>
      <c r="K193" s="968" t="str">
        <f ca="1">IF(OR($H$7&lt;2,K$133&lt;3),"",IF(J193&lt;&gt;"",J193,IFERROR(IF(INDIRECT("'"&amp;J$86&amp;"'!"&amp;VLOOKUP(J$87,'List Values'!$C$3:$D$6,2,FALSE)&amp;ROW(J193))="","",INDIRECT("'"&amp;J$86&amp;"'!"&amp;VLOOKUP(J$87,'List Values'!$C$3:$D$6,2,FALSE)&amp;ROW(J193))),IF(J$86&lt;&gt;"","Data Source Error",""))))</f>
        <v/>
      </c>
      <c r="L193" s="236"/>
      <c r="M193" s="583"/>
      <c r="N193" s="968" t="str">
        <f ca="1">IF(OR($H$7&lt;3,N$133&lt;3),"",IF(M193&lt;&gt;"",M193,IFERROR(IF(INDIRECT("'"&amp;M$86&amp;"'!"&amp;VLOOKUP(M$87,'List Values'!$C$3:$D$6,2,FALSE)&amp;ROW(M193))="","",INDIRECT("'"&amp;M$86&amp;"'!"&amp;VLOOKUP(M$87,'List Values'!$C$3:$D$6,2,FALSE)&amp;ROW(M193))),IF(M$86&lt;&gt;"","Data Source Error",""))))</f>
        <v/>
      </c>
      <c r="O193" s="236"/>
      <c r="P193" s="582"/>
      <c r="Q193" s="968" t="str">
        <f ca="1">IF(OR($H$7&lt;4,Q$133&lt;3),"",IF(P193&lt;&gt;"",P193,IFERROR(IF(INDIRECT("'"&amp;P$86&amp;"'!"&amp;VLOOKUP(P$87,'List Values'!$C$3:$D$6,2,FALSE)&amp;ROW(P193))="","",INDIRECT("'"&amp;P$86&amp;"'!"&amp;VLOOKUP(P$87,'List Values'!$C$3:$D$6,2,FALSE)&amp;ROW(P193))),IF(P$86&lt;&gt;"","Data Source Error",""))))</f>
        <v/>
      </c>
      <c r="R193" s="236"/>
      <c r="S193" s="582"/>
      <c r="T193" s="968" t="str">
        <f ca="1">IF(OR($H$7&lt;5,T$133&lt;3),"",IF(S193&lt;&gt;"",S193,IFERROR(IF(INDIRECT("'"&amp;S$86&amp;"'!"&amp;VLOOKUP(S$87,'List Values'!$C$3:$D$6,2,FALSE)&amp;ROW(S193))="","",INDIRECT("'"&amp;S$86&amp;"'!"&amp;VLOOKUP(S$87,'List Values'!$C$3:$D$6,2,FALSE)&amp;ROW(S193))),IF(S$86&lt;&gt;"","Data Source Error",""))))</f>
        <v/>
      </c>
      <c r="U193" s="236"/>
      <c r="V193" s="582"/>
      <c r="W193" s="977" t="str">
        <f ca="1">IF(OR($H$7&lt;6,W$133&lt;3),"",IF(V193&lt;&gt;"",V193,IFERROR(IF(INDIRECT("'"&amp;V$86&amp;"'!"&amp;VLOOKUP(V$87,'List Values'!$C$3:$D$6,2,FALSE)&amp;ROW(V193))="","",INDIRECT("'"&amp;V$86&amp;"'!"&amp;VLOOKUP(V$87,'List Values'!$C$3:$D$6,2,FALSE)&amp;ROW(V193))),IF(V$86&lt;&gt;"","Data Source Error",""))))</f>
        <v/>
      </c>
      <c r="Y193" s="2657"/>
      <c r="Z193" s="2658"/>
      <c r="AA193" s="2658"/>
      <c r="AB193" s="2659"/>
    </row>
    <row r="194" spans="1:28" ht="27" customHeight="1">
      <c r="A194" s="212"/>
      <c r="B194" s="1211"/>
      <c r="C194" s="1212"/>
      <c r="D194" s="1212"/>
      <c r="E194" s="1212"/>
      <c r="F194" s="1211"/>
      <c r="G194" s="1213"/>
      <c r="H194" s="1214"/>
      <c r="I194" s="1211"/>
      <c r="J194" s="1215"/>
      <c r="K194" s="1214"/>
      <c r="L194" s="1211"/>
      <c r="M194" s="1215"/>
      <c r="N194" s="1214"/>
      <c r="O194" s="1211"/>
      <c r="P194" s="1215"/>
      <c r="Q194" s="1214"/>
      <c r="R194" s="1211"/>
      <c r="S194" s="1215"/>
      <c r="T194" s="1214"/>
      <c r="U194" s="1211"/>
      <c r="V194" s="1215"/>
      <c r="W194" s="1214"/>
    </row>
    <row r="195" spans="1:28" ht="25.5" customHeight="1">
      <c r="B195" s="2682" t="s">
        <v>2530</v>
      </c>
      <c r="C195" s="2682"/>
      <c r="D195" s="2682"/>
      <c r="E195" s="2682"/>
      <c r="F195" s="2682"/>
      <c r="G195" s="2682"/>
      <c r="H195" s="2682"/>
      <c r="I195" s="596"/>
      <c r="J195" s="2683" t="str">
        <f ca="1">H88&amp;" to "&amp;K88</f>
        <v>CMS to Regional WH</v>
      </c>
      <c r="K195" s="2683"/>
      <c r="L195" s="1219"/>
      <c r="M195" s="2683" t="str">
        <f ca="1">K88&amp;" to "&amp;N88</f>
        <v>Regional WH to Health Facility</v>
      </c>
      <c r="N195" s="2683"/>
      <c r="O195" s="1219"/>
      <c r="P195" s="2683" t="str">
        <f ca="1">N88&amp;" to "&amp;Q88</f>
        <v xml:space="preserve">Health Facility to </v>
      </c>
      <c r="Q195" s="2683"/>
      <c r="R195" s="1219"/>
      <c r="S195" s="2683" t="str">
        <f ca="1">Q88&amp;" to "&amp;T88</f>
        <v xml:space="preserve"> to </v>
      </c>
      <c r="T195" s="2683"/>
      <c r="U195" s="1219"/>
      <c r="V195" s="2683" t="str">
        <f ca="1">T88&amp;" to "&amp;W88</f>
        <v xml:space="preserve"> to </v>
      </c>
      <c r="W195" s="2683"/>
    </row>
    <row r="196" spans="1:28" ht="9.75" customHeight="1" outlineLevel="1">
      <c r="B196" s="2682"/>
      <c r="C196" s="2682"/>
      <c r="D196" s="2682"/>
      <c r="E196" s="2682"/>
      <c r="F196" s="2682"/>
      <c r="G196" s="2682"/>
      <c r="H196" s="2682"/>
      <c r="I196" s="596"/>
      <c r="J196" s="594"/>
      <c r="K196" s="594"/>
      <c r="L196" s="596"/>
      <c r="M196" s="594"/>
      <c r="N196" s="594"/>
      <c r="O196" s="596"/>
      <c r="P196" s="594"/>
      <c r="Q196" s="594"/>
      <c r="R196" s="594"/>
      <c r="S196" s="594"/>
      <c r="T196" s="594"/>
      <c r="U196" s="594"/>
      <c r="V196" s="594"/>
      <c r="W196" s="594"/>
      <c r="Y196" s="2619" t="s">
        <v>673</v>
      </c>
      <c r="Z196" s="2620"/>
      <c r="AA196" s="2620"/>
      <c r="AB196" s="2621"/>
    </row>
    <row r="197" spans="1:28" ht="32.15" customHeight="1" outlineLevel="1">
      <c r="A197" s="1"/>
      <c r="B197" s="2685" t="s">
        <v>2518</v>
      </c>
      <c r="C197" s="2685"/>
      <c r="D197" s="2685"/>
      <c r="E197" s="1691"/>
      <c r="F197" s="1691"/>
      <c r="G197" s="646"/>
      <c r="H197" s="647"/>
      <c r="I197" s="1216"/>
      <c r="J197" s="766"/>
      <c r="K197" s="1217">
        <f ca="1">IF($H$7&lt;2,0,IF(J197&lt;&gt;"",J197,IFERROR(IF(INDIRECT("'"&amp;J$86&amp;"'!"&amp;VLOOKUP(J$87,'List Values'!$C$3:$D$6,2,FALSE)&amp;ROW(J197))="",0,INDIRECT("'"&amp;J$86&amp;"'!"&amp;VLOOKUP(J$87,'List Values'!$C$3:$D$6,2,FALSE)&amp;ROW(J197))),IF(J$86&lt;&gt;"","Data Source Error",0))))</f>
        <v>0</v>
      </c>
      <c r="L197" s="1216"/>
      <c r="M197" s="766"/>
      <c r="N197" s="1217">
        <f ca="1">IF($H$7&lt;3,0,IF(M197&lt;&gt;"",M197,IFERROR(IF(INDIRECT("'"&amp;M$86&amp;"'!"&amp;VLOOKUP(M$87,'List Values'!$C$3:$D$6,2,FALSE)&amp;ROW(M197))="",0,INDIRECT("'"&amp;M$86&amp;"'!"&amp;VLOOKUP(M$87,'List Values'!$C$3:$D$6,2,FALSE)&amp;ROW(M197))),IF(M$86&lt;&gt;"","Data Source Error",0))))</f>
        <v>1</v>
      </c>
      <c r="O197" s="236"/>
      <c r="P197" s="767"/>
      <c r="Q197" s="1217">
        <f ca="1">IF($H$7&lt;4,0,IF(P197&lt;&gt;"",P197,IFERROR(IF(INDIRECT("'"&amp;P$86&amp;"'!"&amp;VLOOKUP(P$87,'List Values'!$C$3:$D$6,2,FALSE)&amp;ROW(P197))="",0,INDIRECT("'"&amp;P$86&amp;"'!"&amp;VLOOKUP(P$87,'List Values'!$C$3:$D$6,2,FALSE)&amp;ROW(P197))),IF(P$86&lt;&gt;"","Data Source Error",0))))</f>
        <v>0</v>
      </c>
      <c r="R197" s="236"/>
      <c r="S197" s="767"/>
      <c r="T197" s="1217">
        <f ca="1">IF($H$7&lt;5,0,IF(S197&lt;&gt;"",S197,IFERROR(IF(INDIRECT("'"&amp;S$86&amp;"'!"&amp;VLOOKUP(S$87,'List Values'!$C$3:$D$6,2,FALSE)&amp;ROW(S197))="",0,INDIRECT("'"&amp;S$86&amp;"'!"&amp;VLOOKUP(S$87,'List Values'!$C$3:$D$6,2,FALSE)&amp;ROW(S197))),IF(S$86&lt;&gt;"","Data Source Error",0))))</f>
        <v>0</v>
      </c>
      <c r="U197" s="236"/>
      <c r="V197" s="767"/>
      <c r="W197" s="1218">
        <f ca="1">IF($H$7&lt;6,0,IF(V197&lt;&gt;"",V197,IFERROR(IF(INDIRECT("'"&amp;V$86&amp;"'!"&amp;VLOOKUP(V$87,'List Values'!$C$3:$D$6,2,FALSE)&amp;ROW(V197))="",0,INDIRECT("'"&amp;V$86&amp;"'!"&amp;VLOOKUP(V$87,'List Values'!$C$3:$D$6,2,FALSE)&amp;ROW(V197))),IF(V$86&lt;&gt;"","Data Source Error",0))))</f>
        <v>0</v>
      </c>
      <c r="Y197" s="2643"/>
      <c r="Z197" s="2644"/>
      <c r="AA197" s="2644"/>
      <c r="AB197" s="2645"/>
    </row>
    <row r="198" spans="1:28" ht="21" customHeight="1">
      <c r="A198" s="1"/>
      <c r="B198" s="612" t="s">
        <v>616</v>
      </c>
      <c r="C198" s="607"/>
      <c r="D198" s="607"/>
      <c r="E198" s="607"/>
      <c r="F198" s="607"/>
      <c r="G198" s="607"/>
      <c r="H198" s="607"/>
      <c r="I198" s="609"/>
      <c r="J198" s="606"/>
      <c r="K198" s="961"/>
      <c r="L198" s="609"/>
      <c r="M198" s="606"/>
      <c r="N198" s="961"/>
      <c r="O198" s="608"/>
      <c r="P198" s="613"/>
      <c r="Q198" s="961"/>
      <c r="R198" s="608"/>
      <c r="S198" s="613"/>
      <c r="T198" s="961"/>
      <c r="U198" s="608"/>
      <c r="V198" s="613"/>
      <c r="W198" s="961"/>
      <c r="Y198" s="631"/>
      <c r="Z198" s="631"/>
      <c r="AA198" s="631"/>
      <c r="AB198" s="631"/>
    </row>
    <row r="199" spans="1:28" ht="15.75" customHeight="1" outlineLevel="1">
      <c r="A199" s="512"/>
      <c r="B199" s="252"/>
      <c r="C199" s="2580" t="s">
        <v>731</v>
      </c>
      <c r="D199" s="2580"/>
      <c r="E199" s="202"/>
      <c r="F199" s="202"/>
      <c r="G199" s="634"/>
      <c r="H199" s="635"/>
      <c r="I199" s="183"/>
      <c r="J199" s="628"/>
      <c r="K199" s="967" t="str">
        <f ca="1">IF(OR($H$7&lt;2,K$197&lt;1),"",IF(J199&lt;&gt;"",J199,IFERROR(IF(INDIRECT("'"&amp;J$86&amp;"'!"&amp;VLOOKUP(J$87,'List Values'!$C$3:$D$6,2,FALSE)&amp;ROW(J199))="","",INDIRECT("'"&amp;J$86&amp;"'!"&amp;VLOOKUP(J$87,'List Values'!$C$3:$D$6,2,FALSE)&amp;ROW(J199))),IF(J$86&lt;&gt;"","Data Source Error",""))))</f>
        <v/>
      </c>
      <c r="L199" s="629"/>
      <c r="M199" s="628"/>
      <c r="N199" s="967">
        <f ca="1">IF(OR($H$7&lt;3,N$197&lt;1),"",IF(M199&lt;&gt;"",M199,IFERROR(IF(INDIRECT("'"&amp;M$86&amp;"'!"&amp;VLOOKUP(M$87,'List Values'!$C$3:$D$6,2,FALSE)&amp;ROW(M199))="","",INDIRECT("'"&amp;M$86&amp;"'!"&amp;VLOOKUP(M$87,'List Values'!$C$3:$D$6,2,FALSE)&amp;ROW(M199))),IF(M$86&lt;&gt;"","Data Source Error",""))))</f>
        <v>1</v>
      </c>
      <c r="O199" s="629"/>
      <c r="P199" s="628"/>
      <c r="Q199" s="967" t="str">
        <f ca="1">IF(OR($H$7&lt;4,Q$197&lt;1),"",IF(P199&lt;&gt;"",P199,IFERROR(IF(INDIRECT("'"&amp;P$86&amp;"'!"&amp;VLOOKUP(P$87,'List Values'!$C$3:$D$6,2,FALSE)&amp;ROW(P199))="","",INDIRECT("'"&amp;P$86&amp;"'!"&amp;VLOOKUP(P$87,'List Values'!$C$3:$D$6,2,FALSE)&amp;ROW(P199))),IF(P$86&lt;&gt;"","Data Source Error",""))))</f>
        <v/>
      </c>
      <c r="R199" s="147"/>
      <c r="S199" s="628"/>
      <c r="T199" s="967" t="str">
        <f ca="1">IF(OR($H$7&lt;5,T$197&lt;1),"",IF(S199&lt;&gt;"",S199,IFERROR(IF(INDIRECT("'"&amp;S$86&amp;"'!"&amp;VLOOKUP(S$87,'List Values'!$C$3:$D$6,2,FALSE)&amp;ROW(S199))="","",INDIRECT("'"&amp;S$86&amp;"'!"&amp;VLOOKUP(S$87,'List Values'!$C$3:$D$6,2,FALSE)&amp;ROW(S199))),IF(S$86&lt;&gt;"","Data Source Error",""))))</f>
        <v/>
      </c>
      <c r="U199" s="147"/>
      <c r="V199" s="628"/>
      <c r="W199" s="973" t="str">
        <f ca="1">IF(OR($H$7&lt;6,W$197&lt;1),"",IF(V199&lt;&gt;"",V199,IFERROR(IF(INDIRECT("'"&amp;V$86&amp;"'!"&amp;VLOOKUP(V$87,'List Values'!$C$3:$D$6,2,FALSE)&amp;ROW(V199))="","",INDIRECT("'"&amp;V$86&amp;"'!"&amp;VLOOKUP(V$87,'List Values'!$C$3:$D$6,2,FALSE)&amp;ROW(V199))),IF(V$86&lt;&gt;"","Data Source Error",""))))</f>
        <v/>
      </c>
      <c r="Y199" s="2643"/>
      <c r="Z199" s="2644"/>
      <c r="AA199" s="2644"/>
      <c r="AB199" s="2645"/>
    </row>
    <row r="200" spans="1:28" ht="15.65" customHeight="1" outlineLevel="1">
      <c r="A200" s="512"/>
      <c r="B200" s="252"/>
      <c r="C200" s="2680" t="s">
        <v>626</v>
      </c>
      <c r="D200" s="2680"/>
      <c r="E200" s="2062"/>
      <c r="F200" s="2062"/>
      <c r="G200" s="636"/>
      <c r="H200" s="637"/>
      <c r="I200" s="187"/>
      <c r="J200" s="526"/>
      <c r="K200" s="979" t="str">
        <f ca="1">IF(OR($H$7&lt;2,K$197&lt;1),"",IF(J200&lt;&gt;"",J200,IFERROR(IF(INDIRECT("'"&amp;J$86&amp;"'!"&amp;VLOOKUP(J$87,'List Values'!$C$3:$D$6,2,FALSE)&amp;ROW(J200))="","",INDIRECT("'"&amp;J$86&amp;"'!"&amp;VLOOKUP(J$87,'List Values'!$C$3:$D$6,2,FALSE)&amp;ROW(J200))),IF(J$86&lt;&gt;"","Data Source Error",""))))</f>
        <v/>
      </c>
      <c r="L200" s="187"/>
      <c r="M200" s="526"/>
      <c r="N200" s="900" t="str">
        <f ca="1">IF(OR($H$7&lt;3,N$197&lt;1),"",IF(M200&lt;&gt;"",M200,IFERROR(IF(INDIRECT("'"&amp;M$86&amp;"'!"&amp;VLOOKUP(M$87,'List Values'!$C$3:$D$6,2,FALSE)&amp;ROW(M200))="","",INDIRECT("'"&amp;M$86&amp;"'!"&amp;VLOOKUP(M$87,'List Values'!$C$3:$D$6,2,FALSE)&amp;ROW(M200))),IF(M$86&lt;&gt;"","Data Source Error",""))))</f>
        <v>Car/Sport Utility/Consumer Vehicle</v>
      </c>
      <c r="O200" s="187"/>
      <c r="P200" s="526"/>
      <c r="Q200" s="900" t="str">
        <f ca="1">IF(OR($H$7&lt;4,Q$197&lt;1),"",IF(P200&lt;&gt;"",P200,IFERROR(IF(INDIRECT("'"&amp;P$86&amp;"'!"&amp;VLOOKUP(P$87,'List Values'!$C$3:$D$6,2,FALSE)&amp;ROW(P200))="","",INDIRECT("'"&amp;P$86&amp;"'!"&amp;VLOOKUP(P$87,'List Values'!$C$3:$D$6,2,FALSE)&amp;ROW(P200))),IF(P$86&lt;&gt;"","Data Source Error",""))))</f>
        <v/>
      </c>
      <c r="S200" s="526"/>
      <c r="T200" s="900" t="str">
        <f ca="1">IF(OR($H$7&lt;5,T$197&lt;1),"",IF(S200&lt;&gt;"",S200,IFERROR(IF(INDIRECT("'"&amp;S$86&amp;"'!"&amp;VLOOKUP(S$87,'List Values'!$C$3:$D$6,2,FALSE)&amp;ROW(S200))="","",INDIRECT("'"&amp;S$86&amp;"'!"&amp;VLOOKUP(S$87,'List Values'!$C$3:$D$6,2,FALSE)&amp;ROW(S200))),IF(S$86&lt;&gt;"","Data Source Error",""))))</f>
        <v/>
      </c>
      <c r="V200" s="526"/>
      <c r="W200" s="911" t="str">
        <f ca="1">IF(OR($H$7&lt;6,W$197&lt;1),"",IF(V200&lt;&gt;"",V200,IFERROR(IF(INDIRECT("'"&amp;V$86&amp;"'!"&amp;VLOOKUP(V$87,'List Values'!$C$3:$D$6,2,FALSE)&amp;ROW(V200))="","",INDIRECT("'"&amp;V$86&amp;"'!"&amp;VLOOKUP(V$87,'List Values'!$C$3:$D$6,2,FALSE)&amp;ROW(V200))),IF(V$86&lt;&gt;"","Data Source Error",""))))</f>
        <v/>
      </c>
      <c r="Y200" s="2643"/>
      <c r="Z200" s="2644"/>
      <c r="AA200" s="2644"/>
      <c r="AB200" s="2645"/>
    </row>
    <row r="201" spans="1:28" ht="31.5" customHeight="1" outlineLevel="1">
      <c r="A201" s="512"/>
      <c r="B201" s="252"/>
      <c r="C201" s="2680" t="s">
        <v>2520</v>
      </c>
      <c r="D201" s="2680"/>
      <c r="E201" s="2062"/>
      <c r="F201" s="2062"/>
      <c r="G201" s="636"/>
      <c r="H201" s="637"/>
      <c r="I201" s="187"/>
      <c r="J201" s="561" t="s">
        <v>218</v>
      </c>
      <c r="K201" s="900" t="str">
        <f ca="1">IF(OR($H$7&lt;2,K$197&lt;1),"",IF(J201&lt;&gt;"",J201,IFERROR(IF(INDIRECT("'"&amp;J$86&amp;"'!"&amp;VLOOKUP(J$87,'List Values'!$C$3:$D$6,2,FALSE)&amp;ROW(J201))="","",INDIRECT("'"&amp;J$86&amp;"'!"&amp;VLOOKUP(J$87,'List Values'!$C$3:$D$6,2,FALSE)&amp;ROW(J201))),IF(J$86&lt;&gt;"","Data Source Error",""))))</f>
        <v/>
      </c>
      <c r="L201" s="187"/>
      <c r="M201" s="561"/>
      <c r="N201" s="900" t="str">
        <f ca="1">IF(OR($H$7&lt;3,N$197&lt;1),"",IF(M201&lt;&gt;"",M201,IFERROR(IF(INDIRECT("'"&amp;M$86&amp;"'!"&amp;VLOOKUP(M$87,'List Values'!$C$3:$D$6,2,FALSE)&amp;ROW(M201))="","",INDIRECT("'"&amp;M$86&amp;"'!"&amp;VLOOKUP(M$87,'List Values'!$C$3:$D$6,2,FALSE)&amp;ROW(M201))),IF(M$86&lt;&gt;"","Data Source Error",""))))</f>
        <v>Owned</v>
      </c>
      <c r="O201" s="187"/>
      <c r="P201" s="561"/>
      <c r="Q201" s="900" t="str">
        <f ca="1">IF(OR($H$7&lt;4,Q$197&lt;1),"",IF(P201&lt;&gt;"",P201,IFERROR(IF(INDIRECT("'"&amp;P$86&amp;"'!"&amp;VLOOKUP(P$87,'List Values'!$C$3:$D$6,2,FALSE)&amp;ROW(P201))="","",INDIRECT("'"&amp;P$86&amp;"'!"&amp;VLOOKUP(P$87,'List Values'!$C$3:$D$6,2,FALSE)&amp;ROW(P201))),IF(P$86&lt;&gt;"","Data Source Error",""))))</f>
        <v/>
      </c>
      <c r="S201" s="561"/>
      <c r="T201" s="900" t="str">
        <f ca="1">IF(OR($H$7&lt;5,T$197&lt;1),"",IF(S201&lt;&gt;"",S201,IFERROR(IF(INDIRECT("'"&amp;S$86&amp;"'!"&amp;VLOOKUP(S$87,'List Values'!$C$3:$D$6,2,FALSE)&amp;ROW(S201))="","",INDIRECT("'"&amp;S$86&amp;"'!"&amp;VLOOKUP(S$87,'List Values'!$C$3:$D$6,2,FALSE)&amp;ROW(S201))),IF(S$86&lt;&gt;"","Data Source Error",""))))</f>
        <v/>
      </c>
      <c r="V201" s="561"/>
      <c r="W201" s="911" t="str">
        <f ca="1">IF(OR($H$7&lt;6,W$197&lt;1),"",IF(V201&lt;&gt;"",V201,IFERROR(IF(INDIRECT("'"&amp;V$86&amp;"'!"&amp;VLOOKUP(V$87,'List Values'!$C$3:$D$6,2,FALSE)&amp;ROW(V201))="","",INDIRECT("'"&amp;V$86&amp;"'!"&amp;VLOOKUP(V$87,'List Values'!$C$3:$D$6,2,FALSE)&amp;ROW(V201))),IF(V$86&lt;&gt;"","Data Source Error",""))))</f>
        <v/>
      </c>
      <c r="Y201" s="2643"/>
      <c r="Z201" s="2644"/>
      <c r="AA201" s="2644"/>
      <c r="AB201" s="2645"/>
    </row>
    <row r="202" spans="1:28" ht="31.5" customHeight="1" outlineLevel="1">
      <c r="A202" s="512"/>
      <c r="B202" s="252"/>
      <c r="C202" s="2684" t="s">
        <v>726</v>
      </c>
      <c r="D202" s="2684"/>
      <c r="E202" s="2062"/>
      <c r="F202" s="2062"/>
      <c r="G202" s="636"/>
      <c r="H202" s="637"/>
      <c r="I202" s="187"/>
      <c r="J202" s="526"/>
      <c r="K202" s="900" t="str">
        <f ca="1">IF(OR($H$7&lt;2,K$197&lt;1),"",IF(J202&lt;&gt;"",J202,IFERROR(IF(INDIRECT("'"&amp;J$86&amp;"'!"&amp;VLOOKUP(J$87,'List Values'!$C$3:$D$6,2,FALSE)&amp;ROW(J202))="","",INDIRECT("'"&amp;J$86&amp;"'!"&amp;VLOOKUP(J$87,'List Values'!$C$3:$D$6,2,FALSE)&amp;ROW(J202))),IF(J$86&lt;&gt;"","Data Source Error",""))))</f>
        <v/>
      </c>
      <c r="L202" s="187"/>
      <c r="M202" s="526"/>
      <c r="N202" s="900" t="str">
        <f ca="1">IF(OR($H$7&lt;3,N$197&lt;1),"",IF(M202&lt;&gt;"",M202,IFERROR(IF(INDIRECT("'"&amp;M$86&amp;"'!"&amp;VLOOKUP(M$87,'List Values'!$C$3:$D$6,2,FALSE)&amp;ROW(M202))="","",INDIRECT("'"&amp;M$86&amp;"'!"&amp;VLOOKUP(M$87,'List Values'!$C$3:$D$6,2,FALSE)&amp;ROW(M202))),IF(M$86&lt;&gt;"","Data Source Error",""))))</f>
        <v>#</v>
      </c>
      <c r="O202" s="187"/>
      <c r="P202" s="526"/>
      <c r="Q202" s="900" t="str">
        <f ca="1">IF(OR($H$7&lt;4,Q$197&lt;1),"",IF(P202&lt;&gt;"",P202,IFERROR(IF(INDIRECT("'"&amp;P$86&amp;"'!"&amp;VLOOKUP(P$87,'List Values'!$C$3:$D$6,2,FALSE)&amp;ROW(P202))="","",INDIRECT("'"&amp;P$86&amp;"'!"&amp;VLOOKUP(P$87,'List Values'!$C$3:$D$6,2,FALSE)&amp;ROW(P202))),IF(P$86&lt;&gt;"","Data Source Error",""))))</f>
        <v/>
      </c>
      <c r="S202" s="526"/>
      <c r="T202" s="900" t="str">
        <f ca="1">IF(OR($H$7&lt;5,T$197&lt;1),"",IF(S202&lt;&gt;"",S202,IFERROR(IF(INDIRECT("'"&amp;S$86&amp;"'!"&amp;VLOOKUP(S$87,'List Values'!$C$3:$D$6,2,FALSE)&amp;ROW(S202))="","",INDIRECT("'"&amp;S$86&amp;"'!"&amp;VLOOKUP(S$87,'List Values'!$C$3:$D$6,2,FALSE)&amp;ROW(S202))),IF(S$86&lt;&gt;"","Data Source Error",""))))</f>
        <v/>
      </c>
      <c r="V202" s="526"/>
      <c r="W202" s="911" t="str">
        <f ca="1">IF(OR($H$7&lt;6,W$197&lt;1),"",IF(V202&lt;&gt;"",V202,IFERROR(IF(INDIRECT("'"&amp;V$86&amp;"'!"&amp;VLOOKUP(V$87,'List Values'!$C$3:$D$6,2,FALSE)&amp;ROW(V202))="","",INDIRECT("'"&amp;V$86&amp;"'!"&amp;VLOOKUP(V$87,'List Values'!$C$3:$D$6,2,FALSE)&amp;ROW(V202))),IF(V$86&lt;&gt;"","Data Source Error",""))))</f>
        <v/>
      </c>
      <c r="Y202" s="2643"/>
      <c r="Z202" s="2644"/>
      <c r="AA202" s="2644"/>
      <c r="AB202" s="2645"/>
    </row>
    <row r="203" spans="1:28" ht="31.5" customHeight="1" outlineLevel="1">
      <c r="A203" s="512"/>
      <c r="B203" s="252"/>
      <c r="C203" s="2684" t="s">
        <v>727</v>
      </c>
      <c r="D203" s="2684"/>
      <c r="E203" s="2062"/>
      <c r="F203" s="2062"/>
      <c r="G203" s="636"/>
      <c r="H203" s="637"/>
      <c r="I203" s="187"/>
      <c r="J203" s="568"/>
      <c r="K203" s="945" t="str">
        <f ca="1">IF(OR($H$7&lt;2,K$197&lt;1),"",IF(J203&lt;&gt;"",J203,IFERROR(IF(INDIRECT("'"&amp;J$86&amp;"'!"&amp;VLOOKUP(J$87,'List Values'!$C$3:$D$6,2,FALSE)&amp;ROW(J203))="","",INDIRECT("'"&amp;J$86&amp;"'!"&amp;VLOOKUP(J$87,'List Values'!$C$3:$D$6,2,FALSE)&amp;ROW(J203))*$H$6),IF(J$86&lt;&gt;"","Data Source Error",""))))</f>
        <v/>
      </c>
      <c r="L203" s="339"/>
      <c r="M203" s="568"/>
      <c r="N203" s="945" t="str">
        <f ca="1">IF(OR($H$7&lt;3,N$197&lt;1),"",IF(M203&lt;&gt;"",M203,IFERROR(IF(INDIRECT("'"&amp;M$86&amp;"'!"&amp;VLOOKUP(M$87,'List Values'!$C$3:$D$6,2,FALSE)&amp;ROW(M203))="","",INDIRECT("'"&amp;M$86&amp;"'!"&amp;VLOOKUP(M$87,'List Values'!$C$3:$D$6,2,FALSE)&amp;ROW(M203))*$H$6),IF(M$86&lt;&gt;"","Data Source Error",""))))</f>
        <v>Data Source Error</v>
      </c>
      <c r="O203" s="339"/>
      <c r="P203" s="568"/>
      <c r="Q203" s="945" t="str">
        <f ca="1">IF(OR($H$7&lt;4,Q$197&lt;1),"",IF(P203&lt;&gt;"",P203,IFERROR(IF(INDIRECT("'"&amp;P$86&amp;"'!"&amp;VLOOKUP(P$87,'List Values'!$C$3:$D$6,2,FALSE)&amp;ROW(P203))="","",INDIRECT("'"&amp;P$86&amp;"'!"&amp;VLOOKUP(P$87,'List Values'!$C$3:$D$6,2,FALSE)&amp;ROW(P203))*$H$6),IF(P$86&lt;&gt;"","Data Source Error",""))))</f>
        <v/>
      </c>
      <c r="R203" s="7"/>
      <c r="S203" s="568"/>
      <c r="T203" s="945" t="str">
        <f ca="1">IF(OR($H$7&lt;5,T$197&lt;1),"",IF(S203&lt;&gt;"",S203,IFERROR(IF(INDIRECT("'"&amp;S$86&amp;"'!"&amp;VLOOKUP(S$87,'List Values'!$C$3:$D$6,2,FALSE)&amp;ROW(S203))="","",INDIRECT("'"&amp;S$86&amp;"'!"&amp;VLOOKUP(S$87,'List Values'!$C$3:$D$6,2,FALSE)&amp;ROW(S203))*$H$6),IF(S$86&lt;&gt;"","Data Source Error",""))))</f>
        <v/>
      </c>
      <c r="U203" s="7"/>
      <c r="V203" s="568"/>
      <c r="W203" s="952" t="str">
        <f ca="1">IF(OR($H$7&lt;6,W$197&lt;1),"",IF(V203&lt;&gt;"",V203,IFERROR(IF(INDIRECT("'"&amp;V$86&amp;"'!"&amp;VLOOKUP(V$87,'List Values'!$C$3:$D$6,2,FALSE)&amp;ROW(V203))="","",INDIRECT("'"&amp;V$86&amp;"'!"&amp;VLOOKUP(V$87,'List Values'!$C$3:$D$6,2,FALSE)&amp;ROW(V203))*$H$6),IF(V$86&lt;&gt;"","Data Source Error",""))))</f>
        <v/>
      </c>
      <c r="Y203" s="2643"/>
      <c r="Z203" s="2644"/>
      <c r="AA203" s="2644"/>
      <c r="AB203" s="2645"/>
    </row>
    <row r="204" spans="1:28" ht="15.75" customHeight="1" outlineLevel="1">
      <c r="A204" s="512"/>
      <c r="B204" s="252"/>
      <c r="C204" s="2680" t="s">
        <v>732</v>
      </c>
      <c r="D204" s="2680"/>
      <c r="E204" s="2062"/>
      <c r="F204" s="2062"/>
      <c r="G204" s="636"/>
      <c r="H204" s="637"/>
      <c r="I204" s="187"/>
      <c r="J204" s="526"/>
      <c r="K204" s="900" t="str">
        <f ca="1">IF(OR($H$7&lt;2,K$197&lt;1),"",IF(J204&lt;&gt;"",J204,IFERROR(IF(INDIRECT("'"&amp;J$86&amp;"'!"&amp;VLOOKUP(J$87,'List Values'!$C$3:$D$6,2,FALSE)&amp;ROW(J204))="","",INDIRECT("'"&amp;J$86&amp;"'!"&amp;VLOOKUP(J$87,'List Values'!$C$3:$D$6,2,FALSE)&amp;ROW(J204))),IF(J$86&lt;&gt;"","Data Source Error",""))))</f>
        <v/>
      </c>
      <c r="L204" s="187"/>
      <c r="M204" s="526"/>
      <c r="N204" s="900">
        <f ca="1">IF(OR($H$7&lt;3,N$197&lt;1),"",IF(M204&lt;&gt;"",M204,IFERROR(IF(INDIRECT("'"&amp;M$86&amp;"'!"&amp;VLOOKUP(M$87,'List Values'!$C$3:$D$6,2,FALSE)&amp;ROW(M204))="","",INDIRECT("'"&amp;M$86&amp;"'!"&amp;VLOOKUP(M$87,'List Values'!$C$3:$D$6,2,FALSE)&amp;ROW(M204))),IF(M$86&lt;&gt;"","Data Source Error",""))))</f>
        <v>5</v>
      </c>
      <c r="O204" s="187"/>
      <c r="P204" s="526"/>
      <c r="Q204" s="900" t="str">
        <f ca="1">IF(OR($H$7&lt;4,Q$197&lt;1),"",IF(P204&lt;&gt;"",P204,IFERROR(IF(INDIRECT("'"&amp;P$86&amp;"'!"&amp;VLOOKUP(P$87,'List Values'!$C$3:$D$6,2,FALSE)&amp;ROW(P204))="","",INDIRECT("'"&amp;P$86&amp;"'!"&amp;VLOOKUP(P$87,'List Values'!$C$3:$D$6,2,FALSE)&amp;ROW(P204))),IF(P$86&lt;&gt;"","Data Source Error",""))))</f>
        <v/>
      </c>
      <c r="S204" s="526"/>
      <c r="T204" s="900" t="str">
        <f ca="1">IF(OR($H$7&lt;5,T$197&lt;1),"",IF(S204&lt;&gt;"",S204,IFERROR(IF(INDIRECT("'"&amp;S$86&amp;"'!"&amp;VLOOKUP(S$87,'List Values'!$C$3:$D$6,2,FALSE)&amp;ROW(S204))="","",INDIRECT("'"&amp;S$86&amp;"'!"&amp;VLOOKUP(S$87,'List Values'!$C$3:$D$6,2,FALSE)&amp;ROW(S204))),IF(S$86&lt;&gt;"","Data Source Error",""))))</f>
        <v/>
      </c>
      <c r="V204" s="526"/>
      <c r="W204" s="911" t="str">
        <f ca="1">IF(OR($H$7&lt;6,W$197&lt;1),"",IF(V204&lt;&gt;"",V204,IFERROR(IF(INDIRECT("'"&amp;V$86&amp;"'!"&amp;VLOOKUP(V$87,'List Values'!$C$3:$D$6,2,FALSE)&amp;ROW(V204))="","",INDIRECT("'"&amp;V$86&amp;"'!"&amp;VLOOKUP(V$87,'List Values'!$C$3:$D$6,2,FALSE)&amp;ROW(V204))),IF(V$86&lt;&gt;"","Data Source Error",""))))</f>
        <v/>
      </c>
      <c r="Y204" s="2643"/>
      <c r="Z204" s="2644"/>
      <c r="AA204" s="2644"/>
      <c r="AB204" s="2645"/>
    </row>
    <row r="205" spans="1:28" ht="31.5" customHeight="1" outlineLevel="1">
      <c r="A205" s="512"/>
      <c r="B205" s="252"/>
      <c r="C205" s="2684" t="s">
        <v>634</v>
      </c>
      <c r="D205" s="2684"/>
      <c r="E205" s="203"/>
      <c r="F205" s="203"/>
      <c r="G205" s="644"/>
      <c r="H205" s="645"/>
      <c r="I205" s="183"/>
      <c r="J205" s="553"/>
      <c r="K205" s="897" t="str">
        <f ca="1">IF(OR($H$7&lt;2,K$197&lt;1),"",IF(J205&lt;&gt;"",J205,IFERROR(IF(INDIRECT("'"&amp;J$86&amp;"'!"&amp;VLOOKUP(J$87,'List Values'!$C$3:$D$6,2,FALSE)&amp;ROW(J205))="","",INDIRECT("'"&amp;J$86&amp;"'!"&amp;VLOOKUP(J$87,'List Values'!$C$3:$D$6,2,FALSE)&amp;ROW(J205))),IF(J$86&lt;&gt;"","Data Source Error",""))))</f>
        <v/>
      </c>
      <c r="L205" s="183"/>
      <c r="M205" s="553"/>
      <c r="N205" s="897" t="str">
        <f ca="1">IF(OR($H$7&lt;3,N$197&lt;1),"",IF(M205&lt;&gt;"",M205,IFERROR(IF(INDIRECT("'"&amp;M$86&amp;"'!"&amp;VLOOKUP(M$87,'List Values'!$C$3:$D$6,2,FALSE)&amp;ROW(M205))="","",INDIRECT("'"&amp;M$86&amp;"'!"&amp;VLOOKUP(M$87,'List Values'!$C$3:$D$6,2,FALSE)&amp;ROW(M205))),IF(M$86&lt;&gt;"","Data Source Error",""))))</f>
        <v>No</v>
      </c>
      <c r="O205" s="183"/>
      <c r="P205" s="553"/>
      <c r="Q205" s="897" t="str">
        <f ca="1">IF(OR($H$7&lt;4,Q$197&lt;1),"",IF(P205&lt;&gt;"",P205,IFERROR(IF(INDIRECT("'"&amp;P$86&amp;"'!"&amp;VLOOKUP(P$87,'List Values'!$C$3:$D$6,2,FALSE)&amp;ROW(P205))="","",INDIRECT("'"&amp;P$86&amp;"'!"&amp;VLOOKUP(P$87,'List Values'!$C$3:$D$6,2,FALSE)&amp;ROW(P205))),IF(P$86&lt;&gt;"","Data Source Error",""))))</f>
        <v/>
      </c>
      <c r="S205" s="553"/>
      <c r="T205" s="897" t="str">
        <f ca="1">IF(OR($H$7&lt;5,T$197&lt;1),"",IF(S205&lt;&gt;"",S205,IFERROR(IF(INDIRECT("'"&amp;S$86&amp;"'!"&amp;VLOOKUP(S$87,'List Values'!$C$3:$D$6,2,FALSE)&amp;ROW(S205))="","",INDIRECT("'"&amp;S$86&amp;"'!"&amp;VLOOKUP(S$87,'List Values'!$C$3:$D$6,2,FALSE)&amp;ROW(S205))),IF(S$86&lt;&gt;"","Data Source Error",""))))</f>
        <v/>
      </c>
      <c r="V205" s="553"/>
      <c r="W205" s="908" t="str">
        <f ca="1">IF(OR($H$7&lt;6,W$197&lt;1),"",IF(V205&lt;&gt;"",V205,IFERROR(IF(INDIRECT("'"&amp;V$86&amp;"'!"&amp;VLOOKUP(V$87,'List Values'!$C$3:$D$6,2,FALSE)&amp;ROW(V205))="","",INDIRECT("'"&amp;V$86&amp;"'!"&amp;VLOOKUP(V$87,'List Values'!$C$3:$D$6,2,FALSE)&amp;ROW(V205))),IF(V$86&lt;&gt;"","Data Source Error",""))))</f>
        <v/>
      </c>
      <c r="Y205" s="2643"/>
      <c r="Z205" s="2644"/>
      <c r="AA205" s="2644"/>
      <c r="AB205" s="2645"/>
    </row>
    <row r="206" spans="1:28" ht="31.5" customHeight="1" outlineLevel="1">
      <c r="A206" s="512"/>
      <c r="B206" s="252"/>
      <c r="C206" s="2680" t="s">
        <v>2521</v>
      </c>
      <c r="D206" s="2680"/>
      <c r="E206" s="2062"/>
      <c r="F206" s="2062"/>
      <c r="G206" s="636"/>
      <c r="H206" s="637"/>
      <c r="I206" s="187"/>
      <c r="J206" s="619"/>
      <c r="K206" s="898" t="str">
        <f ca="1">IF(OR($H$7&lt;2,K$197&lt;1),"",IF(J206&lt;&gt;"",J206,IFERROR(IF(INDIRECT("'"&amp;J$86&amp;"'!"&amp;VLOOKUP(J$87,'List Values'!$C$3:$D$6,2,FALSE)&amp;ROW(J206))="","",INDIRECT("'"&amp;J$86&amp;"'!"&amp;VLOOKUP(J$87,'List Values'!$C$3:$D$6,2,FALSE)&amp;ROW(J206))),IF(J$86&lt;&gt;"","Data Source Error",""))))</f>
        <v/>
      </c>
      <c r="L206" s="621"/>
      <c r="M206" s="619"/>
      <c r="N206" s="898">
        <f ca="1">IF(OR($H$7&lt;3,N$197&lt;1),"",IF(M206&lt;&gt;"",M206,IFERROR(IF(INDIRECT("'"&amp;M$86&amp;"'!"&amp;VLOOKUP(M$87,'List Values'!$C$3:$D$6,2,FALSE)&amp;ROW(M206))="","",INDIRECT("'"&amp;M$86&amp;"'!"&amp;VLOOKUP(M$87,'List Values'!$C$3:$D$6,2,FALSE)&amp;ROW(M206))),IF(M$86&lt;&gt;"","Data Source Error",""))))</f>
        <v>0</v>
      </c>
      <c r="O206" s="621"/>
      <c r="P206" s="619"/>
      <c r="Q206" s="898" t="str">
        <f ca="1">IF(OR($H$7&lt;4,Q$197&lt;1),"",IF(P206&lt;&gt;"",P206,IFERROR(IF(INDIRECT("'"&amp;P$86&amp;"'!"&amp;VLOOKUP(P$87,'List Values'!$C$3:$D$6,2,FALSE)&amp;ROW(P206))="","",INDIRECT("'"&amp;P$86&amp;"'!"&amp;VLOOKUP(P$87,'List Values'!$C$3:$D$6,2,FALSE)&amp;ROW(P206))),IF(P$86&lt;&gt;"","Data Source Error",""))))</f>
        <v/>
      </c>
      <c r="R206" s="147"/>
      <c r="S206" s="619"/>
      <c r="T206" s="898" t="str">
        <f ca="1">IF(OR($H$7&lt;5,T$197&lt;1),"",IF(S206&lt;&gt;"",S206,IFERROR(IF(INDIRECT("'"&amp;S$86&amp;"'!"&amp;VLOOKUP(S$87,'List Values'!$C$3:$D$6,2,FALSE)&amp;ROW(S206))="","",INDIRECT("'"&amp;S$86&amp;"'!"&amp;VLOOKUP(S$87,'List Values'!$C$3:$D$6,2,FALSE)&amp;ROW(S206))),IF(S$86&lt;&gt;"","Data Source Error",""))))</f>
        <v/>
      </c>
      <c r="U206" s="147"/>
      <c r="V206" s="619"/>
      <c r="W206" s="909" t="str">
        <f ca="1">IF(OR($H$7&lt;6,W$197&lt;1),"",IF(V206&lt;&gt;"",V206,IFERROR(IF(INDIRECT("'"&amp;V$86&amp;"'!"&amp;VLOOKUP(V$87,'List Values'!$C$3:$D$6,2,FALSE)&amp;ROW(V206))="","",INDIRECT("'"&amp;V$86&amp;"'!"&amp;VLOOKUP(V$87,'List Values'!$C$3:$D$6,2,FALSE)&amp;ROW(V206))),IF(V$86&lt;&gt;"","Data Source Error",""))))</f>
        <v/>
      </c>
      <c r="Y206" s="2643"/>
      <c r="Z206" s="2644"/>
      <c r="AA206" s="2644"/>
      <c r="AB206" s="2645"/>
    </row>
    <row r="207" spans="1:28" ht="31.5" customHeight="1" outlineLevel="1">
      <c r="A207" s="512"/>
      <c r="B207" s="252"/>
      <c r="C207" s="2680" t="s">
        <v>2522</v>
      </c>
      <c r="D207" s="2680"/>
      <c r="E207" s="2062"/>
      <c r="F207" s="2062"/>
      <c r="G207" s="636"/>
      <c r="H207" s="637"/>
      <c r="I207" s="187"/>
      <c r="J207" s="619"/>
      <c r="K207" s="898" t="str">
        <f ca="1">IF(OR($H$7&lt;2,K$197&lt;1),"",IF(J207&lt;&gt;"",J207,IFERROR(IF(INDIRECT("'"&amp;J$86&amp;"'!"&amp;VLOOKUP(J$87,'List Values'!$C$3:$D$6,2,FALSE)&amp;ROW(J207))="","",INDIRECT("'"&amp;J$86&amp;"'!"&amp;VLOOKUP(J$87,'List Values'!$C$3:$D$6,2,FALSE)&amp;ROW(J207))),IF(J$86&lt;&gt;"","Data Source Error",""))))</f>
        <v/>
      </c>
      <c r="L207" s="621"/>
      <c r="M207" s="619"/>
      <c r="N207" s="898">
        <f ca="1">IF(OR($H$7&lt;3,N$197&lt;1),"",IF(M207&lt;&gt;"",M207,IFERROR(IF(INDIRECT("'"&amp;M$86&amp;"'!"&amp;VLOOKUP(M$87,'List Values'!$C$3:$D$6,2,FALSE)&amp;ROW(M207))="","",INDIRECT("'"&amp;M$86&amp;"'!"&amp;VLOOKUP(M$87,'List Values'!$C$3:$D$6,2,FALSE)&amp;ROW(M207))),IF(M$86&lt;&gt;"","Data Source Error",""))))</f>
        <v>0</v>
      </c>
      <c r="O207" s="621"/>
      <c r="P207" s="619"/>
      <c r="Q207" s="898" t="str">
        <f ca="1">IF(OR($H$7&lt;4,Q$197&lt;1),"",IF(P207&lt;&gt;"",P207,IFERROR(IF(INDIRECT("'"&amp;P$86&amp;"'!"&amp;VLOOKUP(P$87,'List Values'!$C$3:$D$6,2,FALSE)&amp;ROW(P207))="","",INDIRECT("'"&amp;P$86&amp;"'!"&amp;VLOOKUP(P$87,'List Values'!$C$3:$D$6,2,FALSE)&amp;ROW(P207))),IF(P$86&lt;&gt;"","Data Source Error",""))))</f>
        <v/>
      </c>
      <c r="R207" s="147"/>
      <c r="S207" s="619"/>
      <c r="T207" s="898" t="str">
        <f ca="1">IF(OR($H$7&lt;5,T$197&lt;1),"",IF(S207&lt;&gt;"",S207,IFERROR(IF(INDIRECT("'"&amp;S$86&amp;"'!"&amp;VLOOKUP(S$87,'List Values'!$C$3:$D$6,2,FALSE)&amp;ROW(S207))="","",INDIRECT("'"&amp;S$86&amp;"'!"&amp;VLOOKUP(S$87,'List Values'!$C$3:$D$6,2,FALSE)&amp;ROW(S207))),IF(S$86&lt;&gt;"","Data Source Error",""))))</f>
        <v/>
      </c>
      <c r="U207" s="147"/>
      <c r="V207" s="619"/>
      <c r="W207" s="909" t="str">
        <f ca="1">IF(OR($H$7&lt;6,W$197&lt;1),"",IF(V207&lt;&gt;"",V207,IFERROR(IF(INDIRECT("'"&amp;V$86&amp;"'!"&amp;VLOOKUP(V$87,'List Values'!$C$3:$D$6,2,FALSE)&amp;ROW(V207))="","",INDIRECT("'"&amp;V$86&amp;"'!"&amp;VLOOKUP(V$87,'List Values'!$C$3:$D$6,2,FALSE)&amp;ROW(V207))),IF(V$86&lt;&gt;"","Data Source Error",""))))</f>
        <v/>
      </c>
      <c r="Y207" s="2643"/>
      <c r="Z207" s="2644"/>
      <c r="AA207" s="2644"/>
      <c r="AB207" s="2645"/>
    </row>
    <row r="208" spans="1:28" ht="33.75" customHeight="1" outlineLevel="1">
      <c r="A208" s="512"/>
      <c r="B208" s="252"/>
      <c r="C208" s="2680" t="s">
        <v>253</v>
      </c>
      <c r="D208" s="2680"/>
      <c r="E208" s="2062"/>
      <c r="F208" s="2062"/>
      <c r="G208" s="636"/>
      <c r="H208" s="637"/>
      <c r="I208" s="187"/>
      <c r="J208" s="526"/>
      <c r="K208" s="900" t="str">
        <f ca="1">IF(OR($H$7&lt;2,K$197&lt;1),"",IF(J208&lt;&gt;"",J208,IFERROR(IF(INDIRECT("'"&amp;J$86&amp;"'!"&amp;VLOOKUP(J$87,'List Values'!$C$3:$D$6,2,FALSE)&amp;ROW(J208))="","",INDIRECT("'"&amp;J$86&amp;"'!"&amp;VLOOKUP(J$87,'List Values'!$C$3:$D$6,2,FALSE)&amp;ROW(J208))),IF(J$86&lt;&gt;"","Data Source Error",""))))</f>
        <v/>
      </c>
      <c r="L208" s="187"/>
      <c r="M208" s="526"/>
      <c r="N208" s="900" t="str">
        <f ca="1">IF(OR($H$7&lt;3,N$197&lt;1),"",IF(M208&lt;&gt;"",M208,IFERROR(IF(INDIRECT("'"&amp;M$86&amp;"'!"&amp;VLOOKUP(M$87,'List Values'!$C$3:$D$6,2,FALSE)&amp;ROW(M208))="","",INDIRECT("'"&amp;M$86&amp;"'!"&amp;VLOOKUP(M$87,'List Values'!$C$3:$D$6,2,FALSE)&amp;ROW(M208))),IF(M$86&lt;&gt;"","Data Source Error",""))))</f>
        <v>Route-based</v>
      </c>
      <c r="O208" s="187"/>
      <c r="P208" s="526"/>
      <c r="Q208" s="900" t="str">
        <f ca="1">IF(OR($H$7&lt;4,Q$197&lt;1),"",IF(P208&lt;&gt;"",P208,IFERROR(IF(INDIRECT("'"&amp;P$86&amp;"'!"&amp;VLOOKUP(P$87,'List Values'!$C$3:$D$6,2,FALSE)&amp;ROW(P208))="","",INDIRECT("'"&amp;P$86&amp;"'!"&amp;VLOOKUP(P$87,'List Values'!$C$3:$D$6,2,FALSE)&amp;ROW(P208))),IF(P$86&lt;&gt;"","Data Source Error",""))))</f>
        <v/>
      </c>
      <c r="S208" s="526"/>
      <c r="T208" s="900" t="str">
        <f ca="1">IF(OR($H$7&lt;5,T$197&lt;1),"",IF(S208&lt;&gt;"",S208,IFERROR(IF(INDIRECT("'"&amp;S$86&amp;"'!"&amp;VLOOKUP(S$87,'List Values'!$C$3:$D$6,2,FALSE)&amp;ROW(S208))="","",INDIRECT("'"&amp;S$86&amp;"'!"&amp;VLOOKUP(S$87,'List Values'!$C$3:$D$6,2,FALSE)&amp;ROW(S208))),IF(S$86&lt;&gt;"","Data Source Error",""))))</f>
        <v/>
      </c>
      <c r="V208" s="526"/>
      <c r="W208" s="911" t="str">
        <f ca="1">IF(OR($H$7&lt;6,W$197&lt;1),"",IF(V208&lt;&gt;"",V208,IFERROR(IF(INDIRECT("'"&amp;V$86&amp;"'!"&amp;VLOOKUP(V$87,'List Values'!$C$3:$D$6,2,FALSE)&amp;ROW(V208))="","",INDIRECT("'"&amp;V$86&amp;"'!"&amp;VLOOKUP(V$87,'List Values'!$C$3:$D$6,2,FALSE)&amp;ROW(V208))),IF(V$86&lt;&gt;"","Data Source Error",""))))</f>
        <v/>
      </c>
      <c r="Y208" s="2643"/>
      <c r="Z208" s="2644"/>
      <c r="AA208" s="2644"/>
      <c r="AB208" s="2645"/>
    </row>
    <row r="209" spans="1:28" ht="15.75" customHeight="1" outlineLevel="1">
      <c r="A209" s="512"/>
      <c r="B209" s="252"/>
      <c r="C209" s="2684" t="s">
        <v>2529</v>
      </c>
      <c r="D209" s="2684"/>
      <c r="E209" s="2062"/>
      <c r="F209" s="2062"/>
      <c r="G209" s="636"/>
      <c r="H209" s="637"/>
      <c r="I209" s="187"/>
      <c r="J209" s="580"/>
      <c r="K209" s="900" t="str">
        <f ca="1">IF(OR($H$7&lt;2,K$197&lt;1),"",IF(J209&lt;&gt;"",J209,IFERROR(IF(INDIRECT("'"&amp;J$86&amp;"'!"&amp;VLOOKUP(J$87,'List Values'!$C$3:$D$6,2,FALSE)&amp;ROW(J209))="","",INDIRECT("'"&amp;J$86&amp;"'!"&amp;VLOOKUP(J$87,'List Values'!$C$3:$D$6,2,FALSE)&amp;ROW(J209))),IF(J$86&lt;&gt;"","Data Source Error",""))))</f>
        <v/>
      </c>
      <c r="L209" s="187"/>
      <c r="M209" s="580"/>
      <c r="N209" s="900">
        <f ca="1">IF(OR($H$7&lt;3,N$197&lt;1),"",IF(M209&lt;&gt;"",M209,IFERROR(IF(INDIRECT("'"&amp;M$86&amp;"'!"&amp;VLOOKUP(M$87,'List Values'!$C$3:$D$6,2,FALSE)&amp;ROW(M209))="","",INDIRECT("'"&amp;M$86&amp;"'!"&amp;VLOOKUP(M$87,'List Values'!$C$3:$D$6,2,FALSE)&amp;ROW(M209))),IF(M$86&lt;&gt;"","Data Source Error",""))))</f>
        <v>1</v>
      </c>
      <c r="O209" s="187"/>
      <c r="P209" s="580"/>
      <c r="Q209" s="900" t="str">
        <f ca="1">IF(OR($H$7&lt;4,Q$197&lt;1),"",IF(P209&lt;&gt;"",P209,IFERROR(IF(INDIRECT("'"&amp;P$86&amp;"'!"&amp;VLOOKUP(P$87,'List Values'!$C$3:$D$6,2,FALSE)&amp;ROW(P209))="","",INDIRECT("'"&amp;P$86&amp;"'!"&amp;VLOOKUP(P$87,'List Values'!$C$3:$D$6,2,FALSE)&amp;ROW(P209))),IF(P$86&lt;&gt;"","Data Source Error",""))))</f>
        <v/>
      </c>
      <c r="S209" s="580"/>
      <c r="T209" s="900" t="str">
        <f ca="1">IF(OR($H$7&lt;5,T$197&lt;1),"",IF(S209&lt;&gt;"",S209,IFERROR(IF(INDIRECT("'"&amp;S$86&amp;"'!"&amp;VLOOKUP(S$87,'List Values'!$C$3:$D$6,2,FALSE)&amp;ROW(S209))="","",INDIRECT("'"&amp;S$86&amp;"'!"&amp;VLOOKUP(S$87,'List Values'!$C$3:$D$6,2,FALSE)&amp;ROW(S209))),IF(S$86&lt;&gt;"","Data Source Error",""))))</f>
        <v/>
      </c>
      <c r="V209" s="580"/>
      <c r="W209" s="911" t="str">
        <f ca="1">IF(OR($H$7&lt;6,W$197&lt;1),"",IF(V209&lt;&gt;"",V209,IFERROR(IF(INDIRECT("'"&amp;V$86&amp;"'!"&amp;VLOOKUP(V$87,'List Values'!$C$3:$D$6,2,FALSE)&amp;ROW(V209))="","",INDIRECT("'"&amp;V$86&amp;"'!"&amp;VLOOKUP(V$87,'List Values'!$C$3:$D$6,2,FALSE)&amp;ROW(V209))),IF(V$86&lt;&gt;"","Data Source Error",""))))</f>
        <v/>
      </c>
      <c r="Y209" s="2643"/>
      <c r="Z209" s="2644"/>
      <c r="AA209" s="2644"/>
      <c r="AB209" s="2645"/>
    </row>
    <row r="210" spans="1:28" ht="33.75" customHeight="1" outlineLevel="1">
      <c r="A210" s="512"/>
      <c r="B210" s="252"/>
      <c r="C210" s="2680" t="s">
        <v>2523</v>
      </c>
      <c r="D210" s="2680"/>
      <c r="E210" s="2062"/>
      <c r="F210" s="2062"/>
      <c r="G210" s="636"/>
      <c r="H210" s="637"/>
      <c r="I210" s="187"/>
      <c r="J210" s="580"/>
      <c r="K210" s="900" t="str">
        <f ca="1">IF(OR($H$7&lt;2,K$197&lt;1),"",IF(J210&lt;&gt;"",J210,IFERROR(IF(INDIRECT("'"&amp;J$86&amp;"'!"&amp;VLOOKUP(J$87,'List Values'!$C$3:$D$6,2,FALSE)&amp;ROW(J210))="","",INDIRECT("'"&amp;J$86&amp;"'!"&amp;VLOOKUP(J$87,'List Values'!$C$3:$D$6,2,FALSE)&amp;ROW(J210))),IF(J$86&lt;&gt;"","Data Source Error",""))))</f>
        <v/>
      </c>
      <c r="L210" s="187"/>
      <c r="M210" s="580"/>
      <c r="N210" s="900" t="str">
        <f ca="1">IF(OR($H$7&lt;3,N$197&lt;1),"",IF(M210&lt;&gt;"",M210,IFERROR(IF(INDIRECT("'"&amp;M$86&amp;"'!"&amp;VLOOKUP(M$87,'List Values'!$C$3:$D$6,2,FALSE)&amp;ROW(M210))="","",INDIRECT("'"&amp;M$86&amp;"'!"&amp;VLOOKUP(M$87,'List Values'!$C$3:$D$6,2,FALSE)&amp;ROW(M210))),IF(M$86&lt;&gt;"","Data Source Error",""))))</f>
        <v>Transport team - Driver</v>
      </c>
      <c r="O210" s="187"/>
      <c r="P210" s="580"/>
      <c r="Q210" s="900" t="str">
        <f ca="1">IF(OR($H$7&lt;4,Q$197&lt;1),"",IF(P210&lt;&gt;"",P210,IFERROR(IF(INDIRECT("'"&amp;P$86&amp;"'!"&amp;VLOOKUP(P$87,'List Values'!$C$3:$D$6,2,FALSE)&amp;ROW(P210))="","",INDIRECT("'"&amp;P$86&amp;"'!"&amp;VLOOKUP(P$87,'List Values'!$C$3:$D$6,2,FALSE)&amp;ROW(P210))),IF(P$86&lt;&gt;"","Data Source Error",""))))</f>
        <v/>
      </c>
      <c r="S210" s="580"/>
      <c r="T210" s="900" t="str">
        <f ca="1">IF(OR($H$7&lt;5,T$197&lt;1),"",IF(S210&lt;&gt;"",S210,IFERROR(IF(INDIRECT("'"&amp;S$86&amp;"'!"&amp;VLOOKUP(S$87,'List Values'!$C$3:$D$6,2,FALSE)&amp;ROW(S210))="","",INDIRECT("'"&amp;S$86&amp;"'!"&amp;VLOOKUP(S$87,'List Values'!$C$3:$D$6,2,FALSE)&amp;ROW(S210))),IF(S$86&lt;&gt;"","Data Source Error",""))))</f>
        <v/>
      </c>
      <c r="V210" s="580"/>
      <c r="W210" s="911" t="str">
        <f ca="1">IF(OR($H$7&lt;6,W$197&lt;1),"",IF(V210&lt;&gt;"",V210,IFERROR(IF(INDIRECT("'"&amp;V$86&amp;"'!"&amp;VLOOKUP(V$87,'List Values'!$C$3:$D$6,2,FALSE)&amp;ROW(V210))="","",INDIRECT("'"&amp;V$86&amp;"'!"&amp;VLOOKUP(V$87,'List Values'!$C$3:$D$6,2,FALSE)&amp;ROW(V210))),IF(V$86&lt;&gt;"","Data Source Error",""))))</f>
        <v/>
      </c>
      <c r="Y210" s="2643"/>
      <c r="Z210" s="2644"/>
      <c r="AA210" s="2644"/>
      <c r="AB210" s="2645"/>
    </row>
    <row r="211" spans="1:28" ht="15.75" customHeight="1" outlineLevel="1">
      <c r="A211" s="512"/>
      <c r="B211" s="252"/>
      <c r="C211" s="2680" t="s">
        <v>2524</v>
      </c>
      <c r="D211" s="2680"/>
      <c r="E211" s="2062"/>
      <c r="F211" s="2062"/>
      <c r="G211" s="636"/>
      <c r="H211" s="637"/>
      <c r="I211" s="187"/>
      <c r="J211" s="580"/>
      <c r="K211" s="900" t="str">
        <f ca="1">IF(OR($H$7&lt;2,K$197&lt;1),"",IF(J211&lt;&gt;"",J211,IFERROR(IF(INDIRECT("'"&amp;J$86&amp;"'!"&amp;VLOOKUP(J$87,'List Values'!$C$3:$D$6,2,FALSE)&amp;ROW(J211))="","",INDIRECT("'"&amp;J$86&amp;"'!"&amp;VLOOKUP(J$87,'List Values'!$C$3:$D$6,2,FALSE)&amp;ROW(J211))),IF(J$86&lt;&gt;"","Data Source Error",""))))</f>
        <v/>
      </c>
      <c r="L211" s="187"/>
      <c r="M211" s="580"/>
      <c r="N211" s="900">
        <f ca="1">IF(OR($H$7&lt;3,N$197&lt;1),"",IF(M211&lt;&gt;"",M211,IFERROR(IF(INDIRECT("'"&amp;M$86&amp;"'!"&amp;VLOOKUP(M$87,'List Values'!$C$3:$D$6,2,FALSE)&amp;ROW(M211))="","",INDIRECT("'"&amp;M$86&amp;"'!"&amp;VLOOKUP(M$87,'List Values'!$C$3:$D$6,2,FALSE)&amp;ROW(M211))),IF(M$86&lt;&gt;"","Data Source Error",""))))</f>
        <v>1</v>
      </c>
      <c r="O211" s="187"/>
      <c r="P211" s="580"/>
      <c r="Q211" s="900" t="str">
        <f ca="1">IF(OR($H$7&lt;4,Q$197&lt;1),"",IF(P211&lt;&gt;"",P211,IFERROR(IF(INDIRECT("'"&amp;P$86&amp;"'!"&amp;VLOOKUP(P$87,'List Values'!$C$3:$D$6,2,FALSE)&amp;ROW(P211))="","",INDIRECT("'"&amp;P$86&amp;"'!"&amp;VLOOKUP(P$87,'List Values'!$C$3:$D$6,2,FALSE)&amp;ROW(P211))),IF(P$86&lt;&gt;"","Data Source Error",""))))</f>
        <v/>
      </c>
      <c r="S211" s="580"/>
      <c r="T211" s="900" t="str">
        <f ca="1">IF(OR($H$7&lt;5,T$197&lt;1),"",IF(S211&lt;&gt;"",S211,IFERROR(IF(INDIRECT("'"&amp;S$86&amp;"'!"&amp;VLOOKUP(S$87,'List Values'!$C$3:$D$6,2,FALSE)&amp;ROW(S211))="","",INDIRECT("'"&amp;S$86&amp;"'!"&amp;VLOOKUP(S$87,'List Values'!$C$3:$D$6,2,FALSE)&amp;ROW(S211))),IF(S$86&lt;&gt;"","Data Source Error",""))))</f>
        <v/>
      </c>
      <c r="V211" s="580"/>
      <c r="W211" s="911" t="str">
        <f ca="1">IF(OR($H$7&lt;6,W$197&lt;1),"",IF(V211&lt;&gt;"",V211,IFERROR(IF(INDIRECT("'"&amp;V$86&amp;"'!"&amp;VLOOKUP(V$87,'List Values'!$C$3:$D$6,2,FALSE)&amp;ROW(V211))="","",INDIRECT("'"&amp;V$86&amp;"'!"&amp;VLOOKUP(V$87,'List Values'!$C$3:$D$6,2,FALSE)&amp;ROW(V211))),IF(V$86&lt;&gt;"","Data Source Error",""))))</f>
        <v/>
      </c>
      <c r="Y211" s="2643"/>
      <c r="Z211" s="2644"/>
      <c r="AA211" s="2644"/>
      <c r="AB211" s="2645"/>
    </row>
    <row r="212" spans="1:28" ht="15.75" customHeight="1" outlineLevel="1">
      <c r="A212" s="512"/>
      <c r="B212" s="252"/>
      <c r="C212" s="2684" t="s">
        <v>2525</v>
      </c>
      <c r="D212" s="2684"/>
      <c r="E212" s="2062"/>
      <c r="F212" s="2062"/>
      <c r="G212" s="636"/>
      <c r="H212" s="637"/>
      <c r="I212" s="187"/>
      <c r="J212" s="580"/>
      <c r="K212" s="900" t="str">
        <f ca="1">IF(OR($H$7&lt;2,K$197&lt;1),"",IF(J212&lt;&gt;"",J212,IFERROR(IF(INDIRECT("'"&amp;J$86&amp;"'!"&amp;VLOOKUP(J$87,'List Values'!$C$3:$D$6,2,FALSE)&amp;ROW(J212))="","",INDIRECT("'"&amp;J$86&amp;"'!"&amp;VLOOKUP(J$87,'List Values'!$C$3:$D$6,2,FALSE)&amp;ROW(J212))),IF(J$86&lt;&gt;"","Data Source Error",""))))</f>
        <v/>
      </c>
      <c r="L212" s="187"/>
      <c r="M212" s="580"/>
      <c r="N212" s="900" t="str">
        <f ca="1">IF(OR($H$7&lt;3,N$197&lt;1),"",IF(M212&lt;&gt;"",M212,IFERROR(IF(INDIRECT("'"&amp;M$86&amp;"'!"&amp;VLOOKUP(M$87,'List Values'!$C$3:$D$6,2,FALSE)&amp;ROW(M212))="","",INDIRECT("'"&amp;M$86&amp;"'!"&amp;VLOOKUP(M$87,'List Values'!$C$3:$D$6,2,FALSE)&amp;ROW(M212))),IF(M$86&lt;&gt;"","Data Source Error",""))))</f>
        <v>#</v>
      </c>
      <c r="O212" s="187"/>
      <c r="P212" s="580"/>
      <c r="Q212" s="900" t="str">
        <f ca="1">IF(OR($H$7&lt;4,Q$197&lt;1),"",IF(P212&lt;&gt;"",P212,IFERROR(IF(INDIRECT("'"&amp;P$86&amp;"'!"&amp;VLOOKUP(P$87,'List Values'!$C$3:$D$6,2,FALSE)&amp;ROW(P212))="","",INDIRECT("'"&amp;P$86&amp;"'!"&amp;VLOOKUP(P$87,'List Values'!$C$3:$D$6,2,FALSE)&amp;ROW(P212))),IF(P$86&lt;&gt;"","Data Source Error",""))))</f>
        <v/>
      </c>
      <c r="S212" s="580"/>
      <c r="T212" s="900" t="str">
        <f ca="1">IF(OR($H$7&lt;5,T$197&lt;1),"",IF(S212&lt;&gt;"",S212,IFERROR(IF(INDIRECT("'"&amp;S$86&amp;"'!"&amp;VLOOKUP(S$87,'List Values'!$C$3:$D$6,2,FALSE)&amp;ROW(S212))="","",INDIRECT("'"&amp;S$86&amp;"'!"&amp;VLOOKUP(S$87,'List Values'!$C$3:$D$6,2,FALSE)&amp;ROW(S212))),IF(S$86&lt;&gt;"","Data Source Error",""))))</f>
        <v/>
      </c>
      <c r="V212" s="580"/>
      <c r="W212" s="911" t="str">
        <f ca="1">IF(OR($H$7&lt;6,W$197&lt;1),"",IF(V212&lt;&gt;"",V212,IFERROR(IF(INDIRECT("'"&amp;V$86&amp;"'!"&amp;VLOOKUP(V$87,'List Values'!$C$3:$D$6,2,FALSE)&amp;ROW(V212))="","",INDIRECT("'"&amp;V$86&amp;"'!"&amp;VLOOKUP(V$87,'List Values'!$C$3:$D$6,2,FALSE)&amp;ROW(V212))),IF(V$86&lt;&gt;"","Data Source Error",""))))</f>
        <v/>
      </c>
      <c r="Y212" s="2643"/>
      <c r="Z212" s="2644"/>
      <c r="AA212" s="2644"/>
      <c r="AB212" s="2645"/>
    </row>
    <row r="213" spans="1:28" ht="31.5" customHeight="1" outlineLevel="1">
      <c r="A213" s="512"/>
      <c r="B213" s="252"/>
      <c r="C213" s="2680" t="s">
        <v>2526</v>
      </c>
      <c r="D213" s="2680"/>
      <c r="E213" s="2062"/>
      <c r="F213" s="2062"/>
      <c r="G213" s="636"/>
      <c r="H213" s="637"/>
      <c r="I213" s="187"/>
      <c r="J213" s="580"/>
      <c r="K213" s="900" t="str">
        <f ca="1">IF(OR($H$7&lt;2,K$197&lt;1),"",IF(J213&lt;&gt;"",J213,IFERROR(IF(INDIRECT("'"&amp;J$86&amp;"'!"&amp;VLOOKUP(J$87,'List Values'!$C$3:$D$6,2,FALSE)&amp;ROW(J213))="","",INDIRECT("'"&amp;J$86&amp;"'!"&amp;VLOOKUP(J$87,'List Values'!$C$3:$D$6,2,FALSE)&amp;ROW(J213))),IF(J$86&lt;&gt;"","Data Source Error",""))))</f>
        <v/>
      </c>
      <c r="L213" s="187"/>
      <c r="M213" s="580"/>
      <c r="N213" s="900">
        <f ca="1">IF(OR($H$7&lt;3,N$197&lt;1),"",IF(M213&lt;&gt;"",M213,IFERROR(IF(INDIRECT("'"&amp;M$86&amp;"'!"&amp;VLOOKUP(M$87,'List Values'!$C$3:$D$6,2,FALSE)&amp;ROW(M213))="","",INDIRECT("'"&amp;M$86&amp;"'!"&amp;VLOOKUP(M$87,'List Values'!$C$3:$D$6,2,FALSE)&amp;ROW(M213))),IF(M$86&lt;&gt;"","Data Source Error",""))))</f>
        <v>210</v>
      </c>
      <c r="O213" s="187"/>
      <c r="P213" s="580"/>
      <c r="Q213" s="900" t="str">
        <f ca="1">IF(OR($H$7&lt;4,Q$197&lt;1),"",IF(P213&lt;&gt;"",P213,IFERROR(IF(INDIRECT("'"&amp;P$86&amp;"'!"&amp;VLOOKUP(P$87,'List Values'!$C$3:$D$6,2,FALSE)&amp;ROW(P213))="","",INDIRECT("'"&amp;P$86&amp;"'!"&amp;VLOOKUP(P$87,'List Values'!$C$3:$D$6,2,FALSE)&amp;ROW(P213))),IF(P$86&lt;&gt;"","Data Source Error",""))))</f>
        <v/>
      </c>
      <c r="S213" s="580"/>
      <c r="T213" s="900" t="str">
        <f ca="1">IF(OR($H$7&lt;5,T$197&lt;1),"",IF(S213&lt;&gt;"",S213,IFERROR(IF(INDIRECT("'"&amp;S$86&amp;"'!"&amp;VLOOKUP(S$87,'List Values'!$C$3:$D$6,2,FALSE)&amp;ROW(S213))="","",INDIRECT("'"&amp;S$86&amp;"'!"&amp;VLOOKUP(S$87,'List Values'!$C$3:$D$6,2,FALSE)&amp;ROW(S213))),IF(S$86&lt;&gt;"","Data Source Error",""))))</f>
        <v/>
      </c>
      <c r="V213" s="580"/>
      <c r="W213" s="911" t="str">
        <f ca="1">IF(OR($H$7&lt;6,W$197&lt;1),"",IF(V213&lt;&gt;"",V213,IFERROR(IF(INDIRECT("'"&amp;V$86&amp;"'!"&amp;VLOOKUP(V$87,'List Values'!$C$3:$D$6,2,FALSE)&amp;ROW(V213))="","",INDIRECT("'"&amp;V$86&amp;"'!"&amp;VLOOKUP(V$87,'List Values'!$C$3:$D$6,2,FALSE)&amp;ROW(V213))),IF(V$86&lt;&gt;"","Data Source Error",""))))</f>
        <v/>
      </c>
      <c r="Y213" s="2643"/>
      <c r="Z213" s="2644"/>
      <c r="AA213" s="2644"/>
      <c r="AB213" s="2645"/>
    </row>
    <row r="214" spans="1:28" ht="41.15" customHeight="1" outlineLevel="1">
      <c r="A214" s="512"/>
      <c r="B214" s="252"/>
      <c r="C214" s="2680" t="s">
        <v>2527</v>
      </c>
      <c r="D214" s="2680"/>
      <c r="E214" s="2062"/>
      <c r="F214" s="2062"/>
      <c r="G214" s="636"/>
      <c r="H214" s="637"/>
      <c r="I214" s="187"/>
      <c r="J214" s="580"/>
      <c r="K214" s="900" t="str">
        <f ca="1">IF(OR($H$7&lt;2,K$197&lt;1),"",IF(J214&lt;&gt;"",J214,IFERROR(IF(INDIRECT("'"&amp;J$86&amp;"'!"&amp;VLOOKUP(J$87,'List Values'!$C$3:$D$6,2,FALSE)&amp;ROW(J214))="","",INDIRECT("'"&amp;J$86&amp;"'!"&amp;VLOOKUP(J$87,'List Values'!$C$3:$D$6,2,FALSE)&amp;ROW(J214))),IF(J$86&lt;&gt;"","Data Source Error",""))))</f>
        <v/>
      </c>
      <c r="L214" s="187"/>
      <c r="M214" s="580"/>
      <c r="N214" s="900">
        <f ca="1">IF(OR($H$7&lt;3,N$197&lt;1),"",IF(M214&lt;&gt;"",M214,IFERROR(IF(INDIRECT("'"&amp;M$86&amp;"'!"&amp;VLOOKUP(M$87,'List Values'!$C$3:$D$6,2,FALSE)&amp;ROW(M214))="","",INDIRECT("'"&amp;M$86&amp;"'!"&amp;VLOOKUP(M$87,'List Values'!$C$3:$D$6,2,FALSE)&amp;ROW(M214))),IF(M$86&lt;&gt;"","Data Source Error",""))))</f>
        <v>0</v>
      </c>
      <c r="O214" s="187"/>
      <c r="P214" s="580"/>
      <c r="Q214" s="900" t="str">
        <f ca="1">IF(OR($H$7&lt;4,Q$197&lt;1),"",IF(P214&lt;&gt;"",P214,IFERROR(IF(INDIRECT("'"&amp;P$86&amp;"'!"&amp;VLOOKUP(P$87,'List Values'!$C$3:$D$6,2,FALSE)&amp;ROW(P214))="","",INDIRECT("'"&amp;P$86&amp;"'!"&amp;VLOOKUP(P$87,'List Values'!$C$3:$D$6,2,FALSE)&amp;ROW(P214))),IF(P$86&lt;&gt;"","Data Source Error",""))))</f>
        <v/>
      </c>
      <c r="S214" s="580"/>
      <c r="T214" s="900" t="str">
        <f ca="1">IF(OR($H$7&lt;5,T$197&lt;1),"",IF(S214&lt;&gt;"",S214,IFERROR(IF(INDIRECT("'"&amp;S$86&amp;"'!"&amp;VLOOKUP(S$87,'List Values'!$C$3:$D$6,2,FALSE)&amp;ROW(S214))="","",INDIRECT("'"&amp;S$86&amp;"'!"&amp;VLOOKUP(S$87,'List Values'!$C$3:$D$6,2,FALSE)&amp;ROW(S214))),IF(S$86&lt;&gt;"","Data Source Error",""))))</f>
        <v/>
      </c>
      <c r="V214" s="580"/>
      <c r="W214" s="911" t="str">
        <f ca="1">IF(OR($H$7&lt;6,W$197&lt;1),"",IF(V214&lt;&gt;"",V214,IFERROR(IF(INDIRECT("'"&amp;V$86&amp;"'!"&amp;VLOOKUP(V$87,'List Values'!$C$3:$D$6,2,FALSE)&amp;ROW(V214))="","",INDIRECT("'"&amp;V$86&amp;"'!"&amp;VLOOKUP(V$87,'List Values'!$C$3:$D$6,2,FALSE)&amp;ROW(V214))),IF(V$86&lt;&gt;"","Data Source Error",""))))</f>
        <v/>
      </c>
      <c r="Y214" s="2643"/>
      <c r="Z214" s="2644"/>
      <c r="AA214" s="2644"/>
      <c r="AB214" s="2645"/>
    </row>
    <row r="215" spans="1:28" ht="31.5" customHeight="1" outlineLevel="1">
      <c r="A215" s="512"/>
      <c r="B215" s="252"/>
      <c r="C215" s="2680" t="s">
        <v>2528</v>
      </c>
      <c r="D215" s="2680"/>
      <c r="E215" s="2062"/>
      <c r="F215" s="2062"/>
      <c r="G215" s="636"/>
      <c r="H215" s="637"/>
      <c r="I215" s="187"/>
      <c r="J215" s="580"/>
      <c r="K215" s="900" t="str">
        <f ca="1">IF(OR($H$7&lt;2,K$197&lt;1),"",IF(J215&lt;&gt;"",J215,IFERROR(IF(INDIRECT("'"&amp;J$86&amp;"'!"&amp;VLOOKUP(J$87,'List Values'!$C$3:$D$6,2,FALSE)&amp;ROW(J215))="","",INDIRECT("'"&amp;J$86&amp;"'!"&amp;VLOOKUP(J$87,'List Values'!$C$3:$D$6,2,FALSE)&amp;ROW(J215))),IF(J$86&lt;&gt;"","Data Source Error",""))))</f>
        <v/>
      </c>
      <c r="L215" s="187"/>
      <c r="M215" s="580"/>
      <c r="N215" s="900">
        <f ca="1">IF(OR($H$7&lt;3,N$197&lt;1),"",IF(M215&lt;&gt;"",M215,IFERROR(IF(INDIRECT("'"&amp;M$86&amp;"'!"&amp;VLOOKUP(M$87,'List Values'!$C$3:$D$6,2,FALSE)&amp;ROW(M215))="","",INDIRECT("'"&amp;M$86&amp;"'!"&amp;VLOOKUP(M$87,'List Values'!$C$3:$D$6,2,FALSE)&amp;ROW(M215))),IF(M$86&lt;&gt;"","Data Source Error",""))))</f>
        <v>0</v>
      </c>
      <c r="O215" s="187"/>
      <c r="P215" s="580"/>
      <c r="Q215" s="900" t="str">
        <f ca="1">IF(OR($H$7&lt;4,Q$197&lt;1),"",IF(P215&lt;&gt;"",P215,IFERROR(IF(INDIRECT("'"&amp;P$86&amp;"'!"&amp;VLOOKUP(P$87,'List Values'!$C$3:$D$6,2,FALSE)&amp;ROW(P215))="","",INDIRECT("'"&amp;P$86&amp;"'!"&amp;VLOOKUP(P$87,'List Values'!$C$3:$D$6,2,FALSE)&amp;ROW(P215))),IF(P$86&lt;&gt;"","Data Source Error",""))))</f>
        <v/>
      </c>
      <c r="S215" s="580"/>
      <c r="T215" s="900" t="str">
        <f ca="1">IF(OR($H$7&lt;5,T$197&lt;1),"",IF(S215&lt;&gt;"",S215,IFERROR(IF(INDIRECT("'"&amp;S$86&amp;"'!"&amp;VLOOKUP(S$87,'List Values'!$C$3:$D$6,2,FALSE)&amp;ROW(S215))="","",INDIRECT("'"&amp;S$86&amp;"'!"&amp;VLOOKUP(S$87,'List Values'!$C$3:$D$6,2,FALSE)&amp;ROW(S215))),IF(S$86&lt;&gt;"","Data Source Error",""))))</f>
        <v/>
      </c>
      <c r="V215" s="580"/>
      <c r="W215" s="911" t="str">
        <f ca="1">IF(OR($H$7&lt;6,W$197&lt;1),"",IF(V215&lt;&gt;"",V215,IFERROR(IF(INDIRECT("'"&amp;V$86&amp;"'!"&amp;VLOOKUP(V$87,'List Values'!$C$3:$D$6,2,FALSE)&amp;ROW(V215))="","",INDIRECT("'"&amp;V$86&amp;"'!"&amp;VLOOKUP(V$87,'List Values'!$C$3:$D$6,2,FALSE)&amp;ROW(V215))),IF(V$86&lt;&gt;"","Data Source Error",""))))</f>
        <v/>
      </c>
      <c r="Y215" s="2643"/>
      <c r="Z215" s="2644"/>
      <c r="AA215" s="2644"/>
      <c r="AB215" s="2645"/>
    </row>
    <row r="216" spans="1:28" ht="15.75" customHeight="1" outlineLevel="1">
      <c r="A216" s="512"/>
      <c r="B216" s="252"/>
      <c r="C216" s="2680" t="s">
        <v>650</v>
      </c>
      <c r="D216" s="2680"/>
      <c r="E216" s="2062"/>
      <c r="F216" s="2062"/>
      <c r="G216" s="636"/>
      <c r="H216" s="637"/>
      <c r="I216" s="187"/>
      <c r="J216" s="580"/>
      <c r="K216" s="900" t="str">
        <f ca="1">IF(OR($H$7&lt;2,K$197&lt;1),"",IF(J216&lt;&gt;"",J216,IFERROR(IF(INDIRECT("'"&amp;J$86&amp;"'!"&amp;VLOOKUP(J$87,'List Values'!$C$3:$D$6,2,FALSE)&amp;ROW(J216))="","",INDIRECT("'"&amp;J$86&amp;"'!"&amp;VLOOKUP(J$87,'List Values'!$C$3:$D$6,2,FALSE)&amp;ROW(J216))),IF(J$86&lt;&gt;"","Data Source Error",""))))</f>
        <v/>
      </c>
      <c r="L216" s="187"/>
      <c r="M216" s="580"/>
      <c r="N216" s="900">
        <f ca="1">IF(OR($H$7&lt;3,N$197&lt;1),"",IF(M216&lt;&gt;"",M216,IFERROR(IF(INDIRECT("'"&amp;M$86&amp;"'!"&amp;VLOOKUP(M$87,'List Values'!$C$3:$D$6,2,FALSE)&amp;ROW(M216))="","",INDIRECT("'"&amp;M$86&amp;"'!"&amp;VLOOKUP(M$87,'List Values'!$C$3:$D$6,2,FALSE)&amp;ROW(M216))),IF(M$86&lt;&gt;"","Data Source Error",""))))</f>
        <v>30</v>
      </c>
      <c r="O216" s="187"/>
      <c r="P216" s="580"/>
      <c r="Q216" s="900" t="str">
        <f ca="1">IF(OR($H$7&lt;4,Q$197&lt;1),"",IF(P216&lt;&gt;"",P216,IFERROR(IF(INDIRECT("'"&amp;P$86&amp;"'!"&amp;VLOOKUP(P$87,'List Values'!$C$3:$D$6,2,FALSE)&amp;ROW(P216))="","",INDIRECT("'"&amp;P$86&amp;"'!"&amp;VLOOKUP(P$87,'List Values'!$C$3:$D$6,2,FALSE)&amp;ROW(P216))),IF(P$86&lt;&gt;"","Data Source Error",""))))</f>
        <v/>
      </c>
      <c r="S216" s="580"/>
      <c r="T216" s="900" t="str">
        <f ca="1">IF(OR($H$7&lt;5,T$197&lt;1),"",IF(S216&lt;&gt;"",S216,IFERROR(IF(INDIRECT("'"&amp;S$86&amp;"'!"&amp;VLOOKUP(S$87,'List Values'!$C$3:$D$6,2,FALSE)&amp;ROW(S216))="","",INDIRECT("'"&amp;S$86&amp;"'!"&amp;VLOOKUP(S$87,'List Values'!$C$3:$D$6,2,FALSE)&amp;ROW(S216))),IF(S$86&lt;&gt;"","Data Source Error",""))))</f>
        <v/>
      </c>
      <c r="V216" s="580"/>
      <c r="W216" s="911" t="str">
        <f ca="1">IF(OR($H$7&lt;6,W$197&lt;1),"",IF(V216&lt;&gt;"",V216,IFERROR(IF(INDIRECT("'"&amp;V$86&amp;"'!"&amp;VLOOKUP(V$87,'List Values'!$C$3:$D$6,2,FALSE)&amp;ROW(V216))="","",INDIRECT("'"&amp;V$86&amp;"'!"&amp;VLOOKUP(V$87,'List Values'!$C$3:$D$6,2,FALSE)&amp;ROW(V216))),IF(V$86&lt;&gt;"","Data Source Error",""))))</f>
        <v/>
      </c>
      <c r="Y216" s="2643"/>
      <c r="Z216" s="2644"/>
      <c r="AA216" s="2644"/>
      <c r="AB216" s="2645"/>
    </row>
    <row r="217" spans="1:28" ht="31.5" customHeight="1" outlineLevel="1">
      <c r="A217" s="512"/>
      <c r="B217" s="511"/>
      <c r="C217" s="2680" t="s">
        <v>651</v>
      </c>
      <c r="D217" s="2680"/>
      <c r="E217" s="494"/>
      <c r="F217" s="494"/>
      <c r="G217" s="642"/>
      <c r="H217" s="643"/>
      <c r="I217" s="196"/>
      <c r="J217" s="624"/>
      <c r="K217" s="902" t="str">
        <f ca="1">IF(OR($H$7&lt;2,K$197&lt;1),"",IF(J217&lt;&gt;"",J217,IFERROR(IF(INDIRECT("'"&amp;J$86&amp;"'!"&amp;VLOOKUP(J$87,'List Values'!$C$3:$D$6,2,FALSE)&amp;ROW(J217))="","",INDIRECT("'"&amp;J$86&amp;"'!"&amp;VLOOKUP(J$87,'List Values'!$C$3:$D$6,2,FALSE)&amp;ROW(J217))),IF(J$86&lt;&gt;"","Data Source Error",""))))</f>
        <v/>
      </c>
      <c r="L217" s="196"/>
      <c r="M217" s="624"/>
      <c r="N217" s="902">
        <f ca="1">IF(OR($H$7&lt;3,N$197&lt;1),"",IF(M217&lt;&gt;"",M217,IFERROR(IF(INDIRECT("'"&amp;M$86&amp;"'!"&amp;VLOOKUP(M$87,'List Values'!$C$3:$D$6,2,FALSE)&amp;ROW(M217))="","",INDIRECT("'"&amp;M$86&amp;"'!"&amp;VLOOKUP(M$87,'List Values'!$C$3:$D$6,2,FALSE)&amp;ROW(M217))),IF(M$86&lt;&gt;"","Data Source Error",""))))</f>
        <v>100</v>
      </c>
      <c r="O217" s="196"/>
      <c r="P217" s="624"/>
      <c r="Q217" s="902" t="str">
        <f ca="1">IF(OR($H$7&lt;4,Q$197&lt;1),"",IF(P217&lt;&gt;"",P217,IFERROR(IF(INDIRECT("'"&amp;P$86&amp;"'!"&amp;VLOOKUP(P$87,'List Values'!$C$3:$D$6,2,FALSE)&amp;ROW(P217))="","",INDIRECT("'"&amp;P$86&amp;"'!"&amp;VLOOKUP(P$87,'List Values'!$C$3:$D$6,2,FALSE)&amp;ROW(P217))),IF(P$86&lt;&gt;"","Data Source Error",""))))</f>
        <v/>
      </c>
      <c r="R217" s="236"/>
      <c r="S217" s="624"/>
      <c r="T217" s="902" t="str">
        <f ca="1">IF(OR($H$7&lt;5,T$197&lt;1),"",IF(S217&lt;&gt;"",S217,IFERROR(IF(INDIRECT("'"&amp;S$86&amp;"'!"&amp;VLOOKUP(S$87,'List Values'!$C$3:$D$6,2,FALSE)&amp;ROW(S217))="","",INDIRECT("'"&amp;S$86&amp;"'!"&amp;VLOOKUP(S$87,'List Values'!$C$3:$D$6,2,FALSE)&amp;ROW(S217))),IF(S$86&lt;&gt;"","Data Source Error",""))))</f>
        <v/>
      </c>
      <c r="U217" s="236"/>
      <c r="V217" s="624"/>
      <c r="W217" s="982" t="str">
        <f ca="1">IF(OR($H$7&lt;6,W$197&lt;1),"",IF(V217&lt;&gt;"",V217,IFERROR(IF(INDIRECT("'"&amp;V$86&amp;"'!"&amp;VLOOKUP(V$87,'List Values'!$C$3:$D$6,2,FALSE)&amp;ROW(V217))="","",INDIRECT("'"&amp;V$86&amp;"'!"&amp;VLOOKUP(V$87,'List Values'!$C$3:$D$6,2,FALSE)&amp;ROW(V217))),IF(V$86&lt;&gt;"","Data Source Error",""))))</f>
        <v/>
      </c>
      <c r="Y217" s="2643"/>
      <c r="Z217" s="2644"/>
      <c r="AA217" s="2644"/>
      <c r="AB217" s="2645"/>
    </row>
    <row r="218" spans="1:28" ht="20.25" customHeight="1">
      <c r="A218" s="808"/>
      <c r="B218" s="612" t="s">
        <v>617</v>
      </c>
      <c r="C218" s="604"/>
      <c r="D218" s="604"/>
      <c r="E218" s="604"/>
      <c r="F218" s="604"/>
      <c r="G218" s="604"/>
      <c r="H218" s="604"/>
      <c r="I218" s="608"/>
      <c r="J218" s="610"/>
      <c r="K218" s="970"/>
      <c r="L218" s="608"/>
      <c r="M218" s="610"/>
      <c r="N218" s="970"/>
      <c r="O218" s="608"/>
      <c r="P218" s="610"/>
      <c r="Q218" s="970"/>
      <c r="R218" s="608"/>
      <c r="S218" s="610"/>
      <c r="T218" s="970"/>
      <c r="U218" s="608"/>
      <c r="V218" s="610"/>
      <c r="W218" s="970"/>
      <c r="Y218" s="631"/>
      <c r="Z218" s="631"/>
      <c r="AA218" s="631"/>
      <c r="AB218" s="631"/>
    </row>
    <row r="219" spans="1:28" ht="17.25" customHeight="1" outlineLevel="1">
      <c r="A219" s="513"/>
      <c r="B219" s="252"/>
      <c r="C219" s="2580" t="s">
        <v>731</v>
      </c>
      <c r="D219" s="2580"/>
      <c r="E219" s="202"/>
      <c r="F219" s="202"/>
      <c r="G219" s="634"/>
      <c r="H219" s="635"/>
      <c r="I219" s="183"/>
      <c r="J219" s="628"/>
      <c r="K219" s="967" t="str">
        <f ca="1">IF(OR($H$7&lt;2,K$197&lt;2),"",IF(J219&lt;&gt;"",J219,IFERROR(IF(INDIRECT("'"&amp;J$86&amp;"'!"&amp;VLOOKUP(J$87,'List Values'!$C$3:$D$6,2,FALSE)&amp;ROW(J219))="","",INDIRECT("'"&amp;J$86&amp;"'!"&amp;VLOOKUP(J$87,'List Values'!$C$3:$D$6,2,FALSE)&amp;ROW(J219))),IF(J$86&lt;&gt;"","Data Source Error",""))))</f>
        <v/>
      </c>
      <c r="L219" s="629"/>
      <c r="M219" s="628"/>
      <c r="N219" s="967" t="str">
        <f ca="1">IF(OR($H$7&lt;3,N$197&lt;2),"",IF(M219&lt;&gt;"",M219,IFERROR(IF(INDIRECT("'"&amp;M$86&amp;"'!"&amp;VLOOKUP(M$87,'List Values'!$C$3:$D$6,2,FALSE)&amp;ROW(M219))="","",INDIRECT("'"&amp;M$86&amp;"'!"&amp;VLOOKUP(M$87,'List Values'!$C$3:$D$6,2,FALSE)&amp;ROW(M219))),IF(M$86&lt;&gt;"","Data Source Error",""))))</f>
        <v/>
      </c>
      <c r="O219" s="629"/>
      <c r="P219" s="628"/>
      <c r="Q219" s="967" t="str">
        <f ca="1">IF(OR($H$7&lt;4,Q$197&lt;2),"",IF(P219&lt;&gt;"",P219,IFERROR(IF(INDIRECT("'"&amp;P$86&amp;"'!"&amp;VLOOKUP(P$87,'List Values'!$C$3:$D$6,2,FALSE)&amp;ROW(P219))="","",INDIRECT("'"&amp;P$86&amp;"'!"&amp;VLOOKUP(P$87,'List Values'!$C$3:$D$6,2,FALSE)&amp;ROW(P219))),IF(P$86&lt;&gt;"","Data Source Error",""))))</f>
        <v/>
      </c>
      <c r="R219" s="147"/>
      <c r="S219" s="628"/>
      <c r="T219" s="967" t="str">
        <f ca="1">IF(OR($H$7&lt;5,T$197&lt;2),"",IF(S219&lt;&gt;"",S219,IFERROR(IF(INDIRECT("'"&amp;S$86&amp;"'!"&amp;VLOOKUP(S$87,'List Values'!$C$3:$D$6,2,FALSE)&amp;ROW(S219))="","",INDIRECT("'"&amp;S$86&amp;"'!"&amp;VLOOKUP(S$87,'List Values'!$C$3:$D$6,2,FALSE)&amp;ROW(S219))),IF(S$86&lt;&gt;"","Data Source Error",""))))</f>
        <v/>
      </c>
      <c r="U219" s="147"/>
      <c r="V219" s="628"/>
      <c r="W219" s="973" t="str">
        <f ca="1">IF(OR($H$7&lt;6,W$197&lt;2),"",IF(V219&lt;&gt;"",V219,IFERROR(IF(INDIRECT("'"&amp;V$86&amp;"'!"&amp;VLOOKUP(V$87,'List Values'!$C$3:$D$6,2,FALSE)&amp;ROW(V219))="","",INDIRECT("'"&amp;V$86&amp;"'!"&amp;VLOOKUP(V$87,'List Values'!$C$3:$D$6,2,FALSE)&amp;ROW(V219))),IF(V$86&lt;&gt;"","Data Source Error",""))))</f>
        <v/>
      </c>
      <c r="Y219" s="2643"/>
      <c r="Z219" s="2644"/>
      <c r="AA219" s="2644"/>
      <c r="AB219" s="2645"/>
    </row>
    <row r="220" spans="1:28" ht="17.25" customHeight="1" outlineLevel="1">
      <c r="A220" s="513"/>
      <c r="B220" s="252"/>
      <c r="C220" s="2680" t="s">
        <v>626</v>
      </c>
      <c r="D220" s="2680"/>
      <c r="E220" s="202"/>
      <c r="F220" s="202"/>
      <c r="G220" s="634"/>
      <c r="H220" s="635"/>
      <c r="I220" s="187"/>
      <c r="J220" s="526"/>
      <c r="K220" s="900" t="str">
        <f ca="1">IF(OR($H$7&lt;2,K$197&lt;2),"",IF(J220&lt;&gt;"",J220,IFERROR(IF(INDIRECT("'"&amp;J$86&amp;"'!"&amp;VLOOKUP(J$87,'List Values'!$C$3:$D$6,2,FALSE)&amp;ROW(J220))="","",INDIRECT("'"&amp;J$86&amp;"'!"&amp;VLOOKUP(J$87,'List Values'!$C$3:$D$6,2,FALSE)&amp;ROW(J220))),IF(J$86&lt;&gt;"","Data Source Error",""))))</f>
        <v/>
      </c>
      <c r="L220" s="187"/>
      <c r="M220" s="526"/>
      <c r="N220" s="900" t="str">
        <f ca="1">IF(OR($H$7&lt;3,N$197&lt;2),"",IF(M220&lt;&gt;"",M220,IFERROR(IF(INDIRECT("'"&amp;M$86&amp;"'!"&amp;VLOOKUP(M$87,'List Values'!$C$3:$D$6,2,FALSE)&amp;ROW(M220))="","",INDIRECT("'"&amp;M$86&amp;"'!"&amp;VLOOKUP(M$87,'List Values'!$C$3:$D$6,2,FALSE)&amp;ROW(M220))),IF(M$86&lt;&gt;"","Data Source Error",""))))</f>
        <v/>
      </c>
      <c r="O220" s="187"/>
      <c r="P220" s="526"/>
      <c r="Q220" s="900" t="str">
        <f ca="1">IF(OR($H$7&lt;4,Q$197&lt;2),"",IF(P220&lt;&gt;"",P220,IFERROR(IF(INDIRECT("'"&amp;P$86&amp;"'!"&amp;VLOOKUP(P$87,'List Values'!$C$3:$D$6,2,FALSE)&amp;ROW(P220))="","",INDIRECT("'"&amp;P$86&amp;"'!"&amp;VLOOKUP(P$87,'List Values'!$C$3:$D$6,2,FALSE)&amp;ROW(P220))),IF(P$86&lt;&gt;"","Data Source Error",""))))</f>
        <v/>
      </c>
      <c r="S220" s="526"/>
      <c r="T220" s="900" t="str">
        <f ca="1">IF(OR($H$7&lt;5,T$197&lt;2),"",IF(S220&lt;&gt;"",S220,IFERROR(IF(INDIRECT("'"&amp;S$86&amp;"'!"&amp;VLOOKUP(S$87,'List Values'!$C$3:$D$6,2,FALSE)&amp;ROW(S220))="","",INDIRECT("'"&amp;S$86&amp;"'!"&amp;VLOOKUP(S$87,'List Values'!$C$3:$D$6,2,FALSE)&amp;ROW(S220))),IF(S$86&lt;&gt;"","Data Source Error",""))))</f>
        <v/>
      </c>
      <c r="V220" s="526"/>
      <c r="W220" s="911" t="str">
        <f ca="1">IF(OR($H$7&lt;6,W$197&lt;2),"",IF(V220&lt;&gt;"",V220,IFERROR(IF(INDIRECT("'"&amp;V$86&amp;"'!"&amp;VLOOKUP(V$87,'List Values'!$C$3:$D$6,2,FALSE)&amp;ROW(V220))="","",INDIRECT("'"&amp;V$86&amp;"'!"&amp;VLOOKUP(V$87,'List Values'!$C$3:$D$6,2,FALSE)&amp;ROW(V220))),IF(V$86&lt;&gt;"","Data Source Error",""))))</f>
        <v/>
      </c>
      <c r="Y220" s="2643"/>
      <c r="Z220" s="2644"/>
      <c r="AA220" s="2644"/>
      <c r="AB220" s="2645"/>
    </row>
    <row r="221" spans="1:28" ht="31" customHeight="1" outlineLevel="1">
      <c r="A221" s="513"/>
      <c r="B221" s="252"/>
      <c r="C221" s="2680" t="s">
        <v>2520</v>
      </c>
      <c r="D221" s="2680"/>
      <c r="E221" s="202"/>
      <c r="F221" s="202"/>
      <c r="G221" s="634"/>
      <c r="H221" s="635"/>
      <c r="I221" s="187"/>
      <c r="J221" s="561"/>
      <c r="K221" s="900" t="str">
        <f ca="1">IF(OR($H$7&lt;2,K$197&lt;2),"",IF(J221&lt;&gt;"",J221,IFERROR(IF(INDIRECT("'"&amp;J$86&amp;"'!"&amp;VLOOKUP(J$87,'List Values'!$C$3:$D$6,2,FALSE)&amp;ROW(J221))="","",INDIRECT("'"&amp;J$86&amp;"'!"&amp;VLOOKUP(J$87,'List Values'!$C$3:$D$6,2,FALSE)&amp;ROW(J221))),IF(J$86&lt;&gt;"","Data Source Error",""))))</f>
        <v/>
      </c>
      <c r="L221" s="187"/>
      <c r="M221" s="561"/>
      <c r="N221" s="900" t="str">
        <f ca="1">IF(OR($H$7&lt;3,N$197&lt;2),"",IF(M221&lt;&gt;"",M221,IFERROR(IF(INDIRECT("'"&amp;M$86&amp;"'!"&amp;VLOOKUP(M$87,'List Values'!$C$3:$D$6,2,FALSE)&amp;ROW(M221))="","",INDIRECT("'"&amp;M$86&amp;"'!"&amp;VLOOKUP(M$87,'List Values'!$C$3:$D$6,2,FALSE)&amp;ROW(M221))),IF(M$86&lt;&gt;"","Data Source Error",""))))</f>
        <v/>
      </c>
      <c r="O221" s="187"/>
      <c r="P221" s="561"/>
      <c r="Q221" s="900" t="str">
        <f ca="1">IF(OR($H$7&lt;4,Q$197&lt;2),"",IF(P221&lt;&gt;"",P221,IFERROR(IF(INDIRECT("'"&amp;P$86&amp;"'!"&amp;VLOOKUP(P$87,'List Values'!$C$3:$D$6,2,FALSE)&amp;ROW(P221))="","",INDIRECT("'"&amp;P$86&amp;"'!"&amp;VLOOKUP(P$87,'List Values'!$C$3:$D$6,2,FALSE)&amp;ROW(P221))),IF(P$86&lt;&gt;"","Data Source Error",""))))</f>
        <v/>
      </c>
      <c r="S221" s="561"/>
      <c r="T221" s="900" t="str">
        <f ca="1">IF(OR($H$7&lt;5,T$197&lt;2),"",IF(S221&lt;&gt;"",S221,IFERROR(IF(INDIRECT("'"&amp;S$86&amp;"'!"&amp;VLOOKUP(S$87,'List Values'!$C$3:$D$6,2,FALSE)&amp;ROW(S221))="","",INDIRECT("'"&amp;S$86&amp;"'!"&amp;VLOOKUP(S$87,'List Values'!$C$3:$D$6,2,FALSE)&amp;ROW(S221))),IF(S$86&lt;&gt;"","Data Source Error",""))))</f>
        <v/>
      </c>
      <c r="V221" s="561"/>
      <c r="W221" s="911" t="str">
        <f ca="1">IF(OR($H$7&lt;6,W$197&lt;2),"",IF(V221&lt;&gt;"",V221,IFERROR(IF(INDIRECT("'"&amp;V$86&amp;"'!"&amp;VLOOKUP(V$87,'List Values'!$C$3:$D$6,2,FALSE)&amp;ROW(V221))="","",INDIRECT("'"&amp;V$86&amp;"'!"&amp;VLOOKUP(V$87,'List Values'!$C$3:$D$6,2,FALSE)&amp;ROW(V221))),IF(V$86&lt;&gt;"","Data Source Error",""))))</f>
        <v/>
      </c>
      <c r="Y221" s="2643"/>
      <c r="Z221" s="2644"/>
      <c r="AA221" s="2644"/>
      <c r="AB221" s="2645"/>
    </row>
    <row r="222" spans="1:28" ht="31" customHeight="1" outlineLevel="1">
      <c r="A222" s="513"/>
      <c r="B222" s="252"/>
      <c r="C222" s="2684" t="s">
        <v>726</v>
      </c>
      <c r="D222" s="2684"/>
      <c r="E222" s="202"/>
      <c r="F222" s="202"/>
      <c r="G222" s="634"/>
      <c r="H222" s="635"/>
      <c r="I222" s="187"/>
      <c r="J222" s="526"/>
      <c r="K222" s="900" t="str">
        <f ca="1">IF(OR($H$7&lt;2,K$197&lt;2),"",IF(J222&lt;&gt;"",J222,IFERROR(IF(INDIRECT("'"&amp;J$86&amp;"'!"&amp;VLOOKUP(J$87,'List Values'!$C$3:$D$6,2,FALSE)&amp;ROW(J222))="","",INDIRECT("'"&amp;J$86&amp;"'!"&amp;VLOOKUP(J$87,'List Values'!$C$3:$D$6,2,FALSE)&amp;ROW(J222))),IF(J$86&lt;&gt;"","Data Source Error",""))))</f>
        <v/>
      </c>
      <c r="L222" s="187"/>
      <c r="M222" s="526"/>
      <c r="N222" s="900" t="str">
        <f ca="1">IF(OR($H$7&lt;3,N$197&lt;2),"",IF(M222&lt;&gt;"",M222,IFERROR(IF(INDIRECT("'"&amp;M$86&amp;"'!"&amp;VLOOKUP(M$87,'List Values'!$C$3:$D$6,2,FALSE)&amp;ROW(M222))="","",INDIRECT("'"&amp;M$86&amp;"'!"&amp;VLOOKUP(M$87,'List Values'!$C$3:$D$6,2,FALSE)&amp;ROW(M222))),IF(M$86&lt;&gt;"","Data Source Error",""))))</f>
        <v/>
      </c>
      <c r="O222" s="187"/>
      <c r="P222" s="526"/>
      <c r="Q222" s="900" t="str">
        <f ca="1">IF(OR($H$7&lt;4,Q$197&lt;2),"",IF(P222&lt;&gt;"",P222,IFERROR(IF(INDIRECT("'"&amp;P$86&amp;"'!"&amp;VLOOKUP(P$87,'List Values'!$C$3:$D$6,2,FALSE)&amp;ROW(P222))="","",INDIRECT("'"&amp;P$86&amp;"'!"&amp;VLOOKUP(P$87,'List Values'!$C$3:$D$6,2,FALSE)&amp;ROW(P222))),IF(P$86&lt;&gt;"","Data Source Error",""))))</f>
        <v/>
      </c>
      <c r="S222" s="526"/>
      <c r="T222" s="900" t="str">
        <f ca="1">IF(OR($H$7&lt;5,T$197&lt;2),"",IF(S222&lt;&gt;"",S222,IFERROR(IF(INDIRECT("'"&amp;S$86&amp;"'!"&amp;VLOOKUP(S$87,'List Values'!$C$3:$D$6,2,FALSE)&amp;ROW(S222))="","",INDIRECT("'"&amp;S$86&amp;"'!"&amp;VLOOKUP(S$87,'List Values'!$C$3:$D$6,2,FALSE)&amp;ROW(S222))),IF(S$86&lt;&gt;"","Data Source Error",""))))</f>
        <v/>
      </c>
      <c r="V222" s="526"/>
      <c r="W222" s="911" t="str">
        <f ca="1">IF(OR($H$7&lt;6,W$197&lt;2),"",IF(V222&lt;&gt;"",V222,IFERROR(IF(INDIRECT("'"&amp;V$86&amp;"'!"&amp;VLOOKUP(V$87,'List Values'!$C$3:$D$6,2,FALSE)&amp;ROW(V222))="","",INDIRECT("'"&amp;V$86&amp;"'!"&amp;VLOOKUP(V$87,'List Values'!$C$3:$D$6,2,FALSE)&amp;ROW(V222))),IF(V$86&lt;&gt;"","Data Source Error",""))))</f>
        <v/>
      </c>
      <c r="Y222" s="2643"/>
      <c r="Z222" s="2644"/>
      <c r="AA222" s="2644"/>
      <c r="AB222" s="2645"/>
    </row>
    <row r="223" spans="1:28" ht="33" customHeight="1" outlineLevel="1">
      <c r="A223" s="513"/>
      <c r="B223" s="252"/>
      <c r="C223" s="2684" t="s">
        <v>727</v>
      </c>
      <c r="D223" s="2684"/>
      <c r="E223" s="202"/>
      <c r="F223" s="202"/>
      <c r="G223" s="634"/>
      <c r="H223" s="635"/>
      <c r="I223" s="187"/>
      <c r="J223" s="568"/>
      <c r="K223" s="945" t="str">
        <f ca="1">IF(OR($H$7&lt;2,K$197&lt;2),"",IF(J223&lt;&gt;"",J223,IFERROR(IF(INDIRECT("'"&amp;J$86&amp;"'!"&amp;VLOOKUP(J$87,'List Values'!$C$3:$D$6,2,FALSE)&amp;ROW(J223))="","",INDIRECT("'"&amp;J$86&amp;"'!"&amp;VLOOKUP(J$87,'List Values'!$C$3:$D$6,2,FALSE)&amp;ROW(J223))*$H$6),IF(J$86&lt;&gt;"","Data Source Error",""))))</f>
        <v/>
      </c>
      <c r="L223" s="339"/>
      <c r="M223" s="568"/>
      <c r="N223" s="945" t="str">
        <f ca="1">IF(OR($H$7&lt;3,N$197&lt;2),"",IF(M223&lt;&gt;"",M223,IFERROR(IF(INDIRECT("'"&amp;M$86&amp;"'!"&amp;VLOOKUP(M$87,'List Values'!$C$3:$D$6,2,FALSE)&amp;ROW(M223))="","",INDIRECT("'"&amp;M$86&amp;"'!"&amp;VLOOKUP(M$87,'List Values'!$C$3:$D$6,2,FALSE)&amp;ROW(M223))*$H$6),IF(M$86&lt;&gt;"","Data Source Error",""))))</f>
        <v/>
      </c>
      <c r="O223" s="339"/>
      <c r="P223" s="568"/>
      <c r="Q223" s="945" t="str">
        <f ca="1">IF(OR($H$7&lt;4,Q$197&lt;2),"",IF(P223&lt;&gt;"",P223,IFERROR(IF(INDIRECT("'"&amp;P$86&amp;"'!"&amp;VLOOKUP(P$87,'List Values'!$C$3:$D$6,2,FALSE)&amp;ROW(P223))="","",INDIRECT("'"&amp;P$86&amp;"'!"&amp;VLOOKUP(P$87,'List Values'!$C$3:$D$6,2,FALSE)&amp;ROW(P223))*$H$6),IF(P$86&lt;&gt;"","Data Source Error",""))))</f>
        <v/>
      </c>
      <c r="R223" s="7"/>
      <c r="S223" s="568"/>
      <c r="T223" s="945" t="str">
        <f ca="1">IF(OR($H$7&lt;5,T$197&lt;2),"",IF(S223&lt;&gt;"",S223,IFERROR(IF(INDIRECT("'"&amp;S$86&amp;"'!"&amp;VLOOKUP(S$87,'List Values'!$C$3:$D$6,2,FALSE)&amp;ROW(S223))="","",INDIRECT("'"&amp;S$86&amp;"'!"&amp;VLOOKUP(S$87,'List Values'!$C$3:$D$6,2,FALSE)&amp;ROW(S223))*$H$6),IF(S$86&lt;&gt;"","Data Source Error",""))))</f>
        <v/>
      </c>
      <c r="U223" s="7"/>
      <c r="V223" s="568"/>
      <c r="W223" s="952" t="str">
        <f ca="1">IF(OR($H$7&lt;6,W$197&lt;2),"",IF(V223&lt;&gt;"",V223,IFERROR(IF(INDIRECT("'"&amp;V$86&amp;"'!"&amp;VLOOKUP(V$87,'List Values'!$C$3:$D$6,2,FALSE)&amp;ROW(V223))="","",INDIRECT("'"&amp;V$86&amp;"'!"&amp;VLOOKUP(V$87,'List Values'!$C$3:$D$6,2,FALSE)&amp;ROW(V223))*$H$6),IF(V$86&lt;&gt;"","Data Source Error",""))))</f>
        <v/>
      </c>
      <c r="Y223" s="2643"/>
      <c r="Z223" s="2644"/>
      <c r="AA223" s="2644"/>
      <c r="AB223" s="2645"/>
    </row>
    <row r="224" spans="1:28" ht="17.25" customHeight="1" outlineLevel="1">
      <c r="A224" s="513"/>
      <c r="B224" s="252"/>
      <c r="C224" s="2680" t="s">
        <v>732</v>
      </c>
      <c r="D224" s="2680"/>
      <c r="E224" s="202"/>
      <c r="F224" s="202"/>
      <c r="G224" s="634"/>
      <c r="H224" s="635"/>
      <c r="I224" s="187"/>
      <c r="J224" s="526"/>
      <c r="K224" s="900" t="str">
        <f ca="1">IF(OR($H$7&lt;2,K$197&lt;2),"",IF(J224&lt;&gt;"",J224,IFERROR(IF(INDIRECT("'"&amp;J$86&amp;"'!"&amp;VLOOKUP(J$87,'List Values'!$C$3:$D$6,2,FALSE)&amp;ROW(J224))="","",INDIRECT("'"&amp;J$86&amp;"'!"&amp;VLOOKUP(J$87,'List Values'!$C$3:$D$6,2,FALSE)&amp;ROW(J224))),IF(J$86&lt;&gt;"","Data Source Error",""))))</f>
        <v/>
      </c>
      <c r="L224" s="187"/>
      <c r="M224" s="526"/>
      <c r="N224" s="900" t="str">
        <f ca="1">IF(OR($H$7&lt;3,N$197&lt;2),"",IF(M224&lt;&gt;"",M224,IFERROR(IF(INDIRECT("'"&amp;M$86&amp;"'!"&amp;VLOOKUP(M$87,'List Values'!$C$3:$D$6,2,FALSE)&amp;ROW(M224))="","",INDIRECT("'"&amp;M$86&amp;"'!"&amp;VLOOKUP(M$87,'List Values'!$C$3:$D$6,2,FALSE)&amp;ROW(M224))),IF(M$86&lt;&gt;"","Data Source Error",""))))</f>
        <v/>
      </c>
      <c r="O224" s="187"/>
      <c r="P224" s="526"/>
      <c r="Q224" s="900" t="str">
        <f ca="1">IF(OR($H$7&lt;4,Q$197&lt;2),"",IF(P224&lt;&gt;"",P224,IFERROR(IF(INDIRECT("'"&amp;P$86&amp;"'!"&amp;VLOOKUP(P$87,'List Values'!$C$3:$D$6,2,FALSE)&amp;ROW(P224))="","",INDIRECT("'"&amp;P$86&amp;"'!"&amp;VLOOKUP(P$87,'List Values'!$C$3:$D$6,2,FALSE)&amp;ROW(P224))),IF(P$86&lt;&gt;"","Data Source Error",""))))</f>
        <v/>
      </c>
      <c r="S224" s="526"/>
      <c r="T224" s="900" t="str">
        <f ca="1">IF(OR($H$7&lt;5,T$197&lt;2),"",IF(S224&lt;&gt;"",S224,IFERROR(IF(INDIRECT("'"&amp;S$86&amp;"'!"&amp;VLOOKUP(S$87,'List Values'!$C$3:$D$6,2,FALSE)&amp;ROW(S224))="","",INDIRECT("'"&amp;S$86&amp;"'!"&amp;VLOOKUP(S$87,'List Values'!$C$3:$D$6,2,FALSE)&amp;ROW(S224))),IF(S$86&lt;&gt;"","Data Source Error",""))))</f>
        <v/>
      </c>
      <c r="V224" s="526"/>
      <c r="W224" s="911" t="str">
        <f ca="1">IF(OR($H$7&lt;6,W$197&lt;2),"",IF(V224&lt;&gt;"",V224,IFERROR(IF(INDIRECT("'"&amp;V$86&amp;"'!"&amp;VLOOKUP(V$87,'List Values'!$C$3:$D$6,2,FALSE)&amp;ROW(V224))="","",INDIRECT("'"&amp;V$86&amp;"'!"&amp;VLOOKUP(V$87,'List Values'!$C$3:$D$6,2,FALSE)&amp;ROW(V224))),IF(V$86&lt;&gt;"","Data Source Error",""))))</f>
        <v/>
      </c>
      <c r="Y224" s="2643"/>
      <c r="Z224" s="2644"/>
      <c r="AA224" s="2644"/>
      <c r="AB224" s="2645"/>
    </row>
    <row r="225" spans="1:28" ht="31" customHeight="1" outlineLevel="1">
      <c r="A225" s="513"/>
      <c r="B225" s="252"/>
      <c r="C225" s="2684" t="s">
        <v>730</v>
      </c>
      <c r="D225" s="2684"/>
      <c r="E225" s="202"/>
      <c r="F225" s="202"/>
      <c r="G225" s="634"/>
      <c r="H225" s="635"/>
      <c r="I225" s="183"/>
      <c r="J225" s="553"/>
      <c r="K225" s="897" t="str">
        <f ca="1">IF(OR($H$7&lt;2,K$197&lt;2),"",IF(J225&lt;&gt;"",J225,IFERROR(IF(INDIRECT("'"&amp;J$86&amp;"'!"&amp;VLOOKUP(J$87,'List Values'!$C$3:$D$6,2,FALSE)&amp;ROW(J225))="","",INDIRECT("'"&amp;J$86&amp;"'!"&amp;VLOOKUP(J$87,'List Values'!$C$3:$D$6,2,FALSE)&amp;ROW(J225))),IF(J$86&lt;&gt;"","Data Source Error",""))))</f>
        <v/>
      </c>
      <c r="L225" s="183"/>
      <c r="M225" s="553"/>
      <c r="N225" s="897" t="str">
        <f ca="1">IF(OR($H$7&lt;3,N$197&lt;2),"",IF(M225&lt;&gt;"",M225,IFERROR(IF(INDIRECT("'"&amp;M$86&amp;"'!"&amp;VLOOKUP(M$87,'List Values'!$C$3:$D$6,2,FALSE)&amp;ROW(M225))="","",INDIRECT("'"&amp;M$86&amp;"'!"&amp;VLOOKUP(M$87,'List Values'!$C$3:$D$6,2,FALSE)&amp;ROW(M225))),IF(M$86&lt;&gt;"","Data Source Error",""))))</f>
        <v/>
      </c>
      <c r="O225" s="183"/>
      <c r="P225" s="553"/>
      <c r="Q225" s="897" t="str">
        <f ca="1">IF(OR($H$7&lt;4,Q$197&lt;2),"",IF(P225&lt;&gt;"",P225,IFERROR(IF(INDIRECT("'"&amp;P$86&amp;"'!"&amp;VLOOKUP(P$87,'List Values'!$C$3:$D$6,2,FALSE)&amp;ROW(P225))="","",INDIRECT("'"&amp;P$86&amp;"'!"&amp;VLOOKUP(P$87,'List Values'!$C$3:$D$6,2,FALSE)&amp;ROW(P225))),IF(P$86&lt;&gt;"","Data Source Error",""))))</f>
        <v/>
      </c>
      <c r="S225" s="553"/>
      <c r="T225" s="897" t="str">
        <f ca="1">IF(OR($H$7&lt;5,T$197&lt;2),"",IF(S225&lt;&gt;"",S225,IFERROR(IF(INDIRECT("'"&amp;S$86&amp;"'!"&amp;VLOOKUP(S$87,'List Values'!$C$3:$D$6,2,FALSE)&amp;ROW(S225))="","",INDIRECT("'"&amp;S$86&amp;"'!"&amp;VLOOKUP(S$87,'List Values'!$C$3:$D$6,2,FALSE)&amp;ROW(S225))),IF(S$86&lt;&gt;"","Data Source Error",""))))</f>
        <v/>
      </c>
      <c r="V225" s="553"/>
      <c r="W225" s="908" t="str">
        <f ca="1">IF(OR($H$7&lt;6,W$197&lt;2),"",IF(V225&lt;&gt;"",V225,IFERROR(IF(INDIRECT("'"&amp;V$86&amp;"'!"&amp;VLOOKUP(V$87,'List Values'!$C$3:$D$6,2,FALSE)&amp;ROW(V225))="","",INDIRECT("'"&amp;V$86&amp;"'!"&amp;VLOOKUP(V$87,'List Values'!$C$3:$D$6,2,FALSE)&amp;ROW(V225))),IF(V$86&lt;&gt;"","Data Source Error",""))))</f>
        <v/>
      </c>
      <c r="Y225" s="2643"/>
      <c r="Z225" s="2644"/>
      <c r="AA225" s="2644"/>
      <c r="AB225" s="2645"/>
    </row>
    <row r="226" spans="1:28" ht="31" customHeight="1" outlineLevel="1">
      <c r="A226" s="513"/>
      <c r="B226" s="252"/>
      <c r="C226" s="2680" t="s">
        <v>2521</v>
      </c>
      <c r="D226" s="2680"/>
      <c r="E226" s="202"/>
      <c r="F226" s="202"/>
      <c r="G226" s="634"/>
      <c r="H226" s="635"/>
      <c r="I226" s="187"/>
      <c r="J226" s="619"/>
      <c r="K226" s="898" t="str">
        <f ca="1">IF(OR($H$7&lt;2,K$197&lt;2),"",IF(J226&lt;&gt;"",J226,IFERROR(IF(INDIRECT("'"&amp;J$86&amp;"'!"&amp;VLOOKUP(J$87,'List Values'!$C$3:$D$6,2,FALSE)&amp;ROW(J226))="","",INDIRECT("'"&amp;J$86&amp;"'!"&amp;VLOOKUP(J$87,'List Values'!$C$3:$D$6,2,FALSE)&amp;ROW(J226))),IF(J$86&lt;&gt;"","Data Source Error",""))))</f>
        <v/>
      </c>
      <c r="L226" s="621"/>
      <c r="M226" s="619"/>
      <c r="N226" s="898" t="str">
        <f ca="1">IF(OR($H$7&lt;3,N$197&lt;2),"",IF(M226&lt;&gt;"",M226,IFERROR(IF(INDIRECT("'"&amp;M$86&amp;"'!"&amp;VLOOKUP(M$87,'List Values'!$C$3:$D$6,2,FALSE)&amp;ROW(M226))="","",INDIRECT("'"&amp;M$86&amp;"'!"&amp;VLOOKUP(M$87,'List Values'!$C$3:$D$6,2,FALSE)&amp;ROW(M226))),IF(M$86&lt;&gt;"","Data Source Error",""))))</f>
        <v/>
      </c>
      <c r="O226" s="621"/>
      <c r="P226" s="619"/>
      <c r="Q226" s="898" t="str">
        <f ca="1">IF(OR($H$7&lt;4,Q$197&lt;2),"",IF(P226&lt;&gt;"",P226,IFERROR(IF(INDIRECT("'"&amp;P$86&amp;"'!"&amp;VLOOKUP(P$87,'List Values'!$C$3:$D$6,2,FALSE)&amp;ROW(P226))="","",INDIRECT("'"&amp;P$86&amp;"'!"&amp;VLOOKUP(P$87,'List Values'!$C$3:$D$6,2,FALSE)&amp;ROW(P226))),IF(P$86&lt;&gt;"","Data Source Error",""))))</f>
        <v/>
      </c>
      <c r="R226" s="147"/>
      <c r="S226" s="619"/>
      <c r="T226" s="898" t="str">
        <f ca="1">IF(OR($H$7&lt;5,T$197&lt;2),"",IF(S226&lt;&gt;"",S226,IFERROR(IF(INDIRECT("'"&amp;S$86&amp;"'!"&amp;VLOOKUP(S$87,'List Values'!$C$3:$D$6,2,FALSE)&amp;ROW(S226))="","",INDIRECT("'"&amp;S$86&amp;"'!"&amp;VLOOKUP(S$87,'List Values'!$C$3:$D$6,2,FALSE)&amp;ROW(S226))),IF(S$86&lt;&gt;"","Data Source Error",""))))</f>
        <v/>
      </c>
      <c r="U226" s="147"/>
      <c r="V226" s="619"/>
      <c r="W226" s="909" t="str">
        <f ca="1">IF(OR($H$7&lt;6,W$197&lt;2),"",IF(V226&lt;&gt;"",V226,IFERROR(IF(INDIRECT("'"&amp;V$86&amp;"'!"&amp;VLOOKUP(V$87,'List Values'!$C$3:$D$6,2,FALSE)&amp;ROW(V226))="","",INDIRECT("'"&amp;V$86&amp;"'!"&amp;VLOOKUP(V$87,'List Values'!$C$3:$D$6,2,FALSE)&amp;ROW(V226))),IF(V$86&lt;&gt;"","Data Source Error",""))))</f>
        <v/>
      </c>
      <c r="Y226" s="2643"/>
      <c r="Z226" s="2644"/>
      <c r="AA226" s="2644"/>
      <c r="AB226" s="2645"/>
    </row>
    <row r="227" spans="1:28" ht="31" customHeight="1" outlineLevel="1">
      <c r="A227" s="513"/>
      <c r="B227" s="252"/>
      <c r="C227" s="2680" t="s">
        <v>2522</v>
      </c>
      <c r="D227" s="2680"/>
      <c r="E227" s="202"/>
      <c r="F227" s="202"/>
      <c r="G227" s="634"/>
      <c r="H227" s="635"/>
      <c r="I227" s="187"/>
      <c r="J227" s="619"/>
      <c r="K227" s="898" t="str">
        <f ca="1">IF(OR($H$7&lt;2,K$197&lt;2),"",IF(J227&lt;&gt;"",J227,IFERROR(IF(INDIRECT("'"&amp;J$86&amp;"'!"&amp;VLOOKUP(J$87,'List Values'!$C$3:$D$6,2,FALSE)&amp;ROW(J227))="","",INDIRECT("'"&amp;J$86&amp;"'!"&amp;VLOOKUP(J$87,'List Values'!$C$3:$D$6,2,FALSE)&amp;ROW(J227))),IF(J$86&lt;&gt;"","Data Source Error",""))))</f>
        <v/>
      </c>
      <c r="L227" s="621"/>
      <c r="M227" s="619"/>
      <c r="N227" s="898" t="str">
        <f ca="1">IF(OR($H$7&lt;3,N$197&lt;2),"",IF(M227&lt;&gt;"",M227,IFERROR(IF(INDIRECT("'"&amp;M$86&amp;"'!"&amp;VLOOKUP(M$87,'List Values'!$C$3:$D$6,2,FALSE)&amp;ROW(M227))="","",INDIRECT("'"&amp;M$86&amp;"'!"&amp;VLOOKUP(M$87,'List Values'!$C$3:$D$6,2,FALSE)&amp;ROW(M227))),IF(M$86&lt;&gt;"","Data Source Error",""))))</f>
        <v/>
      </c>
      <c r="O227" s="621"/>
      <c r="P227" s="619"/>
      <c r="Q227" s="898" t="str">
        <f ca="1">IF(OR($H$7&lt;4,Q$197&lt;2),"",IF(P227&lt;&gt;"",P227,IFERROR(IF(INDIRECT("'"&amp;P$86&amp;"'!"&amp;VLOOKUP(P$87,'List Values'!$C$3:$D$6,2,FALSE)&amp;ROW(P227))="","",INDIRECT("'"&amp;P$86&amp;"'!"&amp;VLOOKUP(P$87,'List Values'!$C$3:$D$6,2,FALSE)&amp;ROW(P227))),IF(P$86&lt;&gt;"","Data Source Error",""))))</f>
        <v/>
      </c>
      <c r="R227" s="147"/>
      <c r="S227" s="619"/>
      <c r="T227" s="898" t="str">
        <f ca="1">IF(OR($H$7&lt;5,T$197&lt;2),"",IF(S227&lt;&gt;"",S227,IFERROR(IF(INDIRECT("'"&amp;S$86&amp;"'!"&amp;VLOOKUP(S$87,'List Values'!$C$3:$D$6,2,FALSE)&amp;ROW(S227))="","",INDIRECT("'"&amp;S$86&amp;"'!"&amp;VLOOKUP(S$87,'List Values'!$C$3:$D$6,2,FALSE)&amp;ROW(S227))),IF(S$86&lt;&gt;"","Data Source Error",""))))</f>
        <v/>
      </c>
      <c r="U227" s="147"/>
      <c r="V227" s="619"/>
      <c r="W227" s="909" t="str">
        <f ca="1">IF(OR($H$7&lt;6,W$197&lt;2),"",IF(V227&lt;&gt;"",V227,IFERROR(IF(INDIRECT("'"&amp;V$86&amp;"'!"&amp;VLOOKUP(V$87,'List Values'!$C$3:$D$6,2,FALSE)&amp;ROW(V227))="","",INDIRECT("'"&amp;V$86&amp;"'!"&amp;VLOOKUP(V$87,'List Values'!$C$3:$D$6,2,FALSE)&amp;ROW(V227))),IF(V$86&lt;&gt;"","Data Source Error",""))))</f>
        <v/>
      </c>
      <c r="Y227" s="2643"/>
      <c r="Z227" s="2644"/>
      <c r="AA227" s="2644"/>
      <c r="AB227" s="2645"/>
    </row>
    <row r="228" spans="1:28" ht="33" customHeight="1" outlineLevel="1">
      <c r="A228" s="513"/>
      <c r="B228" s="252"/>
      <c r="C228" s="2680" t="s">
        <v>253</v>
      </c>
      <c r="D228" s="2680"/>
      <c r="E228" s="202"/>
      <c r="F228" s="202"/>
      <c r="G228" s="634"/>
      <c r="H228" s="635"/>
      <c r="I228" s="187"/>
      <c r="J228" s="526"/>
      <c r="K228" s="900" t="str">
        <f ca="1">IF(OR($H$7&lt;2,K$197&lt;2),"",IF(J228&lt;&gt;"",J228,IFERROR(IF(INDIRECT("'"&amp;J$86&amp;"'!"&amp;VLOOKUP(J$87,'List Values'!$C$3:$D$6,2,FALSE)&amp;ROW(J228))="","",INDIRECT("'"&amp;J$86&amp;"'!"&amp;VLOOKUP(J$87,'List Values'!$C$3:$D$6,2,FALSE)&amp;ROW(J228))),IF(J$86&lt;&gt;"","Data Source Error",""))))</f>
        <v/>
      </c>
      <c r="L228" s="187"/>
      <c r="M228" s="526"/>
      <c r="N228" s="900" t="str">
        <f ca="1">IF(OR($H$7&lt;3,N$197&lt;2),"",IF(M228&lt;&gt;"",M228,IFERROR(IF(INDIRECT("'"&amp;M$86&amp;"'!"&amp;VLOOKUP(M$87,'List Values'!$C$3:$D$6,2,FALSE)&amp;ROW(M228))="","",INDIRECT("'"&amp;M$86&amp;"'!"&amp;VLOOKUP(M$87,'List Values'!$C$3:$D$6,2,FALSE)&amp;ROW(M228))),IF(M$86&lt;&gt;"","Data Source Error",""))))</f>
        <v/>
      </c>
      <c r="O228" s="187"/>
      <c r="P228" s="526"/>
      <c r="Q228" s="900" t="str">
        <f ca="1">IF(OR($H$7&lt;4,Q$197&lt;2),"",IF(P228&lt;&gt;"",P228,IFERROR(IF(INDIRECT("'"&amp;P$86&amp;"'!"&amp;VLOOKUP(P$87,'List Values'!$C$3:$D$6,2,FALSE)&amp;ROW(P228))="","",INDIRECT("'"&amp;P$86&amp;"'!"&amp;VLOOKUP(P$87,'List Values'!$C$3:$D$6,2,FALSE)&amp;ROW(P228))),IF(P$86&lt;&gt;"","Data Source Error",""))))</f>
        <v/>
      </c>
      <c r="S228" s="526"/>
      <c r="T228" s="900" t="str">
        <f ca="1">IF(OR($H$7&lt;5,T$197&lt;2),"",IF(S228&lt;&gt;"",S228,IFERROR(IF(INDIRECT("'"&amp;S$86&amp;"'!"&amp;VLOOKUP(S$87,'List Values'!$C$3:$D$6,2,FALSE)&amp;ROW(S228))="","",INDIRECT("'"&amp;S$86&amp;"'!"&amp;VLOOKUP(S$87,'List Values'!$C$3:$D$6,2,FALSE)&amp;ROW(S228))),IF(S$86&lt;&gt;"","Data Source Error",""))))</f>
        <v/>
      </c>
      <c r="V228" s="526"/>
      <c r="W228" s="911" t="str">
        <f ca="1">IF(OR($H$7&lt;6,W$197&lt;2),"",IF(V228&lt;&gt;"",V228,IFERROR(IF(INDIRECT("'"&amp;V$86&amp;"'!"&amp;VLOOKUP(V$87,'List Values'!$C$3:$D$6,2,FALSE)&amp;ROW(V228))="","",INDIRECT("'"&amp;V$86&amp;"'!"&amp;VLOOKUP(V$87,'List Values'!$C$3:$D$6,2,FALSE)&amp;ROW(V228))),IF(V$86&lt;&gt;"","Data Source Error",""))))</f>
        <v/>
      </c>
      <c r="Y228" s="2643"/>
      <c r="Z228" s="2644"/>
      <c r="AA228" s="2644"/>
      <c r="AB228" s="2645"/>
    </row>
    <row r="229" spans="1:28" ht="17.25" customHeight="1" outlineLevel="1">
      <c r="A229" s="513"/>
      <c r="B229" s="252"/>
      <c r="C229" s="2684" t="s">
        <v>2529</v>
      </c>
      <c r="D229" s="2684"/>
      <c r="E229" s="202"/>
      <c r="F229" s="202"/>
      <c r="G229" s="634"/>
      <c r="H229" s="635"/>
      <c r="I229" s="187"/>
      <c r="J229" s="580"/>
      <c r="K229" s="900" t="str">
        <f ca="1">IF(OR($H$7&lt;2,K$197&lt;2),"",IF(J229&lt;&gt;"",J229,IFERROR(IF(INDIRECT("'"&amp;J$86&amp;"'!"&amp;VLOOKUP(J$87,'List Values'!$C$3:$D$6,2,FALSE)&amp;ROW(J229))="","",INDIRECT("'"&amp;J$86&amp;"'!"&amp;VLOOKUP(J$87,'List Values'!$C$3:$D$6,2,FALSE)&amp;ROW(J229))),IF(J$86&lt;&gt;"","Data Source Error",""))))</f>
        <v/>
      </c>
      <c r="L229" s="187"/>
      <c r="M229" s="580"/>
      <c r="N229" s="900" t="str">
        <f ca="1">IF(OR($H$7&lt;3,N$197&lt;2),"",IF(M229&lt;&gt;"",M229,IFERROR(IF(INDIRECT("'"&amp;M$86&amp;"'!"&amp;VLOOKUP(M$87,'List Values'!$C$3:$D$6,2,FALSE)&amp;ROW(M229))="","",INDIRECT("'"&amp;M$86&amp;"'!"&amp;VLOOKUP(M$87,'List Values'!$C$3:$D$6,2,FALSE)&amp;ROW(M229))),IF(M$86&lt;&gt;"","Data Source Error",""))))</f>
        <v/>
      </c>
      <c r="O229" s="187"/>
      <c r="P229" s="580"/>
      <c r="Q229" s="900" t="str">
        <f ca="1">IF(OR($H$7&lt;4,Q$197&lt;2),"",IF(P229&lt;&gt;"",P229,IFERROR(IF(INDIRECT("'"&amp;P$86&amp;"'!"&amp;VLOOKUP(P$87,'List Values'!$C$3:$D$6,2,FALSE)&amp;ROW(P229))="","",INDIRECT("'"&amp;P$86&amp;"'!"&amp;VLOOKUP(P$87,'List Values'!$C$3:$D$6,2,FALSE)&amp;ROW(P229))),IF(P$86&lt;&gt;"","Data Source Error",""))))</f>
        <v/>
      </c>
      <c r="S229" s="580"/>
      <c r="T229" s="900" t="str">
        <f ca="1">IF(OR($H$7&lt;5,T$197&lt;2),"",IF(S229&lt;&gt;"",S229,IFERROR(IF(INDIRECT("'"&amp;S$86&amp;"'!"&amp;VLOOKUP(S$87,'List Values'!$C$3:$D$6,2,FALSE)&amp;ROW(S229))="","",INDIRECT("'"&amp;S$86&amp;"'!"&amp;VLOOKUP(S$87,'List Values'!$C$3:$D$6,2,FALSE)&amp;ROW(S229))),IF(S$86&lt;&gt;"","Data Source Error",""))))</f>
        <v/>
      </c>
      <c r="V229" s="580"/>
      <c r="W229" s="911" t="str">
        <f ca="1">IF(OR($H$7&lt;6,W$197&lt;2),"",IF(V229&lt;&gt;"",V229,IFERROR(IF(INDIRECT("'"&amp;V$86&amp;"'!"&amp;VLOOKUP(V$87,'List Values'!$C$3:$D$6,2,FALSE)&amp;ROW(V229))="","",INDIRECT("'"&amp;V$86&amp;"'!"&amp;VLOOKUP(V$87,'List Values'!$C$3:$D$6,2,FALSE)&amp;ROW(V229))),IF(V$86&lt;&gt;"","Data Source Error",""))))</f>
        <v/>
      </c>
      <c r="Y229" s="2643"/>
      <c r="Z229" s="2644"/>
      <c r="AA229" s="2644"/>
      <c r="AB229" s="2645"/>
    </row>
    <row r="230" spans="1:28" ht="33" customHeight="1" outlineLevel="1">
      <c r="A230" s="513"/>
      <c r="B230" s="252"/>
      <c r="C230" s="2680" t="s">
        <v>2523</v>
      </c>
      <c r="D230" s="2680"/>
      <c r="E230" s="202"/>
      <c r="F230" s="202"/>
      <c r="G230" s="634"/>
      <c r="H230" s="635"/>
      <c r="I230" s="187"/>
      <c r="J230" s="580"/>
      <c r="K230" s="900" t="str">
        <f ca="1">IF(OR($H$7&lt;2,K$197&lt;2),"",IF(J230&lt;&gt;"",J230,IFERROR(IF(INDIRECT("'"&amp;J$86&amp;"'!"&amp;VLOOKUP(J$87,'List Values'!$C$3:$D$6,2,FALSE)&amp;ROW(J230))="","",INDIRECT("'"&amp;J$86&amp;"'!"&amp;VLOOKUP(J$87,'List Values'!$C$3:$D$6,2,FALSE)&amp;ROW(J230))),IF(J$86&lt;&gt;"","Data Source Error",""))))</f>
        <v/>
      </c>
      <c r="L230" s="187"/>
      <c r="M230" s="580"/>
      <c r="N230" s="900" t="str">
        <f ca="1">IF(OR($H$7&lt;3,N$197&lt;2),"",IF(M230&lt;&gt;"",M230,IFERROR(IF(INDIRECT("'"&amp;M$86&amp;"'!"&amp;VLOOKUP(M$87,'List Values'!$C$3:$D$6,2,FALSE)&amp;ROW(M230))="","",INDIRECT("'"&amp;M$86&amp;"'!"&amp;VLOOKUP(M$87,'List Values'!$C$3:$D$6,2,FALSE)&amp;ROW(M230))),IF(M$86&lt;&gt;"","Data Source Error",""))))</f>
        <v/>
      </c>
      <c r="O230" s="187"/>
      <c r="P230" s="580"/>
      <c r="Q230" s="900" t="str">
        <f ca="1">IF(OR($H$7&lt;4,Q$197&lt;2),"",IF(P230&lt;&gt;"",P230,IFERROR(IF(INDIRECT("'"&amp;P$86&amp;"'!"&amp;VLOOKUP(P$87,'List Values'!$C$3:$D$6,2,FALSE)&amp;ROW(P230))="","",INDIRECT("'"&amp;P$86&amp;"'!"&amp;VLOOKUP(P$87,'List Values'!$C$3:$D$6,2,FALSE)&amp;ROW(P230))),IF(P$86&lt;&gt;"","Data Source Error",""))))</f>
        <v/>
      </c>
      <c r="S230" s="580"/>
      <c r="T230" s="900" t="str">
        <f ca="1">IF(OR($H$7&lt;5,T$197&lt;2),"",IF(S230&lt;&gt;"",S230,IFERROR(IF(INDIRECT("'"&amp;S$86&amp;"'!"&amp;VLOOKUP(S$87,'List Values'!$C$3:$D$6,2,FALSE)&amp;ROW(S230))="","",INDIRECT("'"&amp;S$86&amp;"'!"&amp;VLOOKUP(S$87,'List Values'!$C$3:$D$6,2,FALSE)&amp;ROW(S230))),IF(S$86&lt;&gt;"","Data Source Error",""))))</f>
        <v/>
      </c>
      <c r="V230" s="580"/>
      <c r="W230" s="911" t="str">
        <f ca="1">IF(OR($H$7&lt;6,W$197&lt;2),"",IF(V230&lt;&gt;"",V230,IFERROR(IF(INDIRECT("'"&amp;V$86&amp;"'!"&amp;VLOOKUP(V$87,'List Values'!$C$3:$D$6,2,FALSE)&amp;ROW(V230))="","",INDIRECT("'"&amp;V$86&amp;"'!"&amp;VLOOKUP(V$87,'List Values'!$C$3:$D$6,2,FALSE)&amp;ROW(V230))),IF(V$86&lt;&gt;"","Data Source Error",""))))</f>
        <v/>
      </c>
      <c r="Y230" s="2643"/>
      <c r="Z230" s="2644"/>
      <c r="AA230" s="2644"/>
      <c r="AB230" s="2645"/>
    </row>
    <row r="231" spans="1:28" ht="17.25" customHeight="1" outlineLevel="1">
      <c r="A231" s="513"/>
      <c r="B231" s="252"/>
      <c r="C231" s="2680" t="s">
        <v>2524</v>
      </c>
      <c r="D231" s="2680"/>
      <c r="E231" s="202"/>
      <c r="F231" s="202"/>
      <c r="G231" s="634"/>
      <c r="H231" s="635"/>
      <c r="I231" s="187"/>
      <c r="J231" s="580"/>
      <c r="K231" s="900" t="str">
        <f ca="1">IF(OR($H$7&lt;2,K$197&lt;2),"",IF(J231&lt;&gt;"",J231,IFERROR(IF(INDIRECT("'"&amp;J$86&amp;"'!"&amp;VLOOKUP(J$87,'List Values'!$C$3:$D$6,2,FALSE)&amp;ROW(J231))="","",INDIRECT("'"&amp;J$86&amp;"'!"&amp;VLOOKUP(J$87,'List Values'!$C$3:$D$6,2,FALSE)&amp;ROW(J231))),IF(J$86&lt;&gt;"","Data Source Error",""))))</f>
        <v/>
      </c>
      <c r="L231" s="187"/>
      <c r="M231" s="580"/>
      <c r="N231" s="900" t="str">
        <f ca="1">IF(OR($H$7&lt;3,N$197&lt;2),"",IF(M231&lt;&gt;"",M231,IFERROR(IF(INDIRECT("'"&amp;M$86&amp;"'!"&amp;VLOOKUP(M$87,'List Values'!$C$3:$D$6,2,FALSE)&amp;ROW(M231))="","",INDIRECT("'"&amp;M$86&amp;"'!"&amp;VLOOKUP(M$87,'List Values'!$C$3:$D$6,2,FALSE)&amp;ROW(M231))),IF(M$86&lt;&gt;"","Data Source Error",""))))</f>
        <v/>
      </c>
      <c r="O231" s="187"/>
      <c r="P231" s="580"/>
      <c r="Q231" s="900" t="str">
        <f ca="1">IF(OR($H$7&lt;4,Q$197&lt;2),"",IF(P231&lt;&gt;"",P231,IFERROR(IF(INDIRECT("'"&amp;P$86&amp;"'!"&amp;VLOOKUP(P$87,'List Values'!$C$3:$D$6,2,FALSE)&amp;ROW(P231))="","",INDIRECT("'"&amp;P$86&amp;"'!"&amp;VLOOKUP(P$87,'List Values'!$C$3:$D$6,2,FALSE)&amp;ROW(P231))),IF(P$86&lt;&gt;"","Data Source Error",""))))</f>
        <v/>
      </c>
      <c r="S231" s="580"/>
      <c r="T231" s="900" t="str">
        <f ca="1">IF(OR($H$7&lt;5,T$197&lt;2),"",IF(S231&lt;&gt;"",S231,IFERROR(IF(INDIRECT("'"&amp;S$86&amp;"'!"&amp;VLOOKUP(S$87,'List Values'!$C$3:$D$6,2,FALSE)&amp;ROW(S231))="","",INDIRECT("'"&amp;S$86&amp;"'!"&amp;VLOOKUP(S$87,'List Values'!$C$3:$D$6,2,FALSE)&amp;ROW(S231))),IF(S$86&lt;&gt;"","Data Source Error",""))))</f>
        <v/>
      </c>
      <c r="V231" s="580"/>
      <c r="W231" s="911" t="str">
        <f ca="1">IF(OR($H$7&lt;6,W$197&lt;2),"",IF(V231&lt;&gt;"",V231,IFERROR(IF(INDIRECT("'"&amp;V$86&amp;"'!"&amp;VLOOKUP(V$87,'List Values'!$C$3:$D$6,2,FALSE)&amp;ROW(V231))="","",INDIRECT("'"&amp;V$86&amp;"'!"&amp;VLOOKUP(V$87,'List Values'!$C$3:$D$6,2,FALSE)&amp;ROW(V231))),IF(V$86&lt;&gt;"","Data Source Error",""))))</f>
        <v/>
      </c>
      <c r="Y231" s="2643"/>
      <c r="Z231" s="2644"/>
      <c r="AA231" s="2644"/>
      <c r="AB231" s="2645"/>
    </row>
    <row r="232" spans="1:28" ht="17.25" customHeight="1" outlineLevel="1">
      <c r="A232" s="513"/>
      <c r="B232" s="252"/>
      <c r="C232" s="2684" t="s">
        <v>2525</v>
      </c>
      <c r="D232" s="2684"/>
      <c r="E232" s="202"/>
      <c r="F232" s="202"/>
      <c r="G232" s="634"/>
      <c r="H232" s="635"/>
      <c r="I232" s="187"/>
      <c r="J232" s="580"/>
      <c r="K232" s="900" t="str">
        <f ca="1">IF(OR($H$7&lt;2,K$197&lt;2),"",IF(J232&lt;&gt;"",J232,IFERROR(IF(INDIRECT("'"&amp;J$86&amp;"'!"&amp;VLOOKUP(J$87,'List Values'!$C$3:$D$6,2,FALSE)&amp;ROW(J232))="","",INDIRECT("'"&amp;J$86&amp;"'!"&amp;VLOOKUP(J$87,'List Values'!$C$3:$D$6,2,FALSE)&amp;ROW(J232))),IF(J$86&lt;&gt;"","Data Source Error",""))))</f>
        <v/>
      </c>
      <c r="L232" s="187"/>
      <c r="M232" s="580"/>
      <c r="N232" s="900" t="str">
        <f ca="1">IF(OR($H$7&lt;3,N$197&lt;2),"",IF(M232&lt;&gt;"",M232,IFERROR(IF(INDIRECT("'"&amp;M$86&amp;"'!"&amp;VLOOKUP(M$87,'List Values'!$C$3:$D$6,2,FALSE)&amp;ROW(M232))="","",INDIRECT("'"&amp;M$86&amp;"'!"&amp;VLOOKUP(M$87,'List Values'!$C$3:$D$6,2,FALSE)&amp;ROW(M232))),IF(M$86&lt;&gt;"","Data Source Error",""))))</f>
        <v/>
      </c>
      <c r="O232" s="187"/>
      <c r="P232" s="580"/>
      <c r="Q232" s="900" t="str">
        <f ca="1">IF(OR($H$7&lt;4,Q$197&lt;2),"",IF(P232&lt;&gt;"",P232,IFERROR(IF(INDIRECT("'"&amp;P$86&amp;"'!"&amp;VLOOKUP(P$87,'List Values'!$C$3:$D$6,2,FALSE)&amp;ROW(P232))="","",INDIRECT("'"&amp;P$86&amp;"'!"&amp;VLOOKUP(P$87,'List Values'!$C$3:$D$6,2,FALSE)&amp;ROW(P232))),IF(P$86&lt;&gt;"","Data Source Error",""))))</f>
        <v/>
      </c>
      <c r="S232" s="580"/>
      <c r="T232" s="900" t="str">
        <f ca="1">IF(OR($H$7&lt;5,T$197&lt;2),"",IF(S232&lt;&gt;"",S232,IFERROR(IF(INDIRECT("'"&amp;S$86&amp;"'!"&amp;VLOOKUP(S$87,'List Values'!$C$3:$D$6,2,FALSE)&amp;ROW(S232))="","",INDIRECT("'"&amp;S$86&amp;"'!"&amp;VLOOKUP(S$87,'List Values'!$C$3:$D$6,2,FALSE)&amp;ROW(S232))),IF(S$86&lt;&gt;"","Data Source Error",""))))</f>
        <v/>
      </c>
      <c r="V232" s="580"/>
      <c r="W232" s="911" t="str">
        <f ca="1">IF(OR($H$7&lt;6,W$197&lt;2),"",IF(V232&lt;&gt;"",V232,IFERROR(IF(INDIRECT("'"&amp;V$86&amp;"'!"&amp;VLOOKUP(V$87,'List Values'!$C$3:$D$6,2,FALSE)&amp;ROW(V232))="","",INDIRECT("'"&amp;V$86&amp;"'!"&amp;VLOOKUP(V$87,'List Values'!$C$3:$D$6,2,FALSE)&amp;ROW(V232))),IF(V$86&lt;&gt;"","Data Source Error",""))))</f>
        <v/>
      </c>
      <c r="Y232" s="2643"/>
      <c r="Z232" s="2644"/>
      <c r="AA232" s="2644"/>
      <c r="AB232" s="2645"/>
    </row>
    <row r="233" spans="1:28" ht="31" customHeight="1" outlineLevel="1">
      <c r="A233" s="513"/>
      <c r="B233" s="252"/>
      <c r="C233" s="2680" t="s">
        <v>2526</v>
      </c>
      <c r="D233" s="2680"/>
      <c r="E233" s="202"/>
      <c r="F233" s="202"/>
      <c r="G233" s="634"/>
      <c r="H233" s="635"/>
      <c r="I233" s="187"/>
      <c r="J233" s="580"/>
      <c r="K233" s="900" t="str">
        <f ca="1">IF(OR($H$7&lt;2,K$197&lt;2),"",IF(J233&lt;&gt;"",J233,IFERROR(IF(INDIRECT("'"&amp;J$86&amp;"'!"&amp;VLOOKUP(J$87,'List Values'!$C$3:$D$6,2,FALSE)&amp;ROW(J233))="","",INDIRECT("'"&amp;J$86&amp;"'!"&amp;VLOOKUP(J$87,'List Values'!$C$3:$D$6,2,FALSE)&amp;ROW(J233))),IF(J$86&lt;&gt;"","Data Source Error",""))))</f>
        <v/>
      </c>
      <c r="L233" s="187"/>
      <c r="M233" s="580"/>
      <c r="N233" s="900" t="str">
        <f ca="1">IF(OR($H$7&lt;3,N$197&lt;2),"",IF(M233&lt;&gt;"",M233,IFERROR(IF(INDIRECT("'"&amp;M$86&amp;"'!"&amp;VLOOKUP(M$87,'List Values'!$C$3:$D$6,2,FALSE)&amp;ROW(M233))="","",INDIRECT("'"&amp;M$86&amp;"'!"&amp;VLOOKUP(M$87,'List Values'!$C$3:$D$6,2,FALSE)&amp;ROW(M233))),IF(M$86&lt;&gt;"","Data Source Error",""))))</f>
        <v/>
      </c>
      <c r="O233" s="187"/>
      <c r="P233" s="580"/>
      <c r="Q233" s="900" t="str">
        <f ca="1">IF(OR($H$7&lt;4,Q$197&lt;2),"",IF(P233&lt;&gt;"",P233,IFERROR(IF(INDIRECT("'"&amp;P$86&amp;"'!"&amp;VLOOKUP(P$87,'List Values'!$C$3:$D$6,2,FALSE)&amp;ROW(P233))="","",INDIRECT("'"&amp;P$86&amp;"'!"&amp;VLOOKUP(P$87,'List Values'!$C$3:$D$6,2,FALSE)&amp;ROW(P233))),IF(P$86&lt;&gt;"","Data Source Error",""))))</f>
        <v/>
      </c>
      <c r="S233" s="580"/>
      <c r="T233" s="900" t="str">
        <f ca="1">IF(OR($H$7&lt;5,T$197&lt;2),"",IF(S233&lt;&gt;"",S233,IFERROR(IF(INDIRECT("'"&amp;S$86&amp;"'!"&amp;VLOOKUP(S$87,'List Values'!$C$3:$D$6,2,FALSE)&amp;ROW(S233))="","",INDIRECT("'"&amp;S$86&amp;"'!"&amp;VLOOKUP(S$87,'List Values'!$C$3:$D$6,2,FALSE)&amp;ROW(S233))),IF(S$86&lt;&gt;"","Data Source Error",""))))</f>
        <v/>
      </c>
      <c r="V233" s="580"/>
      <c r="W233" s="911" t="str">
        <f ca="1">IF(OR($H$7&lt;6,W$197&lt;2),"",IF(V233&lt;&gt;"",V233,IFERROR(IF(INDIRECT("'"&amp;V$86&amp;"'!"&amp;VLOOKUP(V$87,'List Values'!$C$3:$D$6,2,FALSE)&amp;ROW(V233))="","",INDIRECT("'"&amp;V$86&amp;"'!"&amp;VLOOKUP(V$87,'List Values'!$C$3:$D$6,2,FALSE)&amp;ROW(V233))),IF(V$86&lt;&gt;"","Data Source Error",""))))</f>
        <v/>
      </c>
      <c r="Y233" s="2643"/>
      <c r="Z233" s="2644"/>
      <c r="AA233" s="2644"/>
      <c r="AB233" s="2645"/>
    </row>
    <row r="234" spans="1:28" ht="33" customHeight="1" outlineLevel="1">
      <c r="A234" s="513"/>
      <c r="B234" s="252"/>
      <c r="C234" s="2680" t="s">
        <v>2527</v>
      </c>
      <c r="D234" s="2680"/>
      <c r="E234" s="202"/>
      <c r="F234" s="202"/>
      <c r="G234" s="634"/>
      <c r="H234" s="635"/>
      <c r="I234" s="187"/>
      <c r="J234" s="580"/>
      <c r="K234" s="900" t="str">
        <f ca="1">IF(OR($H$7&lt;2,K$197&lt;2),"",IF(J234&lt;&gt;"",J234,IFERROR(IF(INDIRECT("'"&amp;J$86&amp;"'!"&amp;VLOOKUP(J$87,'List Values'!$C$3:$D$6,2,FALSE)&amp;ROW(J234))="","",INDIRECT("'"&amp;J$86&amp;"'!"&amp;VLOOKUP(J$87,'List Values'!$C$3:$D$6,2,FALSE)&amp;ROW(J234))),IF(J$86&lt;&gt;"","Data Source Error",""))))</f>
        <v/>
      </c>
      <c r="L234" s="187"/>
      <c r="M234" s="580"/>
      <c r="N234" s="900" t="str">
        <f ca="1">IF(OR($H$7&lt;3,N$197&lt;2),"",IF(M234&lt;&gt;"",M234,IFERROR(IF(INDIRECT("'"&amp;M$86&amp;"'!"&amp;VLOOKUP(M$87,'List Values'!$C$3:$D$6,2,FALSE)&amp;ROW(M234))="","",INDIRECT("'"&amp;M$86&amp;"'!"&amp;VLOOKUP(M$87,'List Values'!$C$3:$D$6,2,FALSE)&amp;ROW(M234))),IF(M$86&lt;&gt;"","Data Source Error",""))))</f>
        <v/>
      </c>
      <c r="O234" s="187"/>
      <c r="P234" s="580"/>
      <c r="Q234" s="900" t="str">
        <f ca="1">IF(OR($H$7&lt;4,Q$197&lt;2),"",IF(P234&lt;&gt;"",P234,IFERROR(IF(INDIRECT("'"&amp;P$86&amp;"'!"&amp;VLOOKUP(P$87,'List Values'!$C$3:$D$6,2,FALSE)&amp;ROW(P234))="","",INDIRECT("'"&amp;P$86&amp;"'!"&amp;VLOOKUP(P$87,'List Values'!$C$3:$D$6,2,FALSE)&amp;ROW(P234))),IF(P$86&lt;&gt;"","Data Source Error",""))))</f>
        <v/>
      </c>
      <c r="S234" s="580"/>
      <c r="T234" s="900" t="str">
        <f ca="1">IF(OR($H$7&lt;5,T$197&lt;2),"",IF(S234&lt;&gt;"",S234,IFERROR(IF(INDIRECT("'"&amp;S$86&amp;"'!"&amp;VLOOKUP(S$87,'List Values'!$C$3:$D$6,2,FALSE)&amp;ROW(S234))="","",INDIRECT("'"&amp;S$86&amp;"'!"&amp;VLOOKUP(S$87,'List Values'!$C$3:$D$6,2,FALSE)&amp;ROW(S234))),IF(S$86&lt;&gt;"","Data Source Error",""))))</f>
        <v/>
      </c>
      <c r="V234" s="580"/>
      <c r="W234" s="911" t="str">
        <f ca="1">IF(OR($H$7&lt;6,W$197&lt;2),"",IF(V234&lt;&gt;"",V234,IFERROR(IF(INDIRECT("'"&amp;V$86&amp;"'!"&amp;VLOOKUP(V$87,'List Values'!$C$3:$D$6,2,FALSE)&amp;ROW(V234))="","",INDIRECT("'"&amp;V$86&amp;"'!"&amp;VLOOKUP(V$87,'List Values'!$C$3:$D$6,2,FALSE)&amp;ROW(V234))),IF(V$86&lt;&gt;"","Data Source Error",""))))</f>
        <v/>
      </c>
      <c r="Y234" s="2643"/>
      <c r="Z234" s="2644"/>
      <c r="AA234" s="2644"/>
      <c r="AB234" s="2645"/>
    </row>
    <row r="235" spans="1:28" ht="45" customHeight="1" outlineLevel="1">
      <c r="A235" s="513"/>
      <c r="B235" s="252"/>
      <c r="C235" s="2680" t="s">
        <v>2528</v>
      </c>
      <c r="D235" s="2680"/>
      <c r="E235" s="202"/>
      <c r="F235" s="202"/>
      <c r="G235" s="634"/>
      <c r="H235" s="635"/>
      <c r="I235" s="187"/>
      <c r="J235" s="580"/>
      <c r="K235" s="900" t="str">
        <f ca="1">IF(OR($H$7&lt;2,K$197&lt;2),"",IF(J235&lt;&gt;"",J235,IFERROR(IF(INDIRECT("'"&amp;J$86&amp;"'!"&amp;VLOOKUP(J$87,'List Values'!$C$3:$D$6,2,FALSE)&amp;ROW(J235))="","",INDIRECT("'"&amp;J$86&amp;"'!"&amp;VLOOKUP(J$87,'List Values'!$C$3:$D$6,2,FALSE)&amp;ROW(J235))),IF(J$86&lt;&gt;"","Data Source Error",""))))</f>
        <v/>
      </c>
      <c r="L235" s="187"/>
      <c r="M235" s="580"/>
      <c r="N235" s="900" t="str">
        <f ca="1">IF(OR($H$7&lt;3,N$197&lt;2),"",IF(M235&lt;&gt;"",M235,IFERROR(IF(INDIRECT("'"&amp;M$86&amp;"'!"&amp;VLOOKUP(M$87,'List Values'!$C$3:$D$6,2,FALSE)&amp;ROW(M235))="","",INDIRECT("'"&amp;M$86&amp;"'!"&amp;VLOOKUP(M$87,'List Values'!$C$3:$D$6,2,FALSE)&amp;ROW(M235))),IF(M$86&lt;&gt;"","Data Source Error",""))))</f>
        <v/>
      </c>
      <c r="O235" s="187"/>
      <c r="P235" s="580"/>
      <c r="Q235" s="900" t="str">
        <f ca="1">IF(OR($H$7&lt;4,Q$197&lt;2),"",IF(P235&lt;&gt;"",P235,IFERROR(IF(INDIRECT("'"&amp;P$86&amp;"'!"&amp;VLOOKUP(P$87,'List Values'!$C$3:$D$6,2,FALSE)&amp;ROW(P235))="","",INDIRECT("'"&amp;P$86&amp;"'!"&amp;VLOOKUP(P$87,'List Values'!$C$3:$D$6,2,FALSE)&amp;ROW(P235))),IF(P$86&lt;&gt;"","Data Source Error",""))))</f>
        <v/>
      </c>
      <c r="S235" s="580"/>
      <c r="T235" s="900" t="str">
        <f ca="1">IF(OR($H$7&lt;5,T$197&lt;2),"",IF(S235&lt;&gt;"",S235,IFERROR(IF(INDIRECT("'"&amp;S$86&amp;"'!"&amp;VLOOKUP(S$87,'List Values'!$C$3:$D$6,2,FALSE)&amp;ROW(S235))="","",INDIRECT("'"&amp;S$86&amp;"'!"&amp;VLOOKUP(S$87,'List Values'!$C$3:$D$6,2,FALSE)&amp;ROW(S235))),IF(S$86&lt;&gt;"","Data Source Error",""))))</f>
        <v/>
      </c>
      <c r="V235" s="580"/>
      <c r="W235" s="911" t="str">
        <f ca="1">IF(OR($H$7&lt;6,W$197&lt;2),"",IF(V235&lt;&gt;"",V235,IFERROR(IF(INDIRECT("'"&amp;V$86&amp;"'!"&amp;VLOOKUP(V$87,'List Values'!$C$3:$D$6,2,FALSE)&amp;ROW(V235))="","",INDIRECT("'"&amp;V$86&amp;"'!"&amp;VLOOKUP(V$87,'List Values'!$C$3:$D$6,2,FALSE)&amp;ROW(V235))),IF(V$86&lt;&gt;"","Data Source Error",""))))</f>
        <v/>
      </c>
      <c r="Y235" s="2643"/>
      <c r="Z235" s="2644"/>
      <c r="AA235" s="2644"/>
      <c r="AB235" s="2645"/>
    </row>
    <row r="236" spans="1:28" ht="17.25" customHeight="1" outlineLevel="1">
      <c r="A236" s="513"/>
      <c r="B236" s="252"/>
      <c r="C236" s="2680" t="s">
        <v>650</v>
      </c>
      <c r="D236" s="2680"/>
      <c r="E236" s="202"/>
      <c r="F236" s="202"/>
      <c r="G236" s="634"/>
      <c r="H236" s="635"/>
      <c r="I236" s="187"/>
      <c r="J236" s="580"/>
      <c r="K236" s="900" t="str">
        <f ca="1">IF(OR($H$7&lt;2,K$197&lt;2),"",IF(J236&lt;&gt;"",J236,IFERROR(IF(INDIRECT("'"&amp;J$86&amp;"'!"&amp;VLOOKUP(J$87,'List Values'!$C$3:$D$6,2,FALSE)&amp;ROW(J236))="","",INDIRECT("'"&amp;J$86&amp;"'!"&amp;VLOOKUP(J$87,'List Values'!$C$3:$D$6,2,FALSE)&amp;ROW(J236))),IF(J$86&lt;&gt;"","Data Source Error",""))))</f>
        <v/>
      </c>
      <c r="L236" s="187"/>
      <c r="M236" s="580"/>
      <c r="N236" s="900" t="str">
        <f ca="1">IF(OR($H$7&lt;3,N$197&lt;2),"",IF(M236&lt;&gt;"",M236,IFERROR(IF(INDIRECT("'"&amp;M$86&amp;"'!"&amp;VLOOKUP(M$87,'List Values'!$C$3:$D$6,2,FALSE)&amp;ROW(M236))="","",INDIRECT("'"&amp;M$86&amp;"'!"&amp;VLOOKUP(M$87,'List Values'!$C$3:$D$6,2,FALSE)&amp;ROW(M236))),IF(M$86&lt;&gt;"","Data Source Error",""))))</f>
        <v/>
      </c>
      <c r="O236" s="187"/>
      <c r="P236" s="580"/>
      <c r="Q236" s="900" t="str">
        <f ca="1">IF(OR($H$7&lt;4,Q$197&lt;2),"",IF(P236&lt;&gt;"",P236,IFERROR(IF(INDIRECT("'"&amp;P$86&amp;"'!"&amp;VLOOKUP(P$87,'List Values'!$C$3:$D$6,2,FALSE)&amp;ROW(P236))="","",INDIRECT("'"&amp;P$86&amp;"'!"&amp;VLOOKUP(P$87,'List Values'!$C$3:$D$6,2,FALSE)&amp;ROW(P236))),IF(P$86&lt;&gt;"","Data Source Error",""))))</f>
        <v/>
      </c>
      <c r="S236" s="580"/>
      <c r="T236" s="900" t="str">
        <f ca="1">IF(OR($H$7&lt;5,T$197&lt;2),"",IF(S236&lt;&gt;"",S236,IFERROR(IF(INDIRECT("'"&amp;S$86&amp;"'!"&amp;VLOOKUP(S$87,'List Values'!$C$3:$D$6,2,FALSE)&amp;ROW(S236))="","",INDIRECT("'"&amp;S$86&amp;"'!"&amp;VLOOKUP(S$87,'List Values'!$C$3:$D$6,2,FALSE)&amp;ROW(S236))),IF(S$86&lt;&gt;"","Data Source Error",""))))</f>
        <v/>
      </c>
      <c r="V236" s="580"/>
      <c r="W236" s="911" t="str">
        <f ca="1">IF(OR($H$7&lt;6,W$197&lt;2),"",IF(V236&lt;&gt;"",V236,IFERROR(IF(INDIRECT("'"&amp;V$86&amp;"'!"&amp;VLOOKUP(V$87,'List Values'!$C$3:$D$6,2,FALSE)&amp;ROW(V236))="","",INDIRECT("'"&amp;V$86&amp;"'!"&amp;VLOOKUP(V$87,'List Values'!$C$3:$D$6,2,FALSE)&amp;ROW(V236))),IF(V$86&lt;&gt;"","Data Source Error",""))))</f>
        <v/>
      </c>
      <c r="Y236" s="2643"/>
      <c r="Z236" s="2644"/>
      <c r="AA236" s="2644"/>
      <c r="AB236" s="2645"/>
    </row>
    <row r="237" spans="1:28" ht="31" customHeight="1" outlineLevel="1">
      <c r="A237" s="513"/>
      <c r="B237" s="252"/>
      <c r="C237" s="2680" t="s">
        <v>651</v>
      </c>
      <c r="D237" s="2680"/>
      <c r="E237" s="35"/>
      <c r="F237" s="35"/>
      <c r="G237" s="646"/>
      <c r="H237" s="647"/>
      <c r="I237" s="184"/>
      <c r="J237" s="624"/>
      <c r="K237" s="941" t="str">
        <f ca="1">IF(OR($H$7&lt;2,K$197&lt;2),"",IF(J237&lt;&gt;"",J237,IFERROR(IF(INDIRECT("'"&amp;J$86&amp;"'!"&amp;VLOOKUP(J$87,'List Values'!$C$3:$D$6,2,FALSE)&amp;ROW(J237))="","",INDIRECT("'"&amp;J$86&amp;"'!"&amp;VLOOKUP(J$87,'List Values'!$C$3:$D$6,2,FALSE)&amp;ROW(J237))),IF(J$86&lt;&gt;"","Data Source Error",""))))</f>
        <v/>
      </c>
      <c r="L237" s="184"/>
      <c r="M237" s="624"/>
      <c r="N237" s="941" t="str">
        <f ca="1">IF(OR($H$7&lt;3,N$197&lt;2),"",IF(M237&lt;&gt;"",M237,IFERROR(IF(INDIRECT("'"&amp;M$86&amp;"'!"&amp;VLOOKUP(M$87,'List Values'!$C$3:$D$6,2,FALSE)&amp;ROW(M237))="","",INDIRECT("'"&amp;M$86&amp;"'!"&amp;VLOOKUP(M$87,'List Values'!$C$3:$D$6,2,FALSE)&amp;ROW(M237))),IF(M$86&lt;&gt;"","Data Source Error",""))))</f>
        <v/>
      </c>
      <c r="O237" s="184"/>
      <c r="P237" s="624"/>
      <c r="Q237" s="941" t="str">
        <f ca="1">IF(OR($H$7&lt;4,Q$197&lt;2),"",IF(P237&lt;&gt;"",P237,IFERROR(IF(INDIRECT("'"&amp;P$86&amp;"'!"&amp;VLOOKUP(P$87,'List Values'!$C$3:$D$6,2,FALSE)&amp;ROW(P237))="","",INDIRECT("'"&amp;P$86&amp;"'!"&amp;VLOOKUP(P$87,'List Values'!$C$3:$D$6,2,FALSE)&amp;ROW(P237))),IF(P$86&lt;&gt;"","Data Source Error",""))))</f>
        <v/>
      </c>
      <c r="S237" s="624"/>
      <c r="T237" s="941" t="str">
        <f ca="1">IF(OR($H$7&lt;5,T$197&lt;2),"",IF(S237&lt;&gt;"",S237,IFERROR(IF(INDIRECT("'"&amp;S$86&amp;"'!"&amp;VLOOKUP(S$87,'List Values'!$C$3:$D$6,2,FALSE)&amp;ROW(S237))="","",INDIRECT("'"&amp;S$86&amp;"'!"&amp;VLOOKUP(S$87,'List Values'!$C$3:$D$6,2,FALSE)&amp;ROW(S237))),IF(S$86&lt;&gt;"","Data Source Error",""))))</f>
        <v/>
      </c>
      <c r="V237" s="624"/>
      <c r="W237" s="947" t="str">
        <f ca="1">IF(OR($H$7&lt;6,W$197&lt;2),"",IF(V237&lt;&gt;"",V237,IFERROR(IF(INDIRECT("'"&amp;V$86&amp;"'!"&amp;VLOOKUP(V$87,'List Values'!$C$3:$D$6,2,FALSE)&amp;ROW(V237))="","",INDIRECT("'"&amp;V$86&amp;"'!"&amp;VLOOKUP(V$87,'List Values'!$C$3:$D$6,2,FALSE)&amp;ROW(V237))),IF(V$86&lt;&gt;"","Data Source Error",""))))</f>
        <v/>
      </c>
      <c r="Y237" s="2643"/>
      <c r="Z237" s="2644"/>
      <c r="AA237" s="2644"/>
      <c r="AB237" s="2645"/>
    </row>
    <row r="238" spans="1:28" ht="20.25" customHeight="1">
      <c r="A238" s="807"/>
      <c r="B238" s="612" t="s">
        <v>618</v>
      </c>
      <c r="C238" s="604"/>
      <c r="D238" s="604"/>
      <c r="E238" s="614"/>
      <c r="F238" s="608"/>
      <c r="G238" s="615"/>
      <c r="H238" s="611"/>
      <c r="I238" s="608"/>
      <c r="J238" s="610"/>
      <c r="K238" s="970"/>
      <c r="L238" s="608"/>
      <c r="M238" s="610"/>
      <c r="N238" s="970"/>
      <c r="O238" s="608"/>
      <c r="P238" s="610"/>
      <c r="Q238" s="970"/>
      <c r="R238" s="608"/>
      <c r="S238" s="610"/>
      <c r="T238" s="970"/>
      <c r="U238" s="608"/>
      <c r="V238" s="610"/>
      <c r="W238" s="970"/>
      <c r="Y238" s="631"/>
      <c r="Z238" s="631"/>
      <c r="AA238" s="631"/>
      <c r="AB238" s="631"/>
    </row>
    <row r="239" spans="1:28" ht="15.75" customHeight="1" outlineLevel="1">
      <c r="A239" s="514"/>
      <c r="B239" s="252"/>
      <c r="C239" s="2580" t="s">
        <v>731</v>
      </c>
      <c r="D239" s="2580"/>
      <c r="E239" s="203"/>
      <c r="F239" s="203"/>
      <c r="G239" s="644"/>
      <c r="H239" s="645"/>
      <c r="I239" s="183"/>
      <c r="J239" s="628"/>
      <c r="K239" s="967" t="str">
        <f ca="1">IF(OR($H$7&lt;2,K$197&lt;3),"",IF(J239&lt;&gt;"",J239,IFERROR(IF(INDIRECT("'"&amp;J$86&amp;"'!"&amp;VLOOKUP(J$87,'List Values'!$C$3:$D$6,2,FALSE)&amp;ROW(J239))="","",INDIRECT("'"&amp;J$86&amp;"'!"&amp;VLOOKUP(J$87,'List Values'!$C$3:$D$6,2,FALSE)&amp;ROW(J239))),IF(J$86&lt;&gt;"","Data Source Error",""))))</f>
        <v/>
      </c>
      <c r="L239" s="629"/>
      <c r="M239" s="628"/>
      <c r="N239" s="967" t="str">
        <f ca="1">IF(OR($H$7&lt;3,N$197&lt;3),"",IF(M239&lt;&gt;"",M239,IFERROR(IF(INDIRECT("'"&amp;M$86&amp;"'!"&amp;VLOOKUP(M$87,'List Values'!$C$3:$D$6,2,FALSE)&amp;ROW(M239))="","",INDIRECT("'"&amp;M$86&amp;"'!"&amp;VLOOKUP(M$87,'List Values'!$C$3:$D$6,2,FALSE)&amp;ROW(M239))),IF(M$86&lt;&gt;"","Data Source Error",""))))</f>
        <v/>
      </c>
      <c r="O239" s="629"/>
      <c r="P239" s="628"/>
      <c r="Q239" s="967" t="str">
        <f ca="1">IF(OR($H$7&lt;4,Q$197&lt;3),"",IF(P239&lt;&gt;"",P239,IFERROR(IF(INDIRECT("'"&amp;P$86&amp;"'!"&amp;VLOOKUP(P$87,'List Values'!$C$3:$D$6,2,FALSE)&amp;ROW(P239))="","",INDIRECT("'"&amp;P$86&amp;"'!"&amp;VLOOKUP(P$87,'List Values'!$C$3:$D$6,2,FALSE)&amp;ROW(P239))),IF(P$86&lt;&gt;"","Data Source Error",""))))</f>
        <v/>
      </c>
      <c r="R239" s="147"/>
      <c r="S239" s="628"/>
      <c r="T239" s="967" t="str">
        <f ca="1">IF(OR($H$7&lt;5,T$197&lt;3),"",IF(S239&lt;&gt;"",S239,IFERROR(IF(INDIRECT("'"&amp;S$86&amp;"'!"&amp;VLOOKUP(S$87,'List Values'!$C$3:$D$6,2,FALSE)&amp;ROW(S239))="","",INDIRECT("'"&amp;S$86&amp;"'!"&amp;VLOOKUP(S$87,'List Values'!$C$3:$D$6,2,FALSE)&amp;ROW(S239))),IF(S$86&lt;&gt;"","Data Source Error",""))))</f>
        <v/>
      </c>
      <c r="U239" s="147"/>
      <c r="V239" s="628"/>
      <c r="W239" s="973" t="str">
        <f ca="1">IF(OR($H$7&lt;6,W$197&lt;3),"",IF(V239&lt;&gt;"",V239,IFERROR(IF(INDIRECT("'"&amp;V$86&amp;"'!"&amp;VLOOKUP(V$87,'List Values'!$C$3:$D$6,2,FALSE)&amp;ROW(V239))="","",INDIRECT("'"&amp;V$86&amp;"'!"&amp;VLOOKUP(V$87,'List Values'!$C$3:$D$6,2,FALSE)&amp;ROW(V239))),IF(V$86&lt;&gt;"","Data Source Error",""))))</f>
        <v/>
      </c>
      <c r="Y239" s="2643"/>
      <c r="Z239" s="2644"/>
      <c r="AA239" s="2644"/>
      <c r="AB239" s="2645"/>
    </row>
    <row r="240" spans="1:28" ht="15.75" customHeight="1" outlineLevel="1">
      <c r="A240" s="514"/>
      <c r="B240" s="252"/>
      <c r="C240" s="2680" t="s">
        <v>626</v>
      </c>
      <c r="D240" s="2680"/>
      <c r="E240" s="203"/>
      <c r="F240" s="203"/>
      <c r="G240" s="644"/>
      <c r="H240" s="645"/>
      <c r="I240" s="187"/>
      <c r="J240" s="526"/>
      <c r="K240" s="900" t="str">
        <f ca="1">IF(OR($H$7&lt;2,K$197&lt;3),"",IF(J240&lt;&gt;"",J240,IFERROR(IF(INDIRECT("'"&amp;J$86&amp;"'!"&amp;VLOOKUP(J$87,'List Values'!$C$3:$D$6,2,FALSE)&amp;ROW(J240))="","",INDIRECT("'"&amp;J$86&amp;"'!"&amp;VLOOKUP(J$87,'List Values'!$C$3:$D$6,2,FALSE)&amp;ROW(J240))),IF(J$86&lt;&gt;"","Data Source Error",""))))</f>
        <v/>
      </c>
      <c r="L240" s="187"/>
      <c r="M240" s="526"/>
      <c r="N240" s="900" t="str">
        <f ca="1">IF(OR($H$7&lt;3,N$197&lt;3),"",IF(M240&lt;&gt;"",M240,IFERROR(IF(INDIRECT("'"&amp;M$86&amp;"'!"&amp;VLOOKUP(M$87,'List Values'!$C$3:$D$6,2,FALSE)&amp;ROW(M240))="","",INDIRECT("'"&amp;M$86&amp;"'!"&amp;VLOOKUP(M$87,'List Values'!$C$3:$D$6,2,FALSE)&amp;ROW(M240))),IF(M$86&lt;&gt;"","Data Source Error",""))))</f>
        <v/>
      </c>
      <c r="O240" s="187"/>
      <c r="P240" s="526"/>
      <c r="Q240" s="900" t="str">
        <f ca="1">IF(OR($H$7&lt;4,Q$197&lt;3),"",IF(P240&lt;&gt;"",P240,IFERROR(IF(INDIRECT("'"&amp;P$86&amp;"'!"&amp;VLOOKUP(P$87,'List Values'!$C$3:$D$6,2,FALSE)&amp;ROW(P240))="","",INDIRECT("'"&amp;P$86&amp;"'!"&amp;VLOOKUP(P$87,'List Values'!$C$3:$D$6,2,FALSE)&amp;ROW(P240))),IF(P$86&lt;&gt;"","Data Source Error",""))))</f>
        <v/>
      </c>
      <c r="S240" s="526"/>
      <c r="T240" s="900" t="str">
        <f ca="1">IF(OR($H$7&lt;5,T$197&lt;3),"",IF(S240&lt;&gt;"",S240,IFERROR(IF(INDIRECT("'"&amp;S$86&amp;"'!"&amp;VLOOKUP(S$87,'List Values'!$C$3:$D$6,2,FALSE)&amp;ROW(S240))="","",INDIRECT("'"&amp;S$86&amp;"'!"&amp;VLOOKUP(S$87,'List Values'!$C$3:$D$6,2,FALSE)&amp;ROW(S240))),IF(S$86&lt;&gt;"","Data Source Error",""))))</f>
        <v/>
      </c>
      <c r="V240" s="526"/>
      <c r="W240" s="911" t="str">
        <f ca="1">IF(OR($H$7&lt;6,W$197&lt;3),"",IF(V240&lt;&gt;"",V240,IFERROR(IF(INDIRECT("'"&amp;V$86&amp;"'!"&amp;VLOOKUP(V$87,'List Values'!$C$3:$D$6,2,FALSE)&amp;ROW(V240))="","",INDIRECT("'"&amp;V$86&amp;"'!"&amp;VLOOKUP(V$87,'List Values'!$C$3:$D$6,2,FALSE)&amp;ROW(V240))),IF(V$86&lt;&gt;"","Data Source Error",""))))</f>
        <v/>
      </c>
      <c r="Y240" s="2643"/>
      <c r="Z240" s="2644"/>
      <c r="AA240" s="2644"/>
      <c r="AB240" s="2645"/>
    </row>
    <row r="241" spans="1:28" ht="29.25" customHeight="1" outlineLevel="1">
      <c r="A241" s="514"/>
      <c r="B241" s="252"/>
      <c r="C241" s="2680" t="s">
        <v>2520</v>
      </c>
      <c r="D241" s="2680"/>
      <c r="E241" s="203"/>
      <c r="F241" s="203"/>
      <c r="G241" s="644"/>
      <c r="H241" s="645"/>
      <c r="I241" s="187"/>
      <c r="J241" s="561"/>
      <c r="K241" s="900" t="str">
        <f ca="1">IF(OR($H$7&lt;2,K$197&lt;3),"",IF(J241&lt;&gt;"",J241,IFERROR(IF(INDIRECT("'"&amp;J$86&amp;"'!"&amp;VLOOKUP(J$87,'List Values'!$C$3:$D$6,2,FALSE)&amp;ROW(J241))="","",INDIRECT("'"&amp;J$86&amp;"'!"&amp;VLOOKUP(J$87,'List Values'!$C$3:$D$6,2,FALSE)&amp;ROW(J241))),IF(J$86&lt;&gt;"","Data Source Error",""))))</f>
        <v/>
      </c>
      <c r="L241" s="187"/>
      <c r="M241" s="561"/>
      <c r="N241" s="900" t="str">
        <f ca="1">IF(OR($H$7&lt;3,N$197&lt;3),"",IF(M241&lt;&gt;"",M241,IFERROR(IF(INDIRECT("'"&amp;M$86&amp;"'!"&amp;VLOOKUP(M$87,'List Values'!$C$3:$D$6,2,FALSE)&amp;ROW(M241))="","",INDIRECT("'"&amp;M$86&amp;"'!"&amp;VLOOKUP(M$87,'List Values'!$C$3:$D$6,2,FALSE)&amp;ROW(M241))),IF(M$86&lt;&gt;"","Data Source Error",""))))</f>
        <v/>
      </c>
      <c r="O241" s="187"/>
      <c r="P241" s="561"/>
      <c r="Q241" s="900" t="str">
        <f ca="1">IF(OR($H$7&lt;4,Q$197&lt;3),"",IF(P241&lt;&gt;"",P241,IFERROR(IF(INDIRECT("'"&amp;P$86&amp;"'!"&amp;VLOOKUP(P$87,'List Values'!$C$3:$D$6,2,FALSE)&amp;ROW(P241))="","",INDIRECT("'"&amp;P$86&amp;"'!"&amp;VLOOKUP(P$87,'List Values'!$C$3:$D$6,2,FALSE)&amp;ROW(P241))),IF(P$86&lt;&gt;"","Data Source Error",""))))</f>
        <v/>
      </c>
      <c r="S241" s="561"/>
      <c r="T241" s="900" t="str">
        <f ca="1">IF(OR($H$7&lt;5,T$197&lt;3),"",IF(S241&lt;&gt;"",S241,IFERROR(IF(INDIRECT("'"&amp;S$86&amp;"'!"&amp;VLOOKUP(S$87,'List Values'!$C$3:$D$6,2,FALSE)&amp;ROW(S241))="","",INDIRECT("'"&amp;S$86&amp;"'!"&amp;VLOOKUP(S$87,'List Values'!$C$3:$D$6,2,FALSE)&amp;ROW(S241))),IF(S$86&lt;&gt;"","Data Source Error",""))))</f>
        <v/>
      </c>
      <c r="V241" s="561"/>
      <c r="W241" s="911" t="str">
        <f ca="1">IF(OR($H$7&lt;6,W$197&lt;3),"",IF(V241&lt;&gt;"",V241,IFERROR(IF(INDIRECT("'"&amp;V$86&amp;"'!"&amp;VLOOKUP(V$87,'List Values'!$C$3:$D$6,2,FALSE)&amp;ROW(V241))="","",INDIRECT("'"&amp;V$86&amp;"'!"&amp;VLOOKUP(V$87,'List Values'!$C$3:$D$6,2,FALSE)&amp;ROW(V241))),IF(V$86&lt;&gt;"","Data Source Error",""))))</f>
        <v/>
      </c>
      <c r="Y241" s="2643"/>
      <c r="Z241" s="2644"/>
      <c r="AA241" s="2644"/>
      <c r="AB241" s="2645"/>
    </row>
    <row r="242" spans="1:28" ht="31" customHeight="1" outlineLevel="1">
      <c r="A242" s="514"/>
      <c r="B242" s="252"/>
      <c r="C242" s="2684" t="s">
        <v>726</v>
      </c>
      <c r="D242" s="2684"/>
      <c r="E242" s="203"/>
      <c r="F242" s="203"/>
      <c r="G242" s="644"/>
      <c r="H242" s="645"/>
      <c r="I242" s="187"/>
      <c r="J242" s="526"/>
      <c r="K242" s="900" t="str">
        <f ca="1">IF(OR($H$7&lt;2,K$197&lt;3),"",IF(J242&lt;&gt;"",J242,IFERROR(IF(INDIRECT("'"&amp;J$86&amp;"'!"&amp;VLOOKUP(J$87,'List Values'!$C$3:$D$6,2,FALSE)&amp;ROW(J242))="","",INDIRECT("'"&amp;J$86&amp;"'!"&amp;VLOOKUP(J$87,'List Values'!$C$3:$D$6,2,FALSE)&amp;ROW(J242))),IF(J$86&lt;&gt;"","Data Source Error",""))))</f>
        <v/>
      </c>
      <c r="L242" s="187"/>
      <c r="M242" s="526"/>
      <c r="N242" s="900" t="str">
        <f ca="1">IF(OR($H$7&lt;3,N$197&lt;3),"",IF(M242&lt;&gt;"",M242,IFERROR(IF(INDIRECT("'"&amp;M$86&amp;"'!"&amp;VLOOKUP(M$87,'List Values'!$C$3:$D$6,2,FALSE)&amp;ROW(M242))="","",INDIRECT("'"&amp;M$86&amp;"'!"&amp;VLOOKUP(M$87,'List Values'!$C$3:$D$6,2,FALSE)&amp;ROW(M242))),IF(M$86&lt;&gt;"","Data Source Error",""))))</f>
        <v/>
      </c>
      <c r="O242" s="187"/>
      <c r="P242" s="526"/>
      <c r="Q242" s="900" t="str">
        <f ca="1">IF(OR($H$7&lt;4,Q$197&lt;3),"",IF(P242&lt;&gt;"",P242,IFERROR(IF(INDIRECT("'"&amp;P$86&amp;"'!"&amp;VLOOKUP(P$87,'List Values'!$C$3:$D$6,2,FALSE)&amp;ROW(P242))="","",INDIRECT("'"&amp;P$86&amp;"'!"&amp;VLOOKUP(P$87,'List Values'!$C$3:$D$6,2,FALSE)&amp;ROW(P242))),IF(P$86&lt;&gt;"","Data Source Error",""))))</f>
        <v/>
      </c>
      <c r="S242" s="526"/>
      <c r="T242" s="900" t="str">
        <f ca="1">IF(OR($H$7&lt;5,T$197&lt;3),"",IF(S242&lt;&gt;"",S242,IFERROR(IF(INDIRECT("'"&amp;S$86&amp;"'!"&amp;VLOOKUP(S$87,'List Values'!$C$3:$D$6,2,FALSE)&amp;ROW(S242))="","",INDIRECT("'"&amp;S$86&amp;"'!"&amp;VLOOKUP(S$87,'List Values'!$C$3:$D$6,2,FALSE)&amp;ROW(S242))),IF(S$86&lt;&gt;"","Data Source Error",""))))</f>
        <v/>
      </c>
      <c r="V242" s="526"/>
      <c r="W242" s="911" t="str">
        <f ca="1">IF(OR($H$7&lt;6,W$197&lt;3),"",IF(V242&lt;&gt;"",V242,IFERROR(IF(INDIRECT("'"&amp;V$86&amp;"'!"&amp;VLOOKUP(V$87,'List Values'!$C$3:$D$6,2,FALSE)&amp;ROW(V242))="","",INDIRECT("'"&amp;V$86&amp;"'!"&amp;VLOOKUP(V$87,'List Values'!$C$3:$D$6,2,FALSE)&amp;ROW(V242))),IF(V$86&lt;&gt;"","Data Source Error",""))))</f>
        <v/>
      </c>
      <c r="Y242" s="2643"/>
      <c r="Z242" s="2644"/>
      <c r="AA242" s="2644"/>
      <c r="AB242" s="2645"/>
    </row>
    <row r="243" spans="1:28" ht="33.75" customHeight="1" outlineLevel="1">
      <c r="A243" s="514"/>
      <c r="B243" s="252"/>
      <c r="C243" s="2684" t="s">
        <v>727</v>
      </c>
      <c r="D243" s="2684"/>
      <c r="E243" s="202"/>
      <c r="F243" s="202"/>
      <c r="G243" s="634"/>
      <c r="H243" s="635"/>
      <c r="I243" s="187"/>
      <c r="J243" s="568"/>
      <c r="K243" s="945" t="str">
        <f ca="1">IF(OR($H$7&lt;2,K$197&lt;3),"",IF(J243&lt;&gt;"",J243,IFERROR(IF(INDIRECT("'"&amp;J$86&amp;"'!"&amp;VLOOKUP(J$87,'List Values'!$C$3:$D$6,2,FALSE)&amp;ROW(J243))="","",INDIRECT("'"&amp;J$86&amp;"'!"&amp;VLOOKUP(J$87,'List Values'!$C$3:$D$6,2,FALSE)&amp;ROW(J243))*$H$6),IF(J$86&lt;&gt;"","Data Source Error",""))))</f>
        <v/>
      </c>
      <c r="L243" s="339"/>
      <c r="M243" s="568"/>
      <c r="N243" s="945" t="str">
        <f ca="1">IF(OR($H$7&lt;3,N$197&lt;3),"",IF(M243&lt;&gt;"",M243,IFERROR(IF(INDIRECT("'"&amp;M$86&amp;"'!"&amp;VLOOKUP(M$87,'List Values'!$C$3:$D$6,2,FALSE)&amp;ROW(M243))="","",INDIRECT("'"&amp;M$86&amp;"'!"&amp;VLOOKUP(M$87,'List Values'!$C$3:$D$6,2,FALSE)&amp;ROW(M243))*$H$6),IF(M$86&lt;&gt;"","Data Source Error",""))))</f>
        <v/>
      </c>
      <c r="O243" s="339"/>
      <c r="P243" s="568"/>
      <c r="Q243" s="945" t="str">
        <f ca="1">IF(OR($H$7&lt;4,Q$197&lt;3),"",IF(P243&lt;&gt;"",P243,IFERROR(IF(INDIRECT("'"&amp;P$86&amp;"'!"&amp;VLOOKUP(P$87,'List Values'!$C$3:$D$6,2,FALSE)&amp;ROW(P243))="","",INDIRECT("'"&amp;P$86&amp;"'!"&amp;VLOOKUP(P$87,'List Values'!$C$3:$D$6,2,FALSE)&amp;ROW(P243))*$H$6),IF(P$86&lt;&gt;"","Data Source Error",""))))</f>
        <v/>
      </c>
      <c r="R243" s="7"/>
      <c r="S243" s="568"/>
      <c r="T243" s="945" t="str">
        <f ca="1">IF(OR($H$7&lt;5,T$197&lt;3),"",IF(S243&lt;&gt;"",S243,IFERROR(IF(INDIRECT("'"&amp;S$86&amp;"'!"&amp;VLOOKUP(S$87,'List Values'!$C$3:$D$6,2,FALSE)&amp;ROW(S243))="","",INDIRECT("'"&amp;S$86&amp;"'!"&amp;VLOOKUP(S$87,'List Values'!$C$3:$D$6,2,FALSE)&amp;ROW(S243))*$H$6),IF(S$86&lt;&gt;"","Data Source Error",""))))</f>
        <v/>
      </c>
      <c r="U243" s="7"/>
      <c r="V243" s="568"/>
      <c r="W243" s="952" t="str">
        <f ca="1">IF(OR($H$7&lt;6,W$197&lt;3),"",IF(V243&lt;&gt;"",V243,IFERROR(IF(INDIRECT("'"&amp;V$86&amp;"'!"&amp;VLOOKUP(V$87,'List Values'!$C$3:$D$6,2,FALSE)&amp;ROW(V243))="","",INDIRECT("'"&amp;V$86&amp;"'!"&amp;VLOOKUP(V$87,'List Values'!$C$3:$D$6,2,FALSE)&amp;ROW(V243))*$H$6),IF(V$86&lt;&gt;"","Data Source Error",""))))</f>
        <v/>
      </c>
      <c r="Y243" s="2643"/>
      <c r="Z243" s="2644"/>
      <c r="AA243" s="2644"/>
      <c r="AB243" s="2645"/>
    </row>
    <row r="244" spans="1:28" ht="15.75" customHeight="1" outlineLevel="1">
      <c r="A244" s="514"/>
      <c r="B244" s="252"/>
      <c r="C244" s="2680" t="s">
        <v>732</v>
      </c>
      <c r="D244" s="2680"/>
      <c r="E244" s="203"/>
      <c r="F244" s="203"/>
      <c r="G244" s="644"/>
      <c r="H244" s="645"/>
      <c r="I244" s="187"/>
      <c r="J244" s="526"/>
      <c r="K244" s="900" t="str">
        <f ca="1">IF(OR($H$7&lt;2,K$197&lt;3),"",IF(J244&lt;&gt;"",J244,IFERROR(IF(INDIRECT("'"&amp;J$86&amp;"'!"&amp;VLOOKUP(J$87,'List Values'!$C$3:$D$6,2,FALSE)&amp;ROW(J244))="","",INDIRECT("'"&amp;J$86&amp;"'!"&amp;VLOOKUP(J$87,'List Values'!$C$3:$D$6,2,FALSE)&amp;ROW(J244))),IF(J$86&lt;&gt;"","Data Source Error",""))))</f>
        <v/>
      </c>
      <c r="L244" s="187"/>
      <c r="M244" s="526"/>
      <c r="N244" s="900" t="str">
        <f ca="1">IF(OR($H$7&lt;3,N$197&lt;3),"",IF(M244&lt;&gt;"",M244,IFERROR(IF(INDIRECT("'"&amp;M$86&amp;"'!"&amp;VLOOKUP(M$87,'List Values'!$C$3:$D$6,2,FALSE)&amp;ROW(M244))="","",INDIRECT("'"&amp;M$86&amp;"'!"&amp;VLOOKUP(M$87,'List Values'!$C$3:$D$6,2,FALSE)&amp;ROW(M244))),IF(M$86&lt;&gt;"","Data Source Error",""))))</f>
        <v/>
      </c>
      <c r="O244" s="187"/>
      <c r="P244" s="526"/>
      <c r="Q244" s="900" t="str">
        <f ca="1">IF(OR($H$7&lt;4,Q$197&lt;3),"",IF(P244&lt;&gt;"",P244,IFERROR(IF(INDIRECT("'"&amp;P$86&amp;"'!"&amp;VLOOKUP(P$87,'List Values'!$C$3:$D$6,2,FALSE)&amp;ROW(P244))="","",INDIRECT("'"&amp;P$86&amp;"'!"&amp;VLOOKUP(P$87,'List Values'!$C$3:$D$6,2,FALSE)&amp;ROW(P244))),IF(P$86&lt;&gt;"","Data Source Error",""))))</f>
        <v/>
      </c>
      <c r="S244" s="526"/>
      <c r="T244" s="900" t="str">
        <f ca="1">IF(OR($H$7&lt;5,T$197&lt;3),"",IF(S244&lt;&gt;"",S244,IFERROR(IF(INDIRECT("'"&amp;S$86&amp;"'!"&amp;VLOOKUP(S$87,'List Values'!$C$3:$D$6,2,FALSE)&amp;ROW(S244))="","",INDIRECT("'"&amp;S$86&amp;"'!"&amp;VLOOKUP(S$87,'List Values'!$C$3:$D$6,2,FALSE)&amp;ROW(S244))),IF(S$86&lt;&gt;"","Data Source Error",""))))</f>
        <v/>
      </c>
      <c r="V244" s="526"/>
      <c r="W244" s="911" t="str">
        <f ca="1">IF(OR($H$7&lt;6,W$197&lt;3),"",IF(V244&lt;&gt;"",V244,IFERROR(IF(INDIRECT("'"&amp;V$86&amp;"'!"&amp;VLOOKUP(V$87,'List Values'!$C$3:$D$6,2,FALSE)&amp;ROW(V244))="","",INDIRECT("'"&amp;V$86&amp;"'!"&amp;VLOOKUP(V$87,'List Values'!$C$3:$D$6,2,FALSE)&amp;ROW(V244))),IF(V$86&lt;&gt;"","Data Source Error",""))))</f>
        <v/>
      </c>
      <c r="Y244" s="2643"/>
      <c r="Z244" s="2644"/>
      <c r="AA244" s="2644"/>
      <c r="AB244" s="2645"/>
    </row>
    <row r="245" spans="1:28" ht="31" customHeight="1" outlineLevel="1">
      <c r="A245" s="514"/>
      <c r="B245" s="252"/>
      <c r="C245" s="2684" t="s">
        <v>730</v>
      </c>
      <c r="D245" s="2684"/>
      <c r="E245" s="203"/>
      <c r="F245" s="203"/>
      <c r="G245" s="644"/>
      <c r="H245" s="645"/>
      <c r="I245" s="183"/>
      <c r="J245" s="553"/>
      <c r="K245" s="897" t="str">
        <f ca="1">IF(OR($H$7&lt;2,K$197&lt;3),"",IF(J245&lt;&gt;"",J245,IFERROR(IF(INDIRECT("'"&amp;J$86&amp;"'!"&amp;VLOOKUP(J$87,'List Values'!$C$3:$D$6,2,FALSE)&amp;ROW(J245))="","",INDIRECT("'"&amp;J$86&amp;"'!"&amp;VLOOKUP(J$87,'List Values'!$C$3:$D$6,2,FALSE)&amp;ROW(J245))),IF(J$86&lt;&gt;"","Data Source Error",""))))</f>
        <v/>
      </c>
      <c r="L245" s="183"/>
      <c r="M245" s="553"/>
      <c r="N245" s="897" t="str">
        <f ca="1">IF(OR($H$7&lt;3,N$197&lt;3),"",IF(M245&lt;&gt;"",M245,IFERROR(IF(INDIRECT("'"&amp;M$86&amp;"'!"&amp;VLOOKUP(M$87,'List Values'!$C$3:$D$6,2,FALSE)&amp;ROW(M245))="","",INDIRECT("'"&amp;M$86&amp;"'!"&amp;VLOOKUP(M$87,'List Values'!$C$3:$D$6,2,FALSE)&amp;ROW(M245))),IF(M$86&lt;&gt;"","Data Source Error",""))))</f>
        <v/>
      </c>
      <c r="O245" s="183"/>
      <c r="P245" s="553"/>
      <c r="Q245" s="897" t="str">
        <f ca="1">IF(OR($H$7&lt;4,Q$197&lt;3),"",IF(P245&lt;&gt;"",P245,IFERROR(IF(INDIRECT("'"&amp;P$86&amp;"'!"&amp;VLOOKUP(P$87,'List Values'!$C$3:$D$6,2,FALSE)&amp;ROW(P245))="","",INDIRECT("'"&amp;P$86&amp;"'!"&amp;VLOOKUP(P$87,'List Values'!$C$3:$D$6,2,FALSE)&amp;ROW(P245))),IF(P$86&lt;&gt;"","Data Source Error",""))))</f>
        <v/>
      </c>
      <c r="S245" s="553"/>
      <c r="T245" s="897" t="str">
        <f ca="1">IF(OR($H$7&lt;5,T$197&lt;3),"",IF(S245&lt;&gt;"",S245,IFERROR(IF(INDIRECT("'"&amp;S$86&amp;"'!"&amp;VLOOKUP(S$87,'List Values'!$C$3:$D$6,2,FALSE)&amp;ROW(S245))="","",INDIRECT("'"&amp;S$86&amp;"'!"&amp;VLOOKUP(S$87,'List Values'!$C$3:$D$6,2,FALSE)&amp;ROW(S245))),IF(S$86&lt;&gt;"","Data Source Error",""))))</f>
        <v/>
      </c>
      <c r="V245" s="553"/>
      <c r="W245" s="908" t="str">
        <f ca="1">IF(OR($H$7&lt;6,W$197&lt;3),"",IF(V245&lt;&gt;"",V245,IFERROR(IF(INDIRECT("'"&amp;V$86&amp;"'!"&amp;VLOOKUP(V$87,'List Values'!$C$3:$D$6,2,FALSE)&amp;ROW(V245))="","",INDIRECT("'"&amp;V$86&amp;"'!"&amp;VLOOKUP(V$87,'List Values'!$C$3:$D$6,2,FALSE)&amp;ROW(V245))),IF(V$86&lt;&gt;"","Data Source Error",""))))</f>
        <v/>
      </c>
      <c r="Y245" s="2643"/>
      <c r="Z245" s="2644"/>
      <c r="AA245" s="2644"/>
      <c r="AB245" s="2645"/>
    </row>
    <row r="246" spans="1:28" ht="31" customHeight="1" outlineLevel="1">
      <c r="A246" s="514"/>
      <c r="B246" s="252"/>
      <c r="C246" s="2680" t="s">
        <v>2521</v>
      </c>
      <c r="D246" s="2680"/>
      <c r="E246" s="203"/>
      <c r="F246" s="203"/>
      <c r="G246" s="644"/>
      <c r="H246" s="645"/>
      <c r="I246" s="187"/>
      <c r="J246" s="619"/>
      <c r="K246" s="898" t="str">
        <f ca="1">IF(OR($H$7&lt;2,K$197&lt;3),"",IF(J246&lt;&gt;"",J246,IFERROR(IF(INDIRECT("'"&amp;J$86&amp;"'!"&amp;VLOOKUP(J$87,'List Values'!$C$3:$D$6,2,FALSE)&amp;ROW(J246))="","",INDIRECT("'"&amp;J$86&amp;"'!"&amp;VLOOKUP(J$87,'List Values'!$C$3:$D$6,2,FALSE)&amp;ROW(J246))),IF(J$86&lt;&gt;"","Data Source Error",""))))</f>
        <v/>
      </c>
      <c r="L246" s="621"/>
      <c r="M246" s="619"/>
      <c r="N246" s="898" t="str">
        <f ca="1">IF(OR($H$7&lt;3,N$197&lt;3),"",IF(M246&lt;&gt;"",M246,IFERROR(IF(INDIRECT("'"&amp;M$86&amp;"'!"&amp;VLOOKUP(M$87,'List Values'!$C$3:$D$6,2,FALSE)&amp;ROW(M246))="","",INDIRECT("'"&amp;M$86&amp;"'!"&amp;VLOOKUP(M$87,'List Values'!$C$3:$D$6,2,FALSE)&amp;ROW(M246))),IF(M$86&lt;&gt;"","Data Source Error",""))))</f>
        <v/>
      </c>
      <c r="O246" s="621"/>
      <c r="P246" s="619"/>
      <c r="Q246" s="898" t="str">
        <f ca="1">IF(OR($H$7&lt;4,Q$197&lt;3),"",IF(P246&lt;&gt;"",P246,IFERROR(IF(INDIRECT("'"&amp;P$86&amp;"'!"&amp;VLOOKUP(P$87,'List Values'!$C$3:$D$6,2,FALSE)&amp;ROW(P246))="","",INDIRECT("'"&amp;P$86&amp;"'!"&amp;VLOOKUP(P$87,'List Values'!$C$3:$D$6,2,FALSE)&amp;ROW(P246))),IF(P$86&lt;&gt;"","Data Source Error",""))))</f>
        <v/>
      </c>
      <c r="R246" s="147"/>
      <c r="S246" s="619"/>
      <c r="T246" s="898" t="str">
        <f ca="1">IF(OR($H$7&lt;5,T$197&lt;3),"",IF(S246&lt;&gt;"",S246,IFERROR(IF(INDIRECT("'"&amp;S$86&amp;"'!"&amp;VLOOKUP(S$87,'List Values'!$C$3:$D$6,2,FALSE)&amp;ROW(S246))="","",INDIRECT("'"&amp;S$86&amp;"'!"&amp;VLOOKUP(S$87,'List Values'!$C$3:$D$6,2,FALSE)&amp;ROW(S246))),IF(S$86&lt;&gt;"","Data Source Error",""))))</f>
        <v/>
      </c>
      <c r="U246" s="147"/>
      <c r="V246" s="619"/>
      <c r="W246" s="909" t="str">
        <f ca="1">IF(OR($H$7&lt;6,W$197&lt;3),"",IF(V246&lt;&gt;"",V246,IFERROR(IF(INDIRECT("'"&amp;V$86&amp;"'!"&amp;VLOOKUP(V$87,'List Values'!$C$3:$D$6,2,FALSE)&amp;ROW(V246))="","",INDIRECT("'"&amp;V$86&amp;"'!"&amp;VLOOKUP(V$87,'List Values'!$C$3:$D$6,2,FALSE)&amp;ROW(V246))),IF(V$86&lt;&gt;"","Data Source Error",""))))</f>
        <v/>
      </c>
      <c r="Y246" s="2643"/>
      <c r="Z246" s="2644"/>
      <c r="AA246" s="2644"/>
      <c r="AB246" s="2645"/>
    </row>
    <row r="247" spans="1:28" ht="31" customHeight="1" outlineLevel="1">
      <c r="A247" s="514"/>
      <c r="B247" s="252"/>
      <c r="C247" s="2680" t="s">
        <v>2522</v>
      </c>
      <c r="D247" s="2680"/>
      <c r="E247" s="203"/>
      <c r="F247" s="203"/>
      <c r="G247" s="644"/>
      <c r="H247" s="645"/>
      <c r="I247" s="187"/>
      <c r="J247" s="619"/>
      <c r="K247" s="898" t="str">
        <f ca="1">IF(OR($H$7&lt;2,K$197&lt;3),"",IF(J247&lt;&gt;"",J247,IFERROR(IF(INDIRECT("'"&amp;J$86&amp;"'!"&amp;VLOOKUP(J$87,'List Values'!$C$3:$D$6,2,FALSE)&amp;ROW(J247))="","",INDIRECT("'"&amp;J$86&amp;"'!"&amp;VLOOKUP(J$87,'List Values'!$C$3:$D$6,2,FALSE)&amp;ROW(J247))),IF(J$86&lt;&gt;"","Data Source Error",""))))</f>
        <v/>
      </c>
      <c r="L247" s="621"/>
      <c r="M247" s="619"/>
      <c r="N247" s="898" t="str">
        <f ca="1">IF(OR($H$7&lt;3,N$197&lt;3),"",IF(M247&lt;&gt;"",M247,IFERROR(IF(INDIRECT("'"&amp;M$86&amp;"'!"&amp;VLOOKUP(M$87,'List Values'!$C$3:$D$6,2,FALSE)&amp;ROW(M247))="","",INDIRECT("'"&amp;M$86&amp;"'!"&amp;VLOOKUP(M$87,'List Values'!$C$3:$D$6,2,FALSE)&amp;ROW(M247))),IF(M$86&lt;&gt;"","Data Source Error",""))))</f>
        <v/>
      </c>
      <c r="O247" s="621"/>
      <c r="P247" s="619"/>
      <c r="Q247" s="898" t="str">
        <f ca="1">IF(OR($H$7&lt;4,Q$197&lt;3),"",IF(P247&lt;&gt;"",P247,IFERROR(IF(INDIRECT("'"&amp;P$86&amp;"'!"&amp;VLOOKUP(P$87,'List Values'!$C$3:$D$6,2,FALSE)&amp;ROW(P247))="","",INDIRECT("'"&amp;P$86&amp;"'!"&amp;VLOOKUP(P$87,'List Values'!$C$3:$D$6,2,FALSE)&amp;ROW(P247))),IF(P$86&lt;&gt;"","Data Source Error",""))))</f>
        <v/>
      </c>
      <c r="R247" s="147"/>
      <c r="S247" s="619"/>
      <c r="T247" s="898" t="str">
        <f ca="1">IF(OR($H$7&lt;5,T$197&lt;3),"",IF(S247&lt;&gt;"",S247,IFERROR(IF(INDIRECT("'"&amp;S$86&amp;"'!"&amp;VLOOKUP(S$87,'List Values'!$C$3:$D$6,2,FALSE)&amp;ROW(S247))="","",INDIRECT("'"&amp;S$86&amp;"'!"&amp;VLOOKUP(S$87,'List Values'!$C$3:$D$6,2,FALSE)&amp;ROW(S247))),IF(S$86&lt;&gt;"","Data Source Error",""))))</f>
        <v/>
      </c>
      <c r="U247" s="147"/>
      <c r="V247" s="619"/>
      <c r="W247" s="909" t="str">
        <f ca="1">IF(OR($H$7&lt;6,W$197&lt;3),"",IF(V247&lt;&gt;"",V247,IFERROR(IF(INDIRECT("'"&amp;V$86&amp;"'!"&amp;VLOOKUP(V$87,'List Values'!$C$3:$D$6,2,FALSE)&amp;ROW(V247))="","",INDIRECT("'"&amp;V$86&amp;"'!"&amp;VLOOKUP(V$87,'List Values'!$C$3:$D$6,2,FALSE)&amp;ROW(V247))),IF(V$86&lt;&gt;"","Data Source Error",""))))</f>
        <v/>
      </c>
      <c r="Y247" s="2643"/>
      <c r="Z247" s="2644"/>
      <c r="AA247" s="2644"/>
      <c r="AB247" s="2645"/>
    </row>
    <row r="248" spans="1:28" ht="33.75" customHeight="1" outlineLevel="1">
      <c r="A248" s="514"/>
      <c r="B248" s="252"/>
      <c r="C248" s="2680" t="s">
        <v>253</v>
      </c>
      <c r="D248" s="2680"/>
      <c r="E248" s="202"/>
      <c r="F248" s="202"/>
      <c r="G248" s="634"/>
      <c r="H248" s="635"/>
      <c r="I248" s="187"/>
      <c r="J248" s="526"/>
      <c r="K248" s="900" t="str">
        <f ca="1">IF(OR($H$7&lt;2,K$197&lt;3),"",IF(J248&lt;&gt;"",J248,IFERROR(IF(INDIRECT("'"&amp;J$86&amp;"'!"&amp;VLOOKUP(J$87,'List Values'!$C$3:$D$6,2,FALSE)&amp;ROW(J248))="","",INDIRECT("'"&amp;J$86&amp;"'!"&amp;VLOOKUP(J$87,'List Values'!$C$3:$D$6,2,FALSE)&amp;ROW(J248))),IF(J$86&lt;&gt;"","Data Source Error",""))))</f>
        <v/>
      </c>
      <c r="L248" s="187"/>
      <c r="M248" s="526"/>
      <c r="N248" s="900" t="str">
        <f ca="1">IF(OR($H$7&lt;3,N$197&lt;3),"",IF(M248&lt;&gt;"",M248,IFERROR(IF(INDIRECT("'"&amp;M$86&amp;"'!"&amp;VLOOKUP(M$87,'List Values'!$C$3:$D$6,2,FALSE)&amp;ROW(M248))="","",INDIRECT("'"&amp;M$86&amp;"'!"&amp;VLOOKUP(M$87,'List Values'!$C$3:$D$6,2,FALSE)&amp;ROW(M248))),IF(M$86&lt;&gt;"","Data Source Error",""))))</f>
        <v/>
      </c>
      <c r="O248" s="187"/>
      <c r="P248" s="526"/>
      <c r="Q248" s="900" t="str">
        <f ca="1">IF(OR($H$7&lt;4,Q$197&lt;3),"",IF(P248&lt;&gt;"",P248,IFERROR(IF(INDIRECT("'"&amp;P$86&amp;"'!"&amp;VLOOKUP(P$87,'List Values'!$C$3:$D$6,2,FALSE)&amp;ROW(P248))="","",INDIRECT("'"&amp;P$86&amp;"'!"&amp;VLOOKUP(P$87,'List Values'!$C$3:$D$6,2,FALSE)&amp;ROW(P248))),IF(P$86&lt;&gt;"","Data Source Error",""))))</f>
        <v/>
      </c>
      <c r="S248" s="526"/>
      <c r="T248" s="900" t="str">
        <f ca="1">IF(OR($H$7&lt;5,T$197&lt;3),"",IF(S248&lt;&gt;"",S248,IFERROR(IF(INDIRECT("'"&amp;S$86&amp;"'!"&amp;VLOOKUP(S$87,'List Values'!$C$3:$D$6,2,FALSE)&amp;ROW(S248))="","",INDIRECT("'"&amp;S$86&amp;"'!"&amp;VLOOKUP(S$87,'List Values'!$C$3:$D$6,2,FALSE)&amp;ROW(S248))),IF(S$86&lt;&gt;"","Data Source Error",""))))</f>
        <v/>
      </c>
      <c r="V248" s="526"/>
      <c r="W248" s="911" t="str">
        <f ca="1">IF(OR($H$7&lt;6,W$197&lt;3),"",IF(V248&lt;&gt;"",V248,IFERROR(IF(INDIRECT("'"&amp;V$86&amp;"'!"&amp;VLOOKUP(V$87,'List Values'!$C$3:$D$6,2,FALSE)&amp;ROW(V248))="","",INDIRECT("'"&amp;V$86&amp;"'!"&amp;VLOOKUP(V$87,'List Values'!$C$3:$D$6,2,FALSE)&amp;ROW(V248))),IF(V$86&lt;&gt;"","Data Source Error",""))))</f>
        <v/>
      </c>
      <c r="Y248" s="2643"/>
      <c r="Z248" s="2644"/>
      <c r="AA248" s="2644"/>
      <c r="AB248" s="2645"/>
    </row>
    <row r="249" spans="1:28" ht="15.75" customHeight="1" outlineLevel="1">
      <c r="A249" s="514"/>
      <c r="B249" s="252"/>
      <c r="C249" s="2684" t="s">
        <v>2529</v>
      </c>
      <c r="D249" s="2684"/>
      <c r="E249" s="203"/>
      <c r="F249" s="203"/>
      <c r="G249" s="644"/>
      <c r="H249" s="645"/>
      <c r="I249" s="187"/>
      <c r="J249" s="580"/>
      <c r="K249" s="900" t="str">
        <f ca="1">IF(OR($H$7&lt;2,K$197&lt;3),"",IF(J249&lt;&gt;"",J249,IFERROR(IF(INDIRECT("'"&amp;J$86&amp;"'!"&amp;VLOOKUP(J$87,'List Values'!$C$3:$D$6,2,FALSE)&amp;ROW(J249))="","",INDIRECT("'"&amp;J$86&amp;"'!"&amp;VLOOKUP(J$87,'List Values'!$C$3:$D$6,2,FALSE)&amp;ROW(J249))),IF(J$86&lt;&gt;"","Data Source Error",""))))</f>
        <v/>
      </c>
      <c r="L249" s="187"/>
      <c r="M249" s="580"/>
      <c r="N249" s="900" t="str">
        <f ca="1">IF(OR($H$7&lt;3,N$197&lt;3),"",IF(M249&lt;&gt;"",M249,IFERROR(IF(INDIRECT("'"&amp;M$86&amp;"'!"&amp;VLOOKUP(M$87,'List Values'!$C$3:$D$6,2,FALSE)&amp;ROW(M249))="","",INDIRECT("'"&amp;M$86&amp;"'!"&amp;VLOOKUP(M$87,'List Values'!$C$3:$D$6,2,FALSE)&amp;ROW(M249))),IF(M$86&lt;&gt;"","Data Source Error",""))))</f>
        <v/>
      </c>
      <c r="O249" s="187"/>
      <c r="P249" s="580"/>
      <c r="Q249" s="900" t="str">
        <f ca="1">IF(OR($H$7&lt;4,Q$197&lt;3),"",IF(P249&lt;&gt;"",P249,IFERROR(IF(INDIRECT("'"&amp;P$86&amp;"'!"&amp;VLOOKUP(P$87,'List Values'!$C$3:$D$6,2,FALSE)&amp;ROW(P249))="","",INDIRECT("'"&amp;P$86&amp;"'!"&amp;VLOOKUP(P$87,'List Values'!$C$3:$D$6,2,FALSE)&amp;ROW(P249))),IF(P$86&lt;&gt;"","Data Source Error",""))))</f>
        <v/>
      </c>
      <c r="S249" s="580"/>
      <c r="T249" s="900" t="str">
        <f ca="1">IF(OR($H$7&lt;5,T$197&lt;3),"",IF(S249&lt;&gt;"",S249,IFERROR(IF(INDIRECT("'"&amp;S$86&amp;"'!"&amp;VLOOKUP(S$87,'List Values'!$C$3:$D$6,2,FALSE)&amp;ROW(S249))="","",INDIRECT("'"&amp;S$86&amp;"'!"&amp;VLOOKUP(S$87,'List Values'!$C$3:$D$6,2,FALSE)&amp;ROW(S249))),IF(S$86&lt;&gt;"","Data Source Error",""))))</f>
        <v/>
      </c>
      <c r="V249" s="580"/>
      <c r="W249" s="911" t="str">
        <f ca="1">IF(OR($H$7&lt;6,W$197&lt;3),"",IF(V249&lt;&gt;"",V249,IFERROR(IF(INDIRECT("'"&amp;V$86&amp;"'!"&amp;VLOOKUP(V$87,'List Values'!$C$3:$D$6,2,FALSE)&amp;ROW(V249))="","",INDIRECT("'"&amp;V$86&amp;"'!"&amp;VLOOKUP(V$87,'List Values'!$C$3:$D$6,2,FALSE)&amp;ROW(V249))),IF(V$86&lt;&gt;"","Data Source Error",""))))</f>
        <v/>
      </c>
      <c r="Y249" s="2643"/>
      <c r="Z249" s="2644"/>
      <c r="AA249" s="2644"/>
      <c r="AB249" s="2645"/>
    </row>
    <row r="250" spans="1:28" ht="30" customHeight="1" outlineLevel="1">
      <c r="A250" s="514"/>
      <c r="B250" s="252"/>
      <c r="C250" s="2680" t="s">
        <v>2523</v>
      </c>
      <c r="D250" s="2680"/>
      <c r="E250" s="203"/>
      <c r="F250" s="203"/>
      <c r="G250" s="644"/>
      <c r="H250" s="645"/>
      <c r="I250" s="187"/>
      <c r="J250" s="580"/>
      <c r="K250" s="900" t="str">
        <f ca="1">IF(OR($H$7&lt;2,K$197&lt;3),"",IF(J250&lt;&gt;"",J250,IFERROR(IF(INDIRECT("'"&amp;J$86&amp;"'!"&amp;VLOOKUP(J$87,'List Values'!$C$3:$D$6,2,FALSE)&amp;ROW(J250))="","",INDIRECT("'"&amp;J$86&amp;"'!"&amp;VLOOKUP(J$87,'List Values'!$C$3:$D$6,2,FALSE)&amp;ROW(J250))),IF(J$86&lt;&gt;"","Data Source Error",""))))</f>
        <v/>
      </c>
      <c r="L250" s="187"/>
      <c r="M250" s="580"/>
      <c r="N250" s="900" t="str">
        <f ca="1">IF(OR($H$7&lt;3,N$197&lt;3),"",IF(M250&lt;&gt;"",M250,IFERROR(IF(INDIRECT("'"&amp;M$86&amp;"'!"&amp;VLOOKUP(M$87,'List Values'!$C$3:$D$6,2,FALSE)&amp;ROW(M250))="","",INDIRECT("'"&amp;M$86&amp;"'!"&amp;VLOOKUP(M$87,'List Values'!$C$3:$D$6,2,FALSE)&amp;ROW(M250))),IF(M$86&lt;&gt;"","Data Source Error",""))))</f>
        <v/>
      </c>
      <c r="O250" s="187"/>
      <c r="P250" s="580"/>
      <c r="Q250" s="900" t="str">
        <f ca="1">IF(OR($H$7&lt;4,Q$197&lt;3),"",IF(P250&lt;&gt;"",P250,IFERROR(IF(INDIRECT("'"&amp;P$86&amp;"'!"&amp;VLOOKUP(P$87,'List Values'!$C$3:$D$6,2,FALSE)&amp;ROW(P250))="","",INDIRECT("'"&amp;P$86&amp;"'!"&amp;VLOOKUP(P$87,'List Values'!$C$3:$D$6,2,FALSE)&amp;ROW(P250))),IF(P$86&lt;&gt;"","Data Source Error",""))))</f>
        <v/>
      </c>
      <c r="S250" s="580"/>
      <c r="T250" s="900" t="str">
        <f ca="1">IF(OR($H$7&lt;5,T$197&lt;3),"",IF(S250&lt;&gt;"",S250,IFERROR(IF(INDIRECT("'"&amp;S$86&amp;"'!"&amp;VLOOKUP(S$87,'List Values'!$C$3:$D$6,2,FALSE)&amp;ROW(S250))="","",INDIRECT("'"&amp;S$86&amp;"'!"&amp;VLOOKUP(S$87,'List Values'!$C$3:$D$6,2,FALSE)&amp;ROW(S250))),IF(S$86&lt;&gt;"","Data Source Error",""))))</f>
        <v/>
      </c>
      <c r="V250" s="580"/>
      <c r="W250" s="911" t="str">
        <f ca="1">IF(OR($H$7&lt;6,W$197&lt;3),"",IF(V250&lt;&gt;"",V250,IFERROR(IF(INDIRECT("'"&amp;V$86&amp;"'!"&amp;VLOOKUP(V$87,'List Values'!$C$3:$D$6,2,FALSE)&amp;ROW(V250))="","",INDIRECT("'"&amp;V$86&amp;"'!"&amp;VLOOKUP(V$87,'List Values'!$C$3:$D$6,2,FALSE)&amp;ROW(V250))),IF(V$86&lt;&gt;"","Data Source Error",""))))</f>
        <v/>
      </c>
      <c r="Y250" s="2643"/>
      <c r="Z250" s="2644"/>
      <c r="AA250" s="2644"/>
      <c r="AB250" s="2645"/>
    </row>
    <row r="251" spans="1:28" ht="15.75" customHeight="1" outlineLevel="1">
      <c r="A251" s="514"/>
      <c r="B251" s="252"/>
      <c r="C251" s="2680" t="s">
        <v>2524</v>
      </c>
      <c r="D251" s="2680"/>
      <c r="E251" s="203"/>
      <c r="F251" s="203"/>
      <c r="G251" s="644"/>
      <c r="H251" s="645"/>
      <c r="I251" s="187"/>
      <c r="J251" s="580"/>
      <c r="K251" s="900" t="str">
        <f ca="1">IF(OR($H$7&lt;2,K$197&lt;3),"",IF(J251&lt;&gt;"",J251,IFERROR(IF(INDIRECT("'"&amp;J$86&amp;"'!"&amp;VLOOKUP(J$87,'List Values'!$C$3:$D$6,2,FALSE)&amp;ROW(J251))="","",INDIRECT("'"&amp;J$86&amp;"'!"&amp;VLOOKUP(J$87,'List Values'!$C$3:$D$6,2,FALSE)&amp;ROW(J251))),IF(J$86&lt;&gt;"","Data Source Error",""))))</f>
        <v/>
      </c>
      <c r="L251" s="187"/>
      <c r="M251" s="580"/>
      <c r="N251" s="900" t="str">
        <f ca="1">IF(OR($H$7&lt;3,N$197&lt;3),"",IF(M251&lt;&gt;"",M251,IFERROR(IF(INDIRECT("'"&amp;M$86&amp;"'!"&amp;VLOOKUP(M$87,'List Values'!$C$3:$D$6,2,FALSE)&amp;ROW(M251))="","",INDIRECT("'"&amp;M$86&amp;"'!"&amp;VLOOKUP(M$87,'List Values'!$C$3:$D$6,2,FALSE)&amp;ROW(M251))),IF(M$86&lt;&gt;"","Data Source Error",""))))</f>
        <v/>
      </c>
      <c r="O251" s="187"/>
      <c r="P251" s="580"/>
      <c r="Q251" s="900" t="str">
        <f ca="1">IF(OR($H$7&lt;4,Q$197&lt;3),"",IF(P251&lt;&gt;"",P251,IFERROR(IF(INDIRECT("'"&amp;P$86&amp;"'!"&amp;VLOOKUP(P$87,'List Values'!$C$3:$D$6,2,FALSE)&amp;ROW(P251))="","",INDIRECT("'"&amp;P$86&amp;"'!"&amp;VLOOKUP(P$87,'List Values'!$C$3:$D$6,2,FALSE)&amp;ROW(P251))),IF(P$86&lt;&gt;"","Data Source Error",""))))</f>
        <v/>
      </c>
      <c r="S251" s="580"/>
      <c r="T251" s="900" t="str">
        <f ca="1">IF(OR($H$7&lt;5,T$197&lt;3),"",IF(S251&lt;&gt;"",S251,IFERROR(IF(INDIRECT("'"&amp;S$86&amp;"'!"&amp;VLOOKUP(S$87,'List Values'!$C$3:$D$6,2,FALSE)&amp;ROW(S251))="","",INDIRECT("'"&amp;S$86&amp;"'!"&amp;VLOOKUP(S$87,'List Values'!$C$3:$D$6,2,FALSE)&amp;ROW(S251))),IF(S$86&lt;&gt;"","Data Source Error",""))))</f>
        <v/>
      </c>
      <c r="V251" s="580"/>
      <c r="W251" s="911" t="str">
        <f ca="1">IF(OR($H$7&lt;6,W$197&lt;3),"",IF(V251&lt;&gt;"",V251,IFERROR(IF(INDIRECT("'"&amp;V$86&amp;"'!"&amp;VLOOKUP(V$87,'List Values'!$C$3:$D$6,2,FALSE)&amp;ROW(V251))="","",INDIRECT("'"&amp;V$86&amp;"'!"&amp;VLOOKUP(V$87,'List Values'!$C$3:$D$6,2,FALSE)&amp;ROW(V251))),IF(V$86&lt;&gt;"","Data Source Error",""))))</f>
        <v/>
      </c>
      <c r="Y251" s="2643"/>
      <c r="Z251" s="2644"/>
      <c r="AA251" s="2644"/>
      <c r="AB251" s="2645"/>
    </row>
    <row r="252" spans="1:28" ht="15.75" customHeight="1" outlineLevel="1">
      <c r="A252" s="514"/>
      <c r="B252" s="252"/>
      <c r="C252" s="2684" t="s">
        <v>2525</v>
      </c>
      <c r="D252" s="2684"/>
      <c r="E252" s="203"/>
      <c r="F252" s="203"/>
      <c r="G252" s="644"/>
      <c r="H252" s="645"/>
      <c r="I252" s="187"/>
      <c r="J252" s="580"/>
      <c r="K252" s="900" t="str">
        <f ca="1">IF(OR($H$7&lt;2,K$197&lt;3),"",IF(J252&lt;&gt;"",J252,IFERROR(IF(INDIRECT("'"&amp;J$86&amp;"'!"&amp;VLOOKUP(J$87,'List Values'!$C$3:$D$6,2,FALSE)&amp;ROW(J252))="","",INDIRECT("'"&amp;J$86&amp;"'!"&amp;VLOOKUP(J$87,'List Values'!$C$3:$D$6,2,FALSE)&amp;ROW(J252))),IF(J$86&lt;&gt;"","Data Source Error",""))))</f>
        <v/>
      </c>
      <c r="L252" s="187"/>
      <c r="M252" s="580"/>
      <c r="N252" s="900" t="str">
        <f ca="1">IF(OR($H$7&lt;3,N$197&lt;3),"",IF(M252&lt;&gt;"",M252,IFERROR(IF(INDIRECT("'"&amp;M$86&amp;"'!"&amp;VLOOKUP(M$87,'List Values'!$C$3:$D$6,2,FALSE)&amp;ROW(M252))="","",INDIRECT("'"&amp;M$86&amp;"'!"&amp;VLOOKUP(M$87,'List Values'!$C$3:$D$6,2,FALSE)&amp;ROW(M252))),IF(M$86&lt;&gt;"","Data Source Error",""))))</f>
        <v/>
      </c>
      <c r="O252" s="187"/>
      <c r="P252" s="580"/>
      <c r="Q252" s="900" t="str">
        <f ca="1">IF(OR($H$7&lt;4,Q$197&lt;3),"",IF(P252&lt;&gt;"",P252,IFERROR(IF(INDIRECT("'"&amp;P$86&amp;"'!"&amp;VLOOKUP(P$87,'List Values'!$C$3:$D$6,2,FALSE)&amp;ROW(P252))="","",INDIRECT("'"&amp;P$86&amp;"'!"&amp;VLOOKUP(P$87,'List Values'!$C$3:$D$6,2,FALSE)&amp;ROW(P252))),IF(P$86&lt;&gt;"","Data Source Error",""))))</f>
        <v/>
      </c>
      <c r="S252" s="580"/>
      <c r="T252" s="900" t="str">
        <f ca="1">IF(OR($H$7&lt;5,T$197&lt;3),"",IF(S252&lt;&gt;"",S252,IFERROR(IF(INDIRECT("'"&amp;S$86&amp;"'!"&amp;VLOOKUP(S$87,'List Values'!$C$3:$D$6,2,FALSE)&amp;ROW(S252))="","",INDIRECT("'"&amp;S$86&amp;"'!"&amp;VLOOKUP(S$87,'List Values'!$C$3:$D$6,2,FALSE)&amp;ROW(S252))),IF(S$86&lt;&gt;"","Data Source Error",""))))</f>
        <v/>
      </c>
      <c r="V252" s="580"/>
      <c r="W252" s="911" t="str">
        <f ca="1">IF(OR($H$7&lt;6,W$197&lt;3),"",IF(V252&lt;&gt;"",V252,IFERROR(IF(INDIRECT("'"&amp;V$86&amp;"'!"&amp;VLOOKUP(V$87,'List Values'!$C$3:$D$6,2,FALSE)&amp;ROW(V252))="","",INDIRECT("'"&amp;V$86&amp;"'!"&amp;VLOOKUP(V$87,'List Values'!$C$3:$D$6,2,FALSE)&amp;ROW(V252))),IF(V$86&lt;&gt;"","Data Source Error",""))))</f>
        <v/>
      </c>
      <c r="Y252" s="2643"/>
      <c r="Z252" s="2644"/>
      <c r="AA252" s="2644"/>
      <c r="AB252" s="2645"/>
    </row>
    <row r="253" spans="1:28" ht="31" customHeight="1" outlineLevel="1">
      <c r="A253" s="514"/>
      <c r="B253" s="252"/>
      <c r="C253" s="2680" t="s">
        <v>2526</v>
      </c>
      <c r="D253" s="2680"/>
      <c r="E253" s="203"/>
      <c r="F253" s="203"/>
      <c r="G253" s="644"/>
      <c r="H253" s="645"/>
      <c r="I253" s="187"/>
      <c r="J253" s="580"/>
      <c r="K253" s="900" t="str">
        <f ca="1">IF(OR($H$7&lt;2,K$197&lt;3),"",IF(J253&lt;&gt;"",J253,IFERROR(IF(INDIRECT("'"&amp;J$86&amp;"'!"&amp;VLOOKUP(J$87,'List Values'!$C$3:$D$6,2,FALSE)&amp;ROW(J253))="","",INDIRECT("'"&amp;J$86&amp;"'!"&amp;VLOOKUP(J$87,'List Values'!$C$3:$D$6,2,FALSE)&amp;ROW(J253))),IF(J$86&lt;&gt;"","Data Source Error",""))))</f>
        <v/>
      </c>
      <c r="L253" s="187"/>
      <c r="M253" s="580"/>
      <c r="N253" s="900" t="str">
        <f ca="1">IF(OR($H$7&lt;3,N$197&lt;3),"",IF(M253&lt;&gt;"",M253,IFERROR(IF(INDIRECT("'"&amp;M$86&amp;"'!"&amp;VLOOKUP(M$87,'List Values'!$C$3:$D$6,2,FALSE)&amp;ROW(M253))="","",INDIRECT("'"&amp;M$86&amp;"'!"&amp;VLOOKUP(M$87,'List Values'!$C$3:$D$6,2,FALSE)&amp;ROW(M253))),IF(M$86&lt;&gt;"","Data Source Error",""))))</f>
        <v/>
      </c>
      <c r="O253" s="187"/>
      <c r="P253" s="580"/>
      <c r="Q253" s="900" t="str">
        <f ca="1">IF(OR($H$7&lt;4,Q$197&lt;3),"",IF(P253&lt;&gt;"",P253,IFERROR(IF(INDIRECT("'"&amp;P$86&amp;"'!"&amp;VLOOKUP(P$87,'List Values'!$C$3:$D$6,2,FALSE)&amp;ROW(P253))="","",INDIRECT("'"&amp;P$86&amp;"'!"&amp;VLOOKUP(P$87,'List Values'!$C$3:$D$6,2,FALSE)&amp;ROW(P253))),IF(P$86&lt;&gt;"","Data Source Error",""))))</f>
        <v/>
      </c>
      <c r="S253" s="580"/>
      <c r="T253" s="900" t="str">
        <f ca="1">IF(OR($H$7&lt;5,T$197&lt;3),"",IF(S253&lt;&gt;"",S253,IFERROR(IF(INDIRECT("'"&amp;S$86&amp;"'!"&amp;VLOOKUP(S$87,'List Values'!$C$3:$D$6,2,FALSE)&amp;ROW(S253))="","",INDIRECT("'"&amp;S$86&amp;"'!"&amp;VLOOKUP(S$87,'List Values'!$C$3:$D$6,2,FALSE)&amp;ROW(S253))),IF(S$86&lt;&gt;"","Data Source Error",""))))</f>
        <v/>
      </c>
      <c r="V253" s="580"/>
      <c r="W253" s="911" t="str">
        <f ca="1">IF(OR($H$7&lt;6,W$197&lt;3),"",IF(V253&lt;&gt;"",V253,IFERROR(IF(INDIRECT("'"&amp;V$86&amp;"'!"&amp;VLOOKUP(V$87,'List Values'!$C$3:$D$6,2,FALSE)&amp;ROW(V253))="","",INDIRECT("'"&amp;V$86&amp;"'!"&amp;VLOOKUP(V$87,'List Values'!$C$3:$D$6,2,FALSE)&amp;ROW(V253))),IF(V$86&lt;&gt;"","Data Source Error",""))))</f>
        <v/>
      </c>
      <c r="Y253" s="2643"/>
      <c r="Z253" s="2644"/>
      <c r="AA253" s="2644"/>
      <c r="AB253" s="2645"/>
    </row>
    <row r="254" spans="1:28" ht="33.75" customHeight="1" outlineLevel="1">
      <c r="A254" s="514"/>
      <c r="B254" s="252"/>
      <c r="C254" s="2680" t="s">
        <v>2527</v>
      </c>
      <c r="D254" s="2680"/>
      <c r="E254" s="202"/>
      <c r="F254" s="202"/>
      <c r="G254" s="634"/>
      <c r="H254" s="635"/>
      <c r="I254" s="187"/>
      <c r="J254" s="580"/>
      <c r="K254" s="900" t="str">
        <f ca="1">IF(OR($H$7&lt;2,K$197&lt;3),"",IF(J254&lt;&gt;"",J254,IFERROR(IF(INDIRECT("'"&amp;J$86&amp;"'!"&amp;VLOOKUP(J$87,'List Values'!$C$3:$D$6,2,FALSE)&amp;ROW(J254))="","",INDIRECT("'"&amp;J$86&amp;"'!"&amp;VLOOKUP(J$87,'List Values'!$C$3:$D$6,2,FALSE)&amp;ROW(J254))),IF(J$86&lt;&gt;"","Data Source Error",""))))</f>
        <v/>
      </c>
      <c r="L254" s="187"/>
      <c r="M254" s="580"/>
      <c r="N254" s="900" t="str">
        <f ca="1">IF(OR($H$7&lt;3,N$197&lt;3),"",IF(M254&lt;&gt;"",M254,IFERROR(IF(INDIRECT("'"&amp;M$86&amp;"'!"&amp;VLOOKUP(M$87,'List Values'!$C$3:$D$6,2,FALSE)&amp;ROW(M254))="","",INDIRECT("'"&amp;M$86&amp;"'!"&amp;VLOOKUP(M$87,'List Values'!$C$3:$D$6,2,FALSE)&amp;ROW(M254))),IF(M$86&lt;&gt;"","Data Source Error",""))))</f>
        <v/>
      </c>
      <c r="O254" s="187"/>
      <c r="P254" s="580"/>
      <c r="Q254" s="900" t="str">
        <f ca="1">IF(OR($H$7&lt;4,Q$197&lt;3),"",IF(P254&lt;&gt;"",P254,IFERROR(IF(INDIRECT("'"&amp;P$86&amp;"'!"&amp;VLOOKUP(P$87,'List Values'!$C$3:$D$6,2,FALSE)&amp;ROW(P254))="","",INDIRECT("'"&amp;P$86&amp;"'!"&amp;VLOOKUP(P$87,'List Values'!$C$3:$D$6,2,FALSE)&amp;ROW(P254))),IF(P$86&lt;&gt;"","Data Source Error",""))))</f>
        <v/>
      </c>
      <c r="S254" s="580"/>
      <c r="T254" s="900" t="str">
        <f ca="1">IF(OR($H$7&lt;5,T$197&lt;3),"",IF(S254&lt;&gt;"",S254,IFERROR(IF(INDIRECT("'"&amp;S$86&amp;"'!"&amp;VLOOKUP(S$87,'List Values'!$C$3:$D$6,2,FALSE)&amp;ROW(S254))="","",INDIRECT("'"&amp;S$86&amp;"'!"&amp;VLOOKUP(S$87,'List Values'!$C$3:$D$6,2,FALSE)&amp;ROW(S254))),IF(S$86&lt;&gt;"","Data Source Error",""))))</f>
        <v/>
      </c>
      <c r="V254" s="580"/>
      <c r="W254" s="911" t="str">
        <f ca="1">IF(OR($H$7&lt;6,W$197&lt;3),"",IF(V254&lt;&gt;"",V254,IFERROR(IF(INDIRECT("'"&amp;V$86&amp;"'!"&amp;VLOOKUP(V$87,'List Values'!$C$3:$D$6,2,FALSE)&amp;ROW(V254))="","",INDIRECT("'"&amp;V$86&amp;"'!"&amp;VLOOKUP(V$87,'List Values'!$C$3:$D$6,2,FALSE)&amp;ROW(V254))),IF(V$86&lt;&gt;"","Data Source Error",""))))</f>
        <v/>
      </c>
      <c r="Y254" s="2643"/>
      <c r="Z254" s="2644"/>
      <c r="AA254" s="2644"/>
      <c r="AB254" s="2645"/>
    </row>
    <row r="255" spans="1:28" ht="33.75" customHeight="1" outlineLevel="1">
      <c r="A255" s="514"/>
      <c r="B255" s="252"/>
      <c r="C255" s="2680" t="s">
        <v>2528</v>
      </c>
      <c r="D255" s="2680"/>
      <c r="E255" s="202"/>
      <c r="F255" s="202"/>
      <c r="G255" s="634"/>
      <c r="H255" s="635"/>
      <c r="I255" s="187"/>
      <c r="J255" s="580"/>
      <c r="K255" s="900" t="str">
        <f ca="1">IF(OR($H$7&lt;2,K$197&lt;3),"",IF(J255&lt;&gt;"",J255,IFERROR(IF(INDIRECT("'"&amp;J$86&amp;"'!"&amp;VLOOKUP(J$87,'List Values'!$C$3:$D$6,2,FALSE)&amp;ROW(J255))="","",INDIRECT("'"&amp;J$86&amp;"'!"&amp;VLOOKUP(J$87,'List Values'!$C$3:$D$6,2,FALSE)&amp;ROW(J255))),IF(J$86&lt;&gt;"","Data Source Error",""))))</f>
        <v/>
      </c>
      <c r="L255" s="187"/>
      <c r="M255" s="580"/>
      <c r="N255" s="900" t="str">
        <f ca="1">IF(OR($H$7&lt;3,N$197&lt;3),"",IF(M255&lt;&gt;"",M255,IFERROR(IF(INDIRECT("'"&amp;M$86&amp;"'!"&amp;VLOOKUP(M$87,'List Values'!$C$3:$D$6,2,FALSE)&amp;ROW(M255))="","",INDIRECT("'"&amp;M$86&amp;"'!"&amp;VLOOKUP(M$87,'List Values'!$C$3:$D$6,2,FALSE)&amp;ROW(M255))),IF(M$86&lt;&gt;"","Data Source Error",""))))</f>
        <v/>
      </c>
      <c r="O255" s="187"/>
      <c r="P255" s="580"/>
      <c r="Q255" s="900" t="str">
        <f ca="1">IF(OR($H$7&lt;4,Q$197&lt;3),"",IF(P255&lt;&gt;"",P255,IFERROR(IF(INDIRECT("'"&amp;P$86&amp;"'!"&amp;VLOOKUP(P$87,'List Values'!$C$3:$D$6,2,FALSE)&amp;ROW(P255))="","",INDIRECT("'"&amp;P$86&amp;"'!"&amp;VLOOKUP(P$87,'List Values'!$C$3:$D$6,2,FALSE)&amp;ROW(P255))),IF(P$86&lt;&gt;"","Data Source Error",""))))</f>
        <v/>
      </c>
      <c r="S255" s="580"/>
      <c r="T255" s="900" t="str">
        <f ca="1">IF(OR($H$7&lt;5,T$197&lt;3),"",IF(S255&lt;&gt;"",S255,IFERROR(IF(INDIRECT("'"&amp;S$86&amp;"'!"&amp;VLOOKUP(S$87,'List Values'!$C$3:$D$6,2,FALSE)&amp;ROW(S255))="","",INDIRECT("'"&amp;S$86&amp;"'!"&amp;VLOOKUP(S$87,'List Values'!$C$3:$D$6,2,FALSE)&amp;ROW(S255))),IF(S$86&lt;&gt;"","Data Source Error",""))))</f>
        <v/>
      </c>
      <c r="V255" s="580"/>
      <c r="W255" s="911" t="str">
        <f ca="1">IF(OR($H$7&lt;6,W$197&lt;3),"",IF(V255&lt;&gt;"",V255,IFERROR(IF(INDIRECT("'"&amp;V$86&amp;"'!"&amp;VLOOKUP(V$87,'List Values'!$C$3:$D$6,2,FALSE)&amp;ROW(V255))="","",INDIRECT("'"&amp;V$86&amp;"'!"&amp;VLOOKUP(V$87,'List Values'!$C$3:$D$6,2,FALSE)&amp;ROW(V255))),IF(V$86&lt;&gt;"","Data Source Error",""))))</f>
        <v/>
      </c>
      <c r="Y255" s="2643"/>
      <c r="Z255" s="2644"/>
      <c r="AA255" s="2644"/>
      <c r="AB255" s="2645"/>
    </row>
    <row r="256" spans="1:28" ht="15.75" customHeight="1" outlineLevel="1">
      <c r="A256" s="514"/>
      <c r="B256" s="252"/>
      <c r="C256" s="2680" t="s">
        <v>650</v>
      </c>
      <c r="D256" s="2680"/>
      <c r="E256" s="203"/>
      <c r="F256" s="203"/>
      <c r="G256" s="644"/>
      <c r="H256" s="645"/>
      <c r="I256" s="187"/>
      <c r="J256" s="580"/>
      <c r="K256" s="900" t="str">
        <f ca="1">IF(OR($H$7&lt;2,K$197&lt;3),"",IF(J256&lt;&gt;"",J256,IFERROR(IF(INDIRECT("'"&amp;J$86&amp;"'!"&amp;VLOOKUP(J$87,'List Values'!$C$3:$D$6,2,FALSE)&amp;ROW(J256))="","",INDIRECT("'"&amp;J$86&amp;"'!"&amp;VLOOKUP(J$87,'List Values'!$C$3:$D$6,2,FALSE)&amp;ROW(J256))),IF(J$86&lt;&gt;"","Data Source Error",""))))</f>
        <v/>
      </c>
      <c r="L256" s="187"/>
      <c r="M256" s="580"/>
      <c r="N256" s="900" t="str">
        <f ca="1">IF(OR($H$7&lt;3,N$197&lt;3),"",IF(M256&lt;&gt;"",M256,IFERROR(IF(INDIRECT("'"&amp;M$86&amp;"'!"&amp;VLOOKUP(M$87,'List Values'!$C$3:$D$6,2,FALSE)&amp;ROW(M256))="","",INDIRECT("'"&amp;M$86&amp;"'!"&amp;VLOOKUP(M$87,'List Values'!$C$3:$D$6,2,FALSE)&amp;ROW(M256))),IF(M$86&lt;&gt;"","Data Source Error",""))))</f>
        <v/>
      </c>
      <c r="O256" s="187"/>
      <c r="P256" s="580"/>
      <c r="Q256" s="900" t="str">
        <f ca="1">IF(OR($H$7&lt;4,Q$197&lt;3),"",IF(P256&lt;&gt;"",P256,IFERROR(IF(INDIRECT("'"&amp;P$86&amp;"'!"&amp;VLOOKUP(P$87,'List Values'!$C$3:$D$6,2,FALSE)&amp;ROW(P256))="","",INDIRECT("'"&amp;P$86&amp;"'!"&amp;VLOOKUP(P$87,'List Values'!$C$3:$D$6,2,FALSE)&amp;ROW(P256))),IF(P$86&lt;&gt;"","Data Source Error",""))))</f>
        <v/>
      </c>
      <c r="S256" s="580"/>
      <c r="T256" s="900" t="str">
        <f ca="1">IF(OR($H$7&lt;5,T$197&lt;3),"",IF(S256&lt;&gt;"",S256,IFERROR(IF(INDIRECT("'"&amp;S$86&amp;"'!"&amp;VLOOKUP(S$87,'List Values'!$C$3:$D$6,2,FALSE)&amp;ROW(S256))="","",INDIRECT("'"&amp;S$86&amp;"'!"&amp;VLOOKUP(S$87,'List Values'!$C$3:$D$6,2,FALSE)&amp;ROW(S256))),IF(S$86&lt;&gt;"","Data Source Error",""))))</f>
        <v/>
      </c>
      <c r="V256" s="580"/>
      <c r="W256" s="911" t="str">
        <f ca="1">IF(OR($H$7&lt;6,W$197&lt;3),"",IF(V256&lt;&gt;"",V256,IFERROR(IF(INDIRECT("'"&amp;V$86&amp;"'!"&amp;VLOOKUP(V$87,'List Values'!$C$3:$D$6,2,FALSE)&amp;ROW(V256))="","",INDIRECT("'"&amp;V$86&amp;"'!"&amp;VLOOKUP(V$87,'List Values'!$C$3:$D$6,2,FALSE)&amp;ROW(V256))),IF(V$86&lt;&gt;"","Data Source Error",""))))</f>
        <v/>
      </c>
      <c r="Y256" s="2643"/>
      <c r="Z256" s="2644"/>
      <c r="AA256" s="2644"/>
      <c r="AB256" s="2645"/>
    </row>
    <row r="257" spans="1:28" ht="31" customHeight="1" outlineLevel="1">
      <c r="A257" s="514"/>
      <c r="B257" s="252"/>
      <c r="C257" s="2680" t="s">
        <v>651</v>
      </c>
      <c r="D257" s="2680"/>
      <c r="E257" s="51"/>
      <c r="F257" s="51"/>
      <c r="G257" s="500"/>
      <c r="H257" s="648"/>
      <c r="I257" s="184"/>
      <c r="J257" s="624"/>
      <c r="K257" s="941" t="str">
        <f ca="1">IF(OR($H$7&lt;2,K$197&lt;3),"",IF(J257&lt;&gt;"",J257,IFERROR(IF(INDIRECT("'"&amp;J$86&amp;"'!"&amp;VLOOKUP(J$87,'List Values'!$C$3:$D$6,2,FALSE)&amp;ROW(J257))="","",INDIRECT("'"&amp;J$86&amp;"'!"&amp;VLOOKUP(J$87,'List Values'!$C$3:$D$6,2,FALSE)&amp;ROW(J257))),IF(J$86&lt;&gt;"","Data Source Error",""))))</f>
        <v/>
      </c>
      <c r="L257" s="184"/>
      <c r="M257" s="624"/>
      <c r="N257" s="941" t="str">
        <f ca="1">IF(OR($H$7&lt;3,N$197&lt;3),"",IF(M257&lt;&gt;"",M257,IFERROR(IF(INDIRECT("'"&amp;M$86&amp;"'!"&amp;VLOOKUP(M$87,'List Values'!$C$3:$D$6,2,FALSE)&amp;ROW(M257))="","",INDIRECT("'"&amp;M$86&amp;"'!"&amp;VLOOKUP(M$87,'List Values'!$C$3:$D$6,2,FALSE)&amp;ROW(M257))),IF(M$86&lt;&gt;"","Data Source Error",""))))</f>
        <v/>
      </c>
      <c r="O257" s="184"/>
      <c r="P257" s="624"/>
      <c r="Q257" s="941" t="str">
        <f ca="1">IF(OR($H$7&lt;4,Q$197&lt;3),"",IF(P257&lt;&gt;"",P257,IFERROR(IF(INDIRECT("'"&amp;P$86&amp;"'!"&amp;VLOOKUP(P$87,'List Values'!$C$3:$D$6,2,FALSE)&amp;ROW(P257))="","",INDIRECT("'"&amp;P$86&amp;"'!"&amp;VLOOKUP(P$87,'List Values'!$C$3:$D$6,2,FALSE)&amp;ROW(P257))),IF(P$86&lt;&gt;"","Data Source Error",""))))</f>
        <v/>
      </c>
      <c r="S257" s="624"/>
      <c r="T257" s="941" t="str">
        <f ca="1">IF(OR($H$7&lt;5,T$197&lt;3),"",IF(S257&lt;&gt;"",S257,IFERROR(IF(INDIRECT("'"&amp;S$86&amp;"'!"&amp;VLOOKUP(S$87,'List Values'!$C$3:$D$6,2,FALSE)&amp;ROW(S257))="","",INDIRECT("'"&amp;S$86&amp;"'!"&amp;VLOOKUP(S$87,'List Values'!$C$3:$D$6,2,FALSE)&amp;ROW(S257))),IF(S$86&lt;&gt;"","Data Source Error",""))))</f>
        <v/>
      </c>
      <c r="V257" s="624"/>
      <c r="W257" s="947" t="str">
        <f ca="1">IF(OR($H$7&lt;6,W$197&lt;3),"",IF(V257&lt;&gt;"",V257,IFERROR(IF(INDIRECT("'"&amp;V$86&amp;"'!"&amp;VLOOKUP(V$87,'List Values'!$C$3:$D$6,2,FALSE)&amp;ROW(V257))="","",INDIRECT("'"&amp;V$86&amp;"'!"&amp;VLOOKUP(V$87,'List Values'!$C$3:$D$6,2,FALSE)&amp;ROW(V257))),IF(V$86&lt;&gt;"","Data Source Error",""))))</f>
        <v/>
      </c>
      <c r="Y257" s="2657"/>
      <c r="Z257" s="2658"/>
      <c r="AA257" s="2658"/>
      <c r="AB257" s="2659"/>
    </row>
    <row r="258" spans="1:28" ht="27" customHeight="1" collapsed="1">
      <c r="A258" s="212"/>
      <c r="B258" s="61"/>
      <c r="C258" s="516"/>
      <c r="D258" s="516"/>
      <c r="E258" s="516"/>
      <c r="F258" s="61"/>
      <c r="G258" s="517"/>
      <c r="H258" s="518"/>
      <c r="I258" s="61"/>
      <c r="J258" s="519"/>
      <c r="K258" s="980"/>
      <c r="L258" s="61"/>
      <c r="M258" s="519"/>
      <c r="N258" s="980"/>
      <c r="O258" s="61"/>
      <c r="P258" s="519"/>
      <c r="Q258" s="980"/>
      <c r="R258" s="61"/>
      <c r="S258" s="519"/>
      <c r="T258" s="980"/>
      <c r="U258" s="61"/>
      <c r="V258" s="519"/>
      <c r="W258" s="980"/>
    </row>
    <row r="259" spans="1:28" ht="30.75" customHeight="1">
      <c r="B259" s="2682" t="s">
        <v>2499</v>
      </c>
      <c r="C259" s="2682"/>
      <c r="D259" s="2682"/>
      <c r="E259" s="2682"/>
      <c r="F259" s="2682"/>
      <c r="G259" s="2682"/>
      <c r="H259" s="2682"/>
      <c r="I259" s="1164"/>
      <c r="J259" s="2683" t="str">
        <f ca="1">H88&amp;" to "&amp;K88</f>
        <v>CMS to Regional WH</v>
      </c>
      <c r="K259" s="2683"/>
      <c r="L259" s="1164"/>
      <c r="M259" s="2683" t="str">
        <f ca="1">K88&amp;" to "&amp;N88</f>
        <v>Regional WH to Health Facility</v>
      </c>
      <c r="N259" s="2683"/>
      <c r="O259" s="1164"/>
      <c r="P259" s="2683" t="str">
        <f ca="1">N88&amp;" to "&amp;Q88</f>
        <v xml:space="preserve">Health Facility to </v>
      </c>
      <c r="Q259" s="2683"/>
      <c r="R259" s="1164"/>
      <c r="S259" s="2683" t="str">
        <f ca="1">Q88&amp;" to "&amp;T88</f>
        <v xml:space="preserve"> to </v>
      </c>
      <c r="T259" s="2683"/>
      <c r="U259" s="1164"/>
      <c r="V259" s="2683" t="str">
        <f ca="1">T88&amp;" to "&amp;W88</f>
        <v xml:space="preserve"> to </v>
      </c>
      <c r="W259" s="2683"/>
    </row>
    <row r="260" spans="1:28" ht="29.25" customHeight="1" outlineLevel="1">
      <c r="A260" s="1"/>
      <c r="B260" s="2686" t="s">
        <v>2531</v>
      </c>
      <c r="C260" s="2686"/>
      <c r="D260" s="2686"/>
      <c r="E260" s="2065"/>
      <c r="F260" s="2065"/>
      <c r="G260" s="646"/>
      <c r="H260" s="647"/>
      <c r="I260" s="44"/>
      <c r="J260" s="588"/>
      <c r="K260" s="978">
        <f ca="1">IF($H$7&lt;2,0,IF(J260&lt;&gt;"",J260,IFERROR(IF(INDIRECT("'"&amp;J$86&amp;"'!"&amp;VLOOKUP(J$87,'List Values'!$C$3:$D$6,2,FALSE)&amp;ROW(J260))="",0,INDIRECT("'"&amp;J$86&amp;"'!"&amp;VLOOKUP(J$87,'List Values'!$C$3:$D$6,2,FALSE)&amp;ROW(J260))),IF(J$86&lt;&gt;"","Data Source Error",0))))</f>
        <v>0</v>
      </c>
      <c r="L260" s="44"/>
      <c r="M260" s="588"/>
      <c r="N260" s="978">
        <f ca="1">IF($H$7&lt;3,0,IF(M260&lt;&gt;"",M260,IFERROR(IF(INDIRECT("'"&amp;M$86&amp;"'!"&amp;VLOOKUP(M$87,'List Values'!$C$3:$D$6,2,FALSE)&amp;ROW(M260))="",0,INDIRECT("'"&amp;M$86&amp;"'!"&amp;VLOOKUP(M$87,'List Values'!$C$3:$D$6,2,FALSE)&amp;ROW(M260))),IF(M$86&lt;&gt;"","Data Source Error",0))))</f>
        <v>0</v>
      </c>
      <c r="O260" s="44"/>
      <c r="P260" s="589"/>
      <c r="Q260" s="978">
        <f ca="1">IF($H$7&lt;4,0,IF(P260&lt;&gt;"",P260,IFERROR(IF(INDIRECT("'"&amp;P$86&amp;"'!"&amp;VLOOKUP(P$87,'List Values'!$C$3:$D$6,2,FALSE)&amp;ROW(P260))="",0,INDIRECT("'"&amp;P$86&amp;"'!"&amp;VLOOKUP(P$87,'List Values'!$C$3:$D$6,2,FALSE)&amp;ROW(P260))),IF(P$86&lt;&gt;"","Data Source Error",0))))</f>
        <v>0</v>
      </c>
      <c r="R260" s="27"/>
      <c r="S260" s="589"/>
      <c r="T260" s="978">
        <f ca="1">IF($H$7&lt;5,0,IF(S260&lt;&gt;"",S260,IFERROR(IF(INDIRECT("'"&amp;S$86&amp;"'!"&amp;VLOOKUP(S$87,'List Values'!$C$3:$D$6,2,FALSE)&amp;ROW(S260))="",0,INDIRECT("'"&amp;S$86&amp;"'!"&amp;VLOOKUP(S$87,'List Values'!$C$3:$D$6,2,FALSE)&amp;ROW(S260))),IF(S$86&lt;&gt;"","Data Source Error",0))))</f>
        <v>0</v>
      </c>
      <c r="U260" s="27"/>
      <c r="V260" s="589"/>
      <c r="W260" s="981">
        <f ca="1">IF($H$7&lt;6,0,IF(V260&lt;&gt;"",V260,IFERROR(IF(INDIRECT("'"&amp;V$86&amp;"'!"&amp;VLOOKUP(V$87,'List Values'!$C$3:$D$6,2,FALSE)&amp;ROW(V260))="",0,INDIRECT("'"&amp;V$86&amp;"'!"&amp;VLOOKUP(V$87,'List Values'!$C$3:$D$6,2,FALSE)&amp;ROW(V260))),IF(V$86&lt;&gt;"","Data Source Error",0))))</f>
        <v>0</v>
      </c>
      <c r="Y260" s="2619" t="s">
        <v>673</v>
      </c>
      <c r="Z260" s="2620"/>
      <c r="AA260" s="2620"/>
      <c r="AB260" s="2621"/>
    </row>
    <row r="261" spans="1:28" ht="32.25" customHeight="1" outlineLevel="1">
      <c r="B261" s="2686" t="s">
        <v>2532</v>
      </c>
      <c r="C261" s="2686"/>
      <c r="D261" s="2686"/>
      <c r="E261" s="2065"/>
      <c r="F261" s="2065"/>
      <c r="G261" s="646"/>
      <c r="H261" s="647"/>
      <c r="I261" s="483"/>
      <c r="J261" s="588"/>
      <c r="K261" s="978">
        <f ca="1">IF($H$7&lt;2,0,IF(J261&lt;&gt;"",J261,IFERROR(IF(INDIRECT("'"&amp;J$86&amp;"'!"&amp;VLOOKUP(J$87,'List Values'!$C$3:$D$6,2,FALSE)&amp;ROW(J261))="",IF(K$260=0,0,K$96),INDIRECT("'"&amp;J$86&amp;"'!"&amp;VLOOKUP(J$87,'List Values'!$C$3:$D$6,2,FALSE)&amp;ROW(J261))),IF(J$86&lt;&gt;"","Data Source Error",0))))</f>
        <v>0</v>
      </c>
      <c r="L261" s="515"/>
      <c r="M261" s="588"/>
      <c r="N261" s="978">
        <f ca="1">IF($H$7&lt;3,0,IF(M261&lt;&gt;"",M261,IFERROR(IF(INDIRECT("'"&amp;M$86&amp;"'!"&amp;VLOOKUP(M$87,'List Values'!$C$3:$D$6,2,FALSE)&amp;ROW(M261))="",IF(N$260=0,0,N$96),INDIRECT("'"&amp;M$86&amp;"'!"&amp;VLOOKUP(M$87,'List Values'!$C$3:$D$6,2,FALSE)&amp;ROW(M261))),IF(M$86&lt;&gt;"","Data Source Error",0))))</f>
        <v>0</v>
      </c>
      <c r="O261" s="515"/>
      <c r="P261" s="589"/>
      <c r="Q261" s="978">
        <f ca="1">IF($H$7&lt;4,0,IF(P261&lt;&gt;"",P261,IFERROR(IF(INDIRECT("'"&amp;P$86&amp;"'!"&amp;VLOOKUP(P$87,'List Values'!$C$3:$D$6,2,FALSE)&amp;ROW(P261))="",IF(Q$260=0,0,Q$96),INDIRECT("'"&amp;P$86&amp;"'!"&amp;VLOOKUP(P$87,'List Values'!$C$3:$D$6,2,FALSE)&amp;ROW(P261))),IF(P$86&lt;&gt;"","Data Source Error",0))))</f>
        <v>0</v>
      </c>
      <c r="R261" s="515"/>
      <c r="S261" s="589"/>
      <c r="T261" s="978">
        <f ca="1">IF($H$7&lt;5,0,IF(S261&lt;&gt;"",S261,IFERROR(IF(INDIRECT("'"&amp;S$86&amp;"'!"&amp;VLOOKUP(S$87,'List Values'!$C$3:$D$6,2,FALSE)&amp;ROW(S261))="",IF(T$260=0,0,T$96),INDIRECT("'"&amp;S$86&amp;"'!"&amp;VLOOKUP(S$87,'List Values'!$C$3:$D$6,2,FALSE)&amp;ROW(S261))),IF(S$86&lt;&gt;"","Data Source Error",0))))</f>
        <v>0</v>
      </c>
      <c r="U261" s="515"/>
      <c r="V261" s="589"/>
      <c r="W261" s="981">
        <f ca="1">IF($H$7&lt;6,0,IF(V261&lt;&gt;"",V261,IFERROR(IF(INDIRECT("'"&amp;V$86&amp;"'!"&amp;VLOOKUP(V$87,'List Values'!$C$3:$D$6,2,FALSE)&amp;ROW(V261))="",IF(W$260=0,0,W$96),INDIRECT("'"&amp;V$86&amp;"'!"&amp;VLOOKUP(V$87,'List Values'!$C$3:$D$6,2,FALSE)&amp;ROW(V261))),IF(V$86&lt;&gt;"","Data Source Error",0))))</f>
        <v>0</v>
      </c>
      <c r="Y261" s="2643"/>
      <c r="Z261" s="2644"/>
      <c r="AA261" s="2644"/>
      <c r="AB261" s="2645"/>
    </row>
    <row r="262" spans="1:28" ht="21" customHeight="1">
      <c r="A262" s="1"/>
      <c r="B262" s="612" t="s">
        <v>619</v>
      </c>
      <c r="C262" s="604"/>
      <c r="D262" s="604"/>
      <c r="E262" s="614"/>
      <c r="F262" s="608"/>
      <c r="G262" s="615"/>
      <c r="H262" s="611"/>
      <c r="I262" s="608"/>
      <c r="J262" s="610"/>
      <c r="K262" s="970"/>
      <c r="L262" s="608"/>
      <c r="M262" s="610"/>
      <c r="N262" s="970"/>
      <c r="O262" s="608"/>
      <c r="P262" s="610"/>
      <c r="Q262" s="970"/>
      <c r="R262" s="608"/>
      <c r="S262" s="610"/>
      <c r="T262" s="970"/>
      <c r="U262" s="608"/>
      <c r="V262" s="610"/>
      <c r="W262" s="970"/>
      <c r="Y262" s="631"/>
      <c r="Z262" s="631"/>
      <c r="AA262" s="631"/>
      <c r="AB262" s="631"/>
    </row>
    <row r="263" spans="1:28" ht="15.75" customHeight="1" outlineLevel="1">
      <c r="A263" s="512"/>
      <c r="B263" s="252"/>
      <c r="C263" s="2580" t="s">
        <v>625</v>
      </c>
      <c r="D263" s="2580"/>
      <c r="E263" s="202"/>
      <c r="F263" s="202"/>
      <c r="G263" s="634"/>
      <c r="H263" s="635"/>
      <c r="I263" s="183"/>
      <c r="J263" s="628"/>
      <c r="K263" s="967" t="str">
        <f ca="1">IF(OR($H$7&lt;2,K$260&lt;1),"",IF(J263&lt;&gt;"",J263,IFERROR(IF(INDIRECT("'"&amp;J$86&amp;"'!"&amp;VLOOKUP(J$87,'List Values'!$C$3:$D$6,2,FALSE)&amp;ROW(J263))="","",INDIRECT("'"&amp;J$86&amp;"'!"&amp;VLOOKUP(J$87,'List Values'!$C$3:$D$6,2,FALSE)&amp;ROW(J263))),IF(J$86&lt;&gt;"","Data Source Error",""))))</f>
        <v/>
      </c>
      <c r="L263" s="629"/>
      <c r="M263" s="628"/>
      <c r="N263" s="967" t="str">
        <f ca="1">IF(OR($H$7&lt;3,N$260&lt;1),"",IF(M263&lt;&gt;"",M263,IFERROR(IF(INDIRECT("'"&amp;M$86&amp;"'!"&amp;VLOOKUP(M$87,'List Values'!$C$3:$D$6,2,FALSE)&amp;ROW(M263))="","",INDIRECT("'"&amp;M$86&amp;"'!"&amp;VLOOKUP(M$87,'List Values'!$C$3:$D$6,2,FALSE)&amp;ROW(M263))),IF(M$86&lt;&gt;"","Data Source Error",""))))</f>
        <v/>
      </c>
      <c r="O263" s="629"/>
      <c r="P263" s="628"/>
      <c r="Q263" s="967" t="str">
        <f ca="1">IF(OR($H$7&lt;4,Q$260&lt;1),"",IF(P263&lt;&gt;"",P263,IFERROR(IF(INDIRECT("'"&amp;P$86&amp;"'!"&amp;VLOOKUP(P$87,'List Values'!$C$3:$D$6,2,FALSE)&amp;ROW(P263))="","",INDIRECT("'"&amp;P$86&amp;"'!"&amp;VLOOKUP(P$87,'List Values'!$C$3:$D$6,2,FALSE)&amp;ROW(P263))),IF(P$86&lt;&gt;"","Data Source Error",""))))</f>
        <v/>
      </c>
      <c r="R263" s="147"/>
      <c r="S263" s="628"/>
      <c r="T263" s="967" t="str">
        <f ca="1">IF(OR($H$7&lt;5,T$260&lt;1),"",IF(S263&lt;&gt;"",S263,IFERROR(IF(INDIRECT("'"&amp;S$86&amp;"'!"&amp;VLOOKUP(S$87,'List Values'!$C$3:$D$6,2,FALSE)&amp;ROW(S263))="","",INDIRECT("'"&amp;S$86&amp;"'!"&amp;VLOOKUP(S$87,'List Values'!$C$3:$D$6,2,FALSE)&amp;ROW(S263))),IF(S$86&lt;&gt;"","Data Source Error",""))))</f>
        <v/>
      </c>
      <c r="U263" s="147"/>
      <c r="V263" s="628"/>
      <c r="W263" s="973" t="str">
        <f ca="1">IF(OR($H$7&lt;6,W$260&lt;1),"",IF(V263&lt;&gt;"",V263,IFERROR(IF(INDIRECT("'"&amp;V$86&amp;"'!"&amp;VLOOKUP(V$87,'List Values'!$C$3:$D$6,2,FALSE)&amp;ROW(V263))="","",INDIRECT("'"&amp;V$86&amp;"'!"&amp;VLOOKUP(V$87,'List Values'!$C$3:$D$6,2,FALSE)&amp;ROW(V263))),IF(V$86&lt;&gt;"","Data Source Error",""))))</f>
        <v/>
      </c>
      <c r="Y263" s="2643"/>
      <c r="Z263" s="2644"/>
      <c r="AA263" s="2644"/>
      <c r="AB263" s="2645"/>
    </row>
    <row r="264" spans="1:28" ht="15.75" customHeight="1" outlineLevel="1">
      <c r="A264" s="512"/>
      <c r="B264" s="252"/>
      <c r="C264" s="2680" t="s">
        <v>626</v>
      </c>
      <c r="D264" s="2680"/>
      <c r="E264" s="2062"/>
      <c r="F264" s="2062"/>
      <c r="G264" s="636"/>
      <c r="H264" s="637"/>
      <c r="I264" s="187"/>
      <c r="J264" s="526"/>
      <c r="K264" s="900" t="str">
        <f ca="1">IF(OR($H$7&lt;2,K$260&lt;1),"",IF(J264&lt;&gt;"",J264,IFERROR(IF(INDIRECT("'"&amp;J$86&amp;"'!"&amp;VLOOKUP(J$87,'List Values'!$C$3:$D$6,2,FALSE)&amp;ROW(J264))="","",INDIRECT("'"&amp;J$86&amp;"'!"&amp;VLOOKUP(J$87,'List Values'!$C$3:$D$6,2,FALSE)&amp;ROW(J264))),IF(J$86&lt;&gt;"","Data Source Error",""))))</f>
        <v/>
      </c>
      <c r="L264" s="187"/>
      <c r="M264" s="526"/>
      <c r="N264" s="900" t="str">
        <f ca="1">IF(OR($H$7&lt;3,N$260&lt;1),"",IF(M264&lt;&gt;"",M264,IFERROR(IF(INDIRECT("'"&amp;M$86&amp;"'!"&amp;VLOOKUP(M$87,'List Values'!$C$3:$D$6,2,FALSE)&amp;ROW(M264))="","",INDIRECT("'"&amp;M$86&amp;"'!"&amp;VLOOKUP(M$87,'List Values'!$C$3:$D$6,2,FALSE)&amp;ROW(M264))),IF(M$86&lt;&gt;"","Data Source Error",""))))</f>
        <v/>
      </c>
      <c r="O264" s="187"/>
      <c r="P264" s="526"/>
      <c r="Q264" s="900" t="str">
        <f ca="1">IF(OR($H$7&lt;4,Q$260&lt;1),"",IF(P264&lt;&gt;"",P264,IFERROR(IF(INDIRECT("'"&amp;P$86&amp;"'!"&amp;VLOOKUP(P$87,'List Values'!$C$3:$D$6,2,FALSE)&amp;ROW(P264))="","",INDIRECT("'"&amp;P$86&amp;"'!"&amp;VLOOKUP(P$87,'List Values'!$C$3:$D$6,2,FALSE)&amp;ROW(P264))),IF(P$86&lt;&gt;"","Data Source Error",""))))</f>
        <v/>
      </c>
      <c r="S264" s="526"/>
      <c r="T264" s="900" t="str">
        <f ca="1">IF(OR($H$7&lt;5,T$260&lt;1),"",IF(S264&lt;&gt;"",S264,IFERROR(IF(INDIRECT("'"&amp;S$86&amp;"'!"&amp;VLOOKUP(S$87,'List Values'!$C$3:$D$6,2,FALSE)&amp;ROW(S264))="","",INDIRECT("'"&amp;S$86&amp;"'!"&amp;VLOOKUP(S$87,'List Values'!$C$3:$D$6,2,FALSE)&amp;ROW(S264))),IF(S$86&lt;&gt;"","Data Source Error",""))))</f>
        <v/>
      </c>
      <c r="V264" s="526"/>
      <c r="W264" s="911" t="str">
        <f ca="1">IF(OR($H$7&lt;6,W$260&lt;1),"",IF(V264&lt;&gt;"",V264,IFERROR(IF(INDIRECT("'"&amp;V$86&amp;"'!"&amp;VLOOKUP(V$87,'List Values'!$C$3:$D$6,2,FALSE)&amp;ROW(V264))="","",INDIRECT("'"&amp;V$86&amp;"'!"&amp;VLOOKUP(V$87,'List Values'!$C$3:$D$6,2,FALSE)&amp;ROW(V264))),IF(V$86&lt;&gt;"","Data Source Error",""))))</f>
        <v/>
      </c>
      <c r="Y264" s="2643"/>
      <c r="Z264" s="2644"/>
      <c r="AA264" s="2644"/>
      <c r="AB264" s="2645"/>
    </row>
    <row r="265" spans="1:28" ht="31" customHeight="1" outlineLevel="1">
      <c r="A265" s="512"/>
      <c r="B265" s="252"/>
      <c r="C265" s="2680" t="s">
        <v>627</v>
      </c>
      <c r="D265" s="2680"/>
      <c r="E265" s="2062"/>
      <c r="F265" s="2062"/>
      <c r="G265" s="636"/>
      <c r="H265" s="637"/>
      <c r="I265" s="187"/>
      <c r="J265" s="561"/>
      <c r="K265" s="900" t="str">
        <f ca="1">IF(OR($H$7&lt;2,K$260&lt;1),"",IF(J265&lt;&gt;"",J265,IFERROR(IF(INDIRECT("'"&amp;J$86&amp;"'!"&amp;VLOOKUP(J$87,'List Values'!$C$3:$D$6,2,FALSE)&amp;ROW(J265))="","",INDIRECT("'"&amp;J$86&amp;"'!"&amp;VLOOKUP(J$87,'List Values'!$C$3:$D$6,2,FALSE)&amp;ROW(J265))),IF(J$86&lt;&gt;"","Data Source Error",""))))</f>
        <v/>
      </c>
      <c r="L265" s="187"/>
      <c r="M265" s="561"/>
      <c r="N265" s="900" t="str">
        <f ca="1">IF(OR($H$7&lt;3,N$260&lt;1),"",IF(M265&lt;&gt;"",M265,IFERROR(IF(INDIRECT("'"&amp;M$86&amp;"'!"&amp;VLOOKUP(M$87,'List Values'!$C$3:$D$6,2,FALSE)&amp;ROW(M265))="","",INDIRECT("'"&amp;M$86&amp;"'!"&amp;VLOOKUP(M$87,'List Values'!$C$3:$D$6,2,FALSE)&amp;ROW(M265))),IF(M$86&lt;&gt;"","Data Source Error",""))))</f>
        <v/>
      </c>
      <c r="O265" s="187"/>
      <c r="P265" s="561"/>
      <c r="Q265" s="900" t="str">
        <f ca="1">IF(OR($H$7&lt;4,Q$260&lt;1),"",IF(P265&lt;&gt;"",P265,IFERROR(IF(INDIRECT("'"&amp;P$86&amp;"'!"&amp;VLOOKUP(P$87,'List Values'!$C$3:$D$6,2,FALSE)&amp;ROW(P265))="","",INDIRECT("'"&amp;P$86&amp;"'!"&amp;VLOOKUP(P$87,'List Values'!$C$3:$D$6,2,FALSE)&amp;ROW(P265))),IF(P$86&lt;&gt;"","Data Source Error",""))))</f>
        <v/>
      </c>
      <c r="S265" s="561"/>
      <c r="T265" s="900" t="str">
        <f ca="1">IF(OR($H$7&lt;5,T$260&lt;1),"",IF(S265&lt;&gt;"",S265,IFERROR(IF(INDIRECT("'"&amp;S$86&amp;"'!"&amp;VLOOKUP(S$87,'List Values'!$C$3:$D$6,2,FALSE)&amp;ROW(S265))="","",INDIRECT("'"&amp;S$86&amp;"'!"&amp;VLOOKUP(S$87,'List Values'!$C$3:$D$6,2,FALSE)&amp;ROW(S265))),IF(S$86&lt;&gt;"","Data Source Error",""))))</f>
        <v/>
      </c>
      <c r="V265" s="561"/>
      <c r="W265" s="911" t="str">
        <f ca="1">IF(OR($H$7&lt;6,W$260&lt;1),"",IF(V265&lt;&gt;"",V265,IFERROR(IF(INDIRECT("'"&amp;V$86&amp;"'!"&amp;VLOOKUP(V$87,'List Values'!$C$3:$D$6,2,FALSE)&amp;ROW(V265))="","",INDIRECT("'"&amp;V$86&amp;"'!"&amp;VLOOKUP(V$87,'List Values'!$C$3:$D$6,2,FALSE)&amp;ROW(V265))),IF(V$86&lt;&gt;"","Data Source Error",""))))</f>
        <v/>
      </c>
      <c r="Y265" s="2643"/>
      <c r="Z265" s="2644"/>
      <c r="AA265" s="2644"/>
      <c r="AB265" s="2645"/>
    </row>
    <row r="266" spans="1:28" ht="31" customHeight="1" outlineLevel="1">
      <c r="A266" s="512"/>
      <c r="B266" s="252"/>
      <c r="C266" s="2684" t="s">
        <v>628</v>
      </c>
      <c r="D266" s="2684"/>
      <c r="E266" s="2062"/>
      <c r="F266" s="2062"/>
      <c r="G266" s="636"/>
      <c r="H266" s="637"/>
      <c r="I266" s="187"/>
      <c r="J266" s="526"/>
      <c r="K266" s="900" t="str">
        <f ca="1">IF(OR($H$7&lt;2,K$260&lt;1),"",IF(J266&lt;&gt;"",J266,IFERROR(IF(INDIRECT("'"&amp;J$86&amp;"'!"&amp;VLOOKUP(J$87,'List Values'!$C$3:$D$6,2,FALSE)&amp;ROW(J266))="","",INDIRECT("'"&amp;J$86&amp;"'!"&amp;VLOOKUP(J$87,'List Values'!$C$3:$D$6,2,FALSE)&amp;ROW(J266))),IF(J$86&lt;&gt;"","Data Source Error",""))))</f>
        <v/>
      </c>
      <c r="L266" s="187"/>
      <c r="M266" s="526"/>
      <c r="N266" s="900" t="str">
        <f ca="1">IF(OR($H$7&lt;3,N$260&lt;1),"",IF(M266&lt;&gt;"",M266,IFERROR(IF(INDIRECT("'"&amp;M$86&amp;"'!"&amp;VLOOKUP(M$87,'List Values'!$C$3:$D$6,2,FALSE)&amp;ROW(M266))="","",INDIRECT("'"&amp;M$86&amp;"'!"&amp;VLOOKUP(M$87,'List Values'!$C$3:$D$6,2,FALSE)&amp;ROW(M266))),IF(M$86&lt;&gt;"","Data Source Error",""))))</f>
        <v/>
      </c>
      <c r="O266" s="187"/>
      <c r="P266" s="526"/>
      <c r="Q266" s="900" t="str">
        <f ca="1">IF(OR($H$7&lt;4,Q$260&lt;1),"",IF(P266&lt;&gt;"",P266,IFERROR(IF(INDIRECT("'"&amp;P$86&amp;"'!"&amp;VLOOKUP(P$87,'List Values'!$C$3:$D$6,2,FALSE)&amp;ROW(P266))="","",INDIRECT("'"&amp;P$86&amp;"'!"&amp;VLOOKUP(P$87,'List Values'!$C$3:$D$6,2,FALSE)&amp;ROW(P266))),IF(P$86&lt;&gt;"","Data Source Error",""))))</f>
        <v/>
      </c>
      <c r="S266" s="526"/>
      <c r="T266" s="900" t="str">
        <f ca="1">IF(OR($H$7&lt;5,T$260&lt;1),"",IF(S266&lt;&gt;"",S266,IFERROR(IF(INDIRECT("'"&amp;S$86&amp;"'!"&amp;VLOOKUP(S$87,'List Values'!$C$3:$D$6,2,FALSE)&amp;ROW(S266))="","",INDIRECT("'"&amp;S$86&amp;"'!"&amp;VLOOKUP(S$87,'List Values'!$C$3:$D$6,2,FALSE)&amp;ROW(S266))),IF(S$86&lt;&gt;"","Data Source Error",""))))</f>
        <v/>
      </c>
      <c r="V266" s="526"/>
      <c r="W266" s="911" t="str">
        <f ca="1">IF(OR($H$7&lt;6,W$260&lt;1),"",IF(V266&lt;&gt;"",V266,IFERROR(IF(INDIRECT("'"&amp;V$86&amp;"'!"&amp;VLOOKUP(V$87,'List Values'!$C$3:$D$6,2,FALSE)&amp;ROW(V266))="","",INDIRECT("'"&amp;V$86&amp;"'!"&amp;VLOOKUP(V$87,'List Values'!$C$3:$D$6,2,FALSE)&amp;ROW(V266))),IF(V$86&lt;&gt;"","Data Source Error",""))))</f>
        <v/>
      </c>
      <c r="Y266" s="2643"/>
      <c r="Z266" s="2644"/>
      <c r="AA266" s="2644"/>
      <c r="AB266" s="2645"/>
    </row>
    <row r="267" spans="1:28" ht="33" customHeight="1" outlineLevel="1">
      <c r="A267" s="512"/>
      <c r="B267" s="252"/>
      <c r="C267" s="2684" t="s">
        <v>629</v>
      </c>
      <c r="D267" s="2684"/>
      <c r="E267" s="2062"/>
      <c r="F267" s="2062"/>
      <c r="G267" s="636"/>
      <c r="H267" s="637"/>
      <c r="I267" s="187"/>
      <c r="J267" s="568"/>
      <c r="K267" s="945" t="str">
        <f ca="1">IF(OR($H$7&lt;2,K$260&lt;1),"",IF(J267&lt;&gt;"",J267,IFERROR(IF(INDIRECT("'"&amp;J$86&amp;"'!"&amp;VLOOKUP(J$87,'List Values'!$C$3:$D$6,2,FALSE)&amp;ROW(J267))="","",INDIRECT("'"&amp;J$86&amp;"'!"&amp;VLOOKUP(J$87,'List Values'!$C$3:$D$6,2,FALSE)&amp;ROW(J267))),IF(J$86&lt;&gt;"","Data Source Error",""))))</f>
        <v/>
      </c>
      <c r="L267" s="339"/>
      <c r="M267" s="568"/>
      <c r="N267" s="945" t="str">
        <f ca="1">IF(OR($H$7&lt;3,N$260&lt;1),"",IF(M267&lt;&gt;"",M267,IFERROR(IF(INDIRECT("'"&amp;M$86&amp;"'!"&amp;VLOOKUP(M$87,'List Values'!$C$3:$D$6,2,FALSE)&amp;ROW(M267))="","",INDIRECT("'"&amp;M$86&amp;"'!"&amp;VLOOKUP(M$87,'List Values'!$C$3:$D$6,2,FALSE)&amp;ROW(M267))),IF(M$86&lt;&gt;"","Data Source Error",""))))</f>
        <v/>
      </c>
      <c r="O267" s="339"/>
      <c r="P267" s="568"/>
      <c r="Q267" s="945" t="str">
        <f ca="1">IF(OR($H$7&lt;4,Q$260&lt;1),"",IF(P267&lt;&gt;"",P267,IFERROR(IF(INDIRECT("'"&amp;P$86&amp;"'!"&amp;VLOOKUP(P$87,'List Values'!$C$3:$D$6,2,FALSE)&amp;ROW(P267))="","",INDIRECT("'"&amp;P$86&amp;"'!"&amp;VLOOKUP(P$87,'List Values'!$C$3:$D$6,2,FALSE)&amp;ROW(P267))),IF(P$86&lt;&gt;"","Data Source Error",""))))</f>
        <v/>
      </c>
      <c r="R267" s="7"/>
      <c r="S267" s="568"/>
      <c r="T267" s="945" t="str">
        <f ca="1">IF(OR($H$7&lt;5,T$260&lt;1),"",IF(S267&lt;&gt;"",S267,IFERROR(IF(INDIRECT("'"&amp;S$86&amp;"'!"&amp;VLOOKUP(S$87,'List Values'!$C$3:$D$6,2,FALSE)&amp;ROW(S267))="","",INDIRECT("'"&amp;S$86&amp;"'!"&amp;VLOOKUP(S$87,'List Values'!$C$3:$D$6,2,FALSE)&amp;ROW(S267))),IF(S$86&lt;&gt;"","Data Source Error",""))))</f>
        <v/>
      </c>
      <c r="U267" s="7"/>
      <c r="V267" s="568"/>
      <c r="W267" s="952" t="str">
        <f ca="1">IF(OR($H$7&lt;6,W$260&lt;1),"",IF(V267&lt;&gt;"",V267,IFERROR(IF(INDIRECT("'"&amp;V$86&amp;"'!"&amp;VLOOKUP(V$87,'List Values'!$C$3:$D$6,2,FALSE)&amp;ROW(V267))="","",INDIRECT("'"&amp;V$86&amp;"'!"&amp;VLOOKUP(V$87,'List Values'!$C$3:$D$6,2,FALSE)&amp;ROW(V267))),IF(V$86&lt;&gt;"","Data Source Error",""))))</f>
        <v/>
      </c>
      <c r="Y267" s="2643"/>
      <c r="Z267" s="2644"/>
      <c r="AA267" s="2644"/>
      <c r="AB267" s="2645"/>
    </row>
    <row r="268" spans="1:28" ht="15.75" customHeight="1" outlineLevel="1">
      <c r="A268" s="512"/>
      <c r="B268" s="252"/>
      <c r="C268" s="2680" t="s">
        <v>630</v>
      </c>
      <c r="D268" s="2680"/>
      <c r="E268" s="2062"/>
      <c r="F268" s="2062"/>
      <c r="G268" s="636"/>
      <c r="H268" s="637"/>
      <c r="I268" s="187"/>
      <c r="J268" s="526"/>
      <c r="K268" s="900" t="str">
        <f ca="1">IF(OR($H$7&lt;2,K$260&lt;1),"",IF(J268&lt;&gt;"",J268,IFERROR(IF(INDIRECT("'"&amp;J$86&amp;"'!"&amp;VLOOKUP(J$87,'List Values'!$C$3:$D$6,2,FALSE)&amp;ROW(J268))="","",INDIRECT("'"&amp;J$86&amp;"'!"&amp;VLOOKUP(J$87,'List Values'!$C$3:$D$6,2,FALSE)&amp;ROW(J268))),IF(J$86&lt;&gt;"","Data Source Error",""))))</f>
        <v/>
      </c>
      <c r="L268" s="187"/>
      <c r="M268" s="526"/>
      <c r="N268" s="900" t="str">
        <f ca="1">IF(OR($H$7&lt;3,N$260&lt;1),"",IF(M268&lt;&gt;"",M268,IFERROR(IF(INDIRECT("'"&amp;M$86&amp;"'!"&amp;VLOOKUP(M$87,'List Values'!$C$3:$D$6,2,FALSE)&amp;ROW(M268))="","",INDIRECT("'"&amp;M$86&amp;"'!"&amp;VLOOKUP(M$87,'List Values'!$C$3:$D$6,2,FALSE)&amp;ROW(M268))),IF(M$86&lt;&gt;"","Data Source Error",""))))</f>
        <v/>
      </c>
      <c r="O268" s="187"/>
      <c r="P268" s="526"/>
      <c r="Q268" s="900" t="str">
        <f ca="1">IF(OR($H$7&lt;4,Q$260&lt;1),"",IF(P268&lt;&gt;"",P268,IFERROR(IF(INDIRECT("'"&amp;P$86&amp;"'!"&amp;VLOOKUP(P$87,'List Values'!$C$3:$D$6,2,FALSE)&amp;ROW(P268))="","",INDIRECT("'"&amp;P$86&amp;"'!"&amp;VLOOKUP(P$87,'List Values'!$C$3:$D$6,2,FALSE)&amp;ROW(P268))),IF(P$86&lt;&gt;"","Data Source Error",""))))</f>
        <v/>
      </c>
      <c r="S268" s="526"/>
      <c r="T268" s="900" t="str">
        <f ca="1">IF(OR($H$7&lt;5,T$260&lt;1),"",IF(S268&lt;&gt;"",S268,IFERROR(IF(INDIRECT("'"&amp;S$86&amp;"'!"&amp;VLOOKUP(S$87,'List Values'!$C$3:$D$6,2,FALSE)&amp;ROW(S268))="","",INDIRECT("'"&amp;S$86&amp;"'!"&amp;VLOOKUP(S$87,'List Values'!$C$3:$D$6,2,FALSE)&amp;ROW(S268))),IF(S$86&lt;&gt;"","Data Source Error",""))))</f>
        <v/>
      </c>
      <c r="V268" s="526"/>
      <c r="W268" s="911" t="str">
        <f ca="1">IF(OR($H$7&lt;6,W$260&lt;1),"",IF(V268&lt;&gt;"",V268,IFERROR(IF(INDIRECT("'"&amp;V$86&amp;"'!"&amp;VLOOKUP(V$87,'List Values'!$C$3:$D$6,2,FALSE)&amp;ROW(V268))="","",INDIRECT("'"&amp;V$86&amp;"'!"&amp;VLOOKUP(V$87,'List Values'!$C$3:$D$6,2,FALSE)&amp;ROW(V268))),IF(V$86&lt;&gt;"","Data Source Error",""))))</f>
        <v/>
      </c>
      <c r="Y268" s="2643"/>
      <c r="Z268" s="2644"/>
      <c r="AA268" s="2644"/>
      <c r="AB268" s="2645"/>
    </row>
    <row r="269" spans="1:28" ht="31" customHeight="1" outlineLevel="1">
      <c r="A269" s="512"/>
      <c r="B269" s="252"/>
      <c r="C269" s="2684" t="s">
        <v>634</v>
      </c>
      <c r="D269" s="2684"/>
      <c r="E269" s="203"/>
      <c r="F269" s="203"/>
      <c r="G269" s="644"/>
      <c r="H269" s="645"/>
      <c r="I269" s="183"/>
      <c r="J269" s="553"/>
      <c r="K269" s="897" t="str">
        <f ca="1">IF(OR($H$7&lt;2,K$260&lt;1),"",IF(J269&lt;&gt;"",J269,IFERROR(IF(INDIRECT("'"&amp;J$86&amp;"'!"&amp;VLOOKUP(J$87,'List Values'!$C$3:$D$6,2,FALSE)&amp;ROW(J269))="","",INDIRECT("'"&amp;J$86&amp;"'!"&amp;VLOOKUP(J$87,'List Values'!$C$3:$D$6,2,FALSE)&amp;ROW(J269))),IF(J$86&lt;&gt;"","Data Source Error",""))))</f>
        <v/>
      </c>
      <c r="L269" s="183"/>
      <c r="M269" s="553"/>
      <c r="N269" s="897" t="str">
        <f ca="1">IF(OR($H$7&lt;3,N$260&lt;1),"",IF(M269&lt;&gt;"",M269,IFERROR(IF(INDIRECT("'"&amp;M$86&amp;"'!"&amp;VLOOKUP(M$87,'List Values'!$C$3:$D$6,2,FALSE)&amp;ROW(M269))="","",INDIRECT("'"&amp;M$86&amp;"'!"&amp;VLOOKUP(M$87,'List Values'!$C$3:$D$6,2,FALSE)&amp;ROW(M269))),IF(M$86&lt;&gt;"","Data Source Error",""))))</f>
        <v/>
      </c>
      <c r="O269" s="183"/>
      <c r="P269" s="553"/>
      <c r="Q269" s="897" t="str">
        <f ca="1">IF(OR($H$7&lt;4,Q$260&lt;1),"",IF(P269&lt;&gt;"",P269,IFERROR(IF(INDIRECT("'"&amp;P$86&amp;"'!"&amp;VLOOKUP(P$87,'List Values'!$C$3:$D$6,2,FALSE)&amp;ROW(P269))="","",INDIRECT("'"&amp;P$86&amp;"'!"&amp;VLOOKUP(P$87,'List Values'!$C$3:$D$6,2,FALSE)&amp;ROW(P269))),IF(P$86&lt;&gt;"","Data Source Error",""))))</f>
        <v/>
      </c>
      <c r="S269" s="553"/>
      <c r="T269" s="897" t="str">
        <f ca="1">IF(OR($H$7&lt;5,T$260&lt;1),"",IF(S269&lt;&gt;"",S269,IFERROR(IF(INDIRECT("'"&amp;S$86&amp;"'!"&amp;VLOOKUP(S$87,'List Values'!$C$3:$D$6,2,FALSE)&amp;ROW(S269))="","",INDIRECT("'"&amp;S$86&amp;"'!"&amp;VLOOKUP(S$87,'List Values'!$C$3:$D$6,2,FALSE)&amp;ROW(S269))),IF(S$86&lt;&gt;"","Data Source Error",""))))</f>
        <v/>
      </c>
      <c r="V269" s="553"/>
      <c r="W269" s="908" t="str">
        <f ca="1">IF(OR($H$7&lt;6,W$260&lt;1),"",IF(V269&lt;&gt;"",V269,IFERROR(IF(INDIRECT("'"&amp;V$86&amp;"'!"&amp;VLOOKUP(V$87,'List Values'!$C$3:$D$6,2,FALSE)&amp;ROW(V269))="","",INDIRECT("'"&amp;V$86&amp;"'!"&amp;VLOOKUP(V$87,'List Values'!$C$3:$D$6,2,FALSE)&amp;ROW(V269))),IF(V$86&lt;&gt;"","Data Source Error",""))))</f>
        <v/>
      </c>
      <c r="Y269" s="2643"/>
      <c r="Z269" s="2644"/>
      <c r="AA269" s="2644"/>
      <c r="AB269" s="2645"/>
    </row>
    <row r="270" spans="1:28" ht="31" customHeight="1" outlineLevel="1">
      <c r="A270" s="512"/>
      <c r="B270" s="252"/>
      <c r="C270" s="2680" t="s">
        <v>1551</v>
      </c>
      <c r="D270" s="2680"/>
      <c r="E270" s="2062"/>
      <c r="F270" s="2062"/>
      <c r="G270" s="636"/>
      <c r="H270" s="637"/>
      <c r="I270" s="187"/>
      <c r="J270" s="619"/>
      <c r="K270" s="898" t="str">
        <f ca="1">IF(OR($H$7&lt;2,K$260&lt;1),"",IF(J270&lt;&gt;"",J270,IFERROR(IF(INDIRECT("'"&amp;J$86&amp;"'!"&amp;VLOOKUP(J$87,'List Values'!$C$3:$D$6,2,FALSE)&amp;ROW(J270))="","",INDIRECT("'"&amp;J$86&amp;"'!"&amp;VLOOKUP(J$87,'List Values'!$C$3:$D$6,2,FALSE)&amp;ROW(J270))),IF(J$86&lt;&gt;"","Data Source Error",""))))</f>
        <v/>
      </c>
      <c r="L270" s="621"/>
      <c r="M270" s="619"/>
      <c r="N270" s="898" t="str">
        <f ca="1">IF(OR($H$7&lt;3,N$260&lt;1),"",IF(M270&lt;&gt;"",M270,IFERROR(IF(INDIRECT("'"&amp;M$86&amp;"'!"&amp;VLOOKUP(M$87,'List Values'!$C$3:$D$6,2,FALSE)&amp;ROW(M270))="","",INDIRECT("'"&amp;M$86&amp;"'!"&amp;VLOOKUP(M$87,'List Values'!$C$3:$D$6,2,FALSE)&amp;ROW(M270))),IF(M$86&lt;&gt;"","Data Source Error",""))))</f>
        <v/>
      </c>
      <c r="O270" s="621"/>
      <c r="P270" s="619"/>
      <c r="Q270" s="898" t="str">
        <f ca="1">IF(OR($H$7&lt;4,Q$260&lt;1),"",IF(P270&lt;&gt;"",P270,IFERROR(IF(INDIRECT("'"&amp;P$86&amp;"'!"&amp;VLOOKUP(P$87,'List Values'!$C$3:$D$6,2,FALSE)&amp;ROW(P270))="","",INDIRECT("'"&amp;P$86&amp;"'!"&amp;VLOOKUP(P$87,'List Values'!$C$3:$D$6,2,FALSE)&amp;ROW(P270))),IF(P$86&lt;&gt;"","Data Source Error",""))))</f>
        <v/>
      </c>
      <c r="R270" s="147"/>
      <c r="S270" s="619"/>
      <c r="T270" s="898" t="str">
        <f ca="1">IF(OR($H$7&lt;5,T$260&lt;1),"",IF(S270&lt;&gt;"",S270,IFERROR(IF(INDIRECT("'"&amp;S$86&amp;"'!"&amp;VLOOKUP(S$87,'List Values'!$C$3:$D$6,2,FALSE)&amp;ROW(S270))="","",INDIRECT("'"&amp;S$86&amp;"'!"&amp;VLOOKUP(S$87,'List Values'!$C$3:$D$6,2,FALSE)&amp;ROW(S270))),IF(S$86&lt;&gt;"","Data Source Error",""))))</f>
        <v/>
      </c>
      <c r="U270" s="147"/>
      <c r="V270" s="619"/>
      <c r="W270" s="909" t="str">
        <f ca="1">IF(OR($H$7&lt;6,W$260&lt;1),"",IF(V270&lt;&gt;"",V270,IFERROR(IF(INDIRECT("'"&amp;V$86&amp;"'!"&amp;VLOOKUP(V$87,'List Values'!$C$3:$D$6,2,FALSE)&amp;ROW(V270))="","",INDIRECT("'"&amp;V$86&amp;"'!"&amp;VLOOKUP(V$87,'List Values'!$C$3:$D$6,2,FALSE)&amp;ROW(V270))),IF(V$86&lt;&gt;"","Data Source Error",""))))</f>
        <v/>
      </c>
      <c r="Y270" s="2643"/>
      <c r="Z270" s="2644"/>
      <c r="AA270" s="2644"/>
      <c r="AB270" s="2645"/>
    </row>
    <row r="271" spans="1:28" ht="31" customHeight="1" outlineLevel="1">
      <c r="A271" s="512"/>
      <c r="B271" s="252"/>
      <c r="C271" s="2680" t="s">
        <v>1552</v>
      </c>
      <c r="D271" s="2680"/>
      <c r="E271" s="2062"/>
      <c r="F271" s="2062"/>
      <c r="G271" s="636"/>
      <c r="H271" s="637"/>
      <c r="I271" s="187"/>
      <c r="J271" s="619"/>
      <c r="K271" s="898" t="str">
        <f ca="1">IF(OR($H$7&lt;2,K$260&lt;1),"",IF(J271&lt;&gt;"",J271,IFERROR(IF(INDIRECT("'"&amp;J$86&amp;"'!"&amp;VLOOKUP(J$87,'List Values'!$C$3:$D$6,2,FALSE)&amp;ROW(J271))="","",INDIRECT("'"&amp;J$86&amp;"'!"&amp;VLOOKUP(J$87,'List Values'!$C$3:$D$6,2,FALSE)&amp;ROW(J271))),IF(J$86&lt;&gt;"","Data Source Error",""))))</f>
        <v/>
      </c>
      <c r="L271" s="621"/>
      <c r="M271" s="619"/>
      <c r="N271" s="898" t="str">
        <f ca="1">IF(OR($H$7&lt;3,N$260&lt;1),"",IF(M271&lt;&gt;"",M271,IFERROR(IF(INDIRECT("'"&amp;M$86&amp;"'!"&amp;VLOOKUP(M$87,'List Values'!$C$3:$D$6,2,FALSE)&amp;ROW(M271))="","",INDIRECT("'"&amp;M$86&amp;"'!"&amp;VLOOKUP(M$87,'List Values'!$C$3:$D$6,2,FALSE)&amp;ROW(M271))),IF(M$86&lt;&gt;"","Data Source Error",""))))</f>
        <v/>
      </c>
      <c r="O271" s="621"/>
      <c r="P271" s="619"/>
      <c r="Q271" s="898" t="str">
        <f ca="1">IF(OR($H$7&lt;4,Q$260&lt;1),"",IF(P271&lt;&gt;"",P271,IFERROR(IF(INDIRECT("'"&amp;P$86&amp;"'!"&amp;VLOOKUP(P$87,'List Values'!$C$3:$D$6,2,FALSE)&amp;ROW(P271))="","",INDIRECT("'"&amp;P$86&amp;"'!"&amp;VLOOKUP(P$87,'List Values'!$C$3:$D$6,2,FALSE)&amp;ROW(P271))),IF(P$86&lt;&gt;"","Data Source Error",""))))</f>
        <v/>
      </c>
      <c r="R271" s="147"/>
      <c r="S271" s="619"/>
      <c r="T271" s="898" t="str">
        <f ca="1">IF(OR($H$7&lt;5,T$260&lt;1),"",IF(S271&lt;&gt;"",S271,IFERROR(IF(INDIRECT("'"&amp;S$86&amp;"'!"&amp;VLOOKUP(S$87,'List Values'!$C$3:$D$6,2,FALSE)&amp;ROW(S271))="","",INDIRECT("'"&amp;S$86&amp;"'!"&amp;VLOOKUP(S$87,'List Values'!$C$3:$D$6,2,FALSE)&amp;ROW(S271))),IF(S$86&lt;&gt;"","Data Source Error",""))))</f>
        <v/>
      </c>
      <c r="U271" s="147"/>
      <c r="V271" s="619"/>
      <c r="W271" s="909" t="str">
        <f ca="1">IF(OR($H$7&lt;6,W$260&lt;1),"",IF(V271&lt;&gt;"",V271,IFERROR(IF(INDIRECT("'"&amp;V$86&amp;"'!"&amp;VLOOKUP(V$87,'List Values'!$C$3:$D$6,2,FALSE)&amp;ROW(V271))="","",INDIRECT("'"&amp;V$86&amp;"'!"&amp;VLOOKUP(V$87,'List Values'!$C$3:$D$6,2,FALSE)&amp;ROW(V271))),IF(V$86&lt;&gt;"","Data Source Error",""))))</f>
        <v/>
      </c>
      <c r="Y271" s="2643"/>
      <c r="Z271" s="2644"/>
      <c r="AA271" s="2644"/>
      <c r="AB271" s="2645"/>
    </row>
    <row r="272" spans="1:28" ht="33" customHeight="1" outlineLevel="1">
      <c r="A272" s="512"/>
      <c r="B272" s="252"/>
      <c r="C272" s="2680" t="s">
        <v>331</v>
      </c>
      <c r="D272" s="2680"/>
      <c r="E272" s="2062"/>
      <c r="F272" s="2062"/>
      <c r="G272" s="636"/>
      <c r="H272" s="637"/>
      <c r="I272" s="187"/>
      <c r="J272" s="526"/>
      <c r="K272" s="900" t="str">
        <f ca="1">IF(OR($H$7&lt;2,K$260&lt;1),"",IF(J272&lt;&gt;"",J272,IFERROR(IF(INDIRECT("'"&amp;J$86&amp;"'!"&amp;VLOOKUP(J$87,'List Values'!$C$3:$D$6,2,FALSE)&amp;ROW(J272))="","",INDIRECT("'"&amp;J$86&amp;"'!"&amp;VLOOKUP(J$87,'List Values'!$C$3:$D$6,2,FALSE)&amp;ROW(J272))),IF(J$86&lt;&gt;"","Data Source Error",""))))</f>
        <v/>
      </c>
      <c r="L272" s="187"/>
      <c r="M272" s="526"/>
      <c r="N272" s="900" t="str">
        <f ca="1">IF(OR($H$7&lt;3,N$260&lt;1),"",IF(M272&lt;&gt;"",M272,IFERROR(IF(INDIRECT("'"&amp;M$86&amp;"'!"&amp;VLOOKUP(M$87,'List Values'!$C$3:$D$6,2,FALSE)&amp;ROW(M272))="","",INDIRECT("'"&amp;M$86&amp;"'!"&amp;VLOOKUP(M$87,'List Values'!$C$3:$D$6,2,FALSE)&amp;ROW(M272))),IF(M$86&lt;&gt;"","Data Source Error",""))))</f>
        <v/>
      </c>
      <c r="O272" s="187"/>
      <c r="P272" s="526"/>
      <c r="Q272" s="900" t="str">
        <f ca="1">IF(OR($H$7&lt;4,Q$260&lt;1),"",IF(P272&lt;&gt;"",P272,IFERROR(IF(INDIRECT("'"&amp;P$86&amp;"'!"&amp;VLOOKUP(P$87,'List Values'!$C$3:$D$6,2,FALSE)&amp;ROW(P272))="","",INDIRECT("'"&amp;P$86&amp;"'!"&amp;VLOOKUP(P$87,'List Values'!$C$3:$D$6,2,FALSE)&amp;ROW(P272))),IF(P$86&lt;&gt;"","Data Source Error",""))))</f>
        <v/>
      </c>
      <c r="S272" s="526"/>
      <c r="T272" s="900" t="str">
        <f ca="1">IF(OR($H$7&lt;5,T$260&lt;1),"",IF(S272&lt;&gt;"",S272,IFERROR(IF(INDIRECT("'"&amp;S$86&amp;"'!"&amp;VLOOKUP(S$87,'List Values'!$C$3:$D$6,2,FALSE)&amp;ROW(S272))="","",INDIRECT("'"&amp;S$86&amp;"'!"&amp;VLOOKUP(S$87,'List Values'!$C$3:$D$6,2,FALSE)&amp;ROW(S272))),IF(S$86&lt;&gt;"","Data Source Error",""))))</f>
        <v/>
      </c>
      <c r="V272" s="526"/>
      <c r="W272" s="911" t="str">
        <f ca="1">IF(OR($H$7&lt;6,W$260&lt;1),"",IF(V272&lt;&gt;"",V272,IFERROR(IF(INDIRECT("'"&amp;V$86&amp;"'!"&amp;VLOOKUP(V$87,'List Values'!$C$3:$D$6,2,FALSE)&amp;ROW(V272))="","",INDIRECT("'"&amp;V$86&amp;"'!"&amp;VLOOKUP(V$87,'List Values'!$C$3:$D$6,2,FALSE)&amp;ROW(V272))),IF(V$86&lt;&gt;"","Data Source Error",""))))</f>
        <v/>
      </c>
      <c r="Y272" s="2643"/>
      <c r="Z272" s="2644"/>
      <c r="AA272" s="2644"/>
      <c r="AB272" s="2645"/>
    </row>
    <row r="273" spans="1:28" ht="15.75" customHeight="1" outlineLevel="1">
      <c r="A273" s="512"/>
      <c r="B273" s="252"/>
      <c r="C273" s="2684" t="s">
        <v>332</v>
      </c>
      <c r="D273" s="2684"/>
      <c r="E273" s="2062"/>
      <c r="F273" s="2062"/>
      <c r="G273" s="636"/>
      <c r="H273" s="637"/>
      <c r="I273" s="187"/>
      <c r="J273" s="580"/>
      <c r="K273" s="900" t="str">
        <f ca="1">IF(OR($H$7&lt;2,K$260&lt;1),"",IF(J273&lt;&gt;"",J273,IFERROR(IF(INDIRECT("'"&amp;J$86&amp;"'!"&amp;VLOOKUP(J$87,'List Values'!$C$3:$D$6,2,FALSE)&amp;ROW(J273))="","",INDIRECT("'"&amp;J$86&amp;"'!"&amp;VLOOKUP(J$87,'List Values'!$C$3:$D$6,2,FALSE)&amp;ROW(J273))),IF(J$86&lt;&gt;"","Data Source Error",""))))</f>
        <v/>
      </c>
      <c r="L273" s="187"/>
      <c r="M273" s="580"/>
      <c r="N273" s="900" t="str">
        <f ca="1">IF(OR($H$7&lt;3,N$260&lt;1),"",IF(M273&lt;&gt;"",M273,IFERROR(IF(INDIRECT("'"&amp;M$86&amp;"'!"&amp;VLOOKUP(M$87,'List Values'!$C$3:$D$6,2,FALSE)&amp;ROW(M273))="","",INDIRECT("'"&amp;M$86&amp;"'!"&amp;VLOOKUP(M$87,'List Values'!$C$3:$D$6,2,FALSE)&amp;ROW(M273))),IF(M$86&lt;&gt;"","Data Source Error",""))))</f>
        <v/>
      </c>
      <c r="O273" s="187"/>
      <c r="P273" s="580"/>
      <c r="Q273" s="900" t="str">
        <f ca="1">IF(OR($H$7&lt;4,Q$260&lt;1),"",IF(P273&lt;&gt;"",P273,IFERROR(IF(INDIRECT("'"&amp;P$86&amp;"'!"&amp;VLOOKUP(P$87,'List Values'!$C$3:$D$6,2,FALSE)&amp;ROW(P273))="","",INDIRECT("'"&amp;P$86&amp;"'!"&amp;VLOOKUP(P$87,'List Values'!$C$3:$D$6,2,FALSE)&amp;ROW(P273))),IF(P$86&lt;&gt;"","Data Source Error",""))))</f>
        <v/>
      </c>
      <c r="S273" s="580"/>
      <c r="T273" s="900" t="str">
        <f ca="1">IF(OR($H$7&lt;5,T$260&lt;1),"",IF(S273&lt;&gt;"",S273,IFERROR(IF(INDIRECT("'"&amp;S$86&amp;"'!"&amp;VLOOKUP(S$87,'List Values'!$C$3:$D$6,2,FALSE)&amp;ROW(S273))="","",INDIRECT("'"&amp;S$86&amp;"'!"&amp;VLOOKUP(S$87,'List Values'!$C$3:$D$6,2,FALSE)&amp;ROW(S273))),IF(S$86&lt;&gt;"","Data Source Error",""))))</f>
        <v/>
      </c>
      <c r="V273" s="580"/>
      <c r="W273" s="911" t="str">
        <f ca="1">IF(OR($H$7&lt;6,W$260&lt;1),"",IF(V273&lt;&gt;"",V273,IFERROR(IF(INDIRECT("'"&amp;V$86&amp;"'!"&amp;VLOOKUP(V$87,'List Values'!$C$3:$D$6,2,FALSE)&amp;ROW(V273))="","",INDIRECT("'"&amp;V$86&amp;"'!"&amp;VLOOKUP(V$87,'List Values'!$C$3:$D$6,2,FALSE)&amp;ROW(V273))),IF(V$86&lt;&gt;"","Data Source Error",""))))</f>
        <v/>
      </c>
      <c r="Y273" s="2643"/>
      <c r="Z273" s="2644"/>
      <c r="AA273" s="2644"/>
      <c r="AB273" s="2645"/>
    </row>
    <row r="274" spans="1:28" ht="30.75" customHeight="1" outlineLevel="1">
      <c r="A274" s="512"/>
      <c r="B274" s="252"/>
      <c r="C274" s="2680" t="s">
        <v>839</v>
      </c>
      <c r="D274" s="2680"/>
      <c r="E274" s="2062"/>
      <c r="F274" s="2062"/>
      <c r="G274" s="636"/>
      <c r="H274" s="637"/>
      <c r="I274" s="187"/>
      <c r="J274" s="580"/>
      <c r="K274" s="900" t="str">
        <f ca="1">IF(OR($H$7&lt;2,K$260&lt;1),"",IF(J274&lt;&gt;"",J274,IFERROR(IF(INDIRECT("'"&amp;J$86&amp;"'!"&amp;VLOOKUP(J$87,'List Values'!$C$3:$D$6,2,FALSE)&amp;ROW(J274))="","",INDIRECT("'"&amp;J$86&amp;"'!"&amp;VLOOKUP(J$87,'List Values'!$C$3:$D$6,2,FALSE)&amp;ROW(J274))),IF(J$86&lt;&gt;"","Data Source Error",""))))</f>
        <v/>
      </c>
      <c r="L274" s="187"/>
      <c r="M274" s="580"/>
      <c r="N274" s="900" t="str">
        <f ca="1">IF(OR($H$7&lt;3,N$260&lt;1),"",IF(M274&lt;&gt;"",M274,IFERROR(IF(INDIRECT("'"&amp;M$86&amp;"'!"&amp;VLOOKUP(M$87,'List Values'!$C$3:$D$6,2,FALSE)&amp;ROW(M274))="","",INDIRECT("'"&amp;M$86&amp;"'!"&amp;VLOOKUP(M$87,'List Values'!$C$3:$D$6,2,FALSE)&amp;ROW(M274))),IF(M$86&lt;&gt;"","Data Source Error",""))))</f>
        <v/>
      </c>
      <c r="O274" s="187"/>
      <c r="P274" s="580"/>
      <c r="Q274" s="900" t="str">
        <f ca="1">IF(OR($H$7&lt;4,Q$260&lt;1),"",IF(P274&lt;&gt;"",P274,IFERROR(IF(INDIRECT("'"&amp;P$86&amp;"'!"&amp;VLOOKUP(P$87,'List Values'!$C$3:$D$6,2,FALSE)&amp;ROW(P274))="","",INDIRECT("'"&amp;P$86&amp;"'!"&amp;VLOOKUP(P$87,'List Values'!$C$3:$D$6,2,FALSE)&amp;ROW(P274))),IF(P$86&lt;&gt;"","Data Source Error",""))))</f>
        <v/>
      </c>
      <c r="S274" s="580"/>
      <c r="T274" s="900" t="str">
        <f ca="1">IF(OR($H$7&lt;5,T$260&lt;1),"",IF(S274&lt;&gt;"",S274,IFERROR(IF(INDIRECT("'"&amp;S$86&amp;"'!"&amp;VLOOKUP(S$87,'List Values'!$C$3:$D$6,2,FALSE)&amp;ROW(S274))="","",INDIRECT("'"&amp;S$86&amp;"'!"&amp;VLOOKUP(S$87,'List Values'!$C$3:$D$6,2,FALSE)&amp;ROW(S274))),IF(S$86&lt;&gt;"","Data Source Error",""))))</f>
        <v/>
      </c>
      <c r="V274" s="580"/>
      <c r="W274" s="911" t="str">
        <f ca="1">IF(OR($H$7&lt;6,W$260&lt;1),"",IF(V274&lt;&gt;"",V274,IFERROR(IF(INDIRECT("'"&amp;V$86&amp;"'!"&amp;VLOOKUP(V$87,'List Values'!$C$3:$D$6,2,FALSE)&amp;ROW(V274))="","",INDIRECT("'"&amp;V$86&amp;"'!"&amp;VLOOKUP(V$87,'List Values'!$C$3:$D$6,2,FALSE)&amp;ROW(V274))),IF(V$86&lt;&gt;"","Data Source Error",""))))</f>
        <v/>
      </c>
      <c r="Y274" s="2643"/>
      <c r="Z274" s="2644"/>
      <c r="AA274" s="2644"/>
      <c r="AB274" s="2645"/>
    </row>
    <row r="275" spans="1:28" ht="15.75" customHeight="1" outlineLevel="1">
      <c r="A275" s="512"/>
      <c r="B275" s="252"/>
      <c r="C275" s="2680" t="s">
        <v>334</v>
      </c>
      <c r="D275" s="2680"/>
      <c r="E275" s="2062"/>
      <c r="F275" s="2062"/>
      <c r="G275" s="636"/>
      <c r="H275" s="637"/>
      <c r="I275" s="187"/>
      <c r="J275" s="580"/>
      <c r="K275" s="900" t="str">
        <f ca="1">IF(OR($H$7&lt;2,K$260&lt;1),"",IF(J275&lt;&gt;"",J275,IFERROR(IF(INDIRECT("'"&amp;J$86&amp;"'!"&amp;VLOOKUP(J$87,'List Values'!$C$3:$D$6,2,FALSE)&amp;ROW(J275))="","",INDIRECT("'"&amp;J$86&amp;"'!"&amp;VLOOKUP(J$87,'List Values'!$C$3:$D$6,2,FALSE)&amp;ROW(J275))),IF(J$86&lt;&gt;"","Data Source Error",""))))</f>
        <v/>
      </c>
      <c r="L275" s="187"/>
      <c r="M275" s="580"/>
      <c r="N275" s="900" t="str">
        <f ca="1">IF(OR($H$7&lt;3,N$260&lt;1),"",IF(M275&lt;&gt;"",M275,IFERROR(IF(INDIRECT("'"&amp;M$86&amp;"'!"&amp;VLOOKUP(M$87,'List Values'!$C$3:$D$6,2,FALSE)&amp;ROW(M275))="","",INDIRECT("'"&amp;M$86&amp;"'!"&amp;VLOOKUP(M$87,'List Values'!$C$3:$D$6,2,FALSE)&amp;ROW(M275))),IF(M$86&lt;&gt;"","Data Source Error",""))))</f>
        <v/>
      </c>
      <c r="O275" s="187"/>
      <c r="P275" s="580"/>
      <c r="Q275" s="900" t="str">
        <f ca="1">IF(OR($H$7&lt;4,Q$260&lt;1),"",IF(P275&lt;&gt;"",P275,IFERROR(IF(INDIRECT("'"&amp;P$86&amp;"'!"&amp;VLOOKUP(P$87,'List Values'!$C$3:$D$6,2,FALSE)&amp;ROW(P275))="","",INDIRECT("'"&amp;P$86&amp;"'!"&amp;VLOOKUP(P$87,'List Values'!$C$3:$D$6,2,FALSE)&amp;ROW(P275))),IF(P$86&lt;&gt;"","Data Source Error",""))))</f>
        <v/>
      </c>
      <c r="S275" s="580"/>
      <c r="T275" s="900" t="str">
        <f ca="1">IF(OR($H$7&lt;5,T$260&lt;1),"",IF(S275&lt;&gt;"",S275,IFERROR(IF(INDIRECT("'"&amp;S$86&amp;"'!"&amp;VLOOKUP(S$87,'List Values'!$C$3:$D$6,2,FALSE)&amp;ROW(S275))="","",INDIRECT("'"&amp;S$86&amp;"'!"&amp;VLOOKUP(S$87,'List Values'!$C$3:$D$6,2,FALSE)&amp;ROW(S275))),IF(S$86&lt;&gt;"","Data Source Error",""))))</f>
        <v/>
      </c>
      <c r="V275" s="580"/>
      <c r="W275" s="911" t="str">
        <f ca="1">IF(OR($H$7&lt;6,W$260&lt;1),"",IF(V275&lt;&gt;"",V275,IFERROR(IF(INDIRECT("'"&amp;V$86&amp;"'!"&amp;VLOOKUP(V$87,'List Values'!$C$3:$D$6,2,FALSE)&amp;ROW(V275))="","",INDIRECT("'"&amp;V$86&amp;"'!"&amp;VLOOKUP(V$87,'List Values'!$C$3:$D$6,2,FALSE)&amp;ROW(V275))),IF(V$86&lt;&gt;"","Data Source Error",""))))</f>
        <v/>
      </c>
      <c r="Y275" s="2643"/>
      <c r="Z275" s="2644"/>
      <c r="AA275" s="2644"/>
      <c r="AB275" s="2645"/>
    </row>
    <row r="276" spans="1:28" ht="15.75" customHeight="1" outlineLevel="1">
      <c r="A276" s="512"/>
      <c r="B276" s="252"/>
      <c r="C276" s="2684" t="s">
        <v>335</v>
      </c>
      <c r="D276" s="2684"/>
      <c r="E276" s="2062"/>
      <c r="F276" s="2062"/>
      <c r="G276" s="636"/>
      <c r="H276" s="637"/>
      <c r="I276" s="187"/>
      <c r="J276" s="580"/>
      <c r="K276" s="900" t="str">
        <f ca="1">IF(OR($H$7&lt;2,K$260&lt;1),"",IF(J276&lt;&gt;"",J276,IFERROR(IF(INDIRECT("'"&amp;J$86&amp;"'!"&amp;VLOOKUP(J$87,'List Values'!$C$3:$D$6,2,FALSE)&amp;ROW(J276))="","",INDIRECT("'"&amp;J$86&amp;"'!"&amp;VLOOKUP(J$87,'List Values'!$C$3:$D$6,2,FALSE)&amp;ROW(J276))),IF(J$86&lt;&gt;"","Data Source Error",""))))</f>
        <v/>
      </c>
      <c r="L276" s="187"/>
      <c r="M276" s="580"/>
      <c r="N276" s="900" t="str">
        <f ca="1">IF(OR($H$7&lt;3,N$260&lt;1),"",IF(M276&lt;&gt;"",M276,IFERROR(IF(INDIRECT("'"&amp;M$86&amp;"'!"&amp;VLOOKUP(M$87,'List Values'!$C$3:$D$6,2,FALSE)&amp;ROW(M276))="","",INDIRECT("'"&amp;M$86&amp;"'!"&amp;VLOOKUP(M$87,'List Values'!$C$3:$D$6,2,FALSE)&amp;ROW(M276))),IF(M$86&lt;&gt;"","Data Source Error",""))))</f>
        <v/>
      </c>
      <c r="O276" s="187"/>
      <c r="P276" s="580"/>
      <c r="Q276" s="900" t="str">
        <f ca="1">IF(OR($H$7&lt;4,Q$260&lt;1),"",IF(P276&lt;&gt;"",P276,IFERROR(IF(INDIRECT("'"&amp;P$86&amp;"'!"&amp;VLOOKUP(P$87,'List Values'!$C$3:$D$6,2,FALSE)&amp;ROW(P276))="","",INDIRECT("'"&amp;P$86&amp;"'!"&amp;VLOOKUP(P$87,'List Values'!$C$3:$D$6,2,FALSE)&amp;ROW(P276))),IF(P$86&lt;&gt;"","Data Source Error",""))))</f>
        <v/>
      </c>
      <c r="S276" s="580"/>
      <c r="T276" s="900" t="str">
        <f ca="1">IF(OR($H$7&lt;5,T$260&lt;1),"",IF(S276&lt;&gt;"",S276,IFERROR(IF(INDIRECT("'"&amp;S$86&amp;"'!"&amp;VLOOKUP(S$87,'List Values'!$C$3:$D$6,2,FALSE)&amp;ROW(S276))="","",INDIRECT("'"&amp;S$86&amp;"'!"&amp;VLOOKUP(S$87,'List Values'!$C$3:$D$6,2,FALSE)&amp;ROW(S276))),IF(S$86&lt;&gt;"","Data Source Error",""))))</f>
        <v/>
      </c>
      <c r="V276" s="580"/>
      <c r="W276" s="911" t="str">
        <f ca="1">IF(OR($H$7&lt;6,W$260&lt;1),"",IF(V276&lt;&gt;"",V276,IFERROR(IF(INDIRECT("'"&amp;V$86&amp;"'!"&amp;VLOOKUP(V$87,'List Values'!$C$3:$D$6,2,FALSE)&amp;ROW(V276))="","",INDIRECT("'"&amp;V$86&amp;"'!"&amp;VLOOKUP(V$87,'List Values'!$C$3:$D$6,2,FALSE)&amp;ROW(V276))),IF(V$86&lt;&gt;"","Data Source Error",""))))</f>
        <v/>
      </c>
      <c r="Y276" s="2643"/>
      <c r="Z276" s="2644"/>
      <c r="AA276" s="2644"/>
      <c r="AB276" s="2645"/>
    </row>
    <row r="277" spans="1:28" ht="31" customHeight="1" outlineLevel="1">
      <c r="A277" s="512"/>
      <c r="B277" s="252"/>
      <c r="C277" s="2680" t="s">
        <v>336</v>
      </c>
      <c r="D277" s="2680"/>
      <c r="E277" s="2062"/>
      <c r="F277" s="2062"/>
      <c r="G277" s="636"/>
      <c r="H277" s="637"/>
      <c r="I277" s="187"/>
      <c r="J277" s="580"/>
      <c r="K277" s="900" t="str">
        <f ca="1">IF(OR($H$7&lt;2,K$260&lt;1),"",IF(J277&lt;&gt;"",J277,IFERROR(IF(INDIRECT("'"&amp;J$86&amp;"'!"&amp;VLOOKUP(J$87,'List Values'!$C$3:$D$6,2,FALSE)&amp;ROW(J277))="","",INDIRECT("'"&amp;J$86&amp;"'!"&amp;VLOOKUP(J$87,'List Values'!$C$3:$D$6,2,FALSE)&amp;ROW(J277))),IF(J$86&lt;&gt;"","Data Source Error",""))))</f>
        <v/>
      </c>
      <c r="L277" s="187"/>
      <c r="M277" s="580"/>
      <c r="N277" s="900" t="str">
        <f ca="1">IF(OR($H$7&lt;3,N$260&lt;1),"",IF(M277&lt;&gt;"",M277,IFERROR(IF(INDIRECT("'"&amp;M$86&amp;"'!"&amp;VLOOKUP(M$87,'List Values'!$C$3:$D$6,2,FALSE)&amp;ROW(M277))="","",INDIRECT("'"&amp;M$86&amp;"'!"&amp;VLOOKUP(M$87,'List Values'!$C$3:$D$6,2,FALSE)&amp;ROW(M277))),IF(M$86&lt;&gt;"","Data Source Error",""))))</f>
        <v/>
      </c>
      <c r="O277" s="187"/>
      <c r="P277" s="580"/>
      <c r="Q277" s="900" t="str">
        <f ca="1">IF(OR($H$7&lt;4,Q$260&lt;1),"",IF(P277&lt;&gt;"",P277,IFERROR(IF(INDIRECT("'"&amp;P$86&amp;"'!"&amp;VLOOKUP(P$87,'List Values'!$C$3:$D$6,2,FALSE)&amp;ROW(P277))="","",INDIRECT("'"&amp;P$86&amp;"'!"&amp;VLOOKUP(P$87,'List Values'!$C$3:$D$6,2,FALSE)&amp;ROW(P277))),IF(P$86&lt;&gt;"","Data Source Error",""))))</f>
        <v/>
      </c>
      <c r="S277" s="580"/>
      <c r="T277" s="900" t="str">
        <f ca="1">IF(OR($H$7&lt;5,T$260&lt;1),"",IF(S277&lt;&gt;"",S277,IFERROR(IF(INDIRECT("'"&amp;S$86&amp;"'!"&amp;VLOOKUP(S$87,'List Values'!$C$3:$D$6,2,FALSE)&amp;ROW(S277))="","",INDIRECT("'"&amp;S$86&amp;"'!"&amp;VLOOKUP(S$87,'List Values'!$C$3:$D$6,2,FALSE)&amp;ROW(S277))),IF(S$86&lt;&gt;"","Data Source Error",""))))</f>
        <v/>
      </c>
      <c r="V277" s="580"/>
      <c r="W277" s="911" t="str">
        <f ca="1">IF(OR($H$7&lt;6,W$260&lt;1),"",IF(V277&lt;&gt;"",V277,IFERROR(IF(INDIRECT("'"&amp;V$86&amp;"'!"&amp;VLOOKUP(V$87,'List Values'!$C$3:$D$6,2,FALSE)&amp;ROW(V277))="","",INDIRECT("'"&amp;V$86&amp;"'!"&amp;VLOOKUP(V$87,'List Values'!$C$3:$D$6,2,FALSE)&amp;ROW(V277))),IF(V$86&lt;&gt;"","Data Source Error",""))))</f>
        <v/>
      </c>
      <c r="Y277" s="2643"/>
      <c r="Z277" s="2644"/>
      <c r="AA277" s="2644"/>
      <c r="AB277" s="2645"/>
    </row>
    <row r="278" spans="1:28" ht="33" customHeight="1" outlineLevel="1">
      <c r="A278" s="512"/>
      <c r="B278" s="252"/>
      <c r="C278" s="2680" t="s">
        <v>337</v>
      </c>
      <c r="D278" s="2680"/>
      <c r="E278" s="2062"/>
      <c r="F278" s="2062"/>
      <c r="G278" s="636"/>
      <c r="H278" s="637"/>
      <c r="I278" s="187"/>
      <c r="J278" s="580"/>
      <c r="K278" s="900" t="str">
        <f ca="1">IF(OR($H$7&lt;2,K$260&lt;1),"",IF(J278&lt;&gt;"",J278,IFERROR(IF(INDIRECT("'"&amp;J$86&amp;"'!"&amp;VLOOKUP(J$87,'List Values'!$C$3:$D$6,2,FALSE)&amp;ROW(J278))="","",INDIRECT("'"&amp;J$86&amp;"'!"&amp;VLOOKUP(J$87,'List Values'!$C$3:$D$6,2,FALSE)&amp;ROW(J278))),IF(J$86&lt;&gt;"","Data Source Error",""))))</f>
        <v/>
      </c>
      <c r="L278" s="187"/>
      <c r="M278" s="580"/>
      <c r="N278" s="900" t="str">
        <f ca="1">IF(OR($H$7&lt;3,N$260&lt;1),"",IF(M278&lt;&gt;"",M278,IFERROR(IF(INDIRECT("'"&amp;M$86&amp;"'!"&amp;VLOOKUP(M$87,'List Values'!$C$3:$D$6,2,FALSE)&amp;ROW(M278))="","",INDIRECT("'"&amp;M$86&amp;"'!"&amp;VLOOKUP(M$87,'List Values'!$C$3:$D$6,2,FALSE)&amp;ROW(M278))),IF(M$86&lt;&gt;"","Data Source Error",""))))</f>
        <v/>
      </c>
      <c r="O278" s="187"/>
      <c r="P278" s="580"/>
      <c r="Q278" s="900" t="str">
        <f ca="1">IF(OR($H$7&lt;4,Q$260&lt;1),"",IF(P278&lt;&gt;"",P278,IFERROR(IF(INDIRECT("'"&amp;P$86&amp;"'!"&amp;VLOOKUP(P$87,'List Values'!$C$3:$D$6,2,FALSE)&amp;ROW(P278))="","",INDIRECT("'"&amp;P$86&amp;"'!"&amp;VLOOKUP(P$87,'List Values'!$C$3:$D$6,2,FALSE)&amp;ROW(P278))),IF(P$86&lt;&gt;"","Data Source Error",""))))</f>
        <v/>
      </c>
      <c r="S278" s="580"/>
      <c r="T278" s="900" t="str">
        <f ca="1">IF(OR($H$7&lt;5,T$260&lt;1),"",IF(S278&lt;&gt;"",S278,IFERROR(IF(INDIRECT("'"&amp;S$86&amp;"'!"&amp;VLOOKUP(S$87,'List Values'!$C$3:$D$6,2,FALSE)&amp;ROW(S278))="","",INDIRECT("'"&amp;S$86&amp;"'!"&amp;VLOOKUP(S$87,'List Values'!$C$3:$D$6,2,FALSE)&amp;ROW(S278))),IF(S$86&lt;&gt;"","Data Source Error",""))))</f>
        <v/>
      </c>
      <c r="V278" s="580"/>
      <c r="W278" s="911" t="str">
        <f ca="1">IF(OR($H$7&lt;6,W$260&lt;1),"",IF(V278&lt;&gt;"",V278,IFERROR(IF(INDIRECT("'"&amp;V$86&amp;"'!"&amp;VLOOKUP(V$87,'List Values'!$C$3:$D$6,2,FALSE)&amp;ROW(V278))="","",INDIRECT("'"&amp;V$86&amp;"'!"&amp;VLOOKUP(V$87,'List Values'!$C$3:$D$6,2,FALSE)&amp;ROW(V278))),IF(V$86&lt;&gt;"","Data Source Error",""))))</f>
        <v/>
      </c>
      <c r="Y278" s="2643"/>
      <c r="Z278" s="2644"/>
      <c r="AA278" s="2644"/>
      <c r="AB278" s="2645"/>
    </row>
    <row r="279" spans="1:28" ht="33" customHeight="1" outlineLevel="1">
      <c r="A279" s="512"/>
      <c r="B279" s="252"/>
      <c r="C279" s="2680" t="s">
        <v>338</v>
      </c>
      <c r="D279" s="2680"/>
      <c r="E279" s="2062"/>
      <c r="F279" s="2062"/>
      <c r="G279" s="636"/>
      <c r="H279" s="637"/>
      <c r="I279" s="187"/>
      <c r="J279" s="580"/>
      <c r="K279" s="900" t="str">
        <f ca="1">IF(OR($H$7&lt;2,K$260&lt;1),"",IF(J279&lt;&gt;"",J279,IFERROR(IF(INDIRECT("'"&amp;J$86&amp;"'!"&amp;VLOOKUP(J$87,'List Values'!$C$3:$D$6,2,FALSE)&amp;ROW(J279))="","",INDIRECT("'"&amp;J$86&amp;"'!"&amp;VLOOKUP(J$87,'List Values'!$C$3:$D$6,2,FALSE)&amp;ROW(J279))),IF(J$86&lt;&gt;"","Data Source Error",""))))</f>
        <v/>
      </c>
      <c r="L279" s="187"/>
      <c r="M279" s="580"/>
      <c r="N279" s="900" t="str">
        <f ca="1">IF(OR($H$7&lt;3,N$260&lt;1),"",IF(M279&lt;&gt;"",M279,IFERROR(IF(INDIRECT("'"&amp;M$86&amp;"'!"&amp;VLOOKUP(M$87,'List Values'!$C$3:$D$6,2,FALSE)&amp;ROW(M279))="","",INDIRECT("'"&amp;M$86&amp;"'!"&amp;VLOOKUP(M$87,'List Values'!$C$3:$D$6,2,FALSE)&amp;ROW(M279))),IF(M$86&lt;&gt;"","Data Source Error",""))))</f>
        <v/>
      </c>
      <c r="O279" s="187"/>
      <c r="P279" s="580"/>
      <c r="Q279" s="900" t="str">
        <f ca="1">IF(OR($H$7&lt;4,Q$260&lt;1),"",IF(P279&lt;&gt;"",P279,IFERROR(IF(INDIRECT("'"&amp;P$86&amp;"'!"&amp;VLOOKUP(P$87,'List Values'!$C$3:$D$6,2,FALSE)&amp;ROW(P279))="","",INDIRECT("'"&amp;P$86&amp;"'!"&amp;VLOOKUP(P$87,'List Values'!$C$3:$D$6,2,FALSE)&amp;ROW(P279))),IF(P$86&lt;&gt;"","Data Source Error",""))))</f>
        <v/>
      </c>
      <c r="S279" s="580"/>
      <c r="T279" s="900" t="str">
        <f ca="1">IF(OR($H$7&lt;5,T$260&lt;1),"",IF(S279&lt;&gt;"",S279,IFERROR(IF(INDIRECT("'"&amp;S$86&amp;"'!"&amp;VLOOKUP(S$87,'List Values'!$C$3:$D$6,2,FALSE)&amp;ROW(S279))="","",INDIRECT("'"&amp;S$86&amp;"'!"&amp;VLOOKUP(S$87,'List Values'!$C$3:$D$6,2,FALSE)&amp;ROW(S279))),IF(S$86&lt;&gt;"","Data Source Error",""))))</f>
        <v/>
      </c>
      <c r="V279" s="580"/>
      <c r="W279" s="911" t="str">
        <f ca="1">IF(OR($H$7&lt;6,W$260&lt;1),"",IF(V279&lt;&gt;"",V279,IFERROR(IF(INDIRECT("'"&amp;V$86&amp;"'!"&amp;VLOOKUP(V$87,'List Values'!$C$3:$D$6,2,FALSE)&amp;ROW(V279))="","",INDIRECT("'"&amp;V$86&amp;"'!"&amp;VLOOKUP(V$87,'List Values'!$C$3:$D$6,2,FALSE)&amp;ROW(V279))),IF(V$86&lt;&gt;"","Data Source Error",""))))</f>
        <v/>
      </c>
      <c r="Y279" s="2643"/>
      <c r="Z279" s="2644"/>
      <c r="AA279" s="2644"/>
      <c r="AB279" s="2645"/>
    </row>
    <row r="280" spans="1:28" ht="15.75" customHeight="1" outlineLevel="1">
      <c r="A280" s="512"/>
      <c r="B280" s="252"/>
      <c r="C280" s="2680" t="s">
        <v>650</v>
      </c>
      <c r="D280" s="2680"/>
      <c r="E280" s="2062"/>
      <c r="F280" s="2062"/>
      <c r="G280" s="636"/>
      <c r="H280" s="637"/>
      <c r="I280" s="187"/>
      <c r="J280" s="580"/>
      <c r="K280" s="900" t="str">
        <f ca="1">IF(OR($H$7&lt;2,K$260&lt;1),"",IF(J280&lt;&gt;"",J280,IFERROR(IF(INDIRECT("'"&amp;J$86&amp;"'!"&amp;VLOOKUP(J$87,'List Values'!$C$3:$D$6,2,FALSE)&amp;ROW(J280))="","",INDIRECT("'"&amp;J$86&amp;"'!"&amp;VLOOKUP(J$87,'List Values'!$C$3:$D$6,2,FALSE)&amp;ROW(J280))),IF(J$86&lt;&gt;"","Data Source Error",""))))</f>
        <v/>
      </c>
      <c r="L280" s="187"/>
      <c r="M280" s="580"/>
      <c r="N280" s="900" t="str">
        <f ca="1">IF(OR($H$7&lt;3,N$260&lt;1),"",IF(M280&lt;&gt;"",M280,IFERROR(IF(INDIRECT("'"&amp;M$86&amp;"'!"&amp;VLOOKUP(M$87,'List Values'!$C$3:$D$6,2,FALSE)&amp;ROW(M280))="","",INDIRECT("'"&amp;M$86&amp;"'!"&amp;VLOOKUP(M$87,'List Values'!$C$3:$D$6,2,FALSE)&amp;ROW(M280))),IF(M$86&lt;&gt;"","Data Source Error",""))))</f>
        <v/>
      </c>
      <c r="O280" s="187"/>
      <c r="P280" s="580"/>
      <c r="Q280" s="900" t="str">
        <f ca="1">IF(OR($H$7&lt;4,Q$260&lt;1),"",IF(P280&lt;&gt;"",P280,IFERROR(IF(INDIRECT("'"&amp;P$86&amp;"'!"&amp;VLOOKUP(P$87,'List Values'!$C$3:$D$6,2,FALSE)&amp;ROW(P280))="","",INDIRECT("'"&amp;P$86&amp;"'!"&amp;VLOOKUP(P$87,'List Values'!$C$3:$D$6,2,FALSE)&amp;ROW(P280))),IF(P$86&lt;&gt;"","Data Source Error",""))))</f>
        <v/>
      </c>
      <c r="S280" s="580"/>
      <c r="T280" s="900" t="str">
        <f ca="1">IF(OR($H$7&lt;5,T$260&lt;1),"",IF(S280&lt;&gt;"",S280,IFERROR(IF(INDIRECT("'"&amp;S$86&amp;"'!"&amp;VLOOKUP(S$87,'List Values'!$C$3:$D$6,2,FALSE)&amp;ROW(S280))="","",INDIRECT("'"&amp;S$86&amp;"'!"&amp;VLOOKUP(S$87,'List Values'!$C$3:$D$6,2,FALSE)&amp;ROW(S280))),IF(S$86&lt;&gt;"","Data Source Error",""))))</f>
        <v/>
      </c>
      <c r="V280" s="580"/>
      <c r="W280" s="911" t="str">
        <f ca="1">IF(OR($H$7&lt;6,W$260&lt;1),"",IF(V280&lt;&gt;"",V280,IFERROR(IF(INDIRECT("'"&amp;V$86&amp;"'!"&amp;VLOOKUP(V$87,'List Values'!$C$3:$D$6,2,FALSE)&amp;ROW(V280))="","",INDIRECT("'"&amp;V$86&amp;"'!"&amp;VLOOKUP(V$87,'List Values'!$C$3:$D$6,2,FALSE)&amp;ROW(V280))),IF(V$86&lt;&gt;"","Data Source Error",""))))</f>
        <v/>
      </c>
      <c r="Y280" s="2643"/>
      <c r="Z280" s="2644"/>
      <c r="AA280" s="2644"/>
      <c r="AB280" s="2645"/>
    </row>
    <row r="281" spans="1:28" ht="31" customHeight="1" outlineLevel="1">
      <c r="A281" s="512"/>
      <c r="B281" s="252"/>
      <c r="C281" s="2680" t="s">
        <v>651</v>
      </c>
      <c r="D281" s="2680"/>
      <c r="E281" s="238"/>
      <c r="F281" s="238"/>
      <c r="G281" s="638"/>
      <c r="H281" s="639"/>
      <c r="I281" s="184"/>
      <c r="J281" s="624"/>
      <c r="K281" s="941" t="str">
        <f ca="1">IF(OR($H$7&lt;2,K$260&lt;1),"",IF(J281&lt;&gt;"",J281,IFERROR(IF(INDIRECT("'"&amp;J$86&amp;"'!"&amp;VLOOKUP(J$87,'List Values'!$C$3:$D$6,2,FALSE)&amp;ROW(J281))="","",INDIRECT("'"&amp;J$86&amp;"'!"&amp;VLOOKUP(J$87,'List Values'!$C$3:$D$6,2,FALSE)&amp;ROW(J281))),IF(J$86&lt;&gt;"","Data Source Error",""))))</f>
        <v/>
      </c>
      <c r="L281" s="184"/>
      <c r="M281" s="624"/>
      <c r="N281" s="941" t="str">
        <f ca="1">IF(OR($H$7&lt;3,N$260&lt;1),"",IF(M281&lt;&gt;"",M281,IFERROR(IF(INDIRECT("'"&amp;M$86&amp;"'!"&amp;VLOOKUP(M$87,'List Values'!$C$3:$D$6,2,FALSE)&amp;ROW(M281))="","",INDIRECT("'"&amp;M$86&amp;"'!"&amp;VLOOKUP(M$87,'List Values'!$C$3:$D$6,2,FALSE)&amp;ROW(M281))),IF(M$86&lt;&gt;"","Data Source Error",""))))</f>
        <v/>
      </c>
      <c r="O281" s="184"/>
      <c r="P281" s="624"/>
      <c r="Q281" s="941" t="str">
        <f ca="1">IF(OR($H$7&lt;4,Q$260&lt;1),"",IF(P281&lt;&gt;"",P281,IFERROR(IF(INDIRECT("'"&amp;P$86&amp;"'!"&amp;VLOOKUP(P$87,'List Values'!$C$3:$D$6,2,FALSE)&amp;ROW(P281))="","",INDIRECT("'"&amp;P$86&amp;"'!"&amp;VLOOKUP(P$87,'List Values'!$C$3:$D$6,2,FALSE)&amp;ROW(P281))),IF(P$86&lt;&gt;"","Data Source Error",""))))</f>
        <v/>
      </c>
      <c r="S281" s="624"/>
      <c r="T281" s="941" t="str">
        <f ca="1">IF(OR($H$7&lt;5,T$260&lt;1),"",IF(S281&lt;&gt;"",S281,IFERROR(IF(INDIRECT("'"&amp;S$86&amp;"'!"&amp;VLOOKUP(S$87,'List Values'!$C$3:$D$6,2,FALSE)&amp;ROW(S281))="","",INDIRECT("'"&amp;S$86&amp;"'!"&amp;VLOOKUP(S$87,'List Values'!$C$3:$D$6,2,FALSE)&amp;ROW(S281))),IF(S$86&lt;&gt;"","Data Source Error",""))))</f>
        <v/>
      </c>
      <c r="V281" s="624"/>
      <c r="W281" s="947" t="str">
        <f ca="1">IF(OR($H$7&lt;6,W$260&lt;1),"",IF(V281&lt;&gt;"",V281,IFERROR(IF(INDIRECT("'"&amp;V$86&amp;"'!"&amp;VLOOKUP(V$87,'List Values'!$C$3:$D$6,2,FALSE)&amp;ROW(V281))="","",INDIRECT("'"&amp;V$86&amp;"'!"&amp;VLOOKUP(V$87,'List Values'!$C$3:$D$6,2,FALSE)&amp;ROW(V281))),IF(V$86&lt;&gt;"","Data Source Error",""))))</f>
        <v/>
      </c>
      <c r="Y281" s="2643"/>
      <c r="Z281" s="2644"/>
      <c r="AA281" s="2644"/>
      <c r="AB281" s="2645"/>
    </row>
    <row r="282" spans="1:28" ht="21" customHeight="1">
      <c r="A282" s="808"/>
      <c r="B282" s="612" t="s">
        <v>620</v>
      </c>
      <c r="C282" s="604"/>
      <c r="D282" s="604"/>
      <c r="E282" s="614"/>
      <c r="F282" s="608"/>
      <c r="G282" s="615"/>
      <c r="H282" s="611"/>
      <c r="I282" s="608"/>
      <c r="J282" s="610"/>
      <c r="K282" s="970"/>
      <c r="L282" s="608"/>
      <c r="M282" s="610"/>
      <c r="N282" s="970"/>
      <c r="O282" s="608"/>
      <c r="P282" s="610"/>
      <c r="Q282" s="970"/>
      <c r="R282" s="608"/>
      <c r="S282" s="610"/>
      <c r="T282" s="970"/>
      <c r="U282" s="608"/>
      <c r="V282" s="610"/>
      <c r="W282" s="970"/>
      <c r="Y282" s="631"/>
      <c r="Z282" s="631"/>
      <c r="AA282" s="631"/>
      <c r="AB282" s="631"/>
    </row>
    <row r="283" spans="1:28" ht="15.75" customHeight="1" outlineLevel="1">
      <c r="A283" s="513"/>
      <c r="B283" s="252"/>
      <c r="C283" s="2580" t="s">
        <v>625</v>
      </c>
      <c r="D283" s="2580"/>
      <c r="E283" s="202"/>
      <c r="F283" s="202"/>
      <c r="G283" s="634"/>
      <c r="H283" s="635"/>
      <c r="I283" s="183"/>
      <c r="J283" s="628"/>
      <c r="K283" s="967" t="str">
        <f ca="1">IF(OR($H$7&lt;2,K$260&lt;2),"",IF(J283&lt;&gt;"",J283,IFERROR(IF(INDIRECT("'"&amp;J$86&amp;"'!"&amp;VLOOKUP(J$87,'List Values'!$C$3:$D$6,2,FALSE)&amp;ROW(J283))="","",INDIRECT("'"&amp;J$86&amp;"'!"&amp;VLOOKUP(J$87,'List Values'!$C$3:$D$6,2,FALSE)&amp;ROW(J283))),IF(J$86&lt;&gt;"","Data Source Error",""))))</f>
        <v/>
      </c>
      <c r="L283" s="629"/>
      <c r="M283" s="628"/>
      <c r="N283" s="967" t="str">
        <f ca="1">IF(OR($H$7&lt;3,N$260&lt;2),"",IF(M283&lt;&gt;"",M283,IFERROR(IF(INDIRECT("'"&amp;M$86&amp;"'!"&amp;VLOOKUP(M$87,'List Values'!$C$3:$D$6,2,FALSE)&amp;ROW(M283))="","",INDIRECT("'"&amp;M$86&amp;"'!"&amp;VLOOKUP(M$87,'List Values'!$C$3:$D$6,2,FALSE)&amp;ROW(M283))),IF(M$86&lt;&gt;"","Data Source Error",""))))</f>
        <v/>
      </c>
      <c r="O283" s="629"/>
      <c r="P283" s="628"/>
      <c r="Q283" s="967" t="str">
        <f ca="1">IF(OR($H$7&lt;4,Q$260&lt;2),"",IF(P283&lt;&gt;"",P283,IFERROR(IF(INDIRECT("'"&amp;P$86&amp;"'!"&amp;VLOOKUP(P$87,'List Values'!$C$3:$D$6,2,FALSE)&amp;ROW(P283))="","",INDIRECT("'"&amp;P$86&amp;"'!"&amp;VLOOKUP(P$87,'List Values'!$C$3:$D$6,2,FALSE)&amp;ROW(P283))),IF(P$86&lt;&gt;"","Data Source Error",""))))</f>
        <v/>
      </c>
      <c r="R283" s="147"/>
      <c r="S283" s="628"/>
      <c r="T283" s="967" t="str">
        <f ca="1">IF(OR($H$7&lt;5,T$260&lt;2),"",IF(S283&lt;&gt;"",S283,IFERROR(IF(INDIRECT("'"&amp;S$86&amp;"'!"&amp;VLOOKUP(S$87,'List Values'!$C$3:$D$6,2,FALSE)&amp;ROW(S283))="","",INDIRECT("'"&amp;S$86&amp;"'!"&amp;VLOOKUP(S$87,'List Values'!$C$3:$D$6,2,FALSE)&amp;ROW(S283))),IF(S$86&lt;&gt;"","Data Source Error",""))))</f>
        <v/>
      </c>
      <c r="U283" s="147"/>
      <c r="V283" s="628"/>
      <c r="W283" s="973" t="str">
        <f ca="1">IF(OR($H$7&lt;6,W$260&lt;2),"",IF(V283&lt;&gt;"",V283,IFERROR(IF(INDIRECT("'"&amp;V$86&amp;"'!"&amp;VLOOKUP(V$87,'List Values'!$C$3:$D$6,2,FALSE)&amp;ROW(V283))="","",INDIRECT("'"&amp;V$86&amp;"'!"&amp;VLOOKUP(V$87,'List Values'!$C$3:$D$6,2,FALSE)&amp;ROW(V283))),IF(V$86&lt;&gt;"","Data Source Error",""))))</f>
        <v/>
      </c>
      <c r="Y283" s="2643"/>
      <c r="Z283" s="2644"/>
      <c r="AA283" s="2644"/>
      <c r="AB283" s="2645"/>
    </row>
    <row r="284" spans="1:28" ht="15.75" customHeight="1" outlineLevel="1">
      <c r="A284" s="513"/>
      <c r="B284" s="252"/>
      <c r="C284" s="2680" t="s">
        <v>626</v>
      </c>
      <c r="D284" s="2680"/>
      <c r="E284" s="2062"/>
      <c r="F284" s="2062"/>
      <c r="G284" s="636"/>
      <c r="H284" s="637"/>
      <c r="I284" s="187"/>
      <c r="J284" s="526"/>
      <c r="K284" s="900" t="str">
        <f ca="1">IF(OR($H$7&lt;2,K$260&lt;2),"",IF(J284&lt;&gt;"",J284,IFERROR(IF(INDIRECT("'"&amp;J$86&amp;"'!"&amp;VLOOKUP(J$87,'List Values'!$C$3:$D$6,2,FALSE)&amp;ROW(J284))="","",INDIRECT("'"&amp;J$86&amp;"'!"&amp;VLOOKUP(J$87,'List Values'!$C$3:$D$6,2,FALSE)&amp;ROW(J284))),IF(J$86&lt;&gt;"","Data Source Error",""))))</f>
        <v/>
      </c>
      <c r="L284" s="187"/>
      <c r="M284" s="526"/>
      <c r="N284" s="900" t="str">
        <f ca="1">IF(OR($H$7&lt;3,N$260&lt;2),"",IF(M284&lt;&gt;"",M284,IFERROR(IF(INDIRECT("'"&amp;M$86&amp;"'!"&amp;VLOOKUP(M$87,'List Values'!$C$3:$D$6,2,FALSE)&amp;ROW(M284))="","",INDIRECT("'"&amp;M$86&amp;"'!"&amp;VLOOKUP(M$87,'List Values'!$C$3:$D$6,2,FALSE)&amp;ROW(M284))),IF(M$86&lt;&gt;"","Data Source Error",""))))</f>
        <v/>
      </c>
      <c r="O284" s="187"/>
      <c r="P284" s="526"/>
      <c r="Q284" s="900" t="str">
        <f ca="1">IF(OR($H$7&lt;4,Q$260&lt;2),"",IF(P284&lt;&gt;"",P284,IFERROR(IF(INDIRECT("'"&amp;P$86&amp;"'!"&amp;VLOOKUP(P$87,'List Values'!$C$3:$D$6,2,FALSE)&amp;ROW(P284))="","",INDIRECT("'"&amp;P$86&amp;"'!"&amp;VLOOKUP(P$87,'List Values'!$C$3:$D$6,2,FALSE)&amp;ROW(P284))),IF(P$86&lt;&gt;"","Data Source Error",""))))</f>
        <v/>
      </c>
      <c r="S284" s="526"/>
      <c r="T284" s="900" t="str">
        <f ca="1">IF(OR($H$7&lt;5,T$260&lt;2),"",IF(S284&lt;&gt;"",S284,IFERROR(IF(INDIRECT("'"&amp;S$86&amp;"'!"&amp;VLOOKUP(S$87,'List Values'!$C$3:$D$6,2,FALSE)&amp;ROW(S284))="","",INDIRECT("'"&amp;S$86&amp;"'!"&amp;VLOOKUP(S$87,'List Values'!$C$3:$D$6,2,FALSE)&amp;ROW(S284))),IF(S$86&lt;&gt;"","Data Source Error",""))))</f>
        <v/>
      </c>
      <c r="V284" s="526"/>
      <c r="W284" s="911" t="str">
        <f ca="1">IF(OR($H$7&lt;6,W$260&lt;2),"",IF(V284&lt;&gt;"",V284,IFERROR(IF(INDIRECT("'"&amp;V$86&amp;"'!"&amp;VLOOKUP(V$87,'List Values'!$C$3:$D$6,2,FALSE)&amp;ROW(V284))="","",INDIRECT("'"&amp;V$86&amp;"'!"&amp;VLOOKUP(V$87,'List Values'!$C$3:$D$6,2,FALSE)&amp;ROW(V284))),IF(V$86&lt;&gt;"","Data Source Error",""))))</f>
        <v/>
      </c>
      <c r="Y284" s="2643"/>
      <c r="Z284" s="2644"/>
      <c r="AA284" s="2644"/>
      <c r="AB284" s="2645"/>
    </row>
    <row r="285" spans="1:28" ht="31" customHeight="1" outlineLevel="1">
      <c r="A285" s="513"/>
      <c r="B285" s="252"/>
      <c r="C285" s="2680" t="s">
        <v>627</v>
      </c>
      <c r="D285" s="2680"/>
      <c r="E285" s="2062"/>
      <c r="F285" s="2062"/>
      <c r="G285" s="636"/>
      <c r="H285" s="637"/>
      <c r="I285" s="187"/>
      <c r="J285" s="561"/>
      <c r="K285" s="900" t="str">
        <f ca="1">IF(OR($H$7&lt;2,K$260&lt;2),"",IF(J285&lt;&gt;"",J285,IFERROR(IF(INDIRECT("'"&amp;J$86&amp;"'!"&amp;VLOOKUP(J$87,'List Values'!$C$3:$D$6,2,FALSE)&amp;ROW(J285))="","",INDIRECT("'"&amp;J$86&amp;"'!"&amp;VLOOKUP(J$87,'List Values'!$C$3:$D$6,2,FALSE)&amp;ROW(J285))),IF(J$86&lt;&gt;"","Data Source Error",""))))</f>
        <v/>
      </c>
      <c r="L285" s="187"/>
      <c r="M285" s="561"/>
      <c r="N285" s="900" t="str">
        <f ca="1">IF(OR($H$7&lt;3,N$260&lt;2),"",IF(M285&lt;&gt;"",M285,IFERROR(IF(INDIRECT("'"&amp;M$86&amp;"'!"&amp;VLOOKUP(M$87,'List Values'!$C$3:$D$6,2,FALSE)&amp;ROW(M285))="","",INDIRECT("'"&amp;M$86&amp;"'!"&amp;VLOOKUP(M$87,'List Values'!$C$3:$D$6,2,FALSE)&amp;ROW(M285))),IF(M$86&lt;&gt;"","Data Source Error",""))))</f>
        <v/>
      </c>
      <c r="O285" s="187"/>
      <c r="P285" s="561"/>
      <c r="Q285" s="900" t="str">
        <f ca="1">IF(OR($H$7&lt;4,Q$260&lt;2),"",IF(P285&lt;&gt;"",P285,IFERROR(IF(INDIRECT("'"&amp;P$86&amp;"'!"&amp;VLOOKUP(P$87,'List Values'!$C$3:$D$6,2,FALSE)&amp;ROW(P285))="","",INDIRECT("'"&amp;P$86&amp;"'!"&amp;VLOOKUP(P$87,'List Values'!$C$3:$D$6,2,FALSE)&amp;ROW(P285))),IF(P$86&lt;&gt;"","Data Source Error",""))))</f>
        <v/>
      </c>
      <c r="S285" s="561"/>
      <c r="T285" s="900" t="str">
        <f ca="1">IF(OR($H$7&lt;5,T$260&lt;2),"",IF(S285&lt;&gt;"",S285,IFERROR(IF(INDIRECT("'"&amp;S$86&amp;"'!"&amp;VLOOKUP(S$87,'List Values'!$C$3:$D$6,2,FALSE)&amp;ROW(S285))="","",INDIRECT("'"&amp;S$86&amp;"'!"&amp;VLOOKUP(S$87,'List Values'!$C$3:$D$6,2,FALSE)&amp;ROW(S285))),IF(S$86&lt;&gt;"","Data Source Error",""))))</f>
        <v/>
      </c>
      <c r="V285" s="561"/>
      <c r="W285" s="911" t="str">
        <f ca="1">IF(OR($H$7&lt;6,W$260&lt;2),"",IF(V285&lt;&gt;"",V285,IFERROR(IF(INDIRECT("'"&amp;V$86&amp;"'!"&amp;VLOOKUP(V$87,'List Values'!$C$3:$D$6,2,FALSE)&amp;ROW(V285))="","",INDIRECT("'"&amp;V$86&amp;"'!"&amp;VLOOKUP(V$87,'List Values'!$C$3:$D$6,2,FALSE)&amp;ROW(V285))),IF(V$86&lt;&gt;"","Data Source Error",""))))</f>
        <v/>
      </c>
      <c r="Y285" s="2643"/>
      <c r="Z285" s="2644"/>
      <c r="AA285" s="2644"/>
      <c r="AB285" s="2645"/>
    </row>
    <row r="286" spans="1:28" ht="31" customHeight="1" outlineLevel="1">
      <c r="A286" s="513"/>
      <c r="B286" s="252"/>
      <c r="C286" s="2684" t="s">
        <v>628</v>
      </c>
      <c r="D286" s="2684"/>
      <c r="E286" s="2062"/>
      <c r="F286" s="2062"/>
      <c r="G286" s="636"/>
      <c r="H286" s="637"/>
      <c r="I286" s="187"/>
      <c r="J286" s="526"/>
      <c r="K286" s="900" t="str">
        <f ca="1">IF(OR($H$7&lt;2,K$260&lt;2),"",IF(J286&lt;&gt;"",J286,IFERROR(IF(INDIRECT("'"&amp;J$86&amp;"'!"&amp;VLOOKUP(J$87,'List Values'!$C$3:$D$6,2,FALSE)&amp;ROW(J286))="","",INDIRECT("'"&amp;J$86&amp;"'!"&amp;VLOOKUP(J$87,'List Values'!$C$3:$D$6,2,FALSE)&amp;ROW(J286))),IF(J$86&lt;&gt;"","Data Source Error",""))))</f>
        <v/>
      </c>
      <c r="L286" s="187"/>
      <c r="M286" s="526"/>
      <c r="N286" s="900" t="str">
        <f ca="1">IF(OR($H$7&lt;3,N$260&lt;2),"",IF(M286&lt;&gt;"",M286,IFERROR(IF(INDIRECT("'"&amp;M$86&amp;"'!"&amp;VLOOKUP(M$87,'List Values'!$C$3:$D$6,2,FALSE)&amp;ROW(M286))="","",INDIRECT("'"&amp;M$86&amp;"'!"&amp;VLOOKUP(M$87,'List Values'!$C$3:$D$6,2,FALSE)&amp;ROW(M286))),IF(M$86&lt;&gt;"","Data Source Error",""))))</f>
        <v/>
      </c>
      <c r="O286" s="187"/>
      <c r="P286" s="526"/>
      <c r="Q286" s="900" t="str">
        <f ca="1">IF(OR($H$7&lt;4,Q$260&lt;2),"",IF(P286&lt;&gt;"",P286,IFERROR(IF(INDIRECT("'"&amp;P$86&amp;"'!"&amp;VLOOKUP(P$87,'List Values'!$C$3:$D$6,2,FALSE)&amp;ROW(P286))="","",INDIRECT("'"&amp;P$86&amp;"'!"&amp;VLOOKUP(P$87,'List Values'!$C$3:$D$6,2,FALSE)&amp;ROW(P286))),IF(P$86&lt;&gt;"","Data Source Error",""))))</f>
        <v/>
      </c>
      <c r="S286" s="526"/>
      <c r="T286" s="900" t="str">
        <f ca="1">IF(OR($H$7&lt;5,T$260&lt;2),"",IF(S286&lt;&gt;"",S286,IFERROR(IF(INDIRECT("'"&amp;S$86&amp;"'!"&amp;VLOOKUP(S$87,'List Values'!$C$3:$D$6,2,FALSE)&amp;ROW(S286))="","",INDIRECT("'"&amp;S$86&amp;"'!"&amp;VLOOKUP(S$87,'List Values'!$C$3:$D$6,2,FALSE)&amp;ROW(S286))),IF(S$86&lt;&gt;"","Data Source Error",""))))</f>
        <v/>
      </c>
      <c r="V286" s="526"/>
      <c r="W286" s="911" t="str">
        <f ca="1">IF(OR($H$7&lt;6,W$260&lt;2),"",IF(V286&lt;&gt;"",V286,IFERROR(IF(INDIRECT("'"&amp;V$86&amp;"'!"&amp;VLOOKUP(V$87,'List Values'!$C$3:$D$6,2,FALSE)&amp;ROW(V286))="","",INDIRECT("'"&amp;V$86&amp;"'!"&amp;VLOOKUP(V$87,'List Values'!$C$3:$D$6,2,FALSE)&amp;ROW(V286))),IF(V$86&lt;&gt;"","Data Source Error",""))))</f>
        <v/>
      </c>
      <c r="Y286" s="2643"/>
      <c r="Z286" s="2644"/>
      <c r="AA286" s="2644"/>
      <c r="AB286" s="2645"/>
    </row>
    <row r="287" spans="1:28" ht="33" customHeight="1" outlineLevel="1">
      <c r="A287" s="513"/>
      <c r="B287" s="252"/>
      <c r="C287" s="2684" t="s">
        <v>629</v>
      </c>
      <c r="D287" s="2684"/>
      <c r="E287" s="2062"/>
      <c r="F287" s="2062"/>
      <c r="G287" s="636"/>
      <c r="H287" s="637"/>
      <c r="I287" s="187"/>
      <c r="J287" s="568"/>
      <c r="K287" s="945" t="str">
        <f ca="1">IF(OR($H$7&lt;2,K$260&lt;2),"",IF(J287&lt;&gt;"",J287,IFERROR(IF(INDIRECT("'"&amp;J$86&amp;"'!"&amp;VLOOKUP(J$87,'List Values'!$C$3:$D$6,2,FALSE)&amp;ROW(J287))="","",INDIRECT("'"&amp;J$86&amp;"'!"&amp;VLOOKUP(J$87,'List Values'!$C$3:$D$6,2,FALSE)&amp;ROW(J287))),IF(J$86&lt;&gt;"","Data Source Error",""))))</f>
        <v/>
      </c>
      <c r="L287" s="339"/>
      <c r="M287" s="568"/>
      <c r="N287" s="945" t="str">
        <f ca="1">IF(OR($H$7&lt;3,N$260&lt;2),"",IF(M287&lt;&gt;"",M287,IFERROR(IF(INDIRECT("'"&amp;M$86&amp;"'!"&amp;VLOOKUP(M$87,'List Values'!$C$3:$D$6,2,FALSE)&amp;ROW(M287))="","",INDIRECT("'"&amp;M$86&amp;"'!"&amp;VLOOKUP(M$87,'List Values'!$C$3:$D$6,2,FALSE)&amp;ROW(M287))),IF(M$86&lt;&gt;"","Data Source Error",""))))</f>
        <v/>
      </c>
      <c r="O287" s="339"/>
      <c r="P287" s="568"/>
      <c r="Q287" s="945" t="str">
        <f ca="1">IF(OR($H$7&lt;4,Q$260&lt;2),"",IF(P287&lt;&gt;"",P287,IFERROR(IF(INDIRECT("'"&amp;P$86&amp;"'!"&amp;VLOOKUP(P$87,'List Values'!$C$3:$D$6,2,FALSE)&amp;ROW(P287))="","",INDIRECT("'"&amp;P$86&amp;"'!"&amp;VLOOKUP(P$87,'List Values'!$C$3:$D$6,2,FALSE)&amp;ROW(P287))),IF(P$86&lt;&gt;"","Data Source Error",""))))</f>
        <v/>
      </c>
      <c r="R287" s="7"/>
      <c r="S287" s="568"/>
      <c r="T287" s="945" t="str">
        <f ca="1">IF(OR($H$7&lt;5,T$260&lt;2),"",IF(S287&lt;&gt;"",S287,IFERROR(IF(INDIRECT("'"&amp;S$86&amp;"'!"&amp;VLOOKUP(S$87,'List Values'!$C$3:$D$6,2,FALSE)&amp;ROW(S287))="","",INDIRECT("'"&amp;S$86&amp;"'!"&amp;VLOOKUP(S$87,'List Values'!$C$3:$D$6,2,FALSE)&amp;ROW(S287))),IF(S$86&lt;&gt;"","Data Source Error",""))))</f>
        <v/>
      </c>
      <c r="U287" s="7"/>
      <c r="V287" s="568"/>
      <c r="W287" s="952" t="str">
        <f ca="1">IF(OR($H$7&lt;6,W$260&lt;2),"",IF(V287&lt;&gt;"",V287,IFERROR(IF(INDIRECT("'"&amp;V$86&amp;"'!"&amp;VLOOKUP(V$87,'List Values'!$C$3:$D$6,2,FALSE)&amp;ROW(V287))="","",INDIRECT("'"&amp;V$86&amp;"'!"&amp;VLOOKUP(V$87,'List Values'!$C$3:$D$6,2,FALSE)&amp;ROW(V287))),IF(V$86&lt;&gt;"","Data Source Error",""))))</f>
        <v/>
      </c>
      <c r="Y287" s="2643"/>
      <c r="Z287" s="2644"/>
      <c r="AA287" s="2644"/>
      <c r="AB287" s="2645"/>
    </row>
    <row r="288" spans="1:28" ht="15.75" customHeight="1" outlineLevel="1">
      <c r="A288" s="513"/>
      <c r="B288" s="252"/>
      <c r="C288" s="2680" t="s">
        <v>630</v>
      </c>
      <c r="D288" s="2680"/>
      <c r="E288" s="2062"/>
      <c r="F288" s="2062"/>
      <c r="G288" s="636"/>
      <c r="H288" s="637"/>
      <c r="I288" s="187"/>
      <c r="J288" s="526"/>
      <c r="K288" s="900" t="str">
        <f ca="1">IF(OR($H$7&lt;2,K$260&lt;2),"",IF(J288&lt;&gt;"",J288,IFERROR(IF(INDIRECT("'"&amp;J$86&amp;"'!"&amp;VLOOKUP(J$87,'List Values'!$C$3:$D$6,2,FALSE)&amp;ROW(J288))="","",INDIRECT("'"&amp;J$86&amp;"'!"&amp;VLOOKUP(J$87,'List Values'!$C$3:$D$6,2,FALSE)&amp;ROW(J288))),IF(J$86&lt;&gt;"","Data Source Error",""))))</f>
        <v/>
      </c>
      <c r="L288" s="187"/>
      <c r="M288" s="526"/>
      <c r="N288" s="900" t="str">
        <f ca="1">IF(OR($H$7&lt;3,N$260&lt;2),"",IF(M288&lt;&gt;"",M288,IFERROR(IF(INDIRECT("'"&amp;M$86&amp;"'!"&amp;VLOOKUP(M$87,'List Values'!$C$3:$D$6,2,FALSE)&amp;ROW(M288))="","",INDIRECT("'"&amp;M$86&amp;"'!"&amp;VLOOKUP(M$87,'List Values'!$C$3:$D$6,2,FALSE)&amp;ROW(M288))),IF(M$86&lt;&gt;"","Data Source Error",""))))</f>
        <v/>
      </c>
      <c r="O288" s="187"/>
      <c r="P288" s="526"/>
      <c r="Q288" s="900" t="str">
        <f ca="1">IF(OR($H$7&lt;4,Q$260&lt;2),"",IF(P288&lt;&gt;"",P288,IFERROR(IF(INDIRECT("'"&amp;P$86&amp;"'!"&amp;VLOOKUP(P$87,'List Values'!$C$3:$D$6,2,FALSE)&amp;ROW(P288))="","",INDIRECT("'"&amp;P$86&amp;"'!"&amp;VLOOKUP(P$87,'List Values'!$C$3:$D$6,2,FALSE)&amp;ROW(P288))),IF(P$86&lt;&gt;"","Data Source Error",""))))</f>
        <v/>
      </c>
      <c r="S288" s="526"/>
      <c r="T288" s="900" t="str">
        <f ca="1">IF(OR($H$7&lt;5,T$260&lt;2),"",IF(S288&lt;&gt;"",S288,IFERROR(IF(INDIRECT("'"&amp;S$86&amp;"'!"&amp;VLOOKUP(S$87,'List Values'!$C$3:$D$6,2,FALSE)&amp;ROW(S288))="","",INDIRECT("'"&amp;S$86&amp;"'!"&amp;VLOOKUP(S$87,'List Values'!$C$3:$D$6,2,FALSE)&amp;ROW(S288))),IF(S$86&lt;&gt;"","Data Source Error",""))))</f>
        <v/>
      </c>
      <c r="V288" s="526"/>
      <c r="W288" s="911" t="str">
        <f ca="1">IF(OR($H$7&lt;6,W$260&lt;2),"",IF(V288&lt;&gt;"",V288,IFERROR(IF(INDIRECT("'"&amp;V$86&amp;"'!"&amp;VLOOKUP(V$87,'List Values'!$C$3:$D$6,2,FALSE)&amp;ROW(V288))="","",INDIRECT("'"&amp;V$86&amp;"'!"&amp;VLOOKUP(V$87,'List Values'!$C$3:$D$6,2,FALSE)&amp;ROW(V288))),IF(V$86&lt;&gt;"","Data Source Error",""))))</f>
        <v/>
      </c>
      <c r="Y288" s="2643"/>
      <c r="Z288" s="2644"/>
      <c r="AA288" s="2644"/>
      <c r="AB288" s="2645"/>
    </row>
    <row r="289" spans="1:28" ht="31" customHeight="1" outlineLevel="1">
      <c r="A289" s="513"/>
      <c r="B289" s="252"/>
      <c r="C289" s="2684" t="s">
        <v>634</v>
      </c>
      <c r="D289" s="2684"/>
      <c r="E289" s="202"/>
      <c r="F289" s="202"/>
      <c r="G289" s="634"/>
      <c r="H289" s="635"/>
      <c r="I289" s="183"/>
      <c r="J289" s="553"/>
      <c r="K289" s="897" t="str">
        <f ca="1">IF(OR($H$7&lt;2,K$260&lt;2),"",IF(J289&lt;&gt;"",J289,IFERROR(IF(INDIRECT("'"&amp;J$86&amp;"'!"&amp;VLOOKUP(J$87,'List Values'!$C$3:$D$6,2,FALSE)&amp;ROW(J289))="","",INDIRECT("'"&amp;J$86&amp;"'!"&amp;VLOOKUP(J$87,'List Values'!$C$3:$D$6,2,FALSE)&amp;ROW(J289))),IF(J$86&lt;&gt;"","Data Source Error",""))))</f>
        <v/>
      </c>
      <c r="L289" s="183"/>
      <c r="M289" s="553"/>
      <c r="N289" s="897" t="str">
        <f ca="1">IF(OR($H$7&lt;3,N$260&lt;2),"",IF(M289&lt;&gt;"",M289,IFERROR(IF(INDIRECT("'"&amp;M$86&amp;"'!"&amp;VLOOKUP(M$87,'List Values'!$C$3:$D$6,2,FALSE)&amp;ROW(M289))="","",INDIRECT("'"&amp;M$86&amp;"'!"&amp;VLOOKUP(M$87,'List Values'!$C$3:$D$6,2,FALSE)&amp;ROW(M289))),IF(M$86&lt;&gt;"","Data Source Error",""))))</f>
        <v/>
      </c>
      <c r="O289" s="183"/>
      <c r="P289" s="553"/>
      <c r="Q289" s="897" t="str">
        <f ca="1">IF(OR($H$7&lt;4,Q$260&lt;2),"",IF(P289&lt;&gt;"",P289,IFERROR(IF(INDIRECT("'"&amp;P$86&amp;"'!"&amp;VLOOKUP(P$87,'List Values'!$C$3:$D$6,2,FALSE)&amp;ROW(P289))="","",INDIRECT("'"&amp;P$86&amp;"'!"&amp;VLOOKUP(P$87,'List Values'!$C$3:$D$6,2,FALSE)&amp;ROW(P289))),IF(P$86&lt;&gt;"","Data Source Error",""))))</f>
        <v/>
      </c>
      <c r="S289" s="553"/>
      <c r="T289" s="897" t="str">
        <f ca="1">IF(OR($H$7&lt;5,T$260&lt;2),"",IF(S289&lt;&gt;"",S289,IFERROR(IF(INDIRECT("'"&amp;S$86&amp;"'!"&amp;VLOOKUP(S$87,'List Values'!$C$3:$D$6,2,FALSE)&amp;ROW(S289))="","",INDIRECT("'"&amp;S$86&amp;"'!"&amp;VLOOKUP(S$87,'List Values'!$C$3:$D$6,2,FALSE)&amp;ROW(S289))),IF(S$86&lt;&gt;"","Data Source Error",""))))</f>
        <v/>
      </c>
      <c r="V289" s="553"/>
      <c r="W289" s="908" t="str">
        <f ca="1">IF(OR($H$7&lt;6,W$260&lt;2),"",IF(V289&lt;&gt;"",V289,IFERROR(IF(INDIRECT("'"&amp;V$86&amp;"'!"&amp;VLOOKUP(V$87,'List Values'!$C$3:$D$6,2,FALSE)&amp;ROW(V289))="","",INDIRECT("'"&amp;V$86&amp;"'!"&amp;VLOOKUP(V$87,'List Values'!$C$3:$D$6,2,FALSE)&amp;ROW(V289))),IF(V$86&lt;&gt;"","Data Source Error",""))))</f>
        <v/>
      </c>
      <c r="Y289" s="2643"/>
      <c r="Z289" s="2644"/>
      <c r="AA289" s="2644"/>
      <c r="AB289" s="2645"/>
    </row>
    <row r="290" spans="1:28" ht="31" customHeight="1" outlineLevel="1">
      <c r="A290" s="513"/>
      <c r="B290" s="252"/>
      <c r="C290" s="2680" t="s">
        <v>1551</v>
      </c>
      <c r="D290" s="2680"/>
      <c r="E290" s="2062"/>
      <c r="F290" s="2062"/>
      <c r="G290" s="636"/>
      <c r="H290" s="637"/>
      <c r="I290" s="187"/>
      <c r="J290" s="619"/>
      <c r="K290" s="898" t="str">
        <f ca="1">IF(OR($H$7&lt;2,K$260&lt;2),"",IF(J290&lt;&gt;"",J290,IFERROR(IF(INDIRECT("'"&amp;J$86&amp;"'!"&amp;VLOOKUP(J$87,'List Values'!$C$3:$D$6,2,FALSE)&amp;ROW(J290))="","",INDIRECT("'"&amp;J$86&amp;"'!"&amp;VLOOKUP(J$87,'List Values'!$C$3:$D$6,2,FALSE)&amp;ROW(J290))),IF(J$86&lt;&gt;"","Data Source Error",""))))</f>
        <v/>
      </c>
      <c r="L290" s="621"/>
      <c r="M290" s="619"/>
      <c r="N290" s="898" t="str">
        <f ca="1">IF(OR($H$7&lt;3,N$260&lt;2),"",IF(M290&lt;&gt;"",M290,IFERROR(IF(INDIRECT("'"&amp;M$86&amp;"'!"&amp;VLOOKUP(M$87,'List Values'!$C$3:$D$6,2,FALSE)&amp;ROW(M290))="","",INDIRECT("'"&amp;M$86&amp;"'!"&amp;VLOOKUP(M$87,'List Values'!$C$3:$D$6,2,FALSE)&amp;ROW(M290))),IF(M$86&lt;&gt;"","Data Source Error",""))))</f>
        <v/>
      </c>
      <c r="O290" s="621"/>
      <c r="P290" s="619"/>
      <c r="Q290" s="898" t="str">
        <f ca="1">IF(OR($H$7&lt;4,Q$260&lt;2),"",IF(P290&lt;&gt;"",P290,IFERROR(IF(INDIRECT("'"&amp;P$86&amp;"'!"&amp;VLOOKUP(P$87,'List Values'!$C$3:$D$6,2,FALSE)&amp;ROW(P290))="","",INDIRECT("'"&amp;P$86&amp;"'!"&amp;VLOOKUP(P$87,'List Values'!$C$3:$D$6,2,FALSE)&amp;ROW(P290))),IF(P$86&lt;&gt;"","Data Source Error",""))))</f>
        <v/>
      </c>
      <c r="R290" s="147"/>
      <c r="S290" s="619"/>
      <c r="T290" s="898" t="str">
        <f ca="1">IF(OR($H$7&lt;5,T$260&lt;2),"",IF(S290&lt;&gt;"",S290,IFERROR(IF(INDIRECT("'"&amp;S$86&amp;"'!"&amp;VLOOKUP(S$87,'List Values'!$C$3:$D$6,2,FALSE)&amp;ROW(S290))="","",INDIRECT("'"&amp;S$86&amp;"'!"&amp;VLOOKUP(S$87,'List Values'!$C$3:$D$6,2,FALSE)&amp;ROW(S290))),IF(S$86&lt;&gt;"","Data Source Error",""))))</f>
        <v/>
      </c>
      <c r="U290" s="147"/>
      <c r="V290" s="619"/>
      <c r="W290" s="909" t="str">
        <f ca="1">IF(OR($H$7&lt;6,W$260&lt;2),"",IF(V290&lt;&gt;"",V290,IFERROR(IF(INDIRECT("'"&amp;V$86&amp;"'!"&amp;VLOOKUP(V$87,'List Values'!$C$3:$D$6,2,FALSE)&amp;ROW(V290))="","",INDIRECT("'"&amp;V$86&amp;"'!"&amp;VLOOKUP(V$87,'List Values'!$C$3:$D$6,2,FALSE)&amp;ROW(V290))),IF(V$86&lt;&gt;"","Data Source Error",""))))</f>
        <v/>
      </c>
      <c r="Y290" s="2643"/>
      <c r="Z290" s="2644"/>
      <c r="AA290" s="2644"/>
      <c r="AB290" s="2645"/>
    </row>
    <row r="291" spans="1:28" ht="31" customHeight="1" outlineLevel="1">
      <c r="A291" s="513"/>
      <c r="B291" s="252"/>
      <c r="C291" s="2680" t="s">
        <v>1552</v>
      </c>
      <c r="D291" s="2680"/>
      <c r="E291" s="2062"/>
      <c r="F291" s="2062"/>
      <c r="G291" s="636"/>
      <c r="H291" s="637"/>
      <c r="I291" s="187"/>
      <c r="J291" s="619"/>
      <c r="K291" s="898" t="str">
        <f ca="1">IF(OR($H$7&lt;2,K$260&lt;2),"",IF(J291&lt;&gt;"",J291,IFERROR(IF(INDIRECT("'"&amp;J$86&amp;"'!"&amp;VLOOKUP(J$87,'List Values'!$C$3:$D$6,2,FALSE)&amp;ROW(J291))="","",INDIRECT("'"&amp;J$86&amp;"'!"&amp;VLOOKUP(J$87,'List Values'!$C$3:$D$6,2,FALSE)&amp;ROW(J291))),IF(J$86&lt;&gt;"","Data Source Error",""))))</f>
        <v/>
      </c>
      <c r="L291" s="621"/>
      <c r="M291" s="619"/>
      <c r="N291" s="898" t="str">
        <f ca="1">IF(OR($H$7&lt;3,N$260&lt;2),"",IF(M291&lt;&gt;"",M291,IFERROR(IF(INDIRECT("'"&amp;M$86&amp;"'!"&amp;VLOOKUP(M$87,'List Values'!$C$3:$D$6,2,FALSE)&amp;ROW(M291))="","",INDIRECT("'"&amp;M$86&amp;"'!"&amp;VLOOKUP(M$87,'List Values'!$C$3:$D$6,2,FALSE)&amp;ROW(M291))),IF(M$86&lt;&gt;"","Data Source Error",""))))</f>
        <v/>
      </c>
      <c r="O291" s="621"/>
      <c r="P291" s="619"/>
      <c r="Q291" s="898" t="str">
        <f ca="1">IF(OR($H$7&lt;4,Q$260&lt;2),"",IF(P291&lt;&gt;"",P291,IFERROR(IF(INDIRECT("'"&amp;P$86&amp;"'!"&amp;VLOOKUP(P$87,'List Values'!$C$3:$D$6,2,FALSE)&amp;ROW(P291))="","",INDIRECT("'"&amp;P$86&amp;"'!"&amp;VLOOKUP(P$87,'List Values'!$C$3:$D$6,2,FALSE)&amp;ROW(P291))),IF(P$86&lt;&gt;"","Data Source Error",""))))</f>
        <v/>
      </c>
      <c r="R291" s="147"/>
      <c r="S291" s="619"/>
      <c r="T291" s="898" t="str">
        <f ca="1">IF(OR($H$7&lt;5,T$260&lt;2),"",IF(S291&lt;&gt;"",S291,IFERROR(IF(INDIRECT("'"&amp;S$86&amp;"'!"&amp;VLOOKUP(S$87,'List Values'!$C$3:$D$6,2,FALSE)&amp;ROW(S291))="","",INDIRECT("'"&amp;S$86&amp;"'!"&amp;VLOOKUP(S$87,'List Values'!$C$3:$D$6,2,FALSE)&amp;ROW(S291))),IF(S$86&lt;&gt;"","Data Source Error",""))))</f>
        <v/>
      </c>
      <c r="U291" s="147"/>
      <c r="V291" s="619"/>
      <c r="W291" s="909" t="str">
        <f ca="1">IF(OR($H$7&lt;6,W$260&lt;2),"",IF(V291&lt;&gt;"",V291,IFERROR(IF(INDIRECT("'"&amp;V$86&amp;"'!"&amp;VLOOKUP(V$87,'List Values'!$C$3:$D$6,2,FALSE)&amp;ROW(V291))="","",INDIRECT("'"&amp;V$86&amp;"'!"&amp;VLOOKUP(V$87,'List Values'!$C$3:$D$6,2,FALSE)&amp;ROW(V291))),IF(V$86&lt;&gt;"","Data Source Error",""))))</f>
        <v/>
      </c>
      <c r="Y291" s="2643"/>
      <c r="Z291" s="2644"/>
      <c r="AA291" s="2644"/>
      <c r="AB291" s="2645"/>
    </row>
    <row r="292" spans="1:28" ht="33" customHeight="1" outlineLevel="1">
      <c r="A292" s="513"/>
      <c r="B292" s="252"/>
      <c r="C292" s="2680" t="s">
        <v>331</v>
      </c>
      <c r="D292" s="2680"/>
      <c r="E292" s="2062"/>
      <c r="F292" s="2062"/>
      <c r="G292" s="636"/>
      <c r="H292" s="637"/>
      <c r="I292" s="187"/>
      <c r="J292" s="526"/>
      <c r="K292" s="935" t="str">
        <f ca="1">IF(OR($H$7&lt;2,K$260&lt;2),"",IF(J292&lt;&gt;"",J292,IFERROR(IF(INDIRECT("'"&amp;J$86&amp;"'!"&amp;VLOOKUP(J$87,'List Values'!$C$3:$D$6,2,FALSE)&amp;ROW(J292))="","",INDIRECT("'"&amp;J$86&amp;"'!"&amp;VLOOKUP(J$87,'List Values'!$C$3:$D$6,2,FALSE)&amp;ROW(J292))),IF(J$86&lt;&gt;"","Data Source Error",""))))</f>
        <v/>
      </c>
      <c r="L292" s="187"/>
      <c r="M292" s="526"/>
      <c r="N292" s="900" t="str">
        <f ca="1">IF(OR($H$7&lt;3,N$260&lt;2),"",IF(M292&lt;&gt;"",M292,IFERROR(IF(INDIRECT("'"&amp;M$86&amp;"'!"&amp;VLOOKUP(M$87,'List Values'!$C$3:$D$6,2,FALSE)&amp;ROW(M292))="","",INDIRECT("'"&amp;M$86&amp;"'!"&amp;VLOOKUP(M$87,'List Values'!$C$3:$D$6,2,FALSE)&amp;ROW(M292))),IF(M$86&lt;&gt;"","Data Source Error",""))))</f>
        <v/>
      </c>
      <c r="O292" s="187"/>
      <c r="P292" s="526"/>
      <c r="Q292" s="900" t="str">
        <f ca="1">IF(OR($H$7&lt;4,Q$260&lt;2),"",IF(P292&lt;&gt;"",P292,IFERROR(IF(INDIRECT("'"&amp;P$86&amp;"'!"&amp;VLOOKUP(P$87,'List Values'!$C$3:$D$6,2,FALSE)&amp;ROW(P292))="","",INDIRECT("'"&amp;P$86&amp;"'!"&amp;VLOOKUP(P$87,'List Values'!$C$3:$D$6,2,FALSE)&amp;ROW(P292))),IF(P$86&lt;&gt;"","Data Source Error",""))))</f>
        <v/>
      </c>
      <c r="S292" s="526"/>
      <c r="T292" s="900" t="str">
        <f ca="1">IF(OR($H$7&lt;5,T$260&lt;2),"",IF(S292&lt;&gt;"",S292,IFERROR(IF(INDIRECT("'"&amp;S$86&amp;"'!"&amp;VLOOKUP(S$87,'List Values'!$C$3:$D$6,2,FALSE)&amp;ROW(S292))="","",INDIRECT("'"&amp;S$86&amp;"'!"&amp;VLOOKUP(S$87,'List Values'!$C$3:$D$6,2,FALSE)&amp;ROW(S292))),IF(S$86&lt;&gt;"","Data Source Error",""))))</f>
        <v/>
      </c>
      <c r="V292" s="526"/>
      <c r="W292" s="911" t="str">
        <f ca="1">IF(OR($H$7&lt;6,W$260&lt;2),"",IF(V292&lt;&gt;"",V292,IFERROR(IF(INDIRECT("'"&amp;V$86&amp;"'!"&amp;VLOOKUP(V$87,'List Values'!$C$3:$D$6,2,FALSE)&amp;ROW(V292))="","",INDIRECT("'"&amp;V$86&amp;"'!"&amp;VLOOKUP(V$87,'List Values'!$C$3:$D$6,2,FALSE)&amp;ROW(V292))),IF(V$86&lt;&gt;"","Data Source Error",""))))</f>
        <v/>
      </c>
      <c r="Y292" s="2643"/>
      <c r="Z292" s="2644"/>
      <c r="AA292" s="2644"/>
      <c r="AB292" s="2645"/>
    </row>
    <row r="293" spans="1:28" ht="15.75" customHeight="1" outlineLevel="1">
      <c r="A293" s="513"/>
      <c r="B293" s="252"/>
      <c r="C293" s="2684" t="s">
        <v>332</v>
      </c>
      <c r="D293" s="2684"/>
      <c r="E293" s="2062"/>
      <c r="F293" s="2062"/>
      <c r="G293" s="636"/>
      <c r="H293" s="637"/>
      <c r="I293" s="187"/>
      <c r="J293" s="580"/>
      <c r="K293" s="900" t="str">
        <f ca="1">IF(OR($H$7&lt;2,K$260&lt;2),"",IF(J293&lt;&gt;"",J293,IFERROR(IF(INDIRECT("'"&amp;J$86&amp;"'!"&amp;VLOOKUP(J$87,'List Values'!$C$3:$D$6,2,FALSE)&amp;ROW(J293))="","",INDIRECT("'"&amp;J$86&amp;"'!"&amp;VLOOKUP(J$87,'List Values'!$C$3:$D$6,2,FALSE)&amp;ROW(J293))),IF(J$86&lt;&gt;"","Data Source Error",""))))</f>
        <v/>
      </c>
      <c r="L293" s="187"/>
      <c r="M293" s="580"/>
      <c r="N293" s="900" t="str">
        <f ca="1">IF(OR($H$7&lt;3,N$260&lt;2),"",IF(M293&lt;&gt;"",M293,IFERROR(IF(INDIRECT("'"&amp;M$86&amp;"'!"&amp;VLOOKUP(M$87,'List Values'!$C$3:$D$6,2,FALSE)&amp;ROW(M293))="","",INDIRECT("'"&amp;M$86&amp;"'!"&amp;VLOOKUP(M$87,'List Values'!$C$3:$D$6,2,FALSE)&amp;ROW(M293))),IF(M$86&lt;&gt;"","Data Source Error",""))))</f>
        <v/>
      </c>
      <c r="O293" s="187"/>
      <c r="P293" s="580"/>
      <c r="Q293" s="900" t="str">
        <f ca="1">IF(OR($H$7&lt;4,Q$260&lt;2),"",IF(P293&lt;&gt;"",P293,IFERROR(IF(INDIRECT("'"&amp;P$86&amp;"'!"&amp;VLOOKUP(P$87,'List Values'!$C$3:$D$6,2,FALSE)&amp;ROW(P293))="","",INDIRECT("'"&amp;P$86&amp;"'!"&amp;VLOOKUP(P$87,'List Values'!$C$3:$D$6,2,FALSE)&amp;ROW(P293))),IF(P$86&lt;&gt;"","Data Source Error",""))))</f>
        <v/>
      </c>
      <c r="S293" s="580"/>
      <c r="T293" s="900" t="str">
        <f ca="1">IF(OR($H$7&lt;5,T$260&lt;2),"",IF(S293&lt;&gt;"",S293,IFERROR(IF(INDIRECT("'"&amp;S$86&amp;"'!"&amp;VLOOKUP(S$87,'List Values'!$C$3:$D$6,2,FALSE)&amp;ROW(S293))="","",INDIRECT("'"&amp;S$86&amp;"'!"&amp;VLOOKUP(S$87,'List Values'!$C$3:$D$6,2,FALSE)&amp;ROW(S293))),IF(S$86&lt;&gt;"","Data Source Error",""))))</f>
        <v/>
      </c>
      <c r="V293" s="580"/>
      <c r="W293" s="911" t="str">
        <f ca="1">IF(OR($H$7&lt;6,W$260&lt;2),"",IF(V293&lt;&gt;"",V293,IFERROR(IF(INDIRECT("'"&amp;V$86&amp;"'!"&amp;VLOOKUP(V$87,'List Values'!$C$3:$D$6,2,FALSE)&amp;ROW(V293))="","",INDIRECT("'"&amp;V$86&amp;"'!"&amp;VLOOKUP(V$87,'List Values'!$C$3:$D$6,2,FALSE)&amp;ROW(V293))),IF(V$86&lt;&gt;"","Data Source Error",""))))</f>
        <v/>
      </c>
      <c r="Y293" s="2643"/>
      <c r="Z293" s="2644"/>
      <c r="AA293" s="2644"/>
      <c r="AB293" s="2645"/>
    </row>
    <row r="294" spans="1:28" ht="30.75" customHeight="1" outlineLevel="1">
      <c r="A294" s="513"/>
      <c r="B294" s="252"/>
      <c r="C294" s="2680" t="s">
        <v>839</v>
      </c>
      <c r="D294" s="2680"/>
      <c r="E294" s="2062"/>
      <c r="F294" s="2062"/>
      <c r="G294" s="636"/>
      <c r="H294" s="637"/>
      <c r="I294" s="187"/>
      <c r="J294" s="580"/>
      <c r="K294" s="900" t="str">
        <f ca="1">IF(OR($H$7&lt;2,K$260&lt;2),"",IF(J294&lt;&gt;"",J294,IFERROR(IF(INDIRECT("'"&amp;J$86&amp;"'!"&amp;VLOOKUP(J$87,'List Values'!$C$3:$D$6,2,FALSE)&amp;ROW(J294))="","",INDIRECT("'"&amp;J$86&amp;"'!"&amp;VLOOKUP(J$87,'List Values'!$C$3:$D$6,2,FALSE)&amp;ROW(J294))),IF(J$86&lt;&gt;"","Data Source Error",""))))</f>
        <v/>
      </c>
      <c r="L294" s="187"/>
      <c r="M294" s="580"/>
      <c r="N294" s="900" t="str">
        <f ca="1">IF(OR($H$7&lt;3,N$260&lt;2),"",IF(M294&lt;&gt;"",M294,IFERROR(IF(INDIRECT("'"&amp;M$86&amp;"'!"&amp;VLOOKUP(M$87,'List Values'!$C$3:$D$6,2,FALSE)&amp;ROW(M294))="","",INDIRECT("'"&amp;M$86&amp;"'!"&amp;VLOOKUP(M$87,'List Values'!$C$3:$D$6,2,FALSE)&amp;ROW(M294))),IF(M$86&lt;&gt;"","Data Source Error",""))))</f>
        <v/>
      </c>
      <c r="O294" s="187"/>
      <c r="P294" s="580"/>
      <c r="Q294" s="900" t="str">
        <f ca="1">IF(OR($H$7&lt;4,Q$260&lt;2),"",IF(P294&lt;&gt;"",P294,IFERROR(IF(INDIRECT("'"&amp;P$86&amp;"'!"&amp;VLOOKUP(P$87,'List Values'!$C$3:$D$6,2,FALSE)&amp;ROW(P294))="","",INDIRECT("'"&amp;P$86&amp;"'!"&amp;VLOOKUP(P$87,'List Values'!$C$3:$D$6,2,FALSE)&amp;ROW(P294))),IF(P$86&lt;&gt;"","Data Source Error",""))))</f>
        <v/>
      </c>
      <c r="S294" s="580"/>
      <c r="T294" s="900" t="str">
        <f ca="1">IF(OR($H$7&lt;5,T$260&lt;2),"",IF(S294&lt;&gt;"",S294,IFERROR(IF(INDIRECT("'"&amp;S$86&amp;"'!"&amp;VLOOKUP(S$87,'List Values'!$C$3:$D$6,2,FALSE)&amp;ROW(S294))="","",INDIRECT("'"&amp;S$86&amp;"'!"&amp;VLOOKUP(S$87,'List Values'!$C$3:$D$6,2,FALSE)&amp;ROW(S294))),IF(S$86&lt;&gt;"","Data Source Error",""))))</f>
        <v/>
      </c>
      <c r="V294" s="580"/>
      <c r="W294" s="911" t="str">
        <f ca="1">IF(OR($H$7&lt;6,W$260&lt;2),"",IF(V294&lt;&gt;"",V294,IFERROR(IF(INDIRECT("'"&amp;V$86&amp;"'!"&amp;VLOOKUP(V$87,'List Values'!$C$3:$D$6,2,FALSE)&amp;ROW(V294))="","",INDIRECT("'"&amp;V$86&amp;"'!"&amp;VLOOKUP(V$87,'List Values'!$C$3:$D$6,2,FALSE)&amp;ROW(V294))),IF(V$86&lt;&gt;"","Data Source Error",""))))</f>
        <v/>
      </c>
      <c r="Y294" s="2643"/>
      <c r="Z294" s="2644"/>
      <c r="AA294" s="2644"/>
      <c r="AB294" s="2645"/>
    </row>
    <row r="295" spans="1:28" ht="15.75" customHeight="1" outlineLevel="1">
      <c r="A295" s="513"/>
      <c r="B295" s="252"/>
      <c r="C295" s="2680" t="s">
        <v>334</v>
      </c>
      <c r="D295" s="2680"/>
      <c r="E295" s="2062"/>
      <c r="F295" s="2062"/>
      <c r="G295" s="636"/>
      <c r="H295" s="637"/>
      <c r="I295" s="187"/>
      <c r="J295" s="580"/>
      <c r="K295" s="900" t="str">
        <f ca="1">IF(OR($H$7&lt;2,K$260&lt;2),"",IF(J295&lt;&gt;"",J295,IFERROR(IF(INDIRECT("'"&amp;J$86&amp;"'!"&amp;VLOOKUP(J$87,'List Values'!$C$3:$D$6,2,FALSE)&amp;ROW(J295))="","",INDIRECT("'"&amp;J$86&amp;"'!"&amp;VLOOKUP(J$87,'List Values'!$C$3:$D$6,2,FALSE)&amp;ROW(J295))),IF(J$86&lt;&gt;"","Data Source Error",""))))</f>
        <v/>
      </c>
      <c r="L295" s="187"/>
      <c r="M295" s="580"/>
      <c r="N295" s="900" t="str">
        <f ca="1">IF(OR($H$7&lt;3,N$260&lt;2),"",IF(M295&lt;&gt;"",M295,IFERROR(IF(INDIRECT("'"&amp;M$86&amp;"'!"&amp;VLOOKUP(M$87,'List Values'!$C$3:$D$6,2,FALSE)&amp;ROW(M295))="","",INDIRECT("'"&amp;M$86&amp;"'!"&amp;VLOOKUP(M$87,'List Values'!$C$3:$D$6,2,FALSE)&amp;ROW(M295))),IF(M$86&lt;&gt;"","Data Source Error",""))))</f>
        <v/>
      </c>
      <c r="O295" s="187"/>
      <c r="P295" s="580"/>
      <c r="Q295" s="900" t="str">
        <f ca="1">IF(OR($H$7&lt;4,Q$260&lt;2),"",IF(P295&lt;&gt;"",P295,IFERROR(IF(INDIRECT("'"&amp;P$86&amp;"'!"&amp;VLOOKUP(P$87,'List Values'!$C$3:$D$6,2,FALSE)&amp;ROW(P295))="","",INDIRECT("'"&amp;P$86&amp;"'!"&amp;VLOOKUP(P$87,'List Values'!$C$3:$D$6,2,FALSE)&amp;ROW(P295))),IF(P$86&lt;&gt;"","Data Source Error",""))))</f>
        <v/>
      </c>
      <c r="S295" s="580"/>
      <c r="T295" s="900" t="str">
        <f ca="1">IF(OR($H$7&lt;5,T$260&lt;2),"",IF(S295&lt;&gt;"",S295,IFERROR(IF(INDIRECT("'"&amp;S$86&amp;"'!"&amp;VLOOKUP(S$87,'List Values'!$C$3:$D$6,2,FALSE)&amp;ROW(S295))="","",INDIRECT("'"&amp;S$86&amp;"'!"&amp;VLOOKUP(S$87,'List Values'!$C$3:$D$6,2,FALSE)&amp;ROW(S295))),IF(S$86&lt;&gt;"","Data Source Error",""))))</f>
        <v/>
      </c>
      <c r="V295" s="580"/>
      <c r="W295" s="911" t="str">
        <f ca="1">IF(OR($H$7&lt;6,W$260&lt;2),"",IF(V295&lt;&gt;"",V295,IFERROR(IF(INDIRECT("'"&amp;V$86&amp;"'!"&amp;VLOOKUP(V$87,'List Values'!$C$3:$D$6,2,FALSE)&amp;ROW(V295))="","",INDIRECT("'"&amp;V$86&amp;"'!"&amp;VLOOKUP(V$87,'List Values'!$C$3:$D$6,2,FALSE)&amp;ROW(V295))),IF(V$86&lt;&gt;"","Data Source Error",""))))</f>
        <v/>
      </c>
      <c r="Y295" s="2643"/>
      <c r="Z295" s="2644"/>
      <c r="AA295" s="2644"/>
      <c r="AB295" s="2645"/>
    </row>
    <row r="296" spans="1:28" ht="15.75" customHeight="1" outlineLevel="1">
      <c r="A296" s="513"/>
      <c r="B296" s="252"/>
      <c r="C296" s="2684" t="s">
        <v>335</v>
      </c>
      <c r="D296" s="2684"/>
      <c r="E296" s="2062"/>
      <c r="F296" s="2062"/>
      <c r="G296" s="636"/>
      <c r="H296" s="637"/>
      <c r="I296" s="187"/>
      <c r="J296" s="580"/>
      <c r="K296" s="900" t="str">
        <f ca="1">IF(OR($H$7&lt;2,K$260&lt;2),"",IF(J296&lt;&gt;"",J296,IFERROR(IF(INDIRECT("'"&amp;J$86&amp;"'!"&amp;VLOOKUP(J$87,'List Values'!$C$3:$D$6,2,FALSE)&amp;ROW(J296))="","",INDIRECT("'"&amp;J$86&amp;"'!"&amp;VLOOKUP(J$87,'List Values'!$C$3:$D$6,2,FALSE)&amp;ROW(J296))),IF(J$86&lt;&gt;"","Data Source Error",""))))</f>
        <v/>
      </c>
      <c r="L296" s="187"/>
      <c r="M296" s="580"/>
      <c r="N296" s="900" t="str">
        <f ca="1">IF(OR($H$7&lt;3,N$260&lt;2),"",IF(M296&lt;&gt;"",M296,IFERROR(IF(INDIRECT("'"&amp;M$86&amp;"'!"&amp;VLOOKUP(M$87,'List Values'!$C$3:$D$6,2,FALSE)&amp;ROW(M296))="","",INDIRECT("'"&amp;M$86&amp;"'!"&amp;VLOOKUP(M$87,'List Values'!$C$3:$D$6,2,FALSE)&amp;ROW(M296))),IF(M$86&lt;&gt;"","Data Source Error",""))))</f>
        <v/>
      </c>
      <c r="O296" s="187"/>
      <c r="P296" s="580"/>
      <c r="Q296" s="900" t="str">
        <f ca="1">IF(OR($H$7&lt;4,Q$260&lt;2),"",IF(P296&lt;&gt;"",P296,IFERROR(IF(INDIRECT("'"&amp;P$86&amp;"'!"&amp;VLOOKUP(P$87,'List Values'!$C$3:$D$6,2,FALSE)&amp;ROW(P296))="","",INDIRECT("'"&amp;P$86&amp;"'!"&amp;VLOOKUP(P$87,'List Values'!$C$3:$D$6,2,FALSE)&amp;ROW(P296))),IF(P$86&lt;&gt;"","Data Source Error",""))))</f>
        <v/>
      </c>
      <c r="S296" s="580"/>
      <c r="T296" s="900" t="str">
        <f ca="1">IF(OR($H$7&lt;5,T$260&lt;2),"",IF(S296&lt;&gt;"",S296,IFERROR(IF(INDIRECT("'"&amp;S$86&amp;"'!"&amp;VLOOKUP(S$87,'List Values'!$C$3:$D$6,2,FALSE)&amp;ROW(S296))="","",INDIRECT("'"&amp;S$86&amp;"'!"&amp;VLOOKUP(S$87,'List Values'!$C$3:$D$6,2,FALSE)&amp;ROW(S296))),IF(S$86&lt;&gt;"","Data Source Error",""))))</f>
        <v/>
      </c>
      <c r="V296" s="580"/>
      <c r="W296" s="911" t="str">
        <f ca="1">IF(OR($H$7&lt;6,W$260&lt;2),"",IF(V296&lt;&gt;"",V296,IFERROR(IF(INDIRECT("'"&amp;V$86&amp;"'!"&amp;VLOOKUP(V$87,'List Values'!$C$3:$D$6,2,FALSE)&amp;ROW(V296))="","",INDIRECT("'"&amp;V$86&amp;"'!"&amp;VLOOKUP(V$87,'List Values'!$C$3:$D$6,2,FALSE)&amp;ROW(V296))),IF(V$86&lt;&gt;"","Data Source Error",""))))</f>
        <v/>
      </c>
      <c r="Y296" s="2643"/>
      <c r="Z296" s="2644"/>
      <c r="AA296" s="2644"/>
      <c r="AB296" s="2645"/>
    </row>
    <row r="297" spans="1:28" ht="31" customHeight="1" outlineLevel="1">
      <c r="A297" s="513"/>
      <c r="B297" s="252"/>
      <c r="C297" s="2680" t="s">
        <v>336</v>
      </c>
      <c r="D297" s="2680"/>
      <c r="E297" s="2062"/>
      <c r="F297" s="2062"/>
      <c r="G297" s="636"/>
      <c r="H297" s="637"/>
      <c r="I297" s="187"/>
      <c r="J297" s="580"/>
      <c r="K297" s="900" t="str">
        <f ca="1">IF(OR($H$7&lt;2,K$260&lt;2),"",IF(J297&lt;&gt;"",J297,IFERROR(IF(INDIRECT("'"&amp;J$86&amp;"'!"&amp;VLOOKUP(J$87,'List Values'!$C$3:$D$6,2,FALSE)&amp;ROW(J297))="","",INDIRECT("'"&amp;J$86&amp;"'!"&amp;VLOOKUP(J$87,'List Values'!$C$3:$D$6,2,FALSE)&amp;ROW(J297))),IF(J$86&lt;&gt;"","Data Source Error",""))))</f>
        <v/>
      </c>
      <c r="L297" s="187"/>
      <c r="M297" s="580"/>
      <c r="N297" s="900" t="str">
        <f ca="1">IF(OR($H$7&lt;3,N$260&lt;2),"",IF(M297&lt;&gt;"",M297,IFERROR(IF(INDIRECT("'"&amp;M$86&amp;"'!"&amp;VLOOKUP(M$87,'List Values'!$C$3:$D$6,2,FALSE)&amp;ROW(M297))="","",INDIRECT("'"&amp;M$86&amp;"'!"&amp;VLOOKUP(M$87,'List Values'!$C$3:$D$6,2,FALSE)&amp;ROW(M297))),IF(M$86&lt;&gt;"","Data Source Error",""))))</f>
        <v/>
      </c>
      <c r="O297" s="187"/>
      <c r="P297" s="580"/>
      <c r="Q297" s="900" t="str">
        <f ca="1">IF(OR($H$7&lt;4,Q$260&lt;2),"",IF(P297&lt;&gt;"",P297,IFERROR(IF(INDIRECT("'"&amp;P$86&amp;"'!"&amp;VLOOKUP(P$87,'List Values'!$C$3:$D$6,2,FALSE)&amp;ROW(P297))="","",INDIRECT("'"&amp;P$86&amp;"'!"&amp;VLOOKUP(P$87,'List Values'!$C$3:$D$6,2,FALSE)&amp;ROW(P297))),IF(P$86&lt;&gt;"","Data Source Error",""))))</f>
        <v/>
      </c>
      <c r="S297" s="580"/>
      <c r="T297" s="900" t="str">
        <f ca="1">IF(OR($H$7&lt;5,T$260&lt;2),"",IF(S297&lt;&gt;"",S297,IFERROR(IF(INDIRECT("'"&amp;S$86&amp;"'!"&amp;VLOOKUP(S$87,'List Values'!$C$3:$D$6,2,FALSE)&amp;ROW(S297))="","",INDIRECT("'"&amp;S$86&amp;"'!"&amp;VLOOKUP(S$87,'List Values'!$C$3:$D$6,2,FALSE)&amp;ROW(S297))),IF(S$86&lt;&gt;"","Data Source Error",""))))</f>
        <v/>
      </c>
      <c r="V297" s="580"/>
      <c r="W297" s="911" t="str">
        <f ca="1">IF(OR($H$7&lt;6,W$260&lt;2),"",IF(V297&lt;&gt;"",V297,IFERROR(IF(INDIRECT("'"&amp;V$86&amp;"'!"&amp;VLOOKUP(V$87,'List Values'!$C$3:$D$6,2,FALSE)&amp;ROW(V297))="","",INDIRECT("'"&amp;V$86&amp;"'!"&amp;VLOOKUP(V$87,'List Values'!$C$3:$D$6,2,FALSE)&amp;ROW(V297))),IF(V$86&lt;&gt;"","Data Source Error",""))))</f>
        <v/>
      </c>
      <c r="Y297" s="2643"/>
      <c r="Z297" s="2644"/>
      <c r="AA297" s="2644"/>
      <c r="AB297" s="2645"/>
    </row>
    <row r="298" spans="1:28" ht="33" customHeight="1" outlineLevel="1">
      <c r="A298" s="513"/>
      <c r="B298" s="252"/>
      <c r="C298" s="2680" t="s">
        <v>337</v>
      </c>
      <c r="D298" s="2680"/>
      <c r="E298" s="2062"/>
      <c r="F298" s="2062"/>
      <c r="G298" s="636"/>
      <c r="H298" s="637"/>
      <c r="I298" s="187"/>
      <c r="J298" s="580"/>
      <c r="K298" s="900" t="str">
        <f ca="1">IF(OR($H$7&lt;2,K$260&lt;2),"",IF(J298&lt;&gt;"",J298,IFERROR(IF(INDIRECT("'"&amp;J$86&amp;"'!"&amp;VLOOKUP(J$87,'List Values'!$C$3:$D$6,2,FALSE)&amp;ROW(J298))="","",INDIRECT("'"&amp;J$86&amp;"'!"&amp;VLOOKUP(J$87,'List Values'!$C$3:$D$6,2,FALSE)&amp;ROW(J298))),IF(J$86&lt;&gt;"","Data Source Error",""))))</f>
        <v/>
      </c>
      <c r="L298" s="187"/>
      <c r="M298" s="580"/>
      <c r="N298" s="900" t="str">
        <f ca="1">IF(OR($H$7&lt;3,N$260&lt;2),"",IF(M298&lt;&gt;"",M298,IFERROR(IF(INDIRECT("'"&amp;M$86&amp;"'!"&amp;VLOOKUP(M$87,'List Values'!$C$3:$D$6,2,FALSE)&amp;ROW(M298))="","",INDIRECT("'"&amp;M$86&amp;"'!"&amp;VLOOKUP(M$87,'List Values'!$C$3:$D$6,2,FALSE)&amp;ROW(M298))),IF(M$86&lt;&gt;"","Data Source Error",""))))</f>
        <v/>
      </c>
      <c r="O298" s="187"/>
      <c r="P298" s="580"/>
      <c r="Q298" s="900" t="str">
        <f ca="1">IF(OR($H$7&lt;4,Q$260&lt;2),"",IF(P298&lt;&gt;"",P298,IFERROR(IF(INDIRECT("'"&amp;P$86&amp;"'!"&amp;VLOOKUP(P$87,'List Values'!$C$3:$D$6,2,FALSE)&amp;ROW(P298))="","",INDIRECT("'"&amp;P$86&amp;"'!"&amp;VLOOKUP(P$87,'List Values'!$C$3:$D$6,2,FALSE)&amp;ROW(P298))),IF(P$86&lt;&gt;"","Data Source Error",""))))</f>
        <v/>
      </c>
      <c r="S298" s="580"/>
      <c r="T298" s="900" t="str">
        <f ca="1">IF(OR($H$7&lt;5,T$260&lt;2),"",IF(S298&lt;&gt;"",S298,IFERROR(IF(INDIRECT("'"&amp;S$86&amp;"'!"&amp;VLOOKUP(S$87,'List Values'!$C$3:$D$6,2,FALSE)&amp;ROW(S298))="","",INDIRECT("'"&amp;S$86&amp;"'!"&amp;VLOOKUP(S$87,'List Values'!$C$3:$D$6,2,FALSE)&amp;ROW(S298))),IF(S$86&lt;&gt;"","Data Source Error",""))))</f>
        <v/>
      </c>
      <c r="V298" s="580"/>
      <c r="W298" s="911" t="str">
        <f ca="1">IF(OR($H$7&lt;6,W$260&lt;2),"",IF(V298&lt;&gt;"",V298,IFERROR(IF(INDIRECT("'"&amp;V$86&amp;"'!"&amp;VLOOKUP(V$87,'List Values'!$C$3:$D$6,2,FALSE)&amp;ROW(V298))="","",INDIRECT("'"&amp;V$86&amp;"'!"&amp;VLOOKUP(V$87,'List Values'!$C$3:$D$6,2,FALSE)&amp;ROW(V298))),IF(V$86&lt;&gt;"","Data Source Error",""))))</f>
        <v/>
      </c>
      <c r="Y298" s="2643"/>
      <c r="Z298" s="2644"/>
      <c r="AA298" s="2644"/>
      <c r="AB298" s="2645"/>
    </row>
    <row r="299" spans="1:28" ht="33" customHeight="1" outlineLevel="1">
      <c r="A299" s="513"/>
      <c r="B299" s="252"/>
      <c r="C299" s="2680" t="s">
        <v>338</v>
      </c>
      <c r="D299" s="2680"/>
      <c r="E299" s="2062"/>
      <c r="F299" s="2062"/>
      <c r="G299" s="636"/>
      <c r="H299" s="637"/>
      <c r="I299" s="187"/>
      <c r="J299" s="580"/>
      <c r="K299" s="900" t="str">
        <f ca="1">IF(OR($H$7&lt;2,K$260&lt;2),"",IF(J299&lt;&gt;"",J299,IFERROR(IF(INDIRECT("'"&amp;J$86&amp;"'!"&amp;VLOOKUP(J$87,'List Values'!$C$3:$D$6,2,FALSE)&amp;ROW(J299))="","",INDIRECT("'"&amp;J$86&amp;"'!"&amp;VLOOKUP(J$87,'List Values'!$C$3:$D$6,2,FALSE)&amp;ROW(J299))),IF(J$86&lt;&gt;"","Data Source Error",""))))</f>
        <v/>
      </c>
      <c r="L299" s="187"/>
      <c r="M299" s="580"/>
      <c r="N299" s="900" t="str">
        <f ca="1">IF(OR($H$7&lt;3,N$260&lt;2),"",IF(M299&lt;&gt;"",M299,IFERROR(IF(INDIRECT("'"&amp;M$86&amp;"'!"&amp;VLOOKUP(M$87,'List Values'!$C$3:$D$6,2,FALSE)&amp;ROW(M299))="","",INDIRECT("'"&amp;M$86&amp;"'!"&amp;VLOOKUP(M$87,'List Values'!$C$3:$D$6,2,FALSE)&amp;ROW(M299))),IF(M$86&lt;&gt;"","Data Source Error",""))))</f>
        <v/>
      </c>
      <c r="O299" s="187"/>
      <c r="P299" s="580"/>
      <c r="Q299" s="900" t="str">
        <f ca="1">IF(OR($H$7&lt;4,Q$260&lt;2),"",IF(P299&lt;&gt;"",P299,IFERROR(IF(INDIRECT("'"&amp;P$86&amp;"'!"&amp;VLOOKUP(P$87,'List Values'!$C$3:$D$6,2,FALSE)&amp;ROW(P299))="","",INDIRECT("'"&amp;P$86&amp;"'!"&amp;VLOOKUP(P$87,'List Values'!$C$3:$D$6,2,FALSE)&amp;ROW(P299))),IF(P$86&lt;&gt;"","Data Source Error",""))))</f>
        <v/>
      </c>
      <c r="S299" s="580"/>
      <c r="T299" s="900" t="str">
        <f ca="1">IF(OR($H$7&lt;5,T$260&lt;2),"",IF(S299&lt;&gt;"",S299,IFERROR(IF(INDIRECT("'"&amp;S$86&amp;"'!"&amp;VLOOKUP(S$87,'List Values'!$C$3:$D$6,2,FALSE)&amp;ROW(S299))="","",INDIRECT("'"&amp;S$86&amp;"'!"&amp;VLOOKUP(S$87,'List Values'!$C$3:$D$6,2,FALSE)&amp;ROW(S299))),IF(S$86&lt;&gt;"","Data Source Error",""))))</f>
        <v/>
      </c>
      <c r="V299" s="580"/>
      <c r="W299" s="911" t="str">
        <f ca="1">IF(OR($H$7&lt;6,W$260&lt;2),"",IF(V299&lt;&gt;"",V299,IFERROR(IF(INDIRECT("'"&amp;V$86&amp;"'!"&amp;VLOOKUP(V$87,'List Values'!$C$3:$D$6,2,FALSE)&amp;ROW(V299))="","",INDIRECT("'"&amp;V$86&amp;"'!"&amp;VLOOKUP(V$87,'List Values'!$C$3:$D$6,2,FALSE)&amp;ROW(V299))),IF(V$86&lt;&gt;"","Data Source Error",""))))</f>
        <v/>
      </c>
      <c r="Y299" s="2643"/>
      <c r="Z299" s="2644"/>
      <c r="AA299" s="2644"/>
      <c r="AB299" s="2645"/>
    </row>
    <row r="300" spans="1:28" ht="15.75" customHeight="1" outlineLevel="1">
      <c r="A300" s="513"/>
      <c r="B300" s="252"/>
      <c r="C300" s="2680" t="s">
        <v>650</v>
      </c>
      <c r="D300" s="2680"/>
      <c r="E300" s="2062"/>
      <c r="F300" s="2062"/>
      <c r="G300" s="636"/>
      <c r="H300" s="637"/>
      <c r="I300" s="187"/>
      <c r="J300" s="580"/>
      <c r="K300" s="900" t="str">
        <f ca="1">IF(OR($H$7&lt;2,K$260&lt;2),"",IF(J300&lt;&gt;"",J300,IFERROR(IF(INDIRECT("'"&amp;J$86&amp;"'!"&amp;VLOOKUP(J$87,'List Values'!$C$3:$D$6,2,FALSE)&amp;ROW(J300))="","",INDIRECT("'"&amp;J$86&amp;"'!"&amp;VLOOKUP(J$87,'List Values'!$C$3:$D$6,2,FALSE)&amp;ROW(J300))),IF(J$86&lt;&gt;"","Data Source Error",""))))</f>
        <v/>
      </c>
      <c r="L300" s="187"/>
      <c r="M300" s="580"/>
      <c r="N300" s="900" t="str">
        <f ca="1">IF(OR($H$7&lt;3,N$260&lt;2),"",IF(M300&lt;&gt;"",M300,IFERROR(IF(INDIRECT("'"&amp;M$86&amp;"'!"&amp;VLOOKUP(M$87,'List Values'!$C$3:$D$6,2,FALSE)&amp;ROW(M300))="","",INDIRECT("'"&amp;M$86&amp;"'!"&amp;VLOOKUP(M$87,'List Values'!$C$3:$D$6,2,FALSE)&amp;ROW(M300))),IF(M$86&lt;&gt;"","Data Source Error",""))))</f>
        <v/>
      </c>
      <c r="O300" s="187"/>
      <c r="P300" s="580"/>
      <c r="Q300" s="900" t="str">
        <f ca="1">IF(OR($H$7&lt;4,Q$260&lt;2),"",IF(P300&lt;&gt;"",P300,IFERROR(IF(INDIRECT("'"&amp;P$86&amp;"'!"&amp;VLOOKUP(P$87,'List Values'!$C$3:$D$6,2,FALSE)&amp;ROW(P300))="","",INDIRECT("'"&amp;P$86&amp;"'!"&amp;VLOOKUP(P$87,'List Values'!$C$3:$D$6,2,FALSE)&amp;ROW(P300))),IF(P$86&lt;&gt;"","Data Source Error",""))))</f>
        <v/>
      </c>
      <c r="S300" s="580"/>
      <c r="T300" s="900" t="str">
        <f ca="1">IF(OR($H$7&lt;5,T$260&lt;2),"",IF(S300&lt;&gt;"",S300,IFERROR(IF(INDIRECT("'"&amp;S$86&amp;"'!"&amp;VLOOKUP(S$87,'List Values'!$C$3:$D$6,2,FALSE)&amp;ROW(S300))="","",INDIRECT("'"&amp;S$86&amp;"'!"&amp;VLOOKUP(S$87,'List Values'!$C$3:$D$6,2,FALSE)&amp;ROW(S300))),IF(S$86&lt;&gt;"","Data Source Error",""))))</f>
        <v/>
      </c>
      <c r="V300" s="580"/>
      <c r="W300" s="911" t="str">
        <f ca="1">IF(OR($H$7&lt;6,W$260&lt;2),"",IF(V300&lt;&gt;"",V300,IFERROR(IF(INDIRECT("'"&amp;V$86&amp;"'!"&amp;VLOOKUP(V$87,'List Values'!$C$3:$D$6,2,FALSE)&amp;ROW(V300))="","",INDIRECT("'"&amp;V$86&amp;"'!"&amp;VLOOKUP(V$87,'List Values'!$C$3:$D$6,2,FALSE)&amp;ROW(V300))),IF(V$86&lt;&gt;"","Data Source Error",""))))</f>
        <v/>
      </c>
      <c r="Y300" s="2643"/>
      <c r="Z300" s="2644"/>
      <c r="AA300" s="2644"/>
      <c r="AB300" s="2645"/>
    </row>
    <row r="301" spans="1:28" ht="31" customHeight="1" outlineLevel="1">
      <c r="A301" s="513"/>
      <c r="B301" s="252"/>
      <c r="C301" s="2680" t="s">
        <v>651</v>
      </c>
      <c r="D301" s="2680"/>
      <c r="E301" s="238"/>
      <c r="F301" s="238"/>
      <c r="G301" s="638"/>
      <c r="H301" s="639"/>
      <c r="I301" s="184"/>
      <c r="J301" s="624"/>
      <c r="K301" s="941" t="str">
        <f ca="1">IF(OR($H$7&lt;2,K$260&lt;2),"",IF(J301&lt;&gt;"",J301,IFERROR(IF(INDIRECT("'"&amp;J$86&amp;"'!"&amp;VLOOKUP(J$87,'List Values'!$C$3:$D$6,2,FALSE)&amp;ROW(J301))="","",INDIRECT("'"&amp;J$86&amp;"'!"&amp;VLOOKUP(J$87,'List Values'!$C$3:$D$6,2,FALSE)&amp;ROW(J301))),IF(J$86&lt;&gt;"","Data Source Error",""))))</f>
        <v/>
      </c>
      <c r="L301" s="184"/>
      <c r="M301" s="624"/>
      <c r="N301" s="941" t="str">
        <f ca="1">IF(OR($H$7&lt;3,N$260&lt;2),"",IF(M301&lt;&gt;"",M301,IFERROR(IF(INDIRECT("'"&amp;M$86&amp;"'!"&amp;VLOOKUP(M$87,'List Values'!$C$3:$D$6,2,FALSE)&amp;ROW(M301))="","",INDIRECT("'"&amp;M$86&amp;"'!"&amp;VLOOKUP(M$87,'List Values'!$C$3:$D$6,2,FALSE)&amp;ROW(M301))),IF(M$86&lt;&gt;"","Data Source Error",""))))</f>
        <v/>
      </c>
      <c r="O301" s="184"/>
      <c r="P301" s="624"/>
      <c r="Q301" s="941" t="str">
        <f ca="1">IF(OR($H$7&lt;4,Q$260&lt;2),"",IF(P301&lt;&gt;"",P301,IFERROR(IF(INDIRECT("'"&amp;P$86&amp;"'!"&amp;VLOOKUP(P$87,'List Values'!$C$3:$D$6,2,FALSE)&amp;ROW(P301))="","",INDIRECT("'"&amp;P$86&amp;"'!"&amp;VLOOKUP(P$87,'List Values'!$C$3:$D$6,2,FALSE)&amp;ROW(P301))),IF(P$86&lt;&gt;"","Data Source Error",""))))</f>
        <v/>
      </c>
      <c r="S301" s="624"/>
      <c r="T301" s="941" t="str">
        <f ca="1">IF(OR($H$7&lt;5,T$260&lt;2),"",IF(S301&lt;&gt;"",S301,IFERROR(IF(INDIRECT("'"&amp;S$86&amp;"'!"&amp;VLOOKUP(S$87,'List Values'!$C$3:$D$6,2,FALSE)&amp;ROW(S301))="","",INDIRECT("'"&amp;S$86&amp;"'!"&amp;VLOOKUP(S$87,'List Values'!$C$3:$D$6,2,FALSE)&amp;ROW(S301))),IF(S$86&lt;&gt;"","Data Source Error",""))))</f>
        <v/>
      </c>
      <c r="V301" s="624"/>
      <c r="W301" s="947" t="str">
        <f ca="1">IF(OR($H$7&lt;6,W$260&lt;2),"",IF(V301&lt;&gt;"",V301,IFERROR(IF(INDIRECT("'"&amp;V$86&amp;"'!"&amp;VLOOKUP(V$87,'List Values'!$C$3:$D$6,2,FALSE)&amp;ROW(V301))="","",INDIRECT("'"&amp;V$86&amp;"'!"&amp;VLOOKUP(V$87,'List Values'!$C$3:$D$6,2,FALSE)&amp;ROW(V301))),IF(V$86&lt;&gt;"","Data Source Error",""))))</f>
        <v/>
      </c>
      <c r="Y301" s="2643"/>
      <c r="Z301" s="2644"/>
      <c r="AA301" s="2644"/>
      <c r="AB301" s="2645"/>
    </row>
    <row r="302" spans="1:28" ht="21" customHeight="1">
      <c r="A302" s="807"/>
      <c r="B302" s="612" t="s">
        <v>621</v>
      </c>
      <c r="C302" s="604"/>
      <c r="D302" s="604"/>
      <c r="E302" s="614"/>
      <c r="F302" s="608"/>
      <c r="G302" s="615"/>
      <c r="H302" s="611"/>
      <c r="I302" s="608"/>
      <c r="J302" s="610"/>
      <c r="K302" s="970"/>
      <c r="L302" s="608"/>
      <c r="M302" s="610"/>
      <c r="N302" s="970"/>
      <c r="O302" s="608"/>
      <c r="P302" s="610"/>
      <c r="Q302" s="970"/>
      <c r="R302" s="608"/>
      <c r="S302" s="610"/>
      <c r="T302" s="970"/>
      <c r="U302" s="608"/>
      <c r="V302" s="610"/>
      <c r="W302" s="970"/>
      <c r="Y302" s="631"/>
      <c r="Z302" s="631"/>
      <c r="AA302" s="631"/>
      <c r="AB302" s="631"/>
    </row>
    <row r="303" spans="1:28" ht="15.75" customHeight="1" outlineLevel="1">
      <c r="A303" s="514"/>
      <c r="B303" s="252"/>
      <c r="C303" s="2580" t="s">
        <v>625</v>
      </c>
      <c r="D303" s="2580"/>
      <c r="E303" s="202"/>
      <c r="F303" s="202"/>
      <c r="G303" s="634"/>
      <c r="H303" s="635"/>
      <c r="I303" s="183"/>
      <c r="J303" s="628"/>
      <c r="K303" s="967" t="str">
        <f ca="1">IF(OR($H$7&lt;2,K$260&lt;3),"",IF(J303&lt;&gt;"",J303,IFERROR(IF(INDIRECT("'"&amp;J$86&amp;"'!"&amp;VLOOKUP(J$87,'List Values'!$C$3:$D$6,2,FALSE)&amp;ROW(J303))="","",INDIRECT("'"&amp;J$86&amp;"'!"&amp;VLOOKUP(J$87,'List Values'!$C$3:$D$6,2,FALSE)&amp;ROW(J303))),IF(J$86&lt;&gt;"","Data Source Error",""))))</f>
        <v/>
      </c>
      <c r="L303" s="629"/>
      <c r="M303" s="628"/>
      <c r="N303" s="967" t="str">
        <f ca="1">IF(OR($H$7&lt;3,N$260&lt;3),"",IF(M303&lt;&gt;"",M303,IFERROR(IF(INDIRECT("'"&amp;M$86&amp;"'!"&amp;VLOOKUP(M$87,'List Values'!$C$3:$D$6,2,FALSE)&amp;ROW(M303))="","",INDIRECT("'"&amp;M$86&amp;"'!"&amp;VLOOKUP(M$87,'List Values'!$C$3:$D$6,2,FALSE)&amp;ROW(M303))),IF(M$86&lt;&gt;"","Data Source Error",""))))</f>
        <v/>
      </c>
      <c r="O303" s="629"/>
      <c r="P303" s="628"/>
      <c r="Q303" s="967" t="str">
        <f ca="1">IF(OR($H$7&lt;4,Q$260&lt;3),"",IF(P303&lt;&gt;"",P303,IFERROR(IF(INDIRECT("'"&amp;P$86&amp;"'!"&amp;VLOOKUP(P$87,'List Values'!$C$3:$D$6,2,FALSE)&amp;ROW(P303))="","",INDIRECT("'"&amp;P$86&amp;"'!"&amp;VLOOKUP(P$87,'List Values'!$C$3:$D$6,2,FALSE)&amp;ROW(P303))),IF(P$86&lt;&gt;"","Data Source Error",""))))</f>
        <v/>
      </c>
      <c r="R303" s="147"/>
      <c r="S303" s="628"/>
      <c r="T303" s="967" t="str">
        <f ca="1">IF(OR($H$7&lt;5,T$260&lt;3),"",IF(S303&lt;&gt;"",S303,IFERROR(IF(INDIRECT("'"&amp;S$86&amp;"'!"&amp;VLOOKUP(S$87,'List Values'!$C$3:$D$6,2,FALSE)&amp;ROW(S303))="","",INDIRECT("'"&amp;S$86&amp;"'!"&amp;VLOOKUP(S$87,'List Values'!$C$3:$D$6,2,FALSE)&amp;ROW(S303))),IF(S$86&lt;&gt;"","Data Source Error",""))))</f>
        <v/>
      </c>
      <c r="U303" s="147"/>
      <c r="V303" s="628"/>
      <c r="W303" s="973" t="str">
        <f ca="1">IF(OR($H$7&lt;6,W$260&lt;3),"",IF(V303&lt;&gt;"",V303,IFERROR(IF(INDIRECT("'"&amp;V$86&amp;"'!"&amp;VLOOKUP(V$87,'List Values'!$C$3:$D$6,2,FALSE)&amp;ROW(V303))="","",INDIRECT("'"&amp;V$86&amp;"'!"&amp;VLOOKUP(V$87,'List Values'!$C$3:$D$6,2,FALSE)&amp;ROW(V303))),IF(V$86&lt;&gt;"","Data Source Error",""))))</f>
        <v/>
      </c>
      <c r="Y303" s="2643"/>
      <c r="Z303" s="2644"/>
      <c r="AA303" s="2644"/>
      <c r="AB303" s="2645"/>
    </row>
    <row r="304" spans="1:28" ht="15.75" customHeight="1" outlineLevel="1">
      <c r="A304" s="514"/>
      <c r="B304" s="252"/>
      <c r="C304" s="2680" t="s">
        <v>626</v>
      </c>
      <c r="D304" s="2680"/>
      <c r="E304" s="2062"/>
      <c r="F304" s="2062"/>
      <c r="G304" s="636"/>
      <c r="H304" s="637"/>
      <c r="I304" s="187"/>
      <c r="J304" s="526"/>
      <c r="K304" s="900" t="str">
        <f ca="1">IF(OR($H$7&lt;2,K$260&lt;3),"",IF(J304&lt;&gt;"",J304,IFERROR(IF(INDIRECT("'"&amp;J$86&amp;"'!"&amp;VLOOKUP(J$87,'List Values'!$C$3:$D$6,2,FALSE)&amp;ROW(J304))="","",INDIRECT("'"&amp;J$86&amp;"'!"&amp;VLOOKUP(J$87,'List Values'!$C$3:$D$6,2,FALSE)&amp;ROW(J304))),IF(J$86&lt;&gt;"","Data Source Error",""))))</f>
        <v/>
      </c>
      <c r="L304" s="187"/>
      <c r="M304" s="526"/>
      <c r="N304" s="900" t="str">
        <f ca="1">IF(OR($H$7&lt;3,N$260&lt;3),"",IF(M304&lt;&gt;"",M304,IFERROR(IF(INDIRECT("'"&amp;M$86&amp;"'!"&amp;VLOOKUP(M$87,'List Values'!$C$3:$D$6,2,FALSE)&amp;ROW(M304))="","",INDIRECT("'"&amp;M$86&amp;"'!"&amp;VLOOKUP(M$87,'List Values'!$C$3:$D$6,2,FALSE)&amp;ROW(M304))),IF(M$86&lt;&gt;"","Data Source Error",""))))</f>
        <v/>
      </c>
      <c r="O304" s="187"/>
      <c r="P304" s="526"/>
      <c r="Q304" s="900" t="str">
        <f ca="1">IF(OR($H$7&lt;4,Q$260&lt;3),"",IF(P304&lt;&gt;"",P304,IFERROR(IF(INDIRECT("'"&amp;P$86&amp;"'!"&amp;VLOOKUP(P$87,'List Values'!$C$3:$D$6,2,FALSE)&amp;ROW(P304))="","",INDIRECT("'"&amp;P$86&amp;"'!"&amp;VLOOKUP(P$87,'List Values'!$C$3:$D$6,2,FALSE)&amp;ROW(P304))),IF(P$86&lt;&gt;"","Data Source Error",""))))</f>
        <v/>
      </c>
      <c r="S304" s="526"/>
      <c r="T304" s="900" t="str">
        <f ca="1">IF(OR($H$7&lt;5,T$260&lt;3),"",IF(S304&lt;&gt;"",S304,IFERROR(IF(INDIRECT("'"&amp;S$86&amp;"'!"&amp;VLOOKUP(S$87,'List Values'!$C$3:$D$6,2,FALSE)&amp;ROW(S304))="","",INDIRECT("'"&amp;S$86&amp;"'!"&amp;VLOOKUP(S$87,'List Values'!$C$3:$D$6,2,FALSE)&amp;ROW(S304))),IF(S$86&lt;&gt;"","Data Source Error",""))))</f>
        <v/>
      </c>
      <c r="V304" s="526"/>
      <c r="W304" s="911" t="str">
        <f ca="1">IF(OR($H$7&lt;6,W$260&lt;3),"",IF(V304&lt;&gt;"",V304,IFERROR(IF(INDIRECT("'"&amp;V$86&amp;"'!"&amp;VLOOKUP(V$87,'List Values'!$C$3:$D$6,2,FALSE)&amp;ROW(V304))="","",INDIRECT("'"&amp;V$86&amp;"'!"&amp;VLOOKUP(V$87,'List Values'!$C$3:$D$6,2,FALSE)&amp;ROW(V304))),IF(V$86&lt;&gt;"","Data Source Error",""))))</f>
        <v/>
      </c>
      <c r="Y304" s="2643"/>
      <c r="Z304" s="2644"/>
      <c r="AA304" s="2644"/>
      <c r="AB304" s="2645"/>
    </row>
    <row r="305" spans="1:28" ht="31" customHeight="1" outlineLevel="1">
      <c r="A305" s="514"/>
      <c r="B305" s="252"/>
      <c r="C305" s="2680" t="s">
        <v>627</v>
      </c>
      <c r="D305" s="2680"/>
      <c r="E305" s="2062"/>
      <c r="F305" s="2062"/>
      <c r="G305" s="636"/>
      <c r="H305" s="637"/>
      <c r="I305" s="187"/>
      <c r="J305" s="561"/>
      <c r="K305" s="900" t="str">
        <f ca="1">IF(OR($H$7&lt;2,K$260&lt;3),"",IF(J305&lt;&gt;"",J305,IFERROR(IF(INDIRECT("'"&amp;J$86&amp;"'!"&amp;VLOOKUP(J$87,'List Values'!$C$3:$D$6,2,FALSE)&amp;ROW(J305))="","",INDIRECT("'"&amp;J$86&amp;"'!"&amp;VLOOKUP(J$87,'List Values'!$C$3:$D$6,2,FALSE)&amp;ROW(J305))),IF(J$86&lt;&gt;"","Data Source Error",""))))</f>
        <v/>
      </c>
      <c r="L305" s="187"/>
      <c r="M305" s="561"/>
      <c r="N305" s="900" t="str">
        <f ca="1">IF(OR($H$7&lt;3,N$260&lt;3),"",IF(M305&lt;&gt;"",M305,IFERROR(IF(INDIRECT("'"&amp;M$86&amp;"'!"&amp;VLOOKUP(M$87,'List Values'!$C$3:$D$6,2,FALSE)&amp;ROW(M305))="","",INDIRECT("'"&amp;M$86&amp;"'!"&amp;VLOOKUP(M$87,'List Values'!$C$3:$D$6,2,FALSE)&amp;ROW(M305))),IF(M$86&lt;&gt;"","Data Source Error",""))))</f>
        <v/>
      </c>
      <c r="O305" s="187"/>
      <c r="P305" s="561"/>
      <c r="Q305" s="900" t="str">
        <f ca="1">IF(OR($H$7&lt;4,Q$260&lt;3),"",IF(P305&lt;&gt;"",P305,IFERROR(IF(INDIRECT("'"&amp;P$86&amp;"'!"&amp;VLOOKUP(P$87,'List Values'!$C$3:$D$6,2,FALSE)&amp;ROW(P305))="","",INDIRECT("'"&amp;P$86&amp;"'!"&amp;VLOOKUP(P$87,'List Values'!$C$3:$D$6,2,FALSE)&amp;ROW(P305))),IF(P$86&lt;&gt;"","Data Source Error",""))))</f>
        <v/>
      </c>
      <c r="S305" s="561"/>
      <c r="T305" s="900" t="str">
        <f ca="1">IF(OR($H$7&lt;5,T$260&lt;3),"",IF(S305&lt;&gt;"",S305,IFERROR(IF(INDIRECT("'"&amp;S$86&amp;"'!"&amp;VLOOKUP(S$87,'List Values'!$C$3:$D$6,2,FALSE)&amp;ROW(S305))="","",INDIRECT("'"&amp;S$86&amp;"'!"&amp;VLOOKUP(S$87,'List Values'!$C$3:$D$6,2,FALSE)&amp;ROW(S305))),IF(S$86&lt;&gt;"","Data Source Error",""))))</f>
        <v/>
      </c>
      <c r="V305" s="561"/>
      <c r="W305" s="911" t="str">
        <f ca="1">IF(OR($H$7&lt;6,W$260&lt;3),"",IF(V305&lt;&gt;"",V305,IFERROR(IF(INDIRECT("'"&amp;V$86&amp;"'!"&amp;VLOOKUP(V$87,'List Values'!$C$3:$D$6,2,FALSE)&amp;ROW(V305))="","",INDIRECT("'"&amp;V$86&amp;"'!"&amp;VLOOKUP(V$87,'List Values'!$C$3:$D$6,2,FALSE)&amp;ROW(V305))),IF(V$86&lt;&gt;"","Data Source Error",""))))</f>
        <v/>
      </c>
      <c r="Y305" s="2643"/>
      <c r="Z305" s="2644"/>
      <c r="AA305" s="2644"/>
      <c r="AB305" s="2645"/>
    </row>
    <row r="306" spans="1:28" ht="31" customHeight="1" outlineLevel="1">
      <c r="A306" s="514"/>
      <c r="B306" s="252"/>
      <c r="C306" s="2684" t="s">
        <v>628</v>
      </c>
      <c r="D306" s="2684"/>
      <c r="E306" s="2062"/>
      <c r="F306" s="2062"/>
      <c r="G306" s="636"/>
      <c r="H306" s="637"/>
      <c r="I306" s="187"/>
      <c r="J306" s="526"/>
      <c r="K306" s="900" t="str">
        <f ca="1">IF(OR($H$7&lt;2,K$260&lt;3),"",IF(J306&lt;&gt;"",J306,IFERROR(IF(INDIRECT("'"&amp;J$86&amp;"'!"&amp;VLOOKUP(J$87,'List Values'!$C$3:$D$6,2,FALSE)&amp;ROW(J306))="","",INDIRECT("'"&amp;J$86&amp;"'!"&amp;VLOOKUP(J$87,'List Values'!$C$3:$D$6,2,FALSE)&amp;ROW(J306))),IF(J$86&lt;&gt;"","Data Source Error",""))))</f>
        <v/>
      </c>
      <c r="L306" s="187"/>
      <c r="M306" s="526"/>
      <c r="N306" s="900" t="str">
        <f ca="1">IF(OR($H$7&lt;3,N$260&lt;3),"",IF(M306&lt;&gt;"",M306,IFERROR(IF(INDIRECT("'"&amp;M$86&amp;"'!"&amp;VLOOKUP(M$87,'List Values'!$C$3:$D$6,2,FALSE)&amp;ROW(M306))="","",INDIRECT("'"&amp;M$86&amp;"'!"&amp;VLOOKUP(M$87,'List Values'!$C$3:$D$6,2,FALSE)&amp;ROW(M306))),IF(M$86&lt;&gt;"","Data Source Error",""))))</f>
        <v/>
      </c>
      <c r="O306" s="187"/>
      <c r="P306" s="526"/>
      <c r="Q306" s="900" t="str">
        <f ca="1">IF(OR($H$7&lt;4,Q$260&lt;3),"",IF(P306&lt;&gt;"",P306,IFERROR(IF(INDIRECT("'"&amp;P$86&amp;"'!"&amp;VLOOKUP(P$87,'List Values'!$C$3:$D$6,2,FALSE)&amp;ROW(P306))="","",INDIRECT("'"&amp;P$86&amp;"'!"&amp;VLOOKUP(P$87,'List Values'!$C$3:$D$6,2,FALSE)&amp;ROW(P306))),IF(P$86&lt;&gt;"","Data Source Error",""))))</f>
        <v/>
      </c>
      <c r="S306" s="526"/>
      <c r="T306" s="900" t="str">
        <f ca="1">IF(OR($H$7&lt;5,T$260&lt;3),"",IF(S306&lt;&gt;"",S306,IFERROR(IF(INDIRECT("'"&amp;S$86&amp;"'!"&amp;VLOOKUP(S$87,'List Values'!$C$3:$D$6,2,FALSE)&amp;ROW(S306))="","",INDIRECT("'"&amp;S$86&amp;"'!"&amp;VLOOKUP(S$87,'List Values'!$C$3:$D$6,2,FALSE)&amp;ROW(S306))),IF(S$86&lt;&gt;"","Data Source Error",""))))</f>
        <v/>
      </c>
      <c r="V306" s="526"/>
      <c r="W306" s="911" t="str">
        <f ca="1">IF(OR($H$7&lt;6,W$260&lt;3),"",IF(V306&lt;&gt;"",V306,IFERROR(IF(INDIRECT("'"&amp;V$86&amp;"'!"&amp;VLOOKUP(V$87,'List Values'!$C$3:$D$6,2,FALSE)&amp;ROW(V306))="","",INDIRECT("'"&amp;V$86&amp;"'!"&amp;VLOOKUP(V$87,'List Values'!$C$3:$D$6,2,FALSE)&amp;ROW(V306))),IF(V$86&lt;&gt;"","Data Source Error",""))))</f>
        <v/>
      </c>
      <c r="Y306" s="2643"/>
      <c r="Z306" s="2644"/>
      <c r="AA306" s="2644"/>
      <c r="AB306" s="2645"/>
    </row>
    <row r="307" spans="1:28" ht="33" customHeight="1" outlineLevel="1">
      <c r="A307" s="514"/>
      <c r="B307" s="252"/>
      <c r="C307" s="2684" t="s">
        <v>629</v>
      </c>
      <c r="D307" s="2684"/>
      <c r="E307" s="2062"/>
      <c r="F307" s="2062"/>
      <c r="G307" s="636"/>
      <c r="H307" s="637"/>
      <c r="I307" s="187"/>
      <c r="J307" s="568"/>
      <c r="K307" s="945" t="str">
        <f ca="1">IF(OR($H$7&lt;2,K$260&lt;3),"",IF(J307&lt;&gt;"",J307,IFERROR(IF(INDIRECT("'"&amp;J$86&amp;"'!"&amp;VLOOKUP(J$87,'List Values'!$C$3:$D$6,2,FALSE)&amp;ROW(J307))="","",INDIRECT("'"&amp;J$86&amp;"'!"&amp;VLOOKUP(J$87,'List Values'!$C$3:$D$6,2,FALSE)&amp;ROW(J307))),IF(J$86&lt;&gt;"","Data Source Error",""))))</f>
        <v/>
      </c>
      <c r="L307" s="339"/>
      <c r="M307" s="568"/>
      <c r="N307" s="945" t="str">
        <f ca="1">IF(OR($H$7&lt;3,N$260&lt;3),"",IF(M307&lt;&gt;"",M307,IFERROR(IF(INDIRECT("'"&amp;M$86&amp;"'!"&amp;VLOOKUP(M$87,'List Values'!$C$3:$D$6,2,FALSE)&amp;ROW(M307))="","",INDIRECT("'"&amp;M$86&amp;"'!"&amp;VLOOKUP(M$87,'List Values'!$C$3:$D$6,2,FALSE)&amp;ROW(M307))),IF(M$86&lt;&gt;"","Data Source Error",""))))</f>
        <v/>
      </c>
      <c r="O307" s="339"/>
      <c r="P307" s="568"/>
      <c r="Q307" s="945" t="str">
        <f ca="1">IF(OR($H$7&lt;4,Q$260&lt;3),"",IF(P307&lt;&gt;"",P307,IFERROR(IF(INDIRECT("'"&amp;P$86&amp;"'!"&amp;VLOOKUP(P$87,'List Values'!$C$3:$D$6,2,FALSE)&amp;ROW(P307))="","",INDIRECT("'"&amp;P$86&amp;"'!"&amp;VLOOKUP(P$87,'List Values'!$C$3:$D$6,2,FALSE)&amp;ROW(P307))),IF(P$86&lt;&gt;"","Data Source Error",""))))</f>
        <v/>
      </c>
      <c r="R307" s="7"/>
      <c r="S307" s="568"/>
      <c r="T307" s="945" t="str">
        <f ca="1">IF(OR($H$7&lt;5,T$260&lt;3),"",IF(S307&lt;&gt;"",S307,IFERROR(IF(INDIRECT("'"&amp;S$86&amp;"'!"&amp;VLOOKUP(S$87,'List Values'!$C$3:$D$6,2,FALSE)&amp;ROW(S307))="","",INDIRECT("'"&amp;S$86&amp;"'!"&amp;VLOOKUP(S$87,'List Values'!$C$3:$D$6,2,FALSE)&amp;ROW(S307))),IF(S$86&lt;&gt;"","Data Source Error",""))))</f>
        <v/>
      </c>
      <c r="U307" s="7"/>
      <c r="V307" s="568"/>
      <c r="W307" s="952" t="str">
        <f ca="1">IF(OR($H$7&lt;6,W$260&lt;3),"",IF(V307&lt;&gt;"",V307,IFERROR(IF(INDIRECT("'"&amp;V$86&amp;"'!"&amp;VLOOKUP(V$87,'List Values'!$C$3:$D$6,2,FALSE)&amp;ROW(V307))="","",INDIRECT("'"&amp;V$86&amp;"'!"&amp;VLOOKUP(V$87,'List Values'!$C$3:$D$6,2,FALSE)&amp;ROW(V307))),IF(V$86&lt;&gt;"","Data Source Error",""))))</f>
        <v/>
      </c>
      <c r="Y307" s="2643"/>
      <c r="Z307" s="2644"/>
      <c r="AA307" s="2644"/>
      <c r="AB307" s="2645"/>
    </row>
    <row r="308" spans="1:28" ht="15.75" customHeight="1" outlineLevel="1">
      <c r="A308" s="514"/>
      <c r="B308" s="252"/>
      <c r="C308" s="2680" t="s">
        <v>630</v>
      </c>
      <c r="D308" s="2680"/>
      <c r="E308" s="2062"/>
      <c r="F308" s="2062"/>
      <c r="G308" s="636"/>
      <c r="H308" s="637"/>
      <c r="I308" s="187"/>
      <c r="J308" s="526"/>
      <c r="K308" s="900" t="str">
        <f ca="1">IF(OR($H$7&lt;2,K$260&lt;3),"",IF(J308&lt;&gt;"",J308,IFERROR(IF(INDIRECT("'"&amp;J$86&amp;"'!"&amp;VLOOKUP(J$87,'List Values'!$C$3:$D$6,2,FALSE)&amp;ROW(J308))="","",INDIRECT("'"&amp;J$86&amp;"'!"&amp;VLOOKUP(J$87,'List Values'!$C$3:$D$6,2,FALSE)&amp;ROW(J308))),IF(J$86&lt;&gt;"","Data Source Error",""))))</f>
        <v/>
      </c>
      <c r="L308" s="187"/>
      <c r="M308" s="526"/>
      <c r="N308" s="900" t="str">
        <f ca="1">IF(OR($H$7&lt;3,N$260&lt;3),"",IF(M308&lt;&gt;"",M308,IFERROR(IF(INDIRECT("'"&amp;M$86&amp;"'!"&amp;VLOOKUP(M$87,'List Values'!$C$3:$D$6,2,FALSE)&amp;ROW(M308))="","",INDIRECT("'"&amp;M$86&amp;"'!"&amp;VLOOKUP(M$87,'List Values'!$C$3:$D$6,2,FALSE)&amp;ROW(M308))),IF(M$86&lt;&gt;"","Data Source Error",""))))</f>
        <v/>
      </c>
      <c r="O308" s="187"/>
      <c r="P308" s="526"/>
      <c r="Q308" s="900" t="str">
        <f ca="1">IF(OR($H$7&lt;4,Q$260&lt;3),"",IF(P308&lt;&gt;"",P308,IFERROR(IF(INDIRECT("'"&amp;P$86&amp;"'!"&amp;VLOOKUP(P$87,'List Values'!$C$3:$D$6,2,FALSE)&amp;ROW(P308))="","",INDIRECT("'"&amp;P$86&amp;"'!"&amp;VLOOKUP(P$87,'List Values'!$C$3:$D$6,2,FALSE)&amp;ROW(P308))),IF(P$86&lt;&gt;"","Data Source Error",""))))</f>
        <v/>
      </c>
      <c r="S308" s="526"/>
      <c r="T308" s="900" t="str">
        <f ca="1">IF(OR($H$7&lt;5,T$260&lt;3),"",IF(S308&lt;&gt;"",S308,IFERROR(IF(INDIRECT("'"&amp;S$86&amp;"'!"&amp;VLOOKUP(S$87,'List Values'!$C$3:$D$6,2,FALSE)&amp;ROW(S308))="","",INDIRECT("'"&amp;S$86&amp;"'!"&amp;VLOOKUP(S$87,'List Values'!$C$3:$D$6,2,FALSE)&amp;ROW(S308))),IF(S$86&lt;&gt;"","Data Source Error",""))))</f>
        <v/>
      </c>
      <c r="V308" s="526"/>
      <c r="W308" s="911" t="str">
        <f ca="1">IF(OR($H$7&lt;6,W$260&lt;3),"",IF(V308&lt;&gt;"",V308,IFERROR(IF(INDIRECT("'"&amp;V$86&amp;"'!"&amp;VLOOKUP(V$87,'List Values'!$C$3:$D$6,2,FALSE)&amp;ROW(V308))="","",INDIRECT("'"&amp;V$86&amp;"'!"&amp;VLOOKUP(V$87,'List Values'!$C$3:$D$6,2,FALSE)&amp;ROW(V308))),IF(V$86&lt;&gt;"","Data Source Error",""))))</f>
        <v/>
      </c>
      <c r="Y308" s="2643"/>
      <c r="Z308" s="2644"/>
      <c r="AA308" s="2644"/>
      <c r="AB308" s="2645"/>
    </row>
    <row r="309" spans="1:28" ht="31" customHeight="1" outlineLevel="1">
      <c r="A309" s="514"/>
      <c r="B309" s="252"/>
      <c r="C309" s="2684" t="s">
        <v>634</v>
      </c>
      <c r="D309" s="2684"/>
      <c r="E309" s="202"/>
      <c r="F309" s="202"/>
      <c r="G309" s="634"/>
      <c r="H309" s="635"/>
      <c r="I309" s="183"/>
      <c r="J309" s="553"/>
      <c r="K309" s="897" t="str">
        <f ca="1">IF(OR($H$7&lt;2,K$260&lt;3),"",IF(J309&lt;&gt;"",J309,IFERROR(IF(INDIRECT("'"&amp;J$86&amp;"'!"&amp;VLOOKUP(J$87,'List Values'!$C$3:$D$6,2,FALSE)&amp;ROW(J309))="","",INDIRECT("'"&amp;J$86&amp;"'!"&amp;VLOOKUP(J$87,'List Values'!$C$3:$D$6,2,FALSE)&amp;ROW(J309))),IF(J$86&lt;&gt;"","Data Source Error",""))))</f>
        <v/>
      </c>
      <c r="L309" s="183"/>
      <c r="M309" s="553"/>
      <c r="N309" s="897" t="str">
        <f ca="1">IF(OR($H$7&lt;3,N$260&lt;3),"",IF(M309&lt;&gt;"",M309,IFERROR(IF(INDIRECT("'"&amp;M$86&amp;"'!"&amp;VLOOKUP(M$87,'List Values'!$C$3:$D$6,2,FALSE)&amp;ROW(M309))="","",INDIRECT("'"&amp;M$86&amp;"'!"&amp;VLOOKUP(M$87,'List Values'!$C$3:$D$6,2,FALSE)&amp;ROW(M309))),IF(M$86&lt;&gt;"","Data Source Error",""))))</f>
        <v/>
      </c>
      <c r="O309" s="183"/>
      <c r="P309" s="553"/>
      <c r="Q309" s="897" t="str">
        <f ca="1">IF(OR($H$7&lt;4,Q$260&lt;3),"",IF(P309&lt;&gt;"",P309,IFERROR(IF(INDIRECT("'"&amp;P$86&amp;"'!"&amp;VLOOKUP(P$87,'List Values'!$C$3:$D$6,2,FALSE)&amp;ROW(P309))="","",INDIRECT("'"&amp;P$86&amp;"'!"&amp;VLOOKUP(P$87,'List Values'!$C$3:$D$6,2,FALSE)&amp;ROW(P309))),IF(P$86&lt;&gt;"","Data Source Error",""))))</f>
        <v/>
      </c>
      <c r="S309" s="553"/>
      <c r="T309" s="897" t="str">
        <f ca="1">IF(OR($H$7&lt;5,T$260&lt;3),"",IF(S309&lt;&gt;"",S309,IFERROR(IF(INDIRECT("'"&amp;S$86&amp;"'!"&amp;VLOOKUP(S$87,'List Values'!$C$3:$D$6,2,FALSE)&amp;ROW(S309))="","",INDIRECT("'"&amp;S$86&amp;"'!"&amp;VLOOKUP(S$87,'List Values'!$C$3:$D$6,2,FALSE)&amp;ROW(S309))),IF(S$86&lt;&gt;"","Data Source Error",""))))</f>
        <v/>
      </c>
      <c r="V309" s="553"/>
      <c r="W309" s="908" t="str">
        <f ca="1">IF(OR($H$7&lt;6,W$260&lt;3),"",IF(V309&lt;&gt;"",V309,IFERROR(IF(INDIRECT("'"&amp;V$86&amp;"'!"&amp;VLOOKUP(V$87,'List Values'!$C$3:$D$6,2,FALSE)&amp;ROW(V309))="","",INDIRECT("'"&amp;V$86&amp;"'!"&amp;VLOOKUP(V$87,'List Values'!$C$3:$D$6,2,FALSE)&amp;ROW(V309))),IF(V$86&lt;&gt;"","Data Source Error",""))))</f>
        <v/>
      </c>
      <c r="Y309" s="2643"/>
      <c r="Z309" s="2644"/>
      <c r="AA309" s="2644"/>
      <c r="AB309" s="2645"/>
    </row>
    <row r="310" spans="1:28" ht="31" customHeight="1" outlineLevel="1">
      <c r="A310" s="514"/>
      <c r="B310" s="252"/>
      <c r="C310" s="2680" t="s">
        <v>1551</v>
      </c>
      <c r="D310" s="2680"/>
      <c r="E310" s="2062"/>
      <c r="F310" s="2062"/>
      <c r="G310" s="636"/>
      <c r="H310" s="637"/>
      <c r="I310" s="187"/>
      <c r="J310" s="619"/>
      <c r="K310" s="898" t="str">
        <f ca="1">IF(OR($H$7&lt;2,K$260&lt;3),"",IF(J310&lt;&gt;"",J310,IFERROR(IF(INDIRECT("'"&amp;J$86&amp;"'!"&amp;VLOOKUP(J$87,'List Values'!$C$3:$D$6,2,FALSE)&amp;ROW(J310))="","",INDIRECT("'"&amp;J$86&amp;"'!"&amp;VLOOKUP(J$87,'List Values'!$C$3:$D$6,2,FALSE)&amp;ROW(J310))),IF(J$86&lt;&gt;"","Data Source Error",""))))</f>
        <v/>
      </c>
      <c r="L310" s="621"/>
      <c r="M310" s="619"/>
      <c r="N310" s="898" t="str">
        <f ca="1">IF(OR($H$7&lt;3,N$260&lt;3),"",IF(M310&lt;&gt;"",M310,IFERROR(IF(INDIRECT("'"&amp;M$86&amp;"'!"&amp;VLOOKUP(M$87,'List Values'!$C$3:$D$6,2,FALSE)&amp;ROW(M310))="","",INDIRECT("'"&amp;M$86&amp;"'!"&amp;VLOOKUP(M$87,'List Values'!$C$3:$D$6,2,FALSE)&amp;ROW(M310))),IF(M$86&lt;&gt;"","Data Source Error",""))))</f>
        <v/>
      </c>
      <c r="O310" s="621"/>
      <c r="P310" s="619"/>
      <c r="Q310" s="898" t="str">
        <f ca="1">IF(OR($H$7&lt;4,Q$260&lt;3),"",IF(P310&lt;&gt;"",P310,IFERROR(IF(INDIRECT("'"&amp;P$86&amp;"'!"&amp;VLOOKUP(P$87,'List Values'!$C$3:$D$6,2,FALSE)&amp;ROW(P310))="","",INDIRECT("'"&amp;P$86&amp;"'!"&amp;VLOOKUP(P$87,'List Values'!$C$3:$D$6,2,FALSE)&amp;ROW(P310))),IF(P$86&lt;&gt;"","Data Source Error",""))))</f>
        <v/>
      </c>
      <c r="R310" s="147"/>
      <c r="S310" s="619"/>
      <c r="T310" s="898" t="str">
        <f ca="1">IF(OR($H$7&lt;5,T$260&lt;3),"",IF(S310&lt;&gt;"",S310,IFERROR(IF(INDIRECT("'"&amp;S$86&amp;"'!"&amp;VLOOKUP(S$87,'List Values'!$C$3:$D$6,2,FALSE)&amp;ROW(S310))="","",INDIRECT("'"&amp;S$86&amp;"'!"&amp;VLOOKUP(S$87,'List Values'!$C$3:$D$6,2,FALSE)&amp;ROW(S310))),IF(S$86&lt;&gt;"","Data Source Error",""))))</f>
        <v/>
      </c>
      <c r="U310" s="147"/>
      <c r="V310" s="619"/>
      <c r="W310" s="909" t="str">
        <f ca="1">IF(OR($H$7&lt;6,W$260&lt;3),"",IF(V310&lt;&gt;"",V310,IFERROR(IF(INDIRECT("'"&amp;V$86&amp;"'!"&amp;VLOOKUP(V$87,'List Values'!$C$3:$D$6,2,FALSE)&amp;ROW(V310))="","",INDIRECT("'"&amp;V$86&amp;"'!"&amp;VLOOKUP(V$87,'List Values'!$C$3:$D$6,2,FALSE)&amp;ROW(V310))),IF(V$86&lt;&gt;"","Data Source Error",""))))</f>
        <v/>
      </c>
      <c r="Y310" s="2643"/>
      <c r="Z310" s="2644"/>
      <c r="AA310" s="2644"/>
      <c r="AB310" s="2645"/>
    </row>
    <row r="311" spans="1:28" ht="31" customHeight="1" outlineLevel="1">
      <c r="A311" s="514"/>
      <c r="B311" s="252"/>
      <c r="C311" s="2680" t="s">
        <v>1552</v>
      </c>
      <c r="D311" s="2680"/>
      <c r="E311" s="2062"/>
      <c r="F311" s="2062"/>
      <c r="G311" s="636"/>
      <c r="H311" s="637"/>
      <c r="I311" s="187"/>
      <c r="J311" s="619"/>
      <c r="K311" s="898" t="str">
        <f ca="1">IF(OR($H$7&lt;2,K$260&lt;3),"",IF(J311&lt;&gt;"",J311,IFERROR(IF(INDIRECT("'"&amp;J$86&amp;"'!"&amp;VLOOKUP(J$87,'List Values'!$C$3:$D$6,2,FALSE)&amp;ROW(J311))="","",INDIRECT("'"&amp;J$86&amp;"'!"&amp;VLOOKUP(J$87,'List Values'!$C$3:$D$6,2,FALSE)&amp;ROW(J311))),IF(J$86&lt;&gt;"","Data Source Error",""))))</f>
        <v/>
      </c>
      <c r="L311" s="621"/>
      <c r="M311" s="619"/>
      <c r="N311" s="898" t="str">
        <f ca="1">IF(OR($H$7&lt;3,N$260&lt;3),"",IF(M311&lt;&gt;"",M311,IFERROR(IF(INDIRECT("'"&amp;M$86&amp;"'!"&amp;VLOOKUP(M$87,'List Values'!$C$3:$D$6,2,FALSE)&amp;ROW(M311))="","",INDIRECT("'"&amp;M$86&amp;"'!"&amp;VLOOKUP(M$87,'List Values'!$C$3:$D$6,2,FALSE)&amp;ROW(M311))),IF(M$86&lt;&gt;"","Data Source Error",""))))</f>
        <v/>
      </c>
      <c r="O311" s="621"/>
      <c r="P311" s="619"/>
      <c r="Q311" s="898" t="str">
        <f ca="1">IF(OR($H$7&lt;4,Q$260&lt;3),"",IF(P311&lt;&gt;"",P311,IFERROR(IF(INDIRECT("'"&amp;P$86&amp;"'!"&amp;VLOOKUP(P$87,'List Values'!$C$3:$D$6,2,FALSE)&amp;ROW(P311))="","",INDIRECT("'"&amp;P$86&amp;"'!"&amp;VLOOKUP(P$87,'List Values'!$C$3:$D$6,2,FALSE)&amp;ROW(P311))),IF(P$86&lt;&gt;"","Data Source Error",""))))</f>
        <v/>
      </c>
      <c r="R311" s="147"/>
      <c r="S311" s="619"/>
      <c r="T311" s="898" t="str">
        <f ca="1">IF(OR($H$7&lt;5,T$260&lt;3),"",IF(S311&lt;&gt;"",S311,IFERROR(IF(INDIRECT("'"&amp;S$86&amp;"'!"&amp;VLOOKUP(S$87,'List Values'!$C$3:$D$6,2,FALSE)&amp;ROW(S311))="","",INDIRECT("'"&amp;S$86&amp;"'!"&amp;VLOOKUP(S$87,'List Values'!$C$3:$D$6,2,FALSE)&amp;ROW(S311))),IF(S$86&lt;&gt;"","Data Source Error",""))))</f>
        <v/>
      </c>
      <c r="U311" s="147"/>
      <c r="V311" s="619"/>
      <c r="W311" s="909" t="str">
        <f ca="1">IF(OR($H$7&lt;6,W$260&lt;3),"",IF(V311&lt;&gt;"",V311,IFERROR(IF(INDIRECT("'"&amp;V$86&amp;"'!"&amp;VLOOKUP(V$87,'List Values'!$C$3:$D$6,2,FALSE)&amp;ROW(V311))="","",INDIRECT("'"&amp;V$86&amp;"'!"&amp;VLOOKUP(V$87,'List Values'!$C$3:$D$6,2,FALSE)&amp;ROW(V311))),IF(V$86&lt;&gt;"","Data Source Error",""))))</f>
        <v/>
      </c>
      <c r="Y311" s="2643"/>
      <c r="Z311" s="2644"/>
      <c r="AA311" s="2644"/>
      <c r="AB311" s="2645"/>
    </row>
    <row r="312" spans="1:28" ht="33" customHeight="1" outlineLevel="1">
      <c r="A312" s="514"/>
      <c r="B312" s="252"/>
      <c r="C312" s="2680" t="s">
        <v>331</v>
      </c>
      <c r="D312" s="2680"/>
      <c r="E312" s="2062"/>
      <c r="F312" s="2062"/>
      <c r="G312" s="636"/>
      <c r="H312" s="637"/>
      <c r="I312" s="187"/>
      <c r="J312" s="526"/>
      <c r="K312" s="900" t="str">
        <f ca="1">IF(OR($H$7&lt;2,K$260&lt;3),"",IF(J312&lt;&gt;"",J312,IFERROR(IF(INDIRECT("'"&amp;J$86&amp;"'!"&amp;VLOOKUP(J$87,'List Values'!$C$3:$D$6,2,FALSE)&amp;ROW(J312))="","",INDIRECT("'"&amp;J$86&amp;"'!"&amp;VLOOKUP(J$87,'List Values'!$C$3:$D$6,2,FALSE)&amp;ROW(J312))),IF(J$86&lt;&gt;"","Data Source Error",""))))</f>
        <v/>
      </c>
      <c r="L312" s="187"/>
      <c r="M312" s="526"/>
      <c r="N312" s="900" t="str">
        <f ca="1">IF(OR($H$7&lt;3,N$260&lt;3),"",IF(M312&lt;&gt;"",M312,IFERROR(IF(INDIRECT("'"&amp;M$86&amp;"'!"&amp;VLOOKUP(M$87,'List Values'!$C$3:$D$6,2,FALSE)&amp;ROW(M312))="","",INDIRECT("'"&amp;M$86&amp;"'!"&amp;VLOOKUP(M$87,'List Values'!$C$3:$D$6,2,FALSE)&amp;ROW(M312))),IF(M$86&lt;&gt;"","Data Source Error",""))))</f>
        <v/>
      </c>
      <c r="O312" s="187"/>
      <c r="P312" s="526"/>
      <c r="Q312" s="900" t="str">
        <f ca="1">IF(OR($H$7&lt;4,Q$260&lt;3),"",IF(P312&lt;&gt;"",P312,IFERROR(IF(INDIRECT("'"&amp;P$86&amp;"'!"&amp;VLOOKUP(P$87,'List Values'!$C$3:$D$6,2,FALSE)&amp;ROW(P312))="","",INDIRECT("'"&amp;P$86&amp;"'!"&amp;VLOOKUP(P$87,'List Values'!$C$3:$D$6,2,FALSE)&amp;ROW(P312))),IF(P$86&lt;&gt;"","Data Source Error",""))))</f>
        <v/>
      </c>
      <c r="S312" s="526"/>
      <c r="T312" s="900" t="str">
        <f ca="1">IF(OR($H$7&lt;5,T$260&lt;3),"",IF(S312&lt;&gt;"",S312,IFERROR(IF(INDIRECT("'"&amp;S$86&amp;"'!"&amp;VLOOKUP(S$87,'List Values'!$C$3:$D$6,2,FALSE)&amp;ROW(S312))="","",INDIRECT("'"&amp;S$86&amp;"'!"&amp;VLOOKUP(S$87,'List Values'!$C$3:$D$6,2,FALSE)&amp;ROW(S312))),IF(S$86&lt;&gt;"","Data Source Error",""))))</f>
        <v/>
      </c>
      <c r="V312" s="526"/>
      <c r="W312" s="911" t="str">
        <f ca="1">IF(OR($H$7&lt;6,W$260&lt;3),"",IF(V312&lt;&gt;"",V312,IFERROR(IF(INDIRECT("'"&amp;V$86&amp;"'!"&amp;VLOOKUP(V$87,'List Values'!$C$3:$D$6,2,FALSE)&amp;ROW(V312))="","",INDIRECT("'"&amp;V$86&amp;"'!"&amp;VLOOKUP(V$87,'List Values'!$C$3:$D$6,2,FALSE)&amp;ROW(V312))),IF(V$86&lt;&gt;"","Data Source Error",""))))</f>
        <v/>
      </c>
      <c r="Y312" s="2643"/>
      <c r="Z312" s="2644"/>
      <c r="AA312" s="2644"/>
      <c r="AB312" s="2645"/>
    </row>
    <row r="313" spans="1:28" ht="15.75" customHeight="1" outlineLevel="1">
      <c r="A313" s="514"/>
      <c r="B313" s="252"/>
      <c r="C313" s="2684" t="s">
        <v>332</v>
      </c>
      <c r="D313" s="2684"/>
      <c r="E313" s="2062"/>
      <c r="F313" s="2062"/>
      <c r="G313" s="636"/>
      <c r="H313" s="637"/>
      <c r="I313" s="187"/>
      <c r="J313" s="580"/>
      <c r="K313" s="900" t="str">
        <f ca="1">IF(OR($H$7&lt;2,K$260&lt;3),"",IF(J313&lt;&gt;"",J313,IFERROR(IF(INDIRECT("'"&amp;J$86&amp;"'!"&amp;VLOOKUP(J$87,'List Values'!$C$3:$D$6,2,FALSE)&amp;ROW(J313))="","",INDIRECT("'"&amp;J$86&amp;"'!"&amp;VLOOKUP(J$87,'List Values'!$C$3:$D$6,2,FALSE)&amp;ROW(J313))),IF(J$86&lt;&gt;"","Data Source Error",""))))</f>
        <v/>
      </c>
      <c r="L313" s="187"/>
      <c r="M313" s="580"/>
      <c r="N313" s="900" t="str">
        <f ca="1">IF(OR($H$7&lt;3,N$260&lt;3),"",IF(M313&lt;&gt;"",M313,IFERROR(IF(INDIRECT("'"&amp;M$86&amp;"'!"&amp;VLOOKUP(M$87,'List Values'!$C$3:$D$6,2,FALSE)&amp;ROW(M313))="","",INDIRECT("'"&amp;M$86&amp;"'!"&amp;VLOOKUP(M$87,'List Values'!$C$3:$D$6,2,FALSE)&amp;ROW(M313))),IF(M$86&lt;&gt;"","Data Source Error",""))))</f>
        <v/>
      </c>
      <c r="O313" s="187"/>
      <c r="P313" s="580"/>
      <c r="Q313" s="900" t="str">
        <f ca="1">IF(OR($H$7&lt;4,Q$260&lt;3),"",IF(P313&lt;&gt;"",P313,IFERROR(IF(INDIRECT("'"&amp;P$86&amp;"'!"&amp;VLOOKUP(P$87,'List Values'!$C$3:$D$6,2,FALSE)&amp;ROW(P313))="","",INDIRECT("'"&amp;P$86&amp;"'!"&amp;VLOOKUP(P$87,'List Values'!$C$3:$D$6,2,FALSE)&amp;ROW(P313))),IF(P$86&lt;&gt;"","Data Source Error",""))))</f>
        <v/>
      </c>
      <c r="S313" s="580"/>
      <c r="T313" s="900" t="str">
        <f ca="1">IF(OR($H$7&lt;5,T$260&lt;3),"",IF(S313&lt;&gt;"",S313,IFERROR(IF(INDIRECT("'"&amp;S$86&amp;"'!"&amp;VLOOKUP(S$87,'List Values'!$C$3:$D$6,2,FALSE)&amp;ROW(S313))="","",INDIRECT("'"&amp;S$86&amp;"'!"&amp;VLOOKUP(S$87,'List Values'!$C$3:$D$6,2,FALSE)&amp;ROW(S313))),IF(S$86&lt;&gt;"","Data Source Error",""))))</f>
        <v/>
      </c>
      <c r="V313" s="580"/>
      <c r="W313" s="911" t="str">
        <f ca="1">IF(OR($H$7&lt;6,W$260&lt;3),"",IF(V313&lt;&gt;"",V313,IFERROR(IF(INDIRECT("'"&amp;V$86&amp;"'!"&amp;VLOOKUP(V$87,'List Values'!$C$3:$D$6,2,FALSE)&amp;ROW(V313))="","",INDIRECT("'"&amp;V$86&amp;"'!"&amp;VLOOKUP(V$87,'List Values'!$C$3:$D$6,2,FALSE)&amp;ROW(V313))),IF(V$86&lt;&gt;"","Data Source Error",""))))</f>
        <v/>
      </c>
      <c r="Y313" s="2643"/>
      <c r="Z313" s="2644"/>
      <c r="AA313" s="2644"/>
      <c r="AB313" s="2645"/>
    </row>
    <row r="314" spans="1:28" ht="31.5" customHeight="1" outlineLevel="1">
      <c r="A314" s="514"/>
      <c r="B314" s="252"/>
      <c r="C314" s="2680" t="s">
        <v>839</v>
      </c>
      <c r="D314" s="2680"/>
      <c r="E314" s="2062"/>
      <c r="F314" s="2062"/>
      <c r="G314" s="636"/>
      <c r="H314" s="637"/>
      <c r="I314" s="187"/>
      <c r="J314" s="580"/>
      <c r="K314" s="900" t="str">
        <f ca="1">IF(OR($H$7&lt;2,K$260&lt;3),"",IF(J314&lt;&gt;"",J314,IFERROR(IF(INDIRECT("'"&amp;J$86&amp;"'!"&amp;VLOOKUP(J$87,'List Values'!$C$3:$D$6,2,FALSE)&amp;ROW(J314))="","",INDIRECT("'"&amp;J$86&amp;"'!"&amp;VLOOKUP(J$87,'List Values'!$C$3:$D$6,2,FALSE)&amp;ROW(J314))),IF(J$86&lt;&gt;"","Data Source Error",""))))</f>
        <v/>
      </c>
      <c r="L314" s="187"/>
      <c r="M314" s="580"/>
      <c r="N314" s="900" t="str">
        <f ca="1">IF(OR($H$7&lt;3,N$260&lt;3),"",IF(M314&lt;&gt;"",M314,IFERROR(IF(INDIRECT("'"&amp;M$86&amp;"'!"&amp;VLOOKUP(M$87,'List Values'!$C$3:$D$6,2,FALSE)&amp;ROW(M314))="","",INDIRECT("'"&amp;M$86&amp;"'!"&amp;VLOOKUP(M$87,'List Values'!$C$3:$D$6,2,FALSE)&amp;ROW(M314))),IF(M$86&lt;&gt;"","Data Source Error",""))))</f>
        <v/>
      </c>
      <c r="O314" s="187"/>
      <c r="P314" s="580"/>
      <c r="Q314" s="900" t="str">
        <f ca="1">IF(OR($H$7&lt;4,Q$260&lt;3),"",IF(P314&lt;&gt;"",P314,IFERROR(IF(INDIRECT("'"&amp;P$86&amp;"'!"&amp;VLOOKUP(P$87,'List Values'!$C$3:$D$6,2,FALSE)&amp;ROW(P314))="","",INDIRECT("'"&amp;P$86&amp;"'!"&amp;VLOOKUP(P$87,'List Values'!$C$3:$D$6,2,FALSE)&amp;ROW(P314))),IF(P$86&lt;&gt;"","Data Source Error",""))))</f>
        <v/>
      </c>
      <c r="S314" s="580"/>
      <c r="T314" s="900" t="str">
        <f ca="1">IF(OR($H$7&lt;5,T$260&lt;3),"",IF(S314&lt;&gt;"",S314,IFERROR(IF(INDIRECT("'"&amp;S$86&amp;"'!"&amp;VLOOKUP(S$87,'List Values'!$C$3:$D$6,2,FALSE)&amp;ROW(S314))="","",INDIRECT("'"&amp;S$86&amp;"'!"&amp;VLOOKUP(S$87,'List Values'!$C$3:$D$6,2,FALSE)&amp;ROW(S314))),IF(S$86&lt;&gt;"","Data Source Error",""))))</f>
        <v/>
      </c>
      <c r="V314" s="580"/>
      <c r="W314" s="911" t="str">
        <f ca="1">IF(OR($H$7&lt;6,W$260&lt;3),"",IF(V314&lt;&gt;"",V314,IFERROR(IF(INDIRECT("'"&amp;V$86&amp;"'!"&amp;VLOOKUP(V$87,'List Values'!$C$3:$D$6,2,FALSE)&amp;ROW(V314))="","",INDIRECT("'"&amp;V$86&amp;"'!"&amp;VLOOKUP(V$87,'List Values'!$C$3:$D$6,2,FALSE)&amp;ROW(V314))),IF(V$86&lt;&gt;"","Data Source Error",""))))</f>
        <v/>
      </c>
      <c r="Y314" s="2643"/>
      <c r="Z314" s="2644"/>
      <c r="AA314" s="2644"/>
      <c r="AB314" s="2645"/>
    </row>
    <row r="315" spans="1:28" ht="15.75" customHeight="1" outlineLevel="1">
      <c r="A315" s="514"/>
      <c r="B315" s="252"/>
      <c r="C315" s="2680" t="s">
        <v>334</v>
      </c>
      <c r="D315" s="2680"/>
      <c r="E315" s="2062"/>
      <c r="F315" s="2062"/>
      <c r="G315" s="636"/>
      <c r="H315" s="637"/>
      <c r="I315" s="187"/>
      <c r="J315" s="580"/>
      <c r="K315" s="900" t="str">
        <f ca="1">IF(OR($H$7&lt;2,K$260&lt;3),"",IF(J315&lt;&gt;"",J315,IFERROR(IF(INDIRECT("'"&amp;J$86&amp;"'!"&amp;VLOOKUP(J$87,'List Values'!$C$3:$D$6,2,FALSE)&amp;ROW(J315))="","",INDIRECT("'"&amp;J$86&amp;"'!"&amp;VLOOKUP(J$87,'List Values'!$C$3:$D$6,2,FALSE)&amp;ROW(J315))),IF(J$86&lt;&gt;"","Data Source Error",""))))</f>
        <v/>
      </c>
      <c r="L315" s="187"/>
      <c r="M315" s="580"/>
      <c r="N315" s="900" t="str">
        <f ca="1">IF(OR($H$7&lt;3,N$260&lt;3),"",IF(M315&lt;&gt;"",M315,IFERROR(IF(INDIRECT("'"&amp;M$86&amp;"'!"&amp;VLOOKUP(M$87,'List Values'!$C$3:$D$6,2,FALSE)&amp;ROW(M315))="","",INDIRECT("'"&amp;M$86&amp;"'!"&amp;VLOOKUP(M$87,'List Values'!$C$3:$D$6,2,FALSE)&amp;ROW(M315))),IF(M$86&lt;&gt;"","Data Source Error",""))))</f>
        <v/>
      </c>
      <c r="O315" s="187"/>
      <c r="P315" s="580"/>
      <c r="Q315" s="900" t="str">
        <f ca="1">IF(OR($H$7&lt;4,Q$260&lt;3),"",IF(P315&lt;&gt;"",P315,IFERROR(IF(INDIRECT("'"&amp;P$86&amp;"'!"&amp;VLOOKUP(P$87,'List Values'!$C$3:$D$6,2,FALSE)&amp;ROW(P315))="","",INDIRECT("'"&amp;P$86&amp;"'!"&amp;VLOOKUP(P$87,'List Values'!$C$3:$D$6,2,FALSE)&amp;ROW(P315))),IF(P$86&lt;&gt;"","Data Source Error",""))))</f>
        <v/>
      </c>
      <c r="S315" s="580"/>
      <c r="T315" s="900" t="str">
        <f ca="1">IF(OR($H$7&lt;5,T$260&lt;3),"",IF(S315&lt;&gt;"",S315,IFERROR(IF(INDIRECT("'"&amp;S$86&amp;"'!"&amp;VLOOKUP(S$87,'List Values'!$C$3:$D$6,2,FALSE)&amp;ROW(S315))="","",INDIRECT("'"&amp;S$86&amp;"'!"&amp;VLOOKUP(S$87,'List Values'!$C$3:$D$6,2,FALSE)&amp;ROW(S315))),IF(S$86&lt;&gt;"","Data Source Error",""))))</f>
        <v/>
      </c>
      <c r="V315" s="580"/>
      <c r="W315" s="911" t="str">
        <f ca="1">IF(OR($H$7&lt;6,W$260&lt;3),"",IF(V315&lt;&gt;"",V315,IFERROR(IF(INDIRECT("'"&amp;V$86&amp;"'!"&amp;VLOOKUP(V$87,'List Values'!$C$3:$D$6,2,FALSE)&amp;ROW(V315))="","",INDIRECT("'"&amp;V$86&amp;"'!"&amp;VLOOKUP(V$87,'List Values'!$C$3:$D$6,2,FALSE)&amp;ROW(V315))),IF(V$86&lt;&gt;"","Data Source Error",""))))</f>
        <v/>
      </c>
      <c r="Y315" s="2643"/>
      <c r="Z315" s="2644"/>
      <c r="AA315" s="2644"/>
      <c r="AB315" s="2645"/>
    </row>
    <row r="316" spans="1:28" ht="15.75" customHeight="1" outlineLevel="1">
      <c r="A316" s="514"/>
      <c r="B316" s="252"/>
      <c r="C316" s="2684" t="s">
        <v>335</v>
      </c>
      <c r="D316" s="2684"/>
      <c r="E316" s="2062"/>
      <c r="F316" s="2062"/>
      <c r="G316" s="636"/>
      <c r="H316" s="637"/>
      <c r="I316" s="187"/>
      <c r="J316" s="580"/>
      <c r="K316" s="900" t="str">
        <f ca="1">IF(OR($H$7&lt;2,K$260&lt;3),"",IF(J316&lt;&gt;"",J316,IFERROR(IF(INDIRECT("'"&amp;J$86&amp;"'!"&amp;VLOOKUP(J$87,'List Values'!$C$3:$D$6,2,FALSE)&amp;ROW(J316))="","",INDIRECT("'"&amp;J$86&amp;"'!"&amp;VLOOKUP(J$87,'List Values'!$C$3:$D$6,2,FALSE)&amp;ROW(J316))),IF(J$86&lt;&gt;"","Data Source Error",""))))</f>
        <v/>
      </c>
      <c r="L316" s="187"/>
      <c r="M316" s="580"/>
      <c r="N316" s="900" t="str">
        <f ca="1">IF(OR($H$7&lt;3,N$260&lt;3),"",IF(M316&lt;&gt;"",M316,IFERROR(IF(INDIRECT("'"&amp;M$86&amp;"'!"&amp;VLOOKUP(M$87,'List Values'!$C$3:$D$6,2,FALSE)&amp;ROW(M316))="","",INDIRECT("'"&amp;M$86&amp;"'!"&amp;VLOOKUP(M$87,'List Values'!$C$3:$D$6,2,FALSE)&amp;ROW(M316))),IF(M$86&lt;&gt;"","Data Source Error",""))))</f>
        <v/>
      </c>
      <c r="O316" s="187"/>
      <c r="P316" s="580"/>
      <c r="Q316" s="900" t="str">
        <f ca="1">IF(OR($H$7&lt;4,Q$260&lt;3),"",IF(P316&lt;&gt;"",P316,IFERROR(IF(INDIRECT("'"&amp;P$86&amp;"'!"&amp;VLOOKUP(P$87,'List Values'!$C$3:$D$6,2,FALSE)&amp;ROW(P316))="","",INDIRECT("'"&amp;P$86&amp;"'!"&amp;VLOOKUP(P$87,'List Values'!$C$3:$D$6,2,FALSE)&amp;ROW(P316))),IF(P$86&lt;&gt;"","Data Source Error",""))))</f>
        <v/>
      </c>
      <c r="S316" s="580"/>
      <c r="T316" s="900" t="str">
        <f ca="1">IF(OR($H$7&lt;5,T$260&lt;3),"",IF(S316&lt;&gt;"",S316,IFERROR(IF(INDIRECT("'"&amp;S$86&amp;"'!"&amp;VLOOKUP(S$87,'List Values'!$C$3:$D$6,2,FALSE)&amp;ROW(S316))="","",INDIRECT("'"&amp;S$86&amp;"'!"&amp;VLOOKUP(S$87,'List Values'!$C$3:$D$6,2,FALSE)&amp;ROW(S316))),IF(S$86&lt;&gt;"","Data Source Error",""))))</f>
        <v/>
      </c>
      <c r="V316" s="580"/>
      <c r="W316" s="911" t="str">
        <f ca="1">IF(OR($H$7&lt;6,W$260&lt;3),"",IF(V316&lt;&gt;"",V316,IFERROR(IF(INDIRECT("'"&amp;V$86&amp;"'!"&amp;VLOOKUP(V$87,'List Values'!$C$3:$D$6,2,FALSE)&amp;ROW(V316))="","",INDIRECT("'"&amp;V$86&amp;"'!"&amp;VLOOKUP(V$87,'List Values'!$C$3:$D$6,2,FALSE)&amp;ROW(V316))),IF(V$86&lt;&gt;"","Data Source Error",""))))</f>
        <v/>
      </c>
      <c r="Y316" s="2643"/>
      <c r="Z316" s="2644"/>
      <c r="AA316" s="2644"/>
      <c r="AB316" s="2645"/>
    </row>
    <row r="317" spans="1:28" ht="31" customHeight="1" outlineLevel="1">
      <c r="A317" s="514"/>
      <c r="B317" s="252"/>
      <c r="C317" s="2680" t="s">
        <v>336</v>
      </c>
      <c r="D317" s="2680"/>
      <c r="E317" s="2062"/>
      <c r="F317" s="2062"/>
      <c r="G317" s="636"/>
      <c r="H317" s="637"/>
      <c r="I317" s="187"/>
      <c r="J317" s="580"/>
      <c r="K317" s="900" t="str">
        <f ca="1">IF(OR($H$7&lt;2,K$260&lt;3),"",IF(J317&lt;&gt;"",J317,IFERROR(IF(INDIRECT("'"&amp;J$86&amp;"'!"&amp;VLOOKUP(J$87,'List Values'!$C$3:$D$6,2,FALSE)&amp;ROW(J317))="","",INDIRECT("'"&amp;J$86&amp;"'!"&amp;VLOOKUP(J$87,'List Values'!$C$3:$D$6,2,FALSE)&amp;ROW(J317))),IF(J$86&lt;&gt;"","Data Source Error",""))))</f>
        <v/>
      </c>
      <c r="L317" s="187"/>
      <c r="M317" s="580"/>
      <c r="N317" s="900" t="str">
        <f ca="1">IF(OR($H$7&lt;3,N$260&lt;3),"",IF(M317&lt;&gt;"",M317,IFERROR(IF(INDIRECT("'"&amp;M$86&amp;"'!"&amp;VLOOKUP(M$87,'List Values'!$C$3:$D$6,2,FALSE)&amp;ROW(M317))="","",INDIRECT("'"&amp;M$86&amp;"'!"&amp;VLOOKUP(M$87,'List Values'!$C$3:$D$6,2,FALSE)&amp;ROW(M317))),IF(M$86&lt;&gt;"","Data Source Error",""))))</f>
        <v/>
      </c>
      <c r="O317" s="187"/>
      <c r="P317" s="580"/>
      <c r="Q317" s="900" t="str">
        <f ca="1">IF(OR($H$7&lt;4,Q$260&lt;3),"",IF(P317&lt;&gt;"",P317,IFERROR(IF(INDIRECT("'"&amp;P$86&amp;"'!"&amp;VLOOKUP(P$87,'List Values'!$C$3:$D$6,2,FALSE)&amp;ROW(P317))="","",INDIRECT("'"&amp;P$86&amp;"'!"&amp;VLOOKUP(P$87,'List Values'!$C$3:$D$6,2,FALSE)&amp;ROW(P317))),IF(P$86&lt;&gt;"","Data Source Error",""))))</f>
        <v/>
      </c>
      <c r="S317" s="580"/>
      <c r="T317" s="900" t="str">
        <f ca="1">IF(OR($H$7&lt;5,T$260&lt;3),"",IF(S317&lt;&gt;"",S317,IFERROR(IF(INDIRECT("'"&amp;S$86&amp;"'!"&amp;VLOOKUP(S$87,'List Values'!$C$3:$D$6,2,FALSE)&amp;ROW(S317))="","",INDIRECT("'"&amp;S$86&amp;"'!"&amp;VLOOKUP(S$87,'List Values'!$C$3:$D$6,2,FALSE)&amp;ROW(S317))),IF(S$86&lt;&gt;"","Data Source Error",""))))</f>
        <v/>
      </c>
      <c r="V317" s="580"/>
      <c r="W317" s="911" t="str">
        <f ca="1">IF(OR($H$7&lt;6,W$260&lt;3),"",IF(V317&lt;&gt;"",V317,IFERROR(IF(INDIRECT("'"&amp;V$86&amp;"'!"&amp;VLOOKUP(V$87,'List Values'!$C$3:$D$6,2,FALSE)&amp;ROW(V317))="","",INDIRECT("'"&amp;V$86&amp;"'!"&amp;VLOOKUP(V$87,'List Values'!$C$3:$D$6,2,FALSE)&amp;ROW(V317))),IF(V$86&lt;&gt;"","Data Source Error",""))))</f>
        <v/>
      </c>
      <c r="Y317" s="2643"/>
      <c r="Z317" s="2644"/>
      <c r="AA317" s="2644"/>
      <c r="AB317" s="2645"/>
    </row>
    <row r="318" spans="1:28" ht="33" customHeight="1" outlineLevel="1">
      <c r="A318" s="514"/>
      <c r="B318" s="252"/>
      <c r="C318" s="2680" t="s">
        <v>337</v>
      </c>
      <c r="D318" s="2680"/>
      <c r="E318" s="2062"/>
      <c r="F318" s="2062"/>
      <c r="G318" s="636"/>
      <c r="H318" s="637"/>
      <c r="I318" s="187"/>
      <c r="J318" s="580"/>
      <c r="K318" s="900" t="str">
        <f ca="1">IF(OR($H$7&lt;2,K$260&lt;3),"",IF(J318&lt;&gt;"",J318,IFERROR(IF(INDIRECT("'"&amp;J$86&amp;"'!"&amp;VLOOKUP(J$87,'List Values'!$C$3:$D$6,2,FALSE)&amp;ROW(J318))="","",INDIRECT("'"&amp;J$86&amp;"'!"&amp;VLOOKUP(J$87,'List Values'!$C$3:$D$6,2,FALSE)&amp;ROW(J318))),IF(J$86&lt;&gt;"","Data Source Error",""))))</f>
        <v/>
      </c>
      <c r="L318" s="187"/>
      <c r="M318" s="580"/>
      <c r="N318" s="900" t="str">
        <f ca="1">IF(OR($H$7&lt;3,N$260&lt;3),"",IF(M318&lt;&gt;"",M318,IFERROR(IF(INDIRECT("'"&amp;M$86&amp;"'!"&amp;VLOOKUP(M$87,'List Values'!$C$3:$D$6,2,FALSE)&amp;ROW(M318))="","",INDIRECT("'"&amp;M$86&amp;"'!"&amp;VLOOKUP(M$87,'List Values'!$C$3:$D$6,2,FALSE)&amp;ROW(M318))),IF(M$86&lt;&gt;"","Data Source Error",""))))</f>
        <v/>
      </c>
      <c r="O318" s="187"/>
      <c r="P318" s="580"/>
      <c r="Q318" s="900" t="str">
        <f ca="1">IF(OR($H$7&lt;4,Q$260&lt;3),"",IF(P318&lt;&gt;"",P318,IFERROR(IF(INDIRECT("'"&amp;P$86&amp;"'!"&amp;VLOOKUP(P$87,'List Values'!$C$3:$D$6,2,FALSE)&amp;ROW(P318))="","",INDIRECT("'"&amp;P$86&amp;"'!"&amp;VLOOKUP(P$87,'List Values'!$C$3:$D$6,2,FALSE)&amp;ROW(P318))),IF(P$86&lt;&gt;"","Data Source Error",""))))</f>
        <v/>
      </c>
      <c r="S318" s="580"/>
      <c r="T318" s="900" t="str">
        <f ca="1">IF(OR($H$7&lt;5,T$260&lt;3),"",IF(S318&lt;&gt;"",S318,IFERROR(IF(INDIRECT("'"&amp;S$86&amp;"'!"&amp;VLOOKUP(S$87,'List Values'!$C$3:$D$6,2,FALSE)&amp;ROW(S318))="","",INDIRECT("'"&amp;S$86&amp;"'!"&amp;VLOOKUP(S$87,'List Values'!$C$3:$D$6,2,FALSE)&amp;ROW(S318))),IF(S$86&lt;&gt;"","Data Source Error",""))))</f>
        <v/>
      </c>
      <c r="V318" s="580"/>
      <c r="W318" s="911" t="str">
        <f ca="1">IF(OR($H$7&lt;6,W$260&lt;3),"",IF(V318&lt;&gt;"",V318,IFERROR(IF(INDIRECT("'"&amp;V$86&amp;"'!"&amp;VLOOKUP(V$87,'List Values'!$C$3:$D$6,2,FALSE)&amp;ROW(V318))="","",INDIRECT("'"&amp;V$86&amp;"'!"&amp;VLOOKUP(V$87,'List Values'!$C$3:$D$6,2,FALSE)&amp;ROW(V318))),IF(V$86&lt;&gt;"","Data Source Error",""))))</f>
        <v/>
      </c>
      <c r="Y318" s="2643"/>
      <c r="Z318" s="2644"/>
      <c r="AA318" s="2644"/>
      <c r="AB318" s="2645"/>
    </row>
    <row r="319" spans="1:28" ht="33" customHeight="1" outlineLevel="1">
      <c r="A319" s="514"/>
      <c r="B319" s="252"/>
      <c r="C319" s="2680" t="s">
        <v>338</v>
      </c>
      <c r="D319" s="2680"/>
      <c r="E319" s="2062"/>
      <c r="F319" s="2062"/>
      <c r="G319" s="636"/>
      <c r="H319" s="637"/>
      <c r="I319" s="187"/>
      <c r="J319" s="580"/>
      <c r="K319" s="900" t="str">
        <f ca="1">IF(OR($H$7&lt;2,K$260&lt;3),"",IF(J319&lt;&gt;"",J319,IFERROR(IF(INDIRECT("'"&amp;J$86&amp;"'!"&amp;VLOOKUP(J$87,'List Values'!$C$3:$D$6,2,FALSE)&amp;ROW(J319))="","",INDIRECT("'"&amp;J$86&amp;"'!"&amp;VLOOKUP(J$87,'List Values'!$C$3:$D$6,2,FALSE)&amp;ROW(J319))),IF(J$86&lt;&gt;"","Data Source Error",""))))</f>
        <v/>
      </c>
      <c r="L319" s="187"/>
      <c r="M319" s="580"/>
      <c r="N319" s="900" t="str">
        <f ca="1">IF(OR($H$7&lt;3,N$260&lt;3),"",IF(M319&lt;&gt;"",M319,IFERROR(IF(INDIRECT("'"&amp;M$86&amp;"'!"&amp;VLOOKUP(M$87,'List Values'!$C$3:$D$6,2,FALSE)&amp;ROW(M319))="","",INDIRECT("'"&amp;M$86&amp;"'!"&amp;VLOOKUP(M$87,'List Values'!$C$3:$D$6,2,FALSE)&amp;ROW(M319))),IF(M$86&lt;&gt;"","Data Source Error",""))))</f>
        <v/>
      </c>
      <c r="O319" s="187"/>
      <c r="P319" s="580"/>
      <c r="Q319" s="900" t="str">
        <f ca="1">IF(OR($H$7&lt;4,Q$260&lt;3),"",IF(P319&lt;&gt;"",P319,IFERROR(IF(INDIRECT("'"&amp;P$86&amp;"'!"&amp;VLOOKUP(P$87,'List Values'!$C$3:$D$6,2,FALSE)&amp;ROW(P319))="","",INDIRECT("'"&amp;P$86&amp;"'!"&amp;VLOOKUP(P$87,'List Values'!$C$3:$D$6,2,FALSE)&amp;ROW(P319))),IF(P$86&lt;&gt;"","Data Source Error",""))))</f>
        <v/>
      </c>
      <c r="S319" s="580"/>
      <c r="T319" s="900" t="str">
        <f ca="1">IF(OR($H$7&lt;5,T$260&lt;3),"",IF(S319&lt;&gt;"",S319,IFERROR(IF(INDIRECT("'"&amp;S$86&amp;"'!"&amp;VLOOKUP(S$87,'List Values'!$C$3:$D$6,2,FALSE)&amp;ROW(S319))="","",INDIRECT("'"&amp;S$86&amp;"'!"&amp;VLOOKUP(S$87,'List Values'!$C$3:$D$6,2,FALSE)&amp;ROW(S319))),IF(S$86&lt;&gt;"","Data Source Error",""))))</f>
        <v/>
      </c>
      <c r="V319" s="580"/>
      <c r="W319" s="911" t="str">
        <f ca="1">IF(OR($H$7&lt;6,W$260&lt;3),"",IF(V319&lt;&gt;"",V319,IFERROR(IF(INDIRECT("'"&amp;V$86&amp;"'!"&amp;VLOOKUP(V$87,'List Values'!$C$3:$D$6,2,FALSE)&amp;ROW(V319))="","",INDIRECT("'"&amp;V$86&amp;"'!"&amp;VLOOKUP(V$87,'List Values'!$C$3:$D$6,2,FALSE)&amp;ROW(V319))),IF(V$86&lt;&gt;"","Data Source Error",""))))</f>
        <v/>
      </c>
      <c r="Y319" s="2643"/>
      <c r="Z319" s="2644"/>
      <c r="AA319" s="2644"/>
      <c r="AB319" s="2645"/>
    </row>
    <row r="320" spans="1:28" ht="15.75" customHeight="1" outlineLevel="1">
      <c r="A320" s="514"/>
      <c r="B320" s="252"/>
      <c r="C320" s="2680" t="s">
        <v>650</v>
      </c>
      <c r="D320" s="2680"/>
      <c r="E320" s="2062"/>
      <c r="F320" s="2062"/>
      <c r="G320" s="636"/>
      <c r="H320" s="637"/>
      <c r="I320" s="187"/>
      <c r="J320" s="580"/>
      <c r="K320" s="900" t="str">
        <f ca="1">IF(OR($H$7&lt;2,K$260&lt;3),"",IF(J320&lt;&gt;"",J320,IFERROR(IF(INDIRECT("'"&amp;J$86&amp;"'!"&amp;VLOOKUP(J$87,'List Values'!$C$3:$D$6,2,FALSE)&amp;ROW(J320))="","",INDIRECT("'"&amp;J$86&amp;"'!"&amp;VLOOKUP(J$87,'List Values'!$C$3:$D$6,2,FALSE)&amp;ROW(J320))),IF(J$86&lt;&gt;"","Data Source Error",""))))</f>
        <v/>
      </c>
      <c r="L320" s="187"/>
      <c r="M320" s="580"/>
      <c r="N320" s="900" t="str">
        <f ca="1">IF(OR($H$7&lt;3,N$260&lt;3),"",IF(M320&lt;&gt;"",M320,IFERROR(IF(INDIRECT("'"&amp;M$86&amp;"'!"&amp;VLOOKUP(M$87,'List Values'!$C$3:$D$6,2,FALSE)&amp;ROW(M320))="","",INDIRECT("'"&amp;M$86&amp;"'!"&amp;VLOOKUP(M$87,'List Values'!$C$3:$D$6,2,FALSE)&amp;ROW(M320))),IF(M$86&lt;&gt;"","Data Source Error",""))))</f>
        <v/>
      </c>
      <c r="O320" s="187"/>
      <c r="P320" s="580"/>
      <c r="Q320" s="900" t="str">
        <f ca="1">IF(OR($H$7&lt;4,Q$260&lt;3),"",IF(P320&lt;&gt;"",P320,IFERROR(IF(INDIRECT("'"&amp;P$86&amp;"'!"&amp;VLOOKUP(P$87,'List Values'!$C$3:$D$6,2,FALSE)&amp;ROW(P320))="","",INDIRECT("'"&amp;P$86&amp;"'!"&amp;VLOOKUP(P$87,'List Values'!$C$3:$D$6,2,FALSE)&amp;ROW(P320))),IF(P$86&lt;&gt;"","Data Source Error",""))))</f>
        <v/>
      </c>
      <c r="S320" s="580"/>
      <c r="T320" s="900" t="str">
        <f ca="1">IF(OR($H$7&lt;5,T$260&lt;3),"",IF(S320&lt;&gt;"",S320,IFERROR(IF(INDIRECT("'"&amp;S$86&amp;"'!"&amp;VLOOKUP(S$87,'List Values'!$C$3:$D$6,2,FALSE)&amp;ROW(S320))="","",INDIRECT("'"&amp;S$86&amp;"'!"&amp;VLOOKUP(S$87,'List Values'!$C$3:$D$6,2,FALSE)&amp;ROW(S320))),IF(S$86&lt;&gt;"","Data Source Error",""))))</f>
        <v/>
      </c>
      <c r="V320" s="580"/>
      <c r="W320" s="911" t="str">
        <f ca="1">IF(OR($H$7&lt;6,W$260&lt;3),"",IF(V320&lt;&gt;"",V320,IFERROR(IF(INDIRECT("'"&amp;V$86&amp;"'!"&amp;VLOOKUP(V$87,'List Values'!$C$3:$D$6,2,FALSE)&amp;ROW(V320))="","",INDIRECT("'"&amp;V$86&amp;"'!"&amp;VLOOKUP(V$87,'List Values'!$C$3:$D$6,2,FALSE)&amp;ROW(V320))),IF(V$86&lt;&gt;"","Data Source Error",""))))</f>
        <v/>
      </c>
      <c r="Y320" s="2643"/>
      <c r="Z320" s="2644"/>
      <c r="AA320" s="2644"/>
      <c r="AB320" s="2645"/>
    </row>
    <row r="321" spans="1:28" ht="31" customHeight="1" outlineLevel="1">
      <c r="A321" s="514"/>
      <c r="B321" s="252"/>
      <c r="C321" s="2646" t="s">
        <v>651</v>
      </c>
      <c r="D321" s="2646"/>
      <c r="E321" s="494"/>
      <c r="F321" s="494"/>
      <c r="G321" s="642"/>
      <c r="H321" s="643"/>
      <c r="I321" s="196"/>
      <c r="J321" s="632"/>
      <c r="K321" s="902" t="str">
        <f ca="1">IF(OR($H$7&lt;2,K$260&lt;3),"",IF(J321&lt;&gt;"",J321,IFERROR(IF(INDIRECT("'"&amp;J$86&amp;"'!"&amp;VLOOKUP(J$87,'List Values'!$C$3:$D$6,2,FALSE)&amp;ROW(J321))="","",INDIRECT("'"&amp;J$86&amp;"'!"&amp;VLOOKUP(J$87,'List Values'!$C$3:$D$6,2,FALSE)&amp;ROW(J321))),IF(J$86&lt;&gt;"","Data Source Error",""))))</f>
        <v/>
      </c>
      <c r="L321" s="196"/>
      <c r="M321" s="632"/>
      <c r="N321" s="902" t="str">
        <f ca="1">IF(OR($H$7&lt;3,N$260&lt;3),"",IF(M321&lt;&gt;"",M321,IFERROR(IF(INDIRECT("'"&amp;M$86&amp;"'!"&amp;VLOOKUP(M$87,'List Values'!$C$3:$D$6,2,FALSE)&amp;ROW(M321))="","",INDIRECT("'"&amp;M$86&amp;"'!"&amp;VLOOKUP(M$87,'List Values'!$C$3:$D$6,2,FALSE)&amp;ROW(M321))),IF(M$86&lt;&gt;"","Data Source Error",""))))</f>
        <v/>
      </c>
      <c r="O321" s="196"/>
      <c r="P321" s="632"/>
      <c r="Q321" s="902" t="str">
        <f ca="1">IF(OR($H$7&lt;4,Q$260&lt;3),"",IF(P321&lt;&gt;"",P321,IFERROR(IF(INDIRECT("'"&amp;P$86&amp;"'!"&amp;VLOOKUP(P$87,'List Values'!$C$3:$D$6,2,FALSE)&amp;ROW(P321))="","",INDIRECT("'"&amp;P$86&amp;"'!"&amp;VLOOKUP(P$87,'List Values'!$C$3:$D$6,2,FALSE)&amp;ROW(P321))),IF(P$86&lt;&gt;"","Data Source Error",""))))</f>
        <v/>
      </c>
      <c r="R321" s="236"/>
      <c r="S321" s="632"/>
      <c r="T321" s="902" t="str">
        <f ca="1">IF(OR($H$7&lt;5,T$260&lt;3),"",IF(S321&lt;&gt;"",S321,IFERROR(IF(INDIRECT("'"&amp;S$86&amp;"'!"&amp;VLOOKUP(S$87,'List Values'!$C$3:$D$6,2,FALSE)&amp;ROW(S321))="","",INDIRECT("'"&amp;S$86&amp;"'!"&amp;VLOOKUP(S$87,'List Values'!$C$3:$D$6,2,FALSE)&amp;ROW(S321))),IF(S$86&lt;&gt;"","Data Source Error",""))))</f>
        <v/>
      </c>
      <c r="U321" s="236"/>
      <c r="V321" s="632"/>
      <c r="W321" s="982" t="str">
        <f ca="1">IF(OR($H$7&lt;6,W$260&lt;3),"",IF(V321&lt;&gt;"",V321,IFERROR(IF(INDIRECT("'"&amp;V$86&amp;"'!"&amp;VLOOKUP(V$87,'List Values'!$C$3:$D$6,2,FALSE)&amp;ROW(V321))="","",INDIRECT("'"&amp;V$86&amp;"'!"&amp;VLOOKUP(V$87,'List Values'!$C$3:$D$6,2,FALSE)&amp;ROW(V321))),IF(V$86&lt;&gt;"","Data Source Error",""))))</f>
        <v/>
      </c>
      <c r="Y321" s="2657"/>
      <c r="Z321" s="2658"/>
      <c r="AA321" s="2658"/>
      <c r="AB321" s="2659"/>
    </row>
    <row r="322" spans="1:28" ht="21" customHeight="1" collapsed="1">
      <c r="A322" s="212"/>
      <c r="C322" s="130"/>
      <c r="D322" s="130"/>
      <c r="E322" s="130"/>
      <c r="G322" s="121"/>
      <c r="H322" s="69"/>
      <c r="K322" s="972"/>
      <c r="N322" s="972"/>
      <c r="Q322" s="972"/>
      <c r="S322" s="6"/>
      <c r="T322" s="972"/>
      <c r="V322" s="6"/>
      <c r="W322" s="972"/>
    </row>
    <row r="323" spans="1:28" ht="14.9" customHeight="1">
      <c r="G323" s="144"/>
      <c r="H323" s="145"/>
      <c r="I323" s="146"/>
      <c r="J323" s="254"/>
      <c r="K323" s="145"/>
      <c r="L323" s="146"/>
      <c r="M323" s="254"/>
      <c r="N323" s="145"/>
      <c r="O323" s="146"/>
      <c r="P323" s="254"/>
      <c r="Q323" s="145"/>
    </row>
    <row r="324" spans="1:28" ht="14.25" customHeight="1">
      <c r="G324" s="224"/>
      <c r="H324" s="145"/>
      <c r="I324" s="147"/>
      <c r="J324" s="224"/>
      <c r="K324" s="145"/>
      <c r="L324" s="147"/>
      <c r="M324" s="224"/>
      <c r="N324" s="145"/>
      <c r="Q324" s="145" t="str">
        <f ca="1">IFERROR(#REF!/Q106,"")</f>
        <v/>
      </c>
    </row>
    <row r="329" spans="1:28">
      <c r="K329" s="37"/>
    </row>
    <row r="330" spans="1:28">
      <c r="N330" s="37"/>
    </row>
  </sheetData>
  <sheetProtection algorithmName="SHA-512" hashValue="Z8NduYl+AV6+FJaiAL4iVMTDARZct3A3V3RpJmi0NpSFyqlMuo6ZUh+iINCwgqYdnsDavyXKljmD7qDyiJtByA==" saltValue="VfehKIigjj3MpDjBbMnLoQ==" spinCount="100000" sheet="1" formatColumns="0" formatRows="0" sort="0" autoFilter="0" pivotTables="0"/>
  <protectedRanges>
    <protectedRange sqref="Y5:AB12 Y16:AB22 Y27:AB38 Y86:AB88 Y92:AB99 Y103:AB117 Y121:AB123 Y133:AB193 Y197:AB257 Y260:AB321" name="Notes"/>
    <protectedRange sqref="G5:G12 G16:G21 G28:G38 J28:J38 M27:P38 G43:G78 J43:M78" name="Sections 1 to 4"/>
    <protectedRange sqref="G86:G88 J86:J88 M86:M88 P86:P88 S86:S88 V86:V88 G92:G99 J92:J99 M92:M99 P92:P99 S92:S99 V92:V99 G104:G117 J104:J117 M104:M117 P104:P117 S104:S117 V104:V117 G121:G123 J121:J123 M121:M123 P121:P123 S121:S123 V121:V123" name="Section 5"/>
    <protectedRange sqref="J133:J193 M133:M193 P133:P193 S133:S193 V133:V193 J197:J257 M197:M257 P197:P257 S197:S257 V197:V257 J260:J321 M260:M321 P260:P321 S260:S321 V260:V321" name="Section 6"/>
  </protectedRanges>
  <dataConsolidate link="1"/>
  <mergeCells count="632">
    <mergeCell ref="A1:K1"/>
    <mergeCell ref="B3:E3"/>
    <mergeCell ref="Y4:AB4"/>
    <mergeCell ref="B5:E5"/>
    <mergeCell ref="Y5:AB5"/>
    <mergeCell ref="B6:E6"/>
    <mergeCell ref="Y6:AB6"/>
    <mergeCell ref="B10:E10"/>
    <mergeCell ref="Y10:AB10"/>
    <mergeCell ref="B11:E11"/>
    <mergeCell ref="Y11:AB11"/>
    <mergeCell ref="B12:E12"/>
    <mergeCell ref="Y12:AB12"/>
    <mergeCell ref="B7:E7"/>
    <mergeCell ref="Y7:AB7"/>
    <mergeCell ref="B8:E8"/>
    <mergeCell ref="Y8:AB8"/>
    <mergeCell ref="B9:E9"/>
    <mergeCell ref="Y9:AB9"/>
    <mergeCell ref="B18:E18"/>
    <mergeCell ref="Y18:AB18"/>
    <mergeCell ref="B19:E19"/>
    <mergeCell ref="Y19:AB19"/>
    <mergeCell ref="B20:E20"/>
    <mergeCell ref="M20:N20"/>
    <mergeCell ref="Q20:S20"/>
    <mergeCell ref="Y20:AB20"/>
    <mergeCell ref="B14:E14"/>
    <mergeCell ref="K15:K16"/>
    <mergeCell ref="M15:S15"/>
    <mergeCell ref="Y15:AB15"/>
    <mergeCell ref="B16:E16"/>
    <mergeCell ref="Q16:S19"/>
    <mergeCell ref="Y16:AB16"/>
    <mergeCell ref="B17:E17"/>
    <mergeCell ref="K17:K19"/>
    <mergeCell ref="Y17:AB17"/>
    <mergeCell ref="B25:E26"/>
    <mergeCell ref="G25:H25"/>
    <mergeCell ref="J25:K25"/>
    <mergeCell ref="M25:P25"/>
    <mergeCell ref="M26:P26"/>
    <mergeCell ref="Y26:AB26"/>
    <mergeCell ref="B21:E21"/>
    <mergeCell ref="M21:N22"/>
    <mergeCell ref="P21:P22"/>
    <mergeCell ref="Q21:S21"/>
    <mergeCell ref="Y21:AB21"/>
    <mergeCell ref="B24:E24"/>
    <mergeCell ref="B30:D30"/>
    <mergeCell ref="Y30:AB30"/>
    <mergeCell ref="B31:D31"/>
    <mergeCell ref="Y31:AB31"/>
    <mergeCell ref="B32:D32"/>
    <mergeCell ref="Y32:AB32"/>
    <mergeCell ref="B27:D27"/>
    <mergeCell ref="Y27:AB27"/>
    <mergeCell ref="B28:D28"/>
    <mergeCell ref="Y28:AB28"/>
    <mergeCell ref="B29:D29"/>
    <mergeCell ref="Y29:AB29"/>
    <mergeCell ref="B36:D36"/>
    <mergeCell ref="Y36:AB36"/>
    <mergeCell ref="B37:D37"/>
    <mergeCell ref="Y37:AB37"/>
    <mergeCell ref="B38:D38"/>
    <mergeCell ref="Y38:AB38"/>
    <mergeCell ref="B33:D33"/>
    <mergeCell ref="Y33:AB33"/>
    <mergeCell ref="B34:D34"/>
    <mergeCell ref="Y34:AB34"/>
    <mergeCell ref="B35:D35"/>
    <mergeCell ref="Y35:AB35"/>
    <mergeCell ref="B43:C43"/>
    <mergeCell ref="J43:M43"/>
    <mergeCell ref="Y43:AB43"/>
    <mergeCell ref="B44:C44"/>
    <mergeCell ref="Y44:AB44"/>
    <mergeCell ref="B45:C45"/>
    <mergeCell ref="Y45:AB45"/>
    <mergeCell ref="B41:E41"/>
    <mergeCell ref="J41:M41"/>
    <mergeCell ref="Y41:AB41"/>
    <mergeCell ref="B42:C42"/>
    <mergeCell ref="J42:M42"/>
    <mergeCell ref="Y42:AB42"/>
    <mergeCell ref="B49:C49"/>
    <mergeCell ref="Y49:AB49"/>
    <mergeCell ref="B50:C50"/>
    <mergeCell ref="Y50:AB50"/>
    <mergeCell ref="B51:C51"/>
    <mergeCell ref="Y51:AB51"/>
    <mergeCell ref="B46:C46"/>
    <mergeCell ref="Y46:AB46"/>
    <mergeCell ref="B47:C47"/>
    <mergeCell ref="Y47:AB47"/>
    <mergeCell ref="B48:C48"/>
    <mergeCell ref="Y48:AB48"/>
    <mergeCell ref="B55:C55"/>
    <mergeCell ref="Y55:AB55"/>
    <mergeCell ref="B56:C56"/>
    <mergeCell ref="Y56:AB56"/>
    <mergeCell ref="B57:C57"/>
    <mergeCell ref="Y57:AB57"/>
    <mergeCell ref="B52:C52"/>
    <mergeCell ref="Y52:AB52"/>
    <mergeCell ref="B53:C53"/>
    <mergeCell ref="Y53:AB53"/>
    <mergeCell ref="B54:C54"/>
    <mergeCell ref="Y54:AB54"/>
    <mergeCell ref="B61:C61"/>
    <mergeCell ref="Y61:AB61"/>
    <mergeCell ref="B62:C62"/>
    <mergeCell ref="Y62:AB62"/>
    <mergeCell ref="B63:C63"/>
    <mergeCell ref="Y63:AB63"/>
    <mergeCell ref="B58:C58"/>
    <mergeCell ref="Y58:AB58"/>
    <mergeCell ref="B59:C59"/>
    <mergeCell ref="Y59:AB59"/>
    <mergeCell ref="B60:C60"/>
    <mergeCell ref="Y60:AB60"/>
    <mergeCell ref="B67:C67"/>
    <mergeCell ref="Y67:AB67"/>
    <mergeCell ref="B68:C68"/>
    <mergeCell ref="Y68:AB68"/>
    <mergeCell ref="B69:C69"/>
    <mergeCell ref="Y69:AB69"/>
    <mergeCell ref="B64:C64"/>
    <mergeCell ref="Y64:AB64"/>
    <mergeCell ref="B65:C65"/>
    <mergeCell ref="Y65:AB65"/>
    <mergeCell ref="B66:C66"/>
    <mergeCell ref="Y66:AB66"/>
    <mergeCell ref="B73:C73"/>
    <mergeCell ref="Y73:AB73"/>
    <mergeCell ref="B74:C74"/>
    <mergeCell ref="Y74:AB74"/>
    <mergeCell ref="B75:C75"/>
    <mergeCell ref="Y75:AB75"/>
    <mergeCell ref="B70:C70"/>
    <mergeCell ref="Y70:AB70"/>
    <mergeCell ref="B71:C71"/>
    <mergeCell ref="Y71:AB71"/>
    <mergeCell ref="B72:C72"/>
    <mergeCell ref="Y72:AB72"/>
    <mergeCell ref="B81:D81"/>
    <mergeCell ref="G83:H83"/>
    <mergeCell ref="J83:K83"/>
    <mergeCell ref="M83:N83"/>
    <mergeCell ref="P83:Q83"/>
    <mergeCell ref="S83:T83"/>
    <mergeCell ref="B76:C76"/>
    <mergeCell ref="Y76:AB76"/>
    <mergeCell ref="B77:C77"/>
    <mergeCell ref="Y77:AB77"/>
    <mergeCell ref="B78:C78"/>
    <mergeCell ref="Y78:AB78"/>
    <mergeCell ref="T84:T85"/>
    <mergeCell ref="V84:V85"/>
    <mergeCell ref="W84:W85"/>
    <mergeCell ref="B85:D85"/>
    <mergeCell ref="Y85:AB85"/>
    <mergeCell ref="B86:D86"/>
    <mergeCell ref="Y86:AB86"/>
    <mergeCell ref="V83:W83"/>
    <mergeCell ref="G84:G85"/>
    <mergeCell ref="H84:H85"/>
    <mergeCell ref="J84:J85"/>
    <mergeCell ref="K84:K85"/>
    <mergeCell ref="M84:M85"/>
    <mergeCell ref="N84:N85"/>
    <mergeCell ref="P84:P85"/>
    <mergeCell ref="Q84:Q85"/>
    <mergeCell ref="S84:S85"/>
    <mergeCell ref="Y91:AB91"/>
    <mergeCell ref="B92:D92"/>
    <mergeCell ref="Y92:AB92"/>
    <mergeCell ref="B93:D93"/>
    <mergeCell ref="Y93:AB93"/>
    <mergeCell ref="B94:D94"/>
    <mergeCell ref="Y94:AB94"/>
    <mergeCell ref="B87:D87"/>
    <mergeCell ref="Y87:AB87"/>
    <mergeCell ref="B88:D88"/>
    <mergeCell ref="Y88:AB88"/>
    <mergeCell ref="G91:H91"/>
    <mergeCell ref="J91:K91"/>
    <mergeCell ref="M91:N91"/>
    <mergeCell ref="P91:Q91"/>
    <mergeCell ref="S91:T91"/>
    <mergeCell ref="V91:W91"/>
    <mergeCell ref="B98:D98"/>
    <mergeCell ref="Y98:AB98"/>
    <mergeCell ref="B99:D99"/>
    <mergeCell ref="Y99:AB99"/>
    <mergeCell ref="P101:Q101"/>
    <mergeCell ref="S101:T101"/>
    <mergeCell ref="V101:W101"/>
    <mergeCell ref="B95:D95"/>
    <mergeCell ref="Y95:AB95"/>
    <mergeCell ref="B96:D96"/>
    <mergeCell ref="Y96:AB96"/>
    <mergeCell ref="B97:D97"/>
    <mergeCell ref="Y97:AB97"/>
    <mergeCell ref="Y102:AB102"/>
    <mergeCell ref="C103:D103"/>
    <mergeCell ref="Y103:AB103"/>
    <mergeCell ref="C104:D104"/>
    <mergeCell ref="Y104:AB104"/>
    <mergeCell ref="B105:B107"/>
    <mergeCell ref="C105:D105"/>
    <mergeCell ref="Y105:AB105"/>
    <mergeCell ref="C106:D106"/>
    <mergeCell ref="Y106:AB106"/>
    <mergeCell ref="G102:H103"/>
    <mergeCell ref="J102:K103"/>
    <mergeCell ref="M102:N103"/>
    <mergeCell ref="P102:Q103"/>
    <mergeCell ref="S102:T103"/>
    <mergeCell ref="V102:W103"/>
    <mergeCell ref="C107:D107"/>
    <mergeCell ref="Y107:AB107"/>
    <mergeCell ref="B108:B112"/>
    <mergeCell ref="C108:D108"/>
    <mergeCell ref="Y108:AB108"/>
    <mergeCell ref="C109:D109"/>
    <mergeCell ref="Y109:AB109"/>
    <mergeCell ref="C110:D110"/>
    <mergeCell ref="Y110:AB110"/>
    <mergeCell ref="C111:D111"/>
    <mergeCell ref="P119:Q119"/>
    <mergeCell ref="S119:T119"/>
    <mergeCell ref="V119:W119"/>
    <mergeCell ref="Y111:AB111"/>
    <mergeCell ref="C112:D112"/>
    <mergeCell ref="Y112:AB112"/>
    <mergeCell ref="Y120:AB120"/>
    <mergeCell ref="B121:D121"/>
    <mergeCell ref="Y121:AB121"/>
    <mergeCell ref="B113:B117"/>
    <mergeCell ref="C113:D113"/>
    <mergeCell ref="Y113:AB113"/>
    <mergeCell ref="C114:D114"/>
    <mergeCell ref="Y114:AB114"/>
    <mergeCell ref="C115:D115"/>
    <mergeCell ref="Y115:AB115"/>
    <mergeCell ref="C116:D116"/>
    <mergeCell ref="Y116:AB116"/>
    <mergeCell ref="C117:D117"/>
    <mergeCell ref="Y117:AB117"/>
    <mergeCell ref="B122:D122"/>
    <mergeCell ref="Y122:AB122"/>
    <mergeCell ref="B123:D123"/>
    <mergeCell ref="Y123:AB123"/>
    <mergeCell ref="G120:H120"/>
    <mergeCell ref="J120:K120"/>
    <mergeCell ref="M120:N120"/>
    <mergeCell ref="P120:Q120"/>
    <mergeCell ref="S120:T120"/>
    <mergeCell ref="V120:W120"/>
    <mergeCell ref="V130:W130"/>
    <mergeCell ref="Y132:AB132"/>
    <mergeCell ref="B133:D133"/>
    <mergeCell ref="Y133:AB133"/>
    <mergeCell ref="C135:D135"/>
    <mergeCell ref="Y135:AB135"/>
    <mergeCell ref="B129:D129"/>
    <mergeCell ref="B130:H132"/>
    <mergeCell ref="J130:K130"/>
    <mergeCell ref="M130:N130"/>
    <mergeCell ref="P130:Q130"/>
    <mergeCell ref="S130:T130"/>
    <mergeCell ref="C139:D139"/>
    <mergeCell ref="Y139:AB139"/>
    <mergeCell ref="C140:D140"/>
    <mergeCell ref="Y140:AB140"/>
    <mergeCell ref="C141:D141"/>
    <mergeCell ref="Y141:AB141"/>
    <mergeCell ref="C136:D136"/>
    <mergeCell ref="Y136:AB136"/>
    <mergeCell ref="C137:D137"/>
    <mergeCell ref="Y137:AB137"/>
    <mergeCell ref="C138:D138"/>
    <mergeCell ref="Y138:AB138"/>
    <mergeCell ref="C145:D145"/>
    <mergeCell ref="Y145:AB145"/>
    <mergeCell ref="C146:D146"/>
    <mergeCell ref="Y146:AB146"/>
    <mergeCell ref="C147:D147"/>
    <mergeCell ref="Y147:AB147"/>
    <mergeCell ref="C142:D142"/>
    <mergeCell ref="Y142:AB142"/>
    <mergeCell ref="C143:D143"/>
    <mergeCell ref="Y143:AB143"/>
    <mergeCell ref="C144:D144"/>
    <mergeCell ref="Y144:AB144"/>
    <mergeCell ref="C151:D151"/>
    <mergeCell ref="Y151:AB151"/>
    <mergeCell ref="C152:D152"/>
    <mergeCell ref="Y152:AB152"/>
    <mergeCell ref="C153:D153"/>
    <mergeCell ref="Y153:AB153"/>
    <mergeCell ref="C148:D148"/>
    <mergeCell ref="Y148:AB148"/>
    <mergeCell ref="C149:D149"/>
    <mergeCell ref="Y149:AB149"/>
    <mergeCell ref="C150:D150"/>
    <mergeCell ref="Y150:AB150"/>
    <mergeCell ref="C158:D158"/>
    <mergeCell ref="Y158:AB158"/>
    <mergeCell ref="C159:D159"/>
    <mergeCell ref="Y159:AB159"/>
    <mergeCell ref="C160:D160"/>
    <mergeCell ref="Y160:AB160"/>
    <mergeCell ref="C155:D155"/>
    <mergeCell ref="Y155:AB155"/>
    <mergeCell ref="C156:D156"/>
    <mergeCell ref="Y156:AB156"/>
    <mergeCell ref="C157:D157"/>
    <mergeCell ref="Y157:AB157"/>
    <mergeCell ref="C164:D164"/>
    <mergeCell ref="Y164:AB164"/>
    <mergeCell ref="C165:D165"/>
    <mergeCell ref="Y165:AB165"/>
    <mergeCell ref="C166:D166"/>
    <mergeCell ref="Y166:AB166"/>
    <mergeCell ref="C161:D161"/>
    <mergeCell ref="Y161:AB161"/>
    <mergeCell ref="C162:D162"/>
    <mergeCell ref="Y162:AB162"/>
    <mergeCell ref="C163:D163"/>
    <mergeCell ref="Y163:AB163"/>
    <mergeCell ref="C170:D170"/>
    <mergeCell ref="Y170:AB170"/>
    <mergeCell ref="C171:D171"/>
    <mergeCell ref="Y171:AB171"/>
    <mergeCell ref="C172:D172"/>
    <mergeCell ref="Y172:AB172"/>
    <mergeCell ref="C167:D167"/>
    <mergeCell ref="Y167:AB167"/>
    <mergeCell ref="C168:D168"/>
    <mergeCell ref="Y168:AB168"/>
    <mergeCell ref="C169:D169"/>
    <mergeCell ref="Y169:AB169"/>
    <mergeCell ref="C177:D177"/>
    <mergeCell ref="Y177:AB177"/>
    <mergeCell ref="C178:D178"/>
    <mergeCell ref="Y178:AB178"/>
    <mergeCell ref="C179:D179"/>
    <mergeCell ref="Y179:AB179"/>
    <mergeCell ref="C173:D173"/>
    <mergeCell ref="Y173:AB173"/>
    <mergeCell ref="C175:D175"/>
    <mergeCell ref="Y175:AB175"/>
    <mergeCell ref="C176:D176"/>
    <mergeCell ref="Y176:AB176"/>
    <mergeCell ref="C183:D183"/>
    <mergeCell ref="Y183:AB183"/>
    <mergeCell ref="C184:D184"/>
    <mergeCell ref="Y184:AB184"/>
    <mergeCell ref="C185:D185"/>
    <mergeCell ref="Y185:AB185"/>
    <mergeCell ref="C180:D180"/>
    <mergeCell ref="Y180:AB180"/>
    <mergeCell ref="C181:D181"/>
    <mergeCell ref="Y181:AB181"/>
    <mergeCell ref="C182:D182"/>
    <mergeCell ref="Y182:AB182"/>
    <mergeCell ref="C189:D189"/>
    <mergeCell ref="Y189:AB189"/>
    <mergeCell ref="C190:D190"/>
    <mergeCell ref="Y190:AB190"/>
    <mergeCell ref="C191:D191"/>
    <mergeCell ref="Y191:AB191"/>
    <mergeCell ref="C186:D186"/>
    <mergeCell ref="Y186:AB186"/>
    <mergeCell ref="C187:D187"/>
    <mergeCell ref="Y187:AB187"/>
    <mergeCell ref="C188:D188"/>
    <mergeCell ref="Y188:AB188"/>
    <mergeCell ref="C192:D192"/>
    <mergeCell ref="Y192:AB192"/>
    <mergeCell ref="C193:D193"/>
    <mergeCell ref="Y193:AB193"/>
    <mergeCell ref="B195:H196"/>
    <mergeCell ref="J195:K195"/>
    <mergeCell ref="M195:N195"/>
    <mergeCell ref="P195:Q195"/>
    <mergeCell ref="S195:T195"/>
    <mergeCell ref="V195:W195"/>
    <mergeCell ref="C201:D201"/>
    <mergeCell ref="Y201:AB201"/>
    <mergeCell ref="C202:D202"/>
    <mergeCell ref="Y202:AB202"/>
    <mergeCell ref="C203:D203"/>
    <mergeCell ref="Y203:AB203"/>
    <mergeCell ref="Y196:AB196"/>
    <mergeCell ref="B197:D197"/>
    <mergeCell ref="Y197:AB197"/>
    <mergeCell ref="C199:D199"/>
    <mergeCell ref="Y199:AB199"/>
    <mergeCell ref="C200:D200"/>
    <mergeCell ref="Y200:AB200"/>
    <mergeCell ref="C207:D207"/>
    <mergeCell ref="Y207:AB207"/>
    <mergeCell ref="C208:D208"/>
    <mergeCell ref="Y208:AB208"/>
    <mergeCell ref="C209:D209"/>
    <mergeCell ref="Y209:AB209"/>
    <mergeCell ref="C204:D204"/>
    <mergeCell ref="Y204:AB204"/>
    <mergeCell ref="C205:D205"/>
    <mergeCell ref="Y205:AB205"/>
    <mergeCell ref="C206:D206"/>
    <mergeCell ref="Y206:AB206"/>
    <mergeCell ref="C213:D213"/>
    <mergeCell ref="Y213:AB213"/>
    <mergeCell ref="C214:D214"/>
    <mergeCell ref="Y214:AB214"/>
    <mergeCell ref="C215:D215"/>
    <mergeCell ref="Y215:AB215"/>
    <mergeCell ref="C210:D210"/>
    <mergeCell ref="Y210:AB210"/>
    <mergeCell ref="C211:D211"/>
    <mergeCell ref="Y211:AB211"/>
    <mergeCell ref="C212:D212"/>
    <mergeCell ref="Y212:AB212"/>
    <mergeCell ref="C220:D220"/>
    <mergeCell ref="Y220:AB220"/>
    <mergeCell ref="C221:D221"/>
    <mergeCell ref="Y221:AB221"/>
    <mergeCell ref="C222:D222"/>
    <mergeCell ref="Y222:AB222"/>
    <mergeCell ref="C216:D216"/>
    <mergeCell ref="Y216:AB216"/>
    <mergeCell ref="C217:D217"/>
    <mergeCell ref="Y217:AB217"/>
    <mergeCell ref="C219:D219"/>
    <mergeCell ref="Y219:AB219"/>
    <mergeCell ref="C226:D226"/>
    <mergeCell ref="Y226:AB226"/>
    <mergeCell ref="C227:D227"/>
    <mergeCell ref="Y227:AB227"/>
    <mergeCell ref="C228:D228"/>
    <mergeCell ref="Y228:AB228"/>
    <mergeCell ref="C223:D223"/>
    <mergeCell ref="Y223:AB223"/>
    <mergeCell ref="C224:D224"/>
    <mergeCell ref="Y224:AB224"/>
    <mergeCell ref="C225:D225"/>
    <mergeCell ref="Y225:AB225"/>
    <mergeCell ref="C232:D232"/>
    <mergeCell ref="Y232:AB232"/>
    <mergeCell ref="C233:D233"/>
    <mergeCell ref="Y233:AB233"/>
    <mergeCell ref="C234:D234"/>
    <mergeCell ref="Y234:AB234"/>
    <mergeCell ref="C229:D229"/>
    <mergeCell ref="Y229:AB229"/>
    <mergeCell ref="C230:D230"/>
    <mergeCell ref="Y230:AB230"/>
    <mergeCell ref="C231:D231"/>
    <mergeCell ref="Y231:AB231"/>
    <mergeCell ref="C239:D239"/>
    <mergeCell ref="Y239:AB239"/>
    <mergeCell ref="C240:D240"/>
    <mergeCell ref="Y240:AB240"/>
    <mergeCell ref="C241:D241"/>
    <mergeCell ref="Y241:AB241"/>
    <mergeCell ref="C235:D235"/>
    <mergeCell ref="Y235:AB235"/>
    <mergeCell ref="C236:D236"/>
    <mergeCell ref="Y236:AB236"/>
    <mergeCell ref="C237:D237"/>
    <mergeCell ref="Y237:AB237"/>
    <mergeCell ref="C245:D245"/>
    <mergeCell ref="Y245:AB245"/>
    <mergeCell ref="C246:D246"/>
    <mergeCell ref="Y246:AB246"/>
    <mergeCell ref="C247:D247"/>
    <mergeCell ref="Y247:AB247"/>
    <mergeCell ref="C242:D242"/>
    <mergeCell ref="Y242:AB242"/>
    <mergeCell ref="C243:D243"/>
    <mergeCell ref="Y243:AB243"/>
    <mergeCell ref="C244:D244"/>
    <mergeCell ref="Y244:AB244"/>
    <mergeCell ref="C251:D251"/>
    <mergeCell ref="Y251:AB251"/>
    <mergeCell ref="C252:D252"/>
    <mergeCell ref="Y252:AB252"/>
    <mergeCell ref="C253:D253"/>
    <mergeCell ref="Y253:AB253"/>
    <mergeCell ref="C248:D248"/>
    <mergeCell ref="Y248:AB248"/>
    <mergeCell ref="C249:D249"/>
    <mergeCell ref="Y249:AB249"/>
    <mergeCell ref="C250:D250"/>
    <mergeCell ref="Y250:AB250"/>
    <mergeCell ref="C257:D257"/>
    <mergeCell ref="Y257:AB257"/>
    <mergeCell ref="B259:H259"/>
    <mergeCell ref="J259:K259"/>
    <mergeCell ref="M259:N259"/>
    <mergeCell ref="P259:Q259"/>
    <mergeCell ref="S259:T259"/>
    <mergeCell ref="V259:W259"/>
    <mergeCell ref="C254:D254"/>
    <mergeCell ref="Y254:AB254"/>
    <mergeCell ref="C255:D255"/>
    <mergeCell ref="Y255:AB255"/>
    <mergeCell ref="C256:D256"/>
    <mergeCell ref="Y256:AB256"/>
    <mergeCell ref="C264:D264"/>
    <mergeCell ref="Y264:AB264"/>
    <mergeCell ref="C265:D265"/>
    <mergeCell ref="Y265:AB265"/>
    <mergeCell ref="C266:D266"/>
    <mergeCell ref="Y266:AB266"/>
    <mergeCell ref="B260:D260"/>
    <mergeCell ref="Y260:AB260"/>
    <mergeCell ref="B261:D261"/>
    <mergeCell ref="Y261:AB261"/>
    <mergeCell ref="C263:D263"/>
    <mergeCell ref="Y263:AB263"/>
    <mergeCell ref="C270:D270"/>
    <mergeCell ref="Y270:AB270"/>
    <mergeCell ref="C271:D271"/>
    <mergeCell ref="Y271:AB271"/>
    <mergeCell ref="C272:D272"/>
    <mergeCell ref="Y272:AB272"/>
    <mergeCell ref="C267:D267"/>
    <mergeCell ref="Y267:AB267"/>
    <mergeCell ref="C268:D268"/>
    <mergeCell ref="Y268:AB268"/>
    <mergeCell ref="C269:D269"/>
    <mergeCell ref="Y269:AB269"/>
    <mergeCell ref="C276:D276"/>
    <mergeCell ref="Y276:AB276"/>
    <mergeCell ref="C277:D277"/>
    <mergeCell ref="Y277:AB277"/>
    <mergeCell ref="C278:D278"/>
    <mergeCell ref="Y278:AB278"/>
    <mergeCell ref="C273:D273"/>
    <mergeCell ref="Y273:AB273"/>
    <mergeCell ref="C274:D274"/>
    <mergeCell ref="Y274:AB274"/>
    <mergeCell ref="C275:D275"/>
    <mergeCell ref="Y275:AB275"/>
    <mergeCell ref="C283:D283"/>
    <mergeCell ref="Y283:AB283"/>
    <mergeCell ref="C284:D284"/>
    <mergeCell ref="Y284:AB284"/>
    <mergeCell ref="C285:D285"/>
    <mergeCell ref="Y285:AB285"/>
    <mergeCell ref="C279:D279"/>
    <mergeCell ref="Y279:AB279"/>
    <mergeCell ref="C280:D280"/>
    <mergeCell ref="Y280:AB280"/>
    <mergeCell ref="C281:D281"/>
    <mergeCell ref="Y281:AB281"/>
    <mergeCell ref="C289:D289"/>
    <mergeCell ref="Y289:AB289"/>
    <mergeCell ref="C290:D290"/>
    <mergeCell ref="Y290:AB290"/>
    <mergeCell ref="C291:D291"/>
    <mergeCell ref="Y291:AB291"/>
    <mergeCell ref="C286:D286"/>
    <mergeCell ref="Y286:AB286"/>
    <mergeCell ref="C287:D287"/>
    <mergeCell ref="Y287:AB287"/>
    <mergeCell ref="C288:D288"/>
    <mergeCell ref="Y288:AB288"/>
    <mergeCell ref="C295:D295"/>
    <mergeCell ref="Y295:AB295"/>
    <mergeCell ref="C296:D296"/>
    <mergeCell ref="Y296:AB296"/>
    <mergeCell ref="C297:D297"/>
    <mergeCell ref="Y297:AB297"/>
    <mergeCell ref="C292:D292"/>
    <mergeCell ref="Y292:AB292"/>
    <mergeCell ref="C293:D293"/>
    <mergeCell ref="Y293:AB293"/>
    <mergeCell ref="C294:D294"/>
    <mergeCell ref="Y294:AB294"/>
    <mergeCell ref="C301:D301"/>
    <mergeCell ref="Y301:AB301"/>
    <mergeCell ref="C303:D303"/>
    <mergeCell ref="Y303:AB303"/>
    <mergeCell ref="C304:D304"/>
    <mergeCell ref="Y304:AB304"/>
    <mergeCell ref="C298:D298"/>
    <mergeCell ref="Y298:AB298"/>
    <mergeCell ref="C299:D299"/>
    <mergeCell ref="Y299:AB299"/>
    <mergeCell ref="C300:D300"/>
    <mergeCell ref="Y300:AB300"/>
    <mergeCell ref="C308:D308"/>
    <mergeCell ref="Y308:AB308"/>
    <mergeCell ref="C309:D309"/>
    <mergeCell ref="Y309:AB309"/>
    <mergeCell ref="C310:D310"/>
    <mergeCell ref="Y310:AB310"/>
    <mergeCell ref="C305:D305"/>
    <mergeCell ref="Y305:AB305"/>
    <mergeCell ref="C306:D306"/>
    <mergeCell ref="Y306:AB306"/>
    <mergeCell ref="C307:D307"/>
    <mergeCell ref="Y307:AB307"/>
    <mergeCell ref="C314:D314"/>
    <mergeCell ref="Y314:AB314"/>
    <mergeCell ref="C315:D315"/>
    <mergeCell ref="Y315:AB315"/>
    <mergeCell ref="C316:D316"/>
    <mergeCell ref="Y316:AB316"/>
    <mergeCell ref="C311:D311"/>
    <mergeCell ref="Y311:AB311"/>
    <mergeCell ref="C312:D312"/>
    <mergeCell ref="Y312:AB312"/>
    <mergeCell ref="C313:D313"/>
    <mergeCell ref="Y313:AB313"/>
    <mergeCell ref="C320:D320"/>
    <mergeCell ref="Y320:AB320"/>
    <mergeCell ref="C321:D321"/>
    <mergeCell ref="Y321:AB321"/>
    <mergeCell ref="C317:D317"/>
    <mergeCell ref="Y317:AB317"/>
    <mergeCell ref="C318:D318"/>
    <mergeCell ref="Y318:AB318"/>
    <mergeCell ref="C319:D319"/>
    <mergeCell ref="Y319:AB319"/>
  </mergeCells>
  <conditionalFormatting sqref="H123 K123 N123 Q123 T123 W123">
    <cfRule type="expression" dxfId="2229" priority="374">
      <formula>H$121&lt;&gt;"Cost as % commodity value"</formula>
    </cfRule>
  </conditionalFormatting>
  <conditionalFormatting sqref="N122">
    <cfRule type="expression" dxfId="2228" priority="372">
      <formula>$N$121="Cost as % commodity value"</formula>
    </cfRule>
  </conditionalFormatting>
  <conditionalFormatting sqref="G17">
    <cfRule type="expression" dxfId="2227" priority="371">
      <formula>IF(#REF!="","Population changed - check value")</formula>
    </cfRule>
  </conditionalFormatting>
  <conditionalFormatting sqref="K122">
    <cfRule type="expression" dxfId="2226" priority="370">
      <formula>$N$121="Cost as % commodity value"</formula>
    </cfRule>
  </conditionalFormatting>
  <conditionalFormatting sqref="H122 K122 N122 Q122 T122 W122">
    <cfRule type="expression" dxfId="2225" priority="369">
      <formula>H$121&lt;&gt;"Cost per facility"</formula>
    </cfRule>
  </conditionalFormatting>
  <conditionalFormatting sqref="O142:Q160 O162:Q180 O207:Q225 O227:Q245 O271:Q289 O291:Q309 O311:Q321 O261 O182:Q205 O104:Q140 O82:Q101 O262:Q269 O247:Q260 O102:P102 O103">
    <cfRule type="expression" dxfId="2224" priority="1">
      <formula>$H$7&lt;4</formula>
    </cfRule>
  </conditionalFormatting>
  <conditionalFormatting sqref="J135:K140 J142:K153">
    <cfRule type="expression" dxfId="2223" priority="193">
      <formula>$K$133&lt;1</formula>
    </cfRule>
  </conditionalFormatting>
  <conditionalFormatting sqref="P135:Q140 P142:Q153">
    <cfRule type="expression" dxfId="2222" priority="210">
      <formula>$Q$133&lt;1</formula>
    </cfRule>
  </conditionalFormatting>
  <conditionalFormatting sqref="J155:K160 J162:K173">
    <cfRule type="expression" dxfId="2221" priority="148">
      <formula>$K$133&lt;2</formula>
    </cfRule>
  </conditionalFormatting>
  <conditionalFormatting sqref="M155:N160 M162:N173">
    <cfRule type="expression" dxfId="2220" priority="208">
      <formula>$N$133&lt;2</formula>
    </cfRule>
  </conditionalFormatting>
  <conditionalFormatting sqref="P155:Q160 P162:Q173">
    <cfRule type="expression" dxfId="2219" priority="363">
      <formula>$Q$133&lt;2</formula>
    </cfRule>
  </conditionalFormatting>
  <conditionalFormatting sqref="J175:K180 J182:K193">
    <cfRule type="expression" dxfId="2218" priority="158">
      <formula>$K$133&lt;3</formula>
    </cfRule>
  </conditionalFormatting>
  <conditionalFormatting sqref="M175:N180 M182:N193">
    <cfRule type="expression" dxfId="2217" priority="362">
      <formula>$N$133&lt;3</formula>
    </cfRule>
  </conditionalFormatting>
  <conditionalFormatting sqref="P175:Q180 P182:Q193">
    <cfRule type="expression" dxfId="2216" priority="361">
      <formula>$Q$133&lt;3</formula>
    </cfRule>
  </conditionalFormatting>
  <conditionalFormatting sqref="J199:K205 J207:K217">
    <cfRule type="expression" dxfId="2215" priority="156">
      <formula>$K$197&lt;1</formula>
    </cfRule>
  </conditionalFormatting>
  <conditionalFormatting sqref="M199:N205 M207:N217">
    <cfRule type="expression" dxfId="2214" priority="359">
      <formula>$N$197&lt;1</formula>
    </cfRule>
  </conditionalFormatting>
  <conditionalFormatting sqref="P199:Q205 P207:Q217">
    <cfRule type="expression" dxfId="2213" priority="358">
      <formula>$Q$197&lt;1</formula>
    </cfRule>
  </conditionalFormatting>
  <conditionalFormatting sqref="J219:K225 J227:K237">
    <cfRule type="expression" dxfId="2212" priority="154">
      <formula>$K$197&lt;2</formula>
    </cfRule>
  </conditionalFormatting>
  <conditionalFormatting sqref="M219:N225 M227:N237">
    <cfRule type="expression" dxfId="2211" priority="357">
      <formula>$N$197&lt;2</formula>
    </cfRule>
  </conditionalFormatting>
  <conditionalFormatting sqref="P219:Q225 P227:Q237">
    <cfRule type="expression" dxfId="2210" priority="356">
      <formula>$Q$197&lt;2</formula>
    </cfRule>
  </conditionalFormatting>
  <conditionalFormatting sqref="J239:K245 J247:K257">
    <cfRule type="expression" dxfId="2209" priority="152">
      <formula>$K$197&lt;3</formula>
    </cfRule>
  </conditionalFormatting>
  <conditionalFormatting sqref="M239:N245 M247:N257">
    <cfRule type="expression" dxfId="2208" priority="354">
      <formula>$N$197&lt;3</formula>
    </cfRule>
  </conditionalFormatting>
  <conditionalFormatting sqref="P239:Q245 P247:Q257">
    <cfRule type="expression" dxfId="2207" priority="353">
      <formula>$Q$197&lt;3</formula>
    </cfRule>
  </conditionalFormatting>
  <conditionalFormatting sqref="B199:B205 E199:H205 E207:H217 B207:B217">
    <cfRule type="expression" dxfId="2206" priority="351">
      <formula>MAX($H$197,$K$197,$N$197,$Q$197,$T$197,$W$197)&lt;1</formula>
    </cfRule>
  </conditionalFormatting>
  <conditionalFormatting sqref="B239:H245 B247:H257">
    <cfRule type="expression" dxfId="2205" priority="350">
      <formula>MAX($H$197,$K$197,$N$197,$Q$197,$T$197,$W$197)&lt;3</formula>
    </cfRule>
  </conditionalFormatting>
  <conditionalFormatting sqref="B155:B160 B162:B173">
    <cfRule type="expression" dxfId="2204" priority="346">
      <formula>MAX($H$133,$K$133,$N$133,$Q$133,$T$133,$W$133)&lt;2</formula>
    </cfRule>
  </conditionalFormatting>
  <conditionalFormatting sqref="B175:B180 B182:B193">
    <cfRule type="expression" dxfId="2203" priority="345">
      <formula>MAX($H$133,$K$133,$N$133,$Q$133,$T$133,$W$133)&lt;3</formula>
    </cfRule>
  </conditionalFormatting>
  <conditionalFormatting sqref="B219:H225 B227:H237">
    <cfRule type="expression" dxfId="2202" priority="344">
      <formula>MAX($H$197,$K$197,$N$197,$Q$197,$T$197,$W$197)&lt;2</formula>
    </cfRule>
  </conditionalFormatting>
  <conditionalFormatting sqref="H7">
    <cfRule type="expression" dxfId="2201" priority="342">
      <formula>OR(H7&lt;1,H7&gt;6)</formula>
    </cfRule>
  </conditionalFormatting>
  <conditionalFormatting sqref="H6:H7 H9:H12 H17:H19 H92:H93 H95:H97 K92:K99 N92:N99 Q92:Q99 T92:T99 W92:W99 H104 K104 H106:H109 K106:K109 N106:N109 Q106:Q116 T106:T116 W106:W116 K135 N135 Q135 T135 W135 K139:K140 N139:N140 Q139:Q140 T139:T140 W139:W140 K144 N144 Q144 T144 W144 K146 N146 Q146 T146 W146 K148:K152 N148:N152 Q148:Q152 T148:T152 W148:W152 K155 N155 Q155 T155 W155 K159:K160 N159:N160 Q159:Q160 T159:T160 W159:W160 K164 N164 Q164 T164 W164 K166 N166 Q166 T166 W166 K168:K172 N168:N172 Q168:Q172 T168:T172 W168:W172 K175 N175 Q175 T175 W175 K179:K180 N179:N180 Q179:Q180 T179:T180 W179:W180 K184 N184 Q184 T184 W184 K186 N186 Q186 T186 W186 K188:K192 N188:N192 Q188:Q192 T188:T192 W188:W192 K197 N197 Q197 T197 W197 K199 N199 Q199 T199 W199 N203:N204 Q203:Q204 T203:T204 W203:W204 N207 Q207 T207 W207 K207 K203:K204 K209 N209 Q209 T209 W209 K211 N211 Q211 T211 W211 K213:K217 N213:N217 Q213:Q217 T213:T217 W213:W217 K219 N219 Q219 T219 W219 K223:K224 N223:N224 Q223:Q224 T223:T224 W223:W224 K227 N227 Q227 T227 W227 K229 N229 Q229 T229 W229 K231 N231 Q231 T231 W231 K233:K237 N233:N237 Q233:Q237 T233:T237 W233:W237 K239 N239 Q239 T239 W239 K243:K244 N243:N244 Q243:Q244 T243:T244 W243:W244 K247 N247 Q247 T247 W247 K249 N249 Q249 T249 W249 K251 N251 Q251 T251 W251 K253:K257 N253:N257 Q253:Q257 T253:T257 W253:W257 K263 N263 Q263 T263 W263 K267:K268 N267:N268 Q267:Q268 T267:T268 W267:W268 K271 N271 Q271 T271 W271 K273 N273 Q273 T273 W273 K275 N275 Q275 T275 W275 K277:K281 N277:N281 Q277:Q281 T277:T281 W277:W281 K283 N283 Q283 T283 W283 K287:K288 N287:N288 Q287:Q288 T287:T288 W287:W288 K291 N291 Q291 T291 W291 K293 N293 Q293 T293 W293 K295 N295 Q295 T295 W295 K297:K301 N297:N301 Q297:Q301 T297:T301 W297:W301 K303 N303 Q303 T303 W303 K307:K308 N307:N308 Q307:Q308 T307:T308 W307:W308 K311 N311 Q311 T311 W311 K313 N313 Q313 T313 W313 K315 N315 Q315 T315 W315 K317:K321 N317:N321 Q317:Q321 T317:T321 W317:W321 N112:N116 K112:K116 H112:H116 N104 Q104 T104 W104 H99 W142 T142 Q142 N142 K142 W162 T162 Q162 N162 K162 W182 T182 Q182 N182 K182">
    <cfRule type="expression" dxfId="2200" priority="390">
      <formula>AND(ISTEXT(H6),H6&lt;&gt;"")</formula>
    </cfRule>
  </conditionalFormatting>
  <conditionalFormatting sqref="K94 N94 Q94 T94 W94">
    <cfRule type="expression" dxfId="2199" priority="343">
      <formula>K94&lt;0</formula>
    </cfRule>
  </conditionalFormatting>
  <conditionalFormatting sqref="H114:H116 K114:K116 N114:N116 Q114:Q116 T114:T116 W114:W116">
    <cfRule type="expression" dxfId="2198" priority="341">
      <formula>H114&lt;0</formula>
    </cfRule>
  </conditionalFormatting>
  <conditionalFormatting sqref="S135:T140 S142:T153">
    <cfRule type="expression" dxfId="2197" priority="339">
      <formula>$T$133&lt;1</formula>
    </cfRule>
  </conditionalFormatting>
  <conditionalFormatting sqref="S155:T160 S162:T173">
    <cfRule type="expression" dxfId="2196" priority="338">
      <formula>$T$133&lt;2</formula>
    </cfRule>
  </conditionalFormatting>
  <conditionalFormatting sqref="S175:T180 S182:T193">
    <cfRule type="expression" dxfId="2195" priority="337">
      <formula>$T$133&lt;3</formula>
    </cfRule>
  </conditionalFormatting>
  <conditionalFormatting sqref="S199:T205 S207:T217">
    <cfRule type="expression" dxfId="2194" priority="336">
      <formula>$T$197&lt;1</formula>
    </cfRule>
  </conditionalFormatting>
  <conditionalFormatting sqref="S219:T225 S227:T237">
    <cfRule type="expression" dxfId="2193" priority="335">
      <formula>$T$197&lt;2</formula>
    </cfRule>
  </conditionalFormatting>
  <conditionalFormatting sqref="S239:T245 S247:T257">
    <cfRule type="expression" dxfId="2192" priority="334">
      <formula>$T$197&lt;3</formula>
    </cfRule>
  </conditionalFormatting>
  <conditionalFormatting sqref="T94">
    <cfRule type="expression" dxfId="2191" priority="333">
      <formula>OR(S94&lt;0,S94&gt;1,ISTEXT(S94))</formula>
    </cfRule>
  </conditionalFormatting>
  <conditionalFormatting sqref="V135:W140 V142:W153">
    <cfRule type="expression" dxfId="2190" priority="332">
      <formula>$W$133&lt;1</formula>
    </cfRule>
  </conditionalFormatting>
  <conditionalFormatting sqref="V155:W160 V162:W173">
    <cfRule type="expression" dxfId="2189" priority="331">
      <formula>$W$133&lt;2</formula>
    </cfRule>
  </conditionalFormatting>
  <conditionalFormatting sqref="V175:W180 V182:W193">
    <cfRule type="expression" dxfId="2188" priority="330">
      <formula>$W$133&lt;3</formula>
    </cfRule>
  </conditionalFormatting>
  <conditionalFormatting sqref="V199:W205 V207:W217">
    <cfRule type="expression" dxfId="2187" priority="329">
      <formula>$W$197&lt;1</formula>
    </cfRule>
  </conditionalFormatting>
  <conditionalFormatting sqref="V219:W225 V227:W237">
    <cfRule type="expression" dxfId="2186" priority="328">
      <formula>$W$197&lt;2</formula>
    </cfRule>
  </conditionalFormatting>
  <conditionalFormatting sqref="V239:W245 V247:W257">
    <cfRule type="expression" dxfId="2185" priority="327">
      <formula>$W$197&lt;3</formula>
    </cfRule>
  </conditionalFormatting>
  <conditionalFormatting sqref="W94">
    <cfRule type="expression" dxfId="2184" priority="326">
      <formula>OR(V94&lt;0,V94&gt;1,ISTEXT(V94))</formula>
    </cfRule>
  </conditionalFormatting>
  <conditionalFormatting sqref="Q122">
    <cfRule type="expression" dxfId="2183" priority="340">
      <formula>$Q$121="Cost as % commodity value"</formula>
    </cfRule>
  </conditionalFormatting>
  <conditionalFormatting sqref="T122">
    <cfRule type="expression" dxfId="2182" priority="325">
      <formula>$T$121="Cost as % commodity value"</formula>
    </cfRule>
  </conditionalFormatting>
  <conditionalFormatting sqref="W122">
    <cfRule type="expression" dxfId="2181" priority="324">
      <formula>$W$121="Cost as % commodity value"</formula>
    </cfRule>
  </conditionalFormatting>
  <conditionalFormatting sqref="B135:C136 B137:B140 E135:H140 E142:H153 B142:B153">
    <cfRule type="expression" dxfId="2180" priority="322">
      <formula>MAX($H$133,$K$133,$N$133,$Q$133,$T$133,$W$133)&lt;1</formula>
    </cfRule>
  </conditionalFormatting>
  <conditionalFormatting sqref="L110:M111 L82:N101 L142:N160 L162:N180 L207:N225 L227:N245 L271:N289 L291:N309 L311:N321 L261 L197:N205 L196 L182:N195 L132:N140 L131 L112:N130 L262:N269 L247:N260 L104:N109 L102:M102 L103">
    <cfRule type="expression" dxfId="2179" priority="192">
      <formula>$H$7&lt;3</formula>
    </cfRule>
  </conditionalFormatting>
  <conditionalFormatting sqref="K129 J112:K128 J110:J111 J82:K101 J142:K160 J162:K180 J207:K225 J227:K245 J271:K289 J291:K309 J311:K321 J197:K205 J182:K195 J132:K140 J130:K130 J262:K269 J247:K260 J104:K109 J102">
    <cfRule type="expression" dxfId="2178" priority="147">
      <formula>$H$7&lt;2</formula>
    </cfRule>
  </conditionalFormatting>
  <conditionalFormatting sqref="R142:T160 R162:T180 R207:T225 R227:T245 R271:T289 R291:T309 R311:T321 R261 R182:T205 R104:T140 R82:T101 R262:T269 R247:T260 R102:S102 R103">
    <cfRule type="expression" dxfId="2177" priority="2">
      <formula>$H$7&lt;5</formula>
    </cfRule>
  </conditionalFormatting>
  <conditionalFormatting sqref="U142:W160 U162:W180 U207:W225 U227:W245 U271:W289 U291:W309 U311:W321 U261 U182:W205 U104:W140 U82:W101 U262:W269 U247:W260 U102:V102 U103">
    <cfRule type="expression" dxfId="2176" priority="202">
      <formula>$H$7&lt;6</formula>
    </cfRule>
  </conditionalFormatting>
  <conditionalFormatting sqref="V259">
    <cfRule type="expression" dxfId="2175" priority="318">
      <formula>$H$7&lt;2</formula>
    </cfRule>
  </conditionalFormatting>
  <conditionalFormatting sqref="C137">
    <cfRule type="expression" dxfId="2174" priority="315">
      <formula>MAX($H$133,$K$133,$N$133,$Q$133,$T$133,$W$133)&lt;1</formula>
    </cfRule>
  </conditionalFormatting>
  <conditionalFormatting sqref="C138">
    <cfRule type="expression" dxfId="2173" priority="314">
      <formula>MAX($H$133,$K$133,$N$133,$Q$133,$T$133,$W$133)&lt;1</formula>
    </cfRule>
  </conditionalFormatting>
  <conditionalFormatting sqref="C139">
    <cfRule type="expression" dxfId="2172" priority="313">
      <formula>MAX($H$133,$K$133,$N$133,$Q$133,$T$133,$W$133)&lt;1</formula>
    </cfRule>
  </conditionalFormatting>
  <conditionalFormatting sqref="C140">
    <cfRule type="expression" dxfId="2171" priority="312">
      <formula>MAX($H$133,$K$133,$N$133,$Q$133,$T$133,$W$133)&lt;1</formula>
    </cfRule>
  </conditionalFormatting>
  <conditionalFormatting sqref="C142">
    <cfRule type="expression" dxfId="2170" priority="311">
      <formula>MAX($H$133,$K$133,$N$133,$Q$133,$T$133,$W$133)&lt;1</formula>
    </cfRule>
  </conditionalFormatting>
  <conditionalFormatting sqref="C143">
    <cfRule type="expression" dxfId="2169" priority="310">
      <formula>MAX($H$133,$K$133,$N$133,$Q$133,$T$133,$W$133)&lt;1</formula>
    </cfRule>
  </conditionalFormatting>
  <conditionalFormatting sqref="C144">
    <cfRule type="expression" dxfId="2168" priority="309">
      <formula>MAX($H$133,$K$133,$N$133,$Q$133,$T$133,$W$133)&lt;1</formula>
    </cfRule>
  </conditionalFormatting>
  <conditionalFormatting sqref="C145">
    <cfRule type="expression" dxfId="2167" priority="308">
      <formula>MAX($H$133,$K$133,$N$133,$Q$133,$T$133,$W$133)&lt;1</formula>
    </cfRule>
  </conditionalFormatting>
  <conditionalFormatting sqref="C146">
    <cfRule type="expression" dxfId="2166" priority="307">
      <formula>MAX($H$133,$K$133,$N$133,$Q$133,$T$133,$W$133)&lt;1</formula>
    </cfRule>
  </conditionalFormatting>
  <conditionalFormatting sqref="C147">
    <cfRule type="expression" dxfId="2165" priority="306">
      <formula>MAX($H$133,$K$133,$N$133,$Q$133,$T$133,$W$133)&lt;1</formula>
    </cfRule>
  </conditionalFormatting>
  <conditionalFormatting sqref="C148">
    <cfRule type="expression" dxfId="2164" priority="305">
      <formula>MAX($H$133,$K$133,$N$133,$Q$133,$T$133,$W$133)&lt;1</formula>
    </cfRule>
  </conditionalFormatting>
  <conditionalFormatting sqref="C149">
    <cfRule type="expression" dxfId="2163" priority="304">
      <formula>MAX($H$133,$K$133,$N$133,$Q$133,$T$133,$W$133)&lt;1</formula>
    </cfRule>
  </conditionalFormatting>
  <conditionalFormatting sqref="C150">
    <cfRule type="expression" dxfId="2162" priority="303">
      <formula>MAX($H$133,$K$133,$N$133,$Q$133,$T$133,$W$133)&lt;1</formula>
    </cfRule>
  </conditionalFormatting>
  <conditionalFormatting sqref="C151">
    <cfRule type="expression" dxfId="2161" priority="302">
      <formula>MAX($H$133,$K$133,$N$133,$Q$133,$T$133,$W$133)&lt;1</formula>
    </cfRule>
  </conditionalFormatting>
  <conditionalFormatting sqref="C152">
    <cfRule type="expression" dxfId="2160" priority="301">
      <formula>MAX($H$133,$K$133,$N$133,$Q$133,$T$133,$W$133)&lt;1</formula>
    </cfRule>
  </conditionalFormatting>
  <conditionalFormatting sqref="C153">
    <cfRule type="expression" dxfId="2159" priority="300">
      <formula>MAX($H$133,$K$133,$N$133,$Q$133,$T$133,$W$133)&lt;1</formula>
    </cfRule>
  </conditionalFormatting>
  <conditionalFormatting sqref="C219:C220">
    <cfRule type="expression" dxfId="2158" priority="299">
      <formula>MAX($H$197,$K$197,$N$197,$Q$197,$T$197,$W$197)&lt;1</formula>
    </cfRule>
  </conditionalFormatting>
  <conditionalFormatting sqref="C221">
    <cfRule type="expression" dxfId="2157" priority="298">
      <formula>MAX($H$197,$K$197,$N$197,$Q$197,$T$197,$W$197)&lt;1</formula>
    </cfRule>
  </conditionalFormatting>
  <conditionalFormatting sqref="C222">
    <cfRule type="expression" dxfId="2156" priority="297">
      <formula>MAX($H$197,$K$197,$N$197,$Q$197,$T$197,$W$197)&lt;1</formula>
    </cfRule>
  </conditionalFormatting>
  <conditionalFormatting sqref="C223">
    <cfRule type="expression" dxfId="2155" priority="296">
      <formula>MAX($H$197,$K$197,$N$197,$Q$197,$T$197,$W$197)&lt;1</formula>
    </cfRule>
  </conditionalFormatting>
  <conditionalFormatting sqref="C224">
    <cfRule type="expression" dxfId="2154" priority="295">
      <formula>MAX($H$197,$K$197,$N$197,$Q$197,$T$197,$W$197)&lt;1</formula>
    </cfRule>
  </conditionalFormatting>
  <conditionalFormatting sqref="C225">
    <cfRule type="expression" dxfId="2153" priority="294">
      <formula>MAX($H$197,$K$197,$N$197,$Q$197,$T$197,$W$197)&lt;1</formula>
    </cfRule>
  </conditionalFormatting>
  <conditionalFormatting sqref="C227">
    <cfRule type="expression" dxfId="2152" priority="293">
      <formula>MAX($H$197,$K$197,$N$197,$Q$197,$T$197,$W$197)&lt;1</formula>
    </cfRule>
  </conditionalFormatting>
  <conditionalFormatting sqref="C228">
    <cfRule type="expression" dxfId="2151" priority="292">
      <formula>MAX($H$197,$K$197,$N$197,$Q$197,$T$197,$W$197)&lt;1</formula>
    </cfRule>
  </conditionalFormatting>
  <conditionalFormatting sqref="C229">
    <cfRule type="expression" dxfId="2150" priority="291">
      <formula>MAX($H$197,$K$197,$N$197,$Q$197,$T$197,$W$197)&lt;1</formula>
    </cfRule>
  </conditionalFormatting>
  <conditionalFormatting sqref="C230">
    <cfRule type="expression" dxfId="2149" priority="290">
      <formula>MAX($H$197,$K$197,$N$197,$Q$197,$T$197,$W$197)&lt;1</formula>
    </cfRule>
  </conditionalFormatting>
  <conditionalFormatting sqref="C231">
    <cfRule type="expression" dxfId="2148" priority="289">
      <formula>MAX($H$197,$K$197,$N$197,$Q$197,$T$197,$W$197)&lt;1</formula>
    </cfRule>
  </conditionalFormatting>
  <conditionalFormatting sqref="C232">
    <cfRule type="expression" dxfId="2147" priority="288">
      <formula>MAX($H$197,$K$197,$N$197,$Q$197,$T$197,$W$197)&lt;1</formula>
    </cfRule>
  </conditionalFormatting>
  <conditionalFormatting sqref="C233">
    <cfRule type="expression" dxfId="2146" priority="287">
      <formula>MAX($H$197,$K$197,$N$197,$Q$197,$T$197,$W$197)&lt;1</formula>
    </cfRule>
  </conditionalFormatting>
  <conditionalFormatting sqref="C234">
    <cfRule type="expression" dxfId="2145" priority="286">
      <formula>MAX($H$197,$K$197,$N$197,$Q$197,$T$197,$W$197)&lt;1</formula>
    </cfRule>
  </conditionalFormatting>
  <conditionalFormatting sqref="C235">
    <cfRule type="expression" dxfId="2144" priority="285">
      <formula>MAX($H$197,$K$197,$N$197,$Q$197,$T$197,$W$197)&lt;1</formula>
    </cfRule>
  </conditionalFormatting>
  <conditionalFormatting sqref="C236">
    <cfRule type="expression" dxfId="2143" priority="284">
      <formula>MAX($H$197,$K$197,$N$197,$Q$197,$T$197,$W$197)&lt;1</formula>
    </cfRule>
  </conditionalFormatting>
  <conditionalFormatting sqref="C237">
    <cfRule type="expression" dxfId="2142" priority="283">
      <formula>MAX($H$197,$K$197,$N$197,$Q$197,$T$197,$W$197)&lt;1</formula>
    </cfRule>
  </conditionalFormatting>
  <conditionalFormatting sqref="C239:C240">
    <cfRule type="expression" dxfId="2141" priority="282">
      <formula>MAX($H$197,$K$197,$N$197,$Q$197,$T$197,$W$197)&lt;1</formula>
    </cfRule>
  </conditionalFormatting>
  <conditionalFormatting sqref="C241">
    <cfRule type="expression" dxfId="2140" priority="281">
      <formula>MAX($H$197,$K$197,$N$197,$Q$197,$T$197,$W$197)&lt;1</formula>
    </cfRule>
  </conditionalFormatting>
  <conditionalFormatting sqref="C242">
    <cfRule type="expression" dxfId="2139" priority="280">
      <formula>MAX($H$197,$K$197,$N$197,$Q$197,$T$197,$W$197)&lt;1</formula>
    </cfRule>
  </conditionalFormatting>
  <conditionalFormatting sqref="C243">
    <cfRule type="expression" dxfId="2138" priority="279">
      <formula>MAX($H$197,$K$197,$N$197,$Q$197,$T$197,$W$197)&lt;1</formula>
    </cfRule>
  </conditionalFormatting>
  <conditionalFormatting sqref="C244">
    <cfRule type="expression" dxfId="2137" priority="278">
      <formula>MAX($H$197,$K$197,$N$197,$Q$197,$T$197,$W$197)&lt;1</formula>
    </cfRule>
  </conditionalFormatting>
  <conditionalFormatting sqref="C245">
    <cfRule type="expression" dxfId="2136" priority="277">
      <formula>MAX($H$197,$K$197,$N$197,$Q$197,$T$197,$W$197)&lt;1</formula>
    </cfRule>
  </conditionalFormatting>
  <conditionalFormatting sqref="C247">
    <cfRule type="expression" dxfId="2135" priority="276">
      <formula>MAX($H$197,$K$197,$N$197,$Q$197,$T$197,$W$197)&lt;1</formula>
    </cfRule>
  </conditionalFormatting>
  <conditionalFormatting sqref="C248">
    <cfRule type="expression" dxfId="2134" priority="275">
      <formula>MAX($H$197,$K$197,$N$197,$Q$197,$T$197,$W$197)&lt;1</formula>
    </cfRule>
  </conditionalFormatting>
  <conditionalFormatting sqref="C249">
    <cfRule type="expression" dxfId="2133" priority="274">
      <formula>MAX($H$197,$K$197,$N$197,$Q$197,$T$197,$W$197)&lt;1</formula>
    </cfRule>
  </conditionalFormatting>
  <conditionalFormatting sqref="C250">
    <cfRule type="expression" dxfId="2132" priority="273">
      <formula>MAX($H$197,$K$197,$N$197,$Q$197,$T$197,$W$197)&lt;1</formula>
    </cfRule>
  </conditionalFormatting>
  <conditionalFormatting sqref="C251">
    <cfRule type="expression" dxfId="2131" priority="272">
      <formula>MAX($H$197,$K$197,$N$197,$Q$197,$T$197,$W$197)&lt;1</formula>
    </cfRule>
  </conditionalFormatting>
  <conditionalFormatting sqref="C252">
    <cfRule type="expression" dxfId="2130" priority="271">
      <formula>MAX($H$197,$K$197,$N$197,$Q$197,$T$197,$W$197)&lt;1</formula>
    </cfRule>
  </conditionalFormatting>
  <conditionalFormatting sqref="C253">
    <cfRule type="expression" dxfId="2129" priority="270">
      <formula>MAX($H$197,$K$197,$N$197,$Q$197,$T$197,$W$197)&lt;1</formula>
    </cfRule>
  </conditionalFormatting>
  <conditionalFormatting sqref="C254">
    <cfRule type="expression" dxfId="2128" priority="269">
      <formula>MAX($H$197,$K$197,$N$197,$Q$197,$T$197,$W$197)&lt;1</formula>
    </cfRule>
  </conditionalFormatting>
  <conditionalFormatting sqref="C255">
    <cfRule type="expression" dxfId="2127" priority="268">
      <formula>MAX($H$197,$K$197,$N$197,$Q$197,$T$197,$W$197)&lt;1</formula>
    </cfRule>
  </conditionalFormatting>
  <conditionalFormatting sqref="C256">
    <cfRule type="expression" dxfId="2126" priority="267">
      <formula>MAX($H$197,$K$197,$N$197,$Q$197,$T$197,$W$197)&lt;1</formula>
    </cfRule>
  </conditionalFormatting>
  <conditionalFormatting sqref="C257">
    <cfRule type="expression" dxfId="2125" priority="266">
      <formula>MAX($H$197,$K$197,$N$197,$Q$197,$T$197,$W$197)&lt;1</formula>
    </cfRule>
  </conditionalFormatting>
  <conditionalFormatting sqref="C263:C264">
    <cfRule type="expression" dxfId="2124" priority="265">
      <formula>MAX($H$197,$K$197,$N$197,$Q$197,$T$197,$W$197)&lt;1</formula>
    </cfRule>
  </conditionalFormatting>
  <conditionalFormatting sqref="C265">
    <cfRule type="expression" dxfId="2123" priority="264">
      <formula>MAX($H$197,$K$197,$N$197,$Q$197,$T$197,$W$197)&lt;1</formula>
    </cfRule>
  </conditionalFormatting>
  <conditionalFormatting sqref="C266">
    <cfRule type="expression" dxfId="2122" priority="263">
      <formula>MAX($H$197,$K$197,$N$197,$Q$197,$T$197,$W$197)&lt;1</formula>
    </cfRule>
  </conditionalFormatting>
  <conditionalFormatting sqref="C267">
    <cfRule type="expression" dxfId="2121" priority="262">
      <formula>MAX($H$197,$K$197,$N$197,$Q$197,$T$197,$W$197)&lt;1</formula>
    </cfRule>
  </conditionalFormatting>
  <conditionalFormatting sqref="C268">
    <cfRule type="expression" dxfId="2120" priority="261">
      <formula>MAX($H$197,$K$197,$N$197,$Q$197,$T$197,$W$197)&lt;1</formula>
    </cfRule>
  </conditionalFormatting>
  <conditionalFormatting sqref="C269">
    <cfRule type="expression" dxfId="2119" priority="260">
      <formula>MAX($H$197,$K$197,$N$197,$Q$197,$T$197,$W$197)&lt;1</formula>
    </cfRule>
  </conditionalFormatting>
  <conditionalFormatting sqref="C271">
    <cfRule type="expression" dxfId="2118" priority="259">
      <formula>MAX($H$197,$K$197,$N$197,$Q$197,$T$197,$W$197)&lt;1</formula>
    </cfRule>
  </conditionalFormatting>
  <conditionalFormatting sqref="C272">
    <cfRule type="expression" dxfId="2117" priority="258">
      <formula>MAX($H$197,$K$197,$N$197,$Q$197,$T$197,$W$197)&lt;1</formula>
    </cfRule>
  </conditionalFormatting>
  <conditionalFormatting sqref="C273">
    <cfRule type="expression" dxfId="2116" priority="257">
      <formula>MAX($H$197,$K$197,$N$197,$Q$197,$T$197,$W$197)&lt;1</formula>
    </cfRule>
  </conditionalFormatting>
  <conditionalFormatting sqref="C274">
    <cfRule type="expression" dxfId="2115" priority="256">
      <formula>MAX($H$197,$K$197,$N$197,$Q$197,$T$197,$W$197)&lt;1</formula>
    </cfRule>
  </conditionalFormatting>
  <conditionalFormatting sqref="C275">
    <cfRule type="expression" dxfId="2114" priority="255">
      <formula>MAX($H$197,$K$197,$N$197,$Q$197,$T$197,$W$197)&lt;1</formula>
    </cfRule>
  </conditionalFormatting>
  <conditionalFormatting sqref="C276">
    <cfRule type="expression" dxfId="2113" priority="254">
      <formula>MAX($H$197,$K$197,$N$197,$Q$197,$T$197,$W$197)&lt;1</formula>
    </cfRule>
  </conditionalFormatting>
  <conditionalFormatting sqref="C277">
    <cfRule type="expression" dxfId="2112" priority="253">
      <formula>MAX($H$197,$K$197,$N$197,$Q$197,$T$197,$W$197)&lt;1</formula>
    </cfRule>
  </conditionalFormatting>
  <conditionalFormatting sqref="C278">
    <cfRule type="expression" dxfId="2111" priority="252">
      <formula>MAX($H$197,$K$197,$N$197,$Q$197,$T$197,$W$197)&lt;1</formula>
    </cfRule>
  </conditionalFormatting>
  <conditionalFormatting sqref="C279">
    <cfRule type="expression" dxfId="2110" priority="251">
      <formula>MAX($H$197,$K$197,$N$197,$Q$197,$T$197,$W$197)&lt;1</formula>
    </cfRule>
  </conditionalFormatting>
  <conditionalFormatting sqref="C280">
    <cfRule type="expression" dxfId="2109" priority="250">
      <formula>MAX($H$197,$K$197,$N$197,$Q$197,$T$197,$W$197)&lt;1</formula>
    </cfRule>
  </conditionalFormatting>
  <conditionalFormatting sqref="C281">
    <cfRule type="expression" dxfId="2108" priority="249">
      <formula>MAX($H$197,$K$197,$N$197,$Q$197,$T$197,$W$197)&lt;1</formula>
    </cfRule>
  </conditionalFormatting>
  <conditionalFormatting sqref="C283:C284">
    <cfRule type="expression" dxfId="2107" priority="248">
      <formula>MAX($H$197,$K$197,$N$197,$Q$197,$T$197,$W$197)&lt;1</formula>
    </cfRule>
  </conditionalFormatting>
  <conditionalFormatting sqref="C285">
    <cfRule type="expression" dxfId="2106" priority="247">
      <formula>MAX($H$197,$K$197,$N$197,$Q$197,$T$197,$W$197)&lt;1</formula>
    </cfRule>
  </conditionalFormatting>
  <conditionalFormatting sqref="C286">
    <cfRule type="expression" dxfId="2105" priority="246">
      <formula>MAX($H$197,$K$197,$N$197,$Q$197,$T$197,$W$197)&lt;1</formula>
    </cfRule>
  </conditionalFormatting>
  <conditionalFormatting sqref="C287">
    <cfRule type="expression" dxfId="2104" priority="245">
      <formula>MAX($H$197,$K$197,$N$197,$Q$197,$T$197,$W$197)&lt;1</formula>
    </cfRule>
  </conditionalFormatting>
  <conditionalFormatting sqref="C288">
    <cfRule type="expression" dxfId="2103" priority="244">
      <formula>MAX($H$197,$K$197,$N$197,$Q$197,$T$197,$W$197)&lt;1</formula>
    </cfRule>
  </conditionalFormatting>
  <conditionalFormatting sqref="C289">
    <cfRule type="expression" dxfId="2102" priority="243">
      <formula>MAX($H$197,$K$197,$N$197,$Q$197,$T$197,$W$197)&lt;1</formula>
    </cfRule>
  </conditionalFormatting>
  <conditionalFormatting sqref="C291">
    <cfRule type="expression" dxfId="2101" priority="242">
      <formula>MAX($H$197,$K$197,$N$197,$Q$197,$T$197,$W$197)&lt;1</formula>
    </cfRule>
  </conditionalFormatting>
  <conditionalFormatting sqref="C292">
    <cfRule type="expression" dxfId="2100" priority="241">
      <formula>MAX($H$197,$K$197,$N$197,$Q$197,$T$197,$W$197)&lt;1</formula>
    </cfRule>
  </conditionalFormatting>
  <conditionalFormatting sqref="C293">
    <cfRule type="expression" dxfId="2099" priority="240">
      <formula>MAX($H$197,$K$197,$N$197,$Q$197,$T$197,$W$197)&lt;1</formula>
    </cfRule>
  </conditionalFormatting>
  <conditionalFormatting sqref="C294">
    <cfRule type="expression" dxfId="2098" priority="239">
      <formula>MAX($H$197,$K$197,$N$197,$Q$197,$T$197,$W$197)&lt;1</formula>
    </cfRule>
  </conditionalFormatting>
  <conditionalFormatting sqref="C295">
    <cfRule type="expression" dxfId="2097" priority="238">
      <formula>MAX($H$197,$K$197,$N$197,$Q$197,$T$197,$W$197)&lt;1</formula>
    </cfRule>
  </conditionalFormatting>
  <conditionalFormatting sqref="C296">
    <cfRule type="expression" dxfId="2096" priority="237">
      <formula>MAX($H$197,$K$197,$N$197,$Q$197,$T$197,$W$197)&lt;1</formula>
    </cfRule>
  </conditionalFormatting>
  <conditionalFormatting sqref="C297">
    <cfRule type="expression" dxfId="2095" priority="236">
      <formula>MAX($H$197,$K$197,$N$197,$Q$197,$T$197,$W$197)&lt;1</formula>
    </cfRule>
  </conditionalFormatting>
  <conditionalFormatting sqref="C298">
    <cfRule type="expression" dxfId="2094" priority="235">
      <formula>MAX($H$197,$K$197,$N$197,$Q$197,$T$197,$W$197)&lt;1</formula>
    </cfRule>
  </conditionalFormatting>
  <conditionalFormatting sqref="C299">
    <cfRule type="expression" dxfId="2093" priority="234">
      <formula>MAX($H$197,$K$197,$N$197,$Q$197,$T$197,$W$197)&lt;1</formula>
    </cfRule>
  </conditionalFormatting>
  <conditionalFormatting sqref="C300">
    <cfRule type="expression" dxfId="2092" priority="233">
      <formula>MAX($H$197,$K$197,$N$197,$Q$197,$T$197,$W$197)&lt;1</formula>
    </cfRule>
  </conditionalFormatting>
  <conditionalFormatting sqref="C301">
    <cfRule type="expression" dxfId="2091" priority="232">
      <formula>MAX($H$197,$K$197,$N$197,$Q$197,$T$197,$W$197)&lt;1</formula>
    </cfRule>
  </conditionalFormatting>
  <conditionalFormatting sqref="C303:C304">
    <cfRule type="expression" dxfId="2090" priority="231">
      <formula>MAX($H$197,$K$197,$N$197,$Q$197,$T$197,$W$197)&lt;1</formula>
    </cfRule>
  </conditionalFormatting>
  <conditionalFormatting sqref="C305">
    <cfRule type="expression" dxfId="2089" priority="230">
      <formula>MAX($H$197,$K$197,$N$197,$Q$197,$T$197,$W$197)&lt;1</formula>
    </cfRule>
  </conditionalFormatting>
  <conditionalFormatting sqref="C306">
    <cfRule type="expression" dxfId="2088" priority="229">
      <formula>MAX($H$197,$K$197,$N$197,$Q$197,$T$197,$W$197)&lt;1</formula>
    </cfRule>
  </conditionalFormatting>
  <conditionalFormatting sqref="C307">
    <cfRule type="expression" dxfId="2087" priority="228">
      <formula>MAX($H$197,$K$197,$N$197,$Q$197,$T$197,$W$197)&lt;1</formula>
    </cfRule>
  </conditionalFormatting>
  <conditionalFormatting sqref="C308">
    <cfRule type="expression" dxfId="2086" priority="227">
      <formula>MAX($H$197,$K$197,$N$197,$Q$197,$T$197,$W$197)&lt;1</formula>
    </cfRule>
  </conditionalFormatting>
  <conditionalFormatting sqref="C309">
    <cfRule type="expression" dxfId="2085" priority="226">
      <formula>MAX($H$197,$K$197,$N$197,$Q$197,$T$197,$W$197)&lt;1</formula>
    </cfRule>
  </conditionalFormatting>
  <conditionalFormatting sqref="C311">
    <cfRule type="expression" dxfId="2084" priority="225">
      <formula>MAX($H$197,$K$197,$N$197,$Q$197,$T$197,$W$197)&lt;1</formula>
    </cfRule>
  </conditionalFormatting>
  <conditionalFormatting sqref="C312">
    <cfRule type="expression" dxfId="2083" priority="224">
      <formula>MAX($H$197,$K$197,$N$197,$Q$197,$T$197,$W$197)&lt;1</formula>
    </cfRule>
  </conditionalFormatting>
  <conditionalFormatting sqref="C313">
    <cfRule type="expression" dxfId="2082" priority="223">
      <formula>MAX($H$197,$K$197,$N$197,$Q$197,$T$197,$W$197)&lt;1</formula>
    </cfRule>
  </conditionalFormatting>
  <conditionalFormatting sqref="C314">
    <cfRule type="expression" dxfId="2081" priority="222">
      <formula>MAX($H$197,$K$197,$N$197,$Q$197,$T$197,$W$197)&lt;1</formula>
    </cfRule>
  </conditionalFormatting>
  <conditionalFormatting sqref="C315">
    <cfRule type="expression" dxfId="2080" priority="221">
      <formula>MAX($H$197,$K$197,$N$197,$Q$197,$T$197,$W$197)&lt;1</formula>
    </cfRule>
  </conditionalFormatting>
  <conditionalFormatting sqref="C316">
    <cfRule type="expression" dxfId="2079" priority="220">
      <formula>MAX($H$197,$K$197,$N$197,$Q$197,$T$197,$W$197)&lt;1</formula>
    </cfRule>
  </conditionalFormatting>
  <conditionalFormatting sqref="C317">
    <cfRule type="expression" dxfId="2078" priority="219">
      <formula>MAX($H$197,$K$197,$N$197,$Q$197,$T$197,$W$197)&lt;1</formula>
    </cfRule>
  </conditionalFormatting>
  <conditionalFormatting sqref="C318">
    <cfRule type="expression" dxfId="2077" priority="218">
      <formula>MAX($H$197,$K$197,$N$197,$Q$197,$T$197,$W$197)&lt;1</formula>
    </cfRule>
  </conditionalFormatting>
  <conditionalFormatting sqref="C319">
    <cfRule type="expression" dxfId="2076" priority="217">
      <formula>MAX($H$197,$K$197,$N$197,$Q$197,$T$197,$W$197)&lt;1</formula>
    </cfRule>
  </conditionalFormatting>
  <conditionalFormatting sqref="C320">
    <cfRule type="expression" dxfId="2075" priority="216">
      <formula>MAX($H$197,$K$197,$N$197,$Q$197,$T$197,$W$197)&lt;1</formula>
    </cfRule>
  </conditionalFormatting>
  <conditionalFormatting sqref="C321">
    <cfRule type="expression" dxfId="2074" priority="215">
      <formula>MAX($H$197,$K$197,$N$197,$Q$197,$T$197,$W$197)&lt;1</formula>
    </cfRule>
  </conditionalFormatting>
  <conditionalFormatting sqref="H28:H38 K28:K38">
    <cfRule type="expression" dxfId="2073" priority="214">
      <formula>AND(H28="",$F28&gt;0)</formula>
    </cfRule>
  </conditionalFormatting>
  <conditionalFormatting sqref="H43:H78">
    <cfRule type="expression" dxfId="2072" priority="213">
      <formula>AND(OR(H43="",H43="#"),E43&gt;0)</formula>
    </cfRule>
  </conditionalFormatting>
  <conditionalFormatting sqref="H6 H9:H12 H19 H92 K92 N92 Q92 T92 W92 H95:H96 K95:K96 N95:N96 Q95:Q96 T95:T96 W95:W96 K98 N98 Q98 T98 W98 H104 K104 N104 Q104 T104 W104 H108 K108 N108 Q108 T108 W108 K151:K152 N151:N152 Q151:Q152 T151:T152 W151:W152 K171:K172 N171:N172 Q171:Q172 T171:T172 W171:W172 K191:K192 N191:N192 Q191:Q192 T191:T192 W191:W192 K216:K217 N216:N217 Q216:Q217 T216:T217 W216:W217 K236:K237 N236:N237 Q236:Q237 T236:T237 W236:W237 K256:K257 N256:N257 Q256:Q257 T256:T257 W256:W257 K280:K281 N280:N281 Q280:Q281 T280:T281 W280:W281 K300:K301 N300:N301 Q300:Q301 T300:T301 W300:W301 K320:K321 N320:N321 Q320:Q321 T320:T321 W320:W321">
    <cfRule type="expression" dxfId="2071" priority="373">
      <formula>H6&lt;=0</formula>
    </cfRule>
  </conditionalFormatting>
  <conditionalFormatting sqref="G87 J87 M87 P87 S87 V87">
    <cfRule type="expression" dxfId="2070" priority="321">
      <formula>AND(ISBLANK(G87),NOT(ISBLANK(G86)))</formula>
    </cfRule>
  </conditionalFormatting>
  <conditionalFormatting sqref="P86 G86 J86 M86 S86 V86">
    <cfRule type="expression" dxfId="2069" priority="212">
      <formula>OR(AND(ISBLANK(G86),NOT(ISBLANK(G87))),AND(NOT(ISBLANK(G86)),IFERROR(INDIRECT("'"&amp;G86&amp;"'!A1"),TRUE)))</formula>
    </cfRule>
  </conditionalFormatting>
  <conditionalFormatting sqref="H88 K88 N88 Q88 T88 W88">
    <cfRule type="expression" dxfId="2068" priority="360">
      <formula>H88=""</formula>
    </cfRule>
  </conditionalFormatting>
  <conditionalFormatting sqref="M135:N140 M142:N153">
    <cfRule type="expression" dxfId="2067" priority="319">
      <formula>$N$133&lt;1</formula>
    </cfRule>
  </conditionalFormatting>
  <conditionalFormatting sqref="K133 N133 Q133 T133 W133 K197 N197 Q197 T197 W197 K260 N260 Q260 T260 W260">
    <cfRule type="expression" dxfId="2066" priority="203">
      <formula>AND(K133=0,J133="")</formula>
    </cfRule>
    <cfRule type="expression" dxfId="2065" priority="320">
      <formula>OR(K133&lt;0,K133&gt;3)</formula>
    </cfRule>
  </conditionalFormatting>
  <conditionalFormatting sqref="H8 H17:H18 H21 H27:H38 K27:K38 H43:H78 H93:H94 K93:K94 N93:N94 Q93:Q94 T93:T94 W93:W94 K99 N99 Q99 T99 W99 H106:H107 K106:K107 N106:N107 Q106:Q107 T106:T107 W106:W107 H109:H116 K109:K116 N109:N116 Q109:Q116 T109:T116 W109:W116 H122:H123 K122:K123 N122:N123 Q122:Q123 T122:T123 W122:W123 K133 N133 Q133 T133 W133 K135 N135 Q135 T135 W135 K139:K140 N139:N140 Q139:Q140 T139:T140 W139:W140 K144 N144 Q144 T144 W144 K146 N146 Q146 T146 W146 K148:K150 N148:N150 Q148:Q150 T148:T150 W148:W150 K155 N155 Q155 T155 W155 K159:K160 N159:N160 Q159:Q160 T159:T160 W159:W160 K164 N164 Q164 T164 W164 K166 N166 Q166 T166 W166 K168:K170 N168:N170 Q168:Q170 T168:T170 W168:W170 K175 N175 Q175 T175 W175 K179:K180 N179:N180 Q179:Q180 T179:T180 W179:W180 K184 N184 Q184 T184 W184 K186 N186 Q186 T186 W186 K188:K190 N188:N190 Q188:Q190 T188:T190 W188:W190 K199 N199 Q199 T199 W199 K203:K204 N203:N204 Q203:Q204 T203:T204 W203:W204 K207 N207 Q207 T207 W207 K209 N209 Q209 T209 W209 K211 N211 Q211 T211 W211 K213:K215 N213:N215 Q213:Q215 T213:T215 W213:W215 K219 N219 Q219 T219 W219 K223:K224 N223:N224 Q223:Q224 T223:T224 W223:W224 K227 N227 Q227 T227 W227 K229 N229 Q229 T229 W229 K231 N231 Q231 T231 W231 K233:K235 N233:N235 Q233:Q235 T233:T235 W233:W235 K239 N239 Q239 T239 W239 K243:K244 N243:N244 Q243:Q244 T243:T244 W243:W244 K247 N247 Q247 T247 W247 K249 N249 Q249 T249 W249 K251 N251 Q251 T251 W251 K253:K255 N253:N255 Q253:Q255 T253:T255 W253:W255 K263 N263 Q263 T263 W263 K267:K268 N267:N268 Q267:Q268 T267:T268 W267:W268 K271 N271 Q271 T271 W271 K273 N273 Q273 T273 W273 K275 N275 Q275 T275 W275 K277:K279 N277:N279 Q277:Q279 T277:T279 W277:W279 K283 N283 Q283 T283 W283 K287:K288 N287:N288 Q287:Q288 T287:T288 W287:W288 K291 N291 Q291 T291 W291 K293 N293 Q293 T293 W293 K295 N295 Q295 T295 W295 K297:K299 N297:N299 Q297:Q299 T297:T299 W297:W299 K303 N303 Q303 T303 W303 K307:K308 N307:N308 Q307:Q308 T307:T308 W307:W308 K311 N311 Q311 T311 W311 K313 N313 Q313 T313 W313 K315 N315 Q315 T315 W315 K317:K319 N317:N319 Q317:Q319 T317:T319 W317:W319 W142 T142 Q142 N142 K142 W162 T162 Q162 N162 K162 W182 T182 Q182 N182 K182">
    <cfRule type="expression" dxfId="2064" priority="391">
      <formula>H8&lt;0</formula>
    </cfRule>
  </conditionalFormatting>
  <conditionalFormatting sqref="H99">
    <cfRule type="expression" dxfId="2063" priority="204">
      <formula>$H$7&lt;2</formula>
    </cfRule>
  </conditionalFormatting>
  <conditionalFormatting sqref="H99">
    <cfRule type="expression" dxfId="2062" priority="205">
      <formula>H99&lt;0</formula>
    </cfRule>
  </conditionalFormatting>
  <conditionalFormatting sqref="H6:H12 H17:H20 H92:H93 H95:H97 H99 K92:K99 N92:N99 Q92:Q99 T92:T99 W92:W99 K133 N133 Q133 T133 W133 K135:K136 N135:N136 Q135:Q136 T135:T136 W135:W136 K155:K156 N155:N156 Q155:Q156 T155:T156 W155:W156 K175:K176 N175:N176 Q175:Q176 T175:T176 W175:W176 K197 N197 Q197 T197 W197 K199:K200 N199:N200 Q199:Q200 T199:T200 W199:W200 K219:K220 N219:N220 Q219:Q220 T219:T220 W219:W220 K239:K240 N239:N240 Q239:Q240 T239:T240 W239:W240 K260 N260 Q260 T260 W260 K263:K264 N263:N264 Q263:Q264 T263:T264 W263:W264 K283:K284 N283:N284 Q283:Q284 T283:T284 W283:W284 K303:K304 N303:N304 Q303:Q304 T303:T304 W303:W304 K317:K319 N317:N319 Q317:Q319 T317:T319 W317:W319 W297:W299 T297:T299 Q297:Q299 N297:N299 K297:K299 K277:K279 N277:N279 Q277:Q279 T277:T279 W277:W279 W253:W255 T253:T255 Q253:Q255 N253:N255 K253:K255 K233:K235 N233:N235 Q233:Q235 T233:T235 W233:W235 W213:W215 T213:T215 Q213:Q215 N213:N215 K213:K215 K188:K190 N188:N190 Q188:Q190 T188:T190 W188:W190 W168:W170 T168:T170 Q168:Q170 N168:N170 K168:K170 K148:K150 N148:N150 Q148:Q150 T148:T150 W148:W150">
    <cfRule type="expression" dxfId="2061" priority="392">
      <formula>H6=""</formula>
    </cfRule>
  </conditionalFormatting>
  <conditionalFormatting sqref="H17:H18">
    <cfRule type="expression" dxfId="2060" priority="201">
      <formula>SUM($H$17:$H$18)=0</formula>
    </cfRule>
  </conditionalFormatting>
  <conditionalFormatting sqref="K137:K140 N137:N140 Q137:Q140 T137:T140 W137:W140 K151:K152 N151:N152 Q151:Q152 T151:T152 W151:W152">
    <cfRule type="expression" dxfId="2059" priority="197">
      <formula>OR(K$136="Public Transport 1",K$136="Public Transport 2")</formula>
    </cfRule>
  </conditionalFormatting>
  <conditionalFormatting sqref="J137:J140 M137:M140 P137:P140 S137:S140 V137:V140 J151:J152 M151:M152 P151:P152 S151:S152 V151:V152">
    <cfRule type="expression" dxfId="2058" priority="206">
      <formula>OR(K$136="Public Transport 1",K$136="Public Transport 2")</formula>
    </cfRule>
  </conditionalFormatting>
  <conditionalFormatting sqref="J144 M144 P144 S144 V144 J151 M151 P151 S151 V151">
    <cfRule type="expression" dxfId="2057" priority="200">
      <formula>AND(K$143&lt;&gt;"Route-based", K$143&lt;&gt;"")</formula>
    </cfRule>
  </conditionalFormatting>
  <conditionalFormatting sqref="K144 N144 Q144 T144 W144">
    <cfRule type="expression" dxfId="2056" priority="194">
      <formula>AND(K$143&lt;&gt;"Route-based", K$143&lt;&gt;"")</formula>
    </cfRule>
  </conditionalFormatting>
  <conditionalFormatting sqref="J147 M147 P147 S147 V147 J167 M167 P167 S167 V167 J187 M187 P187 S187 V187 J212 M212 P212 S212 V212 J232 M232 P232 S232 V232 J252 M252 P252 S252 V252 J276 M276 P276 S276 V276 J296 M296 P296 S296 V296 J316 M316 P316 S316 V316">
    <cfRule type="expression" dxfId="2055" priority="323">
      <formula>K146=0</formula>
    </cfRule>
  </conditionalFormatting>
  <conditionalFormatting sqref="K147 N147 Q147 T147 W147 K167 N167 Q167 T167 W167 K187 N187 Q187 T187 W187 K212 N212 Q212 T212 W212 K232 N232 Q232 T232 W232 K252 N252 Q252 T252 W252 K276 N276 Q276 T276 W276 K296 N296 Q296 T296 W296 K316 N316 Q316 T316 W316">
    <cfRule type="expression" dxfId="2054" priority="198">
      <formula>K146=0</formula>
    </cfRule>
  </conditionalFormatting>
  <conditionalFormatting sqref="K151 N151 Q151 T151 W151">
    <cfRule type="expression" dxfId="2053" priority="209">
      <formula>AND(K$143&lt;&gt;"Route-based",K$143&lt;&gt;"")</formula>
    </cfRule>
  </conditionalFormatting>
  <conditionalFormatting sqref="J138:J139 M138:M139 P138:P139 S138:S139 V138:V139">
    <cfRule type="expression" dxfId="2052" priority="196">
      <formula>AND(K$137&lt;&gt;"Rented",K$137&lt;&gt;"Contracted to 3PL",K$137&lt;&gt;"")</formula>
    </cfRule>
  </conditionalFormatting>
  <conditionalFormatting sqref="K138:K139 N138:N139 Q138:Q139 T138:T139 W138:W139">
    <cfRule type="expression" dxfId="2051" priority="195">
      <formula>AND(K$137&lt;&gt;"Rented",K$137&lt;&gt;"Contracted to 3PL",K$137&lt;&gt;"")</formula>
    </cfRule>
  </conditionalFormatting>
  <conditionalFormatting sqref="K144 N144 Q144 T144 W144 K164 N164 Q164 T164 W164 K184 N184 Q184 T184 W184 K209 N209 Q209 T209 W209 K229 N229 Q229 T229 W229 K249 N249 Q249 T249 W249 K273 N273 Q273 T273 W273 K293 N293 Q293 T293 W293 K313 N313 Q313 T313 W313">
    <cfRule type="expression" dxfId="2050" priority="199">
      <formula>AND(K143="Route-based",K144="")</formula>
    </cfRule>
  </conditionalFormatting>
  <conditionalFormatting sqref="J157:J160 J171:J172 M157:M160 M171:M172 P157:P160 P171:P172 S157:S160 S171:S172 V157:V160 V171:V172">
    <cfRule type="expression" dxfId="2049" priority="366">
      <formula>OR(K$156="Public Transport 1",K$156="Public Transport 2")</formula>
    </cfRule>
  </conditionalFormatting>
  <conditionalFormatting sqref="K157:K160 K171:K172 N157:N160 N171:N172 Q157:Q160 Q171:Q172 T157:T160 T171:T172 W157:W160 W171:W172">
    <cfRule type="expression" dxfId="2048" priority="364">
      <formula>OR(K$156="Public Transport 1",K$156="Public Transport 2")</formula>
    </cfRule>
  </conditionalFormatting>
  <conditionalFormatting sqref="J177:J180 M177:M180 P177:P180 S177:S180 V177:V180 J191:J192 M191:M192 P191:P192 S191:S192 V191:V192">
    <cfRule type="expression" dxfId="2047" priority="317">
      <formula>OR(K$176="Public Transport 1",K$176="Public Transport 2")</formula>
    </cfRule>
  </conditionalFormatting>
  <conditionalFormatting sqref="K177:K180 N177:N180 Q177:Q180 T177:T180 W177:W180 K191:K192 N191:N192 Q191:Q192 T191:T192 W191:W192">
    <cfRule type="expression" dxfId="2046" priority="190">
      <formula>OR(K$176="Public Transport 1",K$176="Public Transport 2")</formula>
    </cfRule>
  </conditionalFormatting>
  <conditionalFormatting sqref="J201:J205 M201:M205 P201:P205 S201:S205 V201:V205 J216:J217 M216:M217 P216:P217 S216:S217 V216:V217">
    <cfRule type="expression" dxfId="2045" priority="207">
      <formula>OR(K$200="Public Transport 1",K$200="Public Transport 2")</formula>
    </cfRule>
  </conditionalFormatting>
  <conditionalFormatting sqref="K201:K205 N201:N205 Q201:Q205 T201:T205 W201:W205 K216:K217 N216:N217 Q216:Q217 T216:T217 W216:W217">
    <cfRule type="expression" dxfId="2044" priority="188">
      <formula>OR(K$200="Public Transport 1",K$200="Public Transport 2")</formula>
    </cfRule>
  </conditionalFormatting>
  <conditionalFormatting sqref="J221:J225 M221:M225 P221:P225 S221:S225 V221:V225 J236:J237 M236:M237 P236:P237 S236:S237 V236:V237">
    <cfRule type="expression" dxfId="2043" priority="355">
      <formula>OR(K$220="Public Transport 1",K$220="Public Transport 2")</formula>
    </cfRule>
  </conditionalFormatting>
  <conditionalFormatting sqref="K221:K225 N221:N225 Q221:Q225 T221:T225 W221:W225 K236:K237 N236:N237 Q236:Q237 T236:T237 W236:W237">
    <cfRule type="expression" dxfId="2042" priority="186">
      <formula>OR(K$220="Public Transport 1",K$220="Public Transport 2")</formula>
    </cfRule>
  </conditionalFormatting>
  <conditionalFormatting sqref="J241:J245 M241:M245 P241:P245 S241:S245 V241:V245 J256:J257 M256:M257 P256:P257 S256:S257 V256:V257">
    <cfRule type="expression" dxfId="2041" priority="352">
      <formula>OR(K$240="Public Transport 1",K$240="Public Transport 2")</formula>
    </cfRule>
  </conditionalFormatting>
  <conditionalFormatting sqref="K241:K245 N241:N245 Q241:Q245 T241:T245 W241:W245 K256:K257 N256:N257 Q256:Q257 T256:T257 W256:W257">
    <cfRule type="expression" dxfId="2040" priority="184">
      <formula>OR(K$240="Public Transport 1",K$240="Public Transport 2")</formula>
    </cfRule>
  </conditionalFormatting>
  <conditionalFormatting sqref="J265:J269 M265:M269 P265:P269 S265:S269 V265:V269 J280:J281 M280:M281 P280:P281 S280:S281 V280:V281">
    <cfRule type="expression" dxfId="2039" priority="349">
      <formula>OR(K$264="Public Transport 1",K$264="Public Transport 2")</formula>
    </cfRule>
  </conditionalFormatting>
  <conditionalFormatting sqref="K265:K269 N265:N269 Q265:Q269 T265:T269 W265:W269 K280:K281 N280:N281 Q280:Q281 T280:T281 W280:W281">
    <cfRule type="expression" dxfId="2038" priority="182">
      <formula>OR(K$264="Public Transport 1",K$264="Public Transport 2")</formula>
    </cfRule>
  </conditionalFormatting>
  <conditionalFormatting sqref="J285:J289 M285:M289 P285:P289 S285:S289 V285:V289 J300:J301 M300:M301 P300:P301 S300:S301 V300:V301">
    <cfRule type="expression" dxfId="2037" priority="348">
      <formula>OR(K$284="Public Transport 1",K$284="Public Transport 2")</formula>
    </cfRule>
  </conditionalFormatting>
  <conditionalFormatting sqref="K285:K289 N285:N289 Q285:Q289 T285:T289 W285:W289 K300:K301 N300:N301 Q300:Q301 T300:T301 W300:W301">
    <cfRule type="expression" dxfId="2036" priority="180">
      <formula>OR(K$284="Public Transport 1",K$284="Public Transport 2")</formula>
    </cfRule>
  </conditionalFormatting>
  <conditionalFormatting sqref="J305:J309 M305:M309 P305:P309 S305:S309 V305:V309 J320:J321 M320:M321 P320:P321 S320:S321 V320:V321">
    <cfRule type="expression" dxfId="2035" priority="347">
      <formula>OR(K$304="Public Transport 1",K$304="Public Transport 2")</formula>
    </cfRule>
  </conditionalFormatting>
  <conditionalFormatting sqref="K305:K309 N305:N309 Q305:Q309 T305:T309 W305:W309 K320:K321 N320:N321 Q320:Q321 T320:T321 W320:W321">
    <cfRule type="expression" dxfId="2034" priority="178">
      <formula>OR(K$304="Public Transport 1",K$304="Public Transport 2")</formula>
    </cfRule>
  </conditionalFormatting>
  <conditionalFormatting sqref="J158:J159 M158:M159 P158:P159 S158:S159 V158:V159">
    <cfRule type="expression" dxfId="2033" priority="191">
      <formula>AND(K$157&lt;&gt;"Rented",K$157&lt;&gt;"Contracted to 3PL",K$157&lt;&gt;"")</formula>
    </cfRule>
  </conditionalFormatting>
  <conditionalFormatting sqref="K158:K159 N158:N159 Q158:Q159 T158:T159 W158:W159">
    <cfRule type="expression" dxfId="2032" priority="176">
      <formula>AND(K$157&lt;&gt;"Rented",K$157&lt;&gt;"Contracted to 3PL",K$157&lt;&gt;"")</formula>
    </cfRule>
  </conditionalFormatting>
  <conditionalFormatting sqref="J178:J179 M178:M179 P178:P179 S178:S179 V178:V179">
    <cfRule type="expression" dxfId="2031" priority="189">
      <formula>AND(K$177&lt;&gt;"Rented",K$177&lt;&gt;"Contracted to 3PL",K$177&lt;&gt;"")</formula>
    </cfRule>
  </conditionalFormatting>
  <conditionalFormatting sqref="K178:K179 N178:N179 Q178:Q179 T178:T179 W178:W179">
    <cfRule type="expression" dxfId="2030" priority="174">
      <formula>AND(K$177&lt;&gt;"Rented",K$177&lt;&gt;"Contracted to 3PL",K$177&lt;&gt;"")</formula>
    </cfRule>
  </conditionalFormatting>
  <conditionalFormatting sqref="J202:J203 M202:M203 P202:P203 S202:S203 V202:V203">
    <cfRule type="expression" dxfId="2029" priority="187">
      <formula>AND(K$201&lt;&gt;"Rented",K$201&lt;&gt;"Contracted to 3PL",K$201&lt;&gt;"")</formula>
    </cfRule>
  </conditionalFormatting>
  <conditionalFormatting sqref="K202:K203 N202:N203 Q202:Q203 T202:T203 W202:W203">
    <cfRule type="expression" dxfId="2028" priority="172">
      <formula>AND(K$201&lt;&gt;"Rented",K$201&lt;&gt;"Contracted to 3PL",K$201&lt;&gt;"")</formula>
    </cfRule>
  </conditionalFormatting>
  <conditionalFormatting sqref="J222:J223 M222:M223 P222:P223 S222:S223 V222:V223">
    <cfRule type="expression" dxfId="2027" priority="185">
      <formula>AND(K$221&lt;&gt;"Rented",K$221&lt;&gt;"Contracted to 3PL",K$221&lt;&gt;"")</formula>
    </cfRule>
  </conditionalFormatting>
  <conditionalFormatting sqref="K222:K223 N222:N223 Q222:Q223 T222:T223 W222:W223">
    <cfRule type="expression" dxfId="2026" priority="170">
      <formula>AND(K$221&lt;&gt;"Rented",K$221&lt;&gt;"Contracted to 3PL",K$221&lt;&gt;"")</formula>
    </cfRule>
  </conditionalFormatting>
  <conditionalFormatting sqref="J242:J243 M242:M243 P242:P243 S242:S243 V242:V243">
    <cfRule type="expression" dxfId="2025" priority="183">
      <formula>AND(K$241&lt;&gt;"Rented",K$241&lt;&gt;"Contracted to 3PL",K$241&lt;&gt;"")</formula>
    </cfRule>
  </conditionalFormatting>
  <conditionalFormatting sqref="K242:K243 N242:N243 Q242:Q243 T242:T243 W242:W243">
    <cfRule type="expression" dxfId="2024" priority="168">
      <formula>AND(K$241&lt;&gt;"Rented",K$241&lt;&gt;"Contracted to 3PL",K$241&lt;&gt;"")</formula>
    </cfRule>
  </conditionalFormatting>
  <conditionalFormatting sqref="J266:J267 M266:M267 P266:P267 S266:S267 V266:V267">
    <cfRule type="expression" dxfId="2023" priority="181">
      <formula>AND(K$265&lt;&gt;"Rented",K$265&lt;&gt;"Contracted to 3PL",K$265&lt;&gt;"")</formula>
    </cfRule>
  </conditionalFormatting>
  <conditionalFormatting sqref="K266:K267 N266:N267 Q266:Q267 T266:T267 W266:W267">
    <cfRule type="expression" dxfId="2022" priority="166">
      <formula>AND(K$265&lt;&gt;"Rented",K$265&lt;&gt;"Contracted to 3PL",K$265&lt;&gt;"")</formula>
    </cfRule>
  </conditionalFormatting>
  <conditionalFormatting sqref="J286:J287 M286:M287 P286:P287 S286:S287 V286:V287">
    <cfRule type="expression" dxfId="2021" priority="179">
      <formula>AND(K$285&lt;&gt;"Rented",K$285&lt;&gt;"Contracted to 3PL",K$285&lt;&gt;"")</formula>
    </cfRule>
  </conditionalFormatting>
  <conditionalFormatting sqref="K286:K287 N286:N287 Q286:Q287 T286:T287 W286:W287">
    <cfRule type="expression" dxfId="2020" priority="164">
      <formula>AND(K$285&lt;&gt;"Rented",K$285&lt;&gt;"Contracted to 3PL",K$285&lt;&gt;"")</formula>
    </cfRule>
  </conditionalFormatting>
  <conditionalFormatting sqref="J306:J307 M306:M307 P306:P307 S306:S307 V306:V307">
    <cfRule type="expression" dxfId="2019" priority="177">
      <formula>AND(K$305&lt;&gt;"Rented",K$305&lt;&gt;"Contracted to 3PL",K$305&lt;&gt;"")</formula>
    </cfRule>
  </conditionalFormatting>
  <conditionalFormatting sqref="K306:K307 N306:N307 Q306:Q307 T306:T307 W306:W307">
    <cfRule type="expression" dxfId="2018" priority="162">
      <formula>AND(K$305&lt;&gt;"Rented",K$305&lt;&gt;"Contracted to 3PL",K$305&lt;&gt;"")</formula>
    </cfRule>
  </conditionalFormatting>
  <conditionalFormatting sqref="J164 M164 P164 S164 V164">
    <cfRule type="expression" dxfId="2017" priority="175">
      <formula>AND(K$163&lt;&gt;"Route-based", K$163&lt;&gt;"")</formula>
    </cfRule>
  </conditionalFormatting>
  <conditionalFormatting sqref="K164 N164 Q164 T164 W164">
    <cfRule type="expression" dxfId="2016" priority="160">
      <formula>AND(K$163&lt;&gt;"Route-based", K$163&lt;&gt;"")</formula>
    </cfRule>
  </conditionalFormatting>
  <conditionalFormatting sqref="J184 M184 P184 S184 V184">
    <cfRule type="expression" dxfId="2015" priority="173">
      <formula>AND(K$183&lt;&gt;"Route-based", K$183&lt;&gt;"")</formula>
    </cfRule>
  </conditionalFormatting>
  <conditionalFormatting sqref="K184 N184 Q184 T184 W184">
    <cfRule type="expression" dxfId="2014" priority="159">
      <formula>AND(K$183&lt;&gt;"Route-based", K$183&lt;&gt;"")</formula>
    </cfRule>
  </conditionalFormatting>
  <conditionalFormatting sqref="J209 M209 P209 S209 V209">
    <cfRule type="expression" dxfId="2013" priority="171">
      <formula>AND(K$208&lt;&gt;"Route-based", K$208&lt;&gt;"")</formula>
    </cfRule>
  </conditionalFormatting>
  <conditionalFormatting sqref="K209 N209 Q209 T209 W209">
    <cfRule type="expression" dxfId="2012" priority="157">
      <formula>AND(K$208&lt;&gt;"Route-based", K$208&lt;&gt;"")</formula>
    </cfRule>
  </conditionalFormatting>
  <conditionalFormatting sqref="J229 M229 P229 S229 V229">
    <cfRule type="expression" dxfId="2011" priority="169">
      <formula>AND(K$228&lt;&gt;"Route-based", K$228&lt;&gt;"")</formula>
    </cfRule>
  </conditionalFormatting>
  <conditionalFormatting sqref="K229 N229 Q229 T229 W229">
    <cfRule type="expression" dxfId="2010" priority="155">
      <formula>AND(K$228&lt;&gt;"Route-based", K$228&lt;&gt;"")</formula>
    </cfRule>
  </conditionalFormatting>
  <conditionalFormatting sqref="J249 M249 P249 S249 V249">
    <cfRule type="expression" dxfId="2009" priority="167">
      <formula>AND(K$248&lt;&gt;"Route-based", K$248&lt;&gt;"")</formula>
    </cfRule>
  </conditionalFormatting>
  <conditionalFormatting sqref="K249 N249 Q249 T249 W249">
    <cfRule type="expression" dxfId="2008" priority="153">
      <formula>AND(K$248&lt;&gt;"Route-based", K$248&lt;&gt;"")</formula>
    </cfRule>
  </conditionalFormatting>
  <conditionalFormatting sqref="J273 M273 P273 S273 V273">
    <cfRule type="expression" dxfId="2007" priority="165">
      <formula>AND(K$272&lt;&gt;"Route-based", K$272&lt;&gt;"")</formula>
    </cfRule>
  </conditionalFormatting>
  <conditionalFormatting sqref="K273 N273 Q273 T273 W273">
    <cfRule type="expression" dxfId="2006" priority="151">
      <formula>AND(K$272&lt;&gt;"Route-based", K$272&lt;&gt;"")</formula>
    </cfRule>
  </conditionalFormatting>
  <conditionalFormatting sqref="J293 M293 P293 S293 V293">
    <cfRule type="expression" dxfId="2005" priority="163">
      <formula>AND(K$292&lt;&gt;"Route-based", K$292&lt;&gt;"")</formula>
    </cfRule>
  </conditionalFormatting>
  <conditionalFormatting sqref="K293 N293 Q293 T293 W293">
    <cfRule type="expression" dxfId="2004" priority="150">
      <formula>AND(K$292&lt;&gt;"Route-based", K$292&lt;&gt;"")</formula>
    </cfRule>
  </conditionalFormatting>
  <conditionalFormatting sqref="J313 M313 P313 S313 V313">
    <cfRule type="expression" dxfId="2003" priority="161">
      <formula>AND(K$312&lt;&gt;"Route-based", K$312&lt;&gt;"")</formula>
    </cfRule>
  </conditionalFormatting>
  <conditionalFormatting sqref="K313 N313 Q313 T313 W313">
    <cfRule type="expression" dxfId="2002" priority="149">
      <formula>AND(K$312&lt;&gt;"Route-based", K$312&lt;&gt;"")</formula>
    </cfRule>
  </conditionalFormatting>
  <conditionalFormatting sqref="O141:Q141">
    <cfRule type="expression" dxfId="2001" priority="136">
      <formula>$H$7&lt;4</formula>
    </cfRule>
  </conditionalFormatting>
  <conditionalFormatting sqref="J141:K141">
    <cfRule type="expression" dxfId="2000" priority="135">
      <formula>$K$133&lt;1</formula>
    </cfRule>
  </conditionalFormatting>
  <conditionalFormatting sqref="P141:Q141">
    <cfRule type="expression" dxfId="1999" priority="137">
      <formula>$Q$133&lt;1</formula>
    </cfRule>
  </conditionalFormatting>
  <conditionalFormatting sqref="W141 T141 Q141 N141 K141">
    <cfRule type="expression" dxfId="1998" priority="145">
      <formula>AND(ISTEXT(K141),K141&lt;&gt;"")</formula>
    </cfRule>
  </conditionalFormatting>
  <conditionalFormatting sqref="S141:T141">
    <cfRule type="expression" dxfId="1997" priority="144">
      <formula>$T$133&lt;1</formula>
    </cfRule>
  </conditionalFormatting>
  <conditionalFormatting sqref="V141:W141">
    <cfRule type="expression" dxfId="1996" priority="143">
      <formula>$W$133&lt;1</formula>
    </cfRule>
  </conditionalFormatting>
  <conditionalFormatting sqref="E141:H141 B141">
    <cfRule type="expression" dxfId="1995" priority="142">
      <formula>MAX($H$133,$K$133,$N$133,$Q$133,$T$133,$W$133)&lt;1</formula>
    </cfRule>
  </conditionalFormatting>
  <conditionalFormatting sqref="L141:N141">
    <cfRule type="expression" dxfId="1994" priority="134">
      <formula>$H$7&lt;3</formula>
    </cfRule>
  </conditionalFormatting>
  <conditionalFormatting sqref="J141:K141">
    <cfRule type="expression" dxfId="1993" priority="133">
      <formula>$H$7&lt;2</formula>
    </cfRule>
  </conditionalFormatting>
  <conditionalFormatting sqref="R141:T141">
    <cfRule type="expression" dxfId="1992" priority="140">
      <formula>$H$7&lt;5</formula>
    </cfRule>
  </conditionalFormatting>
  <conditionalFormatting sqref="U141:W141">
    <cfRule type="expression" dxfId="1991" priority="138">
      <formula>$H$7&lt;6</formula>
    </cfRule>
  </conditionalFormatting>
  <conditionalFormatting sqref="C141">
    <cfRule type="expression" dxfId="1990" priority="139">
      <formula>MAX($H$133,$K$133,$N$133,$Q$133,$T$133,$W$133)&lt;1</formula>
    </cfRule>
  </conditionalFormatting>
  <conditionalFormatting sqref="M141:N141">
    <cfRule type="expression" dxfId="1989" priority="141">
      <formula>$N$133&lt;1</formula>
    </cfRule>
  </conditionalFormatting>
  <conditionalFormatting sqref="W141 T141 Q141 N141 K141">
    <cfRule type="expression" dxfId="1988" priority="146">
      <formula>K141&lt;0</formula>
    </cfRule>
  </conditionalFormatting>
  <conditionalFormatting sqref="O161:Q161">
    <cfRule type="expression" dxfId="1987" priority="123">
      <formula>$H$7&lt;4</formula>
    </cfRule>
  </conditionalFormatting>
  <conditionalFormatting sqref="J161:K161">
    <cfRule type="expression" dxfId="1986" priority="121">
      <formula>$K$133&lt;2</formula>
    </cfRule>
  </conditionalFormatting>
  <conditionalFormatting sqref="M161:N161">
    <cfRule type="expression" dxfId="1985" priority="124">
      <formula>$N$133&lt;2</formula>
    </cfRule>
  </conditionalFormatting>
  <conditionalFormatting sqref="P161:Q161">
    <cfRule type="expression" dxfId="1984" priority="130">
      <formula>$Q$133&lt;2</formula>
    </cfRule>
  </conditionalFormatting>
  <conditionalFormatting sqref="B161">
    <cfRule type="expression" dxfId="1983" priority="129">
      <formula>MAX($H$133,$K$133,$N$133,$Q$133,$T$133,$W$133)&lt;2</formula>
    </cfRule>
  </conditionalFormatting>
  <conditionalFormatting sqref="W161 T161 Q161 N161 K161">
    <cfRule type="expression" dxfId="1982" priority="131">
      <formula>AND(ISTEXT(K161),K161&lt;&gt;"")</formula>
    </cfRule>
  </conditionalFormatting>
  <conditionalFormatting sqref="S161:T161">
    <cfRule type="expression" dxfId="1981" priority="128">
      <formula>$T$133&lt;2</formula>
    </cfRule>
  </conditionalFormatting>
  <conditionalFormatting sqref="V161:W161">
    <cfRule type="expression" dxfId="1980" priority="127">
      <formula>$W$133&lt;2</formula>
    </cfRule>
  </conditionalFormatting>
  <conditionalFormatting sqref="L161:N161">
    <cfRule type="expression" dxfId="1979" priority="122">
      <formula>$H$7&lt;3</formula>
    </cfRule>
  </conditionalFormatting>
  <conditionalFormatting sqref="J161:K161">
    <cfRule type="expression" dxfId="1978" priority="120">
      <formula>$H$7&lt;2</formula>
    </cfRule>
  </conditionalFormatting>
  <conditionalFormatting sqref="R161:T161">
    <cfRule type="expression" dxfId="1977" priority="126">
      <formula>$H$7&lt;5</formula>
    </cfRule>
  </conditionalFormatting>
  <conditionalFormatting sqref="U161:W161">
    <cfRule type="expression" dxfId="1976" priority="125">
      <formula>$H$7&lt;6</formula>
    </cfRule>
  </conditionalFormatting>
  <conditionalFormatting sqref="W161 T161 Q161 N161 K161">
    <cfRule type="expression" dxfId="1975" priority="132">
      <formula>K161&lt;0</formula>
    </cfRule>
  </conditionalFormatting>
  <conditionalFormatting sqref="O181:Q181">
    <cfRule type="expression" dxfId="1974" priority="110">
      <formula>$H$7&lt;4</formula>
    </cfRule>
  </conditionalFormatting>
  <conditionalFormatting sqref="J181:K181">
    <cfRule type="expression" dxfId="1973" priority="108">
      <formula>$K$133&lt;3</formula>
    </cfRule>
  </conditionalFormatting>
  <conditionalFormatting sqref="M181:N181">
    <cfRule type="expression" dxfId="1972" priority="117">
      <formula>$N$133&lt;3</formula>
    </cfRule>
  </conditionalFormatting>
  <conditionalFormatting sqref="P181:Q181">
    <cfRule type="expression" dxfId="1971" priority="116">
      <formula>$Q$133&lt;3</formula>
    </cfRule>
  </conditionalFormatting>
  <conditionalFormatting sqref="B181">
    <cfRule type="expression" dxfId="1970" priority="115">
      <formula>MAX($H$133,$K$133,$N$133,$Q$133,$T$133,$W$133)&lt;3</formula>
    </cfRule>
  </conditionalFormatting>
  <conditionalFormatting sqref="W181 T181 Q181 N181 K181">
    <cfRule type="expression" dxfId="1969" priority="118">
      <formula>AND(ISTEXT(K181),K181&lt;&gt;"")</formula>
    </cfRule>
  </conditionalFormatting>
  <conditionalFormatting sqref="S181:T181">
    <cfRule type="expression" dxfId="1968" priority="114">
      <formula>$T$133&lt;3</formula>
    </cfRule>
  </conditionalFormatting>
  <conditionalFormatting sqref="V181:W181">
    <cfRule type="expression" dxfId="1967" priority="113">
      <formula>$W$133&lt;3</formula>
    </cfRule>
  </conditionalFormatting>
  <conditionalFormatting sqref="L181:N181">
    <cfRule type="expression" dxfId="1966" priority="109">
      <formula>$H$7&lt;3</formula>
    </cfRule>
  </conditionalFormatting>
  <conditionalFormatting sqref="J181:K181">
    <cfRule type="expression" dxfId="1965" priority="107">
      <formula>$H$7&lt;2</formula>
    </cfRule>
  </conditionalFormatting>
  <conditionalFormatting sqref="R181:T181">
    <cfRule type="expression" dxfId="1964" priority="112">
      <formula>$H$7&lt;5</formula>
    </cfRule>
  </conditionalFormatting>
  <conditionalFormatting sqref="U181:W181">
    <cfRule type="expression" dxfId="1963" priority="111">
      <formula>$H$7&lt;6</formula>
    </cfRule>
  </conditionalFormatting>
  <conditionalFormatting sqref="W181 T181 Q181 N181 K181">
    <cfRule type="expression" dxfId="1962" priority="119">
      <formula>K181&lt;0</formula>
    </cfRule>
  </conditionalFormatting>
  <conditionalFormatting sqref="O206:Q206">
    <cfRule type="expression" dxfId="1961" priority="97">
      <formula>$H$7&lt;4</formula>
    </cfRule>
  </conditionalFormatting>
  <conditionalFormatting sqref="J206:K206">
    <cfRule type="expression" dxfId="1960" priority="95">
      <formula>$K$197&lt;1</formula>
    </cfRule>
  </conditionalFormatting>
  <conditionalFormatting sqref="M206:N206">
    <cfRule type="expression" dxfId="1959" priority="104">
      <formula>$N$197&lt;1</formula>
    </cfRule>
  </conditionalFormatting>
  <conditionalFormatting sqref="P206:Q206">
    <cfRule type="expression" dxfId="1958" priority="103">
      <formula>$Q$197&lt;1</formula>
    </cfRule>
  </conditionalFormatting>
  <conditionalFormatting sqref="E206:H206 B206">
    <cfRule type="expression" dxfId="1957" priority="102">
      <formula>MAX($H$197,$K$197,$N$197,$Q$197,$T$197,$W$197)&lt;1</formula>
    </cfRule>
  </conditionalFormatting>
  <conditionalFormatting sqref="N206 Q206 T206 W206 K206">
    <cfRule type="expression" dxfId="1956" priority="105">
      <formula>AND(ISTEXT(K206),K206&lt;&gt;"")</formula>
    </cfRule>
  </conditionalFormatting>
  <conditionalFormatting sqref="S206:T206">
    <cfRule type="expression" dxfId="1955" priority="101">
      <formula>$T$197&lt;1</formula>
    </cfRule>
  </conditionalFormatting>
  <conditionalFormatting sqref="V206:W206">
    <cfRule type="expression" dxfId="1954" priority="100">
      <formula>$W$197&lt;1</formula>
    </cfRule>
  </conditionalFormatting>
  <conditionalFormatting sqref="L206:N206">
    <cfRule type="expression" dxfId="1953" priority="96">
      <formula>$H$7&lt;3</formula>
    </cfRule>
  </conditionalFormatting>
  <conditionalFormatting sqref="J206:K206">
    <cfRule type="expression" dxfId="1952" priority="94">
      <formula>$H$7&lt;2</formula>
    </cfRule>
  </conditionalFormatting>
  <conditionalFormatting sqref="R206:T206">
    <cfRule type="expression" dxfId="1951" priority="99">
      <formula>$H$7&lt;5</formula>
    </cfRule>
  </conditionalFormatting>
  <conditionalFormatting sqref="U206:W206">
    <cfRule type="expression" dxfId="1950" priority="98">
      <formula>$H$7&lt;6</formula>
    </cfRule>
  </conditionalFormatting>
  <conditionalFormatting sqref="K206 N206 Q206 T206 W206">
    <cfRule type="expression" dxfId="1949" priority="106">
      <formula>K206&lt;0</formula>
    </cfRule>
  </conditionalFormatting>
  <conditionalFormatting sqref="O226:Q226">
    <cfRule type="expression" dxfId="1948" priority="83">
      <formula>$H$7&lt;4</formula>
    </cfRule>
  </conditionalFormatting>
  <conditionalFormatting sqref="J226:K226">
    <cfRule type="expression" dxfId="1947" priority="81">
      <formula>$K$197&lt;2</formula>
    </cfRule>
  </conditionalFormatting>
  <conditionalFormatting sqref="M226:N226">
    <cfRule type="expression" dxfId="1946" priority="91">
      <formula>$N$197&lt;2</formula>
    </cfRule>
  </conditionalFormatting>
  <conditionalFormatting sqref="P226:Q226">
    <cfRule type="expression" dxfId="1945" priority="90">
      <formula>$Q$197&lt;2</formula>
    </cfRule>
  </conditionalFormatting>
  <conditionalFormatting sqref="B226:H226">
    <cfRule type="expression" dxfId="1944" priority="89">
      <formula>MAX($H$197,$K$197,$N$197,$Q$197,$T$197,$W$197)&lt;2</formula>
    </cfRule>
  </conditionalFormatting>
  <conditionalFormatting sqref="K226 N226 Q226 T226 W226">
    <cfRule type="expression" dxfId="1943" priority="92">
      <formula>AND(ISTEXT(K226),K226&lt;&gt;"")</formula>
    </cfRule>
  </conditionalFormatting>
  <conditionalFormatting sqref="S226:T226">
    <cfRule type="expression" dxfId="1942" priority="88">
      <formula>$T$197&lt;2</formula>
    </cfRule>
  </conditionalFormatting>
  <conditionalFormatting sqref="V226:W226">
    <cfRule type="expression" dxfId="1941" priority="87">
      <formula>$W$197&lt;2</formula>
    </cfRule>
  </conditionalFormatting>
  <conditionalFormatting sqref="L226:N226">
    <cfRule type="expression" dxfId="1940" priority="82">
      <formula>$H$7&lt;3</formula>
    </cfRule>
  </conditionalFormatting>
  <conditionalFormatting sqref="J226:K226">
    <cfRule type="expression" dxfId="1939" priority="80">
      <formula>$H$7&lt;2</formula>
    </cfRule>
  </conditionalFormatting>
  <conditionalFormatting sqref="R226:T226">
    <cfRule type="expression" dxfId="1938" priority="86">
      <formula>$H$7&lt;5</formula>
    </cfRule>
  </conditionalFormatting>
  <conditionalFormatting sqref="U226:W226">
    <cfRule type="expression" dxfId="1937" priority="84">
      <formula>$H$7&lt;6</formula>
    </cfRule>
  </conditionalFormatting>
  <conditionalFormatting sqref="C226">
    <cfRule type="expression" dxfId="1936" priority="85">
      <formula>MAX($H$197,$K$197,$N$197,$Q$197,$T$197,$W$197)&lt;1</formula>
    </cfRule>
  </conditionalFormatting>
  <conditionalFormatting sqref="K226 N226 Q226 T226 W226">
    <cfRule type="expression" dxfId="1935" priority="93">
      <formula>K226&lt;0</formula>
    </cfRule>
  </conditionalFormatting>
  <conditionalFormatting sqref="O246:Q246">
    <cfRule type="expression" dxfId="1934" priority="69">
      <formula>$H$7&lt;4</formula>
    </cfRule>
  </conditionalFormatting>
  <conditionalFormatting sqref="J246:K246">
    <cfRule type="expression" dxfId="1933" priority="67">
      <formula>$K$197&lt;3</formula>
    </cfRule>
  </conditionalFormatting>
  <conditionalFormatting sqref="M246:N246">
    <cfRule type="expression" dxfId="1932" priority="77">
      <formula>$N$197&lt;3</formula>
    </cfRule>
  </conditionalFormatting>
  <conditionalFormatting sqref="P246:Q246">
    <cfRule type="expression" dxfId="1931" priority="76">
      <formula>$Q$197&lt;3</formula>
    </cfRule>
  </conditionalFormatting>
  <conditionalFormatting sqref="B246:H246">
    <cfRule type="expression" dxfId="1930" priority="75">
      <formula>MAX($H$197,$K$197,$N$197,$Q$197,$T$197,$W$197)&lt;3</formula>
    </cfRule>
  </conditionalFormatting>
  <conditionalFormatting sqref="K246 N246 Q246 T246 W246">
    <cfRule type="expression" dxfId="1929" priority="78">
      <formula>AND(ISTEXT(K246),K246&lt;&gt;"")</formula>
    </cfRule>
  </conditionalFormatting>
  <conditionalFormatting sqref="S246:T246">
    <cfRule type="expression" dxfId="1928" priority="74">
      <formula>$T$197&lt;3</formula>
    </cfRule>
  </conditionalFormatting>
  <conditionalFormatting sqref="V246:W246">
    <cfRule type="expression" dxfId="1927" priority="73">
      <formula>$W$197&lt;3</formula>
    </cfRule>
  </conditionalFormatting>
  <conditionalFormatting sqref="L246:N246">
    <cfRule type="expression" dxfId="1926" priority="68">
      <formula>$H$7&lt;3</formula>
    </cfRule>
  </conditionalFormatting>
  <conditionalFormatting sqref="J246:K246">
    <cfRule type="expression" dxfId="1925" priority="66">
      <formula>$H$7&lt;2</formula>
    </cfRule>
  </conditionalFormatting>
  <conditionalFormatting sqref="R246:T246">
    <cfRule type="expression" dxfId="1924" priority="72">
      <formula>$H$7&lt;5</formula>
    </cfRule>
  </conditionalFormatting>
  <conditionalFormatting sqref="U246:W246">
    <cfRule type="expression" dxfId="1923" priority="70">
      <formula>$H$7&lt;6</formula>
    </cfRule>
  </conditionalFormatting>
  <conditionalFormatting sqref="C246">
    <cfRule type="expression" dxfId="1922" priority="71">
      <formula>MAX($H$197,$K$197,$N$197,$Q$197,$T$197,$W$197)&lt;1</formula>
    </cfRule>
  </conditionalFormatting>
  <conditionalFormatting sqref="K246 N246 Q246 T246 W246">
    <cfRule type="expression" dxfId="1921" priority="79">
      <formula>K246&lt;0</formula>
    </cfRule>
  </conditionalFormatting>
  <conditionalFormatting sqref="O270:Q270">
    <cfRule type="expression" dxfId="1920" priority="60">
      <formula>$H$7&lt;4</formula>
    </cfRule>
  </conditionalFormatting>
  <conditionalFormatting sqref="K270 N270 Q270 T270 W270">
    <cfRule type="expression" dxfId="1919" priority="64">
      <formula>AND(ISTEXT(K270),K270&lt;&gt;"")</formula>
    </cfRule>
  </conditionalFormatting>
  <conditionalFormatting sqref="L270:N270">
    <cfRule type="expression" dxfId="1918" priority="59">
      <formula>$H$7&lt;3</formula>
    </cfRule>
  </conditionalFormatting>
  <conditionalFormatting sqref="J270:K270">
    <cfRule type="expression" dxfId="1917" priority="58">
      <formula>$H$7&lt;2</formula>
    </cfRule>
  </conditionalFormatting>
  <conditionalFormatting sqref="R270:T270">
    <cfRule type="expression" dxfId="1916" priority="63">
      <formula>$H$7&lt;5</formula>
    </cfRule>
  </conditionalFormatting>
  <conditionalFormatting sqref="U270:W270">
    <cfRule type="expression" dxfId="1915" priority="61">
      <formula>$H$7&lt;6</formula>
    </cfRule>
  </conditionalFormatting>
  <conditionalFormatting sqref="C270">
    <cfRule type="expression" dxfId="1914" priority="62">
      <formula>MAX($H$197,$K$197,$N$197,$Q$197,$T$197,$W$197)&lt;1</formula>
    </cfRule>
  </conditionalFormatting>
  <conditionalFormatting sqref="K270 N270 Q270 T270 W270">
    <cfRule type="expression" dxfId="1913" priority="65">
      <formula>K270&lt;0</formula>
    </cfRule>
  </conditionalFormatting>
  <conditionalFormatting sqref="O290:Q290">
    <cfRule type="expression" dxfId="1912" priority="52">
      <formula>$H$7&lt;4</formula>
    </cfRule>
  </conditionalFormatting>
  <conditionalFormatting sqref="K290 N290 Q290 T290 W290">
    <cfRule type="expression" dxfId="1911" priority="56">
      <formula>AND(ISTEXT(K290),K290&lt;&gt;"")</formula>
    </cfRule>
  </conditionalFormatting>
  <conditionalFormatting sqref="L290:N290">
    <cfRule type="expression" dxfId="1910" priority="51">
      <formula>$H$7&lt;3</formula>
    </cfRule>
  </conditionalFormatting>
  <conditionalFormatting sqref="J290:K290">
    <cfRule type="expression" dxfId="1909" priority="50">
      <formula>$H$7&lt;2</formula>
    </cfRule>
  </conditionalFormatting>
  <conditionalFormatting sqref="R290:T290">
    <cfRule type="expression" dxfId="1908" priority="55">
      <formula>$H$7&lt;5</formula>
    </cfRule>
  </conditionalFormatting>
  <conditionalFormatting sqref="U290:W290">
    <cfRule type="expression" dxfId="1907" priority="53">
      <formula>$H$7&lt;6</formula>
    </cfRule>
  </conditionalFormatting>
  <conditionalFormatting sqref="C290">
    <cfRule type="expression" dxfId="1906" priority="54">
      <formula>MAX($H$197,$K$197,$N$197,$Q$197,$T$197,$W$197)&lt;1</formula>
    </cfRule>
  </conditionalFormatting>
  <conditionalFormatting sqref="K290 N290 Q290 T290 W290">
    <cfRule type="expression" dxfId="1905" priority="57">
      <formula>K290&lt;0</formula>
    </cfRule>
  </conditionalFormatting>
  <conditionalFormatting sqref="O310:Q310">
    <cfRule type="expression" dxfId="1904" priority="44">
      <formula>$H$7&lt;4</formula>
    </cfRule>
  </conditionalFormatting>
  <conditionalFormatting sqref="K310 N310 Q310 T310 W310">
    <cfRule type="expression" dxfId="1903" priority="48">
      <formula>AND(ISTEXT(K310),K310&lt;&gt;"")</formula>
    </cfRule>
  </conditionalFormatting>
  <conditionalFormatting sqref="L310:N310">
    <cfRule type="expression" dxfId="1902" priority="43">
      <formula>$H$7&lt;3</formula>
    </cfRule>
  </conditionalFormatting>
  <conditionalFormatting sqref="J310:K310">
    <cfRule type="expression" dxfId="1901" priority="42">
      <formula>$H$7&lt;2</formula>
    </cfRule>
  </conditionalFormatting>
  <conditionalFormatting sqref="R310:T310">
    <cfRule type="expression" dxfId="1900" priority="47">
      <formula>$H$7&lt;5</formula>
    </cfRule>
  </conditionalFormatting>
  <conditionalFormatting sqref="U310:W310">
    <cfRule type="expression" dxfId="1899" priority="45">
      <formula>$H$7&lt;6</formula>
    </cfRule>
  </conditionalFormatting>
  <conditionalFormatting sqref="C310">
    <cfRule type="expression" dxfId="1898" priority="46">
      <formula>MAX($H$197,$K$197,$N$197,$Q$197,$T$197,$W$197)&lt;1</formula>
    </cfRule>
  </conditionalFormatting>
  <conditionalFormatting sqref="K310 N310 Q310 T310 W310">
    <cfRule type="expression" dxfId="1897" priority="49">
      <formula>K310&lt;0</formula>
    </cfRule>
  </conditionalFormatting>
  <conditionalFormatting sqref="J263:K281">
    <cfRule type="expression" dxfId="1896" priority="365">
      <formula>$K$260&lt;1</formula>
    </cfRule>
  </conditionalFormatting>
  <conditionalFormatting sqref="M263:N281">
    <cfRule type="expression" dxfId="1895" priority="367">
      <formula>$N$260&lt;1</formula>
    </cfRule>
  </conditionalFormatting>
  <conditionalFormatting sqref="J283:K301">
    <cfRule type="expression" dxfId="1894" priority="377">
      <formula>$K$260&lt;2</formula>
    </cfRule>
  </conditionalFormatting>
  <conditionalFormatting sqref="M283:N301">
    <cfRule type="expression" dxfId="1893" priority="378">
      <formula>$N$260&lt;2</formula>
    </cfRule>
  </conditionalFormatting>
  <conditionalFormatting sqref="P263:Q281">
    <cfRule type="expression" dxfId="1892" priority="368">
      <formula>$Q$260&lt;1</formula>
    </cfRule>
  </conditionalFormatting>
  <conditionalFormatting sqref="P283:Q301">
    <cfRule type="expression" dxfId="1891" priority="380">
      <formula>$Q$260&lt;2</formula>
    </cfRule>
  </conditionalFormatting>
  <conditionalFormatting sqref="J303:K321">
    <cfRule type="expression" dxfId="1890" priority="381">
      <formula>$K$260&lt;3</formula>
    </cfRule>
  </conditionalFormatting>
  <conditionalFormatting sqref="M303:N321">
    <cfRule type="expression" dxfId="1889" priority="382">
      <formula>$N$260&lt;3</formula>
    </cfRule>
  </conditionalFormatting>
  <conditionalFormatting sqref="P303:Q321">
    <cfRule type="expression" dxfId="1888" priority="383">
      <formula>$Q$260&lt;3</formula>
    </cfRule>
  </conditionalFormatting>
  <conditionalFormatting sqref="B263:H281">
    <cfRule type="expression" dxfId="1887" priority="384">
      <formula>MAX($H$260,$K$260,$N$260,$Q$260,$T$260,$W$260)&lt;1</formula>
    </cfRule>
  </conditionalFormatting>
  <conditionalFormatting sqref="B283:H301">
    <cfRule type="expression" dxfId="1886" priority="385">
      <formula>MAX($H$260,$K$260,$N$260,$Q$260,$T$260,$W$260)&lt;2</formula>
    </cfRule>
  </conditionalFormatting>
  <conditionalFormatting sqref="B303:H321">
    <cfRule type="expression" dxfId="1885" priority="386">
      <formula>MAX($H$260,$K$260,$N$260,$Q$260,$T$260,$W$260)&lt;3</formula>
    </cfRule>
  </conditionalFormatting>
  <conditionalFormatting sqref="S263:T281">
    <cfRule type="expression" dxfId="1884" priority="375">
      <formula>$T$260&lt;1</formula>
    </cfRule>
  </conditionalFormatting>
  <conditionalFormatting sqref="S283:T301">
    <cfRule type="expression" dxfId="1883" priority="388">
      <formula>$T$260&lt;2</formula>
    </cfRule>
  </conditionalFormatting>
  <conditionalFormatting sqref="S303:T321">
    <cfRule type="expression" dxfId="1882" priority="389">
      <formula>$T$260&lt;3</formula>
    </cfRule>
  </conditionalFormatting>
  <conditionalFormatting sqref="V263:W281">
    <cfRule type="expression" dxfId="1881" priority="376">
      <formula>$W$260&lt;1</formula>
    </cfRule>
  </conditionalFormatting>
  <conditionalFormatting sqref="V283:W301">
    <cfRule type="expression" dxfId="1880" priority="379">
      <formula>$W$260&lt;2</formula>
    </cfRule>
  </conditionalFormatting>
  <conditionalFormatting sqref="V303:W321">
    <cfRule type="expression" dxfId="1879" priority="387">
      <formula>$W$260&lt;3</formula>
    </cfRule>
  </conditionalFormatting>
  <conditionalFormatting sqref="J261:K261">
    <cfRule type="expression" dxfId="1878" priority="39">
      <formula>$H$7&lt;2</formula>
    </cfRule>
  </conditionalFormatting>
  <conditionalFormatting sqref="K261">
    <cfRule type="expression" dxfId="1877" priority="40">
      <formula>AND(K261=0,J261="")</formula>
    </cfRule>
  </conditionalFormatting>
  <conditionalFormatting sqref="K261">
    <cfRule type="expression" dxfId="1876" priority="41">
      <formula>K261=""</formula>
    </cfRule>
  </conditionalFormatting>
  <conditionalFormatting sqref="M261:N261">
    <cfRule type="expression" dxfId="1875" priority="36">
      <formula>$H$7&lt;3</formula>
    </cfRule>
  </conditionalFormatting>
  <conditionalFormatting sqref="N261">
    <cfRule type="expression" dxfId="1874" priority="37">
      <formula>AND(N261=0,M261="")</formula>
    </cfRule>
  </conditionalFormatting>
  <conditionalFormatting sqref="N261">
    <cfRule type="expression" dxfId="1873" priority="38">
      <formula>N261=""</formula>
    </cfRule>
  </conditionalFormatting>
  <conditionalFormatting sqref="P261:Q261">
    <cfRule type="expression" dxfId="1872" priority="33">
      <formula>$H$7&lt;4</formula>
    </cfRule>
  </conditionalFormatting>
  <conditionalFormatting sqref="Q261">
    <cfRule type="expression" dxfId="1871" priority="34">
      <formula>AND(Q261=0,P261="")</formula>
    </cfRule>
  </conditionalFormatting>
  <conditionalFormatting sqref="Q261">
    <cfRule type="expression" dxfId="1870" priority="35">
      <formula>Q261=""</formula>
    </cfRule>
  </conditionalFormatting>
  <conditionalFormatting sqref="S261:T261">
    <cfRule type="expression" dxfId="1869" priority="31">
      <formula>$H$7&lt;5</formula>
    </cfRule>
  </conditionalFormatting>
  <conditionalFormatting sqref="T261">
    <cfRule type="expression" dxfId="1868" priority="30">
      <formula>AND(T261=0,S261="")</formula>
    </cfRule>
  </conditionalFormatting>
  <conditionalFormatting sqref="T261">
    <cfRule type="expression" dxfId="1867" priority="32">
      <formula>T261=""</formula>
    </cfRule>
  </conditionalFormatting>
  <conditionalFormatting sqref="V261:W261">
    <cfRule type="expression" dxfId="1866" priority="28">
      <formula>$H$7&lt;6</formula>
    </cfRule>
  </conditionalFormatting>
  <conditionalFormatting sqref="W261">
    <cfRule type="expression" dxfId="1865" priority="27">
      <formula>AND(W261=0,V261="")</formula>
    </cfRule>
  </conditionalFormatting>
  <conditionalFormatting sqref="W261">
    <cfRule type="expression" dxfId="1864" priority="29">
      <formula>W261=""</formula>
    </cfRule>
  </conditionalFormatting>
  <conditionalFormatting sqref="K15:S22">
    <cfRule type="expression" dxfId="1863" priority="26">
      <formula>$G$16&lt;&gt;"Yes"</formula>
    </cfRule>
  </conditionalFormatting>
  <conditionalFormatting sqref="J16">
    <cfRule type="expression" dxfId="1862" priority="25">
      <formula>$G$16&lt;&gt;"Yes"</formula>
    </cfRule>
  </conditionalFormatting>
  <conditionalFormatting sqref="C155:D160 C162:D173">
    <cfRule type="expression" dxfId="1861" priority="24">
      <formula>MAX($H$133,$K$133,$N$133,$Q$133,$T$133,$W$133)&lt;2</formula>
    </cfRule>
  </conditionalFormatting>
  <conditionalFormatting sqref="C161:D161">
    <cfRule type="expression" dxfId="1860" priority="23">
      <formula>MAX($H$133,$K$133,$N$133,$Q$133,$T$133,$W$133)&lt;2</formula>
    </cfRule>
  </conditionalFormatting>
  <conditionalFormatting sqref="C175:D180 C182:D193">
    <cfRule type="expression" dxfId="1859" priority="22">
      <formula>MAX($H$133,$K$133,$N$133,$Q$133,$T$133,$W$133)&lt;3</formula>
    </cfRule>
  </conditionalFormatting>
  <conditionalFormatting sqref="C181:D181">
    <cfRule type="expression" dxfId="1858" priority="21">
      <formula>MAX($H$133,$K$133,$N$133,$Q$133,$T$133,$W$133)&lt;3</formula>
    </cfRule>
  </conditionalFormatting>
  <conditionalFormatting sqref="C199:C200">
    <cfRule type="expression" dxfId="1857" priority="20">
      <formula>MAX($H$197,$K$197,$N$197,$Q$197,$T$197,$W$197)&lt;1</formula>
    </cfRule>
  </conditionalFormatting>
  <conditionalFormatting sqref="C201">
    <cfRule type="expression" dxfId="1856" priority="19">
      <formula>MAX($H$197,$K$197,$N$197,$Q$197,$T$197,$W$197)&lt;1</formula>
    </cfRule>
  </conditionalFormatting>
  <conditionalFormatting sqref="C202">
    <cfRule type="expression" dxfId="1855" priority="18">
      <formula>MAX($H$197,$K$197,$N$197,$Q$197,$T$197,$W$197)&lt;1</formula>
    </cfRule>
  </conditionalFormatting>
  <conditionalFormatting sqref="C203">
    <cfRule type="expression" dxfId="1854" priority="17">
      <formula>MAX($H$197,$K$197,$N$197,$Q$197,$T$197,$W$197)&lt;1</formula>
    </cfRule>
  </conditionalFormatting>
  <conditionalFormatting sqref="C204">
    <cfRule type="expression" dxfId="1853" priority="16">
      <formula>MAX($H$197,$K$197,$N$197,$Q$197,$T$197,$W$197)&lt;1</formula>
    </cfRule>
  </conditionalFormatting>
  <conditionalFormatting sqref="C205">
    <cfRule type="expression" dxfId="1852" priority="15">
      <formula>MAX($H$197,$K$197,$N$197,$Q$197,$T$197,$W$197)&lt;1</formula>
    </cfRule>
  </conditionalFormatting>
  <conditionalFormatting sqref="C207">
    <cfRule type="expression" dxfId="1851" priority="14">
      <formula>MAX($H$197,$K$197,$N$197,$Q$197,$T$197,$W$197)&lt;1</formula>
    </cfRule>
  </conditionalFormatting>
  <conditionalFormatting sqref="C208">
    <cfRule type="expression" dxfId="1850" priority="13">
      <formula>MAX($H$197,$K$197,$N$197,$Q$197,$T$197,$W$197)&lt;1</formula>
    </cfRule>
  </conditionalFormatting>
  <conditionalFormatting sqref="C209">
    <cfRule type="expression" dxfId="1849" priority="12">
      <formula>MAX($H$197,$K$197,$N$197,$Q$197,$T$197,$W$197)&lt;1</formula>
    </cfRule>
  </conditionalFormatting>
  <conditionalFormatting sqref="C210">
    <cfRule type="expression" dxfId="1848" priority="11">
      <formula>MAX($H$197,$K$197,$N$197,$Q$197,$T$197,$W$197)&lt;1</formula>
    </cfRule>
  </conditionalFormatting>
  <conditionalFormatting sqref="C211">
    <cfRule type="expression" dxfId="1847" priority="10">
      <formula>MAX($H$197,$K$197,$N$197,$Q$197,$T$197,$W$197)&lt;1</formula>
    </cfRule>
  </conditionalFormatting>
  <conditionalFormatting sqref="C212">
    <cfRule type="expression" dxfId="1846" priority="9">
      <formula>MAX($H$197,$K$197,$N$197,$Q$197,$T$197,$W$197)&lt;1</formula>
    </cfRule>
  </conditionalFormatting>
  <conditionalFormatting sqref="C213">
    <cfRule type="expression" dxfId="1845" priority="8">
      <formula>MAX($H$197,$K$197,$N$197,$Q$197,$T$197,$W$197)&lt;1</formula>
    </cfRule>
  </conditionalFormatting>
  <conditionalFormatting sqref="C214">
    <cfRule type="expression" dxfId="1844" priority="7">
      <formula>MAX($H$197,$K$197,$N$197,$Q$197,$T$197,$W$197)&lt;1</formula>
    </cfRule>
  </conditionalFormatting>
  <conditionalFormatting sqref="C215">
    <cfRule type="expression" dxfId="1843" priority="6">
      <formula>MAX($H$197,$K$197,$N$197,$Q$197,$T$197,$W$197)&lt;1</formula>
    </cfRule>
  </conditionalFormatting>
  <conditionalFormatting sqref="C216">
    <cfRule type="expression" dxfId="1842" priority="5">
      <formula>MAX($H$197,$K$197,$N$197,$Q$197,$T$197,$W$197)&lt;1</formula>
    </cfRule>
  </conditionalFormatting>
  <conditionalFormatting sqref="C217">
    <cfRule type="expression" dxfId="1841" priority="4">
      <formula>MAX($H$197,$K$197,$N$197,$Q$197,$T$197,$W$197)&lt;1</formula>
    </cfRule>
  </conditionalFormatting>
  <conditionalFormatting sqref="C206">
    <cfRule type="expression" dxfId="1840" priority="3">
      <formula>MAX($H$197,$K$197,$N$197,$Q$197,$T$197,$W$197)&lt;1</formula>
    </cfRule>
  </conditionalFormatting>
  <conditionalFormatting sqref="G122 J122 M122 P122 S122 V122">
    <cfRule type="expression" dxfId="1839" priority="316">
      <formula>H$121&lt;&gt;"Cost per facility"</formula>
    </cfRule>
  </conditionalFormatting>
  <conditionalFormatting sqref="G123 J123 M123 P123 S123 V123">
    <cfRule type="expression" dxfId="1838" priority="211">
      <formula>H$121&lt;&gt;"Cost as % commodity value"</formula>
    </cfRule>
  </conditionalFormatting>
  <dataValidations count="17">
    <dataValidation type="list" allowBlank="1" showInputMessage="1" showErrorMessage="1" sqref="G193 V173:V174 J173:J174 M173:M174 P173:P174 S173:S174 G153:G154 V153:V154 S153:S154 P153:P154 M153:M154 J153:J154 J193 G173:G174 S193 P193 M193 V193 G16" xr:uid="{BA2E1B5F-01F4-4606-A801-C3349DE54F65}">
      <formula1>"Yes,No"</formula1>
    </dataValidation>
    <dataValidation type="list" allowBlank="1" showInputMessage="1" showErrorMessage="1" sqref="M248 G312 J312 J208 V272 V228 V143 G228 M272 J292 P163 M228 M183 G248 J183 J248 J272 G272 V183 M163 M208 V292 G292 M292 V208 J163 M312 V248 J228 G208 J143 M143 P143 S143 P183 S163 S183 V163 P208 S208 P228 S228 P248 S248 P272 S272 P292 S292 P312 S312 V312" xr:uid="{502978ED-690F-4149-AAFA-DCDD9DC479D7}">
      <formula1>"Route-based,Point-to-point"</formula1>
    </dataValidation>
    <dataValidation type="list" allowBlank="1" showInputMessage="1" showErrorMessage="1" sqref="J309 M205 V289 V205 G309 P205 M225 V225 G289 P225 M245 V245 V309 P245 M269 V269 J289 P269 P289 S205 P309 S225 J205 S245 J225 S269 J245 S289 J269 S309 M289 M309" xr:uid="{8E9F2631-14FA-4725-9116-577414C2ADCE}">
      <formula1>"Yes, No"</formula1>
    </dataValidation>
    <dataValidation type="list" allowBlank="1" showInputMessage="1" showErrorMessage="1" sqref="G316 G274 G276 G212 G232 G210 G294 G230 G147 G167 G296 G250 G314 G252 G187" xr:uid="{3F888430-F050-4CF6-81A9-C33A1AF1EC25}">
      <formula1>$B$28:$B$38</formula1>
    </dataValidation>
    <dataValidation type="list" allowBlank="1" showInputMessage="1" showErrorMessage="1" sqref="G121 J121 M121 P121 S121 V121" xr:uid="{9BF9E339-4386-4C31-8432-A0DAF34335B8}">
      <formula1>"Cost per facility, Cost as % commodity value"</formula1>
    </dataValidation>
    <dataValidation type="decimal" allowBlank="1" showInputMessage="1" showErrorMessage="1" sqref="G93 J93 M93 P93 S93 V93" xr:uid="{8A9A2594-AD6D-41F3-9DE1-E60D6A12C61B}">
      <formula1>0.0001</formula1>
      <formula2>2</formula2>
    </dataValidation>
    <dataValidation type="decimal" operator="greaterThan" allowBlank="1" showInputMessage="1" showErrorMessage="1" sqref="G68 G77:G78 G6 V308 G71:G72 V92 G216 G9:G11 P171:P172 G236:G238 P262 V256:V257 V280:V281 S92 S114 P114 V114 G92 P151:P152 M180 P180 P160 J160 V191:V192 V184 M209 V209 J229 M229 G203:G204 V236:V237 J256:J257 M256:M257 G223:G224 V249 J273 M273 V273 J293 M293 V300:V301 J320:J321 M320:M321 P92 S140 V140 J140 J92 S151:S152 J184 M184 G307:G308 S160 M164 P164 G209 J216:J218 M216:M218 P216:P218 G229 J236:J238 M236:M238 P236:P238 G249 V229 J249 M249 G273 V244 M280:M282 P280:P282 G293 V268 M300:M302 P300:P302 G313 V293 J313 M313 P144 S144 G151:G152 V144 M92 V151:V152 J191:J192 M191:M192 G171:G172 J164 M171:M172 G191:G192 J209 M204 J171:J172 V204 J224 M224 J204 G256:G257 V224 J244 M244 J268 M268 G280:G282 G262 J288 M288 G300:G302 G267:G268 G320:G321 V288 J308 M308 J180 G21 G19 G44:G45 G47:G48 G53:G54 G287:G288 V108 S108 P108 G243:G244 J262 M262 M108 G108 J108 G114 J114 M114 M140 V313 J144 M144 J151:J152 M151:M152 P191:P192 S180 P184 V160 S171:S172 S164 V180 S191:S192 S184 P140 V164 V171:V172 M160 P209 P204 S216:S217 S209 S204 V216:V217 P229 P224 S236:S237 S229 S224 P256:P257 P249 P244 S256:S257 S249 S244 J280:J282 P273 P268 S280:S281 S273 S268 J300:J302 P293 P288 S300:S301 S293 S288 P320:P321 P313 P308 S320:S321 S313 S308 V320:V321 G59:G62 G65:G66" xr:uid="{3C1B7B0B-AAE1-4658-AE63-59E9AB8C86AC}">
      <formula1>0</formula1>
    </dataValidation>
    <dataValidation type="decimal" allowBlank="1" showInputMessage="1" showErrorMessage="1" sqref="G94 J94 M94 P94 S94 V94" xr:uid="{341E2F6F-77E1-4424-853E-2AF381ABC58C}">
      <formula1>0</formula1>
      <formula2>99.9999</formula2>
    </dataValidation>
    <dataValidation type="whole" operator="greaterThan" allowBlank="1" showInputMessage="1" showErrorMessage="1" sqref="G95:G96 J95:J96 M95:M96 P95:P96 S95:S96 V95:V96" xr:uid="{FAA15674-2506-4D2F-8E03-583DD35FFA9F}">
      <formula1>0</formula1>
    </dataValidation>
    <dataValidation type="whole" allowBlank="1" showInputMessage="1" showErrorMessage="1" sqref="J133:J134 M133:M134 P133:P134 S133 V133 J197 M197 P197 S197 V197 J260 M260 P260 S260 V260" xr:uid="{109BC8FE-2B71-47D3-9D06-E76DB89AD9A0}">
      <formula1>0</formula1>
      <formula2>3</formula2>
    </dataValidation>
    <dataValidation type="decimal" allowBlank="1" showInputMessage="1" showErrorMessage="1" sqref="M310:M311 V135 J310:J311 S135 P135 G303 J175 M175 S141:S142 J181:J182 V141:V142 M181:M182 M155 P155 J155 M161:M162 J161:J162 P161:P162 V175 M206:M207 V181:V182 J206:J207 G199 J199 G246:G247 G206:G207 J226:J227 M226:M227 V206:V207 J219 G219 V199 M199 G226:G227 J246:J247 M246:M247 V226:V227 J239 G239 V219 M219 M239 J270:J271 M270:M271 V246:V247 J263 G263 V239 G270:G271 M263 J290:J291 J283 V270:V271 V263 G283 G290:G291 M290:M291 M283 V290:V291 G310:G311 J303 V283 M303 J135 M135 J141:J142 M141:M142 P141:P142 P175 P181:P182 S155 S161:S162 S175 S181:S182 V155 V161:V162 P206:P207 P199 S206:S207 S199 P226:P227 P219 S226:S227 S219 P246:P247 P239 S246:S247 S239 P270:P271 P263 S270:S271 S263 P290:P291 P283 S290:S291 S283 P310:P311 P303 S310:S311 S303 V310:V311 V303" xr:uid="{0AD7FD71-0D27-458C-9A4C-C33F91F7CD97}">
      <formula1>0</formula1>
      <formula2>1</formula2>
    </dataValidation>
    <dataValidation type="decimal" operator="greaterThanOrEqual" allowBlank="1" showInputMessage="1" showErrorMessage="1" sqref="G146 P139 S139 V139 G148:G150 P146 S146 V146 G46 S148:S150 J186 M186 G49:G52 V148:V150 J188:J190 M188:M190 G166 J166 M166 P166 G168:G170 J168:J170 M168:M170 P168:P170 G211 V188:V190 J211 M203 G213:G215 J203 J213:J215 M213:M215 G231 V203 J223 M223 G233:G235 V213:V215 J233:J235 M233:M235 G251 V223 J243 M243 G253:G255 V233:V235 J253:J255 M253:M255 G275 V243 J277:J279 M277:M279 G277:G279 V253:V255 J275 M275 G295 V277:V279 J297:J299 M297:M299 G297:G299 V275 J295 M295 G315 V297:V299 J317:J319 M317:M319 G317:G319 V295 J315 M315 G73:G76 S104 J122:J123 M122:M123 P122:P123 G28:G38 J28:J38 G12 G43 G55:G58 G122:G123 V98:V99 S122:S123 V122:V123 G8 G186 G188:G190 G67 G69:G70 G98:G99 J98:J99 M98:M99 P98:P99 S98:S99 G63:G64 G104 J104 M104 P104 G106:G107 J106:J107 M106:M107 P106:P107 S106:S107 V106:V107 G109:G113 J109:J113 M109:M113 P109:P113 S109:S113 V109:V113 G115:G116 J115:J116 M115:M116 P115:P116 S115:S116 V115:V116 J139 M139 J146 M146 J148:J150 M148:M150 P148:P150 J159 J179 M159 M179 P159 P179 P186 P188:P190 S159 S166 S168:S170 S179 S186 S188:S190 V159 V166 V168:V170 V179 V186 M211 P211 P203 P213:P215 S211 S203 S213:S215 V211 J231 M231 P231 P223 P233:P235 S231 S223 S233:S235 V231 J251 M251 P251 P243 P253:P255 S251 S243 S253:S255 V251 J267 M267 P267 P277:P279 P275 S267 S277:S279 S275 V267 J287 M287 P287 P297:P299 P295 S287 S297:S299 S295 V287 J307 M307 P307 P317:P319 P315 S307 S317:S319 S315 V307 V317:V319 V315 G17:G18 V104" xr:uid="{F9B69935-7E44-4BE0-BEBE-881AC320CB67}">
      <formula1>0</formula1>
    </dataValidation>
    <dataValidation type="whole" allowBlank="1" showInputMessage="1" showErrorMessage="1" sqref="G7" xr:uid="{C9450379-1E7D-4355-8508-068E8AF4A112}">
      <formula1>1</formula1>
      <formula2>6</formula2>
    </dataValidation>
    <dataValidation type="list" allowBlank="1" showInputMessage="1" showErrorMessage="1" sqref="G117 S117 J117 M117 P117 V117" xr:uid="{85C2BB8E-F8A1-45C1-9EDA-BF6600FFD8B7}">
      <formula1>"Upstream,Downstream"</formula1>
    </dataValidation>
    <dataValidation type="list" allowBlank="1" showInputMessage="1" showErrorMessage="1" sqref="S105 V314 V316 S314 S316 P314 P316 M314 M316 J314 J316 V294 V296 S294 S296 P294 P296 M294 M296 J294 J296 V274 V276 S274 S276 P274 P276 M274 M276 J274 J276 V250 V252 S250 S252 P250 P252 M250 M252 J250 J252 V230 V232 S230 S232 P230 P232 M230 M232 J230 J232 V210 V212 S210 S212 P210 P212 M210 M212 J210 J212 V185 V187 V165 V167 S185 S187 S165 S167 P185 P187 P165 P167 M185 M187 M165 M167 J185 J187 J165 J167 V145 S145 P145 M145 J145 V147 S147 P147 M147 J147 J105 G105 P105 M105 V105" xr:uid="{D607F748-464D-46A9-9AC0-4816DACA7CDB}">
      <formula1>$B$27:$B$38</formula1>
    </dataValidation>
    <dataValidation type="decimal" operator="greaterThanOrEqual" allowBlank="1" showInputMessage="1" showErrorMessage="1" sqref="G97 J97 M97 P97 S97 V97" xr:uid="{D070715F-8117-4FB1-BFAC-E6C2F91E2AAC}">
      <formula1>1</formula1>
    </dataValidation>
    <dataValidation type="list" allowBlank="1" showInputMessage="1" showErrorMessage="1" sqref="P16" xr:uid="{7FB3D1A2-889B-4211-98F6-229146FCE4EE}">
      <formula1>"Vaccines, Reproductive Health,General"</formula1>
    </dataValidation>
  </dataValidations>
  <hyperlinks>
    <hyperlink ref="K20" location="'Vaccine Demand Volume &amp; Value'!A1" display="Vaccines Demand V&amp;V" xr:uid="{B3A568FF-B416-4AEB-8CD0-A185EC01059A}"/>
    <hyperlink ref="K21" location="'RH Demand Volume &amp; Value'!A1" display="RH Demand V&amp;V" xr:uid="{3B70C6A6-CD55-444B-9240-CAE8579AA8EA}"/>
    <hyperlink ref="Q20:S20" location="'Vaccine Demand Volume &amp; Value'!A1" display="1. Vaccine Demand Volume &amp; Value" xr:uid="{B00474CE-4F00-4E85-963E-7B4E2086ADC3}"/>
    <hyperlink ref="Q21:S21" location="'RH Demand Volume &amp; Value'!A1" display="2. RH Demand Volume &amp; Value" xr:uid="{62D06E75-7736-4E01-9969-7AA0E8AAC618}"/>
    <hyperlink ref="K22" location="'General Demand Volume'!A1" display="c. General Demand Vol." xr:uid="{85BF906A-2603-45FA-887C-805B54F261C5}"/>
    <hyperlink ref="Q22" location="'General Demand Volume'!A1" display="c. General Demand Volume" xr:uid="{6696A47A-6C09-4ABB-9BDF-8763F267F15E}"/>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683AE506-9DF3-4E63-A383-609F5953AE2C}">
          <x14:formula1>
            <xm:f>'List Values'!$E$3:$E$5</xm:f>
          </x14:formula1>
          <xm:sqref>M305 M285 J285 V265 M177 J177 V137 J305 V285 J157 M157 P157 M201 J201 V177 G305 G221 V201 J221 M221 M241 J241 V221 G241 G285 V241 J265 M265 J137 M137 P137 S137 P177 S157 S177 V157 P201 S201 P221 S221 P241 S241 P265 S265 P285 S285 P305 S305 V305</xm:sqref>
        </x14:dataValidation>
        <x14:dataValidation type="list" allowBlank="1" showInputMessage="1" showErrorMessage="1" xr:uid="{F42F64A8-9174-46FA-B859-488BECD3C0AB}">
          <x14:formula1>
            <xm:f>'List Values'!$F$3:$F$7</xm:f>
          </x14:formula1>
          <xm:sqref>M306 J286 M286 G306 J306 V138 J178 M178 V286 J158 M158 P158 G202 V178 J202 M202 G222 V202 J222 M222 G242 V222 J242 M242 G266 V242 J266 M266 G286 V266 J138 M138 P138 S138 P178 S158 S178 V158 P202 S202 P222 S222 P242 S242 P266 S266 P286 S286 P306 S306 V306</xm:sqref>
        </x14:dataValidation>
        <x14:dataValidation type="list" allowBlank="1" showInputMessage="1" showErrorMessage="1" xr:uid="{1DE7A329-0750-4AAA-8F77-D71A96C635CE}">
          <x14:formula1>
            <xm:f>'List Values'!$E$3:$E$7</xm:f>
          </x14:formula1>
          <xm:sqref>T137</xm:sqref>
        </x14:dataValidation>
        <x14:dataValidation type="list" allowBlank="1" showInputMessage="1" showErrorMessage="1" xr:uid="{DE7DCBA2-8913-47D7-B3F0-27B716B439CD}">
          <x14:formula1>
            <xm:f>'List Values'!$B$3:$B$4</xm:f>
          </x14:formula1>
          <xm:sqref>G20 J19 P20</xm:sqref>
        </x14:dataValidation>
        <x14:dataValidation type="list" operator="greaterThan" allowBlank="1" showInputMessage="1" showErrorMessage="1" xr:uid="{073B436F-C649-4F20-8777-86356F90953F}">
          <x14:formula1>
            <xm:f>'List Values'!$B$3:$B$4</xm:f>
          </x14:formula1>
          <xm:sqref>G20</xm:sqref>
        </x14:dataValidation>
        <x14:dataValidation type="list" allowBlank="1" showInputMessage="1" showErrorMessage="1" xr:uid="{1957B8FC-BB65-4B85-B6BB-FF4E125DFAFC}">
          <x14:formula1>
            <xm:f>'List Values'!$G$3:$G$9</xm:f>
          </x14:formula1>
          <xm:sqref>J304 V264 J284 M284 V284 V136 M304 J176 M176 G304 J156 M156 P156 G200 V176 J200 M200 G220 V200 J220 M220 G240 V220 J240 M240 G264 V240 J264 M264 G284 J136 M136 P136 S136 P176 S156 S176 V156 P200 S200 P220 S220 P240 S240 P264 S264 P284 S284 P304 S304 V304</xm:sqref>
        </x14:dataValidation>
        <x14:dataValidation type="list" allowBlank="1" showInputMessage="1" showErrorMessage="1" xr:uid="{B3EC49A1-DC1C-45F0-994D-9F01F2CD51FB}">
          <x14:formula1>
            <xm:f>'List Values'!$C$3:$C$8</xm:f>
          </x14:formula1>
          <xm:sqref>G87 J87 M87 P87 S87 V87</xm:sqref>
        </x14:dataValidation>
        <x14:dataValidation type="list" allowBlank="1" showInputMessage="1" showErrorMessage="1" xr:uid="{1CBA4C74-52C9-40C5-8B9B-96B69F7B1F4D}">
          <x14:formula1>
            <xm:f>'Scenario Manager'!$O$7:$O$12</xm:f>
          </x14:formula1>
          <xm:sqref>G5 G86 J86 M86 P86 S86 V86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43B67-109D-4D6B-9737-BEF1B81BFECC}">
  <sheetPr>
    <tabColor theme="4" tint="0.59999389629810485"/>
    <outlinePr summaryBelow="0"/>
  </sheetPr>
  <dimension ref="A1:AF330"/>
  <sheetViews>
    <sheetView showGridLines="0" zoomScale="80" zoomScaleNormal="80" zoomScalePageLayoutView="80" workbookViewId="0">
      <pane xSplit="4" ySplit="2" topLeftCell="E85" activePane="bottomRight" state="frozen"/>
      <selection activeCell="M87" sqref="M87"/>
      <selection pane="topRight" activeCell="M87" sqref="M87"/>
      <selection pane="bottomLeft" activeCell="M87" sqref="M87"/>
      <selection pane="bottomRight" activeCell="S104" sqref="S104"/>
    </sheetView>
  </sheetViews>
  <sheetFormatPr defaultColWidth="8.84375" defaultRowHeight="14.6" outlineLevelRow="1"/>
  <cols>
    <col min="1" max="1" width="7.69140625" customWidth="1"/>
    <col min="2" max="2" width="13.69140625" customWidth="1"/>
    <col min="3" max="3" width="34.15234375" customWidth="1"/>
    <col min="4" max="4" width="46.3828125" customWidth="1"/>
    <col min="5" max="5" width="0.69140625" customWidth="1"/>
    <col min="6" max="6" width="0.3828125" customWidth="1"/>
    <col min="7" max="7" width="18.3828125" style="6" customWidth="1"/>
    <col min="8" max="8" width="21.84375" customWidth="1"/>
    <col min="9" max="9" width="0.3828125" customWidth="1"/>
    <col min="10" max="10" width="21.3828125" style="6" customWidth="1"/>
    <col min="11" max="11" width="25" customWidth="1"/>
    <col min="12" max="12" width="0.3828125" customWidth="1"/>
    <col min="13" max="13" width="24.69140625" style="6" customWidth="1"/>
    <col min="14" max="14" width="20.3828125" customWidth="1"/>
    <col min="15" max="15" width="0.3046875" customWidth="1"/>
    <col min="16" max="16" width="20.15234375" style="6" customWidth="1"/>
    <col min="17" max="17" width="18.84375" customWidth="1"/>
    <col min="18" max="18" width="0.3046875" customWidth="1"/>
    <col min="19" max="19" width="18.15234375" customWidth="1"/>
    <col min="20" max="20" width="19.15234375" customWidth="1"/>
    <col min="21" max="21" width="0.3046875" customWidth="1"/>
    <col min="22" max="22" width="17" customWidth="1"/>
    <col min="23" max="23" width="20" customWidth="1"/>
    <col min="25" max="25" width="26.3046875" customWidth="1"/>
    <col min="26" max="26" width="14.84375" customWidth="1"/>
    <col min="27" max="27" width="21.3046875" customWidth="1"/>
    <col min="28" max="28" width="18.84375" customWidth="1"/>
    <col min="30" max="30" width="8.84375" customWidth="1"/>
  </cols>
  <sheetData>
    <row r="1" spans="1:32" ht="36.75" customHeight="1">
      <c r="A1" s="2688" t="s">
        <v>5799</v>
      </c>
      <c r="B1" s="2689"/>
      <c r="C1" s="2689"/>
      <c r="D1" s="2689"/>
      <c r="E1" s="2689"/>
      <c r="F1" s="2689"/>
      <c r="G1" s="2689"/>
      <c r="H1" s="2689"/>
      <c r="I1" s="2689"/>
      <c r="J1" s="2689"/>
      <c r="K1" s="2689"/>
      <c r="X1" s="6"/>
    </row>
    <row r="2" spans="1:32" ht="9" customHeight="1">
      <c r="X2" s="6"/>
    </row>
    <row r="3" spans="1:32" ht="33" customHeight="1">
      <c r="B3" s="2391" t="s">
        <v>304</v>
      </c>
      <c r="C3" s="2391"/>
      <c r="D3" s="2391"/>
      <c r="E3" s="2391"/>
      <c r="V3" s="36"/>
      <c r="W3" s="36"/>
      <c r="X3" s="6"/>
      <c r="Y3" s="36"/>
      <c r="Z3" s="36"/>
      <c r="AA3" s="36"/>
      <c r="AB3" s="36"/>
      <c r="AC3" s="36"/>
      <c r="AD3" s="36"/>
      <c r="AE3" s="36"/>
      <c r="AF3" s="36"/>
    </row>
    <row r="4" spans="1:32" ht="30" customHeight="1" outlineLevel="1">
      <c r="B4" s="54"/>
      <c r="C4" s="236"/>
      <c r="D4" s="236"/>
      <c r="E4" s="5"/>
      <c r="G4" s="255" t="s">
        <v>17</v>
      </c>
      <c r="H4" s="924" t="s">
        <v>2510</v>
      </c>
      <c r="V4" s="36"/>
      <c r="W4" s="36"/>
      <c r="X4" s="6"/>
      <c r="Y4" s="2619" t="s">
        <v>673</v>
      </c>
      <c r="Z4" s="2620"/>
      <c r="AA4" s="2620"/>
      <c r="AB4" s="2621"/>
      <c r="AC4" s="36"/>
      <c r="AD4" s="36"/>
      <c r="AE4" s="36"/>
      <c r="AF4" s="36"/>
    </row>
    <row r="5" spans="1:32" ht="33" customHeight="1" outlineLevel="1">
      <c r="B5" s="2561" t="s">
        <v>2516</v>
      </c>
      <c r="C5" s="2562"/>
      <c r="D5" s="2562"/>
      <c r="E5" s="2563"/>
      <c r="G5" s="521" t="s">
        <v>5547</v>
      </c>
      <c r="H5" s="928"/>
      <c r="V5" s="36"/>
      <c r="W5" s="36"/>
      <c r="X5" s="6"/>
      <c r="Y5" s="2643" t="s">
        <v>2334</v>
      </c>
      <c r="Z5" s="2644"/>
      <c r="AA5" s="2644"/>
      <c r="AB5" s="2645"/>
      <c r="AC5" s="36"/>
      <c r="AD5" s="36"/>
      <c r="AE5" s="36"/>
      <c r="AF5" s="36"/>
    </row>
    <row r="6" spans="1:32" ht="30.75" customHeight="1" outlineLevel="1">
      <c r="B6" s="2564" t="s">
        <v>5544</v>
      </c>
      <c r="C6" s="2565"/>
      <c r="D6" s="2565"/>
      <c r="E6" s="2566"/>
      <c r="G6" s="522"/>
      <c r="H6" s="918">
        <f ca="1">IF(G6&lt;&gt;"",G6,IFERROR(IF(INDIRECT("'"&amp;$G$5&amp;"'!"&amp;ADDRESS(ROW(H6),COLUMN(H6)))="","",INDIRECT("'"&amp;G$5&amp;"'!"&amp;ADDRESS(ROW(H6),COLUMN(H6)))),IF($G$5&lt;&gt;"","Data Source Error","")))</f>
        <v>1</v>
      </c>
      <c r="V6" s="36"/>
      <c r="W6" s="36"/>
      <c r="X6" s="6"/>
      <c r="Y6" s="2643"/>
      <c r="Z6" s="2644"/>
      <c r="AA6" s="2644"/>
      <c r="AB6" s="2645"/>
      <c r="AC6" s="36"/>
      <c r="AD6" s="36"/>
      <c r="AE6" s="36"/>
      <c r="AF6" s="36"/>
    </row>
    <row r="7" spans="1:32" ht="16.5" customHeight="1" outlineLevel="1">
      <c r="B7" s="2567" t="s">
        <v>413</v>
      </c>
      <c r="C7" s="2568"/>
      <c r="D7" s="2568"/>
      <c r="E7" s="2569"/>
      <c r="G7" s="523"/>
      <c r="H7" s="918">
        <f ca="1">IF(G7&lt;&gt;"",G7,IFERROR(IF(INDIRECT("'"&amp;$G$5&amp;"'!"&amp;ADDRESS(ROW(H7),COLUMN(H7)))="","",INDIRECT("'"&amp;$G$5&amp;"'!"&amp;ADDRESS(ROW(H7),COLUMN(H7)))),IF($G$5&lt;&gt;"","Data Source Error","")))</f>
        <v>3</v>
      </c>
      <c r="V7" s="36"/>
      <c r="W7" s="36"/>
      <c r="X7" s="6"/>
      <c r="Y7" s="2643"/>
      <c r="Z7" s="2644"/>
      <c r="AA7" s="2644"/>
      <c r="AB7" s="2645"/>
      <c r="AC7" s="36"/>
      <c r="AD7" s="36"/>
      <c r="AE7" s="36"/>
      <c r="AF7" s="36"/>
    </row>
    <row r="8" spans="1:32" ht="15" customHeight="1" outlineLevel="1">
      <c r="B8" s="2567" t="s">
        <v>11</v>
      </c>
      <c r="C8" s="2568"/>
      <c r="D8" s="2568"/>
      <c r="E8" s="2569"/>
      <c r="G8" s="524"/>
      <c r="H8" s="1065">
        <f ca="1">IF(G8&lt;&gt;"",G8,IFERROR(IF(INDIRECT("'"&amp;$G$5&amp;"'!"&amp;ADDRESS(ROW(H8),COLUMN(H8)))="","",INDIRECT("'"&amp;$G$5&amp;"'!"&amp;ADDRESS(ROW(H8),COLUMN(H8)))*$H$6),IF($G$5&lt;&gt;"","Data Source Error","")))</f>
        <v>1.37</v>
      </c>
      <c r="N8" s="6"/>
      <c r="O8" s="6"/>
      <c r="Q8" s="6"/>
      <c r="R8" s="6"/>
      <c r="S8" s="6"/>
      <c r="T8" s="6"/>
      <c r="V8" s="36"/>
      <c r="W8" s="36"/>
      <c r="X8" s="6"/>
      <c r="Y8" s="2643"/>
      <c r="Z8" s="2644"/>
      <c r="AA8" s="2644"/>
      <c r="AB8" s="2645"/>
      <c r="AC8" s="36"/>
      <c r="AD8" s="36"/>
      <c r="AE8" s="36"/>
      <c r="AF8" s="36"/>
    </row>
    <row r="9" spans="1:32" ht="15" customHeight="1" outlineLevel="1">
      <c r="B9" s="2567" t="s">
        <v>12</v>
      </c>
      <c r="C9" s="2568"/>
      <c r="D9" s="2568"/>
      <c r="E9" s="2569"/>
      <c r="G9" s="523"/>
      <c r="H9" s="918">
        <f ca="1">IF(G9&lt;&gt;"",G9,IFERROR(IF(INDIRECT("'"&amp;$G$5&amp;"'!"&amp;ADDRESS(ROW(H9),COLUMN(H9)))="","",INDIRECT("'"&amp;$G$5&amp;"'!"&amp;ADDRESS(ROW(H9),COLUMN(H9)))),IF($G$5&lt;&gt;"","Data Source Error","")))</f>
        <v>240</v>
      </c>
      <c r="V9" s="36"/>
      <c r="W9" s="36"/>
      <c r="X9" s="6"/>
      <c r="Y9" s="2643"/>
      <c r="Z9" s="2644"/>
      <c r="AA9" s="2644"/>
      <c r="AB9" s="2645"/>
      <c r="AC9" s="36"/>
      <c r="AD9" s="36"/>
      <c r="AE9" s="36"/>
      <c r="AF9" s="36"/>
    </row>
    <row r="10" spans="1:32" ht="15" customHeight="1" outlineLevel="1">
      <c r="B10" s="2567" t="s">
        <v>13</v>
      </c>
      <c r="C10" s="2568"/>
      <c r="D10" s="2568"/>
      <c r="E10" s="2569"/>
      <c r="G10" s="523"/>
      <c r="H10" s="918">
        <f ca="1">IF(G10&lt;&gt;"",G10,IFERROR(IF(INDIRECT("'"&amp;$G$5&amp;"'!"&amp;ADDRESS(ROW(H10),COLUMN(H10)))="","",INDIRECT("'"&amp;$G$5&amp;"'!"&amp;ADDRESS(ROW(H10),COLUMN(H10)))),IF($G$5&lt;&gt;"","Data Source Error","")))</f>
        <v>8</v>
      </c>
      <c r="V10" s="36"/>
      <c r="W10" s="36"/>
      <c r="X10" s="6"/>
      <c r="Y10" s="2643"/>
      <c r="Z10" s="2644"/>
      <c r="AA10" s="2644"/>
      <c r="AB10" s="2645"/>
      <c r="AC10" s="36"/>
      <c r="AD10" s="36"/>
      <c r="AE10" s="36"/>
      <c r="AF10" s="36"/>
    </row>
    <row r="11" spans="1:32" ht="15" customHeight="1" outlineLevel="1">
      <c r="B11" s="2567" t="s">
        <v>388</v>
      </c>
      <c r="C11" s="2568"/>
      <c r="D11" s="2568"/>
      <c r="E11" s="2569"/>
      <c r="G11" s="523"/>
      <c r="H11" s="918">
        <f ca="1">IF(G11&lt;&gt;"",G11,IFERROR(IF(INDIRECT("'"&amp;$G$5&amp;"'!"&amp;ADDRESS(ROW(H11),COLUMN(H11)))="","",INDIRECT("'"&amp;$G$5&amp;"'!"&amp;ADDRESS(ROW(H11),COLUMN(H11)))),IF($G$5&lt;&gt;"","Data Source Error","")))</f>
        <v>5</v>
      </c>
      <c r="V11" s="36"/>
      <c r="W11" s="36"/>
      <c r="X11" s="6"/>
      <c r="Y11" s="2643"/>
      <c r="Z11" s="2644"/>
      <c r="AA11" s="2644"/>
      <c r="AB11" s="2645"/>
      <c r="AC11" s="36"/>
      <c r="AD11" s="36"/>
      <c r="AE11" s="36"/>
      <c r="AF11" s="36"/>
    </row>
    <row r="12" spans="1:32" ht="14.25" customHeight="1" outlineLevel="1">
      <c r="B12" s="2570" t="s">
        <v>399</v>
      </c>
      <c r="C12" s="2571"/>
      <c r="D12" s="2571"/>
      <c r="E12" s="2572"/>
      <c r="G12" s="2057"/>
      <c r="H12" s="920">
        <f ca="1">IF(G12&lt;&gt;"",G12,IFERROR(IF(INDIRECT("'"&amp;$G$5&amp;"'!"&amp;ADDRESS(ROW(H12),COLUMN(H12)))="","",INDIRECT("'"&amp;$G$5&amp;"'!"&amp;ADDRESS(ROW(H12),COLUMN(H12)))),IF($G$5&lt;&gt;"","Data Source Error","")))</f>
        <v>5</v>
      </c>
      <c r="V12" s="36"/>
      <c r="W12" s="36"/>
      <c r="X12" s="6"/>
      <c r="Y12" s="2643"/>
      <c r="Z12" s="2644"/>
      <c r="AA12" s="2644"/>
      <c r="AB12" s="2645"/>
      <c r="AC12" s="36"/>
      <c r="AD12" s="36"/>
      <c r="AE12" s="36"/>
      <c r="AF12" s="36"/>
    </row>
    <row r="13" spans="1:32" ht="36.75" customHeight="1">
      <c r="A13" s="630" t="s">
        <v>355</v>
      </c>
      <c r="C13" s="39"/>
      <c r="D13" s="39"/>
      <c r="E13" s="39"/>
      <c r="G13" s="121"/>
      <c r="H13" s="11"/>
      <c r="N13" s="6"/>
      <c r="P13"/>
      <c r="T13" s="36"/>
      <c r="U13" s="36"/>
      <c r="V13" s="6"/>
      <c r="W13" s="36"/>
      <c r="X13" s="36"/>
      <c r="Y13" s="36"/>
      <c r="Z13" s="36"/>
      <c r="AA13" s="36"/>
      <c r="AB13" s="36"/>
      <c r="AC13" s="36"/>
      <c r="AD13" s="36"/>
    </row>
    <row r="14" spans="1:32" ht="35.25" customHeight="1">
      <c r="B14" s="2391" t="s">
        <v>296</v>
      </c>
      <c r="C14" s="2391"/>
      <c r="D14" s="2391"/>
      <c r="E14" s="2391"/>
      <c r="G14" s="121"/>
      <c r="H14" s="11"/>
      <c r="AD14" s="36"/>
      <c r="AE14" s="36"/>
      <c r="AF14" s="36"/>
    </row>
    <row r="15" spans="1:32" ht="33.65" customHeight="1" outlineLevel="1">
      <c r="B15" s="54"/>
      <c r="C15" s="236"/>
      <c r="D15" s="236"/>
      <c r="E15" s="5"/>
      <c r="G15" s="255" t="s">
        <v>17</v>
      </c>
      <c r="H15" s="924" t="s">
        <v>2510</v>
      </c>
      <c r="J15" s="274"/>
      <c r="K15" s="2589" t="s">
        <v>5500</v>
      </c>
      <c r="M15" s="2573" t="s">
        <v>5506</v>
      </c>
      <c r="N15" s="2574"/>
      <c r="O15" s="2574"/>
      <c r="P15" s="2575"/>
      <c r="Q15" s="2574"/>
      <c r="R15" s="2574"/>
      <c r="S15" s="2576"/>
      <c r="T15" s="1690"/>
      <c r="U15" s="1690"/>
      <c r="V15" s="1690"/>
      <c r="Y15" s="2619" t="s">
        <v>673</v>
      </c>
      <c r="Z15" s="2620"/>
      <c r="AA15" s="2620"/>
      <c r="AB15" s="2621"/>
      <c r="AD15" s="36"/>
      <c r="AE15" s="36"/>
      <c r="AF15" s="36"/>
    </row>
    <row r="16" spans="1:32" ht="18.75" customHeight="1" outlineLevel="1" collapsed="1">
      <c r="B16" s="2579" t="s">
        <v>5471</v>
      </c>
      <c r="C16" s="2580"/>
      <c r="D16" s="2580"/>
      <c r="E16" s="2581"/>
      <c r="G16" s="521"/>
      <c r="H16" s="1687"/>
      <c r="J16" s="1690" t="s">
        <v>2440</v>
      </c>
      <c r="K16" s="2589"/>
      <c r="M16" s="1874" t="s">
        <v>2507</v>
      </c>
      <c r="N16" s="44"/>
      <c r="O16" s="1875"/>
      <c r="P16" s="1885" t="s">
        <v>2062</v>
      </c>
      <c r="Q16" s="2590" t="s">
        <v>5507</v>
      </c>
      <c r="R16" s="2591"/>
      <c r="S16" s="2592"/>
      <c r="T16" s="1688"/>
      <c r="U16" s="1688"/>
      <c r="V16" s="1688"/>
      <c r="Y16" s="2643"/>
      <c r="Z16" s="2644"/>
      <c r="AA16" s="2644"/>
      <c r="AB16" s="2645"/>
      <c r="AD16" s="36"/>
      <c r="AE16" s="36"/>
      <c r="AF16" s="36"/>
    </row>
    <row r="17" spans="1:32" ht="15" customHeight="1" outlineLevel="1">
      <c r="B17" s="2555" t="s">
        <v>367</v>
      </c>
      <c r="C17" s="2556"/>
      <c r="D17" s="2556"/>
      <c r="E17" s="2557"/>
      <c r="G17" s="553">
        <v>2932.5</v>
      </c>
      <c r="H17" s="925">
        <f ca="1">IF(G17&lt;&gt;"",G17,IFERROR(IF($G$16="Yes",$P$17,IF(INDIRECT("'"&amp;$G$5&amp;"'!"&amp;ADDRESS(ROW(H17),COLUMN(H17)))="","",INDIRECT("'"&amp;$G$5&amp;"'!"&amp;ADDRESS(ROW(H17),COLUMN(H17))))),IF($G$5&lt;&gt;"","Data Source Error","")))</f>
        <v>2932.5</v>
      </c>
      <c r="K17" s="2589" t="s">
        <v>5508</v>
      </c>
      <c r="M17" s="1873" t="s">
        <v>5503</v>
      </c>
      <c r="N17" s="1873"/>
      <c r="O17" s="1873"/>
      <c r="P17" s="1868">
        <f ca="1">IF($P$16="Vaccines",'Vaccine Demand Volume &amp; Value'!$G$82,IF($P$16="Reproductive Health",'RH Demand Volume &amp; Value'!$J$67, IF($P$16="General",'General Demand Volume'!$AB$9,"")))</f>
        <v>119.95700266668503</v>
      </c>
      <c r="Q17" s="2593"/>
      <c r="R17" s="2594"/>
      <c r="S17" s="2595"/>
      <c r="T17" s="1688"/>
      <c r="U17" s="1688"/>
      <c r="V17" s="1688"/>
      <c r="Y17" s="2643"/>
      <c r="Z17" s="2644"/>
      <c r="AA17" s="2644"/>
      <c r="AB17" s="2645"/>
      <c r="AD17" s="36"/>
      <c r="AE17" s="36"/>
    </row>
    <row r="18" spans="1:32" ht="15" customHeight="1" outlineLevel="1">
      <c r="B18" s="2558" t="s">
        <v>678</v>
      </c>
      <c r="C18" s="2559"/>
      <c r="D18" s="2559"/>
      <c r="E18" s="2560"/>
      <c r="G18" s="523"/>
      <c r="H18" s="918">
        <f ca="1">IF(G18&lt;&gt;"",G18,IFERROR(IF($G$16="Yes",$P$18,IF(INDIRECT("'"&amp;$G$5&amp;"'!"&amp;ADDRESS(ROW(H18),COLUMN(H18)))="","",INDIRECT("'"&amp;$G$5&amp;"'!"&amp;ADDRESS(ROW(H18),COLUMN(H18))))),IF($G$5&lt;&gt;"","Data Source Error","")))</f>
        <v>0</v>
      </c>
      <c r="K18" s="2589"/>
      <c r="M18" s="1876" t="s">
        <v>5504</v>
      </c>
      <c r="N18" s="1877"/>
      <c r="O18" s="1878"/>
      <c r="P18" s="1872">
        <f>IF($P$16="Vaccines",'Vaccine Demand Volume &amp; Value'!$G$81,IF($P$16="Reproductive Health",0, IF($P$16="General",'General Demand Volume'!$AB$11,"")))</f>
        <v>0</v>
      </c>
      <c r="Q18" s="2593"/>
      <c r="R18" s="2594"/>
      <c r="S18" s="2595"/>
      <c r="T18" s="1688"/>
      <c r="U18" s="1688"/>
      <c r="V18" s="1688"/>
      <c r="Y18" s="2643"/>
      <c r="Z18" s="2644"/>
      <c r="AA18" s="2644"/>
      <c r="AB18" s="2645"/>
      <c r="AD18" s="36"/>
      <c r="AE18" s="36"/>
      <c r="AF18" s="36"/>
    </row>
    <row r="19" spans="1:32" ht="15" customHeight="1" outlineLevel="1">
      <c r="B19" s="2558" t="s">
        <v>130</v>
      </c>
      <c r="C19" s="2559"/>
      <c r="D19" s="2559"/>
      <c r="E19" s="2560"/>
      <c r="G19" s="523"/>
      <c r="H19" s="918">
        <f ca="1">IF(G19&lt;&gt;"",G19,IFERROR(IF($G$16="Yes",$P$19,IF(INDIRECT("'"&amp;$G$5&amp;"'!"&amp;ADDRESS(ROW(H19),COLUMN(H19)))="","",INDIRECT("'"&amp;$G$5&amp;"'!"&amp;ADDRESS(ROW(H19),COLUMN(H19))))),IF($G$5&lt;&gt;"","Data Source Error","")))</f>
        <v>109</v>
      </c>
      <c r="K19" s="2589"/>
      <c r="M19" s="1876" t="s">
        <v>2508</v>
      </c>
      <c r="N19" s="1879"/>
      <c r="O19" s="1880"/>
      <c r="P19" s="1871">
        <f>IF($P$16="Vaccines",'Vaccine Demand Volume &amp; Value'!$G$83 + 'Vaccine Demand Volume &amp; Value'!$G$84,IF($P$16="Reproductive Health",'RH Demand Volume &amp; Value'!$L$47,IF($P$16="General",'General Demand Volume'!$AB$17,"")))</f>
        <v>10</v>
      </c>
      <c r="Q19" s="2593"/>
      <c r="R19" s="2594"/>
      <c r="S19" s="2595"/>
      <c r="T19" s="1688"/>
      <c r="U19" s="1688"/>
      <c r="V19" s="1688"/>
      <c r="Y19" s="2643"/>
      <c r="Z19" s="2644"/>
      <c r="AA19" s="2644"/>
      <c r="AB19" s="2645"/>
      <c r="AD19" s="36"/>
      <c r="AE19" s="36"/>
      <c r="AF19" s="36"/>
    </row>
    <row r="20" spans="1:32" ht="30" customHeight="1" outlineLevel="1">
      <c r="B20" s="2582" t="s">
        <v>373</v>
      </c>
      <c r="C20" s="2583"/>
      <c r="D20" s="2583"/>
      <c r="E20" s="2584"/>
      <c r="G20" s="526"/>
      <c r="H20" s="926" t="str">
        <f ca="1">IF(G20&lt;&gt;"",G20,IFERROR(IF($G$16="Yes",$P$20,IF(INDIRECT("'"&amp;$G$5&amp;"'!"&amp;ADDRESS(ROW(H20),COLUMN(H20)))="","",INDIRECT("'"&amp;$G$5&amp;"'!"&amp;ADDRESS(ROW(H20),COLUMN(H20))))),IF($G$5&lt;&gt;"","Data Source Error","")))</f>
        <v>Delivered</v>
      </c>
      <c r="K20" s="1882" t="s">
        <v>5439</v>
      </c>
      <c r="M20" s="2102" t="s">
        <v>5505</v>
      </c>
      <c r="N20" s="2250"/>
      <c r="O20" s="1881"/>
      <c r="P20" s="1870" t="s">
        <v>370</v>
      </c>
      <c r="Q20" s="2596" t="s">
        <v>5441</v>
      </c>
      <c r="R20" s="2597"/>
      <c r="S20" s="2598"/>
      <c r="T20" s="1688"/>
      <c r="U20" s="1688"/>
      <c r="V20" s="1688"/>
      <c r="Y20" s="2643"/>
      <c r="Z20" s="2644"/>
      <c r="AA20" s="2644"/>
      <c r="AB20" s="2645"/>
      <c r="AD20" s="36"/>
      <c r="AE20" s="36"/>
      <c r="AF20" s="36"/>
    </row>
    <row r="21" spans="1:32" ht="15" customHeight="1" outlineLevel="1">
      <c r="B21" s="2585" t="s">
        <v>2512</v>
      </c>
      <c r="C21" s="2586"/>
      <c r="D21" s="2586"/>
      <c r="E21" s="2587"/>
      <c r="G21" s="527">
        <v>18450000</v>
      </c>
      <c r="H21" s="927">
        <f ca="1">IF(G21&lt;&gt;"",G21,IFERROR(IF($G$16="Yes",$P$21,IF(INDIRECT("'"&amp;$G$5&amp;"'!"&amp;ADDRESS(ROW(H21),COLUMN(H21)))="","",INDIRECT("'"&amp;$G$5&amp;"'!"&amp;ADDRESS(ROW(H21),COLUMN(H21)))*$H$6)),IF($G$5&lt;&gt;"","Data Source Error","")))</f>
        <v>18450000</v>
      </c>
      <c r="J21" s="251"/>
      <c r="K21" s="1883" t="s">
        <v>5440</v>
      </c>
      <c r="M21" s="2602" t="s">
        <v>838</v>
      </c>
      <c r="N21" s="2603"/>
      <c r="O21" s="1867"/>
      <c r="P21" s="2606">
        <f ca="1">IF($P$16="Vaccines",'Vaccine Demand Volume &amp; Value'!$G$85,IF($P$16="Reproductive Health",'RH Demand Volume &amp; Value'!$K$67,IF($P$16="General","","")))</f>
        <v>5458781.7452971619</v>
      </c>
      <c r="Q21" s="2599" t="s">
        <v>5442</v>
      </c>
      <c r="R21" s="2600"/>
      <c r="S21" s="2601"/>
      <c r="T21" s="1688"/>
      <c r="U21" s="1688"/>
      <c r="V21" s="1688"/>
      <c r="W21" s="36"/>
      <c r="X21" s="6"/>
      <c r="Y21" s="2643"/>
      <c r="Z21" s="2644"/>
      <c r="AA21" s="2644"/>
      <c r="AB21" s="2645"/>
      <c r="AC21" s="36"/>
      <c r="AD21" s="36"/>
      <c r="AE21" s="36"/>
      <c r="AF21" s="36"/>
    </row>
    <row r="22" spans="1:32" ht="16.5" customHeight="1">
      <c r="A22" s="212" t="s">
        <v>354</v>
      </c>
      <c r="C22" s="50"/>
      <c r="D22" s="50"/>
      <c r="E22" s="50"/>
      <c r="G22" s="110"/>
      <c r="H22" s="50"/>
      <c r="I22" s="50"/>
      <c r="J22" s="110"/>
      <c r="K22" s="1884" t="s">
        <v>5501</v>
      </c>
      <c r="M22" s="2604"/>
      <c r="N22" s="2605"/>
      <c r="O22" s="236"/>
      <c r="P22" s="2607"/>
      <c r="Q22" s="1869" t="s">
        <v>5502</v>
      </c>
      <c r="R22" s="236"/>
      <c r="S22" s="5"/>
      <c r="W22" s="36"/>
      <c r="X22" s="6"/>
      <c r="Y22" s="36"/>
      <c r="Z22" s="36"/>
      <c r="AA22" s="36"/>
      <c r="AB22" s="36"/>
      <c r="AC22" s="36"/>
      <c r="AD22" s="36"/>
      <c r="AE22" s="36"/>
      <c r="AF22" s="36"/>
    </row>
    <row r="23" spans="1:32" ht="16.5" customHeight="1">
      <c r="W23" s="36"/>
      <c r="X23" s="6"/>
      <c r="Y23" s="36"/>
      <c r="Z23" s="36"/>
      <c r="AA23" s="36"/>
      <c r="AB23" s="36"/>
      <c r="AC23" s="36"/>
      <c r="AD23" s="36"/>
      <c r="AE23" s="36"/>
      <c r="AF23" s="36"/>
    </row>
    <row r="24" spans="1:32" ht="37.5" customHeight="1">
      <c r="B24" s="2588" t="s">
        <v>5419</v>
      </c>
      <c r="C24" s="2588"/>
      <c r="D24" s="2588"/>
      <c r="E24" s="2588"/>
      <c r="G24" s="252"/>
      <c r="H24" s="86"/>
      <c r="I24" s="1"/>
      <c r="J24" s="252"/>
      <c r="K24" s="86"/>
      <c r="V24" s="36"/>
      <c r="W24" s="36"/>
      <c r="X24" s="36"/>
      <c r="Y24" s="36"/>
      <c r="Z24" s="36"/>
      <c r="AA24" s="36"/>
      <c r="AB24" s="36"/>
      <c r="AC24" s="36"/>
      <c r="AD24" s="36"/>
      <c r="AE24" s="36"/>
      <c r="AF24" s="36"/>
    </row>
    <row r="25" spans="1:32" ht="16" customHeight="1" outlineLevel="1">
      <c r="B25" s="2608" t="s">
        <v>23</v>
      </c>
      <c r="C25" s="2609"/>
      <c r="D25" s="2609"/>
      <c r="E25" s="2610"/>
      <c r="G25" s="2614" t="s">
        <v>72</v>
      </c>
      <c r="H25" s="2615"/>
      <c r="J25" s="2614" t="s">
        <v>24</v>
      </c>
      <c r="K25" s="2615"/>
      <c r="M25" s="2629" t="s">
        <v>405</v>
      </c>
      <c r="N25" s="2630"/>
      <c r="O25" s="2630"/>
      <c r="P25" s="2631"/>
      <c r="V25" s="36"/>
      <c r="W25" s="36"/>
      <c r="X25" s="36"/>
      <c r="Y25" s="36"/>
      <c r="Z25" s="36"/>
      <c r="AA25" s="36"/>
      <c r="AB25" s="36"/>
      <c r="AC25" s="36"/>
      <c r="AD25" s="36"/>
      <c r="AE25" s="36"/>
      <c r="AF25" s="36"/>
    </row>
    <row r="26" spans="1:32" ht="36.75" customHeight="1" outlineLevel="1">
      <c r="B26" s="2611"/>
      <c r="C26" s="2612"/>
      <c r="D26" s="2612"/>
      <c r="E26" s="2613"/>
      <c r="G26" s="253" t="s">
        <v>17</v>
      </c>
      <c r="H26" s="921" t="s">
        <v>2510</v>
      </c>
      <c r="J26" s="255" t="s">
        <v>17</v>
      </c>
      <c r="K26" s="921" t="s">
        <v>2510</v>
      </c>
      <c r="M26" s="2619" t="s">
        <v>419</v>
      </c>
      <c r="N26" s="2620"/>
      <c r="O26" s="2620"/>
      <c r="P26" s="2621"/>
      <c r="V26" s="36"/>
      <c r="W26" s="36"/>
      <c r="X26" s="36"/>
      <c r="Y26" s="2619" t="s">
        <v>673</v>
      </c>
      <c r="Z26" s="2620"/>
      <c r="AA26" s="2620"/>
      <c r="AB26" s="2621"/>
      <c r="AC26" s="36"/>
      <c r="AD26" s="36"/>
      <c r="AE26" s="36"/>
      <c r="AF26" s="36"/>
    </row>
    <row r="27" spans="1:32" ht="14.25" customHeight="1" outlineLevel="1">
      <c r="B27" s="2622" t="s">
        <v>604</v>
      </c>
      <c r="C27" s="2623"/>
      <c r="D27" s="2623"/>
      <c r="E27" s="618"/>
      <c r="F27">
        <f t="shared" ref="F27:F38" ca="1" si="0">IF(OR(
$H$105=B27,$K$105=B27,$N$105=B27,$Q$105=B27,$T$105=B27,$W$105=B27,
$K$145=B27,$N$145=B27,$Q$145=B27,$T$145=B27,$W$145=B27,$K$147=B27,$N$147=B27,$Q$147=B27,$T$147=B27,$W$147=B27,
$K$165=B27,$N$165=B27,$Q$165=B27,$T$165=B27,$W$165=B27,$K$167=B27,$N$167=B27,$Q$167=B27,$T$167=B27,$W$167=B27,
$K$185=B27,$N$185=B27,$Q$185=B27,$T$185=B27,$W$185=B27,$K$187=B27,$N$187=B27,$Q$187=B27,$T$187=B27,$W$187=B27,
$K$210=B27,$N$210=B27,$Q$210=B27,$T$210=B27,$W$210=B27,$K$212=B27,$N$212=B27,$Q$212=B27,$T$212=B27,$W$212=B27,
$K$230=B27,,$N$230=B27,$Q$230=B27,$T$230=B27,$W$230=B27,$K$232=B27,$N$232=B27,$Q$232=B27,$T$232=B27,$W$232=B27,
$K$250=B27,$N$250=B27,$Q$250=B27,$T$250=B27,$W$250=B27,$K$252=B27,$N$252=B27,$Q$252=B27,$T$252=B27,$W$252=B27,
$K$274=B27,$N$274=B27,$Q$274=B27,$T$274=B27,$W$274=B27,$K$276=B27,$N$276=B27,$Q$276=B27,$T$276=B27,$W$276=B27,
$K$294=B27,$N$294=B27,$Q$294=B27,$T$294=B27,$W$294=B27,$K$296=B27,$N$296=B27,$Q$296=B27,$T$296=B27,$W$296=B27,
$K$314=B27,$N$314=B27,$Q$314=B27,$T$314=B27,$W$314=B27,$K$316=B27,$N$316=B27,$Q$316=B27,$T$316=B27,$W$316=B27),1,0)</f>
        <v>0</v>
      </c>
      <c r="G27" s="688"/>
      <c r="H27" s="922">
        <v>0</v>
      </c>
      <c r="J27" s="688"/>
      <c r="K27" s="922">
        <v>0</v>
      </c>
      <c r="M27" s="528"/>
      <c r="N27" s="532"/>
      <c r="O27" s="532"/>
      <c r="P27" s="533"/>
      <c r="V27" s="36"/>
      <c r="W27" s="36"/>
      <c r="X27" s="36"/>
      <c r="Y27" s="2643"/>
      <c r="Z27" s="2644"/>
      <c r="AA27" s="2644"/>
      <c r="AB27" s="2645"/>
      <c r="AC27" s="36"/>
      <c r="AD27" s="36"/>
      <c r="AE27" s="36"/>
      <c r="AF27" s="36"/>
    </row>
    <row r="28" spans="1:32" ht="16" customHeight="1" outlineLevel="1">
      <c r="B28" s="2577" t="s">
        <v>19</v>
      </c>
      <c r="C28" s="2578"/>
      <c r="D28" s="2578"/>
      <c r="E28" s="617"/>
      <c r="F28">
        <f t="shared" ca="1" si="0"/>
        <v>1</v>
      </c>
      <c r="G28" s="689"/>
      <c r="H28" s="919">
        <f ca="1">IF(G28&lt;&gt;"",G28,IFERROR(IF(INDIRECT("'"&amp;$G$5&amp;"'!"&amp;ADDRESS(ROW(H28),COLUMN(H28)))="","",INDIRECT("'"&amp;$G$5&amp;"'!"&amp;ADDRESS(ROW(H28),COLUMN(H28)))*$H$6),IF($G$5&lt;&gt;"","Data Source Error","")))</f>
        <v>2.7965144230769217</v>
      </c>
      <c r="I28" s="183"/>
      <c r="J28" s="689"/>
      <c r="K28" s="919">
        <f ca="1">IF(J28&lt;&gt;"",J28,IFERROR(IF(INDIRECT("'"&amp;$G$5&amp;"'!"&amp;ADDRESS(ROW(K28),COLUMN(K28)))="","",INDIRECT("'"&amp;$G$5&amp;"'!"&amp;ADDRESS(ROW(K28),COLUMN(K28)))*$H$6),IF($G$5&lt;&gt;"","Data Source Error","")))</f>
        <v>30</v>
      </c>
      <c r="M28" s="528"/>
      <c r="N28" s="532"/>
      <c r="O28" s="532"/>
      <c r="P28" s="533"/>
      <c r="V28" s="36"/>
      <c r="W28" s="36"/>
      <c r="X28" s="36"/>
      <c r="Y28" s="2643"/>
      <c r="Z28" s="2644"/>
      <c r="AA28" s="2644"/>
      <c r="AB28" s="2645"/>
      <c r="AC28" s="36" t="s">
        <v>166</v>
      </c>
      <c r="AD28" s="36"/>
      <c r="AE28" s="36"/>
      <c r="AF28" s="36"/>
    </row>
    <row r="29" spans="1:32" outlineLevel="1">
      <c r="B29" s="2577" t="s">
        <v>20</v>
      </c>
      <c r="C29" s="2578"/>
      <c r="D29" s="2578"/>
      <c r="E29" s="2066"/>
      <c r="F29">
        <f t="shared" ca="1" si="0"/>
        <v>0</v>
      </c>
      <c r="G29" s="689"/>
      <c r="H29" s="919">
        <f t="shared" ref="H29:H38" ca="1" si="1">IF(G29&lt;&gt;"",G29,IFERROR(IF(INDIRECT("'"&amp;$G$5&amp;"'!"&amp;ADDRESS(ROW(H29),COLUMN(H29)))="","",INDIRECT("'"&amp;$G$5&amp;"'!"&amp;ADDRESS(ROW(H29),COLUMN(H29)))*$H$6),IF($G$5&lt;&gt;"","Data Source Error","")))</f>
        <v>2.36</v>
      </c>
      <c r="I29" s="187"/>
      <c r="J29" s="689"/>
      <c r="K29" s="919">
        <f t="shared" ref="K29:K38" ca="1" si="2">IF(J29&lt;&gt;"",J29,IFERROR(IF(INDIRECT("'"&amp;$G$5&amp;"'!"&amp;ADDRESS(ROW(K29),COLUMN(K29)))="","",INDIRECT("'"&amp;$G$5&amp;"'!"&amp;ADDRESS(ROW(K29),COLUMN(K29)))*$H$6),IF($G$5&lt;&gt;"","Data Source Error","")))</f>
        <v>30</v>
      </c>
      <c r="M29" s="528"/>
      <c r="N29" s="532"/>
      <c r="O29" s="532"/>
      <c r="P29" s="533"/>
      <c r="V29" s="36"/>
      <c r="W29" s="36"/>
      <c r="X29" s="36"/>
      <c r="Y29" s="2643"/>
      <c r="Z29" s="2644"/>
      <c r="AA29" s="2644"/>
      <c r="AB29" s="2645"/>
      <c r="AC29" s="36" t="s">
        <v>168</v>
      </c>
      <c r="AD29" s="36"/>
      <c r="AE29" s="36"/>
      <c r="AF29" s="36"/>
    </row>
    <row r="30" spans="1:32" outlineLevel="1">
      <c r="B30" s="2577" t="s">
        <v>21</v>
      </c>
      <c r="C30" s="2578"/>
      <c r="D30" s="2578"/>
      <c r="E30" s="2066"/>
      <c r="F30">
        <f t="shared" ca="1" si="0"/>
        <v>0</v>
      </c>
      <c r="G30" s="689"/>
      <c r="H30" s="919">
        <f t="shared" ca="1" si="1"/>
        <v>4.915775</v>
      </c>
      <c r="I30" s="187"/>
      <c r="J30" s="689"/>
      <c r="K30" s="919">
        <f t="shared" ca="1" si="2"/>
        <v>31.65</v>
      </c>
      <c r="M30" s="528"/>
      <c r="N30" s="532"/>
      <c r="O30" s="532"/>
      <c r="P30" s="533"/>
      <c r="V30" s="36"/>
      <c r="W30" s="36"/>
      <c r="X30" s="36"/>
      <c r="Y30" s="2643"/>
      <c r="Z30" s="2644"/>
      <c r="AA30" s="2644"/>
      <c r="AB30" s="2645"/>
      <c r="AC30" s="36" t="s">
        <v>170</v>
      </c>
      <c r="AD30" s="36"/>
      <c r="AE30" s="36"/>
      <c r="AF30" s="36"/>
    </row>
    <row r="31" spans="1:32" outlineLevel="1">
      <c r="B31" s="2577" t="s">
        <v>22</v>
      </c>
      <c r="C31" s="2578"/>
      <c r="D31" s="2578"/>
      <c r="E31" s="2066"/>
      <c r="F31">
        <f t="shared" ca="1" si="0"/>
        <v>1</v>
      </c>
      <c r="G31" s="689"/>
      <c r="H31" s="919">
        <f t="shared" ca="1" si="1"/>
        <v>5.91</v>
      </c>
      <c r="I31" s="187"/>
      <c r="J31" s="689"/>
      <c r="K31" s="919">
        <f t="shared" ca="1" si="2"/>
        <v>30</v>
      </c>
      <c r="M31" s="528"/>
      <c r="N31" s="532"/>
      <c r="O31" s="532"/>
      <c r="P31" s="533"/>
      <c r="V31" s="36"/>
      <c r="W31" s="36"/>
      <c r="X31" s="36"/>
      <c r="Y31" s="2643"/>
      <c r="Z31" s="2644"/>
      <c r="AA31" s="2644"/>
      <c r="AB31" s="2645"/>
      <c r="AC31" s="36"/>
      <c r="AD31" s="36"/>
      <c r="AE31" s="36"/>
      <c r="AF31" s="36"/>
    </row>
    <row r="32" spans="1:32" outlineLevel="1">
      <c r="B32" s="2577" t="s">
        <v>402</v>
      </c>
      <c r="C32" s="2578"/>
      <c r="D32" s="2578"/>
      <c r="E32" s="2066"/>
      <c r="F32">
        <f t="shared" ca="1" si="0"/>
        <v>1</v>
      </c>
      <c r="G32" s="689"/>
      <c r="H32" s="919">
        <f t="shared" ca="1" si="1"/>
        <v>5</v>
      </c>
      <c r="I32" s="187"/>
      <c r="J32" s="689"/>
      <c r="K32" s="919">
        <f t="shared" ca="1" si="2"/>
        <v>30</v>
      </c>
      <c r="M32" s="528"/>
      <c r="N32" s="532"/>
      <c r="O32" s="532"/>
      <c r="P32" s="533"/>
      <c r="V32" s="36"/>
      <c r="W32" s="36"/>
      <c r="X32" s="36"/>
      <c r="Y32" s="2643"/>
      <c r="Z32" s="2644"/>
      <c r="AA32" s="2644"/>
      <c r="AB32" s="2645"/>
      <c r="AC32" s="36"/>
      <c r="AD32" s="36"/>
      <c r="AE32" s="36"/>
      <c r="AF32" s="36"/>
    </row>
    <row r="33" spans="1:32" outlineLevel="1">
      <c r="B33" s="2577" t="s">
        <v>401</v>
      </c>
      <c r="C33" s="2578"/>
      <c r="D33" s="2578"/>
      <c r="E33" s="2066"/>
      <c r="F33">
        <f t="shared" ca="1" si="0"/>
        <v>0</v>
      </c>
      <c r="G33" s="689"/>
      <c r="H33" s="919">
        <f t="shared" ca="1" si="1"/>
        <v>5.91</v>
      </c>
      <c r="I33" s="187"/>
      <c r="J33" s="689"/>
      <c r="K33" s="919">
        <f t="shared" ca="1" si="2"/>
        <v>30</v>
      </c>
      <c r="M33" s="528"/>
      <c r="N33" s="532"/>
      <c r="O33" s="532"/>
      <c r="P33" s="533"/>
      <c r="V33" s="36"/>
      <c r="W33" s="36"/>
      <c r="X33" s="36"/>
      <c r="Y33" s="2643"/>
      <c r="Z33" s="2644"/>
      <c r="AA33" s="2644"/>
      <c r="AB33" s="2645"/>
      <c r="AC33" s="36"/>
      <c r="AD33" s="36"/>
      <c r="AE33" s="36"/>
      <c r="AF33" s="36"/>
    </row>
    <row r="34" spans="1:32" outlineLevel="1">
      <c r="B34" s="2577" t="s">
        <v>403</v>
      </c>
      <c r="C34" s="2578"/>
      <c r="D34" s="2578"/>
      <c r="E34" s="2066"/>
      <c r="F34">
        <f t="shared" ca="1" si="0"/>
        <v>0</v>
      </c>
      <c r="G34" s="689"/>
      <c r="H34" s="919">
        <f t="shared" ca="1" si="1"/>
        <v>5.91</v>
      </c>
      <c r="I34" s="187"/>
      <c r="J34" s="689"/>
      <c r="K34" s="919">
        <f t="shared" ca="1" si="2"/>
        <v>30</v>
      </c>
      <c r="M34" s="528"/>
      <c r="N34" s="532"/>
      <c r="O34" s="532"/>
      <c r="P34" s="533"/>
      <c r="V34" s="36"/>
      <c r="W34" s="36"/>
      <c r="X34" s="36"/>
      <c r="Y34" s="2643"/>
      <c r="Z34" s="2644"/>
      <c r="AA34" s="2644"/>
      <c r="AB34" s="2645"/>
      <c r="AC34" s="36" t="s">
        <v>169</v>
      </c>
      <c r="AD34" s="36"/>
      <c r="AE34" s="36"/>
      <c r="AF34" s="36"/>
    </row>
    <row r="35" spans="1:32" outlineLevel="1">
      <c r="B35" s="2577" t="s">
        <v>404</v>
      </c>
      <c r="C35" s="2578"/>
      <c r="D35" s="2578"/>
      <c r="E35" s="2066"/>
      <c r="F35">
        <f t="shared" ca="1" si="0"/>
        <v>0</v>
      </c>
      <c r="G35" s="689"/>
      <c r="H35" s="919">
        <f t="shared" ca="1" si="1"/>
        <v>5</v>
      </c>
      <c r="I35" s="187"/>
      <c r="J35" s="689"/>
      <c r="K35" s="919">
        <f t="shared" ca="1" si="2"/>
        <v>30</v>
      </c>
      <c r="M35" s="528"/>
      <c r="N35" s="532"/>
      <c r="O35" s="532"/>
      <c r="P35" s="533"/>
      <c r="V35" s="36"/>
      <c r="W35" s="36"/>
      <c r="X35" s="36"/>
      <c r="Y35" s="2643"/>
      <c r="Z35" s="2644"/>
      <c r="AA35" s="2644"/>
      <c r="AB35" s="2645"/>
      <c r="AC35" s="36" t="s">
        <v>167</v>
      </c>
      <c r="AD35" s="36"/>
      <c r="AE35" s="36"/>
      <c r="AF35" s="36"/>
    </row>
    <row r="36" spans="1:32" outlineLevel="1">
      <c r="B36" s="2577" t="s">
        <v>416</v>
      </c>
      <c r="C36" s="2578"/>
      <c r="D36" s="2578"/>
      <c r="E36" s="276"/>
      <c r="F36">
        <f t="shared" ca="1" si="0"/>
        <v>0</v>
      </c>
      <c r="G36" s="690"/>
      <c r="H36" s="919" t="str">
        <f t="shared" ca="1" si="1"/>
        <v/>
      </c>
      <c r="I36" s="184"/>
      <c r="J36" s="690"/>
      <c r="K36" s="919" t="str">
        <f t="shared" ca="1" si="2"/>
        <v/>
      </c>
      <c r="M36" s="529"/>
      <c r="N36" s="534"/>
      <c r="O36" s="534"/>
      <c r="P36" s="535"/>
      <c r="V36" s="36"/>
      <c r="W36" s="36"/>
      <c r="X36" s="36"/>
      <c r="Y36" s="2643"/>
      <c r="Z36" s="2644"/>
      <c r="AA36" s="2644"/>
      <c r="AB36" s="2645"/>
      <c r="AC36" s="36"/>
      <c r="AD36" s="36"/>
      <c r="AE36" s="36"/>
      <c r="AF36" s="36"/>
    </row>
    <row r="37" spans="1:32" outlineLevel="1">
      <c r="B37" s="2577" t="s">
        <v>417</v>
      </c>
      <c r="C37" s="2578"/>
      <c r="D37" s="2578"/>
      <c r="E37" s="276"/>
      <c r="F37">
        <f t="shared" ca="1" si="0"/>
        <v>0</v>
      </c>
      <c r="G37" s="690"/>
      <c r="H37" s="919" t="str">
        <f t="shared" ca="1" si="1"/>
        <v/>
      </c>
      <c r="I37" s="184"/>
      <c r="J37" s="690"/>
      <c r="K37" s="919" t="str">
        <f t="shared" ca="1" si="2"/>
        <v/>
      </c>
      <c r="M37" s="529"/>
      <c r="N37" s="534"/>
      <c r="O37" s="534"/>
      <c r="P37" s="535"/>
      <c r="V37" s="36"/>
      <c r="W37" s="36"/>
      <c r="X37" s="36"/>
      <c r="Y37" s="2643"/>
      <c r="Z37" s="2644"/>
      <c r="AA37" s="2644"/>
      <c r="AB37" s="2645"/>
      <c r="AC37" s="36"/>
      <c r="AD37" s="36"/>
      <c r="AE37" s="36"/>
      <c r="AF37" s="36"/>
    </row>
    <row r="38" spans="1:32" outlineLevel="1">
      <c r="B38" s="2632" t="s">
        <v>418</v>
      </c>
      <c r="C38" s="2633"/>
      <c r="D38" s="2633"/>
      <c r="E38" s="210"/>
      <c r="F38">
        <f t="shared" ca="1" si="0"/>
        <v>0</v>
      </c>
      <c r="G38" s="691"/>
      <c r="H38" s="923">
        <f t="shared" ca="1" si="1"/>
        <v>7.8750999999999998</v>
      </c>
      <c r="I38" s="184"/>
      <c r="J38" s="691"/>
      <c r="K38" s="923">
        <f t="shared" ca="1" si="2"/>
        <v>75</v>
      </c>
      <c r="M38" s="530"/>
      <c r="N38" s="536"/>
      <c r="O38" s="536"/>
      <c r="P38" s="537"/>
      <c r="V38" s="36"/>
      <c r="W38" s="36"/>
      <c r="X38" s="36"/>
      <c r="Y38" s="2657"/>
      <c r="Z38" s="2658"/>
      <c r="AA38" s="2658"/>
      <c r="AB38" s="2659"/>
      <c r="AC38" s="36"/>
      <c r="AD38" s="36"/>
      <c r="AE38" s="36"/>
      <c r="AF38" s="36"/>
    </row>
    <row r="39" spans="1:32">
      <c r="A39" s="212" t="s">
        <v>353</v>
      </c>
      <c r="V39" s="36"/>
      <c r="W39" s="36"/>
      <c r="X39" s="36"/>
      <c r="Y39" s="36"/>
      <c r="Z39" s="36"/>
      <c r="AA39" s="36"/>
      <c r="AB39" s="36"/>
      <c r="AC39" s="36"/>
      <c r="AD39" s="36"/>
      <c r="AE39" s="36"/>
      <c r="AF39" s="36"/>
    </row>
    <row r="40" spans="1:32">
      <c r="A40" s="10"/>
      <c r="B40" s="2053"/>
      <c r="C40" s="2053"/>
      <c r="V40" s="36"/>
      <c r="W40" s="36"/>
      <c r="X40" s="36"/>
      <c r="Y40" s="36"/>
      <c r="Z40" s="36"/>
      <c r="AA40" s="36"/>
      <c r="AB40" s="36"/>
      <c r="AC40" s="36"/>
      <c r="AD40" s="36"/>
      <c r="AE40" s="36"/>
      <c r="AF40" s="36"/>
    </row>
    <row r="41" spans="1:32" ht="37.5" customHeight="1">
      <c r="B41" s="2588" t="s">
        <v>5631</v>
      </c>
      <c r="C41" s="2588"/>
      <c r="D41" s="2588"/>
      <c r="E41" s="2588"/>
      <c r="F41" s="148"/>
      <c r="J41" s="2616"/>
      <c r="K41" s="2616"/>
      <c r="L41" s="2616"/>
      <c r="M41" s="2616"/>
      <c r="V41" s="36"/>
      <c r="W41" s="36"/>
      <c r="X41" s="36"/>
      <c r="Y41" s="2690"/>
      <c r="Z41" s="2690"/>
      <c r="AA41" s="2690"/>
      <c r="AB41" s="2690"/>
      <c r="AC41" s="36"/>
      <c r="AD41" s="36"/>
      <c r="AE41" s="36"/>
      <c r="AF41" s="36"/>
    </row>
    <row r="42" spans="1:32" ht="29.15" outlineLevel="1">
      <c r="A42" s="10"/>
      <c r="B42" s="2617" t="s">
        <v>34</v>
      </c>
      <c r="C42" s="2618"/>
      <c r="D42" s="1636" t="s">
        <v>35</v>
      </c>
      <c r="E42" s="1637"/>
      <c r="F42" s="616"/>
      <c r="G42" s="253" t="s">
        <v>17</v>
      </c>
      <c r="H42" s="2056" t="s">
        <v>2510</v>
      </c>
      <c r="J42" s="2619" t="s">
        <v>420</v>
      </c>
      <c r="K42" s="2620"/>
      <c r="L42" s="2620"/>
      <c r="M42" s="2621"/>
      <c r="V42" s="36"/>
      <c r="W42" s="36"/>
      <c r="X42" s="36"/>
      <c r="Y42" s="2687"/>
      <c r="Z42" s="2687"/>
      <c r="AA42" s="2687"/>
      <c r="AB42" s="2687"/>
      <c r="AC42" s="36"/>
      <c r="AD42" s="36"/>
      <c r="AE42" s="36"/>
      <c r="AF42" s="36"/>
    </row>
    <row r="43" spans="1:32" outlineLevel="1">
      <c r="A43" s="10"/>
      <c r="B43" s="2624" t="s">
        <v>136</v>
      </c>
      <c r="C43" s="2625"/>
      <c r="D43" s="2055" t="s">
        <v>164</v>
      </c>
      <c r="E43" s="205">
        <f t="shared" ref="E43:E78" ca="1" si="3">IF(OR($K$136=B43,$N$136=B43,$Q$136=B43,$T$136=B43,$W$136=B43,
$K$156=B43,$N$156=B43,$Q$156=B43,$T$156=B43,$W$156=B43,
$K$176=B43,$N$176=B43,$Q$176=B43,$T$176=B43,$W$176=B43,
$K$200=B43,$N$200=B43,$Q$200=B43,$T$200=B43,$W$200=B43,
$K$220=B43,$N$220=B43,$Q$220=B43,$T$220=B43,$W$220=B43,
$K$240=B43,$N$240=B43,$Q$240=B43,$T$240=B43,$W$240=B43,
$K$264=B43,$N$264=B43,$Q$264=B43,$T$264=B43,$W$264=B43,
$K$284=B43,$N$284=B43,$Q$284=B43,$T$284=B43,$W$284=B43,
$K$304=B43,$N$304=B43,$Q$304=B43,$T$304=B43,$W$304=B43),1,0)</f>
        <v>0</v>
      </c>
      <c r="F43" s="549" t="str">
        <f t="shared" ref="F43:F78" si="4">B43&amp;D43</f>
        <v>Public Transport 1Average cost ($) per trip (one-way)</v>
      </c>
      <c r="G43" s="538"/>
      <c r="H43" s="917">
        <f ca="1">IF(G43&lt;&gt;"",G43,IFERROR(IF(INDIRECT("'"&amp;$G$5&amp;"'!"&amp;ADDRESS(ROW(H43),COLUMN(H43)))="","",INDIRECT("'"&amp;$G$5&amp;"'!"&amp;ADDRESS(ROW(H43),COLUMN(H43)))*$H$6),IF($G$5&lt;&gt;"","Data Source Error","")))</f>
        <v>0</v>
      </c>
      <c r="J43" s="2626"/>
      <c r="K43" s="2627"/>
      <c r="L43" s="2627"/>
      <c r="M43" s="2628"/>
      <c r="V43" s="36"/>
      <c r="W43" s="36"/>
      <c r="X43" s="36"/>
      <c r="Y43" s="2687"/>
      <c r="Z43" s="2687"/>
      <c r="AA43" s="2687"/>
      <c r="AB43" s="2687"/>
      <c r="AC43" s="36"/>
      <c r="AD43" s="36"/>
      <c r="AE43" s="36"/>
      <c r="AF43" s="36"/>
    </row>
    <row r="44" spans="1:32" outlineLevel="1">
      <c r="A44" s="10"/>
      <c r="B44" s="2558" t="s">
        <v>136</v>
      </c>
      <c r="C44" s="2559"/>
      <c r="D44" s="2054" t="s">
        <v>135</v>
      </c>
      <c r="E44" s="205">
        <f t="shared" ca="1" si="3"/>
        <v>0</v>
      </c>
      <c r="F44" s="549" t="str">
        <f t="shared" si="4"/>
        <v>Public Transport 1Average duration (hrs) per trip</v>
      </c>
      <c r="G44" s="539"/>
      <c r="H44" s="918">
        <f ca="1">IF(G44&lt;&gt;"",G44,IFERROR(IF(INDIRECT("'"&amp;$G$5&amp;"'!"&amp;ADDRESS(ROW(H44),COLUMN(H44)))="","",INDIRECT("'"&amp;$G$5&amp;"'!"&amp;ADDRESS(ROW(H44),COLUMN(H44)))),IF($G$5&lt;&gt;"","Data Source Error","")))</f>
        <v>0</v>
      </c>
      <c r="J44" s="523"/>
      <c r="K44" s="545"/>
      <c r="L44" s="545"/>
      <c r="M44" s="546"/>
      <c r="V44" s="36"/>
      <c r="W44" s="36"/>
      <c r="X44" s="36"/>
      <c r="Y44" s="2687"/>
      <c r="Z44" s="2687"/>
      <c r="AA44" s="2687"/>
      <c r="AB44" s="2687"/>
      <c r="AC44" s="36"/>
      <c r="AD44" s="36"/>
      <c r="AE44" s="36"/>
      <c r="AF44" s="36"/>
    </row>
    <row r="45" spans="1:32" outlineLevel="1">
      <c r="A45" s="10"/>
      <c r="B45" s="2558" t="s">
        <v>136</v>
      </c>
      <c r="C45" s="2559"/>
      <c r="D45" s="2063" t="s">
        <v>2511</v>
      </c>
      <c r="E45" s="205">
        <f t="shared" ca="1" si="3"/>
        <v>0</v>
      </c>
      <c r="F45" s="549" t="str">
        <f t="shared" si="4"/>
        <v>Public Transport 1Maximum delivery capacity (m^3)</v>
      </c>
      <c r="G45" s="539"/>
      <c r="H45" s="918">
        <f ca="1">IF(G45&lt;&gt;"",G45,IFERROR(IF(INDIRECT("'"&amp;$G$5&amp;"'!"&amp;ADDRESS(ROW(H45),COLUMN(H45)))="","",INDIRECT("'"&amp;$G$5&amp;"'!"&amp;ADDRESS(ROW(H45),COLUMN(H45)))),IF($G$5&lt;&gt;"","Data Source Error","")))</f>
        <v>0</v>
      </c>
      <c r="J45" s="523"/>
      <c r="K45" s="545"/>
      <c r="L45" s="545"/>
      <c r="M45" s="546"/>
      <c r="Y45" s="2687"/>
      <c r="Z45" s="2687"/>
      <c r="AA45" s="2687"/>
      <c r="AB45" s="2687"/>
    </row>
    <row r="46" spans="1:32" outlineLevel="1">
      <c r="A46" s="10"/>
      <c r="B46" s="2624" t="s">
        <v>137</v>
      </c>
      <c r="C46" s="2625"/>
      <c r="D46" s="1822" t="s">
        <v>164</v>
      </c>
      <c r="E46" s="205">
        <f t="shared" ca="1" si="3"/>
        <v>0</v>
      </c>
      <c r="F46" s="549" t="str">
        <f t="shared" si="4"/>
        <v>Public Transport 2Average cost ($) per trip (one-way)</v>
      </c>
      <c r="G46" s="538"/>
      <c r="H46" s="917">
        <f ca="1">IF(G46&lt;&gt;"",G46,IFERROR(IF(INDIRECT("'"&amp;$G$5&amp;"'!"&amp;ADDRESS(ROW(H46),COLUMN(H46)))="","",INDIRECT("'"&amp;$G$5&amp;"'!"&amp;ADDRESS(ROW(H46),COLUMN(H46)))*$H$6),IF($G$5&lt;&gt;"","Data Source Error","")))</f>
        <v>0</v>
      </c>
      <c r="J46" s="523"/>
      <c r="K46" s="545"/>
      <c r="L46" s="545"/>
      <c r="M46" s="546"/>
      <c r="Y46" s="2687"/>
      <c r="Z46" s="2687"/>
      <c r="AA46" s="2687"/>
      <c r="AB46" s="2687"/>
    </row>
    <row r="47" spans="1:32" outlineLevel="1">
      <c r="A47" s="10"/>
      <c r="B47" s="2558" t="s">
        <v>137</v>
      </c>
      <c r="C47" s="2559"/>
      <c r="D47" s="2063" t="s">
        <v>135</v>
      </c>
      <c r="E47" s="205">
        <f t="shared" ca="1" si="3"/>
        <v>0</v>
      </c>
      <c r="F47" s="549" t="str">
        <f t="shared" si="4"/>
        <v>Public Transport 2Average duration (hrs) per trip</v>
      </c>
      <c r="G47" s="539"/>
      <c r="H47" s="918">
        <f ca="1">IF(G47&lt;&gt;"",G47,IFERROR(IF(INDIRECT("'"&amp;$G$5&amp;"'!"&amp;ADDRESS(ROW(H47),COLUMN(H47)))="","",INDIRECT("'"&amp;$G$5&amp;"'!"&amp;ADDRESS(ROW(H47),COLUMN(H47)))),IF($G$5&lt;&gt;"","Data Source Error","")))</f>
        <v>0</v>
      </c>
      <c r="J47" s="523"/>
      <c r="K47" s="545"/>
      <c r="L47" s="545"/>
      <c r="M47" s="546"/>
      <c r="Y47" s="2687"/>
      <c r="Z47" s="2687"/>
      <c r="AA47" s="2687"/>
      <c r="AB47" s="2687"/>
    </row>
    <row r="48" spans="1:32" outlineLevel="1">
      <c r="A48" s="10"/>
      <c r="B48" s="2558" t="s">
        <v>137</v>
      </c>
      <c r="C48" s="2559"/>
      <c r="D48" s="2063" t="s">
        <v>2511</v>
      </c>
      <c r="E48" s="205">
        <f t="shared" ca="1" si="3"/>
        <v>0</v>
      </c>
      <c r="F48" s="549" t="str">
        <f t="shared" si="4"/>
        <v>Public Transport 2Maximum delivery capacity (m^3)</v>
      </c>
      <c r="G48" s="539"/>
      <c r="H48" s="918">
        <f ca="1">IF(G48&lt;&gt;"",G48,IFERROR(IF(INDIRECT("'"&amp;$G$5&amp;"'!"&amp;ADDRESS(ROW(H48),COLUMN(H48)))="","",INDIRECT("'"&amp;$G$5&amp;"'!"&amp;ADDRESS(ROW(H48),COLUMN(H48)))),IF($G$5&lt;&gt;"","Data Source Error","")))</f>
        <v>0</v>
      </c>
      <c r="J48" s="523"/>
      <c r="K48" s="545"/>
      <c r="L48" s="545"/>
      <c r="M48" s="546"/>
      <c r="Y48" s="2687"/>
      <c r="Z48" s="2687"/>
      <c r="AA48" s="2687"/>
      <c r="AB48" s="2687"/>
    </row>
    <row r="49" spans="1:28" ht="18" customHeight="1" outlineLevel="1">
      <c r="A49" s="10"/>
      <c r="B49" s="2624" t="s">
        <v>36</v>
      </c>
      <c r="C49" s="2625"/>
      <c r="D49" s="208" t="s">
        <v>1545</v>
      </c>
      <c r="E49" s="205">
        <f t="shared" ca="1" si="3"/>
        <v>0</v>
      </c>
      <c r="F49" s="549" t="str">
        <f t="shared" si="4"/>
        <v>MotorcyclePurchase Price ($)</v>
      </c>
      <c r="G49" s="540"/>
      <c r="H49" s="917" t="str">
        <f ca="1">IF(G49&lt;&gt;"",G49,IFERROR(IF(INDIRECT("'"&amp;$G$5&amp;"'!"&amp;ADDRESS(ROW(H49),COLUMN(H49)))="","",INDIRECT("'"&amp;$G$5&amp;"'!"&amp;ADDRESS(ROW(H49),COLUMN(H49)))*$H$6),IF($G$5&lt;&gt;"","Data Source Error","")))</f>
        <v/>
      </c>
      <c r="J49" s="523"/>
      <c r="K49" s="545"/>
      <c r="L49" s="545"/>
      <c r="M49" s="546"/>
      <c r="Y49" s="2687"/>
      <c r="Z49" s="2687"/>
      <c r="AA49" s="2687"/>
      <c r="AB49" s="2687"/>
    </row>
    <row r="50" spans="1:28" outlineLevel="1">
      <c r="A50" s="10"/>
      <c r="B50" s="2558" t="s">
        <v>36</v>
      </c>
      <c r="C50" s="2559"/>
      <c r="D50" s="191" t="s">
        <v>2513</v>
      </c>
      <c r="E50" s="1064">
        <f t="shared" ca="1" si="3"/>
        <v>0</v>
      </c>
      <c r="F50" s="549" t="str">
        <f t="shared" si="4"/>
        <v>MotorcycleDepreciation Cost / yr ($)</v>
      </c>
      <c r="G50" s="541"/>
      <c r="H50" s="919" t="str">
        <f ca="1">IF(G50&lt;&gt;"",G50,IFERROR(IF(G49&lt;&gt;"",H49/$H$11,IF(INDIRECT("'"&amp;$G$5&amp;"'!"&amp;ADDRESS(ROW(H50),COLUMN(H50)))="",IF(H49="","",H49/$H$11),INDIRECT("'"&amp;$G$5&amp;"'!"&amp;ADDRESS(ROW(H50),COLUMN(H50))))*$H$6),IF(INDIRECT("'"&amp;$G$5&amp;"'!"&amp;ADDRESS(ROW(H50),COLUMN(H50)))="","",IF($G$5&lt;&gt;"","Data Source Error",""))))</f>
        <v/>
      </c>
      <c r="J50" s="523"/>
      <c r="K50" s="545"/>
      <c r="L50" s="545"/>
      <c r="M50" s="546"/>
      <c r="Y50" s="2687"/>
      <c r="Z50" s="2687"/>
      <c r="AA50" s="2687"/>
      <c r="AB50" s="2687"/>
    </row>
    <row r="51" spans="1:28" outlineLevel="1">
      <c r="A51" s="10"/>
      <c r="B51" s="2558" t="s">
        <v>36</v>
      </c>
      <c r="C51" s="2559"/>
      <c r="D51" s="191" t="s">
        <v>2514</v>
      </c>
      <c r="E51" s="205">
        <f t="shared" ca="1" si="3"/>
        <v>0</v>
      </c>
      <c r="F51" s="549" t="str">
        <f t="shared" si="4"/>
        <v>MotorcycleInsurance cost /yr ($)</v>
      </c>
      <c r="G51" s="542"/>
      <c r="H51" s="919" t="str">
        <f ca="1">IF(G51&lt;&gt;"",G51,IFERROR(IF(INDIRECT("'"&amp;$G$5&amp;"'!"&amp;ADDRESS(ROW(H51),COLUMN(H51)))="","",INDIRECT("'"&amp;$G$5&amp;"'!"&amp;ADDRESS(ROW(H51),COLUMN(H51)))*$H$6),IF($G$5&lt;&gt;"","Data Source Error","")))</f>
        <v/>
      </c>
      <c r="J51" s="523"/>
      <c r="K51" s="545"/>
      <c r="L51" s="545"/>
      <c r="M51" s="546"/>
      <c r="Y51" s="2687"/>
      <c r="Z51" s="2687"/>
      <c r="AA51" s="2687"/>
      <c r="AB51" s="2687"/>
    </row>
    <row r="52" spans="1:28" outlineLevel="1">
      <c r="A52" s="10"/>
      <c r="B52" s="2558" t="s">
        <v>36</v>
      </c>
      <c r="C52" s="2559"/>
      <c r="D52" s="191" t="s">
        <v>2515</v>
      </c>
      <c r="E52" s="205">
        <f t="shared" ca="1" si="3"/>
        <v>0</v>
      </c>
      <c r="F52" s="549" t="str">
        <f t="shared" si="4"/>
        <v>MotorcycleMaintenance cost/km ($)</v>
      </c>
      <c r="G52" s="542"/>
      <c r="H52" s="919" t="str">
        <f ca="1">IF(G52&lt;&gt;"",G52,IFERROR(IF(INDIRECT("'"&amp;$G$5&amp;"'!"&amp;ADDRESS(ROW(H52),COLUMN(H52)))="","",INDIRECT("'"&amp;$G$5&amp;"'!"&amp;ADDRESS(ROW(H52),COLUMN(H52)))*$H$6),IF($G$5&lt;&gt;"","Data Source Error","")))</f>
        <v/>
      </c>
      <c r="J52" s="523"/>
      <c r="K52" s="545"/>
      <c r="L52" s="545"/>
      <c r="M52" s="546"/>
      <c r="Y52" s="2687"/>
      <c r="Z52" s="2687"/>
      <c r="AA52" s="2687"/>
      <c r="AB52" s="2687"/>
    </row>
    <row r="53" spans="1:28" outlineLevel="1">
      <c r="A53" s="10"/>
      <c r="B53" s="2558" t="s">
        <v>36</v>
      </c>
      <c r="C53" s="2559"/>
      <c r="D53" s="191" t="s">
        <v>41</v>
      </c>
      <c r="E53" s="205">
        <f t="shared" ca="1" si="3"/>
        <v>0</v>
      </c>
      <c r="F53" s="549" t="str">
        <f t="shared" si="4"/>
        <v>MotorcycleFuel Efficiency (km/liter)</v>
      </c>
      <c r="G53" s="543"/>
      <c r="H53" s="918" t="str">
        <f ca="1">IF(G53&lt;&gt;"",G53,IFERROR(IF(INDIRECT("'"&amp;$G$5&amp;"'!"&amp;ADDRESS(ROW(H53),COLUMN(H53)))="","",INDIRECT("'"&amp;$G$5&amp;"'!"&amp;ADDRESS(ROW(H53),COLUMN(H53)))),IF($G$5&lt;&gt;"","Data Source Error","")))</f>
        <v/>
      </c>
      <c r="J53" s="523"/>
      <c r="K53" s="545"/>
      <c r="L53" s="545"/>
      <c r="M53" s="546"/>
      <c r="Y53" s="2687"/>
      <c r="Z53" s="2687"/>
      <c r="AA53" s="2687"/>
      <c r="AB53" s="2687"/>
    </row>
    <row r="54" spans="1:28" ht="15.45" outlineLevel="1">
      <c r="A54" s="10"/>
      <c r="B54" s="2585" t="s">
        <v>36</v>
      </c>
      <c r="C54" s="2586"/>
      <c r="D54" s="207" t="s">
        <v>43</v>
      </c>
      <c r="E54" s="205">
        <f t="shared" ca="1" si="3"/>
        <v>0</v>
      </c>
      <c r="F54" s="549" t="str">
        <f t="shared" si="4"/>
        <v>MotorcycleDelivery Capacity (m^3)</v>
      </c>
      <c r="G54" s="544"/>
      <c r="H54" s="920" t="str">
        <f ca="1">IF(G54&lt;&gt;"",G54,IFERROR(IF(INDIRECT("'"&amp;$G$5&amp;"'!"&amp;ADDRESS(ROW(H54),COLUMN(H54)))="","",INDIRECT("'"&amp;$G$5&amp;"'!"&amp;ADDRESS(ROW(H54),COLUMN(H54)))),IF($G$5&lt;&gt;"","Data Source Error","")))</f>
        <v/>
      </c>
      <c r="J54" s="523"/>
      <c r="K54" s="545"/>
      <c r="L54" s="545"/>
      <c r="M54" s="546"/>
      <c r="O54" s="218"/>
      <c r="Y54" s="2687"/>
      <c r="Z54" s="2687"/>
      <c r="AA54" s="2687"/>
      <c r="AB54" s="2687"/>
    </row>
    <row r="55" spans="1:28" outlineLevel="1">
      <c r="A55" s="10"/>
      <c r="B55" s="2624" t="s">
        <v>407</v>
      </c>
      <c r="C55" s="2625"/>
      <c r="D55" s="208" t="s">
        <v>1545</v>
      </c>
      <c r="E55" s="205">
        <f t="shared" ca="1" si="3"/>
        <v>1</v>
      </c>
      <c r="F55" s="549" t="str">
        <f t="shared" si="4"/>
        <v>Car/Sport Utility/Consumer VehiclePurchase Price ($)</v>
      </c>
      <c r="G55" s="540"/>
      <c r="H55" s="917">
        <f ca="1">IF(G55&lt;&gt;"",G55,IFERROR(IF(INDIRECT("'"&amp;$G$5&amp;"'!"&amp;ADDRESS(ROW(H55),COLUMN(H55)))="","",INDIRECT("'"&amp;$G$5&amp;"'!"&amp;ADDRESS(ROW(H55),COLUMN(H55)))*$H$6),IF($G$5&lt;&gt;"","Data Source Error","")))</f>
        <v>60939.499795095864</v>
      </c>
      <c r="J55" s="523"/>
      <c r="K55" s="545"/>
      <c r="L55" s="545"/>
      <c r="M55" s="546"/>
      <c r="Y55" s="2687"/>
      <c r="Z55" s="2687"/>
      <c r="AA55" s="2687"/>
      <c r="AB55" s="2687"/>
    </row>
    <row r="56" spans="1:28" outlineLevel="1">
      <c r="A56" s="10"/>
      <c r="B56" s="2558" t="s">
        <v>407</v>
      </c>
      <c r="C56" s="2559"/>
      <c r="D56" s="191" t="s">
        <v>2513</v>
      </c>
      <c r="E56" s="205">
        <f t="shared" ca="1" si="3"/>
        <v>1</v>
      </c>
      <c r="F56" s="549" t="str">
        <f t="shared" si="4"/>
        <v>Car/Sport Utility/Consumer VehicleDepreciation Cost / yr ($)</v>
      </c>
      <c r="G56" s="541"/>
      <c r="H56" s="919">
        <f ca="1">IF(G56&lt;&gt;"",G56,IFERROR(IF(G55&lt;&gt;"",H55/$H$11,IF(INDIRECT("'"&amp;$G$5&amp;"'!"&amp;ADDRESS(ROW(H56),COLUMN(H56)))="",IF(H55="","",H55/$H$11),INDIRECT("'"&amp;$G$5&amp;"'!"&amp;ADDRESS(ROW(H56),COLUMN(H56))))*$H$6),IF(INDIRECT("'"&amp;$G$5&amp;"'!"&amp;ADDRESS(ROW(H56),COLUMN(H56)))="","",IF($G$5&lt;&gt;"","Data Source Error",""))))</f>
        <v>12187.899959019172</v>
      </c>
      <c r="J56" s="523"/>
      <c r="K56" s="545"/>
      <c r="L56" s="545"/>
      <c r="M56" s="546"/>
      <c r="Y56" s="2687"/>
      <c r="Z56" s="2687"/>
      <c r="AA56" s="2687"/>
      <c r="AB56" s="2687"/>
    </row>
    <row r="57" spans="1:28" outlineLevel="1">
      <c r="A57" s="10"/>
      <c r="B57" s="2558" t="s">
        <v>407</v>
      </c>
      <c r="C57" s="2559"/>
      <c r="D57" s="191" t="s">
        <v>2514</v>
      </c>
      <c r="E57" s="205">
        <f t="shared" ca="1" si="3"/>
        <v>1</v>
      </c>
      <c r="F57" s="549" t="str">
        <f t="shared" si="4"/>
        <v>Car/Sport Utility/Consumer VehicleInsurance cost /yr ($)</v>
      </c>
      <c r="G57" s="542"/>
      <c r="H57" s="919">
        <f ca="1">IF(G57&lt;&gt;"",G57,IFERROR(IF(INDIRECT("'"&amp;$G$5&amp;"'!"&amp;ADDRESS(ROW(H57),COLUMN(H57)))="","",INDIRECT("'"&amp;$G$5&amp;"'!"&amp;ADDRESS(ROW(H57),COLUMN(H57)))*$H$6),IF($G$5&lt;&gt;"","Data Source Error","")))</f>
        <v>2323.9499999999998</v>
      </c>
      <c r="J57" s="523"/>
      <c r="K57" s="545"/>
      <c r="L57" s="545"/>
      <c r="M57" s="546"/>
      <c r="Y57" s="2687"/>
      <c r="Z57" s="2687"/>
      <c r="AA57" s="2687"/>
      <c r="AB57" s="2687"/>
    </row>
    <row r="58" spans="1:28" outlineLevel="1">
      <c r="A58" s="10"/>
      <c r="B58" s="2558" t="s">
        <v>407</v>
      </c>
      <c r="C58" s="2559"/>
      <c r="D58" s="191" t="s">
        <v>2515</v>
      </c>
      <c r="E58" s="205">
        <f t="shared" ca="1" si="3"/>
        <v>1</v>
      </c>
      <c r="F58" s="549" t="str">
        <f t="shared" si="4"/>
        <v>Car/Sport Utility/Consumer VehicleMaintenance cost/km ($)</v>
      </c>
      <c r="G58" s="542"/>
      <c r="H58" s="919">
        <f ca="1">IF(G58&lt;&gt;"",G58,IFERROR(IF(INDIRECT("'"&amp;$G$5&amp;"'!"&amp;ADDRESS(ROW(H58),COLUMN(H58)))="","",INDIRECT("'"&amp;$G$5&amp;"'!"&amp;ADDRESS(ROW(H58),COLUMN(H58)))*$H$6),IF($G$5&lt;&gt;"","Data Source Error","")))</f>
        <v>0.12</v>
      </c>
      <c r="J58" s="523"/>
      <c r="K58" s="545"/>
      <c r="L58" s="545"/>
      <c r="M58" s="546"/>
      <c r="Y58" s="2687"/>
      <c r="Z58" s="2687"/>
      <c r="AA58" s="2687"/>
      <c r="AB58" s="2687"/>
    </row>
    <row r="59" spans="1:28" outlineLevel="1">
      <c r="A59" s="10"/>
      <c r="B59" s="2558" t="s">
        <v>407</v>
      </c>
      <c r="C59" s="2559"/>
      <c r="D59" s="191" t="s">
        <v>41</v>
      </c>
      <c r="E59" s="205">
        <f t="shared" ca="1" si="3"/>
        <v>1</v>
      </c>
      <c r="F59" s="549" t="str">
        <f t="shared" si="4"/>
        <v>Car/Sport Utility/Consumer VehicleFuel Efficiency (km/liter)</v>
      </c>
      <c r="G59" s="543"/>
      <c r="H59" s="918">
        <f ca="1">IF(G59&lt;&gt;"",G59,IFERROR(IF(INDIRECT("'"&amp;$G$5&amp;"'!"&amp;ADDRESS(ROW(H59),COLUMN(H59)))="","",INDIRECT("'"&amp;$G$5&amp;"'!"&amp;ADDRESS(ROW(H59),COLUMN(H59)))),IF($G$5&lt;&gt;"","Data Source Error","")))</f>
        <v>6.9</v>
      </c>
      <c r="J59" s="523"/>
      <c r="K59" s="545"/>
      <c r="L59" s="545"/>
      <c r="M59" s="546"/>
      <c r="Y59" s="2687"/>
      <c r="Z59" s="2687"/>
      <c r="AA59" s="2687"/>
      <c r="AB59" s="2687"/>
    </row>
    <row r="60" spans="1:28" outlineLevel="1">
      <c r="A60" s="10"/>
      <c r="B60" s="2585" t="s">
        <v>407</v>
      </c>
      <c r="C60" s="2586"/>
      <c r="D60" s="207" t="s">
        <v>43</v>
      </c>
      <c r="E60" s="205">
        <f t="shared" ca="1" si="3"/>
        <v>1</v>
      </c>
      <c r="F60" s="549" t="str">
        <f t="shared" si="4"/>
        <v>Car/Sport Utility/Consumer VehicleDelivery Capacity (m^3)</v>
      </c>
      <c r="G60" s="544"/>
      <c r="H60" s="920">
        <f ca="1">IF(G60&lt;&gt;"",G60,IFERROR(IF(INDIRECT("'"&amp;$G$5&amp;"'!"&amp;ADDRESS(ROW(H60),COLUMN(H60)))="","",INDIRECT("'"&amp;$G$5&amp;"'!"&amp;ADDRESS(ROW(H60),COLUMN(H60)))),IF($G$5&lt;&gt;"","Data Source Error","")))</f>
        <v>2</v>
      </c>
      <c r="J60" s="523"/>
      <c r="K60" s="545"/>
      <c r="L60" s="545"/>
      <c r="M60" s="546"/>
      <c r="Y60" s="2687"/>
      <c r="Z60" s="2687"/>
      <c r="AA60" s="2687"/>
      <c r="AB60" s="2687"/>
    </row>
    <row r="61" spans="1:28" outlineLevel="1">
      <c r="A61" s="10"/>
      <c r="B61" s="2624" t="s">
        <v>279</v>
      </c>
      <c r="C61" s="2625"/>
      <c r="D61" s="208" t="s">
        <v>1545</v>
      </c>
      <c r="E61" s="205">
        <f t="shared" ca="1" si="3"/>
        <v>1</v>
      </c>
      <c r="F61" s="549" t="str">
        <f t="shared" si="4"/>
        <v>Commercial TruckPurchase Price ($)</v>
      </c>
      <c r="G61" s="540"/>
      <c r="H61" s="917">
        <f ca="1">IF(G61&lt;&gt;"",G61,IFERROR(IF(INDIRECT("'"&amp;$G$5&amp;"'!"&amp;ADDRESS(ROW(H61),COLUMN(H61)))="","",INDIRECT("'"&amp;$G$5&amp;"'!"&amp;ADDRESS(ROW(H61),COLUMN(H61)))*$H$6),IF($G$5&lt;&gt;"","Data Source Error","")))</f>
        <v>70448.990000000005</v>
      </c>
      <c r="J61" s="523"/>
      <c r="K61" s="545"/>
      <c r="L61" s="545"/>
      <c r="M61" s="546"/>
      <c r="Y61" s="2687"/>
      <c r="Z61" s="2687"/>
      <c r="AA61" s="2687"/>
      <c r="AB61" s="2687"/>
    </row>
    <row r="62" spans="1:28" outlineLevel="1">
      <c r="A62" s="10"/>
      <c r="B62" s="2558" t="s">
        <v>279</v>
      </c>
      <c r="C62" s="2559"/>
      <c r="D62" s="191" t="s">
        <v>2513</v>
      </c>
      <c r="E62" s="1064">
        <f t="shared" ca="1" si="3"/>
        <v>1</v>
      </c>
      <c r="F62" s="549" t="str">
        <f t="shared" si="4"/>
        <v>Commercial TruckDepreciation Cost / yr ($)</v>
      </c>
      <c r="G62" s="541"/>
      <c r="H62" s="919">
        <f ca="1">IF(G62&lt;&gt;"",G62,IFERROR(IF(G61&lt;&gt;"",H61/$H$11,IF(INDIRECT("'"&amp;$G$5&amp;"'!"&amp;ADDRESS(ROW(H62),COLUMN(H62)))="",IF(H61="","",H61/$H$11),INDIRECT("'"&amp;$G$5&amp;"'!"&amp;ADDRESS(ROW(H62),COLUMN(H62))))*$H$6),IF(INDIRECT("'"&amp;$G$5&amp;"'!"&amp;ADDRESS(ROW(H62),COLUMN(H62)))="","",IF($G$5&lt;&gt;"","Data Source Error",""))))</f>
        <v>14089.798000000001</v>
      </c>
      <c r="J62" s="523"/>
      <c r="K62" s="545"/>
      <c r="L62" s="545"/>
      <c r="M62" s="546"/>
      <c r="Y62" s="2687"/>
      <c r="Z62" s="2687"/>
      <c r="AA62" s="2687"/>
      <c r="AB62" s="2687"/>
    </row>
    <row r="63" spans="1:28" outlineLevel="1">
      <c r="A63" s="10"/>
      <c r="B63" s="2558" t="s">
        <v>279</v>
      </c>
      <c r="C63" s="2559"/>
      <c r="D63" s="191" t="s">
        <v>2514</v>
      </c>
      <c r="E63" s="205">
        <f t="shared" ca="1" si="3"/>
        <v>1</v>
      </c>
      <c r="F63" s="549" t="str">
        <f t="shared" si="4"/>
        <v>Commercial TruckInsurance cost /yr ($)</v>
      </c>
      <c r="G63" s="542"/>
      <c r="H63" s="919">
        <f ca="1">IF(G63&lt;&gt;"",G63,IFERROR(IF(INDIRECT("'"&amp;$G$5&amp;"'!"&amp;ADDRESS(ROW(H63),COLUMN(H63)))="","",INDIRECT("'"&amp;$G$5&amp;"'!"&amp;ADDRESS(ROW(H63),COLUMN(H63)))*$H$6),IF($G$5&lt;&gt;"","Data Source Error","")))</f>
        <v>2575.86</v>
      </c>
      <c r="J63" s="523"/>
      <c r="K63" s="545"/>
      <c r="L63" s="545"/>
      <c r="M63" s="546"/>
      <c r="Y63" s="2687"/>
      <c r="Z63" s="2687"/>
      <c r="AA63" s="2687"/>
      <c r="AB63" s="2687"/>
    </row>
    <row r="64" spans="1:28" outlineLevel="1">
      <c r="A64" s="10"/>
      <c r="B64" s="2558" t="s">
        <v>279</v>
      </c>
      <c r="C64" s="2559"/>
      <c r="D64" s="191" t="s">
        <v>2515</v>
      </c>
      <c r="E64" s="205">
        <f t="shared" ca="1" si="3"/>
        <v>1</v>
      </c>
      <c r="F64" s="549" t="str">
        <f t="shared" si="4"/>
        <v>Commercial TruckMaintenance cost/km ($)</v>
      </c>
      <c r="G64" s="542"/>
      <c r="H64" s="919">
        <f ca="1">IF(G64&lt;&gt;"",G64,IFERROR(IF(INDIRECT("'"&amp;$G$5&amp;"'!"&amp;ADDRESS(ROW(H64),COLUMN(H64)))="","",INDIRECT("'"&amp;$G$5&amp;"'!"&amp;ADDRESS(ROW(H64),COLUMN(H64)))*$H$6),IF($G$5&lt;&gt;"","Data Source Error","")))</f>
        <v>0.38</v>
      </c>
      <c r="J64" s="523"/>
      <c r="K64" s="545"/>
      <c r="L64" s="545"/>
      <c r="M64" s="546"/>
      <c r="Y64" s="2687"/>
      <c r="Z64" s="2687"/>
      <c r="AA64" s="2687"/>
      <c r="AB64" s="2687"/>
    </row>
    <row r="65" spans="1:28" outlineLevel="1">
      <c r="A65" s="10"/>
      <c r="B65" s="2558" t="s">
        <v>279</v>
      </c>
      <c r="C65" s="2559"/>
      <c r="D65" s="191" t="s">
        <v>41</v>
      </c>
      <c r="E65" s="205">
        <f t="shared" ca="1" si="3"/>
        <v>1</v>
      </c>
      <c r="F65" s="549" t="str">
        <f t="shared" si="4"/>
        <v>Commercial TruckFuel Efficiency (km/liter)</v>
      </c>
      <c r="G65" s="543"/>
      <c r="H65" s="918">
        <f ca="1">IF(G65&lt;&gt;"",G65,IFERROR(IF(INDIRECT("'"&amp;$G$5&amp;"'!"&amp;ADDRESS(ROW(H65),COLUMN(H65)))="","",INDIRECT("'"&amp;$G$5&amp;"'!"&amp;ADDRESS(ROW(H65),COLUMN(H65)))),IF($G$5&lt;&gt;"","Data Source Error","")))</f>
        <v>3.86</v>
      </c>
      <c r="J65" s="523"/>
      <c r="K65" s="545"/>
      <c r="L65" s="545"/>
      <c r="M65" s="546"/>
      <c r="Y65" s="2687"/>
      <c r="Z65" s="2687"/>
      <c r="AA65" s="2687"/>
      <c r="AB65" s="2687"/>
    </row>
    <row r="66" spans="1:28" outlineLevel="1">
      <c r="A66" s="10"/>
      <c r="B66" s="2585" t="s">
        <v>279</v>
      </c>
      <c r="C66" s="2586"/>
      <c r="D66" s="207" t="s">
        <v>43</v>
      </c>
      <c r="E66" s="205">
        <f t="shared" ca="1" si="3"/>
        <v>1</v>
      </c>
      <c r="F66" s="549" t="str">
        <f t="shared" si="4"/>
        <v>Commercial TruckDelivery Capacity (m^3)</v>
      </c>
      <c r="G66" s="544"/>
      <c r="H66" s="920">
        <f ca="1">IF(G66&lt;&gt;"",G66,IFERROR(IF(INDIRECT("'"&amp;$G$5&amp;"'!"&amp;ADDRESS(ROW(H66),COLUMN(H66)))="","",INDIRECT("'"&amp;$G$5&amp;"'!"&amp;ADDRESS(ROW(H66),COLUMN(H66)))),IF($G$5&lt;&gt;"","Data Source Error","")))</f>
        <v>12</v>
      </c>
      <c r="J66" s="523"/>
      <c r="K66" s="545"/>
      <c r="L66" s="545"/>
      <c r="M66" s="546"/>
      <c r="Y66" s="2687"/>
      <c r="Z66" s="2687"/>
      <c r="AA66" s="2687"/>
      <c r="AB66" s="2687"/>
    </row>
    <row r="67" spans="1:28" outlineLevel="1">
      <c r="A67" s="10"/>
      <c r="B67" s="2624" t="s">
        <v>410</v>
      </c>
      <c r="C67" s="2625"/>
      <c r="D67" s="208" t="s">
        <v>1545</v>
      </c>
      <c r="E67" s="205">
        <f t="shared" ca="1" si="3"/>
        <v>0</v>
      </c>
      <c r="F67" s="549" t="str">
        <f t="shared" si="4"/>
        <v>Refrigerated VehiclePurchase Price ($)</v>
      </c>
      <c r="G67" s="540"/>
      <c r="H67" s="917" t="str">
        <f ca="1">IF(G67&lt;&gt;"",G67,IFERROR(IF(INDIRECT("'"&amp;$G$5&amp;"'!"&amp;ADDRESS(ROW(H67),COLUMN(H67)))="","",INDIRECT("'"&amp;$G$5&amp;"'!"&amp;ADDRESS(ROW(H67),COLUMN(H67)))*$H$6),IF($G$5&lt;&gt;"","Data Source Error","")))</f>
        <v/>
      </c>
      <c r="J67" s="523"/>
      <c r="K67" s="545"/>
      <c r="L67" s="545"/>
      <c r="M67" s="546"/>
      <c r="Y67" s="2687"/>
      <c r="Z67" s="2687"/>
      <c r="AA67" s="2687"/>
      <c r="AB67" s="2687"/>
    </row>
    <row r="68" spans="1:28" outlineLevel="1">
      <c r="A68" s="10"/>
      <c r="B68" s="2558" t="s">
        <v>410</v>
      </c>
      <c r="C68" s="2559"/>
      <c r="D68" s="191" t="s">
        <v>2513</v>
      </c>
      <c r="E68" s="1064">
        <f t="shared" ca="1" si="3"/>
        <v>0</v>
      </c>
      <c r="F68" s="549" t="str">
        <f t="shared" si="4"/>
        <v>Refrigerated VehicleDepreciation Cost / yr ($)</v>
      </c>
      <c r="G68" s="541"/>
      <c r="H68" s="919" t="str">
        <f ca="1">IF(G68&lt;&gt;"",G68,IFERROR(IF(G67&lt;&gt;"",H67/$H$11,IF(INDIRECT("'"&amp;$G$5&amp;"'!"&amp;ADDRESS(ROW(H68),COLUMN(H68)))="",IF(H67="","",H67/$H$11),INDIRECT("'"&amp;$G$5&amp;"'!"&amp;ADDRESS(ROW(H68),COLUMN(H68))))*$H$6),IF(INDIRECT("'"&amp;$G$5&amp;"'!"&amp;ADDRESS(ROW(H68),COLUMN(H68)))="","",IF($G$5&lt;&gt;"","Data Source Error",""))))</f>
        <v/>
      </c>
      <c r="J68" s="1797"/>
      <c r="K68" s="545"/>
      <c r="L68" s="545"/>
      <c r="M68" s="546"/>
      <c r="Y68" s="2687"/>
      <c r="Z68" s="2687"/>
      <c r="AA68" s="2687"/>
      <c r="AB68" s="2687"/>
    </row>
    <row r="69" spans="1:28" outlineLevel="1">
      <c r="A69" s="10"/>
      <c r="B69" s="2558" t="s">
        <v>410</v>
      </c>
      <c r="C69" s="2559"/>
      <c r="D69" s="191" t="s">
        <v>2514</v>
      </c>
      <c r="E69" s="205">
        <f t="shared" ca="1" si="3"/>
        <v>0</v>
      </c>
      <c r="F69" s="549" t="str">
        <f t="shared" si="4"/>
        <v>Refrigerated VehicleInsurance cost /yr ($)</v>
      </c>
      <c r="G69" s="542"/>
      <c r="H69" s="919" t="str">
        <f ca="1">IF(G69&lt;&gt;"",G69,IFERROR(IF(INDIRECT("'"&amp;$G$5&amp;"'!"&amp;ADDRESS(ROW(H69),COLUMN(H69)))="","",INDIRECT("'"&amp;$G$5&amp;"'!"&amp;ADDRESS(ROW(H69),COLUMN(H69)))*$H$6),IF($G$5&lt;&gt;"","Data Source Error","")))</f>
        <v/>
      </c>
      <c r="J69" s="523"/>
      <c r="K69" s="545"/>
      <c r="L69" s="545"/>
      <c r="M69" s="546"/>
      <c r="Y69" s="2687"/>
      <c r="Z69" s="2687"/>
      <c r="AA69" s="2687"/>
      <c r="AB69" s="2687"/>
    </row>
    <row r="70" spans="1:28" outlineLevel="1">
      <c r="A70" s="10"/>
      <c r="B70" s="2558" t="s">
        <v>410</v>
      </c>
      <c r="C70" s="2559"/>
      <c r="D70" s="191" t="s">
        <v>2515</v>
      </c>
      <c r="E70" s="205">
        <f t="shared" ca="1" si="3"/>
        <v>0</v>
      </c>
      <c r="F70" s="549" t="str">
        <f t="shared" si="4"/>
        <v>Refrigerated VehicleMaintenance cost/km ($)</v>
      </c>
      <c r="G70" s="542"/>
      <c r="H70" s="919" t="str">
        <f ca="1">IF(G70&lt;&gt;"",G70,IFERROR(IF(INDIRECT("'"&amp;$G$5&amp;"'!"&amp;ADDRESS(ROW(H70),COLUMN(H70)))="","",INDIRECT("'"&amp;$G$5&amp;"'!"&amp;ADDRESS(ROW(H70),COLUMN(H70)))*$H$6),IF($G$5&lt;&gt;"","Data Source Error","")))</f>
        <v/>
      </c>
      <c r="J70" s="523"/>
      <c r="K70" s="545"/>
      <c r="L70" s="545"/>
      <c r="M70" s="546"/>
      <c r="Y70" s="2687"/>
      <c r="Z70" s="2687"/>
      <c r="AA70" s="2687"/>
      <c r="AB70" s="2687"/>
    </row>
    <row r="71" spans="1:28" outlineLevel="1">
      <c r="A71" s="10"/>
      <c r="B71" s="2558" t="s">
        <v>410</v>
      </c>
      <c r="C71" s="2559"/>
      <c r="D71" s="191" t="s">
        <v>41</v>
      </c>
      <c r="E71" s="205">
        <f t="shared" ca="1" si="3"/>
        <v>0</v>
      </c>
      <c r="F71" s="549" t="str">
        <f t="shared" si="4"/>
        <v>Refrigerated VehicleFuel Efficiency (km/liter)</v>
      </c>
      <c r="G71" s="543"/>
      <c r="H71" s="918" t="str">
        <f ca="1">IF(G71&lt;&gt;"",G71,IFERROR(IF(INDIRECT("'"&amp;$G$5&amp;"'!"&amp;ADDRESS(ROW(H71),COLUMN(H71)))="","",INDIRECT("'"&amp;$G$5&amp;"'!"&amp;ADDRESS(ROW(H71),COLUMN(H71)))),IF($G$5&lt;&gt;"","Data Source Error","")))</f>
        <v/>
      </c>
      <c r="J71" s="523"/>
      <c r="K71" s="545"/>
      <c r="L71" s="545"/>
      <c r="M71" s="546"/>
      <c r="Y71" s="2687"/>
      <c r="Z71" s="2687"/>
      <c r="AA71" s="2687"/>
      <c r="AB71" s="2687"/>
    </row>
    <row r="72" spans="1:28" outlineLevel="1">
      <c r="A72" s="10"/>
      <c r="B72" s="2585" t="s">
        <v>410</v>
      </c>
      <c r="C72" s="2586"/>
      <c r="D72" s="207" t="s">
        <v>43</v>
      </c>
      <c r="E72" s="205">
        <f t="shared" ca="1" si="3"/>
        <v>0</v>
      </c>
      <c r="F72" s="549" t="str">
        <f t="shared" si="4"/>
        <v>Refrigerated VehicleDelivery Capacity (m^3)</v>
      </c>
      <c r="G72" s="544"/>
      <c r="H72" s="920" t="str">
        <f ca="1">IF(G72&lt;&gt;"",G72,IFERROR(IF(INDIRECT("'"&amp;$G$5&amp;"'!"&amp;ADDRESS(ROW(H72),COLUMN(H72)))="","",INDIRECT("'"&amp;$G$5&amp;"'!"&amp;ADDRESS(ROW(H72),COLUMN(H72)))),IF($G$5&lt;&gt;"","Data Source Error","")))</f>
        <v/>
      </c>
      <c r="J72" s="523"/>
      <c r="K72" s="545"/>
      <c r="L72" s="545"/>
      <c r="M72" s="546"/>
      <c r="Y72" s="2687"/>
      <c r="Z72" s="2687"/>
      <c r="AA72" s="2687"/>
      <c r="AB72" s="2687"/>
    </row>
    <row r="73" spans="1:28" outlineLevel="1">
      <c r="A73" s="10"/>
      <c r="B73" s="2624" t="s">
        <v>406</v>
      </c>
      <c r="C73" s="2625"/>
      <c r="D73" s="208" t="s">
        <v>1545</v>
      </c>
      <c r="E73" s="205">
        <f t="shared" ca="1" si="3"/>
        <v>0</v>
      </c>
      <c r="F73" s="549" t="str">
        <f t="shared" si="4"/>
        <v>Other Vehicle TypePurchase Price ($)</v>
      </c>
      <c r="G73" s="540"/>
      <c r="H73" s="917" t="str">
        <f ca="1">IF(G73&lt;&gt;"",G73,IFERROR(IF(INDIRECT("'"&amp;$G$5&amp;"'!"&amp;ADDRESS(ROW(H73),COLUMN(H73)))="","",INDIRECT("'"&amp;$G$5&amp;"'!"&amp;ADDRESS(ROW(H73),COLUMN(H73)))*$H$6),IF($G$5&lt;&gt;"","Data Source Error","")))</f>
        <v/>
      </c>
      <c r="J73" s="523"/>
      <c r="K73" s="545"/>
      <c r="L73" s="545"/>
      <c r="M73" s="546"/>
      <c r="Y73" s="2687"/>
      <c r="Z73" s="2687"/>
      <c r="AA73" s="2687"/>
      <c r="AB73" s="2687"/>
    </row>
    <row r="74" spans="1:28" outlineLevel="1">
      <c r="A74" s="10"/>
      <c r="B74" s="2558" t="s">
        <v>406</v>
      </c>
      <c r="C74" s="2559"/>
      <c r="D74" s="191" t="s">
        <v>2513</v>
      </c>
      <c r="E74" s="1064">
        <f t="shared" ca="1" si="3"/>
        <v>0</v>
      </c>
      <c r="F74" s="549" t="str">
        <f t="shared" si="4"/>
        <v>Other Vehicle TypeDepreciation Cost / yr ($)</v>
      </c>
      <c r="G74" s="541"/>
      <c r="H74" s="919" t="str">
        <f ca="1">IF(G74&lt;&gt;"",G74,IFERROR(IF(G73&lt;&gt;"",H73/$H$11,IF(INDIRECT("'"&amp;$G$5&amp;"'!"&amp;ADDRESS(ROW(H74),COLUMN(H74)))="",IF(H73="","",H73/$H$11),INDIRECT("'"&amp;$G$5&amp;"'!"&amp;ADDRESS(ROW(H74),COLUMN(H74))))*$H$6),IF(INDIRECT("'"&amp;$G$5&amp;"'!"&amp;ADDRESS(ROW(H74),COLUMN(H74)))="","",IF($G$5&lt;&gt;"","Data Source Error",""))))</f>
        <v/>
      </c>
      <c r="J74" s="523"/>
      <c r="K74" s="545"/>
      <c r="L74" s="545"/>
      <c r="M74" s="546"/>
      <c r="Y74" s="2687"/>
      <c r="Z74" s="2687"/>
      <c r="AA74" s="2687"/>
      <c r="AB74" s="2687"/>
    </row>
    <row r="75" spans="1:28" outlineLevel="1">
      <c r="A75" s="10"/>
      <c r="B75" s="2558" t="s">
        <v>406</v>
      </c>
      <c r="C75" s="2559"/>
      <c r="D75" s="191" t="s">
        <v>2514</v>
      </c>
      <c r="E75" s="205">
        <f t="shared" ca="1" si="3"/>
        <v>0</v>
      </c>
      <c r="F75" s="549" t="str">
        <f t="shared" si="4"/>
        <v>Other Vehicle TypeInsurance cost /yr ($)</v>
      </c>
      <c r="G75" s="542"/>
      <c r="H75" s="919" t="str">
        <f ca="1">IF(G75&lt;&gt;"",G75,IFERROR(IF(INDIRECT("'"&amp;$G$5&amp;"'!"&amp;ADDRESS(ROW(H75),COLUMN(H75)))="","",INDIRECT("'"&amp;$G$5&amp;"'!"&amp;ADDRESS(ROW(H75),COLUMN(H75)))*$H$6),IF($G$5&lt;&gt;"","Data Source Error","")))</f>
        <v/>
      </c>
      <c r="J75" s="523"/>
      <c r="K75" s="545"/>
      <c r="L75" s="545"/>
      <c r="M75" s="546"/>
      <c r="Y75" s="2687"/>
      <c r="Z75" s="2687"/>
      <c r="AA75" s="2687"/>
      <c r="AB75" s="2687"/>
    </row>
    <row r="76" spans="1:28" outlineLevel="1">
      <c r="A76" s="10"/>
      <c r="B76" s="2558" t="s">
        <v>406</v>
      </c>
      <c r="C76" s="2559"/>
      <c r="D76" s="191" t="s">
        <v>2515</v>
      </c>
      <c r="E76" s="205">
        <f t="shared" ca="1" si="3"/>
        <v>0</v>
      </c>
      <c r="F76" s="549" t="str">
        <f t="shared" si="4"/>
        <v>Other Vehicle TypeMaintenance cost/km ($)</v>
      </c>
      <c r="G76" s="542"/>
      <c r="H76" s="919" t="str">
        <f ca="1">IF(G76&lt;&gt;"",G76,IFERROR(IF(INDIRECT("'"&amp;$G$5&amp;"'!"&amp;ADDRESS(ROW(H76),COLUMN(H76)))="","",INDIRECT("'"&amp;$G$5&amp;"'!"&amp;ADDRESS(ROW(H76),COLUMN(H76)))*$H$6),IF($G$5&lt;&gt;"","Data Source Error","")))</f>
        <v/>
      </c>
      <c r="J76" s="523"/>
      <c r="K76" s="545"/>
      <c r="L76" s="545"/>
      <c r="M76" s="546"/>
      <c r="Y76" s="2687"/>
      <c r="Z76" s="2687"/>
      <c r="AA76" s="2687"/>
      <c r="AB76" s="2687"/>
    </row>
    <row r="77" spans="1:28" outlineLevel="1">
      <c r="A77" s="10"/>
      <c r="B77" s="2558" t="s">
        <v>406</v>
      </c>
      <c r="C77" s="2559"/>
      <c r="D77" s="191" t="s">
        <v>41</v>
      </c>
      <c r="E77" s="205">
        <f t="shared" ca="1" si="3"/>
        <v>0</v>
      </c>
      <c r="F77" s="549" t="str">
        <f t="shared" si="4"/>
        <v>Other Vehicle TypeFuel Efficiency (km/liter)</v>
      </c>
      <c r="G77" s="543"/>
      <c r="H77" s="918" t="str">
        <f ca="1">IF(G77&lt;&gt;"",G77,IFERROR(IF(INDIRECT("'"&amp;$G$5&amp;"'!"&amp;ADDRESS(ROW(H77),COLUMN(H77)))="","",INDIRECT("'"&amp;$G$5&amp;"'!"&amp;ADDRESS(ROW(H77),COLUMN(H77)))),IF($G$5&lt;&gt;"","Data Source Error","")))</f>
        <v/>
      </c>
      <c r="J77" s="523"/>
      <c r="K77" s="545"/>
      <c r="L77" s="545"/>
      <c r="M77" s="546"/>
      <c r="Y77" s="2687"/>
      <c r="Z77" s="2687"/>
      <c r="AA77" s="2687"/>
      <c r="AB77" s="2687"/>
    </row>
    <row r="78" spans="1:28" outlineLevel="1">
      <c r="A78" s="10"/>
      <c r="B78" s="2585" t="s">
        <v>406</v>
      </c>
      <c r="C78" s="2586"/>
      <c r="D78" s="207" t="s">
        <v>43</v>
      </c>
      <c r="E78" s="205">
        <f t="shared" ca="1" si="3"/>
        <v>0</v>
      </c>
      <c r="F78" s="549" t="str">
        <f t="shared" si="4"/>
        <v>Other Vehicle TypeDelivery Capacity (m^3)</v>
      </c>
      <c r="G78" s="544"/>
      <c r="H78" s="920" t="str">
        <f ca="1">IF(G78&lt;&gt;"",G78,IFERROR(IF(INDIRECT("'"&amp;$G$5&amp;"'!"&amp;ADDRESS(ROW(H78),COLUMN(H78)))="","",INDIRECT("'"&amp;$G$5&amp;"'!"&amp;ADDRESS(ROW(H78),COLUMN(H78)))),IF($G$5&lt;&gt;"","Data Source Error","")))</f>
        <v/>
      </c>
      <c r="J78" s="2057"/>
      <c r="K78" s="2058"/>
      <c r="L78" s="2058"/>
      <c r="M78" s="2059"/>
      <c r="Y78" s="2687"/>
      <c r="Z78" s="2687"/>
      <c r="AA78" s="2687"/>
      <c r="AB78" s="2687"/>
    </row>
    <row r="79" spans="1:28">
      <c r="A79" s="212" t="s">
        <v>647</v>
      </c>
      <c r="C79" s="2053"/>
    </row>
    <row r="80" spans="1:28">
      <c r="A80" s="10"/>
      <c r="B80" s="2053"/>
      <c r="C80" s="2053"/>
      <c r="H80" s="34"/>
    </row>
    <row r="81" spans="1:30" ht="29.25" customHeight="1">
      <c r="A81" s="10"/>
      <c r="B81" s="2318" t="s">
        <v>607</v>
      </c>
      <c r="C81" s="2318"/>
      <c r="D81" s="2318"/>
      <c r="E81" s="496"/>
      <c r="G81" s="212" t="s">
        <v>674</v>
      </c>
      <c r="H81" s="34"/>
    </row>
    <row r="82" spans="1:30" ht="25.5" customHeight="1">
      <c r="B82" s="2068" t="s">
        <v>613</v>
      </c>
      <c r="C82" s="592"/>
      <c r="D82" s="592"/>
      <c r="E82" s="592"/>
      <c r="F82" s="592"/>
      <c r="G82" s="593"/>
      <c r="H82" s="592"/>
      <c r="I82" s="592"/>
      <c r="J82" s="593"/>
      <c r="K82" s="592"/>
      <c r="L82" s="592"/>
      <c r="M82" s="593"/>
      <c r="N82" s="592"/>
      <c r="O82" s="592"/>
      <c r="P82" s="593"/>
      <c r="Q82" s="592"/>
      <c r="R82" s="594"/>
      <c r="S82" s="593"/>
      <c r="T82" s="592"/>
      <c r="U82" s="594"/>
      <c r="V82" s="593"/>
      <c r="W82" s="592"/>
    </row>
    <row r="83" spans="1:30" ht="35.25" customHeight="1" outlineLevel="1">
      <c r="A83" s="148"/>
      <c r="B83" s="109"/>
      <c r="C83" s="109"/>
      <c r="D83" s="109"/>
      <c r="E83" s="499"/>
      <c r="F83" s="21"/>
      <c r="G83" s="2634" t="s">
        <v>31</v>
      </c>
      <c r="H83" s="2635"/>
      <c r="I83" s="983"/>
      <c r="J83" s="2634" t="s">
        <v>6</v>
      </c>
      <c r="K83" s="2635"/>
      <c r="L83" s="983"/>
      <c r="M83" s="2634" t="s">
        <v>7</v>
      </c>
      <c r="N83" s="2635"/>
      <c r="O83" s="983"/>
      <c r="P83" s="2634" t="s">
        <v>8</v>
      </c>
      <c r="Q83" s="2635"/>
      <c r="R83" s="983"/>
      <c r="S83" s="2634" t="s">
        <v>411</v>
      </c>
      <c r="T83" s="2635"/>
      <c r="U83" s="983"/>
      <c r="V83" s="2634" t="s">
        <v>412</v>
      </c>
      <c r="W83" s="2636"/>
    </row>
    <row r="84" spans="1:30" ht="15" customHeight="1" outlineLevel="1">
      <c r="A84" s="148"/>
      <c r="B84" s="499"/>
      <c r="C84" s="499"/>
      <c r="D84" s="499"/>
      <c r="E84" s="499"/>
      <c r="F84" s="21"/>
      <c r="G84" s="2637" t="s">
        <v>17</v>
      </c>
      <c r="H84" s="2639" t="s">
        <v>10</v>
      </c>
      <c r="J84" s="2637" t="s">
        <v>17</v>
      </c>
      <c r="K84" s="2639" t="s">
        <v>10</v>
      </c>
      <c r="M84" s="2637" t="s">
        <v>17</v>
      </c>
      <c r="N84" s="2639" t="s">
        <v>10</v>
      </c>
      <c r="P84" s="2637" t="s">
        <v>17</v>
      </c>
      <c r="Q84" s="2639" t="s">
        <v>10</v>
      </c>
      <c r="S84" s="2637" t="s">
        <v>17</v>
      </c>
      <c r="T84" s="2639" t="s">
        <v>10</v>
      </c>
      <c r="V84" s="2637" t="s">
        <v>17</v>
      </c>
      <c r="W84" s="2641" t="s">
        <v>10</v>
      </c>
    </row>
    <row r="85" spans="1:30" ht="15" customHeight="1" outlineLevel="1">
      <c r="A85" s="148"/>
      <c r="B85" s="2651"/>
      <c r="C85" s="2651"/>
      <c r="D85" s="2651"/>
      <c r="E85" s="2061"/>
      <c r="F85" s="19"/>
      <c r="G85" s="2638"/>
      <c r="H85" s="2640"/>
      <c r="I85" s="236"/>
      <c r="J85" s="2638"/>
      <c r="K85" s="2640"/>
      <c r="L85" s="236"/>
      <c r="M85" s="2638"/>
      <c r="N85" s="2640"/>
      <c r="O85" s="236"/>
      <c r="P85" s="2638"/>
      <c r="Q85" s="2640"/>
      <c r="R85" s="236"/>
      <c r="S85" s="2638"/>
      <c r="T85" s="2640"/>
      <c r="U85" s="236"/>
      <c r="V85" s="2638"/>
      <c r="W85" s="2642"/>
      <c r="Y85" s="2619" t="s">
        <v>673</v>
      </c>
      <c r="Z85" s="2620"/>
      <c r="AA85" s="2620"/>
      <c r="AB85" s="2621"/>
    </row>
    <row r="86" spans="1:30" ht="36.75" customHeight="1" outlineLevel="1">
      <c r="B86" s="2650" t="s">
        <v>5472</v>
      </c>
      <c r="C86" s="2650"/>
      <c r="D86" s="2650"/>
      <c r="E86" s="182"/>
      <c r="F86" s="183"/>
      <c r="G86" s="561" t="s">
        <v>5547</v>
      </c>
      <c r="H86" s="914"/>
      <c r="I86" s="182"/>
      <c r="J86" s="628" t="s">
        <v>5547</v>
      </c>
      <c r="K86" s="914"/>
      <c r="L86" s="182"/>
      <c r="M86" s="628" t="s">
        <v>5547</v>
      </c>
      <c r="N86" s="914"/>
      <c r="O86" s="182"/>
      <c r="P86" s="552"/>
      <c r="Q86" s="891"/>
      <c r="R86" s="52"/>
      <c r="S86" s="810"/>
      <c r="T86" s="891"/>
      <c r="U86" s="52"/>
      <c r="V86" s="552"/>
      <c r="W86" s="894"/>
      <c r="Y86" s="2643"/>
      <c r="Z86" s="2644"/>
      <c r="AA86" s="2644"/>
      <c r="AB86" s="2645"/>
      <c r="AD86" s="52"/>
    </row>
    <row r="87" spans="1:30" ht="20.25" customHeight="1" outlineLevel="1">
      <c r="B87" s="2652" t="s">
        <v>5473</v>
      </c>
      <c r="C87" s="2652"/>
      <c r="D87" s="2652"/>
      <c r="E87" s="191"/>
      <c r="F87" s="187"/>
      <c r="G87" s="552" t="s">
        <v>31</v>
      </c>
      <c r="H87" s="915"/>
      <c r="I87" s="187"/>
      <c r="J87" s="551" t="s">
        <v>6</v>
      </c>
      <c r="K87" s="915"/>
      <c r="L87" s="187"/>
      <c r="M87" s="551" t="s">
        <v>7</v>
      </c>
      <c r="N87" s="915"/>
      <c r="O87" s="187"/>
      <c r="P87" s="552"/>
      <c r="Q87" s="892"/>
      <c r="R87" s="183"/>
      <c r="S87" s="552"/>
      <c r="T87" s="892"/>
      <c r="U87" s="183"/>
      <c r="V87" s="552"/>
      <c r="W87" s="895"/>
      <c r="Y87" s="2643"/>
      <c r="Z87" s="2644"/>
      <c r="AA87" s="2644"/>
      <c r="AB87" s="2645"/>
      <c r="AD87" s="52"/>
    </row>
    <row r="88" spans="1:30" s="52" customFormat="1" ht="17.899999999999999" customHeight="1" outlineLevel="1">
      <c r="B88" s="2646" t="s">
        <v>640</v>
      </c>
      <c r="C88" s="2646"/>
      <c r="D88" s="2646"/>
      <c r="E88" s="812"/>
      <c r="F88" s="207"/>
      <c r="G88" s="769"/>
      <c r="H88" s="893" t="str">
        <f ca="1">IF(G88&lt;&gt;"",G88,IFERROR(IF(INDIRECT("'"&amp;G$86&amp;"'!"&amp;VLOOKUP(G$87,'List Values'!$C$3:$D$6,2,FALSE)&amp;ROW(G88))="","",INDIRECT("'"&amp;G$86&amp;"'!"&amp;VLOOKUP(G$87,'List Values'!$C$3:$D$6,2,FALSE)&amp;ROW(G88))),IF($G$86&lt;&gt;"","Data Source Error","")))</f>
        <v>CMS</v>
      </c>
      <c r="I88" s="207"/>
      <c r="J88" s="769"/>
      <c r="K88" s="893" t="str">
        <f ca="1">IF($H$7&lt;2,"",IF(J88&lt;&gt;"",J88,IFERROR(IF(INDIRECT("'"&amp;J$86&amp;"'!"&amp;VLOOKUP(J$87,'List Values'!$C$3:$D$6,2,FALSE)&amp;ROW(J88))="","",INDIRECT("'"&amp;J$86&amp;"'!"&amp;VLOOKUP(J$87,'List Values'!$C$3:$D$6,2,FALSE)&amp;ROW(J88))),IF($J$86&lt;&gt;"","Data Source Error",""))))</f>
        <v>Regional WH</v>
      </c>
      <c r="L88" s="207"/>
      <c r="M88" s="769"/>
      <c r="N88" s="893" t="str">
        <f ca="1">IF($H$7&lt;3,"",IF(M88&lt;&gt;"",M88,IFERROR(IF(INDIRECT("'"&amp;M$86&amp;"'!"&amp;VLOOKUP(M$87,'List Values'!$C$3:$D$6,2,FALSE)&amp;ROW(M88))="","",INDIRECT("'"&amp;M$86&amp;"'!"&amp;VLOOKUP(M$87,'List Values'!$C$3:$D$6,2,FALSE)&amp;ROW(M88))),IF($M$86&lt;&gt;"","Data Source Error",""))))</f>
        <v>Health Facility</v>
      </c>
      <c r="O88" s="207"/>
      <c r="P88" s="813"/>
      <c r="Q88" s="893" t="str">
        <f ca="1">IF($H$7&lt;4,"",IF(P88&lt;&gt;"",P88,IFERROR(IF(INDIRECT("'"&amp;P$86&amp;"'!"&amp;VLOOKUP(P$87,'List Values'!$C$3:$D$6,2,FALSE)&amp;ROW(P88))="","",INDIRECT("'"&amp;P$86&amp;"'!"&amp;VLOOKUP(P$87,'List Values'!$C$3:$D$6,2,FALSE)&amp;ROW(P88))),IF($P$86&lt;&gt;"","Data Source Error",""))))</f>
        <v/>
      </c>
      <c r="R88" s="207"/>
      <c r="S88" s="813"/>
      <c r="T88" s="893" t="str">
        <f ca="1">IF($H$7&lt;5,"",IF(S88&lt;&gt;"",S88,IFERROR(IF(INDIRECT("'"&amp;S$86&amp;"'!"&amp;VLOOKUP(S$87,'List Values'!$C$3:$D$6,2,FALSE)&amp;ROW(S88))="","",INDIRECT("'"&amp;S$86&amp;"'!"&amp;VLOOKUP(S$87,'List Values'!$C$3:$D$6,2,FALSE)&amp;ROW(S88))),IF($S$86&lt;&gt;"","Data Source Error",""))))</f>
        <v/>
      </c>
      <c r="U88" s="207"/>
      <c r="V88" s="813"/>
      <c r="W88" s="896" t="str">
        <f ca="1">IF($H$7&lt;6,"",IF(V88&lt;&gt;"",V88,IFERROR(IF(INDIRECT("'"&amp;V$86&amp;"'!"&amp;VLOOKUP(V$87,'List Values'!$C$3:$D$6,2,FALSE)&amp;ROW(V88))="","",INDIRECT("'"&amp;V$86&amp;"'!"&amp;VLOOKUP(V$87,'List Values'!$C$3:$D$6,2,FALSE)&amp;ROW(V88))),IF($V$86&lt;&gt;"","Data Source Error",""))))</f>
        <v/>
      </c>
      <c r="Y88" s="2647"/>
      <c r="Z88" s="2648"/>
      <c r="AA88" s="2648"/>
      <c r="AB88" s="2649"/>
    </row>
    <row r="89" spans="1:30" ht="34.5" customHeight="1">
      <c r="A89" s="630" t="s">
        <v>652</v>
      </c>
      <c r="C89" s="52"/>
      <c r="D89" s="52"/>
      <c r="E89" s="52"/>
      <c r="G89" s="2067"/>
      <c r="H89" s="504"/>
      <c r="J89" s="2067"/>
      <c r="K89" s="504"/>
      <c r="M89" s="2067"/>
      <c r="N89" s="504"/>
      <c r="P89" s="2067"/>
      <c r="Q89" s="504"/>
      <c r="S89" s="2067"/>
      <c r="T89" s="504"/>
      <c r="V89" s="2067"/>
      <c r="W89" s="504"/>
    </row>
    <row r="90" spans="1:30" ht="27.75" customHeight="1">
      <c r="B90" s="2068" t="s">
        <v>608</v>
      </c>
      <c r="C90" s="595"/>
      <c r="D90" s="595"/>
      <c r="E90" s="595"/>
      <c r="F90" s="596"/>
      <c r="G90" s="597"/>
      <c r="H90" s="594"/>
      <c r="I90" s="598"/>
      <c r="J90" s="597"/>
      <c r="K90" s="594"/>
      <c r="L90" s="598"/>
      <c r="M90" s="597"/>
      <c r="N90" s="594"/>
      <c r="O90" s="598"/>
      <c r="P90" s="597"/>
      <c r="Q90" s="594"/>
      <c r="R90" s="599"/>
      <c r="S90" s="594"/>
      <c r="T90" s="594"/>
      <c r="U90" s="599"/>
      <c r="V90" s="594"/>
      <c r="W90" s="594"/>
    </row>
    <row r="91" spans="1:30" ht="19.5" customHeight="1" outlineLevel="1">
      <c r="B91" s="505"/>
      <c r="C91" s="50"/>
      <c r="D91" s="50"/>
      <c r="E91" s="50"/>
      <c r="F91" s="36"/>
      <c r="G91" s="2654" t="str">
        <f ca="1">IF(H88="",G83,H88)&amp;" Tier"</f>
        <v>CMS Tier</v>
      </c>
      <c r="H91" s="2655"/>
      <c r="I91" s="508"/>
      <c r="J91" s="2654" t="str">
        <f ca="1">IF(K88="",J83,K88)&amp;" Tier"</f>
        <v>Regional WH Tier</v>
      </c>
      <c r="K91" s="2655"/>
      <c r="L91" s="508"/>
      <c r="M91" s="2654" t="str">
        <f ca="1">IF(N88="",M83,N88)&amp;" Tier"</f>
        <v>Health Facility Tier</v>
      </c>
      <c r="N91" s="2655"/>
      <c r="O91" s="507"/>
      <c r="P91" s="2654" t="str">
        <f ca="1">IF(Q88="",P83,Q88)&amp;" Tier"</f>
        <v>Tier 4 Tier</v>
      </c>
      <c r="Q91" s="2655"/>
      <c r="R91" s="507"/>
      <c r="S91" s="2654" t="str">
        <f ca="1">IF(T88="",S83,T88)&amp;" Tier"</f>
        <v>Tier 5 Tier</v>
      </c>
      <c r="T91" s="2655"/>
      <c r="U91" s="507"/>
      <c r="V91" s="2654" t="str">
        <f ca="1">IF(W88="",V83,W88)&amp;" Tier"</f>
        <v>Tier 6 Tier</v>
      </c>
      <c r="W91" s="2655"/>
      <c r="Y91" s="2619" t="s">
        <v>673</v>
      </c>
      <c r="Z91" s="2620"/>
      <c r="AA91" s="2620"/>
      <c r="AB91" s="2621"/>
    </row>
    <row r="92" spans="1:30" ht="14.25" customHeight="1" outlineLevel="1">
      <c r="B92" s="2653" t="s">
        <v>2371</v>
      </c>
      <c r="C92" s="2653"/>
      <c r="D92" s="2653"/>
      <c r="E92" s="186"/>
      <c r="F92" s="187"/>
      <c r="G92" s="553"/>
      <c r="H92" s="897">
        <f ca="1">IF(G92&lt;&gt;"",G92,IFERROR(IF(INDIRECT("'"&amp;G$86&amp;"'!"&amp;VLOOKUP(G$87,'List Values'!$C$3:$D$6,2,FALSE)&amp;ROW(G92))="","",INDIRECT("'"&amp;G$86&amp;"'!"&amp;VLOOKUP(G$87,'List Values'!$C$3:$D$6,2,FALSE)&amp;ROW(G92))),IF($G$86&lt;&gt;"","Data Source Error","")))</f>
        <v>390757</v>
      </c>
      <c r="I92" s="183"/>
      <c r="J92" s="553"/>
      <c r="K92" s="897">
        <f ca="1">IF($H$7&lt;2,"",IF(J92&lt;&gt;"",J92,IFERROR(IF(INDIRECT("'"&amp;J$86&amp;"'!"&amp;VLOOKUP(J$87,'List Values'!$C$3:$D$6,2,FALSE)&amp;ROW(J92))="","",INDIRECT("'"&amp;J$86&amp;"'!"&amp;VLOOKUP(J$87,'List Values'!$C$3:$D$6,2,FALSE)&amp;ROW(J92))),IF($J$86&lt;&gt;"","Data Source Error",""))))</f>
        <v>36459</v>
      </c>
      <c r="L92" s="183"/>
      <c r="M92" s="553"/>
      <c r="N92" s="897">
        <f ca="1">IF($H$7&lt;3,"",IF(M92&lt;&gt;"",M92,IFERROR(IF(INDIRECT("'"&amp;M$86&amp;"'!"&amp;VLOOKUP(M$87,'List Values'!$C$3:$D$6,2,FALSE)&amp;ROW(M92))="","",INDIRECT("'"&amp;M$86&amp;"'!"&amp;VLOOKUP(M$87,'List Values'!$C$3:$D$6,2,FALSE)&amp;ROW(M92))),IF($M$86&lt;&gt;"","Data Source Error",""))))</f>
        <v>36459</v>
      </c>
      <c r="O92" s="183"/>
      <c r="P92" s="587"/>
      <c r="Q92" s="907" t="str">
        <f ca="1">IF($H$7&lt;4,"",IF(P92&lt;&gt;"",P92,IFERROR(IF(INDIRECT("'"&amp;P$86&amp;"'!"&amp;VLOOKUP(P$87,'List Values'!$C$3:$D$6,2,FALSE)&amp;ROW(P92))="","",INDIRECT("'"&amp;P$86&amp;"'!"&amp;VLOOKUP(P$87,'List Values'!$C$3:$D$6,2,FALSE)&amp;ROW(P92))),IF($P$86&lt;&gt;"","Data Source Error",""))))</f>
        <v/>
      </c>
      <c r="R92" s="509"/>
      <c r="S92" s="558"/>
      <c r="T92" s="897" t="str">
        <f ca="1">IF($H$7&lt;5,"",IF(S92&lt;&gt;"",S92,IFERROR(IF(INDIRECT("'"&amp;S$86&amp;"'!"&amp;VLOOKUP(S$87,'List Values'!$C$3:$D$6,2,FALSE)&amp;ROW(S92))="","",INDIRECT("'"&amp;S$86&amp;"'!"&amp;VLOOKUP(S$87,'List Values'!$C$3:$D$6,2,FALSE)&amp;ROW(S92))),IF($S$86&lt;&gt;"","Data Source Error",""))))</f>
        <v/>
      </c>
      <c r="V92" s="558"/>
      <c r="W92" s="908" t="str">
        <f ca="1">IF($H$7&lt;6,"",IF(V92&lt;&gt;"",V92,IFERROR(IF(INDIRECT("'"&amp;V$86&amp;"'!"&amp;VLOOKUP(V$87,'List Values'!$C$3:$D$6,2,FALSE)&amp;ROW(V92))="","",INDIRECT("'"&amp;V$86&amp;"'!"&amp;VLOOKUP(V$87,'List Values'!$C$3:$D$6,2,FALSE)&amp;ROW(V92))),IF($V$86&lt;&gt;"","Data Source Error",""))))</f>
        <v/>
      </c>
      <c r="Y92" s="2643"/>
      <c r="Z92" s="2644"/>
      <c r="AA92" s="2644"/>
      <c r="AB92" s="2645"/>
      <c r="AD92" s="52"/>
    </row>
    <row r="93" spans="1:30" s="6" customFormat="1" ht="14.25" customHeight="1" outlineLevel="1">
      <c r="B93" s="2653" t="s">
        <v>5446</v>
      </c>
      <c r="C93" s="2653"/>
      <c r="D93" s="2653"/>
      <c r="E93" s="188"/>
      <c r="F93" s="189"/>
      <c r="G93" s="554"/>
      <c r="H93" s="898">
        <f ca="1">IF(G93&lt;&gt;"",G93,IFERROR(IF(INDIRECT("'"&amp;G$86&amp;"'!"&amp;VLOOKUP(G$87,'List Values'!$C$3:$D$6,2,FALSE)&amp;ROW(G93))="","",INDIRECT("'"&amp;G$86&amp;"'!"&amp;VLOOKUP(G$87,'List Values'!$C$3:$D$6,2,FALSE)&amp;ROW(G93))),IF($G$86&lt;&gt;"","Data Source Error","")))</f>
        <v>1</v>
      </c>
      <c r="I93" s="189"/>
      <c r="J93" s="554"/>
      <c r="K93" s="898">
        <f ca="1">IF($H$7&lt;2,"",IF(J93&lt;&gt;"",J93,IFERROR(IF(INDIRECT("'"&amp;J$86&amp;"'!"&amp;VLOOKUP(J$87,'List Values'!$C$3:$D$6,2,FALSE)&amp;ROW(J93))="","",INDIRECT("'"&amp;J$86&amp;"'!"&amp;VLOOKUP(J$87,'List Values'!$C$3:$D$6,2,FALSE)&amp;ROW(J93))),IF($J$86&lt;&gt;"","Data Source Error",""))))</f>
        <v>1</v>
      </c>
      <c r="L93" s="189"/>
      <c r="M93" s="554"/>
      <c r="N93" s="898">
        <f ca="1">IF($H$7&lt;3,"",IF(M93&lt;&gt;"",M93,IFERROR(IF(INDIRECT("'"&amp;M$86&amp;"'!"&amp;VLOOKUP(M$87,'List Values'!$C$3:$D$6,2,FALSE)&amp;ROW(M93))="","",INDIRECT("'"&amp;M$86&amp;"'!"&amp;VLOOKUP(M$87,'List Values'!$C$3:$D$6,2,FALSE)&amp;ROW(M93))),IF($M$86&lt;&gt;"","Data Source Error",""))))</f>
        <v>1</v>
      </c>
      <c r="O93" s="189"/>
      <c r="P93" s="559"/>
      <c r="Q93" s="898" t="str">
        <f ca="1">IF($H$7&lt;4,"",IF(P93&lt;&gt;"",P93,IFERROR(IF(INDIRECT("'"&amp;P$86&amp;"'!"&amp;VLOOKUP(P$87,'List Values'!$C$3:$D$6,2,FALSE)&amp;ROW(P93))="","",INDIRECT("'"&amp;P$86&amp;"'!"&amp;VLOOKUP(P$87,'List Values'!$C$3:$D$6,2,FALSE)&amp;ROW(P93))),IF($P$86&lt;&gt;"","Data Source Error",""))))</f>
        <v/>
      </c>
      <c r="S93" s="559"/>
      <c r="T93" s="898" t="str">
        <f ca="1">IF($H$7&lt;5,"",IF(S93&lt;&gt;"",S93,IFERROR(IF(INDIRECT("'"&amp;S$86&amp;"'!"&amp;VLOOKUP(S$87,'List Values'!$C$3:$D$6,2,FALSE)&amp;ROW(S93))="","",INDIRECT("'"&amp;S$86&amp;"'!"&amp;VLOOKUP(S$87,'List Values'!$C$3:$D$6,2,FALSE)&amp;ROW(S93))),IF($S$86&lt;&gt;"","Data Source Error",""))))</f>
        <v/>
      </c>
      <c r="V93" s="559"/>
      <c r="W93" s="909" t="str">
        <f ca="1">IF($H$7&lt;6,"",IF(V93&lt;&gt;"",V93,IFERROR(IF(INDIRECT("'"&amp;V$86&amp;"'!"&amp;VLOOKUP(V$87,'List Values'!$C$3:$D$6,2,FALSE)&amp;ROW(V93))="","",INDIRECT("'"&amp;V$86&amp;"'!"&amp;VLOOKUP(V$87,'List Values'!$C$3:$D$6,2,FALSE)&amp;ROW(V93))),IF($V$86&lt;&gt;"","Data Source Error",""))))</f>
        <v/>
      </c>
      <c r="Y93" s="2643"/>
      <c r="Z93" s="2644"/>
      <c r="AA93" s="2644"/>
      <c r="AB93" s="2645"/>
      <c r="AD93" s="52"/>
    </row>
    <row r="94" spans="1:30" s="6" customFormat="1" ht="14.25" customHeight="1" outlineLevel="1">
      <c r="B94" s="2653" t="s">
        <v>5447</v>
      </c>
      <c r="C94" s="2653"/>
      <c r="D94" s="2653"/>
      <c r="E94" s="188"/>
      <c r="F94" s="189"/>
      <c r="G94" s="493"/>
      <c r="H94" s="899"/>
      <c r="I94" s="190"/>
      <c r="J94" s="551"/>
      <c r="K94" s="903">
        <f ca="1">IF($H$7&lt;2,"",IF(J94&lt;&gt;"",J94,IFERROR(IF(INDIRECT("'"&amp;J$86&amp;"'!"&amp;VLOOKUP(J$87,'List Values'!$C$3:$D$6,2,FALSE)&amp;ROW(J94))="","",INDIRECT("'"&amp;J$86&amp;"'!"&amp;VLOOKUP(J$87,'List Values'!$C$3:$D$6,2,FALSE)&amp;ROW(J94))),IF($J$86&lt;&gt;"","Data Source Error",""))))</f>
        <v>0.05</v>
      </c>
      <c r="L94" s="190"/>
      <c r="M94" s="551"/>
      <c r="N94" s="905">
        <f ca="1">IF($H$7&lt;3,"",IF(M94&lt;&gt;"",M94,IFERROR(IF(INDIRECT("'"&amp;M$86&amp;"'!"&amp;VLOOKUP(M$87,'List Values'!$C$3:$D$6,2,FALSE)&amp;ROW(M94))="","",INDIRECT("'"&amp;M$86&amp;"'!"&amp;VLOOKUP(M$87,'List Values'!$C$3:$D$6,2,FALSE)&amp;ROW(M94))),IF($M$86&lt;&gt;"","Data Source Error",""))))</f>
        <v>0.05</v>
      </c>
      <c r="O94" s="189"/>
      <c r="P94" s="559"/>
      <c r="Q94" s="903" t="str">
        <f ca="1">IF($H$7&lt;4,"",IF(P94&lt;&gt;"",P94,IFERROR(IF(INDIRECT("'"&amp;P$86&amp;"'!"&amp;VLOOKUP(P$87,'List Values'!$C$3:$D$6,2,FALSE)&amp;ROW(P94))="","",INDIRECT("'"&amp;P$86&amp;"'!"&amp;VLOOKUP(P$87,'List Values'!$C$3:$D$6,2,FALSE)&amp;ROW(P94))),IF($P$86&lt;&gt;"","Data Source Error",""))))</f>
        <v/>
      </c>
      <c r="S94" s="559"/>
      <c r="T94" s="903" t="str">
        <f ca="1">IF($H$7&lt;5,"",IF(S94&lt;&gt;"",S94,IFERROR(IF(INDIRECT("'"&amp;S$86&amp;"'!"&amp;VLOOKUP(S$87,'List Values'!$C$3:$D$6,2,FALSE)&amp;ROW(S94))="","",INDIRECT("'"&amp;S$86&amp;"'!"&amp;VLOOKUP(S$87,'List Values'!$C$3:$D$6,2,FALSE)&amp;ROW(S94))),IF($S$86&lt;&gt;"","Data Source Error",""))))</f>
        <v/>
      </c>
      <c r="V94" s="559"/>
      <c r="W94" s="910" t="str">
        <f ca="1">IF($H$7&lt;6,"",IF(V94&lt;&gt;"",V94,IFERROR(IF(INDIRECT("'"&amp;V$86&amp;"'!"&amp;VLOOKUP(V$87,'List Values'!$C$3:$D$6,2,FALSE)&amp;ROW(V94))="","",INDIRECT("'"&amp;V$86&amp;"'!"&amp;VLOOKUP(V$87,'List Values'!$C$3:$D$6,2,FALSE)&amp;ROW(V94))),IF($V$86&lt;&gt;"","Data Source Error",""))))</f>
        <v/>
      </c>
      <c r="Y94" s="2643"/>
      <c r="Z94" s="2644"/>
      <c r="AA94" s="2644"/>
      <c r="AB94" s="2645"/>
      <c r="AD94" s="52"/>
    </row>
    <row r="95" spans="1:30" ht="15" customHeight="1" outlineLevel="1">
      <c r="B95" s="2653" t="s">
        <v>642</v>
      </c>
      <c r="C95" s="2653"/>
      <c r="D95" s="2653"/>
      <c r="E95" s="186"/>
      <c r="F95" s="187"/>
      <c r="G95" s="523"/>
      <c r="H95" s="900">
        <f ca="1">IF(G95&lt;&gt;"",G95,IFERROR(IF(INDIRECT("'"&amp;G$86&amp;"'!"&amp;VLOOKUP(G$87,'List Values'!$C$3:$D$6,2,FALSE)&amp;ROW(G95))="","",INDIRECT("'"&amp;G$86&amp;"'!"&amp;VLOOKUP(G$87,'List Values'!$C$3:$D$6,2,FALSE)&amp;ROW(G95))),IF($G$86&lt;&gt;"","Data Source Error","")))</f>
        <v>1</v>
      </c>
      <c r="I95" s="187"/>
      <c r="J95" s="523"/>
      <c r="K95" s="900">
        <f ca="1">IF($H$7&lt;2,"",IF(J95&lt;&gt;"",J95,IFERROR(IF(INDIRECT("'"&amp;J$86&amp;"'!"&amp;VLOOKUP(J$87,'List Values'!$C$3:$D$6,2,FALSE)&amp;ROW(J95))="","",INDIRECT("'"&amp;J$86&amp;"'!"&amp;VLOOKUP(J$87,'List Values'!$C$3:$D$6,2,FALSE)&amp;ROW(J95))),IF($J$86&lt;&gt;"","Data Source Error",""))))</f>
        <v>1</v>
      </c>
      <c r="L95" s="187"/>
      <c r="M95" s="523"/>
      <c r="N95" s="900">
        <f ca="1">IF($H$7&lt;3,"",IF(M95&lt;&gt;"",M95,IFERROR(IF(INDIRECT("'"&amp;M$86&amp;"'!"&amp;VLOOKUP(M$87,'List Values'!$C$3:$D$6,2,FALSE)&amp;ROW(M95))="","",INDIRECT("'"&amp;M$86&amp;"'!"&amp;VLOOKUP(M$87,'List Values'!$C$3:$D$6,2,FALSE)&amp;ROW(M95))),IF($M$86&lt;&gt;"","Data Source Error",""))))</f>
        <v>345</v>
      </c>
      <c r="O95" s="187"/>
      <c r="P95" s="560"/>
      <c r="Q95" s="900" t="str">
        <f ca="1">IF($H$7&lt;4,"",IF(P95&lt;&gt;"",P95,IFERROR(IF(INDIRECT("'"&amp;P$86&amp;"'!"&amp;VLOOKUP(P$87,'List Values'!$C$3:$D$6,2,FALSE)&amp;ROW(P95))="","",INDIRECT("'"&amp;P$86&amp;"'!"&amp;VLOOKUP(P$87,'List Values'!$C$3:$D$6,2,FALSE)&amp;ROW(P95))),IF($P$86&lt;&gt;"","Data Source Error",""))))</f>
        <v/>
      </c>
      <c r="R95" s="509" t="str">
        <f>IF(OR(G92&gt;0, J92&gt;0,M92&gt;0),"&lt;-- Land Area Changed - Check # of facilities","")</f>
        <v/>
      </c>
      <c r="S95" s="560"/>
      <c r="T95" s="900" t="str">
        <f ca="1">IF($H$7&lt;5,"",IF(S95&lt;&gt;"",S95,IFERROR(IF(INDIRECT("'"&amp;S$86&amp;"'!"&amp;VLOOKUP(S$87,'List Values'!$C$3:$D$6,2,FALSE)&amp;ROW(S95))="","",INDIRECT("'"&amp;S$86&amp;"'!"&amp;VLOOKUP(S$87,'List Values'!$C$3:$D$6,2,FALSE)&amp;ROW(S95))),IF($S$86&lt;&gt;"","Data Source Error",""))))</f>
        <v/>
      </c>
      <c r="V95" s="560"/>
      <c r="W95" s="911" t="str">
        <f ca="1">IF($H$7&lt;6,"",IF(V95&lt;&gt;"",V95,IFERROR(IF(INDIRECT("'"&amp;V$86&amp;"'!"&amp;VLOOKUP(V$87,'List Values'!$C$3:$D$6,2,FALSE)&amp;ROW(V95))="","",INDIRECT("'"&amp;V$86&amp;"'!"&amp;VLOOKUP(V$87,'List Values'!$C$3:$D$6,2,FALSE)&amp;ROW(V95))),IF($V$86&lt;&gt;"","Data Source Error",""))))</f>
        <v/>
      </c>
      <c r="Y95" s="2643"/>
      <c r="Z95" s="2644"/>
      <c r="AA95" s="2644"/>
      <c r="AB95" s="2645"/>
      <c r="AD95" s="52"/>
    </row>
    <row r="96" spans="1:30" ht="15" customHeight="1" outlineLevel="1">
      <c r="B96" s="2653" t="s">
        <v>5448</v>
      </c>
      <c r="C96" s="2653"/>
      <c r="D96" s="2653"/>
      <c r="E96" s="186"/>
      <c r="F96" s="187"/>
      <c r="G96" s="523">
        <v>12</v>
      </c>
      <c r="H96" s="900">
        <f ca="1">IF(G96&lt;&gt;"",G96,IFERROR(IF(INDIRECT("'"&amp;G$86&amp;"'!"&amp;VLOOKUP(G$87,'List Values'!$C$3:$D$6,2,FALSE)&amp;ROW(G96))="","",INDIRECT("'"&amp;G$86&amp;"'!"&amp;VLOOKUP(G$87,'List Values'!$C$3:$D$6,2,FALSE)&amp;ROW(G96))),IF($G$86&lt;&gt;"","Data Source Error","")))</f>
        <v>12</v>
      </c>
      <c r="I96" s="187"/>
      <c r="J96" s="523">
        <v>12</v>
      </c>
      <c r="K96" s="900">
        <f ca="1">IF($H$7&lt;2,"",IF(J96&lt;&gt;"",J96,IFERROR(IF(INDIRECT("'"&amp;J$86&amp;"'!"&amp;VLOOKUP(J$87,'List Values'!$C$3:$D$6,2,FALSE)&amp;ROW(J96))="","",INDIRECT("'"&amp;J$86&amp;"'!"&amp;VLOOKUP(J$87,'List Values'!$C$3:$D$6,2,FALSE)&amp;ROW(J96))),IF($J$86&lt;&gt;"","Data Source Error",""))))</f>
        <v>12</v>
      </c>
      <c r="L96" s="187"/>
      <c r="M96" s="523">
        <v>12</v>
      </c>
      <c r="N96" s="900">
        <f ca="1">IF($H$7&lt;3,"",IF(M96&lt;&gt;"",M96,IFERROR(IF(INDIRECT("'"&amp;M$86&amp;"'!"&amp;VLOOKUP(M$87,'List Values'!$C$3:$D$6,2,FALSE)&amp;ROW(M96))="","",INDIRECT("'"&amp;M$86&amp;"'!"&amp;VLOOKUP(M$87,'List Values'!$C$3:$D$6,2,FALSE)&amp;ROW(M96))),IF($M$86&lt;&gt;"","Data Source Error",""))))</f>
        <v>12</v>
      </c>
      <c r="O96" s="187"/>
      <c r="P96" s="560"/>
      <c r="Q96" s="900" t="str">
        <f ca="1">IF($H$7&lt;4,"",IF(P96&lt;&gt;"",P96,IFERROR(IF(INDIRECT("'"&amp;P$86&amp;"'!"&amp;VLOOKUP(P$87,'List Values'!$C$3:$D$6,2,FALSE)&amp;ROW(P96))="","",INDIRECT("'"&amp;P$86&amp;"'!"&amp;VLOOKUP(P$87,'List Values'!$C$3:$D$6,2,FALSE)&amp;ROW(P96))),IF($P$86&lt;&gt;"","Data Source Error",""))))</f>
        <v/>
      </c>
      <c r="S96" s="560"/>
      <c r="T96" s="900" t="str">
        <f ca="1">IF($H$7&lt;5,"",IF(S96&lt;&gt;"",S96,IFERROR(IF(INDIRECT("'"&amp;S$86&amp;"'!"&amp;VLOOKUP(S$87,'List Values'!$C$3:$D$6,2,FALSE)&amp;ROW(S96))="","",INDIRECT("'"&amp;S$86&amp;"'!"&amp;VLOOKUP(S$87,'List Values'!$C$3:$D$6,2,FALSE)&amp;ROW(S96))),IF($S$86&lt;&gt;"","Data Source Error",""))))</f>
        <v/>
      </c>
      <c r="V96" s="560"/>
      <c r="W96" s="911" t="str">
        <f ca="1">IF($H$7&lt;6,"",IF(V96&lt;&gt;"",V96,IFERROR(IF(INDIRECT("'"&amp;V$86&amp;"'!"&amp;VLOOKUP(V$87,'List Values'!$C$3:$D$6,2,FALSE)&amp;ROW(V96))="","",INDIRECT("'"&amp;V$86&amp;"'!"&amp;VLOOKUP(V$87,'List Values'!$C$3:$D$6,2,FALSE)&amp;ROW(V96))),IF($V$86&lt;&gt;"","Data Source Error",""))))</f>
        <v/>
      </c>
      <c r="Y96" s="2643"/>
      <c r="Z96" s="2644"/>
      <c r="AA96" s="2644"/>
      <c r="AB96" s="2645"/>
      <c r="AD96" s="52"/>
    </row>
    <row r="97" spans="1:30" ht="15" customHeight="1" outlineLevel="1">
      <c r="B97" s="2653" t="s">
        <v>602</v>
      </c>
      <c r="C97" s="2653"/>
      <c r="D97" s="2653"/>
      <c r="E97" s="186"/>
      <c r="F97" s="187"/>
      <c r="G97" s="523"/>
      <c r="H97" s="900">
        <f ca="1">IF(G97&lt;&gt;"",G97,IFERROR(IF(INDIRECT("'"&amp;G$86&amp;"'!"&amp;VLOOKUP(G$87,'List Values'!$C$3:$D$6,2,FALSE)&amp;ROW(G97))="","",INDIRECT("'"&amp;G$86&amp;"'!"&amp;VLOOKUP(G$87,'List Values'!$C$3:$D$6,2,FALSE)&amp;ROW(G97))),IF($G$86&lt;&gt;"","Data Source Error","")))</f>
        <v>1.3</v>
      </c>
      <c r="I97" s="187"/>
      <c r="J97" s="523"/>
      <c r="K97" s="900">
        <f ca="1">IF($H$7&lt;2,"",IF(J97&lt;&gt;"",J97,IFERROR(IF(INDIRECT("'"&amp;J$86&amp;"'!"&amp;VLOOKUP(J$87,'List Values'!$C$3:$D$6,2,FALSE)&amp;ROW(J97))="","",INDIRECT("'"&amp;J$86&amp;"'!"&amp;VLOOKUP(J$87,'List Values'!$C$3:$D$6,2,FALSE)&amp;ROW(J97))),IF($J$86&lt;&gt;"","Data Source Error",""))))</f>
        <v>1.5</v>
      </c>
      <c r="L97" s="187"/>
      <c r="M97" s="523"/>
      <c r="N97" s="900">
        <f ca="1">IF($H$7&lt;3,"",IF(M97&lt;&gt;"",M97,IFERROR(IF(INDIRECT("'"&amp;M$86&amp;"'!"&amp;VLOOKUP(M$87,'List Values'!$C$3:$D$6,2,FALSE)&amp;ROW(M97))="","",INDIRECT("'"&amp;M$86&amp;"'!"&amp;VLOOKUP(M$87,'List Values'!$C$3:$D$6,2,FALSE)&amp;ROW(M97))),IF($M$86&lt;&gt;"","Data Source Error",""))))</f>
        <v>1.7</v>
      </c>
      <c r="O97" s="187"/>
      <c r="P97" s="560"/>
      <c r="Q97" s="900" t="str">
        <f ca="1">IF($H$7&lt;4,"",IF(P97&lt;&gt;"",P97,IFERROR(IF(INDIRECT("'"&amp;P$86&amp;"'!"&amp;VLOOKUP(P$87,'List Values'!$C$3:$D$6,2,FALSE)&amp;ROW(P97))="","",INDIRECT("'"&amp;P$86&amp;"'!"&amp;VLOOKUP(P$87,'List Values'!$C$3:$D$6,2,FALSE)&amp;ROW(P97))),IF($P$86&lt;&gt;"","Data Source Error",""))))</f>
        <v/>
      </c>
      <c r="S97" s="560"/>
      <c r="T97" s="900" t="str">
        <f ca="1">IF($H$7&lt;5,"",IF(S97&lt;&gt;"",S97,IFERROR(IF(INDIRECT("'"&amp;S$86&amp;"'!"&amp;VLOOKUP(S$87,'List Values'!$C$3:$D$6,2,FALSE)&amp;ROW(S97))="","",INDIRECT("'"&amp;S$86&amp;"'!"&amp;VLOOKUP(S$87,'List Values'!$C$3:$D$6,2,FALSE)&amp;ROW(S97))),IF($S$86&lt;&gt;"","Data Source Error",""))))</f>
        <v/>
      </c>
      <c r="V97" s="560"/>
      <c r="W97" s="911" t="str">
        <f ca="1">IF($H$7&lt;6,"",IF(V97&lt;&gt;"",V97,IFERROR(IF(INDIRECT("'"&amp;V$86&amp;"'!"&amp;VLOOKUP(V$87,'List Values'!$C$3:$D$6,2,FALSE)&amp;ROW(V97))="","",INDIRECT("'"&amp;V$86&amp;"'!"&amp;VLOOKUP(V$87,'List Values'!$C$3:$D$6,2,FALSE)&amp;ROW(V97))),IF($V$86&lt;&gt;"","Data Source Error",""))))</f>
        <v/>
      </c>
      <c r="Y97" s="2643"/>
      <c r="Z97" s="2644"/>
      <c r="AA97" s="2644"/>
      <c r="AB97" s="2645"/>
      <c r="AD97" s="52"/>
    </row>
    <row r="98" spans="1:30" ht="15" customHeight="1" outlineLevel="1">
      <c r="B98" s="2653" t="s">
        <v>644</v>
      </c>
      <c r="C98" s="2653"/>
      <c r="D98" s="2653"/>
      <c r="E98" s="2062"/>
      <c r="F98" s="187"/>
      <c r="G98" s="482"/>
      <c r="H98" s="901"/>
      <c r="I98" s="187"/>
      <c r="J98" s="523"/>
      <c r="K98" s="904">
        <f ca="1">IF($H$7&lt;2,"",IF(J$98&lt;&gt;"",J$98,
IF(AND(J$97="",J$95="",J$92=""),IFERROR(IF(INDIRECT("'"&amp;J$86&amp;"'!"&amp;VLOOKUP(J$87,'List Values'!$C$3:$D$6,2,FALSE)&amp;ROW(J98))="",K$97*(SQRT(H$92/H$95)/6)*(SQRT(2)+LN(1+SQRT(2))),INDIRECT("'"&amp;J$86&amp;"'!"&amp;VLOOKUP(J$87,'List Values'!$C$3:$D$6,2,FALSE)&amp;ROW(J98))),IF($J$86&lt;&gt;"","Data Source Error","")),
K$97*(SQRT(H$92/H$95)/6)*(SQRT(2)+LN(1+SQRT(2))))))</f>
        <v>289</v>
      </c>
      <c r="L98" s="193"/>
      <c r="M98" s="555"/>
      <c r="N98" s="904">
        <f ca="1">IF($H$7&lt;3,"",IF(M$98&lt;&gt;"",M$98,
IF(AND(M$97="",M$95="",M$92=""),IFERROR(IF(INDIRECT("'"&amp;M$86&amp;"'!"&amp;VLOOKUP(M$87,'List Values'!$C$3:$D$6,2,FALSE)&amp;ROW(M98))="",N$97*(SQRT(K$92/K$95)/6)*(SQRT(2)+LN(1+SQRT(2))),INDIRECT("'"&amp;M$86&amp;"'!"&amp;VLOOKUP(M$87,'List Values'!$C$3:$D$6,2,FALSE)&amp;ROW(M98))),IF($M$86&lt;&gt;"","Data Source Error","")),
N$97*(SQRT(K$92/K$95)/6)*(SQRT(2)+LN(1+SQRT(2))))))</f>
        <v>124.19206038512104</v>
      </c>
      <c r="O98" s="187"/>
      <c r="P98" s="523"/>
      <c r="Q98" s="1177" t="str">
        <f ca="1">IF($H$7&lt;4,"",IF(P$98&lt;&gt;"",P$98,
IF(AND(P$97="",P$95="",P$92=""),IFERROR(IF(INDIRECT("'"&amp;P$86&amp;"'!"&amp;VLOOKUP(P$87,'List Values'!$C$3:$D$6,2,FALSE)&amp;ROW(P98))="",Q$97*(SQRT(N$92/N$95)/6)*(SQRT(2)+LN(1+SQRT(2))),INDIRECT("'"&amp;P$86&amp;"'!"&amp;VLOOKUP(P$87,'List Values'!$C$3:$D$6,2,FALSE)&amp;ROW(P98))),IF($P$86&lt;&gt;"","Data Source Error","")),
Q$97*(SQRT(N$92/N$95)/6)*(SQRT(2)+LN(1+SQRT(2))))))</f>
        <v/>
      </c>
      <c r="S98" s="523"/>
      <c r="T98" s="904" t="str">
        <f ca="1">IF($H$7&lt;5,"",IF(S$98&lt;&gt;"",S$98,
IF(AND(S$97="",S$95="",S$92=""),IFERROR(IF(INDIRECT("'"&amp;S$86&amp;"'!"&amp;VLOOKUP(S$87,'List Values'!$C$3:$D$6,2,FALSE)&amp;ROW(S98))="",T$97*(SQRT(Q$92/Q$95)/6)*(SQRT(2)+LN(1+SQRT(2))),INDIRECT("'"&amp;S$86&amp;"'!"&amp;VLOOKUP(S$87,'List Values'!$C$3:$D$6,2,FALSE)&amp;ROW(S98))),IF($S$86&lt;&gt;"","Data Source Error","")),
T$97*(SQRT(Q$92/Q$95)/6)*(SQRT(2)+LN(1+SQRT(2))))))</f>
        <v/>
      </c>
      <c r="V98" s="523"/>
      <c r="W98" s="912" t="str">
        <f ca="1">IF($H$7&lt;6,"",IF(V$98&lt;&gt;"",V$98,
IF(AND(V$97="",V$95="",V$92=""),IFERROR(IF(INDIRECT("'"&amp;V$86&amp;"'!"&amp;VLOOKUP(V$87,'List Values'!$C$3:$D$6,2,FALSE)&amp;ROW(V98))="",W$97*(SQRT(T$92/T$95)/6)*(SQRT(2)+LN(1+SQRT(2))),INDIRECT("'"&amp;V$86&amp;"'!"&amp;VLOOKUP(V$87,'List Values'!$C$3:$D$6,2,FALSE)&amp;ROW(V98))),IF($V$86&lt;&gt;"","Data Source Error","")),
W$97*(SQRT(T$92/T$95)/6)*(SQRT(2)+LN(1+SQRT(2))))))</f>
        <v/>
      </c>
      <c r="Y98" s="2643"/>
      <c r="Z98" s="2644"/>
      <c r="AA98" s="2644"/>
      <c r="AB98" s="2645"/>
      <c r="AD98" s="52"/>
    </row>
    <row r="99" spans="1:30" outlineLevel="1">
      <c r="B99" s="2656" t="s">
        <v>645</v>
      </c>
      <c r="C99" s="2656"/>
      <c r="D99" s="2656"/>
      <c r="E99" s="196"/>
      <c r="F99" s="196"/>
      <c r="G99" s="2057"/>
      <c r="H99" s="902">
        <f ca="1">IF(G$99&lt;&gt;"",G$99,
IF(AND(G$97="",G$95="",G$92=""),IFERROR(IF(INDIRECT("'"&amp;G$86&amp;"'!"&amp;VLOOKUP(G$87,'List Values'!$C$3:$D$6,2,FALSE)&amp;ROW(G99))="",IF(H$95=1,0,0.5*H$97*(SQRT(H$92/H$95)+SQRT(2*H$92/H$95))),INDIRECT("'"&amp;G$86&amp;"'!"&amp;VLOOKUP(G$87,'List Values'!$C$3:$D$6,2,FALSE)&amp;ROW(G99))),IF($G$86&lt;&gt;"","Data Source Error","")),
IF(H$95=1,0,0.5*H$97*(SQRT(H$92/H$95)+SQRT(2*H$92/H$95)))))</f>
        <v>0</v>
      </c>
      <c r="I99" s="196"/>
      <c r="J99" s="530"/>
      <c r="K99" s="943">
        <f ca="1">IF($H$7&lt;2,"",IF(J$99&lt;&gt;"",J$99,
IF(AND(J$97="",J$95="",J$92=""),IFERROR(IF(INDIRECT("'"&amp;J$86&amp;"'!"&amp;VLOOKUP(J$87,'List Values'!$C$3:$D$6,2,FALSE)&amp;ROW(J99))="",IF(K$95=1,0,0.5*K$97*(SQRT(K$92/K$95)+SQRT(2*K$92/K$95))),INDIRECT("'"&amp;J$86&amp;"'!"&amp;VLOOKUP(J$87,'List Values'!$C$3:$D$6,2,FALSE)&amp;ROW(J99))),IF($J$86&lt;&gt;"","Data Source Error","")),
IF(K$95=1,0,0.5*K$97*(SQRT(K$92/K$95)+SQRT(2*K$92/K$95))))))</f>
        <v>0</v>
      </c>
      <c r="L99" s="196"/>
      <c r="M99" s="556"/>
      <c r="N99" s="906">
        <f ca="1">IF($H$7&lt;3,"",IF(M$99&lt;&gt;"",M$99,
IF(AND(M$97="",M$95="",M$92=""),IFERROR(IF(INDIRECT("'"&amp;M$86&amp;"'!"&amp;VLOOKUP(M$87,'List Values'!$C$3:$D$6,2,FALSE)&amp;ROW(M99))="",IF(N$95=1,0,0.5*N$97*(SQRT(N$92/N$95)+SQRT(2*N$92/N$95))),INDIRECT("'"&amp;M$86&amp;"'!"&amp;VLOOKUP(M$87,'List Values'!$C$3:$D$6,2,FALSE)&amp;ROW(M99))),IF($M$86&lt;&gt;"","Data Source Error","")),
IF(N$95=1,0,0.5*N$97*(SQRT(N$92/N$95)+SQRT(2*N$92/N$95))))))</f>
        <v>21.09538422148453</v>
      </c>
      <c r="O99" s="196"/>
      <c r="P99" s="530"/>
      <c r="Q99" s="906" t="str">
        <f ca="1">IF($H$7&lt;4,"",IF(P$99&lt;&gt;"",P$99,
IF(AND(P$97="",P$95="",P$92=""),IFERROR(IF(INDIRECT("'"&amp;P$86&amp;"'!"&amp;VLOOKUP(P$87,'List Values'!$C$3:$D$6,2,FALSE)&amp;ROW(P99))="",IF(Q$95=1,0,0.5*Q$97*(SQRT(Q$92/Q$95)+SQRT(2*Q$92/Q$95))),INDIRECT("'"&amp;P$86&amp;"'!"&amp;VLOOKUP(P$87,'List Values'!$C$3:$D$6,2,FALSE)&amp;ROW(P99))),IF($P$86&lt;&gt;"","Data Source Error","")),
IF(Q$95=1,0,0.5*Q$97*(SQRT(Q$92/Q$95)+SQRT(2*Q$92/Q$95))))))</f>
        <v/>
      </c>
      <c r="S99" s="530"/>
      <c r="T99" s="906" t="str">
        <f ca="1">IF($H$7&lt;5,"",IF(S$99&lt;&gt;"",S$99,
IF(AND(S$97="",S$95="",S$92=""),IFERROR(IF(INDIRECT("'"&amp;S$86&amp;"'!"&amp;VLOOKUP(S$87,'List Values'!$C$3:$D$6,2,FALSE)&amp;ROW(S99))="",IF(T$95=1,0,0.5*T$97*(SQRT(T$92/T$95)+SQRT(2*T$92/T$95))),INDIRECT("'"&amp;S$86&amp;"'!"&amp;VLOOKUP(S$87,'List Values'!$C$3:$D$6,2,FALSE)&amp;ROW(S99))),IF($S$86&lt;&gt;"","Data Source Error","")),
IF(T$95=1,0,0.5*T$97*(SQRT(T$92/T$95)+SQRT(2*T$92/T$95))))))</f>
        <v/>
      </c>
      <c r="V99" s="530"/>
      <c r="W99" s="913" t="str">
        <f ca="1">IF($H$7&lt;6,"",IF(V$99&lt;&gt;"",V$99,
IF(AND(V$97="",V$95="",V$92=""),IFERROR(IF(INDIRECT("'"&amp;V$86&amp;"'!"&amp;VLOOKUP(V$87,'List Values'!$C$3:$D$6,2,FALSE)&amp;ROW(V99))="",IF(W$95=1,0,0.5*W$97*(SQRT(W$92/W$95)+SQRT(2*W$92/W$95))),INDIRECT("'"&amp;V$86&amp;"'!"&amp;VLOOKUP(V$87,'List Values'!$C$3:$D$6,2,FALSE)&amp;ROW(V99))),IF($V$86&lt;&gt;"","Data Source Error","")),
IF(W$95=1,0,0.5*W$97*(SQRT(W$92/W$95)+SQRT(2*W$92/W$95))))))</f>
        <v/>
      </c>
      <c r="Y99" s="2657"/>
      <c r="Z99" s="2658"/>
      <c r="AA99" s="2658"/>
      <c r="AB99" s="2659"/>
      <c r="AD99" s="52"/>
    </row>
    <row r="100" spans="1:30" ht="30" customHeight="1">
      <c r="A100" s="630" t="s">
        <v>653</v>
      </c>
      <c r="C100" s="130"/>
      <c r="D100" s="130"/>
      <c r="E100" s="130"/>
      <c r="G100" s="121"/>
      <c r="H100" s="69"/>
      <c r="K100" s="69"/>
      <c r="N100" s="69"/>
      <c r="Q100" s="69"/>
      <c r="S100" s="6"/>
      <c r="T100" s="69"/>
      <c r="V100" s="6"/>
      <c r="W100" s="69"/>
    </row>
    <row r="101" spans="1:30" ht="30.75" customHeight="1">
      <c r="B101" s="2068" t="s">
        <v>614</v>
      </c>
      <c r="C101" s="596"/>
      <c r="D101" s="596"/>
      <c r="E101" s="596"/>
      <c r="F101" s="596"/>
      <c r="G101" s="597"/>
      <c r="H101" s="594"/>
      <c r="I101" s="596"/>
      <c r="J101" s="597"/>
      <c r="K101" s="594"/>
      <c r="L101" s="596"/>
      <c r="M101" s="597"/>
      <c r="N101" s="594"/>
      <c r="O101" s="596"/>
      <c r="P101" s="2660"/>
      <c r="Q101" s="2660"/>
      <c r="R101" s="594"/>
      <c r="S101" s="2660"/>
      <c r="T101" s="2660"/>
      <c r="U101" s="594"/>
      <c r="V101" s="2660"/>
      <c r="W101" s="2660"/>
    </row>
    <row r="102" spans="1:30" ht="19.5" customHeight="1" outlineLevel="1">
      <c r="B102" s="505"/>
      <c r="C102" s="36"/>
      <c r="D102" s="36"/>
      <c r="E102" s="36"/>
      <c r="F102" s="36"/>
      <c r="G102" s="2665" t="str">
        <f ca="1">"Storage at "&amp;H88</f>
        <v>Storage at CMS</v>
      </c>
      <c r="H102" s="2666"/>
      <c r="I102" s="129"/>
      <c r="J102" s="2665" t="str">
        <f ca="1">"Storage at "&amp;K88</f>
        <v>Storage at Regional WH</v>
      </c>
      <c r="K102" s="2666"/>
      <c r="L102" s="506"/>
      <c r="M102" s="2665" t="str">
        <f ca="1">"Storage at "&amp;N88</f>
        <v>Storage at Health Facility</v>
      </c>
      <c r="N102" s="2666"/>
      <c r="O102" s="506"/>
      <c r="P102" s="2665" t="str">
        <f ca="1">"Storage at "&amp;Q88</f>
        <v xml:space="preserve">Storage at </v>
      </c>
      <c r="Q102" s="2666"/>
      <c r="R102" s="129"/>
      <c r="S102" s="2665" t="str">
        <f ca="1">"Storage at "&amp;T88</f>
        <v xml:space="preserve">Storage at </v>
      </c>
      <c r="T102" s="2666"/>
      <c r="U102" s="129"/>
      <c r="V102" s="2665" t="str">
        <f ca="1">"Storage at "&amp;W88</f>
        <v xml:space="preserve">Storage at </v>
      </c>
      <c r="W102" s="2669"/>
      <c r="Y102" s="2619" t="s">
        <v>673</v>
      </c>
      <c r="Z102" s="2620"/>
      <c r="AA102" s="2620"/>
      <c r="AB102" s="2621"/>
    </row>
    <row r="103" spans="1:30" ht="11.25" customHeight="1" outlineLevel="1">
      <c r="A103" s="75"/>
      <c r="B103" s="1347"/>
      <c r="C103" s="2512"/>
      <c r="D103" s="2512"/>
      <c r="E103" s="185"/>
      <c r="F103" s="183"/>
      <c r="G103" s="2667"/>
      <c r="H103" s="2668"/>
      <c r="I103" s="1395"/>
      <c r="J103" s="2667"/>
      <c r="K103" s="2668"/>
      <c r="L103" s="1395"/>
      <c r="M103" s="2667"/>
      <c r="N103" s="2668"/>
      <c r="O103" s="1396"/>
      <c r="P103" s="2667"/>
      <c r="Q103" s="2668"/>
      <c r="R103" s="1396"/>
      <c r="S103" s="2667"/>
      <c r="T103" s="2668"/>
      <c r="U103" s="1396"/>
      <c r="V103" s="2667"/>
      <c r="W103" s="2670"/>
      <c r="Y103" s="2643"/>
      <c r="Z103" s="2644"/>
      <c r="AA103" s="2644"/>
      <c r="AB103" s="2645"/>
      <c r="AD103" s="52"/>
    </row>
    <row r="104" spans="1:30" ht="46.5" customHeight="1" outlineLevel="1">
      <c r="A104" s="75"/>
      <c r="B104" s="2064" t="s">
        <v>341</v>
      </c>
      <c r="C104" s="2512" t="s">
        <v>2373</v>
      </c>
      <c r="D104" s="2512"/>
      <c r="E104" s="197"/>
      <c r="F104" s="184"/>
      <c r="G104" s="586">
        <v>1</v>
      </c>
      <c r="H104" s="1391">
        <f ca="1">IF(G104&lt;&gt;"",G104,IFERROR(IF(INDIRECT("'"&amp;G$86&amp;"'!"&amp;VLOOKUP(G$87,'List Values'!$C$3:$D$6,2,FALSE)&amp;ROW(G104))="","",INDIRECT("'"&amp;G$86&amp;"'!"&amp;VLOOKUP(G$87,'List Values'!$C$3:$D$6,2,FALSE)&amp;ROW(G104))),IF($G$86&lt;&gt;"","Data Source Error","")))</f>
        <v>1</v>
      </c>
      <c r="I104" s="1392"/>
      <c r="J104" s="586">
        <v>1</v>
      </c>
      <c r="K104" s="1391">
        <f ca="1">IF($H$7&lt;2,"",IF(J104&lt;&gt;"",J104,IFERROR(IF(INDIRECT("'"&amp;J$86&amp;"'!"&amp;VLOOKUP(J$87,'List Values'!$C$3:$D$6,2,FALSE)&amp;ROW(J104))="","",INDIRECT("'"&amp;J$86&amp;"'!"&amp;VLOOKUP(J$87,'List Values'!$C$3:$D$6,2,FALSE)&amp;ROW(J104))),IF($J$86&lt;&gt;"","Data Source Error",""))))</f>
        <v>1</v>
      </c>
      <c r="L104" s="1392"/>
      <c r="M104" s="586">
        <v>1</v>
      </c>
      <c r="N104" s="1391">
        <f ca="1">IF($H$7&lt;3,"",IF(M104&lt;&gt;"",M104,IFERROR(IF(INDIRECT("'"&amp;M$86&amp;"'!"&amp;VLOOKUP(M$87,'List Values'!$C$3:$D$6,2,FALSE)&amp;ROW(M104))="","",INDIRECT("'"&amp;M$86&amp;"'!"&amp;VLOOKUP(M$87,'List Values'!$C$3:$D$6,2,FALSE)&amp;ROW(M104))),IF($M$86&lt;&gt;"","Data Source Error",""))))</f>
        <v>1</v>
      </c>
      <c r="O104" s="1393"/>
      <c r="P104" s="712"/>
      <c r="Q104" s="1394" t="str">
        <f ca="1">IF($H$7&lt;4,"",IF(P104&lt;&gt;"",P104,IFERROR(IF(INDIRECT("'"&amp;P$86&amp;"'!"&amp;VLOOKUP(P$87,'List Values'!$C$3:$D$6,2,FALSE)&amp;ROW(P104))="","",INDIRECT("'"&amp;P$86&amp;"'!"&amp;VLOOKUP(P$87,'List Values'!$C$3:$D$6,2,FALSE)&amp;ROW(P104))),IF($P$86&lt;&gt;"","Data Source Error",""))))</f>
        <v/>
      </c>
      <c r="S104" s="712"/>
      <c r="T104" s="1394" t="str">
        <f ca="1">IF($H$7&lt;5,"",IF(S104&lt;&gt;"",S104,IFERROR(IF(INDIRECT("'"&amp;S$86&amp;"'!"&amp;VLOOKUP(S$87,'List Values'!$C$3:$D$6,2,FALSE)&amp;ROW(S104))="","",INDIRECT("'"&amp;S$86&amp;"'!"&amp;VLOOKUP(S$87,'List Values'!$C$3:$D$6,2,FALSE)&amp;ROW(S104))),IF($S$86&lt;&gt;"","Data Source Error",""))))</f>
        <v/>
      </c>
      <c r="V104" s="712"/>
      <c r="W104" s="976" t="str">
        <f ca="1">IF($H$7&lt;6,"",IF(V104&lt;&gt;"",V104,IFERROR(IF(INDIRECT("'"&amp;V$86&amp;"'!"&amp;VLOOKUP(V$87,'List Values'!$C$3:$D$6,2,FALSE)&amp;ROW(V104))="","",INDIRECT("'"&amp;V$86&amp;"'!"&amp;VLOOKUP(V$87,'List Values'!$C$3:$D$6,2,FALSE)&amp;ROW(V104))),IF($V$86&lt;&gt;"","Data Source Error",""))))</f>
        <v/>
      </c>
      <c r="Y104" s="2643"/>
      <c r="Z104" s="2644"/>
      <c r="AA104" s="2644"/>
      <c r="AB104" s="2645"/>
      <c r="AD104" s="52"/>
    </row>
    <row r="105" spans="1:30" ht="29.25" customHeight="1" outlineLevel="1">
      <c r="A105" s="86"/>
      <c r="B105" s="2661" t="s">
        <v>185</v>
      </c>
      <c r="C105" s="2663" t="s">
        <v>231</v>
      </c>
      <c r="D105" s="2663"/>
      <c r="E105" s="198"/>
      <c r="F105" s="198"/>
      <c r="G105" s="563"/>
      <c r="H105" s="931" t="str">
        <f ca="1">IF(G105&lt;&gt;"",G105,IFERROR(IF(INDIRECT("'"&amp;G$86&amp;"'!"&amp;VLOOKUP(G$87,'List Values'!$C$3:$D$6,2,FALSE)&amp;ROW(G105))="","",INDIRECT("'"&amp;G$86&amp;"'!"&amp;VLOOKUP(G$87,'List Values'!$C$3:$D$6,2,FALSE)&amp;ROW(G105))),IF($G$86&lt;&gt;"","Data Source Error","")))</f>
        <v>Warehouse Staff - Floor worker</v>
      </c>
      <c r="I105" s="213"/>
      <c r="J105" s="563"/>
      <c r="K105" s="931" t="str">
        <f ca="1">IF($H$7&lt;2,"",IF(J105&lt;&gt;"",J105,IFERROR(IF(INDIRECT("'"&amp;J$86&amp;"'!"&amp;VLOOKUP(J$87,'List Values'!$C$3:$D$6,2,FALSE)&amp;ROW(J105))="","",INDIRECT("'"&amp;J$86&amp;"'!"&amp;VLOOKUP(J$87,'List Values'!$C$3:$D$6,2,FALSE)&amp;ROW(J105))),IF($J$86&lt;&gt;"","Data Source Error",""))))</f>
        <v>Warehouse Staff - Floor worker</v>
      </c>
      <c r="L105" s="213"/>
      <c r="M105" s="563"/>
      <c r="N105" s="931" t="str">
        <f ca="1">IF($H$7&lt;3,"",IF(M105&lt;&gt;"",M105,IFERROR(IF(INDIRECT("'"&amp;M$86&amp;"'!"&amp;VLOOKUP(M$87,'List Values'!$C$3:$D$6,2,FALSE)&amp;ROW(M105))="","",INDIRECT("'"&amp;M$86&amp;"'!"&amp;VLOOKUP(M$87,'List Values'!$C$3:$D$6,2,FALSE)&amp;ROW(M105))),IF($M$86&lt;&gt;"","Data Source Error",""))))</f>
        <v>Health Clinic - Nurse/Pharmacist in-charge</v>
      </c>
      <c r="O105" s="198"/>
      <c r="P105" s="531"/>
      <c r="Q105" s="942" t="str">
        <f ca="1">IF($H$7&lt;4,"",IF(P105&lt;&gt;"",P105,IFERROR(IF(INDIRECT("'"&amp;P$86&amp;"'!"&amp;VLOOKUP(P$87,'List Values'!$C$3:$D$6,2,FALSE)&amp;ROW(P105))="","",INDIRECT("'"&amp;P$86&amp;"'!"&amp;VLOOKUP(P$87,'List Values'!$C$3:$D$6,2,FALSE)&amp;ROW(P105))),IF($P$86&lt;&gt;"","Data Source Error",""))))</f>
        <v/>
      </c>
      <c r="S105" s="531"/>
      <c r="T105" s="942" t="str">
        <f ca="1">IF($H$7&lt;5,"",IF(S105&lt;&gt;"",S105,IFERROR(IF(INDIRECT("'"&amp;S$86&amp;"'!"&amp;VLOOKUP(S$87,'List Values'!$C$3:$D$6,2,FALSE)&amp;ROW(S105))="","",INDIRECT("'"&amp;S$86&amp;"'!"&amp;VLOOKUP(S$87,'List Values'!$C$3:$D$6,2,FALSE)&amp;ROW(S105))),IF($S$86&lt;&gt;"","Data Source Error",""))))</f>
        <v/>
      </c>
      <c r="V105" s="531"/>
      <c r="W105" s="948" t="str">
        <f ca="1">IF($H$7&lt;6,"",IF(V105&lt;&gt;"",V105,IFERROR(IF(INDIRECT("'"&amp;V$86&amp;"'!"&amp;VLOOKUP(V$87,'List Values'!$C$3:$D$6,2,FALSE)&amp;ROW(V105))="","",INDIRECT("'"&amp;V$86&amp;"'!"&amp;VLOOKUP(V$87,'List Values'!$C$3:$D$6,2,FALSE)&amp;ROW(V105))),IF($V$86&lt;&gt;"","Data Source Error",""))))</f>
        <v/>
      </c>
      <c r="Y105" s="2643"/>
      <c r="Z105" s="2644"/>
      <c r="AA105" s="2644"/>
      <c r="AB105" s="2645"/>
      <c r="AD105" s="52"/>
    </row>
    <row r="106" spans="1:30" ht="36" customHeight="1" outlineLevel="1">
      <c r="A106" s="86"/>
      <c r="B106" s="2662"/>
      <c r="C106" s="2583" t="s">
        <v>356</v>
      </c>
      <c r="D106" s="2583"/>
      <c r="E106" s="187"/>
      <c r="F106" s="187"/>
      <c r="G106" s="564">
        <v>30</v>
      </c>
      <c r="H106" s="932">
        <f ca="1">IF(G106&lt;&gt;"",G106,IFERROR(IF(INDIRECT("'"&amp;G$86&amp;"'!"&amp;VLOOKUP(G$87,'List Values'!$C$3:$D$6,2,FALSE)&amp;ROW(G106))="","",INDIRECT("'"&amp;G$86&amp;"'!"&amp;VLOOKUP(G$87,'List Values'!$C$3:$D$6,2,FALSE)&amp;ROW(G106))),IF($G$86&lt;&gt;"","Data Source Error","")))</f>
        <v>30</v>
      </c>
      <c r="I106" s="214"/>
      <c r="J106" s="564">
        <v>28</v>
      </c>
      <c r="K106" s="932">
        <f ca="1">IF($H$7&lt;2,"",IF(J106&lt;&gt;"",J106,IFERROR(IF(INDIRECT("'"&amp;J$86&amp;"'!"&amp;VLOOKUP(J$87,'List Values'!$C$3:$D$6,2,FALSE)&amp;ROW(J106))="","",INDIRECT("'"&amp;J$86&amp;"'!"&amp;VLOOKUP(J$87,'List Values'!$C$3:$D$6,2,FALSE)&amp;ROW(J106))),IF($J$86&lt;&gt;"","Data Source Error",""))))</f>
        <v>28</v>
      </c>
      <c r="L106" s="214"/>
      <c r="M106" s="573">
        <v>0.05</v>
      </c>
      <c r="N106" s="939">
        <f ca="1">IF($H$7&lt;3,"",IF(M106&lt;&gt;"",M106,IFERROR(IF(INDIRECT("'"&amp;M$86&amp;"'!"&amp;VLOOKUP(M$87,'List Values'!$C$3:$D$6,2,FALSE)&amp;ROW(M106))="","",INDIRECT("'"&amp;M$86&amp;"'!"&amp;VLOOKUP(M$87,'List Values'!$C$3:$D$6,2,FALSE)&amp;ROW(M106))),IF($M$86&lt;&gt;"","Data Source Error",""))))</f>
        <v>0.05</v>
      </c>
      <c r="O106" s="187"/>
      <c r="P106" s="528"/>
      <c r="Q106" s="904" t="str">
        <f ca="1">IF($H$7&lt;4,"",IF(P106&lt;&gt;"",P106,IFERROR(IF(INDIRECT("'"&amp;P$86&amp;"'!"&amp;VLOOKUP(P$87,'List Values'!$C$3:$D$6,2,FALSE)&amp;ROW(P106))="","",INDIRECT("'"&amp;P$86&amp;"'!"&amp;VLOOKUP(P$87,'List Values'!$C$3:$D$6,2,FALSE)&amp;ROW(P106))),IF($P$86&lt;&gt;"","Data Source Error",""))))</f>
        <v/>
      </c>
      <c r="S106" s="528"/>
      <c r="T106" s="904" t="str">
        <f ca="1">IF($H$7&lt;5,"",IF(S106&lt;&gt;"",S106,IFERROR(IF(INDIRECT("'"&amp;S$86&amp;"'!"&amp;VLOOKUP(S$87,'List Values'!$C$3:$D$6,2,FALSE)&amp;ROW(S106))="","",INDIRECT("'"&amp;S$86&amp;"'!"&amp;VLOOKUP(S$87,'List Values'!$C$3:$D$6,2,FALSE)&amp;ROW(S106))),IF($S$86&lt;&gt;"","Data Source Error",""))))</f>
        <v/>
      </c>
      <c r="V106" s="528"/>
      <c r="W106" s="912" t="str">
        <f ca="1">IF($H$7&lt;6,"",IF(V106&lt;&gt;"",V106,IFERROR(IF(INDIRECT("'"&amp;V$86&amp;"'!"&amp;VLOOKUP(V$87,'List Values'!$C$3:$D$6,2,FALSE)&amp;ROW(V106))="","",INDIRECT("'"&amp;V$86&amp;"'!"&amp;VLOOKUP(V$87,'List Values'!$C$3:$D$6,2,FALSE)&amp;ROW(V106))),IF($V$86&lt;&gt;"","Data Source Error",""))))</f>
        <v/>
      </c>
      <c r="Y106" s="2643"/>
      <c r="Z106" s="2644"/>
      <c r="AA106" s="2644"/>
      <c r="AB106" s="2645"/>
      <c r="AD106" s="52"/>
    </row>
    <row r="107" spans="1:30" ht="36.75" customHeight="1" outlineLevel="1">
      <c r="A107" s="86"/>
      <c r="B107" s="2612"/>
      <c r="C107" s="2664" t="s">
        <v>599</v>
      </c>
      <c r="D107" s="2664"/>
      <c r="E107" s="200"/>
      <c r="F107" s="200"/>
      <c r="G107" s="565"/>
      <c r="H107" s="933">
        <f ca="1">IF(G107&lt;&gt;"",G107,IFERROR(IF(INDIRECT("'"&amp;G$86&amp;"'!"&amp;VLOOKUP(G$87,'List Values'!$C$3:$D$6,2,FALSE)&amp;ROW(G107))="","",INDIRECT("'"&amp;G$86&amp;"'!"&amp;VLOOKUP(G$87,'List Values'!$C$3:$D$6,2,FALSE)&amp;ROW(G107))),IF($G$86&lt;&gt;"","Data Source Error","")))</f>
        <v>0.51956390740105851</v>
      </c>
      <c r="I107" s="492"/>
      <c r="J107" s="571"/>
      <c r="K107" s="933">
        <f ca="1">IF($H$7&lt;2,"",IF(J107&lt;&gt;"",J107,IFERROR(IF(INDIRECT("'"&amp;J$86&amp;"'!"&amp;VLOOKUP(J$87,'List Values'!$C$3:$D$6,2,FALSE)&amp;ROW(J107))="","",INDIRECT("'"&amp;J$86&amp;"'!"&amp;VLOOKUP(J$87,'List Values'!$C$3:$D$6,2,FALSE)&amp;ROW(J107))),IF($J$86&lt;&gt;"","Data Source Error",""))))</f>
        <v>0.54959420694220995</v>
      </c>
      <c r="L107" s="215"/>
      <c r="M107" s="565"/>
      <c r="N107" s="940">
        <f ca="1">IF($H$7&lt;3,"",IF(M107&lt;&gt;"",M107,IFERROR(IF(INDIRECT("'"&amp;M$86&amp;"'!"&amp;VLOOKUP(M$87,'List Values'!$C$3:$D$6,2,FALSE)&amp;ROW(M107))="","",INDIRECT("'"&amp;M$86&amp;"'!"&amp;VLOOKUP(M$87,'List Values'!$C$3:$D$6,2,FALSE)&amp;ROW(M107))),IF($M$86&lt;&gt;"","Data Source Error",""))))</f>
        <v>0.88659612260755372</v>
      </c>
      <c r="O107" s="187"/>
      <c r="P107" s="530"/>
      <c r="Q107" s="943" t="str">
        <f ca="1">IF($H$7&lt;4,"",IF(P107&lt;&gt;"",P107,IFERROR(IF(INDIRECT("'"&amp;P$86&amp;"'!"&amp;VLOOKUP(P$87,'List Values'!$C$3:$D$6,2,FALSE)&amp;ROW(P107))="","",INDIRECT("'"&amp;P$86&amp;"'!"&amp;VLOOKUP(P$87,'List Values'!$C$3:$D$6,2,FALSE)&amp;ROW(P107))),IF($P$86&lt;&gt;"","Data Source Error",""))))</f>
        <v/>
      </c>
      <c r="S107" s="530"/>
      <c r="T107" s="943" t="str">
        <f ca="1">IF($H$7&lt;5,"",IF(S107&lt;&gt;"",S107,IFERROR(IF(INDIRECT("'"&amp;S$86&amp;"'!"&amp;VLOOKUP(S$87,'List Values'!$C$3:$D$6,2,FALSE)&amp;ROW(S107))="","",INDIRECT("'"&amp;S$86&amp;"'!"&amp;VLOOKUP(S$87,'List Values'!$C$3:$D$6,2,FALSE)&amp;ROW(S107))),IF($S$86&lt;&gt;"","Data Source Error",""))))</f>
        <v/>
      </c>
      <c r="V107" s="530"/>
      <c r="W107" s="949" t="str">
        <f ca="1">IF($H$7&lt;6,"",IF(V107&lt;&gt;"",V107,IFERROR(IF(INDIRECT("'"&amp;V$86&amp;"'!"&amp;VLOOKUP(V$87,'List Values'!$C$3:$D$6,2,FALSE)&amp;ROW(V107))="","",INDIRECT("'"&amp;V$86&amp;"'!"&amp;VLOOKUP(V$87,'List Values'!$C$3:$D$6,2,FALSE)&amp;ROW(V107))),IF($V$86&lt;&gt;"","Data Source Error",""))))</f>
        <v/>
      </c>
      <c r="Y107" s="2643"/>
      <c r="Z107" s="2644"/>
      <c r="AA107" s="2644"/>
      <c r="AB107" s="2645"/>
      <c r="AD107" s="52"/>
    </row>
    <row r="108" spans="1:30" ht="19.5" customHeight="1" outlineLevel="1">
      <c r="A108" s="86"/>
      <c r="B108" s="2671" t="s">
        <v>394</v>
      </c>
      <c r="C108" s="2663" t="s">
        <v>375</v>
      </c>
      <c r="D108" s="2663"/>
      <c r="E108" s="199"/>
      <c r="F108" s="199"/>
      <c r="G108" s="1926">
        <v>500</v>
      </c>
      <c r="H108" s="934">
        <f ca="1">IF(G108&lt;&gt;"",G108,IFERROR(IF(INDIRECT("'"&amp;G$86&amp;"'!"&amp;VLOOKUP(G$87,'List Values'!$C$3:$D$6,2,FALSE)&amp;ROW(G108))="","",INDIRECT("'"&amp;G$86&amp;"'!"&amp;VLOOKUP(G$87,'List Values'!$C$3:$D$6,2,FALSE)&amp;ROW(G108))),IF($G$86&lt;&gt;"","Data Source Error","")))</f>
        <v>500</v>
      </c>
      <c r="I108" s="216"/>
      <c r="J108" s="566">
        <v>500</v>
      </c>
      <c r="K108" s="934">
        <f ca="1">IF($H$7&lt;2,"",IF(J108&lt;&gt;"",J108,IFERROR(IF(INDIRECT("'"&amp;J$86&amp;"'!"&amp;VLOOKUP(J$87,'List Values'!$C$3:$D$6,2,FALSE)&amp;ROW(J108))="","",INDIRECT("'"&amp;J$86&amp;"'!"&amp;VLOOKUP(J$87,'List Values'!$C$3:$D$6,2,FALSE)&amp;ROW(J108))),IF($J$86&lt;&gt;"","Data Source Error",""))))</f>
        <v>500</v>
      </c>
      <c r="L108" s="216"/>
      <c r="M108" s="566"/>
      <c r="N108" s="934">
        <f ca="1">IF($H$7&lt;3,"",IF(M108&lt;&gt;"",M108,IFERROR(IF(INDIRECT("'"&amp;M$86&amp;"'!"&amp;VLOOKUP(M$87,'List Values'!$C$3:$D$6,2,FALSE)&amp;ROW(M108))="","",INDIRECT("'"&amp;M$86&amp;"'!"&amp;VLOOKUP(M$87,'List Values'!$C$3:$D$6,2,FALSE)&amp;ROW(M108))),IF($M$86&lt;&gt;"","Data Source Error",""))))</f>
        <v>2.66</v>
      </c>
      <c r="O108" s="183"/>
      <c r="P108" s="574"/>
      <c r="Q108" s="944" t="str">
        <f ca="1">IF($H$7&lt;4,"",IF(P108&lt;&gt;"",P108,IFERROR(IF(INDIRECT("'"&amp;P$86&amp;"'!"&amp;VLOOKUP(P$87,'List Values'!$C$3:$D$6,2,FALSE)&amp;ROW(P108))="","",INDIRECT("'"&amp;P$86&amp;"'!"&amp;VLOOKUP(P$87,'List Values'!$C$3:$D$6,2,FALSE)&amp;ROW(P108))),IF($P$86&lt;&gt;"","Data Source Error",""))))</f>
        <v/>
      </c>
      <c r="S108" s="574"/>
      <c r="T108" s="944" t="str">
        <f ca="1">IF($H$7&lt;5,"",IF(S108&lt;&gt;"",S108,IFERROR(IF(INDIRECT("'"&amp;S$86&amp;"'!"&amp;VLOOKUP(S$87,'List Values'!$C$3:$D$6,2,FALSE)&amp;ROW(S108))="","",INDIRECT("'"&amp;S$86&amp;"'!"&amp;VLOOKUP(S$87,'List Values'!$C$3:$D$6,2,FALSE)&amp;ROW(S108))),IF($S$86&lt;&gt;"","Data Source Error",""))))</f>
        <v/>
      </c>
      <c r="V108" s="574"/>
      <c r="W108" s="950" t="str">
        <f ca="1">IF($H$7&lt;6,"",IF(V108&lt;&gt;"",V108,IFERROR(IF(INDIRECT("'"&amp;V$86&amp;"'!"&amp;VLOOKUP(V$87,'List Values'!$C$3:$D$6,2,FALSE)&amp;ROW(V108))="","",INDIRECT("'"&amp;V$86&amp;"'!"&amp;VLOOKUP(V$87,'List Values'!$C$3:$D$6,2,FALSE)&amp;ROW(V108))),IF($V$86&lt;&gt;"","Data Source Error",""))))</f>
        <v/>
      </c>
      <c r="Y108" s="2643"/>
      <c r="Z108" s="2644"/>
      <c r="AA108" s="2644"/>
      <c r="AB108" s="2645"/>
      <c r="AD108" s="52"/>
    </row>
    <row r="109" spans="1:30" ht="34.5" customHeight="1" outlineLevel="1">
      <c r="A109" s="86"/>
      <c r="B109" s="2672"/>
      <c r="C109" s="2583" t="s">
        <v>395</v>
      </c>
      <c r="D109" s="2583"/>
      <c r="E109" s="199"/>
      <c r="F109" s="199"/>
      <c r="G109" s="567"/>
      <c r="H109" s="935" t="str">
        <f ca="1">IF(G109&lt;&gt;"",G109,IFERROR(IF(INDIRECT("'"&amp;G$86&amp;"'!"&amp;VLOOKUP(G$87,'List Values'!$C$3:$D$6,2,FALSE)&amp;ROW(G109))="","",INDIRECT("'"&amp;G$86&amp;"'!"&amp;VLOOKUP(G$87,'List Values'!$C$3:$D$6,2,FALSE)&amp;ROW(G109))),IF($G$86&lt;&gt;"","Data Source Error","")))</f>
        <v/>
      </c>
      <c r="I109" s="248"/>
      <c r="J109" s="567"/>
      <c r="K109" s="935" t="str">
        <f ca="1">IF($H$7&lt;2,"",IF(J109&lt;&gt;"",J109,IFERROR(IF(INDIRECT("'"&amp;J$86&amp;"'!"&amp;VLOOKUP(J$87,'List Values'!$C$3:$D$6,2,FALSE)&amp;ROW(J109))="","",INDIRECT("'"&amp;J$86&amp;"'!"&amp;VLOOKUP(J$87,'List Values'!$C$3:$D$6,2,FALSE)&amp;ROW(J109))),IF($J$86&lt;&gt;"","Data Source Error",""))))</f>
        <v/>
      </c>
      <c r="L109" s="248"/>
      <c r="M109" s="567"/>
      <c r="N109" s="929" t="str">
        <f ca="1">IF($H$7&lt;3,"",IF(M109&lt;&gt;"",M109,IFERROR(IF(INDIRECT("'"&amp;M$86&amp;"'!"&amp;VLOOKUP(M$87,'List Values'!$C$3:$D$6,2,FALSE)&amp;ROW(M109))="","",INDIRECT("'"&amp;M$86&amp;"'!"&amp;VLOOKUP(M$87,'List Values'!$C$3:$D$6,2,FALSE)&amp;ROW(M109))),IF($M$86&lt;&gt;"","Data Source Error",""))))</f>
        <v/>
      </c>
      <c r="O109" s="183"/>
      <c r="P109" s="574"/>
      <c r="Q109" s="934" t="str">
        <f ca="1">IF($H$7&lt;4,"",IF(P109&lt;&gt;"",P109,IFERROR(IF(INDIRECT("'"&amp;P$86&amp;"'!"&amp;VLOOKUP(P$87,'List Values'!$C$3:$D$6,2,FALSE)&amp;ROW(P109))="","",INDIRECT("'"&amp;P$86&amp;"'!"&amp;VLOOKUP(P$87,'List Values'!$C$3:$D$6,2,FALSE)&amp;ROW(P109))),IF($P$86&lt;&gt;"","Data Source Error",""))))</f>
        <v/>
      </c>
      <c r="S109" s="574"/>
      <c r="T109" s="934" t="str">
        <f ca="1">IF($H$7&lt;5,"",IF(S109&lt;&gt;"",S109,IFERROR(IF(INDIRECT("'"&amp;S$86&amp;"'!"&amp;VLOOKUP(S$87,'List Values'!$C$3:$D$6,2,FALSE)&amp;ROW(S109))="","",INDIRECT("'"&amp;S$86&amp;"'!"&amp;VLOOKUP(S$87,'List Values'!$C$3:$D$6,2,FALSE)&amp;ROW(S109))),IF($S$86&lt;&gt;"","Data Source Error",""))))</f>
        <v/>
      </c>
      <c r="V109" s="574"/>
      <c r="W109" s="951" t="str">
        <f ca="1">IF($H$7&lt;6,"",IF(V109&lt;&gt;"",V109,IFERROR(IF(INDIRECT("'"&amp;V$86&amp;"'!"&amp;VLOOKUP(V$87,'List Values'!$C$3:$D$6,2,FALSE)&amp;ROW(V109))="","",INDIRECT("'"&amp;V$86&amp;"'!"&amp;VLOOKUP(V$87,'List Values'!$C$3:$D$6,2,FALSE)&amp;ROW(V109))),IF($V$86&lt;&gt;"","Data Source Error",""))))</f>
        <v/>
      </c>
      <c r="Y109" s="2643"/>
      <c r="Z109" s="2644"/>
      <c r="AA109" s="2644"/>
      <c r="AB109" s="2645"/>
      <c r="AD109" s="52"/>
    </row>
    <row r="110" spans="1:30" ht="34.5" customHeight="1" outlineLevel="1">
      <c r="A110" s="86"/>
      <c r="B110" s="2672"/>
      <c r="C110" s="2583" t="s">
        <v>5443</v>
      </c>
      <c r="D110" s="2583"/>
      <c r="E110" s="187"/>
      <c r="F110" s="187"/>
      <c r="G110" s="568"/>
      <c r="H110" s="1070">
        <f ca="1">IF(G110&lt;&gt;"",G110,IFERROR(IF(INDIRECT("'"&amp;G$86&amp;"'!"&amp;VLOOKUP(G$87,'List Values'!$C$3:$D$6,2,FALSE)&amp;ROW(G110))="","",INDIRECT("'"&amp;G$86&amp;"'!"&amp;VLOOKUP(G$87,'List Values'!$C$3:$D$6,2,FALSE)&amp;ROW(G110))*$H$6),IF($G$86&lt;&gt;"","Data Source Error","")))</f>
        <v>169.65084425619176</v>
      </c>
      <c r="I110" s="195"/>
      <c r="J110" s="568"/>
      <c r="K110" s="1070">
        <f ca="1">IF($H$7&lt;2,"",IF(J110&lt;&gt;"",J110,IFERROR(IF(INDIRECT("'"&amp;J$86&amp;"'!"&amp;VLOOKUP(J$87,'List Values'!$C$3:$D$6,2,FALSE)&amp;ROW(J110))="","",INDIRECT("'"&amp;J$86&amp;"'!"&amp;VLOOKUP(J$87,'List Values'!$C$3:$D$6,2,FALSE)&amp;ROW(J110))*$H$6),IF($J$86&lt;&gt;"","Data Source Error",""))))</f>
        <v>84.709602195082624</v>
      </c>
      <c r="L110" s="195"/>
      <c r="M110" s="568"/>
      <c r="N110" s="936">
        <f ca="1">IF($H$7&lt;3,"",IF(M110&lt;&gt;"",M110,IFERROR(IF(INDIRECT("'"&amp;M$86&amp;"'!"&amp;VLOOKUP(M$87,'List Values'!$C$3:$D$6,2,FALSE)&amp;ROW(M110))="","",INDIRECT("'"&amp;M$86&amp;"'!"&amp;VLOOKUP(M$87,'List Values'!$C$3:$D$6,2,FALSE)&amp;ROW(M110))*$H$6),IF($M$86&lt;&gt;"","Data Source Error",""))))</f>
        <v>187.45983087332772</v>
      </c>
      <c r="O110" s="187"/>
      <c r="P110" s="528"/>
      <c r="Q110" s="945" t="str">
        <f ca="1">IF($H$7&lt;4,"",IF(P110&lt;&gt;"",P110,IFERROR(IF(INDIRECT("'"&amp;P$86&amp;"'!"&amp;VLOOKUP(P$87,'List Values'!$C$3:$D$6,2,FALSE)&amp;ROW(P110))="","",INDIRECT("'"&amp;P$86&amp;"'!"&amp;VLOOKUP(P$87,'List Values'!$C$3:$D$6,2,FALSE)&amp;ROW(P110))*$H$6),IF($P$86&lt;&gt;"","Data Source Error",""))))</f>
        <v/>
      </c>
      <c r="S110" s="528"/>
      <c r="T110" s="945" t="str">
        <f ca="1">IF($H$7&lt;5,"",IF(S110&lt;&gt;"",S110,IFERROR(IF(INDIRECT("'"&amp;S$86&amp;"'!"&amp;VLOOKUP(S$87,'List Values'!$C$3:$D$6,2,FALSE)&amp;ROW(S110))="","",INDIRECT("'"&amp;S$86&amp;"'!"&amp;VLOOKUP(S$87,'List Values'!$C$3:$D$6,2,FALSE)&amp;ROW(S110))*$H$6),IF($S$86&lt;&gt;"","Data Source Error",""))))</f>
        <v/>
      </c>
      <c r="V110" s="528"/>
      <c r="W110" s="952" t="str">
        <f ca="1">IF($H$7&lt;6,"",IF(V110&lt;&gt;"",V110,IFERROR(IF(INDIRECT("'"&amp;V$86&amp;"'!"&amp;VLOOKUP(V$87,'List Values'!$C$3:$D$6,2,FALSE)&amp;ROW(V110))="","",INDIRECT("'"&amp;V$86&amp;"'!"&amp;VLOOKUP(V$87,'List Values'!$C$3:$D$6,2,FALSE)&amp;ROW(V110))*$H$6),IF($V$86&lt;&gt;"","Data Source Error",""))))</f>
        <v/>
      </c>
      <c r="Y110" s="2643"/>
      <c r="Z110" s="2644"/>
      <c r="AA110" s="2644"/>
      <c r="AB110" s="2645"/>
      <c r="AD110" s="52"/>
    </row>
    <row r="111" spans="1:30" ht="36" customHeight="1" outlineLevel="1">
      <c r="A111" s="86"/>
      <c r="B111" s="2672"/>
      <c r="C111" s="2583" t="s">
        <v>5444</v>
      </c>
      <c r="D111" s="2583"/>
      <c r="E111" s="187"/>
      <c r="F111" s="187"/>
      <c r="G111" s="568"/>
      <c r="H111" s="936">
        <f ca="1">IF(G111&lt;&gt;"",G111,IFERROR(IF(INDIRECT("'"&amp;G$86&amp;"'!"&amp;VLOOKUP(G$87,'List Values'!$C$3:$D$6,2,FALSE)&amp;ROW(G111))="","",INDIRECT("'"&amp;G$86&amp;"'!"&amp;VLOOKUP(G$87,'List Values'!$C$3:$D$6,2,FALSE)&amp;ROW(G111))*$H$6),IF($G$86&lt;&gt;"","Data Source Error","")))</f>
        <v>13.891187860080294</v>
      </c>
      <c r="I111" s="195"/>
      <c r="J111" s="568"/>
      <c r="K111" s="936">
        <f ca="1">IF($H$7&lt;2,"",IF(J111&lt;&gt;"",J111,IFERROR(IF(INDIRECT("'"&amp;J$86&amp;"'!"&amp;VLOOKUP(J$87,'List Values'!$C$3:$D$6,2,FALSE)&amp;ROW(J111))="","",INDIRECT("'"&amp;J$86&amp;"'!"&amp;VLOOKUP(J$87,'List Values'!$C$3:$D$6,2,FALSE)&amp;ROW(J111))*$H$6),IF($J$86&lt;&gt;"","Data Source Error",""))))</f>
        <v>28.152463822514672</v>
      </c>
      <c r="L111" s="195"/>
      <c r="M111" s="568"/>
      <c r="N111" s="936">
        <f ca="1">IF($H$7&lt;3,"",IF(M111&lt;&gt;"",M111,IFERROR(IF(INDIRECT("'"&amp;M$86&amp;"'!"&amp;VLOOKUP(M$87,'List Values'!$C$3:$D$6,2,FALSE)&amp;ROW(M111))="","",INDIRECT("'"&amp;M$86&amp;"'!"&amp;VLOOKUP(M$87,'List Values'!$C$3:$D$6,2,FALSE)&amp;ROW(M111))*$H$6),IF($M$86&lt;&gt;"","Data Source Error",""))))</f>
        <v>0</v>
      </c>
      <c r="O111" s="184"/>
      <c r="P111" s="529"/>
      <c r="Q111" s="945" t="str">
        <f ca="1">IF($H$7&lt;4,"",IF(P111&lt;&gt;"",P111,IFERROR(IF(INDIRECT("'"&amp;P$86&amp;"'!"&amp;VLOOKUP(P$87,'List Values'!$C$3:$D$6,2,FALSE)&amp;ROW(P111))="","",INDIRECT("'"&amp;P$86&amp;"'!"&amp;VLOOKUP(P$87,'List Values'!$C$3:$D$6,2,FALSE)&amp;ROW(P111))*$H$6),IF($P$86&lt;&gt;"","Data Source Error",""))))</f>
        <v/>
      </c>
      <c r="S111" s="529"/>
      <c r="T111" s="945" t="str">
        <f ca="1">IF($H$7&lt;5,"",IF(S111&lt;&gt;"",S111,IFERROR(IF(INDIRECT("'"&amp;S$86&amp;"'!"&amp;VLOOKUP(S$87,'List Values'!$C$3:$D$6,2,FALSE)&amp;ROW(S111))="","",INDIRECT("'"&amp;S$86&amp;"'!"&amp;VLOOKUP(S$87,'List Values'!$C$3:$D$6,2,FALSE)&amp;ROW(S111))*$H$6),IF($S$86&lt;&gt;"","Data Source Error",""))))</f>
        <v/>
      </c>
      <c r="U111" s="258"/>
      <c r="V111" s="529"/>
      <c r="W111" s="952" t="str">
        <f ca="1">IF($H$7&lt;6,"",IF(V111&lt;&gt;"",V111,IFERROR(IF(INDIRECT("'"&amp;V$86&amp;"'!"&amp;VLOOKUP(V$87,'List Values'!$C$3:$D$6,2,FALSE)&amp;ROW(V111))="","",INDIRECT("'"&amp;V$86&amp;"'!"&amp;VLOOKUP(V$87,'List Values'!$C$3:$D$6,2,FALSE)&amp;ROW(V111))*$H$6),IF($V$86&lt;&gt;"","Data Source Error",""))))</f>
        <v/>
      </c>
      <c r="X111" s="86"/>
      <c r="Y111" s="2643"/>
      <c r="Z111" s="2644"/>
      <c r="AA111" s="2644"/>
      <c r="AB111" s="2645"/>
      <c r="AD111" s="52"/>
    </row>
    <row r="112" spans="1:30" ht="33.75" customHeight="1" outlineLevel="1">
      <c r="B112" s="2673"/>
      <c r="C112" s="2664" t="s">
        <v>5445</v>
      </c>
      <c r="D112" s="2664"/>
      <c r="E112" s="196"/>
      <c r="F112" s="196"/>
      <c r="G112" s="569"/>
      <c r="H112" s="937">
        <f ca="1">IF(G112&lt;&gt;"",G112,IFERROR(IF(INDIRECT("'"&amp;G$86&amp;"'!"&amp;VLOOKUP(G$87,'List Values'!$C$3:$D$6,2,FALSE)&amp;ROW(G112))="","",INDIRECT("'"&amp;G$86&amp;"'!"&amp;VLOOKUP(G$87,'List Values'!$C$3:$D$6,2,FALSE)&amp;ROW(G112))*$H$6),IF($G$86&lt;&gt;"","Data Source Error","")))</f>
        <v>15</v>
      </c>
      <c r="I112" s="247"/>
      <c r="J112" s="569"/>
      <c r="K112" s="937">
        <f ca="1">IF($H$7&lt;2,"",IF(J112&lt;&gt;"",J112,IFERROR(IF(INDIRECT("'"&amp;J$86&amp;"'!"&amp;VLOOKUP(J$87,'List Values'!$C$3:$D$6,2,FALSE)&amp;ROW(J112))="","",INDIRECT("'"&amp;J$86&amp;"'!"&amp;VLOOKUP(J$87,'List Values'!$C$3:$D$6,2,FALSE)&amp;ROW(J112))*$H$6),IF($J$86&lt;&gt;"","Data Source Error",""))))</f>
        <v>15</v>
      </c>
      <c r="L112" s="247"/>
      <c r="M112" s="569"/>
      <c r="N112" s="937">
        <f ca="1">IF($H$7&lt;3,"",IF(M112&lt;&gt;"",M112,IFERROR(IF(INDIRECT("'"&amp;M$86&amp;"'!"&amp;VLOOKUP(M$87,'List Values'!$C$3:$D$6,2,FALSE)&amp;ROW(M112))="","",INDIRECT("'"&amp;M$86&amp;"'!"&amp;VLOOKUP(M$87,'List Values'!$C$3:$D$6,2,FALSE)&amp;ROW(M112))*$H$6),IF($M$86&lt;&gt;"","Data Source Error",""))))</f>
        <v>15</v>
      </c>
      <c r="O112" s="196"/>
      <c r="P112" s="530"/>
      <c r="Q112" s="946" t="str">
        <f ca="1">IF($H$7&lt;4,"",IF(P112&lt;&gt;"",P112,IFERROR(IF(INDIRECT("'"&amp;P$86&amp;"'!"&amp;VLOOKUP(P$87,'List Values'!$C$3:$D$6,2,FALSE)&amp;ROW(P112))="","",INDIRECT("'"&amp;P$86&amp;"'!"&amp;VLOOKUP(P$87,'List Values'!$C$3:$D$6,2,FALSE)&amp;ROW(P112))*$H$6),IF($P$86&lt;&gt;"","Data Source Error",""))))</f>
        <v/>
      </c>
      <c r="S112" s="530"/>
      <c r="T112" s="946" t="str">
        <f ca="1">IF($H$7&lt;5,"",IF(S112&lt;&gt;"",S112,IFERROR(IF(INDIRECT("'"&amp;S$86&amp;"'!"&amp;VLOOKUP(S$87,'List Values'!$C$3:$D$6,2,FALSE)&amp;ROW(S112))="","",INDIRECT("'"&amp;S$86&amp;"'!"&amp;VLOOKUP(S$87,'List Values'!$C$3:$D$6,2,FALSE)&amp;ROW(S112))*$H$6),IF($S$86&lt;&gt;"","Data Source Error",""))))</f>
        <v/>
      </c>
      <c r="V112" s="530"/>
      <c r="W112" s="953" t="str">
        <f ca="1">IF($H$7&lt;6,"",IF(V112&lt;&gt;"",V112,IFERROR(IF(INDIRECT("'"&amp;V$86&amp;"'!"&amp;VLOOKUP(V$87,'List Values'!$C$3:$D$6,2,FALSE)&amp;ROW(V112))="","",INDIRECT("'"&amp;V$86&amp;"'!"&amp;VLOOKUP(V$87,'List Values'!$C$3:$D$6,2,FALSE)&amp;ROW(V112))*$H$6),IF($V$86&lt;&gt;"","Data Source Error",""))))</f>
        <v/>
      </c>
      <c r="Y112" s="2643"/>
      <c r="Z112" s="2644"/>
      <c r="AA112" s="2644"/>
      <c r="AB112" s="2645"/>
      <c r="AD112" s="52"/>
    </row>
    <row r="113" spans="1:30" ht="33.75" customHeight="1" outlineLevel="1">
      <c r="B113" s="2671" t="s">
        <v>824</v>
      </c>
      <c r="C113" s="2663" t="s">
        <v>825</v>
      </c>
      <c r="D113" s="2663"/>
      <c r="E113" s="61"/>
      <c r="F113" s="61"/>
      <c r="G113" s="563"/>
      <c r="H113" s="938">
        <f ca="1">IF(G113&lt;&gt;"",G113,IFERROR(IF(INDIRECT("'"&amp;G$86&amp;"'!"&amp;VLOOKUP(G$87,'List Values'!$C$3:$D$6,2,FALSE)&amp;ROW(G113))="","",INDIRECT("'"&amp;G$86&amp;"'!"&amp;VLOOKUP(G$87,'List Values'!$C$3:$D$6,2,FALSE)&amp;ROW(G113))),IF($G$86&lt;&gt;"","Data Source Error","")))</f>
        <v>20</v>
      </c>
      <c r="I113" s="249"/>
      <c r="J113" s="572"/>
      <c r="K113" s="938">
        <f ca="1">IF($H$7&lt;2,"",IF(J113&lt;&gt;"",J113,IFERROR(IF(INDIRECT("'"&amp;J$86&amp;"'!"&amp;VLOOKUP(J$87,'List Values'!$C$3:$D$6,2,FALSE)&amp;ROW(J113))="","",INDIRECT("'"&amp;J$86&amp;"'!"&amp;VLOOKUP(J$87,'List Values'!$C$3:$D$6,2,FALSE)&amp;ROW(J113))),IF($J$86&lt;&gt;"","Data Source Error",""))))</f>
        <v>10</v>
      </c>
      <c r="L113" s="249"/>
      <c r="M113" s="572"/>
      <c r="N113" s="938">
        <f ca="1">IF($H$7&lt;3,"",IF(M113&lt;&gt;"",M113,IFERROR(IF(INDIRECT("'"&amp;M$86&amp;"'!"&amp;VLOOKUP(M$87,'List Values'!$C$3:$D$6,2,FALSE)&amp;ROW(M113))="","",INDIRECT("'"&amp;M$86&amp;"'!"&amp;VLOOKUP(M$87,'List Values'!$C$3:$D$6,2,FALSE)&amp;ROW(M113))),IF($M$86&lt;&gt;"","Data Source Error",""))))</f>
        <v>1</v>
      </c>
      <c r="O113" s="198"/>
      <c r="P113" s="531"/>
      <c r="Q113" s="942" t="str">
        <f ca="1">IF($H$7&lt;4,"",IF(P113&lt;&gt;"",P113,IFERROR(IF(INDIRECT("'"&amp;P$86&amp;"'!"&amp;VLOOKUP(P$87,'List Values'!$C$3:$D$6,2,FALSE)&amp;ROW(P113))="","",INDIRECT("'"&amp;P$86&amp;"'!"&amp;VLOOKUP(P$87,'List Values'!$C$3:$D$6,2,FALSE)&amp;ROW(P113))),IF($P$86&lt;&gt;"","Data Source Error",""))))</f>
        <v/>
      </c>
      <c r="S113" s="531"/>
      <c r="T113" s="942" t="str">
        <f ca="1">IF($H$7&lt;5,"",IF(S113&lt;&gt;"",S113,IFERROR(IF(INDIRECT("'"&amp;S$86&amp;"'!"&amp;VLOOKUP(S$87,'List Values'!$C$3:$D$6,2,FALSE)&amp;ROW(S113))="","",INDIRECT("'"&amp;S$86&amp;"'!"&amp;VLOOKUP(S$87,'List Values'!$C$3:$D$6,2,FALSE)&amp;ROW(S113))),IF($S$86&lt;&gt;"","Data Source Error",""))))</f>
        <v/>
      </c>
      <c r="V113" s="531"/>
      <c r="W113" s="948" t="str">
        <f ca="1">IF($H$7&lt;6,"",IF(V113&lt;&gt;"",V113,IFERROR(IF(INDIRECT("'"&amp;V$86&amp;"'!"&amp;VLOOKUP(V$87,'List Values'!$C$3:$D$6,2,FALSE)&amp;ROW(V113))="","",INDIRECT("'"&amp;V$86&amp;"'!"&amp;VLOOKUP(V$87,'List Values'!$C$3:$D$6,2,FALSE)&amp;ROW(V113))),IF($V$86&lt;&gt;"","Data Source Error",""))))</f>
        <v/>
      </c>
      <c r="Y113" s="2643"/>
      <c r="Z113" s="2644"/>
      <c r="AA113" s="2644"/>
      <c r="AB113" s="2645"/>
      <c r="AD113" s="52"/>
    </row>
    <row r="114" spans="1:30" ht="20.25" customHeight="1" outlineLevel="1">
      <c r="B114" s="2672"/>
      <c r="C114" s="2583" t="s">
        <v>826</v>
      </c>
      <c r="D114" s="2583"/>
      <c r="G114" s="564"/>
      <c r="H114" s="939">
        <f ca="1">IF(G114&lt;&gt;"",G114,IFERROR(IF(INDIRECT("'"&amp;G$86&amp;"'!"&amp;VLOOKUP(G$87,'List Values'!$C$3:$D$6,2,FALSE)&amp;ROW(G114))="","",INDIRECT("'"&amp;G$86&amp;"'!"&amp;VLOOKUP(G$87,'List Values'!$C$3:$D$6,2,FALSE)&amp;ROW(G114))),IF($G$86&lt;&gt;"","Data Source Error","")))</f>
        <v>0.01</v>
      </c>
      <c r="I114" s="214"/>
      <c r="J114" s="573"/>
      <c r="K114" s="939">
        <f ca="1">IF($H$7&lt;2,"",IF(J114&lt;&gt;"",J114,IFERROR(IF(INDIRECT("'"&amp;J$86&amp;"'!"&amp;VLOOKUP(J$87,'List Values'!$C$3:$D$6,2,FALSE)&amp;ROW(J114))="","",INDIRECT("'"&amp;J$86&amp;"'!"&amp;VLOOKUP(J$87,'List Values'!$C$3:$D$6,2,FALSE)&amp;ROW(J114))),IF($J$86&lt;&gt;"","Data Source Error",""))))</f>
        <v>0.01</v>
      </c>
      <c r="L114" s="214"/>
      <c r="M114" s="573"/>
      <c r="N114" s="939">
        <f ca="1">IF($H$7&lt;3,"",IF(M114&lt;&gt;"",M114,IFERROR(IF(INDIRECT("'"&amp;M$86&amp;"'!"&amp;VLOOKUP(M$87,'List Values'!$C$3:$D$6,2,FALSE)&amp;ROW(M114))="","",INDIRECT("'"&amp;M$86&amp;"'!"&amp;VLOOKUP(M$87,'List Values'!$C$3:$D$6,2,FALSE)&amp;ROW(M114))),IF($M$86&lt;&gt;"","Data Source Error",""))))</f>
        <v>0.01</v>
      </c>
      <c r="O114" s="187"/>
      <c r="P114" s="528"/>
      <c r="Q114" s="904" t="str">
        <f ca="1">IF($H$7&lt;4,"",IF(P114&lt;&gt;"",P114,IFERROR(IF(INDIRECT("'"&amp;P$86&amp;"'!"&amp;VLOOKUP(P$87,'List Values'!$C$3:$D$6,2,FALSE)&amp;ROW(P114))="","",INDIRECT("'"&amp;P$86&amp;"'!"&amp;VLOOKUP(P$87,'List Values'!$C$3:$D$6,2,FALSE)&amp;ROW(P114))),IF($P$86&lt;&gt;"","Data Source Error",""))))</f>
        <v/>
      </c>
      <c r="S114" s="528"/>
      <c r="T114" s="904" t="str">
        <f ca="1">IF($H$7&lt;5,"",IF(S114&lt;&gt;"",S114,IFERROR(IF(INDIRECT("'"&amp;S$86&amp;"'!"&amp;VLOOKUP(S$87,'List Values'!$C$3:$D$6,2,FALSE)&amp;ROW(S114))="","",INDIRECT("'"&amp;S$86&amp;"'!"&amp;VLOOKUP(S$87,'List Values'!$C$3:$D$6,2,FALSE)&amp;ROW(S114))),IF($S$86&lt;&gt;"","Data Source Error",""))))</f>
        <v/>
      </c>
      <c r="V114" s="528"/>
      <c r="W114" s="912" t="str">
        <f ca="1">IF($H$7&lt;6,"",IF(V114&lt;&gt;"",V114,IFERROR(IF(INDIRECT("'"&amp;V$86&amp;"'!"&amp;VLOOKUP(V$87,'List Values'!$C$3:$D$6,2,FALSE)&amp;ROW(V114))="","",INDIRECT("'"&amp;V$86&amp;"'!"&amp;VLOOKUP(V$87,'List Values'!$C$3:$D$6,2,FALSE)&amp;ROW(V114))),IF($V$86&lt;&gt;"","Data Source Error",""))))</f>
        <v/>
      </c>
      <c r="Y114" s="2643"/>
      <c r="Z114" s="2644"/>
      <c r="AA114" s="2644"/>
      <c r="AB114" s="2645"/>
      <c r="AD114" s="52"/>
    </row>
    <row r="115" spans="1:30" ht="20.25" customHeight="1" outlineLevel="1">
      <c r="B115" s="2672"/>
      <c r="C115" s="2583" t="s">
        <v>827</v>
      </c>
      <c r="D115" s="2583"/>
      <c r="G115" s="564"/>
      <c r="H115" s="936">
        <f ca="1">IF(G115&lt;&gt;"",G115,IFERROR(IF(INDIRECT("'"&amp;G$86&amp;"'!"&amp;VLOOKUP(G$87,'List Values'!$C$3:$D$6,2,FALSE)&amp;ROW(G115))="","",INDIRECT("'"&amp;G$86&amp;"'!"&amp;VLOOKUP(G$87,'List Values'!$C$3:$D$6,2,FALSE)&amp;ROW(G115))*$H$6),IF($G$86&lt;&gt;"","Data Source Error","")))</f>
        <v>150</v>
      </c>
      <c r="I115" s="250"/>
      <c r="J115" s="568"/>
      <c r="K115" s="936">
        <f ca="1">IF($H$7&lt;2,"",IF(J115&lt;&gt;"",J115,IFERROR(IF(INDIRECT("'"&amp;J$86&amp;"'!"&amp;VLOOKUP(J$87,'List Values'!$C$3:$D$6,2,FALSE)&amp;ROW(J115))="","",INDIRECT("'"&amp;J$86&amp;"'!"&amp;VLOOKUP(J$87,'List Values'!$C$3:$D$6,2,FALSE)&amp;ROW(J115))*$H$6),IF($J$86&lt;&gt;"","Data Source Error",""))))</f>
        <v>150</v>
      </c>
      <c r="L115" s="250"/>
      <c r="M115" s="568"/>
      <c r="N115" s="936">
        <f ca="1">IF($H$7&lt;3,"",IF(M115&lt;&gt;"",M115,IFERROR(IF(INDIRECT("'"&amp;M$86&amp;"'!"&amp;VLOOKUP(M$87,'List Values'!$C$3:$D$6,2,FALSE)&amp;ROW(M115))="","",INDIRECT("'"&amp;M$86&amp;"'!"&amp;VLOOKUP(M$87,'List Values'!$C$3:$D$6,2,FALSE)&amp;ROW(M115))*$H$6),IF($M$86&lt;&gt;"","Data Source Error",""))))</f>
        <v>150</v>
      </c>
      <c r="O115" s="187"/>
      <c r="P115" s="528"/>
      <c r="Q115" s="904" t="str">
        <f ca="1">IF($H$7&lt;4,"",IF(P115&lt;&gt;"",P115,IFERROR(IF(INDIRECT("'"&amp;P$86&amp;"'!"&amp;VLOOKUP(P$87,'List Values'!$C$3:$D$6,2,FALSE)&amp;ROW(P115))="","",INDIRECT("'"&amp;P$86&amp;"'!"&amp;VLOOKUP(P$87,'List Values'!$C$3:$D$6,2,FALSE)&amp;ROW(P115))*$H$6),IF($P$86&lt;&gt;"","Data Source Error",""))))</f>
        <v/>
      </c>
      <c r="S115" s="528"/>
      <c r="T115" s="904" t="str">
        <f ca="1">IF($H$7&lt;5,"",IF(S115&lt;&gt;"",S115,IFERROR(IF(INDIRECT("'"&amp;S$86&amp;"'!"&amp;VLOOKUP(S$87,'List Values'!$C$3:$D$6,2,FALSE)&amp;ROW(S115))="","",INDIRECT("'"&amp;S$86&amp;"'!"&amp;VLOOKUP(S$87,'List Values'!$C$3:$D$6,2,FALSE)&amp;ROW(S115))*$H$6),IF($S$86&lt;&gt;"","Data Source Error",""))))</f>
        <v/>
      </c>
      <c r="V115" s="528"/>
      <c r="W115" s="912" t="str">
        <f ca="1">IF($H$7&lt;6,"",IF(V115&lt;&gt;"",V115,IFERROR(IF(INDIRECT("'"&amp;V$86&amp;"'!"&amp;VLOOKUP(V$87,'List Values'!$C$3:$D$6,2,FALSE)&amp;ROW(V115))="","",INDIRECT("'"&amp;V$86&amp;"'!"&amp;VLOOKUP(V$87,'List Values'!$C$3:$D$6,2,FALSE)&amp;ROW(V115))*$H$6),IF($V$86&lt;&gt;"","Data Source Error",""))))</f>
        <v/>
      </c>
      <c r="Y115" s="2643"/>
      <c r="Z115" s="2644"/>
      <c r="AA115" s="2644"/>
      <c r="AB115" s="2645"/>
      <c r="AD115" s="52"/>
    </row>
    <row r="116" spans="1:30" ht="20.25" customHeight="1" outlineLevel="1">
      <c r="B116" s="2672"/>
      <c r="C116" s="2583" t="s">
        <v>828</v>
      </c>
      <c r="D116" s="2583"/>
      <c r="G116" s="564"/>
      <c r="H116" s="939">
        <f ca="1">IF(G116&lt;&gt;"",G116,IFERROR(IF(INDIRECT("'"&amp;G$86&amp;"'!"&amp;VLOOKUP(G$87,'List Values'!$C$3:$D$6,2,FALSE)&amp;ROW(G116))="","",INDIRECT("'"&amp;G$86&amp;"'!"&amp;VLOOKUP(G$87,'List Values'!$C$3:$D$6,2,FALSE)&amp;ROW(G116))*$H$6),IF($G$86&lt;&gt;"","Data Source Error","")))</f>
        <v>0</v>
      </c>
      <c r="I116" s="214"/>
      <c r="J116" s="573"/>
      <c r="K116" s="939">
        <f ca="1">IF($H$7&lt;2,"",IF(J116&lt;&gt;"",J116,IFERROR(IF(INDIRECT("'"&amp;J$86&amp;"'!"&amp;VLOOKUP(J$87,'List Values'!$C$3:$D$6,2,FALSE)&amp;ROW(J116))="","",INDIRECT("'"&amp;J$86&amp;"'!"&amp;VLOOKUP(J$87,'List Values'!$C$3:$D$6,2,FALSE)&amp;ROW(J116))*$H$6),IF($J$86&lt;&gt;"","Data Source Error",""))))</f>
        <v>0</v>
      </c>
      <c r="L116" s="214"/>
      <c r="M116" s="573"/>
      <c r="N116" s="939">
        <f ca="1">IF($H$7&lt;3,"",IF(M116&lt;&gt;"",M116,IFERROR(IF(INDIRECT("'"&amp;M$86&amp;"'!"&amp;VLOOKUP(M$87,'List Values'!$C$3:$D$6,2,FALSE)&amp;ROW(M116))="","",INDIRECT("'"&amp;M$86&amp;"'!"&amp;VLOOKUP(M$87,'List Values'!$C$3:$D$6,2,FALSE)&amp;ROW(M116))*$H$6),IF($M$86&lt;&gt;"","Data Source Error",""))))</f>
        <v>0</v>
      </c>
      <c r="O116" s="187"/>
      <c r="P116" s="528"/>
      <c r="Q116" s="904" t="str">
        <f ca="1">IF($H$7&lt;4,"",IF(P116&lt;&gt;"",P116,IFERROR(IF(INDIRECT("'"&amp;P$86&amp;"'!"&amp;VLOOKUP(P$87,'List Values'!$C$3:$D$6,2,FALSE)&amp;ROW(P116))="","",INDIRECT("'"&amp;P$86&amp;"'!"&amp;VLOOKUP(P$87,'List Values'!$C$3:$D$6,2,FALSE)&amp;ROW(P116))*$H$6),IF($P$86&lt;&gt;"","Data Source Error",""))))</f>
        <v/>
      </c>
      <c r="S116" s="528"/>
      <c r="T116" s="904" t="str">
        <f ca="1">IF($H$7&lt;5,"",IF(S116&lt;&gt;"",S116,IFERROR(IF(INDIRECT("'"&amp;S$86&amp;"'!"&amp;VLOOKUP(S$87,'List Values'!$C$3:$D$6,2,FALSE)&amp;ROW(S116))="","",INDIRECT("'"&amp;S$86&amp;"'!"&amp;VLOOKUP(S$87,'List Values'!$C$3:$D$6,2,FALSE)&amp;ROW(S116))*$H$6),IF($S$86&lt;&gt;"","Data Source Error",""))))</f>
        <v/>
      </c>
      <c r="V116" s="528"/>
      <c r="W116" s="912" t="str">
        <f ca="1">IF($H$7&lt;6,"",IF(V116&lt;&gt;"",V116,IFERROR(IF(INDIRECT("'"&amp;V$86&amp;"'!"&amp;VLOOKUP(V$87,'List Values'!$C$3:$D$6,2,FALSE)&amp;ROW(V116))="","",INDIRECT("'"&amp;V$86&amp;"'!"&amp;VLOOKUP(V$87,'List Values'!$C$3:$D$6,2,FALSE)&amp;ROW(V116))*$H$6),IF($V$86&lt;&gt;"","Data Source Error",""))))</f>
        <v/>
      </c>
      <c r="Y116" s="2643"/>
      <c r="Z116" s="2644"/>
      <c r="AA116" s="2644"/>
      <c r="AB116" s="2645"/>
      <c r="AD116" s="52"/>
    </row>
    <row r="117" spans="1:30" ht="35.25" customHeight="1" outlineLevel="1">
      <c r="B117" s="2673"/>
      <c r="C117" s="2664" t="s">
        <v>829</v>
      </c>
      <c r="D117" s="2664"/>
      <c r="E117" s="236"/>
      <c r="F117" s="236"/>
      <c r="G117" s="570"/>
      <c r="H117" s="893" t="str">
        <f ca="1">IF(G117&lt;&gt;"",G117,IFERROR(IF(INDIRECT("'"&amp;G$86&amp;"'!"&amp;VLOOKUP(G$87,'List Values'!$C$3:$D$6,2,FALSE)&amp;ROW(G117))="","",INDIRECT("'"&amp;G$86&amp;"'!"&amp;VLOOKUP(G$87,'List Values'!$C$3:$D$6,2,FALSE)&amp;ROW(G117))),IF($G$86&lt;&gt;"","Data Source Error","")))</f>
        <v>Downstream</v>
      </c>
      <c r="I117" s="275"/>
      <c r="J117" s="570"/>
      <c r="K117" s="893" t="str">
        <f ca="1">IF($H$7&lt;2,"",IF(J117&lt;&gt;"",J117,IFERROR(IF(INDIRECT("'"&amp;J$86&amp;"'!"&amp;VLOOKUP(J$87,'List Values'!$C$3:$D$6,2,FALSE)&amp;ROW(J117))="","",INDIRECT("'"&amp;J$86&amp;"'!"&amp;VLOOKUP(J$87,'List Values'!$C$3:$D$6,2,FALSE)&amp;ROW(J117))),IF($J$86&lt;&gt;"","Data Source Error",""))))</f>
        <v>Downstream</v>
      </c>
      <c r="L117" s="275"/>
      <c r="M117" s="570"/>
      <c r="N117" s="933" t="str">
        <f ca="1">IF($H$7&lt;3,"",IF(M117&lt;&gt;"",M117,IFERROR(IF(INDIRECT("'"&amp;M$86&amp;"'!"&amp;VLOOKUP(M$87,'List Values'!$C$3:$D$6,2,FALSE)&amp;ROW(M117))="","",INDIRECT("'"&amp;M$86&amp;"'!"&amp;VLOOKUP(M$87,'List Values'!$C$3:$D$6,2,FALSE)&amp;ROW(M117))),IF($M$86&lt;&gt;"","Data Source Error",""))))</f>
        <v>Upstream</v>
      </c>
      <c r="O117" s="236"/>
      <c r="P117" s="570"/>
      <c r="Q117" s="940" t="str">
        <f ca="1">IF($H$7&lt;4,"",IF(P117&lt;&gt;"",P117,IFERROR(IF(INDIRECT("'"&amp;P$86&amp;"'!"&amp;VLOOKUP(P$87,'List Values'!$C$3:$D$6,2,FALSE)&amp;ROW(P117))="","",INDIRECT("'"&amp;P$86&amp;"'!"&amp;VLOOKUP(P$87,'List Values'!$C$3:$D$6,2,FALSE)&amp;ROW(P117))),IF($P$86&lt;&gt;"","Data Source Error",""))))</f>
        <v/>
      </c>
      <c r="S117" s="570"/>
      <c r="T117" s="940" t="str">
        <f ca="1">IF($H$7&lt;5,"",IF(S117&lt;&gt;"",S117,IFERROR(IF(INDIRECT("'"&amp;S$86&amp;"'!"&amp;VLOOKUP(S$87,'List Values'!$C$3:$D$6,2,FALSE)&amp;ROW(S117))="","",INDIRECT("'"&amp;S$86&amp;"'!"&amp;VLOOKUP(S$87,'List Values'!$C$3:$D$6,2,FALSE)&amp;ROW(S117))),IF($S$86&lt;&gt;"","Data Source Error",""))))</f>
        <v/>
      </c>
      <c r="V117" s="570"/>
      <c r="W117" s="954" t="str">
        <f ca="1">IF($H$7&lt;6,"",IF(V117&lt;&gt;"",V117,IFERROR(IF(INDIRECT("'"&amp;V$86&amp;"'!"&amp;VLOOKUP(V$87,'List Values'!$C$3:$D$6,2,FALSE)&amp;ROW(V117))="","",INDIRECT("'"&amp;V$86&amp;"'!"&amp;VLOOKUP(V$87,'List Values'!$C$3:$D$6,2,FALSE)&amp;ROW(V117))),IF($V$86&lt;&gt;"","Data Source Error",""))))</f>
        <v/>
      </c>
      <c r="Y117" s="2657"/>
      <c r="Z117" s="2658"/>
      <c r="AA117" s="2658"/>
      <c r="AB117" s="2659"/>
      <c r="AD117" s="52"/>
    </row>
    <row r="118" spans="1:30" ht="28.5" customHeight="1">
      <c r="A118" s="630" t="s">
        <v>654</v>
      </c>
      <c r="C118" s="130"/>
      <c r="D118" s="130"/>
      <c r="E118" s="130"/>
      <c r="G118" s="121"/>
      <c r="H118" s="69"/>
      <c r="K118" s="69"/>
      <c r="N118" s="69"/>
      <c r="Q118" s="69"/>
    </row>
    <row r="119" spans="1:30" ht="26.25" customHeight="1" collapsed="1">
      <c r="B119" s="600" t="s">
        <v>603</v>
      </c>
      <c r="C119" s="596"/>
      <c r="D119" s="596"/>
      <c r="E119" s="596"/>
      <c r="F119" s="596"/>
      <c r="G119" s="597"/>
      <c r="H119" s="594"/>
      <c r="I119" s="596"/>
      <c r="J119" s="597"/>
      <c r="K119" s="594"/>
      <c r="L119" s="596"/>
      <c r="M119" s="597"/>
      <c r="N119" s="594"/>
      <c r="O119" s="596"/>
      <c r="P119" s="2660"/>
      <c r="Q119" s="2660"/>
      <c r="R119" s="594"/>
      <c r="S119" s="2660"/>
      <c r="T119" s="2660"/>
      <c r="U119" s="594"/>
      <c r="V119" s="2660"/>
      <c r="W119" s="2660"/>
      <c r="X119" s="86"/>
    </row>
    <row r="120" spans="1:30" ht="19.5" hidden="1" customHeight="1" outlineLevel="1">
      <c r="B120" s="505"/>
      <c r="C120" s="36"/>
      <c r="D120" s="36"/>
      <c r="E120" s="36"/>
      <c r="F120" s="36"/>
      <c r="G120" s="2674" t="str">
        <f ca="1">"Management at "&amp;H88</f>
        <v>Management at CMS</v>
      </c>
      <c r="H120" s="2678"/>
      <c r="I120" s="129"/>
      <c r="J120" s="2674" t="str">
        <f ca="1">"Management at "&amp;K88</f>
        <v>Management at Regional WH</v>
      </c>
      <c r="K120" s="2678"/>
      <c r="L120" s="129"/>
      <c r="M120" s="2674" t="str">
        <f ca="1">"Management at "&amp;N88</f>
        <v>Management at Health Facility</v>
      </c>
      <c r="N120" s="2678"/>
      <c r="O120" s="506"/>
      <c r="P120" s="2674" t="str">
        <f ca="1">"Management at "&amp;Q88</f>
        <v xml:space="preserve">Management at </v>
      </c>
      <c r="Q120" s="2678"/>
      <c r="R120" s="236"/>
      <c r="S120" s="2674" t="str">
        <f ca="1">"Management at "&amp;T88</f>
        <v xml:space="preserve">Management at </v>
      </c>
      <c r="T120" s="2678"/>
      <c r="U120" s="236"/>
      <c r="V120" s="2674" t="str">
        <f ca="1">"Management at "&amp;W88</f>
        <v xml:space="preserve">Management at </v>
      </c>
      <c r="W120" s="2675"/>
      <c r="X120" s="86"/>
      <c r="Y120" s="2619" t="s">
        <v>673</v>
      </c>
      <c r="Z120" s="2620"/>
      <c r="AA120" s="2620"/>
      <c r="AB120" s="2621"/>
    </row>
    <row r="121" spans="1:30" ht="52.5" hidden="1" customHeight="1" outlineLevel="1">
      <c r="A121" s="1"/>
      <c r="B121" s="2676" t="s">
        <v>5462</v>
      </c>
      <c r="C121" s="2676"/>
      <c r="D121" s="2676"/>
      <c r="E121" s="183"/>
      <c r="F121" s="183"/>
      <c r="G121" s="575"/>
      <c r="H121" s="955" t="str">
        <f ca="1">IF(G121&lt;&gt;"",G121,IFERROR(IF(INDIRECT("'"&amp;G$86&amp;"'!"&amp;VLOOKUP(G$87,'List Values'!$C$3:$D$6,2,FALSE)&amp;ROW(G121))="","",INDIRECT("'"&amp;G$86&amp;"'!"&amp;VLOOKUP(G$87,'List Values'!$C$3:$D$6,2,FALSE)&amp;ROW(G121))),IF($G$86&lt;&gt;"","Data Source Error","")))</f>
        <v>Cost per facility</v>
      </c>
      <c r="I121" s="201"/>
      <c r="J121" s="575"/>
      <c r="K121" s="955" t="str">
        <f ca="1">IF($H$7&lt;2,"",IF(J121&lt;&gt;"",J121,IFERROR(IF(INDIRECT("'"&amp;J$86&amp;"'!"&amp;VLOOKUP(J$87,'List Values'!$C$3:$D$6,2,FALSE)&amp;ROW(J121))="","",INDIRECT("'"&amp;J$86&amp;"'!"&amp;VLOOKUP(J$87,'List Values'!$C$3:$D$6,2,FALSE)&amp;ROW(J121))),IF($J$86&lt;&gt;"","Data Source Error",""))))</f>
        <v>Cost per facility</v>
      </c>
      <c r="L121" s="201"/>
      <c r="M121" s="575"/>
      <c r="N121" s="955" t="str">
        <f ca="1">IF($H$7&lt;3,"",IF(M121&lt;&gt;"",M121,IFERROR(IF(INDIRECT("'"&amp;M$86&amp;"'!"&amp;VLOOKUP(M$87,'List Values'!$C$3:$D$6,2,FALSE)&amp;ROW(M121))="","",INDIRECT("'"&amp;M$86&amp;"'!"&amp;VLOOKUP(M$87,'List Values'!$C$3:$D$6,2,FALSE)&amp;ROW(M121))),IF($M$86&lt;&gt;"","Data Source Error",""))))</f>
        <v>Cost per facility</v>
      </c>
      <c r="O121" s="183"/>
      <c r="P121" s="578"/>
      <c r="Q121" s="955" t="str">
        <f ca="1">IF($H$7&lt;4,"",IF(P121&lt;&gt;"",P121,IFERROR(IF(INDIRECT("'"&amp;P$86&amp;"'!"&amp;VLOOKUP(P$87,'List Values'!$C$3:$D$6,2,FALSE)&amp;ROW(P121))="","",INDIRECT("'"&amp;P$86&amp;"'!"&amp;VLOOKUP(P$87,'List Values'!$C$3:$D$6,2,FALSE)&amp;ROW(P121))),IF($P$86&lt;&gt;"","Data Source Error",""))))</f>
        <v/>
      </c>
      <c r="S121" s="578"/>
      <c r="T121" s="955" t="str">
        <f ca="1">IF($H$7&lt;5,"",IF(S121&lt;&gt;"",S121,IFERROR(IF(INDIRECT("'"&amp;S$86&amp;"'!"&amp;VLOOKUP(S$87,'List Values'!$C$3:$D$6,2,FALSE)&amp;ROW(S121))="","",INDIRECT("'"&amp;S$86&amp;"'!"&amp;VLOOKUP(S$87,'List Values'!$C$3:$D$6,2,FALSE)&amp;ROW(S121))),IF($S$86&lt;&gt;"","Data Source Error",""))))</f>
        <v/>
      </c>
      <c r="V121" s="578"/>
      <c r="W121" s="958" t="str">
        <f ca="1">IF($H$7&lt;6,"",IF(V121&lt;&gt;"",V121,IFERROR(IF(INDIRECT("'"&amp;V$86&amp;"'!"&amp;VLOOKUP(V$87,'List Values'!$C$3:$D$6,2,FALSE)&amp;ROW(V121))="","",INDIRECT("'"&amp;V$86&amp;"'!"&amp;VLOOKUP(V$87,'List Values'!$C$3:$D$6,2,FALSE)&amp;ROW(V121))),IF($V$86&lt;&gt;"","Data Source Error",""))))</f>
        <v/>
      </c>
      <c r="Y121" s="2643"/>
      <c r="Z121" s="2644"/>
      <c r="AA121" s="2644"/>
      <c r="AB121" s="2645"/>
    </row>
    <row r="122" spans="1:30" ht="30" hidden="1" customHeight="1" outlineLevel="1">
      <c r="B122" s="2677" t="s">
        <v>5463</v>
      </c>
      <c r="C122" s="2677"/>
      <c r="D122" s="2677"/>
      <c r="E122" s="187"/>
      <c r="F122" s="187"/>
      <c r="G122" s="576"/>
      <c r="H122" s="956">
        <f ca="1">IF(G122&lt;&gt;"",G122,IFERROR(IF(INDIRECT("'"&amp;G$86&amp;"'!"&amp;VLOOKUP(G$87,'List Values'!$C$3:$D$6,2,FALSE)&amp;ROW(G122))="","",INDIRECT("'"&amp;G$86&amp;"'!"&amp;VLOOKUP(G$87,'List Values'!$C$3:$D$6,2,FALSE)&amp;ROW(G122))*$H$6),IF($G$86&lt;&gt;"","Data Source Error","")))</f>
        <v>68518.335535384278</v>
      </c>
      <c r="I122" s="217"/>
      <c r="J122" s="576"/>
      <c r="K122" s="956">
        <f ca="1">IF($H$7&lt;2,"",IF(J122&lt;&gt;"",J122,IFERROR(IF(INDIRECT("'"&amp;J$86&amp;"'!"&amp;VLOOKUP(J$87,'List Values'!$C$3:$D$6,2,FALSE)&amp;ROW(J122))="","",INDIRECT("'"&amp;J$86&amp;"'!"&amp;VLOOKUP(J$87,'List Values'!$C$3:$D$6,2,FALSE)&amp;ROW(J122))*$H$6),IF($J$86&lt;&gt;"","Data Source Error",""))))</f>
        <v>13104</v>
      </c>
      <c r="L122" s="217"/>
      <c r="M122" s="576"/>
      <c r="N122" s="956">
        <f ca="1">IF($H$7&lt;3,"",IF(M122&lt;&gt;"",M122,IFERROR(IF(INDIRECT("'"&amp;M$86&amp;"'!"&amp;VLOOKUP(M$87,'List Values'!$C$3:$D$6,2,FALSE)&amp;ROW(M122))="","",INDIRECT("'"&amp;M$86&amp;"'!"&amp;VLOOKUP(M$87,'List Values'!$C$3:$D$6,2,FALSE)&amp;ROW(M122))*$H$6),IF($M$86&lt;&gt;"","Data Source Error",""))))</f>
        <v>146.23868975562249</v>
      </c>
      <c r="O122" s="187"/>
      <c r="P122" s="528"/>
      <c r="Q122" s="956" t="str">
        <f ca="1">IF($H$7&lt;4,"",IF(P122&lt;&gt;"",P122,IFERROR(IF(INDIRECT("'"&amp;P$86&amp;"'!"&amp;VLOOKUP(P$87,'List Values'!$C$3:$D$6,2,FALSE)&amp;ROW(P122))="","",INDIRECT("'"&amp;P$86&amp;"'!"&amp;VLOOKUP(P$87,'List Values'!$C$3:$D$6,2,FALSE)&amp;ROW(P122))*$H$6),IF($P$86&lt;&gt;"","Data Source Error",""))))</f>
        <v/>
      </c>
      <c r="S122" s="528"/>
      <c r="T122" s="956" t="str">
        <f ca="1">IF($H$7&lt;5,"",IF(S122&lt;&gt;"",S122,IFERROR(IF(INDIRECT("'"&amp;S$86&amp;"'!"&amp;VLOOKUP(S$87,'List Values'!$C$3:$D$6,2,FALSE)&amp;ROW(S122))="","",INDIRECT("'"&amp;S$86&amp;"'!"&amp;VLOOKUP(S$87,'List Values'!$C$3:$D$6,2,FALSE)&amp;ROW(S122))*$H$6),IF($S$86&lt;&gt;"","Data Source Error",""))))</f>
        <v/>
      </c>
      <c r="V122" s="528"/>
      <c r="W122" s="959" t="str">
        <f ca="1">IF($H$7&lt;6,"",IF(V122&lt;&gt;"",V122,IFERROR(IF(INDIRECT("'"&amp;V$86&amp;"'!"&amp;VLOOKUP(V$87,'List Values'!$C$3:$D$6,2,FALSE)&amp;ROW(V122))="","",INDIRECT("'"&amp;V$86&amp;"'!"&amp;VLOOKUP(V$87,'List Values'!$C$3:$D$6,2,FALSE)&amp;ROW(V122))*$H$6),IF($V$86&lt;&gt;"","Data Source Error",""))))</f>
        <v/>
      </c>
      <c r="Y122" s="2643"/>
      <c r="Z122" s="2644"/>
      <c r="AA122" s="2644"/>
      <c r="AB122" s="2645"/>
    </row>
    <row r="123" spans="1:30" ht="30.45" hidden="1" customHeight="1" outlineLevel="1">
      <c r="B123" s="2681" t="s">
        <v>5464</v>
      </c>
      <c r="C123" s="2681"/>
      <c r="D123" s="2681"/>
      <c r="E123" s="196"/>
      <c r="F123" s="196"/>
      <c r="G123" s="577"/>
      <c r="H123" s="957">
        <f ca="1">IF(G123&lt;&gt;"",G123,IFERROR(IF(INDIRECT("'"&amp;G$86&amp;"'!"&amp;VLOOKUP(G$87,'List Values'!$C$3:$D$6,2,FALSE)&amp;ROW(G123))="","",INDIRECT("'"&amp;G$86&amp;"'!"&amp;VLOOKUP(G$87,'List Values'!$C$3:$D$6,2,FALSE)&amp;ROW(G123))),IF($G$86&lt;&gt;"","Data Source Error","")))</f>
        <v>5.5705963849905903E-3</v>
      </c>
      <c r="I123" s="510"/>
      <c r="J123" s="577"/>
      <c r="K123" s="957">
        <f ca="1">IF($H$7&lt;2,"",IF(J123&lt;&gt;"",J123,IFERROR(IF(INDIRECT("'"&amp;J$86&amp;"'!"&amp;VLOOKUP(J$87,'List Values'!$C$3:$D$6,2,FALSE)&amp;ROW(J123))="","",INDIRECT("'"&amp;J$86&amp;"'!"&amp;VLOOKUP(J$87,'List Values'!$C$3:$D$6,2,FALSE)&amp;ROW(J123))),IF($J$86&lt;&gt;"","Data Source Error",""))))</f>
        <v>1.0653658536585366E-3</v>
      </c>
      <c r="L123" s="510"/>
      <c r="M123" s="577"/>
      <c r="N123" s="957">
        <f ca="1">IF($H$7&lt;3,"",IF(M123&lt;&gt;"",M123,IFERROR(IF(INDIRECT("'"&amp;M$86&amp;"'!"&amp;VLOOKUP(M$87,'List Values'!$C$3:$D$6,2,FALSE)&amp;ROW(M123))="","",INDIRECT("'"&amp;M$86&amp;"'!"&amp;VLOOKUP(M$87,'List Values'!$C$3:$D$6,2,FALSE)&amp;ROW(M123))),IF($M$86&lt;&gt;"","Data Source Error",""))))</f>
        <v>4.1018169077796547E-3</v>
      </c>
      <c r="O123" s="196"/>
      <c r="P123" s="530"/>
      <c r="Q123" s="957" t="str">
        <f ca="1">IF($H$7&lt;4,"",IF(P123&lt;&gt;"",P123,IFERROR(IF(INDIRECT("'"&amp;P$86&amp;"'!"&amp;VLOOKUP(P$87,'List Values'!$C$3:$D$6,2,FALSE)&amp;ROW(P123))="","",INDIRECT("'"&amp;P$86&amp;"'!"&amp;VLOOKUP(P$87,'List Values'!$C$3:$D$6,2,FALSE)&amp;ROW(P123))),IF($P$86&lt;&gt;"","Data Source Error",""))))</f>
        <v/>
      </c>
      <c r="R123" s="236"/>
      <c r="S123" s="530"/>
      <c r="T123" s="957" t="str">
        <f ca="1">IF($H$7&lt;5,"",IF(S123&lt;&gt;"",S123,IFERROR(IF(INDIRECT("'"&amp;S$86&amp;"'!"&amp;VLOOKUP(S$87,'List Values'!$C$3:$D$6,2,FALSE)&amp;ROW(S123))="","",INDIRECT("'"&amp;S$86&amp;"'!"&amp;VLOOKUP(S$87,'List Values'!$C$3:$D$6,2,FALSE)&amp;ROW(S123))),IF($S$86&lt;&gt;"","Data Source Error",""))))</f>
        <v/>
      </c>
      <c r="U123" s="236"/>
      <c r="V123" s="530"/>
      <c r="W123" s="960" t="str">
        <f ca="1">IF($H$7&lt;6,"",IF(V123&lt;&gt;"",V123,IFERROR(IF(INDIRECT("'"&amp;V$86&amp;"'!"&amp;VLOOKUP(V$87,'List Values'!$C$3:$D$6,2,FALSE)&amp;ROW(V123))="","",INDIRECT("'"&amp;V$86&amp;"'!"&amp;VLOOKUP(V$87,'List Values'!$C$3:$D$6,2,FALSE)&amp;ROW(V123))),IF($V$86&lt;&gt;"","Data Source Error",""))))</f>
        <v/>
      </c>
      <c r="Y123" s="2657"/>
      <c r="Z123" s="2658"/>
      <c r="AA123" s="2658"/>
      <c r="AB123" s="2659"/>
    </row>
    <row r="124" spans="1:30" ht="21" customHeight="1">
      <c r="A124" s="212" t="s">
        <v>352</v>
      </c>
      <c r="C124" s="130"/>
      <c r="D124" s="130"/>
      <c r="E124" s="130"/>
      <c r="G124" s="121"/>
      <c r="H124" s="69"/>
      <c r="K124" s="69"/>
      <c r="N124" s="69"/>
      <c r="Q124" s="69"/>
    </row>
    <row r="125" spans="1:30" ht="16" customHeight="1">
      <c r="A125" s="1"/>
      <c r="W125" s="4"/>
    </row>
    <row r="126" spans="1:30" ht="16" customHeight="1">
      <c r="A126" s="1"/>
      <c r="H126" s="147"/>
      <c r="W126" s="4"/>
    </row>
    <row r="127" spans="1:30" ht="16" customHeight="1">
      <c r="A127" s="1"/>
      <c r="W127" s="4"/>
    </row>
    <row r="128" spans="1:30" ht="16" customHeight="1">
      <c r="A128" s="1"/>
      <c r="W128" s="4"/>
    </row>
    <row r="129" spans="1:28" ht="41.25" customHeight="1">
      <c r="B129" s="2318" t="s">
        <v>606</v>
      </c>
      <c r="C129" s="2318"/>
      <c r="D129" s="2318"/>
      <c r="E129" s="496"/>
      <c r="F129" s="496"/>
      <c r="G129" s="497"/>
      <c r="H129" s="498"/>
      <c r="I129" s="2053"/>
      <c r="J129" s="212" t="s">
        <v>674</v>
      </c>
    </row>
    <row r="130" spans="1:28" s="52" customFormat="1" ht="24" customHeight="1">
      <c r="B130" s="2682" t="s">
        <v>2498</v>
      </c>
      <c r="C130" s="2682"/>
      <c r="D130" s="2682"/>
      <c r="E130" s="2682"/>
      <c r="F130" s="2682"/>
      <c r="G130" s="2682"/>
      <c r="H130" s="2682"/>
      <c r="I130" s="601"/>
      <c r="J130" s="2683" t="str">
        <f ca="1">H88&amp;"  to  "&amp;K88</f>
        <v>CMS  to  Regional WH</v>
      </c>
      <c r="K130" s="2683"/>
      <c r="L130" s="601"/>
      <c r="M130" s="2683" t="str">
        <f ca="1">K88&amp;"  to  "&amp;N88</f>
        <v>Regional WH  to  Health Facility</v>
      </c>
      <c r="N130" s="2683"/>
      <c r="O130" s="601"/>
      <c r="P130" s="2683" t="str">
        <f ca="1">N88&amp;"  to  "&amp;Q88</f>
        <v xml:space="preserve">Health Facility  to  </v>
      </c>
      <c r="Q130" s="2683"/>
      <c r="R130" s="601"/>
      <c r="S130" s="2683" t="str">
        <f ca="1">Q88&amp;"  to  "&amp;T88</f>
        <v xml:space="preserve">  to  </v>
      </c>
      <c r="T130" s="2683"/>
      <c r="U130" s="601"/>
      <c r="V130" s="2683" t="str">
        <f ca="1">T88&amp;"  to  "&amp;W88</f>
        <v xml:space="preserve">  to  </v>
      </c>
      <c r="W130" s="2683"/>
    </row>
    <row r="131" spans="1:28" s="52" customFormat="1" ht="1.5" customHeight="1" outlineLevel="1">
      <c r="B131" s="2682"/>
      <c r="C131" s="2682"/>
      <c r="D131" s="2682"/>
      <c r="E131" s="2682"/>
      <c r="F131" s="2682"/>
      <c r="G131" s="2682"/>
      <c r="H131" s="2682"/>
      <c r="I131" s="601"/>
      <c r="J131" s="602"/>
      <c r="K131" s="602"/>
      <c r="L131" s="1207"/>
      <c r="M131" s="602"/>
      <c r="N131" s="602"/>
      <c r="O131" s="601"/>
      <c r="P131" s="602"/>
      <c r="Q131" s="602"/>
      <c r="R131" s="603"/>
      <c r="S131" s="602"/>
      <c r="T131" s="602"/>
      <c r="U131" s="603"/>
      <c r="V131" s="602"/>
      <c r="W131" s="602"/>
    </row>
    <row r="132" spans="1:28" s="52" customFormat="1" ht="30.75" customHeight="1" outlineLevel="1">
      <c r="B132" s="2682"/>
      <c r="C132" s="2682"/>
      <c r="D132" s="2682"/>
      <c r="E132" s="2682"/>
      <c r="F132" s="2682"/>
      <c r="G132" s="2682"/>
      <c r="H132" s="2682"/>
      <c r="I132" s="1206"/>
      <c r="J132" s="2067" t="s">
        <v>17</v>
      </c>
      <c r="K132" s="1208" t="s">
        <v>10</v>
      </c>
      <c r="L132" s="2053"/>
      <c r="M132" s="2067" t="s">
        <v>17</v>
      </c>
      <c r="N132" s="1208" t="s">
        <v>10</v>
      </c>
      <c r="O132"/>
      <c r="P132" s="1209" t="s">
        <v>17</v>
      </c>
      <c r="Q132" s="1210" t="s">
        <v>10</v>
      </c>
      <c r="R132"/>
      <c r="S132" s="1209" t="s">
        <v>17</v>
      </c>
      <c r="T132" s="1210" t="s">
        <v>10</v>
      </c>
      <c r="U132"/>
      <c r="V132" s="1209" t="s">
        <v>17</v>
      </c>
      <c r="W132" s="1210" t="s">
        <v>10</v>
      </c>
      <c r="Y132" s="2619" t="s">
        <v>673</v>
      </c>
      <c r="Z132" s="2620"/>
      <c r="AA132" s="2620"/>
      <c r="AB132" s="2621"/>
    </row>
    <row r="133" spans="1:28" ht="32.25" customHeight="1" outlineLevel="1">
      <c r="A133" s="1"/>
      <c r="B133" s="2679" t="s">
        <v>2509</v>
      </c>
      <c r="C133" s="2679"/>
      <c r="D133" s="2679"/>
      <c r="E133" s="35"/>
      <c r="F133" s="35"/>
      <c r="G133" s="646"/>
      <c r="H133" s="647"/>
      <c r="I133" s="51"/>
      <c r="J133" s="586"/>
      <c r="K133" s="1203">
        <f ca="1">IF($H$7&lt;2,0,IF(J133&lt;&gt;"",J133,IFERROR(IF(INDIRECT("'"&amp;J$86&amp;"'!"&amp;VLOOKUP(J$87,'List Values'!$C$3:$D$6,2,FALSE)&amp;ROW(J133))="",0,INDIRECT("'"&amp;J$86&amp;"'!"&amp;VLOOKUP(J$87,'List Values'!$C$3:$D$6,2,FALSE)&amp;ROW(J133))),IF(J$86&lt;&gt;"","Data Source Error",0))))</f>
        <v>1</v>
      </c>
      <c r="L133" s="51"/>
      <c r="M133" s="586">
        <v>1</v>
      </c>
      <c r="N133" s="1203">
        <f ca="1">IF($H$7&lt;3,0,IF(M133&lt;&gt;"",M133,IFERROR(IF(INDIRECT("'"&amp;M$86&amp;"'!"&amp;VLOOKUP(M$87,'List Values'!$C$3:$D$6,2,FALSE)&amp;ROW(M133))="",0,INDIRECT("'"&amp;M$86&amp;"'!"&amp;VLOOKUP(M$87,'List Values'!$C$3:$D$6,2,FALSE)&amp;ROW(M133))),IF(M$86&lt;&gt;"","Data Source Error",0))))</f>
        <v>1</v>
      </c>
      <c r="O133" s="51"/>
      <c r="P133" s="1204"/>
      <c r="Q133" s="1203">
        <f ca="1">IF($H$7&lt;4,0,IF(P133&lt;&gt;"",P133,IFERROR(IF(INDIRECT("'"&amp;P$86&amp;"'!"&amp;VLOOKUP(P$87,'List Values'!$C$3:$D$6,2,FALSE)&amp;ROW(P133))="",0,INDIRECT("'"&amp;P$86&amp;"'!"&amp;VLOOKUP(P$87,'List Values'!$C$3:$D$6,2,FALSE)&amp;ROW(P133))),IF(P$86&lt;&gt;"","Data Source Error",0))))</f>
        <v>0</v>
      </c>
      <c r="S133" s="1204"/>
      <c r="T133" s="1203">
        <f ca="1">IF($H$7&lt;5,0,IF(S133&lt;&gt;"",S133,IFERROR(IF(INDIRECT("'"&amp;S$86&amp;"'!"&amp;VLOOKUP(S$87,'List Values'!$C$3:$D$6,2,FALSE)&amp;ROW(S133))="",0,INDIRECT("'"&amp;S$86&amp;"'!"&amp;VLOOKUP(S$87,'List Values'!$C$3:$D$6,2,FALSE)&amp;ROW(S133))),IF(S$86&lt;&gt;"","Data Source Error",0))))</f>
        <v>0</v>
      </c>
      <c r="V133" s="1204"/>
      <c r="W133" s="1205">
        <f ca="1">IF($H$7&lt;6,0,IF(V133&lt;&gt;"",V133,IFERROR(IF(INDIRECT("'"&amp;V$86&amp;"'!"&amp;VLOOKUP(V$87,'List Values'!$C$3:$D$6,2,FALSE)&amp;ROW(V133))="",0,INDIRECT("'"&amp;V$86&amp;"'!"&amp;VLOOKUP(V$87,'List Values'!$C$3:$D$6,2,FALSE)&amp;ROW(V133))),IF(V$86&lt;&gt;"","Data Source Error",0))))</f>
        <v>0</v>
      </c>
      <c r="Y133" s="2643"/>
      <c r="Z133" s="2644"/>
      <c r="AA133" s="2644"/>
      <c r="AB133" s="2645"/>
    </row>
    <row r="134" spans="1:28" ht="21" customHeight="1">
      <c r="A134" s="1"/>
      <c r="B134" s="612" t="s">
        <v>609</v>
      </c>
      <c r="C134" s="604"/>
      <c r="D134" s="604"/>
      <c r="E134" s="604"/>
      <c r="F134" s="604"/>
      <c r="G134" s="604"/>
      <c r="H134" s="604"/>
      <c r="I134" s="605"/>
      <c r="J134" s="606"/>
      <c r="K134" s="961"/>
      <c r="L134" s="605"/>
      <c r="M134" s="606"/>
      <c r="N134" s="961"/>
      <c r="O134" s="605"/>
      <c r="P134" s="607"/>
      <c r="Q134" s="961"/>
      <c r="R134" s="608"/>
      <c r="S134" s="607"/>
      <c r="T134" s="961"/>
      <c r="U134" s="608"/>
      <c r="V134" s="607"/>
      <c r="W134" s="961"/>
      <c r="Y134" s="631"/>
      <c r="Z134" s="631"/>
      <c r="AA134" s="631"/>
      <c r="AB134" s="631"/>
    </row>
    <row r="135" spans="1:28" ht="18.75" customHeight="1" outlineLevel="1">
      <c r="A135" s="252"/>
      <c r="B135" s="252"/>
      <c r="C135" s="2580" t="s">
        <v>631</v>
      </c>
      <c r="D135" s="2580"/>
      <c r="E135" s="202"/>
      <c r="F135" s="202"/>
      <c r="G135" s="634"/>
      <c r="H135" s="635"/>
      <c r="I135" s="52"/>
      <c r="J135" s="581"/>
      <c r="K135" s="962">
        <f ca="1">IF(OR($H$7&lt;2,K$133&lt;1),"",IF(J135&lt;&gt;"",J135,IFERROR(IF(INDIRECT("'"&amp;J$86&amp;"'!"&amp;VLOOKUP(J$87,'List Values'!$C$3:$D$6,2,FALSE)&amp;ROW(J135))="","",INDIRECT("'"&amp;J$86&amp;"'!"&amp;VLOOKUP(J$87,'List Values'!$C$3:$D$6,2,FALSE)&amp;ROW(J135))),IF(J$86&lt;&gt;"","Data Source Error",""))))</f>
        <v>1</v>
      </c>
      <c r="L135" s="626"/>
      <c r="M135" s="581"/>
      <c r="N135" s="962">
        <f ca="1">IF(OR($H$7&lt;3,N$133&lt;1),"",IF(M135&lt;&gt;"",M135,IFERROR(IF(INDIRECT("'"&amp;M$86&amp;"'!"&amp;VLOOKUP(M$87,'List Values'!$C$3:$D$6,2,FALSE)&amp;ROW(M135))="","",INDIRECT("'"&amp;M$86&amp;"'!"&amp;VLOOKUP(M$87,'List Values'!$C$3:$D$6,2,FALSE)&amp;ROW(M135))),IF(M$86&lt;&gt;"","Data Source Error",""))))</f>
        <v>1</v>
      </c>
      <c r="O135" s="627"/>
      <c r="P135" s="585"/>
      <c r="Q135" s="967" t="str">
        <f ca="1">IF(OR($H$7&lt;4,Q$133&lt;1),"",IF(P135&lt;&gt;"",P135,IFERROR(IF(INDIRECT("'"&amp;P$86&amp;"'!"&amp;VLOOKUP(P$87,'List Values'!$C$3:$D$6,2,FALSE)&amp;ROW(P135))="","",INDIRECT("'"&amp;P$86&amp;"'!"&amp;VLOOKUP(P$87,'List Values'!$C$3:$D$6,2,FALSE)&amp;ROW(P135))),IF(P$86&lt;&gt;"","Data Source Error",""))))</f>
        <v/>
      </c>
      <c r="R135" s="460"/>
      <c r="S135" s="585"/>
      <c r="T135" s="967" t="str">
        <f ca="1">IF(OR($H$7&lt;5,T$133&lt;1),"",IF(S135&lt;&gt;"",S135,IFERROR(IF(INDIRECT("'"&amp;S$86&amp;"'!"&amp;VLOOKUP(S$87,'List Values'!$C$3:$D$6,2,FALSE)&amp;ROW(S135))="","",INDIRECT("'"&amp;S$86&amp;"'!"&amp;VLOOKUP(S$87,'List Values'!$C$3:$D$6,2,FALSE)&amp;ROW(S135))),IF(S$86&lt;&gt;"","Data Source Error",""))))</f>
        <v/>
      </c>
      <c r="U135" s="460"/>
      <c r="V135" s="585"/>
      <c r="W135" s="973" t="str">
        <f ca="1">IF(OR($H$7&lt;6,W$133&lt;1),"",IF(V135&lt;&gt;"",V135,IFERROR(IF(INDIRECT("'"&amp;V$86&amp;"'!"&amp;VLOOKUP(V$87,'List Values'!$C$3:$D$6,2,FALSE)&amp;ROW(V135))="","",INDIRECT("'"&amp;V$86&amp;"'!"&amp;VLOOKUP(V$87,'List Values'!$C$3:$D$6,2,FALSE)&amp;ROW(V135))),IF(V$86&lt;&gt;"","Data Source Error",""))))</f>
        <v/>
      </c>
      <c r="Y135" s="2643"/>
      <c r="Z135" s="2644"/>
      <c r="AA135" s="2644"/>
      <c r="AB135" s="2645"/>
    </row>
    <row r="136" spans="1:28" ht="28.5" customHeight="1" outlineLevel="1">
      <c r="A136" s="252"/>
      <c r="B136" s="252"/>
      <c r="C136" s="2680" t="s">
        <v>633</v>
      </c>
      <c r="D136" s="2680"/>
      <c r="E136" s="2062"/>
      <c r="F136" s="2062"/>
      <c r="G136" s="636"/>
      <c r="H136" s="636"/>
      <c r="I136" s="520"/>
      <c r="J136" s="526"/>
      <c r="K136" s="963" t="str">
        <f ca="1">IF(OR($H$7&lt;2,K$133&lt;1),"",IF(J136&lt;&gt;"",J136,IFERROR(IF(INDIRECT("'"&amp;J$86&amp;"'!"&amp;VLOOKUP(J$87,'List Values'!$C$3:$D$6,2,FALSE)&amp;ROW(J136))="","",INDIRECT("'"&amp;J$86&amp;"'!"&amp;VLOOKUP(J$87,'List Values'!$C$3:$D$6,2,FALSE)&amp;ROW(J136))),IF(J$86&lt;&gt;"","Data Source Error",""))))</f>
        <v>Commercial Truck</v>
      </c>
      <c r="L136" s="52"/>
      <c r="M136" s="526"/>
      <c r="N136" s="963" t="str">
        <f ca="1">IF(OR($H$7&lt;3,N$133&lt;1),"",IF(M136&lt;&gt;"",M136,IFERROR(IF(INDIRECT("'"&amp;M$86&amp;"'!"&amp;VLOOKUP(M$87,'List Values'!$C$3:$D$6,2,FALSE)&amp;ROW(M136))="","",INDIRECT("'"&amp;M$86&amp;"'!"&amp;VLOOKUP(M$87,'List Values'!$C$3:$D$6,2,FALSE)&amp;ROW(M136))),IF(M$86&lt;&gt;"","Data Source Error",""))))</f>
        <v>Commercial Truck</v>
      </c>
      <c r="O136" s="187"/>
      <c r="P136" s="560"/>
      <c r="Q136" s="900" t="str">
        <f ca="1">IF(OR($H$7&lt;4,Q$133&lt;1),"",IF(P136&lt;&gt;"",P136,IFERROR(IF(INDIRECT("'"&amp;P$86&amp;"'!"&amp;VLOOKUP(P$87,'List Values'!$C$3:$D$6,2,FALSE)&amp;ROW(P136))="","",INDIRECT("'"&amp;P$86&amp;"'!"&amp;VLOOKUP(P$87,'List Values'!$C$3:$D$6,2,FALSE)&amp;ROW(P136))),IF(P$86&lt;&gt;"","Data Source Error",""))))</f>
        <v/>
      </c>
      <c r="S136" s="560"/>
      <c r="T136" s="900" t="str">
        <f ca="1">IF(OR($H$7&lt;5,T$133&lt;1),"",IF(S136&lt;&gt;"",S136,IFERROR(IF(INDIRECT("'"&amp;S$86&amp;"'!"&amp;VLOOKUP(S$87,'List Values'!$C$3:$D$6,2,FALSE)&amp;ROW(S136))="","",INDIRECT("'"&amp;S$86&amp;"'!"&amp;VLOOKUP(S$87,'List Values'!$C$3:$D$6,2,FALSE)&amp;ROW(S136))),IF(S$86&lt;&gt;"","Data Source Error",""))))</f>
        <v/>
      </c>
      <c r="V136" s="560"/>
      <c r="W136" s="911" t="str">
        <f ca="1">IF(OR($H$7&lt;6,W$133&lt;1),"",IF(V136&lt;&gt;"",V136,IFERROR(IF(INDIRECT("'"&amp;V$86&amp;"'!"&amp;VLOOKUP(V$87,'List Values'!$C$3:$D$6,2,FALSE)&amp;ROW(V136))="","",INDIRECT("'"&amp;V$86&amp;"'!"&amp;VLOOKUP(V$87,'List Values'!$C$3:$D$6,2,FALSE)&amp;ROW(V136))),IF(V$86&lt;&gt;"","Data Source Error",""))))</f>
        <v/>
      </c>
      <c r="Y136" s="2643"/>
      <c r="Z136" s="2644"/>
      <c r="AA136" s="2644"/>
      <c r="AB136" s="2645"/>
    </row>
    <row r="137" spans="1:28" ht="33.75" customHeight="1" outlineLevel="1">
      <c r="A137" s="252"/>
      <c r="B137" s="252"/>
      <c r="C137" s="2680" t="s">
        <v>2517</v>
      </c>
      <c r="D137" s="2680"/>
      <c r="E137" s="2062"/>
      <c r="F137" s="2062"/>
      <c r="G137" s="636"/>
      <c r="H137" s="637"/>
      <c r="I137" s="182"/>
      <c r="J137" s="561"/>
      <c r="K137" s="962" t="str">
        <f ca="1">IF(OR($H$7&lt;2,K$133&lt;1),"",IF(J137&lt;&gt;"",J137,IFERROR(IF(INDIRECT("'"&amp;J$86&amp;"'!"&amp;VLOOKUP(J$87,'List Values'!$C$3:$D$6,2,FALSE)&amp;ROW(J137))="","",INDIRECT("'"&amp;J$86&amp;"'!"&amp;VLOOKUP(J$87,'List Values'!$C$3:$D$6,2,FALSE)&amp;ROW(J137))),IF(J$86&lt;&gt;"","Data Source Error",""))))</f>
        <v>Owned</v>
      </c>
      <c r="L137" s="182"/>
      <c r="M137" s="561"/>
      <c r="N137" s="969" t="str">
        <f ca="1">IF(OR($H$7&lt;3,N$133&lt;1),"",IF(M137&lt;&gt;"",M137,IFERROR(IF(INDIRECT("'"&amp;M$86&amp;"'!"&amp;VLOOKUP(M$87,'List Values'!$C$3:$D$6,2,FALSE)&amp;ROW(M137))="","",INDIRECT("'"&amp;M$86&amp;"'!"&amp;VLOOKUP(M$87,'List Values'!$C$3:$D$6,2,FALSE)&amp;ROW(M137))),IF(M$86&lt;&gt;"","Data Source Error",""))))</f>
        <v>Owned</v>
      </c>
      <c r="O137" s="183"/>
      <c r="P137" s="558"/>
      <c r="Q137" s="897" t="str">
        <f ca="1">IF(OR($H$7&lt;4,Q$133&lt;1),"",IF(P137&lt;&gt;"",P137,IFERROR(IF(INDIRECT("'"&amp;P$86&amp;"'!"&amp;VLOOKUP(P$87,'List Values'!$C$3:$D$6,2,FALSE)&amp;ROW(P137))="","",INDIRECT("'"&amp;P$86&amp;"'!"&amp;VLOOKUP(P$87,'List Values'!$C$3:$D$6,2,FALSE)&amp;ROW(P137))),IF(P$86&lt;&gt;"","Data Source Error",""))))</f>
        <v/>
      </c>
      <c r="S137" s="558"/>
      <c r="T137" s="897" t="str">
        <f ca="1">IF(OR($H$7&lt;5,T$133&lt;1),"",IF(S137&lt;&gt;"",S137,IFERROR(IF(INDIRECT("'"&amp;S$86&amp;"'!"&amp;VLOOKUP(S$87,'List Values'!$C$3:$D$6,2,FALSE)&amp;ROW(S137))="","",INDIRECT("'"&amp;S$86&amp;"'!"&amp;VLOOKUP(S$87,'List Values'!$C$3:$D$6,2,FALSE)&amp;ROW(S137))),IF(S$86&lt;&gt;"","Data Source Error",""))))</f>
        <v/>
      </c>
      <c r="V137" s="558"/>
      <c r="W137" s="908" t="str">
        <f ca="1">IF(OR($H$7&lt;6,W$133&lt;1),"",IF(V137&lt;&gt;"",V137,IFERROR(IF(INDIRECT("'"&amp;V$86&amp;"'!"&amp;VLOOKUP(V$87,'List Values'!$C$3:$D$6,2,FALSE)&amp;ROW(V137))="","",INDIRECT("'"&amp;V$86&amp;"'!"&amp;VLOOKUP(V$87,'List Values'!$C$3:$D$6,2,FALSE)&amp;ROW(V137))),IF(V$86&lt;&gt;"","Data Source Error",""))))</f>
        <v/>
      </c>
      <c r="Y137" s="2643"/>
      <c r="Z137" s="2644"/>
      <c r="AA137" s="2644"/>
      <c r="AB137" s="2645"/>
    </row>
    <row r="138" spans="1:28" ht="33.75" customHeight="1" outlineLevel="1">
      <c r="A138" s="252"/>
      <c r="B138" s="252"/>
      <c r="C138" s="2684" t="s">
        <v>628</v>
      </c>
      <c r="D138" s="2684"/>
      <c r="E138" s="2062"/>
      <c r="F138" s="2062"/>
      <c r="G138" s="636"/>
      <c r="H138" s="637"/>
      <c r="I138" s="191"/>
      <c r="J138" s="526"/>
      <c r="K138" s="964" t="str">
        <f ca="1">IF(OR($H$7&lt;2,K$133&lt;1),"",IF(J138&lt;&gt;"",J138,IFERROR(IF(INDIRECT("'"&amp;J$86&amp;"'!"&amp;VLOOKUP(J$87,'List Values'!$C$3:$D$6,2,FALSE)&amp;ROW(J138))="","",INDIRECT("'"&amp;J$86&amp;"'!"&amp;VLOOKUP(J$87,'List Values'!$C$3:$D$6,2,FALSE)&amp;ROW(J138))),IF(J$86&lt;&gt;"","Data Source Error",""))))</f>
        <v xml:space="preserve">$ per km </v>
      </c>
      <c r="L138" s="191"/>
      <c r="M138" s="526"/>
      <c r="N138" s="963" t="str">
        <f ca="1">IF(OR($H$7&lt;3,N$133&lt;1),"",IF(M138&lt;&gt;"",M138,IFERROR(IF(INDIRECT("'"&amp;M$86&amp;"'!"&amp;VLOOKUP(M$87,'List Values'!$C$3:$D$6,2,FALSE)&amp;ROW(M138))="","",INDIRECT("'"&amp;M$86&amp;"'!"&amp;VLOOKUP(M$87,'List Values'!$C$3:$D$6,2,FALSE)&amp;ROW(M138))),IF(M$86&lt;&gt;"","Data Source Error",""))))</f>
        <v xml:space="preserve">$ per km </v>
      </c>
      <c r="O138" s="187"/>
      <c r="P138" s="560"/>
      <c r="Q138" s="900" t="str">
        <f ca="1">IF(OR($H$7&lt;4,Q$133&lt;1),"",IF(P138&lt;&gt;"",P138,IFERROR(IF(INDIRECT("'"&amp;P$86&amp;"'!"&amp;VLOOKUP(P$87,'List Values'!$C$3:$D$6,2,FALSE)&amp;ROW(P138))="","",INDIRECT("'"&amp;P$86&amp;"'!"&amp;VLOOKUP(P$87,'List Values'!$C$3:$D$6,2,FALSE)&amp;ROW(P138))),IF(P$86&lt;&gt;"","Data Source Error",""))))</f>
        <v/>
      </c>
      <c r="S138" s="560"/>
      <c r="T138" s="900" t="str">
        <f ca="1">IF(OR($H$7&lt;5,T$133&lt;1),"",IF(S138&lt;&gt;"",S138,IFERROR(IF(INDIRECT("'"&amp;S$86&amp;"'!"&amp;VLOOKUP(S$87,'List Values'!$C$3:$D$6,2,FALSE)&amp;ROW(S138))="","",INDIRECT("'"&amp;S$86&amp;"'!"&amp;VLOOKUP(S$87,'List Values'!$C$3:$D$6,2,FALSE)&amp;ROW(S138))),IF(S$86&lt;&gt;"","Data Source Error",""))))</f>
        <v/>
      </c>
      <c r="V138" s="560"/>
      <c r="W138" s="911" t="str">
        <f ca="1">IF(OR($H$7&lt;6,W$133&lt;1),"",IF(V138&lt;&gt;"",V138,IFERROR(IF(INDIRECT("'"&amp;V$86&amp;"'!"&amp;VLOOKUP(V$87,'List Values'!$C$3:$D$6,2,FALSE)&amp;ROW(V138))="","",INDIRECT("'"&amp;V$86&amp;"'!"&amp;VLOOKUP(V$87,'List Values'!$C$3:$D$6,2,FALSE)&amp;ROW(V138))),IF(V$86&lt;&gt;"","Data Source Error",""))))</f>
        <v/>
      </c>
      <c r="Y138" s="2643"/>
      <c r="Z138" s="2644"/>
      <c r="AA138" s="2644"/>
      <c r="AB138" s="2645"/>
    </row>
    <row r="139" spans="1:28" ht="33.75" customHeight="1" outlineLevel="1">
      <c r="A139" s="252"/>
      <c r="B139" s="252"/>
      <c r="C139" s="2684" t="s">
        <v>629</v>
      </c>
      <c r="D139" s="2684"/>
      <c r="E139" s="2062"/>
      <c r="F139" s="2062"/>
      <c r="G139" s="636"/>
      <c r="H139" s="637"/>
      <c r="I139" s="191"/>
      <c r="J139" s="568"/>
      <c r="K139" s="956">
        <f ca="1">IF(OR($H$7&lt;2,K$133&lt;1),"",IF(J139&lt;&gt;"",J139,IFERROR(IF(INDIRECT("'"&amp;J$86&amp;"'!"&amp;VLOOKUP(J$87,'List Values'!$C$3:$D$6,2,FALSE)&amp;ROW(J139))="","",INDIRECT("'"&amp;J$86&amp;"'!"&amp;VLOOKUP(J$87,'List Values'!$C$3:$D$6,2,FALSE)&amp;ROW(J139))*$H$6),IF(J$86&lt;&gt;"","Data Source Error",""))))</f>
        <v>1</v>
      </c>
      <c r="L139" s="622"/>
      <c r="M139" s="568"/>
      <c r="N139" s="956">
        <f ca="1">IF(OR($H$7&lt;3,N$133&lt;1),"",IF(M139&lt;&gt;"",M139,IFERROR(IF(INDIRECT("'"&amp;M$86&amp;"'!"&amp;VLOOKUP(M$87,'List Values'!$C$3:$D$6,2,FALSE)&amp;ROW(M139))="","",INDIRECT("'"&amp;M$86&amp;"'!"&amp;VLOOKUP(M$87,'List Values'!$C$3:$D$6,2,FALSE)&amp;ROW(M139))*$H$6),IF(M$86&lt;&gt;"","Data Source Error",""))))</f>
        <v>1</v>
      </c>
      <c r="O139" s="339"/>
      <c r="P139" s="623"/>
      <c r="Q139" s="936" t="str">
        <f ca="1">IF(OR($H$7&lt;4,Q$133&lt;1),"",IF(P139&lt;&gt;"",P139,IFERROR(IF(INDIRECT("'"&amp;P$86&amp;"'!"&amp;VLOOKUP(P$87,'List Values'!$C$3:$D$6,2,FALSE)&amp;ROW(P139))="","",INDIRECT("'"&amp;P$86&amp;"'!"&amp;VLOOKUP(P$87,'List Values'!$C$3:$D$6,2,FALSE)&amp;ROW(P139))*$H$6),IF(P$86&lt;&gt;"","Data Source Error",""))))</f>
        <v/>
      </c>
      <c r="R139" s="7"/>
      <c r="S139" s="623"/>
      <c r="T139" s="936" t="str">
        <f ca="1">IF(OR($H$7&lt;5,T$133&lt;1),"",IF(S139&lt;&gt;"",S139,IFERROR(IF(INDIRECT("'"&amp;S$86&amp;"'!"&amp;VLOOKUP(S$87,'List Values'!$C$3:$D$6,2,FALSE)&amp;ROW(S139))="","",INDIRECT("'"&amp;S$86&amp;"'!"&amp;VLOOKUP(S$87,'List Values'!$C$3:$D$6,2,FALSE)&amp;ROW(S139))*$H$6),IF(S$86&lt;&gt;"","Data Source Error",""))))</f>
        <v/>
      </c>
      <c r="U139" s="7"/>
      <c r="V139" s="623"/>
      <c r="W139" s="974" t="str">
        <f ca="1">IF(OR($H$7&lt;6,W$133&lt;1),"",IF(V139&lt;&gt;"",V139,IFERROR(IF(INDIRECT("'"&amp;V$86&amp;"'!"&amp;VLOOKUP(V$87,'List Values'!$C$3:$D$6,2,FALSE)&amp;ROW(V139))="","",INDIRECT("'"&amp;V$86&amp;"'!"&amp;VLOOKUP(V$87,'List Values'!$C$3:$D$6,2,FALSE)&amp;ROW(V139))*$H$6),IF(V$86&lt;&gt;"","Data Source Error",""))))</f>
        <v/>
      </c>
      <c r="Y139" s="2643"/>
      <c r="Z139" s="2644"/>
      <c r="AA139" s="2644"/>
      <c r="AB139" s="2645"/>
    </row>
    <row r="140" spans="1:28" ht="18.75" customHeight="1" outlineLevel="1">
      <c r="A140" s="252"/>
      <c r="B140" s="252"/>
      <c r="C140" s="2680" t="s">
        <v>632</v>
      </c>
      <c r="D140" s="2680"/>
      <c r="E140" s="2062"/>
      <c r="F140" s="2062"/>
      <c r="G140" s="636"/>
      <c r="H140" s="637"/>
      <c r="I140" s="191"/>
      <c r="J140" s="526"/>
      <c r="K140" s="963">
        <f ca="1">IF(OR($H$7&lt;2,K$133&lt;1),"",IF(J140&lt;&gt;"",J140,IFERROR(IF(INDIRECT("'"&amp;J$86&amp;"'!"&amp;VLOOKUP(J$87,'List Values'!$C$3:$D$6,2,FALSE)&amp;ROW(J140))="","",INDIRECT("'"&amp;J$86&amp;"'!"&amp;VLOOKUP(J$87,'List Values'!$C$3:$D$6,2,FALSE)&amp;ROW(J140))),IF(J$86&lt;&gt;"","Data Source Error",""))))</f>
        <v>1</v>
      </c>
      <c r="L140" s="191"/>
      <c r="M140" s="526">
        <v>4</v>
      </c>
      <c r="N140" s="963">
        <f ca="1">IF(OR($H$7&lt;3,N$133&lt;1),"",IF(M140&lt;&gt;"",M140,IFERROR(IF(INDIRECT("'"&amp;M$86&amp;"'!"&amp;VLOOKUP(M$87,'List Values'!$C$3:$D$6,2,FALSE)&amp;ROW(M140))="","",INDIRECT("'"&amp;M$86&amp;"'!"&amp;VLOOKUP(M$87,'List Values'!$C$3:$D$6,2,FALSE)&amp;ROW(M140))),IF(M$86&lt;&gt;"","Data Source Error",""))))</f>
        <v>4</v>
      </c>
      <c r="O140" s="187"/>
      <c r="P140" s="560"/>
      <c r="Q140" s="900" t="str">
        <f ca="1">IF(OR($H$7&lt;4,Q$133&lt;1),"",IF(P140&lt;&gt;"",P140,IFERROR(IF(INDIRECT("'"&amp;P$86&amp;"'!"&amp;VLOOKUP(P$87,'List Values'!$C$3:$D$6,2,FALSE)&amp;ROW(P140))="","",INDIRECT("'"&amp;P$86&amp;"'!"&amp;VLOOKUP(P$87,'List Values'!$C$3:$D$6,2,FALSE)&amp;ROW(P140))),IF(P$86&lt;&gt;"","Data Source Error",""))))</f>
        <v/>
      </c>
      <c r="S140" s="560"/>
      <c r="T140" s="900" t="str">
        <f ca="1">IF(OR($H$7&lt;5,T$133&lt;1),"",IF(S140&lt;&gt;"",S140,IFERROR(IF(INDIRECT("'"&amp;S$86&amp;"'!"&amp;VLOOKUP(S$87,'List Values'!$C$3:$D$6,2,FALSE)&amp;ROW(S140))="","",INDIRECT("'"&amp;S$86&amp;"'!"&amp;VLOOKUP(S$87,'List Values'!$C$3:$D$6,2,FALSE)&amp;ROW(S140))),IF(S$86&lt;&gt;"","Data Source Error",""))))</f>
        <v/>
      </c>
      <c r="V140" s="560"/>
      <c r="W140" s="911" t="str">
        <f ca="1">IF(OR($H$7&lt;6,W$133&lt;1),"",IF(V140&lt;&gt;"",V140,IFERROR(IF(INDIRECT("'"&amp;V$86&amp;"'!"&amp;VLOOKUP(V$87,'List Values'!$C$3:$D$6,2,FALSE)&amp;ROW(V140))="","",INDIRECT("'"&amp;V$86&amp;"'!"&amp;VLOOKUP(V$87,'List Values'!$C$3:$D$6,2,FALSE)&amp;ROW(V140))),IF(V$86&lt;&gt;"","Data Source Error",""))))</f>
        <v/>
      </c>
      <c r="Y140" s="2643"/>
      <c r="Z140" s="2644"/>
      <c r="AA140" s="2644"/>
      <c r="AB140" s="2645"/>
    </row>
    <row r="141" spans="1:28" ht="49.5" customHeight="1" outlineLevel="1">
      <c r="A141" s="252"/>
      <c r="B141" s="252"/>
      <c r="C141" s="2680" t="s">
        <v>5476</v>
      </c>
      <c r="D141" s="2680"/>
      <c r="E141" s="2062"/>
      <c r="F141" s="2062"/>
      <c r="G141" s="636"/>
      <c r="H141" s="637"/>
      <c r="I141" s="191"/>
      <c r="J141" s="619"/>
      <c r="K141" s="964">
        <f ca="1">IF(OR($H$7&lt;2,K$133&lt;1),"",IF(J141&lt;&gt;"",J141,IFERROR(IF(INDIRECT("'"&amp;J$86&amp;"'!"&amp;VLOOKUP(J$87,'List Values'!$C$3:$D$6,2,FALSE)&amp;ROW(J141))="","",INDIRECT("'"&amp;J$86&amp;"'!"&amp;VLOOKUP(J$87,'List Values'!$C$3:$D$6,2,FALSE)&amp;ROW(J141))),IF(J$86&lt;&gt;"","Data Source Error",""))))</f>
        <v>0</v>
      </c>
      <c r="L141" s="620"/>
      <c r="M141" s="619"/>
      <c r="N141" s="964">
        <f ca="1">IF(OR($H$7&lt;3,N$133&lt;1),"",IF(M141&lt;&gt;"",M141,IFERROR(IF(INDIRECT("'"&amp;M$86&amp;"'!"&amp;VLOOKUP(M$87,'List Values'!$C$3:$D$6,2,FALSE)&amp;ROW(M141))="","",INDIRECT("'"&amp;M$86&amp;"'!"&amp;VLOOKUP(M$87,'List Values'!$C$3:$D$6,2,FALSE)&amp;ROW(M141))),IF(M$86&lt;&gt;"","Data Source Error",""))))</f>
        <v>0</v>
      </c>
      <c r="O141" s="621"/>
      <c r="P141" s="619"/>
      <c r="Q141" s="971" t="str">
        <f ca="1">IF(OR($H$7&lt;4,Q$133&lt;1),"",IF(P141&lt;&gt;"",P141,IFERROR(IF(INDIRECT("'"&amp;P$86&amp;"'!"&amp;VLOOKUP(P$87,'List Values'!$C$3:$D$6,2,FALSE)&amp;ROW(P141))="","",INDIRECT("'"&amp;P$86&amp;"'!"&amp;VLOOKUP(P$87,'List Values'!$C$3:$D$6,2,FALSE)&amp;ROW(P141))),IF(P$86&lt;&gt;"","Data Source Error",""))))</f>
        <v/>
      </c>
      <c r="R141" s="147"/>
      <c r="S141" s="619"/>
      <c r="T141" s="971" t="str">
        <f ca="1">IF(OR($H$7&lt;5,T$133&lt;1),"",IF(S141&lt;&gt;"",S141,IFERROR(IF(INDIRECT("'"&amp;S$86&amp;"'!"&amp;VLOOKUP(S$87,'List Values'!$C$3:$D$6,2,FALSE)&amp;ROW(S141))="","",INDIRECT("'"&amp;S$86&amp;"'!"&amp;VLOOKUP(S$87,'List Values'!$C$3:$D$6,2,FALSE)&amp;ROW(S141))),IF(S$86&lt;&gt;"","Data Source Error",""))))</f>
        <v/>
      </c>
      <c r="U141" s="147"/>
      <c r="V141" s="619"/>
      <c r="W141" s="975" t="str">
        <f ca="1">IF(OR($H$7&lt;6,W$133&lt;1),"",IF(V141&lt;&gt;"",V141,IFERROR(IF(INDIRECT("'"&amp;V$86&amp;"'!"&amp;VLOOKUP(V$87,'List Values'!$C$3:$D$6,2,FALSE)&amp;ROW(V141))="","",INDIRECT("'"&amp;V$86&amp;"'!"&amp;VLOOKUP(V$87,'List Values'!$C$3:$D$6,2,FALSE)&amp;ROW(V141))),IF(V$86&lt;&gt;"","Data Source Error",""))))</f>
        <v/>
      </c>
      <c r="Y141" s="2643"/>
      <c r="Z141" s="2644"/>
      <c r="AA141" s="2644"/>
      <c r="AB141" s="2645"/>
    </row>
    <row r="142" spans="1:28" ht="55.5" customHeight="1" outlineLevel="1">
      <c r="A142" s="252"/>
      <c r="B142" s="252"/>
      <c r="C142" s="2680" t="s">
        <v>5477</v>
      </c>
      <c r="D142" s="2680"/>
      <c r="E142" s="2062"/>
      <c r="F142" s="2062"/>
      <c r="G142" s="636"/>
      <c r="H142" s="637"/>
      <c r="I142" s="191"/>
      <c r="J142" s="619"/>
      <c r="K142" s="964">
        <f ca="1">IF(OR($H$7&lt;2,K$133&lt;1),"",IF(J142&lt;&gt;"",J142,IFERROR(IF(INDIRECT("'"&amp;J$86&amp;"'!"&amp;VLOOKUP(J$87,'List Values'!$C$3:$D$6,2,FALSE)&amp;ROW(J142))="","",INDIRECT("'"&amp;J$86&amp;"'!"&amp;VLOOKUP(J$87,'List Values'!$C$3:$D$6,2,FALSE)&amp;ROW(J142))),IF(J$86&lt;&gt;"","Data Source Error",""))))</f>
        <v>0</v>
      </c>
      <c r="L142" s="620"/>
      <c r="M142" s="619"/>
      <c r="N142" s="964">
        <f ca="1">IF(OR($H$7&lt;3,N$133&lt;1),"",IF(M142&lt;&gt;"",M142,IFERROR(IF(INDIRECT("'"&amp;M$86&amp;"'!"&amp;VLOOKUP(M$87,'List Values'!$C$3:$D$6,2,FALSE)&amp;ROW(M142))="","",INDIRECT("'"&amp;M$86&amp;"'!"&amp;VLOOKUP(M$87,'List Values'!$C$3:$D$6,2,FALSE)&amp;ROW(M142))),IF(M$86&lt;&gt;"","Data Source Error",""))))</f>
        <v>0</v>
      </c>
      <c r="O142" s="621"/>
      <c r="P142" s="619"/>
      <c r="Q142" s="971" t="str">
        <f ca="1">IF(OR($H$7&lt;4,Q$133&lt;1),"",IF(P142&lt;&gt;"",P142,IFERROR(IF(INDIRECT("'"&amp;P$86&amp;"'!"&amp;VLOOKUP(P$87,'List Values'!$C$3:$D$6,2,FALSE)&amp;ROW(P142))="","",INDIRECT("'"&amp;P$86&amp;"'!"&amp;VLOOKUP(P$87,'List Values'!$C$3:$D$6,2,FALSE)&amp;ROW(P142))),IF(P$86&lt;&gt;"","Data Source Error",""))))</f>
        <v/>
      </c>
      <c r="R142" s="147"/>
      <c r="S142" s="619"/>
      <c r="T142" s="971" t="str">
        <f ca="1">IF(OR($H$7&lt;5,T$133&lt;1),"",IF(S142&lt;&gt;"",S142,IFERROR(IF(INDIRECT("'"&amp;S$86&amp;"'!"&amp;VLOOKUP(S$87,'List Values'!$C$3:$D$6,2,FALSE)&amp;ROW(S142))="","",INDIRECT("'"&amp;S$86&amp;"'!"&amp;VLOOKUP(S$87,'List Values'!$C$3:$D$6,2,FALSE)&amp;ROW(S142))),IF(S$86&lt;&gt;"","Data Source Error",""))))</f>
        <v/>
      </c>
      <c r="U142" s="147"/>
      <c r="V142" s="619"/>
      <c r="W142" s="975" t="str">
        <f ca="1">IF(OR($H$7&lt;6,W$133&lt;1),"",IF(V142&lt;&gt;"",V142,IFERROR(IF(INDIRECT("'"&amp;V$86&amp;"'!"&amp;VLOOKUP(V$87,'List Values'!$C$3:$D$6,2,FALSE)&amp;ROW(V142))="","",INDIRECT("'"&amp;V$86&amp;"'!"&amp;VLOOKUP(V$87,'List Values'!$C$3:$D$6,2,FALSE)&amp;ROW(V142))),IF(V$86&lt;&gt;"","Data Source Error",""))))</f>
        <v/>
      </c>
      <c r="Y142" s="2643"/>
      <c r="Z142" s="2644"/>
      <c r="AA142" s="2644"/>
      <c r="AB142" s="2645"/>
    </row>
    <row r="143" spans="1:28" ht="33.75" customHeight="1" outlineLevel="1">
      <c r="A143" s="252"/>
      <c r="B143" s="252"/>
      <c r="C143" s="2680" t="s">
        <v>331</v>
      </c>
      <c r="D143" s="2680"/>
      <c r="E143" s="2062"/>
      <c r="F143" s="2062"/>
      <c r="G143" s="636"/>
      <c r="H143" s="637"/>
      <c r="I143" s="191"/>
      <c r="J143" s="526"/>
      <c r="K143" s="963" t="str">
        <f ca="1">IF(OR($H$7&lt;2,K$133&lt;1),"",IF(J143&lt;&gt;"",J143,IFERROR(IF(INDIRECT("'"&amp;J$86&amp;"'!"&amp;VLOOKUP(J$87,'List Values'!$C$3:$D$6,2,FALSE)&amp;ROW(J143))="","",INDIRECT("'"&amp;J$86&amp;"'!"&amp;VLOOKUP(J$87,'List Values'!$C$3:$D$6,2,FALSE)&amp;ROW(J143))),IF(J$86&lt;&gt;"","Data Source Error",""))))</f>
        <v>Point-to-point</v>
      </c>
      <c r="L143" s="191"/>
      <c r="M143" s="526"/>
      <c r="N143" s="963" t="str">
        <f ca="1">IF(OR($H$7&lt;3,N$133&lt;1),"",IF(M143&lt;&gt;"",M143,IFERROR(IF(INDIRECT("'"&amp;M$86&amp;"'!"&amp;VLOOKUP(M$87,'List Values'!$C$3:$D$6,2,FALSE)&amp;ROW(M143))="","",INDIRECT("'"&amp;M$86&amp;"'!"&amp;VLOOKUP(M$87,'List Values'!$C$3:$D$6,2,FALSE)&amp;ROW(M143))),IF(M$86&lt;&gt;"","Data Source Error",""))))</f>
        <v>Route-based</v>
      </c>
      <c r="O143" s="187"/>
      <c r="P143" s="523"/>
      <c r="Q143" s="900" t="str">
        <f ca="1">IF(OR($H$7&lt;4,Q$133&lt;1),"",IF(P143&lt;&gt;"",P143,IFERROR(IF(INDIRECT("'"&amp;P$86&amp;"'!"&amp;VLOOKUP(P$87,'List Values'!$C$3:$D$6,2,FALSE)&amp;ROW(P143))="","",INDIRECT("'"&amp;P$86&amp;"'!"&amp;VLOOKUP(P$87,'List Values'!$C$3:$D$6,2,FALSE)&amp;ROW(P143))),IF(P$86&lt;&gt;"","Data Source Error",""))))</f>
        <v/>
      </c>
      <c r="S143" s="523"/>
      <c r="T143" s="900" t="str">
        <f ca="1">IF(OR($H$7&lt;5,T$133&lt;1),"",IF(S143&lt;&gt;"",S143,IFERROR(IF(INDIRECT("'"&amp;S$86&amp;"'!"&amp;VLOOKUP(S$87,'List Values'!$C$3:$D$6,2,FALSE)&amp;ROW(S143))="","",INDIRECT("'"&amp;S$86&amp;"'!"&amp;VLOOKUP(S$87,'List Values'!$C$3:$D$6,2,FALSE)&amp;ROW(S143))),IF(S$86&lt;&gt;"","Data Source Error",""))))</f>
        <v/>
      </c>
      <c r="V143" s="523"/>
      <c r="W143" s="911" t="str">
        <f ca="1">IF(OR($H$7&lt;6,W$133&lt;1),"",IF(V143&lt;&gt;"",V143,IFERROR(IF(INDIRECT("'"&amp;V$86&amp;"'!"&amp;VLOOKUP(V$87,'List Values'!$C$3:$D$6,2,FALSE)&amp;ROW(V143))="","",INDIRECT("'"&amp;V$86&amp;"'!"&amp;VLOOKUP(V$87,'List Values'!$C$3:$D$6,2,FALSE)&amp;ROW(V143))),IF(V$86&lt;&gt;"","Data Source Error",""))))</f>
        <v/>
      </c>
      <c r="Y143" s="2643"/>
      <c r="Z143" s="2644"/>
      <c r="AA143" s="2644"/>
      <c r="AB143" s="2645"/>
    </row>
    <row r="144" spans="1:28" ht="18.75" customHeight="1" outlineLevel="1">
      <c r="A144" s="252"/>
      <c r="B144" s="252"/>
      <c r="C144" s="2684" t="s">
        <v>332</v>
      </c>
      <c r="D144" s="2684"/>
      <c r="E144" s="2062"/>
      <c r="F144" s="2062"/>
      <c r="G144" s="636"/>
      <c r="H144" s="637"/>
      <c r="I144" s="191"/>
      <c r="J144" s="580"/>
      <c r="K144" s="963">
        <f ca="1">IF(OR($H$7&lt;2,K$133&lt;1),"",IF(J144&lt;&gt;"",J144,IFERROR(IF(INDIRECT("'"&amp;J$86&amp;"'!"&amp;VLOOKUP(J$87,'List Values'!$C$3:$D$6,2,FALSE)&amp;ROW(J144))="","",INDIRECT("'"&amp;J$86&amp;"'!"&amp;VLOOKUP(J$87,'List Values'!$C$3:$D$6,2,FALSE)&amp;ROW(J144))),IF(J$86&lt;&gt;"","Data Source Error",""))))</f>
        <v>2</v>
      </c>
      <c r="L144" s="191"/>
      <c r="M144" s="580"/>
      <c r="N144" s="963">
        <f ca="1">IF(OR($H$7&lt;3,N$133&lt;1),"",IF(M144&lt;&gt;"",M144,IFERROR(IF(INDIRECT("'"&amp;M$86&amp;"'!"&amp;VLOOKUP(M$87,'List Values'!$C$3:$D$6,2,FALSE)&amp;ROW(M144))="","",INDIRECT("'"&amp;M$86&amp;"'!"&amp;VLOOKUP(M$87,'List Values'!$C$3:$D$6,2,FALSE)&amp;ROW(M144))),IF(M$86&lt;&gt;"","Data Source Error",""))))</f>
        <v>2</v>
      </c>
      <c r="O144" s="187"/>
      <c r="P144" s="528"/>
      <c r="Q144" s="900" t="str">
        <f ca="1">IF(OR($H$7&lt;4,Q$133&lt;1),"",IF(P144&lt;&gt;"",P144,IFERROR(IF(INDIRECT("'"&amp;P$86&amp;"'!"&amp;VLOOKUP(P$87,'List Values'!$C$3:$D$6,2,FALSE)&amp;ROW(P144))="","",INDIRECT("'"&amp;P$86&amp;"'!"&amp;VLOOKUP(P$87,'List Values'!$C$3:$D$6,2,FALSE)&amp;ROW(P144))),IF(P$86&lt;&gt;"","Data Source Error",""))))</f>
        <v/>
      </c>
      <c r="S144" s="528"/>
      <c r="T144" s="900" t="str">
        <f ca="1">IF(OR($H$7&lt;5,T$133&lt;1),"",IF(S144&lt;&gt;"",S144,IFERROR(IF(INDIRECT("'"&amp;S$86&amp;"'!"&amp;VLOOKUP(S$87,'List Values'!$C$3:$D$6,2,FALSE)&amp;ROW(S144))="","",INDIRECT("'"&amp;S$86&amp;"'!"&amp;VLOOKUP(S$87,'List Values'!$C$3:$D$6,2,FALSE)&amp;ROW(S144))),IF(S$86&lt;&gt;"","Data Source Error",""))))</f>
        <v/>
      </c>
      <c r="V144" s="528"/>
      <c r="W144" s="911" t="str">
        <f ca="1">IF(OR($H$7&lt;6,W$133&lt;1),"",IF(V144&lt;&gt;"",V144,IFERROR(IF(INDIRECT("'"&amp;V$86&amp;"'!"&amp;VLOOKUP(V$87,'List Values'!$C$3:$D$6,2,FALSE)&amp;ROW(V144))="","",INDIRECT("'"&amp;V$86&amp;"'!"&amp;VLOOKUP(V$87,'List Values'!$C$3:$D$6,2,FALSE)&amp;ROW(V144))),IF(V$86&lt;&gt;"","Data Source Error",""))))</f>
        <v/>
      </c>
      <c r="Y144" s="2643"/>
      <c r="Z144" s="2644"/>
      <c r="AA144" s="2644"/>
      <c r="AB144" s="2645"/>
    </row>
    <row r="145" spans="1:28" ht="30" customHeight="1" outlineLevel="1">
      <c r="A145" s="252"/>
      <c r="B145" s="252"/>
      <c r="C145" s="2680" t="s">
        <v>2519</v>
      </c>
      <c r="D145" s="2680"/>
      <c r="E145" s="2062"/>
      <c r="F145" s="2062"/>
      <c r="G145" s="636"/>
      <c r="H145" s="637"/>
      <c r="I145" s="191"/>
      <c r="J145" s="580"/>
      <c r="K145" s="963" t="str">
        <f ca="1">IF(OR($H$7&lt;2,K$133&lt;1),"",IF(J145&lt;&gt;"",J145,IFERROR(IF(INDIRECT("'"&amp;J$86&amp;"'!"&amp;VLOOKUP(J$87,'List Values'!$C$3:$D$6,2,FALSE)&amp;ROW(J145))="","",INDIRECT("'"&amp;J$86&amp;"'!"&amp;VLOOKUP(J$87,'List Values'!$C$3:$D$6,2,FALSE)&amp;ROW(J145))),IF(J$86&lt;&gt;"","Data Source Error",""))))</f>
        <v>Transport team - Driver</v>
      </c>
      <c r="L145" s="191"/>
      <c r="M145" s="580"/>
      <c r="N145" s="963" t="str">
        <f ca="1">IF(OR($H$7&lt;3,N$133&lt;1),"",IF(M145&lt;&gt;"",M145,IFERROR(IF(INDIRECT("'"&amp;M$86&amp;"'!"&amp;VLOOKUP(M$87,'List Values'!$C$3:$D$6,2,FALSE)&amp;ROW(M145))="","",INDIRECT("'"&amp;M$86&amp;"'!"&amp;VLOOKUP(M$87,'List Values'!$C$3:$D$6,2,FALSE)&amp;ROW(M145))),IF(M$86&lt;&gt;"","Data Source Error",""))))</f>
        <v>Transport team - Driver</v>
      </c>
      <c r="O145" s="187"/>
      <c r="P145" s="528"/>
      <c r="Q145" s="900" t="str">
        <f ca="1">IF(OR($H$7&lt;4,Q$133&lt;1),"",IF(P145&lt;&gt;"",P145,IFERROR(IF(INDIRECT("'"&amp;P$86&amp;"'!"&amp;VLOOKUP(P$87,'List Values'!$C$3:$D$6,2,FALSE)&amp;ROW(P145))="","",INDIRECT("'"&amp;P$86&amp;"'!"&amp;VLOOKUP(P$87,'List Values'!$C$3:$D$6,2,FALSE)&amp;ROW(P145))),IF(P$86&lt;&gt;"","Data Source Error",""))))</f>
        <v/>
      </c>
      <c r="S145" s="528"/>
      <c r="T145" s="900" t="str">
        <f ca="1">IF(OR($H$7&lt;5,T$133&lt;1),"",IF(S145&lt;&gt;"",S145,IFERROR(IF(INDIRECT("'"&amp;S$86&amp;"'!"&amp;VLOOKUP(S$87,'List Values'!$C$3:$D$6,2,FALSE)&amp;ROW(S145))="","",INDIRECT("'"&amp;S$86&amp;"'!"&amp;VLOOKUP(S$87,'List Values'!$C$3:$D$6,2,FALSE)&amp;ROW(S145))),IF(S$86&lt;&gt;"","Data Source Error",""))))</f>
        <v/>
      </c>
      <c r="V145" s="528"/>
      <c r="W145" s="911" t="str">
        <f ca="1">IF(OR($H$7&lt;6,W$133&lt;1),"",IF(V145&lt;&gt;"",V145,IFERROR(IF(INDIRECT("'"&amp;V$86&amp;"'!"&amp;VLOOKUP(V$87,'List Values'!$C$3:$D$6,2,FALSE)&amp;ROW(V145))="","",INDIRECT("'"&amp;V$86&amp;"'!"&amp;VLOOKUP(V$87,'List Values'!$C$3:$D$6,2,FALSE)&amp;ROW(V145))),IF(V$86&lt;&gt;"","Data Source Error",""))))</f>
        <v/>
      </c>
      <c r="Y145" s="2643"/>
      <c r="Z145" s="2644"/>
      <c r="AA145" s="2644"/>
      <c r="AB145" s="2645"/>
    </row>
    <row r="146" spans="1:28" ht="36" customHeight="1" outlineLevel="1">
      <c r="A146" s="252"/>
      <c r="B146" s="252"/>
      <c r="C146" s="2680" t="s">
        <v>5474</v>
      </c>
      <c r="D146" s="2680"/>
      <c r="E146" s="2062"/>
      <c r="F146" s="2062"/>
      <c r="G146" s="636"/>
      <c r="H146" s="637"/>
      <c r="I146" s="191"/>
      <c r="J146" s="580"/>
      <c r="K146" s="963">
        <f ca="1">IF(OR($H$7&lt;2,K$133&lt;1),"",IF(J146&lt;&gt;"",J146,IFERROR(IF(INDIRECT("'"&amp;J$86&amp;"'!"&amp;VLOOKUP(J$87,'List Values'!$C$3:$D$6,2,FALSE)&amp;ROW(J146))="","",INDIRECT("'"&amp;J$86&amp;"'!"&amp;VLOOKUP(J$87,'List Values'!$C$3:$D$6,2,FALSE)&amp;ROW(J146))),IF(J$86&lt;&gt;"","Data Source Error",""))))</f>
        <v>0</v>
      </c>
      <c r="L146" s="191"/>
      <c r="M146" s="580"/>
      <c r="N146" s="963">
        <f ca="1">IF(OR($H$7&lt;3,N$133&lt;1),"",IF(M146&lt;&gt;"",M146,IFERROR(IF(INDIRECT("'"&amp;M$86&amp;"'!"&amp;VLOOKUP(M$87,'List Values'!$C$3:$D$6,2,FALSE)&amp;ROW(M146))="","",INDIRECT("'"&amp;M$86&amp;"'!"&amp;VLOOKUP(M$87,'List Values'!$C$3:$D$6,2,FALSE)&amp;ROW(M146))),IF(M$86&lt;&gt;"","Data Source Error",""))))</f>
        <v>0</v>
      </c>
      <c r="O146" s="187"/>
      <c r="P146" s="528"/>
      <c r="Q146" s="900" t="str">
        <f ca="1">IF(OR($H$7&lt;4,Q$133&lt;1),"",IF(P146&lt;&gt;"",P146,IFERROR(IF(INDIRECT("'"&amp;P$86&amp;"'!"&amp;VLOOKUP(P$87,'List Values'!$C$3:$D$6,2,FALSE)&amp;ROW(P146))="","",INDIRECT("'"&amp;P$86&amp;"'!"&amp;VLOOKUP(P$87,'List Values'!$C$3:$D$6,2,FALSE)&amp;ROW(P146))),IF(P$86&lt;&gt;"","Data Source Error",""))))</f>
        <v/>
      </c>
      <c r="S146" s="528"/>
      <c r="T146" s="900" t="str">
        <f ca="1">IF(OR($H$7&lt;5,T$133&lt;1),"",IF(S146&lt;&gt;"",S146,IFERROR(IF(INDIRECT("'"&amp;S$86&amp;"'!"&amp;VLOOKUP(S$87,'List Values'!$C$3:$D$6,2,FALSE)&amp;ROW(S146))="","",INDIRECT("'"&amp;S$86&amp;"'!"&amp;VLOOKUP(S$87,'List Values'!$C$3:$D$6,2,FALSE)&amp;ROW(S146))),IF(S$86&lt;&gt;"","Data Source Error",""))))</f>
        <v/>
      </c>
      <c r="V146" s="528"/>
      <c r="W146" s="911" t="str">
        <f ca="1">IF(OR($H$7&lt;6,W$133&lt;1),"",IF(V146&lt;&gt;"",V146,IFERROR(IF(INDIRECT("'"&amp;V$86&amp;"'!"&amp;VLOOKUP(V$87,'List Values'!$C$3:$D$6,2,FALSE)&amp;ROW(V146))="","",INDIRECT("'"&amp;V$86&amp;"'!"&amp;VLOOKUP(V$87,'List Values'!$C$3:$D$6,2,FALSE)&amp;ROW(V146))),IF(V$86&lt;&gt;"","Data Source Error",""))))</f>
        <v/>
      </c>
      <c r="Y146" s="2643"/>
      <c r="Z146" s="2644"/>
      <c r="AA146" s="2644"/>
      <c r="AB146" s="2645"/>
    </row>
    <row r="147" spans="1:28" ht="28.5" customHeight="1" outlineLevel="1">
      <c r="A147" s="252"/>
      <c r="B147" s="252"/>
      <c r="C147" s="2684" t="s">
        <v>5475</v>
      </c>
      <c r="D147" s="2684"/>
      <c r="E147" s="2062"/>
      <c r="F147" s="2062"/>
      <c r="G147" s="636"/>
      <c r="H147" s="637"/>
      <c r="I147" s="191"/>
      <c r="J147" s="580"/>
      <c r="K147" s="963" t="str">
        <f ca="1">IF(OR($H$7&lt;2,K$133&lt;1),"",IF(J147&lt;&gt;"",J147,IFERROR(IF(INDIRECT("'"&amp;J$86&amp;"'!"&amp;VLOOKUP(J$87,'List Values'!$C$3:$D$6,2,FALSE)&amp;ROW(J147))="","",INDIRECT("'"&amp;J$86&amp;"'!"&amp;VLOOKUP(J$87,'List Values'!$C$3:$D$6,2,FALSE)&amp;ROW(J147))),IF(J$86&lt;&gt;"","Data Source Error",""))))</f>
        <v/>
      </c>
      <c r="L147" s="191"/>
      <c r="M147" s="580"/>
      <c r="N147" s="963" t="str">
        <f ca="1">IF(OR($H$7&lt;3,N$133&lt;1),"",IF(M147&lt;&gt;"",M147,IFERROR(IF(INDIRECT("'"&amp;M$86&amp;"'!"&amp;VLOOKUP(M$87,'List Values'!$C$3:$D$6,2,FALSE)&amp;ROW(M147))="","",INDIRECT("'"&amp;M$86&amp;"'!"&amp;VLOOKUP(M$87,'List Values'!$C$3:$D$6,2,FALSE)&amp;ROW(M147))),IF(M$86&lt;&gt;"","Data Source Error",""))))</f>
        <v/>
      </c>
      <c r="O147" s="187"/>
      <c r="P147" s="528"/>
      <c r="Q147" s="900" t="str">
        <f ca="1">IF(OR($H$7&lt;4,Q$133&lt;1),"",IF(P147&lt;&gt;"",P147,IFERROR(IF(INDIRECT("'"&amp;P$86&amp;"'!"&amp;VLOOKUP(P$87,'List Values'!$C$3:$D$6,2,FALSE)&amp;ROW(P147))="","",INDIRECT("'"&amp;P$86&amp;"'!"&amp;VLOOKUP(P$87,'List Values'!$C$3:$D$6,2,FALSE)&amp;ROW(P147))),IF(P$86&lt;&gt;"","Data Source Error",""))))</f>
        <v/>
      </c>
      <c r="S147" s="528"/>
      <c r="T147" s="900" t="str">
        <f ca="1">IF(OR($H$7&lt;5,T$133&lt;1),"",IF(S147&lt;&gt;"",S147,IFERROR(IF(INDIRECT("'"&amp;S$86&amp;"'!"&amp;VLOOKUP(S$87,'List Values'!$C$3:$D$6,2,FALSE)&amp;ROW(S147))="","",INDIRECT("'"&amp;S$86&amp;"'!"&amp;VLOOKUP(S$87,'List Values'!$C$3:$D$6,2,FALSE)&amp;ROW(S147))),IF(S$86&lt;&gt;"","Data Source Error",""))))</f>
        <v/>
      </c>
      <c r="V147" s="528"/>
      <c r="W147" s="911" t="str">
        <f ca="1">IF(OR($H$7&lt;6,W$133&lt;1),"",IF(V147&lt;&gt;"",V147,IFERROR(IF(INDIRECT("'"&amp;V$86&amp;"'!"&amp;VLOOKUP(V$87,'List Values'!$C$3:$D$6,2,FALSE)&amp;ROW(V147))="","",INDIRECT("'"&amp;V$86&amp;"'!"&amp;VLOOKUP(V$87,'List Values'!$C$3:$D$6,2,FALSE)&amp;ROW(V147))),IF(V$86&lt;&gt;"","Data Source Error",""))))</f>
        <v/>
      </c>
      <c r="Y147" s="2643"/>
      <c r="Z147" s="2644"/>
      <c r="AA147" s="2644"/>
      <c r="AB147" s="2645"/>
    </row>
    <row r="148" spans="1:28" ht="37.5" customHeight="1" outlineLevel="1">
      <c r="A148" s="252"/>
      <c r="B148" s="252"/>
      <c r="C148" s="2680" t="s">
        <v>5478</v>
      </c>
      <c r="D148" s="2680"/>
      <c r="E148" s="2062"/>
      <c r="F148" s="2062"/>
      <c r="G148" s="636"/>
      <c r="H148" s="637"/>
      <c r="I148" s="191"/>
      <c r="J148" s="580"/>
      <c r="K148" s="963">
        <f ca="1">IF(OR($H$7&lt;2,K$133&lt;1),"",IF(J148&lt;&gt;"",J148,IFERROR(IF(INDIRECT("'"&amp;J$86&amp;"'!"&amp;VLOOKUP(J$87,'List Values'!$C$3:$D$6,2,FALSE)&amp;ROW(J148))="","",INDIRECT("'"&amp;J$86&amp;"'!"&amp;VLOOKUP(J$87,'List Values'!$C$3:$D$6,2,FALSE)&amp;ROW(J148))),IF(J$86&lt;&gt;"","Data Source Error",""))))</f>
        <v>60</v>
      </c>
      <c r="L148" s="191"/>
      <c r="M148" s="580"/>
      <c r="N148" s="963">
        <f ca="1">IF(OR($H$7&lt;3,N$133&lt;1),"",IF(M148&lt;&gt;"",M148,IFERROR(IF(INDIRECT("'"&amp;M$86&amp;"'!"&amp;VLOOKUP(M$87,'List Values'!$C$3:$D$6,2,FALSE)&amp;ROW(M148))="","",INDIRECT("'"&amp;M$86&amp;"'!"&amp;VLOOKUP(M$87,'List Values'!$C$3:$D$6,2,FALSE)&amp;ROW(M148))),IF(M$86&lt;&gt;"","Data Source Error",""))))</f>
        <v>20</v>
      </c>
      <c r="O148" s="187"/>
      <c r="P148" s="528"/>
      <c r="Q148" s="900" t="str">
        <f ca="1">IF(OR($H$7&lt;4,Q$133&lt;1),"",IF(P148&lt;&gt;"",P148,IFERROR(IF(INDIRECT("'"&amp;P$86&amp;"'!"&amp;VLOOKUP(P$87,'List Values'!$C$3:$D$6,2,FALSE)&amp;ROW(P148))="","",INDIRECT("'"&amp;P$86&amp;"'!"&amp;VLOOKUP(P$87,'List Values'!$C$3:$D$6,2,FALSE)&amp;ROW(P148))),IF(P$86&lt;&gt;"","Data Source Error",""))))</f>
        <v/>
      </c>
      <c r="S148" s="528"/>
      <c r="T148" s="900" t="str">
        <f ca="1">IF(OR($H$7&lt;5,T$133&lt;1),"",IF(S148&lt;&gt;"",S148,IFERROR(IF(INDIRECT("'"&amp;S$86&amp;"'!"&amp;VLOOKUP(S$87,'List Values'!$C$3:$D$6,2,FALSE)&amp;ROW(S148))="","",INDIRECT("'"&amp;S$86&amp;"'!"&amp;VLOOKUP(S$87,'List Values'!$C$3:$D$6,2,FALSE)&amp;ROW(S148))),IF(S$86&lt;&gt;"","Data Source Error",""))))</f>
        <v/>
      </c>
      <c r="V148" s="528"/>
      <c r="W148" s="911" t="str">
        <f ca="1">IF(OR($H$7&lt;6,W$133&lt;1),"",IF(V148&lt;&gt;"",V148,IFERROR(IF(INDIRECT("'"&amp;V$86&amp;"'!"&amp;VLOOKUP(V$87,'List Values'!$C$3:$D$6,2,FALSE)&amp;ROW(V148))="","",INDIRECT("'"&amp;V$86&amp;"'!"&amp;VLOOKUP(V$87,'List Values'!$C$3:$D$6,2,FALSE)&amp;ROW(V148))),IF(V$86&lt;&gt;"","Data Source Error",""))))</f>
        <v/>
      </c>
      <c r="Y148" s="2643"/>
      <c r="Z148" s="2644"/>
      <c r="AA148" s="2644"/>
      <c r="AB148" s="2645"/>
    </row>
    <row r="149" spans="1:28" ht="56.25" customHeight="1" outlineLevel="1">
      <c r="A149" s="252"/>
      <c r="B149" s="252"/>
      <c r="C149" s="2680" t="s">
        <v>5479</v>
      </c>
      <c r="D149" s="2680"/>
      <c r="E149" s="2062"/>
      <c r="F149" s="2062"/>
      <c r="G149" s="636"/>
      <c r="H149" s="637"/>
      <c r="I149" s="191"/>
      <c r="J149" s="580"/>
      <c r="K149" s="963">
        <f ca="1">IF(OR($H$7&lt;2,K$133&lt;1),"",IF(J149&lt;&gt;"",J149,IFERROR(IF(INDIRECT("'"&amp;J$86&amp;"'!"&amp;VLOOKUP(J$87,'List Values'!$C$3:$D$6,2,FALSE)&amp;ROW(J149))="","",INDIRECT("'"&amp;J$86&amp;"'!"&amp;VLOOKUP(J$87,'List Values'!$C$3:$D$6,2,FALSE)&amp;ROW(J149))),IF(J$86&lt;&gt;"","Data Source Error",""))))</f>
        <v>0</v>
      </c>
      <c r="L149" s="191"/>
      <c r="M149" s="580"/>
      <c r="N149" s="963">
        <f ca="1">IF(OR($H$7&lt;3,N$133&lt;1),"",IF(M149&lt;&gt;"",M149,IFERROR(IF(INDIRECT("'"&amp;M$86&amp;"'!"&amp;VLOOKUP(M$87,'List Values'!$C$3:$D$6,2,FALSE)&amp;ROW(M149))="","",INDIRECT("'"&amp;M$86&amp;"'!"&amp;VLOOKUP(M$87,'List Values'!$C$3:$D$6,2,FALSE)&amp;ROW(M149))),IF(M$86&lt;&gt;"","Data Source Error",""))))</f>
        <v>0</v>
      </c>
      <c r="O149" s="187"/>
      <c r="P149" s="528"/>
      <c r="Q149" s="900" t="str">
        <f ca="1">IF(OR($H$7&lt;4,Q$133&lt;1),"",IF(P149&lt;&gt;"",P149,IFERROR(IF(INDIRECT("'"&amp;P$86&amp;"'!"&amp;VLOOKUP(P$87,'List Values'!$C$3:$D$6,2,FALSE)&amp;ROW(P149))="","",INDIRECT("'"&amp;P$86&amp;"'!"&amp;VLOOKUP(P$87,'List Values'!$C$3:$D$6,2,FALSE)&amp;ROW(P149))),IF(P$86&lt;&gt;"","Data Source Error",""))))</f>
        <v/>
      </c>
      <c r="S149" s="528"/>
      <c r="T149" s="900" t="str">
        <f ca="1">IF(OR($H$7&lt;5,T$133&lt;1),"",IF(S149&lt;&gt;"",S149,IFERROR(IF(INDIRECT("'"&amp;S$86&amp;"'!"&amp;VLOOKUP(S$87,'List Values'!$C$3:$D$6,2,FALSE)&amp;ROW(S149))="","",INDIRECT("'"&amp;S$86&amp;"'!"&amp;VLOOKUP(S$87,'List Values'!$C$3:$D$6,2,FALSE)&amp;ROW(S149))),IF(S$86&lt;&gt;"","Data Source Error",""))))</f>
        <v/>
      </c>
      <c r="V149" s="528"/>
      <c r="W149" s="911" t="str">
        <f ca="1">IF(OR($H$7&lt;6,W$133&lt;1),"",IF(V149&lt;&gt;"",V149,IFERROR(IF(INDIRECT("'"&amp;V$86&amp;"'!"&amp;VLOOKUP(V$87,'List Values'!$C$3:$D$6,2,FALSE)&amp;ROW(V149))="","",INDIRECT("'"&amp;V$86&amp;"'!"&amp;VLOOKUP(V$87,'List Values'!$C$3:$D$6,2,FALSE)&amp;ROW(V149))),IF(V$86&lt;&gt;"","Data Source Error",""))))</f>
        <v/>
      </c>
      <c r="Y149" s="2643"/>
      <c r="Z149" s="2644"/>
      <c r="AA149" s="2644"/>
      <c r="AB149" s="2645"/>
    </row>
    <row r="150" spans="1:28" ht="51.75" customHeight="1" outlineLevel="1">
      <c r="A150" s="252"/>
      <c r="B150" s="252"/>
      <c r="C150" s="2680" t="s">
        <v>5480</v>
      </c>
      <c r="D150" s="2680"/>
      <c r="E150" s="2062"/>
      <c r="F150" s="2062"/>
      <c r="G150" s="636"/>
      <c r="H150" s="637"/>
      <c r="I150" s="191"/>
      <c r="J150" s="580"/>
      <c r="K150" s="963">
        <f ca="1">IF(OR($H$7&lt;2,K$133&lt;1),"",IF(J150&lt;&gt;"",J150,IFERROR(IF(INDIRECT("'"&amp;J$86&amp;"'!"&amp;VLOOKUP(J$87,'List Values'!$C$3:$D$6,2,FALSE)&amp;ROW(J150))="","",INDIRECT("'"&amp;J$86&amp;"'!"&amp;VLOOKUP(J$87,'List Values'!$C$3:$D$6,2,FALSE)&amp;ROW(J150))),IF(J$86&lt;&gt;"","Data Source Error",""))))</f>
        <v>0</v>
      </c>
      <c r="L150" s="191"/>
      <c r="M150" s="580"/>
      <c r="N150" s="963">
        <f ca="1">IF(OR($H$7&lt;3,N$133&lt;1),"",IF(M150&lt;&gt;"",M150,IFERROR(IF(INDIRECT("'"&amp;M$86&amp;"'!"&amp;VLOOKUP(M$87,'List Values'!$C$3:$D$6,2,FALSE)&amp;ROW(M150))="","",INDIRECT("'"&amp;M$86&amp;"'!"&amp;VLOOKUP(M$87,'List Values'!$C$3:$D$6,2,FALSE)&amp;ROW(M150))),IF(M$86&lt;&gt;"","Data Source Error",""))))</f>
        <v>0</v>
      </c>
      <c r="O150" s="187"/>
      <c r="P150" s="528"/>
      <c r="Q150" s="900" t="str">
        <f ca="1">IF(OR($H$7&lt;4,Q$133&lt;1),"",IF(P150&lt;&gt;"",P150,IFERROR(IF(INDIRECT("'"&amp;P$86&amp;"'!"&amp;VLOOKUP(P$87,'List Values'!$C$3:$D$6,2,FALSE)&amp;ROW(P150))="","",INDIRECT("'"&amp;P$86&amp;"'!"&amp;VLOOKUP(P$87,'List Values'!$C$3:$D$6,2,FALSE)&amp;ROW(P150))),IF(P$86&lt;&gt;"","Data Source Error",""))))</f>
        <v/>
      </c>
      <c r="S150" s="528"/>
      <c r="T150" s="900" t="str">
        <f ca="1">IF(OR($H$7&lt;5,T$133&lt;1),"",IF(S150&lt;&gt;"",S150,IFERROR(IF(INDIRECT("'"&amp;S$86&amp;"'!"&amp;VLOOKUP(S$87,'List Values'!$C$3:$D$6,2,FALSE)&amp;ROW(S150))="","",INDIRECT("'"&amp;S$86&amp;"'!"&amp;VLOOKUP(S$87,'List Values'!$C$3:$D$6,2,FALSE)&amp;ROW(S150))),IF(S$86&lt;&gt;"","Data Source Error",""))))</f>
        <v/>
      </c>
      <c r="V150" s="528"/>
      <c r="W150" s="911" t="str">
        <f ca="1">IF(OR($H$7&lt;6,W$133&lt;1),"",IF(V150&lt;&gt;"",V150,IFERROR(IF(INDIRECT("'"&amp;V$86&amp;"'!"&amp;VLOOKUP(V$87,'List Values'!$C$3:$D$6,2,FALSE)&amp;ROW(V150))="","",INDIRECT("'"&amp;V$86&amp;"'!"&amp;VLOOKUP(V$87,'List Values'!$C$3:$D$6,2,FALSE)&amp;ROW(V150))),IF(V$86&lt;&gt;"","Data Source Error",""))))</f>
        <v/>
      </c>
      <c r="Y150" s="2643"/>
      <c r="Z150" s="2644"/>
      <c r="AA150" s="2644"/>
      <c r="AB150" s="2645"/>
    </row>
    <row r="151" spans="1:28" ht="18.75" customHeight="1" outlineLevel="1">
      <c r="A151" s="252"/>
      <c r="B151" s="252"/>
      <c r="C151" s="2680" t="s">
        <v>648</v>
      </c>
      <c r="D151" s="2680"/>
      <c r="E151" s="2062"/>
      <c r="F151" s="2062"/>
      <c r="G151" s="636"/>
      <c r="H151" s="637"/>
      <c r="I151" s="191"/>
      <c r="J151" s="580"/>
      <c r="K151" s="963">
        <f ca="1">IF(OR($H$7&lt;2,K$133&lt;1),"",IF(J151&lt;&gt;"",J151,IFERROR(IF(INDIRECT("'"&amp;J$86&amp;"'!"&amp;VLOOKUP(J$87,'List Values'!$C$3:$D$6,2,FALSE)&amp;ROW(J151))="","",INDIRECT("'"&amp;J$86&amp;"'!"&amp;VLOOKUP(J$87,'List Values'!$C$3:$D$6,2,FALSE)&amp;ROW(J151))),IF(J$86&lt;&gt;"","Data Source Error",""))))</f>
        <v>100</v>
      </c>
      <c r="L151" s="191"/>
      <c r="M151" s="580"/>
      <c r="N151" s="963">
        <f ca="1">IF(OR($H$7&lt;3,N$133&lt;1),"",IF(M151&lt;&gt;"",M151,IFERROR(IF(INDIRECT("'"&amp;M$86&amp;"'!"&amp;VLOOKUP(M$87,'List Values'!$C$3:$D$6,2,FALSE)&amp;ROW(M151))="","",INDIRECT("'"&amp;M$86&amp;"'!"&amp;VLOOKUP(M$87,'List Values'!$C$3:$D$6,2,FALSE)&amp;ROW(M151))),IF(M$86&lt;&gt;"","Data Source Error",""))))</f>
        <v>25</v>
      </c>
      <c r="O151" s="187"/>
      <c r="P151" s="528"/>
      <c r="Q151" s="900" t="str">
        <f ca="1">IF(OR($H$7&lt;4,Q$133&lt;1),"",IF(P151&lt;&gt;"",P151,IFERROR(IF(INDIRECT("'"&amp;P$86&amp;"'!"&amp;VLOOKUP(P$87,'List Values'!$C$3:$D$6,2,FALSE)&amp;ROW(P151))="","",INDIRECT("'"&amp;P$86&amp;"'!"&amp;VLOOKUP(P$87,'List Values'!$C$3:$D$6,2,FALSE)&amp;ROW(P151))),IF(P$86&lt;&gt;"","Data Source Error",""))))</f>
        <v/>
      </c>
      <c r="S151" s="528"/>
      <c r="T151" s="900" t="str">
        <f ca="1">IF(OR($H$7&lt;5,T$133&lt;1),"",IF(S151&lt;&gt;"",S151,IFERROR(IF(INDIRECT("'"&amp;S$86&amp;"'!"&amp;VLOOKUP(S$87,'List Values'!$C$3:$D$6,2,FALSE)&amp;ROW(S151))="","",INDIRECT("'"&amp;S$86&amp;"'!"&amp;VLOOKUP(S$87,'List Values'!$C$3:$D$6,2,FALSE)&amp;ROW(S151))),IF(S$86&lt;&gt;"","Data Source Error",""))))</f>
        <v/>
      </c>
      <c r="V151" s="528"/>
      <c r="W151" s="911" t="str">
        <f ca="1">IF(OR($H$7&lt;6,W$133&lt;1),"",IF(V151&lt;&gt;"",V151,IFERROR(IF(INDIRECT("'"&amp;V$86&amp;"'!"&amp;VLOOKUP(V$87,'List Values'!$C$3:$D$6,2,FALSE)&amp;ROW(V151))="","",INDIRECT("'"&amp;V$86&amp;"'!"&amp;VLOOKUP(V$87,'List Values'!$C$3:$D$6,2,FALSE)&amp;ROW(V151))),IF(V$86&lt;&gt;"","Data Source Error",""))))</f>
        <v/>
      </c>
      <c r="Y151" s="2643"/>
      <c r="Z151" s="2644"/>
      <c r="AA151" s="2644"/>
      <c r="AB151" s="2645"/>
    </row>
    <row r="152" spans="1:28" ht="33.75" customHeight="1" outlineLevel="1" thickBot="1">
      <c r="A152" s="252"/>
      <c r="B152" s="252"/>
      <c r="C152" s="2680" t="s">
        <v>649</v>
      </c>
      <c r="D152" s="2680"/>
      <c r="E152" s="2062"/>
      <c r="F152" s="2062"/>
      <c r="G152" s="636"/>
      <c r="H152" s="637"/>
      <c r="I152" s="239"/>
      <c r="J152" s="624"/>
      <c r="K152" s="965">
        <f ca="1">IF(OR($H$7&lt;2,K$133&lt;1),"",IF(J152&lt;&gt;"",J152,IFERROR(IF(INDIRECT("'"&amp;J$86&amp;"'!"&amp;VLOOKUP(J$87,'List Values'!$C$3:$D$6,2,FALSE)&amp;ROW(J152))="","",INDIRECT("'"&amp;J$86&amp;"'!"&amp;VLOOKUP(J$87,'List Values'!$C$3:$D$6,2,FALSE)&amp;ROW(J152))),IF(J$86&lt;&gt;"","Data Source Error",""))))</f>
        <v>100</v>
      </c>
      <c r="L152" s="239"/>
      <c r="M152" s="624"/>
      <c r="N152" s="965">
        <f ca="1">IF(OR($H$7&lt;3,N$133&lt;1),"",IF(M152&lt;&gt;"",M152,IFERROR(IF(INDIRECT("'"&amp;M$86&amp;"'!"&amp;VLOOKUP(M$87,'List Values'!$C$3:$D$6,2,FALSE)&amp;ROW(M152))="","",INDIRECT("'"&amp;M$86&amp;"'!"&amp;VLOOKUP(M$87,'List Values'!$C$3:$D$6,2,FALSE)&amp;ROW(M152))),IF(M$86&lt;&gt;"","Data Source Error",""))))</f>
        <v>100</v>
      </c>
      <c r="O152" s="625"/>
      <c r="P152" s="528"/>
      <c r="Q152" s="900" t="str">
        <f ca="1">IF(OR($H$7&lt;4,Q$133&lt;1),"",IF(P152&lt;&gt;"",P152,IFERROR(IF(INDIRECT("'"&amp;P$86&amp;"'!"&amp;VLOOKUP(P$87,'List Values'!$C$3:$D$6,2,FALSE)&amp;ROW(P152))="","",INDIRECT("'"&amp;P$86&amp;"'!"&amp;VLOOKUP(P$87,'List Values'!$C$3:$D$6,2,FALSE)&amp;ROW(P152))),IF(P$86&lt;&gt;"","Data Source Error",""))))</f>
        <v/>
      </c>
      <c r="S152" s="528"/>
      <c r="T152" s="900" t="str">
        <f ca="1">IF(OR($H$7&lt;5,T$133&lt;1),"",IF(S152&lt;&gt;"",S152,IFERROR(IF(INDIRECT("'"&amp;S$86&amp;"'!"&amp;VLOOKUP(S$87,'List Values'!$C$3:$D$6,2,FALSE)&amp;ROW(S152))="","",INDIRECT("'"&amp;S$86&amp;"'!"&amp;VLOOKUP(S$87,'List Values'!$C$3:$D$6,2,FALSE)&amp;ROW(S152))),IF(S$86&lt;&gt;"","Data Source Error",""))))</f>
        <v/>
      </c>
      <c r="V152" s="528"/>
      <c r="W152" s="911" t="str">
        <f ca="1">IF(OR($H$7&lt;6,W$133&lt;1),"",IF(V152&lt;&gt;"",V152,IFERROR(IF(INDIRECT("'"&amp;V$86&amp;"'!"&amp;VLOOKUP(V$87,'List Values'!$C$3:$D$6,2,FALSE)&amp;ROW(V152))="","",INDIRECT("'"&amp;V$86&amp;"'!"&amp;VLOOKUP(V$87,'List Values'!$C$3:$D$6,2,FALSE)&amp;ROW(V152))),IF(V$86&lt;&gt;"","Data Source Error",""))))</f>
        <v/>
      </c>
      <c r="Y152" s="2643"/>
      <c r="Z152" s="2644"/>
      <c r="AA152" s="2644"/>
      <c r="AB152" s="2645"/>
    </row>
    <row r="153" spans="1:28" ht="33.75" customHeight="1" outlineLevel="1">
      <c r="A153" s="237"/>
      <c r="B153" s="252"/>
      <c r="C153" s="2680" t="s">
        <v>415</v>
      </c>
      <c r="D153" s="2680"/>
      <c r="E153" s="238"/>
      <c r="F153" s="238"/>
      <c r="G153" s="638"/>
      <c r="H153" s="639"/>
      <c r="I153" s="52"/>
      <c r="J153" s="583"/>
      <c r="K153" s="965" t="str">
        <f ca="1">IF(OR($H$7&lt;2,K$133&lt;1),"",IF(J153&lt;&gt;"",J153,IFERROR(IF(INDIRECT("'"&amp;J$86&amp;"'!"&amp;VLOOKUP(J$87,'List Values'!$C$3:$D$6,2,FALSE)&amp;ROW(J153))="","",INDIRECT("'"&amp;J$86&amp;"'!"&amp;VLOOKUP(J$87,'List Values'!$C$3:$D$6,2,FALSE)&amp;ROW(J153))),IF(J$86&lt;&gt;"","Data Source Error",""))))</f>
        <v>No</v>
      </c>
      <c r="L153" s="52"/>
      <c r="M153" s="583"/>
      <c r="N153" s="965" t="str">
        <f ca="1">IF(OR($H$7&lt;3,N$133&lt;1),"",IF(M153&lt;&gt;"",M153,IFERROR(IF(INDIRECT("'"&amp;M$86&amp;"'!"&amp;VLOOKUP(M$87,'List Values'!$C$3:$D$6,2,FALSE)&amp;ROW(M153))="","",INDIRECT("'"&amp;M$86&amp;"'!"&amp;VLOOKUP(M$87,'List Values'!$C$3:$D$6,2,FALSE)&amp;ROW(M153))),IF(M$86&lt;&gt;"","Data Source Error",""))))</f>
        <v>No</v>
      </c>
      <c r="P153" s="582"/>
      <c r="Q153" s="941" t="str">
        <f ca="1">IF(OR($H$7&lt;4,Q$133&lt;1),"",IF(P153&lt;&gt;"",P153,IFERROR(IF(INDIRECT("'"&amp;P$86&amp;"'!"&amp;VLOOKUP(P$87,'List Values'!$C$3:$D$6,2,FALSE)&amp;ROW(P153))="","",INDIRECT("'"&amp;P$86&amp;"'!"&amp;VLOOKUP(P$87,'List Values'!$C$3:$D$6,2,FALSE)&amp;ROW(P153))),IF(P$86&lt;&gt;"","Data Source Error",""))))</f>
        <v/>
      </c>
      <c r="S153" s="582"/>
      <c r="T153" s="972" t="str">
        <f ca="1">IF(OR($H$7&lt;5,T$133&lt;1),"",IF(S153&lt;&gt;"",S153,IFERROR(IF(INDIRECT("'"&amp;S$86&amp;"'!"&amp;VLOOKUP(S$87,'List Values'!$C$3:$D$6,2,FALSE)&amp;ROW(S153))="","",INDIRECT("'"&amp;S$86&amp;"'!"&amp;VLOOKUP(S$87,'List Values'!$C$3:$D$6,2,FALSE)&amp;ROW(S153))),IF(S$86&lt;&gt;"","Data Source Error",""))))</f>
        <v/>
      </c>
      <c r="V153" s="582"/>
      <c r="W153" s="976" t="str">
        <f ca="1">IF(OR($H$7&lt;6,W$133&lt;1),"",IF(V153&lt;&gt;"",V153,IFERROR(IF(INDIRECT("'"&amp;V$86&amp;"'!"&amp;VLOOKUP(V$87,'List Values'!$C$3:$D$6,2,FALSE)&amp;ROW(V153))="","",INDIRECT("'"&amp;V$86&amp;"'!"&amp;VLOOKUP(V$87,'List Values'!$C$3:$D$6,2,FALSE)&amp;ROW(V153))),IF(V$86&lt;&gt;"","Data Source Error",""))))</f>
        <v/>
      </c>
      <c r="Y153" s="2643"/>
      <c r="Z153" s="2644"/>
      <c r="AA153" s="2644"/>
      <c r="AB153" s="2645"/>
    </row>
    <row r="154" spans="1:28" ht="18.75" customHeight="1">
      <c r="A154" s="237"/>
      <c r="B154" s="612" t="s">
        <v>610</v>
      </c>
      <c r="C154" s="604"/>
      <c r="D154" s="604"/>
      <c r="E154" s="604"/>
      <c r="F154" s="604"/>
      <c r="G154" s="604"/>
      <c r="H154" s="604"/>
      <c r="I154" s="609"/>
      <c r="J154" s="605"/>
      <c r="K154" s="966"/>
      <c r="L154" s="609"/>
      <c r="M154" s="605"/>
      <c r="N154" s="961"/>
      <c r="O154" s="608"/>
      <c r="P154" s="610"/>
      <c r="Q154" s="970"/>
      <c r="R154" s="608"/>
      <c r="S154" s="610"/>
      <c r="T154" s="970"/>
      <c r="U154" s="608"/>
      <c r="V154" s="610"/>
      <c r="W154" s="970"/>
      <c r="Y154" s="631"/>
      <c r="Z154" s="631"/>
      <c r="AA154" s="631"/>
      <c r="AB154" s="631"/>
    </row>
    <row r="155" spans="1:28" ht="15.75" customHeight="1" outlineLevel="1">
      <c r="A155" s="252"/>
      <c r="B155" s="252"/>
      <c r="C155" s="2580" t="s">
        <v>731</v>
      </c>
      <c r="D155" s="2580"/>
      <c r="E155" s="202"/>
      <c r="F155" s="202"/>
      <c r="G155" s="634"/>
      <c r="H155" s="635"/>
      <c r="I155" s="183"/>
      <c r="J155" s="628"/>
      <c r="K155" s="967" t="str">
        <f ca="1">IF(OR($H$7&lt;2,K$133&lt;2),"",IF(J155&lt;&gt;"",J155,IFERROR(IF(INDIRECT("'"&amp;J$86&amp;"'!"&amp;VLOOKUP(J$87,'List Values'!$C$3:$D$6,2,FALSE)&amp;ROW(J155))="","",INDIRECT("'"&amp;J$86&amp;"'!"&amp;VLOOKUP(J$87,'List Values'!$C$3:$D$6,2,FALSE)&amp;ROW(J155))),IF(J$86&lt;&gt;"","Data Source Error",""))))</f>
        <v/>
      </c>
      <c r="L155" s="629"/>
      <c r="M155" s="628"/>
      <c r="N155" s="967" t="str">
        <f ca="1">IF(OR($H$7&lt;3,N$133&lt;2),"",IF(M155&lt;&gt;"",M155,IFERROR(IF(INDIRECT("'"&amp;M$86&amp;"'!"&amp;VLOOKUP(M$87,'List Values'!$C$3:$D$6,2,FALSE)&amp;ROW(M155))="","",INDIRECT("'"&amp;M$86&amp;"'!"&amp;VLOOKUP(M$87,'List Values'!$C$3:$D$6,2,FALSE)&amp;ROW(M155))),IF(M$86&lt;&gt;"","Data Source Error",""))))</f>
        <v/>
      </c>
      <c r="O155" s="629"/>
      <c r="P155" s="590"/>
      <c r="Q155" s="967" t="str">
        <f ca="1">IF(OR($H$7&lt;4,Q$133&lt;2),"",IF(P155&lt;&gt;"",P155,IFERROR(IF(INDIRECT("'"&amp;P$86&amp;"'!"&amp;VLOOKUP(P$87,'List Values'!$C$3:$D$6,2,FALSE)&amp;ROW(P155))="","",INDIRECT("'"&amp;P$86&amp;"'!"&amp;VLOOKUP(P$87,'List Values'!$C$3:$D$6,2,FALSE)&amp;ROW(P155))),IF(P$86&lt;&gt;"","Data Source Error",""))))</f>
        <v/>
      </c>
      <c r="R155" s="147"/>
      <c r="S155" s="590"/>
      <c r="T155" s="967" t="str">
        <f ca="1">IF(OR($H$7&lt;5,T$133&lt;2),"",IF(S155&lt;&gt;"",S155,IFERROR(IF(INDIRECT("'"&amp;S$86&amp;"'!"&amp;VLOOKUP(S$87,'List Values'!$C$3:$D$6,2,FALSE)&amp;ROW(S155))="","",INDIRECT("'"&amp;S$86&amp;"'!"&amp;VLOOKUP(S$87,'List Values'!$C$3:$D$6,2,FALSE)&amp;ROW(S155))),IF(S$86&lt;&gt;"","Data Source Error",""))))</f>
        <v/>
      </c>
      <c r="U155" s="147"/>
      <c r="V155" s="590"/>
      <c r="W155" s="973" t="str">
        <f ca="1">IF(OR($H$7&lt;6,W$133&lt;2),"",IF(V155&lt;&gt;"",V155,IFERROR(IF(INDIRECT("'"&amp;V$86&amp;"'!"&amp;VLOOKUP(V$87,'List Values'!$C$3:$D$6,2,FALSE)&amp;ROW(V155))="","",INDIRECT("'"&amp;V$86&amp;"'!"&amp;VLOOKUP(V$87,'List Values'!$C$3:$D$6,2,FALSE)&amp;ROW(V155))),IF(V$86&lt;&gt;"","Data Source Error",""))))</f>
        <v/>
      </c>
      <c r="Y155" s="2643"/>
      <c r="Z155" s="2644"/>
      <c r="AA155" s="2644"/>
      <c r="AB155" s="2645"/>
    </row>
    <row r="156" spans="1:28" ht="15.75" customHeight="1" outlineLevel="1">
      <c r="A156" s="252"/>
      <c r="B156" s="252"/>
      <c r="C156" s="2680" t="s">
        <v>626</v>
      </c>
      <c r="D156" s="2680"/>
      <c r="E156" s="2062"/>
      <c r="F156" s="2062"/>
      <c r="G156" s="636"/>
      <c r="H156" s="637"/>
      <c r="I156" s="187"/>
      <c r="J156" s="526"/>
      <c r="K156" s="900" t="str">
        <f ca="1">IF(OR($H$7&lt;2,K$133&lt;2),"",IF(J156&lt;&gt;"",J156,IFERROR(IF(INDIRECT("'"&amp;J$86&amp;"'!"&amp;VLOOKUP(J$87,'List Values'!$C$3:$D$6,2,FALSE)&amp;ROW(J156))="","",INDIRECT("'"&amp;J$86&amp;"'!"&amp;VLOOKUP(J$87,'List Values'!$C$3:$D$6,2,FALSE)&amp;ROW(J156))),IF(J$86&lt;&gt;"","Data Source Error",""))))</f>
        <v/>
      </c>
      <c r="L156" s="187"/>
      <c r="M156" s="526"/>
      <c r="N156" s="900" t="str">
        <f ca="1">IF(OR($H$7&lt;3,N$133&lt;2),"",IF(M156&lt;&gt;"",M156,IFERROR(IF(INDIRECT("'"&amp;M$86&amp;"'!"&amp;VLOOKUP(M$87,'List Values'!$C$3:$D$6,2,FALSE)&amp;ROW(M156))="","",INDIRECT("'"&amp;M$86&amp;"'!"&amp;VLOOKUP(M$87,'List Values'!$C$3:$D$6,2,FALSE)&amp;ROW(M156))),IF(M$86&lt;&gt;"","Data Source Error",""))))</f>
        <v/>
      </c>
      <c r="O156" s="187"/>
      <c r="P156" s="560"/>
      <c r="Q156" s="900" t="str">
        <f ca="1">IF(OR($H$7&lt;4,Q$133&lt;2),"",IF(P156&lt;&gt;"",P156,IFERROR(IF(INDIRECT("'"&amp;P$86&amp;"'!"&amp;VLOOKUP(P$87,'List Values'!$C$3:$D$6,2,FALSE)&amp;ROW(P156))="","",INDIRECT("'"&amp;P$86&amp;"'!"&amp;VLOOKUP(P$87,'List Values'!$C$3:$D$6,2,FALSE)&amp;ROW(P156))),IF(P$86&lt;&gt;"","Data Source Error",""))))</f>
        <v/>
      </c>
      <c r="S156" s="560"/>
      <c r="T156" s="900" t="str">
        <f ca="1">IF(OR($H$7&lt;5,T$133&lt;2),"",IF(S156&lt;&gt;"",S156,IFERROR(IF(INDIRECT("'"&amp;S$86&amp;"'!"&amp;VLOOKUP(S$87,'List Values'!$C$3:$D$6,2,FALSE)&amp;ROW(S156))="","",INDIRECT("'"&amp;S$86&amp;"'!"&amp;VLOOKUP(S$87,'List Values'!$C$3:$D$6,2,FALSE)&amp;ROW(S156))),IF(S$86&lt;&gt;"","Data Source Error",""))))</f>
        <v/>
      </c>
      <c r="V156" s="560"/>
      <c r="W156" s="911" t="str">
        <f ca="1">IF(OR($H$7&lt;6,W$133&lt;2),"",IF(V156&lt;&gt;"",V156,IFERROR(IF(INDIRECT("'"&amp;V$86&amp;"'!"&amp;VLOOKUP(V$87,'List Values'!$C$3:$D$6,2,FALSE)&amp;ROW(V156))="","",INDIRECT("'"&amp;V$86&amp;"'!"&amp;VLOOKUP(V$87,'List Values'!$C$3:$D$6,2,FALSE)&amp;ROW(V156))),IF(V$86&lt;&gt;"","Data Source Error",""))))</f>
        <v/>
      </c>
      <c r="Y156" s="2643"/>
      <c r="Z156" s="2644"/>
      <c r="AA156" s="2644"/>
      <c r="AB156" s="2645"/>
    </row>
    <row r="157" spans="1:28" ht="31.5" customHeight="1" outlineLevel="1">
      <c r="A157" s="252"/>
      <c r="B157" s="252"/>
      <c r="C157" s="2680" t="s">
        <v>2520</v>
      </c>
      <c r="D157" s="2680"/>
      <c r="E157" s="2062"/>
      <c r="F157" s="2062"/>
      <c r="G157" s="636"/>
      <c r="H157" s="637"/>
      <c r="I157" s="183"/>
      <c r="J157" s="561"/>
      <c r="K157" s="897" t="str">
        <f ca="1">IF(OR($H$7&lt;2,K$133&lt;2),"",IF(J157&lt;&gt;"",J157,IFERROR(IF(INDIRECT("'"&amp;J$86&amp;"'!"&amp;VLOOKUP(J$87,'List Values'!$C$3:$D$6,2,FALSE)&amp;ROW(J157))="","",INDIRECT("'"&amp;J$86&amp;"'!"&amp;VLOOKUP(J$87,'List Values'!$C$3:$D$6,2,FALSE)&amp;ROW(J157))),IF(J$86&lt;&gt;"","Data Source Error",""))))</f>
        <v/>
      </c>
      <c r="L157" s="183"/>
      <c r="M157" s="561"/>
      <c r="N157" s="897" t="str">
        <f ca="1">IF(OR($H$7&lt;3,N$133&lt;2),"",IF(M157&lt;&gt;"",M157,IFERROR(IF(INDIRECT("'"&amp;M$86&amp;"'!"&amp;VLOOKUP(M$87,'List Values'!$C$3:$D$6,2,FALSE)&amp;ROW(M157))="","",INDIRECT("'"&amp;M$86&amp;"'!"&amp;VLOOKUP(M$87,'List Values'!$C$3:$D$6,2,FALSE)&amp;ROW(M157))),IF(M$86&lt;&gt;"","Data Source Error",""))))</f>
        <v/>
      </c>
      <c r="O157" s="183"/>
      <c r="P157" s="558"/>
      <c r="Q157" s="897" t="str">
        <f ca="1">IF(OR($H$7&lt;4,Q$133&lt;2),"",IF(P157&lt;&gt;"",P157,IFERROR(IF(INDIRECT("'"&amp;P$86&amp;"'!"&amp;VLOOKUP(P$87,'List Values'!$C$3:$D$6,2,FALSE)&amp;ROW(P157))="","",INDIRECT("'"&amp;P$86&amp;"'!"&amp;VLOOKUP(P$87,'List Values'!$C$3:$D$6,2,FALSE)&amp;ROW(P157))),IF(P$86&lt;&gt;"","Data Source Error",""))))</f>
        <v/>
      </c>
      <c r="S157" s="558"/>
      <c r="T157" s="897" t="str">
        <f ca="1">IF(OR($H$7&lt;5,T$133&lt;2),"",IF(S157&lt;&gt;"",S157,IFERROR(IF(INDIRECT("'"&amp;S$86&amp;"'!"&amp;VLOOKUP(S$87,'List Values'!$C$3:$D$6,2,FALSE)&amp;ROW(S157))="","",INDIRECT("'"&amp;S$86&amp;"'!"&amp;VLOOKUP(S$87,'List Values'!$C$3:$D$6,2,FALSE)&amp;ROW(S157))),IF(S$86&lt;&gt;"","Data Source Error",""))))</f>
        <v/>
      </c>
      <c r="V157" s="558"/>
      <c r="W157" s="908" t="str">
        <f ca="1">IF(OR($H$7&lt;6,W$133&lt;2),"",IF(V157&lt;&gt;"",V157,IFERROR(IF(INDIRECT("'"&amp;V$86&amp;"'!"&amp;VLOOKUP(V$87,'List Values'!$C$3:$D$6,2,FALSE)&amp;ROW(V157))="","",INDIRECT("'"&amp;V$86&amp;"'!"&amp;VLOOKUP(V$87,'List Values'!$C$3:$D$6,2,FALSE)&amp;ROW(V157))),IF(V$86&lt;&gt;"","Data Source Error",""))))</f>
        <v/>
      </c>
      <c r="Y157" s="2643"/>
      <c r="Z157" s="2644"/>
      <c r="AA157" s="2644"/>
      <c r="AB157" s="2645"/>
    </row>
    <row r="158" spans="1:28" ht="31.5" customHeight="1" outlineLevel="1">
      <c r="A158" s="252"/>
      <c r="B158" s="252"/>
      <c r="C158" s="2684" t="s">
        <v>726</v>
      </c>
      <c r="D158" s="2684"/>
      <c r="E158" s="2062"/>
      <c r="F158" s="2062"/>
      <c r="G158" s="636"/>
      <c r="H158" s="637"/>
      <c r="I158" s="187"/>
      <c r="J158" s="526"/>
      <c r="K158" s="900" t="str">
        <f ca="1">IF(OR($H$7&lt;2,K$133&lt;2),"",IF(J158&lt;&gt;"",J158,IFERROR(IF(INDIRECT("'"&amp;J$86&amp;"'!"&amp;VLOOKUP(J$87,'List Values'!$C$3:$D$6,2,FALSE)&amp;ROW(J158))="","",INDIRECT("'"&amp;J$86&amp;"'!"&amp;VLOOKUP(J$87,'List Values'!$C$3:$D$6,2,FALSE)&amp;ROW(J158))),IF(J$86&lt;&gt;"","Data Source Error",""))))</f>
        <v/>
      </c>
      <c r="L158" s="187"/>
      <c r="M158" s="526"/>
      <c r="N158" s="900" t="str">
        <f ca="1">IF(OR($H$7&lt;3,N$133&lt;2),"",IF(M158&lt;&gt;"",M158,IFERROR(IF(INDIRECT("'"&amp;M$86&amp;"'!"&amp;VLOOKUP(M$87,'List Values'!$C$3:$D$6,2,FALSE)&amp;ROW(M158))="","",INDIRECT("'"&amp;M$86&amp;"'!"&amp;VLOOKUP(M$87,'List Values'!$C$3:$D$6,2,FALSE)&amp;ROW(M158))),IF(M$86&lt;&gt;"","Data Source Error",""))))</f>
        <v/>
      </c>
      <c r="O158" s="187"/>
      <c r="P158" s="560"/>
      <c r="Q158" s="900" t="str">
        <f ca="1">IF(OR($H$7&lt;4,Q$133&lt;2),"",IF(P158&lt;&gt;"",P158,IFERROR(IF(INDIRECT("'"&amp;P$86&amp;"'!"&amp;VLOOKUP(P$87,'List Values'!$C$3:$D$6,2,FALSE)&amp;ROW(P158))="","",INDIRECT("'"&amp;P$86&amp;"'!"&amp;VLOOKUP(P$87,'List Values'!$C$3:$D$6,2,FALSE)&amp;ROW(P158))),IF(P$86&lt;&gt;"","Data Source Error",""))))</f>
        <v/>
      </c>
      <c r="S158" s="560"/>
      <c r="T158" s="900" t="str">
        <f ca="1">IF(OR($H$7&lt;5,T$133&lt;2),"",IF(S158&lt;&gt;"",S158,IFERROR(IF(INDIRECT("'"&amp;S$86&amp;"'!"&amp;VLOOKUP(S$87,'List Values'!$C$3:$D$6,2,FALSE)&amp;ROW(S158))="","",INDIRECT("'"&amp;S$86&amp;"'!"&amp;VLOOKUP(S$87,'List Values'!$C$3:$D$6,2,FALSE)&amp;ROW(S158))),IF(S$86&lt;&gt;"","Data Source Error",""))))</f>
        <v/>
      </c>
      <c r="V158" s="560"/>
      <c r="W158" s="911" t="str">
        <f ca="1">IF(OR($H$7&lt;6,W$133&lt;2),"",IF(V158&lt;&gt;"",V158,IFERROR(IF(INDIRECT("'"&amp;V$86&amp;"'!"&amp;VLOOKUP(V$87,'List Values'!$C$3:$D$6,2,FALSE)&amp;ROW(V158))="","",INDIRECT("'"&amp;V$86&amp;"'!"&amp;VLOOKUP(V$87,'List Values'!$C$3:$D$6,2,FALSE)&amp;ROW(V158))),IF(V$86&lt;&gt;"","Data Source Error",""))))</f>
        <v/>
      </c>
      <c r="Y158" s="2643"/>
      <c r="Z158" s="2644"/>
      <c r="AA158" s="2644"/>
      <c r="AB158" s="2645"/>
    </row>
    <row r="159" spans="1:28" ht="31.5" customHeight="1" outlineLevel="1">
      <c r="A159" s="252"/>
      <c r="B159" s="252"/>
      <c r="C159" s="2684" t="s">
        <v>727</v>
      </c>
      <c r="D159" s="2684"/>
      <c r="E159" s="2062"/>
      <c r="F159" s="2062"/>
      <c r="G159" s="636"/>
      <c r="H159" s="637"/>
      <c r="I159" s="187"/>
      <c r="J159" s="568"/>
      <c r="K159" s="945" t="str">
        <f ca="1">IF(OR($H$7&lt;2,K$133&lt;2),"",IF(J159&lt;&gt;"",J159,IFERROR(IF(INDIRECT("'"&amp;J$86&amp;"'!"&amp;VLOOKUP(J$87,'List Values'!$C$3:$D$6,2,FALSE)&amp;ROW(J159))="","",INDIRECT("'"&amp;J$86&amp;"'!"&amp;VLOOKUP(J$87,'List Values'!$C$3:$D$6,2,FALSE)&amp;ROW(J159))*$H$6),IF(J$86&lt;&gt;"","Data Source Error",""))))</f>
        <v/>
      </c>
      <c r="L159" s="339"/>
      <c r="M159" s="568"/>
      <c r="N159" s="945" t="str">
        <f ca="1">IF(OR($H$7&lt;3,N$133&lt;2),"",IF(M159&lt;&gt;"",M159,IFERROR(IF(INDIRECT("'"&amp;M$86&amp;"'!"&amp;VLOOKUP(M$87,'List Values'!$C$3:$D$6,2,FALSE)&amp;ROW(M159))="","",INDIRECT("'"&amp;M$86&amp;"'!"&amp;VLOOKUP(M$87,'List Values'!$C$3:$D$6,2,FALSE)&amp;ROW(M159))*$H$6),IF(M$86&lt;&gt;"","Data Source Error",""))))</f>
        <v/>
      </c>
      <c r="O159" s="339"/>
      <c r="P159" s="623"/>
      <c r="Q159" s="945" t="str">
        <f ca="1">IF(OR($H$7&lt;4,Q$133&lt;2),"",IF(P159&lt;&gt;"",P159,IFERROR(IF(INDIRECT("'"&amp;P$86&amp;"'!"&amp;VLOOKUP(P$87,'List Values'!$C$3:$D$6,2,FALSE)&amp;ROW(P159))="","",INDIRECT("'"&amp;P$86&amp;"'!"&amp;VLOOKUP(P$87,'List Values'!$C$3:$D$6,2,FALSE)&amp;ROW(P159))*$H$6),IF(P$86&lt;&gt;"","Data Source Error",""))))</f>
        <v/>
      </c>
      <c r="R159" s="7"/>
      <c r="S159" s="623"/>
      <c r="T159" s="945" t="str">
        <f ca="1">IF(OR($H$7&lt;5,T$133&lt;2),"",IF(S159&lt;&gt;"",S159,IFERROR(IF(INDIRECT("'"&amp;S$86&amp;"'!"&amp;VLOOKUP(S$87,'List Values'!$C$3:$D$6,2,FALSE)&amp;ROW(S159))="","",INDIRECT("'"&amp;S$86&amp;"'!"&amp;VLOOKUP(S$87,'List Values'!$C$3:$D$6,2,FALSE)&amp;ROW(S159))*$H$6),IF(S$86&lt;&gt;"","Data Source Error",""))))</f>
        <v/>
      </c>
      <c r="U159" s="7"/>
      <c r="V159" s="623"/>
      <c r="W159" s="952" t="str">
        <f ca="1">IF(OR($H$7&lt;6,W$133&lt;2),"",IF(V159&lt;&gt;"",V159,IFERROR(IF(INDIRECT("'"&amp;V$86&amp;"'!"&amp;VLOOKUP(V$87,'List Values'!$C$3:$D$6,2,FALSE)&amp;ROW(V159))="","",INDIRECT("'"&amp;V$86&amp;"'!"&amp;VLOOKUP(V$87,'List Values'!$C$3:$D$6,2,FALSE)&amp;ROW(V159))*$H$6),IF(V$86&lt;&gt;"","Data Source Error",""))))</f>
        <v/>
      </c>
      <c r="Y159" s="2643"/>
      <c r="Z159" s="2644"/>
      <c r="AA159" s="2644"/>
      <c r="AB159" s="2645"/>
    </row>
    <row r="160" spans="1:28" ht="15.75" customHeight="1" outlineLevel="1">
      <c r="A160" s="252"/>
      <c r="B160" s="252"/>
      <c r="C160" s="2680" t="s">
        <v>732</v>
      </c>
      <c r="D160" s="2680"/>
      <c r="E160" s="2062"/>
      <c r="F160" s="2062"/>
      <c r="G160" s="636"/>
      <c r="H160" s="637"/>
      <c r="I160" s="187"/>
      <c r="J160" s="526"/>
      <c r="K160" s="900" t="str">
        <f ca="1">IF(OR($H$7&lt;2,K$133&lt;2),"",IF(J160&lt;&gt;"",J160,IFERROR(IF(INDIRECT("'"&amp;J$86&amp;"'!"&amp;VLOOKUP(J$87,'List Values'!$C$3:$D$6,2,FALSE)&amp;ROW(J160))="","",INDIRECT("'"&amp;J$86&amp;"'!"&amp;VLOOKUP(J$87,'List Values'!$C$3:$D$6,2,FALSE)&amp;ROW(J160))),IF(J$86&lt;&gt;"","Data Source Error",""))))</f>
        <v/>
      </c>
      <c r="L160" s="187"/>
      <c r="M160" s="526"/>
      <c r="N160" s="900" t="str">
        <f ca="1">IF(OR($H$7&lt;3,N$133&lt;2),"",IF(M160&lt;&gt;"",M160,IFERROR(IF(INDIRECT("'"&amp;M$86&amp;"'!"&amp;VLOOKUP(M$87,'List Values'!$C$3:$D$6,2,FALSE)&amp;ROW(M160))="","",INDIRECT("'"&amp;M$86&amp;"'!"&amp;VLOOKUP(M$87,'List Values'!$C$3:$D$6,2,FALSE)&amp;ROW(M160))),IF(M$86&lt;&gt;"","Data Source Error",""))))</f>
        <v/>
      </c>
      <c r="O160" s="187"/>
      <c r="P160" s="560"/>
      <c r="Q160" s="900" t="str">
        <f ca="1">IF(OR($H$7&lt;4,Q$133&lt;2),"",IF(P160&lt;&gt;"",P160,IFERROR(IF(INDIRECT("'"&amp;P$86&amp;"'!"&amp;VLOOKUP(P$87,'List Values'!$C$3:$D$6,2,FALSE)&amp;ROW(P160))="","",INDIRECT("'"&amp;P$86&amp;"'!"&amp;VLOOKUP(P$87,'List Values'!$C$3:$D$6,2,FALSE)&amp;ROW(P160))),IF(P$86&lt;&gt;"","Data Source Error",""))))</f>
        <v/>
      </c>
      <c r="S160" s="560"/>
      <c r="T160" s="900" t="str">
        <f ca="1">IF(OR($H$7&lt;5,T$133&lt;2),"",IF(S160&lt;&gt;"",S160,IFERROR(IF(INDIRECT("'"&amp;S$86&amp;"'!"&amp;VLOOKUP(S$87,'List Values'!$C$3:$D$6,2,FALSE)&amp;ROW(S160))="","",INDIRECT("'"&amp;S$86&amp;"'!"&amp;VLOOKUP(S$87,'List Values'!$C$3:$D$6,2,FALSE)&amp;ROW(S160))),IF(S$86&lt;&gt;"","Data Source Error",""))))</f>
        <v/>
      </c>
      <c r="V160" s="560"/>
      <c r="W160" s="911" t="str">
        <f ca="1">IF(OR($H$7&lt;6,W$133&lt;2),"",IF(V160&lt;&gt;"",V160,IFERROR(IF(INDIRECT("'"&amp;V$86&amp;"'!"&amp;VLOOKUP(V$87,'List Values'!$C$3:$D$6,2,FALSE)&amp;ROW(V160))="","",INDIRECT("'"&amp;V$86&amp;"'!"&amp;VLOOKUP(V$87,'List Values'!$C$3:$D$6,2,FALSE)&amp;ROW(V160))),IF(V$86&lt;&gt;"","Data Source Error",""))))</f>
        <v/>
      </c>
      <c r="Y160" s="2643"/>
      <c r="Z160" s="2644"/>
      <c r="AA160" s="2644"/>
      <c r="AB160" s="2645"/>
    </row>
    <row r="161" spans="1:28" ht="31.5" customHeight="1" outlineLevel="1">
      <c r="A161" s="252"/>
      <c r="B161" s="252"/>
      <c r="C161" s="2680" t="s">
        <v>2521</v>
      </c>
      <c r="D161" s="2680"/>
      <c r="E161" s="2062"/>
      <c r="F161" s="2062"/>
      <c r="G161" s="636"/>
      <c r="H161" s="637"/>
      <c r="I161" s="187"/>
      <c r="J161" s="619"/>
      <c r="K161" s="898" t="str">
        <f ca="1">IF(OR($H$7&lt;2,K$133&lt;2),"",IF(J161&lt;&gt;"",J161,IFERROR(IF(INDIRECT("'"&amp;J$86&amp;"'!"&amp;VLOOKUP(J$87,'List Values'!$C$3:$D$6,2,FALSE)&amp;ROW(J161))="","",INDIRECT("'"&amp;J$86&amp;"'!"&amp;VLOOKUP(J$87,'List Values'!$C$3:$D$6,2,FALSE)&amp;ROW(J161))),IF(J$86&lt;&gt;"","Data Source Error",""))))</f>
        <v/>
      </c>
      <c r="L161" s="621"/>
      <c r="M161" s="619"/>
      <c r="N161" s="898" t="str">
        <f ca="1">IF(OR($H$7&lt;3,N$133&lt;2),"",IF(M161&lt;&gt;"",M161,IFERROR(IF(INDIRECT("'"&amp;M$86&amp;"'!"&amp;VLOOKUP(M$87,'List Values'!$C$3:$D$6,2,FALSE)&amp;ROW(M161))="","",INDIRECT("'"&amp;M$86&amp;"'!"&amp;VLOOKUP(M$87,'List Values'!$C$3:$D$6,2,FALSE)&amp;ROW(M161))),IF(M$86&lt;&gt;"","Data Source Error",""))))</f>
        <v/>
      </c>
      <c r="O161" s="621"/>
      <c r="P161" s="619"/>
      <c r="Q161" s="898" t="str">
        <f ca="1">IF(OR($H$7&lt;4,Q$133&lt;2),"",IF(P161&lt;&gt;"",P161,IFERROR(IF(INDIRECT("'"&amp;P$86&amp;"'!"&amp;VLOOKUP(P$87,'List Values'!$C$3:$D$6,2,FALSE)&amp;ROW(P161))="","",INDIRECT("'"&amp;P$86&amp;"'!"&amp;VLOOKUP(P$87,'List Values'!$C$3:$D$6,2,FALSE)&amp;ROW(P161))),IF(P$86&lt;&gt;"","Data Source Error",""))))</f>
        <v/>
      </c>
      <c r="R161" s="147"/>
      <c r="S161" s="619"/>
      <c r="T161" s="898" t="str">
        <f ca="1">IF(OR($H$7&lt;5,T$133&lt;2),"",IF(S161&lt;&gt;"",S161,IFERROR(IF(INDIRECT("'"&amp;S$86&amp;"'!"&amp;VLOOKUP(S$87,'List Values'!$C$3:$D$6,2,FALSE)&amp;ROW(S161))="","",INDIRECT("'"&amp;S$86&amp;"'!"&amp;VLOOKUP(S$87,'List Values'!$C$3:$D$6,2,FALSE)&amp;ROW(S161))),IF(S$86&lt;&gt;"","Data Source Error",""))))</f>
        <v/>
      </c>
      <c r="U161" s="147"/>
      <c r="V161" s="619"/>
      <c r="W161" s="909" t="str">
        <f ca="1">IF(OR($H$7&lt;6,W$133&lt;2),"",IF(V161&lt;&gt;"",V161,IFERROR(IF(INDIRECT("'"&amp;V$86&amp;"'!"&amp;VLOOKUP(V$87,'List Values'!$C$3:$D$6,2,FALSE)&amp;ROW(V161))="","",INDIRECT("'"&amp;V$86&amp;"'!"&amp;VLOOKUP(V$87,'List Values'!$C$3:$D$6,2,FALSE)&amp;ROW(V161))),IF(V$86&lt;&gt;"","Data Source Error",""))))</f>
        <v/>
      </c>
      <c r="Y161" s="2643"/>
      <c r="Z161" s="2644"/>
      <c r="AA161" s="2644"/>
      <c r="AB161" s="2645"/>
    </row>
    <row r="162" spans="1:28" ht="31.5" customHeight="1" outlineLevel="1">
      <c r="A162" s="252"/>
      <c r="B162" s="252"/>
      <c r="C162" s="2680" t="s">
        <v>2522</v>
      </c>
      <c r="D162" s="2680"/>
      <c r="E162" s="2062"/>
      <c r="F162" s="2062"/>
      <c r="G162" s="636"/>
      <c r="H162" s="637"/>
      <c r="I162" s="187"/>
      <c r="J162" s="619"/>
      <c r="K162" s="898" t="str">
        <f ca="1">IF(OR($H$7&lt;2,K$133&lt;2),"",IF(J162&lt;&gt;"",J162,IFERROR(IF(INDIRECT("'"&amp;J$86&amp;"'!"&amp;VLOOKUP(J$87,'List Values'!$C$3:$D$6,2,FALSE)&amp;ROW(J162))="","",INDIRECT("'"&amp;J$86&amp;"'!"&amp;VLOOKUP(J$87,'List Values'!$C$3:$D$6,2,FALSE)&amp;ROW(J162))),IF(J$86&lt;&gt;"","Data Source Error",""))))</f>
        <v/>
      </c>
      <c r="L162" s="621"/>
      <c r="M162" s="619"/>
      <c r="N162" s="898" t="str">
        <f ca="1">IF(OR($H$7&lt;3,N$133&lt;2),"",IF(M162&lt;&gt;"",M162,IFERROR(IF(INDIRECT("'"&amp;M$86&amp;"'!"&amp;VLOOKUP(M$87,'List Values'!$C$3:$D$6,2,FALSE)&amp;ROW(M162))="","",INDIRECT("'"&amp;M$86&amp;"'!"&amp;VLOOKUP(M$87,'List Values'!$C$3:$D$6,2,FALSE)&amp;ROW(M162))),IF(M$86&lt;&gt;"","Data Source Error",""))))</f>
        <v/>
      </c>
      <c r="O162" s="621"/>
      <c r="P162" s="619"/>
      <c r="Q162" s="898" t="str">
        <f ca="1">IF(OR($H$7&lt;4,Q$133&lt;2),"",IF(P162&lt;&gt;"",P162,IFERROR(IF(INDIRECT("'"&amp;P$86&amp;"'!"&amp;VLOOKUP(P$87,'List Values'!$C$3:$D$6,2,FALSE)&amp;ROW(P162))="","",INDIRECT("'"&amp;P$86&amp;"'!"&amp;VLOOKUP(P$87,'List Values'!$C$3:$D$6,2,FALSE)&amp;ROW(P162))),IF(P$86&lt;&gt;"","Data Source Error",""))))</f>
        <v/>
      </c>
      <c r="R162" s="147"/>
      <c r="S162" s="619"/>
      <c r="T162" s="898" t="str">
        <f ca="1">IF(OR($H$7&lt;5,T$133&lt;2),"",IF(S162&lt;&gt;"",S162,IFERROR(IF(INDIRECT("'"&amp;S$86&amp;"'!"&amp;VLOOKUP(S$87,'List Values'!$C$3:$D$6,2,FALSE)&amp;ROW(S162))="","",INDIRECT("'"&amp;S$86&amp;"'!"&amp;VLOOKUP(S$87,'List Values'!$C$3:$D$6,2,FALSE)&amp;ROW(S162))),IF(S$86&lt;&gt;"","Data Source Error",""))))</f>
        <v/>
      </c>
      <c r="U162" s="147"/>
      <c r="V162" s="619"/>
      <c r="W162" s="909" t="str">
        <f ca="1">IF(OR($H$7&lt;6,W$133&lt;2),"",IF(V162&lt;&gt;"",V162,IFERROR(IF(INDIRECT("'"&amp;V$86&amp;"'!"&amp;VLOOKUP(V$87,'List Values'!$C$3:$D$6,2,FALSE)&amp;ROW(V162))="","",INDIRECT("'"&amp;V$86&amp;"'!"&amp;VLOOKUP(V$87,'List Values'!$C$3:$D$6,2,FALSE)&amp;ROW(V162))),IF(V$86&lt;&gt;"","Data Source Error",""))))</f>
        <v/>
      </c>
      <c r="Y162" s="2643"/>
      <c r="Z162" s="2644"/>
      <c r="AA162" s="2644"/>
      <c r="AB162" s="2645"/>
    </row>
    <row r="163" spans="1:28" ht="31.5" customHeight="1" outlineLevel="1">
      <c r="A163" s="252"/>
      <c r="B163" s="252"/>
      <c r="C163" s="2680" t="s">
        <v>253</v>
      </c>
      <c r="D163" s="2680"/>
      <c r="E163" s="2062"/>
      <c r="F163" s="2062"/>
      <c r="G163" s="636"/>
      <c r="H163" s="637"/>
      <c r="I163" s="187"/>
      <c r="J163" s="526"/>
      <c r="K163" s="900" t="str">
        <f ca="1">IF(OR($H$7&lt;2,K$133&lt;2),"",IF(J163&lt;&gt;"",J163,IFERROR(IF(INDIRECT("'"&amp;J$86&amp;"'!"&amp;VLOOKUP(J$87,'List Values'!$C$3:$D$6,2,FALSE)&amp;ROW(J163))="","",INDIRECT("'"&amp;J$86&amp;"'!"&amp;VLOOKUP(J$87,'List Values'!$C$3:$D$6,2,FALSE)&amp;ROW(J163))),IF(J$86&lt;&gt;"","Data Source Error",""))))</f>
        <v/>
      </c>
      <c r="L163" s="187"/>
      <c r="M163" s="526"/>
      <c r="N163" s="900" t="str">
        <f ca="1">IF(OR($H$7&lt;3,N$133&lt;2),"",IF(M163&lt;&gt;"",M163,IFERROR(IF(INDIRECT("'"&amp;M$86&amp;"'!"&amp;VLOOKUP(M$87,'List Values'!$C$3:$D$6,2,FALSE)&amp;ROW(M163))="","",INDIRECT("'"&amp;M$86&amp;"'!"&amp;VLOOKUP(M$87,'List Values'!$C$3:$D$6,2,FALSE)&amp;ROW(M163))),IF(M$86&lt;&gt;"","Data Source Error",""))))</f>
        <v/>
      </c>
      <c r="O163" s="187"/>
      <c r="P163" s="523"/>
      <c r="Q163" s="900" t="str">
        <f ca="1">IF(OR($H$7&lt;4,Q$133&lt;2),"",IF(P163&lt;&gt;"",P163,IFERROR(IF(INDIRECT("'"&amp;P$86&amp;"'!"&amp;VLOOKUP(P$87,'List Values'!$C$3:$D$6,2,FALSE)&amp;ROW(P163))="","",INDIRECT("'"&amp;P$86&amp;"'!"&amp;VLOOKUP(P$87,'List Values'!$C$3:$D$6,2,FALSE)&amp;ROW(P163))),IF(P$86&lt;&gt;"","Data Source Error",""))))</f>
        <v/>
      </c>
      <c r="S163" s="523"/>
      <c r="T163" s="900" t="str">
        <f ca="1">IF(OR($H$7&lt;5,T$133&lt;2),"",IF(S163&lt;&gt;"",S163,IFERROR(IF(INDIRECT("'"&amp;S$86&amp;"'!"&amp;VLOOKUP(S$87,'List Values'!$C$3:$D$6,2,FALSE)&amp;ROW(S163))="","",INDIRECT("'"&amp;S$86&amp;"'!"&amp;VLOOKUP(S$87,'List Values'!$C$3:$D$6,2,FALSE)&amp;ROW(S163))),IF(S$86&lt;&gt;"","Data Source Error",""))))</f>
        <v/>
      </c>
      <c r="V163" s="523"/>
      <c r="W163" s="911" t="str">
        <f ca="1">IF(OR($H$7&lt;6,W$133&lt;2),"",IF(V163&lt;&gt;"",V163,IFERROR(IF(INDIRECT("'"&amp;V$86&amp;"'!"&amp;VLOOKUP(V$87,'List Values'!$C$3:$D$6,2,FALSE)&amp;ROW(V163))="","",INDIRECT("'"&amp;V$86&amp;"'!"&amp;VLOOKUP(V$87,'List Values'!$C$3:$D$6,2,FALSE)&amp;ROW(V163))),IF(V$86&lt;&gt;"","Data Source Error",""))))</f>
        <v/>
      </c>
      <c r="Y163" s="2643"/>
      <c r="Z163" s="2644"/>
      <c r="AA163" s="2644"/>
      <c r="AB163" s="2645"/>
    </row>
    <row r="164" spans="1:28" ht="15.75" customHeight="1" outlineLevel="1">
      <c r="A164" s="252"/>
      <c r="B164" s="252"/>
      <c r="C164" s="2684" t="s">
        <v>244</v>
      </c>
      <c r="D164" s="2684"/>
      <c r="E164" s="2062"/>
      <c r="F164" s="2062"/>
      <c r="G164" s="636"/>
      <c r="H164" s="637"/>
      <c r="I164" s="187"/>
      <c r="J164" s="580"/>
      <c r="K164" s="900" t="str">
        <f ca="1">IF(OR($H$7&lt;2,K$133&lt;2),"",IF(J164&lt;&gt;"",J164,IFERROR(IF(INDIRECT("'"&amp;J$86&amp;"'!"&amp;VLOOKUP(J$87,'List Values'!$C$3:$D$6,2,FALSE)&amp;ROW(J164))="","",INDIRECT("'"&amp;J$86&amp;"'!"&amp;VLOOKUP(J$87,'List Values'!$C$3:$D$6,2,FALSE)&amp;ROW(J164))),IF(J$86&lt;&gt;"","Data Source Error",""))))</f>
        <v/>
      </c>
      <c r="L164" s="187"/>
      <c r="M164" s="580"/>
      <c r="N164" s="900" t="str">
        <f ca="1">IF(OR($H$7&lt;3,N$133&lt;2),"",IF(M164&lt;&gt;"",M164,IFERROR(IF(INDIRECT("'"&amp;M$86&amp;"'!"&amp;VLOOKUP(M$87,'List Values'!$C$3:$D$6,2,FALSE)&amp;ROW(M164))="","",INDIRECT("'"&amp;M$86&amp;"'!"&amp;VLOOKUP(M$87,'List Values'!$C$3:$D$6,2,FALSE)&amp;ROW(M164))),IF(M$86&lt;&gt;"","Data Source Error",""))))</f>
        <v/>
      </c>
      <c r="O164" s="187"/>
      <c r="P164" s="528"/>
      <c r="Q164" s="900" t="str">
        <f ca="1">IF(OR($H$7&lt;4,Q$133&lt;2),"",IF(P164&lt;&gt;"",P164,IFERROR(IF(INDIRECT("'"&amp;P$86&amp;"'!"&amp;VLOOKUP(P$87,'List Values'!$C$3:$D$6,2,FALSE)&amp;ROW(P164))="","",INDIRECT("'"&amp;P$86&amp;"'!"&amp;VLOOKUP(P$87,'List Values'!$C$3:$D$6,2,FALSE)&amp;ROW(P164))),IF(P$86&lt;&gt;"","Data Source Error",""))))</f>
        <v/>
      </c>
      <c r="S164" s="528"/>
      <c r="T164" s="900" t="str">
        <f ca="1">IF(OR($H$7&lt;5,T$133&lt;2),"",IF(S164&lt;&gt;"",S164,IFERROR(IF(INDIRECT("'"&amp;S$86&amp;"'!"&amp;VLOOKUP(S$87,'List Values'!$C$3:$D$6,2,FALSE)&amp;ROW(S164))="","",INDIRECT("'"&amp;S$86&amp;"'!"&amp;VLOOKUP(S$87,'List Values'!$C$3:$D$6,2,FALSE)&amp;ROW(S164))),IF(S$86&lt;&gt;"","Data Source Error",""))))</f>
        <v/>
      </c>
      <c r="V164" s="528"/>
      <c r="W164" s="911" t="str">
        <f ca="1">IF(OR($H$7&lt;6,W$133&lt;2),"",IF(V164&lt;&gt;"",V164,IFERROR(IF(INDIRECT("'"&amp;V$86&amp;"'!"&amp;VLOOKUP(V$87,'List Values'!$C$3:$D$6,2,FALSE)&amp;ROW(V164))="","",INDIRECT("'"&amp;V$86&amp;"'!"&amp;VLOOKUP(V$87,'List Values'!$C$3:$D$6,2,FALSE)&amp;ROW(V164))),IF(V$86&lt;&gt;"","Data Source Error",""))))</f>
        <v/>
      </c>
      <c r="Y164" s="2643"/>
      <c r="Z164" s="2644"/>
      <c r="AA164" s="2644"/>
      <c r="AB164" s="2645"/>
    </row>
    <row r="165" spans="1:28" ht="33" customHeight="1" outlineLevel="1">
      <c r="A165" s="252"/>
      <c r="B165" s="252"/>
      <c r="C165" s="2680" t="s">
        <v>2523</v>
      </c>
      <c r="D165" s="2680"/>
      <c r="E165" s="2062"/>
      <c r="F165" s="2062"/>
      <c r="G165" s="636"/>
      <c r="H165" s="637"/>
      <c r="I165" s="187"/>
      <c r="J165" s="580"/>
      <c r="K165" s="900" t="str">
        <f ca="1">IF(OR($H$7&lt;2,K$133&lt;2),"",IF(J165&lt;&gt;"",J165,IFERROR(IF(INDIRECT("'"&amp;J$86&amp;"'!"&amp;VLOOKUP(J$87,'List Values'!$C$3:$D$6,2,FALSE)&amp;ROW(J165))="","",INDIRECT("'"&amp;J$86&amp;"'!"&amp;VLOOKUP(J$87,'List Values'!$C$3:$D$6,2,FALSE)&amp;ROW(J165))),IF(J$86&lt;&gt;"","Data Source Error",""))))</f>
        <v/>
      </c>
      <c r="L165" s="187"/>
      <c r="M165" s="580"/>
      <c r="N165" s="900" t="str">
        <f ca="1">IF(OR($H$7&lt;3,N$133&lt;2),"",IF(M165&lt;&gt;"",M165,IFERROR(IF(INDIRECT("'"&amp;M$86&amp;"'!"&amp;VLOOKUP(M$87,'List Values'!$C$3:$D$6,2,FALSE)&amp;ROW(M165))="","",INDIRECT("'"&amp;M$86&amp;"'!"&amp;VLOOKUP(M$87,'List Values'!$C$3:$D$6,2,FALSE)&amp;ROW(M165))),IF(M$86&lt;&gt;"","Data Source Error",""))))</f>
        <v/>
      </c>
      <c r="O165" s="187"/>
      <c r="P165" s="528"/>
      <c r="Q165" s="900" t="str">
        <f ca="1">IF(OR($H$7&lt;4,Q$133&lt;2),"",IF(P165&lt;&gt;"",P165,IFERROR(IF(INDIRECT("'"&amp;P$86&amp;"'!"&amp;VLOOKUP(P$87,'List Values'!$C$3:$D$6,2,FALSE)&amp;ROW(P165))="","",INDIRECT("'"&amp;P$86&amp;"'!"&amp;VLOOKUP(P$87,'List Values'!$C$3:$D$6,2,FALSE)&amp;ROW(P165))),IF(P$86&lt;&gt;"","Data Source Error",""))))</f>
        <v/>
      </c>
      <c r="S165" s="528"/>
      <c r="T165" s="900" t="str">
        <f ca="1">IF(OR($H$7&lt;5,T$133&lt;2),"",IF(S165&lt;&gt;"",S165,IFERROR(IF(INDIRECT("'"&amp;S$86&amp;"'!"&amp;VLOOKUP(S$87,'List Values'!$C$3:$D$6,2,FALSE)&amp;ROW(S165))="","",INDIRECT("'"&amp;S$86&amp;"'!"&amp;VLOOKUP(S$87,'List Values'!$C$3:$D$6,2,FALSE)&amp;ROW(S165))),IF(S$86&lt;&gt;"","Data Source Error",""))))</f>
        <v/>
      </c>
      <c r="V165" s="528"/>
      <c r="W165" s="911" t="str">
        <f ca="1">IF(OR($H$7&lt;6,W$133&lt;2),"",IF(V165&lt;&gt;"",V165,IFERROR(IF(INDIRECT("'"&amp;V$86&amp;"'!"&amp;VLOOKUP(V$87,'List Values'!$C$3:$D$6,2,FALSE)&amp;ROW(V165))="","",INDIRECT("'"&amp;V$86&amp;"'!"&amp;VLOOKUP(V$87,'List Values'!$C$3:$D$6,2,FALSE)&amp;ROW(V165))),IF(V$86&lt;&gt;"","Data Source Error",""))))</f>
        <v/>
      </c>
      <c r="Y165" s="2643"/>
      <c r="Z165" s="2644"/>
      <c r="AA165" s="2644"/>
      <c r="AB165" s="2645"/>
    </row>
    <row r="166" spans="1:28" ht="15.75" customHeight="1" outlineLevel="1">
      <c r="A166" s="252"/>
      <c r="B166" s="252"/>
      <c r="C166" s="2680" t="s">
        <v>2524</v>
      </c>
      <c r="D166" s="2680"/>
      <c r="E166" s="2062"/>
      <c r="F166" s="2062"/>
      <c r="G166" s="636"/>
      <c r="H166" s="637"/>
      <c r="I166" s="187"/>
      <c r="J166" s="580"/>
      <c r="K166" s="900" t="str">
        <f ca="1">IF(OR($H$7&lt;2,K$133&lt;2),"",IF(J166&lt;&gt;"",J166,IFERROR(IF(INDIRECT("'"&amp;J$86&amp;"'!"&amp;VLOOKUP(J$87,'List Values'!$C$3:$D$6,2,FALSE)&amp;ROW(J166))="","",INDIRECT("'"&amp;J$86&amp;"'!"&amp;VLOOKUP(J$87,'List Values'!$C$3:$D$6,2,FALSE)&amp;ROW(J166))),IF(J$86&lt;&gt;"","Data Source Error",""))))</f>
        <v/>
      </c>
      <c r="L166" s="187"/>
      <c r="M166" s="580"/>
      <c r="N166" s="900" t="str">
        <f ca="1">IF(OR($H$7&lt;3,N$133&lt;2),"",IF(M166&lt;&gt;"",M166,IFERROR(IF(INDIRECT("'"&amp;M$86&amp;"'!"&amp;VLOOKUP(M$87,'List Values'!$C$3:$D$6,2,FALSE)&amp;ROW(M166))="","",INDIRECT("'"&amp;M$86&amp;"'!"&amp;VLOOKUP(M$87,'List Values'!$C$3:$D$6,2,FALSE)&amp;ROW(M166))),IF(M$86&lt;&gt;"","Data Source Error",""))))</f>
        <v/>
      </c>
      <c r="O166" s="187"/>
      <c r="P166" s="528"/>
      <c r="Q166" s="900" t="str">
        <f ca="1">IF(OR($H$7&lt;4,Q$133&lt;2),"",IF(P166&lt;&gt;"",P166,IFERROR(IF(INDIRECT("'"&amp;P$86&amp;"'!"&amp;VLOOKUP(P$87,'List Values'!$C$3:$D$6,2,FALSE)&amp;ROW(P166))="","",INDIRECT("'"&amp;P$86&amp;"'!"&amp;VLOOKUP(P$87,'List Values'!$C$3:$D$6,2,FALSE)&amp;ROW(P166))),IF(P$86&lt;&gt;"","Data Source Error",""))))</f>
        <v/>
      </c>
      <c r="S166" s="528"/>
      <c r="T166" s="900" t="str">
        <f ca="1">IF(OR($H$7&lt;5,T$133&lt;2),"",IF(S166&lt;&gt;"",S166,IFERROR(IF(INDIRECT("'"&amp;S$86&amp;"'!"&amp;VLOOKUP(S$87,'List Values'!$C$3:$D$6,2,FALSE)&amp;ROW(S166))="","",INDIRECT("'"&amp;S$86&amp;"'!"&amp;VLOOKUP(S$87,'List Values'!$C$3:$D$6,2,FALSE)&amp;ROW(S166))),IF(S$86&lt;&gt;"","Data Source Error",""))))</f>
        <v/>
      </c>
      <c r="V166" s="528"/>
      <c r="W166" s="911" t="str">
        <f ca="1">IF(OR($H$7&lt;6,W$133&lt;2),"",IF(V166&lt;&gt;"",V166,IFERROR(IF(INDIRECT("'"&amp;V$86&amp;"'!"&amp;VLOOKUP(V$87,'List Values'!$C$3:$D$6,2,FALSE)&amp;ROW(V166))="","",INDIRECT("'"&amp;V$86&amp;"'!"&amp;VLOOKUP(V$87,'List Values'!$C$3:$D$6,2,FALSE)&amp;ROW(V166))),IF(V$86&lt;&gt;"","Data Source Error",""))))</f>
        <v/>
      </c>
      <c r="Y166" s="2643"/>
      <c r="Z166" s="2644"/>
      <c r="AA166" s="2644"/>
      <c r="AB166" s="2645"/>
    </row>
    <row r="167" spans="1:28" ht="15.75" customHeight="1" outlineLevel="1">
      <c r="A167" s="252"/>
      <c r="B167" s="252"/>
      <c r="C167" s="2684" t="s">
        <v>2525</v>
      </c>
      <c r="D167" s="2684"/>
      <c r="E167" s="2062"/>
      <c r="F167" s="2062"/>
      <c r="G167" s="636"/>
      <c r="H167" s="637"/>
      <c r="I167" s="187"/>
      <c r="J167" s="580"/>
      <c r="K167" s="900" t="str">
        <f ca="1">IF(OR($H$7&lt;2,K$133&lt;2),"",IF(J167&lt;&gt;"",J167,IFERROR(IF(INDIRECT("'"&amp;J$86&amp;"'!"&amp;VLOOKUP(J$87,'List Values'!$C$3:$D$6,2,FALSE)&amp;ROW(J167))="","",INDIRECT("'"&amp;J$86&amp;"'!"&amp;VLOOKUP(J$87,'List Values'!$C$3:$D$6,2,FALSE)&amp;ROW(J167))),IF(J$86&lt;&gt;"","Data Source Error",""))))</f>
        <v/>
      </c>
      <c r="L167" s="187"/>
      <c r="M167" s="580"/>
      <c r="N167" s="900" t="str">
        <f ca="1">IF(OR($H$7&lt;3,N$133&lt;2),"",IF(M167&lt;&gt;"",M167,IFERROR(IF(INDIRECT("'"&amp;M$86&amp;"'!"&amp;VLOOKUP(M$87,'List Values'!$C$3:$D$6,2,FALSE)&amp;ROW(M167))="","",INDIRECT("'"&amp;M$86&amp;"'!"&amp;VLOOKUP(M$87,'List Values'!$C$3:$D$6,2,FALSE)&amp;ROW(M167))),IF(M$86&lt;&gt;"","Data Source Error",""))))</f>
        <v/>
      </c>
      <c r="O167" s="187"/>
      <c r="P167" s="528"/>
      <c r="Q167" s="900" t="str">
        <f ca="1">IF(OR($H$7&lt;4,Q$133&lt;2),"",IF(P167&lt;&gt;"",P167,IFERROR(IF(INDIRECT("'"&amp;P$86&amp;"'!"&amp;VLOOKUP(P$87,'List Values'!$C$3:$D$6,2,FALSE)&amp;ROW(P167))="","",INDIRECT("'"&amp;P$86&amp;"'!"&amp;VLOOKUP(P$87,'List Values'!$C$3:$D$6,2,FALSE)&amp;ROW(P167))),IF(P$86&lt;&gt;"","Data Source Error",""))))</f>
        <v/>
      </c>
      <c r="S167" s="528"/>
      <c r="T167" s="900" t="str">
        <f ca="1">IF(OR($H$7&lt;5,T$133&lt;2),"",IF(S167&lt;&gt;"",S167,IFERROR(IF(INDIRECT("'"&amp;S$86&amp;"'!"&amp;VLOOKUP(S$87,'List Values'!$C$3:$D$6,2,FALSE)&amp;ROW(S167))="","",INDIRECT("'"&amp;S$86&amp;"'!"&amp;VLOOKUP(S$87,'List Values'!$C$3:$D$6,2,FALSE)&amp;ROW(S167))),IF(S$86&lt;&gt;"","Data Source Error",""))))</f>
        <v/>
      </c>
      <c r="V167" s="528"/>
      <c r="W167" s="911" t="str">
        <f ca="1">IF(OR($H$7&lt;6,W$133&lt;2),"",IF(V167&lt;&gt;"",V167,IFERROR(IF(INDIRECT("'"&amp;V$86&amp;"'!"&amp;VLOOKUP(V$87,'List Values'!$C$3:$D$6,2,FALSE)&amp;ROW(V167))="","",INDIRECT("'"&amp;V$86&amp;"'!"&amp;VLOOKUP(V$87,'List Values'!$C$3:$D$6,2,FALSE)&amp;ROW(V167))),IF(V$86&lt;&gt;"","Data Source Error",""))))</f>
        <v/>
      </c>
      <c r="Y167" s="2643"/>
      <c r="Z167" s="2644"/>
      <c r="AA167" s="2644"/>
      <c r="AB167" s="2645"/>
    </row>
    <row r="168" spans="1:28" ht="31.5" customHeight="1" outlineLevel="1">
      <c r="A168" s="252"/>
      <c r="B168" s="252"/>
      <c r="C168" s="2680" t="s">
        <v>2526</v>
      </c>
      <c r="D168" s="2680"/>
      <c r="E168" s="2062"/>
      <c r="F168" s="2062"/>
      <c r="G168" s="636"/>
      <c r="H168" s="637"/>
      <c r="I168" s="187"/>
      <c r="J168" s="580"/>
      <c r="K168" s="900" t="str">
        <f ca="1">IF(OR($H$7&lt;2,K$133&lt;2),"",IF(J168&lt;&gt;"",J168,IFERROR(IF(INDIRECT("'"&amp;J$86&amp;"'!"&amp;VLOOKUP(J$87,'List Values'!$C$3:$D$6,2,FALSE)&amp;ROW(J168))="","",INDIRECT("'"&amp;J$86&amp;"'!"&amp;VLOOKUP(J$87,'List Values'!$C$3:$D$6,2,FALSE)&amp;ROW(J168))),IF(J$86&lt;&gt;"","Data Source Error",""))))</f>
        <v/>
      </c>
      <c r="L168" s="187"/>
      <c r="M168" s="580"/>
      <c r="N168" s="900" t="str">
        <f ca="1">IF(OR($H$7&lt;3,N$133&lt;2),"",IF(M168&lt;&gt;"",M168,IFERROR(IF(INDIRECT("'"&amp;M$86&amp;"'!"&amp;VLOOKUP(M$87,'List Values'!$C$3:$D$6,2,FALSE)&amp;ROW(M168))="","",INDIRECT("'"&amp;M$86&amp;"'!"&amp;VLOOKUP(M$87,'List Values'!$C$3:$D$6,2,FALSE)&amp;ROW(M168))),IF(M$86&lt;&gt;"","Data Source Error",""))))</f>
        <v/>
      </c>
      <c r="O168" s="187"/>
      <c r="P168" s="528"/>
      <c r="Q168" s="900" t="str">
        <f ca="1">IF(OR($H$7&lt;4,Q$133&lt;2),"",IF(P168&lt;&gt;"",P168,IFERROR(IF(INDIRECT("'"&amp;P$86&amp;"'!"&amp;VLOOKUP(P$87,'List Values'!$C$3:$D$6,2,FALSE)&amp;ROW(P168))="","",INDIRECT("'"&amp;P$86&amp;"'!"&amp;VLOOKUP(P$87,'List Values'!$C$3:$D$6,2,FALSE)&amp;ROW(P168))),IF(P$86&lt;&gt;"","Data Source Error",""))))</f>
        <v/>
      </c>
      <c r="S168" s="528"/>
      <c r="T168" s="900" t="str">
        <f ca="1">IF(OR($H$7&lt;5,T$133&lt;2),"",IF(S168&lt;&gt;"",S168,IFERROR(IF(INDIRECT("'"&amp;S$86&amp;"'!"&amp;VLOOKUP(S$87,'List Values'!$C$3:$D$6,2,FALSE)&amp;ROW(S168))="","",INDIRECT("'"&amp;S$86&amp;"'!"&amp;VLOOKUP(S$87,'List Values'!$C$3:$D$6,2,FALSE)&amp;ROW(S168))),IF(S$86&lt;&gt;"","Data Source Error",""))))</f>
        <v/>
      </c>
      <c r="V168" s="528"/>
      <c r="W168" s="911" t="str">
        <f ca="1">IF(OR($H$7&lt;6,W$133&lt;2),"",IF(V168&lt;&gt;"",V168,IFERROR(IF(INDIRECT("'"&amp;V$86&amp;"'!"&amp;VLOOKUP(V$87,'List Values'!$C$3:$D$6,2,FALSE)&amp;ROW(V168))="","",INDIRECT("'"&amp;V$86&amp;"'!"&amp;VLOOKUP(V$87,'List Values'!$C$3:$D$6,2,FALSE)&amp;ROW(V168))),IF(V$86&lt;&gt;"","Data Source Error",""))))</f>
        <v/>
      </c>
      <c r="Y168" s="2643"/>
      <c r="Z168" s="2644"/>
      <c r="AA168" s="2644"/>
      <c r="AB168" s="2645"/>
    </row>
    <row r="169" spans="1:28" ht="48" customHeight="1" outlineLevel="1">
      <c r="A169" s="252"/>
      <c r="B169" s="252"/>
      <c r="C169" s="2680" t="s">
        <v>2527</v>
      </c>
      <c r="D169" s="2680"/>
      <c r="E169" s="2062"/>
      <c r="F169" s="2062"/>
      <c r="G169" s="636"/>
      <c r="H169" s="637"/>
      <c r="I169" s="187"/>
      <c r="J169" s="580"/>
      <c r="K169" s="900" t="str">
        <f ca="1">IF(OR($H$7&lt;2,K$133&lt;2),"",IF(J169&lt;&gt;"",J169,IFERROR(IF(INDIRECT("'"&amp;J$86&amp;"'!"&amp;VLOOKUP(J$87,'List Values'!$C$3:$D$6,2,FALSE)&amp;ROW(J169))="","",INDIRECT("'"&amp;J$86&amp;"'!"&amp;VLOOKUP(J$87,'List Values'!$C$3:$D$6,2,FALSE)&amp;ROW(J169))),IF(J$86&lt;&gt;"","Data Source Error",""))))</f>
        <v/>
      </c>
      <c r="L169" s="187"/>
      <c r="M169" s="580"/>
      <c r="N169" s="900" t="str">
        <f ca="1">IF(OR($H$7&lt;3,N$133&lt;2),"",IF(M169&lt;&gt;"",M169,IFERROR(IF(INDIRECT("'"&amp;M$86&amp;"'!"&amp;VLOOKUP(M$87,'List Values'!$C$3:$D$6,2,FALSE)&amp;ROW(M169))="","",INDIRECT("'"&amp;M$86&amp;"'!"&amp;VLOOKUP(M$87,'List Values'!$C$3:$D$6,2,FALSE)&amp;ROW(M169))),IF(M$86&lt;&gt;"","Data Source Error",""))))</f>
        <v/>
      </c>
      <c r="O169" s="187"/>
      <c r="P169" s="528"/>
      <c r="Q169" s="900" t="str">
        <f ca="1">IF(OR($H$7&lt;4,Q$133&lt;2),"",IF(P169&lt;&gt;"",P169,IFERROR(IF(INDIRECT("'"&amp;P$86&amp;"'!"&amp;VLOOKUP(P$87,'List Values'!$C$3:$D$6,2,FALSE)&amp;ROW(P169))="","",INDIRECT("'"&amp;P$86&amp;"'!"&amp;VLOOKUP(P$87,'List Values'!$C$3:$D$6,2,FALSE)&amp;ROW(P169))),IF(P$86&lt;&gt;"","Data Source Error",""))))</f>
        <v/>
      </c>
      <c r="S169" s="528"/>
      <c r="T169" s="900" t="str">
        <f ca="1">IF(OR($H$7&lt;5,T$133&lt;2),"",IF(S169&lt;&gt;"",S169,IFERROR(IF(INDIRECT("'"&amp;S$86&amp;"'!"&amp;VLOOKUP(S$87,'List Values'!$C$3:$D$6,2,FALSE)&amp;ROW(S169))="","",INDIRECT("'"&amp;S$86&amp;"'!"&amp;VLOOKUP(S$87,'List Values'!$C$3:$D$6,2,FALSE)&amp;ROW(S169))),IF(S$86&lt;&gt;"","Data Source Error",""))))</f>
        <v/>
      </c>
      <c r="V169" s="528"/>
      <c r="W169" s="911" t="str">
        <f ca="1">IF(OR($H$7&lt;6,W$133&lt;2),"",IF(V169&lt;&gt;"",V169,IFERROR(IF(INDIRECT("'"&amp;V$86&amp;"'!"&amp;VLOOKUP(V$87,'List Values'!$C$3:$D$6,2,FALSE)&amp;ROW(V169))="","",INDIRECT("'"&amp;V$86&amp;"'!"&amp;VLOOKUP(V$87,'List Values'!$C$3:$D$6,2,FALSE)&amp;ROW(V169))),IF(V$86&lt;&gt;"","Data Source Error",""))))</f>
        <v/>
      </c>
      <c r="Y169" s="2643"/>
      <c r="Z169" s="2644"/>
      <c r="AA169" s="2644"/>
      <c r="AB169" s="2645"/>
    </row>
    <row r="170" spans="1:28" ht="46.5" customHeight="1" outlineLevel="1">
      <c r="A170" s="252"/>
      <c r="B170" s="252"/>
      <c r="C170" s="2680" t="s">
        <v>2528</v>
      </c>
      <c r="D170" s="2680"/>
      <c r="E170" s="2062"/>
      <c r="F170" s="2062"/>
      <c r="G170" s="636"/>
      <c r="H170" s="637"/>
      <c r="I170" s="187"/>
      <c r="J170" s="580"/>
      <c r="K170" s="900" t="str">
        <f ca="1">IF(OR($H$7&lt;2,K$133&lt;2),"",IF(J170&lt;&gt;"",J170,IFERROR(IF(INDIRECT("'"&amp;J$86&amp;"'!"&amp;VLOOKUP(J$87,'List Values'!$C$3:$D$6,2,FALSE)&amp;ROW(J170))="","",INDIRECT("'"&amp;J$86&amp;"'!"&amp;VLOOKUP(J$87,'List Values'!$C$3:$D$6,2,FALSE)&amp;ROW(J170))),IF(J$86&lt;&gt;"","Data Source Error",""))))</f>
        <v/>
      </c>
      <c r="L170" s="187"/>
      <c r="M170" s="580"/>
      <c r="N170" s="900" t="str">
        <f ca="1">IF(OR($H$7&lt;3,N$133&lt;2),"",IF(M170&lt;&gt;"",M170,IFERROR(IF(INDIRECT("'"&amp;M$86&amp;"'!"&amp;VLOOKUP(M$87,'List Values'!$C$3:$D$6,2,FALSE)&amp;ROW(M170))="","",INDIRECT("'"&amp;M$86&amp;"'!"&amp;VLOOKUP(M$87,'List Values'!$C$3:$D$6,2,FALSE)&amp;ROW(M170))),IF(M$86&lt;&gt;"","Data Source Error",""))))</f>
        <v/>
      </c>
      <c r="O170" s="187"/>
      <c r="P170" s="528"/>
      <c r="Q170" s="900" t="str">
        <f ca="1">IF(OR($H$7&lt;4,Q$133&lt;2),"",IF(P170&lt;&gt;"",P170,IFERROR(IF(INDIRECT("'"&amp;P$86&amp;"'!"&amp;VLOOKUP(P$87,'List Values'!$C$3:$D$6,2,FALSE)&amp;ROW(P170))="","",INDIRECT("'"&amp;P$86&amp;"'!"&amp;VLOOKUP(P$87,'List Values'!$C$3:$D$6,2,FALSE)&amp;ROW(P170))),IF(P$86&lt;&gt;"","Data Source Error",""))))</f>
        <v/>
      </c>
      <c r="S170" s="528"/>
      <c r="T170" s="900" t="str">
        <f ca="1">IF(OR($H$7&lt;5,T$133&lt;2),"",IF(S170&lt;&gt;"",S170,IFERROR(IF(INDIRECT("'"&amp;S$86&amp;"'!"&amp;VLOOKUP(S$87,'List Values'!$C$3:$D$6,2,FALSE)&amp;ROW(S170))="","",INDIRECT("'"&amp;S$86&amp;"'!"&amp;VLOOKUP(S$87,'List Values'!$C$3:$D$6,2,FALSE)&amp;ROW(S170))),IF(S$86&lt;&gt;"","Data Source Error",""))))</f>
        <v/>
      </c>
      <c r="V170" s="528"/>
      <c r="W170" s="911" t="str">
        <f ca="1">IF(OR($H$7&lt;6,W$133&lt;2),"",IF(V170&lt;&gt;"",V170,IFERROR(IF(INDIRECT("'"&amp;V$86&amp;"'!"&amp;VLOOKUP(V$87,'List Values'!$C$3:$D$6,2,FALSE)&amp;ROW(V170))="","",INDIRECT("'"&amp;V$86&amp;"'!"&amp;VLOOKUP(V$87,'List Values'!$C$3:$D$6,2,FALSE)&amp;ROW(V170))),IF(V$86&lt;&gt;"","Data Source Error",""))))</f>
        <v/>
      </c>
      <c r="Y170" s="2643"/>
      <c r="Z170" s="2644"/>
      <c r="AA170" s="2644"/>
      <c r="AB170" s="2645"/>
    </row>
    <row r="171" spans="1:28" ht="15.75" customHeight="1" outlineLevel="1">
      <c r="A171" s="252"/>
      <c r="B171" s="252"/>
      <c r="C171" s="2680" t="s">
        <v>650</v>
      </c>
      <c r="D171" s="2680"/>
      <c r="E171" s="2062"/>
      <c r="F171" s="2062"/>
      <c r="G171" s="636"/>
      <c r="H171" s="637"/>
      <c r="I171" s="187"/>
      <c r="J171" s="580"/>
      <c r="K171" s="900" t="str">
        <f ca="1">IF(OR($H$7&lt;2,K$133&lt;2),"",IF(J171&lt;&gt;"",J171,IFERROR(IF(INDIRECT("'"&amp;J$86&amp;"'!"&amp;VLOOKUP(J$87,'List Values'!$C$3:$D$6,2,FALSE)&amp;ROW(J171))="","",INDIRECT("'"&amp;J$86&amp;"'!"&amp;VLOOKUP(J$87,'List Values'!$C$3:$D$6,2,FALSE)&amp;ROW(J171))),IF(J$86&lt;&gt;"","Data Source Error",""))))</f>
        <v/>
      </c>
      <c r="L171" s="187"/>
      <c r="M171" s="580"/>
      <c r="N171" s="900" t="str">
        <f ca="1">IF(OR($H$7&lt;3,N$133&lt;2),"",IF(M171&lt;&gt;"",M171,IFERROR(IF(INDIRECT("'"&amp;M$86&amp;"'!"&amp;VLOOKUP(M$87,'List Values'!$C$3:$D$6,2,FALSE)&amp;ROW(M171))="","",INDIRECT("'"&amp;M$86&amp;"'!"&amp;VLOOKUP(M$87,'List Values'!$C$3:$D$6,2,FALSE)&amp;ROW(M171))),IF(M$86&lt;&gt;"","Data Source Error",""))))</f>
        <v/>
      </c>
      <c r="O171" s="187"/>
      <c r="P171" s="528"/>
      <c r="Q171" s="900" t="str">
        <f ca="1">IF(OR($H$7&lt;4,Q$133&lt;2),"",IF(P171&lt;&gt;"",P171,IFERROR(IF(INDIRECT("'"&amp;P$86&amp;"'!"&amp;VLOOKUP(P$87,'List Values'!$C$3:$D$6,2,FALSE)&amp;ROW(P171))="","",INDIRECT("'"&amp;P$86&amp;"'!"&amp;VLOOKUP(P$87,'List Values'!$C$3:$D$6,2,FALSE)&amp;ROW(P171))),IF(P$86&lt;&gt;"","Data Source Error",""))))</f>
        <v/>
      </c>
      <c r="S171" s="528"/>
      <c r="T171" s="900" t="str">
        <f ca="1">IF(OR($H$7&lt;5,T$133&lt;2),"",IF(S171&lt;&gt;"",S171,IFERROR(IF(INDIRECT("'"&amp;S$86&amp;"'!"&amp;VLOOKUP(S$87,'List Values'!$C$3:$D$6,2,FALSE)&amp;ROW(S171))="","",INDIRECT("'"&amp;S$86&amp;"'!"&amp;VLOOKUP(S$87,'List Values'!$C$3:$D$6,2,FALSE)&amp;ROW(S171))),IF(S$86&lt;&gt;"","Data Source Error",""))))</f>
        <v/>
      </c>
      <c r="V171" s="528"/>
      <c r="W171" s="911" t="str">
        <f ca="1">IF(OR($H$7&lt;6,W$133&lt;2),"",IF(V171&lt;&gt;"",V171,IFERROR(IF(INDIRECT("'"&amp;V$86&amp;"'!"&amp;VLOOKUP(V$87,'List Values'!$C$3:$D$6,2,FALSE)&amp;ROW(V171))="","",INDIRECT("'"&amp;V$86&amp;"'!"&amp;VLOOKUP(V$87,'List Values'!$C$3:$D$6,2,FALSE)&amp;ROW(V171))),IF(V$86&lt;&gt;"","Data Source Error",""))))</f>
        <v/>
      </c>
      <c r="Y171" s="2643"/>
      <c r="Z171" s="2644"/>
      <c r="AA171" s="2644"/>
      <c r="AB171" s="2645"/>
    </row>
    <row r="172" spans="1:28" ht="31.5" customHeight="1" outlineLevel="1">
      <c r="A172" s="252"/>
      <c r="B172" s="252"/>
      <c r="C172" s="2680" t="s">
        <v>651</v>
      </c>
      <c r="D172" s="2680"/>
      <c r="E172" s="2062"/>
      <c r="F172" s="2062"/>
      <c r="G172" s="636"/>
      <c r="H172" s="637"/>
      <c r="I172" s="184"/>
      <c r="J172" s="624"/>
      <c r="K172" s="941" t="str">
        <f ca="1">IF(OR($H$7&lt;2,K$133&lt;2),"",IF(J172&lt;&gt;"",J172,IFERROR(IF(INDIRECT("'"&amp;J$86&amp;"'!"&amp;VLOOKUP(J$87,'List Values'!$C$3:$D$6,2,FALSE)&amp;ROW(J172))="","",INDIRECT("'"&amp;J$86&amp;"'!"&amp;VLOOKUP(J$87,'List Values'!$C$3:$D$6,2,FALSE)&amp;ROW(J172))),IF(J$86&lt;&gt;"","Data Source Error",""))))</f>
        <v/>
      </c>
      <c r="L172" s="184"/>
      <c r="M172" s="624"/>
      <c r="N172" s="941" t="str">
        <f ca="1">IF(OR($H$7&lt;3,N$133&lt;2),"",IF(M172&lt;&gt;"",M172,IFERROR(IF(INDIRECT("'"&amp;M$86&amp;"'!"&amp;VLOOKUP(M$87,'List Values'!$C$3:$D$6,2,FALSE)&amp;ROW(M172))="","",INDIRECT("'"&amp;M$86&amp;"'!"&amp;VLOOKUP(M$87,'List Values'!$C$3:$D$6,2,FALSE)&amp;ROW(M172))),IF(M$86&lt;&gt;"","Data Source Error",""))))</f>
        <v/>
      </c>
      <c r="O172" s="184"/>
      <c r="P172" s="528"/>
      <c r="Q172" s="941" t="str">
        <f ca="1">IF(OR($H$7&lt;4,Q$133&lt;2),"",IF(P172&lt;&gt;"",P172,IFERROR(IF(INDIRECT("'"&amp;P$86&amp;"'!"&amp;VLOOKUP(P$87,'List Values'!$C$3:$D$6,2,FALSE)&amp;ROW(P172))="","",INDIRECT("'"&amp;P$86&amp;"'!"&amp;VLOOKUP(P$87,'List Values'!$C$3:$D$6,2,FALSE)&amp;ROW(P172))),IF(P$86&lt;&gt;"","Data Source Error",""))))</f>
        <v/>
      </c>
      <c r="S172" s="528"/>
      <c r="T172" s="941" t="str">
        <f ca="1">IF(OR($H$7&lt;5,T$133&lt;2),"",IF(S172&lt;&gt;"",S172,IFERROR(IF(INDIRECT("'"&amp;S$86&amp;"'!"&amp;VLOOKUP(S$87,'List Values'!$C$3:$D$6,2,FALSE)&amp;ROW(S172))="","",INDIRECT("'"&amp;S$86&amp;"'!"&amp;VLOOKUP(S$87,'List Values'!$C$3:$D$6,2,FALSE)&amp;ROW(S172))),IF(S$86&lt;&gt;"","Data Source Error",""))))</f>
        <v/>
      </c>
      <c r="V172" s="528"/>
      <c r="W172" s="947" t="str">
        <f ca="1">IF(OR($H$7&lt;6,W$133&lt;2),"",IF(V172&lt;&gt;"",V172,IFERROR(IF(INDIRECT("'"&amp;V$86&amp;"'!"&amp;VLOOKUP(V$87,'List Values'!$C$3:$D$6,2,FALSE)&amp;ROW(V172))="","",INDIRECT("'"&amp;V$86&amp;"'!"&amp;VLOOKUP(V$87,'List Values'!$C$3:$D$6,2,FALSE)&amp;ROW(V172))),IF(V$86&lt;&gt;"","Data Source Error",""))))</f>
        <v/>
      </c>
      <c r="Y172" s="2643"/>
      <c r="Z172" s="2644"/>
      <c r="AA172" s="2644"/>
      <c r="AB172" s="2645"/>
    </row>
    <row r="173" spans="1:28" ht="31.5" customHeight="1" outlineLevel="1">
      <c r="A173" s="237"/>
      <c r="B173" s="252"/>
      <c r="C173" s="2680" t="s">
        <v>684</v>
      </c>
      <c r="D173" s="2680"/>
      <c r="E173" s="238"/>
      <c r="F173" s="238"/>
      <c r="G173" s="638"/>
      <c r="H173" s="639"/>
      <c r="J173" s="583"/>
      <c r="K173" s="930" t="str">
        <f ca="1">IF(OR($H$7&lt;2,K$133&lt;2),"",IF(J173&lt;&gt;"",J173,IFERROR(IF(INDIRECT("'"&amp;J$86&amp;"'!"&amp;VLOOKUP(J$87,'List Values'!$C$3:$D$6,2,FALSE)&amp;ROW(J173))="","",INDIRECT("'"&amp;J$86&amp;"'!"&amp;VLOOKUP(J$87,'List Values'!$C$3:$D$6,2,FALSE)&amp;ROW(J173))),IF(J$86&lt;&gt;"","Data Source Error",""))))</f>
        <v/>
      </c>
      <c r="M173" s="583"/>
      <c r="N173" s="941" t="str">
        <f ca="1">IF(OR($H$7&lt;3,N$133&lt;2),"",IF(M173&lt;&gt;"",M173,IFERROR(IF(INDIRECT("'"&amp;M$86&amp;"'!"&amp;VLOOKUP(M$87,'List Values'!$C$3:$D$6,2,FALSE)&amp;ROW(M173))="","",INDIRECT("'"&amp;M$86&amp;"'!"&amp;VLOOKUP(M$87,'List Values'!$C$3:$D$6,2,FALSE)&amp;ROW(M173))),IF(M$86&lt;&gt;"","Data Source Error",""))))</f>
        <v/>
      </c>
      <c r="P173" s="582"/>
      <c r="Q173" s="941" t="str">
        <f ca="1">IF(OR($H$7&lt;4,Q$133&lt;2),"",IF(P173&lt;&gt;"",P173,IFERROR(IF(INDIRECT("'"&amp;P$86&amp;"'!"&amp;VLOOKUP(P$87,'List Values'!$C$3:$D$6,2,FALSE)&amp;ROW(P173))="","",INDIRECT("'"&amp;P$86&amp;"'!"&amp;VLOOKUP(P$87,'List Values'!$C$3:$D$6,2,FALSE)&amp;ROW(P173))),IF(P$86&lt;&gt;"","Data Source Error",""))))</f>
        <v/>
      </c>
      <c r="S173" s="582"/>
      <c r="T173" s="972" t="str">
        <f ca="1">IF(OR($H$7&lt;5,T$133&lt;2),"",IF(S173&lt;&gt;"",S173,IFERROR(IF(INDIRECT("'"&amp;S$86&amp;"'!"&amp;VLOOKUP(S$87,'List Values'!$C$3:$D$6,2,FALSE)&amp;ROW(S173))="","",INDIRECT("'"&amp;S$86&amp;"'!"&amp;VLOOKUP(S$87,'List Values'!$C$3:$D$6,2,FALSE)&amp;ROW(S173))),IF(S$86&lt;&gt;"","Data Source Error",""))))</f>
        <v/>
      </c>
      <c r="V173" s="582"/>
      <c r="W173" s="976" t="str">
        <f ca="1">IF(OR($H$7&lt;6,W$133&lt;2),"",IF(V173&lt;&gt;"",V173,IFERROR(IF(INDIRECT("'"&amp;V$86&amp;"'!"&amp;VLOOKUP(V$87,'List Values'!$C$3:$D$6,2,FALSE)&amp;ROW(V173))="","",INDIRECT("'"&amp;V$86&amp;"'!"&amp;VLOOKUP(V$87,'List Values'!$C$3:$D$6,2,FALSE)&amp;ROW(V173))),IF(V$86&lt;&gt;"","Data Source Error",""))))</f>
        <v/>
      </c>
      <c r="Y173" s="2643"/>
      <c r="Z173" s="2644"/>
      <c r="AA173" s="2644"/>
      <c r="AB173" s="2645"/>
    </row>
    <row r="174" spans="1:28" ht="18.75" customHeight="1">
      <c r="A174" s="237"/>
      <c r="B174" s="612" t="s">
        <v>611</v>
      </c>
      <c r="C174" s="604"/>
      <c r="D174" s="604"/>
      <c r="E174" s="604"/>
      <c r="F174" s="604"/>
      <c r="G174" s="604"/>
      <c r="H174" s="604"/>
      <c r="I174" s="608"/>
      <c r="J174" s="606"/>
      <c r="K174" s="961"/>
      <c r="L174" s="608"/>
      <c r="M174" s="610"/>
      <c r="N174" s="970"/>
      <c r="O174" s="608"/>
      <c r="P174" s="610"/>
      <c r="Q174" s="970"/>
      <c r="R174" s="608"/>
      <c r="S174" s="610"/>
      <c r="T174" s="970"/>
      <c r="U174" s="608"/>
      <c r="V174" s="610"/>
      <c r="W174" s="970"/>
      <c r="Y174" s="631"/>
      <c r="Z174" s="631"/>
      <c r="AA174" s="631"/>
      <c r="AB174" s="631"/>
    </row>
    <row r="175" spans="1:28" ht="15.75" customHeight="1" outlineLevel="1">
      <c r="A175" s="252"/>
      <c r="B175" s="252"/>
      <c r="C175" s="2680" t="s">
        <v>731</v>
      </c>
      <c r="D175" s="2680"/>
      <c r="E175" s="2060"/>
      <c r="F175" s="2060"/>
      <c r="G175" s="640"/>
      <c r="H175" s="641"/>
      <c r="I175" s="183"/>
      <c r="J175" s="628"/>
      <c r="K175" s="967" t="str">
        <f ca="1">IF(OR($H$7&lt;2,K$133&lt;3),"",IF(J175&lt;&gt;"",J175,IFERROR(IF(INDIRECT("'"&amp;J$86&amp;"'!"&amp;VLOOKUP(J$87,'List Values'!$C$3:$D$6,2,FALSE)&amp;ROW(J175))="","",INDIRECT("'"&amp;J$86&amp;"'!"&amp;VLOOKUP(J$87,'List Values'!$C$3:$D$6,2,FALSE)&amp;ROW(J175))),IF(J$86&lt;&gt;"","Data Source Error",""))))</f>
        <v/>
      </c>
      <c r="L175" s="629"/>
      <c r="M175" s="628"/>
      <c r="N175" s="967" t="str">
        <f ca="1">IF(OR($H$7&lt;3,N$133&lt;3),"",IF(M175&lt;&gt;"",M175,IFERROR(IF(INDIRECT("'"&amp;M$86&amp;"'!"&amp;VLOOKUP(M$87,'List Values'!$C$3:$D$6,2,FALSE)&amp;ROW(M175))="","",INDIRECT("'"&amp;M$86&amp;"'!"&amp;VLOOKUP(M$87,'List Values'!$C$3:$D$6,2,FALSE)&amp;ROW(M175))),IF(M$86&lt;&gt;"","Data Source Error",""))))</f>
        <v/>
      </c>
      <c r="O175" s="629"/>
      <c r="P175" s="590"/>
      <c r="Q175" s="967" t="str">
        <f ca="1">IF(OR($H$7&lt;4,Q$133&lt;3),"",IF(P175&lt;&gt;"",P175,IFERROR(IF(INDIRECT("'"&amp;P$86&amp;"'!"&amp;VLOOKUP(P$87,'List Values'!$C$3:$D$6,2,FALSE)&amp;ROW(P175))="","",INDIRECT("'"&amp;P$86&amp;"'!"&amp;VLOOKUP(P$87,'List Values'!$C$3:$D$6,2,FALSE)&amp;ROW(P175))),IF(P$86&lt;&gt;"","Data Source Error",""))))</f>
        <v/>
      </c>
      <c r="R175" s="147"/>
      <c r="S175" s="590"/>
      <c r="T175" s="967" t="str">
        <f ca="1">IF(OR($H$7&lt;5,T$133&lt;3),"",IF(S175&lt;&gt;"",S175,IFERROR(IF(INDIRECT("'"&amp;S$86&amp;"'!"&amp;VLOOKUP(S$87,'List Values'!$C$3:$D$6,2,FALSE)&amp;ROW(S175))="","",INDIRECT("'"&amp;S$86&amp;"'!"&amp;VLOOKUP(S$87,'List Values'!$C$3:$D$6,2,FALSE)&amp;ROW(S175))),IF(S$86&lt;&gt;"","Data Source Error",""))))</f>
        <v/>
      </c>
      <c r="U175" s="147"/>
      <c r="V175" s="590"/>
      <c r="W175" s="973" t="str">
        <f ca="1">IF(OR($H$7&lt;6,W$133&lt;3),"",IF(V175&lt;&gt;"",V175,IFERROR(IF(INDIRECT("'"&amp;V$86&amp;"'!"&amp;VLOOKUP(V$87,'List Values'!$C$3:$D$6,2,FALSE)&amp;ROW(V175))="","",INDIRECT("'"&amp;V$86&amp;"'!"&amp;VLOOKUP(V$87,'List Values'!$C$3:$D$6,2,FALSE)&amp;ROW(V175))),IF(V$86&lt;&gt;"","Data Source Error",""))))</f>
        <v/>
      </c>
      <c r="Y175" s="2643"/>
      <c r="Z175" s="2644"/>
      <c r="AA175" s="2644"/>
      <c r="AB175" s="2645"/>
    </row>
    <row r="176" spans="1:28" ht="15.75" customHeight="1" outlineLevel="1">
      <c r="A176" s="252"/>
      <c r="B176" s="252"/>
      <c r="C176" s="2680" t="s">
        <v>626</v>
      </c>
      <c r="D176" s="2680"/>
      <c r="E176" s="2062"/>
      <c r="F176" s="2062"/>
      <c r="G176" s="636"/>
      <c r="H176" s="637"/>
      <c r="I176" s="187"/>
      <c r="J176" s="526"/>
      <c r="K176" s="900" t="str">
        <f ca="1">IF(OR($H$7&lt;2,K$133&lt;3),"",IF(J176&lt;&gt;"",J176,IFERROR(IF(INDIRECT("'"&amp;J$86&amp;"'!"&amp;VLOOKUP(J$87,'List Values'!$C$3:$D$6,2,FALSE)&amp;ROW(J176))="","",INDIRECT("'"&amp;J$86&amp;"'!"&amp;VLOOKUP(J$87,'List Values'!$C$3:$D$6,2,FALSE)&amp;ROW(J176))),IF(J$86&lt;&gt;"","Data Source Error",""))))</f>
        <v/>
      </c>
      <c r="L176" s="187"/>
      <c r="M176" s="526"/>
      <c r="N176" s="900" t="str">
        <f ca="1">IF(OR($H$7&lt;3,N$133&lt;3),"",IF(M176&lt;&gt;"",M176,IFERROR(IF(INDIRECT("'"&amp;M$86&amp;"'!"&amp;VLOOKUP(M$87,'List Values'!$C$3:$D$6,2,FALSE)&amp;ROW(M176))="","",INDIRECT("'"&amp;M$86&amp;"'!"&amp;VLOOKUP(M$87,'List Values'!$C$3:$D$6,2,FALSE)&amp;ROW(M176))),IF(M$86&lt;&gt;"","Data Source Error",""))))</f>
        <v/>
      </c>
      <c r="O176" s="187"/>
      <c r="P176" s="560"/>
      <c r="Q176" s="900" t="str">
        <f ca="1">IF(OR($H$7&lt;4,Q$133&lt;3),"",IF(P176&lt;&gt;"",P176,IFERROR(IF(INDIRECT("'"&amp;P$86&amp;"'!"&amp;VLOOKUP(P$87,'List Values'!$C$3:$D$6,2,FALSE)&amp;ROW(P176))="","",INDIRECT("'"&amp;P$86&amp;"'!"&amp;VLOOKUP(P$87,'List Values'!$C$3:$D$6,2,FALSE)&amp;ROW(P176))),IF(P$86&lt;&gt;"","Data Source Error",""))))</f>
        <v/>
      </c>
      <c r="S176" s="560"/>
      <c r="T176" s="900" t="str">
        <f ca="1">IF(OR($H$7&lt;5,T$133&lt;3),"",IF(S176&lt;&gt;"",S176,IFERROR(IF(INDIRECT("'"&amp;S$86&amp;"'!"&amp;VLOOKUP(S$87,'List Values'!$C$3:$D$6,2,FALSE)&amp;ROW(S176))="","",INDIRECT("'"&amp;S$86&amp;"'!"&amp;VLOOKUP(S$87,'List Values'!$C$3:$D$6,2,FALSE)&amp;ROW(S176))),IF(S$86&lt;&gt;"","Data Source Error",""))))</f>
        <v/>
      </c>
      <c r="V176" s="560"/>
      <c r="W176" s="911" t="str">
        <f ca="1">IF(OR($H$7&lt;6,W$133&lt;3),"",IF(V176&lt;&gt;"",V176,IFERROR(IF(INDIRECT("'"&amp;V$86&amp;"'!"&amp;VLOOKUP(V$87,'List Values'!$C$3:$D$6,2,FALSE)&amp;ROW(V176))="","",INDIRECT("'"&amp;V$86&amp;"'!"&amp;VLOOKUP(V$87,'List Values'!$C$3:$D$6,2,FALSE)&amp;ROW(V176))),IF(V$86&lt;&gt;"","Data Source Error",""))))</f>
        <v/>
      </c>
      <c r="Y176" s="2643"/>
      <c r="Z176" s="2644"/>
      <c r="AA176" s="2644"/>
      <c r="AB176" s="2645"/>
    </row>
    <row r="177" spans="1:28" ht="30.75" customHeight="1" outlineLevel="1">
      <c r="A177" s="252"/>
      <c r="B177" s="252"/>
      <c r="C177" s="2680" t="s">
        <v>2520</v>
      </c>
      <c r="D177" s="2680"/>
      <c r="E177" s="2062"/>
      <c r="F177" s="2062"/>
      <c r="G177" s="636"/>
      <c r="H177" s="637"/>
      <c r="I177" s="183"/>
      <c r="J177" s="561"/>
      <c r="K177" s="897" t="str">
        <f ca="1">IF(OR($H$7&lt;2,K$133&lt;3),"",IF(J177&lt;&gt;"",J177,IFERROR(IF(INDIRECT("'"&amp;J$86&amp;"'!"&amp;VLOOKUP(J$87,'List Values'!$C$3:$D$6,2,FALSE)&amp;ROW(J177))="","",INDIRECT("'"&amp;J$86&amp;"'!"&amp;VLOOKUP(J$87,'List Values'!$C$3:$D$6,2,FALSE)&amp;ROW(J177))),IF(J$86&lt;&gt;"","Data Source Error",""))))</f>
        <v/>
      </c>
      <c r="L177" s="183"/>
      <c r="M177" s="561"/>
      <c r="N177" s="897" t="str">
        <f ca="1">IF(OR($H$7&lt;3,N$133&lt;3),"",IF(M177&lt;&gt;"",M177,IFERROR(IF(INDIRECT("'"&amp;M$86&amp;"'!"&amp;VLOOKUP(M$87,'List Values'!$C$3:$D$6,2,FALSE)&amp;ROW(M177))="","",INDIRECT("'"&amp;M$86&amp;"'!"&amp;VLOOKUP(M$87,'List Values'!$C$3:$D$6,2,FALSE)&amp;ROW(M177))),IF(M$86&lt;&gt;"","Data Source Error",""))))</f>
        <v/>
      </c>
      <c r="O177" s="183"/>
      <c r="P177" s="558"/>
      <c r="Q177" s="897" t="str">
        <f ca="1">IF(OR($H$7&lt;4,Q$133&lt;3),"",IF(P177&lt;&gt;"",P177,IFERROR(IF(INDIRECT("'"&amp;P$86&amp;"'!"&amp;VLOOKUP(P$87,'List Values'!$C$3:$D$6,2,FALSE)&amp;ROW(P177))="","",INDIRECT("'"&amp;P$86&amp;"'!"&amp;VLOOKUP(P$87,'List Values'!$C$3:$D$6,2,FALSE)&amp;ROW(P177))),IF(P$86&lt;&gt;"","Data Source Error",""))))</f>
        <v/>
      </c>
      <c r="S177" s="558"/>
      <c r="T177" s="897" t="str">
        <f ca="1">IF(OR($H$7&lt;5,T$133&lt;3),"",IF(S177&lt;&gt;"",S177,IFERROR(IF(INDIRECT("'"&amp;S$86&amp;"'!"&amp;VLOOKUP(S$87,'List Values'!$C$3:$D$6,2,FALSE)&amp;ROW(S177))="","",INDIRECT("'"&amp;S$86&amp;"'!"&amp;VLOOKUP(S$87,'List Values'!$C$3:$D$6,2,FALSE)&amp;ROW(S177))),IF(S$86&lt;&gt;"","Data Source Error",""))))</f>
        <v/>
      </c>
      <c r="V177" s="558"/>
      <c r="W177" s="908" t="str">
        <f ca="1">IF(OR($H$7&lt;6,W$133&lt;3),"",IF(V177&lt;&gt;"",V177,IFERROR(IF(INDIRECT("'"&amp;V$86&amp;"'!"&amp;VLOOKUP(V$87,'List Values'!$C$3:$D$6,2,FALSE)&amp;ROW(V177))="","",INDIRECT("'"&amp;V$86&amp;"'!"&amp;VLOOKUP(V$87,'List Values'!$C$3:$D$6,2,FALSE)&amp;ROW(V177))),IF(V$86&lt;&gt;"","Data Source Error",""))))</f>
        <v/>
      </c>
      <c r="Y177" s="2643"/>
      <c r="Z177" s="2644"/>
      <c r="AA177" s="2644"/>
      <c r="AB177" s="2645"/>
    </row>
    <row r="178" spans="1:28" ht="30.75" customHeight="1" outlineLevel="1">
      <c r="A178" s="252"/>
      <c r="B178" s="252"/>
      <c r="C178" s="2684" t="s">
        <v>726</v>
      </c>
      <c r="D178" s="2684"/>
      <c r="E178" s="2062"/>
      <c r="F178" s="2062"/>
      <c r="G178" s="636"/>
      <c r="H178" s="637"/>
      <c r="I178" s="187"/>
      <c r="J178" s="526"/>
      <c r="K178" s="900" t="str">
        <f ca="1">IF(OR($H$7&lt;2,K$133&lt;3),"",IF(J178&lt;&gt;"",J178,IFERROR(IF(INDIRECT("'"&amp;J$86&amp;"'!"&amp;VLOOKUP(J$87,'List Values'!$C$3:$D$6,2,FALSE)&amp;ROW(J178))="","",INDIRECT("'"&amp;J$86&amp;"'!"&amp;VLOOKUP(J$87,'List Values'!$C$3:$D$6,2,FALSE)&amp;ROW(J178))),IF(J$86&lt;&gt;"","Data Source Error",""))))</f>
        <v/>
      </c>
      <c r="L178" s="187"/>
      <c r="M178" s="526"/>
      <c r="N178" s="900" t="str">
        <f ca="1">IF(OR($H$7&lt;3,N$133&lt;3),"",IF(M178&lt;&gt;"",M178,IFERROR(IF(INDIRECT("'"&amp;M$86&amp;"'!"&amp;VLOOKUP(M$87,'List Values'!$C$3:$D$6,2,FALSE)&amp;ROW(M178))="","",INDIRECT("'"&amp;M$86&amp;"'!"&amp;VLOOKUP(M$87,'List Values'!$C$3:$D$6,2,FALSE)&amp;ROW(M178))),IF(M$86&lt;&gt;"","Data Source Error",""))))</f>
        <v/>
      </c>
      <c r="O178" s="187"/>
      <c r="P178" s="560"/>
      <c r="Q178" s="900" t="str">
        <f ca="1">IF(OR($H$7&lt;4,Q$133&lt;3),"",IF(P178&lt;&gt;"",P178,IFERROR(IF(INDIRECT("'"&amp;P$86&amp;"'!"&amp;VLOOKUP(P$87,'List Values'!$C$3:$D$6,2,FALSE)&amp;ROW(P178))="","",INDIRECT("'"&amp;P$86&amp;"'!"&amp;VLOOKUP(P$87,'List Values'!$C$3:$D$6,2,FALSE)&amp;ROW(P178))),IF(P$86&lt;&gt;"","Data Source Error",""))))</f>
        <v/>
      </c>
      <c r="S178" s="560"/>
      <c r="T178" s="900" t="str">
        <f ca="1">IF(OR($H$7&lt;5,T$133&lt;3),"",IF(S178&lt;&gt;"",S178,IFERROR(IF(INDIRECT("'"&amp;S$86&amp;"'!"&amp;VLOOKUP(S$87,'List Values'!$C$3:$D$6,2,FALSE)&amp;ROW(S178))="","",INDIRECT("'"&amp;S$86&amp;"'!"&amp;VLOOKUP(S$87,'List Values'!$C$3:$D$6,2,FALSE)&amp;ROW(S178))),IF(S$86&lt;&gt;"","Data Source Error",""))))</f>
        <v/>
      </c>
      <c r="V178" s="560"/>
      <c r="W178" s="911" t="str">
        <f ca="1">IF(OR($H$7&lt;6,W$133&lt;3),"",IF(V178&lt;&gt;"",V178,IFERROR(IF(INDIRECT("'"&amp;V$86&amp;"'!"&amp;VLOOKUP(V$87,'List Values'!$C$3:$D$6,2,FALSE)&amp;ROW(V178))="","",INDIRECT("'"&amp;V$86&amp;"'!"&amp;VLOOKUP(V$87,'List Values'!$C$3:$D$6,2,FALSE)&amp;ROW(V178))),IF(V$86&lt;&gt;"","Data Source Error",""))))</f>
        <v/>
      </c>
      <c r="Y178" s="2643"/>
      <c r="Z178" s="2644"/>
      <c r="AA178" s="2644"/>
      <c r="AB178" s="2645"/>
    </row>
    <row r="179" spans="1:28" ht="30.75" customHeight="1" outlineLevel="1">
      <c r="A179" s="252"/>
      <c r="B179" s="252"/>
      <c r="C179" s="2684" t="s">
        <v>727</v>
      </c>
      <c r="D179" s="2684"/>
      <c r="E179" s="2062"/>
      <c r="F179" s="2062"/>
      <c r="G179" s="636"/>
      <c r="H179" s="637"/>
      <c r="I179" s="187"/>
      <c r="J179" s="568"/>
      <c r="K179" s="945" t="str">
        <f ca="1">IF(OR($H$7&lt;2,K$133&lt;3),"",IF(J179&lt;&gt;"",J179,IFERROR(IF(INDIRECT("'"&amp;J$86&amp;"'!"&amp;VLOOKUP(J$87,'List Values'!$C$3:$D$6,2,FALSE)&amp;ROW(J179))="","",INDIRECT("'"&amp;J$86&amp;"'!"&amp;VLOOKUP(J$87,'List Values'!$C$3:$D$6,2,FALSE)&amp;ROW(J179))*$H$6),IF(J$86&lt;&gt;"","Data Source Error",""))))</f>
        <v/>
      </c>
      <c r="L179" s="339"/>
      <c r="M179" s="568"/>
      <c r="N179" s="945" t="str">
        <f ca="1">IF(OR($H$7&lt;3,N$133&lt;3),"",IF(M179&lt;&gt;"",M179,IFERROR(IF(INDIRECT("'"&amp;M$86&amp;"'!"&amp;VLOOKUP(M$87,'List Values'!$C$3:$D$6,2,FALSE)&amp;ROW(M179))="","",INDIRECT("'"&amp;M$86&amp;"'!"&amp;VLOOKUP(M$87,'List Values'!$C$3:$D$6,2,FALSE)&amp;ROW(M179))*$H$6),IF(M$86&lt;&gt;"","Data Source Error",""))))</f>
        <v/>
      </c>
      <c r="O179" s="339"/>
      <c r="P179" s="623"/>
      <c r="Q179" s="945" t="str">
        <f ca="1">IF(OR($H$7&lt;4,Q$133&lt;3),"",IF(P179&lt;&gt;"",P179,IFERROR(IF(INDIRECT("'"&amp;P$86&amp;"'!"&amp;VLOOKUP(P$87,'List Values'!$C$3:$D$6,2,FALSE)&amp;ROW(P179))="","",INDIRECT("'"&amp;P$86&amp;"'!"&amp;VLOOKUP(P$87,'List Values'!$C$3:$D$6,2,FALSE)&amp;ROW(P179))*$H$6),IF(P$86&lt;&gt;"","Data Source Error",""))))</f>
        <v/>
      </c>
      <c r="R179" s="7"/>
      <c r="S179" s="623"/>
      <c r="T179" s="945" t="str">
        <f ca="1">IF(OR($H$7&lt;5,T$133&lt;3),"",IF(S179&lt;&gt;"",S179,IFERROR(IF(INDIRECT("'"&amp;S$86&amp;"'!"&amp;VLOOKUP(S$87,'List Values'!$C$3:$D$6,2,FALSE)&amp;ROW(S179))="","",INDIRECT("'"&amp;S$86&amp;"'!"&amp;VLOOKUP(S$87,'List Values'!$C$3:$D$6,2,FALSE)&amp;ROW(S179))*$H$6),IF(S$86&lt;&gt;"","Data Source Error",""))))</f>
        <v/>
      </c>
      <c r="U179" s="7"/>
      <c r="V179" s="623"/>
      <c r="W179" s="952" t="str">
        <f ca="1">IF(OR($H$7&lt;6,W$133&lt;3),"",IF(V179&lt;&gt;"",V179,IFERROR(IF(INDIRECT("'"&amp;V$86&amp;"'!"&amp;VLOOKUP(V$87,'List Values'!$C$3:$D$6,2,FALSE)&amp;ROW(V179))="","",INDIRECT("'"&amp;V$86&amp;"'!"&amp;VLOOKUP(V$87,'List Values'!$C$3:$D$6,2,FALSE)&amp;ROW(V179))*$H$6),IF(V$86&lt;&gt;"","Data Source Error",""))))</f>
        <v/>
      </c>
      <c r="Y179" s="2643"/>
      <c r="Z179" s="2644"/>
      <c r="AA179" s="2644"/>
      <c r="AB179" s="2645"/>
    </row>
    <row r="180" spans="1:28" ht="15.75" customHeight="1" outlineLevel="1">
      <c r="A180" s="252"/>
      <c r="B180" s="252"/>
      <c r="C180" s="2680" t="s">
        <v>732</v>
      </c>
      <c r="D180" s="2680"/>
      <c r="E180" s="2062"/>
      <c r="F180" s="2062"/>
      <c r="G180" s="636"/>
      <c r="H180" s="637"/>
      <c r="I180" s="187"/>
      <c r="J180" s="526"/>
      <c r="K180" s="900" t="str">
        <f ca="1">IF(OR($H$7&lt;2,K$133&lt;3),"",IF(J180&lt;&gt;"",J180,IFERROR(IF(INDIRECT("'"&amp;J$86&amp;"'!"&amp;VLOOKUP(J$87,'List Values'!$C$3:$D$6,2,FALSE)&amp;ROW(J180))="","",INDIRECT("'"&amp;J$86&amp;"'!"&amp;VLOOKUP(J$87,'List Values'!$C$3:$D$6,2,FALSE)&amp;ROW(J180))),IF(J$86&lt;&gt;"","Data Source Error",""))))</f>
        <v/>
      </c>
      <c r="L180" s="187"/>
      <c r="M180" s="526"/>
      <c r="N180" s="900" t="str">
        <f ca="1">IF(OR($H$7&lt;3,N$133&lt;3),"",IF(M180&lt;&gt;"",M180,IFERROR(IF(INDIRECT("'"&amp;M$86&amp;"'!"&amp;VLOOKUP(M$87,'List Values'!$C$3:$D$6,2,FALSE)&amp;ROW(M180))="","",INDIRECT("'"&amp;M$86&amp;"'!"&amp;VLOOKUP(M$87,'List Values'!$C$3:$D$6,2,FALSE)&amp;ROW(M180))),IF(M$86&lt;&gt;"","Data Source Error",""))))</f>
        <v/>
      </c>
      <c r="O180" s="187"/>
      <c r="P180" s="560"/>
      <c r="Q180" s="900" t="str">
        <f ca="1">IF(OR($H$7&lt;4,Q$133&lt;3),"",IF(P180&lt;&gt;"",P180,IFERROR(IF(INDIRECT("'"&amp;P$86&amp;"'!"&amp;VLOOKUP(P$87,'List Values'!$C$3:$D$6,2,FALSE)&amp;ROW(P180))="","",INDIRECT("'"&amp;P$86&amp;"'!"&amp;VLOOKUP(P$87,'List Values'!$C$3:$D$6,2,FALSE)&amp;ROW(P180))),IF(P$86&lt;&gt;"","Data Source Error",""))))</f>
        <v/>
      </c>
      <c r="S180" s="560"/>
      <c r="T180" s="900" t="str">
        <f ca="1">IF(OR($H$7&lt;5,T$133&lt;3),"",IF(S180&lt;&gt;"",S180,IFERROR(IF(INDIRECT("'"&amp;S$86&amp;"'!"&amp;VLOOKUP(S$87,'List Values'!$C$3:$D$6,2,FALSE)&amp;ROW(S180))="","",INDIRECT("'"&amp;S$86&amp;"'!"&amp;VLOOKUP(S$87,'List Values'!$C$3:$D$6,2,FALSE)&amp;ROW(S180))),IF(S$86&lt;&gt;"","Data Source Error",""))))</f>
        <v/>
      </c>
      <c r="V180" s="560"/>
      <c r="W180" s="911" t="str">
        <f ca="1">IF(OR($H$7&lt;6,W$133&lt;3),"",IF(V180&lt;&gt;"",V180,IFERROR(IF(INDIRECT("'"&amp;V$86&amp;"'!"&amp;VLOOKUP(V$87,'List Values'!$C$3:$D$6,2,FALSE)&amp;ROW(V180))="","",INDIRECT("'"&amp;V$86&amp;"'!"&amp;VLOOKUP(V$87,'List Values'!$C$3:$D$6,2,FALSE)&amp;ROW(V180))),IF(V$86&lt;&gt;"","Data Source Error",""))))</f>
        <v/>
      </c>
      <c r="Y180" s="2643"/>
      <c r="Z180" s="2644"/>
      <c r="AA180" s="2644"/>
      <c r="AB180" s="2645"/>
    </row>
    <row r="181" spans="1:28" ht="30.75" customHeight="1" outlineLevel="1">
      <c r="A181" s="252"/>
      <c r="B181" s="252"/>
      <c r="C181" s="2680" t="s">
        <v>2521</v>
      </c>
      <c r="D181" s="2680"/>
      <c r="E181" s="2062"/>
      <c r="F181" s="2062"/>
      <c r="G181" s="636"/>
      <c r="H181" s="637"/>
      <c r="I181" s="187"/>
      <c r="J181" s="619"/>
      <c r="K181" s="898" t="str">
        <f ca="1">IF(OR($H$7&lt;2,K$133&lt;3),"",IF(J181&lt;&gt;"",J181,IFERROR(IF(INDIRECT("'"&amp;J$86&amp;"'!"&amp;VLOOKUP(J$87,'List Values'!$C$3:$D$6,2,FALSE)&amp;ROW(J181))="","",INDIRECT("'"&amp;J$86&amp;"'!"&amp;VLOOKUP(J$87,'List Values'!$C$3:$D$6,2,FALSE)&amp;ROW(J181))),IF(J$86&lt;&gt;"","Data Source Error",""))))</f>
        <v/>
      </c>
      <c r="L181" s="621"/>
      <c r="M181" s="619"/>
      <c r="N181" s="898" t="str">
        <f ca="1">IF(OR($H$7&lt;3,N$133&lt;3),"",IF(M181&lt;&gt;"",M181,IFERROR(IF(INDIRECT("'"&amp;M$86&amp;"'!"&amp;VLOOKUP(M$87,'List Values'!$C$3:$D$6,2,FALSE)&amp;ROW(M181))="","",INDIRECT("'"&amp;M$86&amp;"'!"&amp;VLOOKUP(M$87,'List Values'!$C$3:$D$6,2,FALSE)&amp;ROW(M181))),IF(M$86&lt;&gt;"","Data Source Error",""))))</f>
        <v/>
      </c>
      <c r="O181" s="621"/>
      <c r="P181" s="619"/>
      <c r="Q181" s="898" t="str">
        <f ca="1">IF(OR($H$7&lt;4,Q$133&lt;3),"",IF(P181&lt;&gt;"",P181,IFERROR(IF(INDIRECT("'"&amp;P$86&amp;"'!"&amp;VLOOKUP(P$87,'List Values'!$C$3:$D$6,2,FALSE)&amp;ROW(P181))="","",INDIRECT("'"&amp;P$86&amp;"'!"&amp;VLOOKUP(P$87,'List Values'!$C$3:$D$6,2,FALSE)&amp;ROW(P181))),IF(P$86&lt;&gt;"","Data Source Error",""))))</f>
        <v/>
      </c>
      <c r="R181" s="147"/>
      <c r="S181" s="619"/>
      <c r="T181" s="898" t="str">
        <f ca="1">IF(OR($H$7&lt;5,T$133&lt;3),"",IF(S181&lt;&gt;"",S181,IFERROR(IF(INDIRECT("'"&amp;S$86&amp;"'!"&amp;VLOOKUP(S$87,'List Values'!$C$3:$D$6,2,FALSE)&amp;ROW(S181))="","",INDIRECT("'"&amp;S$86&amp;"'!"&amp;VLOOKUP(S$87,'List Values'!$C$3:$D$6,2,FALSE)&amp;ROW(S181))),IF(S$86&lt;&gt;"","Data Source Error",""))))</f>
        <v/>
      </c>
      <c r="U181" s="147"/>
      <c r="V181" s="619"/>
      <c r="W181" s="909" t="str">
        <f ca="1">IF(OR($H$7&lt;6,W$133&lt;3),"",IF(V181&lt;&gt;"",V181,IFERROR(IF(INDIRECT("'"&amp;V$86&amp;"'!"&amp;VLOOKUP(V$87,'List Values'!$C$3:$D$6,2,FALSE)&amp;ROW(V181))="","",INDIRECT("'"&amp;V$86&amp;"'!"&amp;VLOOKUP(V$87,'List Values'!$C$3:$D$6,2,FALSE)&amp;ROW(V181))),IF(V$86&lt;&gt;"","Data Source Error",""))))</f>
        <v/>
      </c>
      <c r="Y181" s="2643"/>
      <c r="Z181" s="2644"/>
      <c r="AA181" s="2644"/>
      <c r="AB181" s="2645"/>
    </row>
    <row r="182" spans="1:28" ht="30.75" customHeight="1" outlineLevel="1">
      <c r="A182" s="252"/>
      <c r="B182" s="252"/>
      <c r="C182" s="2680" t="s">
        <v>2522</v>
      </c>
      <c r="D182" s="2680"/>
      <c r="E182" s="2062"/>
      <c r="F182" s="2062"/>
      <c r="G182" s="636"/>
      <c r="H182" s="637"/>
      <c r="I182" s="187"/>
      <c r="J182" s="619"/>
      <c r="K182" s="898" t="str">
        <f ca="1">IF(OR($H$7&lt;2,K$133&lt;3),"",IF(J182&lt;&gt;"",J182,IFERROR(IF(INDIRECT("'"&amp;J$86&amp;"'!"&amp;VLOOKUP(J$87,'List Values'!$C$3:$D$6,2,FALSE)&amp;ROW(J182))="","",INDIRECT("'"&amp;J$86&amp;"'!"&amp;VLOOKUP(J$87,'List Values'!$C$3:$D$6,2,FALSE)&amp;ROW(J182))),IF(J$86&lt;&gt;"","Data Source Error",""))))</f>
        <v/>
      </c>
      <c r="L182" s="621"/>
      <c r="M182" s="619"/>
      <c r="N182" s="971" t="str">
        <f ca="1">IF(OR($H$7&lt;3,N$133&lt;3),"",IF(M182&lt;&gt;"",M182,IFERROR(IF(INDIRECT("'"&amp;M$86&amp;"'!"&amp;VLOOKUP(M$87,'List Values'!$C$3:$D$6,2,FALSE)&amp;ROW(M182))="","",INDIRECT("'"&amp;M$86&amp;"'!"&amp;VLOOKUP(M$87,'List Values'!$C$3:$D$6,2,FALSE)&amp;ROW(M182))),IF(M$86&lt;&gt;"","Data Source Error",""))))</f>
        <v/>
      </c>
      <c r="O182" s="621"/>
      <c r="P182" s="619"/>
      <c r="Q182" s="898" t="str">
        <f ca="1">IF(OR($H$7&lt;4,Q$133&lt;3),"",IF(P182&lt;&gt;"",P182,IFERROR(IF(INDIRECT("'"&amp;P$86&amp;"'!"&amp;VLOOKUP(P$87,'List Values'!$C$3:$D$6,2,FALSE)&amp;ROW(P182))="","",INDIRECT("'"&amp;P$86&amp;"'!"&amp;VLOOKUP(P$87,'List Values'!$C$3:$D$6,2,FALSE)&amp;ROW(P182))),IF(P$86&lt;&gt;"","Data Source Error",""))))</f>
        <v/>
      </c>
      <c r="R182" s="147"/>
      <c r="S182" s="619"/>
      <c r="T182" s="898" t="str">
        <f ca="1">IF(OR($H$7&lt;5,T$133&lt;3),"",IF(S182&lt;&gt;"",S182,IFERROR(IF(INDIRECT("'"&amp;S$86&amp;"'!"&amp;VLOOKUP(S$87,'List Values'!$C$3:$D$6,2,FALSE)&amp;ROW(S182))="","",INDIRECT("'"&amp;S$86&amp;"'!"&amp;VLOOKUP(S$87,'List Values'!$C$3:$D$6,2,FALSE)&amp;ROW(S182))),IF(S$86&lt;&gt;"","Data Source Error",""))))</f>
        <v/>
      </c>
      <c r="U182" s="147"/>
      <c r="V182" s="619"/>
      <c r="W182" s="909" t="str">
        <f ca="1">IF(OR($H$7&lt;6,W$133&lt;3),"",IF(V182&lt;&gt;"",V182,IFERROR(IF(INDIRECT("'"&amp;V$86&amp;"'!"&amp;VLOOKUP(V$87,'List Values'!$C$3:$D$6,2,FALSE)&amp;ROW(V182))="","",INDIRECT("'"&amp;V$86&amp;"'!"&amp;VLOOKUP(V$87,'List Values'!$C$3:$D$6,2,FALSE)&amp;ROW(V182))),IF(V$86&lt;&gt;"","Data Source Error",""))))</f>
        <v/>
      </c>
      <c r="Y182" s="2643"/>
      <c r="Z182" s="2644"/>
      <c r="AA182" s="2644"/>
      <c r="AB182" s="2645"/>
    </row>
    <row r="183" spans="1:28" ht="31.5" customHeight="1" outlineLevel="1">
      <c r="A183" s="252"/>
      <c r="B183" s="252"/>
      <c r="C183" s="2680" t="s">
        <v>253</v>
      </c>
      <c r="D183" s="2680"/>
      <c r="E183" s="2062"/>
      <c r="F183" s="2062"/>
      <c r="G183" s="636"/>
      <c r="H183" s="637"/>
      <c r="I183" s="187"/>
      <c r="J183" s="526"/>
      <c r="K183" s="900" t="str">
        <f ca="1">IF(OR($H$7&lt;2,K$133&lt;3),"",IF(J183&lt;&gt;"",J183,IFERROR(IF(INDIRECT("'"&amp;J$86&amp;"'!"&amp;VLOOKUP(J$87,'List Values'!$C$3:$D$6,2,FALSE)&amp;ROW(J183))="","",INDIRECT("'"&amp;J$86&amp;"'!"&amp;VLOOKUP(J$87,'List Values'!$C$3:$D$6,2,FALSE)&amp;ROW(J183))),IF(J$86&lt;&gt;"","Data Source Error",""))))</f>
        <v/>
      </c>
      <c r="L183" s="187"/>
      <c r="M183" s="526"/>
      <c r="N183" s="900" t="str">
        <f ca="1">IF(OR($H$7&lt;3,N$133&lt;3),"",IF(M183&lt;&gt;"",M183,IFERROR(IF(INDIRECT("'"&amp;M$86&amp;"'!"&amp;VLOOKUP(M$87,'List Values'!$C$3:$D$6,2,FALSE)&amp;ROW(M183))="","",INDIRECT("'"&amp;M$86&amp;"'!"&amp;VLOOKUP(M$87,'List Values'!$C$3:$D$6,2,FALSE)&amp;ROW(M183))),IF(M$86&lt;&gt;"","Data Source Error",""))))</f>
        <v/>
      </c>
      <c r="O183" s="187"/>
      <c r="P183" s="523"/>
      <c r="Q183" s="900" t="str">
        <f ca="1">IF(OR($H$7&lt;4,Q$133&lt;3),"",IF(P183&lt;&gt;"",P183,IFERROR(IF(INDIRECT("'"&amp;P$86&amp;"'!"&amp;VLOOKUP(P$87,'List Values'!$C$3:$D$6,2,FALSE)&amp;ROW(P183))="","",INDIRECT("'"&amp;P$86&amp;"'!"&amp;VLOOKUP(P$87,'List Values'!$C$3:$D$6,2,FALSE)&amp;ROW(P183))),IF(P$86&lt;&gt;"","Data Source Error",""))))</f>
        <v/>
      </c>
      <c r="S183" s="523"/>
      <c r="T183" s="900" t="str">
        <f ca="1">IF(OR($H$7&lt;5,T$133&lt;3),"",IF(S183&lt;&gt;"",S183,IFERROR(IF(INDIRECT("'"&amp;S$86&amp;"'!"&amp;VLOOKUP(S$87,'List Values'!$C$3:$D$6,2,FALSE)&amp;ROW(S183))="","",INDIRECT("'"&amp;S$86&amp;"'!"&amp;VLOOKUP(S$87,'List Values'!$C$3:$D$6,2,FALSE)&amp;ROW(S183))),IF(S$86&lt;&gt;"","Data Source Error",""))))</f>
        <v/>
      </c>
      <c r="V183" s="523"/>
      <c r="W183" s="911" t="str">
        <f ca="1">IF(OR($H$7&lt;6,W$133&lt;3),"",IF(V183&lt;&gt;"",V183,IFERROR(IF(INDIRECT("'"&amp;V$86&amp;"'!"&amp;VLOOKUP(V$87,'List Values'!$C$3:$D$6,2,FALSE)&amp;ROW(V183))="","",INDIRECT("'"&amp;V$86&amp;"'!"&amp;VLOOKUP(V$87,'List Values'!$C$3:$D$6,2,FALSE)&amp;ROW(V183))),IF(V$86&lt;&gt;"","Data Source Error",""))))</f>
        <v/>
      </c>
      <c r="Y183" s="2643"/>
      <c r="Z183" s="2644"/>
      <c r="AA183" s="2644"/>
      <c r="AB183" s="2645"/>
    </row>
    <row r="184" spans="1:28" ht="15.75" customHeight="1" outlineLevel="1">
      <c r="A184" s="252"/>
      <c r="B184" s="252"/>
      <c r="C184" s="2684" t="s">
        <v>244</v>
      </c>
      <c r="D184" s="2684"/>
      <c r="E184" s="2062"/>
      <c r="F184" s="2062"/>
      <c r="G184" s="636"/>
      <c r="H184" s="637"/>
      <c r="I184" s="187"/>
      <c r="J184" s="580"/>
      <c r="K184" s="900" t="str">
        <f ca="1">IF(OR($H$7&lt;2,K$133&lt;3),"",IF(J184&lt;&gt;"",J184,IFERROR(IF(INDIRECT("'"&amp;J$86&amp;"'!"&amp;VLOOKUP(J$87,'List Values'!$C$3:$D$6,2,FALSE)&amp;ROW(J184))="","",INDIRECT("'"&amp;J$86&amp;"'!"&amp;VLOOKUP(J$87,'List Values'!$C$3:$D$6,2,FALSE)&amp;ROW(J184))),IF(J$86&lt;&gt;"","Data Source Error",""))))</f>
        <v/>
      </c>
      <c r="L184" s="187"/>
      <c r="M184" s="580"/>
      <c r="N184" s="900" t="str">
        <f ca="1">IF(OR($H$7&lt;3,N$133&lt;3),"",IF(M184&lt;&gt;"",M184,IFERROR(IF(INDIRECT("'"&amp;M$86&amp;"'!"&amp;VLOOKUP(M$87,'List Values'!$C$3:$D$6,2,FALSE)&amp;ROW(M184))="","",INDIRECT("'"&amp;M$86&amp;"'!"&amp;VLOOKUP(M$87,'List Values'!$C$3:$D$6,2,FALSE)&amp;ROW(M184))),IF(M$86&lt;&gt;"","Data Source Error",""))))</f>
        <v/>
      </c>
      <c r="O184" s="187"/>
      <c r="P184" s="528"/>
      <c r="Q184" s="900" t="str">
        <f ca="1">IF(OR($H$7&lt;4,Q$133&lt;3),"",IF(P184&lt;&gt;"",P184,IFERROR(IF(INDIRECT("'"&amp;P$86&amp;"'!"&amp;VLOOKUP(P$87,'List Values'!$C$3:$D$6,2,FALSE)&amp;ROW(P184))="","",INDIRECT("'"&amp;P$86&amp;"'!"&amp;VLOOKUP(P$87,'List Values'!$C$3:$D$6,2,FALSE)&amp;ROW(P184))),IF(P$86&lt;&gt;"","Data Source Error",""))))</f>
        <v/>
      </c>
      <c r="S184" s="528"/>
      <c r="T184" s="900" t="str">
        <f ca="1">IF(OR($H$7&lt;5,T$133&lt;3),"",IF(S184&lt;&gt;"",S184,IFERROR(IF(INDIRECT("'"&amp;S$86&amp;"'!"&amp;VLOOKUP(S$87,'List Values'!$C$3:$D$6,2,FALSE)&amp;ROW(S184))="","",INDIRECT("'"&amp;S$86&amp;"'!"&amp;VLOOKUP(S$87,'List Values'!$C$3:$D$6,2,FALSE)&amp;ROW(S184))),IF(S$86&lt;&gt;"","Data Source Error",""))))</f>
        <v/>
      </c>
      <c r="V184" s="528"/>
      <c r="W184" s="911" t="str">
        <f ca="1">IF(OR($H$7&lt;6,W$133&lt;3),"",IF(V184&lt;&gt;"",V184,IFERROR(IF(INDIRECT("'"&amp;V$86&amp;"'!"&amp;VLOOKUP(V$87,'List Values'!$C$3:$D$6,2,FALSE)&amp;ROW(V184))="","",INDIRECT("'"&amp;V$86&amp;"'!"&amp;VLOOKUP(V$87,'List Values'!$C$3:$D$6,2,FALSE)&amp;ROW(V184))),IF(V$86&lt;&gt;"","Data Source Error",""))))</f>
        <v/>
      </c>
      <c r="Y184" s="2643"/>
      <c r="Z184" s="2644"/>
      <c r="AA184" s="2644"/>
      <c r="AB184" s="2645"/>
    </row>
    <row r="185" spans="1:28" ht="30.75" customHeight="1" outlineLevel="1">
      <c r="A185" s="252"/>
      <c r="B185" s="252"/>
      <c r="C185" s="2680" t="s">
        <v>2523</v>
      </c>
      <c r="D185" s="2680"/>
      <c r="E185" s="2062"/>
      <c r="F185" s="2062"/>
      <c r="G185" s="636"/>
      <c r="H185" s="637"/>
      <c r="I185" s="187"/>
      <c r="J185" s="580"/>
      <c r="K185" s="900" t="str">
        <f ca="1">IF(OR($H$7&lt;2,K$133&lt;3),"",IF(J185&lt;&gt;"",J185,IFERROR(IF(INDIRECT("'"&amp;J$86&amp;"'!"&amp;VLOOKUP(J$87,'List Values'!$C$3:$D$6,2,FALSE)&amp;ROW(J185))="","",INDIRECT("'"&amp;J$86&amp;"'!"&amp;VLOOKUP(J$87,'List Values'!$C$3:$D$6,2,FALSE)&amp;ROW(J185))),IF(J$86&lt;&gt;"","Data Source Error",""))))</f>
        <v/>
      </c>
      <c r="L185" s="187"/>
      <c r="M185" s="580"/>
      <c r="N185" s="900" t="str">
        <f ca="1">IF(OR($H$7&lt;3,N$133&lt;3),"",IF(M185&lt;&gt;"",M185,IFERROR(IF(INDIRECT("'"&amp;M$86&amp;"'!"&amp;VLOOKUP(M$87,'List Values'!$C$3:$D$6,2,FALSE)&amp;ROW(M185))="","",INDIRECT("'"&amp;M$86&amp;"'!"&amp;VLOOKUP(M$87,'List Values'!$C$3:$D$6,2,FALSE)&amp;ROW(M185))),IF(M$86&lt;&gt;"","Data Source Error",""))))</f>
        <v/>
      </c>
      <c r="O185" s="187"/>
      <c r="P185" s="528"/>
      <c r="Q185" s="900" t="str">
        <f ca="1">IF(OR($H$7&lt;4,Q$133&lt;3),"",IF(P185&lt;&gt;"",P185,IFERROR(IF(INDIRECT("'"&amp;P$86&amp;"'!"&amp;VLOOKUP(P$87,'List Values'!$C$3:$D$6,2,FALSE)&amp;ROW(P185))="","",INDIRECT("'"&amp;P$86&amp;"'!"&amp;VLOOKUP(P$87,'List Values'!$C$3:$D$6,2,FALSE)&amp;ROW(P185))),IF(P$86&lt;&gt;"","Data Source Error",""))))</f>
        <v/>
      </c>
      <c r="S185" s="528"/>
      <c r="T185" s="900" t="str">
        <f ca="1">IF(OR($H$7&lt;5,T$133&lt;3),"",IF(S185&lt;&gt;"",S185,IFERROR(IF(INDIRECT("'"&amp;S$86&amp;"'!"&amp;VLOOKUP(S$87,'List Values'!$C$3:$D$6,2,FALSE)&amp;ROW(S185))="","",INDIRECT("'"&amp;S$86&amp;"'!"&amp;VLOOKUP(S$87,'List Values'!$C$3:$D$6,2,FALSE)&amp;ROW(S185))),IF(S$86&lt;&gt;"","Data Source Error",""))))</f>
        <v/>
      </c>
      <c r="V185" s="528"/>
      <c r="W185" s="911" t="str">
        <f ca="1">IF(OR($H$7&lt;6,W$133&lt;3),"",IF(V185&lt;&gt;"",V185,IFERROR(IF(INDIRECT("'"&amp;V$86&amp;"'!"&amp;VLOOKUP(V$87,'List Values'!$C$3:$D$6,2,FALSE)&amp;ROW(V185))="","",INDIRECT("'"&amp;V$86&amp;"'!"&amp;VLOOKUP(V$87,'List Values'!$C$3:$D$6,2,FALSE)&amp;ROW(V185))),IF(V$86&lt;&gt;"","Data Source Error",""))))</f>
        <v/>
      </c>
      <c r="Y185" s="2643"/>
      <c r="Z185" s="2644"/>
      <c r="AA185" s="2644"/>
      <c r="AB185" s="2645"/>
    </row>
    <row r="186" spans="1:28" ht="15.75" customHeight="1" outlineLevel="1">
      <c r="A186" s="252"/>
      <c r="B186" s="252"/>
      <c r="C186" s="2680" t="s">
        <v>2524</v>
      </c>
      <c r="D186" s="2680"/>
      <c r="E186" s="2062"/>
      <c r="F186" s="2062"/>
      <c r="G186" s="636"/>
      <c r="H186" s="637"/>
      <c r="I186" s="187"/>
      <c r="J186" s="580"/>
      <c r="K186" s="900" t="str">
        <f ca="1">IF(OR($H$7&lt;2,K$133&lt;3),"",IF(J186&lt;&gt;"",J186,IFERROR(IF(INDIRECT("'"&amp;J$86&amp;"'!"&amp;VLOOKUP(J$87,'List Values'!$C$3:$D$6,2,FALSE)&amp;ROW(J186))="","",INDIRECT("'"&amp;J$86&amp;"'!"&amp;VLOOKUP(J$87,'List Values'!$C$3:$D$6,2,FALSE)&amp;ROW(J186))),IF(J$86&lt;&gt;"","Data Source Error",""))))</f>
        <v/>
      </c>
      <c r="L186" s="187"/>
      <c r="M186" s="580"/>
      <c r="N186" s="900" t="str">
        <f ca="1">IF(OR($H$7&lt;3,N$133&lt;3),"",IF(M186&lt;&gt;"",M186,IFERROR(IF(INDIRECT("'"&amp;M$86&amp;"'!"&amp;VLOOKUP(M$87,'List Values'!$C$3:$D$6,2,FALSE)&amp;ROW(M186))="","",INDIRECT("'"&amp;M$86&amp;"'!"&amp;VLOOKUP(M$87,'List Values'!$C$3:$D$6,2,FALSE)&amp;ROW(M186))),IF(M$86&lt;&gt;"","Data Source Error",""))))</f>
        <v/>
      </c>
      <c r="O186" s="187"/>
      <c r="P186" s="528"/>
      <c r="Q186" s="900" t="str">
        <f ca="1">IF(OR($H$7&lt;4,Q$133&lt;3),"",IF(P186&lt;&gt;"",P186,IFERROR(IF(INDIRECT("'"&amp;P$86&amp;"'!"&amp;VLOOKUP(P$87,'List Values'!$C$3:$D$6,2,FALSE)&amp;ROW(P186))="","",INDIRECT("'"&amp;P$86&amp;"'!"&amp;VLOOKUP(P$87,'List Values'!$C$3:$D$6,2,FALSE)&amp;ROW(P186))),IF(P$86&lt;&gt;"","Data Source Error",""))))</f>
        <v/>
      </c>
      <c r="S186" s="528"/>
      <c r="T186" s="900" t="str">
        <f ca="1">IF(OR($H$7&lt;5,T$133&lt;3),"",IF(S186&lt;&gt;"",S186,IFERROR(IF(INDIRECT("'"&amp;S$86&amp;"'!"&amp;VLOOKUP(S$87,'List Values'!$C$3:$D$6,2,FALSE)&amp;ROW(S186))="","",INDIRECT("'"&amp;S$86&amp;"'!"&amp;VLOOKUP(S$87,'List Values'!$C$3:$D$6,2,FALSE)&amp;ROW(S186))),IF(S$86&lt;&gt;"","Data Source Error",""))))</f>
        <v/>
      </c>
      <c r="V186" s="528"/>
      <c r="W186" s="911" t="str">
        <f ca="1">IF(OR($H$7&lt;6,W$133&lt;3),"",IF(V186&lt;&gt;"",V186,IFERROR(IF(INDIRECT("'"&amp;V$86&amp;"'!"&amp;VLOOKUP(V$87,'List Values'!$C$3:$D$6,2,FALSE)&amp;ROW(V186))="","",INDIRECT("'"&amp;V$86&amp;"'!"&amp;VLOOKUP(V$87,'List Values'!$C$3:$D$6,2,FALSE)&amp;ROW(V186))),IF(V$86&lt;&gt;"","Data Source Error",""))))</f>
        <v/>
      </c>
      <c r="Y186" s="2643"/>
      <c r="Z186" s="2644"/>
      <c r="AA186" s="2644"/>
      <c r="AB186" s="2645"/>
    </row>
    <row r="187" spans="1:28" ht="15.65" customHeight="1" outlineLevel="1">
      <c r="A187" s="252"/>
      <c r="B187" s="252"/>
      <c r="C187" s="2684" t="s">
        <v>2525</v>
      </c>
      <c r="D187" s="2684"/>
      <c r="E187" s="2062"/>
      <c r="F187" s="2062"/>
      <c r="G187" s="636"/>
      <c r="H187" s="637"/>
      <c r="I187" s="187"/>
      <c r="J187" s="580"/>
      <c r="K187" s="900" t="str">
        <f ca="1">IF(OR($H$7&lt;2,K$133&lt;3),"",IF(J187&lt;&gt;"",J187,IFERROR(IF(INDIRECT("'"&amp;J$86&amp;"'!"&amp;VLOOKUP(J$87,'List Values'!$C$3:$D$6,2,FALSE)&amp;ROW(J187))="","",INDIRECT("'"&amp;J$86&amp;"'!"&amp;VLOOKUP(J$87,'List Values'!$C$3:$D$6,2,FALSE)&amp;ROW(J187))),IF(J$86&lt;&gt;"","Data Source Error",""))))</f>
        <v/>
      </c>
      <c r="L187" s="187"/>
      <c r="M187" s="580"/>
      <c r="N187" s="900" t="str">
        <f ca="1">IF(OR($H$7&lt;3,N$133&lt;3),"",IF(M187&lt;&gt;"",M187,IFERROR(IF(INDIRECT("'"&amp;M$86&amp;"'!"&amp;VLOOKUP(M$87,'List Values'!$C$3:$D$6,2,FALSE)&amp;ROW(M187))="","",INDIRECT("'"&amp;M$86&amp;"'!"&amp;VLOOKUP(M$87,'List Values'!$C$3:$D$6,2,FALSE)&amp;ROW(M187))),IF(M$86&lt;&gt;"","Data Source Error",""))))</f>
        <v/>
      </c>
      <c r="O187" s="187"/>
      <c r="P187" s="528"/>
      <c r="Q187" s="900" t="str">
        <f ca="1">IF(OR($H$7&lt;4,Q$133&lt;3),"",IF(P187&lt;&gt;"",P187,IFERROR(IF(INDIRECT("'"&amp;P$86&amp;"'!"&amp;VLOOKUP(P$87,'List Values'!$C$3:$D$6,2,FALSE)&amp;ROW(P187))="","",INDIRECT("'"&amp;P$86&amp;"'!"&amp;VLOOKUP(P$87,'List Values'!$C$3:$D$6,2,FALSE)&amp;ROW(P187))),IF(P$86&lt;&gt;"","Data Source Error",""))))</f>
        <v/>
      </c>
      <c r="S187" s="528"/>
      <c r="T187" s="900" t="str">
        <f ca="1">IF(OR($H$7&lt;5,T$133&lt;3),"",IF(S187&lt;&gt;"",S187,IFERROR(IF(INDIRECT("'"&amp;S$86&amp;"'!"&amp;VLOOKUP(S$87,'List Values'!$C$3:$D$6,2,FALSE)&amp;ROW(S187))="","",INDIRECT("'"&amp;S$86&amp;"'!"&amp;VLOOKUP(S$87,'List Values'!$C$3:$D$6,2,FALSE)&amp;ROW(S187))),IF(S$86&lt;&gt;"","Data Source Error",""))))</f>
        <v/>
      </c>
      <c r="V187" s="528"/>
      <c r="W187" s="911" t="str">
        <f ca="1">IF(OR($H$7&lt;6,W$133&lt;3),"",IF(V187&lt;&gt;"",V187,IFERROR(IF(INDIRECT("'"&amp;V$86&amp;"'!"&amp;VLOOKUP(V$87,'List Values'!$C$3:$D$6,2,FALSE)&amp;ROW(V187))="","",INDIRECT("'"&amp;V$86&amp;"'!"&amp;VLOOKUP(V$87,'List Values'!$C$3:$D$6,2,FALSE)&amp;ROW(V187))),IF(V$86&lt;&gt;"","Data Source Error",""))))</f>
        <v/>
      </c>
      <c r="Y187" s="2643"/>
      <c r="Z187" s="2644"/>
      <c r="AA187" s="2644"/>
      <c r="AB187" s="2645"/>
    </row>
    <row r="188" spans="1:28" ht="30.75" customHeight="1" outlineLevel="1">
      <c r="A188" s="252"/>
      <c r="B188" s="252"/>
      <c r="C188" s="2680" t="s">
        <v>2526</v>
      </c>
      <c r="D188" s="2680"/>
      <c r="E188" s="2062"/>
      <c r="F188" s="2062"/>
      <c r="G188" s="636"/>
      <c r="H188" s="637"/>
      <c r="I188" s="187"/>
      <c r="J188" s="580"/>
      <c r="K188" s="900" t="str">
        <f ca="1">IF(OR($H$7&lt;2,K$133&lt;3),"",IF(J188&lt;&gt;"",J188,IFERROR(IF(INDIRECT("'"&amp;J$86&amp;"'!"&amp;VLOOKUP(J$87,'List Values'!$C$3:$D$6,2,FALSE)&amp;ROW(J188))="","",INDIRECT("'"&amp;J$86&amp;"'!"&amp;VLOOKUP(J$87,'List Values'!$C$3:$D$6,2,FALSE)&amp;ROW(J188))),IF(J$86&lt;&gt;"","Data Source Error",""))))</f>
        <v/>
      </c>
      <c r="L188" s="187"/>
      <c r="M188" s="580"/>
      <c r="N188" s="900" t="str">
        <f ca="1">IF(OR($H$7&lt;3,N$133&lt;3),"",IF(M188&lt;&gt;"",M188,IFERROR(IF(INDIRECT("'"&amp;M$86&amp;"'!"&amp;VLOOKUP(M$87,'List Values'!$C$3:$D$6,2,FALSE)&amp;ROW(M188))="","",INDIRECT("'"&amp;M$86&amp;"'!"&amp;VLOOKUP(M$87,'List Values'!$C$3:$D$6,2,FALSE)&amp;ROW(M188))),IF(M$86&lt;&gt;"","Data Source Error",""))))</f>
        <v/>
      </c>
      <c r="O188" s="187"/>
      <c r="P188" s="528"/>
      <c r="Q188" s="900" t="str">
        <f ca="1">IF(OR($H$7&lt;4,Q$133&lt;3),"",IF(P188&lt;&gt;"",P188,IFERROR(IF(INDIRECT("'"&amp;P$86&amp;"'!"&amp;VLOOKUP(P$87,'List Values'!$C$3:$D$6,2,FALSE)&amp;ROW(P188))="","",INDIRECT("'"&amp;P$86&amp;"'!"&amp;VLOOKUP(P$87,'List Values'!$C$3:$D$6,2,FALSE)&amp;ROW(P188))),IF(P$86&lt;&gt;"","Data Source Error",""))))</f>
        <v/>
      </c>
      <c r="S188" s="528"/>
      <c r="T188" s="900" t="str">
        <f ca="1">IF(OR($H$7&lt;5,T$133&lt;3),"",IF(S188&lt;&gt;"",S188,IFERROR(IF(INDIRECT("'"&amp;S$86&amp;"'!"&amp;VLOOKUP(S$87,'List Values'!$C$3:$D$6,2,FALSE)&amp;ROW(S188))="","",INDIRECT("'"&amp;S$86&amp;"'!"&amp;VLOOKUP(S$87,'List Values'!$C$3:$D$6,2,FALSE)&amp;ROW(S188))),IF(S$86&lt;&gt;"","Data Source Error",""))))</f>
        <v/>
      </c>
      <c r="V188" s="528"/>
      <c r="W188" s="911" t="str">
        <f ca="1">IF(OR($H$7&lt;6,W$133&lt;3),"",IF(V188&lt;&gt;"",V188,IFERROR(IF(INDIRECT("'"&amp;V$86&amp;"'!"&amp;VLOOKUP(V$87,'List Values'!$C$3:$D$6,2,FALSE)&amp;ROW(V188))="","",INDIRECT("'"&amp;V$86&amp;"'!"&amp;VLOOKUP(V$87,'List Values'!$C$3:$D$6,2,FALSE)&amp;ROW(V188))),IF(V$86&lt;&gt;"","Data Source Error",""))))</f>
        <v/>
      </c>
      <c r="Y188" s="2643"/>
      <c r="Z188" s="2644"/>
      <c r="AA188" s="2644"/>
      <c r="AB188" s="2645"/>
    </row>
    <row r="189" spans="1:28" ht="30.75" customHeight="1" outlineLevel="1">
      <c r="A189" s="252"/>
      <c r="B189" s="252"/>
      <c r="C189" s="2680" t="s">
        <v>2527</v>
      </c>
      <c r="D189" s="2680"/>
      <c r="E189" s="2062"/>
      <c r="F189" s="2062"/>
      <c r="G189" s="636"/>
      <c r="H189" s="637"/>
      <c r="I189" s="187"/>
      <c r="J189" s="580"/>
      <c r="K189" s="900" t="str">
        <f ca="1">IF(OR($H$7&lt;2,K$133&lt;3),"",IF(J189&lt;&gt;"",J189,IFERROR(IF(INDIRECT("'"&amp;J$86&amp;"'!"&amp;VLOOKUP(J$87,'List Values'!$C$3:$D$6,2,FALSE)&amp;ROW(J189))="","",INDIRECT("'"&amp;J$86&amp;"'!"&amp;VLOOKUP(J$87,'List Values'!$C$3:$D$6,2,FALSE)&amp;ROW(J189))),IF(J$86&lt;&gt;"","Data Source Error",""))))</f>
        <v/>
      </c>
      <c r="L189" s="187"/>
      <c r="M189" s="580"/>
      <c r="N189" s="900" t="str">
        <f ca="1">IF(OR($H$7&lt;3,N$133&lt;3),"",IF(M189&lt;&gt;"",M189,IFERROR(IF(INDIRECT("'"&amp;M$86&amp;"'!"&amp;VLOOKUP(M$87,'List Values'!$C$3:$D$6,2,FALSE)&amp;ROW(M189))="","",INDIRECT("'"&amp;M$86&amp;"'!"&amp;VLOOKUP(M$87,'List Values'!$C$3:$D$6,2,FALSE)&amp;ROW(M189))),IF(M$86&lt;&gt;"","Data Source Error",""))))</f>
        <v/>
      </c>
      <c r="O189" s="187"/>
      <c r="P189" s="528"/>
      <c r="Q189" s="900" t="str">
        <f ca="1">IF(OR($H$7&lt;4,Q$133&lt;3),"",IF(P189&lt;&gt;"",P189,IFERROR(IF(INDIRECT("'"&amp;P$86&amp;"'!"&amp;VLOOKUP(P$87,'List Values'!$C$3:$D$6,2,FALSE)&amp;ROW(P189))="","",INDIRECT("'"&amp;P$86&amp;"'!"&amp;VLOOKUP(P$87,'List Values'!$C$3:$D$6,2,FALSE)&amp;ROW(P189))),IF(P$86&lt;&gt;"","Data Source Error",""))))</f>
        <v/>
      </c>
      <c r="S189" s="528"/>
      <c r="T189" s="900" t="str">
        <f ca="1">IF(OR($H$7&lt;5,T$133&lt;3),"",IF(S189&lt;&gt;"",S189,IFERROR(IF(INDIRECT("'"&amp;S$86&amp;"'!"&amp;VLOOKUP(S$87,'List Values'!$C$3:$D$6,2,FALSE)&amp;ROW(S189))="","",INDIRECT("'"&amp;S$86&amp;"'!"&amp;VLOOKUP(S$87,'List Values'!$C$3:$D$6,2,FALSE)&amp;ROW(S189))),IF(S$86&lt;&gt;"","Data Source Error",""))))</f>
        <v/>
      </c>
      <c r="V189" s="528"/>
      <c r="W189" s="911" t="str">
        <f ca="1">IF(OR($H$7&lt;6,W$133&lt;3),"",IF(V189&lt;&gt;"",V189,IFERROR(IF(INDIRECT("'"&amp;V$86&amp;"'!"&amp;VLOOKUP(V$87,'List Values'!$C$3:$D$6,2,FALSE)&amp;ROW(V189))="","",INDIRECT("'"&amp;V$86&amp;"'!"&amp;VLOOKUP(V$87,'List Values'!$C$3:$D$6,2,FALSE)&amp;ROW(V189))),IF(V$86&lt;&gt;"","Data Source Error",""))))</f>
        <v/>
      </c>
      <c r="Y189" s="2643"/>
      <c r="Z189" s="2644"/>
      <c r="AA189" s="2644"/>
      <c r="AB189" s="2645"/>
    </row>
    <row r="190" spans="1:28" ht="30.75" customHeight="1" outlineLevel="1">
      <c r="A190" s="252"/>
      <c r="B190" s="252"/>
      <c r="C190" s="2680" t="s">
        <v>2528</v>
      </c>
      <c r="D190" s="2680"/>
      <c r="E190" s="2062"/>
      <c r="F190" s="2062"/>
      <c r="G190" s="636"/>
      <c r="H190" s="637"/>
      <c r="I190" s="187"/>
      <c r="J190" s="580"/>
      <c r="K190" s="900" t="str">
        <f ca="1">IF(OR($H$7&lt;2,K$133&lt;3),"",IF(J190&lt;&gt;"",J190,IFERROR(IF(INDIRECT("'"&amp;J$86&amp;"'!"&amp;VLOOKUP(J$87,'List Values'!$C$3:$D$6,2,FALSE)&amp;ROW(J190))="","",INDIRECT("'"&amp;J$86&amp;"'!"&amp;VLOOKUP(J$87,'List Values'!$C$3:$D$6,2,FALSE)&amp;ROW(J190))),IF(J$86&lt;&gt;"","Data Source Error",""))))</f>
        <v/>
      </c>
      <c r="L190" s="187"/>
      <c r="M190" s="580"/>
      <c r="N190" s="900" t="str">
        <f ca="1">IF(OR($H$7&lt;3,N$133&lt;3),"",IF(M190&lt;&gt;"",M190,IFERROR(IF(INDIRECT("'"&amp;M$86&amp;"'!"&amp;VLOOKUP(M$87,'List Values'!$C$3:$D$6,2,FALSE)&amp;ROW(M190))="","",INDIRECT("'"&amp;M$86&amp;"'!"&amp;VLOOKUP(M$87,'List Values'!$C$3:$D$6,2,FALSE)&amp;ROW(M190))),IF(M$86&lt;&gt;"","Data Source Error",""))))</f>
        <v/>
      </c>
      <c r="O190" s="187"/>
      <c r="P190" s="528"/>
      <c r="Q190" s="900" t="str">
        <f ca="1">IF(OR($H$7&lt;4,Q$133&lt;3),"",IF(P190&lt;&gt;"",P190,IFERROR(IF(INDIRECT("'"&amp;P$86&amp;"'!"&amp;VLOOKUP(P$87,'List Values'!$C$3:$D$6,2,FALSE)&amp;ROW(P190))="","",INDIRECT("'"&amp;P$86&amp;"'!"&amp;VLOOKUP(P$87,'List Values'!$C$3:$D$6,2,FALSE)&amp;ROW(P190))),IF(P$86&lt;&gt;"","Data Source Error",""))))</f>
        <v/>
      </c>
      <c r="S190" s="528"/>
      <c r="T190" s="900" t="str">
        <f ca="1">IF(OR($H$7&lt;5,T$133&lt;3),"",IF(S190&lt;&gt;"",S190,IFERROR(IF(INDIRECT("'"&amp;S$86&amp;"'!"&amp;VLOOKUP(S$87,'List Values'!$C$3:$D$6,2,FALSE)&amp;ROW(S190))="","",INDIRECT("'"&amp;S$86&amp;"'!"&amp;VLOOKUP(S$87,'List Values'!$C$3:$D$6,2,FALSE)&amp;ROW(S190))),IF(S$86&lt;&gt;"","Data Source Error",""))))</f>
        <v/>
      </c>
      <c r="V190" s="528"/>
      <c r="W190" s="911" t="str">
        <f ca="1">IF(OR($H$7&lt;6,W$133&lt;3),"",IF(V190&lt;&gt;"",V190,IFERROR(IF(INDIRECT("'"&amp;V$86&amp;"'!"&amp;VLOOKUP(V$87,'List Values'!$C$3:$D$6,2,FALSE)&amp;ROW(V190))="","",INDIRECT("'"&amp;V$86&amp;"'!"&amp;VLOOKUP(V$87,'List Values'!$C$3:$D$6,2,FALSE)&amp;ROW(V190))),IF(V$86&lt;&gt;"","Data Source Error",""))))</f>
        <v/>
      </c>
      <c r="Y190" s="2643"/>
      <c r="Z190" s="2644"/>
      <c r="AA190" s="2644"/>
      <c r="AB190" s="2645"/>
    </row>
    <row r="191" spans="1:28" ht="15.75" customHeight="1" outlineLevel="1">
      <c r="A191" s="252"/>
      <c r="B191" s="252"/>
      <c r="C191" s="2680" t="s">
        <v>650</v>
      </c>
      <c r="D191" s="2680"/>
      <c r="E191" s="2062"/>
      <c r="F191" s="2062"/>
      <c r="G191" s="636"/>
      <c r="H191" s="637"/>
      <c r="I191" s="187"/>
      <c r="J191" s="580"/>
      <c r="K191" s="900" t="str">
        <f ca="1">IF(OR($H$7&lt;2,K$133&lt;3),"",IF(J191&lt;&gt;"",J191,IFERROR(IF(INDIRECT("'"&amp;J$86&amp;"'!"&amp;VLOOKUP(J$87,'List Values'!$C$3:$D$6,2,FALSE)&amp;ROW(J191))="","",INDIRECT("'"&amp;J$86&amp;"'!"&amp;VLOOKUP(J$87,'List Values'!$C$3:$D$6,2,FALSE)&amp;ROW(J191))),IF(J$86&lt;&gt;"","Data Source Error",""))))</f>
        <v/>
      </c>
      <c r="L191" s="187"/>
      <c r="M191" s="580"/>
      <c r="N191" s="900" t="str">
        <f ca="1">IF(OR($H$7&lt;3,N$133&lt;3),"",IF(M191&lt;&gt;"",M191,IFERROR(IF(INDIRECT("'"&amp;M$86&amp;"'!"&amp;VLOOKUP(M$87,'List Values'!$C$3:$D$6,2,FALSE)&amp;ROW(M191))="","",INDIRECT("'"&amp;M$86&amp;"'!"&amp;VLOOKUP(M$87,'List Values'!$C$3:$D$6,2,FALSE)&amp;ROW(M191))),IF(M$86&lt;&gt;"","Data Source Error",""))))</f>
        <v/>
      </c>
      <c r="O191" s="187"/>
      <c r="P191" s="528"/>
      <c r="Q191" s="900" t="str">
        <f ca="1">IF(OR($H$7&lt;4,Q$133&lt;3),"",IF(P191&lt;&gt;"",P191,IFERROR(IF(INDIRECT("'"&amp;P$86&amp;"'!"&amp;VLOOKUP(P$87,'List Values'!$C$3:$D$6,2,FALSE)&amp;ROW(P191))="","",INDIRECT("'"&amp;P$86&amp;"'!"&amp;VLOOKUP(P$87,'List Values'!$C$3:$D$6,2,FALSE)&amp;ROW(P191))),IF(P$86&lt;&gt;"","Data Source Error",""))))</f>
        <v/>
      </c>
      <c r="S191" s="528"/>
      <c r="T191" s="900" t="str">
        <f ca="1">IF(OR($H$7&lt;5,T$133&lt;3),"",IF(S191&lt;&gt;"",S191,IFERROR(IF(INDIRECT("'"&amp;S$86&amp;"'!"&amp;VLOOKUP(S$87,'List Values'!$C$3:$D$6,2,FALSE)&amp;ROW(S191))="","",INDIRECT("'"&amp;S$86&amp;"'!"&amp;VLOOKUP(S$87,'List Values'!$C$3:$D$6,2,FALSE)&amp;ROW(S191))),IF(S$86&lt;&gt;"","Data Source Error",""))))</f>
        <v/>
      </c>
      <c r="V191" s="528"/>
      <c r="W191" s="911" t="str">
        <f ca="1">IF(OR($H$7&lt;6,W$133&lt;3),"",IF(V191&lt;&gt;"",V191,IFERROR(IF(INDIRECT("'"&amp;V$86&amp;"'!"&amp;VLOOKUP(V$87,'List Values'!$C$3:$D$6,2,FALSE)&amp;ROW(V191))="","",INDIRECT("'"&amp;V$86&amp;"'!"&amp;VLOOKUP(V$87,'List Values'!$C$3:$D$6,2,FALSE)&amp;ROW(V191))),IF(V$86&lt;&gt;"","Data Source Error",""))))</f>
        <v/>
      </c>
      <c r="Y191" s="2643"/>
      <c r="Z191" s="2644"/>
      <c r="AA191" s="2644"/>
      <c r="AB191" s="2645"/>
    </row>
    <row r="192" spans="1:28" ht="30.75" customHeight="1" outlineLevel="1">
      <c r="A192" s="252"/>
      <c r="B192" s="252"/>
      <c r="C192" s="2680" t="s">
        <v>651</v>
      </c>
      <c r="D192" s="2680"/>
      <c r="E192" s="2062"/>
      <c r="F192" s="2062"/>
      <c r="G192" s="636"/>
      <c r="H192" s="637"/>
      <c r="I192" s="184"/>
      <c r="J192" s="624"/>
      <c r="K192" s="941" t="str">
        <f ca="1">IF(OR($H$7&lt;2,K$133&lt;3),"",IF(J192&lt;&gt;"",J192,IFERROR(IF(INDIRECT("'"&amp;J$86&amp;"'!"&amp;VLOOKUP(J$87,'List Values'!$C$3:$D$6,2,FALSE)&amp;ROW(J192))="","",INDIRECT("'"&amp;J$86&amp;"'!"&amp;VLOOKUP(J$87,'List Values'!$C$3:$D$6,2,FALSE)&amp;ROW(J192))),IF(J$86&lt;&gt;"","Data Source Error",""))))</f>
        <v/>
      </c>
      <c r="L192" s="184"/>
      <c r="M192" s="624"/>
      <c r="N192" s="941" t="str">
        <f ca="1">IF(OR($H$7&lt;3,N$133&lt;3),"",IF(M192&lt;&gt;"",M192,IFERROR(IF(INDIRECT("'"&amp;M$86&amp;"'!"&amp;VLOOKUP(M$87,'List Values'!$C$3:$D$6,2,FALSE)&amp;ROW(M192))="","",INDIRECT("'"&amp;M$86&amp;"'!"&amp;VLOOKUP(M$87,'List Values'!$C$3:$D$6,2,FALSE)&amp;ROW(M192))),IF(M$86&lt;&gt;"","Data Source Error",""))))</f>
        <v/>
      </c>
      <c r="O192" s="184"/>
      <c r="P192" s="528"/>
      <c r="Q192" s="941" t="str">
        <f ca="1">IF(OR($H$7&lt;4,Q$133&lt;3),"",IF(P192&lt;&gt;"",P192,IFERROR(IF(INDIRECT("'"&amp;P$86&amp;"'!"&amp;VLOOKUP(P$87,'List Values'!$C$3:$D$6,2,FALSE)&amp;ROW(P192))="","",INDIRECT("'"&amp;P$86&amp;"'!"&amp;VLOOKUP(P$87,'List Values'!$C$3:$D$6,2,FALSE)&amp;ROW(P192))),IF(P$86&lt;&gt;"","Data Source Error",""))))</f>
        <v/>
      </c>
      <c r="S192" s="528"/>
      <c r="T192" s="941" t="str">
        <f ca="1">IF(OR($H$7&lt;5,T$133&lt;3),"",IF(S192&lt;&gt;"",S192,IFERROR(IF(INDIRECT("'"&amp;S$86&amp;"'!"&amp;VLOOKUP(S$87,'List Values'!$C$3:$D$6,2,FALSE)&amp;ROW(S192))="","",INDIRECT("'"&amp;S$86&amp;"'!"&amp;VLOOKUP(S$87,'List Values'!$C$3:$D$6,2,FALSE)&amp;ROW(S192))),IF(S$86&lt;&gt;"","Data Source Error",""))))</f>
        <v/>
      </c>
      <c r="V192" s="528"/>
      <c r="W192" s="947" t="str">
        <f ca="1">IF(OR($H$7&lt;6,W$133&lt;3),"",IF(V192&lt;&gt;"",V192,IFERROR(IF(INDIRECT("'"&amp;V$86&amp;"'!"&amp;VLOOKUP(V$87,'List Values'!$C$3:$D$6,2,FALSE)&amp;ROW(V192))="","",INDIRECT("'"&amp;V$86&amp;"'!"&amp;VLOOKUP(V$87,'List Values'!$C$3:$D$6,2,FALSE)&amp;ROW(V192))),IF(V$86&lt;&gt;"","Data Source Error",""))))</f>
        <v/>
      </c>
      <c r="Y192" s="2643"/>
      <c r="Z192" s="2644"/>
      <c r="AA192" s="2644"/>
      <c r="AB192" s="2645"/>
    </row>
    <row r="193" spans="1:28" ht="30.75" customHeight="1" outlineLevel="1">
      <c r="A193" s="237"/>
      <c r="B193" s="511"/>
      <c r="C193" s="2680" t="s">
        <v>684</v>
      </c>
      <c r="D193" s="2680"/>
      <c r="E193" s="494"/>
      <c r="F193" s="494"/>
      <c r="G193" s="642"/>
      <c r="H193" s="643"/>
      <c r="I193" s="236"/>
      <c r="J193" s="583"/>
      <c r="K193" s="968" t="str">
        <f ca="1">IF(OR($H$7&lt;2,K$133&lt;3),"",IF(J193&lt;&gt;"",J193,IFERROR(IF(INDIRECT("'"&amp;J$86&amp;"'!"&amp;VLOOKUP(J$87,'List Values'!$C$3:$D$6,2,FALSE)&amp;ROW(J193))="","",INDIRECT("'"&amp;J$86&amp;"'!"&amp;VLOOKUP(J$87,'List Values'!$C$3:$D$6,2,FALSE)&amp;ROW(J193))),IF(J$86&lt;&gt;"","Data Source Error",""))))</f>
        <v/>
      </c>
      <c r="L193" s="236"/>
      <c r="M193" s="583"/>
      <c r="N193" s="968" t="str">
        <f ca="1">IF(OR($H$7&lt;3,N$133&lt;3),"",IF(M193&lt;&gt;"",M193,IFERROR(IF(INDIRECT("'"&amp;M$86&amp;"'!"&amp;VLOOKUP(M$87,'List Values'!$C$3:$D$6,2,FALSE)&amp;ROW(M193))="","",INDIRECT("'"&amp;M$86&amp;"'!"&amp;VLOOKUP(M$87,'List Values'!$C$3:$D$6,2,FALSE)&amp;ROW(M193))),IF(M$86&lt;&gt;"","Data Source Error",""))))</f>
        <v/>
      </c>
      <c r="O193" s="236"/>
      <c r="P193" s="582"/>
      <c r="Q193" s="968" t="str">
        <f ca="1">IF(OR($H$7&lt;4,Q$133&lt;3),"",IF(P193&lt;&gt;"",P193,IFERROR(IF(INDIRECT("'"&amp;P$86&amp;"'!"&amp;VLOOKUP(P$87,'List Values'!$C$3:$D$6,2,FALSE)&amp;ROW(P193))="","",INDIRECT("'"&amp;P$86&amp;"'!"&amp;VLOOKUP(P$87,'List Values'!$C$3:$D$6,2,FALSE)&amp;ROW(P193))),IF(P$86&lt;&gt;"","Data Source Error",""))))</f>
        <v/>
      </c>
      <c r="R193" s="236"/>
      <c r="S193" s="582"/>
      <c r="T193" s="968" t="str">
        <f ca="1">IF(OR($H$7&lt;5,T$133&lt;3),"",IF(S193&lt;&gt;"",S193,IFERROR(IF(INDIRECT("'"&amp;S$86&amp;"'!"&amp;VLOOKUP(S$87,'List Values'!$C$3:$D$6,2,FALSE)&amp;ROW(S193))="","",INDIRECT("'"&amp;S$86&amp;"'!"&amp;VLOOKUP(S$87,'List Values'!$C$3:$D$6,2,FALSE)&amp;ROW(S193))),IF(S$86&lt;&gt;"","Data Source Error",""))))</f>
        <v/>
      </c>
      <c r="U193" s="236"/>
      <c r="V193" s="582"/>
      <c r="W193" s="977" t="str">
        <f ca="1">IF(OR($H$7&lt;6,W$133&lt;3),"",IF(V193&lt;&gt;"",V193,IFERROR(IF(INDIRECT("'"&amp;V$86&amp;"'!"&amp;VLOOKUP(V$87,'List Values'!$C$3:$D$6,2,FALSE)&amp;ROW(V193))="","",INDIRECT("'"&amp;V$86&amp;"'!"&amp;VLOOKUP(V$87,'List Values'!$C$3:$D$6,2,FALSE)&amp;ROW(V193))),IF(V$86&lt;&gt;"","Data Source Error",""))))</f>
        <v/>
      </c>
      <c r="Y193" s="2657"/>
      <c r="Z193" s="2658"/>
      <c r="AA193" s="2658"/>
      <c r="AB193" s="2659"/>
    </row>
    <row r="194" spans="1:28" ht="27" customHeight="1">
      <c r="A194" s="212"/>
      <c r="B194" s="1211"/>
      <c r="C194" s="1212"/>
      <c r="D194" s="1212"/>
      <c r="E194" s="1212"/>
      <c r="F194" s="1211"/>
      <c r="G194" s="1213"/>
      <c r="H194" s="1214"/>
      <c r="I194" s="1211"/>
      <c r="J194" s="1215"/>
      <c r="K194" s="1214"/>
      <c r="L194" s="1211"/>
      <c r="M194" s="1215"/>
      <c r="N194" s="1214"/>
      <c r="O194" s="1211"/>
      <c r="P194" s="1215"/>
      <c r="Q194" s="1214"/>
      <c r="R194" s="1211"/>
      <c r="S194" s="1215"/>
      <c r="T194" s="1214"/>
      <c r="U194" s="1211"/>
      <c r="V194" s="1215"/>
      <c r="W194" s="1214"/>
    </row>
    <row r="195" spans="1:28" ht="25.5" customHeight="1">
      <c r="B195" s="2682" t="s">
        <v>2530</v>
      </c>
      <c r="C195" s="2682"/>
      <c r="D195" s="2682"/>
      <c r="E195" s="2682"/>
      <c r="F195" s="2682"/>
      <c r="G195" s="2682"/>
      <c r="H195" s="2682"/>
      <c r="I195" s="596"/>
      <c r="J195" s="2683" t="str">
        <f ca="1">H88&amp;" to "&amp;K88</f>
        <v>CMS to Regional WH</v>
      </c>
      <c r="K195" s="2683"/>
      <c r="L195" s="1219"/>
      <c r="M195" s="2683" t="str">
        <f ca="1">K88&amp;" to "&amp;N88</f>
        <v>Regional WH to Health Facility</v>
      </c>
      <c r="N195" s="2683"/>
      <c r="O195" s="1219"/>
      <c r="P195" s="2683" t="str">
        <f ca="1">N88&amp;" to "&amp;Q88</f>
        <v xml:space="preserve">Health Facility to </v>
      </c>
      <c r="Q195" s="2683"/>
      <c r="R195" s="1219"/>
      <c r="S195" s="2683" t="str">
        <f ca="1">Q88&amp;" to "&amp;T88</f>
        <v xml:space="preserve"> to </v>
      </c>
      <c r="T195" s="2683"/>
      <c r="U195" s="1219"/>
      <c r="V195" s="2683" t="str">
        <f ca="1">T88&amp;" to "&amp;W88</f>
        <v xml:space="preserve"> to </v>
      </c>
      <c r="W195" s="2683"/>
    </row>
    <row r="196" spans="1:28" ht="9.75" customHeight="1" outlineLevel="1">
      <c r="B196" s="2682"/>
      <c r="C196" s="2682"/>
      <c r="D196" s="2682"/>
      <c r="E196" s="2682"/>
      <c r="F196" s="2682"/>
      <c r="G196" s="2682"/>
      <c r="H196" s="2682"/>
      <c r="I196" s="596"/>
      <c r="J196" s="594"/>
      <c r="K196" s="594"/>
      <c r="L196" s="596"/>
      <c r="M196" s="594"/>
      <c r="N196" s="594"/>
      <c r="O196" s="596"/>
      <c r="P196" s="594"/>
      <c r="Q196" s="594"/>
      <c r="R196" s="594"/>
      <c r="S196" s="594"/>
      <c r="T196" s="594"/>
      <c r="U196" s="594"/>
      <c r="V196" s="594"/>
      <c r="W196" s="594"/>
      <c r="Y196" s="2619" t="s">
        <v>673</v>
      </c>
      <c r="Z196" s="2620"/>
      <c r="AA196" s="2620"/>
      <c r="AB196" s="2621"/>
    </row>
    <row r="197" spans="1:28" ht="32.15" customHeight="1" outlineLevel="1">
      <c r="A197" s="1"/>
      <c r="B197" s="2685" t="s">
        <v>2518</v>
      </c>
      <c r="C197" s="2685"/>
      <c r="D197" s="2685"/>
      <c r="E197" s="1691"/>
      <c r="F197" s="1691"/>
      <c r="G197" s="646"/>
      <c r="H197" s="647"/>
      <c r="I197" s="1216"/>
      <c r="J197" s="766"/>
      <c r="K197" s="1217">
        <f ca="1">IF($H$7&lt;2,0,IF(J197&lt;&gt;"",J197,IFERROR(IF(INDIRECT("'"&amp;J$86&amp;"'!"&amp;VLOOKUP(J$87,'List Values'!$C$3:$D$6,2,FALSE)&amp;ROW(J197))="",0,INDIRECT("'"&amp;J$86&amp;"'!"&amp;VLOOKUP(J$87,'List Values'!$C$3:$D$6,2,FALSE)&amp;ROW(J197))),IF(J$86&lt;&gt;"","Data Source Error",0))))</f>
        <v>0</v>
      </c>
      <c r="L197" s="1216"/>
      <c r="M197" s="766"/>
      <c r="N197" s="1217">
        <f ca="1">IF($H$7&lt;3,0,IF(M197&lt;&gt;"",M197,IFERROR(IF(INDIRECT("'"&amp;M$86&amp;"'!"&amp;VLOOKUP(M$87,'List Values'!$C$3:$D$6,2,FALSE)&amp;ROW(M197))="",0,INDIRECT("'"&amp;M$86&amp;"'!"&amp;VLOOKUP(M$87,'List Values'!$C$3:$D$6,2,FALSE)&amp;ROW(M197))),IF(M$86&lt;&gt;"","Data Source Error",0))))</f>
        <v>1</v>
      </c>
      <c r="O197" s="236"/>
      <c r="P197" s="767"/>
      <c r="Q197" s="1217">
        <f ca="1">IF($H$7&lt;4,0,IF(P197&lt;&gt;"",P197,IFERROR(IF(INDIRECT("'"&amp;P$86&amp;"'!"&amp;VLOOKUP(P$87,'List Values'!$C$3:$D$6,2,FALSE)&amp;ROW(P197))="",0,INDIRECT("'"&amp;P$86&amp;"'!"&amp;VLOOKUP(P$87,'List Values'!$C$3:$D$6,2,FALSE)&amp;ROW(P197))),IF(P$86&lt;&gt;"","Data Source Error",0))))</f>
        <v>0</v>
      </c>
      <c r="R197" s="236"/>
      <c r="S197" s="767"/>
      <c r="T197" s="1217">
        <f ca="1">IF($H$7&lt;5,0,IF(S197&lt;&gt;"",S197,IFERROR(IF(INDIRECT("'"&amp;S$86&amp;"'!"&amp;VLOOKUP(S$87,'List Values'!$C$3:$D$6,2,FALSE)&amp;ROW(S197))="",0,INDIRECT("'"&amp;S$86&amp;"'!"&amp;VLOOKUP(S$87,'List Values'!$C$3:$D$6,2,FALSE)&amp;ROW(S197))),IF(S$86&lt;&gt;"","Data Source Error",0))))</f>
        <v>0</v>
      </c>
      <c r="U197" s="236"/>
      <c r="V197" s="767"/>
      <c r="W197" s="1218">
        <f ca="1">IF($H$7&lt;6,0,IF(V197&lt;&gt;"",V197,IFERROR(IF(INDIRECT("'"&amp;V$86&amp;"'!"&amp;VLOOKUP(V$87,'List Values'!$C$3:$D$6,2,FALSE)&amp;ROW(V197))="",0,INDIRECT("'"&amp;V$86&amp;"'!"&amp;VLOOKUP(V$87,'List Values'!$C$3:$D$6,2,FALSE)&amp;ROW(V197))),IF(V$86&lt;&gt;"","Data Source Error",0))))</f>
        <v>0</v>
      </c>
      <c r="Y197" s="2643"/>
      <c r="Z197" s="2644"/>
      <c r="AA197" s="2644"/>
      <c r="AB197" s="2645"/>
    </row>
    <row r="198" spans="1:28" ht="21" customHeight="1">
      <c r="A198" s="1"/>
      <c r="B198" s="612" t="s">
        <v>616</v>
      </c>
      <c r="C198" s="607"/>
      <c r="D198" s="607"/>
      <c r="E198" s="607"/>
      <c r="F198" s="607"/>
      <c r="G198" s="607"/>
      <c r="H198" s="607"/>
      <c r="I198" s="609"/>
      <c r="J198" s="606"/>
      <c r="K198" s="961"/>
      <c r="L198" s="609"/>
      <c r="M198" s="606"/>
      <c r="N198" s="961"/>
      <c r="O198" s="608"/>
      <c r="P198" s="613"/>
      <c r="Q198" s="961"/>
      <c r="R198" s="608"/>
      <c r="S198" s="613"/>
      <c r="T198" s="961"/>
      <c r="U198" s="608"/>
      <c r="V198" s="613"/>
      <c r="W198" s="961"/>
      <c r="Y198" s="631"/>
      <c r="Z198" s="631"/>
      <c r="AA198" s="631"/>
      <c r="AB198" s="631"/>
    </row>
    <row r="199" spans="1:28" ht="15.75" customHeight="1" outlineLevel="1">
      <c r="A199" s="512"/>
      <c r="B199" s="252"/>
      <c r="C199" s="2580" t="s">
        <v>731</v>
      </c>
      <c r="D199" s="2580"/>
      <c r="E199" s="202"/>
      <c r="F199" s="202"/>
      <c r="G199" s="634"/>
      <c r="H199" s="635"/>
      <c r="I199" s="183"/>
      <c r="J199" s="628"/>
      <c r="K199" s="967" t="str">
        <f ca="1">IF(OR($H$7&lt;2,K$197&lt;1),"",IF(J199&lt;&gt;"",J199,IFERROR(IF(INDIRECT("'"&amp;J$86&amp;"'!"&amp;VLOOKUP(J$87,'List Values'!$C$3:$D$6,2,FALSE)&amp;ROW(J199))="","",INDIRECT("'"&amp;J$86&amp;"'!"&amp;VLOOKUP(J$87,'List Values'!$C$3:$D$6,2,FALSE)&amp;ROW(J199))),IF(J$86&lt;&gt;"","Data Source Error",""))))</f>
        <v/>
      </c>
      <c r="L199" s="629"/>
      <c r="M199" s="628"/>
      <c r="N199" s="967">
        <f ca="1">IF(OR($H$7&lt;3,N$197&lt;1),"",IF(M199&lt;&gt;"",M199,IFERROR(IF(INDIRECT("'"&amp;M$86&amp;"'!"&amp;VLOOKUP(M$87,'List Values'!$C$3:$D$6,2,FALSE)&amp;ROW(M199))="","",INDIRECT("'"&amp;M$86&amp;"'!"&amp;VLOOKUP(M$87,'List Values'!$C$3:$D$6,2,FALSE)&amp;ROW(M199))),IF(M$86&lt;&gt;"","Data Source Error",""))))</f>
        <v>1</v>
      </c>
      <c r="O199" s="629"/>
      <c r="P199" s="628"/>
      <c r="Q199" s="967" t="str">
        <f ca="1">IF(OR($H$7&lt;4,Q$197&lt;1),"",IF(P199&lt;&gt;"",P199,IFERROR(IF(INDIRECT("'"&amp;P$86&amp;"'!"&amp;VLOOKUP(P$87,'List Values'!$C$3:$D$6,2,FALSE)&amp;ROW(P199))="","",INDIRECT("'"&amp;P$86&amp;"'!"&amp;VLOOKUP(P$87,'List Values'!$C$3:$D$6,2,FALSE)&amp;ROW(P199))),IF(P$86&lt;&gt;"","Data Source Error",""))))</f>
        <v/>
      </c>
      <c r="R199" s="147"/>
      <c r="S199" s="628"/>
      <c r="T199" s="967" t="str">
        <f ca="1">IF(OR($H$7&lt;5,T$197&lt;1),"",IF(S199&lt;&gt;"",S199,IFERROR(IF(INDIRECT("'"&amp;S$86&amp;"'!"&amp;VLOOKUP(S$87,'List Values'!$C$3:$D$6,2,FALSE)&amp;ROW(S199))="","",INDIRECT("'"&amp;S$86&amp;"'!"&amp;VLOOKUP(S$87,'List Values'!$C$3:$D$6,2,FALSE)&amp;ROW(S199))),IF(S$86&lt;&gt;"","Data Source Error",""))))</f>
        <v/>
      </c>
      <c r="U199" s="147"/>
      <c r="V199" s="628"/>
      <c r="W199" s="973" t="str">
        <f ca="1">IF(OR($H$7&lt;6,W$197&lt;1),"",IF(V199&lt;&gt;"",V199,IFERROR(IF(INDIRECT("'"&amp;V$86&amp;"'!"&amp;VLOOKUP(V$87,'List Values'!$C$3:$D$6,2,FALSE)&amp;ROW(V199))="","",INDIRECT("'"&amp;V$86&amp;"'!"&amp;VLOOKUP(V$87,'List Values'!$C$3:$D$6,2,FALSE)&amp;ROW(V199))),IF(V$86&lt;&gt;"","Data Source Error",""))))</f>
        <v/>
      </c>
      <c r="Y199" s="2643"/>
      <c r="Z199" s="2644"/>
      <c r="AA199" s="2644"/>
      <c r="AB199" s="2645"/>
    </row>
    <row r="200" spans="1:28" ht="15.65" customHeight="1" outlineLevel="1">
      <c r="A200" s="512"/>
      <c r="B200" s="252"/>
      <c r="C200" s="2680" t="s">
        <v>626</v>
      </c>
      <c r="D200" s="2680"/>
      <c r="E200" s="2062"/>
      <c r="F200" s="2062"/>
      <c r="G200" s="636"/>
      <c r="H200" s="637"/>
      <c r="I200" s="187"/>
      <c r="J200" s="526"/>
      <c r="K200" s="979" t="str">
        <f ca="1">IF(OR($H$7&lt;2,K$197&lt;1),"",IF(J200&lt;&gt;"",J200,IFERROR(IF(INDIRECT("'"&amp;J$86&amp;"'!"&amp;VLOOKUP(J$87,'List Values'!$C$3:$D$6,2,FALSE)&amp;ROW(J200))="","",INDIRECT("'"&amp;J$86&amp;"'!"&amp;VLOOKUP(J$87,'List Values'!$C$3:$D$6,2,FALSE)&amp;ROW(J200))),IF(J$86&lt;&gt;"","Data Source Error",""))))</f>
        <v/>
      </c>
      <c r="L200" s="187"/>
      <c r="M200" s="526"/>
      <c r="N200" s="900" t="str">
        <f ca="1">IF(OR($H$7&lt;3,N$197&lt;1),"",IF(M200&lt;&gt;"",M200,IFERROR(IF(INDIRECT("'"&amp;M$86&amp;"'!"&amp;VLOOKUP(M$87,'List Values'!$C$3:$D$6,2,FALSE)&amp;ROW(M200))="","",INDIRECT("'"&amp;M$86&amp;"'!"&amp;VLOOKUP(M$87,'List Values'!$C$3:$D$6,2,FALSE)&amp;ROW(M200))),IF(M$86&lt;&gt;"","Data Source Error",""))))</f>
        <v>Car/Sport Utility/Consumer Vehicle</v>
      </c>
      <c r="O200" s="187"/>
      <c r="P200" s="526"/>
      <c r="Q200" s="900" t="str">
        <f ca="1">IF(OR($H$7&lt;4,Q$197&lt;1),"",IF(P200&lt;&gt;"",P200,IFERROR(IF(INDIRECT("'"&amp;P$86&amp;"'!"&amp;VLOOKUP(P$87,'List Values'!$C$3:$D$6,2,FALSE)&amp;ROW(P200))="","",INDIRECT("'"&amp;P$86&amp;"'!"&amp;VLOOKUP(P$87,'List Values'!$C$3:$D$6,2,FALSE)&amp;ROW(P200))),IF(P$86&lt;&gt;"","Data Source Error",""))))</f>
        <v/>
      </c>
      <c r="S200" s="526"/>
      <c r="T200" s="900" t="str">
        <f ca="1">IF(OR($H$7&lt;5,T$197&lt;1),"",IF(S200&lt;&gt;"",S200,IFERROR(IF(INDIRECT("'"&amp;S$86&amp;"'!"&amp;VLOOKUP(S$87,'List Values'!$C$3:$D$6,2,FALSE)&amp;ROW(S200))="","",INDIRECT("'"&amp;S$86&amp;"'!"&amp;VLOOKUP(S$87,'List Values'!$C$3:$D$6,2,FALSE)&amp;ROW(S200))),IF(S$86&lt;&gt;"","Data Source Error",""))))</f>
        <v/>
      </c>
      <c r="V200" s="526"/>
      <c r="W200" s="911" t="str">
        <f ca="1">IF(OR($H$7&lt;6,W$197&lt;1),"",IF(V200&lt;&gt;"",V200,IFERROR(IF(INDIRECT("'"&amp;V$86&amp;"'!"&amp;VLOOKUP(V$87,'List Values'!$C$3:$D$6,2,FALSE)&amp;ROW(V200))="","",INDIRECT("'"&amp;V$86&amp;"'!"&amp;VLOOKUP(V$87,'List Values'!$C$3:$D$6,2,FALSE)&amp;ROW(V200))),IF(V$86&lt;&gt;"","Data Source Error",""))))</f>
        <v/>
      </c>
      <c r="Y200" s="2643"/>
      <c r="Z200" s="2644"/>
      <c r="AA200" s="2644"/>
      <c r="AB200" s="2645"/>
    </row>
    <row r="201" spans="1:28" ht="31.5" customHeight="1" outlineLevel="1">
      <c r="A201" s="512"/>
      <c r="B201" s="252"/>
      <c r="C201" s="2680" t="s">
        <v>2520</v>
      </c>
      <c r="D201" s="2680"/>
      <c r="E201" s="2062"/>
      <c r="F201" s="2062"/>
      <c r="G201" s="636"/>
      <c r="H201" s="637"/>
      <c r="I201" s="187"/>
      <c r="J201" s="561" t="s">
        <v>218</v>
      </c>
      <c r="K201" s="900" t="str">
        <f ca="1">IF(OR($H$7&lt;2,K$197&lt;1),"",IF(J201&lt;&gt;"",J201,IFERROR(IF(INDIRECT("'"&amp;J$86&amp;"'!"&amp;VLOOKUP(J$87,'List Values'!$C$3:$D$6,2,FALSE)&amp;ROW(J201))="","",INDIRECT("'"&amp;J$86&amp;"'!"&amp;VLOOKUP(J$87,'List Values'!$C$3:$D$6,2,FALSE)&amp;ROW(J201))),IF(J$86&lt;&gt;"","Data Source Error",""))))</f>
        <v/>
      </c>
      <c r="L201" s="187"/>
      <c r="M201" s="561"/>
      <c r="N201" s="900" t="str">
        <f ca="1">IF(OR($H$7&lt;3,N$197&lt;1),"",IF(M201&lt;&gt;"",M201,IFERROR(IF(INDIRECT("'"&amp;M$86&amp;"'!"&amp;VLOOKUP(M$87,'List Values'!$C$3:$D$6,2,FALSE)&amp;ROW(M201))="","",INDIRECT("'"&amp;M$86&amp;"'!"&amp;VLOOKUP(M$87,'List Values'!$C$3:$D$6,2,FALSE)&amp;ROW(M201))),IF(M$86&lt;&gt;"","Data Source Error",""))))</f>
        <v>Owned</v>
      </c>
      <c r="O201" s="187"/>
      <c r="P201" s="561"/>
      <c r="Q201" s="900" t="str">
        <f ca="1">IF(OR($H$7&lt;4,Q$197&lt;1),"",IF(P201&lt;&gt;"",P201,IFERROR(IF(INDIRECT("'"&amp;P$86&amp;"'!"&amp;VLOOKUP(P$87,'List Values'!$C$3:$D$6,2,FALSE)&amp;ROW(P201))="","",INDIRECT("'"&amp;P$86&amp;"'!"&amp;VLOOKUP(P$87,'List Values'!$C$3:$D$6,2,FALSE)&amp;ROW(P201))),IF(P$86&lt;&gt;"","Data Source Error",""))))</f>
        <v/>
      </c>
      <c r="S201" s="561"/>
      <c r="T201" s="900" t="str">
        <f ca="1">IF(OR($H$7&lt;5,T$197&lt;1),"",IF(S201&lt;&gt;"",S201,IFERROR(IF(INDIRECT("'"&amp;S$86&amp;"'!"&amp;VLOOKUP(S$87,'List Values'!$C$3:$D$6,2,FALSE)&amp;ROW(S201))="","",INDIRECT("'"&amp;S$86&amp;"'!"&amp;VLOOKUP(S$87,'List Values'!$C$3:$D$6,2,FALSE)&amp;ROW(S201))),IF(S$86&lt;&gt;"","Data Source Error",""))))</f>
        <v/>
      </c>
      <c r="V201" s="561"/>
      <c r="W201" s="911" t="str">
        <f ca="1">IF(OR($H$7&lt;6,W$197&lt;1),"",IF(V201&lt;&gt;"",V201,IFERROR(IF(INDIRECT("'"&amp;V$86&amp;"'!"&amp;VLOOKUP(V$87,'List Values'!$C$3:$D$6,2,FALSE)&amp;ROW(V201))="","",INDIRECT("'"&amp;V$86&amp;"'!"&amp;VLOOKUP(V$87,'List Values'!$C$3:$D$6,2,FALSE)&amp;ROW(V201))),IF(V$86&lt;&gt;"","Data Source Error",""))))</f>
        <v/>
      </c>
      <c r="Y201" s="2643"/>
      <c r="Z201" s="2644"/>
      <c r="AA201" s="2644"/>
      <c r="AB201" s="2645"/>
    </row>
    <row r="202" spans="1:28" ht="31.5" customHeight="1" outlineLevel="1">
      <c r="A202" s="512"/>
      <c r="B202" s="252"/>
      <c r="C202" s="2684" t="s">
        <v>726</v>
      </c>
      <c r="D202" s="2684"/>
      <c r="E202" s="2062"/>
      <c r="F202" s="2062"/>
      <c r="G202" s="636"/>
      <c r="H202" s="637"/>
      <c r="I202" s="187"/>
      <c r="J202" s="526"/>
      <c r="K202" s="900" t="str">
        <f ca="1">IF(OR($H$7&lt;2,K$197&lt;1),"",IF(J202&lt;&gt;"",J202,IFERROR(IF(INDIRECT("'"&amp;J$86&amp;"'!"&amp;VLOOKUP(J$87,'List Values'!$C$3:$D$6,2,FALSE)&amp;ROW(J202))="","",INDIRECT("'"&amp;J$86&amp;"'!"&amp;VLOOKUP(J$87,'List Values'!$C$3:$D$6,2,FALSE)&amp;ROW(J202))),IF(J$86&lt;&gt;"","Data Source Error",""))))</f>
        <v/>
      </c>
      <c r="L202" s="187"/>
      <c r="M202" s="526"/>
      <c r="N202" s="900" t="str">
        <f ca="1">IF(OR($H$7&lt;3,N$197&lt;1),"",IF(M202&lt;&gt;"",M202,IFERROR(IF(INDIRECT("'"&amp;M$86&amp;"'!"&amp;VLOOKUP(M$87,'List Values'!$C$3:$D$6,2,FALSE)&amp;ROW(M202))="","",INDIRECT("'"&amp;M$86&amp;"'!"&amp;VLOOKUP(M$87,'List Values'!$C$3:$D$6,2,FALSE)&amp;ROW(M202))),IF(M$86&lt;&gt;"","Data Source Error",""))))</f>
        <v>#</v>
      </c>
      <c r="O202" s="187"/>
      <c r="P202" s="526"/>
      <c r="Q202" s="900" t="str">
        <f ca="1">IF(OR($H$7&lt;4,Q$197&lt;1),"",IF(P202&lt;&gt;"",P202,IFERROR(IF(INDIRECT("'"&amp;P$86&amp;"'!"&amp;VLOOKUP(P$87,'List Values'!$C$3:$D$6,2,FALSE)&amp;ROW(P202))="","",INDIRECT("'"&amp;P$86&amp;"'!"&amp;VLOOKUP(P$87,'List Values'!$C$3:$D$6,2,FALSE)&amp;ROW(P202))),IF(P$86&lt;&gt;"","Data Source Error",""))))</f>
        <v/>
      </c>
      <c r="S202" s="526"/>
      <c r="T202" s="900" t="str">
        <f ca="1">IF(OR($H$7&lt;5,T$197&lt;1),"",IF(S202&lt;&gt;"",S202,IFERROR(IF(INDIRECT("'"&amp;S$86&amp;"'!"&amp;VLOOKUP(S$87,'List Values'!$C$3:$D$6,2,FALSE)&amp;ROW(S202))="","",INDIRECT("'"&amp;S$86&amp;"'!"&amp;VLOOKUP(S$87,'List Values'!$C$3:$D$6,2,FALSE)&amp;ROW(S202))),IF(S$86&lt;&gt;"","Data Source Error",""))))</f>
        <v/>
      </c>
      <c r="V202" s="526"/>
      <c r="W202" s="911" t="str">
        <f ca="1">IF(OR($H$7&lt;6,W$197&lt;1),"",IF(V202&lt;&gt;"",V202,IFERROR(IF(INDIRECT("'"&amp;V$86&amp;"'!"&amp;VLOOKUP(V$87,'List Values'!$C$3:$D$6,2,FALSE)&amp;ROW(V202))="","",INDIRECT("'"&amp;V$86&amp;"'!"&amp;VLOOKUP(V$87,'List Values'!$C$3:$D$6,2,FALSE)&amp;ROW(V202))),IF(V$86&lt;&gt;"","Data Source Error",""))))</f>
        <v/>
      </c>
      <c r="Y202" s="2643"/>
      <c r="Z202" s="2644"/>
      <c r="AA202" s="2644"/>
      <c r="AB202" s="2645"/>
    </row>
    <row r="203" spans="1:28" ht="31.5" customHeight="1" outlineLevel="1">
      <c r="A203" s="512"/>
      <c r="B203" s="252"/>
      <c r="C203" s="2684" t="s">
        <v>727</v>
      </c>
      <c r="D203" s="2684"/>
      <c r="E203" s="2062"/>
      <c r="F203" s="2062"/>
      <c r="G203" s="636"/>
      <c r="H203" s="637"/>
      <c r="I203" s="187"/>
      <c r="J203" s="568"/>
      <c r="K203" s="945" t="str">
        <f ca="1">IF(OR($H$7&lt;2,K$197&lt;1),"",IF(J203&lt;&gt;"",J203,IFERROR(IF(INDIRECT("'"&amp;J$86&amp;"'!"&amp;VLOOKUP(J$87,'List Values'!$C$3:$D$6,2,FALSE)&amp;ROW(J203))="","",INDIRECT("'"&amp;J$86&amp;"'!"&amp;VLOOKUP(J$87,'List Values'!$C$3:$D$6,2,FALSE)&amp;ROW(J203))*$H$6),IF(J$86&lt;&gt;"","Data Source Error",""))))</f>
        <v/>
      </c>
      <c r="L203" s="339"/>
      <c r="M203" s="568"/>
      <c r="N203" s="945" t="str">
        <f ca="1">IF(OR($H$7&lt;3,N$197&lt;1),"",IF(M203&lt;&gt;"",M203,IFERROR(IF(INDIRECT("'"&amp;M$86&amp;"'!"&amp;VLOOKUP(M$87,'List Values'!$C$3:$D$6,2,FALSE)&amp;ROW(M203))="","",INDIRECT("'"&amp;M$86&amp;"'!"&amp;VLOOKUP(M$87,'List Values'!$C$3:$D$6,2,FALSE)&amp;ROW(M203))*$H$6),IF(M$86&lt;&gt;"","Data Source Error",""))))</f>
        <v>Data Source Error</v>
      </c>
      <c r="O203" s="339"/>
      <c r="P203" s="568"/>
      <c r="Q203" s="945" t="str">
        <f ca="1">IF(OR($H$7&lt;4,Q$197&lt;1),"",IF(P203&lt;&gt;"",P203,IFERROR(IF(INDIRECT("'"&amp;P$86&amp;"'!"&amp;VLOOKUP(P$87,'List Values'!$C$3:$D$6,2,FALSE)&amp;ROW(P203))="","",INDIRECT("'"&amp;P$86&amp;"'!"&amp;VLOOKUP(P$87,'List Values'!$C$3:$D$6,2,FALSE)&amp;ROW(P203))*$H$6),IF(P$86&lt;&gt;"","Data Source Error",""))))</f>
        <v/>
      </c>
      <c r="R203" s="7"/>
      <c r="S203" s="568"/>
      <c r="T203" s="945" t="str">
        <f ca="1">IF(OR($H$7&lt;5,T$197&lt;1),"",IF(S203&lt;&gt;"",S203,IFERROR(IF(INDIRECT("'"&amp;S$86&amp;"'!"&amp;VLOOKUP(S$87,'List Values'!$C$3:$D$6,2,FALSE)&amp;ROW(S203))="","",INDIRECT("'"&amp;S$86&amp;"'!"&amp;VLOOKUP(S$87,'List Values'!$C$3:$D$6,2,FALSE)&amp;ROW(S203))*$H$6),IF(S$86&lt;&gt;"","Data Source Error",""))))</f>
        <v/>
      </c>
      <c r="U203" s="7"/>
      <c r="V203" s="568"/>
      <c r="W203" s="952" t="str">
        <f ca="1">IF(OR($H$7&lt;6,W$197&lt;1),"",IF(V203&lt;&gt;"",V203,IFERROR(IF(INDIRECT("'"&amp;V$86&amp;"'!"&amp;VLOOKUP(V$87,'List Values'!$C$3:$D$6,2,FALSE)&amp;ROW(V203))="","",INDIRECT("'"&amp;V$86&amp;"'!"&amp;VLOOKUP(V$87,'List Values'!$C$3:$D$6,2,FALSE)&amp;ROW(V203))*$H$6),IF(V$86&lt;&gt;"","Data Source Error",""))))</f>
        <v/>
      </c>
      <c r="Y203" s="2643"/>
      <c r="Z203" s="2644"/>
      <c r="AA203" s="2644"/>
      <c r="AB203" s="2645"/>
    </row>
    <row r="204" spans="1:28" ht="15.75" customHeight="1" outlineLevel="1">
      <c r="A204" s="512"/>
      <c r="B204" s="252"/>
      <c r="C204" s="2680" t="s">
        <v>732</v>
      </c>
      <c r="D204" s="2680"/>
      <c r="E204" s="2062"/>
      <c r="F204" s="2062"/>
      <c r="G204" s="636"/>
      <c r="H204" s="637"/>
      <c r="I204" s="187"/>
      <c r="J204" s="526"/>
      <c r="K204" s="900" t="str">
        <f ca="1">IF(OR($H$7&lt;2,K$197&lt;1),"",IF(J204&lt;&gt;"",J204,IFERROR(IF(INDIRECT("'"&amp;J$86&amp;"'!"&amp;VLOOKUP(J$87,'List Values'!$C$3:$D$6,2,FALSE)&amp;ROW(J204))="","",INDIRECT("'"&amp;J$86&amp;"'!"&amp;VLOOKUP(J$87,'List Values'!$C$3:$D$6,2,FALSE)&amp;ROW(J204))),IF(J$86&lt;&gt;"","Data Source Error",""))))</f>
        <v/>
      </c>
      <c r="L204" s="187"/>
      <c r="M204" s="526">
        <v>10</v>
      </c>
      <c r="N204" s="900">
        <f ca="1">IF(OR($H$7&lt;3,N$197&lt;1),"",IF(M204&lt;&gt;"",M204,IFERROR(IF(INDIRECT("'"&amp;M$86&amp;"'!"&amp;VLOOKUP(M$87,'List Values'!$C$3:$D$6,2,FALSE)&amp;ROW(M204))="","",INDIRECT("'"&amp;M$86&amp;"'!"&amp;VLOOKUP(M$87,'List Values'!$C$3:$D$6,2,FALSE)&amp;ROW(M204))),IF(M$86&lt;&gt;"","Data Source Error",""))))</f>
        <v>10</v>
      </c>
      <c r="O204" s="187"/>
      <c r="P204" s="526"/>
      <c r="Q204" s="900" t="str">
        <f ca="1">IF(OR($H$7&lt;4,Q$197&lt;1),"",IF(P204&lt;&gt;"",P204,IFERROR(IF(INDIRECT("'"&amp;P$86&amp;"'!"&amp;VLOOKUP(P$87,'List Values'!$C$3:$D$6,2,FALSE)&amp;ROW(P204))="","",INDIRECT("'"&amp;P$86&amp;"'!"&amp;VLOOKUP(P$87,'List Values'!$C$3:$D$6,2,FALSE)&amp;ROW(P204))),IF(P$86&lt;&gt;"","Data Source Error",""))))</f>
        <v/>
      </c>
      <c r="S204" s="526"/>
      <c r="T204" s="900" t="str">
        <f ca="1">IF(OR($H$7&lt;5,T$197&lt;1),"",IF(S204&lt;&gt;"",S204,IFERROR(IF(INDIRECT("'"&amp;S$86&amp;"'!"&amp;VLOOKUP(S$87,'List Values'!$C$3:$D$6,2,FALSE)&amp;ROW(S204))="","",INDIRECT("'"&amp;S$86&amp;"'!"&amp;VLOOKUP(S$87,'List Values'!$C$3:$D$6,2,FALSE)&amp;ROW(S204))),IF(S$86&lt;&gt;"","Data Source Error",""))))</f>
        <v/>
      </c>
      <c r="V204" s="526"/>
      <c r="W204" s="911" t="str">
        <f ca="1">IF(OR($H$7&lt;6,W$197&lt;1),"",IF(V204&lt;&gt;"",V204,IFERROR(IF(INDIRECT("'"&amp;V$86&amp;"'!"&amp;VLOOKUP(V$87,'List Values'!$C$3:$D$6,2,FALSE)&amp;ROW(V204))="","",INDIRECT("'"&amp;V$86&amp;"'!"&amp;VLOOKUP(V$87,'List Values'!$C$3:$D$6,2,FALSE)&amp;ROW(V204))),IF(V$86&lt;&gt;"","Data Source Error",""))))</f>
        <v/>
      </c>
      <c r="Y204" s="2643"/>
      <c r="Z204" s="2644"/>
      <c r="AA204" s="2644"/>
      <c r="AB204" s="2645"/>
    </row>
    <row r="205" spans="1:28" ht="31.5" customHeight="1" outlineLevel="1">
      <c r="A205" s="512"/>
      <c r="B205" s="252"/>
      <c r="C205" s="2684" t="s">
        <v>634</v>
      </c>
      <c r="D205" s="2684"/>
      <c r="E205" s="203"/>
      <c r="F205" s="203"/>
      <c r="G205" s="644"/>
      <c r="H205" s="645"/>
      <c r="I205" s="183"/>
      <c r="J205" s="553"/>
      <c r="K205" s="897" t="str">
        <f ca="1">IF(OR($H$7&lt;2,K$197&lt;1),"",IF(J205&lt;&gt;"",J205,IFERROR(IF(INDIRECT("'"&amp;J$86&amp;"'!"&amp;VLOOKUP(J$87,'List Values'!$C$3:$D$6,2,FALSE)&amp;ROW(J205))="","",INDIRECT("'"&amp;J$86&amp;"'!"&amp;VLOOKUP(J$87,'List Values'!$C$3:$D$6,2,FALSE)&amp;ROW(J205))),IF(J$86&lt;&gt;"","Data Source Error",""))))</f>
        <v/>
      </c>
      <c r="L205" s="183"/>
      <c r="M205" s="553"/>
      <c r="N205" s="897" t="str">
        <f ca="1">IF(OR($H$7&lt;3,N$197&lt;1),"",IF(M205&lt;&gt;"",M205,IFERROR(IF(INDIRECT("'"&amp;M$86&amp;"'!"&amp;VLOOKUP(M$87,'List Values'!$C$3:$D$6,2,FALSE)&amp;ROW(M205))="","",INDIRECT("'"&amp;M$86&amp;"'!"&amp;VLOOKUP(M$87,'List Values'!$C$3:$D$6,2,FALSE)&amp;ROW(M205))),IF(M$86&lt;&gt;"","Data Source Error",""))))</f>
        <v>No</v>
      </c>
      <c r="O205" s="183"/>
      <c r="P205" s="553"/>
      <c r="Q205" s="897" t="str">
        <f ca="1">IF(OR($H$7&lt;4,Q$197&lt;1),"",IF(P205&lt;&gt;"",P205,IFERROR(IF(INDIRECT("'"&amp;P$86&amp;"'!"&amp;VLOOKUP(P$87,'List Values'!$C$3:$D$6,2,FALSE)&amp;ROW(P205))="","",INDIRECT("'"&amp;P$86&amp;"'!"&amp;VLOOKUP(P$87,'List Values'!$C$3:$D$6,2,FALSE)&amp;ROW(P205))),IF(P$86&lt;&gt;"","Data Source Error",""))))</f>
        <v/>
      </c>
      <c r="S205" s="553"/>
      <c r="T205" s="897" t="str">
        <f ca="1">IF(OR($H$7&lt;5,T$197&lt;1),"",IF(S205&lt;&gt;"",S205,IFERROR(IF(INDIRECT("'"&amp;S$86&amp;"'!"&amp;VLOOKUP(S$87,'List Values'!$C$3:$D$6,2,FALSE)&amp;ROW(S205))="","",INDIRECT("'"&amp;S$86&amp;"'!"&amp;VLOOKUP(S$87,'List Values'!$C$3:$D$6,2,FALSE)&amp;ROW(S205))),IF(S$86&lt;&gt;"","Data Source Error",""))))</f>
        <v/>
      </c>
      <c r="V205" s="553"/>
      <c r="W205" s="908" t="str">
        <f ca="1">IF(OR($H$7&lt;6,W$197&lt;1),"",IF(V205&lt;&gt;"",V205,IFERROR(IF(INDIRECT("'"&amp;V$86&amp;"'!"&amp;VLOOKUP(V$87,'List Values'!$C$3:$D$6,2,FALSE)&amp;ROW(V205))="","",INDIRECT("'"&amp;V$86&amp;"'!"&amp;VLOOKUP(V$87,'List Values'!$C$3:$D$6,2,FALSE)&amp;ROW(V205))),IF(V$86&lt;&gt;"","Data Source Error",""))))</f>
        <v/>
      </c>
      <c r="Y205" s="2643"/>
      <c r="Z205" s="2644"/>
      <c r="AA205" s="2644"/>
      <c r="AB205" s="2645"/>
    </row>
    <row r="206" spans="1:28" ht="31.5" customHeight="1" outlineLevel="1">
      <c r="A206" s="512"/>
      <c r="B206" s="252"/>
      <c r="C206" s="2680" t="s">
        <v>2521</v>
      </c>
      <c r="D206" s="2680"/>
      <c r="E206" s="2062"/>
      <c r="F206" s="2062"/>
      <c r="G206" s="636"/>
      <c r="H206" s="637"/>
      <c r="I206" s="187"/>
      <c r="J206" s="619"/>
      <c r="K206" s="898" t="str">
        <f ca="1">IF(OR($H$7&lt;2,K$197&lt;1),"",IF(J206&lt;&gt;"",J206,IFERROR(IF(INDIRECT("'"&amp;J$86&amp;"'!"&amp;VLOOKUP(J$87,'List Values'!$C$3:$D$6,2,FALSE)&amp;ROW(J206))="","",INDIRECT("'"&amp;J$86&amp;"'!"&amp;VLOOKUP(J$87,'List Values'!$C$3:$D$6,2,FALSE)&amp;ROW(J206))),IF(J$86&lt;&gt;"","Data Source Error",""))))</f>
        <v/>
      </c>
      <c r="L206" s="621"/>
      <c r="M206" s="619"/>
      <c r="N206" s="898">
        <f ca="1">IF(OR($H$7&lt;3,N$197&lt;1),"",IF(M206&lt;&gt;"",M206,IFERROR(IF(INDIRECT("'"&amp;M$86&amp;"'!"&amp;VLOOKUP(M$87,'List Values'!$C$3:$D$6,2,FALSE)&amp;ROW(M206))="","",INDIRECT("'"&amp;M$86&amp;"'!"&amp;VLOOKUP(M$87,'List Values'!$C$3:$D$6,2,FALSE)&amp;ROW(M206))),IF(M$86&lt;&gt;"","Data Source Error",""))))</f>
        <v>0</v>
      </c>
      <c r="O206" s="621"/>
      <c r="P206" s="619"/>
      <c r="Q206" s="898" t="str">
        <f ca="1">IF(OR($H$7&lt;4,Q$197&lt;1),"",IF(P206&lt;&gt;"",P206,IFERROR(IF(INDIRECT("'"&amp;P$86&amp;"'!"&amp;VLOOKUP(P$87,'List Values'!$C$3:$D$6,2,FALSE)&amp;ROW(P206))="","",INDIRECT("'"&amp;P$86&amp;"'!"&amp;VLOOKUP(P$87,'List Values'!$C$3:$D$6,2,FALSE)&amp;ROW(P206))),IF(P$86&lt;&gt;"","Data Source Error",""))))</f>
        <v/>
      </c>
      <c r="R206" s="147"/>
      <c r="S206" s="619"/>
      <c r="T206" s="898" t="str">
        <f ca="1">IF(OR($H$7&lt;5,T$197&lt;1),"",IF(S206&lt;&gt;"",S206,IFERROR(IF(INDIRECT("'"&amp;S$86&amp;"'!"&amp;VLOOKUP(S$87,'List Values'!$C$3:$D$6,2,FALSE)&amp;ROW(S206))="","",INDIRECT("'"&amp;S$86&amp;"'!"&amp;VLOOKUP(S$87,'List Values'!$C$3:$D$6,2,FALSE)&amp;ROW(S206))),IF(S$86&lt;&gt;"","Data Source Error",""))))</f>
        <v/>
      </c>
      <c r="U206" s="147"/>
      <c r="V206" s="619"/>
      <c r="W206" s="909" t="str">
        <f ca="1">IF(OR($H$7&lt;6,W$197&lt;1),"",IF(V206&lt;&gt;"",V206,IFERROR(IF(INDIRECT("'"&amp;V$86&amp;"'!"&amp;VLOOKUP(V$87,'List Values'!$C$3:$D$6,2,FALSE)&amp;ROW(V206))="","",INDIRECT("'"&amp;V$86&amp;"'!"&amp;VLOOKUP(V$87,'List Values'!$C$3:$D$6,2,FALSE)&amp;ROW(V206))),IF(V$86&lt;&gt;"","Data Source Error",""))))</f>
        <v/>
      </c>
      <c r="Y206" s="2643"/>
      <c r="Z206" s="2644"/>
      <c r="AA206" s="2644"/>
      <c r="AB206" s="2645"/>
    </row>
    <row r="207" spans="1:28" ht="31.5" customHeight="1" outlineLevel="1">
      <c r="A207" s="512"/>
      <c r="B207" s="252"/>
      <c r="C207" s="2680" t="s">
        <v>2522</v>
      </c>
      <c r="D207" s="2680"/>
      <c r="E207" s="2062"/>
      <c r="F207" s="2062"/>
      <c r="G207" s="636"/>
      <c r="H207" s="637"/>
      <c r="I207" s="187"/>
      <c r="J207" s="619"/>
      <c r="K207" s="898" t="str">
        <f ca="1">IF(OR($H$7&lt;2,K$197&lt;1),"",IF(J207&lt;&gt;"",J207,IFERROR(IF(INDIRECT("'"&amp;J$86&amp;"'!"&amp;VLOOKUP(J$87,'List Values'!$C$3:$D$6,2,FALSE)&amp;ROW(J207))="","",INDIRECT("'"&amp;J$86&amp;"'!"&amp;VLOOKUP(J$87,'List Values'!$C$3:$D$6,2,FALSE)&amp;ROW(J207))),IF(J$86&lt;&gt;"","Data Source Error",""))))</f>
        <v/>
      </c>
      <c r="L207" s="621"/>
      <c r="M207" s="619"/>
      <c r="N207" s="898">
        <f ca="1">IF(OR($H$7&lt;3,N$197&lt;1),"",IF(M207&lt;&gt;"",M207,IFERROR(IF(INDIRECT("'"&amp;M$86&amp;"'!"&amp;VLOOKUP(M$87,'List Values'!$C$3:$D$6,2,FALSE)&amp;ROW(M207))="","",INDIRECT("'"&amp;M$86&amp;"'!"&amp;VLOOKUP(M$87,'List Values'!$C$3:$D$6,2,FALSE)&amp;ROW(M207))),IF(M$86&lt;&gt;"","Data Source Error",""))))</f>
        <v>0</v>
      </c>
      <c r="O207" s="621"/>
      <c r="P207" s="619"/>
      <c r="Q207" s="898" t="str">
        <f ca="1">IF(OR($H$7&lt;4,Q$197&lt;1),"",IF(P207&lt;&gt;"",P207,IFERROR(IF(INDIRECT("'"&amp;P$86&amp;"'!"&amp;VLOOKUP(P$87,'List Values'!$C$3:$D$6,2,FALSE)&amp;ROW(P207))="","",INDIRECT("'"&amp;P$86&amp;"'!"&amp;VLOOKUP(P$87,'List Values'!$C$3:$D$6,2,FALSE)&amp;ROW(P207))),IF(P$86&lt;&gt;"","Data Source Error",""))))</f>
        <v/>
      </c>
      <c r="R207" s="147"/>
      <c r="S207" s="619"/>
      <c r="T207" s="898" t="str">
        <f ca="1">IF(OR($H$7&lt;5,T$197&lt;1),"",IF(S207&lt;&gt;"",S207,IFERROR(IF(INDIRECT("'"&amp;S$86&amp;"'!"&amp;VLOOKUP(S$87,'List Values'!$C$3:$D$6,2,FALSE)&amp;ROW(S207))="","",INDIRECT("'"&amp;S$86&amp;"'!"&amp;VLOOKUP(S$87,'List Values'!$C$3:$D$6,2,FALSE)&amp;ROW(S207))),IF(S$86&lt;&gt;"","Data Source Error",""))))</f>
        <v/>
      </c>
      <c r="U207" s="147"/>
      <c r="V207" s="619"/>
      <c r="W207" s="909" t="str">
        <f ca="1">IF(OR($H$7&lt;6,W$197&lt;1),"",IF(V207&lt;&gt;"",V207,IFERROR(IF(INDIRECT("'"&amp;V$86&amp;"'!"&amp;VLOOKUP(V$87,'List Values'!$C$3:$D$6,2,FALSE)&amp;ROW(V207))="","",INDIRECT("'"&amp;V$86&amp;"'!"&amp;VLOOKUP(V$87,'List Values'!$C$3:$D$6,2,FALSE)&amp;ROW(V207))),IF(V$86&lt;&gt;"","Data Source Error",""))))</f>
        <v/>
      </c>
      <c r="Y207" s="2643"/>
      <c r="Z207" s="2644"/>
      <c r="AA207" s="2644"/>
      <c r="AB207" s="2645"/>
    </row>
    <row r="208" spans="1:28" ht="33.75" customHeight="1" outlineLevel="1">
      <c r="A208" s="512"/>
      <c r="B208" s="252"/>
      <c r="C208" s="2680" t="s">
        <v>253</v>
      </c>
      <c r="D208" s="2680"/>
      <c r="E208" s="2062"/>
      <c r="F208" s="2062"/>
      <c r="G208" s="636"/>
      <c r="H208" s="637"/>
      <c r="I208" s="187"/>
      <c r="J208" s="526"/>
      <c r="K208" s="900" t="str">
        <f ca="1">IF(OR($H$7&lt;2,K$197&lt;1),"",IF(J208&lt;&gt;"",J208,IFERROR(IF(INDIRECT("'"&amp;J$86&amp;"'!"&amp;VLOOKUP(J$87,'List Values'!$C$3:$D$6,2,FALSE)&amp;ROW(J208))="","",INDIRECT("'"&amp;J$86&amp;"'!"&amp;VLOOKUP(J$87,'List Values'!$C$3:$D$6,2,FALSE)&amp;ROW(J208))),IF(J$86&lt;&gt;"","Data Source Error",""))))</f>
        <v/>
      </c>
      <c r="L208" s="187"/>
      <c r="M208" s="526"/>
      <c r="N208" s="900" t="str">
        <f ca="1">IF(OR($H$7&lt;3,N$197&lt;1),"",IF(M208&lt;&gt;"",M208,IFERROR(IF(INDIRECT("'"&amp;M$86&amp;"'!"&amp;VLOOKUP(M$87,'List Values'!$C$3:$D$6,2,FALSE)&amp;ROW(M208))="","",INDIRECT("'"&amp;M$86&amp;"'!"&amp;VLOOKUP(M$87,'List Values'!$C$3:$D$6,2,FALSE)&amp;ROW(M208))),IF(M$86&lt;&gt;"","Data Source Error",""))))</f>
        <v>Route-based</v>
      </c>
      <c r="O208" s="187"/>
      <c r="P208" s="526"/>
      <c r="Q208" s="900" t="str">
        <f ca="1">IF(OR($H$7&lt;4,Q$197&lt;1),"",IF(P208&lt;&gt;"",P208,IFERROR(IF(INDIRECT("'"&amp;P$86&amp;"'!"&amp;VLOOKUP(P$87,'List Values'!$C$3:$D$6,2,FALSE)&amp;ROW(P208))="","",INDIRECT("'"&amp;P$86&amp;"'!"&amp;VLOOKUP(P$87,'List Values'!$C$3:$D$6,2,FALSE)&amp;ROW(P208))),IF(P$86&lt;&gt;"","Data Source Error",""))))</f>
        <v/>
      </c>
      <c r="S208" s="526"/>
      <c r="T208" s="900" t="str">
        <f ca="1">IF(OR($H$7&lt;5,T$197&lt;1),"",IF(S208&lt;&gt;"",S208,IFERROR(IF(INDIRECT("'"&amp;S$86&amp;"'!"&amp;VLOOKUP(S$87,'List Values'!$C$3:$D$6,2,FALSE)&amp;ROW(S208))="","",INDIRECT("'"&amp;S$86&amp;"'!"&amp;VLOOKUP(S$87,'List Values'!$C$3:$D$6,2,FALSE)&amp;ROW(S208))),IF(S$86&lt;&gt;"","Data Source Error",""))))</f>
        <v/>
      </c>
      <c r="V208" s="526"/>
      <c r="W208" s="911" t="str">
        <f ca="1">IF(OR($H$7&lt;6,W$197&lt;1),"",IF(V208&lt;&gt;"",V208,IFERROR(IF(INDIRECT("'"&amp;V$86&amp;"'!"&amp;VLOOKUP(V$87,'List Values'!$C$3:$D$6,2,FALSE)&amp;ROW(V208))="","",INDIRECT("'"&amp;V$86&amp;"'!"&amp;VLOOKUP(V$87,'List Values'!$C$3:$D$6,2,FALSE)&amp;ROW(V208))),IF(V$86&lt;&gt;"","Data Source Error",""))))</f>
        <v/>
      </c>
      <c r="Y208" s="2643"/>
      <c r="Z208" s="2644"/>
      <c r="AA208" s="2644"/>
      <c r="AB208" s="2645"/>
    </row>
    <row r="209" spans="1:28" ht="15.75" customHeight="1" outlineLevel="1">
      <c r="A209" s="512"/>
      <c r="B209" s="252"/>
      <c r="C209" s="2684" t="s">
        <v>2529</v>
      </c>
      <c r="D209" s="2684"/>
      <c r="E209" s="2062"/>
      <c r="F209" s="2062"/>
      <c r="G209" s="636"/>
      <c r="H209" s="637"/>
      <c r="I209" s="187"/>
      <c r="J209" s="580"/>
      <c r="K209" s="900" t="str">
        <f ca="1">IF(OR($H$7&lt;2,K$197&lt;1),"",IF(J209&lt;&gt;"",J209,IFERROR(IF(INDIRECT("'"&amp;J$86&amp;"'!"&amp;VLOOKUP(J$87,'List Values'!$C$3:$D$6,2,FALSE)&amp;ROW(J209))="","",INDIRECT("'"&amp;J$86&amp;"'!"&amp;VLOOKUP(J$87,'List Values'!$C$3:$D$6,2,FALSE)&amp;ROW(J209))),IF(J$86&lt;&gt;"","Data Source Error",""))))</f>
        <v/>
      </c>
      <c r="L209" s="187"/>
      <c r="M209" s="580"/>
      <c r="N209" s="900">
        <f ca="1">IF(OR($H$7&lt;3,N$197&lt;1),"",IF(M209&lt;&gt;"",M209,IFERROR(IF(INDIRECT("'"&amp;M$86&amp;"'!"&amp;VLOOKUP(M$87,'List Values'!$C$3:$D$6,2,FALSE)&amp;ROW(M209))="","",INDIRECT("'"&amp;M$86&amp;"'!"&amp;VLOOKUP(M$87,'List Values'!$C$3:$D$6,2,FALSE)&amp;ROW(M209))),IF(M$86&lt;&gt;"","Data Source Error",""))))</f>
        <v>1</v>
      </c>
      <c r="O209" s="187"/>
      <c r="P209" s="580"/>
      <c r="Q209" s="900" t="str">
        <f ca="1">IF(OR($H$7&lt;4,Q$197&lt;1),"",IF(P209&lt;&gt;"",P209,IFERROR(IF(INDIRECT("'"&amp;P$86&amp;"'!"&amp;VLOOKUP(P$87,'List Values'!$C$3:$D$6,2,FALSE)&amp;ROW(P209))="","",INDIRECT("'"&amp;P$86&amp;"'!"&amp;VLOOKUP(P$87,'List Values'!$C$3:$D$6,2,FALSE)&amp;ROW(P209))),IF(P$86&lt;&gt;"","Data Source Error",""))))</f>
        <v/>
      </c>
      <c r="S209" s="580"/>
      <c r="T209" s="900" t="str">
        <f ca="1">IF(OR($H$7&lt;5,T$197&lt;1),"",IF(S209&lt;&gt;"",S209,IFERROR(IF(INDIRECT("'"&amp;S$86&amp;"'!"&amp;VLOOKUP(S$87,'List Values'!$C$3:$D$6,2,FALSE)&amp;ROW(S209))="","",INDIRECT("'"&amp;S$86&amp;"'!"&amp;VLOOKUP(S$87,'List Values'!$C$3:$D$6,2,FALSE)&amp;ROW(S209))),IF(S$86&lt;&gt;"","Data Source Error",""))))</f>
        <v/>
      </c>
      <c r="V209" s="580"/>
      <c r="W209" s="911" t="str">
        <f ca="1">IF(OR($H$7&lt;6,W$197&lt;1),"",IF(V209&lt;&gt;"",V209,IFERROR(IF(INDIRECT("'"&amp;V$86&amp;"'!"&amp;VLOOKUP(V$87,'List Values'!$C$3:$D$6,2,FALSE)&amp;ROW(V209))="","",INDIRECT("'"&amp;V$86&amp;"'!"&amp;VLOOKUP(V$87,'List Values'!$C$3:$D$6,2,FALSE)&amp;ROW(V209))),IF(V$86&lt;&gt;"","Data Source Error",""))))</f>
        <v/>
      </c>
      <c r="Y209" s="2643"/>
      <c r="Z209" s="2644"/>
      <c r="AA209" s="2644"/>
      <c r="AB209" s="2645"/>
    </row>
    <row r="210" spans="1:28" ht="33.75" customHeight="1" outlineLevel="1">
      <c r="A210" s="512"/>
      <c r="B210" s="252"/>
      <c r="C210" s="2680" t="s">
        <v>2523</v>
      </c>
      <c r="D210" s="2680"/>
      <c r="E210" s="2062"/>
      <c r="F210" s="2062"/>
      <c r="G210" s="636"/>
      <c r="H210" s="637"/>
      <c r="I210" s="187"/>
      <c r="J210" s="580"/>
      <c r="K210" s="900" t="str">
        <f ca="1">IF(OR($H$7&lt;2,K$197&lt;1),"",IF(J210&lt;&gt;"",J210,IFERROR(IF(INDIRECT("'"&amp;J$86&amp;"'!"&amp;VLOOKUP(J$87,'List Values'!$C$3:$D$6,2,FALSE)&amp;ROW(J210))="","",INDIRECT("'"&amp;J$86&amp;"'!"&amp;VLOOKUP(J$87,'List Values'!$C$3:$D$6,2,FALSE)&amp;ROW(J210))),IF(J$86&lt;&gt;"","Data Source Error",""))))</f>
        <v/>
      </c>
      <c r="L210" s="187"/>
      <c r="M210" s="580"/>
      <c r="N210" s="900" t="str">
        <f ca="1">IF(OR($H$7&lt;3,N$197&lt;1),"",IF(M210&lt;&gt;"",M210,IFERROR(IF(INDIRECT("'"&amp;M$86&amp;"'!"&amp;VLOOKUP(M$87,'List Values'!$C$3:$D$6,2,FALSE)&amp;ROW(M210))="","",INDIRECT("'"&amp;M$86&amp;"'!"&amp;VLOOKUP(M$87,'List Values'!$C$3:$D$6,2,FALSE)&amp;ROW(M210))),IF(M$86&lt;&gt;"","Data Source Error",""))))</f>
        <v>Transport team - Driver</v>
      </c>
      <c r="O210" s="187"/>
      <c r="P210" s="580"/>
      <c r="Q210" s="900" t="str">
        <f ca="1">IF(OR($H$7&lt;4,Q$197&lt;1),"",IF(P210&lt;&gt;"",P210,IFERROR(IF(INDIRECT("'"&amp;P$86&amp;"'!"&amp;VLOOKUP(P$87,'List Values'!$C$3:$D$6,2,FALSE)&amp;ROW(P210))="","",INDIRECT("'"&amp;P$86&amp;"'!"&amp;VLOOKUP(P$87,'List Values'!$C$3:$D$6,2,FALSE)&amp;ROW(P210))),IF(P$86&lt;&gt;"","Data Source Error",""))))</f>
        <v/>
      </c>
      <c r="S210" s="580"/>
      <c r="T210" s="900" t="str">
        <f ca="1">IF(OR($H$7&lt;5,T$197&lt;1),"",IF(S210&lt;&gt;"",S210,IFERROR(IF(INDIRECT("'"&amp;S$86&amp;"'!"&amp;VLOOKUP(S$87,'List Values'!$C$3:$D$6,2,FALSE)&amp;ROW(S210))="","",INDIRECT("'"&amp;S$86&amp;"'!"&amp;VLOOKUP(S$87,'List Values'!$C$3:$D$6,2,FALSE)&amp;ROW(S210))),IF(S$86&lt;&gt;"","Data Source Error",""))))</f>
        <v/>
      </c>
      <c r="V210" s="580"/>
      <c r="W210" s="911" t="str">
        <f ca="1">IF(OR($H$7&lt;6,W$197&lt;1),"",IF(V210&lt;&gt;"",V210,IFERROR(IF(INDIRECT("'"&amp;V$86&amp;"'!"&amp;VLOOKUP(V$87,'List Values'!$C$3:$D$6,2,FALSE)&amp;ROW(V210))="","",INDIRECT("'"&amp;V$86&amp;"'!"&amp;VLOOKUP(V$87,'List Values'!$C$3:$D$6,2,FALSE)&amp;ROW(V210))),IF(V$86&lt;&gt;"","Data Source Error",""))))</f>
        <v/>
      </c>
      <c r="Y210" s="2643"/>
      <c r="Z210" s="2644"/>
      <c r="AA210" s="2644"/>
      <c r="AB210" s="2645"/>
    </row>
    <row r="211" spans="1:28" ht="15.75" customHeight="1" outlineLevel="1">
      <c r="A211" s="512"/>
      <c r="B211" s="252"/>
      <c r="C211" s="2680" t="s">
        <v>2524</v>
      </c>
      <c r="D211" s="2680"/>
      <c r="E211" s="2062"/>
      <c r="F211" s="2062"/>
      <c r="G211" s="636"/>
      <c r="H211" s="637"/>
      <c r="I211" s="187"/>
      <c r="J211" s="580"/>
      <c r="K211" s="900" t="str">
        <f ca="1">IF(OR($H$7&lt;2,K$197&lt;1),"",IF(J211&lt;&gt;"",J211,IFERROR(IF(INDIRECT("'"&amp;J$86&amp;"'!"&amp;VLOOKUP(J$87,'List Values'!$C$3:$D$6,2,FALSE)&amp;ROW(J211))="","",INDIRECT("'"&amp;J$86&amp;"'!"&amp;VLOOKUP(J$87,'List Values'!$C$3:$D$6,2,FALSE)&amp;ROW(J211))),IF(J$86&lt;&gt;"","Data Source Error",""))))</f>
        <v/>
      </c>
      <c r="L211" s="187"/>
      <c r="M211" s="580"/>
      <c r="N211" s="900">
        <f ca="1">IF(OR($H$7&lt;3,N$197&lt;1),"",IF(M211&lt;&gt;"",M211,IFERROR(IF(INDIRECT("'"&amp;M$86&amp;"'!"&amp;VLOOKUP(M$87,'List Values'!$C$3:$D$6,2,FALSE)&amp;ROW(M211))="","",INDIRECT("'"&amp;M$86&amp;"'!"&amp;VLOOKUP(M$87,'List Values'!$C$3:$D$6,2,FALSE)&amp;ROW(M211))),IF(M$86&lt;&gt;"","Data Source Error",""))))</f>
        <v>1</v>
      </c>
      <c r="O211" s="187"/>
      <c r="P211" s="580"/>
      <c r="Q211" s="900" t="str">
        <f ca="1">IF(OR($H$7&lt;4,Q$197&lt;1),"",IF(P211&lt;&gt;"",P211,IFERROR(IF(INDIRECT("'"&amp;P$86&amp;"'!"&amp;VLOOKUP(P$87,'List Values'!$C$3:$D$6,2,FALSE)&amp;ROW(P211))="","",INDIRECT("'"&amp;P$86&amp;"'!"&amp;VLOOKUP(P$87,'List Values'!$C$3:$D$6,2,FALSE)&amp;ROW(P211))),IF(P$86&lt;&gt;"","Data Source Error",""))))</f>
        <v/>
      </c>
      <c r="S211" s="580"/>
      <c r="T211" s="900" t="str">
        <f ca="1">IF(OR($H$7&lt;5,T$197&lt;1),"",IF(S211&lt;&gt;"",S211,IFERROR(IF(INDIRECT("'"&amp;S$86&amp;"'!"&amp;VLOOKUP(S$87,'List Values'!$C$3:$D$6,2,FALSE)&amp;ROW(S211))="","",INDIRECT("'"&amp;S$86&amp;"'!"&amp;VLOOKUP(S$87,'List Values'!$C$3:$D$6,2,FALSE)&amp;ROW(S211))),IF(S$86&lt;&gt;"","Data Source Error",""))))</f>
        <v/>
      </c>
      <c r="V211" s="580"/>
      <c r="W211" s="911" t="str">
        <f ca="1">IF(OR($H$7&lt;6,W$197&lt;1),"",IF(V211&lt;&gt;"",V211,IFERROR(IF(INDIRECT("'"&amp;V$86&amp;"'!"&amp;VLOOKUP(V$87,'List Values'!$C$3:$D$6,2,FALSE)&amp;ROW(V211))="","",INDIRECT("'"&amp;V$86&amp;"'!"&amp;VLOOKUP(V$87,'List Values'!$C$3:$D$6,2,FALSE)&amp;ROW(V211))),IF(V$86&lt;&gt;"","Data Source Error",""))))</f>
        <v/>
      </c>
      <c r="Y211" s="2643"/>
      <c r="Z211" s="2644"/>
      <c r="AA211" s="2644"/>
      <c r="AB211" s="2645"/>
    </row>
    <row r="212" spans="1:28" ht="15.75" customHeight="1" outlineLevel="1">
      <c r="A212" s="512"/>
      <c r="B212" s="252"/>
      <c r="C212" s="2684" t="s">
        <v>2525</v>
      </c>
      <c r="D212" s="2684"/>
      <c r="E212" s="2062"/>
      <c r="F212" s="2062"/>
      <c r="G212" s="636"/>
      <c r="H212" s="637"/>
      <c r="I212" s="187"/>
      <c r="J212" s="580"/>
      <c r="K212" s="900" t="str">
        <f ca="1">IF(OR($H$7&lt;2,K$197&lt;1),"",IF(J212&lt;&gt;"",J212,IFERROR(IF(INDIRECT("'"&amp;J$86&amp;"'!"&amp;VLOOKUP(J$87,'List Values'!$C$3:$D$6,2,FALSE)&amp;ROW(J212))="","",INDIRECT("'"&amp;J$86&amp;"'!"&amp;VLOOKUP(J$87,'List Values'!$C$3:$D$6,2,FALSE)&amp;ROW(J212))),IF(J$86&lt;&gt;"","Data Source Error",""))))</f>
        <v/>
      </c>
      <c r="L212" s="187"/>
      <c r="M212" s="580"/>
      <c r="N212" s="900" t="str">
        <f ca="1">IF(OR($H$7&lt;3,N$197&lt;1),"",IF(M212&lt;&gt;"",M212,IFERROR(IF(INDIRECT("'"&amp;M$86&amp;"'!"&amp;VLOOKUP(M$87,'List Values'!$C$3:$D$6,2,FALSE)&amp;ROW(M212))="","",INDIRECT("'"&amp;M$86&amp;"'!"&amp;VLOOKUP(M$87,'List Values'!$C$3:$D$6,2,FALSE)&amp;ROW(M212))),IF(M$86&lt;&gt;"","Data Source Error",""))))</f>
        <v>#</v>
      </c>
      <c r="O212" s="187"/>
      <c r="P212" s="580"/>
      <c r="Q212" s="900" t="str">
        <f ca="1">IF(OR($H$7&lt;4,Q$197&lt;1),"",IF(P212&lt;&gt;"",P212,IFERROR(IF(INDIRECT("'"&amp;P$86&amp;"'!"&amp;VLOOKUP(P$87,'List Values'!$C$3:$D$6,2,FALSE)&amp;ROW(P212))="","",INDIRECT("'"&amp;P$86&amp;"'!"&amp;VLOOKUP(P$87,'List Values'!$C$3:$D$6,2,FALSE)&amp;ROW(P212))),IF(P$86&lt;&gt;"","Data Source Error",""))))</f>
        <v/>
      </c>
      <c r="S212" s="580"/>
      <c r="T212" s="900" t="str">
        <f ca="1">IF(OR($H$7&lt;5,T$197&lt;1),"",IF(S212&lt;&gt;"",S212,IFERROR(IF(INDIRECT("'"&amp;S$86&amp;"'!"&amp;VLOOKUP(S$87,'List Values'!$C$3:$D$6,2,FALSE)&amp;ROW(S212))="","",INDIRECT("'"&amp;S$86&amp;"'!"&amp;VLOOKUP(S$87,'List Values'!$C$3:$D$6,2,FALSE)&amp;ROW(S212))),IF(S$86&lt;&gt;"","Data Source Error",""))))</f>
        <v/>
      </c>
      <c r="V212" s="580"/>
      <c r="W212" s="911" t="str">
        <f ca="1">IF(OR($H$7&lt;6,W$197&lt;1),"",IF(V212&lt;&gt;"",V212,IFERROR(IF(INDIRECT("'"&amp;V$86&amp;"'!"&amp;VLOOKUP(V$87,'List Values'!$C$3:$D$6,2,FALSE)&amp;ROW(V212))="","",INDIRECT("'"&amp;V$86&amp;"'!"&amp;VLOOKUP(V$87,'List Values'!$C$3:$D$6,2,FALSE)&amp;ROW(V212))),IF(V$86&lt;&gt;"","Data Source Error",""))))</f>
        <v/>
      </c>
      <c r="Y212" s="2643"/>
      <c r="Z212" s="2644"/>
      <c r="AA212" s="2644"/>
      <c r="AB212" s="2645"/>
    </row>
    <row r="213" spans="1:28" ht="31.5" customHeight="1" outlineLevel="1">
      <c r="A213" s="512"/>
      <c r="B213" s="252"/>
      <c r="C213" s="2680" t="s">
        <v>2526</v>
      </c>
      <c r="D213" s="2680"/>
      <c r="E213" s="2062"/>
      <c r="F213" s="2062"/>
      <c r="G213" s="636"/>
      <c r="H213" s="637"/>
      <c r="I213" s="187"/>
      <c r="J213" s="580"/>
      <c r="K213" s="900" t="str">
        <f ca="1">IF(OR($H$7&lt;2,K$197&lt;1),"",IF(J213&lt;&gt;"",J213,IFERROR(IF(INDIRECT("'"&amp;J$86&amp;"'!"&amp;VLOOKUP(J$87,'List Values'!$C$3:$D$6,2,FALSE)&amp;ROW(J213))="","",INDIRECT("'"&amp;J$86&amp;"'!"&amp;VLOOKUP(J$87,'List Values'!$C$3:$D$6,2,FALSE)&amp;ROW(J213))),IF(J$86&lt;&gt;"","Data Source Error",""))))</f>
        <v/>
      </c>
      <c r="L213" s="187"/>
      <c r="M213" s="580">
        <v>150</v>
      </c>
      <c r="N213" s="900">
        <f ca="1">IF(OR($H$7&lt;3,N$197&lt;1),"",IF(M213&lt;&gt;"",M213,IFERROR(IF(INDIRECT("'"&amp;M$86&amp;"'!"&amp;VLOOKUP(M$87,'List Values'!$C$3:$D$6,2,FALSE)&amp;ROW(M213))="","",INDIRECT("'"&amp;M$86&amp;"'!"&amp;VLOOKUP(M$87,'List Values'!$C$3:$D$6,2,FALSE)&amp;ROW(M213))),IF(M$86&lt;&gt;"","Data Source Error",""))))</f>
        <v>150</v>
      </c>
      <c r="O213" s="187"/>
      <c r="P213" s="580"/>
      <c r="Q213" s="900" t="str">
        <f ca="1">IF(OR($H$7&lt;4,Q$197&lt;1),"",IF(P213&lt;&gt;"",P213,IFERROR(IF(INDIRECT("'"&amp;P$86&amp;"'!"&amp;VLOOKUP(P$87,'List Values'!$C$3:$D$6,2,FALSE)&amp;ROW(P213))="","",INDIRECT("'"&amp;P$86&amp;"'!"&amp;VLOOKUP(P$87,'List Values'!$C$3:$D$6,2,FALSE)&amp;ROW(P213))),IF(P$86&lt;&gt;"","Data Source Error",""))))</f>
        <v/>
      </c>
      <c r="S213" s="580"/>
      <c r="T213" s="900" t="str">
        <f ca="1">IF(OR($H$7&lt;5,T$197&lt;1),"",IF(S213&lt;&gt;"",S213,IFERROR(IF(INDIRECT("'"&amp;S$86&amp;"'!"&amp;VLOOKUP(S$87,'List Values'!$C$3:$D$6,2,FALSE)&amp;ROW(S213))="","",INDIRECT("'"&amp;S$86&amp;"'!"&amp;VLOOKUP(S$87,'List Values'!$C$3:$D$6,2,FALSE)&amp;ROW(S213))),IF(S$86&lt;&gt;"","Data Source Error",""))))</f>
        <v/>
      </c>
      <c r="V213" s="580"/>
      <c r="W213" s="911" t="str">
        <f ca="1">IF(OR($H$7&lt;6,W$197&lt;1),"",IF(V213&lt;&gt;"",V213,IFERROR(IF(INDIRECT("'"&amp;V$86&amp;"'!"&amp;VLOOKUP(V$87,'List Values'!$C$3:$D$6,2,FALSE)&amp;ROW(V213))="","",INDIRECT("'"&amp;V$86&amp;"'!"&amp;VLOOKUP(V$87,'List Values'!$C$3:$D$6,2,FALSE)&amp;ROW(V213))),IF(V$86&lt;&gt;"","Data Source Error",""))))</f>
        <v/>
      </c>
      <c r="Y213" s="2643"/>
      <c r="Z213" s="2644"/>
      <c r="AA213" s="2644"/>
      <c r="AB213" s="2645"/>
    </row>
    <row r="214" spans="1:28" ht="41.15" customHeight="1" outlineLevel="1">
      <c r="A214" s="512"/>
      <c r="B214" s="252"/>
      <c r="C214" s="2680" t="s">
        <v>2527</v>
      </c>
      <c r="D214" s="2680"/>
      <c r="E214" s="2062"/>
      <c r="F214" s="2062"/>
      <c r="G214" s="636"/>
      <c r="H214" s="637"/>
      <c r="I214" s="187"/>
      <c r="J214" s="580"/>
      <c r="K214" s="900" t="str">
        <f ca="1">IF(OR($H$7&lt;2,K$197&lt;1),"",IF(J214&lt;&gt;"",J214,IFERROR(IF(INDIRECT("'"&amp;J$86&amp;"'!"&amp;VLOOKUP(J$87,'List Values'!$C$3:$D$6,2,FALSE)&amp;ROW(J214))="","",INDIRECT("'"&amp;J$86&amp;"'!"&amp;VLOOKUP(J$87,'List Values'!$C$3:$D$6,2,FALSE)&amp;ROW(J214))),IF(J$86&lt;&gt;"","Data Source Error",""))))</f>
        <v/>
      </c>
      <c r="L214" s="187"/>
      <c r="M214" s="580"/>
      <c r="N214" s="900">
        <f ca="1">IF(OR($H$7&lt;3,N$197&lt;1),"",IF(M214&lt;&gt;"",M214,IFERROR(IF(INDIRECT("'"&amp;M$86&amp;"'!"&amp;VLOOKUP(M$87,'List Values'!$C$3:$D$6,2,FALSE)&amp;ROW(M214))="","",INDIRECT("'"&amp;M$86&amp;"'!"&amp;VLOOKUP(M$87,'List Values'!$C$3:$D$6,2,FALSE)&amp;ROW(M214))),IF(M$86&lt;&gt;"","Data Source Error",""))))</f>
        <v>0</v>
      </c>
      <c r="O214" s="187"/>
      <c r="P214" s="580"/>
      <c r="Q214" s="900" t="str">
        <f ca="1">IF(OR($H$7&lt;4,Q$197&lt;1),"",IF(P214&lt;&gt;"",P214,IFERROR(IF(INDIRECT("'"&amp;P$86&amp;"'!"&amp;VLOOKUP(P$87,'List Values'!$C$3:$D$6,2,FALSE)&amp;ROW(P214))="","",INDIRECT("'"&amp;P$86&amp;"'!"&amp;VLOOKUP(P$87,'List Values'!$C$3:$D$6,2,FALSE)&amp;ROW(P214))),IF(P$86&lt;&gt;"","Data Source Error",""))))</f>
        <v/>
      </c>
      <c r="S214" s="580"/>
      <c r="T214" s="900" t="str">
        <f ca="1">IF(OR($H$7&lt;5,T$197&lt;1),"",IF(S214&lt;&gt;"",S214,IFERROR(IF(INDIRECT("'"&amp;S$86&amp;"'!"&amp;VLOOKUP(S$87,'List Values'!$C$3:$D$6,2,FALSE)&amp;ROW(S214))="","",INDIRECT("'"&amp;S$86&amp;"'!"&amp;VLOOKUP(S$87,'List Values'!$C$3:$D$6,2,FALSE)&amp;ROW(S214))),IF(S$86&lt;&gt;"","Data Source Error",""))))</f>
        <v/>
      </c>
      <c r="V214" s="580"/>
      <c r="W214" s="911" t="str">
        <f ca="1">IF(OR($H$7&lt;6,W$197&lt;1),"",IF(V214&lt;&gt;"",V214,IFERROR(IF(INDIRECT("'"&amp;V$86&amp;"'!"&amp;VLOOKUP(V$87,'List Values'!$C$3:$D$6,2,FALSE)&amp;ROW(V214))="","",INDIRECT("'"&amp;V$86&amp;"'!"&amp;VLOOKUP(V$87,'List Values'!$C$3:$D$6,2,FALSE)&amp;ROW(V214))),IF(V$86&lt;&gt;"","Data Source Error",""))))</f>
        <v/>
      </c>
      <c r="Y214" s="2643"/>
      <c r="Z214" s="2644"/>
      <c r="AA214" s="2644"/>
      <c r="AB214" s="2645"/>
    </row>
    <row r="215" spans="1:28" ht="31.5" customHeight="1" outlineLevel="1">
      <c r="A215" s="512"/>
      <c r="B215" s="252"/>
      <c r="C215" s="2680" t="s">
        <v>2528</v>
      </c>
      <c r="D215" s="2680"/>
      <c r="E215" s="2062"/>
      <c r="F215" s="2062"/>
      <c r="G215" s="636"/>
      <c r="H215" s="637"/>
      <c r="I215" s="187"/>
      <c r="J215" s="580"/>
      <c r="K215" s="900" t="str">
        <f ca="1">IF(OR($H$7&lt;2,K$197&lt;1),"",IF(J215&lt;&gt;"",J215,IFERROR(IF(INDIRECT("'"&amp;J$86&amp;"'!"&amp;VLOOKUP(J$87,'List Values'!$C$3:$D$6,2,FALSE)&amp;ROW(J215))="","",INDIRECT("'"&amp;J$86&amp;"'!"&amp;VLOOKUP(J$87,'List Values'!$C$3:$D$6,2,FALSE)&amp;ROW(J215))),IF(J$86&lt;&gt;"","Data Source Error",""))))</f>
        <v/>
      </c>
      <c r="L215" s="187"/>
      <c r="M215" s="580"/>
      <c r="N215" s="900">
        <f ca="1">IF(OR($H$7&lt;3,N$197&lt;1),"",IF(M215&lt;&gt;"",M215,IFERROR(IF(INDIRECT("'"&amp;M$86&amp;"'!"&amp;VLOOKUP(M$87,'List Values'!$C$3:$D$6,2,FALSE)&amp;ROW(M215))="","",INDIRECT("'"&amp;M$86&amp;"'!"&amp;VLOOKUP(M$87,'List Values'!$C$3:$D$6,2,FALSE)&amp;ROW(M215))),IF(M$86&lt;&gt;"","Data Source Error",""))))</f>
        <v>0</v>
      </c>
      <c r="O215" s="187"/>
      <c r="P215" s="580"/>
      <c r="Q215" s="900" t="str">
        <f ca="1">IF(OR($H$7&lt;4,Q$197&lt;1),"",IF(P215&lt;&gt;"",P215,IFERROR(IF(INDIRECT("'"&amp;P$86&amp;"'!"&amp;VLOOKUP(P$87,'List Values'!$C$3:$D$6,2,FALSE)&amp;ROW(P215))="","",INDIRECT("'"&amp;P$86&amp;"'!"&amp;VLOOKUP(P$87,'List Values'!$C$3:$D$6,2,FALSE)&amp;ROW(P215))),IF(P$86&lt;&gt;"","Data Source Error",""))))</f>
        <v/>
      </c>
      <c r="S215" s="580"/>
      <c r="T215" s="900" t="str">
        <f ca="1">IF(OR($H$7&lt;5,T$197&lt;1),"",IF(S215&lt;&gt;"",S215,IFERROR(IF(INDIRECT("'"&amp;S$86&amp;"'!"&amp;VLOOKUP(S$87,'List Values'!$C$3:$D$6,2,FALSE)&amp;ROW(S215))="","",INDIRECT("'"&amp;S$86&amp;"'!"&amp;VLOOKUP(S$87,'List Values'!$C$3:$D$6,2,FALSE)&amp;ROW(S215))),IF(S$86&lt;&gt;"","Data Source Error",""))))</f>
        <v/>
      </c>
      <c r="V215" s="580"/>
      <c r="W215" s="911" t="str">
        <f ca="1">IF(OR($H$7&lt;6,W$197&lt;1),"",IF(V215&lt;&gt;"",V215,IFERROR(IF(INDIRECT("'"&amp;V$86&amp;"'!"&amp;VLOOKUP(V$87,'List Values'!$C$3:$D$6,2,FALSE)&amp;ROW(V215))="","",INDIRECT("'"&amp;V$86&amp;"'!"&amp;VLOOKUP(V$87,'List Values'!$C$3:$D$6,2,FALSE)&amp;ROW(V215))),IF(V$86&lt;&gt;"","Data Source Error",""))))</f>
        <v/>
      </c>
      <c r="Y215" s="2643"/>
      <c r="Z215" s="2644"/>
      <c r="AA215" s="2644"/>
      <c r="AB215" s="2645"/>
    </row>
    <row r="216" spans="1:28" ht="15.75" customHeight="1" outlineLevel="1">
      <c r="A216" s="512"/>
      <c r="B216" s="252"/>
      <c r="C216" s="2680" t="s">
        <v>650</v>
      </c>
      <c r="D216" s="2680"/>
      <c r="E216" s="2062"/>
      <c r="F216" s="2062"/>
      <c r="G216" s="636"/>
      <c r="H216" s="637"/>
      <c r="I216" s="187"/>
      <c r="J216" s="580"/>
      <c r="K216" s="900" t="str">
        <f ca="1">IF(OR($H$7&lt;2,K$197&lt;1),"",IF(J216&lt;&gt;"",J216,IFERROR(IF(INDIRECT("'"&amp;J$86&amp;"'!"&amp;VLOOKUP(J$87,'List Values'!$C$3:$D$6,2,FALSE)&amp;ROW(J216))="","",INDIRECT("'"&amp;J$86&amp;"'!"&amp;VLOOKUP(J$87,'List Values'!$C$3:$D$6,2,FALSE)&amp;ROW(J216))),IF(J$86&lt;&gt;"","Data Source Error",""))))</f>
        <v/>
      </c>
      <c r="L216" s="187"/>
      <c r="M216" s="580">
        <v>40</v>
      </c>
      <c r="N216" s="900">
        <f ca="1">IF(OR($H$7&lt;3,N$197&lt;1),"",IF(M216&lt;&gt;"",M216,IFERROR(IF(INDIRECT("'"&amp;M$86&amp;"'!"&amp;VLOOKUP(M$87,'List Values'!$C$3:$D$6,2,FALSE)&amp;ROW(M216))="","",INDIRECT("'"&amp;M$86&amp;"'!"&amp;VLOOKUP(M$87,'List Values'!$C$3:$D$6,2,FALSE)&amp;ROW(M216))),IF(M$86&lt;&gt;"","Data Source Error",""))))</f>
        <v>40</v>
      </c>
      <c r="O216" s="187"/>
      <c r="P216" s="580"/>
      <c r="Q216" s="900" t="str">
        <f ca="1">IF(OR($H$7&lt;4,Q$197&lt;1),"",IF(P216&lt;&gt;"",P216,IFERROR(IF(INDIRECT("'"&amp;P$86&amp;"'!"&amp;VLOOKUP(P$87,'List Values'!$C$3:$D$6,2,FALSE)&amp;ROW(P216))="","",INDIRECT("'"&amp;P$86&amp;"'!"&amp;VLOOKUP(P$87,'List Values'!$C$3:$D$6,2,FALSE)&amp;ROW(P216))),IF(P$86&lt;&gt;"","Data Source Error",""))))</f>
        <v/>
      </c>
      <c r="S216" s="580"/>
      <c r="T216" s="900" t="str">
        <f ca="1">IF(OR($H$7&lt;5,T$197&lt;1),"",IF(S216&lt;&gt;"",S216,IFERROR(IF(INDIRECT("'"&amp;S$86&amp;"'!"&amp;VLOOKUP(S$87,'List Values'!$C$3:$D$6,2,FALSE)&amp;ROW(S216))="","",INDIRECT("'"&amp;S$86&amp;"'!"&amp;VLOOKUP(S$87,'List Values'!$C$3:$D$6,2,FALSE)&amp;ROW(S216))),IF(S$86&lt;&gt;"","Data Source Error",""))))</f>
        <v/>
      </c>
      <c r="V216" s="580"/>
      <c r="W216" s="911" t="str">
        <f ca="1">IF(OR($H$7&lt;6,W$197&lt;1),"",IF(V216&lt;&gt;"",V216,IFERROR(IF(INDIRECT("'"&amp;V$86&amp;"'!"&amp;VLOOKUP(V$87,'List Values'!$C$3:$D$6,2,FALSE)&amp;ROW(V216))="","",INDIRECT("'"&amp;V$86&amp;"'!"&amp;VLOOKUP(V$87,'List Values'!$C$3:$D$6,2,FALSE)&amp;ROW(V216))),IF(V$86&lt;&gt;"","Data Source Error",""))))</f>
        <v/>
      </c>
      <c r="Y216" s="2643"/>
      <c r="Z216" s="2644"/>
      <c r="AA216" s="2644"/>
      <c r="AB216" s="2645"/>
    </row>
    <row r="217" spans="1:28" ht="31.5" customHeight="1" outlineLevel="1">
      <c r="A217" s="512"/>
      <c r="B217" s="511"/>
      <c r="C217" s="2680" t="s">
        <v>651</v>
      </c>
      <c r="D217" s="2680"/>
      <c r="E217" s="494"/>
      <c r="F217" s="494"/>
      <c r="G217" s="642"/>
      <c r="H217" s="643"/>
      <c r="I217" s="196"/>
      <c r="J217" s="624"/>
      <c r="K217" s="902" t="str">
        <f ca="1">IF(OR($H$7&lt;2,K$197&lt;1),"",IF(J217&lt;&gt;"",J217,IFERROR(IF(INDIRECT("'"&amp;J$86&amp;"'!"&amp;VLOOKUP(J$87,'List Values'!$C$3:$D$6,2,FALSE)&amp;ROW(J217))="","",INDIRECT("'"&amp;J$86&amp;"'!"&amp;VLOOKUP(J$87,'List Values'!$C$3:$D$6,2,FALSE)&amp;ROW(J217))),IF(J$86&lt;&gt;"","Data Source Error",""))))</f>
        <v/>
      </c>
      <c r="L217" s="196"/>
      <c r="M217" s="624"/>
      <c r="N217" s="902">
        <f ca="1">IF(OR($H$7&lt;3,N$197&lt;1),"",IF(M217&lt;&gt;"",M217,IFERROR(IF(INDIRECT("'"&amp;M$86&amp;"'!"&amp;VLOOKUP(M$87,'List Values'!$C$3:$D$6,2,FALSE)&amp;ROW(M217))="","",INDIRECT("'"&amp;M$86&amp;"'!"&amp;VLOOKUP(M$87,'List Values'!$C$3:$D$6,2,FALSE)&amp;ROW(M217))),IF(M$86&lt;&gt;"","Data Source Error",""))))</f>
        <v>100</v>
      </c>
      <c r="O217" s="196"/>
      <c r="P217" s="624"/>
      <c r="Q217" s="902" t="str">
        <f ca="1">IF(OR($H$7&lt;4,Q$197&lt;1),"",IF(P217&lt;&gt;"",P217,IFERROR(IF(INDIRECT("'"&amp;P$86&amp;"'!"&amp;VLOOKUP(P$87,'List Values'!$C$3:$D$6,2,FALSE)&amp;ROW(P217))="","",INDIRECT("'"&amp;P$86&amp;"'!"&amp;VLOOKUP(P$87,'List Values'!$C$3:$D$6,2,FALSE)&amp;ROW(P217))),IF(P$86&lt;&gt;"","Data Source Error",""))))</f>
        <v/>
      </c>
      <c r="R217" s="236"/>
      <c r="S217" s="624"/>
      <c r="T217" s="902" t="str">
        <f ca="1">IF(OR($H$7&lt;5,T$197&lt;1),"",IF(S217&lt;&gt;"",S217,IFERROR(IF(INDIRECT("'"&amp;S$86&amp;"'!"&amp;VLOOKUP(S$87,'List Values'!$C$3:$D$6,2,FALSE)&amp;ROW(S217))="","",INDIRECT("'"&amp;S$86&amp;"'!"&amp;VLOOKUP(S$87,'List Values'!$C$3:$D$6,2,FALSE)&amp;ROW(S217))),IF(S$86&lt;&gt;"","Data Source Error",""))))</f>
        <v/>
      </c>
      <c r="U217" s="236"/>
      <c r="V217" s="624"/>
      <c r="W217" s="982" t="str">
        <f ca="1">IF(OR($H$7&lt;6,W$197&lt;1),"",IF(V217&lt;&gt;"",V217,IFERROR(IF(INDIRECT("'"&amp;V$86&amp;"'!"&amp;VLOOKUP(V$87,'List Values'!$C$3:$D$6,2,FALSE)&amp;ROW(V217))="","",INDIRECT("'"&amp;V$86&amp;"'!"&amp;VLOOKUP(V$87,'List Values'!$C$3:$D$6,2,FALSE)&amp;ROW(V217))),IF(V$86&lt;&gt;"","Data Source Error",""))))</f>
        <v/>
      </c>
      <c r="Y217" s="2643"/>
      <c r="Z217" s="2644"/>
      <c r="AA217" s="2644"/>
      <c r="AB217" s="2645"/>
    </row>
    <row r="218" spans="1:28" ht="20.25" customHeight="1">
      <c r="A218" s="808"/>
      <c r="B218" s="612" t="s">
        <v>617</v>
      </c>
      <c r="C218" s="604"/>
      <c r="D218" s="604"/>
      <c r="E218" s="604"/>
      <c r="F218" s="604"/>
      <c r="G218" s="604"/>
      <c r="H218" s="604"/>
      <c r="I218" s="608"/>
      <c r="J218" s="610"/>
      <c r="K218" s="970"/>
      <c r="L218" s="608"/>
      <c r="M218" s="610"/>
      <c r="N218" s="970"/>
      <c r="O218" s="608"/>
      <c r="P218" s="610"/>
      <c r="Q218" s="970"/>
      <c r="R218" s="608"/>
      <c r="S218" s="610"/>
      <c r="T218" s="970"/>
      <c r="U218" s="608"/>
      <c r="V218" s="610"/>
      <c r="W218" s="970"/>
      <c r="Y218" s="631"/>
      <c r="Z218" s="631"/>
      <c r="AA218" s="631"/>
      <c r="AB218" s="631"/>
    </row>
    <row r="219" spans="1:28" ht="17.25" customHeight="1" outlineLevel="1">
      <c r="A219" s="513"/>
      <c r="B219" s="252"/>
      <c r="C219" s="2580" t="s">
        <v>731</v>
      </c>
      <c r="D219" s="2580"/>
      <c r="E219" s="202"/>
      <c r="F219" s="202"/>
      <c r="G219" s="634"/>
      <c r="H219" s="635"/>
      <c r="I219" s="183"/>
      <c r="J219" s="628"/>
      <c r="K219" s="967" t="str">
        <f ca="1">IF(OR($H$7&lt;2,K$197&lt;2),"",IF(J219&lt;&gt;"",J219,IFERROR(IF(INDIRECT("'"&amp;J$86&amp;"'!"&amp;VLOOKUP(J$87,'List Values'!$C$3:$D$6,2,FALSE)&amp;ROW(J219))="","",INDIRECT("'"&amp;J$86&amp;"'!"&amp;VLOOKUP(J$87,'List Values'!$C$3:$D$6,2,FALSE)&amp;ROW(J219))),IF(J$86&lt;&gt;"","Data Source Error",""))))</f>
        <v/>
      </c>
      <c r="L219" s="629"/>
      <c r="M219" s="628"/>
      <c r="N219" s="967" t="str">
        <f ca="1">IF(OR($H$7&lt;3,N$197&lt;2),"",IF(M219&lt;&gt;"",M219,IFERROR(IF(INDIRECT("'"&amp;M$86&amp;"'!"&amp;VLOOKUP(M$87,'List Values'!$C$3:$D$6,2,FALSE)&amp;ROW(M219))="","",INDIRECT("'"&amp;M$86&amp;"'!"&amp;VLOOKUP(M$87,'List Values'!$C$3:$D$6,2,FALSE)&amp;ROW(M219))),IF(M$86&lt;&gt;"","Data Source Error",""))))</f>
        <v/>
      </c>
      <c r="O219" s="629"/>
      <c r="P219" s="628"/>
      <c r="Q219" s="967" t="str">
        <f ca="1">IF(OR($H$7&lt;4,Q$197&lt;2),"",IF(P219&lt;&gt;"",P219,IFERROR(IF(INDIRECT("'"&amp;P$86&amp;"'!"&amp;VLOOKUP(P$87,'List Values'!$C$3:$D$6,2,FALSE)&amp;ROW(P219))="","",INDIRECT("'"&amp;P$86&amp;"'!"&amp;VLOOKUP(P$87,'List Values'!$C$3:$D$6,2,FALSE)&amp;ROW(P219))),IF(P$86&lt;&gt;"","Data Source Error",""))))</f>
        <v/>
      </c>
      <c r="R219" s="147"/>
      <c r="S219" s="628"/>
      <c r="T219" s="967" t="str">
        <f ca="1">IF(OR($H$7&lt;5,T$197&lt;2),"",IF(S219&lt;&gt;"",S219,IFERROR(IF(INDIRECT("'"&amp;S$86&amp;"'!"&amp;VLOOKUP(S$87,'List Values'!$C$3:$D$6,2,FALSE)&amp;ROW(S219))="","",INDIRECT("'"&amp;S$86&amp;"'!"&amp;VLOOKUP(S$87,'List Values'!$C$3:$D$6,2,FALSE)&amp;ROW(S219))),IF(S$86&lt;&gt;"","Data Source Error",""))))</f>
        <v/>
      </c>
      <c r="U219" s="147"/>
      <c r="V219" s="628"/>
      <c r="W219" s="973" t="str">
        <f ca="1">IF(OR($H$7&lt;6,W$197&lt;2),"",IF(V219&lt;&gt;"",V219,IFERROR(IF(INDIRECT("'"&amp;V$86&amp;"'!"&amp;VLOOKUP(V$87,'List Values'!$C$3:$D$6,2,FALSE)&amp;ROW(V219))="","",INDIRECT("'"&amp;V$86&amp;"'!"&amp;VLOOKUP(V$87,'List Values'!$C$3:$D$6,2,FALSE)&amp;ROW(V219))),IF(V$86&lt;&gt;"","Data Source Error",""))))</f>
        <v/>
      </c>
      <c r="Y219" s="2643"/>
      <c r="Z219" s="2644"/>
      <c r="AA219" s="2644"/>
      <c r="AB219" s="2645"/>
    </row>
    <row r="220" spans="1:28" ht="17.25" customHeight="1" outlineLevel="1">
      <c r="A220" s="513"/>
      <c r="B220" s="252"/>
      <c r="C220" s="2680" t="s">
        <v>626</v>
      </c>
      <c r="D220" s="2680"/>
      <c r="E220" s="202"/>
      <c r="F220" s="202"/>
      <c r="G220" s="634"/>
      <c r="H220" s="635"/>
      <c r="I220" s="187"/>
      <c r="J220" s="526"/>
      <c r="K220" s="900" t="str">
        <f ca="1">IF(OR($H$7&lt;2,K$197&lt;2),"",IF(J220&lt;&gt;"",J220,IFERROR(IF(INDIRECT("'"&amp;J$86&amp;"'!"&amp;VLOOKUP(J$87,'List Values'!$C$3:$D$6,2,FALSE)&amp;ROW(J220))="","",INDIRECT("'"&amp;J$86&amp;"'!"&amp;VLOOKUP(J$87,'List Values'!$C$3:$D$6,2,FALSE)&amp;ROW(J220))),IF(J$86&lt;&gt;"","Data Source Error",""))))</f>
        <v/>
      </c>
      <c r="L220" s="187"/>
      <c r="M220" s="526"/>
      <c r="N220" s="900" t="str">
        <f ca="1">IF(OR($H$7&lt;3,N$197&lt;2),"",IF(M220&lt;&gt;"",M220,IFERROR(IF(INDIRECT("'"&amp;M$86&amp;"'!"&amp;VLOOKUP(M$87,'List Values'!$C$3:$D$6,2,FALSE)&amp;ROW(M220))="","",INDIRECT("'"&amp;M$86&amp;"'!"&amp;VLOOKUP(M$87,'List Values'!$C$3:$D$6,2,FALSE)&amp;ROW(M220))),IF(M$86&lt;&gt;"","Data Source Error",""))))</f>
        <v/>
      </c>
      <c r="O220" s="187"/>
      <c r="P220" s="526"/>
      <c r="Q220" s="900" t="str">
        <f ca="1">IF(OR($H$7&lt;4,Q$197&lt;2),"",IF(P220&lt;&gt;"",P220,IFERROR(IF(INDIRECT("'"&amp;P$86&amp;"'!"&amp;VLOOKUP(P$87,'List Values'!$C$3:$D$6,2,FALSE)&amp;ROW(P220))="","",INDIRECT("'"&amp;P$86&amp;"'!"&amp;VLOOKUP(P$87,'List Values'!$C$3:$D$6,2,FALSE)&amp;ROW(P220))),IF(P$86&lt;&gt;"","Data Source Error",""))))</f>
        <v/>
      </c>
      <c r="S220" s="526"/>
      <c r="T220" s="900" t="str">
        <f ca="1">IF(OR($H$7&lt;5,T$197&lt;2),"",IF(S220&lt;&gt;"",S220,IFERROR(IF(INDIRECT("'"&amp;S$86&amp;"'!"&amp;VLOOKUP(S$87,'List Values'!$C$3:$D$6,2,FALSE)&amp;ROW(S220))="","",INDIRECT("'"&amp;S$86&amp;"'!"&amp;VLOOKUP(S$87,'List Values'!$C$3:$D$6,2,FALSE)&amp;ROW(S220))),IF(S$86&lt;&gt;"","Data Source Error",""))))</f>
        <v/>
      </c>
      <c r="V220" s="526"/>
      <c r="W220" s="911" t="str">
        <f ca="1">IF(OR($H$7&lt;6,W$197&lt;2),"",IF(V220&lt;&gt;"",V220,IFERROR(IF(INDIRECT("'"&amp;V$86&amp;"'!"&amp;VLOOKUP(V$87,'List Values'!$C$3:$D$6,2,FALSE)&amp;ROW(V220))="","",INDIRECT("'"&amp;V$86&amp;"'!"&amp;VLOOKUP(V$87,'List Values'!$C$3:$D$6,2,FALSE)&amp;ROW(V220))),IF(V$86&lt;&gt;"","Data Source Error",""))))</f>
        <v/>
      </c>
      <c r="Y220" s="2643"/>
      <c r="Z220" s="2644"/>
      <c r="AA220" s="2644"/>
      <c r="AB220" s="2645"/>
    </row>
    <row r="221" spans="1:28" ht="31" customHeight="1" outlineLevel="1">
      <c r="A221" s="513"/>
      <c r="B221" s="252"/>
      <c r="C221" s="2680" t="s">
        <v>2520</v>
      </c>
      <c r="D221" s="2680"/>
      <c r="E221" s="202"/>
      <c r="F221" s="202"/>
      <c r="G221" s="634"/>
      <c r="H221" s="635"/>
      <c r="I221" s="187"/>
      <c r="J221" s="561"/>
      <c r="K221" s="900" t="str">
        <f ca="1">IF(OR($H$7&lt;2,K$197&lt;2),"",IF(J221&lt;&gt;"",J221,IFERROR(IF(INDIRECT("'"&amp;J$86&amp;"'!"&amp;VLOOKUP(J$87,'List Values'!$C$3:$D$6,2,FALSE)&amp;ROW(J221))="","",INDIRECT("'"&amp;J$86&amp;"'!"&amp;VLOOKUP(J$87,'List Values'!$C$3:$D$6,2,FALSE)&amp;ROW(J221))),IF(J$86&lt;&gt;"","Data Source Error",""))))</f>
        <v/>
      </c>
      <c r="L221" s="187"/>
      <c r="M221" s="561"/>
      <c r="N221" s="900" t="str">
        <f ca="1">IF(OR($H$7&lt;3,N$197&lt;2),"",IF(M221&lt;&gt;"",M221,IFERROR(IF(INDIRECT("'"&amp;M$86&amp;"'!"&amp;VLOOKUP(M$87,'List Values'!$C$3:$D$6,2,FALSE)&amp;ROW(M221))="","",INDIRECT("'"&amp;M$86&amp;"'!"&amp;VLOOKUP(M$87,'List Values'!$C$3:$D$6,2,FALSE)&amp;ROW(M221))),IF(M$86&lt;&gt;"","Data Source Error",""))))</f>
        <v/>
      </c>
      <c r="O221" s="187"/>
      <c r="P221" s="561"/>
      <c r="Q221" s="900" t="str">
        <f ca="1">IF(OR($H$7&lt;4,Q$197&lt;2),"",IF(P221&lt;&gt;"",P221,IFERROR(IF(INDIRECT("'"&amp;P$86&amp;"'!"&amp;VLOOKUP(P$87,'List Values'!$C$3:$D$6,2,FALSE)&amp;ROW(P221))="","",INDIRECT("'"&amp;P$86&amp;"'!"&amp;VLOOKUP(P$87,'List Values'!$C$3:$D$6,2,FALSE)&amp;ROW(P221))),IF(P$86&lt;&gt;"","Data Source Error",""))))</f>
        <v/>
      </c>
      <c r="S221" s="561"/>
      <c r="T221" s="900" t="str">
        <f ca="1">IF(OR($H$7&lt;5,T$197&lt;2),"",IF(S221&lt;&gt;"",S221,IFERROR(IF(INDIRECT("'"&amp;S$86&amp;"'!"&amp;VLOOKUP(S$87,'List Values'!$C$3:$D$6,2,FALSE)&amp;ROW(S221))="","",INDIRECT("'"&amp;S$86&amp;"'!"&amp;VLOOKUP(S$87,'List Values'!$C$3:$D$6,2,FALSE)&amp;ROW(S221))),IF(S$86&lt;&gt;"","Data Source Error",""))))</f>
        <v/>
      </c>
      <c r="V221" s="561"/>
      <c r="W221" s="911" t="str">
        <f ca="1">IF(OR($H$7&lt;6,W$197&lt;2),"",IF(V221&lt;&gt;"",V221,IFERROR(IF(INDIRECT("'"&amp;V$86&amp;"'!"&amp;VLOOKUP(V$87,'List Values'!$C$3:$D$6,2,FALSE)&amp;ROW(V221))="","",INDIRECT("'"&amp;V$86&amp;"'!"&amp;VLOOKUP(V$87,'List Values'!$C$3:$D$6,2,FALSE)&amp;ROW(V221))),IF(V$86&lt;&gt;"","Data Source Error",""))))</f>
        <v/>
      </c>
      <c r="Y221" s="2643"/>
      <c r="Z221" s="2644"/>
      <c r="AA221" s="2644"/>
      <c r="AB221" s="2645"/>
    </row>
    <row r="222" spans="1:28" ht="31" customHeight="1" outlineLevel="1">
      <c r="A222" s="513"/>
      <c r="B222" s="252"/>
      <c r="C222" s="2684" t="s">
        <v>726</v>
      </c>
      <c r="D222" s="2684"/>
      <c r="E222" s="202"/>
      <c r="F222" s="202"/>
      <c r="G222" s="634"/>
      <c r="H222" s="635"/>
      <c r="I222" s="187"/>
      <c r="J222" s="526"/>
      <c r="K222" s="900" t="str">
        <f ca="1">IF(OR($H$7&lt;2,K$197&lt;2),"",IF(J222&lt;&gt;"",J222,IFERROR(IF(INDIRECT("'"&amp;J$86&amp;"'!"&amp;VLOOKUP(J$87,'List Values'!$C$3:$D$6,2,FALSE)&amp;ROW(J222))="","",INDIRECT("'"&amp;J$86&amp;"'!"&amp;VLOOKUP(J$87,'List Values'!$C$3:$D$6,2,FALSE)&amp;ROW(J222))),IF(J$86&lt;&gt;"","Data Source Error",""))))</f>
        <v/>
      </c>
      <c r="L222" s="187"/>
      <c r="M222" s="526"/>
      <c r="N222" s="900" t="str">
        <f ca="1">IF(OR($H$7&lt;3,N$197&lt;2),"",IF(M222&lt;&gt;"",M222,IFERROR(IF(INDIRECT("'"&amp;M$86&amp;"'!"&amp;VLOOKUP(M$87,'List Values'!$C$3:$D$6,2,FALSE)&amp;ROW(M222))="","",INDIRECT("'"&amp;M$86&amp;"'!"&amp;VLOOKUP(M$87,'List Values'!$C$3:$D$6,2,FALSE)&amp;ROW(M222))),IF(M$86&lt;&gt;"","Data Source Error",""))))</f>
        <v/>
      </c>
      <c r="O222" s="187"/>
      <c r="P222" s="526"/>
      <c r="Q222" s="900" t="str">
        <f ca="1">IF(OR($H$7&lt;4,Q$197&lt;2),"",IF(P222&lt;&gt;"",P222,IFERROR(IF(INDIRECT("'"&amp;P$86&amp;"'!"&amp;VLOOKUP(P$87,'List Values'!$C$3:$D$6,2,FALSE)&amp;ROW(P222))="","",INDIRECT("'"&amp;P$86&amp;"'!"&amp;VLOOKUP(P$87,'List Values'!$C$3:$D$6,2,FALSE)&amp;ROW(P222))),IF(P$86&lt;&gt;"","Data Source Error",""))))</f>
        <v/>
      </c>
      <c r="S222" s="526"/>
      <c r="T222" s="900" t="str">
        <f ca="1">IF(OR($H$7&lt;5,T$197&lt;2),"",IF(S222&lt;&gt;"",S222,IFERROR(IF(INDIRECT("'"&amp;S$86&amp;"'!"&amp;VLOOKUP(S$87,'List Values'!$C$3:$D$6,2,FALSE)&amp;ROW(S222))="","",INDIRECT("'"&amp;S$86&amp;"'!"&amp;VLOOKUP(S$87,'List Values'!$C$3:$D$6,2,FALSE)&amp;ROW(S222))),IF(S$86&lt;&gt;"","Data Source Error",""))))</f>
        <v/>
      </c>
      <c r="V222" s="526"/>
      <c r="W222" s="911" t="str">
        <f ca="1">IF(OR($H$7&lt;6,W$197&lt;2),"",IF(V222&lt;&gt;"",V222,IFERROR(IF(INDIRECT("'"&amp;V$86&amp;"'!"&amp;VLOOKUP(V$87,'List Values'!$C$3:$D$6,2,FALSE)&amp;ROW(V222))="","",INDIRECT("'"&amp;V$86&amp;"'!"&amp;VLOOKUP(V$87,'List Values'!$C$3:$D$6,2,FALSE)&amp;ROW(V222))),IF(V$86&lt;&gt;"","Data Source Error",""))))</f>
        <v/>
      </c>
      <c r="Y222" s="2643"/>
      <c r="Z222" s="2644"/>
      <c r="AA222" s="2644"/>
      <c r="AB222" s="2645"/>
    </row>
    <row r="223" spans="1:28" ht="33" customHeight="1" outlineLevel="1">
      <c r="A223" s="513"/>
      <c r="B223" s="252"/>
      <c r="C223" s="2684" t="s">
        <v>727</v>
      </c>
      <c r="D223" s="2684"/>
      <c r="E223" s="202"/>
      <c r="F223" s="202"/>
      <c r="G223" s="634"/>
      <c r="H223" s="635"/>
      <c r="I223" s="187"/>
      <c r="J223" s="568"/>
      <c r="K223" s="945" t="str">
        <f ca="1">IF(OR($H$7&lt;2,K$197&lt;2),"",IF(J223&lt;&gt;"",J223,IFERROR(IF(INDIRECT("'"&amp;J$86&amp;"'!"&amp;VLOOKUP(J$87,'List Values'!$C$3:$D$6,2,FALSE)&amp;ROW(J223))="","",INDIRECT("'"&amp;J$86&amp;"'!"&amp;VLOOKUP(J$87,'List Values'!$C$3:$D$6,2,FALSE)&amp;ROW(J223))*$H$6),IF(J$86&lt;&gt;"","Data Source Error",""))))</f>
        <v/>
      </c>
      <c r="L223" s="339"/>
      <c r="M223" s="568"/>
      <c r="N223" s="945" t="str">
        <f ca="1">IF(OR($H$7&lt;3,N$197&lt;2),"",IF(M223&lt;&gt;"",M223,IFERROR(IF(INDIRECT("'"&amp;M$86&amp;"'!"&amp;VLOOKUP(M$87,'List Values'!$C$3:$D$6,2,FALSE)&amp;ROW(M223))="","",INDIRECT("'"&amp;M$86&amp;"'!"&amp;VLOOKUP(M$87,'List Values'!$C$3:$D$6,2,FALSE)&amp;ROW(M223))*$H$6),IF(M$86&lt;&gt;"","Data Source Error",""))))</f>
        <v/>
      </c>
      <c r="O223" s="339"/>
      <c r="P223" s="568"/>
      <c r="Q223" s="945" t="str">
        <f ca="1">IF(OR($H$7&lt;4,Q$197&lt;2),"",IF(P223&lt;&gt;"",P223,IFERROR(IF(INDIRECT("'"&amp;P$86&amp;"'!"&amp;VLOOKUP(P$87,'List Values'!$C$3:$D$6,2,FALSE)&amp;ROW(P223))="","",INDIRECT("'"&amp;P$86&amp;"'!"&amp;VLOOKUP(P$87,'List Values'!$C$3:$D$6,2,FALSE)&amp;ROW(P223))*$H$6),IF(P$86&lt;&gt;"","Data Source Error",""))))</f>
        <v/>
      </c>
      <c r="R223" s="7"/>
      <c r="S223" s="568"/>
      <c r="T223" s="945" t="str">
        <f ca="1">IF(OR($H$7&lt;5,T$197&lt;2),"",IF(S223&lt;&gt;"",S223,IFERROR(IF(INDIRECT("'"&amp;S$86&amp;"'!"&amp;VLOOKUP(S$87,'List Values'!$C$3:$D$6,2,FALSE)&amp;ROW(S223))="","",INDIRECT("'"&amp;S$86&amp;"'!"&amp;VLOOKUP(S$87,'List Values'!$C$3:$D$6,2,FALSE)&amp;ROW(S223))*$H$6),IF(S$86&lt;&gt;"","Data Source Error",""))))</f>
        <v/>
      </c>
      <c r="U223" s="7"/>
      <c r="V223" s="568"/>
      <c r="W223" s="952" t="str">
        <f ca="1">IF(OR($H$7&lt;6,W$197&lt;2),"",IF(V223&lt;&gt;"",V223,IFERROR(IF(INDIRECT("'"&amp;V$86&amp;"'!"&amp;VLOOKUP(V$87,'List Values'!$C$3:$D$6,2,FALSE)&amp;ROW(V223))="","",INDIRECT("'"&amp;V$86&amp;"'!"&amp;VLOOKUP(V$87,'List Values'!$C$3:$D$6,2,FALSE)&amp;ROW(V223))*$H$6),IF(V$86&lt;&gt;"","Data Source Error",""))))</f>
        <v/>
      </c>
      <c r="Y223" s="2643"/>
      <c r="Z223" s="2644"/>
      <c r="AA223" s="2644"/>
      <c r="AB223" s="2645"/>
    </row>
    <row r="224" spans="1:28" ht="17.25" customHeight="1" outlineLevel="1">
      <c r="A224" s="513"/>
      <c r="B224" s="252"/>
      <c r="C224" s="2680" t="s">
        <v>732</v>
      </c>
      <c r="D224" s="2680"/>
      <c r="E224" s="202"/>
      <c r="F224" s="202"/>
      <c r="G224" s="634"/>
      <c r="H224" s="635"/>
      <c r="I224" s="187"/>
      <c r="J224" s="526"/>
      <c r="K224" s="900" t="str">
        <f ca="1">IF(OR($H$7&lt;2,K$197&lt;2),"",IF(J224&lt;&gt;"",J224,IFERROR(IF(INDIRECT("'"&amp;J$86&amp;"'!"&amp;VLOOKUP(J$87,'List Values'!$C$3:$D$6,2,FALSE)&amp;ROW(J224))="","",INDIRECT("'"&amp;J$86&amp;"'!"&amp;VLOOKUP(J$87,'List Values'!$C$3:$D$6,2,FALSE)&amp;ROW(J224))),IF(J$86&lt;&gt;"","Data Source Error",""))))</f>
        <v/>
      </c>
      <c r="L224" s="187"/>
      <c r="M224" s="526"/>
      <c r="N224" s="900" t="str">
        <f ca="1">IF(OR($H$7&lt;3,N$197&lt;2),"",IF(M224&lt;&gt;"",M224,IFERROR(IF(INDIRECT("'"&amp;M$86&amp;"'!"&amp;VLOOKUP(M$87,'List Values'!$C$3:$D$6,2,FALSE)&amp;ROW(M224))="","",INDIRECT("'"&amp;M$86&amp;"'!"&amp;VLOOKUP(M$87,'List Values'!$C$3:$D$6,2,FALSE)&amp;ROW(M224))),IF(M$86&lt;&gt;"","Data Source Error",""))))</f>
        <v/>
      </c>
      <c r="O224" s="187"/>
      <c r="P224" s="526"/>
      <c r="Q224" s="900" t="str">
        <f ca="1">IF(OR($H$7&lt;4,Q$197&lt;2),"",IF(P224&lt;&gt;"",P224,IFERROR(IF(INDIRECT("'"&amp;P$86&amp;"'!"&amp;VLOOKUP(P$87,'List Values'!$C$3:$D$6,2,FALSE)&amp;ROW(P224))="","",INDIRECT("'"&amp;P$86&amp;"'!"&amp;VLOOKUP(P$87,'List Values'!$C$3:$D$6,2,FALSE)&amp;ROW(P224))),IF(P$86&lt;&gt;"","Data Source Error",""))))</f>
        <v/>
      </c>
      <c r="S224" s="526"/>
      <c r="T224" s="900" t="str">
        <f ca="1">IF(OR($H$7&lt;5,T$197&lt;2),"",IF(S224&lt;&gt;"",S224,IFERROR(IF(INDIRECT("'"&amp;S$86&amp;"'!"&amp;VLOOKUP(S$87,'List Values'!$C$3:$D$6,2,FALSE)&amp;ROW(S224))="","",INDIRECT("'"&amp;S$86&amp;"'!"&amp;VLOOKUP(S$87,'List Values'!$C$3:$D$6,2,FALSE)&amp;ROW(S224))),IF(S$86&lt;&gt;"","Data Source Error",""))))</f>
        <v/>
      </c>
      <c r="V224" s="526"/>
      <c r="W224" s="911" t="str">
        <f ca="1">IF(OR($H$7&lt;6,W$197&lt;2),"",IF(V224&lt;&gt;"",V224,IFERROR(IF(INDIRECT("'"&amp;V$86&amp;"'!"&amp;VLOOKUP(V$87,'List Values'!$C$3:$D$6,2,FALSE)&amp;ROW(V224))="","",INDIRECT("'"&amp;V$86&amp;"'!"&amp;VLOOKUP(V$87,'List Values'!$C$3:$D$6,2,FALSE)&amp;ROW(V224))),IF(V$86&lt;&gt;"","Data Source Error",""))))</f>
        <v/>
      </c>
      <c r="Y224" s="2643"/>
      <c r="Z224" s="2644"/>
      <c r="AA224" s="2644"/>
      <c r="AB224" s="2645"/>
    </row>
    <row r="225" spans="1:28" ht="31" customHeight="1" outlineLevel="1">
      <c r="A225" s="513"/>
      <c r="B225" s="252"/>
      <c r="C225" s="2684" t="s">
        <v>730</v>
      </c>
      <c r="D225" s="2684"/>
      <c r="E225" s="202"/>
      <c r="F225" s="202"/>
      <c r="G225" s="634"/>
      <c r="H225" s="635"/>
      <c r="I225" s="183"/>
      <c r="J225" s="553"/>
      <c r="K225" s="897" t="str">
        <f ca="1">IF(OR($H$7&lt;2,K$197&lt;2),"",IF(J225&lt;&gt;"",J225,IFERROR(IF(INDIRECT("'"&amp;J$86&amp;"'!"&amp;VLOOKUP(J$87,'List Values'!$C$3:$D$6,2,FALSE)&amp;ROW(J225))="","",INDIRECT("'"&amp;J$86&amp;"'!"&amp;VLOOKUP(J$87,'List Values'!$C$3:$D$6,2,FALSE)&amp;ROW(J225))),IF(J$86&lt;&gt;"","Data Source Error",""))))</f>
        <v/>
      </c>
      <c r="L225" s="183"/>
      <c r="M225" s="553"/>
      <c r="N225" s="897" t="str">
        <f ca="1">IF(OR($H$7&lt;3,N$197&lt;2),"",IF(M225&lt;&gt;"",M225,IFERROR(IF(INDIRECT("'"&amp;M$86&amp;"'!"&amp;VLOOKUP(M$87,'List Values'!$C$3:$D$6,2,FALSE)&amp;ROW(M225))="","",INDIRECT("'"&amp;M$86&amp;"'!"&amp;VLOOKUP(M$87,'List Values'!$C$3:$D$6,2,FALSE)&amp;ROW(M225))),IF(M$86&lt;&gt;"","Data Source Error",""))))</f>
        <v/>
      </c>
      <c r="O225" s="183"/>
      <c r="P225" s="553"/>
      <c r="Q225" s="897" t="str">
        <f ca="1">IF(OR($H$7&lt;4,Q$197&lt;2),"",IF(P225&lt;&gt;"",P225,IFERROR(IF(INDIRECT("'"&amp;P$86&amp;"'!"&amp;VLOOKUP(P$87,'List Values'!$C$3:$D$6,2,FALSE)&amp;ROW(P225))="","",INDIRECT("'"&amp;P$86&amp;"'!"&amp;VLOOKUP(P$87,'List Values'!$C$3:$D$6,2,FALSE)&amp;ROW(P225))),IF(P$86&lt;&gt;"","Data Source Error",""))))</f>
        <v/>
      </c>
      <c r="S225" s="553"/>
      <c r="T225" s="897" t="str">
        <f ca="1">IF(OR($H$7&lt;5,T$197&lt;2),"",IF(S225&lt;&gt;"",S225,IFERROR(IF(INDIRECT("'"&amp;S$86&amp;"'!"&amp;VLOOKUP(S$87,'List Values'!$C$3:$D$6,2,FALSE)&amp;ROW(S225))="","",INDIRECT("'"&amp;S$86&amp;"'!"&amp;VLOOKUP(S$87,'List Values'!$C$3:$D$6,2,FALSE)&amp;ROW(S225))),IF(S$86&lt;&gt;"","Data Source Error",""))))</f>
        <v/>
      </c>
      <c r="V225" s="553"/>
      <c r="W225" s="908" t="str">
        <f ca="1">IF(OR($H$7&lt;6,W$197&lt;2),"",IF(V225&lt;&gt;"",V225,IFERROR(IF(INDIRECT("'"&amp;V$86&amp;"'!"&amp;VLOOKUP(V$87,'List Values'!$C$3:$D$6,2,FALSE)&amp;ROW(V225))="","",INDIRECT("'"&amp;V$86&amp;"'!"&amp;VLOOKUP(V$87,'List Values'!$C$3:$D$6,2,FALSE)&amp;ROW(V225))),IF(V$86&lt;&gt;"","Data Source Error",""))))</f>
        <v/>
      </c>
      <c r="Y225" s="2643"/>
      <c r="Z225" s="2644"/>
      <c r="AA225" s="2644"/>
      <c r="AB225" s="2645"/>
    </row>
    <row r="226" spans="1:28" ht="31" customHeight="1" outlineLevel="1">
      <c r="A226" s="513"/>
      <c r="B226" s="252"/>
      <c r="C226" s="2680" t="s">
        <v>2521</v>
      </c>
      <c r="D226" s="2680"/>
      <c r="E226" s="202"/>
      <c r="F226" s="202"/>
      <c r="G226" s="634"/>
      <c r="H226" s="635"/>
      <c r="I226" s="187"/>
      <c r="J226" s="619"/>
      <c r="K226" s="898" t="str">
        <f ca="1">IF(OR($H$7&lt;2,K$197&lt;2),"",IF(J226&lt;&gt;"",J226,IFERROR(IF(INDIRECT("'"&amp;J$86&amp;"'!"&amp;VLOOKUP(J$87,'List Values'!$C$3:$D$6,2,FALSE)&amp;ROW(J226))="","",INDIRECT("'"&amp;J$86&amp;"'!"&amp;VLOOKUP(J$87,'List Values'!$C$3:$D$6,2,FALSE)&amp;ROW(J226))),IF(J$86&lt;&gt;"","Data Source Error",""))))</f>
        <v/>
      </c>
      <c r="L226" s="621"/>
      <c r="M226" s="619"/>
      <c r="N226" s="898" t="str">
        <f ca="1">IF(OR($H$7&lt;3,N$197&lt;2),"",IF(M226&lt;&gt;"",M226,IFERROR(IF(INDIRECT("'"&amp;M$86&amp;"'!"&amp;VLOOKUP(M$87,'List Values'!$C$3:$D$6,2,FALSE)&amp;ROW(M226))="","",INDIRECT("'"&amp;M$86&amp;"'!"&amp;VLOOKUP(M$87,'List Values'!$C$3:$D$6,2,FALSE)&amp;ROW(M226))),IF(M$86&lt;&gt;"","Data Source Error",""))))</f>
        <v/>
      </c>
      <c r="O226" s="621"/>
      <c r="P226" s="619"/>
      <c r="Q226" s="898" t="str">
        <f ca="1">IF(OR($H$7&lt;4,Q$197&lt;2),"",IF(P226&lt;&gt;"",P226,IFERROR(IF(INDIRECT("'"&amp;P$86&amp;"'!"&amp;VLOOKUP(P$87,'List Values'!$C$3:$D$6,2,FALSE)&amp;ROW(P226))="","",INDIRECT("'"&amp;P$86&amp;"'!"&amp;VLOOKUP(P$87,'List Values'!$C$3:$D$6,2,FALSE)&amp;ROW(P226))),IF(P$86&lt;&gt;"","Data Source Error",""))))</f>
        <v/>
      </c>
      <c r="R226" s="147"/>
      <c r="S226" s="619"/>
      <c r="T226" s="898" t="str">
        <f ca="1">IF(OR($H$7&lt;5,T$197&lt;2),"",IF(S226&lt;&gt;"",S226,IFERROR(IF(INDIRECT("'"&amp;S$86&amp;"'!"&amp;VLOOKUP(S$87,'List Values'!$C$3:$D$6,2,FALSE)&amp;ROW(S226))="","",INDIRECT("'"&amp;S$86&amp;"'!"&amp;VLOOKUP(S$87,'List Values'!$C$3:$D$6,2,FALSE)&amp;ROW(S226))),IF(S$86&lt;&gt;"","Data Source Error",""))))</f>
        <v/>
      </c>
      <c r="U226" s="147"/>
      <c r="V226" s="619"/>
      <c r="W226" s="909" t="str">
        <f ca="1">IF(OR($H$7&lt;6,W$197&lt;2),"",IF(V226&lt;&gt;"",V226,IFERROR(IF(INDIRECT("'"&amp;V$86&amp;"'!"&amp;VLOOKUP(V$87,'List Values'!$C$3:$D$6,2,FALSE)&amp;ROW(V226))="","",INDIRECT("'"&amp;V$86&amp;"'!"&amp;VLOOKUP(V$87,'List Values'!$C$3:$D$6,2,FALSE)&amp;ROW(V226))),IF(V$86&lt;&gt;"","Data Source Error",""))))</f>
        <v/>
      </c>
      <c r="Y226" s="2643"/>
      <c r="Z226" s="2644"/>
      <c r="AA226" s="2644"/>
      <c r="AB226" s="2645"/>
    </row>
    <row r="227" spans="1:28" ht="31" customHeight="1" outlineLevel="1">
      <c r="A227" s="513"/>
      <c r="B227" s="252"/>
      <c r="C227" s="2680" t="s">
        <v>2522</v>
      </c>
      <c r="D227" s="2680"/>
      <c r="E227" s="202"/>
      <c r="F227" s="202"/>
      <c r="G227" s="634"/>
      <c r="H227" s="635"/>
      <c r="I227" s="187"/>
      <c r="J227" s="619"/>
      <c r="K227" s="898" t="str">
        <f ca="1">IF(OR($H$7&lt;2,K$197&lt;2),"",IF(J227&lt;&gt;"",J227,IFERROR(IF(INDIRECT("'"&amp;J$86&amp;"'!"&amp;VLOOKUP(J$87,'List Values'!$C$3:$D$6,2,FALSE)&amp;ROW(J227))="","",INDIRECT("'"&amp;J$86&amp;"'!"&amp;VLOOKUP(J$87,'List Values'!$C$3:$D$6,2,FALSE)&amp;ROW(J227))),IF(J$86&lt;&gt;"","Data Source Error",""))))</f>
        <v/>
      </c>
      <c r="L227" s="621"/>
      <c r="M227" s="619"/>
      <c r="N227" s="898" t="str">
        <f ca="1">IF(OR($H$7&lt;3,N$197&lt;2),"",IF(M227&lt;&gt;"",M227,IFERROR(IF(INDIRECT("'"&amp;M$86&amp;"'!"&amp;VLOOKUP(M$87,'List Values'!$C$3:$D$6,2,FALSE)&amp;ROW(M227))="","",INDIRECT("'"&amp;M$86&amp;"'!"&amp;VLOOKUP(M$87,'List Values'!$C$3:$D$6,2,FALSE)&amp;ROW(M227))),IF(M$86&lt;&gt;"","Data Source Error",""))))</f>
        <v/>
      </c>
      <c r="O227" s="621"/>
      <c r="P227" s="619"/>
      <c r="Q227" s="898" t="str">
        <f ca="1">IF(OR($H$7&lt;4,Q$197&lt;2),"",IF(P227&lt;&gt;"",P227,IFERROR(IF(INDIRECT("'"&amp;P$86&amp;"'!"&amp;VLOOKUP(P$87,'List Values'!$C$3:$D$6,2,FALSE)&amp;ROW(P227))="","",INDIRECT("'"&amp;P$86&amp;"'!"&amp;VLOOKUP(P$87,'List Values'!$C$3:$D$6,2,FALSE)&amp;ROW(P227))),IF(P$86&lt;&gt;"","Data Source Error",""))))</f>
        <v/>
      </c>
      <c r="R227" s="147"/>
      <c r="S227" s="619"/>
      <c r="T227" s="898" t="str">
        <f ca="1">IF(OR($H$7&lt;5,T$197&lt;2),"",IF(S227&lt;&gt;"",S227,IFERROR(IF(INDIRECT("'"&amp;S$86&amp;"'!"&amp;VLOOKUP(S$87,'List Values'!$C$3:$D$6,2,FALSE)&amp;ROW(S227))="","",INDIRECT("'"&amp;S$86&amp;"'!"&amp;VLOOKUP(S$87,'List Values'!$C$3:$D$6,2,FALSE)&amp;ROW(S227))),IF(S$86&lt;&gt;"","Data Source Error",""))))</f>
        <v/>
      </c>
      <c r="U227" s="147"/>
      <c r="V227" s="619"/>
      <c r="W227" s="909" t="str">
        <f ca="1">IF(OR($H$7&lt;6,W$197&lt;2),"",IF(V227&lt;&gt;"",V227,IFERROR(IF(INDIRECT("'"&amp;V$86&amp;"'!"&amp;VLOOKUP(V$87,'List Values'!$C$3:$D$6,2,FALSE)&amp;ROW(V227))="","",INDIRECT("'"&amp;V$86&amp;"'!"&amp;VLOOKUP(V$87,'List Values'!$C$3:$D$6,2,FALSE)&amp;ROW(V227))),IF(V$86&lt;&gt;"","Data Source Error",""))))</f>
        <v/>
      </c>
      <c r="Y227" s="2643"/>
      <c r="Z227" s="2644"/>
      <c r="AA227" s="2644"/>
      <c r="AB227" s="2645"/>
    </row>
    <row r="228" spans="1:28" ht="33" customHeight="1" outlineLevel="1">
      <c r="A228" s="513"/>
      <c r="B228" s="252"/>
      <c r="C228" s="2680" t="s">
        <v>253</v>
      </c>
      <c r="D228" s="2680"/>
      <c r="E228" s="202"/>
      <c r="F228" s="202"/>
      <c r="G228" s="634"/>
      <c r="H228" s="635"/>
      <c r="I228" s="187"/>
      <c r="J228" s="526"/>
      <c r="K228" s="900" t="str">
        <f ca="1">IF(OR($H$7&lt;2,K$197&lt;2),"",IF(J228&lt;&gt;"",J228,IFERROR(IF(INDIRECT("'"&amp;J$86&amp;"'!"&amp;VLOOKUP(J$87,'List Values'!$C$3:$D$6,2,FALSE)&amp;ROW(J228))="","",INDIRECT("'"&amp;J$86&amp;"'!"&amp;VLOOKUP(J$87,'List Values'!$C$3:$D$6,2,FALSE)&amp;ROW(J228))),IF(J$86&lt;&gt;"","Data Source Error",""))))</f>
        <v/>
      </c>
      <c r="L228" s="187"/>
      <c r="M228" s="526"/>
      <c r="N228" s="900" t="str">
        <f ca="1">IF(OR($H$7&lt;3,N$197&lt;2),"",IF(M228&lt;&gt;"",M228,IFERROR(IF(INDIRECT("'"&amp;M$86&amp;"'!"&amp;VLOOKUP(M$87,'List Values'!$C$3:$D$6,2,FALSE)&amp;ROW(M228))="","",INDIRECT("'"&amp;M$86&amp;"'!"&amp;VLOOKUP(M$87,'List Values'!$C$3:$D$6,2,FALSE)&amp;ROW(M228))),IF(M$86&lt;&gt;"","Data Source Error",""))))</f>
        <v/>
      </c>
      <c r="O228" s="187"/>
      <c r="P228" s="526"/>
      <c r="Q228" s="900" t="str">
        <f ca="1">IF(OR($H$7&lt;4,Q$197&lt;2),"",IF(P228&lt;&gt;"",P228,IFERROR(IF(INDIRECT("'"&amp;P$86&amp;"'!"&amp;VLOOKUP(P$87,'List Values'!$C$3:$D$6,2,FALSE)&amp;ROW(P228))="","",INDIRECT("'"&amp;P$86&amp;"'!"&amp;VLOOKUP(P$87,'List Values'!$C$3:$D$6,2,FALSE)&amp;ROW(P228))),IF(P$86&lt;&gt;"","Data Source Error",""))))</f>
        <v/>
      </c>
      <c r="S228" s="526"/>
      <c r="T228" s="900" t="str">
        <f ca="1">IF(OR($H$7&lt;5,T$197&lt;2),"",IF(S228&lt;&gt;"",S228,IFERROR(IF(INDIRECT("'"&amp;S$86&amp;"'!"&amp;VLOOKUP(S$87,'List Values'!$C$3:$D$6,2,FALSE)&amp;ROW(S228))="","",INDIRECT("'"&amp;S$86&amp;"'!"&amp;VLOOKUP(S$87,'List Values'!$C$3:$D$6,2,FALSE)&amp;ROW(S228))),IF(S$86&lt;&gt;"","Data Source Error",""))))</f>
        <v/>
      </c>
      <c r="V228" s="526"/>
      <c r="W228" s="911" t="str">
        <f ca="1">IF(OR($H$7&lt;6,W$197&lt;2),"",IF(V228&lt;&gt;"",V228,IFERROR(IF(INDIRECT("'"&amp;V$86&amp;"'!"&amp;VLOOKUP(V$87,'List Values'!$C$3:$D$6,2,FALSE)&amp;ROW(V228))="","",INDIRECT("'"&amp;V$86&amp;"'!"&amp;VLOOKUP(V$87,'List Values'!$C$3:$D$6,2,FALSE)&amp;ROW(V228))),IF(V$86&lt;&gt;"","Data Source Error",""))))</f>
        <v/>
      </c>
      <c r="Y228" s="2643"/>
      <c r="Z228" s="2644"/>
      <c r="AA228" s="2644"/>
      <c r="AB228" s="2645"/>
    </row>
    <row r="229" spans="1:28" ht="17.25" customHeight="1" outlineLevel="1">
      <c r="A229" s="513"/>
      <c r="B229" s="252"/>
      <c r="C229" s="2684" t="s">
        <v>2529</v>
      </c>
      <c r="D229" s="2684"/>
      <c r="E229" s="202"/>
      <c r="F229" s="202"/>
      <c r="G229" s="634"/>
      <c r="H229" s="635"/>
      <c r="I229" s="187"/>
      <c r="J229" s="580"/>
      <c r="K229" s="900" t="str">
        <f ca="1">IF(OR($H$7&lt;2,K$197&lt;2),"",IF(J229&lt;&gt;"",J229,IFERROR(IF(INDIRECT("'"&amp;J$86&amp;"'!"&amp;VLOOKUP(J$87,'List Values'!$C$3:$D$6,2,FALSE)&amp;ROW(J229))="","",INDIRECT("'"&amp;J$86&amp;"'!"&amp;VLOOKUP(J$87,'List Values'!$C$3:$D$6,2,FALSE)&amp;ROW(J229))),IF(J$86&lt;&gt;"","Data Source Error",""))))</f>
        <v/>
      </c>
      <c r="L229" s="187"/>
      <c r="M229" s="580"/>
      <c r="N229" s="900" t="str">
        <f ca="1">IF(OR($H$7&lt;3,N$197&lt;2),"",IF(M229&lt;&gt;"",M229,IFERROR(IF(INDIRECT("'"&amp;M$86&amp;"'!"&amp;VLOOKUP(M$87,'List Values'!$C$3:$D$6,2,FALSE)&amp;ROW(M229))="","",INDIRECT("'"&amp;M$86&amp;"'!"&amp;VLOOKUP(M$87,'List Values'!$C$3:$D$6,2,FALSE)&amp;ROW(M229))),IF(M$86&lt;&gt;"","Data Source Error",""))))</f>
        <v/>
      </c>
      <c r="O229" s="187"/>
      <c r="P229" s="580"/>
      <c r="Q229" s="900" t="str">
        <f ca="1">IF(OR($H$7&lt;4,Q$197&lt;2),"",IF(P229&lt;&gt;"",P229,IFERROR(IF(INDIRECT("'"&amp;P$86&amp;"'!"&amp;VLOOKUP(P$87,'List Values'!$C$3:$D$6,2,FALSE)&amp;ROW(P229))="","",INDIRECT("'"&amp;P$86&amp;"'!"&amp;VLOOKUP(P$87,'List Values'!$C$3:$D$6,2,FALSE)&amp;ROW(P229))),IF(P$86&lt;&gt;"","Data Source Error",""))))</f>
        <v/>
      </c>
      <c r="S229" s="580"/>
      <c r="T229" s="900" t="str">
        <f ca="1">IF(OR($H$7&lt;5,T$197&lt;2),"",IF(S229&lt;&gt;"",S229,IFERROR(IF(INDIRECT("'"&amp;S$86&amp;"'!"&amp;VLOOKUP(S$87,'List Values'!$C$3:$D$6,2,FALSE)&amp;ROW(S229))="","",INDIRECT("'"&amp;S$86&amp;"'!"&amp;VLOOKUP(S$87,'List Values'!$C$3:$D$6,2,FALSE)&amp;ROW(S229))),IF(S$86&lt;&gt;"","Data Source Error",""))))</f>
        <v/>
      </c>
      <c r="V229" s="580"/>
      <c r="W229" s="911" t="str">
        <f ca="1">IF(OR($H$7&lt;6,W$197&lt;2),"",IF(V229&lt;&gt;"",V229,IFERROR(IF(INDIRECT("'"&amp;V$86&amp;"'!"&amp;VLOOKUP(V$87,'List Values'!$C$3:$D$6,2,FALSE)&amp;ROW(V229))="","",INDIRECT("'"&amp;V$86&amp;"'!"&amp;VLOOKUP(V$87,'List Values'!$C$3:$D$6,2,FALSE)&amp;ROW(V229))),IF(V$86&lt;&gt;"","Data Source Error",""))))</f>
        <v/>
      </c>
      <c r="Y229" s="2643"/>
      <c r="Z229" s="2644"/>
      <c r="AA229" s="2644"/>
      <c r="AB229" s="2645"/>
    </row>
    <row r="230" spans="1:28" ht="33" customHeight="1" outlineLevel="1">
      <c r="A230" s="513"/>
      <c r="B230" s="252"/>
      <c r="C230" s="2680" t="s">
        <v>2523</v>
      </c>
      <c r="D230" s="2680"/>
      <c r="E230" s="202"/>
      <c r="F230" s="202"/>
      <c r="G230" s="634"/>
      <c r="H230" s="635"/>
      <c r="I230" s="187"/>
      <c r="J230" s="580"/>
      <c r="K230" s="900" t="str">
        <f ca="1">IF(OR($H$7&lt;2,K$197&lt;2),"",IF(J230&lt;&gt;"",J230,IFERROR(IF(INDIRECT("'"&amp;J$86&amp;"'!"&amp;VLOOKUP(J$87,'List Values'!$C$3:$D$6,2,FALSE)&amp;ROW(J230))="","",INDIRECT("'"&amp;J$86&amp;"'!"&amp;VLOOKUP(J$87,'List Values'!$C$3:$D$6,2,FALSE)&amp;ROW(J230))),IF(J$86&lt;&gt;"","Data Source Error",""))))</f>
        <v/>
      </c>
      <c r="L230" s="187"/>
      <c r="M230" s="580"/>
      <c r="N230" s="900" t="str">
        <f ca="1">IF(OR($H$7&lt;3,N$197&lt;2),"",IF(M230&lt;&gt;"",M230,IFERROR(IF(INDIRECT("'"&amp;M$86&amp;"'!"&amp;VLOOKUP(M$87,'List Values'!$C$3:$D$6,2,FALSE)&amp;ROW(M230))="","",INDIRECT("'"&amp;M$86&amp;"'!"&amp;VLOOKUP(M$87,'List Values'!$C$3:$D$6,2,FALSE)&amp;ROW(M230))),IF(M$86&lt;&gt;"","Data Source Error",""))))</f>
        <v/>
      </c>
      <c r="O230" s="187"/>
      <c r="P230" s="580"/>
      <c r="Q230" s="900" t="str">
        <f ca="1">IF(OR($H$7&lt;4,Q$197&lt;2),"",IF(P230&lt;&gt;"",P230,IFERROR(IF(INDIRECT("'"&amp;P$86&amp;"'!"&amp;VLOOKUP(P$87,'List Values'!$C$3:$D$6,2,FALSE)&amp;ROW(P230))="","",INDIRECT("'"&amp;P$86&amp;"'!"&amp;VLOOKUP(P$87,'List Values'!$C$3:$D$6,2,FALSE)&amp;ROW(P230))),IF(P$86&lt;&gt;"","Data Source Error",""))))</f>
        <v/>
      </c>
      <c r="S230" s="580"/>
      <c r="T230" s="900" t="str">
        <f ca="1">IF(OR($H$7&lt;5,T$197&lt;2),"",IF(S230&lt;&gt;"",S230,IFERROR(IF(INDIRECT("'"&amp;S$86&amp;"'!"&amp;VLOOKUP(S$87,'List Values'!$C$3:$D$6,2,FALSE)&amp;ROW(S230))="","",INDIRECT("'"&amp;S$86&amp;"'!"&amp;VLOOKUP(S$87,'List Values'!$C$3:$D$6,2,FALSE)&amp;ROW(S230))),IF(S$86&lt;&gt;"","Data Source Error",""))))</f>
        <v/>
      </c>
      <c r="V230" s="580"/>
      <c r="W230" s="911" t="str">
        <f ca="1">IF(OR($H$7&lt;6,W$197&lt;2),"",IF(V230&lt;&gt;"",V230,IFERROR(IF(INDIRECT("'"&amp;V$86&amp;"'!"&amp;VLOOKUP(V$87,'List Values'!$C$3:$D$6,2,FALSE)&amp;ROW(V230))="","",INDIRECT("'"&amp;V$86&amp;"'!"&amp;VLOOKUP(V$87,'List Values'!$C$3:$D$6,2,FALSE)&amp;ROW(V230))),IF(V$86&lt;&gt;"","Data Source Error",""))))</f>
        <v/>
      </c>
      <c r="Y230" s="2643"/>
      <c r="Z230" s="2644"/>
      <c r="AA230" s="2644"/>
      <c r="AB230" s="2645"/>
    </row>
    <row r="231" spans="1:28" ht="17.25" customHeight="1" outlineLevel="1">
      <c r="A231" s="513"/>
      <c r="B231" s="252"/>
      <c r="C231" s="2680" t="s">
        <v>2524</v>
      </c>
      <c r="D231" s="2680"/>
      <c r="E231" s="202"/>
      <c r="F231" s="202"/>
      <c r="G231" s="634"/>
      <c r="H231" s="635"/>
      <c r="I231" s="187"/>
      <c r="J231" s="580"/>
      <c r="K231" s="900" t="str">
        <f ca="1">IF(OR($H$7&lt;2,K$197&lt;2),"",IF(J231&lt;&gt;"",J231,IFERROR(IF(INDIRECT("'"&amp;J$86&amp;"'!"&amp;VLOOKUP(J$87,'List Values'!$C$3:$D$6,2,FALSE)&amp;ROW(J231))="","",INDIRECT("'"&amp;J$86&amp;"'!"&amp;VLOOKUP(J$87,'List Values'!$C$3:$D$6,2,FALSE)&amp;ROW(J231))),IF(J$86&lt;&gt;"","Data Source Error",""))))</f>
        <v/>
      </c>
      <c r="L231" s="187"/>
      <c r="M231" s="580"/>
      <c r="N231" s="900" t="str">
        <f ca="1">IF(OR($H$7&lt;3,N$197&lt;2),"",IF(M231&lt;&gt;"",M231,IFERROR(IF(INDIRECT("'"&amp;M$86&amp;"'!"&amp;VLOOKUP(M$87,'List Values'!$C$3:$D$6,2,FALSE)&amp;ROW(M231))="","",INDIRECT("'"&amp;M$86&amp;"'!"&amp;VLOOKUP(M$87,'List Values'!$C$3:$D$6,2,FALSE)&amp;ROW(M231))),IF(M$86&lt;&gt;"","Data Source Error",""))))</f>
        <v/>
      </c>
      <c r="O231" s="187"/>
      <c r="P231" s="580"/>
      <c r="Q231" s="900" t="str">
        <f ca="1">IF(OR($H$7&lt;4,Q$197&lt;2),"",IF(P231&lt;&gt;"",P231,IFERROR(IF(INDIRECT("'"&amp;P$86&amp;"'!"&amp;VLOOKUP(P$87,'List Values'!$C$3:$D$6,2,FALSE)&amp;ROW(P231))="","",INDIRECT("'"&amp;P$86&amp;"'!"&amp;VLOOKUP(P$87,'List Values'!$C$3:$D$6,2,FALSE)&amp;ROW(P231))),IF(P$86&lt;&gt;"","Data Source Error",""))))</f>
        <v/>
      </c>
      <c r="S231" s="580"/>
      <c r="T231" s="900" t="str">
        <f ca="1">IF(OR($H$7&lt;5,T$197&lt;2),"",IF(S231&lt;&gt;"",S231,IFERROR(IF(INDIRECT("'"&amp;S$86&amp;"'!"&amp;VLOOKUP(S$87,'List Values'!$C$3:$D$6,2,FALSE)&amp;ROW(S231))="","",INDIRECT("'"&amp;S$86&amp;"'!"&amp;VLOOKUP(S$87,'List Values'!$C$3:$D$6,2,FALSE)&amp;ROW(S231))),IF(S$86&lt;&gt;"","Data Source Error",""))))</f>
        <v/>
      </c>
      <c r="V231" s="580"/>
      <c r="W231" s="911" t="str">
        <f ca="1">IF(OR($H$7&lt;6,W$197&lt;2),"",IF(V231&lt;&gt;"",V231,IFERROR(IF(INDIRECT("'"&amp;V$86&amp;"'!"&amp;VLOOKUP(V$87,'List Values'!$C$3:$D$6,2,FALSE)&amp;ROW(V231))="","",INDIRECT("'"&amp;V$86&amp;"'!"&amp;VLOOKUP(V$87,'List Values'!$C$3:$D$6,2,FALSE)&amp;ROW(V231))),IF(V$86&lt;&gt;"","Data Source Error",""))))</f>
        <v/>
      </c>
      <c r="Y231" s="2643"/>
      <c r="Z231" s="2644"/>
      <c r="AA231" s="2644"/>
      <c r="AB231" s="2645"/>
    </row>
    <row r="232" spans="1:28" ht="17.25" customHeight="1" outlineLevel="1">
      <c r="A232" s="513"/>
      <c r="B232" s="252"/>
      <c r="C232" s="2684" t="s">
        <v>2525</v>
      </c>
      <c r="D232" s="2684"/>
      <c r="E232" s="202"/>
      <c r="F232" s="202"/>
      <c r="G232" s="634"/>
      <c r="H232" s="635"/>
      <c r="I232" s="187"/>
      <c r="J232" s="580"/>
      <c r="K232" s="900" t="str">
        <f ca="1">IF(OR($H$7&lt;2,K$197&lt;2),"",IF(J232&lt;&gt;"",J232,IFERROR(IF(INDIRECT("'"&amp;J$86&amp;"'!"&amp;VLOOKUP(J$87,'List Values'!$C$3:$D$6,2,FALSE)&amp;ROW(J232))="","",INDIRECT("'"&amp;J$86&amp;"'!"&amp;VLOOKUP(J$87,'List Values'!$C$3:$D$6,2,FALSE)&amp;ROW(J232))),IF(J$86&lt;&gt;"","Data Source Error",""))))</f>
        <v/>
      </c>
      <c r="L232" s="187"/>
      <c r="M232" s="580"/>
      <c r="N232" s="900" t="str">
        <f ca="1">IF(OR($H$7&lt;3,N$197&lt;2),"",IF(M232&lt;&gt;"",M232,IFERROR(IF(INDIRECT("'"&amp;M$86&amp;"'!"&amp;VLOOKUP(M$87,'List Values'!$C$3:$D$6,2,FALSE)&amp;ROW(M232))="","",INDIRECT("'"&amp;M$86&amp;"'!"&amp;VLOOKUP(M$87,'List Values'!$C$3:$D$6,2,FALSE)&amp;ROW(M232))),IF(M$86&lt;&gt;"","Data Source Error",""))))</f>
        <v/>
      </c>
      <c r="O232" s="187"/>
      <c r="P232" s="580"/>
      <c r="Q232" s="900" t="str">
        <f ca="1">IF(OR($H$7&lt;4,Q$197&lt;2),"",IF(P232&lt;&gt;"",P232,IFERROR(IF(INDIRECT("'"&amp;P$86&amp;"'!"&amp;VLOOKUP(P$87,'List Values'!$C$3:$D$6,2,FALSE)&amp;ROW(P232))="","",INDIRECT("'"&amp;P$86&amp;"'!"&amp;VLOOKUP(P$87,'List Values'!$C$3:$D$6,2,FALSE)&amp;ROW(P232))),IF(P$86&lt;&gt;"","Data Source Error",""))))</f>
        <v/>
      </c>
      <c r="S232" s="580"/>
      <c r="T232" s="900" t="str">
        <f ca="1">IF(OR($H$7&lt;5,T$197&lt;2),"",IF(S232&lt;&gt;"",S232,IFERROR(IF(INDIRECT("'"&amp;S$86&amp;"'!"&amp;VLOOKUP(S$87,'List Values'!$C$3:$D$6,2,FALSE)&amp;ROW(S232))="","",INDIRECT("'"&amp;S$86&amp;"'!"&amp;VLOOKUP(S$87,'List Values'!$C$3:$D$6,2,FALSE)&amp;ROW(S232))),IF(S$86&lt;&gt;"","Data Source Error",""))))</f>
        <v/>
      </c>
      <c r="V232" s="580"/>
      <c r="W232" s="911" t="str">
        <f ca="1">IF(OR($H$7&lt;6,W$197&lt;2),"",IF(V232&lt;&gt;"",V232,IFERROR(IF(INDIRECT("'"&amp;V$86&amp;"'!"&amp;VLOOKUP(V$87,'List Values'!$C$3:$D$6,2,FALSE)&amp;ROW(V232))="","",INDIRECT("'"&amp;V$86&amp;"'!"&amp;VLOOKUP(V$87,'List Values'!$C$3:$D$6,2,FALSE)&amp;ROW(V232))),IF(V$86&lt;&gt;"","Data Source Error",""))))</f>
        <v/>
      </c>
      <c r="Y232" s="2643"/>
      <c r="Z232" s="2644"/>
      <c r="AA232" s="2644"/>
      <c r="AB232" s="2645"/>
    </row>
    <row r="233" spans="1:28" ht="31" customHeight="1" outlineLevel="1">
      <c r="A233" s="513"/>
      <c r="B233" s="252"/>
      <c r="C233" s="2680" t="s">
        <v>2526</v>
      </c>
      <c r="D233" s="2680"/>
      <c r="E233" s="202"/>
      <c r="F233" s="202"/>
      <c r="G233" s="634"/>
      <c r="H233" s="635"/>
      <c r="I233" s="187"/>
      <c r="J233" s="580"/>
      <c r="K233" s="900" t="str">
        <f ca="1">IF(OR($H$7&lt;2,K$197&lt;2),"",IF(J233&lt;&gt;"",J233,IFERROR(IF(INDIRECT("'"&amp;J$86&amp;"'!"&amp;VLOOKUP(J$87,'List Values'!$C$3:$D$6,2,FALSE)&amp;ROW(J233))="","",INDIRECT("'"&amp;J$86&amp;"'!"&amp;VLOOKUP(J$87,'List Values'!$C$3:$D$6,2,FALSE)&amp;ROW(J233))),IF(J$86&lt;&gt;"","Data Source Error",""))))</f>
        <v/>
      </c>
      <c r="L233" s="187"/>
      <c r="M233" s="580"/>
      <c r="N233" s="900" t="str">
        <f ca="1">IF(OR($H$7&lt;3,N$197&lt;2),"",IF(M233&lt;&gt;"",M233,IFERROR(IF(INDIRECT("'"&amp;M$86&amp;"'!"&amp;VLOOKUP(M$87,'List Values'!$C$3:$D$6,2,FALSE)&amp;ROW(M233))="","",INDIRECT("'"&amp;M$86&amp;"'!"&amp;VLOOKUP(M$87,'List Values'!$C$3:$D$6,2,FALSE)&amp;ROW(M233))),IF(M$86&lt;&gt;"","Data Source Error",""))))</f>
        <v/>
      </c>
      <c r="O233" s="187"/>
      <c r="P233" s="580"/>
      <c r="Q233" s="900" t="str">
        <f ca="1">IF(OR($H$7&lt;4,Q$197&lt;2),"",IF(P233&lt;&gt;"",P233,IFERROR(IF(INDIRECT("'"&amp;P$86&amp;"'!"&amp;VLOOKUP(P$87,'List Values'!$C$3:$D$6,2,FALSE)&amp;ROW(P233))="","",INDIRECT("'"&amp;P$86&amp;"'!"&amp;VLOOKUP(P$87,'List Values'!$C$3:$D$6,2,FALSE)&amp;ROW(P233))),IF(P$86&lt;&gt;"","Data Source Error",""))))</f>
        <v/>
      </c>
      <c r="S233" s="580"/>
      <c r="T233" s="900" t="str">
        <f ca="1">IF(OR($H$7&lt;5,T$197&lt;2),"",IF(S233&lt;&gt;"",S233,IFERROR(IF(INDIRECT("'"&amp;S$86&amp;"'!"&amp;VLOOKUP(S$87,'List Values'!$C$3:$D$6,2,FALSE)&amp;ROW(S233))="","",INDIRECT("'"&amp;S$86&amp;"'!"&amp;VLOOKUP(S$87,'List Values'!$C$3:$D$6,2,FALSE)&amp;ROW(S233))),IF(S$86&lt;&gt;"","Data Source Error",""))))</f>
        <v/>
      </c>
      <c r="V233" s="580"/>
      <c r="W233" s="911" t="str">
        <f ca="1">IF(OR($H$7&lt;6,W$197&lt;2),"",IF(V233&lt;&gt;"",V233,IFERROR(IF(INDIRECT("'"&amp;V$86&amp;"'!"&amp;VLOOKUP(V$87,'List Values'!$C$3:$D$6,2,FALSE)&amp;ROW(V233))="","",INDIRECT("'"&amp;V$86&amp;"'!"&amp;VLOOKUP(V$87,'List Values'!$C$3:$D$6,2,FALSE)&amp;ROW(V233))),IF(V$86&lt;&gt;"","Data Source Error",""))))</f>
        <v/>
      </c>
      <c r="Y233" s="2643"/>
      <c r="Z233" s="2644"/>
      <c r="AA233" s="2644"/>
      <c r="AB233" s="2645"/>
    </row>
    <row r="234" spans="1:28" ht="33" customHeight="1" outlineLevel="1">
      <c r="A234" s="513"/>
      <c r="B234" s="252"/>
      <c r="C234" s="2680" t="s">
        <v>2527</v>
      </c>
      <c r="D234" s="2680"/>
      <c r="E234" s="202"/>
      <c r="F234" s="202"/>
      <c r="G234" s="634"/>
      <c r="H234" s="635"/>
      <c r="I234" s="187"/>
      <c r="J234" s="580"/>
      <c r="K234" s="900" t="str">
        <f ca="1">IF(OR($H$7&lt;2,K$197&lt;2),"",IF(J234&lt;&gt;"",J234,IFERROR(IF(INDIRECT("'"&amp;J$86&amp;"'!"&amp;VLOOKUP(J$87,'List Values'!$C$3:$D$6,2,FALSE)&amp;ROW(J234))="","",INDIRECT("'"&amp;J$86&amp;"'!"&amp;VLOOKUP(J$87,'List Values'!$C$3:$D$6,2,FALSE)&amp;ROW(J234))),IF(J$86&lt;&gt;"","Data Source Error",""))))</f>
        <v/>
      </c>
      <c r="L234" s="187"/>
      <c r="M234" s="580"/>
      <c r="N234" s="900" t="str">
        <f ca="1">IF(OR($H$7&lt;3,N$197&lt;2),"",IF(M234&lt;&gt;"",M234,IFERROR(IF(INDIRECT("'"&amp;M$86&amp;"'!"&amp;VLOOKUP(M$87,'List Values'!$C$3:$D$6,2,FALSE)&amp;ROW(M234))="","",INDIRECT("'"&amp;M$86&amp;"'!"&amp;VLOOKUP(M$87,'List Values'!$C$3:$D$6,2,FALSE)&amp;ROW(M234))),IF(M$86&lt;&gt;"","Data Source Error",""))))</f>
        <v/>
      </c>
      <c r="O234" s="187"/>
      <c r="P234" s="580"/>
      <c r="Q234" s="900" t="str">
        <f ca="1">IF(OR($H$7&lt;4,Q$197&lt;2),"",IF(P234&lt;&gt;"",P234,IFERROR(IF(INDIRECT("'"&amp;P$86&amp;"'!"&amp;VLOOKUP(P$87,'List Values'!$C$3:$D$6,2,FALSE)&amp;ROW(P234))="","",INDIRECT("'"&amp;P$86&amp;"'!"&amp;VLOOKUP(P$87,'List Values'!$C$3:$D$6,2,FALSE)&amp;ROW(P234))),IF(P$86&lt;&gt;"","Data Source Error",""))))</f>
        <v/>
      </c>
      <c r="S234" s="580"/>
      <c r="T234" s="900" t="str">
        <f ca="1">IF(OR($H$7&lt;5,T$197&lt;2),"",IF(S234&lt;&gt;"",S234,IFERROR(IF(INDIRECT("'"&amp;S$86&amp;"'!"&amp;VLOOKUP(S$87,'List Values'!$C$3:$D$6,2,FALSE)&amp;ROW(S234))="","",INDIRECT("'"&amp;S$86&amp;"'!"&amp;VLOOKUP(S$87,'List Values'!$C$3:$D$6,2,FALSE)&amp;ROW(S234))),IF(S$86&lt;&gt;"","Data Source Error",""))))</f>
        <v/>
      </c>
      <c r="V234" s="580"/>
      <c r="W234" s="911" t="str">
        <f ca="1">IF(OR($H$7&lt;6,W$197&lt;2),"",IF(V234&lt;&gt;"",V234,IFERROR(IF(INDIRECT("'"&amp;V$86&amp;"'!"&amp;VLOOKUP(V$87,'List Values'!$C$3:$D$6,2,FALSE)&amp;ROW(V234))="","",INDIRECT("'"&amp;V$86&amp;"'!"&amp;VLOOKUP(V$87,'List Values'!$C$3:$D$6,2,FALSE)&amp;ROW(V234))),IF(V$86&lt;&gt;"","Data Source Error",""))))</f>
        <v/>
      </c>
      <c r="Y234" s="2643"/>
      <c r="Z234" s="2644"/>
      <c r="AA234" s="2644"/>
      <c r="AB234" s="2645"/>
    </row>
    <row r="235" spans="1:28" ht="45" customHeight="1" outlineLevel="1">
      <c r="A235" s="513"/>
      <c r="B235" s="252"/>
      <c r="C235" s="2680" t="s">
        <v>2528</v>
      </c>
      <c r="D235" s="2680"/>
      <c r="E235" s="202"/>
      <c r="F235" s="202"/>
      <c r="G235" s="634"/>
      <c r="H235" s="635"/>
      <c r="I235" s="187"/>
      <c r="J235" s="580"/>
      <c r="K235" s="900" t="str">
        <f ca="1">IF(OR($H$7&lt;2,K$197&lt;2),"",IF(J235&lt;&gt;"",J235,IFERROR(IF(INDIRECT("'"&amp;J$86&amp;"'!"&amp;VLOOKUP(J$87,'List Values'!$C$3:$D$6,2,FALSE)&amp;ROW(J235))="","",INDIRECT("'"&amp;J$86&amp;"'!"&amp;VLOOKUP(J$87,'List Values'!$C$3:$D$6,2,FALSE)&amp;ROW(J235))),IF(J$86&lt;&gt;"","Data Source Error",""))))</f>
        <v/>
      </c>
      <c r="L235" s="187"/>
      <c r="M235" s="580"/>
      <c r="N235" s="900" t="str">
        <f ca="1">IF(OR($H$7&lt;3,N$197&lt;2),"",IF(M235&lt;&gt;"",M235,IFERROR(IF(INDIRECT("'"&amp;M$86&amp;"'!"&amp;VLOOKUP(M$87,'List Values'!$C$3:$D$6,2,FALSE)&amp;ROW(M235))="","",INDIRECT("'"&amp;M$86&amp;"'!"&amp;VLOOKUP(M$87,'List Values'!$C$3:$D$6,2,FALSE)&amp;ROW(M235))),IF(M$86&lt;&gt;"","Data Source Error",""))))</f>
        <v/>
      </c>
      <c r="O235" s="187"/>
      <c r="P235" s="580"/>
      <c r="Q235" s="900" t="str">
        <f ca="1">IF(OR($H$7&lt;4,Q$197&lt;2),"",IF(P235&lt;&gt;"",P235,IFERROR(IF(INDIRECT("'"&amp;P$86&amp;"'!"&amp;VLOOKUP(P$87,'List Values'!$C$3:$D$6,2,FALSE)&amp;ROW(P235))="","",INDIRECT("'"&amp;P$86&amp;"'!"&amp;VLOOKUP(P$87,'List Values'!$C$3:$D$6,2,FALSE)&amp;ROW(P235))),IF(P$86&lt;&gt;"","Data Source Error",""))))</f>
        <v/>
      </c>
      <c r="S235" s="580"/>
      <c r="T235" s="900" t="str">
        <f ca="1">IF(OR($H$7&lt;5,T$197&lt;2),"",IF(S235&lt;&gt;"",S235,IFERROR(IF(INDIRECT("'"&amp;S$86&amp;"'!"&amp;VLOOKUP(S$87,'List Values'!$C$3:$D$6,2,FALSE)&amp;ROW(S235))="","",INDIRECT("'"&amp;S$86&amp;"'!"&amp;VLOOKUP(S$87,'List Values'!$C$3:$D$6,2,FALSE)&amp;ROW(S235))),IF(S$86&lt;&gt;"","Data Source Error",""))))</f>
        <v/>
      </c>
      <c r="V235" s="580"/>
      <c r="W235" s="911" t="str">
        <f ca="1">IF(OR($H$7&lt;6,W$197&lt;2),"",IF(V235&lt;&gt;"",V235,IFERROR(IF(INDIRECT("'"&amp;V$86&amp;"'!"&amp;VLOOKUP(V$87,'List Values'!$C$3:$D$6,2,FALSE)&amp;ROW(V235))="","",INDIRECT("'"&amp;V$86&amp;"'!"&amp;VLOOKUP(V$87,'List Values'!$C$3:$D$6,2,FALSE)&amp;ROW(V235))),IF(V$86&lt;&gt;"","Data Source Error",""))))</f>
        <v/>
      </c>
      <c r="Y235" s="2643"/>
      <c r="Z235" s="2644"/>
      <c r="AA235" s="2644"/>
      <c r="AB235" s="2645"/>
    </row>
    <row r="236" spans="1:28" ht="17.25" customHeight="1" outlineLevel="1">
      <c r="A236" s="513"/>
      <c r="B236" s="252"/>
      <c r="C236" s="2680" t="s">
        <v>650</v>
      </c>
      <c r="D236" s="2680"/>
      <c r="E236" s="202"/>
      <c r="F236" s="202"/>
      <c r="G236" s="634"/>
      <c r="H236" s="635"/>
      <c r="I236" s="187"/>
      <c r="J236" s="580"/>
      <c r="K236" s="900" t="str">
        <f ca="1">IF(OR($H$7&lt;2,K$197&lt;2),"",IF(J236&lt;&gt;"",J236,IFERROR(IF(INDIRECT("'"&amp;J$86&amp;"'!"&amp;VLOOKUP(J$87,'List Values'!$C$3:$D$6,2,FALSE)&amp;ROW(J236))="","",INDIRECT("'"&amp;J$86&amp;"'!"&amp;VLOOKUP(J$87,'List Values'!$C$3:$D$6,2,FALSE)&amp;ROW(J236))),IF(J$86&lt;&gt;"","Data Source Error",""))))</f>
        <v/>
      </c>
      <c r="L236" s="187"/>
      <c r="M236" s="580"/>
      <c r="N236" s="900" t="str">
        <f ca="1">IF(OR($H$7&lt;3,N$197&lt;2),"",IF(M236&lt;&gt;"",M236,IFERROR(IF(INDIRECT("'"&amp;M$86&amp;"'!"&amp;VLOOKUP(M$87,'List Values'!$C$3:$D$6,2,FALSE)&amp;ROW(M236))="","",INDIRECT("'"&amp;M$86&amp;"'!"&amp;VLOOKUP(M$87,'List Values'!$C$3:$D$6,2,FALSE)&amp;ROW(M236))),IF(M$86&lt;&gt;"","Data Source Error",""))))</f>
        <v/>
      </c>
      <c r="O236" s="187"/>
      <c r="P236" s="580"/>
      <c r="Q236" s="900" t="str">
        <f ca="1">IF(OR($H$7&lt;4,Q$197&lt;2),"",IF(P236&lt;&gt;"",P236,IFERROR(IF(INDIRECT("'"&amp;P$86&amp;"'!"&amp;VLOOKUP(P$87,'List Values'!$C$3:$D$6,2,FALSE)&amp;ROW(P236))="","",INDIRECT("'"&amp;P$86&amp;"'!"&amp;VLOOKUP(P$87,'List Values'!$C$3:$D$6,2,FALSE)&amp;ROW(P236))),IF(P$86&lt;&gt;"","Data Source Error",""))))</f>
        <v/>
      </c>
      <c r="S236" s="580"/>
      <c r="T236" s="900" t="str">
        <f ca="1">IF(OR($H$7&lt;5,T$197&lt;2),"",IF(S236&lt;&gt;"",S236,IFERROR(IF(INDIRECT("'"&amp;S$86&amp;"'!"&amp;VLOOKUP(S$87,'List Values'!$C$3:$D$6,2,FALSE)&amp;ROW(S236))="","",INDIRECT("'"&amp;S$86&amp;"'!"&amp;VLOOKUP(S$87,'List Values'!$C$3:$D$6,2,FALSE)&amp;ROW(S236))),IF(S$86&lt;&gt;"","Data Source Error",""))))</f>
        <v/>
      </c>
      <c r="V236" s="580"/>
      <c r="W236" s="911" t="str">
        <f ca="1">IF(OR($H$7&lt;6,W$197&lt;2),"",IF(V236&lt;&gt;"",V236,IFERROR(IF(INDIRECT("'"&amp;V$86&amp;"'!"&amp;VLOOKUP(V$87,'List Values'!$C$3:$D$6,2,FALSE)&amp;ROW(V236))="","",INDIRECT("'"&amp;V$86&amp;"'!"&amp;VLOOKUP(V$87,'List Values'!$C$3:$D$6,2,FALSE)&amp;ROW(V236))),IF(V$86&lt;&gt;"","Data Source Error",""))))</f>
        <v/>
      </c>
      <c r="Y236" s="2643"/>
      <c r="Z236" s="2644"/>
      <c r="AA236" s="2644"/>
      <c r="AB236" s="2645"/>
    </row>
    <row r="237" spans="1:28" ht="31" customHeight="1" outlineLevel="1">
      <c r="A237" s="513"/>
      <c r="B237" s="252"/>
      <c r="C237" s="2680" t="s">
        <v>651</v>
      </c>
      <c r="D237" s="2680"/>
      <c r="E237" s="35"/>
      <c r="F237" s="35"/>
      <c r="G237" s="646"/>
      <c r="H237" s="647"/>
      <c r="I237" s="184"/>
      <c r="J237" s="624"/>
      <c r="K237" s="941" t="str">
        <f ca="1">IF(OR($H$7&lt;2,K$197&lt;2),"",IF(J237&lt;&gt;"",J237,IFERROR(IF(INDIRECT("'"&amp;J$86&amp;"'!"&amp;VLOOKUP(J$87,'List Values'!$C$3:$D$6,2,FALSE)&amp;ROW(J237))="","",INDIRECT("'"&amp;J$86&amp;"'!"&amp;VLOOKUP(J$87,'List Values'!$C$3:$D$6,2,FALSE)&amp;ROW(J237))),IF(J$86&lt;&gt;"","Data Source Error",""))))</f>
        <v/>
      </c>
      <c r="L237" s="184"/>
      <c r="M237" s="624"/>
      <c r="N237" s="941" t="str">
        <f ca="1">IF(OR($H$7&lt;3,N$197&lt;2),"",IF(M237&lt;&gt;"",M237,IFERROR(IF(INDIRECT("'"&amp;M$86&amp;"'!"&amp;VLOOKUP(M$87,'List Values'!$C$3:$D$6,2,FALSE)&amp;ROW(M237))="","",INDIRECT("'"&amp;M$86&amp;"'!"&amp;VLOOKUP(M$87,'List Values'!$C$3:$D$6,2,FALSE)&amp;ROW(M237))),IF(M$86&lt;&gt;"","Data Source Error",""))))</f>
        <v/>
      </c>
      <c r="O237" s="184"/>
      <c r="P237" s="624"/>
      <c r="Q237" s="941" t="str">
        <f ca="1">IF(OR($H$7&lt;4,Q$197&lt;2),"",IF(P237&lt;&gt;"",P237,IFERROR(IF(INDIRECT("'"&amp;P$86&amp;"'!"&amp;VLOOKUP(P$87,'List Values'!$C$3:$D$6,2,FALSE)&amp;ROW(P237))="","",INDIRECT("'"&amp;P$86&amp;"'!"&amp;VLOOKUP(P$87,'List Values'!$C$3:$D$6,2,FALSE)&amp;ROW(P237))),IF(P$86&lt;&gt;"","Data Source Error",""))))</f>
        <v/>
      </c>
      <c r="S237" s="624"/>
      <c r="T237" s="941" t="str">
        <f ca="1">IF(OR($H$7&lt;5,T$197&lt;2),"",IF(S237&lt;&gt;"",S237,IFERROR(IF(INDIRECT("'"&amp;S$86&amp;"'!"&amp;VLOOKUP(S$87,'List Values'!$C$3:$D$6,2,FALSE)&amp;ROW(S237))="","",INDIRECT("'"&amp;S$86&amp;"'!"&amp;VLOOKUP(S$87,'List Values'!$C$3:$D$6,2,FALSE)&amp;ROW(S237))),IF(S$86&lt;&gt;"","Data Source Error",""))))</f>
        <v/>
      </c>
      <c r="V237" s="624"/>
      <c r="W237" s="947" t="str">
        <f ca="1">IF(OR($H$7&lt;6,W$197&lt;2),"",IF(V237&lt;&gt;"",V237,IFERROR(IF(INDIRECT("'"&amp;V$86&amp;"'!"&amp;VLOOKUP(V$87,'List Values'!$C$3:$D$6,2,FALSE)&amp;ROW(V237))="","",INDIRECT("'"&amp;V$86&amp;"'!"&amp;VLOOKUP(V$87,'List Values'!$C$3:$D$6,2,FALSE)&amp;ROW(V237))),IF(V$86&lt;&gt;"","Data Source Error",""))))</f>
        <v/>
      </c>
      <c r="Y237" s="2643"/>
      <c r="Z237" s="2644"/>
      <c r="AA237" s="2644"/>
      <c r="AB237" s="2645"/>
    </row>
    <row r="238" spans="1:28" ht="20.25" customHeight="1">
      <c r="A238" s="807"/>
      <c r="B238" s="612" t="s">
        <v>618</v>
      </c>
      <c r="C238" s="604"/>
      <c r="D238" s="604"/>
      <c r="E238" s="614"/>
      <c r="F238" s="608"/>
      <c r="G238" s="615"/>
      <c r="H238" s="611"/>
      <c r="I238" s="608"/>
      <c r="J238" s="610"/>
      <c r="K238" s="970"/>
      <c r="L238" s="608"/>
      <c r="M238" s="610"/>
      <c r="N238" s="970"/>
      <c r="O238" s="608"/>
      <c r="P238" s="610"/>
      <c r="Q238" s="970"/>
      <c r="R238" s="608"/>
      <c r="S238" s="610"/>
      <c r="T238" s="970"/>
      <c r="U238" s="608"/>
      <c r="V238" s="610"/>
      <c r="W238" s="970"/>
      <c r="Y238" s="631"/>
      <c r="Z238" s="631"/>
      <c r="AA238" s="631"/>
      <c r="AB238" s="631"/>
    </row>
    <row r="239" spans="1:28" ht="15.75" customHeight="1" outlineLevel="1">
      <c r="A239" s="514"/>
      <c r="B239" s="252"/>
      <c r="C239" s="2580" t="s">
        <v>731</v>
      </c>
      <c r="D239" s="2580"/>
      <c r="E239" s="203"/>
      <c r="F239" s="203"/>
      <c r="G239" s="644"/>
      <c r="H239" s="645"/>
      <c r="I239" s="183"/>
      <c r="J239" s="628"/>
      <c r="K239" s="967" t="str">
        <f ca="1">IF(OR($H$7&lt;2,K$197&lt;3),"",IF(J239&lt;&gt;"",J239,IFERROR(IF(INDIRECT("'"&amp;J$86&amp;"'!"&amp;VLOOKUP(J$87,'List Values'!$C$3:$D$6,2,FALSE)&amp;ROW(J239))="","",INDIRECT("'"&amp;J$86&amp;"'!"&amp;VLOOKUP(J$87,'List Values'!$C$3:$D$6,2,FALSE)&amp;ROW(J239))),IF(J$86&lt;&gt;"","Data Source Error",""))))</f>
        <v/>
      </c>
      <c r="L239" s="629"/>
      <c r="M239" s="628"/>
      <c r="N239" s="967" t="str">
        <f ca="1">IF(OR($H$7&lt;3,N$197&lt;3),"",IF(M239&lt;&gt;"",M239,IFERROR(IF(INDIRECT("'"&amp;M$86&amp;"'!"&amp;VLOOKUP(M$87,'List Values'!$C$3:$D$6,2,FALSE)&amp;ROW(M239))="","",INDIRECT("'"&amp;M$86&amp;"'!"&amp;VLOOKUP(M$87,'List Values'!$C$3:$D$6,2,FALSE)&amp;ROW(M239))),IF(M$86&lt;&gt;"","Data Source Error",""))))</f>
        <v/>
      </c>
      <c r="O239" s="629"/>
      <c r="P239" s="628"/>
      <c r="Q239" s="967" t="str">
        <f ca="1">IF(OR($H$7&lt;4,Q$197&lt;3),"",IF(P239&lt;&gt;"",P239,IFERROR(IF(INDIRECT("'"&amp;P$86&amp;"'!"&amp;VLOOKUP(P$87,'List Values'!$C$3:$D$6,2,FALSE)&amp;ROW(P239))="","",INDIRECT("'"&amp;P$86&amp;"'!"&amp;VLOOKUP(P$87,'List Values'!$C$3:$D$6,2,FALSE)&amp;ROW(P239))),IF(P$86&lt;&gt;"","Data Source Error",""))))</f>
        <v/>
      </c>
      <c r="R239" s="147"/>
      <c r="S239" s="628"/>
      <c r="T239" s="967" t="str">
        <f ca="1">IF(OR($H$7&lt;5,T$197&lt;3),"",IF(S239&lt;&gt;"",S239,IFERROR(IF(INDIRECT("'"&amp;S$86&amp;"'!"&amp;VLOOKUP(S$87,'List Values'!$C$3:$D$6,2,FALSE)&amp;ROW(S239))="","",INDIRECT("'"&amp;S$86&amp;"'!"&amp;VLOOKUP(S$87,'List Values'!$C$3:$D$6,2,FALSE)&amp;ROW(S239))),IF(S$86&lt;&gt;"","Data Source Error",""))))</f>
        <v/>
      </c>
      <c r="U239" s="147"/>
      <c r="V239" s="628"/>
      <c r="W239" s="973" t="str">
        <f ca="1">IF(OR($H$7&lt;6,W$197&lt;3),"",IF(V239&lt;&gt;"",V239,IFERROR(IF(INDIRECT("'"&amp;V$86&amp;"'!"&amp;VLOOKUP(V$87,'List Values'!$C$3:$D$6,2,FALSE)&amp;ROW(V239))="","",INDIRECT("'"&amp;V$86&amp;"'!"&amp;VLOOKUP(V$87,'List Values'!$C$3:$D$6,2,FALSE)&amp;ROW(V239))),IF(V$86&lt;&gt;"","Data Source Error",""))))</f>
        <v/>
      </c>
      <c r="Y239" s="2643"/>
      <c r="Z239" s="2644"/>
      <c r="AA239" s="2644"/>
      <c r="AB239" s="2645"/>
    </row>
    <row r="240" spans="1:28" ht="15.75" customHeight="1" outlineLevel="1">
      <c r="A240" s="514"/>
      <c r="B240" s="252"/>
      <c r="C240" s="2680" t="s">
        <v>626</v>
      </c>
      <c r="D240" s="2680"/>
      <c r="E240" s="203"/>
      <c r="F240" s="203"/>
      <c r="G240" s="644"/>
      <c r="H240" s="645"/>
      <c r="I240" s="187"/>
      <c r="J240" s="526"/>
      <c r="K240" s="900" t="str">
        <f ca="1">IF(OR($H$7&lt;2,K$197&lt;3),"",IF(J240&lt;&gt;"",J240,IFERROR(IF(INDIRECT("'"&amp;J$86&amp;"'!"&amp;VLOOKUP(J$87,'List Values'!$C$3:$D$6,2,FALSE)&amp;ROW(J240))="","",INDIRECT("'"&amp;J$86&amp;"'!"&amp;VLOOKUP(J$87,'List Values'!$C$3:$D$6,2,FALSE)&amp;ROW(J240))),IF(J$86&lt;&gt;"","Data Source Error",""))))</f>
        <v/>
      </c>
      <c r="L240" s="187"/>
      <c r="M240" s="526"/>
      <c r="N240" s="900" t="str">
        <f ca="1">IF(OR($H$7&lt;3,N$197&lt;3),"",IF(M240&lt;&gt;"",M240,IFERROR(IF(INDIRECT("'"&amp;M$86&amp;"'!"&amp;VLOOKUP(M$87,'List Values'!$C$3:$D$6,2,FALSE)&amp;ROW(M240))="","",INDIRECT("'"&amp;M$86&amp;"'!"&amp;VLOOKUP(M$87,'List Values'!$C$3:$D$6,2,FALSE)&amp;ROW(M240))),IF(M$86&lt;&gt;"","Data Source Error",""))))</f>
        <v/>
      </c>
      <c r="O240" s="187"/>
      <c r="P240" s="526"/>
      <c r="Q240" s="900" t="str">
        <f ca="1">IF(OR($H$7&lt;4,Q$197&lt;3),"",IF(P240&lt;&gt;"",P240,IFERROR(IF(INDIRECT("'"&amp;P$86&amp;"'!"&amp;VLOOKUP(P$87,'List Values'!$C$3:$D$6,2,FALSE)&amp;ROW(P240))="","",INDIRECT("'"&amp;P$86&amp;"'!"&amp;VLOOKUP(P$87,'List Values'!$C$3:$D$6,2,FALSE)&amp;ROW(P240))),IF(P$86&lt;&gt;"","Data Source Error",""))))</f>
        <v/>
      </c>
      <c r="S240" s="526"/>
      <c r="T240" s="900" t="str">
        <f ca="1">IF(OR($H$7&lt;5,T$197&lt;3),"",IF(S240&lt;&gt;"",S240,IFERROR(IF(INDIRECT("'"&amp;S$86&amp;"'!"&amp;VLOOKUP(S$87,'List Values'!$C$3:$D$6,2,FALSE)&amp;ROW(S240))="","",INDIRECT("'"&amp;S$86&amp;"'!"&amp;VLOOKUP(S$87,'List Values'!$C$3:$D$6,2,FALSE)&amp;ROW(S240))),IF(S$86&lt;&gt;"","Data Source Error",""))))</f>
        <v/>
      </c>
      <c r="V240" s="526"/>
      <c r="W240" s="911" t="str">
        <f ca="1">IF(OR($H$7&lt;6,W$197&lt;3),"",IF(V240&lt;&gt;"",V240,IFERROR(IF(INDIRECT("'"&amp;V$86&amp;"'!"&amp;VLOOKUP(V$87,'List Values'!$C$3:$D$6,2,FALSE)&amp;ROW(V240))="","",INDIRECT("'"&amp;V$86&amp;"'!"&amp;VLOOKUP(V$87,'List Values'!$C$3:$D$6,2,FALSE)&amp;ROW(V240))),IF(V$86&lt;&gt;"","Data Source Error",""))))</f>
        <v/>
      </c>
      <c r="Y240" s="2643"/>
      <c r="Z240" s="2644"/>
      <c r="AA240" s="2644"/>
      <c r="AB240" s="2645"/>
    </row>
    <row r="241" spans="1:28" ht="29.25" customHeight="1" outlineLevel="1">
      <c r="A241" s="514"/>
      <c r="B241" s="252"/>
      <c r="C241" s="2680" t="s">
        <v>2520</v>
      </c>
      <c r="D241" s="2680"/>
      <c r="E241" s="203"/>
      <c r="F241" s="203"/>
      <c r="G241" s="644"/>
      <c r="H241" s="645"/>
      <c r="I241" s="187"/>
      <c r="J241" s="561"/>
      <c r="K241" s="900" t="str">
        <f ca="1">IF(OR($H$7&lt;2,K$197&lt;3),"",IF(J241&lt;&gt;"",J241,IFERROR(IF(INDIRECT("'"&amp;J$86&amp;"'!"&amp;VLOOKUP(J$87,'List Values'!$C$3:$D$6,2,FALSE)&amp;ROW(J241))="","",INDIRECT("'"&amp;J$86&amp;"'!"&amp;VLOOKUP(J$87,'List Values'!$C$3:$D$6,2,FALSE)&amp;ROW(J241))),IF(J$86&lt;&gt;"","Data Source Error",""))))</f>
        <v/>
      </c>
      <c r="L241" s="187"/>
      <c r="M241" s="561"/>
      <c r="N241" s="900" t="str">
        <f ca="1">IF(OR($H$7&lt;3,N$197&lt;3),"",IF(M241&lt;&gt;"",M241,IFERROR(IF(INDIRECT("'"&amp;M$86&amp;"'!"&amp;VLOOKUP(M$87,'List Values'!$C$3:$D$6,2,FALSE)&amp;ROW(M241))="","",INDIRECT("'"&amp;M$86&amp;"'!"&amp;VLOOKUP(M$87,'List Values'!$C$3:$D$6,2,FALSE)&amp;ROW(M241))),IF(M$86&lt;&gt;"","Data Source Error",""))))</f>
        <v/>
      </c>
      <c r="O241" s="187"/>
      <c r="P241" s="561"/>
      <c r="Q241" s="900" t="str">
        <f ca="1">IF(OR($H$7&lt;4,Q$197&lt;3),"",IF(P241&lt;&gt;"",P241,IFERROR(IF(INDIRECT("'"&amp;P$86&amp;"'!"&amp;VLOOKUP(P$87,'List Values'!$C$3:$D$6,2,FALSE)&amp;ROW(P241))="","",INDIRECT("'"&amp;P$86&amp;"'!"&amp;VLOOKUP(P$87,'List Values'!$C$3:$D$6,2,FALSE)&amp;ROW(P241))),IF(P$86&lt;&gt;"","Data Source Error",""))))</f>
        <v/>
      </c>
      <c r="S241" s="561"/>
      <c r="T241" s="900" t="str">
        <f ca="1">IF(OR($H$7&lt;5,T$197&lt;3),"",IF(S241&lt;&gt;"",S241,IFERROR(IF(INDIRECT("'"&amp;S$86&amp;"'!"&amp;VLOOKUP(S$87,'List Values'!$C$3:$D$6,2,FALSE)&amp;ROW(S241))="","",INDIRECT("'"&amp;S$86&amp;"'!"&amp;VLOOKUP(S$87,'List Values'!$C$3:$D$6,2,FALSE)&amp;ROW(S241))),IF(S$86&lt;&gt;"","Data Source Error",""))))</f>
        <v/>
      </c>
      <c r="V241" s="561"/>
      <c r="W241" s="911" t="str">
        <f ca="1">IF(OR($H$7&lt;6,W$197&lt;3),"",IF(V241&lt;&gt;"",V241,IFERROR(IF(INDIRECT("'"&amp;V$86&amp;"'!"&amp;VLOOKUP(V$87,'List Values'!$C$3:$D$6,2,FALSE)&amp;ROW(V241))="","",INDIRECT("'"&amp;V$86&amp;"'!"&amp;VLOOKUP(V$87,'List Values'!$C$3:$D$6,2,FALSE)&amp;ROW(V241))),IF(V$86&lt;&gt;"","Data Source Error",""))))</f>
        <v/>
      </c>
      <c r="Y241" s="2643"/>
      <c r="Z241" s="2644"/>
      <c r="AA241" s="2644"/>
      <c r="AB241" s="2645"/>
    </row>
    <row r="242" spans="1:28" ht="31" customHeight="1" outlineLevel="1">
      <c r="A242" s="514"/>
      <c r="B242" s="252"/>
      <c r="C242" s="2684" t="s">
        <v>726</v>
      </c>
      <c r="D242" s="2684"/>
      <c r="E242" s="203"/>
      <c r="F242" s="203"/>
      <c r="G242" s="644"/>
      <c r="H242" s="645"/>
      <c r="I242" s="187"/>
      <c r="J242" s="526"/>
      <c r="K242" s="900" t="str">
        <f ca="1">IF(OR($H$7&lt;2,K$197&lt;3),"",IF(J242&lt;&gt;"",J242,IFERROR(IF(INDIRECT("'"&amp;J$86&amp;"'!"&amp;VLOOKUP(J$87,'List Values'!$C$3:$D$6,2,FALSE)&amp;ROW(J242))="","",INDIRECT("'"&amp;J$86&amp;"'!"&amp;VLOOKUP(J$87,'List Values'!$C$3:$D$6,2,FALSE)&amp;ROW(J242))),IF(J$86&lt;&gt;"","Data Source Error",""))))</f>
        <v/>
      </c>
      <c r="L242" s="187"/>
      <c r="M242" s="526"/>
      <c r="N242" s="900" t="str">
        <f ca="1">IF(OR($H$7&lt;3,N$197&lt;3),"",IF(M242&lt;&gt;"",M242,IFERROR(IF(INDIRECT("'"&amp;M$86&amp;"'!"&amp;VLOOKUP(M$87,'List Values'!$C$3:$D$6,2,FALSE)&amp;ROW(M242))="","",INDIRECT("'"&amp;M$86&amp;"'!"&amp;VLOOKUP(M$87,'List Values'!$C$3:$D$6,2,FALSE)&amp;ROW(M242))),IF(M$86&lt;&gt;"","Data Source Error",""))))</f>
        <v/>
      </c>
      <c r="O242" s="187"/>
      <c r="P242" s="526"/>
      <c r="Q242" s="900" t="str">
        <f ca="1">IF(OR($H$7&lt;4,Q$197&lt;3),"",IF(P242&lt;&gt;"",P242,IFERROR(IF(INDIRECT("'"&amp;P$86&amp;"'!"&amp;VLOOKUP(P$87,'List Values'!$C$3:$D$6,2,FALSE)&amp;ROW(P242))="","",INDIRECT("'"&amp;P$86&amp;"'!"&amp;VLOOKUP(P$87,'List Values'!$C$3:$D$6,2,FALSE)&amp;ROW(P242))),IF(P$86&lt;&gt;"","Data Source Error",""))))</f>
        <v/>
      </c>
      <c r="S242" s="526"/>
      <c r="T242" s="900" t="str">
        <f ca="1">IF(OR($H$7&lt;5,T$197&lt;3),"",IF(S242&lt;&gt;"",S242,IFERROR(IF(INDIRECT("'"&amp;S$86&amp;"'!"&amp;VLOOKUP(S$87,'List Values'!$C$3:$D$6,2,FALSE)&amp;ROW(S242))="","",INDIRECT("'"&amp;S$86&amp;"'!"&amp;VLOOKUP(S$87,'List Values'!$C$3:$D$6,2,FALSE)&amp;ROW(S242))),IF(S$86&lt;&gt;"","Data Source Error",""))))</f>
        <v/>
      </c>
      <c r="V242" s="526"/>
      <c r="W242" s="911" t="str">
        <f ca="1">IF(OR($H$7&lt;6,W$197&lt;3),"",IF(V242&lt;&gt;"",V242,IFERROR(IF(INDIRECT("'"&amp;V$86&amp;"'!"&amp;VLOOKUP(V$87,'List Values'!$C$3:$D$6,2,FALSE)&amp;ROW(V242))="","",INDIRECT("'"&amp;V$86&amp;"'!"&amp;VLOOKUP(V$87,'List Values'!$C$3:$D$6,2,FALSE)&amp;ROW(V242))),IF(V$86&lt;&gt;"","Data Source Error",""))))</f>
        <v/>
      </c>
      <c r="Y242" s="2643"/>
      <c r="Z242" s="2644"/>
      <c r="AA242" s="2644"/>
      <c r="AB242" s="2645"/>
    </row>
    <row r="243" spans="1:28" ht="33.75" customHeight="1" outlineLevel="1">
      <c r="A243" s="514"/>
      <c r="B243" s="252"/>
      <c r="C243" s="2684" t="s">
        <v>727</v>
      </c>
      <c r="D243" s="2684"/>
      <c r="E243" s="202"/>
      <c r="F243" s="202"/>
      <c r="G243" s="634"/>
      <c r="H243" s="635"/>
      <c r="I243" s="187"/>
      <c r="J243" s="568"/>
      <c r="K243" s="945" t="str">
        <f ca="1">IF(OR($H$7&lt;2,K$197&lt;3),"",IF(J243&lt;&gt;"",J243,IFERROR(IF(INDIRECT("'"&amp;J$86&amp;"'!"&amp;VLOOKUP(J$87,'List Values'!$C$3:$D$6,2,FALSE)&amp;ROW(J243))="","",INDIRECT("'"&amp;J$86&amp;"'!"&amp;VLOOKUP(J$87,'List Values'!$C$3:$D$6,2,FALSE)&amp;ROW(J243))*$H$6),IF(J$86&lt;&gt;"","Data Source Error",""))))</f>
        <v/>
      </c>
      <c r="L243" s="339"/>
      <c r="M243" s="568"/>
      <c r="N243" s="945" t="str">
        <f ca="1">IF(OR($H$7&lt;3,N$197&lt;3),"",IF(M243&lt;&gt;"",M243,IFERROR(IF(INDIRECT("'"&amp;M$86&amp;"'!"&amp;VLOOKUP(M$87,'List Values'!$C$3:$D$6,2,FALSE)&amp;ROW(M243))="","",INDIRECT("'"&amp;M$86&amp;"'!"&amp;VLOOKUP(M$87,'List Values'!$C$3:$D$6,2,FALSE)&amp;ROW(M243))*$H$6),IF(M$86&lt;&gt;"","Data Source Error",""))))</f>
        <v/>
      </c>
      <c r="O243" s="339"/>
      <c r="P243" s="568"/>
      <c r="Q243" s="945" t="str">
        <f ca="1">IF(OR($H$7&lt;4,Q$197&lt;3),"",IF(P243&lt;&gt;"",P243,IFERROR(IF(INDIRECT("'"&amp;P$86&amp;"'!"&amp;VLOOKUP(P$87,'List Values'!$C$3:$D$6,2,FALSE)&amp;ROW(P243))="","",INDIRECT("'"&amp;P$86&amp;"'!"&amp;VLOOKUP(P$87,'List Values'!$C$3:$D$6,2,FALSE)&amp;ROW(P243))*$H$6),IF(P$86&lt;&gt;"","Data Source Error",""))))</f>
        <v/>
      </c>
      <c r="R243" s="7"/>
      <c r="S243" s="568"/>
      <c r="T243" s="945" t="str">
        <f ca="1">IF(OR($H$7&lt;5,T$197&lt;3),"",IF(S243&lt;&gt;"",S243,IFERROR(IF(INDIRECT("'"&amp;S$86&amp;"'!"&amp;VLOOKUP(S$87,'List Values'!$C$3:$D$6,2,FALSE)&amp;ROW(S243))="","",INDIRECT("'"&amp;S$86&amp;"'!"&amp;VLOOKUP(S$87,'List Values'!$C$3:$D$6,2,FALSE)&amp;ROW(S243))*$H$6),IF(S$86&lt;&gt;"","Data Source Error",""))))</f>
        <v/>
      </c>
      <c r="U243" s="7"/>
      <c r="V243" s="568"/>
      <c r="W243" s="952" t="str">
        <f ca="1">IF(OR($H$7&lt;6,W$197&lt;3),"",IF(V243&lt;&gt;"",V243,IFERROR(IF(INDIRECT("'"&amp;V$86&amp;"'!"&amp;VLOOKUP(V$87,'List Values'!$C$3:$D$6,2,FALSE)&amp;ROW(V243))="","",INDIRECT("'"&amp;V$86&amp;"'!"&amp;VLOOKUP(V$87,'List Values'!$C$3:$D$6,2,FALSE)&amp;ROW(V243))*$H$6),IF(V$86&lt;&gt;"","Data Source Error",""))))</f>
        <v/>
      </c>
      <c r="Y243" s="2643"/>
      <c r="Z243" s="2644"/>
      <c r="AA243" s="2644"/>
      <c r="AB243" s="2645"/>
    </row>
    <row r="244" spans="1:28" ht="15.75" customHeight="1" outlineLevel="1">
      <c r="A244" s="514"/>
      <c r="B244" s="252"/>
      <c r="C244" s="2680" t="s">
        <v>732</v>
      </c>
      <c r="D244" s="2680"/>
      <c r="E244" s="203"/>
      <c r="F244" s="203"/>
      <c r="G244" s="644"/>
      <c r="H244" s="645"/>
      <c r="I244" s="187"/>
      <c r="J244" s="526"/>
      <c r="K244" s="900" t="str">
        <f ca="1">IF(OR($H$7&lt;2,K$197&lt;3),"",IF(J244&lt;&gt;"",J244,IFERROR(IF(INDIRECT("'"&amp;J$86&amp;"'!"&amp;VLOOKUP(J$87,'List Values'!$C$3:$D$6,2,FALSE)&amp;ROW(J244))="","",INDIRECT("'"&amp;J$86&amp;"'!"&amp;VLOOKUP(J$87,'List Values'!$C$3:$D$6,2,FALSE)&amp;ROW(J244))),IF(J$86&lt;&gt;"","Data Source Error",""))))</f>
        <v/>
      </c>
      <c r="L244" s="187"/>
      <c r="M244" s="526"/>
      <c r="N244" s="900" t="str">
        <f ca="1">IF(OR($H$7&lt;3,N$197&lt;3),"",IF(M244&lt;&gt;"",M244,IFERROR(IF(INDIRECT("'"&amp;M$86&amp;"'!"&amp;VLOOKUP(M$87,'List Values'!$C$3:$D$6,2,FALSE)&amp;ROW(M244))="","",INDIRECT("'"&amp;M$86&amp;"'!"&amp;VLOOKUP(M$87,'List Values'!$C$3:$D$6,2,FALSE)&amp;ROW(M244))),IF(M$86&lt;&gt;"","Data Source Error",""))))</f>
        <v/>
      </c>
      <c r="O244" s="187"/>
      <c r="P244" s="526"/>
      <c r="Q244" s="900" t="str">
        <f ca="1">IF(OR($H$7&lt;4,Q$197&lt;3),"",IF(P244&lt;&gt;"",P244,IFERROR(IF(INDIRECT("'"&amp;P$86&amp;"'!"&amp;VLOOKUP(P$87,'List Values'!$C$3:$D$6,2,FALSE)&amp;ROW(P244))="","",INDIRECT("'"&amp;P$86&amp;"'!"&amp;VLOOKUP(P$87,'List Values'!$C$3:$D$6,2,FALSE)&amp;ROW(P244))),IF(P$86&lt;&gt;"","Data Source Error",""))))</f>
        <v/>
      </c>
      <c r="S244" s="526"/>
      <c r="T244" s="900" t="str">
        <f ca="1">IF(OR($H$7&lt;5,T$197&lt;3),"",IF(S244&lt;&gt;"",S244,IFERROR(IF(INDIRECT("'"&amp;S$86&amp;"'!"&amp;VLOOKUP(S$87,'List Values'!$C$3:$D$6,2,FALSE)&amp;ROW(S244))="","",INDIRECT("'"&amp;S$86&amp;"'!"&amp;VLOOKUP(S$87,'List Values'!$C$3:$D$6,2,FALSE)&amp;ROW(S244))),IF(S$86&lt;&gt;"","Data Source Error",""))))</f>
        <v/>
      </c>
      <c r="V244" s="526"/>
      <c r="W244" s="911" t="str">
        <f ca="1">IF(OR($H$7&lt;6,W$197&lt;3),"",IF(V244&lt;&gt;"",V244,IFERROR(IF(INDIRECT("'"&amp;V$86&amp;"'!"&amp;VLOOKUP(V$87,'List Values'!$C$3:$D$6,2,FALSE)&amp;ROW(V244))="","",INDIRECT("'"&amp;V$86&amp;"'!"&amp;VLOOKUP(V$87,'List Values'!$C$3:$D$6,2,FALSE)&amp;ROW(V244))),IF(V$86&lt;&gt;"","Data Source Error",""))))</f>
        <v/>
      </c>
      <c r="Y244" s="2643"/>
      <c r="Z244" s="2644"/>
      <c r="AA244" s="2644"/>
      <c r="AB244" s="2645"/>
    </row>
    <row r="245" spans="1:28" ht="31" customHeight="1" outlineLevel="1">
      <c r="A245" s="514"/>
      <c r="B245" s="252"/>
      <c r="C245" s="2684" t="s">
        <v>730</v>
      </c>
      <c r="D245" s="2684"/>
      <c r="E245" s="203"/>
      <c r="F245" s="203"/>
      <c r="G245" s="644"/>
      <c r="H245" s="645"/>
      <c r="I245" s="183"/>
      <c r="J245" s="553"/>
      <c r="K245" s="897" t="str">
        <f ca="1">IF(OR($H$7&lt;2,K$197&lt;3),"",IF(J245&lt;&gt;"",J245,IFERROR(IF(INDIRECT("'"&amp;J$86&amp;"'!"&amp;VLOOKUP(J$87,'List Values'!$C$3:$D$6,2,FALSE)&amp;ROW(J245))="","",INDIRECT("'"&amp;J$86&amp;"'!"&amp;VLOOKUP(J$87,'List Values'!$C$3:$D$6,2,FALSE)&amp;ROW(J245))),IF(J$86&lt;&gt;"","Data Source Error",""))))</f>
        <v/>
      </c>
      <c r="L245" s="183"/>
      <c r="M245" s="553"/>
      <c r="N245" s="897" t="str">
        <f ca="1">IF(OR($H$7&lt;3,N$197&lt;3),"",IF(M245&lt;&gt;"",M245,IFERROR(IF(INDIRECT("'"&amp;M$86&amp;"'!"&amp;VLOOKUP(M$87,'List Values'!$C$3:$D$6,2,FALSE)&amp;ROW(M245))="","",INDIRECT("'"&amp;M$86&amp;"'!"&amp;VLOOKUP(M$87,'List Values'!$C$3:$D$6,2,FALSE)&amp;ROW(M245))),IF(M$86&lt;&gt;"","Data Source Error",""))))</f>
        <v/>
      </c>
      <c r="O245" s="183"/>
      <c r="P245" s="553"/>
      <c r="Q245" s="897" t="str">
        <f ca="1">IF(OR($H$7&lt;4,Q$197&lt;3),"",IF(P245&lt;&gt;"",P245,IFERROR(IF(INDIRECT("'"&amp;P$86&amp;"'!"&amp;VLOOKUP(P$87,'List Values'!$C$3:$D$6,2,FALSE)&amp;ROW(P245))="","",INDIRECT("'"&amp;P$86&amp;"'!"&amp;VLOOKUP(P$87,'List Values'!$C$3:$D$6,2,FALSE)&amp;ROW(P245))),IF(P$86&lt;&gt;"","Data Source Error",""))))</f>
        <v/>
      </c>
      <c r="S245" s="553"/>
      <c r="T245" s="897" t="str">
        <f ca="1">IF(OR($H$7&lt;5,T$197&lt;3),"",IF(S245&lt;&gt;"",S245,IFERROR(IF(INDIRECT("'"&amp;S$86&amp;"'!"&amp;VLOOKUP(S$87,'List Values'!$C$3:$D$6,2,FALSE)&amp;ROW(S245))="","",INDIRECT("'"&amp;S$86&amp;"'!"&amp;VLOOKUP(S$87,'List Values'!$C$3:$D$6,2,FALSE)&amp;ROW(S245))),IF(S$86&lt;&gt;"","Data Source Error",""))))</f>
        <v/>
      </c>
      <c r="V245" s="553"/>
      <c r="W245" s="908" t="str">
        <f ca="1">IF(OR($H$7&lt;6,W$197&lt;3),"",IF(V245&lt;&gt;"",V245,IFERROR(IF(INDIRECT("'"&amp;V$86&amp;"'!"&amp;VLOOKUP(V$87,'List Values'!$C$3:$D$6,2,FALSE)&amp;ROW(V245))="","",INDIRECT("'"&amp;V$86&amp;"'!"&amp;VLOOKUP(V$87,'List Values'!$C$3:$D$6,2,FALSE)&amp;ROW(V245))),IF(V$86&lt;&gt;"","Data Source Error",""))))</f>
        <v/>
      </c>
      <c r="Y245" s="2643"/>
      <c r="Z245" s="2644"/>
      <c r="AA245" s="2644"/>
      <c r="AB245" s="2645"/>
    </row>
    <row r="246" spans="1:28" ht="31" customHeight="1" outlineLevel="1">
      <c r="A246" s="514"/>
      <c r="B246" s="252"/>
      <c r="C246" s="2680" t="s">
        <v>2521</v>
      </c>
      <c r="D246" s="2680"/>
      <c r="E246" s="203"/>
      <c r="F246" s="203"/>
      <c r="G246" s="644"/>
      <c r="H246" s="645"/>
      <c r="I246" s="187"/>
      <c r="J246" s="619"/>
      <c r="K246" s="898" t="str">
        <f ca="1">IF(OR($H$7&lt;2,K$197&lt;3),"",IF(J246&lt;&gt;"",J246,IFERROR(IF(INDIRECT("'"&amp;J$86&amp;"'!"&amp;VLOOKUP(J$87,'List Values'!$C$3:$D$6,2,FALSE)&amp;ROW(J246))="","",INDIRECT("'"&amp;J$86&amp;"'!"&amp;VLOOKUP(J$87,'List Values'!$C$3:$D$6,2,FALSE)&amp;ROW(J246))),IF(J$86&lt;&gt;"","Data Source Error",""))))</f>
        <v/>
      </c>
      <c r="L246" s="621"/>
      <c r="M246" s="619"/>
      <c r="N246" s="898" t="str">
        <f ca="1">IF(OR($H$7&lt;3,N$197&lt;3),"",IF(M246&lt;&gt;"",M246,IFERROR(IF(INDIRECT("'"&amp;M$86&amp;"'!"&amp;VLOOKUP(M$87,'List Values'!$C$3:$D$6,2,FALSE)&amp;ROW(M246))="","",INDIRECT("'"&amp;M$86&amp;"'!"&amp;VLOOKUP(M$87,'List Values'!$C$3:$D$6,2,FALSE)&amp;ROW(M246))),IF(M$86&lt;&gt;"","Data Source Error",""))))</f>
        <v/>
      </c>
      <c r="O246" s="621"/>
      <c r="P246" s="619"/>
      <c r="Q246" s="898" t="str">
        <f ca="1">IF(OR($H$7&lt;4,Q$197&lt;3),"",IF(P246&lt;&gt;"",P246,IFERROR(IF(INDIRECT("'"&amp;P$86&amp;"'!"&amp;VLOOKUP(P$87,'List Values'!$C$3:$D$6,2,FALSE)&amp;ROW(P246))="","",INDIRECT("'"&amp;P$86&amp;"'!"&amp;VLOOKUP(P$87,'List Values'!$C$3:$D$6,2,FALSE)&amp;ROW(P246))),IF(P$86&lt;&gt;"","Data Source Error",""))))</f>
        <v/>
      </c>
      <c r="R246" s="147"/>
      <c r="S246" s="619"/>
      <c r="T246" s="898" t="str">
        <f ca="1">IF(OR($H$7&lt;5,T$197&lt;3),"",IF(S246&lt;&gt;"",S246,IFERROR(IF(INDIRECT("'"&amp;S$86&amp;"'!"&amp;VLOOKUP(S$87,'List Values'!$C$3:$D$6,2,FALSE)&amp;ROW(S246))="","",INDIRECT("'"&amp;S$86&amp;"'!"&amp;VLOOKUP(S$87,'List Values'!$C$3:$D$6,2,FALSE)&amp;ROW(S246))),IF(S$86&lt;&gt;"","Data Source Error",""))))</f>
        <v/>
      </c>
      <c r="U246" s="147"/>
      <c r="V246" s="619"/>
      <c r="W246" s="909" t="str">
        <f ca="1">IF(OR($H$7&lt;6,W$197&lt;3),"",IF(V246&lt;&gt;"",V246,IFERROR(IF(INDIRECT("'"&amp;V$86&amp;"'!"&amp;VLOOKUP(V$87,'List Values'!$C$3:$D$6,2,FALSE)&amp;ROW(V246))="","",INDIRECT("'"&amp;V$86&amp;"'!"&amp;VLOOKUP(V$87,'List Values'!$C$3:$D$6,2,FALSE)&amp;ROW(V246))),IF(V$86&lt;&gt;"","Data Source Error",""))))</f>
        <v/>
      </c>
      <c r="Y246" s="2643"/>
      <c r="Z246" s="2644"/>
      <c r="AA246" s="2644"/>
      <c r="AB246" s="2645"/>
    </row>
    <row r="247" spans="1:28" ht="31" customHeight="1" outlineLevel="1">
      <c r="A247" s="514"/>
      <c r="B247" s="252"/>
      <c r="C247" s="2680" t="s">
        <v>2522</v>
      </c>
      <c r="D247" s="2680"/>
      <c r="E247" s="203"/>
      <c r="F247" s="203"/>
      <c r="G247" s="644"/>
      <c r="H247" s="645"/>
      <c r="I247" s="187"/>
      <c r="J247" s="619"/>
      <c r="K247" s="898" t="str">
        <f ca="1">IF(OR($H$7&lt;2,K$197&lt;3),"",IF(J247&lt;&gt;"",J247,IFERROR(IF(INDIRECT("'"&amp;J$86&amp;"'!"&amp;VLOOKUP(J$87,'List Values'!$C$3:$D$6,2,FALSE)&amp;ROW(J247))="","",INDIRECT("'"&amp;J$86&amp;"'!"&amp;VLOOKUP(J$87,'List Values'!$C$3:$D$6,2,FALSE)&amp;ROW(J247))),IF(J$86&lt;&gt;"","Data Source Error",""))))</f>
        <v/>
      </c>
      <c r="L247" s="621"/>
      <c r="M247" s="619"/>
      <c r="N247" s="898" t="str">
        <f ca="1">IF(OR($H$7&lt;3,N$197&lt;3),"",IF(M247&lt;&gt;"",M247,IFERROR(IF(INDIRECT("'"&amp;M$86&amp;"'!"&amp;VLOOKUP(M$87,'List Values'!$C$3:$D$6,2,FALSE)&amp;ROW(M247))="","",INDIRECT("'"&amp;M$86&amp;"'!"&amp;VLOOKUP(M$87,'List Values'!$C$3:$D$6,2,FALSE)&amp;ROW(M247))),IF(M$86&lt;&gt;"","Data Source Error",""))))</f>
        <v/>
      </c>
      <c r="O247" s="621"/>
      <c r="P247" s="619"/>
      <c r="Q247" s="898" t="str">
        <f ca="1">IF(OR($H$7&lt;4,Q$197&lt;3),"",IF(P247&lt;&gt;"",P247,IFERROR(IF(INDIRECT("'"&amp;P$86&amp;"'!"&amp;VLOOKUP(P$87,'List Values'!$C$3:$D$6,2,FALSE)&amp;ROW(P247))="","",INDIRECT("'"&amp;P$86&amp;"'!"&amp;VLOOKUP(P$87,'List Values'!$C$3:$D$6,2,FALSE)&amp;ROW(P247))),IF(P$86&lt;&gt;"","Data Source Error",""))))</f>
        <v/>
      </c>
      <c r="R247" s="147"/>
      <c r="S247" s="619"/>
      <c r="T247" s="898" t="str">
        <f ca="1">IF(OR($H$7&lt;5,T$197&lt;3),"",IF(S247&lt;&gt;"",S247,IFERROR(IF(INDIRECT("'"&amp;S$86&amp;"'!"&amp;VLOOKUP(S$87,'List Values'!$C$3:$D$6,2,FALSE)&amp;ROW(S247))="","",INDIRECT("'"&amp;S$86&amp;"'!"&amp;VLOOKUP(S$87,'List Values'!$C$3:$D$6,2,FALSE)&amp;ROW(S247))),IF(S$86&lt;&gt;"","Data Source Error",""))))</f>
        <v/>
      </c>
      <c r="U247" s="147"/>
      <c r="V247" s="619"/>
      <c r="W247" s="909" t="str">
        <f ca="1">IF(OR($H$7&lt;6,W$197&lt;3),"",IF(V247&lt;&gt;"",V247,IFERROR(IF(INDIRECT("'"&amp;V$86&amp;"'!"&amp;VLOOKUP(V$87,'List Values'!$C$3:$D$6,2,FALSE)&amp;ROW(V247))="","",INDIRECT("'"&amp;V$86&amp;"'!"&amp;VLOOKUP(V$87,'List Values'!$C$3:$D$6,2,FALSE)&amp;ROW(V247))),IF(V$86&lt;&gt;"","Data Source Error",""))))</f>
        <v/>
      </c>
      <c r="Y247" s="2643"/>
      <c r="Z247" s="2644"/>
      <c r="AA247" s="2644"/>
      <c r="AB247" s="2645"/>
    </row>
    <row r="248" spans="1:28" ht="33.75" customHeight="1" outlineLevel="1">
      <c r="A248" s="514"/>
      <c r="B248" s="252"/>
      <c r="C248" s="2680" t="s">
        <v>253</v>
      </c>
      <c r="D248" s="2680"/>
      <c r="E248" s="202"/>
      <c r="F248" s="202"/>
      <c r="G248" s="634"/>
      <c r="H248" s="635"/>
      <c r="I248" s="187"/>
      <c r="J248" s="526"/>
      <c r="K248" s="900" t="str">
        <f ca="1">IF(OR($H$7&lt;2,K$197&lt;3),"",IF(J248&lt;&gt;"",J248,IFERROR(IF(INDIRECT("'"&amp;J$86&amp;"'!"&amp;VLOOKUP(J$87,'List Values'!$C$3:$D$6,2,FALSE)&amp;ROW(J248))="","",INDIRECT("'"&amp;J$86&amp;"'!"&amp;VLOOKUP(J$87,'List Values'!$C$3:$D$6,2,FALSE)&amp;ROW(J248))),IF(J$86&lt;&gt;"","Data Source Error",""))))</f>
        <v/>
      </c>
      <c r="L248" s="187"/>
      <c r="M248" s="526"/>
      <c r="N248" s="900" t="str">
        <f ca="1">IF(OR($H$7&lt;3,N$197&lt;3),"",IF(M248&lt;&gt;"",M248,IFERROR(IF(INDIRECT("'"&amp;M$86&amp;"'!"&amp;VLOOKUP(M$87,'List Values'!$C$3:$D$6,2,FALSE)&amp;ROW(M248))="","",INDIRECT("'"&amp;M$86&amp;"'!"&amp;VLOOKUP(M$87,'List Values'!$C$3:$D$6,2,FALSE)&amp;ROW(M248))),IF(M$86&lt;&gt;"","Data Source Error",""))))</f>
        <v/>
      </c>
      <c r="O248" s="187"/>
      <c r="P248" s="526"/>
      <c r="Q248" s="900" t="str">
        <f ca="1">IF(OR($H$7&lt;4,Q$197&lt;3),"",IF(P248&lt;&gt;"",P248,IFERROR(IF(INDIRECT("'"&amp;P$86&amp;"'!"&amp;VLOOKUP(P$87,'List Values'!$C$3:$D$6,2,FALSE)&amp;ROW(P248))="","",INDIRECT("'"&amp;P$86&amp;"'!"&amp;VLOOKUP(P$87,'List Values'!$C$3:$D$6,2,FALSE)&amp;ROW(P248))),IF(P$86&lt;&gt;"","Data Source Error",""))))</f>
        <v/>
      </c>
      <c r="S248" s="526"/>
      <c r="T248" s="900" t="str">
        <f ca="1">IF(OR($H$7&lt;5,T$197&lt;3),"",IF(S248&lt;&gt;"",S248,IFERROR(IF(INDIRECT("'"&amp;S$86&amp;"'!"&amp;VLOOKUP(S$87,'List Values'!$C$3:$D$6,2,FALSE)&amp;ROW(S248))="","",INDIRECT("'"&amp;S$86&amp;"'!"&amp;VLOOKUP(S$87,'List Values'!$C$3:$D$6,2,FALSE)&amp;ROW(S248))),IF(S$86&lt;&gt;"","Data Source Error",""))))</f>
        <v/>
      </c>
      <c r="V248" s="526"/>
      <c r="W248" s="911" t="str">
        <f ca="1">IF(OR($H$7&lt;6,W$197&lt;3),"",IF(V248&lt;&gt;"",V248,IFERROR(IF(INDIRECT("'"&amp;V$86&amp;"'!"&amp;VLOOKUP(V$87,'List Values'!$C$3:$D$6,2,FALSE)&amp;ROW(V248))="","",INDIRECT("'"&amp;V$86&amp;"'!"&amp;VLOOKUP(V$87,'List Values'!$C$3:$D$6,2,FALSE)&amp;ROW(V248))),IF(V$86&lt;&gt;"","Data Source Error",""))))</f>
        <v/>
      </c>
      <c r="Y248" s="2643"/>
      <c r="Z248" s="2644"/>
      <c r="AA248" s="2644"/>
      <c r="AB248" s="2645"/>
    </row>
    <row r="249" spans="1:28" ht="15.75" customHeight="1" outlineLevel="1">
      <c r="A249" s="514"/>
      <c r="B249" s="252"/>
      <c r="C249" s="2684" t="s">
        <v>2529</v>
      </c>
      <c r="D249" s="2684"/>
      <c r="E249" s="203"/>
      <c r="F249" s="203"/>
      <c r="G249" s="644"/>
      <c r="H249" s="645"/>
      <c r="I249" s="187"/>
      <c r="J249" s="580"/>
      <c r="K249" s="900" t="str">
        <f ca="1">IF(OR($H$7&lt;2,K$197&lt;3),"",IF(J249&lt;&gt;"",J249,IFERROR(IF(INDIRECT("'"&amp;J$86&amp;"'!"&amp;VLOOKUP(J$87,'List Values'!$C$3:$D$6,2,FALSE)&amp;ROW(J249))="","",INDIRECT("'"&amp;J$86&amp;"'!"&amp;VLOOKUP(J$87,'List Values'!$C$3:$D$6,2,FALSE)&amp;ROW(J249))),IF(J$86&lt;&gt;"","Data Source Error",""))))</f>
        <v/>
      </c>
      <c r="L249" s="187"/>
      <c r="M249" s="580"/>
      <c r="N249" s="900" t="str">
        <f ca="1">IF(OR($H$7&lt;3,N$197&lt;3),"",IF(M249&lt;&gt;"",M249,IFERROR(IF(INDIRECT("'"&amp;M$86&amp;"'!"&amp;VLOOKUP(M$87,'List Values'!$C$3:$D$6,2,FALSE)&amp;ROW(M249))="","",INDIRECT("'"&amp;M$86&amp;"'!"&amp;VLOOKUP(M$87,'List Values'!$C$3:$D$6,2,FALSE)&amp;ROW(M249))),IF(M$86&lt;&gt;"","Data Source Error",""))))</f>
        <v/>
      </c>
      <c r="O249" s="187"/>
      <c r="P249" s="580"/>
      <c r="Q249" s="900" t="str">
        <f ca="1">IF(OR($H$7&lt;4,Q$197&lt;3),"",IF(P249&lt;&gt;"",P249,IFERROR(IF(INDIRECT("'"&amp;P$86&amp;"'!"&amp;VLOOKUP(P$87,'List Values'!$C$3:$D$6,2,FALSE)&amp;ROW(P249))="","",INDIRECT("'"&amp;P$86&amp;"'!"&amp;VLOOKUP(P$87,'List Values'!$C$3:$D$6,2,FALSE)&amp;ROW(P249))),IF(P$86&lt;&gt;"","Data Source Error",""))))</f>
        <v/>
      </c>
      <c r="S249" s="580"/>
      <c r="T249" s="900" t="str">
        <f ca="1">IF(OR($H$7&lt;5,T$197&lt;3),"",IF(S249&lt;&gt;"",S249,IFERROR(IF(INDIRECT("'"&amp;S$86&amp;"'!"&amp;VLOOKUP(S$87,'List Values'!$C$3:$D$6,2,FALSE)&amp;ROW(S249))="","",INDIRECT("'"&amp;S$86&amp;"'!"&amp;VLOOKUP(S$87,'List Values'!$C$3:$D$6,2,FALSE)&amp;ROW(S249))),IF(S$86&lt;&gt;"","Data Source Error",""))))</f>
        <v/>
      </c>
      <c r="V249" s="580"/>
      <c r="W249" s="911" t="str">
        <f ca="1">IF(OR($H$7&lt;6,W$197&lt;3),"",IF(V249&lt;&gt;"",V249,IFERROR(IF(INDIRECT("'"&amp;V$86&amp;"'!"&amp;VLOOKUP(V$87,'List Values'!$C$3:$D$6,2,FALSE)&amp;ROW(V249))="","",INDIRECT("'"&amp;V$86&amp;"'!"&amp;VLOOKUP(V$87,'List Values'!$C$3:$D$6,2,FALSE)&amp;ROW(V249))),IF(V$86&lt;&gt;"","Data Source Error",""))))</f>
        <v/>
      </c>
      <c r="Y249" s="2643"/>
      <c r="Z249" s="2644"/>
      <c r="AA249" s="2644"/>
      <c r="AB249" s="2645"/>
    </row>
    <row r="250" spans="1:28" ht="30" customHeight="1" outlineLevel="1">
      <c r="A250" s="514"/>
      <c r="B250" s="252"/>
      <c r="C250" s="2680" t="s">
        <v>2523</v>
      </c>
      <c r="D250" s="2680"/>
      <c r="E250" s="203"/>
      <c r="F250" s="203"/>
      <c r="G250" s="644"/>
      <c r="H250" s="645"/>
      <c r="I250" s="187"/>
      <c r="J250" s="580"/>
      <c r="K250" s="900" t="str">
        <f ca="1">IF(OR($H$7&lt;2,K$197&lt;3),"",IF(J250&lt;&gt;"",J250,IFERROR(IF(INDIRECT("'"&amp;J$86&amp;"'!"&amp;VLOOKUP(J$87,'List Values'!$C$3:$D$6,2,FALSE)&amp;ROW(J250))="","",INDIRECT("'"&amp;J$86&amp;"'!"&amp;VLOOKUP(J$87,'List Values'!$C$3:$D$6,2,FALSE)&amp;ROW(J250))),IF(J$86&lt;&gt;"","Data Source Error",""))))</f>
        <v/>
      </c>
      <c r="L250" s="187"/>
      <c r="M250" s="580"/>
      <c r="N250" s="900" t="str">
        <f ca="1">IF(OR($H$7&lt;3,N$197&lt;3),"",IF(M250&lt;&gt;"",M250,IFERROR(IF(INDIRECT("'"&amp;M$86&amp;"'!"&amp;VLOOKUP(M$87,'List Values'!$C$3:$D$6,2,FALSE)&amp;ROW(M250))="","",INDIRECT("'"&amp;M$86&amp;"'!"&amp;VLOOKUP(M$87,'List Values'!$C$3:$D$6,2,FALSE)&amp;ROW(M250))),IF(M$86&lt;&gt;"","Data Source Error",""))))</f>
        <v/>
      </c>
      <c r="O250" s="187"/>
      <c r="P250" s="580"/>
      <c r="Q250" s="900" t="str">
        <f ca="1">IF(OR($H$7&lt;4,Q$197&lt;3),"",IF(P250&lt;&gt;"",P250,IFERROR(IF(INDIRECT("'"&amp;P$86&amp;"'!"&amp;VLOOKUP(P$87,'List Values'!$C$3:$D$6,2,FALSE)&amp;ROW(P250))="","",INDIRECT("'"&amp;P$86&amp;"'!"&amp;VLOOKUP(P$87,'List Values'!$C$3:$D$6,2,FALSE)&amp;ROW(P250))),IF(P$86&lt;&gt;"","Data Source Error",""))))</f>
        <v/>
      </c>
      <c r="S250" s="580"/>
      <c r="T250" s="900" t="str">
        <f ca="1">IF(OR($H$7&lt;5,T$197&lt;3),"",IF(S250&lt;&gt;"",S250,IFERROR(IF(INDIRECT("'"&amp;S$86&amp;"'!"&amp;VLOOKUP(S$87,'List Values'!$C$3:$D$6,2,FALSE)&amp;ROW(S250))="","",INDIRECT("'"&amp;S$86&amp;"'!"&amp;VLOOKUP(S$87,'List Values'!$C$3:$D$6,2,FALSE)&amp;ROW(S250))),IF(S$86&lt;&gt;"","Data Source Error",""))))</f>
        <v/>
      </c>
      <c r="V250" s="580"/>
      <c r="W250" s="911" t="str">
        <f ca="1">IF(OR($H$7&lt;6,W$197&lt;3),"",IF(V250&lt;&gt;"",V250,IFERROR(IF(INDIRECT("'"&amp;V$86&amp;"'!"&amp;VLOOKUP(V$87,'List Values'!$C$3:$D$6,2,FALSE)&amp;ROW(V250))="","",INDIRECT("'"&amp;V$86&amp;"'!"&amp;VLOOKUP(V$87,'List Values'!$C$3:$D$6,2,FALSE)&amp;ROW(V250))),IF(V$86&lt;&gt;"","Data Source Error",""))))</f>
        <v/>
      </c>
      <c r="Y250" s="2643"/>
      <c r="Z250" s="2644"/>
      <c r="AA250" s="2644"/>
      <c r="AB250" s="2645"/>
    </row>
    <row r="251" spans="1:28" ht="15.75" customHeight="1" outlineLevel="1">
      <c r="A251" s="514"/>
      <c r="B251" s="252"/>
      <c r="C251" s="2680" t="s">
        <v>2524</v>
      </c>
      <c r="D251" s="2680"/>
      <c r="E251" s="203"/>
      <c r="F251" s="203"/>
      <c r="G251" s="644"/>
      <c r="H251" s="645"/>
      <c r="I251" s="187"/>
      <c r="J251" s="580"/>
      <c r="K251" s="900" t="str">
        <f ca="1">IF(OR($H$7&lt;2,K$197&lt;3),"",IF(J251&lt;&gt;"",J251,IFERROR(IF(INDIRECT("'"&amp;J$86&amp;"'!"&amp;VLOOKUP(J$87,'List Values'!$C$3:$D$6,2,FALSE)&amp;ROW(J251))="","",INDIRECT("'"&amp;J$86&amp;"'!"&amp;VLOOKUP(J$87,'List Values'!$C$3:$D$6,2,FALSE)&amp;ROW(J251))),IF(J$86&lt;&gt;"","Data Source Error",""))))</f>
        <v/>
      </c>
      <c r="L251" s="187"/>
      <c r="M251" s="580"/>
      <c r="N251" s="900" t="str">
        <f ca="1">IF(OR($H$7&lt;3,N$197&lt;3),"",IF(M251&lt;&gt;"",M251,IFERROR(IF(INDIRECT("'"&amp;M$86&amp;"'!"&amp;VLOOKUP(M$87,'List Values'!$C$3:$D$6,2,FALSE)&amp;ROW(M251))="","",INDIRECT("'"&amp;M$86&amp;"'!"&amp;VLOOKUP(M$87,'List Values'!$C$3:$D$6,2,FALSE)&amp;ROW(M251))),IF(M$86&lt;&gt;"","Data Source Error",""))))</f>
        <v/>
      </c>
      <c r="O251" s="187"/>
      <c r="P251" s="580"/>
      <c r="Q251" s="900" t="str">
        <f ca="1">IF(OR($H$7&lt;4,Q$197&lt;3),"",IF(P251&lt;&gt;"",P251,IFERROR(IF(INDIRECT("'"&amp;P$86&amp;"'!"&amp;VLOOKUP(P$87,'List Values'!$C$3:$D$6,2,FALSE)&amp;ROW(P251))="","",INDIRECT("'"&amp;P$86&amp;"'!"&amp;VLOOKUP(P$87,'List Values'!$C$3:$D$6,2,FALSE)&amp;ROW(P251))),IF(P$86&lt;&gt;"","Data Source Error",""))))</f>
        <v/>
      </c>
      <c r="S251" s="580"/>
      <c r="T251" s="900" t="str">
        <f ca="1">IF(OR($H$7&lt;5,T$197&lt;3),"",IF(S251&lt;&gt;"",S251,IFERROR(IF(INDIRECT("'"&amp;S$86&amp;"'!"&amp;VLOOKUP(S$87,'List Values'!$C$3:$D$6,2,FALSE)&amp;ROW(S251))="","",INDIRECT("'"&amp;S$86&amp;"'!"&amp;VLOOKUP(S$87,'List Values'!$C$3:$D$6,2,FALSE)&amp;ROW(S251))),IF(S$86&lt;&gt;"","Data Source Error",""))))</f>
        <v/>
      </c>
      <c r="V251" s="580"/>
      <c r="W251" s="911" t="str">
        <f ca="1">IF(OR($H$7&lt;6,W$197&lt;3),"",IF(V251&lt;&gt;"",V251,IFERROR(IF(INDIRECT("'"&amp;V$86&amp;"'!"&amp;VLOOKUP(V$87,'List Values'!$C$3:$D$6,2,FALSE)&amp;ROW(V251))="","",INDIRECT("'"&amp;V$86&amp;"'!"&amp;VLOOKUP(V$87,'List Values'!$C$3:$D$6,2,FALSE)&amp;ROW(V251))),IF(V$86&lt;&gt;"","Data Source Error",""))))</f>
        <v/>
      </c>
      <c r="Y251" s="2643"/>
      <c r="Z251" s="2644"/>
      <c r="AA251" s="2644"/>
      <c r="AB251" s="2645"/>
    </row>
    <row r="252" spans="1:28" ht="15.75" customHeight="1" outlineLevel="1">
      <c r="A252" s="514"/>
      <c r="B252" s="252"/>
      <c r="C252" s="2684" t="s">
        <v>2525</v>
      </c>
      <c r="D252" s="2684"/>
      <c r="E252" s="203"/>
      <c r="F252" s="203"/>
      <c r="G252" s="644"/>
      <c r="H252" s="645"/>
      <c r="I252" s="187"/>
      <c r="J252" s="580"/>
      <c r="K252" s="900" t="str">
        <f ca="1">IF(OR($H$7&lt;2,K$197&lt;3),"",IF(J252&lt;&gt;"",J252,IFERROR(IF(INDIRECT("'"&amp;J$86&amp;"'!"&amp;VLOOKUP(J$87,'List Values'!$C$3:$D$6,2,FALSE)&amp;ROW(J252))="","",INDIRECT("'"&amp;J$86&amp;"'!"&amp;VLOOKUP(J$87,'List Values'!$C$3:$D$6,2,FALSE)&amp;ROW(J252))),IF(J$86&lt;&gt;"","Data Source Error",""))))</f>
        <v/>
      </c>
      <c r="L252" s="187"/>
      <c r="M252" s="580"/>
      <c r="N252" s="900" t="str">
        <f ca="1">IF(OR($H$7&lt;3,N$197&lt;3),"",IF(M252&lt;&gt;"",M252,IFERROR(IF(INDIRECT("'"&amp;M$86&amp;"'!"&amp;VLOOKUP(M$87,'List Values'!$C$3:$D$6,2,FALSE)&amp;ROW(M252))="","",INDIRECT("'"&amp;M$86&amp;"'!"&amp;VLOOKUP(M$87,'List Values'!$C$3:$D$6,2,FALSE)&amp;ROW(M252))),IF(M$86&lt;&gt;"","Data Source Error",""))))</f>
        <v/>
      </c>
      <c r="O252" s="187"/>
      <c r="P252" s="580"/>
      <c r="Q252" s="900" t="str">
        <f ca="1">IF(OR($H$7&lt;4,Q$197&lt;3),"",IF(P252&lt;&gt;"",P252,IFERROR(IF(INDIRECT("'"&amp;P$86&amp;"'!"&amp;VLOOKUP(P$87,'List Values'!$C$3:$D$6,2,FALSE)&amp;ROW(P252))="","",INDIRECT("'"&amp;P$86&amp;"'!"&amp;VLOOKUP(P$87,'List Values'!$C$3:$D$6,2,FALSE)&amp;ROW(P252))),IF(P$86&lt;&gt;"","Data Source Error",""))))</f>
        <v/>
      </c>
      <c r="S252" s="580"/>
      <c r="T252" s="900" t="str">
        <f ca="1">IF(OR($H$7&lt;5,T$197&lt;3),"",IF(S252&lt;&gt;"",S252,IFERROR(IF(INDIRECT("'"&amp;S$86&amp;"'!"&amp;VLOOKUP(S$87,'List Values'!$C$3:$D$6,2,FALSE)&amp;ROW(S252))="","",INDIRECT("'"&amp;S$86&amp;"'!"&amp;VLOOKUP(S$87,'List Values'!$C$3:$D$6,2,FALSE)&amp;ROW(S252))),IF(S$86&lt;&gt;"","Data Source Error",""))))</f>
        <v/>
      </c>
      <c r="V252" s="580"/>
      <c r="W252" s="911" t="str">
        <f ca="1">IF(OR($H$7&lt;6,W$197&lt;3),"",IF(V252&lt;&gt;"",V252,IFERROR(IF(INDIRECT("'"&amp;V$86&amp;"'!"&amp;VLOOKUP(V$87,'List Values'!$C$3:$D$6,2,FALSE)&amp;ROW(V252))="","",INDIRECT("'"&amp;V$86&amp;"'!"&amp;VLOOKUP(V$87,'List Values'!$C$3:$D$6,2,FALSE)&amp;ROW(V252))),IF(V$86&lt;&gt;"","Data Source Error",""))))</f>
        <v/>
      </c>
      <c r="Y252" s="2643"/>
      <c r="Z252" s="2644"/>
      <c r="AA252" s="2644"/>
      <c r="AB252" s="2645"/>
    </row>
    <row r="253" spans="1:28" ht="31" customHeight="1" outlineLevel="1">
      <c r="A253" s="514"/>
      <c r="B253" s="252"/>
      <c r="C253" s="2680" t="s">
        <v>2526</v>
      </c>
      <c r="D253" s="2680"/>
      <c r="E253" s="203"/>
      <c r="F253" s="203"/>
      <c r="G253" s="644"/>
      <c r="H253" s="645"/>
      <c r="I253" s="187"/>
      <c r="J253" s="580"/>
      <c r="K253" s="900" t="str">
        <f ca="1">IF(OR($H$7&lt;2,K$197&lt;3),"",IF(J253&lt;&gt;"",J253,IFERROR(IF(INDIRECT("'"&amp;J$86&amp;"'!"&amp;VLOOKUP(J$87,'List Values'!$C$3:$D$6,2,FALSE)&amp;ROW(J253))="","",INDIRECT("'"&amp;J$86&amp;"'!"&amp;VLOOKUP(J$87,'List Values'!$C$3:$D$6,2,FALSE)&amp;ROW(J253))),IF(J$86&lt;&gt;"","Data Source Error",""))))</f>
        <v/>
      </c>
      <c r="L253" s="187"/>
      <c r="M253" s="580"/>
      <c r="N253" s="900" t="str">
        <f ca="1">IF(OR($H$7&lt;3,N$197&lt;3),"",IF(M253&lt;&gt;"",M253,IFERROR(IF(INDIRECT("'"&amp;M$86&amp;"'!"&amp;VLOOKUP(M$87,'List Values'!$C$3:$D$6,2,FALSE)&amp;ROW(M253))="","",INDIRECT("'"&amp;M$86&amp;"'!"&amp;VLOOKUP(M$87,'List Values'!$C$3:$D$6,2,FALSE)&amp;ROW(M253))),IF(M$86&lt;&gt;"","Data Source Error",""))))</f>
        <v/>
      </c>
      <c r="O253" s="187"/>
      <c r="P253" s="580"/>
      <c r="Q253" s="900" t="str">
        <f ca="1">IF(OR($H$7&lt;4,Q$197&lt;3),"",IF(P253&lt;&gt;"",P253,IFERROR(IF(INDIRECT("'"&amp;P$86&amp;"'!"&amp;VLOOKUP(P$87,'List Values'!$C$3:$D$6,2,FALSE)&amp;ROW(P253))="","",INDIRECT("'"&amp;P$86&amp;"'!"&amp;VLOOKUP(P$87,'List Values'!$C$3:$D$6,2,FALSE)&amp;ROW(P253))),IF(P$86&lt;&gt;"","Data Source Error",""))))</f>
        <v/>
      </c>
      <c r="S253" s="580"/>
      <c r="T253" s="900" t="str">
        <f ca="1">IF(OR($H$7&lt;5,T$197&lt;3),"",IF(S253&lt;&gt;"",S253,IFERROR(IF(INDIRECT("'"&amp;S$86&amp;"'!"&amp;VLOOKUP(S$87,'List Values'!$C$3:$D$6,2,FALSE)&amp;ROW(S253))="","",INDIRECT("'"&amp;S$86&amp;"'!"&amp;VLOOKUP(S$87,'List Values'!$C$3:$D$6,2,FALSE)&amp;ROW(S253))),IF(S$86&lt;&gt;"","Data Source Error",""))))</f>
        <v/>
      </c>
      <c r="V253" s="580"/>
      <c r="W253" s="911" t="str">
        <f ca="1">IF(OR($H$7&lt;6,W$197&lt;3),"",IF(V253&lt;&gt;"",V253,IFERROR(IF(INDIRECT("'"&amp;V$86&amp;"'!"&amp;VLOOKUP(V$87,'List Values'!$C$3:$D$6,2,FALSE)&amp;ROW(V253))="","",INDIRECT("'"&amp;V$86&amp;"'!"&amp;VLOOKUP(V$87,'List Values'!$C$3:$D$6,2,FALSE)&amp;ROW(V253))),IF(V$86&lt;&gt;"","Data Source Error",""))))</f>
        <v/>
      </c>
      <c r="Y253" s="2643"/>
      <c r="Z253" s="2644"/>
      <c r="AA253" s="2644"/>
      <c r="AB253" s="2645"/>
    </row>
    <row r="254" spans="1:28" ht="33.75" customHeight="1" outlineLevel="1">
      <c r="A254" s="514"/>
      <c r="B254" s="252"/>
      <c r="C254" s="2680" t="s">
        <v>2527</v>
      </c>
      <c r="D254" s="2680"/>
      <c r="E254" s="202"/>
      <c r="F254" s="202"/>
      <c r="G254" s="634"/>
      <c r="H254" s="635"/>
      <c r="I254" s="187"/>
      <c r="J254" s="580"/>
      <c r="K254" s="900" t="str">
        <f ca="1">IF(OR($H$7&lt;2,K$197&lt;3),"",IF(J254&lt;&gt;"",J254,IFERROR(IF(INDIRECT("'"&amp;J$86&amp;"'!"&amp;VLOOKUP(J$87,'List Values'!$C$3:$D$6,2,FALSE)&amp;ROW(J254))="","",INDIRECT("'"&amp;J$86&amp;"'!"&amp;VLOOKUP(J$87,'List Values'!$C$3:$D$6,2,FALSE)&amp;ROW(J254))),IF(J$86&lt;&gt;"","Data Source Error",""))))</f>
        <v/>
      </c>
      <c r="L254" s="187"/>
      <c r="M254" s="580"/>
      <c r="N254" s="900" t="str">
        <f ca="1">IF(OR($H$7&lt;3,N$197&lt;3),"",IF(M254&lt;&gt;"",M254,IFERROR(IF(INDIRECT("'"&amp;M$86&amp;"'!"&amp;VLOOKUP(M$87,'List Values'!$C$3:$D$6,2,FALSE)&amp;ROW(M254))="","",INDIRECT("'"&amp;M$86&amp;"'!"&amp;VLOOKUP(M$87,'List Values'!$C$3:$D$6,2,FALSE)&amp;ROW(M254))),IF(M$86&lt;&gt;"","Data Source Error",""))))</f>
        <v/>
      </c>
      <c r="O254" s="187"/>
      <c r="P254" s="580"/>
      <c r="Q254" s="900" t="str">
        <f ca="1">IF(OR($H$7&lt;4,Q$197&lt;3),"",IF(P254&lt;&gt;"",P254,IFERROR(IF(INDIRECT("'"&amp;P$86&amp;"'!"&amp;VLOOKUP(P$87,'List Values'!$C$3:$D$6,2,FALSE)&amp;ROW(P254))="","",INDIRECT("'"&amp;P$86&amp;"'!"&amp;VLOOKUP(P$87,'List Values'!$C$3:$D$6,2,FALSE)&amp;ROW(P254))),IF(P$86&lt;&gt;"","Data Source Error",""))))</f>
        <v/>
      </c>
      <c r="S254" s="580"/>
      <c r="T254" s="900" t="str">
        <f ca="1">IF(OR($H$7&lt;5,T$197&lt;3),"",IF(S254&lt;&gt;"",S254,IFERROR(IF(INDIRECT("'"&amp;S$86&amp;"'!"&amp;VLOOKUP(S$87,'List Values'!$C$3:$D$6,2,FALSE)&amp;ROW(S254))="","",INDIRECT("'"&amp;S$86&amp;"'!"&amp;VLOOKUP(S$87,'List Values'!$C$3:$D$6,2,FALSE)&amp;ROW(S254))),IF(S$86&lt;&gt;"","Data Source Error",""))))</f>
        <v/>
      </c>
      <c r="V254" s="580"/>
      <c r="W254" s="911" t="str">
        <f ca="1">IF(OR($H$7&lt;6,W$197&lt;3),"",IF(V254&lt;&gt;"",V254,IFERROR(IF(INDIRECT("'"&amp;V$86&amp;"'!"&amp;VLOOKUP(V$87,'List Values'!$C$3:$D$6,2,FALSE)&amp;ROW(V254))="","",INDIRECT("'"&amp;V$86&amp;"'!"&amp;VLOOKUP(V$87,'List Values'!$C$3:$D$6,2,FALSE)&amp;ROW(V254))),IF(V$86&lt;&gt;"","Data Source Error",""))))</f>
        <v/>
      </c>
      <c r="Y254" s="2643"/>
      <c r="Z254" s="2644"/>
      <c r="AA254" s="2644"/>
      <c r="AB254" s="2645"/>
    </row>
    <row r="255" spans="1:28" ht="33.75" customHeight="1" outlineLevel="1">
      <c r="A255" s="514"/>
      <c r="B255" s="252"/>
      <c r="C255" s="2680" t="s">
        <v>2528</v>
      </c>
      <c r="D255" s="2680"/>
      <c r="E255" s="202"/>
      <c r="F255" s="202"/>
      <c r="G255" s="634"/>
      <c r="H255" s="635"/>
      <c r="I255" s="187"/>
      <c r="J255" s="580"/>
      <c r="K255" s="900" t="str">
        <f ca="1">IF(OR($H$7&lt;2,K$197&lt;3),"",IF(J255&lt;&gt;"",J255,IFERROR(IF(INDIRECT("'"&amp;J$86&amp;"'!"&amp;VLOOKUP(J$87,'List Values'!$C$3:$D$6,2,FALSE)&amp;ROW(J255))="","",INDIRECT("'"&amp;J$86&amp;"'!"&amp;VLOOKUP(J$87,'List Values'!$C$3:$D$6,2,FALSE)&amp;ROW(J255))),IF(J$86&lt;&gt;"","Data Source Error",""))))</f>
        <v/>
      </c>
      <c r="L255" s="187"/>
      <c r="M255" s="580"/>
      <c r="N255" s="900" t="str">
        <f ca="1">IF(OR($H$7&lt;3,N$197&lt;3),"",IF(M255&lt;&gt;"",M255,IFERROR(IF(INDIRECT("'"&amp;M$86&amp;"'!"&amp;VLOOKUP(M$87,'List Values'!$C$3:$D$6,2,FALSE)&amp;ROW(M255))="","",INDIRECT("'"&amp;M$86&amp;"'!"&amp;VLOOKUP(M$87,'List Values'!$C$3:$D$6,2,FALSE)&amp;ROW(M255))),IF(M$86&lt;&gt;"","Data Source Error",""))))</f>
        <v/>
      </c>
      <c r="O255" s="187"/>
      <c r="P255" s="580"/>
      <c r="Q255" s="900" t="str">
        <f ca="1">IF(OR($H$7&lt;4,Q$197&lt;3),"",IF(P255&lt;&gt;"",P255,IFERROR(IF(INDIRECT("'"&amp;P$86&amp;"'!"&amp;VLOOKUP(P$87,'List Values'!$C$3:$D$6,2,FALSE)&amp;ROW(P255))="","",INDIRECT("'"&amp;P$86&amp;"'!"&amp;VLOOKUP(P$87,'List Values'!$C$3:$D$6,2,FALSE)&amp;ROW(P255))),IF(P$86&lt;&gt;"","Data Source Error",""))))</f>
        <v/>
      </c>
      <c r="S255" s="580"/>
      <c r="T255" s="900" t="str">
        <f ca="1">IF(OR($H$7&lt;5,T$197&lt;3),"",IF(S255&lt;&gt;"",S255,IFERROR(IF(INDIRECT("'"&amp;S$86&amp;"'!"&amp;VLOOKUP(S$87,'List Values'!$C$3:$D$6,2,FALSE)&amp;ROW(S255))="","",INDIRECT("'"&amp;S$86&amp;"'!"&amp;VLOOKUP(S$87,'List Values'!$C$3:$D$6,2,FALSE)&amp;ROW(S255))),IF(S$86&lt;&gt;"","Data Source Error",""))))</f>
        <v/>
      </c>
      <c r="V255" s="580"/>
      <c r="W255" s="911" t="str">
        <f ca="1">IF(OR($H$7&lt;6,W$197&lt;3),"",IF(V255&lt;&gt;"",V255,IFERROR(IF(INDIRECT("'"&amp;V$86&amp;"'!"&amp;VLOOKUP(V$87,'List Values'!$C$3:$D$6,2,FALSE)&amp;ROW(V255))="","",INDIRECT("'"&amp;V$86&amp;"'!"&amp;VLOOKUP(V$87,'List Values'!$C$3:$D$6,2,FALSE)&amp;ROW(V255))),IF(V$86&lt;&gt;"","Data Source Error",""))))</f>
        <v/>
      </c>
      <c r="Y255" s="2643"/>
      <c r="Z255" s="2644"/>
      <c r="AA255" s="2644"/>
      <c r="AB255" s="2645"/>
    </row>
    <row r="256" spans="1:28" ht="15.75" customHeight="1" outlineLevel="1">
      <c r="A256" s="514"/>
      <c r="B256" s="252"/>
      <c r="C256" s="2680" t="s">
        <v>650</v>
      </c>
      <c r="D256" s="2680"/>
      <c r="E256" s="203"/>
      <c r="F256" s="203"/>
      <c r="G256" s="644"/>
      <c r="H256" s="645"/>
      <c r="I256" s="187"/>
      <c r="J256" s="580"/>
      <c r="K256" s="900" t="str">
        <f ca="1">IF(OR($H$7&lt;2,K$197&lt;3),"",IF(J256&lt;&gt;"",J256,IFERROR(IF(INDIRECT("'"&amp;J$86&amp;"'!"&amp;VLOOKUP(J$87,'List Values'!$C$3:$D$6,2,FALSE)&amp;ROW(J256))="","",INDIRECT("'"&amp;J$86&amp;"'!"&amp;VLOOKUP(J$87,'List Values'!$C$3:$D$6,2,FALSE)&amp;ROW(J256))),IF(J$86&lt;&gt;"","Data Source Error",""))))</f>
        <v/>
      </c>
      <c r="L256" s="187"/>
      <c r="M256" s="580"/>
      <c r="N256" s="900" t="str">
        <f ca="1">IF(OR($H$7&lt;3,N$197&lt;3),"",IF(M256&lt;&gt;"",M256,IFERROR(IF(INDIRECT("'"&amp;M$86&amp;"'!"&amp;VLOOKUP(M$87,'List Values'!$C$3:$D$6,2,FALSE)&amp;ROW(M256))="","",INDIRECT("'"&amp;M$86&amp;"'!"&amp;VLOOKUP(M$87,'List Values'!$C$3:$D$6,2,FALSE)&amp;ROW(M256))),IF(M$86&lt;&gt;"","Data Source Error",""))))</f>
        <v/>
      </c>
      <c r="O256" s="187"/>
      <c r="P256" s="580"/>
      <c r="Q256" s="900" t="str">
        <f ca="1">IF(OR($H$7&lt;4,Q$197&lt;3),"",IF(P256&lt;&gt;"",P256,IFERROR(IF(INDIRECT("'"&amp;P$86&amp;"'!"&amp;VLOOKUP(P$87,'List Values'!$C$3:$D$6,2,FALSE)&amp;ROW(P256))="","",INDIRECT("'"&amp;P$86&amp;"'!"&amp;VLOOKUP(P$87,'List Values'!$C$3:$D$6,2,FALSE)&amp;ROW(P256))),IF(P$86&lt;&gt;"","Data Source Error",""))))</f>
        <v/>
      </c>
      <c r="S256" s="580"/>
      <c r="T256" s="900" t="str">
        <f ca="1">IF(OR($H$7&lt;5,T$197&lt;3),"",IF(S256&lt;&gt;"",S256,IFERROR(IF(INDIRECT("'"&amp;S$86&amp;"'!"&amp;VLOOKUP(S$87,'List Values'!$C$3:$D$6,2,FALSE)&amp;ROW(S256))="","",INDIRECT("'"&amp;S$86&amp;"'!"&amp;VLOOKUP(S$87,'List Values'!$C$3:$D$6,2,FALSE)&amp;ROW(S256))),IF(S$86&lt;&gt;"","Data Source Error",""))))</f>
        <v/>
      </c>
      <c r="V256" s="580"/>
      <c r="W256" s="911" t="str">
        <f ca="1">IF(OR($H$7&lt;6,W$197&lt;3),"",IF(V256&lt;&gt;"",V256,IFERROR(IF(INDIRECT("'"&amp;V$86&amp;"'!"&amp;VLOOKUP(V$87,'List Values'!$C$3:$D$6,2,FALSE)&amp;ROW(V256))="","",INDIRECT("'"&amp;V$86&amp;"'!"&amp;VLOOKUP(V$87,'List Values'!$C$3:$D$6,2,FALSE)&amp;ROW(V256))),IF(V$86&lt;&gt;"","Data Source Error",""))))</f>
        <v/>
      </c>
      <c r="Y256" s="2643"/>
      <c r="Z256" s="2644"/>
      <c r="AA256" s="2644"/>
      <c r="AB256" s="2645"/>
    </row>
    <row r="257" spans="1:28" ht="31" customHeight="1" outlineLevel="1">
      <c r="A257" s="514"/>
      <c r="B257" s="252"/>
      <c r="C257" s="2680" t="s">
        <v>651</v>
      </c>
      <c r="D257" s="2680"/>
      <c r="E257" s="51"/>
      <c r="F257" s="51"/>
      <c r="G257" s="500"/>
      <c r="H257" s="648"/>
      <c r="I257" s="184"/>
      <c r="J257" s="624"/>
      <c r="K257" s="941" t="str">
        <f ca="1">IF(OR($H$7&lt;2,K$197&lt;3),"",IF(J257&lt;&gt;"",J257,IFERROR(IF(INDIRECT("'"&amp;J$86&amp;"'!"&amp;VLOOKUP(J$87,'List Values'!$C$3:$D$6,2,FALSE)&amp;ROW(J257))="","",INDIRECT("'"&amp;J$86&amp;"'!"&amp;VLOOKUP(J$87,'List Values'!$C$3:$D$6,2,FALSE)&amp;ROW(J257))),IF(J$86&lt;&gt;"","Data Source Error",""))))</f>
        <v/>
      </c>
      <c r="L257" s="184"/>
      <c r="M257" s="624"/>
      <c r="N257" s="941" t="str">
        <f ca="1">IF(OR($H$7&lt;3,N$197&lt;3),"",IF(M257&lt;&gt;"",M257,IFERROR(IF(INDIRECT("'"&amp;M$86&amp;"'!"&amp;VLOOKUP(M$87,'List Values'!$C$3:$D$6,2,FALSE)&amp;ROW(M257))="","",INDIRECT("'"&amp;M$86&amp;"'!"&amp;VLOOKUP(M$87,'List Values'!$C$3:$D$6,2,FALSE)&amp;ROW(M257))),IF(M$86&lt;&gt;"","Data Source Error",""))))</f>
        <v/>
      </c>
      <c r="O257" s="184"/>
      <c r="P257" s="624"/>
      <c r="Q257" s="941" t="str">
        <f ca="1">IF(OR($H$7&lt;4,Q$197&lt;3),"",IF(P257&lt;&gt;"",P257,IFERROR(IF(INDIRECT("'"&amp;P$86&amp;"'!"&amp;VLOOKUP(P$87,'List Values'!$C$3:$D$6,2,FALSE)&amp;ROW(P257))="","",INDIRECT("'"&amp;P$86&amp;"'!"&amp;VLOOKUP(P$87,'List Values'!$C$3:$D$6,2,FALSE)&amp;ROW(P257))),IF(P$86&lt;&gt;"","Data Source Error",""))))</f>
        <v/>
      </c>
      <c r="S257" s="624"/>
      <c r="T257" s="941" t="str">
        <f ca="1">IF(OR($H$7&lt;5,T$197&lt;3),"",IF(S257&lt;&gt;"",S257,IFERROR(IF(INDIRECT("'"&amp;S$86&amp;"'!"&amp;VLOOKUP(S$87,'List Values'!$C$3:$D$6,2,FALSE)&amp;ROW(S257))="","",INDIRECT("'"&amp;S$86&amp;"'!"&amp;VLOOKUP(S$87,'List Values'!$C$3:$D$6,2,FALSE)&amp;ROW(S257))),IF(S$86&lt;&gt;"","Data Source Error",""))))</f>
        <v/>
      </c>
      <c r="V257" s="624"/>
      <c r="W257" s="947" t="str">
        <f ca="1">IF(OR($H$7&lt;6,W$197&lt;3),"",IF(V257&lt;&gt;"",V257,IFERROR(IF(INDIRECT("'"&amp;V$86&amp;"'!"&amp;VLOOKUP(V$87,'List Values'!$C$3:$D$6,2,FALSE)&amp;ROW(V257))="","",INDIRECT("'"&amp;V$86&amp;"'!"&amp;VLOOKUP(V$87,'List Values'!$C$3:$D$6,2,FALSE)&amp;ROW(V257))),IF(V$86&lt;&gt;"","Data Source Error",""))))</f>
        <v/>
      </c>
      <c r="Y257" s="2657"/>
      <c r="Z257" s="2658"/>
      <c r="AA257" s="2658"/>
      <c r="AB257" s="2659"/>
    </row>
    <row r="258" spans="1:28" ht="27" customHeight="1" collapsed="1">
      <c r="A258" s="212"/>
      <c r="B258" s="61"/>
      <c r="C258" s="516"/>
      <c r="D258" s="516"/>
      <c r="E258" s="516"/>
      <c r="F258" s="61"/>
      <c r="G258" s="517"/>
      <c r="H258" s="518"/>
      <c r="I258" s="61"/>
      <c r="J258" s="519"/>
      <c r="K258" s="980"/>
      <c r="L258" s="61"/>
      <c r="M258" s="519"/>
      <c r="N258" s="980"/>
      <c r="O258" s="61"/>
      <c r="P258" s="519"/>
      <c r="Q258" s="980"/>
      <c r="R258" s="61"/>
      <c r="S258" s="519"/>
      <c r="T258" s="980"/>
      <c r="U258" s="61"/>
      <c r="V258" s="519"/>
      <c r="W258" s="980"/>
    </row>
    <row r="259" spans="1:28" ht="30.75" customHeight="1">
      <c r="B259" s="2682" t="s">
        <v>2499</v>
      </c>
      <c r="C259" s="2682"/>
      <c r="D259" s="2682"/>
      <c r="E259" s="2682"/>
      <c r="F259" s="2682"/>
      <c r="G259" s="2682"/>
      <c r="H259" s="2682"/>
      <c r="I259" s="1164"/>
      <c r="J259" s="2683" t="str">
        <f ca="1">H88&amp;" to "&amp;K88</f>
        <v>CMS to Regional WH</v>
      </c>
      <c r="K259" s="2683"/>
      <c r="L259" s="1164"/>
      <c r="M259" s="2683" t="str">
        <f ca="1">K88&amp;" to "&amp;N88</f>
        <v>Regional WH to Health Facility</v>
      </c>
      <c r="N259" s="2683"/>
      <c r="O259" s="1164"/>
      <c r="P259" s="2683" t="str">
        <f ca="1">N88&amp;" to "&amp;Q88</f>
        <v xml:space="preserve">Health Facility to </v>
      </c>
      <c r="Q259" s="2683"/>
      <c r="R259" s="1164"/>
      <c r="S259" s="2683" t="str">
        <f ca="1">Q88&amp;" to "&amp;T88</f>
        <v xml:space="preserve"> to </v>
      </c>
      <c r="T259" s="2683"/>
      <c r="U259" s="1164"/>
      <c r="V259" s="2683" t="str">
        <f ca="1">T88&amp;" to "&amp;W88</f>
        <v xml:space="preserve"> to </v>
      </c>
      <c r="W259" s="2683"/>
    </row>
    <row r="260" spans="1:28" ht="29.25" customHeight="1" outlineLevel="1">
      <c r="A260" s="1"/>
      <c r="B260" s="2686" t="s">
        <v>2531</v>
      </c>
      <c r="C260" s="2686"/>
      <c r="D260" s="2686"/>
      <c r="E260" s="2065"/>
      <c r="F260" s="2065"/>
      <c r="G260" s="646"/>
      <c r="H260" s="647"/>
      <c r="I260" s="44"/>
      <c r="J260" s="588"/>
      <c r="K260" s="978">
        <f ca="1">IF($H$7&lt;2,0,IF(J260&lt;&gt;"",J260,IFERROR(IF(INDIRECT("'"&amp;J$86&amp;"'!"&amp;VLOOKUP(J$87,'List Values'!$C$3:$D$6,2,FALSE)&amp;ROW(J260))="",0,INDIRECT("'"&amp;J$86&amp;"'!"&amp;VLOOKUP(J$87,'List Values'!$C$3:$D$6,2,FALSE)&amp;ROW(J260))),IF(J$86&lt;&gt;"","Data Source Error",0))))</f>
        <v>0</v>
      </c>
      <c r="L260" s="44"/>
      <c r="M260" s="588"/>
      <c r="N260" s="978">
        <f ca="1">IF($H$7&lt;3,0,IF(M260&lt;&gt;"",M260,IFERROR(IF(INDIRECT("'"&amp;M$86&amp;"'!"&amp;VLOOKUP(M$87,'List Values'!$C$3:$D$6,2,FALSE)&amp;ROW(M260))="",0,INDIRECT("'"&amp;M$86&amp;"'!"&amp;VLOOKUP(M$87,'List Values'!$C$3:$D$6,2,FALSE)&amp;ROW(M260))),IF(M$86&lt;&gt;"","Data Source Error",0))))</f>
        <v>0</v>
      </c>
      <c r="O260" s="44"/>
      <c r="P260" s="589"/>
      <c r="Q260" s="978">
        <f ca="1">IF($H$7&lt;4,0,IF(P260&lt;&gt;"",P260,IFERROR(IF(INDIRECT("'"&amp;P$86&amp;"'!"&amp;VLOOKUP(P$87,'List Values'!$C$3:$D$6,2,FALSE)&amp;ROW(P260))="",0,INDIRECT("'"&amp;P$86&amp;"'!"&amp;VLOOKUP(P$87,'List Values'!$C$3:$D$6,2,FALSE)&amp;ROW(P260))),IF(P$86&lt;&gt;"","Data Source Error",0))))</f>
        <v>0</v>
      </c>
      <c r="R260" s="27"/>
      <c r="S260" s="589"/>
      <c r="T260" s="978">
        <f ca="1">IF($H$7&lt;5,0,IF(S260&lt;&gt;"",S260,IFERROR(IF(INDIRECT("'"&amp;S$86&amp;"'!"&amp;VLOOKUP(S$87,'List Values'!$C$3:$D$6,2,FALSE)&amp;ROW(S260))="",0,INDIRECT("'"&amp;S$86&amp;"'!"&amp;VLOOKUP(S$87,'List Values'!$C$3:$D$6,2,FALSE)&amp;ROW(S260))),IF(S$86&lt;&gt;"","Data Source Error",0))))</f>
        <v>0</v>
      </c>
      <c r="U260" s="27"/>
      <c r="V260" s="589"/>
      <c r="W260" s="981">
        <f ca="1">IF($H$7&lt;6,0,IF(V260&lt;&gt;"",V260,IFERROR(IF(INDIRECT("'"&amp;V$86&amp;"'!"&amp;VLOOKUP(V$87,'List Values'!$C$3:$D$6,2,FALSE)&amp;ROW(V260))="",0,INDIRECT("'"&amp;V$86&amp;"'!"&amp;VLOOKUP(V$87,'List Values'!$C$3:$D$6,2,FALSE)&amp;ROW(V260))),IF(V$86&lt;&gt;"","Data Source Error",0))))</f>
        <v>0</v>
      </c>
      <c r="Y260" s="2619" t="s">
        <v>673</v>
      </c>
      <c r="Z260" s="2620"/>
      <c r="AA260" s="2620"/>
      <c r="AB260" s="2621"/>
    </row>
    <row r="261" spans="1:28" ht="32.25" customHeight="1" outlineLevel="1">
      <c r="B261" s="2686" t="s">
        <v>2532</v>
      </c>
      <c r="C261" s="2686"/>
      <c r="D261" s="2686"/>
      <c r="E261" s="2065"/>
      <c r="F261" s="2065"/>
      <c r="G261" s="646"/>
      <c r="H261" s="647"/>
      <c r="I261" s="483"/>
      <c r="J261" s="588"/>
      <c r="K261" s="978">
        <f ca="1">IF($H$7&lt;2,0,IF(J261&lt;&gt;"",J261,IFERROR(IF(INDIRECT("'"&amp;J$86&amp;"'!"&amp;VLOOKUP(J$87,'List Values'!$C$3:$D$6,2,FALSE)&amp;ROW(J261))="",IF(K$260=0,0,K$96),INDIRECT("'"&amp;J$86&amp;"'!"&amp;VLOOKUP(J$87,'List Values'!$C$3:$D$6,2,FALSE)&amp;ROW(J261))),IF(J$86&lt;&gt;"","Data Source Error",0))))</f>
        <v>0</v>
      </c>
      <c r="L261" s="515"/>
      <c r="M261" s="588"/>
      <c r="N261" s="978">
        <f ca="1">IF($H$7&lt;3,0,IF(M261&lt;&gt;"",M261,IFERROR(IF(INDIRECT("'"&amp;M$86&amp;"'!"&amp;VLOOKUP(M$87,'List Values'!$C$3:$D$6,2,FALSE)&amp;ROW(M261))="",IF(N$260=0,0,N$96),INDIRECT("'"&amp;M$86&amp;"'!"&amp;VLOOKUP(M$87,'List Values'!$C$3:$D$6,2,FALSE)&amp;ROW(M261))),IF(M$86&lt;&gt;"","Data Source Error",0))))</f>
        <v>0</v>
      </c>
      <c r="O261" s="515"/>
      <c r="P261" s="589"/>
      <c r="Q261" s="978">
        <f ca="1">IF($H$7&lt;4,0,IF(P261&lt;&gt;"",P261,IFERROR(IF(INDIRECT("'"&amp;P$86&amp;"'!"&amp;VLOOKUP(P$87,'List Values'!$C$3:$D$6,2,FALSE)&amp;ROW(P261))="",IF(Q$260=0,0,Q$96),INDIRECT("'"&amp;P$86&amp;"'!"&amp;VLOOKUP(P$87,'List Values'!$C$3:$D$6,2,FALSE)&amp;ROW(P261))),IF(P$86&lt;&gt;"","Data Source Error",0))))</f>
        <v>0</v>
      </c>
      <c r="R261" s="515"/>
      <c r="S261" s="589"/>
      <c r="T261" s="978">
        <f ca="1">IF($H$7&lt;5,0,IF(S261&lt;&gt;"",S261,IFERROR(IF(INDIRECT("'"&amp;S$86&amp;"'!"&amp;VLOOKUP(S$87,'List Values'!$C$3:$D$6,2,FALSE)&amp;ROW(S261))="",IF(T$260=0,0,T$96),INDIRECT("'"&amp;S$86&amp;"'!"&amp;VLOOKUP(S$87,'List Values'!$C$3:$D$6,2,FALSE)&amp;ROW(S261))),IF(S$86&lt;&gt;"","Data Source Error",0))))</f>
        <v>0</v>
      </c>
      <c r="U261" s="515"/>
      <c r="V261" s="589"/>
      <c r="W261" s="981">
        <f ca="1">IF($H$7&lt;6,0,IF(V261&lt;&gt;"",V261,IFERROR(IF(INDIRECT("'"&amp;V$86&amp;"'!"&amp;VLOOKUP(V$87,'List Values'!$C$3:$D$6,2,FALSE)&amp;ROW(V261))="",IF(W$260=0,0,W$96),INDIRECT("'"&amp;V$86&amp;"'!"&amp;VLOOKUP(V$87,'List Values'!$C$3:$D$6,2,FALSE)&amp;ROW(V261))),IF(V$86&lt;&gt;"","Data Source Error",0))))</f>
        <v>0</v>
      </c>
      <c r="Y261" s="2643"/>
      <c r="Z261" s="2644"/>
      <c r="AA261" s="2644"/>
      <c r="AB261" s="2645"/>
    </row>
    <row r="262" spans="1:28" ht="21" customHeight="1">
      <c r="A262" s="1"/>
      <c r="B262" s="612" t="s">
        <v>619</v>
      </c>
      <c r="C262" s="604"/>
      <c r="D262" s="604"/>
      <c r="E262" s="614"/>
      <c r="F262" s="608"/>
      <c r="G262" s="615"/>
      <c r="H262" s="611"/>
      <c r="I262" s="608"/>
      <c r="J262" s="610"/>
      <c r="K262" s="970"/>
      <c r="L262" s="608"/>
      <c r="M262" s="610"/>
      <c r="N262" s="970"/>
      <c r="O262" s="608"/>
      <c r="P262" s="610"/>
      <c r="Q262" s="970"/>
      <c r="R262" s="608"/>
      <c r="S262" s="610"/>
      <c r="T262" s="970"/>
      <c r="U262" s="608"/>
      <c r="V262" s="610"/>
      <c r="W262" s="970"/>
      <c r="Y262" s="631"/>
      <c r="Z262" s="631"/>
      <c r="AA262" s="631"/>
      <c r="AB262" s="631"/>
    </row>
    <row r="263" spans="1:28" ht="15.75" customHeight="1" outlineLevel="1">
      <c r="A263" s="512"/>
      <c r="B263" s="252"/>
      <c r="C263" s="2580" t="s">
        <v>625</v>
      </c>
      <c r="D263" s="2580"/>
      <c r="E263" s="202"/>
      <c r="F263" s="202"/>
      <c r="G263" s="634"/>
      <c r="H263" s="635"/>
      <c r="I263" s="183"/>
      <c r="J263" s="628"/>
      <c r="K263" s="967" t="str">
        <f ca="1">IF(OR($H$7&lt;2,K$260&lt;1),"",IF(J263&lt;&gt;"",J263,IFERROR(IF(INDIRECT("'"&amp;J$86&amp;"'!"&amp;VLOOKUP(J$87,'List Values'!$C$3:$D$6,2,FALSE)&amp;ROW(J263))="","",INDIRECT("'"&amp;J$86&amp;"'!"&amp;VLOOKUP(J$87,'List Values'!$C$3:$D$6,2,FALSE)&amp;ROW(J263))),IF(J$86&lt;&gt;"","Data Source Error",""))))</f>
        <v/>
      </c>
      <c r="L263" s="629"/>
      <c r="M263" s="628"/>
      <c r="N263" s="967" t="str">
        <f ca="1">IF(OR($H$7&lt;3,N$260&lt;1),"",IF(M263&lt;&gt;"",M263,IFERROR(IF(INDIRECT("'"&amp;M$86&amp;"'!"&amp;VLOOKUP(M$87,'List Values'!$C$3:$D$6,2,FALSE)&amp;ROW(M263))="","",INDIRECT("'"&amp;M$86&amp;"'!"&amp;VLOOKUP(M$87,'List Values'!$C$3:$D$6,2,FALSE)&amp;ROW(M263))),IF(M$86&lt;&gt;"","Data Source Error",""))))</f>
        <v/>
      </c>
      <c r="O263" s="629"/>
      <c r="P263" s="628"/>
      <c r="Q263" s="967" t="str">
        <f ca="1">IF(OR($H$7&lt;4,Q$260&lt;1),"",IF(P263&lt;&gt;"",P263,IFERROR(IF(INDIRECT("'"&amp;P$86&amp;"'!"&amp;VLOOKUP(P$87,'List Values'!$C$3:$D$6,2,FALSE)&amp;ROW(P263))="","",INDIRECT("'"&amp;P$86&amp;"'!"&amp;VLOOKUP(P$87,'List Values'!$C$3:$D$6,2,FALSE)&amp;ROW(P263))),IF(P$86&lt;&gt;"","Data Source Error",""))))</f>
        <v/>
      </c>
      <c r="R263" s="147"/>
      <c r="S263" s="628"/>
      <c r="T263" s="967" t="str">
        <f ca="1">IF(OR($H$7&lt;5,T$260&lt;1),"",IF(S263&lt;&gt;"",S263,IFERROR(IF(INDIRECT("'"&amp;S$86&amp;"'!"&amp;VLOOKUP(S$87,'List Values'!$C$3:$D$6,2,FALSE)&amp;ROW(S263))="","",INDIRECT("'"&amp;S$86&amp;"'!"&amp;VLOOKUP(S$87,'List Values'!$C$3:$D$6,2,FALSE)&amp;ROW(S263))),IF(S$86&lt;&gt;"","Data Source Error",""))))</f>
        <v/>
      </c>
      <c r="U263" s="147"/>
      <c r="V263" s="628"/>
      <c r="W263" s="973" t="str">
        <f ca="1">IF(OR($H$7&lt;6,W$260&lt;1),"",IF(V263&lt;&gt;"",V263,IFERROR(IF(INDIRECT("'"&amp;V$86&amp;"'!"&amp;VLOOKUP(V$87,'List Values'!$C$3:$D$6,2,FALSE)&amp;ROW(V263))="","",INDIRECT("'"&amp;V$86&amp;"'!"&amp;VLOOKUP(V$87,'List Values'!$C$3:$D$6,2,FALSE)&amp;ROW(V263))),IF(V$86&lt;&gt;"","Data Source Error",""))))</f>
        <v/>
      </c>
      <c r="Y263" s="2643"/>
      <c r="Z263" s="2644"/>
      <c r="AA263" s="2644"/>
      <c r="AB263" s="2645"/>
    </row>
    <row r="264" spans="1:28" ht="15.75" customHeight="1" outlineLevel="1">
      <c r="A264" s="512"/>
      <c r="B264" s="252"/>
      <c r="C264" s="2680" t="s">
        <v>626</v>
      </c>
      <c r="D264" s="2680"/>
      <c r="E264" s="2062"/>
      <c r="F264" s="2062"/>
      <c r="G264" s="636"/>
      <c r="H264" s="637"/>
      <c r="I264" s="187"/>
      <c r="J264" s="526"/>
      <c r="K264" s="900" t="str">
        <f ca="1">IF(OR($H$7&lt;2,K$260&lt;1),"",IF(J264&lt;&gt;"",J264,IFERROR(IF(INDIRECT("'"&amp;J$86&amp;"'!"&amp;VLOOKUP(J$87,'List Values'!$C$3:$D$6,2,FALSE)&amp;ROW(J264))="","",INDIRECT("'"&amp;J$86&amp;"'!"&amp;VLOOKUP(J$87,'List Values'!$C$3:$D$6,2,FALSE)&amp;ROW(J264))),IF(J$86&lt;&gt;"","Data Source Error",""))))</f>
        <v/>
      </c>
      <c r="L264" s="187"/>
      <c r="M264" s="526"/>
      <c r="N264" s="900" t="str">
        <f ca="1">IF(OR($H$7&lt;3,N$260&lt;1),"",IF(M264&lt;&gt;"",M264,IFERROR(IF(INDIRECT("'"&amp;M$86&amp;"'!"&amp;VLOOKUP(M$87,'List Values'!$C$3:$D$6,2,FALSE)&amp;ROW(M264))="","",INDIRECT("'"&amp;M$86&amp;"'!"&amp;VLOOKUP(M$87,'List Values'!$C$3:$D$6,2,FALSE)&amp;ROW(M264))),IF(M$86&lt;&gt;"","Data Source Error",""))))</f>
        <v/>
      </c>
      <c r="O264" s="187"/>
      <c r="P264" s="526"/>
      <c r="Q264" s="900" t="str">
        <f ca="1">IF(OR($H$7&lt;4,Q$260&lt;1),"",IF(P264&lt;&gt;"",P264,IFERROR(IF(INDIRECT("'"&amp;P$86&amp;"'!"&amp;VLOOKUP(P$87,'List Values'!$C$3:$D$6,2,FALSE)&amp;ROW(P264))="","",INDIRECT("'"&amp;P$86&amp;"'!"&amp;VLOOKUP(P$87,'List Values'!$C$3:$D$6,2,FALSE)&amp;ROW(P264))),IF(P$86&lt;&gt;"","Data Source Error",""))))</f>
        <v/>
      </c>
      <c r="S264" s="526"/>
      <c r="T264" s="900" t="str">
        <f ca="1">IF(OR($H$7&lt;5,T$260&lt;1),"",IF(S264&lt;&gt;"",S264,IFERROR(IF(INDIRECT("'"&amp;S$86&amp;"'!"&amp;VLOOKUP(S$87,'List Values'!$C$3:$D$6,2,FALSE)&amp;ROW(S264))="","",INDIRECT("'"&amp;S$86&amp;"'!"&amp;VLOOKUP(S$87,'List Values'!$C$3:$D$6,2,FALSE)&amp;ROW(S264))),IF(S$86&lt;&gt;"","Data Source Error",""))))</f>
        <v/>
      </c>
      <c r="V264" s="526"/>
      <c r="W264" s="911" t="str">
        <f ca="1">IF(OR($H$7&lt;6,W$260&lt;1),"",IF(V264&lt;&gt;"",V264,IFERROR(IF(INDIRECT("'"&amp;V$86&amp;"'!"&amp;VLOOKUP(V$87,'List Values'!$C$3:$D$6,2,FALSE)&amp;ROW(V264))="","",INDIRECT("'"&amp;V$86&amp;"'!"&amp;VLOOKUP(V$87,'List Values'!$C$3:$D$6,2,FALSE)&amp;ROW(V264))),IF(V$86&lt;&gt;"","Data Source Error",""))))</f>
        <v/>
      </c>
      <c r="Y264" s="2643"/>
      <c r="Z264" s="2644"/>
      <c r="AA264" s="2644"/>
      <c r="AB264" s="2645"/>
    </row>
    <row r="265" spans="1:28" ht="31" customHeight="1" outlineLevel="1">
      <c r="A265" s="512"/>
      <c r="B265" s="252"/>
      <c r="C265" s="2680" t="s">
        <v>627</v>
      </c>
      <c r="D265" s="2680"/>
      <c r="E265" s="2062"/>
      <c r="F265" s="2062"/>
      <c r="G265" s="636"/>
      <c r="H265" s="637"/>
      <c r="I265" s="187"/>
      <c r="J265" s="561"/>
      <c r="K265" s="900" t="str">
        <f ca="1">IF(OR($H$7&lt;2,K$260&lt;1),"",IF(J265&lt;&gt;"",J265,IFERROR(IF(INDIRECT("'"&amp;J$86&amp;"'!"&amp;VLOOKUP(J$87,'List Values'!$C$3:$D$6,2,FALSE)&amp;ROW(J265))="","",INDIRECT("'"&amp;J$86&amp;"'!"&amp;VLOOKUP(J$87,'List Values'!$C$3:$D$6,2,FALSE)&amp;ROW(J265))),IF(J$86&lt;&gt;"","Data Source Error",""))))</f>
        <v/>
      </c>
      <c r="L265" s="187"/>
      <c r="M265" s="561"/>
      <c r="N265" s="900" t="str">
        <f ca="1">IF(OR($H$7&lt;3,N$260&lt;1),"",IF(M265&lt;&gt;"",M265,IFERROR(IF(INDIRECT("'"&amp;M$86&amp;"'!"&amp;VLOOKUP(M$87,'List Values'!$C$3:$D$6,2,FALSE)&amp;ROW(M265))="","",INDIRECT("'"&amp;M$86&amp;"'!"&amp;VLOOKUP(M$87,'List Values'!$C$3:$D$6,2,FALSE)&amp;ROW(M265))),IF(M$86&lt;&gt;"","Data Source Error",""))))</f>
        <v/>
      </c>
      <c r="O265" s="187"/>
      <c r="P265" s="561"/>
      <c r="Q265" s="900" t="str">
        <f ca="1">IF(OR($H$7&lt;4,Q$260&lt;1),"",IF(P265&lt;&gt;"",P265,IFERROR(IF(INDIRECT("'"&amp;P$86&amp;"'!"&amp;VLOOKUP(P$87,'List Values'!$C$3:$D$6,2,FALSE)&amp;ROW(P265))="","",INDIRECT("'"&amp;P$86&amp;"'!"&amp;VLOOKUP(P$87,'List Values'!$C$3:$D$6,2,FALSE)&amp;ROW(P265))),IF(P$86&lt;&gt;"","Data Source Error",""))))</f>
        <v/>
      </c>
      <c r="S265" s="561"/>
      <c r="T265" s="900" t="str">
        <f ca="1">IF(OR($H$7&lt;5,T$260&lt;1),"",IF(S265&lt;&gt;"",S265,IFERROR(IF(INDIRECT("'"&amp;S$86&amp;"'!"&amp;VLOOKUP(S$87,'List Values'!$C$3:$D$6,2,FALSE)&amp;ROW(S265))="","",INDIRECT("'"&amp;S$86&amp;"'!"&amp;VLOOKUP(S$87,'List Values'!$C$3:$D$6,2,FALSE)&amp;ROW(S265))),IF(S$86&lt;&gt;"","Data Source Error",""))))</f>
        <v/>
      </c>
      <c r="V265" s="561"/>
      <c r="W265" s="911" t="str">
        <f ca="1">IF(OR($H$7&lt;6,W$260&lt;1),"",IF(V265&lt;&gt;"",V265,IFERROR(IF(INDIRECT("'"&amp;V$86&amp;"'!"&amp;VLOOKUP(V$87,'List Values'!$C$3:$D$6,2,FALSE)&amp;ROW(V265))="","",INDIRECT("'"&amp;V$86&amp;"'!"&amp;VLOOKUP(V$87,'List Values'!$C$3:$D$6,2,FALSE)&amp;ROW(V265))),IF(V$86&lt;&gt;"","Data Source Error",""))))</f>
        <v/>
      </c>
      <c r="Y265" s="2643"/>
      <c r="Z265" s="2644"/>
      <c r="AA265" s="2644"/>
      <c r="AB265" s="2645"/>
    </row>
    <row r="266" spans="1:28" ht="31" customHeight="1" outlineLevel="1">
      <c r="A266" s="512"/>
      <c r="B266" s="252"/>
      <c r="C266" s="2684" t="s">
        <v>628</v>
      </c>
      <c r="D266" s="2684"/>
      <c r="E266" s="2062"/>
      <c r="F266" s="2062"/>
      <c r="G266" s="636"/>
      <c r="H266" s="637"/>
      <c r="I266" s="187"/>
      <c r="J266" s="526"/>
      <c r="K266" s="900" t="str">
        <f ca="1">IF(OR($H$7&lt;2,K$260&lt;1),"",IF(J266&lt;&gt;"",J266,IFERROR(IF(INDIRECT("'"&amp;J$86&amp;"'!"&amp;VLOOKUP(J$87,'List Values'!$C$3:$D$6,2,FALSE)&amp;ROW(J266))="","",INDIRECT("'"&amp;J$86&amp;"'!"&amp;VLOOKUP(J$87,'List Values'!$C$3:$D$6,2,FALSE)&amp;ROW(J266))),IF(J$86&lt;&gt;"","Data Source Error",""))))</f>
        <v/>
      </c>
      <c r="L266" s="187"/>
      <c r="M266" s="526"/>
      <c r="N266" s="900" t="str">
        <f ca="1">IF(OR($H$7&lt;3,N$260&lt;1),"",IF(M266&lt;&gt;"",M266,IFERROR(IF(INDIRECT("'"&amp;M$86&amp;"'!"&amp;VLOOKUP(M$87,'List Values'!$C$3:$D$6,2,FALSE)&amp;ROW(M266))="","",INDIRECT("'"&amp;M$86&amp;"'!"&amp;VLOOKUP(M$87,'List Values'!$C$3:$D$6,2,FALSE)&amp;ROW(M266))),IF(M$86&lt;&gt;"","Data Source Error",""))))</f>
        <v/>
      </c>
      <c r="O266" s="187"/>
      <c r="P266" s="526"/>
      <c r="Q266" s="900" t="str">
        <f ca="1">IF(OR($H$7&lt;4,Q$260&lt;1),"",IF(P266&lt;&gt;"",P266,IFERROR(IF(INDIRECT("'"&amp;P$86&amp;"'!"&amp;VLOOKUP(P$87,'List Values'!$C$3:$D$6,2,FALSE)&amp;ROW(P266))="","",INDIRECT("'"&amp;P$86&amp;"'!"&amp;VLOOKUP(P$87,'List Values'!$C$3:$D$6,2,FALSE)&amp;ROW(P266))),IF(P$86&lt;&gt;"","Data Source Error",""))))</f>
        <v/>
      </c>
      <c r="S266" s="526"/>
      <c r="T266" s="900" t="str">
        <f ca="1">IF(OR($H$7&lt;5,T$260&lt;1),"",IF(S266&lt;&gt;"",S266,IFERROR(IF(INDIRECT("'"&amp;S$86&amp;"'!"&amp;VLOOKUP(S$87,'List Values'!$C$3:$D$6,2,FALSE)&amp;ROW(S266))="","",INDIRECT("'"&amp;S$86&amp;"'!"&amp;VLOOKUP(S$87,'List Values'!$C$3:$D$6,2,FALSE)&amp;ROW(S266))),IF(S$86&lt;&gt;"","Data Source Error",""))))</f>
        <v/>
      </c>
      <c r="V266" s="526"/>
      <c r="W266" s="911" t="str">
        <f ca="1">IF(OR($H$7&lt;6,W$260&lt;1),"",IF(V266&lt;&gt;"",V266,IFERROR(IF(INDIRECT("'"&amp;V$86&amp;"'!"&amp;VLOOKUP(V$87,'List Values'!$C$3:$D$6,2,FALSE)&amp;ROW(V266))="","",INDIRECT("'"&amp;V$86&amp;"'!"&amp;VLOOKUP(V$87,'List Values'!$C$3:$D$6,2,FALSE)&amp;ROW(V266))),IF(V$86&lt;&gt;"","Data Source Error",""))))</f>
        <v/>
      </c>
      <c r="Y266" s="2643"/>
      <c r="Z266" s="2644"/>
      <c r="AA266" s="2644"/>
      <c r="AB266" s="2645"/>
    </row>
    <row r="267" spans="1:28" ht="33" customHeight="1" outlineLevel="1">
      <c r="A267" s="512"/>
      <c r="B267" s="252"/>
      <c r="C267" s="2684" t="s">
        <v>629</v>
      </c>
      <c r="D267" s="2684"/>
      <c r="E267" s="2062"/>
      <c r="F267" s="2062"/>
      <c r="G267" s="636"/>
      <c r="H267" s="637"/>
      <c r="I267" s="187"/>
      <c r="J267" s="568"/>
      <c r="K267" s="945" t="str">
        <f ca="1">IF(OR($H$7&lt;2,K$260&lt;1),"",IF(J267&lt;&gt;"",J267,IFERROR(IF(INDIRECT("'"&amp;J$86&amp;"'!"&amp;VLOOKUP(J$87,'List Values'!$C$3:$D$6,2,FALSE)&amp;ROW(J267))="","",INDIRECT("'"&amp;J$86&amp;"'!"&amp;VLOOKUP(J$87,'List Values'!$C$3:$D$6,2,FALSE)&amp;ROW(J267))),IF(J$86&lt;&gt;"","Data Source Error",""))))</f>
        <v/>
      </c>
      <c r="L267" s="339"/>
      <c r="M267" s="568"/>
      <c r="N267" s="945" t="str">
        <f ca="1">IF(OR($H$7&lt;3,N$260&lt;1),"",IF(M267&lt;&gt;"",M267,IFERROR(IF(INDIRECT("'"&amp;M$86&amp;"'!"&amp;VLOOKUP(M$87,'List Values'!$C$3:$D$6,2,FALSE)&amp;ROW(M267))="","",INDIRECT("'"&amp;M$86&amp;"'!"&amp;VLOOKUP(M$87,'List Values'!$C$3:$D$6,2,FALSE)&amp;ROW(M267))),IF(M$86&lt;&gt;"","Data Source Error",""))))</f>
        <v/>
      </c>
      <c r="O267" s="339"/>
      <c r="P267" s="568"/>
      <c r="Q267" s="945" t="str">
        <f ca="1">IF(OR($H$7&lt;4,Q$260&lt;1),"",IF(P267&lt;&gt;"",P267,IFERROR(IF(INDIRECT("'"&amp;P$86&amp;"'!"&amp;VLOOKUP(P$87,'List Values'!$C$3:$D$6,2,FALSE)&amp;ROW(P267))="","",INDIRECT("'"&amp;P$86&amp;"'!"&amp;VLOOKUP(P$87,'List Values'!$C$3:$D$6,2,FALSE)&amp;ROW(P267))),IF(P$86&lt;&gt;"","Data Source Error",""))))</f>
        <v/>
      </c>
      <c r="R267" s="7"/>
      <c r="S267" s="568"/>
      <c r="T267" s="945" t="str">
        <f ca="1">IF(OR($H$7&lt;5,T$260&lt;1),"",IF(S267&lt;&gt;"",S267,IFERROR(IF(INDIRECT("'"&amp;S$86&amp;"'!"&amp;VLOOKUP(S$87,'List Values'!$C$3:$D$6,2,FALSE)&amp;ROW(S267))="","",INDIRECT("'"&amp;S$86&amp;"'!"&amp;VLOOKUP(S$87,'List Values'!$C$3:$D$6,2,FALSE)&amp;ROW(S267))),IF(S$86&lt;&gt;"","Data Source Error",""))))</f>
        <v/>
      </c>
      <c r="U267" s="7"/>
      <c r="V267" s="568"/>
      <c r="W267" s="952" t="str">
        <f ca="1">IF(OR($H$7&lt;6,W$260&lt;1),"",IF(V267&lt;&gt;"",V267,IFERROR(IF(INDIRECT("'"&amp;V$86&amp;"'!"&amp;VLOOKUP(V$87,'List Values'!$C$3:$D$6,2,FALSE)&amp;ROW(V267))="","",INDIRECT("'"&amp;V$86&amp;"'!"&amp;VLOOKUP(V$87,'List Values'!$C$3:$D$6,2,FALSE)&amp;ROW(V267))),IF(V$86&lt;&gt;"","Data Source Error",""))))</f>
        <v/>
      </c>
      <c r="Y267" s="2643"/>
      <c r="Z267" s="2644"/>
      <c r="AA267" s="2644"/>
      <c r="AB267" s="2645"/>
    </row>
    <row r="268" spans="1:28" ht="15.75" customHeight="1" outlineLevel="1">
      <c r="A268" s="512"/>
      <c r="B268" s="252"/>
      <c r="C268" s="2680" t="s">
        <v>630</v>
      </c>
      <c r="D268" s="2680"/>
      <c r="E268" s="2062"/>
      <c r="F268" s="2062"/>
      <c r="G268" s="636"/>
      <c r="H268" s="637"/>
      <c r="I268" s="187"/>
      <c r="J268" s="526"/>
      <c r="K268" s="900" t="str">
        <f ca="1">IF(OR($H$7&lt;2,K$260&lt;1),"",IF(J268&lt;&gt;"",J268,IFERROR(IF(INDIRECT("'"&amp;J$86&amp;"'!"&amp;VLOOKUP(J$87,'List Values'!$C$3:$D$6,2,FALSE)&amp;ROW(J268))="","",INDIRECT("'"&amp;J$86&amp;"'!"&amp;VLOOKUP(J$87,'List Values'!$C$3:$D$6,2,FALSE)&amp;ROW(J268))),IF(J$86&lt;&gt;"","Data Source Error",""))))</f>
        <v/>
      </c>
      <c r="L268" s="187"/>
      <c r="M268" s="526"/>
      <c r="N268" s="900" t="str">
        <f ca="1">IF(OR($H$7&lt;3,N$260&lt;1),"",IF(M268&lt;&gt;"",M268,IFERROR(IF(INDIRECT("'"&amp;M$86&amp;"'!"&amp;VLOOKUP(M$87,'List Values'!$C$3:$D$6,2,FALSE)&amp;ROW(M268))="","",INDIRECT("'"&amp;M$86&amp;"'!"&amp;VLOOKUP(M$87,'List Values'!$C$3:$D$6,2,FALSE)&amp;ROW(M268))),IF(M$86&lt;&gt;"","Data Source Error",""))))</f>
        <v/>
      </c>
      <c r="O268" s="187"/>
      <c r="P268" s="526"/>
      <c r="Q268" s="900" t="str">
        <f ca="1">IF(OR($H$7&lt;4,Q$260&lt;1),"",IF(P268&lt;&gt;"",P268,IFERROR(IF(INDIRECT("'"&amp;P$86&amp;"'!"&amp;VLOOKUP(P$87,'List Values'!$C$3:$D$6,2,FALSE)&amp;ROW(P268))="","",INDIRECT("'"&amp;P$86&amp;"'!"&amp;VLOOKUP(P$87,'List Values'!$C$3:$D$6,2,FALSE)&amp;ROW(P268))),IF(P$86&lt;&gt;"","Data Source Error",""))))</f>
        <v/>
      </c>
      <c r="S268" s="526"/>
      <c r="T268" s="900" t="str">
        <f ca="1">IF(OR($H$7&lt;5,T$260&lt;1),"",IF(S268&lt;&gt;"",S268,IFERROR(IF(INDIRECT("'"&amp;S$86&amp;"'!"&amp;VLOOKUP(S$87,'List Values'!$C$3:$D$6,2,FALSE)&amp;ROW(S268))="","",INDIRECT("'"&amp;S$86&amp;"'!"&amp;VLOOKUP(S$87,'List Values'!$C$3:$D$6,2,FALSE)&amp;ROW(S268))),IF(S$86&lt;&gt;"","Data Source Error",""))))</f>
        <v/>
      </c>
      <c r="V268" s="526"/>
      <c r="W268" s="911" t="str">
        <f ca="1">IF(OR($H$7&lt;6,W$260&lt;1),"",IF(V268&lt;&gt;"",V268,IFERROR(IF(INDIRECT("'"&amp;V$86&amp;"'!"&amp;VLOOKUP(V$87,'List Values'!$C$3:$D$6,2,FALSE)&amp;ROW(V268))="","",INDIRECT("'"&amp;V$86&amp;"'!"&amp;VLOOKUP(V$87,'List Values'!$C$3:$D$6,2,FALSE)&amp;ROW(V268))),IF(V$86&lt;&gt;"","Data Source Error",""))))</f>
        <v/>
      </c>
      <c r="Y268" s="2643"/>
      <c r="Z268" s="2644"/>
      <c r="AA268" s="2644"/>
      <c r="AB268" s="2645"/>
    </row>
    <row r="269" spans="1:28" ht="31" customHeight="1" outlineLevel="1">
      <c r="A269" s="512"/>
      <c r="B269" s="252"/>
      <c r="C269" s="2684" t="s">
        <v>634</v>
      </c>
      <c r="D269" s="2684"/>
      <c r="E269" s="203"/>
      <c r="F269" s="203"/>
      <c r="G269" s="644"/>
      <c r="H269" s="645"/>
      <c r="I269" s="183"/>
      <c r="J269" s="553"/>
      <c r="K269" s="897" t="str">
        <f ca="1">IF(OR($H$7&lt;2,K$260&lt;1),"",IF(J269&lt;&gt;"",J269,IFERROR(IF(INDIRECT("'"&amp;J$86&amp;"'!"&amp;VLOOKUP(J$87,'List Values'!$C$3:$D$6,2,FALSE)&amp;ROW(J269))="","",INDIRECT("'"&amp;J$86&amp;"'!"&amp;VLOOKUP(J$87,'List Values'!$C$3:$D$6,2,FALSE)&amp;ROW(J269))),IF(J$86&lt;&gt;"","Data Source Error",""))))</f>
        <v/>
      </c>
      <c r="L269" s="183"/>
      <c r="M269" s="553"/>
      <c r="N269" s="897" t="str">
        <f ca="1">IF(OR($H$7&lt;3,N$260&lt;1),"",IF(M269&lt;&gt;"",M269,IFERROR(IF(INDIRECT("'"&amp;M$86&amp;"'!"&amp;VLOOKUP(M$87,'List Values'!$C$3:$D$6,2,FALSE)&amp;ROW(M269))="","",INDIRECT("'"&amp;M$86&amp;"'!"&amp;VLOOKUP(M$87,'List Values'!$C$3:$D$6,2,FALSE)&amp;ROW(M269))),IF(M$86&lt;&gt;"","Data Source Error",""))))</f>
        <v/>
      </c>
      <c r="O269" s="183"/>
      <c r="P269" s="553"/>
      <c r="Q269" s="897" t="str">
        <f ca="1">IF(OR($H$7&lt;4,Q$260&lt;1),"",IF(P269&lt;&gt;"",P269,IFERROR(IF(INDIRECT("'"&amp;P$86&amp;"'!"&amp;VLOOKUP(P$87,'List Values'!$C$3:$D$6,2,FALSE)&amp;ROW(P269))="","",INDIRECT("'"&amp;P$86&amp;"'!"&amp;VLOOKUP(P$87,'List Values'!$C$3:$D$6,2,FALSE)&amp;ROW(P269))),IF(P$86&lt;&gt;"","Data Source Error",""))))</f>
        <v/>
      </c>
      <c r="S269" s="553"/>
      <c r="T269" s="897" t="str">
        <f ca="1">IF(OR($H$7&lt;5,T$260&lt;1),"",IF(S269&lt;&gt;"",S269,IFERROR(IF(INDIRECT("'"&amp;S$86&amp;"'!"&amp;VLOOKUP(S$87,'List Values'!$C$3:$D$6,2,FALSE)&amp;ROW(S269))="","",INDIRECT("'"&amp;S$86&amp;"'!"&amp;VLOOKUP(S$87,'List Values'!$C$3:$D$6,2,FALSE)&amp;ROW(S269))),IF(S$86&lt;&gt;"","Data Source Error",""))))</f>
        <v/>
      </c>
      <c r="V269" s="553"/>
      <c r="W269" s="908" t="str">
        <f ca="1">IF(OR($H$7&lt;6,W$260&lt;1),"",IF(V269&lt;&gt;"",V269,IFERROR(IF(INDIRECT("'"&amp;V$86&amp;"'!"&amp;VLOOKUP(V$87,'List Values'!$C$3:$D$6,2,FALSE)&amp;ROW(V269))="","",INDIRECT("'"&amp;V$86&amp;"'!"&amp;VLOOKUP(V$87,'List Values'!$C$3:$D$6,2,FALSE)&amp;ROW(V269))),IF(V$86&lt;&gt;"","Data Source Error",""))))</f>
        <v/>
      </c>
      <c r="Y269" s="2643"/>
      <c r="Z269" s="2644"/>
      <c r="AA269" s="2644"/>
      <c r="AB269" s="2645"/>
    </row>
    <row r="270" spans="1:28" ht="31" customHeight="1" outlineLevel="1">
      <c r="A270" s="512"/>
      <c r="B270" s="252"/>
      <c r="C270" s="2680" t="s">
        <v>1551</v>
      </c>
      <c r="D270" s="2680"/>
      <c r="E270" s="2062"/>
      <c r="F270" s="2062"/>
      <c r="G270" s="636"/>
      <c r="H270" s="637"/>
      <c r="I270" s="187"/>
      <c r="J270" s="619"/>
      <c r="K270" s="898" t="str">
        <f ca="1">IF(OR($H$7&lt;2,K$260&lt;1),"",IF(J270&lt;&gt;"",J270,IFERROR(IF(INDIRECT("'"&amp;J$86&amp;"'!"&amp;VLOOKUP(J$87,'List Values'!$C$3:$D$6,2,FALSE)&amp;ROW(J270))="","",INDIRECT("'"&amp;J$86&amp;"'!"&amp;VLOOKUP(J$87,'List Values'!$C$3:$D$6,2,FALSE)&amp;ROW(J270))),IF(J$86&lt;&gt;"","Data Source Error",""))))</f>
        <v/>
      </c>
      <c r="L270" s="621"/>
      <c r="M270" s="619"/>
      <c r="N270" s="898" t="str">
        <f ca="1">IF(OR($H$7&lt;3,N$260&lt;1),"",IF(M270&lt;&gt;"",M270,IFERROR(IF(INDIRECT("'"&amp;M$86&amp;"'!"&amp;VLOOKUP(M$87,'List Values'!$C$3:$D$6,2,FALSE)&amp;ROW(M270))="","",INDIRECT("'"&amp;M$86&amp;"'!"&amp;VLOOKUP(M$87,'List Values'!$C$3:$D$6,2,FALSE)&amp;ROW(M270))),IF(M$86&lt;&gt;"","Data Source Error",""))))</f>
        <v/>
      </c>
      <c r="O270" s="621"/>
      <c r="P270" s="619"/>
      <c r="Q270" s="898" t="str">
        <f ca="1">IF(OR($H$7&lt;4,Q$260&lt;1),"",IF(P270&lt;&gt;"",P270,IFERROR(IF(INDIRECT("'"&amp;P$86&amp;"'!"&amp;VLOOKUP(P$87,'List Values'!$C$3:$D$6,2,FALSE)&amp;ROW(P270))="","",INDIRECT("'"&amp;P$86&amp;"'!"&amp;VLOOKUP(P$87,'List Values'!$C$3:$D$6,2,FALSE)&amp;ROW(P270))),IF(P$86&lt;&gt;"","Data Source Error",""))))</f>
        <v/>
      </c>
      <c r="R270" s="147"/>
      <c r="S270" s="619"/>
      <c r="T270" s="898" t="str">
        <f ca="1">IF(OR($H$7&lt;5,T$260&lt;1),"",IF(S270&lt;&gt;"",S270,IFERROR(IF(INDIRECT("'"&amp;S$86&amp;"'!"&amp;VLOOKUP(S$87,'List Values'!$C$3:$D$6,2,FALSE)&amp;ROW(S270))="","",INDIRECT("'"&amp;S$86&amp;"'!"&amp;VLOOKUP(S$87,'List Values'!$C$3:$D$6,2,FALSE)&amp;ROW(S270))),IF(S$86&lt;&gt;"","Data Source Error",""))))</f>
        <v/>
      </c>
      <c r="U270" s="147"/>
      <c r="V270" s="619"/>
      <c r="W270" s="909" t="str">
        <f ca="1">IF(OR($H$7&lt;6,W$260&lt;1),"",IF(V270&lt;&gt;"",V270,IFERROR(IF(INDIRECT("'"&amp;V$86&amp;"'!"&amp;VLOOKUP(V$87,'List Values'!$C$3:$D$6,2,FALSE)&amp;ROW(V270))="","",INDIRECT("'"&amp;V$86&amp;"'!"&amp;VLOOKUP(V$87,'List Values'!$C$3:$D$6,2,FALSE)&amp;ROW(V270))),IF(V$86&lt;&gt;"","Data Source Error",""))))</f>
        <v/>
      </c>
      <c r="Y270" s="2643"/>
      <c r="Z270" s="2644"/>
      <c r="AA270" s="2644"/>
      <c r="AB270" s="2645"/>
    </row>
    <row r="271" spans="1:28" ht="31" customHeight="1" outlineLevel="1">
      <c r="A271" s="512"/>
      <c r="B271" s="252"/>
      <c r="C271" s="2680" t="s">
        <v>1552</v>
      </c>
      <c r="D271" s="2680"/>
      <c r="E271" s="2062"/>
      <c r="F271" s="2062"/>
      <c r="G271" s="636"/>
      <c r="H271" s="637"/>
      <c r="I271" s="187"/>
      <c r="J271" s="619"/>
      <c r="K271" s="898" t="str">
        <f ca="1">IF(OR($H$7&lt;2,K$260&lt;1),"",IF(J271&lt;&gt;"",J271,IFERROR(IF(INDIRECT("'"&amp;J$86&amp;"'!"&amp;VLOOKUP(J$87,'List Values'!$C$3:$D$6,2,FALSE)&amp;ROW(J271))="","",INDIRECT("'"&amp;J$86&amp;"'!"&amp;VLOOKUP(J$87,'List Values'!$C$3:$D$6,2,FALSE)&amp;ROW(J271))),IF(J$86&lt;&gt;"","Data Source Error",""))))</f>
        <v/>
      </c>
      <c r="L271" s="621"/>
      <c r="M271" s="619"/>
      <c r="N271" s="898" t="str">
        <f ca="1">IF(OR($H$7&lt;3,N$260&lt;1),"",IF(M271&lt;&gt;"",M271,IFERROR(IF(INDIRECT("'"&amp;M$86&amp;"'!"&amp;VLOOKUP(M$87,'List Values'!$C$3:$D$6,2,FALSE)&amp;ROW(M271))="","",INDIRECT("'"&amp;M$86&amp;"'!"&amp;VLOOKUP(M$87,'List Values'!$C$3:$D$6,2,FALSE)&amp;ROW(M271))),IF(M$86&lt;&gt;"","Data Source Error",""))))</f>
        <v/>
      </c>
      <c r="O271" s="621"/>
      <c r="P271" s="619"/>
      <c r="Q271" s="898" t="str">
        <f ca="1">IF(OR($H$7&lt;4,Q$260&lt;1),"",IF(P271&lt;&gt;"",P271,IFERROR(IF(INDIRECT("'"&amp;P$86&amp;"'!"&amp;VLOOKUP(P$87,'List Values'!$C$3:$D$6,2,FALSE)&amp;ROW(P271))="","",INDIRECT("'"&amp;P$86&amp;"'!"&amp;VLOOKUP(P$87,'List Values'!$C$3:$D$6,2,FALSE)&amp;ROW(P271))),IF(P$86&lt;&gt;"","Data Source Error",""))))</f>
        <v/>
      </c>
      <c r="R271" s="147"/>
      <c r="S271" s="619"/>
      <c r="T271" s="898" t="str">
        <f ca="1">IF(OR($H$7&lt;5,T$260&lt;1),"",IF(S271&lt;&gt;"",S271,IFERROR(IF(INDIRECT("'"&amp;S$86&amp;"'!"&amp;VLOOKUP(S$87,'List Values'!$C$3:$D$6,2,FALSE)&amp;ROW(S271))="","",INDIRECT("'"&amp;S$86&amp;"'!"&amp;VLOOKUP(S$87,'List Values'!$C$3:$D$6,2,FALSE)&amp;ROW(S271))),IF(S$86&lt;&gt;"","Data Source Error",""))))</f>
        <v/>
      </c>
      <c r="U271" s="147"/>
      <c r="V271" s="619"/>
      <c r="W271" s="909" t="str">
        <f ca="1">IF(OR($H$7&lt;6,W$260&lt;1),"",IF(V271&lt;&gt;"",V271,IFERROR(IF(INDIRECT("'"&amp;V$86&amp;"'!"&amp;VLOOKUP(V$87,'List Values'!$C$3:$D$6,2,FALSE)&amp;ROW(V271))="","",INDIRECT("'"&amp;V$86&amp;"'!"&amp;VLOOKUP(V$87,'List Values'!$C$3:$D$6,2,FALSE)&amp;ROW(V271))),IF(V$86&lt;&gt;"","Data Source Error",""))))</f>
        <v/>
      </c>
      <c r="Y271" s="2643"/>
      <c r="Z271" s="2644"/>
      <c r="AA271" s="2644"/>
      <c r="AB271" s="2645"/>
    </row>
    <row r="272" spans="1:28" ht="33" customHeight="1" outlineLevel="1">
      <c r="A272" s="512"/>
      <c r="B272" s="252"/>
      <c r="C272" s="2680" t="s">
        <v>331</v>
      </c>
      <c r="D272" s="2680"/>
      <c r="E272" s="2062"/>
      <c r="F272" s="2062"/>
      <c r="G272" s="636"/>
      <c r="H272" s="637"/>
      <c r="I272" s="187"/>
      <c r="J272" s="526"/>
      <c r="K272" s="900" t="str">
        <f ca="1">IF(OR($H$7&lt;2,K$260&lt;1),"",IF(J272&lt;&gt;"",J272,IFERROR(IF(INDIRECT("'"&amp;J$86&amp;"'!"&amp;VLOOKUP(J$87,'List Values'!$C$3:$D$6,2,FALSE)&amp;ROW(J272))="","",INDIRECT("'"&amp;J$86&amp;"'!"&amp;VLOOKUP(J$87,'List Values'!$C$3:$D$6,2,FALSE)&amp;ROW(J272))),IF(J$86&lt;&gt;"","Data Source Error",""))))</f>
        <v/>
      </c>
      <c r="L272" s="187"/>
      <c r="M272" s="526"/>
      <c r="N272" s="900" t="str">
        <f ca="1">IF(OR($H$7&lt;3,N$260&lt;1),"",IF(M272&lt;&gt;"",M272,IFERROR(IF(INDIRECT("'"&amp;M$86&amp;"'!"&amp;VLOOKUP(M$87,'List Values'!$C$3:$D$6,2,FALSE)&amp;ROW(M272))="","",INDIRECT("'"&amp;M$86&amp;"'!"&amp;VLOOKUP(M$87,'List Values'!$C$3:$D$6,2,FALSE)&amp;ROW(M272))),IF(M$86&lt;&gt;"","Data Source Error",""))))</f>
        <v/>
      </c>
      <c r="O272" s="187"/>
      <c r="P272" s="526"/>
      <c r="Q272" s="900" t="str">
        <f ca="1">IF(OR($H$7&lt;4,Q$260&lt;1),"",IF(P272&lt;&gt;"",P272,IFERROR(IF(INDIRECT("'"&amp;P$86&amp;"'!"&amp;VLOOKUP(P$87,'List Values'!$C$3:$D$6,2,FALSE)&amp;ROW(P272))="","",INDIRECT("'"&amp;P$86&amp;"'!"&amp;VLOOKUP(P$87,'List Values'!$C$3:$D$6,2,FALSE)&amp;ROW(P272))),IF(P$86&lt;&gt;"","Data Source Error",""))))</f>
        <v/>
      </c>
      <c r="S272" s="526"/>
      <c r="T272" s="900" t="str">
        <f ca="1">IF(OR($H$7&lt;5,T$260&lt;1),"",IF(S272&lt;&gt;"",S272,IFERROR(IF(INDIRECT("'"&amp;S$86&amp;"'!"&amp;VLOOKUP(S$87,'List Values'!$C$3:$D$6,2,FALSE)&amp;ROW(S272))="","",INDIRECT("'"&amp;S$86&amp;"'!"&amp;VLOOKUP(S$87,'List Values'!$C$3:$D$6,2,FALSE)&amp;ROW(S272))),IF(S$86&lt;&gt;"","Data Source Error",""))))</f>
        <v/>
      </c>
      <c r="V272" s="526"/>
      <c r="W272" s="911" t="str">
        <f ca="1">IF(OR($H$7&lt;6,W$260&lt;1),"",IF(V272&lt;&gt;"",V272,IFERROR(IF(INDIRECT("'"&amp;V$86&amp;"'!"&amp;VLOOKUP(V$87,'List Values'!$C$3:$D$6,2,FALSE)&amp;ROW(V272))="","",INDIRECT("'"&amp;V$86&amp;"'!"&amp;VLOOKUP(V$87,'List Values'!$C$3:$D$6,2,FALSE)&amp;ROW(V272))),IF(V$86&lt;&gt;"","Data Source Error",""))))</f>
        <v/>
      </c>
      <c r="Y272" s="2643"/>
      <c r="Z272" s="2644"/>
      <c r="AA272" s="2644"/>
      <c r="AB272" s="2645"/>
    </row>
    <row r="273" spans="1:28" ht="15.75" customHeight="1" outlineLevel="1">
      <c r="A273" s="512"/>
      <c r="B273" s="252"/>
      <c r="C273" s="2684" t="s">
        <v>332</v>
      </c>
      <c r="D273" s="2684"/>
      <c r="E273" s="2062"/>
      <c r="F273" s="2062"/>
      <c r="G273" s="636"/>
      <c r="H273" s="637"/>
      <c r="I273" s="187"/>
      <c r="J273" s="580"/>
      <c r="K273" s="900" t="str">
        <f ca="1">IF(OR($H$7&lt;2,K$260&lt;1),"",IF(J273&lt;&gt;"",J273,IFERROR(IF(INDIRECT("'"&amp;J$86&amp;"'!"&amp;VLOOKUP(J$87,'List Values'!$C$3:$D$6,2,FALSE)&amp;ROW(J273))="","",INDIRECT("'"&amp;J$86&amp;"'!"&amp;VLOOKUP(J$87,'List Values'!$C$3:$D$6,2,FALSE)&amp;ROW(J273))),IF(J$86&lt;&gt;"","Data Source Error",""))))</f>
        <v/>
      </c>
      <c r="L273" s="187"/>
      <c r="M273" s="580"/>
      <c r="N273" s="900" t="str">
        <f ca="1">IF(OR($H$7&lt;3,N$260&lt;1),"",IF(M273&lt;&gt;"",M273,IFERROR(IF(INDIRECT("'"&amp;M$86&amp;"'!"&amp;VLOOKUP(M$87,'List Values'!$C$3:$D$6,2,FALSE)&amp;ROW(M273))="","",INDIRECT("'"&amp;M$86&amp;"'!"&amp;VLOOKUP(M$87,'List Values'!$C$3:$D$6,2,FALSE)&amp;ROW(M273))),IF(M$86&lt;&gt;"","Data Source Error",""))))</f>
        <v/>
      </c>
      <c r="O273" s="187"/>
      <c r="P273" s="580"/>
      <c r="Q273" s="900" t="str">
        <f ca="1">IF(OR($H$7&lt;4,Q$260&lt;1),"",IF(P273&lt;&gt;"",P273,IFERROR(IF(INDIRECT("'"&amp;P$86&amp;"'!"&amp;VLOOKUP(P$87,'List Values'!$C$3:$D$6,2,FALSE)&amp;ROW(P273))="","",INDIRECT("'"&amp;P$86&amp;"'!"&amp;VLOOKUP(P$87,'List Values'!$C$3:$D$6,2,FALSE)&amp;ROW(P273))),IF(P$86&lt;&gt;"","Data Source Error",""))))</f>
        <v/>
      </c>
      <c r="S273" s="580"/>
      <c r="T273" s="900" t="str">
        <f ca="1">IF(OR($H$7&lt;5,T$260&lt;1),"",IF(S273&lt;&gt;"",S273,IFERROR(IF(INDIRECT("'"&amp;S$86&amp;"'!"&amp;VLOOKUP(S$87,'List Values'!$C$3:$D$6,2,FALSE)&amp;ROW(S273))="","",INDIRECT("'"&amp;S$86&amp;"'!"&amp;VLOOKUP(S$87,'List Values'!$C$3:$D$6,2,FALSE)&amp;ROW(S273))),IF(S$86&lt;&gt;"","Data Source Error",""))))</f>
        <v/>
      </c>
      <c r="V273" s="580"/>
      <c r="W273" s="911" t="str">
        <f ca="1">IF(OR($H$7&lt;6,W$260&lt;1),"",IF(V273&lt;&gt;"",V273,IFERROR(IF(INDIRECT("'"&amp;V$86&amp;"'!"&amp;VLOOKUP(V$87,'List Values'!$C$3:$D$6,2,FALSE)&amp;ROW(V273))="","",INDIRECT("'"&amp;V$86&amp;"'!"&amp;VLOOKUP(V$87,'List Values'!$C$3:$D$6,2,FALSE)&amp;ROW(V273))),IF(V$86&lt;&gt;"","Data Source Error",""))))</f>
        <v/>
      </c>
      <c r="Y273" s="2643"/>
      <c r="Z273" s="2644"/>
      <c r="AA273" s="2644"/>
      <c r="AB273" s="2645"/>
    </row>
    <row r="274" spans="1:28" ht="30.75" customHeight="1" outlineLevel="1">
      <c r="A274" s="512"/>
      <c r="B274" s="252"/>
      <c r="C274" s="2680" t="s">
        <v>839</v>
      </c>
      <c r="D274" s="2680"/>
      <c r="E274" s="2062"/>
      <c r="F274" s="2062"/>
      <c r="G274" s="636"/>
      <c r="H274" s="637"/>
      <c r="I274" s="187"/>
      <c r="J274" s="580"/>
      <c r="K274" s="900" t="str">
        <f ca="1">IF(OR($H$7&lt;2,K$260&lt;1),"",IF(J274&lt;&gt;"",J274,IFERROR(IF(INDIRECT("'"&amp;J$86&amp;"'!"&amp;VLOOKUP(J$87,'List Values'!$C$3:$D$6,2,FALSE)&amp;ROW(J274))="","",INDIRECT("'"&amp;J$86&amp;"'!"&amp;VLOOKUP(J$87,'List Values'!$C$3:$D$6,2,FALSE)&amp;ROW(J274))),IF(J$86&lt;&gt;"","Data Source Error",""))))</f>
        <v/>
      </c>
      <c r="L274" s="187"/>
      <c r="M274" s="580"/>
      <c r="N274" s="900" t="str">
        <f ca="1">IF(OR($H$7&lt;3,N$260&lt;1),"",IF(M274&lt;&gt;"",M274,IFERROR(IF(INDIRECT("'"&amp;M$86&amp;"'!"&amp;VLOOKUP(M$87,'List Values'!$C$3:$D$6,2,FALSE)&amp;ROW(M274))="","",INDIRECT("'"&amp;M$86&amp;"'!"&amp;VLOOKUP(M$87,'List Values'!$C$3:$D$6,2,FALSE)&amp;ROW(M274))),IF(M$86&lt;&gt;"","Data Source Error",""))))</f>
        <v/>
      </c>
      <c r="O274" s="187"/>
      <c r="P274" s="580"/>
      <c r="Q274" s="900" t="str">
        <f ca="1">IF(OR($H$7&lt;4,Q$260&lt;1),"",IF(P274&lt;&gt;"",P274,IFERROR(IF(INDIRECT("'"&amp;P$86&amp;"'!"&amp;VLOOKUP(P$87,'List Values'!$C$3:$D$6,2,FALSE)&amp;ROW(P274))="","",INDIRECT("'"&amp;P$86&amp;"'!"&amp;VLOOKUP(P$87,'List Values'!$C$3:$D$6,2,FALSE)&amp;ROW(P274))),IF(P$86&lt;&gt;"","Data Source Error",""))))</f>
        <v/>
      </c>
      <c r="S274" s="580"/>
      <c r="T274" s="900" t="str">
        <f ca="1">IF(OR($H$7&lt;5,T$260&lt;1),"",IF(S274&lt;&gt;"",S274,IFERROR(IF(INDIRECT("'"&amp;S$86&amp;"'!"&amp;VLOOKUP(S$87,'List Values'!$C$3:$D$6,2,FALSE)&amp;ROW(S274))="","",INDIRECT("'"&amp;S$86&amp;"'!"&amp;VLOOKUP(S$87,'List Values'!$C$3:$D$6,2,FALSE)&amp;ROW(S274))),IF(S$86&lt;&gt;"","Data Source Error",""))))</f>
        <v/>
      </c>
      <c r="V274" s="580"/>
      <c r="W274" s="911" t="str">
        <f ca="1">IF(OR($H$7&lt;6,W$260&lt;1),"",IF(V274&lt;&gt;"",V274,IFERROR(IF(INDIRECT("'"&amp;V$86&amp;"'!"&amp;VLOOKUP(V$87,'List Values'!$C$3:$D$6,2,FALSE)&amp;ROW(V274))="","",INDIRECT("'"&amp;V$86&amp;"'!"&amp;VLOOKUP(V$87,'List Values'!$C$3:$D$6,2,FALSE)&amp;ROW(V274))),IF(V$86&lt;&gt;"","Data Source Error",""))))</f>
        <v/>
      </c>
      <c r="Y274" s="2643"/>
      <c r="Z274" s="2644"/>
      <c r="AA274" s="2644"/>
      <c r="AB274" s="2645"/>
    </row>
    <row r="275" spans="1:28" ht="15.75" customHeight="1" outlineLevel="1">
      <c r="A275" s="512"/>
      <c r="B275" s="252"/>
      <c r="C275" s="2680" t="s">
        <v>334</v>
      </c>
      <c r="D275" s="2680"/>
      <c r="E275" s="2062"/>
      <c r="F275" s="2062"/>
      <c r="G275" s="636"/>
      <c r="H275" s="637"/>
      <c r="I275" s="187"/>
      <c r="J275" s="580"/>
      <c r="K275" s="900" t="str">
        <f ca="1">IF(OR($H$7&lt;2,K$260&lt;1),"",IF(J275&lt;&gt;"",J275,IFERROR(IF(INDIRECT("'"&amp;J$86&amp;"'!"&amp;VLOOKUP(J$87,'List Values'!$C$3:$D$6,2,FALSE)&amp;ROW(J275))="","",INDIRECT("'"&amp;J$86&amp;"'!"&amp;VLOOKUP(J$87,'List Values'!$C$3:$D$6,2,FALSE)&amp;ROW(J275))),IF(J$86&lt;&gt;"","Data Source Error",""))))</f>
        <v/>
      </c>
      <c r="L275" s="187"/>
      <c r="M275" s="580"/>
      <c r="N275" s="900" t="str">
        <f ca="1">IF(OR($H$7&lt;3,N$260&lt;1),"",IF(M275&lt;&gt;"",M275,IFERROR(IF(INDIRECT("'"&amp;M$86&amp;"'!"&amp;VLOOKUP(M$87,'List Values'!$C$3:$D$6,2,FALSE)&amp;ROW(M275))="","",INDIRECT("'"&amp;M$86&amp;"'!"&amp;VLOOKUP(M$87,'List Values'!$C$3:$D$6,2,FALSE)&amp;ROW(M275))),IF(M$86&lt;&gt;"","Data Source Error",""))))</f>
        <v/>
      </c>
      <c r="O275" s="187"/>
      <c r="P275" s="580"/>
      <c r="Q275" s="900" t="str">
        <f ca="1">IF(OR($H$7&lt;4,Q$260&lt;1),"",IF(P275&lt;&gt;"",P275,IFERROR(IF(INDIRECT("'"&amp;P$86&amp;"'!"&amp;VLOOKUP(P$87,'List Values'!$C$3:$D$6,2,FALSE)&amp;ROW(P275))="","",INDIRECT("'"&amp;P$86&amp;"'!"&amp;VLOOKUP(P$87,'List Values'!$C$3:$D$6,2,FALSE)&amp;ROW(P275))),IF(P$86&lt;&gt;"","Data Source Error",""))))</f>
        <v/>
      </c>
      <c r="S275" s="580"/>
      <c r="T275" s="900" t="str">
        <f ca="1">IF(OR($H$7&lt;5,T$260&lt;1),"",IF(S275&lt;&gt;"",S275,IFERROR(IF(INDIRECT("'"&amp;S$86&amp;"'!"&amp;VLOOKUP(S$87,'List Values'!$C$3:$D$6,2,FALSE)&amp;ROW(S275))="","",INDIRECT("'"&amp;S$86&amp;"'!"&amp;VLOOKUP(S$87,'List Values'!$C$3:$D$6,2,FALSE)&amp;ROW(S275))),IF(S$86&lt;&gt;"","Data Source Error",""))))</f>
        <v/>
      </c>
      <c r="V275" s="580"/>
      <c r="W275" s="911" t="str">
        <f ca="1">IF(OR($H$7&lt;6,W$260&lt;1),"",IF(V275&lt;&gt;"",V275,IFERROR(IF(INDIRECT("'"&amp;V$86&amp;"'!"&amp;VLOOKUP(V$87,'List Values'!$C$3:$D$6,2,FALSE)&amp;ROW(V275))="","",INDIRECT("'"&amp;V$86&amp;"'!"&amp;VLOOKUP(V$87,'List Values'!$C$3:$D$6,2,FALSE)&amp;ROW(V275))),IF(V$86&lt;&gt;"","Data Source Error",""))))</f>
        <v/>
      </c>
      <c r="Y275" s="2643"/>
      <c r="Z275" s="2644"/>
      <c r="AA275" s="2644"/>
      <c r="AB275" s="2645"/>
    </row>
    <row r="276" spans="1:28" ht="15.75" customHeight="1" outlineLevel="1">
      <c r="A276" s="512"/>
      <c r="B276" s="252"/>
      <c r="C276" s="2684" t="s">
        <v>335</v>
      </c>
      <c r="D276" s="2684"/>
      <c r="E276" s="2062"/>
      <c r="F276" s="2062"/>
      <c r="G276" s="636"/>
      <c r="H276" s="637"/>
      <c r="I276" s="187"/>
      <c r="J276" s="580"/>
      <c r="K276" s="900" t="str">
        <f ca="1">IF(OR($H$7&lt;2,K$260&lt;1),"",IF(J276&lt;&gt;"",J276,IFERROR(IF(INDIRECT("'"&amp;J$86&amp;"'!"&amp;VLOOKUP(J$87,'List Values'!$C$3:$D$6,2,FALSE)&amp;ROW(J276))="","",INDIRECT("'"&amp;J$86&amp;"'!"&amp;VLOOKUP(J$87,'List Values'!$C$3:$D$6,2,FALSE)&amp;ROW(J276))),IF(J$86&lt;&gt;"","Data Source Error",""))))</f>
        <v/>
      </c>
      <c r="L276" s="187"/>
      <c r="M276" s="580"/>
      <c r="N276" s="900" t="str">
        <f ca="1">IF(OR($H$7&lt;3,N$260&lt;1),"",IF(M276&lt;&gt;"",M276,IFERROR(IF(INDIRECT("'"&amp;M$86&amp;"'!"&amp;VLOOKUP(M$87,'List Values'!$C$3:$D$6,2,FALSE)&amp;ROW(M276))="","",INDIRECT("'"&amp;M$86&amp;"'!"&amp;VLOOKUP(M$87,'List Values'!$C$3:$D$6,2,FALSE)&amp;ROW(M276))),IF(M$86&lt;&gt;"","Data Source Error",""))))</f>
        <v/>
      </c>
      <c r="O276" s="187"/>
      <c r="P276" s="580"/>
      <c r="Q276" s="900" t="str">
        <f ca="1">IF(OR($H$7&lt;4,Q$260&lt;1),"",IF(P276&lt;&gt;"",P276,IFERROR(IF(INDIRECT("'"&amp;P$86&amp;"'!"&amp;VLOOKUP(P$87,'List Values'!$C$3:$D$6,2,FALSE)&amp;ROW(P276))="","",INDIRECT("'"&amp;P$86&amp;"'!"&amp;VLOOKUP(P$87,'List Values'!$C$3:$D$6,2,FALSE)&amp;ROW(P276))),IF(P$86&lt;&gt;"","Data Source Error",""))))</f>
        <v/>
      </c>
      <c r="S276" s="580"/>
      <c r="T276" s="900" t="str">
        <f ca="1">IF(OR($H$7&lt;5,T$260&lt;1),"",IF(S276&lt;&gt;"",S276,IFERROR(IF(INDIRECT("'"&amp;S$86&amp;"'!"&amp;VLOOKUP(S$87,'List Values'!$C$3:$D$6,2,FALSE)&amp;ROW(S276))="","",INDIRECT("'"&amp;S$86&amp;"'!"&amp;VLOOKUP(S$87,'List Values'!$C$3:$D$6,2,FALSE)&amp;ROW(S276))),IF(S$86&lt;&gt;"","Data Source Error",""))))</f>
        <v/>
      </c>
      <c r="V276" s="580"/>
      <c r="W276" s="911" t="str">
        <f ca="1">IF(OR($H$7&lt;6,W$260&lt;1),"",IF(V276&lt;&gt;"",V276,IFERROR(IF(INDIRECT("'"&amp;V$86&amp;"'!"&amp;VLOOKUP(V$87,'List Values'!$C$3:$D$6,2,FALSE)&amp;ROW(V276))="","",INDIRECT("'"&amp;V$86&amp;"'!"&amp;VLOOKUP(V$87,'List Values'!$C$3:$D$6,2,FALSE)&amp;ROW(V276))),IF(V$86&lt;&gt;"","Data Source Error",""))))</f>
        <v/>
      </c>
      <c r="Y276" s="2643"/>
      <c r="Z276" s="2644"/>
      <c r="AA276" s="2644"/>
      <c r="AB276" s="2645"/>
    </row>
    <row r="277" spans="1:28" ht="31" customHeight="1" outlineLevel="1">
      <c r="A277" s="512"/>
      <c r="B277" s="252"/>
      <c r="C277" s="2680" t="s">
        <v>336</v>
      </c>
      <c r="D277" s="2680"/>
      <c r="E277" s="2062"/>
      <c r="F277" s="2062"/>
      <c r="G277" s="636"/>
      <c r="H277" s="637"/>
      <c r="I277" s="187"/>
      <c r="J277" s="580"/>
      <c r="K277" s="900" t="str">
        <f ca="1">IF(OR($H$7&lt;2,K$260&lt;1),"",IF(J277&lt;&gt;"",J277,IFERROR(IF(INDIRECT("'"&amp;J$86&amp;"'!"&amp;VLOOKUP(J$87,'List Values'!$C$3:$D$6,2,FALSE)&amp;ROW(J277))="","",INDIRECT("'"&amp;J$86&amp;"'!"&amp;VLOOKUP(J$87,'List Values'!$C$3:$D$6,2,FALSE)&amp;ROW(J277))),IF(J$86&lt;&gt;"","Data Source Error",""))))</f>
        <v/>
      </c>
      <c r="L277" s="187"/>
      <c r="M277" s="580"/>
      <c r="N277" s="900" t="str">
        <f ca="1">IF(OR($H$7&lt;3,N$260&lt;1),"",IF(M277&lt;&gt;"",M277,IFERROR(IF(INDIRECT("'"&amp;M$86&amp;"'!"&amp;VLOOKUP(M$87,'List Values'!$C$3:$D$6,2,FALSE)&amp;ROW(M277))="","",INDIRECT("'"&amp;M$86&amp;"'!"&amp;VLOOKUP(M$87,'List Values'!$C$3:$D$6,2,FALSE)&amp;ROW(M277))),IF(M$86&lt;&gt;"","Data Source Error",""))))</f>
        <v/>
      </c>
      <c r="O277" s="187"/>
      <c r="P277" s="580"/>
      <c r="Q277" s="900" t="str">
        <f ca="1">IF(OR($H$7&lt;4,Q$260&lt;1),"",IF(P277&lt;&gt;"",P277,IFERROR(IF(INDIRECT("'"&amp;P$86&amp;"'!"&amp;VLOOKUP(P$87,'List Values'!$C$3:$D$6,2,FALSE)&amp;ROW(P277))="","",INDIRECT("'"&amp;P$86&amp;"'!"&amp;VLOOKUP(P$87,'List Values'!$C$3:$D$6,2,FALSE)&amp;ROW(P277))),IF(P$86&lt;&gt;"","Data Source Error",""))))</f>
        <v/>
      </c>
      <c r="S277" s="580"/>
      <c r="T277" s="900" t="str">
        <f ca="1">IF(OR($H$7&lt;5,T$260&lt;1),"",IF(S277&lt;&gt;"",S277,IFERROR(IF(INDIRECT("'"&amp;S$86&amp;"'!"&amp;VLOOKUP(S$87,'List Values'!$C$3:$D$6,2,FALSE)&amp;ROW(S277))="","",INDIRECT("'"&amp;S$86&amp;"'!"&amp;VLOOKUP(S$87,'List Values'!$C$3:$D$6,2,FALSE)&amp;ROW(S277))),IF(S$86&lt;&gt;"","Data Source Error",""))))</f>
        <v/>
      </c>
      <c r="V277" s="580"/>
      <c r="W277" s="911" t="str">
        <f ca="1">IF(OR($H$7&lt;6,W$260&lt;1),"",IF(V277&lt;&gt;"",V277,IFERROR(IF(INDIRECT("'"&amp;V$86&amp;"'!"&amp;VLOOKUP(V$87,'List Values'!$C$3:$D$6,2,FALSE)&amp;ROW(V277))="","",INDIRECT("'"&amp;V$86&amp;"'!"&amp;VLOOKUP(V$87,'List Values'!$C$3:$D$6,2,FALSE)&amp;ROW(V277))),IF(V$86&lt;&gt;"","Data Source Error",""))))</f>
        <v/>
      </c>
      <c r="Y277" s="2643"/>
      <c r="Z277" s="2644"/>
      <c r="AA277" s="2644"/>
      <c r="AB277" s="2645"/>
    </row>
    <row r="278" spans="1:28" ht="33" customHeight="1" outlineLevel="1">
      <c r="A278" s="512"/>
      <c r="B278" s="252"/>
      <c r="C278" s="2680" t="s">
        <v>337</v>
      </c>
      <c r="D278" s="2680"/>
      <c r="E278" s="2062"/>
      <c r="F278" s="2062"/>
      <c r="G278" s="636"/>
      <c r="H278" s="637"/>
      <c r="I278" s="187"/>
      <c r="J278" s="580"/>
      <c r="K278" s="900" t="str">
        <f ca="1">IF(OR($H$7&lt;2,K$260&lt;1),"",IF(J278&lt;&gt;"",J278,IFERROR(IF(INDIRECT("'"&amp;J$86&amp;"'!"&amp;VLOOKUP(J$87,'List Values'!$C$3:$D$6,2,FALSE)&amp;ROW(J278))="","",INDIRECT("'"&amp;J$86&amp;"'!"&amp;VLOOKUP(J$87,'List Values'!$C$3:$D$6,2,FALSE)&amp;ROW(J278))),IF(J$86&lt;&gt;"","Data Source Error",""))))</f>
        <v/>
      </c>
      <c r="L278" s="187"/>
      <c r="M278" s="580"/>
      <c r="N278" s="900" t="str">
        <f ca="1">IF(OR($H$7&lt;3,N$260&lt;1),"",IF(M278&lt;&gt;"",M278,IFERROR(IF(INDIRECT("'"&amp;M$86&amp;"'!"&amp;VLOOKUP(M$87,'List Values'!$C$3:$D$6,2,FALSE)&amp;ROW(M278))="","",INDIRECT("'"&amp;M$86&amp;"'!"&amp;VLOOKUP(M$87,'List Values'!$C$3:$D$6,2,FALSE)&amp;ROW(M278))),IF(M$86&lt;&gt;"","Data Source Error",""))))</f>
        <v/>
      </c>
      <c r="O278" s="187"/>
      <c r="P278" s="580"/>
      <c r="Q278" s="900" t="str">
        <f ca="1">IF(OR($H$7&lt;4,Q$260&lt;1),"",IF(P278&lt;&gt;"",P278,IFERROR(IF(INDIRECT("'"&amp;P$86&amp;"'!"&amp;VLOOKUP(P$87,'List Values'!$C$3:$D$6,2,FALSE)&amp;ROW(P278))="","",INDIRECT("'"&amp;P$86&amp;"'!"&amp;VLOOKUP(P$87,'List Values'!$C$3:$D$6,2,FALSE)&amp;ROW(P278))),IF(P$86&lt;&gt;"","Data Source Error",""))))</f>
        <v/>
      </c>
      <c r="S278" s="580"/>
      <c r="T278" s="900" t="str">
        <f ca="1">IF(OR($H$7&lt;5,T$260&lt;1),"",IF(S278&lt;&gt;"",S278,IFERROR(IF(INDIRECT("'"&amp;S$86&amp;"'!"&amp;VLOOKUP(S$87,'List Values'!$C$3:$D$6,2,FALSE)&amp;ROW(S278))="","",INDIRECT("'"&amp;S$86&amp;"'!"&amp;VLOOKUP(S$87,'List Values'!$C$3:$D$6,2,FALSE)&amp;ROW(S278))),IF(S$86&lt;&gt;"","Data Source Error",""))))</f>
        <v/>
      </c>
      <c r="V278" s="580"/>
      <c r="W278" s="911" t="str">
        <f ca="1">IF(OR($H$7&lt;6,W$260&lt;1),"",IF(V278&lt;&gt;"",V278,IFERROR(IF(INDIRECT("'"&amp;V$86&amp;"'!"&amp;VLOOKUP(V$87,'List Values'!$C$3:$D$6,2,FALSE)&amp;ROW(V278))="","",INDIRECT("'"&amp;V$86&amp;"'!"&amp;VLOOKUP(V$87,'List Values'!$C$3:$D$6,2,FALSE)&amp;ROW(V278))),IF(V$86&lt;&gt;"","Data Source Error",""))))</f>
        <v/>
      </c>
      <c r="Y278" s="2643"/>
      <c r="Z278" s="2644"/>
      <c r="AA278" s="2644"/>
      <c r="AB278" s="2645"/>
    </row>
    <row r="279" spans="1:28" ht="33" customHeight="1" outlineLevel="1">
      <c r="A279" s="512"/>
      <c r="B279" s="252"/>
      <c r="C279" s="2680" t="s">
        <v>338</v>
      </c>
      <c r="D279" s="2680"/>
      <c r="E279" s="2062"/>
      <c r="F279" s="2062"/>
      <c r="G279" s="636"/>
      <c r="H279" s="637"/>
      <c r="I279" s="187"/>
      <c r="J279" s="580"/>
      <c r="K279" s="900" t="str">
        <f ca="1">IF(OR($H$7&lt;2,K$260&lt;1),"",IF(J279&lt;&gt;"",J279,IFERROR(IF(INDIRECT("'"&amp;J$86&amp;"'!"&amp;VLOOKUP(J$87,'List Values'!$C$3:$D$6,2,FALSE)&amp;ROW(J279))="","",INDIRECT("'"&amp;J$86&amp;"'!"&amp;VLOOKUP(J$87,'List Values'!$C$3:$D$6,2,FALSE)&amp;ROW(J279))),IF(J$86&lt;&gt;"","Data Source Error",""))))</f>
        <v/>
      </c>
      <c r="L279" s="187"/>
      <c r="M279" s="580"/>
      <c r="N279" s="900" t="str">
        <f ca="1">IF(OR($H$7&lt;3,N$260&lt;1),"",IF(M279&lt;&gt;"",M279,IFERROR(IF(INDIRECT("'"&amp;M$86&amp;"'!"&amp;VLOOKUP(M$87,'List Values'!$C$3:$D$6,2,FALSE)&amp;ROW(M279))="","",INDIRECT("'"&amp;M$86&amp;"'!"&amp;VLOOKUP(M$87,'List Values'!$C$3:$D$6,2,FALSE)&amp;ROW(M279))),IF(M$86&lt;&gt;"","Data Source Error",""))))</f>
        <v/>
      </c>
      <c r="O279" s="187"/>
      <c r="P279" s="580"/>
      <c r="Q279" s="900" t="str">
        <f ca="1">IF(OR($H$7&lt;4,Q$260&lt;1),"",IF(P279&lt;&gt;"",P279,IFERROR(IF(INDIRECT("'"&amp;P$86&amp;"'!"&amp;VLOOKUP(P$87,'List Values'!$C$3:$D$6,2,FALSE)&amp;ROW(P279))="","",INDIRECT("'"&amp;P$86&amp;"'!"&amp;VLOOKUP(P$87,'List Values'!$C$3:$D$6,2,FALSE)&amp;ROW(P279))),IF(P$86&lt;&gt;"","Data Source Error",""))))</f>
        <v/>
      </c>
      <c r="S279" s="580"/>
      <c r="T279" s="900" t="str">
        <f ca="1">IF(OR($H$7&lt;5,T$260&lt;1),"",IF(S279&lt;&gt;"",S279,IFERROR(IF(INDIRECT("'"&amp;S$86&amp;"'!"&amp;VLOOKUP(S$87,'List Values'!$C$3:$D$6,2,FALSE)&amp;ROW(S279))="","",INDIRECT("'"&amp;S$86&amp;"'!"&amp;VLOOKUP(S$87,'List Values'!$C$3:$D$6,2,FALSE)&amp;ROW(S279))),IF(S$86&lt;&gt;"","Data Source Error",""))))</f>
        <v/>
      </c>
      <c r="V279" s="580"/>
      <c r="W279" s="911" t="str">
        <f ca="1">IF(OR($H$7&lt;6,W$260&lt;1),"",IF(V279&lt;&gt;"",V279,IFERROR(IF(INDIRECT("'"&amp;V$86&amp;"'!"&amp;VLOOKUP(V$87,'List Values'!$C$3:$D$6,2,FALSE)&amp;ROW(V279))="","",INDIRECT("'"&amp;V$86&amp;"'!"&amp;VLOOKUP(V$87,'List Values'!$C$3:$D$6,2,FALSE)&amp;ROW(V279))),IF(V$86&lt;&gt;"","Data Source Error",""))))</f>
        <v/>
      </c>
      <c r="Y279" s="2643"/>
      <c r="Z279" s="2644"/>
      <c r="AA279" s="2644"/>
      <c r="AB279" s="2645"/>
    </row>
    <row r="280" spans="1:28" ht="15.75" customHeight="1" outlineLevel="1">
      <c r="A280" s="512"/>
      <c r="B280" s="252"/>
      <c r="C280" s="2680" t="s">
        <v>650</v>
      </c>
      <c r="D280" s="2680"/>
      <c r="E280" s="2062"/>
      <c r="F280" s="2062"/>
      <c r="G280" s="636"/>
      <c r="H280" s="637"/>
      <c r="I280" s="187"/>
      <c r="J280" s="580"/>
      <c r="K280" s="900" t="str">
        <f ca="1">IF(OR($H$7&lt;2,K$260&lt;1),"",IF(J280&lt;&gt;"",J280,IFERROR(IF(INDIRECT("'"&amp;J$86&amp;"'!"&amp;VLOOKUP(J$87,'List Values'!$C$3:$D$6,2,FALSE)&amp;ROW(J280))="","",INDIRECT("'"&amp;J$86&amp;"'!"&amp;VLOOKUP(J$87,'List Values'!$C$3:$D$6,2,FALSE)&amp;ROW(J280))),IF(J$86&lt;&gt;"","Data Source Error",""))))</f>
        <v/>
      </c>
      <c r="L280" s="187"/>
      <c r="M280" s="580"/>
      <c r="N280" s="900" t="str">
        <f ca="1">IF(OR($H$7&lt;3,N$260&lt;1),"",IF(M280&lt;&gt;"",M280,IFERROR(IF(INDIRECT("'"&amp;M$86&amp;"'!"&amp;VLOOKUP(M$87,'List Values'!$C$3:$D$6,2,FALSE)&amp;ROW(M280))="","",INDIRECT("'"&amp;M$86&amp;"'!"&amp;VLOOKUP(M$87,'List Values'!$C$3:$D$6,2,FALSE)&amp;ROW(M280))),IF(M$86&lt;&gt;"","Data Source Error",""))))</f>
        <v/>
      </c>
      <c r="O280" s="187"/>
      <c r="P280" s="580"/>
      <c r="Q280" s="900" t="str">
        <f ca="1">IF(OR($H$7&lt;4,Q$260&lt;1),"",IF(P280&lt;&gt;"",P280,IFERROR(IF(INDIRECT("'"&amp;P$86&amp;"'!"&amp;VLOOKUP(P$87,'List Values'!$C$3:$D$6,2,FALSE)&amp;ROW(P280))="","",INDIRECT("'"&amp;P$86&amp;"'!"&amp;VLOOKUP(P$87,'List Values'!$C$3:$D$6,2,FALSE)&amp;ROW(P280))),IF(P$86&lt;&gt;"","Data Source Error",""))))</f>
        <v/>
      </c>
      <c r="S280" s="580"/>
      <c r="T280" s="900" t="str">
        <f ca="1">IF(OR($H$7&lt;5,T$260&lt;1),"",IF(S280&lt;&gt;"",S280,IFERROR(IF(INDIRECT("'"&amp;S$86&amp;"'!"&amp;VLOOKUP(S$87,'List Values'!$C$3:$D$6,2,FALSE)&amp;ROW(S280))="","",INDIRECT("'"&amp;S$86&amp;"'!"&amp;VLOOKUP(S$87,'List Values'!$C$3:$D$6,2,FALSE)&amp;ROW(S280))),IF(S$86&lt;&gt;"","Data Source Error",""))))</f>
        <v/>
      </c>
      <c r="V280" s="580"/>
      <c r="W280" s="911" t="str">
        <f ca="1">IF(OR($H$7&lt;6,W$260&lt;1),"",IF(V280&lt;&gt;"",V280,IFERROR(IF(INDIRECT("'"&amp;V$86&amp;"'!"&amp;VLOOKUP(V$87,'List Values'!$C$3:$D$6,2,FALSE)&amp;ROW(V280))="","",INDIRECT("'"&amp;V$86&amp;"'!"&amp;VLOOKUP(V$87,'List Values'!$C$3:$D$6,2,FALSE)&amp;ROW(V280))),IF(V$86&lt;&gt;"","Data Source Error",""))))</f>
        <v/>
      </c>
      <c r="Y280" s="2643"/>
      <c r="Z280" s="2644"/>
      <c r="AA280" s="2644"/>
      <c r="AB280" s="2645"/>
    </row>
    <row r="281" spans="1:28" ht="31" customHeight="1" outlineLevel="1">
      <c r="A281" s="512"/>
      <c r="B281" s="252"/>
      <c r="C281" s="2680" t="s">
        <v>651</v>
      </c>
      <c r="D281" s="2680"/>
      <c r="E281" s="238"/>
      <c r="F281" s="238"/>
      <c r="G281" s="638"/>
      <c r="H281" s="639"/>
      <c r="I281" s="184"/>
      <c r="J281" s="624"/>
      <c r="K281" s="941" t="str">
        <f ca="1">IF(OR($H$7&lt;2,K$260&lt;1),"",IF(J281&lt;&gt;"",J281,IFERROR(IF(INDIRECT("'"&amp;J$86&amp;"'!"&amp;VLOOKUP(J$87,'List Values'!$C$3:$D$6,2,FALSE)&amp;ROW(J281))="","",INDIRECT("'"&amp;J$86&amp;"'!"&amp;VLOOKUP(J$87,'List Values'!$C$3:$D$6,2,FALSE)&amp;ROW(J281))),IF(J$86&lt;&gt;"","Data Source Error",""))))</f>
        <v/>
      </c>
      <c r="L281" s="184"/>
      <c r="M281" s="624"/>
      <c r="N281" s="941" t="str">
        <f ca="1">IF(OR($H$7&lt;3,N$260&lt;1),"",IF(M281&lt;&gt;"",M281,IFERROR(IF(INDIRECT("'"&amp;M$86&amp;"'!"&amp;VLOOKUP(M$87,'List Values'!$C$3:$D$6,2,FALSE)&amp;ROW(M281))="","",INDIRECT("'"&amp;M$86&amp;"'!"&amp;VLOOKUP(M$87,'List Values'!$C$3:$D$6,2,FALSE)&amp;ROW(M281))),IF(M$86&lt;&gt;"","Data Source Error",""))))</f>
        <v/>
      </c>
      <c r="O281" s="184"/>
      <c r="P281" s="624"/>
      <c r="Q281" s="941" t="str">
        <f ca="1">IF(OR($H$7&lt;4,Q$260&lt;1),"",IF(P281&lt;&gt;"",P281,IFERROR(IF(INDIRECT("'"&amp;P$86&amp;"'!"&amp;VLOOKUP(P$87,'List Values'!$C$3:$D$6,2,FALSE)&amp;ROW(P281))="","",INDIRECT("'"&amp;P$86&amp;"'!"&amp;VLOOKUP(P$87,'List Values'!$C$3:$D$6,2,FALSE)&amp;ROW(P281))),IF(P$86&lt;&gt;"","Data Source Error",""))))</f>
        <v/>
      </c>
      <c r="S281" s="624"/>
      <c r="T281" s="941" t="str">
        <f ca="1">IF(OR($H$7&lt;5,T$260&lt;1),"",IF(S281&lt;&gt;"",S281,IFERROR(IF(INDIRECT("'"&amp;S$86&amp;"'!"&amp;VLOOKUP(S$87,'List Values'!$C$3:$D$6,2,FALSE)&amp;ROW(S281))="","",INDIRECT("'"&amp;S$86&amp;"'!"&amp;VLOOKUP(S$87,'List Values'!$C$3:$D$6,2,FALSE)&amp;ROW(S281))),IF(S$86&lt;&gt;"","Data Source Error",""))))</f>
        <v/>
      </c>
      <c r="V281" s="624"/>
      <c r="W281" s="947" t="str">
        <f ca="1">IF(OR($H$7&lt;6,W$260&lt;1),"",IF(V281&lt;&gt;"",V281,IFERROR(IF(INDIRECT("'"&amp;V$86&amp;"'!"&amp;VLOOKUP(V$87,'List Values'!$C$3:$D$6,2,FALSE)&amp;ROW(V281))="","",INDIRECT("'"&amp;V$86&amp;"'!"&amp;VLOOKUP(V$87,'List Values'!$C$3:$D$6,2,FALSE)&amp;ROW(V281))),IF(V$86&lt;&gt;"","Data Source Error",""))))</f>
        <v/>
      </c>
      <c r="Y281" s="2643"/>
      <c r="Z281" s="2644"/>
      <c r="AA281" s="2644"/>
      <c r="AB281" s="2645"/>
    </row>
    <row r="282" spans="1:28" ht="21" customHeight="1">
      <c r="A282" s="808"/>
      <c r="B282" s="612" t="s">
        <v>620</v>
      </c>
      <c r="C282" s="604"/>
      <c r="D282" s="604"/>
      <c r="E282" s="614"/>
      <c r="F282" s="608"/>
      <c r="G282" s="615"/>
      <c r="H282" s="611"/>
      <c r="I282" s="608"/>
      <c r="J282" s="610"/>
      <c r="K282" s="970"/>
      <c r="L282" s="608"/>
      <c r="M282" s="610"/>
      <c r="N282" s="970"/>
      <c r="O282" s="608"/>
      <c r="P282" s="610"/>
      <c r="Q282" s="970"/>
      <c r="R282" s="608"/>
      <c r="S282" s="610"/>
      <c r="T282" s="970"/>
      <c r="U282" s="608"/>
      <c r="V282" s="610"/>
      <c r="W282" s="970"/>
      <c r="Y282" s="631"/>
      <c r="Z282" s="631"/>
      <c r="AA282" s="631"/>
      <c r="AB282" s="631"/>
    </row>
    <row r="283" spans="1:28" ht="15.75" customHeight="1" outlineLevel="1">
      <c r="A283" s="513"/>
      <c r="B283" s="252"/>
      <c r="C283" s="2580" t="s">
        <v>625</v>
      </c>
      <c r="D283" s="2580"/>
      <c r="E283" s="202"/>
      <c r="F283" s="202"/>
      <c r="G283" s="634"/>
      <c r="H283" s="635"/>
      <c r="I283" s="183"/>
      <c r="J283" s="628"/>
      <c r="K283" s="967" t="str">
        <f ca="1">IF(OR($H$7&lt;2,K$260&lt;2),"",IF(J283&lt;&gt;"",J283,IFERROR(IF(INDIRECT("'"&amp;J$86&amp;"'!"&amp;VLOOKUP(J$87,'List Values'!$C$3:$D$6,2,FALSE)&amp;ROW(J283))="","",INDIRECT("'"&amp;J$86&amp;"'!"&amp;VLOOKUP(J$87,'List Values'!$C$3:$D$6,2,FALSE)&amp;ROW(J283))),IF(J$86&lt;&gt;"","Data Source Error",""))))</f>
        <v/>
      </c>
      <c r="L283" s="629"/>
      <c r="M283" s="628"/>
      <c r="N283" s="967" t="str">
        <f ca="1">IF(OR($H$7&lt;3,N$260&lt;2),"",IF(M283&lt;&gt;"",M283,IFERROR(IF(INDIRECT("'"&amp;M$86&amp;"'!"&amp;VLOOKUP(M$87,'List Values'!$C$3:$D$6,2,FALSE)&amp;ROW(M283))="","",INDIRECT("'"&amp;M$86&amp;"'!"&amp;VLOOKUP(M$87,'List Values'!$C$3:$D$6,2,FALSE)&amp;ROW(M283))),IF(M$86&lt;&gt;"","Data Source Error",""))))</f>
        <v/>
      </c>
      <c r="O283" s="629"/>
      <c r="P283" s="628"/>
      <c r="Q283" s="967" t="str">
        <f ca="1">IF(OR($H$7&lt;4,Q$260&lt;2),"",IF(P283&lt;&gt;"",P283,IFERROR(IF(INDIRECT("'"&amp;P$86&amp;"'!"&amp;VLOOKUP(P$87,'List Values'!$C$3:$D$6,2,FALSE)&amp;ROW(P283))="","",INDIRECT("'"&amp;P$86&amp;"'!"&amp;VLOOKUP(P$87,'List Values'!$C$3:$D$6,2,FALSE)&amp;ROW(P283))),IF(P$86&lt;&gt;"","Data Source Error",""))))</f>
        <v/>
      </c>
      <c r="R283" s="147"/>
      <c r="S283" s="628"/>
      <c r="T283" s="967" t="str">
        <f ca="1">IF(OR($H$7&lt;5,T$260&lt;2),"",IF(S283&lt;&gt;"",S283,IFERROR(IF(INDIRECT("'"&amp;S$86&amp;"'!"&amp;VLOOKUP(S$87,'List Values'!$C$3:$D$6,2,FALSE)&amp;ROW(S283))="","",INDIRECT("'"&amp;S$86&amp;"'!"&amp;VLOOKUP(S$87,'List Values'!$C$3:$D$6,2,FALSE)&amp;ROW(S283))),IF(S$86&lt;&gt;"","Data Source Error",""))))</f>
        <v/>
      </c>
      <c r="U283" s="147"/>
      <c r="V283" s="628"/>
      <c r="W283" s="973" t="str">
        <f ca="1">IF(OR($H$7&lt;6,W$260&lt;2),"",IF(V283&lt;&gt;"",V283,IFERROR(IF(INDIRECT("'"&amp;V$86&amp;"'!"&amp;VLOOKUP(V$87,'List Values'!$C$3:$D$6,2,FALSE)&amp;ROW(V283))="","",INDIRECT("'"&amp;V$86&amp;"'!"&amp;VLOOKUP(V$87,'List Values'!$C$3:$D$6,2,FALSE)&amp;ROW(V283))),IF(V$86&lt;&gt;"","Data Source Error",""))))</f>
        <v/>
      </c>
      <c r="Y283" s="2643"/>
      <c r="Z283" s="2644"/>
      <c r="AA283" s="2644"/>
      <c r="AB283" s="2645"/>
    </row>
    <row r="284" spans="1:28" ht="15.75" customHeight="1" outlineLevel="1">
      <c r="A284" s="513"/>
      <c r="B284" s="252"/>
      <c r="C284" s="2680" t="s">
        <v>626</v>
      </c>
      <c r="D284" s="2680"/>
      <c r="E284" s="2062"/>
      <c r="F284" s="2062"/>
      <c r="G284" s="636"/>
      <c r="H284" s="637"/>
      <c r="I284" s="187"/>
      <c r="J284" s="526"/>
      <c r="K284" s="900" t="str">
        <f ca="1">IF(OR($H$7&lt;2,K$260&lt;2),"",IF(J284&lt;&gt;"",J284,IFERROR(IF(INDIRECT("'"&amp;J$86&amp;"'!"&amp;VLOOKUP(J$87,'List Values'!$C$3:$D$6,2,FALSE)&amp;ROW(J284))="","",INDIRECT("'"&amp;J$86&amp;"'!"&amp;VLOOKUP(J$87,'List Values'!$C$3:$D$6,2,FALSE)&amp;ROW(J284))),IF(J$86&lt;&gt;"","Data Source Error",""))))</f>
        <v/>
      </c>
      <c r="L284" s="187"/>
      <c r="M284" s="526"/>
      <c r="N284" s="900" t="str">
        <f ca="1">IF(OR($H$7&lt;3,N$260&lt;2),"",IF(M284&lt;&gt;"",M284,IFERROR(IF(INDIRECT("'"&amp;M$86&amp;"'!"&amp;VLOOKUP(M$87,'List Values'!$C$3:$D$6,2,FALSE)&amp;ROW(M284))="","",INDIRECT("'"&amp;M$86&amp;"'!"&amp;VLOOKUP(M$87,'List Values'!$C$3:$D$6,2,FALSE)&amp;ROW(M284))),IF(M$86&lt;&gt;"","Data Source Error",""))))</f>
        <v/>
      </c>
      <c r="O284" s="187"/>
      <c r="P284" s="526"/>
      <c r="Q284" s="900" t="str">
        <f ca="1">IF(OR($H$7&lt;4,Q$260&lt;2),"",IF(P284&lt;&gt;"",P284,IFERROR(IF(INDIRECT("'"&amp;P$86&amp;"'!"&amp;VLOOKUP(P$87,'List Values'!$C$3:$D$6,2,FALSE)&amp;ROW(P284))="","",INDIRECT("'"&amp;P$86&amp;"'!"&amp;VLOOKUP(P$87,'List Values'!$C$3:$D$6,2,FALSE)&amp;ROW(P284))),IF(P$86&lt;&gt;"","Data Source Error",""))))</f>
        <v/>
      </c>
      <c r="S284" s="526"/>
      <c r="T284" s="900" t="str">
        <f ca="1">IF(OR($H$7&lt;5,T$260&lt;2),"",IF(S284&lt;&gt;"",S284,IFERROR(IF(INDIRECT("'"&amp;S$86&amp;"'!"&amp;VLOOKUP(S$87,'List Values'!$C$3:$D$6,2,FALSE)&amp;ROW(S284))="","",INDIRECT("'"&amp;S$86&amp;"'!"&amp;VLOOKUP(S$87,'List Values'!$C$3:$D$6,2,FALSE)&amp;ROW(S284))),IF(S$86&lt;&gt;"","Data Source Error",""))))</f>
        <v/>
      </c>
      <c r="V284" s="526"/>
      <c r="W284" s="911" t="str">
        <f ca="1">IF(OR($H$7&lt;6,W$260&lt;2),"",IF(V284&lt;&gt;"",V284,IFERROR(IF(INDIRECT("'"&amp;V$86&amp;"'!"&amp;VLOOKUP(V$87,'List Values'!$C$3:$D$6,2,FALSE)&amp;ROW(V284))="","",INDIRECT("'"&amp;V$86&amp;"'!"&amp;VLOOKUP(V$87,'List Values'!$C$3:$D$6,2,FALSE)&amp;ROW(V284))),IF(V$86&lt;&gt;"","Data Source Error",""))))</f>
        <v/>
      </c>
      <c r="Y284" s="2643"/>
      <c r="Z284" s="2644"/>
      <c r="AA284" s="2644"/>
      <c r="AB284" s="2645"/>
    </row>
    <row r="285" spans="1:28" ht="31" customHeight="1" outlineLevel="1">
      <c r="A285" s="513"/>
      <c r="B285" s="252"/>
      <c r="C285" s="2680" t="s">
        <v>627</v>
      </c>
      <c r="D285" s="2680"/>
      <c r="E285" s="2062"/>
      <c r="F285" s="2062"/>
      <c r="G285" s="636"/>
      <c r="H285" s="637"/>
      <c r="I285" s="187"/>
      <c r="J285" s="561"/>
      <c r="K285" s="900" t="str">
        <f ca="1">IF(OR($H$7&lt;2,K$260&lt;2),"",IF(J285&lt;&gt;"",J285,IFERROR(IF(INDIRECT("'"&amp;J$86&amp;"'!"&amp;VLOOKUP(J$87,'List Values'!$C$3:$D$6,2,FALSE)&amp;ROW(J285))="","",INDIRECT("'"&amp;J$86&amp;"'!"&amp;VLOOKUP(J$87,'List Values'!$C$3:$D$6,2,FALSE)&amp;ROW(J285))),IF(J$86&lt;&gt;"","Data Source Error",""))))</f>
        <v/>
      </c>
      <c r="L285" s="187"/>
      <c r="M285" s="561"/>
      <c r="N285" s="900" t="str">
        <f ca="1">IF(OR($H$7&lt;3,N$260&lt;2),"",IF(M285&lt;&gt;"",M285,IFERROR(IF(INDIRECT("'"&amp;M$86&amp;"'!"&amp;VLOOKUP(M$87,'List Values'!$C$3:$D$6,2,FALSE)&amp;ROW(M285))="","",INDIRECT("'"&amp;M$86&amp;"'!"&amp;VLOOKUP(M$87,'List Values'!$C$3:$D$6,2,FALSE)&amp;ROW(M285))),IF(M$86&lt;&gt;"","Data Source Error",""))))</f>
        <v/>
      </c>
      <c r="O285" s="187"/>
      <c r="P285" s="561"/>
      <c r="Q285" s="900" t="str">
        <f ca="1">IF(OR($H$7&lt;4,Q$260&lt;2),"",IF(P285&lt;&gt;"",P285,IFERROR(IF(INDIRECT("'"&amp;P$86&amp;"'!"&amp;VLOOKUP(P$87,'List Values'!$C$3:$D$6,2,FALSE)&amp;ROW(P285))="","",INDIRECT("'"&amp;P$86&amp;"'!"&amp;VLOOKUP(P$87,'List Values'!$C$3:$D$6,2,FALSE)&amp;ROW(P285))),IF(P$86&lt;&gt;"","Data Source Error",""))))</f>
        <v/>
      </c>
      <c r="S285" s="561"/>
      <c r="T285" s="900" t="str">
        <f ca="1">IF(OR($H$7&lt;5,T$260&lt;2),"",IF(S285&lt;&gt;"",S285,IFERROR(IF(INDIRECT("'"&amp;S$86&amp;"'!"&amp;VLOOKUP(S$87,'List Values'!$C$3:$D$6,2,FALSE)&amp;ROW(S285))="","",INDIRECT("'"&amp;S$86&amp;"'!"&amp;VLOOKUP(S$87,'List Values'!$C$3:$D$6,2,FALSE)&amp;ROW(S285))),IF(S$86&lt;&gt;"","Data Source Error",""))))</f>
        <v/>
      </c>
      <c r="V285" s="561"/>
      <c r="W285" s="911" t="str">
        <f ca="1">IF(OR($H$7&lt;6,W$260&lt;2),"",IF(V285&lt;&gt;"",V285,IFERROR(IF(INDIRECT("'"&amp;V$86&amp;"'!"&amp;VLOOKUP(V$87,'List Values'!$C$3:$D$6,2,FALSE)&amp;ROW(V285))="","",INDIRECT("'"&amp;V$86&amp;"'!"&amp;VLOOKUP(V$87,'List Values'!$C$3:$D$6,2,FALSE)&amp;ROW(V285))),IF(V$86&lt;&gt;"","Data Source Error",""))))</f>
        <v/>
      </c>
      <c r="Y285" s="2643"/>
      <c r="Z285" s="2644"/>
      <c r="AA285" s="2644"/>
      <c r="AB285" s="2645"/>
    </row>
    <row r="286" spans="1:28" ht="31" customHeight="1" outlineLevel="1">
      <c r="A286" s="513"/>
      <c r="B286" s="252"/>
      <c r="C286" s="2684" t="s">
        <v>628</v>
      </c>
      <c r="D286" s="2684"/>
      <c r="E286" s="2062"/>
      <c r="F286" s="2062"/>
      <c r="G286" s="636"/>
      <c r="H286" s="637"/>
      <c r="I286" s="187"/>
      <c r="J286" s="526"/>
      <c r="K286" s="900" t="str">
        <f ca="1">IF(OR($H$7&lt;2,K$260&lt;2),"",IF(J286&lt;&gt;"",J286,IFERROR(IF(INDIRECT("'"&amp;J$86&amp;"'!"&amp;VLOOKUP(J$87,'List Values'!$C$3:$D$6,2,FALSE)&amp;ROW(J286))="","",INDIRECT("'"&amp;J$86&amp;"'!"&amp;VLOOKUP(J$87,'List Values'!$C$3:$D$6,2,FALSE)&amp;ROW(J286))),IF(J$86&lt;&gt;"","Data Source Error",""))))</f>
        <v/>
      </c>
      <c r="L286" s="187"/>
      <c r="M286" s="526"/>
      <c r="N286" s="900" t="str">
        <f ca="1">IF(OR($H$7&lt;3,N$260&lt;2),"",IF(M286&lt;&gt;"",M286,IFERROR(IF(INDIRECT("'"&amp;M$86&amp;"'!"&amp;VLOOKUP(M$87,'List Values'!$C$3:$D$6,2,FALSE)&amp;ROW(M286))="","",INDIRECT("'"&amp;M$86&amp;"'!"&amp;VLOOKUP(M$87,'List Values'!$C$3:$D$6,2,FALSE)&amp;ROW(M286))),IF(M$86&lt;&gt;"","Data Source Error",""))))</f>
        <v/>
      </c>
      <c r="O286" s="187"/>
      <c r="P286" s="526"/>
      <c r="Q286" s="900" t="str">
        <f ca="1">IF(OR($H$7&lt;4,Q$260&lt;2),"",IF(P286&lt;&gt;"",P286,IFERROR(IF(INDIRECT("'"&amp;P$86&amp;"'!"&amp;VLOOKUP(P$87,'List Values'!$C$3:$D$6,2,FALSE)&amp;ROW(P286))="","",INDIRECT("'"&amp;P$86&amp;"'!"&amp;VLOOKUP(P$87,'List Values'!$C$3:$D$6,2,FALSE)&amp;ROW(P286))),IF(P$86&lt;&gt;"","Data Source Error",""))))</f>
        <v/>
      </c>
      <c r="S286" s="526"/>
      <c r="T286" s="900" t="str">
        <f ca="1">IF(OR($H$7&lt;5,T$260&lt;2),"",IF(S286&lt;&gt;"",S286,IFERROR(IF(INDIRECT("'"&amp;S$86&amp;"'!"&amp;VLOOKUP(S$87,'List Values'!$C$3:$D$6,2,FALSE)&amp;ROW(S286))="","",INDIRECT("'"&amp;S$86&amp;"'!"&amp;VLOOKUP(S$87,'List Values'!$C$3:$D$6,2,FALSE)&amp;ROW(S286))),IF(S$86&lt;&gt;"","Data Source Error",""))))</f>
        <v/>
      </c>
      <c r="V286" s="526"/>
      <c r="W286" s="911" t="str">
        <f ca="1">IF(OR($H$7&lt;6,W$260&lt;2),"",IF(V286&lt;&gt;"",V286,IFERROR(IF(INDIRECT("'"&amp;V$86&amp;"'!"&amp;VLOOKUP(V$87,'List Values'!$C$3:$D$6,2,FALSE)&amp;ROW(V286))="","",INDIRECT("'"&amp;V$86&amp;"'!"&amp;VLOOKUP(V$87,'List Values'!$C$3:$D$6,2,FALSE)&amp;ROW(V286))),IF(V$86&lt;&gt;"","Data Source Error",""))))</f>
        <v/>
      </c>
      <c r="Y286" s="2643"/>
      <c r="Z286" s="2644"/>
      <c r="AA286" s="2644"/>
      <c r="AB286" s="2645"/>
    </row>
    <row r="287" spans="1:28" ht="33" customHeight="1" outlineLevel="1">
      <c r="A287" s="513"/>
      <c r="B287" s="252"/>
      <c r="C287" s="2684" t="s">
        <v>629</v>
      </c>
      <c r="D287" s="2684"/>
      <c r="E287" s="2062"/>
      <c r="F287" s="2062"/>
      <c r="G287" s="636"/>
      <c r="H287" s="637"/>
      <c r="I287" s="187"/>
      <c r="J287" s="568"/>
      <c r="K287" s="945" t="str">
        <f ca="1">IF(OR($H$7&lt;2,K$260&lt;2),"",IF(J287&lt;&gt;"",J287,IFERROR(IF(INDIRECT("'"&amp;J$86&amp;"'!"&amp;VLOOKUP(J$87,'List Values'!$C$3:$D$6,2,FALSE)&amp;ROW(J287))="","",INDIRECT("'"&amp;J$86&amp;"'!"&amp;VLOOKUP(J$87,'List Values'!$C$3:$D$6,2,FALSE)&amp;ROW(J287))),IF(J$86&lt;&gt;"","Data Source Error",""))))</f>
        <v/>
      </c>
      <c r="L287" s="339"/>
      <c r="M287" s="568"/>
      <c r="N287" s="945" t="str">
        <f ca="1">IF(OR($H$7&lt;3,N$260&lt;2),"",IF(M287&lt;&gt;"",M287,IFERROR(IF(INDIRECT("'"&amp;M$86&amp;"'!"&amp;VLOOKUP(M$87,'List Values'!$C$3:$D$6,2,FALSE)&amp;ROW(M287))="","",INDIRECT("'"&amp;M$86&amp;"'!"&amp;VLOOKUP(M$87,'List Values'!$C$3:$D$6,2,FALSE)&amp;ROW(M287))),IF(M$86&lt;&gt;"","Data Source Error",""))))</f>
        <v/>
      </c>
      <c r="O287" s="339"/>
      <c r="P287" s="568"/>
      <c r="Q287" s="945" t="str">
        <f ca="1">IF(OR($H$7&lt;4,Q$260&lt;2),"",IF(P287&lt;&gt;"",P287,IFERROR(IF(INDIRECT("'"&amp;P$86&amp;"'!"&amp;VLOOKUP(P$87,'List Values'!$C$3:$D$6,2,FALSE)&amp;ROW(P287))="","",INDIRECT("'"&amp;P$86&amp;"'!"&amp;VLOOKUP(P$87,'List Values'!$C$3:$D$6,2,FALSE)&amp;ROW(P287))),IF(P$86&lt;&gt;"","Data Source Error",""))))</f>
        <v/>
      </c>
      <c r="R287" s="7"/>
      <c r="S287" s="568"/>
      <c r="T287" s="945" t="str">
        <f ca="1">IF(OR($H$7&lt;5,T$260&lt;2),"",IF(S287&lt;&gt;"",S287,IFERROR(IF(INDIRECT("'"&amp;S$86&amp;"'!"&amp;VLOOKUP(S$87,'List Values'!$C$3:$D$6,2,FALSE)&amp;ROW(S287))="","",INDIRECT("'"&amp;S$86&amp;"'!"&amp;VLOOKUP(S$87,'List Values'!$C$3:$D$6,2,FALSE)&amp;ROW(S287))),IF(S$86&lt;&gt;"","Data Source Error",""))))</f>
        <v/>
      </c>
      <c r="U287" s="7"/>
      <c r="V287" s="568"/>
      <c r="W287" s="952" t="str">
        <f ca="1">IF(OR($H$7&lt;6,W$260&lt;2),"",IF(V287&lt;&gt;"",V287,IFERROR(IF(INDIRECT("'"&amp;V$86&amp;"'!"&amp;VLOOKUP(V$87,'List Values'!$C$3:$D$6,2,FALSE)&amp;ROW(V287))="","",INDIRECT("'"&amp;V$86&amp;"'!"&amp;VLOOKUP(V$87,'List Values'!$C$3:$D$6,2,FALSE)&amp;ROW(V287))),IF(V$86&lt;&gt;"","Data Source Error",""))))</f>
        <v/>
      </c>
      <c r="Y287" s="2643"/>
      <c r="Z287" s="2644"/>
      <c r="AA287" s="2644"/>
      <c r="AB287" s="2645"/>
    </row>
    <row r="288" spans="1:28" ht="15.75" customHeight="1" outlineLevel="1">
      <c r="A288" s="513"/>
      <c r="B288" s="252"/>
      <c r="C288" s="2680" t="s">
        <v>630</v>
      </c>
      <c r="D288" s="2680"/>
      <c r="E288" s="2062"/>
      <c r="F288" s="2062"/>
      <c r="G288" s="636"/>
      <c r="H288" s="637"/>
      <c r="I288" s="187"/>
      <c r="J288" s="526"/>
      <c r="K288" s="900" t="str">
        <f ca="1">IF(OR($H$7&lt;2,K$260&lt;2),"",IF(J288&lt;&gt;"",J288,IFERROR(IF(INDIRECT("'"&amp;J$86&amp;"'!"&amp;VLOOKUP(J$87,'List Values'!$C$3:$D$6,2,FALSE)&amp;ROW(J288))="","",INDIRECT("'"&amp;J$86&amp;"'!"&amp;VLOOKUP(J$87,'List Values'!$C$3:$D$6,2,FALSE)&amp;ROW(J288))),IF(J$86&lt;&gt;"","Data Source Error",""))))</f>
        <v/>
      </c>
      <c r="L288" s="187"/>
      <c r="M288" s="526"/>
      <c r="N288" s="900" t="str">
        <f ca="1">IF(OR($H$7&lt;3,N$260&lt;2),"",IF(M288&lt;&gt;"",M288,IFERROR(IF(INDIRECT("'"&amp;M$86&amp;"'!"&amp;VLOOKUP(M$87,'List Values'!$C$3:$D$6,2,FALSE)&amp;ROW(M288))="","",INDIRECT("'"&amp;M$86&amp;"'!"&amp;VLOOKUP(M$87,'List Values'!$C$3:$D$6,2,FALSE)&amp;ROW(M288))),IF(M$86&lt;&gt;"","Data Source Error",""))))</f>
        <v/>
      </c>
      <c r="O288" s="187"/>
      <c r="P288" s="526"/>
      <c r="Q288" s="900" t="str">
        <f ca="1">IF(OR($H$7&lt;4,Q$260&lt;2),"",IF(P288&lt;&gt;"",P288,IFERROR(IF(INDIRECT("'"&amp;P$86&amp;"'!"&amp;VLOOKUP(P$87,'List Values'!$C$3:$D$6,2,FALSE)&amp;ROW(P288))="","",INDIRECT("'"&amp;P$86&amp;"'!"&amp;VLOOKUP(P$87,'List Values'!$C$3:$D$6,2,FALSE)&amp;ROW(P288))),IF(P$86&lt;&gt;"","Data Source Error",""))))</f>
        <v/>
      </c>
      <c r="S288" s="526"/>
      <c r="T288" s="900" t="str">
        <f ca="1">IF(OR($H$7&lt;5,T$260&lt;2),"",IF(S288&lt;&gt;"",S288,IFERROR(IF(INDIRECT("'"&amp;S$86&amp;"'!"&amp;VLOOKUP(S$87,'List Values'!$C$3:$D$6,2,FALSE)&amp;ROW(S288))="","",INDIRECT("'"&amp;S$86&amp;"'!"&amp;VLOOKUP(S$87,'List Values'!$C$3:$D$6,2,FALSE)&amp;ROW(S288))),IF(S$86&lt;&gt;"","Data Source Error",""))))</f>
        <v/>
      </c>
      <c r="V288" s="526"/>
      <c r="W288" s="911" t="str">
        <f ca="1">IF(OR($H$7&lt;6,W$260&lt;2),"",IF(V288&lt;&gt;"",V288,IFERROR(IF(INDIRECT("'"&amp;V$86&amp;"'!"&amp;VLOOKUP(V$87,'List Values'!$C$3:$D$6,2,FALSE)&amp;ROW(V288))="","",INDIRECT("'"&amp;V$86&amp;"'!"&amp;VLOOKUP(V$87,'List Values'!$C$3:$D$6,2,FALSE)&amp;ROW(V288))),IF(V$86&lt;&gt;"","Data Source Error",""))))</f>
        <v/>
      </c>
      <c r="Y288" s="2643"/>
      <c r="Z288" s="2644"/>
      <c r="AA288" s="2644"/>
      <c r="AB288" s="2645"/>
    </row>
    <row r="289" spans="1:28" ht="31" customHeight="1" outlineLevel="1">
      <c r="A289" s="513"/>
      <c r="B289" s="252"/>
      <c r="C289" s="2684" t="s">
        <v>634</v>
      </c>
      <c r="D289" s="2684"/>
      <c r="E289" s="202"/>
      <c r="F289" s="202"/>
      <c r="G289" s="634"/>
      <c r="H289" s="635"/>
      <c r="I289" s="183"/>
      <c r="J289" s="553"/>
      <c r="K289" s="897" t="str">
        <f ca="1">IF(OR($H$7&lt;2,K$260&lt;2),"",IF(J289&lt;&gt;"",J289,IFERROR(IF(INDIRECT("'"&amp;J$86&amp;"'!"&amp;VLOOKUP(J$87,'List Values'!$C$3:$D$6,2,FALSE)&amp;ROW(J289))="","",INDIRECT("'"&amp;J$86&amp;"'!"&amp;VLOOKUP(J$87,'List Values'!$C$3:$D$6,2,FALSE)&amp;ROW(J289))),IF(J$86&lt;&gt;"","Data Source Error",""))))</f>
        <v/>
      </c>
      <c r="L289" s="183"/>
      <c r="M289" s="553"/>
      <c r="N289" s="897" t="str">
        <f ca="1">IF(OR($H$7&lt;3,N$260&lt;2),"",IF(M289&lt;&gt;"",M289,IFERROR(IF(INDIRECT("'"&amp;M$86&amp;"'!"&amp;VLOOKUP(M$87,'List Values'!$C$3:$D$6,2,FALSE)&amp;ROW(M289))="","",INDIRECT("'"&amp;M$86&amp;"'!"&amp;VLOOKUP(M$87,'List Values'!$C$3:$D$6,2,FALSE)&amp;ROW(M289))),IF(M$86&lt;&gt;"","Data Source Error",""))))</f>
        <v/>
      </c>
      <c r="O289" s="183"/>
      <c r="P289" s="553"/>
      <c r="Q289" s="897" t="str">
        <f ca="1">IF(OR($H$7&lt;4,Q$260&lt;2),"",IF(P289&lt;&gt;"",P289,IFERROR(IF(INDIRECT("'"&amp;P$86&amp;"'!"&amp;VLOOKUP(P$87,'List Values'!$C$3:$D$6,2,FALSE)&amp;ROW(P289))="","",INDIRECT("'"&amp;P$86&amp;"'!"&amp;VLOOKUP(P$87,'List Values'!$C$3:$D$6,2,FALSE)&amp;ROW(P289))),IF(P$86&lt;&gt;"","Data Source Error",""))))</f>
        <v/>
      </c>
      <c r="S289" s="553"/>
      <c r="T289" s="897" t="str">
        <f ca="1">IF(OR($H$7&lt;5,T$260&lt;2),"",IF(S289&lt;&gt;"",S289,IFERROR(IF(INDIRECT("'"&amp;S$86&amp;"'!"&amp;VLOOKUP(S$87,'List Values'!$C$3:$D$6,2,FALSE)&amp;ROW(S289))="","",INDIRECT("'"&amp;S$86&amp;"'!"&amp;VLOOKUP(S$87,'List Values'!$C$3:$D$6,2,FALSE)&amp;ROW(S289))),IF(S$86&lt;&gt;"","Data Source Error",""))))</f>
        <v/>
      </c>
      <c r="V289" s="553"/>
      <c r="W289" s="908" t="str">
        <f ca="1">IF(OR($H$7&lt;6,W$260&lt;2),"",IF(V289&lt;&gt;"",V289,IFERROR(IF(INDIRECT("'"&amp;V$86&amp;"'!"&amp;VLOOKUP(V$87,'List Values'!$C$3:$D$6,2,FALSE)&amp;ROW(V289))="","",INDIRECT("'"&amp;V$86&amp;"'!"&amp;VLOOKUP(V$87,'List Values'!$C$3:$D$6,2,FALSE)&amp;ROW(V289))),IF(V$86&lt;&gt;"","Data Source Error",""))))</f>
        <v/>
      </c>
      <c r="Y289" s="2643"/>
      <c r="Z289" s="2644"/>
      <c r="AA289" s="2644"/>
      <c r="AB289" s="2645"/>
    </row>
    <row r="290" spans="1:28" ht="31" customHeight="1" outlineLevel="1">
      <c r="A290" s="513"/>
      <c r="B290" s="252"/>
      <c r="C290" s="2680" t="s">
        <v>1551</v>
      </c>
      <c r="D290" s="2680"/>
      <c r="E290" s="2062"/>
      <c r="F290" s="2062"/>
      <c r="G290" s="636"/>
      <c r="H290" s="637"/>
      <c r="I290" s="187"/>
      <c r="J290" s="619"/>
      <c r="K290" s="898" t="str">
        <f ca="1">IF(OR($H$7&lt;2,K$260&lt;2),"",IF(J290&lt;&gt;"",J290,IFERROR(IF(INDIRECT("'"&amp;J$86&amp;"'!"&amp;VLOOKUP(J$87,'List Values'!$C$3:$D$6,2,FALSE)&amp;ROW(J290))="","",INDIRECT("'"&amp;J$86&amp;"'!"&amp;VLOOKUP(J$87,'List Values'!$C$3:$D$6,2,FALSE)&amp;ROW(J290))),IF(J$86&lt;&gt;"","Data Source Error",""))))</f>
        <v/>
      </c>
      <c r="L290" s="621"/>
      <c r="M290" s="619"/>
      <c r="N290" s="898" t="str">
        <f ca="1">IF(OR($H$7&lt;3,N$260&lt;2),"",IF(M290&lt;&gt;"",M290,IFERROR(IF(INDIRECT("'"&amp;M$86&amp;"'!"&amp;VLOOKUP(M$87,'List Values'!$C$3:$D$6,2,FALSE)&amp;ROW(M290))="","",INDIRECT("'"&amp;M$86&amp;"'!"&amp;VLOOKUP(M$87,'List Values'!$C$3:$D$6,2,FALSE)&amp;ROW(M290))),IF(M$86&lt;&gt;"","Data Source Error",""))))</f>
        <v/>
      </c>
      <c r="O290" s="621"/>
      <c r="P290" s="619"/>
      <c r="Q290" s="898" t="str">
        <f ca="1">IF(OR($H$7&lt;4,Q$260&lt;2),"",IF(P290&lt;&gt;"",P290,IFERROR(IF(INDIRECT("'"&amp;P$86&amp;"'!"&amp;VLOOKUP(P$87,'List Values'!$C$3:$D$6,2,FALSE)&amp;ROW(P290))="","",INDIRECT("'"&amp;P$86&amp;"'!"&amp;VLOOKUP(P$87,'List Values'!$C$3:$D$6,2,FALSE)&amp;ROW(P290))),IF(P$86&lt;&gt;"","Data Source Error",""))))</f>
        <v/>
      </c>
      <c r="R290" s="147"/>
      <c r="S290" s="619"/>
      <c r="T290" s="898" t="str">
        <f ca="1">IF(OR($H$7&lt;5,T$260&lt;2),"",IF(S290&lt;&gt;"",S290,IFERROR(IF(INDIRECT("'"&amp;S$86&amp;"'!"&amp;VLOOKUP(S$87,'List Values'!$C$3:$D$6,2,FALSE)&amp;ROW(S290))="","",INDIRECT("'"&amp;S$86&amp;"'!"&amp;VLOOKUP(S$87,'List Values'!$C$3:$D$6,2,FALSE)&amp;ROW(S290))),IF(S$86&lt;&gt;"","Data Source Error",""))))</f>
        <v/>
      </c>
      <c r="U290" s="147"/>
      <c r="V290" s="619"/>
      <c r="W290" s="909" t="str">
        <f ca="1">IF(OR($H$7&lt;6,W$260&lt;2),"",IF(V290&lt;&gt;"",V290,IFERROR(IF(INDIRECT("'"&amp;V$86&amp;"'!"&amp;VLOOKUP(V$87,'List Values'!$C$3:$D$6,2,FALSE)&amp;ROW(V290))="","",INDIRECT("'"&amp;V$86&amp;"'!"&amp;VLOOKUP(V$87,'List Values'!$C$3:$D$6,2,FALSE)&amp;ROW(V290))),IF(V$86&lt;&gt;"","Data Source Error",""))))</f>
        <v/>
      </c>
      <c r="Y290" s="2643"/>
      <c r="Z290" s="2644"/>
      <c r="AA290" s="2644"/>
      <c r="AB290" s="2645"/>
    </row>
    <row r="291" spans="1:28" ht="31" customHeight="1" outlineLevel="1">
      <c r="A291" s="513"/>
      <c r="B291" s="252"/>
      <c r="C291" s="2680" t="s">
        <v>1552</v>
      </c>
      <c r="D291" s="2680"/>
      <c r="E291" s="2062"/>
      <c r="F291" s="2062"/>
      <c r="G291" s="636"/>
      <c r="H291" s="637"/>
      <c r="I291" s="187"/>
      <c r="J291" s="619"/>
      <c r="K291" s="898" t="str">
        <f ca="1">IF(OR($H$7&lt;2,K$260&lt;2),"",IF(J291&lt;&gt;"",J291,IFERROR(IF(INDIRECT("'"&amp;J$86&amp;"'!"&amp;VLOOKUP(J$87,'List Values'!$C$3:$D$6,2,FALSE)&amp;ROW(J291))="","",INDIRECT("'"&amp;J$86&amp;"'!"&amp;VLOOKUP(J$87,'List Values'!$C$3:$D$6,2,FALSE)&amp;ROW(J291))),IF(J$86&lt;&gt;"","Data Source Error",""))))</f>
        <v/>
      </c>
      <c r="L291" s="621"/>
      <c r="M291" s="619"/>
      <c r="N291" s="898" t="str">
        <f ca="1">IF(OR($H$7&lt;3,N$260&lt;2),"",IF(M291&lt;&gt;"",M291,IFERROR(IF(INDIRECT("'"&amp;M$86&amp;"'!"&amp;VLOOKUP(M$87,'List Values'!$C$3:$D$6,2,FALSE)&amp;ROW(M291))="","",INDIRECT("'"&amp;M$86&amp;"'!"&amp;VLOOKUP(M$87,'List Values'!$C$3:$D$6,2,FALSE)&amp;ROW(M291))),IF(M$86&lt;&gt;"","Data Source Error",""))))</f>
        <v/>
      </c>
      <c r="O291" s="621"/>
      <c r="P291" s="619"/>
      <c r="Q291" s="898" t="str">
        <f ca="1">IF(OR($H$7&lt;4,Q$260&lt;2),"",IF(P291&lt;&gt;"",P291,IFERROR(IF(INDIRECT("'"&amp;P$86&amp;"'!"&amp;VLOOKUP(P$87,'List Values'!$C$3:$D$6,2,FALSE)&amp;ROW(P291))="","",INDIRECT("'"&amp;P$86&amp;"'!"&amp;VLOOKUP(P$87,'List Values'!$C$3:$D$6,2,FALSE)&amp;ROW(P291))),IF(P$86&lt;&gt;"","Data Source Error",""))))</f>
        <v/>
      </c>
      <c r="R291" s="147"/>
      <c r="S291" s="619"/>
      <c r="T291" s="898" t="str">
        <f ca="1">IF(OR($H$7&lt;5,T$260&lt;2),"",IF(S291&lt;&gt;"",S291,IFERROR(IF(INDIRECT("'"&amp;S$86&amp;"'!"&amp;VLOOKUP(S$87,'List Values'!$C$3:$D$6,2,FALSE)&amp;ROW(S291))="","",INDIRECT("'"&amp;S$86&amp;"'!"&amp;VLOOKUP(S$87,'List Values'!$C$3:$D$6,2,FALSE)&amp;ROW(S291))),IF(S$86&lt;&gt;"","Data Source Error",""))))</f>
        <v/>
      </c>
      <c r="U291" s="147"/>
      <c r="V291" s="619"/>
      <c r="W291" s="909" t="str">
        <f ca="1">IF(OR($H$7&lt;6,W$260&lt;2),"",IF(V291&lt;&gt;"",V291,IFERROR(IF(INDIRECT("'"&amp;V$86&amp;"'!"&amp;VLOOKUP(V$87,'List Values'!$C$3:$D$6,2,FALSE)&amp;ROW(V291))="","",INDIRECT("'"&amp;V$86&amp;"'!"&amp;VLOOKUP(V$87,'List Values'!$C$3:$D$6,2,FALSE)&amp;ROW(V291))),IF(V$86&lt;&gt;"","Data Source Error",""))))</f>
        <v/>
      </c>
      <c r="Y291" s="2643"/>
      <c r="Z291" s="2644"/>
      <c r="AA291" s="2644"/>
      <c r="AB291" s="2645"/>
    </row>
    <row r="292" spans="1:28" ht="33" customHeight="1" outlineLevel="1">
      <c r="A292" s="513"/>
      <c r="B292" s="252"/>
      <c r="C292" s="2680" t="s">
        <v>331</v>
      </c>
      <c r="D292" s="2680"/>
      <c r="E292" s="2062"/>
      <c r="F292" s="2062"/>
      <c r="G292" s="636"/>
      <c r="H292" s="637"/>
      <c r="I292" s="187"/>
      <c r="J292" s="526"/>
      <c r="K292" s="935" t="str">
        <f ca="1">IF(OR($H$7&lt;2,K$260&lt;2),"",IF(J292&lt;&gt;"",J292,IFERROR(IF(INDIRECT("'"&amp;J$86&amp;"'!"&amp;VLOOKUP(J$87,'List Values'!$C$3:$D$6,2,FALSE)&amp;ROW(J292))="","",INDIRECT("'"&amp;J$86&amp;"'!"&amp;VLOOKUP(J$87,'List Values'!$C$3:$D$6,2,FALSE)&amp;ROW(J292))),IF(J$86&lt;&gt;"","Data Source Error",""))))</f>
        <v/>
      </c>
      <c r="L292" s="187"/>
      <c r="M292" s="526"/>
      <c r="N292" s="900" t="str">
        <f ca="1">IF(OR($H$7&lt;3,N$260&lt;2),"",IF(M292&lt;&gt;"",M292,IFERROR(IF(INDIRECT("'"&amp;M$86&amp;"'!"&amp;VLOOKUP(M$87,'List Values'!$C$3:$D$6,2,FALSE)&amp;ROW(M292))="","",INDIRECT("'"&amp;M$86&amp;"'!"&amp;VLOOKUP(M$87,'List Values'!$C$3:$D$6,2,FALSE)&amp;ROW(M292))),IF(M$86&lt;&gt;"","Data Source Error",""))))</f>
        <v/>
      </c>
      <c r="O292" s="187"/>
      <c r="P292" s="526"/>
      <c r="Q292" s="900" t="str">
        <f ca="1">IF(OR($H$7&lt;4,Q$260&lt;2),"",IF(P292&lt;&gt;"",P292,IFERROR(IF(INDIRECT("'"&amp;P$86&amp;"'!"&amp;VLOOKUP(P$87,'List Values'!$C$3:$D$6,2,FALSE)&amp;ROW(P292))="","",INDIRECT("'"&amp;P$86&amp;"'!"&amp;VLOOKUP(P$87,'List Values'!$C$3:$D$6,2,FALSE)&amp;ROW(P292))),IF(P$86&lt;&gt;"","Data Source Error",""))))</f>
        <v/>
      </c>
      <c r="S292" s="526"/>
      <c r="T292" s="900" t="str">
        <f ca="1">IF(OR($H$7&lt;5,T$260&lt;2),"",IF(S292&lt;&gt;"",S292,IFERROR(IF(INDIRECT("'"&amp;S$86&amp;"'!"&amp;VLOOKUP(S$87,'List Values'!$C$3:$D$6,2,FALSE)&amp;ROW(S292))="","",INDIRECT("'"&amp;S$86&amp;"'!"&amp;VLOOKUP(S$87,'List Values'!$C$3:$D$6,2,FALSE)&amp;ROW(S292))),IF(S$86&lt;&gt;"","Data Source Error",""))))</f>
        <v/>
      </c>
      <c r="V292" s="526"/>
      <c r="W292" s="911" t="str">
        <f ca="1">IF(OR($H$7&lt;6,W$260&lt;2),"",IF(V292&lt;&gt;"",V292,IFERROR(IF(INDIRECT("'"&amp;V$86&amp;"'!"&amp;VLOOKUP(V$87,'List Values'!$C$3:$D$6,2,FALSE)&amp;ROW(V292))="","",INDIRECT("'"&amp;V$86&amp;"'!"&amp;VLOOKUP(V$87,'List Values'!$C$3:$D$6,2,FALSE)&amp;ROW(V292))),IF(V$86&lt;&gt;"","Data Source Error",""))))</f>
        <v/>
      </c>
      <c r="Y292" s="2643"/>
      <c r="Z292" s="2644"/>
      <c r="AA292" s="2644"/>
      <c r="AB292" s="2645"/>
    </row>
    <row r="293" spans="1:28" ht="15.75" customHeight="1" outlineLevel="1">
      <c r="A293" s="513"/>
      <c r="B293" s="252"/>
      <c r="C293" s="2684" t="s">
        <v>332</v>
      </c>
      <c r="D293" s="2684"/>
      <c r="E293" s="2062"/>
      <c r="F293" s="2062"/>
      <c r="G293" s="636"/>
      <c r="H293" s="637"/>
      <c r="I293" s="187"/>
      <c r="J293" s="580"/>
      <c r="K293" s="900" t="str">
        <f ca="1">IF(OR($H$7&lt;2,K$260&lt;2),"",IF(J293&lt;&gt;"",J293,IFERROR(IF(INDIRECT("'"&amp;J$86&amp;"'!"&amp;VLOOKUP(J$87,'List Values'!$C$3:$D$6,2,FALSE)&amp;ROW(J293))="","",INDIRECT("'"&amp;J$86&amp;"'!"&amp;VLOOKUP(J$87,'List Values'!$C$3:$D$6,2,FALSE)&amp;ROW(J293))),IF(J$86&lt;&gt;"","Data Source Error",""))))</f>
        <v/>
      </c>
      <c r="L293" s="187"/>
      <c r="M293" s="580"/>
      <c r="N293" s="900" t="str">
        <f ca="1">IF(OR($H$7&lt;3,N$260&lt;2),"",IF(M293&lt;&gt;"",M293,IFERROR(IF(INDIRECT("'"&amp;M$86&amp;"'!"&amp;VLOOKUP(M$87,'List Values'!$C$3:$D$6,2,FALSE)&amp;ROW(M293))="","",INDIRECT("'"&amp;M$86&amp;"'!"&amp;VLOOKUP(M$87,'List Values'!$C$3:$D$6,2,FALSE)&amp;ROW(M293))),IF(M$86&lt;&gt;"","Data Source Error",""))))</f>
        <v/>
      </c>
      <c r="O293" s="187"/>
      <c r="P293" s="580"/>
      <c r="Q293" s="900" t="str">
        <f ca="1">IF(OR($H$7&lt;4,Q$260&lt;2),"",IF(P293&lt;&gt;"",P293,IFERROR(IF(INDIRECT("'"&amp;P$86&amp;"'!"&amp;VLOOKUP(P$87,'List Values'!$C$3:$D$6,2,FALSE)&amp;ROW(P293))="","",INDIRECT("'"&amp;P$86&amp;"'!"&amp;VLOOKUP(P$87,'List Values'!$C$3:$D$6,2,FALSE)&amp;ROW(P293))),IF(P$86&lt;&gt;"","Data Source Error",""))))</f>
        <v/>
      </c>
      <c r="S293" s="580"/>
      <c r="T293" s="900" t="str">
        <f ca="1">IF(OR($H$7&lt;5,T$260&lt;2),"",IF(S293&lt;&gt;"",S293,IFERROR(IF(INDIRECT("'"&amp;S$86&amp;"'!"&amp;VLOOKUP(S$87,'List Values'!$C$3:$D$6,2,FALSE)&amp;ROW(S293))="","",INDIRECT("'"&amp;S$86&amp;"'!"&amp;VLOOKUP(S$87,'List Values'!$C$3:$D$6,2,FALSE)&amp;ROW(S293))),IF(S$86&lt;&gt;"","Data Source Error",""))))</f>
        <v/>
      </c>
      <c r="V293" s="580"/>
      <c r="W293" s="911" t="str">
        <f ca="1">IF(OR($H$7&lt;6,W$260&lt;2),"",IF(V293&lt;&gt;"",V293,IFERROR(IF(INDIRECT("'"&amp;V$86&amp;"'!"&amp;VLOOKUP(V$87,'List Values'!$C$3:$D$6,2,FALSE)&amp;ROW(V293))="","",INDIRECT("'"&amp;V$86&amp;"'!"&amp;VLOOKUP(V$87,'List Values'!$C$3:$D$6,2,FALSE)&amp;ROW(V293))),IF(V$86&lt;&gt;"","Data Source Error",""))))</f>
        <v/>
      </c>
      <c r="Y293" s="2643"/>
      <c r="Z293" s="2644"/>
      <c r="AA293" s="2644"/>
      <c r="AB293" s="2645"/>
    </row>
    <row r="294" spans="1:28" ht="30.75" customHeight="1" outlineLevel="1">
      <c r="A294" s="513"/>
      <c r="B294" s="252"/>
      <c r="C294" s="2680" t="s">
        <v>839</v>
      </c>
      <c r="D294" s="2680"/>
      <c r="E294" s="2062"/>
      <c r="F294" s="2062"/>
      <c r="G294" s="636"/>
      <c r="H294" s="637"/>
      <c r="I294" s="187"/>
      <c r="J294" s="580"/>
      <c r="K294" s="900" t="str">
        <f ca="1">IF(OR($H$7&lt;2,K$260&lt;2),"",IF(J294&lt;&gt;"",J294,IFERROR(IF(INDIRECT("'"&amp;J$86&amp;"'!"&amp;VLOOKUP(J$87,'List Values'!$C$3:$D$6,2,FALSE)&amp;ROW(J294))="","",INDIRECT("'"&amp;J$86&amp;"'!"&amp;VLOOKUP(J$87,'List Values'!$C$3:$D$6,2,FALSE)&amp;ROW(J294))),IF(J$86&lt;&gt;"","Data Source Error",""))))</f>
        <v/>
      </c>
      <c r="L294" s="187"/>
      <c r="M294" s="580"/>
      <c r="N294" s="900" t="str">
        <f ca="1">IF(OR($H$7&lt;3,N$260&lt;2),"",IF(M294&lt;&gt;"",M294,IFERROR(IF(INDIRECT("'"&amp;M$86&amp;"'!"&amp;VLOOKUP(M$87,'List Values'!$C$3:$D$6,2,FALSE)&amp;ROW(M294))="","",INDIRECT("'"&amp;M$86&amp;"'!"&amp;VLOOKUP(M$87,'List Values'!$C$3:$D$6,2,FALSE)&amp;ROW(M294))),IF(M$86&lt;&gt;"","Data Source Error",""))))</f>
        <v/>
      </c>
      <c r="O294" s="187"/>
      <c r="P294" s="580"/>
      <c r="Q294" s="900" t="str">
        <f ca="1">IF(OR($H$7&lt;4,Q$260&lt;2),"",IF(P294&lt;&gt;"",P294,IFERROR(IF(INDIRECT("'"&amp;P$86&amp;"'!"&amp;VLOOKUP(P$87,'List Values'!$C$3:$D$6,2,FALSE)&amp;ROW(P294))="","",INDIRECT("'"&amp;P$86&amp;"'!"&amp;VLOOKUP(P$87,'List Values'!$C$3:$D$6,2,FALSE)&amp;ROW(P294))),IF(P$86&lt;&gt;"","Data Source Error",""))))</f>
        <v/>
      </c>
      <c r="S294" s="580"/>
      <c r="T294" s="900" t="str">
        <f ca="1">IF(OR($H$7&lt;5,T$260&lt;2),"",IF(S294&lt;&gt;"",S294,IFERROR(IF(INDIRECT("'"&amp;S$86&amp;"'!"&amp;VLOOKUP(S$87,'List Values'!$C$3:$D$6,2,FALSE)&amp;ROW(S294))="","",INDIRECT("'"&amp;S$86&amp;"'!"&amp;VLOOKUP(S$87,'List Values'!$C$3:$D$6,2,FALSE)&amp;ROW(S294))),IF(S$86&lt;&gt;"","Data Source Error",""))))</f>
        <v/>
      </c>
      <c r="V294" s="580"/>
      <c r="W294" s="911" t="str">
        <f ca="1">IF(OR($H$7&lt;6,W$260&lt;2),"",IF(V294&lt;&gt;"",V294,IFERROR(IF(INDIRECT("'"&amp;V$86&amp;"'!"&amp;VLOOKUP(V$87,'List Values'!$C$3:$D$6,2,FALSE)&amp;ROW(V294))="","",INDIRECT("'"&amp;V$86&amp;"'!"&amp;VLOOKUP(V$87,'List Values'!$C$3:$D$6,2,FALSE)&amp;ROW(V294))),IF(V$86&lt;&gt;"","Data Source Error",""))))</f>
        <v/>
      </c>
      <c r="Y294" s="2643"/>
      <c r="Z294" s="2644"/>
      <c r="AA294" s="2644"/>
      <c r="AB294" s="2645"/>
    </row>
    <row r="295" spans="1:28" ht="15.75" customHeight="1" outlineLevel="1">
      <c r="A295" s="513"/>
      <c r="B295" s="252"/>
      <c r="C295" s="2680" t="s">
        <v>334</v>
      </c>
      <c r="D295" s="2680"/>
      <c r="E295" s="2062"/>
      <c r="F295" s="2062"/>
      <c r="G295" s="636"/>
      <c r="H295" s="637"/>
      <c r="I295" s="187"/>
      <c r="J295" s="580"/>
      <c r="K295" s="900" t="str">
        <f ca="1">IF(OR($H$7&lt;2,K$260&lt;2),"",IF(J295&lt;&gt;"",J295,IFERROR(IF(INDIRECT("'"&amp;J$86&amp;"'!"&amp;VLOOKUP(J$87,'List Values'!$C$3:$D$6,2,FALSE)&amp;ROW(J295))="","",INDIRECT("'"&amp;J$86&amp;"'!"&amp;VLOOKUP(J$87,'List Values'!$C$3:$D$6,2,FALSE)&amp;ROW(J295))),IF(J$86&lt;&gt;"","Data Source Error",""))))</f>
        <v/>
      </c>
      <c r="L295" s="187"/>
      <c r="M295" s="580"/>
      <c r="N295" s="900" t="str">
        <f ca="1">IF(OR($H$7&lt;3,N$260&lt;2),"",IF(M295&lt;&gt;"",M295,IFERROR(IF(INDIRECT("'"&amp;M$86&amp;"'!"&amp;VLOOKUP(M$87,'List Values'!$C$3:$D$6,2,FALSE)&amp;ROW(M295))="","",INDIRECT("'"&amp;M$86&amp;"'!"&amp;VLOOKUP(M$87,'List Values'!$C$3:$D$6,2,FALSE)&amp;ROW(M295))),IF(M$86&lt;&gt;"","Data Source Error",""))))</f>
        <v/>
      </c>
      <c r="O295" s="187"/>
      <c r="P295" s="580"/>
      <c r="Q295" s="900" t="str">
        <f ca="1">IF(OR($H$7&lt;4,Q$260&lt;2),"",IF(P295&lt;&gt;"",P295,IFERROR(IF(INDIRECT("'"&amp;P$86&amp;"'!"&amp;VLOOKUP(P$87,'List Values'!$C$3:$D$6,2,FALSE)&amp;ROW(P295))="","",INDIRECT("'"&amp;P$86&amp;"'!"&amp;VLOOKUP(P$87,'List Values'!$C$3:$D$6,2,FALSE)&amp;ROW(P295))),IF(P$86&lt;&gt;"","Data Source Error",""))))</f>
        <v/>
      </c>
      <c r="S295" s="580"/>
      <c r="T295" s="900" t="str">
        <f ca="1">IF(OR($H$7&lt;5,T$260&lt;2),"",IF(S295&lt;&gt;"",S295,IFERROR(IF(INDIRECT("'"&amp;S$86&amp;"'!"&amp;VLOOKUP(S$87,'List Values'!$C$3:$D$6,2,FALSE)&amp;ROW(S295))="","",INDIRECT("'"&amp;S$86&amp;"'!"&amp;VLOOKUP(S$87,'List Values'!$C$3:$D$6,2,FALSE)&amp;ROW(S295))),IF(S$86&lt;&gt;"","Data Source Error",""))))</f>
        <v/>
      </c>
      <c r="V295" s="580"/>
      <c r="W295" s="911" t="str">
        <f ca="1">IF(OR($H$7&lt;6,W$260&lt;2),"",IF(V295&lt;&gt;"",V295,IFERROR(IF(INDIRECT("'"&amp;V$86&amp;"'!"&amp;VLOOKUP(V$87,'List Values'!$C$3:$D$6,2,FALSE)&amp;ROW(V295))="","",INDIRECT("'"&amp;V$86&amp;"'!"&amp;VLOOKUP(V$87,'List Values'!$C$3:$D$6,2,FALSE)&amp;ROW(V295))),IF(V$86&lt;&gt;"","Data Source Error",""))))</f>
        <v/>
      </c>
      <c r="Y295" s="2643"/>
      <c r="Z295" s="2644"/>
      <c r="AA295" s="2644"/>
      <c r="AB295" s="2645"/>
    </row>
    <row r="296" spans="1:28" ht="15.75" customHeight="1" outlineLevel="1">
      <c r="A296" s="513"/>
      <c r="B296" s="252"/>
      <c r="C296" s="2684" t="s">
        <v>335</v>
      </c>
      <c r="D296" s="2684"/>
      <c r="E296" s="2062"/>
      <c r="F296" s="2062"/>
      <c r="G296" s="636"/>
      <c r="H296" s="637"/>
      <c r="I296" s="187"/>
      <c r="J296" s="580"/>
      <c r="K296" s="900" t="str">
        <f ca="1">IF(OR($H$7&lt;2,K$260&lt;2),"",IF(J296&lt;&gt;"",J296,IFERROR(IF(INDIRECT("'"&amp;J$86&amp;"'!"&amp;VLOOKUP(J$87,'List Values'!$C$3:$D$6,2,FALSE)&amp;ROW(J296))="","",INDIRECT("'"&amp;J$86&amp;"'!"&amp;VLOOKUP(J$87,'List Values'!$C$3:$D$6,2,FALSE)&amp;ROW(J296))),IF(J$86&lt;&gt;"","Data Source Error",""))))</f>
        <v/>
      </c>
      <c r="L296" s="187"/>
      <c r="M296" s="580"/>
      <c r="N296" s="900" t="str">
        <f ca="1">IF(OR($H$7&lt;3,N$260&lt;2),"",IF(M296&lt;&gt;"",M296,IFERROR(IF(INDIRECT("'"&amp;M$86&amp;"'!"&amp;VLOOKUP(M$87,'List Values'!$C$3:$D$6,2,FALSE)&amp;ROW(M296))="","",INDIRECT("'"&amp;M$86&amp;"'!"&amp;VLOOKUP(M$87,'List Values'!$C$3:$D$6,2,FALSE)&amp;ROW(M296))),IF(M$86&lt;&gt;"","Data Source Error",""))))</f>
        <v/>
      </c>
      <c r="O296" s="187"/>
      <c r="P296" s="580"/>
      <c r="Q296" s="900" t="str">
        <f ca="1">IF(OR($H$7&lt;4,Q$260&lt;2),"",IF(P296&lt;&gt;"",P296,IFERROR(IF(INDIRECT("'"&amp;P$86&amp;"'!"&amp;VLOOKUP(P$87,'List Values'!$C$3:$D$6,2,FALSE)&amp;ROW(P296))="","",INDIRECT("'"&amp;P$86&amp;"'!"&amp;VLOOKUP(P$87,'List Values'!$C$3:$D$6,2,FALSE)&amp;ROW(P296))),IF(P$86&lt;&gt;"","Data Source Error",""))))</f>
        <v/>
      </c>
      <c r="S296" s="580"/>
      <c r="T296" s="900" t="str">
        <f ca="1">IF(OR($H$7&lt;5,T$260&lt;2),"",IF(S296&lt;&gt;"",S296,IFERROR(IF(INDIRECT("'"&amp;S$86&amp;"'!"&amp;VLOOKUP(S$87,'List Values'!$C$3:$D$6,2,FALSE)&amp;ROW(S296))="","",INDIRECT("'"&amp;S$86&amp;"'!"&amp;VLOOKUP(S$87,'List Values'!$C$3:$D$6,2,FALSE)&amp;ROW(S296))),IF(S$86&lt;&gt;"","Data Source Error",""))))</f>
        <v/>
      </c>
      <c r="V296" s="580"/>
      <c r="W296" s="911" t="str">
        <f ca="1">IF(OR($H$7&lt;6,W$260&lt;2),"",IF(V296&lt;&gt;"",V296,IFERROR(IF(INDIRECT("'"&amp;V$86&amp;"'!"&amp;VLOOKUP(V$87,'List Values'!$C$3:$D$6,2,FALSE)&amp;ROW(V296))="","",INDIRECT("'"&amp;V$86&amp;"'!"&amp;VLOOKUP(V$87,'List Values'!$C$3:$D$6,2,FALSE)&amp;ROW(V296))),IF(V$86&lt;&gt;"","Data Source Error",""))))</f>
        <v/>
      </c>
      <c r="Y296" s="2643"/>
      <c r="Z296" s="2644"/>
      <c r="AA296" s="2644"/>
      <c r="AB296" s="2645"/>
    </row>
    <row r="297" spans="1:28" ht="31" customHeight="1" outlineLevel="1">
      <c r="A297" s="513"/>
      <c r="B297" s="252"/>
      <c r="C297" s="2680" t="s">
        <v>336</v>
      </c>
      <c r="D297" s="2680"/>
      <c r="E297" s="2062"/>
      <c r="F297" s="2062"/>
      <c r="G297" s="636"/>
      <c r="H297" s="637"/>
      <c r="I297" s="187"/>
      <c r="J297" s="580"/>
      <c r="K297" s="900" t="str">
        <f ca="1">IF(OR($H$7&lt;2,K$260&lt;2),"",IF(J297&lt;&gt;"",J297,IFERROR(IF(INDIRECT("'"&amp;J$86&amp;"'!"&amp;VLOOKUP(J$87,'List Values'!$C$3:$D$6,2,FALSE)&amp;ROW(J297))="","",INDIRECT("'"&amp;J$86&amp;"'!"&amp;VLOOKUP(J$87,'List Values'!$C$3:$D$6,2,FALSE)&amp;ROW(J297))),IF(J$86&lt;&gt;"","Data Source Error",""))))</f>
        <v/>
      </c>
      <c r="L297" s="187"/>
      <c r="M297" s="580"/>
      <c r="N297" s="900" t="str">
        <f ca="1">IF(OR($H$7&lt;3,N$260&lt;2),"",IF(M297&lt;&gt;"",M297,IFERROR(IF(INDIRECT("'"&amp;M$86&amp;"'!"&amp;VLOOKUP(M$87,'List Values'!$C$3:$D$6,2,FALSE)&amp;ROW(M297))="","",INDIRECT("'"&amp;M$86&amp;"'!"&amp;VLOOKUP(M$87,'List Values'!$C$3:$D$6,2,FALSE)&amp;ROW(M297))),IF(M$86&lt;&gt;"","Data Source Error",""))))</f>
        <v/>
      </c>
      <c r="O297" s="187"/>
      <c r="P297" s="580"/>
      <c r="Q297" s="900" t="str">
        <f ca="1">IF(OR($H$7&lt;4,Q$260&lt;2),"",IF(P297&lt;&gt;"",P297,IFERROR(IF(INDIRECT("'"&amp;P$86&amp;"'!"&amp;VLOOKUP(P$87,'List Values'!$C$3:$D$6,2,FALSE)&amp;ROW(P297))="","",INDIRECT("'"&amp;P$86&amp;"'!"&amp;VLOOKUP(P$87,'List Values'!$C$3:$D$6,2,FALSE)&amp;ROW(P297))),IF(P$86&lt;&gt;"","Data Source Error",""))))</f>
        <v/>
      </c>
      <c r="S297" s="580"/>
      <c r="T297" s="900" t="str">
        <f ca="1">IF(OR($H$7&lt;5,T$260&lt;2),"",IF(S297&lt;&gt;"",S297,IFERROR(IF(INDIRECT("'"&amp;S$86&amp;"'!"&amp;VLOOKUP(S$87,'List Values'!$C$3:$D$6,2,FALSE)&amp;ROW(S297))="","",INDIRECT("'"&amp;S$86&amp;"'!"&amp;VLOOKUP(S$87,'List Values'!$C$3:$D$6,2,FALSE)&amp;ROW(S297))),IF(S$86&lt;&gt;"","Data Source Error",""))))</f>
        <v/>
      </c>
      <c r="V297" s="580"/>
      <c r="W297" s="911" t="str">
        <f ca="1">IF(OR($H$7&lt;6,W$260&lt;2),"",IF(V297&lt;&gt;"",V297,IFERROR(IF(INDIRECT("'"&amp;V$86&amp;"'!"&amp;VLOOKUP(V$87,'List Values'!$C$3:$D$6,2,FALSE)&amp;ROW(V297))="","",INDIRECT("'"&amp;V$86&amp;"'!"&amp;VLOOKUP(V$87,'List Values'!$C$3:$D$6,2,FALSE)&amp;ROW(V297))),IF(V$86&lt;&gt;"","Data Source Error",""))))</f>
        <v/>
      </c>
      <c r="Y297" s="2643"/>
      <c r="Z297" s="2644"/>
      <c r="AA297" s="2644"/>
      <c r="AB297" s="2645"/>
    </row>
    <row r="298" spans="1:28" ht="33" customHeight="1" outlineLevel="1">
      <c r="A298" s="513"/>
      <c r="B298" s="252"/>
      <c r="C298" s="2680" t="s">
        <v>337</v>
      </c>
      <c r="D298" s="2680"/>
      <c r="E298" s="2062"/>
      <c r="F298" s="2062"/>
      <c r="G298" s="636"/>
      <c r="H298" s="637"/>
      <c r="I298" s="187"/>
      <c r="J298" s="580"/>
      <c r="K298" s="900" t="str">
        <f ca="1">IF(OR($H$7&lt;2,K$260&lt;2),"",IF(J298&lt;&gt;"",J298,IFERROR(IF(INDIRECT("'"&amp;J$86&amp;"'!"&amp;VLOOKUP(J$87,'List Values'!$C$3:$D$6,2,FALSE)&amp;ROW(J298))="","",INDIRECT("'"&amp;J$86&amp;"'!"&amp;VLOOKUP(J$87,'List Values'!$C$3:$D$6,2,FALSE)&amp;ROW(J298))),IF(J$86&lt;&gt;"","Data Source Error",""))))</f>
        <v/>
      </c>
      <c r="L298" s="187"/>
      <c r="M298" s="580"/>
      <c r="N298" s="900" t="str">
        <f ca="1">IF(OR($H$7&lt;3,N$260&lt;2),"",IF(M298&lt;&gt;"",M298,IFERROR(IF(INDIRECT("'"&amp;M$86&amp;"'!"&amp;VLOOKUP(M$87,'List Values'!$C$3:$D$6,2,FALSE)&amp;ROW(M298))="","",INDIRECT("'"&amp;M$86&amp;"'!"&amp;VLOOKUP(M$87,'List Values'!$C$3:$D$6,2,FALSE)&amp;ROW(M298))),IF(M$86&lt;&gt;"","Data Source Error",""))))</f>
        <v/>
      </c>
      <c r="O298" s="187"/>
      <c r="P298" s="580"/>
      <c r="Q298" s="900" t="str">
        <f ca="1">IF(OR($H$7&lt;4,Q$260&lt;2),"",IF(P298&lt;&gt;"",P298,IFERROR(IF(INDIRECT("'"&amp;P$86&amp;"'!"&amp;VLOOKUP(P$87,'List Values'!$C$3:$D$6,2,FALSE)&amp;ROW(P298))="","",INDIRECT("'"&amp;P$86&amp;"'!"&amp;VLOOKUP(P$87,'List Values'!$C$3:$D$6,2,FALSE)&amp;ROW(P298))),IF(P$86&lt;&gt;"","Data Source Error",""))))</f>
        <v/>
      </c>
      <c r="S298" s="580"/>
      <c r="T298" s="900" t="str">
        <f ca="1">IF(OR($H$7&lt;5,T$260&lt;2),"",IF(S298&lt;&gt;"",S298,IFERROR(IF(INDIRECT("'"&amp;S$86&amp;"'!"&amp;VLOOKUP(S$87,'List Values'!$C$3:$D$6,2,FALSE)&amp;ROW(S298))="","",INDIRECT("'"&amp;S$86&amp;"'!"&amp;VLOOKUP(S$87,'List Values'!$C$3:$D$6,2,FALSE)&amp;ROW(S298))),IF(S$86&lt;&gt;"","Data Source Error",""))))</f>
        <v/>
      </c>
      <c r="V298" s="580"/>
      <c r="W298" s="911" t="str">
        <f ca="1">IF(OR($H$7&lt;6,W$260&lt;2),"",IF(V298&lt;&gt;"",V298,IFERROR(IF(INDIRECT("'"&amp;V$86&amp;"'!"&amp;VLOOKUP(V$87,'List Values'!$C$3:$D$6,2,FALSE)&amp;ROW(V298))="","",INDIRECT("'"&amp;V$86&amp;"'!"&amp;VLOOKUP(V$87,'List Values'!$C$3:$D$6,2,FALSE)&amp;ROW(V298))),IF(V$86&lt;&gt;"","Data Source Error",""))))</f>
        <v/>
      </c>
      <c r="Y298" s="2643"/>
      <c r="Z298" s="2644"/>
      <c r="AA298" s="2644"/>
      <c r="AB298" s="2645"/>
    </row>
    <row r="299" spans="1:28" ht="33" customHeight="1" outlineLevel="1">
      <c r="A299" s="513"/>
      <c r="B299" s="252"/>
      <c r="C299" s="2680" t="s">
        <v>338</v>
      </c>
      <c r="D299" s="2680"/>
      <c r="E299" s="2062"/>
      <c r="F299" s="2062"/>
      <c r="G299" s="636"/>
      <c r="H299" s="637"/>
      <c r="I299" s="187"/>
      <c r="J299" s="580"/>
      <c r="K299" s="900" t="str">
        <f ca="1">IF(OR($H$7&lt;2,K$260&lt;2),"",IF(J299&lt;&gt;"",J299,IFERROR(IF(INDIRECT("'"&amp;J$86&amp;"'!"&amp;VLOOKUP(J$87,'List Values'!$C$3:$D$6,2,FALSE)&amp;ROW(J299))="","",INDIRECT("'"&amp;J$86&amp;"'!"&amp;VLOOKUP(J$87,'List Values'!$C$3:$D$6,2,FALSE)&amp;ROW(J299))),IF(J$86&lt;&gt;"","Data Source Error",""))))</f>
        <v/>
      </c>
      <c r="L299" s="187"/>
      <c r="M299" s="580"/>
      <c r="N299" s="900" t="str">
        <f ca="1">IF(OR($H$7&lt;3,N$260&lt;2),"",IF(M299&lt;&gt;"",M299,IFERROR(IF(INDIRECT("'"&amp;M$86&amp;"'!"&amp;VLOOKUP(M$87,'List Values'!$C$3:$D$6,2,FALSE)&amp;ROW(M299))="","",INDIRECT("'"&amp;M$86&amp;"'!"&amp;VLOOKUP(M$87,'List Values'!$C$3:$D$6,2,FALSE)&amp;ROW(M299))),IF(M$86&lt;&gt;"","Data Source Error",""))))</f>
        <v/>
      </c>
      <c r="O299" s="187"/>
      <c r="P299" s="580"/>
      <c r="Q299" s="900" t="str">
        <f ca="1">IF(OR($H$7&lt;4,Q$260&lt;2),"",IF(P299&lt;&gt;"",P299,IFERROR(IF(INDIRECT("'"&amp;P$86&amp;"'!"&amp;VLOOKUP(P$87,'List Values'!$C$3:$D$6,2,FALSE)&amp;ROW(P299))="","",INDIRECT("'"&amp;P$86&amp;"'!"&amp;VLOOKUP(P$87,'List Values'!$C$3:$D$6,2,FALSE)&amp;ROW(P299))),IF(P$86&lt;&gt;"","Data Source Error",""))))</f>
        <v/>
      </c>
      <c r="S299" s="580"/>
      <c r="T299" s="900" t="str">
        <f ca="1">IF(OR($H$7&lt;5,T$260&lt;2),"",IF(S299&lt;&gt;"",S299,IFERROR(IF(INDIRECT("'"&amp;S$86&amp;"'!"&amp;VLOOKUP(S$87,'List Values'!$C$3:$D$6,2,FALSE)&amp;ROW(S299))="","",INDIRECT("'"&amp;S$86&amp;"'!"&amp;VLOOKUP(S$87,'List Values'!$C$3:$D$6,2,FALSE)&amp;ROW(S299))),IF(S$86&lt;&gt;"","Data Source Error",""))))</f>
        <v/>
      </c>
      <c r="V299" s="580"/>
      <c r="W299" s="911" t="str">
        <f ca="1">IF(OR($H$7&lt;6,W$260&lt;2),"",IF(V299&lt;&gt;"",V299,IFERROR(IF(INDIRECT("'"&amp;V$86&amp;"'!"&amp;VLOOKUP(V$87,'List Values'!$C$3:$D$6,2,FALSE)&amp;ROW(V299))="","",INDIRECT("'"&amp;V$86&amp;"'!"&amp;VLOOKUP(V$87,'List Values'!$C$3:$D$6,2,FALSE)&amp;ROW(V299))),IF(V$86&lt;&gt;"","Data Source Error",""))))</f>
        <v/>
      </c>
      <c r="Y299" s="2643"/>
      <c r="Z299" s="2644"/>
      <c r="AA299" s="2644"/>
      <c r="AB299" s="2645"/>
    </row>
    <row r="300" spans="1:28" ht="15.75" customHeight="1" outlineLevel="1">
      <c r="A300" s="513"/>
      <c r="B300" s="252"/>
      <c r="C300" s="2680" t="s">
        <v>650</v>
      </c>
      <c r="D300" s="2680"/>
      <c r="E300" s="2062"/>
      <c r="F300" s="2062"/>
      <c r="G300" s="636"/>
      <c r="H300" s="637"/>
      <c r="I300" s="187"/>
      <c r="J300" s="580"/>
      <c r="K300" s="900" t="str">
        <f ca="1">IF(OR($H$7&lt;2,K$260&lt;2),"",IF(J300&lt;&gt;"",J300,IFERROR(IF(INDIRECT("'"&amp;J$86&amp;"'!"&amp;VLOOKUP(J$87,'List Values'!$C$3:$D$6,2,FALSE)&amp;ROW(J300))="","",INDIRECT("'"&amp;J$86&amp;"'!"&amp;VLOOKUP(J$87,'List Values'!$C$3:$D$6,2,FALSE)&amp;ROW(J300))),IF(J$86&lt;&gt;"","Data Source Error",""))))</f>
        <v/>
      </c>
      <c r="L300" s="187"/>
      <c r="M300" s="580"/>
      <c r="N300" s="900" t="str">
        <f ca="1">IF(OR($H$7&lt;3,N$260&lt;2),"",IF(M300&lt;&gt;"",M300,IFERROR(IF(INDIRECT("'"&amp;M$86&amp;"'!"&amp;VLOOKUP(M$87,'List Values'!$C$3:$D$6,2,FALSE)&amp;ROW(M300))="","",INDIRECT("'"&amp;M$86&amp;"'!"&amp;VLOOKUP(M$87,'List Values'!$C$3:$D$6,2,FALSE)&amp;ROW(M300))),IF(M$86&lt;&gt;"","Data Source Error",""))))</f>
        <v/>
      </c>
      <c r="O300" s="187"/>
      <c r="P300" s="580"/>
      <c r="Q300" s="900" t="str">
        <f ca="1">IF(OR($H$7&lt;4,Q$260&lt;2),"",IF(P300&lt;&gt;"",P300,IFERROR(IF(INDIRECT("'"&amp;P$86&amp;"'!"&amp;VLOOKUP(P$87,'List Values'!$C$3:$D$6,2,FALSE)&amp;ROW(P300))="","",INDIRECT("'"&amp;P$86&amp;"'!"&amp;VLOOKUP(P$87,'List Values'!$C$3:$D$6,2,FALSE)&amp;ROW(P300))),IF(P$86&lt;&gt;"","Data Source Error",""))))</f>
        <v/>
      </c>
      <c r="S300" s="580"/>
      <c r="T300" s="900" t="str">
        <f ca="1">IF(OR($H$7&lt;5,T$260&lt;2),"",IF(S300&lt;&gt;"",S300,IFERROR(IF(INDIRECT("'"&amp;S$86&amp;"'!"&amp;VLOOKUP(S$87,'List Values'!$C$3:$D$6,2,FALSE)&amp;ROW(S300))="","",INDIRECT("'"&amp;S$86&amp;"'!"&amp;VLOOKUP(S$87,'List Values'!$C$3:$D$6,2,FALSE)&amp;ROW(S300))),IF(S$86&lt;&gt;"","Data Source Error",""))))</f>
        <v/>
      </c>
      <c r="V300" s="580"/>
      <c r="W300" s="911" t="str">
        <f ca="1">IF(OR($H$7&lt;6,W$260&lt;2),"",IF(V300&lt;&gt;"",V300,IFERROR(IF(INDIRECT("'"&amp;V$86&amp;"'!"&amp;VLOOKUP(V$87,'List Values'!$C$3:$D$6,2,FALSE)&amp;ROW(V300))="","",INDIRECT("'"&amp;V$86&amp;"'!"&amp;VLOOKUP(V$87,'List Values'!$C$3:$D$6,2,FALSE)&amp;ROW(V300))),IF(V$86&lt;&gt;"","Data Source Error",""))))</f>
        <v/>
      </c>
      <c r="Y300" s="2643"/>
      <c r="Z300" s="2644"/>
      <c r="AA300" s="2644"/>
      <c r="AB300" s="2645"/>
    </row>
    <row r="301" spans="1:28" ht="31" customHeight="1" outlineLevel="1">
      <c r="A301" s="513"/>
      <c r="B301" s="252"/>
      <c r="C301" s="2680" t="s">
        <v>651</v>
      </c>
      <c r="D301" s="2680"/>
      <c r="E301" s="238"/>
      <c r="F301" s="238"/>
      <c r="G301" s="638"/>
      <c r="H301" s="639"/>
      <c r="I301" s="184"/>
      <c r="J301" s="624"/>
      <c r="K301" s="941" t="str">
        <f ca="1">IF(OR($H$7&lt;2,K$260&lt;2),"",IF(J301&lt;&gt;"",J301,IFERROR(IF(INDIRECT("'"&amp;J$86&amp;"'!"&amp;VLOOKUP(J$87,'List Values'!$C$3:$D$6,2,FALSE)&amp;ROW(J301))="","",INDIRECT("'"&amp;J$86&amp;"'!"&amp;VLOOKUP(J$87,'List Values'!$C$3:$D$6,2,FALSE)&amp;ROW(J301))),IF(J$86&lt;&gt;"","Data Source Error",""))))</f>
        <v/>
      </c>
      <c r="L301" s="184"/>
      <c r="M301" s="624"/>
      <c r="N301" s="941" t="str">
        <f ca="1">IF(OR($H$7&lt;3,N$260&lt;2),"",IF(M301&lt;&gt;"",M301,IFERROR(IF(INDIRECT("'"&amp;M$86&amp;"'!"&amp;VLOOKUP(M$87,'List Values'!$C$3:$D$6,2,FALSE)&amp;ROW(M301))="","",INDIRECT("'"&amp;M$86&amp;"'!"&amp;VLOOKUP(M$87,'List Values'!$C$3:$D$6,2,FALSE)&amp;ROW(M301))),IF(M$86&lt;&gt;"","Data Source Error",""))))</f>
        <v/>
      </c>
      <c r="O301" s="184"/>
      <c r="P301" s="624"/>
      <c r="Q301" s="941" t="str">
        <f ca="1">IF(OR($H$7&lt;4,Q$260&lt;2),"",IF(P301&lt;&gt;"",P301,IFERROR(IF(INDIRECT("'"&amp;P$86&amp;"'!"&amp;VLOOKUP(P$87,'List Values'!$C$3:$D$6,2,FALSE)&amp;ROW(P301))="","",INDIRECT("'"&amp;P$86&amp;"'!"&amp;VLOOKUP(P$87,'List Values'!$C$3:$D$6,2,FALSE)&amp;ROW(P301))),IF(P$86&lt;&gt;"","Data Source Error",""))))</f>
        <v/>
      </c>
      <c r="S301" s="624"/>
      <c r="T301" s="941" t="str">
        <f ca="1">IF(OR($H$7&lt;5,T$260&lt;2),"",IF(S301&lt;&gt;"",S301,IFERROR(IF(INDIRECT("'"&amp;S$86&amp;"'!"&amp;VLOOKUP(S$87,'List Values'!$C$3:$D$6,2,FALSE)&amp;ROW(S301))="","",INDIRECT("'"&amp;S$86&amp;"'!"&amp;VLOOKUP(S$87,'List Values'!$C$3:$D$6,2,FALSE)&amp;ROW(S301))),IF(S$86&lt;&gt;"","Data Source Error",""))))</f>
        <v/>
      </c>
      <c r="V301" s="624"/>
      <c r="W301" s="947" t="str">
        <f ca="1">IF(OR($H$7&lt;6,W$260&lt;2),"",IF(V301&lt;&gt;"",V301,IFERROR(IF(INDIRECT("'"&amp;V$86&amp;"'!"&amp;VLOOKUP(V$87,'List Values'!$C$3:$D$6,2,FALSE)&amp;ROW(V301))="","",INDIRECT("'"&amp;V$86&amp;"'!"&amp;VLOOKUP(V$87,'List Values'!$C$3:$D$6,2,FALSE)&amp;ROW(V301))),IF(V$86&lt;&gt;"","Data Source Error",""))))</f>
        <v/>
      </c>
      <c r="Y301" s="2643"/>
      <c r="Z301" s="2644"/>
      <c r="AA301" s="2644"/>
      <c r="AB301" s="2645"/>
    </row>
    <row r="302" spans="1:28" ht="21" customHeight="1">
      <c r="A302" s="807"/>
      <c r="B302" s="612" t="s">
        <v>621</v>
      </c>
      <c r="C302" s="604"/>
      <c r="D302" s="604"/>
      <c r="E302" s="614"/>
      <c r="F302" s="608"/>
      <c r="G302" s="615"/>
      <c r="H302" s="611"/>
      <c r="I302" s="608"/>
      <c r="J302" s="610"/>
      <c r="K302" s="970"/>
      <c r="L302" s="608"/>
      <c r="M302" s="610"/>
      <c r="N302" s="970"/>
      <c r="O302" s="608"/>
      <c r="P302" s="610"/>
      <c r="Q302" s="970"/>
      <c r="R302" s="608"/>
      <c r="S302" s="610"/>
      <c r="T302" s="970"/>
      <c r="U302" s="608"/>
      <c r="V302" s="610"/>
      <c r="W302" s="970"/>
      <c r="Y302" s="631"/>
      <c r="Z302" s="631"/>
      <c r="AA302" s="631"/>
      <c r="AB302" s="631"/>
    </row>
    <row r="303" spans="1:28" ht="15.75" customHeight="1" outlineLevel="1">
      <c r="A303" s="514"/>
      <c r="B303" s="252"/>
      <c r="C303" s="2580" t="s">
        <v>625</v>
      </c>
      <c r="D303" s="2580"/>
      <c r="E303" s="202"/>
      <c r="F303" s="202"/>
      <c r="G303" s="634"/>
      <c r="H303" s="635"/>
      <c r="I303" s="183"/>
      <c r="J303" s="628"/>
      <c r="K303" s="967" t="str">
        <f ca="1">IF(OR($H$7&lt;2,K$260&lt;3),"",IF(J303&lt;&gt;"",J303,IFERROR(IF(INDIRECT("'"&amp;J$86&amp;"'!"&amp;VLOOKUP(J$87,'List Values'!$C$3:$D$6,2,FALSE)&amp;ROW(J303))="","",INDIRECT("'"&amp;J$86&amp;"'!"&amp;VLOOKUP(J$87,'List Values'!$C$3:$D$6,2,FALSE)&amp;ROW(J303))),IF(J$86&lt;&gt;"","Data Source Error",""))))</f>
        <v/>
      </c>
      <c r="L303" s="629"/>
      <c r="M303" s="628"/>
      <c r="N303" s="967" t="str">
        <f ca="1">IF(OR($H$7&lt;3,N$260&lt;3),"",IF(M303&lt;&gt;"",M303,IFERROR(IF(INDIRECT("'"&amp;M$86&amp;"'!"&amp;VLOOKUP(M$87,'List Values'!$C$3:$D$6,2,FALSE)&amp;ROW(M303))="","",INDIRECT("'"&amp;M$86&amp;"'!"&amp;VLOOKUP(M$87,'List Values'!$C$3:$D$6,2,FALSE)&amp;ROW(M303))),IF(M$86&lt;&gt;"","Data Source Error",""))))</f>
        <v/>
      </c>
      <c r="O303" s="629"/>
      <c r="P303" s="628"/>
      <c r="Q303" s="967" t="str">
        <f ca="1">IF(OR($H$7&lt;4,Q$260&lt;3),"",IF(P303&lt;&gt;"",P303,IFERROR(IF(INDIRECT("'"&amp;P$86&amp;"'!"&amp;VLOOKUP(P$87,'List Values'!$C$3:$D$6,2,FALSE)&amp;ROW(P303))="","",INDIRECT("'"&amp;P$86&amp;"'!"&amp;VLOOKUP(P$87,'List Values'!$C$3:$D$6,2,FALSE)&amp;ROW(P303))),IF(P$86&lt;&gt;"","Data Source Error",""))))</f>
        <v/>
      </c>
      <c r="R303" s="147"/>
      <c r="S303" s="628"/>
      <c r="T303" s="967" t="str">
        <f ca="1">IF(OR($H$7&lt;5,T$260&lt;3),"",IF(S303&lt;&gt;"",S303,IFERROR(IF(INDIRECT("'"&amp;S$86&amp;"'!"&amp;VLOOKUP(S$87,'List Values'!$C$3:$D$6,2,FALSE)&amp;ROW(S303))="","",INDIRECT("'"&amp;S$86&amp;"'!"&amp;VLOOKUP(S$87,'List Values'!$C$3:$D$6,2,FALSE)&amp;ROW(S303))),IF(S$86&lt;&gt;"","Data Source Error",""))))</f>
        <v/>
      </c>
      <c r="U303" s="147"/>
      <c r="V303" s="628"/>
      <c r="W303" s="973" t="str">
        <f ca="1">IF(OR($H$7&lt;6,W$260&lt;3),"",IF(V303&lt;&gt;"",V303,IFERROR(IF(INDIRECT("'"&amp;V$86&amp;"'!"&amp;VLOOKUP(V$87,'List Values'!$C$3:$D$6,2,FALSE)&amp;ROW(V303))="","",INDIRECT("'"&amp;V$86&amp;"'!"&amp;VLOOKUP(V$87,'List Values'!$C$3:$D$6,2,FALSE)&amp;ROW(V303))),IF(V$86&lt;&gt;"","Data Source Error",""))))</f>
        <v/>
      </c>
      <c r="Y303" s="2643"/>
      <c r="Z303" s="2644"/>
      <c r="AA303" s="2644"/>
      <c r="AB303" s="2645"/>
    </row>
    <row r="304" spans="1:28" ht="15.75" customHeight="1" outlineLevel="1">
      <c r="A304" s="514"/>
      <c r="B304" s="252"/>
      <c r="C304" s="2680" t="s">
        <v>626</v>
      </c>
      <c r="D304" s="2680"/>
      <c r="E304" s="2062"/>
      <c r="F304" s="2062"/>
      <c r="G304" s="636"/>
      <c r="H304" s="637"/>
      <c r="I304" s="187"/>
      <c r="J304" s="526"/>
      <c r="K304" s="900" t="str">
        <f ca="1">IF(OR($H$7&lt;2,K$260&lt;3),"",IF(J304&lt;&gt;"",J304,IFERROR(IF(INDIRECT("'"&amp;J$86&amp;"'!"&amp;VLOOKUP(J$87,'List Values'!$C$3:$D$6,2,FALSE)&amp;ROW(J304))="","",INDIRECT("'"&amp;J$86&amp;"'!"&amp;VLOOKUP(J$87,'List Values'!$C$3:$D$6,2,FALSE)&amp;ROW(J304))),IF(J$86&lt;&gt;"","Data Source Error",""))))</f>
        <v/>
      </c>
      <c r="L304" s="187"/>
      <c r="M304" s="526"/>
      <c r="N304" s="900" t="str">
        <f ca="1">IF(OR($H$7&lt;3,N$260&lt;3),"",IF(M304&lt;&gt;"",M304,IFERROR(IF(INDIRECT("'"&amp;M$86&amp;"'!"&amp;VLOOKUP(M$87,'List Values'!$C$3:$D$6,2,FALSE)&amp;ROW(M304))="","",INDIRECT("'"&amp;M$86&amp;"'!"&amp;VLOOKUP(M$87,'List Values'!$C$3:$D$6,2,FALSE)&amp;ROW(M304))),IF(M$86&lt;&gt;"","Data Source Error",""))))</f>
        <v/>
      </c>
      <c r="O304" s="187"/>
      <c r="P304" s="526"/>
      <c r="Q304" s="900" t="str">
        <f ca="1">IF(OR($H$7&lt;4,Q$260&lt;3),"",IF(P304&lt;&gt;"",P304,IFERROR(IF(INDIRECT("'"&amp;P$86&amp;"'!"&amp;VLOOKUP(P$87,'List Values'!$C$3:$D$6,2,FALSE)&amp;ROW(P304))="","",INDIRECT("'"&amp;P$86&amp;"'!"&amp;VLOOKUP(P$87,'List Values'!$C$3:$D$6,2,FALSE)&amp;ROW(P304))),IF(P$86&lt;&gt;"","Data Source Error",""))))</f>
        <v/>
      </c>
      <c r="S304" s="526"/>
      <c r="T304" s="900" t="str">
        <f ca="1">IF(OR($H$7&lt;5,T$260&lt;3),"",IF(S304&lt;&gt;"",S304,IFERROR(IF(INDIRECT("'"&amp;S$86&amp;"'!"&amp;VLOOKUP(S$87,'List Values'!$C$3:$D$6,2,FALSE)&amp;ROW(S304))="","",INDIRECT("'"&amp;S$86&amp;"'!"&amp;VLOOKUP(S$87,'List Values'!$C$3:$D$6,2,FALSE)&amp;ROW(S304))),IF(S$86&lt;&gt;"","Data Source Error",""))))</f>
        <v/>
      </c>
      <c r="V304" s="526"/>
      <c r="W304" s="911" t="str">
        <f ca="1">IF(OR($H$7&lt;6,W$260&lt;3),"",IF(V304&lt;&gt;"",V304,IFERROR(IF(INDIRECT("'"&amp;V$86&amp;"'!"&amp;VLOOKUP(V$87,'List Values'!$C$3:$D$6,2,FALSE)&amp;ROW(V304))="","",INDIRECT("'"&amp;V$86&amp;"'!"&amp;VLOOKUP(V$87,'List Values'!$C$3:$D$6,2,FALSE)&amp;ROW(V304))),IF(V$86&lt;&gt;"","Data Source Error",""))))</f>
        <v/>
      </c>
      <c r="Y304" s="2643"/>
      <c r="Z304" s="2644"/>
      <c r="AA304" s="2644"/>
      <c r="AB304" s="2645"/>
    </row>
    <row r="305" spans="1:28" ht="31" customHeight="1" outlineLevel="1">
      <c r="A305" s="514"/>
      <c r="B305" s="252"/>
      <c r="C305" s="2680" t="s">
        <v>627</v>
      </c>
      <c r="D305" s="2680"/>
      <c r="E305" s="2062"/>
      <c r="F305" s="2062"/>
      <c r="G305" s="636"/>
      <c r="H305" s="637"/>
      <c r="I305" s="187"/>
      <c r="J305" s="561"/>
      <c r="K305" s="900" t="str">
        <f ca="1">IF(OR($H$7&lt;2,K$260&lt;3),"",IF(J305&lt;&gt;"",J305,IFERROR(IF(INDIRECT("'"&amp;J$86&amp;"'!"&amp;VLOOKUP(J$87,'List Values'!$C$3:$D$6,2,FALSE)&amp;ROW(J305))="","",INDIRECT("'"&amp;J$86&amp;"'!"&amp;VLOOKUP(J$87,'List Values'!$C$3:$D$6,2,FALSE)&amp;ROW(J305))),IF(J$86&lt;&gt;"","Data Source Error",""))))</f>
        <v/>
      </c>
      <c r="L305" s="187"/>
      <c r="M305" s="561"/>
      <c r="N305" s="900" t="str">
        <f ca="1">IF(OR($H$7&lt;3,N$260&lt;3),"",IF(M305&lt;&gt;"",M305,IFERROR(IF(INDIRECT("'"&amp;M$86&amp;"'!"&amp;VLOOKUP(M$87,'List Values'!$C$3:$D$6,2,FALSE)&amp;ROW(M305))="","",INDIRECT("'"&amp;M$86&amp;"'!"&amp;VLOOKUP(M$87,'List Values'!$C$3:$D$6,2,FALSE)&amp;ROW(M305))),IF(M$86&lt;&gt;"","Data Source Error",""))))</f>
        <v/>
      </c>
      <c r="O305" s="187"/>
      <c r="P305" s="561"/>
      <c r="Q305" s="900" t="str">
        <f ca="1">IF(OR($H$7&lt;4,Q$260&lt;3),"",IF(P305&lt;&gt;"",P305,IFERROR(IF(INDIRECT("'"&amp;P$86&amp;"'!"&amp;VLOOKUP(P$87,'List Values'!$C$3:$D$6,2,FALSE)&amp;ROW(P305))="","",INDIRECT("'"&amp;P$86&amp;"'!"&amp;VLOOKUP(P$87,'List Values'!$C$3:$D$6,2,FALSE)&amp;ROW(P305))),IF(P$86&lt;&gt;"","Data Source Error",""))))</f>
        <v/>
      </c>
      <c r="S305" s="561"/>
      <c r="T305" s="900" t="str">
        <f ca="1">IF(OR($H$7&lt;5,T$260&lt;3),"",IF(S305&lt;&gt;"",S305,IFERROR(IF(INDIRECT("'"&amp;S$86&amp;"'!"&amp;VLOOKUP(S$87,'List Values'!$C$3:$D$6,2,FALSE)&amp;ROW(S305))="","",INDIRECT("'"&amp;S$86&amp;"'!"&amp;VLOOKUP(S$87,'List Values'!$C$3:$D$6,2,FALSE)&amp;ROW(S305))),IF(S$86&lt;&gt;"","Data Source Error",""))))</f>
        <v/>
      </c>
      <c r="V305" s="561"/>
      <c r="W305" s="911" t="str">
        <f ca="1">IF(OR($H$7&lt;6,W$260&lt;3),"",IF(V305&lt;&gt;"",V305,IFERROR(IF(INDIRECT("'"&amp;V$86&amp;"'!"&amp;VLOOKUP(V$87,'List Values'!$C$3:$D$6,2,FALSE)&amp;ROW(V305))="","",INDIRECT("'"&amp;V$86&amp;"'!"&amp;VLOOKUP(V$87,'List Values'!$C$3:$D$6,2,FALSE)&amp;ROW(V305))),IF(V$86&lt;&gt;"","Data Source Error",""))))</f>
        <v/>
      </c>
      <c r="Y305" s="2643"/>
      <c r="Z305" s="2644"/>
      <c r="AA305" s="2644"/>
      <c r="AB305" s="2645"/>
    </row>
    <row r="306" spans="1:28" ht="31" customHeight="1" outlineLevel="1">
      <c r="A306" s="514"/>
      <c r="B306" s="252"/>
      <c r="C306" s="2684" t="s">
        <v>628</v>
      </c>
      <c r="D306" s="2684"/>
      <c r="E306" s="2062"/>
      <c r="F306" s="2062"/>
      <c r="G306" s="636"/>
      <c r="H306" s="637"/>
      <c r="I306" s="187"/>
      <c r="J306" s="526"/>
      <c r="K306" s="900" t="str">
        <f ca="1">IF(OR($H$7&lt;2,K$260&lt;3),"",IF(J306&lt;&gt;"",J306,IFERROR(IF(INDIRECT("'"&amp;J$86&amp;"'!"&amp;VLOOKUP(J$87,'List Values'!$C$3:$D$6,2,FALSE)&amp;ROW(J306))="","",INDIRECT("'"&amp;J$86&amp;"'!"&amp;VLOOKUP(J$87,'List Values'!$C$3:$D$6,2,FALSE)&amp;ROW(J306))),IF(J$86&lt;&gt;"","Data Source Error",""))))</f>
        <v/>
      </c>
      <c r="L306" s="187"/>
      <c r="M306" s="526"/>
      <c r="N306" s="900" t="str">
        <f ca="1">IF(OR($H$7&lt;3,N$260&lt;3),"",IF(M306&lt;&gt;"",M306,IFERROR(IF(INDIRECT("'"&amp;M$86&amp;"'!"&amp;VLOOKUP(M$87,'List Values'!$C$3:$D$6,2,FALSE)&amp;ROW(M306))="","",INDIRECT("'"&amp;M$86&amp;"'!"&amp;VLOOKUP(M$87,'List Values'!$C$3:$D$6,2,FALSE)&amp;ROW(M306))),IF(M$86&lt;&gt;"","Data Source Error",""))))</f>
        <v/>
      </c>
      <c r="O306" s="187"/>
      <c r="P306" s="526"/>
      <c r="Q306" s="900" t="str">
        <f ca="1">IF(OR($H$7&lt;4,Q$260&lt;3),"",IF(P306&lt;&gt;"",P306,IFERROR(IF(INDIRECT("'"&amp;P$86&amp;"'!"&amp;VLOOKUP(P$87,'List Values'!$C$3:$D$6,2,FALSE)&amp;ROW(P306))="","",INDIRECT("'"&amp;P$86&amp;"'!"&amp;VLOOKUP(P$87,'List Values'!$C$3:$D$6,2,FALSE)&amp;ROW(P306))),IF(P$86&lt;&gt;"","Data Source Error",""))))</f>
        <v/>
      </c>
      <c r="S306" s="526"/>
      <c r="T306" s="900" t="str">
        <f ca="1">IF(OR($H$7&lt;5,T$260&lt;3),"",IF(S306&lt;&gt;"",S306,IFERROR(IF(INDIRECT("'"&amp;S$86&amp;"'!"&amp;VLOOKUP(S$87,'List Values'!$C$3:$D$6,2,FALSE)&amp;ROW(S306))="","",INDIRECT("'"&amp;S$86&amp;"'!"&amp;VLOOKUP(S$87,'List Values'!$C$3:$D$6,2,FALSE)&amp;ROW(S306))),IF(S$86&lt;&gt;"","Data Source Error",""))))</f>
        <v/>
      </c>
      <c r="V306" s="526"/>
      <c r="W306" s="911" t="str">
        <f ca="1">IF(OR($H$7&lt;6,W$260&lt;3),"",IF(V306&lt;&gt;"",V306,IFERROR(IF(INDIRECT("'"&amp;V$86&amp;"'!"&amp;VLOOKUP(V$87,'List Values'!$C$3:$D$6,2,FALSE)&amp;ROW(V306))="","",INDIRECT("'"&amp;V$86&amp;"'!"&amp;VLOOKUP(V$87,'List Values'!$C$3:$D$6,2,FALSE)&amp;ROW(V306))),IF(V$86&lt;&gt;"","Data Source Error",""))))</f>
        <v/>
      </c>
      <c r="Y306" s="2643"/>
      <c r="Z306" s="2644"/>
      <c r="AA306" s="2644"/>
      <c r="AB306" s="2645"/>
    </row>
    <row r="307" spans="1:28" ht="33" customHeight="1" outlineLevel="1">
      <c r="A307" s="514"/>
      <c r="B307" s="252"/>
      <c r="C307" s="2684" t="s">
        <v>629</v>
      </c>
      <c r="D307" s="2684"/>
      <c r="E307" s="2062"/>
      <c r="F307" s="2062"/>
      <c r="G307" s="636"/>
      <c r="H307" s="637"/>
      <c r="I307" s="187"/>
      <c r="J307" s="568"/>
      <c r="K307" s="945" t="str">
        <f ca="1">IF(OR($H$7&lt;2,K$260&lt;3),"",IF(J307&lt;&gt;"",J307,IFERROR(IF(INDIRECT("'"&amp;J$86&amp;"'!"&amp;VLOOKUP(J$87,'List Values'!$C$3:$D$6,2,FALSE)&amp;ROW(J307))="","",INDIRECT("'"&amp;J$86&amp;"'!"&amp;VLOOKUP(J$87,'List Values'!$C$3:$D$6,2,FALSE)&amp;ROW(J307))),IF(J$86&lt;&gt;"","Data Source Error",""))))</f>
        <v/>
      </c>
      <c r="L307" s="339"/>
      <c r="M307" s="568"/>
      <c r="N307" s="945" t="str">
        <f ca="1">IF(OR($H$7&lt;3,N$260&lt;3),"",IF(M307&lt;&gt;"",M307,IFERROR(IF(INDIRECT("'"&amp;M$86&amp;"'!"&amp;VLOOKUP(M$87,'List Values'!$C$3:$D$6,2,FALSE)&amp;ROW(M307))="","",INDIRECT("'"&amp;M$86&amp;"'!"&amp;VLOOKUP(M$87,'List Values'!$C$3:$D$6,2,FALSE)&amp;ROW(M307))),IF(M$86&lt;&gt;"","Data Source Error",""))))</f>
        <v/>
      </c>
      <c r="O307" s="339"/>
      <c r="P307" s="568"/>
      <c r="Q307" s="945" t="str">
        <f ca="1">IF(OR($H$7&lt;4,Q$260&lt;3),"",IF(P307&lt;&gt;"",P307,IFERROR(IF(INDIRECT("'"&amp;P$86&amp;"'!"&amp;VLOOKUP(P$87,'List Values'!$C$3:$D$6,2,FALSE)&amp;ROW(P307))="","",INDIRECT("'"&amp;P$86&amp;"'!"&amp;VLOOKUP(P$87,'List Values'!$C$3:$D$6,2,FALSE)&amp;ROW(P307))),IF(P$86&lt;&gt;"","Data Source Error",""))))</f>
        <v/>
      </c>
      <c r="R307" s="7"/>
      <c r="S307" s="568"/>
      <c r="T307" s="945" t="str">
        <f ca="1">IF(OR($H$7&lt;5,T$260&lt;3),"",IF(S307&lt;&gt;"",S307,IFERROR(IF(INDIRECT("'"&amp;S$86&amp;"'!"&amp;VLOOKUP(S$87,'List Values'!$C$3:$D$6,2,FALSE)&amp;ROW(S307))="","",INDIRECT("'"&amp;S$86&amp;"'!"&amp;VLOOKUP(S$87,'List Values'!$C$3:$D$6,2,FALSE)&amp;ROW(S307))),IF(S$86&lt;&gt;"","Data Source Error",""))))</f>
        <v/>
      </c>
      <c r="U307" s="7"/>
      <c r="V307" s="568"/>
      <c r="W307" s="952" t="str">
        <f ca="1">IF(OR($H$7&lt;6,W$260&lt;3),"",IF(V307&lt;&gt;"",V307,IFERROR(IF(INDIRECT("'"&amp;V$86&amp;"'!"&amp;VLOOKUP(V$87,'List Values'!$C$3:$D$6,2,FALSE)&amp;ROW(V307))="","",INDIRECT("'"&amp;V$86&amp;"'!"&amp;VLOOKUP(V$87,'List Values'!$C$3:$D$6,2,FALSE)&amp;ROW(V307))),IF(V$86&lt;&gt;"","Data Source Error",""))))</f>
        <v/>
      </c>
      <c r="Y307" s="2643"/>
      <c r="Z307" s="2644"/>
      <c r="AA307" s="2644"/>
      <c r="AB307" s="2645"/>
    </row>
    <row r="308" spans="1:28" ht="15.75" customHeight="1" outlineLevel="1">
      <c r="A308" s="514"/>
      <c r="B308" s="252"/>
      <c r="C308" s="2680" t="s">
        <v>630</v>
      </c>
      <c r="D308" s="2680"/>
      <c r="E308" s="2062"/>
      <c r="F308" s="2062"/>
      <c r="G308" s="636"/>
      <c r="H308" s="637"/>
      <c r="I308" s="187"/>
      <c r="J308" s="526"/>
      <c r="K308" s="900" t="str">
        <f ca="1">IF(OR($H$7&lt;2,K$260&lt;3),"",IF(J308&lt;&gt;"",J308,IFERROR(IF(INDIRECT("'"&amp;J$86&amp;"'!"&amp;VLOOKUP(J$87,'List Values'!$C$3:$D$6,2,FALSE)&amp;ROW(J308))="","",INDIRECT("'"&amp;J$86&amp;"'!"&amp;VLOOKUP(J$87,'List Values'!$C$3:$D$6,2,FALSE)&amp;ROW(J308))),IF(J$86&lt;&gt;"","Data Source Error",""))))</f>
        <v/>
      </c>
      <c r="L308" s="187"/>
      <c r="M308" s="526"/>
      <c r="N308" s="900" t="str">
        <f ca="1">IF(OR($H$7&lt;3,N$260&lt;3),"",IF(M308&lt;&gt;"",M308,IFERROR(IF(INDIRECT("'"&amp;M$86&amp;"'!"&amp;VLOOKUP(M$87,'List Values'!$C$3:$D$6,2,FALSE)&amp;ROW(M308))="","",INDIRECT("'"&amp;M$86&amp;"'!"&amp;VLOOKUP(M$87,'List Values'!$C$3:$D$6,2,FALSE)&amp;ROW(M308))),IF(M$86&lt;&gt;"","Data Source Error",""))))</f>
        <v/>
      </c>
      <c r="O308" s="187"/>
      <c r="P308" s="526"/>
      <c r="Q308" s="900" t="str">
        <f ca="1">IF(OR($H$7&lt;4,Q$260&lt;3),"",IF(P308&lt;&gt;"",P308,IFERROR(IF(INDIRECT("'"&amp;P$86&amp;"'!"&amp;VLOOKUP(P$87,'List Values'!$C$3:$D$6,2,FALSE)&amp;ROW(P308))="","",INDIRECT("'"&amp;P$86&amp;"'!"&amp;VLOOKUP(P$87,'List Values'!$C$3:$D$6,2,FALSE)&amp;ROW(P308))),IF(P$86&lt;&gt;"","Data Source Error",""))))</f>
        <v/>
      </c>
      <c r="S308" s="526"/>
      <c r="T308" s="900" t="str">
        <f ca="1">IF(OR($H$7&lt;5,T$260&lt;3),"",IF(S308&lt;&gt;"",S308,IFERROR(IF(INDIRECT("'"&amp;S$86&amp;"'!"&amp;VLOOKUP(S$87,'List Values'!$C$3:$D$6,2,FALSE)&amp;ROW(S308))="","",INDIRECT("'"&amp;S$86&amp;"'!"&amp;VLOOKUP(S$87,'List Values'!$C$3:$D$6,2,FALSE)&amp;ROW(S308))),IF(S$86&lt;&gt;"","Data Source Error",""))))</f>
        <v/>
      </c>
      <c r="V308" s="526"/>
      <c r="W308" s="911" t="str">
        <f ca="1">IF(OR($H$7&lt;6,W$260&lt;3),"",IF(V308&lt;&gt;"",V308,IFERROR(IF(INDIRECT("'"&amp;V$86&amp;"'!"&amp;VLOOKUP(V$87,'List Values'!$C$3:$D$6,2,FALSE)&amp;ROW(V308))="","",INDIRECT("'"&amp;V$86&amp;"'!"&amp;VLOOKUP(V$87,'List Values'!$C$3:$D$6,2,FALSE)&amp;ROW(V308))),IF(V$86&lt;&gt;"","Data Source Error",""))))</f>
        <v/>
      </c>
      <c r="Y308" s="2643"/>
      <c r="Z308" s="2644"/>
      <c r="AA308" s="2644"/>
      <c r="AB308" s="2645"/>
    </row>
    <row r="309" spans="1:28" ht="31" customHeight="1" outlineLevel="1">
      <c r="A309" s="514"/>
      <c r="B309" s="252"/>
      <c r="C309" s="2684" t="s">
        <v>634</v>
      </c>
      <c r="D309" s="2684"/>
      <c r="E309" s="202"/>
      <c r="F309" s="202"/>
      <c r="G309" s="634"/>
      <c r="H309" s="635"/>
      <c r="I309" s="183"/>
      <c r="J309" s="553"/>
      <c r="K309" s="897" t="str">
        <f ca="1">IF(OR($H$7&lt;2,K$260&lt;3),"",IF(J309&lt;&gt;"",J309,IFERROR(IF(INDIRECT("'"&amp;J$86&amp;"'!"&amp;VLOOKUP(J$87,'List Values'!$C$3:$D$6,2,FALSE)&amp;ROW(J309))="","",INDIRECT("'"&amp;J$86&amp;"'!"&amp;VLOOKUP(J$87,'List Values'!$C$3:$D$6,2,FALSE)&amp;ROW(J309))),IF(J$86&lt;&gt;"","Data Source Error",""))))</f>
        <v/>
      </c>
      <c r="L309" s="183"/>
      <c r="M309" s="553"/>
      <c r="N309" s="897" t="str">
        <f ca="1">IF(OR($H$7&lt;3,N$260&lt;3),"",IF(M309&lt;&gt;"",M309,IFERROR(IF(INDIRECT("'"&amp;M$86&amp;"'!"&amp;VLOOKUP(M$87,'List Values'!$C$3:$D$6,2,FALSE)&amp;ROW(M309))="","",INDIRECT("'"&amp;M$86&amp;"'!"&amp;VLOOKUP(M$87,'List Values'!$C$3:$D$6,2,FALSE)&amp;ROW(M309))),IF(M$86&lt;&gt;"","Data Source Error",""))))</f>
        <v/>
      </c>
      <c r="O309" s="183"/>
      <c r="P309" s="553"/>
      <c r="Q309" s="897" t="str">
        <f ca="1">IF(OR($H$7&lt;4,Q$260&lt;3),"",IF(P309&lt;&gt;"",P309,IFERROR(IF(INDIRECT("'"&amp;P$86&amp;"'!"&amp;VLOOKUP(P$87,'List Values'!$C$3:$D$6,2,FALSE)&amp;ROW(P309))="","",INDIRECT("'"&amp;P$86&amp;"'!"&amp;VLOOKUP(P$87,'List Values'!$C$3:$D$6,2,FALSE)&amp;ROW(P309))),IF(P$86&lt;&gt;"","Data Source Error",""))))</f>
        <v/>
      </c>
      <c r="S309" s="553"/>
      <c r="T309" s="897" t="str">
        <f ca="1">IF(OR($H$7&lt;5,T$260&lt;3),"",IF(S309&lt;&gt;"",S309,IFERROR(IF(INDIRECT("'"&amp;S$86&amp;"'!"&amp;VLOOKUP(S$87,'List Values'!$C$3:$D$6,2,FALSE)&amp;ROW(S309))="","",INDIRECT("'"&amp;S$86&amp;"'!"&amp;VLOOKUP(S$87,'List Values'!$C$3:$D$6,2,FALSE)&amp;ROW(S309))),IF(S$86&lt;&gt;"","Data Source Error",""))))</f>
        <v/>
      </c>
      <c r="V309" s="553"/>
      <c r="W309" s="908" t="str">
        <f ca="1">IF(OR($H$7&lt;6,W$260&lt;3),"",IF(V309&lt;&gt;"",V309,IFERROR(IF(INDIRECT("'"&amp;V$86&amp;"'!"&amp;VLOOKUP(V$87,'List Values'!$C$3:$D$6,2,FALSE)&amp;ROW(V309))="","",INDIRECT("'"&amp;V$86&amp;"'!"&amp;VLOOKUP(V$87,'List Values'!$C$3:$D$6,2,FALSE)&amp;ROW(V309))),IF(V$86&lt;&gt;"","Data Source Error",""))))</f>
        <v/>
      </c>
      <c r="Y309" s="2643"/>
      <c r="Z309" s="2644"/>
      <c r="AA309" s="2644"/>
      <c r="AB309" s="2645"/>
    </row>
    <row r="310" spans="1:28" ht="31" customHeight="1" outlineLevel="1">
      <c r="A310" s="514"/>
      <c r="B310" s="252"/>
      <c r="C310" s="2680" t="s">
        <v>1551</v>
      </c>
      <c r="D310" s="2680"/>
      <c r="E310" s="2062"/>
      <c r="F310" s="2062"/>
      <c r="G310" s="636"/>
      <c r="H310" s="637"/>
      <c r="I310" s="187"/>
      <c r="J310" s="619"/>
      <c r="K310" s="898" t="str">
        <f ca="1">IF(OR($H$7&lt;2,K$260&lt;3),"",IF(J310&lt;&gt;"",J310,IFERROR(IF(INDIRECT("'"&amp;J$86&amp;"'!"&amp;VLOOKUP(J$87,'List Values'!$C$3:$D$6,2,FALSE)&amp;ROW(J310))="","",INDIRECT("'"&amp;J$86&amp;"'!"&amp;VLOOKUP(J$87,'List Values'!$C$3:$D$6,2,FALSE)&amp;ROW(J310))),IF(J$86&lt;&gt;"","Data Source Error",""))))</f>
        <v/>
      </c>
      <c r="L310" s="621"/>
      <c r="M310" s="619"/>
      <c r="N310" s="898" t="str">
        <f ca="1">IF(OR($H$7&lt;3,N$260&lt;3),"",IF(M310&lt;&gt;"",M310,IFERROR(IF(INDIRECT("'"&amp;M$86&amp;"'!"&amp;VLOOKUP(M$87,'List Values'!$C$3:$D$6,2,FALSE)&amp;ROW(M310))="","",INDIRECT("'"&amp;M$86&amp;"'!"&amp;VLOOKUP(M$87,'List Values'!$C$3:$D$6,2,FALSE)&amp;ROW(M310))),IF(M$86&lt;&gt;"","Data Source Error",""))))</f>
        <v/>
      </c>
      <c r="O310" s="621"/>
      <c r="P310" s="619"/>
      <c r="Q310" s="898" t="str">
        <f ca="1">IF(OR($H$7&lt;4,Q$260&lt;3),"",IF(P310&lt;&gt;"",P310,IFERROR(IF(INDIRECT("'"&amp;P$86&amp;"'!"&amp;VLOOKUP(P$87,'List Values'!$C$3:$D$6,2,FALSE)&amp;ROW(P310))="","",INDIRECT("'"&amp;P$86&amp;"'!"&amp;VLOOKUP(P$87,'List Values'!$C$3:$D$6,2,FALSE)&amp;ROW(P310))),IF(P$86&lt;&gt;"","Data Source Error",""))))</f>
        <v/>
      </c>
      <c r="R310" s="147"/>
      <c r="S310" s="619"/>
      <c r="T310" s="898" t="str">
        <f ca="1">IF(OR($H$7&lt;5,T$260&lt;3),"",IF(S310&lt;&gt;"",S310,IFERROR(IF(INDIRECT("'"&amp;S$86&amp;"'!"&amp;VLOOKUP(S$87,'List Values'!$C$3:$D$6,2,FALSE)&amp;ROW(S310))="","",INDIRECT("'"&amp;S$86&amp;"'!"&amp;VLOOKUP(S$87,'List Values'!$C$3:$D$6,2,FALSE)&amp;ROW(S310))),IF(S$86&lt;&gt;"","Data Source Error",""))))</f>
        <v/>
      </c>
      <c r="U310" s="147"/>
      <c r="V310" s="619"/>
      <c r="W310" s="909" t="str">
        <f ca="1">IF(OR($H$7&lt;6,W$260&lt;3),"",IF(V310&lt;&gt;"",V310,IFERROR(IF(INDIRECT("'"&amp;V$86&amp;"'!"&amp;VLOOKUP(V$87,'List Values'!$C$3:$D$6,2,FALSE)&amp;ROW(V310))="","",INDIRECT("'"&amp;V$86&amp;"'!"&amp;VLOOKUP(V$87,'List Values'!$C$3:$D$6,2,FALSE)&amp;ROW(V310))),IF(V$86&lt;&gt;"","Data Source Error",""))))</f>
        <v/>
      </c>
      <c r="Y310" s="2643"/>
      <c r="Z310" s="2644"/>
      <c r="AA310" s="2644"/>
      <c r="AB310" s="2645"/>
    </row>
    <row r="311" spans="1:28" ht="31" customHeight="1" outlineLevel="1">
      <c r="A311" s="514"/>
      <c r="B311" s="252"/>
      <c r="C311" s="2680" t="s">
        <v>1552</v>
      </c>
      <c r="D311" s="2680"/>
      <c r="E311" s="2062"/>
      <c r="F311" s="2062"/>
      <c r="G311" s="636"/>
      <c r="H311" s="637"/>
      <c r="I311" s="187"/>
      <c r="J311" s="619"/>
      <c r="K311" s="898" t="str">
        <f ca="1">IF(OR($H$7&lt;2,K$260&lt;3),"",IF(J311&lt;&gt;"",J311,IFERROR(IF(INDIRECT("'"&amp;J$86&amp;"'!"&amp;VLOOKUP(J$87,'List Values'!$C$3:$D$6,2,FALSE)&amp;ROW(J311))="","",INDIRECT("'"&amp;J$86&amp;"'!"&amp;VLOOKUP(J$87,'List Values'!$C$3:$D$6,2,FALSE)&amp;ROW(J311))),IF(J$86&lt;&gt;"","Data Source Error",""))))</f>
        <v/>
      </c>
      <c r="L311" s="621"/>
      <c r="M311" s="619"/>
      <c r="N311" s="898" t="str">
        <f ca="1">IF(OR($H$7&lt;3,N$260&lt;3),"",IF(M311&lt;&gt;"",M311,IFERROR(IF(INDIRECT("'"&amp;M$86&amp;"'!"&amp;VLOOKUP(M$87,'List Values'!$C$3:$D$6,2,FALSE)&amp;ROW(M311))="","",INDIRECT("'"&amp;M$86&amp;"'!"&amp;VLOOKUP(M$87,'List Values'!$C$3:$D$6,2,FALSE)&amp;ROW(M311))),IF(M$86&lt;&gt;"","Data Source Error",""))))</f>
        <v/>
      </c>
      <c r="O311" s="621"/>
      <c r="P311" s="619"/>
      <c r="Q311" s="898" t="str">
        <f ca="1">IF(OR($H$7&lt;4,Q$260&lt;3),"",IF(P311&lt;&gt;"",P311,IFERROR(IF(INDIRECT("'"&amp;P$86&amp;"'!"&amp;VLOOKUP(P$87,'List Values'!$C$3:$D$6,2,FALSE)&amp;ROW(P311))="","",INDIRECT("'"&amp;P$86&amp;"'!"&amp;VLOOKUP(P$87,'List Values'!$C$3:$D$6,2,FALSE)&amp;ROW(P311))),IF(P$86&lt;&gt;"","Data Source Error",""))))</f>
        <v/>
      </c>
      <c r="R311" s="147"/>
      <c r="S311" s="619"/>
      <c r="T311" s="898" t="str">
        <f ca="1">IF(OR($H$7&lt;5,T$260&lt;3),"",IF(S311&lt;&gt;"",S311,IFERROR(IF(INDIRECT("'"&amp;S$86&amp;"'!"&amp;VLOOKUP(S$87,'List Values'!$C$3:$D$6,2,FALSE)&amp;ROW(S311))="","",INDIRECT("'"&amp;S$86&amp;"'!"&amp;VLOOKUP(S$87,'List Values'!$C$3:$D$6,2,FALSE)&amp;ROW(S311))),IF(S$86&lt;&gt;"","Data Source Error",""))))</f>
        <v/>
      </c>
      <c r="U311" s="147"/>
      <c r="V311" s="619"/>
      <c r="W311" s="909" t="str">
        <f ca="1">IF(OR($H$7&lt;6,W$260&lt;3),"",IF(V311&lt;&gt;"",V311,IFERROR(IF(INDIRECT("'"&amp;V$86&amp;"'!"&amp;VLOOKUP(V$87,'List Values'!$C$3:$D$6,2,FALSE)&amp;ROW(V311))="","",INDIRECT("'"&amp;V$86&amp;"'!"&amp;VLOOKUP(V$87,'List Values'!$C$3:$D$6,2,FALSE)&amp;ROW(V311))),IF(V$86&lt;&gt;"","Data Source Error",""))))</f>
        <v/>
      </c>
      <c r="Y311" s="2643"/>
      <c r="Z311" s="2644"/>
      <c r="AA311" s="2644"/>
      <c r="AB311" s="2645"/>
    </row>
    <row r="312" spans="1:28" ht="33" customHeight="1" outlineLevel="1">
      <c r="A312" s="514"/>
      <c r="B312" s="252"/>
      <c r="C312" s="2680" t="s">
        <v>331</v>
      </c>
      <c r="D312" s="2680"/>
      <c r="E312" s="2062"/>
      <c r="F312" s="2062"/>
      <c r="G312" s="636"/>
      <c r="H312" s="637"/>
      <c r="I312" s="187"/>
      <c r="J312" s="526"/>
      <c r="K312" s="900" t="str">
        <f ca="1">IF(OR($H$7&lt;2,K$260&lt;3),"",IF(J312&lt;&gt;"",J312,IFERROR(IF(INDIRECT("'"&amp;J$86&amp;"'!"&amp;VLOOKUP(J$87,'List Values'!$C$3:$D$6,2,FALSE)&amp;ROW(J312))="","",INDIRECT("'"&amp;J$86&amp;"'!"&amp;VLOOKUP(J$87,'List Values'!$C$3:$D$6,2,FALSE)&amp;ROW(J312))),IF(J$86&lt;&gt;"","Data Source Error",""))))</f>
        <v/>
      </c>
      <c r="L312" s="187"/>
      <c r="M312" s="526"/>
      <c r="N312" s="900" t="str">
        <f ca="1">IF(OR($H$7&lt;3,N$260&lt;3),"",IF(M312&lt;&gt;"",M312,IFERROR(IF(INDIRECT("'"&amp;M$86&amp;"'!"&amp;VLOOKUP(M$87,'List Values'!$C$3:$D$6,2,FALSE)&amp;ROW(M312))="","",INDIRECT("'"&amp;M$86&amp;"'!"&amp;VLOOKUP(M$87,'List Values'!$C$3:$D$6,2,FALSE)&amp;ROW(M312))),IF(M$86&lt;&gt;"","Data Source Error",""))))</f>
        <v/>
      </c>
      <c r="O312" s="187"/>
      <c r="P312" s="526"/>
      <c r="Q312" s="900" t="str">
        <f ca="1">IF(OR($H$7&lt;4,Q$260&lt;3),"",IF(P312&lt;&gt;"",P312,IFERROR(IF(INDIRECT("'"&amp;P$86&amp;"'!"&amp;VLOOKUP(P$87,'List Values'!$C$3:$D$6,2,FALSE)&amp;ROW(P312))="","",INDIRECT("'"&amp;P$86&amp;"'!"&amp;VLOOKUP(P$87,'List Values'!$C$3:$D$6,2,FALSE)&amp;ROW(P312))),IF(P$86&lt;&gt;"","Data Source Error",""))))</f>
        <v/>
      </c>
      <c r="S312" s="526"/>
      <c r="T312" s="900" t="str">
        <f ca="1">IF(OR($H$7&lt;5,T$260&lt;3),"",IF(S312&lt;&gt;"",S312,IFERROR(IF(INDIRECT("'"&amp;S$86&amp;"'!"&amp;VLOOKUP(S$87,'List Values'!$C$3:$D$6,2,FALSE)&amp;ROW(S312))="","",INDIRECT("'"&amp;S$86&amp;"'!"&amp;VLOOKUP(S$87,'List Values'!$C$3:$D$6,2,FALSE)&amp;ROW(S312))),IF(S$86&lt;&gt;"","Data Source Error",""))))</f>
        <v/>
      </c>
      <c r="V312" s="526"/>
      <c r="W312" s="911" t="str">
        <f ca="1">IF(OR($H$7&lt;6,W$260&lt;3),"",IF(V312&lt;&gt;"",V312,IFERROR(IF(INDIRECT("'"&amp;V$86&amp;"'!"&amp;VLOOKUP(V$87,'List Values'!$C$3:$D$6,2,FALSE)&amp;ROW(V312))="","",INDIRECT("'"&amp;V$86&amp;"'!"&amp;VLOOKUP(V$87,'List Values'!$C$3:$D$6,2,FALSE)&amp;ROW(V312))),IF(V$86&lt;&gt;"","Data Source Error",""))))</f>
        <v/>
      </c>
      <c r="Y312" s="2643"/>
      <c r="Z312" s="2644"/>
      <c r="AA312" s="2644"/>
      <c r="AB312" s="2645"/>
    </row>
    <row r="313" spans="1:28" ht="15.75" customHeight="1" outlineLevel="1">
      <c r="A313" s="514"/>
      <c r="B313" s="252"/>
      <c r="C313" s="2684" t="s">
        <v>332</v>
      </c>
      <c r="D313" s="2684"/>
      <c r="E313" s="2062"/>
      <c r="F313" s="2062"/>
      <c r="G313" s="636"/>
      <c r="H313" s="637"/>
      <c r="I313" s="187"/>
      <c r="J313" s="580"/>
      <c r="K313" s="900" t="str">
        <f ca="1">IF(OR($H$7&lt;2,K$260&lt;3),"",IF(J313&lt;&gt;"",J313,IFERROR(IF(INDIRECT("'"&amp;J$86&amp;"'!"&amp;VLOOKUP(J$87,'List Values'!$C$3:$D$6,2,FALSE)&amp;ROW(J313))="","",INDIRECT("'"&amp;J$86&amp;"'!"&amp;VLOOKUP(J$87,'List Values'!$C$3:$D$6,2,FALSE)&amp;ROW(J313))),IF(J$86&lt;&gt;"","Data Source Error",""))))</f>
        <v/>
      </c>
      <c r="L313" s="187"/>
      <c r="M313" s="580"/>
      <c r="N313" s="900" t="str">
        <f ca="1">IF(OR($H$7&lt;3,N$260&lt;3),"",IF(M313&lt;&gt;"",M313,IFERROR(IF(INDIRECT("'"&amp;M$86&amp;"'!"&amp;VLOOKUP(M$87,'List Values'!$C$3:$D$6,2,FALSE)&amp;ROW(M313))="","",INDIRECT("'"&amp;M$86&amp;"'!"&amp;VLOOKUP(M$87,'List Values'!$C$3:$D$6,2,FALSE)&amp;ROW(M313))),IF(M$86&lt;&gt;"","Data Source Error",""))))</f>
        <v/>
      </c>
      <c r="O313" s="187"/>
      <c r="P313" s="580"/>
      <c r="Q313" s="900" t="str">
        <f ca="1">IF(OR($H$7&lt;4,Q$260&lt;3),"",IF(P313&lt;&gt;"",P313,IFERROR(IF(INDIRECT("'"&amp;P$86&amp;"'!"&amp;VLOOKUP(P$87,'List Values'!$C$3:$D$6,2,FALSE)&amp;ROW(P313))="","",INDIRECT("'"&amp;P$86&amp;"'!"&amp;VLOOKUP(P$87,'List Values'!$C$3:$D$6,2,FALSE)&amp;ROW(P313))),IF(P$86&lt;&gt;"","Data Source Error",""))))</f>
        <v/>
      </c>
      <c r="S313" s="580"/>
      <c r="T313" s="900" t="str">
        <f ca="1">IF(OR($H$7&lt;5,T$260&lt;3),"",IF(S313&lt;&gt;"",S313,IFERROR(IF(INDIRECT("'"&amp;S$86&amp;"'!"&amp;VLOOKUP(S$87,'List Values'!$C$3:$D$6,2,FALSE)&amp;ROW(S313))="","",INDIRECT("'"&amp;S$86&amp;"'!"&amp;VLOOKUP(S$87,'List Values'!$C$3:$D$6,2,FALSE)&amp;ROW(S313))),IF(S$86&lt;&gt;"","Data Source Error",""))))</f>
        <v/>
      </c>
      <c r="V313" s="580"/>
      <c r="W313" s="911" t="str">
        <f ca="1">IF(OR($H$7&lt;6,W$260&lt;3),"",IF(V313&lt;&gt;"",V313,IFERROR(IF(INDIRECT("'"&amp;V$86&amp;"'!"&amp;VLOOKUP(V$87,'List Values'!$C$3:$D$6,2,FALSE)&amp;ROW(V313))="","",INDIRECT("'"&amp;V$86&amp;"'!"&amp;VLOOKUP(V$87,'List Values'!$C$3:$D$6,2,FALSE)&amp;ROW(V313))),IF(V$86&lt;&gt;"","Data Source Error",""))))</f>
        <v/>
      </c>
      <c r="Y313" s="2643"/>
      <c r="Z313" s="2644"/>
      <c r="AA313" s="2644"/>
      <c r="AB313" s="2645"/>
    </row>
    <row r="314" spans="1:28" ht="31.5" customHeight="1" outlineLevel="1">
      <c r="A314" s="514"/>
      <c r="B314" s="252"/>
      <c r="C314" s="2680" t="s">
        <v>839</v>
      </c>
      <c r="D314" s="2680"/>
      <c r="E314" s="2062"/>
      <c r="F314" s="2062"/>
      <c r="G314" s="636"/>
      <c r="H314" s="637"/>
      <c r="I314" s="187"/>
      <c r="J314" s="580"/>
      <c r="K314" s="900" t="str">
        <f ca="1">IF(OR($H$7&lt;2,K$260&lt;3),"",IF(J314&lt;&gt;"",J314,IFERROR(IF(INDIRECT("'"&amp;J$86&amp;"'!"&amp;VLOOKUP(J$87,'List Values'!$C$3:$D$6,2,FALSE)&amp;ROW(J314))="","",INDIRECT("'"&amp;J$86&amp;"'!"&amp;VLOOKUP(J$87,'List Values'!$C$3:$D$6,2,FALSE)&amp;ROW(J314))),IF(J$86&lt;&gt;"","Data Source Error",""))))</f>
        <v/>
      </c>
      <c r="L314" s="187"/>
      <c r="M314" s="580"/>
      <c r="N314" s="900" t="str">
        <f ca="1">IF(OR($H$7&lt;3,N$260&lt;3),"",IF(M314&lt;&gt;"",M314,IFERROR(IF(INDIRECT("'"&amp;M$86&amp;"'!"&amp;VLOOKUP(M$87,'List Values'!$C$3:$D$6,2,FALSE)&amp;ROW(M314))="","",INDIRECT("'"&amp;M$86&amp;"'!"&amp;VLOOKUP(M$87,'List Values'!$C$3:$D$6,2,FALSE)&amp;ROW(M314))),IF(M$86&lt;&gt;"","Data Source Error",""))))</f>
        <v/>
      </c>
      <c r="O314" s="187"/>
      <c r="P314" s="580"/>
      <c r="Q314" s="900" t="str">
        <f ca="1">IF(OR($H$7&lt;4,Q$260&lt;3),"",IF(P314&lt;&gt;"",P314,IFERROR(IF(INDIRECT("'"&amp;P$86&amp;"'!"&amp;VLOOKUP(P$87,'List Values'!$C$3:$D$6,2,FALSE)&amp;ROW(P314))="","",INDIRECT("'"&amp;P$86&amp;"'!"&amp;VLOOKUP(P$87,'List Values'!$C$3:$D$6,2,FALSE)&amp;ROW(P314))),IF(P$86&lt;&gt;"","Data Source Error",""))))</f>
        <v/>
      </c>
      <c r="S314" s="580"/>
      <c r="T314" s="900" t="str">
        <f ca="1">IF(OR($H$7&lt;5,T$260&lt;3),"",IF(S314&lt;&gt;"",S314,IFERROR(IF(INDIRECT("'"&amp;S$86&amp;"'!"&amp;VLOOKUP(S$87,'List Values'!$C$3:$D$6,2,FALSE)&amp;ROW(S314))="","",INDIRECT("'"&amp;S$86&amp;"'!"&amp;VLOOKUP(S$87,'List Values'!$C$3:$D$6,2,FALSE)&amp;ROW(S314))),IF(S$86&lt;&gt;"","Data Source Error",""))))</f>
        <v/>
      </c>
      <c r="V314" s="580"/>
      <c r="W314" s="911" t="str">
        <f ca="1">IF(OR($H$7&lt;6,W$260&lt;3),"",IF(V314&lt;&gt;"",V314,IFERROR(IF(INDIRECT("'"&amp;V$86&amp;"'!"&amp;VLOOKUP(V$87,'List Values'!$C$3:$D$6,2,FALSE)&amp;ROW(V314))="","",INDIRECT("'"&amp;V$86&amp;"'!"&amp;VLOOKUP(V$87,'List Values'!$C$3:$D$6,2,FALSE)&amp;ROW(V314))),IF(V$86&lt;&gt;"","Data Source Error",""))))</f>
        <v/>
      </c>
      <c r="Y314" s="2643"/>
      <c r="Z314" s="2644"/>
      <c r="AA314" s="2644"/>
      <c r="AB314" s="2645"/>
    </row>
    <row r="315" spans="1:28" ht="15.75" customHeight="1" outlineLevel="1">
      <c r="A315" s="514"/>
      <c r="B315" s="252"/>
      <c r="C315" s="2680" t="s">
        <v>334</v>
      </c>
      <c r="D315" s="2680"/>
      <c r="E315" s="2062"/>
      <c r="F315" s="2062"/>
      <c r="G315" s="636"/>
      <c r="H315" s="637"/>
      <c r="I315" s="187"/>
      <c r="J315" s="580"/>
      <c r="K315" s="900" t="str">
        <f ca="1">IF(OR($H$7&lt;2,K$260&lt;3),"",IF(J315&lt;&gt;"",J315,IFERROR(IF(INDIRECT("'"&amp;J$86&amp;"'!"&amp;VLOOKUP(J$87,'List Values'!$C$3:$D$6,2,FALSE)&amp;ROW(J315))="","",INDIRECT("'"&amp;J$86&amp;"'!"&amp;VLOOKUP(J$87,'List Values'!$C$3:$D$6,2,FALSE)&amp;ROW(J315))),IF(J$86&lt;&gt;"","Data Source Error",""))))</f>
        <v/>
      </c>
      <c r="L315" s="187"/>
      <c r="M315" s="580"/>
      <c r="N315" s="900" t="str">
        <f ca="1">IF(OR($H$7&lt;3,N$260&lt;3),"",IF(M315&lt;&gt;"",M315,IFERROR(IF(INDIRECT("'"&amp;M$86&amp;"'!"&amp;VLOOKUP(M$87,'List Values'!$C$3:$D$6,2,FALSE)&amp;ROW(M315))="","",INDIRECT("'"&amp;M$86&amp;"'!"&amp;VLOOKUP(M$87,'List Values'!$C$3:$D$6,2,FALSE)&amp;ROW(M315))),IF(M$86&lt;&gt;"","Data Source Error",""))))</f>
        <v/>
      </c>
      <c r="O315" s="187"/>
      <c r="P315" s="580"/>
      <c r="Q315" s="900" t="str">
        <f ca="1">IF(OR($H$7&lt;4,Q$260&lt;3),"",IF(P315&lt;&gt;"",P315,IFERROR(IF(INDIRECT("'"&amp;P$86&amp;"'!"&amp;VLOOKUP(P$87,'List Values'!$C$3:$D$6,2,FALSE)&amp;ROW(P315))="","",INDIRECT("'"&amp;P$86&amp;"'!"&amp;VLOOKUP(P$87,'List Values'!$C$3:$D$6,2,FALSE)&amp;ROW(P315))),IF(P$86&lt;&gt;"","Data Source Error",""))))</f>
        <v/>
      </c>
      <c r="S315" s="580"/>
      <c r="T315" s="900" t="str">
        <f ca="1">IF(OR($H$7&lt;5,T$260&lt;3),"",IF(S315&lt;&gt;"",S315,IFERROR(IF(INDIRECT("'"&amp;S$86&amp;"'!"&amp;VLOOKUP(S$87,'List Values'!$C$3:$D$6,2,FALSE)&amp;ROW(S315))="","",INDIRECT("'"&amp;S$86&amp;"'!"&amp;VLOOKUP(S$87,'List Values'!$C$3:$D$6,2,FALSE)&amp;ROW(S315))),IF(S$86&lt;&gt;"","Data Source Error",""))))</f>
        <v/>
      </c>
      <c r="V315" s="580"/>
      <c r="W315" s="911" t="str">
        <f ca="1">IF(OR($H$7&lt;6,W$260&lt;3),"",IF(V315&lt;&gt;"",V315,IFERROR(IF(INDIRECT("'"&amp;V$86&amp;"'!"&amp;VLOOKUP(V$87,'List Values'!$C$3:$D$6,2,FALSE)&amp;ROW(V315))="","",INDIRECT("'"&amp;V$86&amp;"'!"&amp;VLOOKUP(V$87,'List Values'!$C$3:$D$6,2,FALSE)&amp;ROW(V315))),IF(V$86&lt;&gt;"","Data Source Error",""))))</f>
        <v/>
      </c>
      <c r="Y315" s="2643"/>
      <c r="Z315" s="2644"/>
      <c r="AA315" s="2644"/>
      <c r="AB315" s="2645"/>
    </row>
    <row r="316" spans="1:28" ht="15.75" customHeight="1" outlineLevel="1">
      <c r="A316" s="514"/>
      <c r="B316" s="252"/>
      <c r="C316" s="2684" t="s">
        <v>335</v>
      </c>
      <c r="D316" s="2684"/>
      <c r="E316" s="2062"/>
      <c r="F316" s="2062"/>
      <c r="G316" s="636"/>
      <c r="H316" s="637"/>
      <c r="I316" s="187"/>
      <c r="J316" s="580"/>
      <c r="K316" s="900" t="str">
        <f ca="1">IF(OR($H$7&lt;2,K$260&lt;3),"",IF(J316&lt;&gt;"",J316,IFERROR(IF(INDIRECT("'"&amp;J$86&amp;"'!"&amp;VLOOKUP(J$87,'List Values'!$C$3:$D$6,2,FALSE)&amp;ROW(J316))="","",INDIRECT("'"&amp;J$86&amp;"'!"&amp;VLOOKUP(J$87,'List Values'!$C$3:$D$6,2,FALSE)&amp;ROW(J316))),IF(J$86&lt;&gt;"","Data Source Error",""))))</f>
        <v/>
      </c>
      <c r="L316" s="187"/>
      <c r="M316" s="580"/>
      <c r="N316" s="900" t="str">
        <f ca="1">IF(OR($H$7&lt;3,N$260&lt;3),"",IF(M316&lt;&gt;"",M316,IFERROR(IF(INDIRECT("'"&amp;M$86&amp;"'!"&amp;VLOOKUP(M$87,'List Values'!$C$3:$D$6,2,FALSE)&amp;ROW(M316))="","",INDIRECT("'"&amp;M$86&amp;"'!"&amp;VLOOKUP(M$87,'List Values'!$C$3:$D$6,2,FALSE)&amp;ROW(M316))),IF(M$86&lt;&gt;"","Data Source Error",""))))</f>
        <v/>
      </c>
      <c r="O316" s="187"/>
      <c r="P316" s="580"/>
      <c r="Q316" s="900" t="str">
        <f ca="1">IF(OR($H$7&lt;4,Q$260&lt;3),"",IF(P316&lt;&gt;"",P316,IFERROR(IF(INDIRECT("'"&amp;P$86&amp;"'!"&amp;VLOOKUP(P$87,'List Values'!$C$3:$D$6,2,FALSE)&amp;ROW(P316))="","",INDIRECT("'"&amp;P$86&amp;"'!"&amp;VLOOKUP(P$87,'List Values'!$C$3:$D$6,2,FALSE)&amp;ROW(P316))),IF(P$86&lt;&gt;"","Data Source Error",""))))</f>
        <v/>
      </c>
      <c r="S316" s="580"/>
      <c r="T316" s="900" t="str">
        <f ca="1">IF(OR($H$7&lt;5,T$260&lt;3),"",IF(S316&lt;&gt;"",S316,IFERROR(IF(INDIRECT("'"&amp;S$86&amp;"'!"&amp;VLOOKUP(S$87,'List Values'!$C$3:$D$6,2,FALSE)&amp;ROW(S316))="","",INDIRECT("'"&amp;S$86&amp;"'!"&amp;VLOOKUP(S$87,'List Values'!$C$3:$D$6,2,FALSE)&amp;ROW(S316))),IF(S$86&lt;&gt;"","Data Source Error",""))))</f>
        <v/>
      </c>
      <c r="V316" s="580"/>
      <c r="W316" s="911" t="str">
        <f ca="1">IF(OR($H$7&lt;6,W$260&lt;3),"",IF(V316&lt;&gt;"",V316,IFERROR(IF(INDIRECT("'"&amp;V$86&amp;"'!"&amp;VLOOKUP(V$87,'List Values'!$C$3:$D$6,2,FALSE)&amp;ROW(V316))="","",INDIRECT("'"&amp;V$86&amp;"'!"&amp;VLOOKUP(V$87,'List Values'!$C$3:$D$6,2,FALSE)&amp;ROW(V316))),IF(V$86&lt;&gt;"","Data Source Error",""))))</f>
        <v/>
      </c>
      <c r="Y316" s="2643"/>
      <c r="Z316" s="2644"/>
      <c r="AA316" s="2644"/>
      <c r="AB316" s="2645"/>
    </row>
    <row r="317" spans="1:28" ht="31" customHeight="1" outlineLevel="1">
      <c r="A317" s="514"/>
      <c r="B317" s="252"/>
      <c r="C317" s="2680" t="s">
        <v>336</v>
      </c>
      <c r="D317" s="2680"/>
      <c r="E317" s="2062"/>
      <c r="F317" s="2062"/>
      <c r="G317" s="636"/>
      <c r="H317" s="637"/>
      <c r="I317" s="187"/>
      <c r="J317" s="580"/>
      <c r="K317" s="900" t="str">
        <f ca="1">IF(OR($H$7&lt;2,K$260&lt;3),"",IF(J317&lt;&gt;"",J317,IFERROR(IF(INDIRECT("'"&amp;J$86&amp;"'!"&amp;VLOOKUP(J$87,'List Values'!$C$3:$D$6,2,FALSE)&amp;ROW(J317))="","",INDIRECT("'"&amp;J$86&amp;"'!"&amp;VLOOKUP(J$87,'List Values'!$C$3:$D$6,2,FALSE)&amp;ROW(J317))),IF(J$86&lt;&gt;"","Data Source Error",""))))</f>
        <v/>
      </c>
      <c r="L317" s="187"/>
      <c r="M317" s="580"/>
      <c r="N317" s="900" t="str">
        <f ca="1">IF(OR($H$7&lt;3,N$260&lt;3),"",IF(M317&lt;&gt;"",M317,IFERROR(IF(INDIRECT("'"&amp;M$86&amp;"'!"&amp;VLOOKUP(M$87,'List Values'!$C$3:$D$6,2,FALSE)&amp;ROW(M317))="","",INDIRECT("'"&amp;M$86&amp;"'!"&amp;VLOOKUP(M$87,'List Values'!$C$3:$D$6,2,FALSE)&amp;ROW(M317))),IF(M$86&lt;&gt;"","Data Source Error",""))))</f>
        <v/>
      </c>
      <c r="O317" s="187"/>
      <c r="P317" s="580"/>
      <c r="Q317" s="900" t="str">
        <f ca="1">IF(OR($H$7&lt;4,Q$260&lt;3),"",IF(P317&lt;&gt;"",P317,IFERROR(IF(INDIRECT("'"&amp;P$86&amp;"'!"&amp;VLOOKUP(P$87,'List Values'!$C$3:$D$6,2,FALSE)&amp;ROW(P317))="","",INDIRECT("'"&amp;P$86&amp;"'!"&amp;VLOOKUP(P$87,'List Values'!$C$3:$D$6,2,FALSE)&amp;ROW(P317))),IF(P$86&lt;&gt;"","Data Source Error",""))))</f>
        <v/>
      </c>
      <c r="S317" s="580"/>
      <c r="T317" s="900" t="str">
        <f ca="1">IF(OR($H$7&lt;5,T$260&lt;3),"",IF(S317&lt;&gt;"",S317,IFERROR(IF(INDIRECT("'"&amp;S$86&amp;"'!"&amp;VLOOKUP(S$87,'List Values'!$C$3:$D$6,2,FALSE)&amp;ROW(S317))="","",INDIRECT("'"&amp;S$86&amp;"'!"&amp;VLOOKUP(S$87,'List Values'!$C$3:$D$6,2,FALSE)&amp;ROW(S317))),IF(S$86&lt;&gt;"","Data Source Error",""))))</f>
        <v/>
      </c>
      <c r="V317" s="580"/>
      <c r="W317" s="911" t="str">
        <f ca="1">IF(OR($H$7&lt;6,W$260&lt;3),"",IF(V317&lt;&gt;"",V317,IFERROR(IF(INDIRECT("'"&amp;V$86&amp;"'!"&amp;VLOOKUP(V$87,'List Values'!$C$3:$D$6,2,FALSE)&amp;ROW(V317))="","",INDIRECT("'"&amp;V$86&amp;"'!"&amp;VLOOKUP(V$87,'List Values'!$C$3:$D$6,2,FALSE)&amp;ROW(V317))),IF(V$86&lt;&gt;"","Data Source Error",""))))</f>
        <v/>
      </c>
      <c r="Y317" s="2643"/>
      <c r="Z317" s="2644"/>
      <c r="AA317" s="2644"/>
      <c r="AB317" s="2645"/>
    </row>
    <row r="318" spans="1:28" ht="33" customHeight="1" outlineLevel="1">
      <c r="A318" s="514"/>
      <c r="B318" s="252"/>
      <c r="C318" s="2680" t="s">
        <v>337</v>
      </c>
      <c r="D318" s="2680"/>
      <c r="E318" s="2062"/>
      <c r="F318" s="2062"/>
      <c r="G318" s="636"/>
      <c r="H318" s="637"/>
      <c r="I318" s="187"/>
      <c r="J318" s="580"/>
      <c r="K318" s="900" t="str">
        <f ca="1">IF(OR($H$7&lt;2,K$260&lt;3),"",IF(J318&lt;&gt;"",J318,IFERROR(IF(INDIRECT("'"&amp;J$86&amp;"'!"&amp;VLOOKUP(J$87,'List Values'!$C$3:$D$6,2,FALSE)&amp;ROW(J318))="","",INDIRECT("'"&amp;J$86&amp;"'!"&amp;VLOOKUP(J$87,'List Values'!$C$3:$D$6,2,FALSE)&amp;ROW(J318))),IF(J$86&lt;&gt;"","Data Source Error",""))))</f>
        <v/>
      </c>
      <c r="L318" s="187"/>
      <c r="M318" s="580"/>
      <c r="N318" s="900" t="str">
        <f ca="1">IF(OR($H$7&lt;3,N$260&lt;3),"",IF(M318&lt;&gt;"",M318,IFERROR(IF(INDIRECT("'"&amp;M$86&amp;"'!"&amp;VLOOKUP(M$87,'List Values'!$C$3:$D$6,2,FALSE)&amp;ROW(M318))="","",INDIRECT("'"&amp;M$86&amp;"'!"&amp;VLOOKUP(M$87,'List Values'!$C$3:$D$6,2,FALSE)&amp;ROW(M318))),IF(M$86&lt;&gt;"","Data Source Error",""))))</f>
        <v/>
      </c>
      <c r="O318" s="187"/>
      <c r="P318" s="580"/>
      <c r="Q318" s="900" t="str">
        <f ca="1">IF(OR($H$7&lt;4,Q$260&lt;3),"",IF(P318&lt;&gt;"",P318,IFERROR(IF(INDIRECT("'"&amp;P$86&amp;"'!"&amp;VLOOKUP(P$87,'List Values'!$C$3:$D$6,2,FALSE)&amp;ROW(P318))="","",INDIRECT("'"&amp;P$86&amp;"'!"&amp;VLOOKUP(P$87,'List Values'!$C$3:$D$6,2,FALSE)&amp;ROW(P318))),IF(P$86&lt;&gt;"","Data Source Error",""))))</f>
        <v/>
      </c>
      <c r="S318" s="580"/>
      <c r="T318" s="900" t="str">
        <f ca="1">IF(OR($H$7&lt;5,T$260&lt;3),"",IF(S318&lt;&gt;"",S318,IFERROR(IF(INDIRECT("'"&amp;S$86&amp;"'!"&amp;VLOOKUP(S$87,'List Values'!$C$3:$D$6,2,FALSE)&amp;ROW(S318))="","",INDIRECT("'"&amp;S$86&amp;"'!"&amp;VLOOKUP(S$87,'List Values'!$C$3:$D$6,2,FALSE)&amp;ROW(S318))),IF(S$86&lt;&gt;"","Data Source Error",""))))</f>
        <v/>
      </c>
      <c r="V318" s="580"/>
      <c r="W318" s="911" t="str">
        <f ca="1">IF(OR($H$7&lt;6,W$260&lt;3),"",IF(V318&lt;&gt;"",V318,IFERROR(IF(INDIRECT("'"&amp;V$86&amp;"'!"&amp;VLOOKUP(V$87,'List Values'!$C$3:$D$6,2,FALSE)&amp;ROW(V318))="","",INDIRECT("'"&amp;V$86&amp;"'!"&amp;VLOOKUP(V$87,'List Values'!$C$3:$D$6,2,FALSE)&amp;ROW(V318))),IF(V$86&lt;&gt;"","Data Source Error",""))))</f>
        <v/>
      </c>
      <c r="Y318" s="2643"/>
      <c r="Z318" s="2644"/>
      <c r="AA318" s="2644"/>
      <c r="AB318" s="2645"/>
    </row>
    <row r="319" spans="1:28" ht="33" customHeight="1" outlineLevel="1">
      <c r="A319" s="514"/>
      <c r="B319" s="252"/>
      <c r="C319" s="2680" t="s">
        <v>338</v>
      </c>
      <c r="D319" s="2680"/>
      <c r="E319" s="2062"/>
      <c r="F319" s="2062"/>
      <c r="G319" s="636"/>
      <c r="H319" s="637"/>
      <c r="I319" s="187"/>
      <c r="J319" s="580"/>
      <c r="K319" s="900" t="str">
        <f ca="1">IF(OR($H$7&lt;2,K$260&lt;3),"",IF(J319&lt;&gt;"",J319,IFERROR(IF(INDIRECT("'"&amp;J$86&amp;"'!"&amp;VLOOKUP(J$87,'List Values'!$C$3:$D$6,2,FALSE)&amp;ROW(J319))="","",INDIRECT("'"&amp;J$86&amp;"'!"&amp;VLOOKUP(J$87,'List Values'!$C$3:$D$6,2,FALSE)&amp;ROW(J319))),IF(J$86&lt;&gt;"","Data Source Error",""))))</f>
        <v/>
      </c>
      <c r="L319" s="187"/>
      <c r="M319" s="580"/>
      <c r="N319" s="900" t="str">
        <f ca="1">IF(OR($H$7&lt;3,N$260&lt;3),"",IF(M319&lt;&gt;"",M319,IFERROR(IF(INDIRECT("'"&amp;M$86&amp;"'!"&amp;VLOOKUP(M$87,'List Values'!$C$3:$D$6,2,FALSE)&amp;ROW(M319))="","",INDIRECT("'"&amp;M$86&amp;"'!"&amp;VLOOKUP(M$87,'List Values'!$C$3:$D$6,2,FALSE)&amp;ROW(M319))),IF(M$86&lt;&gt;"","Data Source Error",""))))</f>
        <v/>
      </c>
      <c r="O319" s="187"/>
      <c r="P319" s="580"/>
      <c r="Q319" s="900" t="str">
        <f ca="1">IF(OR($H$7&lt;4,Q$260&lt;3),"",IF(P319&lt;&gt;"",P319,IFERROR(IF(INDIRECT("'"&amp;P$86&amp;"'!"&amp;VLOOKUP(P$87,'List Values'!$C$3:$D$6,2,FALSE)&amp;ROW(P319))="","",INDIRECT("'"&amp;P$86&amp;"'!"&amp;VLOOKUP(P$87,'List Values'!$C$3:$D$6,2,FALSE)&amp;ROW(P319))),IF(P$86&lt;&gt;"","Data Source Error",""))))</f>
        <v/>
      </c>
      <c r="S319" s="580"/>
      <c r="T319" s="900" t="str">
        <f ca="1">IF(OR($H$7&lt;5,T$260&lt;3),"",IF(S319&lt;&gt;"",S319,IFERROR(IF(INDIRECT("'"&amp;S$86&amp;"'!"&amp;VLOOKUP(S$87,'List Values'!$C$3:$D$6,2,FALSE)&amp;ROW(S319))="","",INDIRECT("'"&amp;S$86&amp;"'!"&amp;VLOOKUP(S$87,'List Values'!$C$3:$D$6,2,FALSE)&amp;ROW(S319))),IF(S$86&lt;&gt;"","Data Source Error",""))))</f>
        <v/>
      </c>
      <c r="V319" s="580"/>
      <c r="W319" s="911" t="str">
        <f ca="1">IF(OR($H$7&lt;6,W$260&lt;3),"",IF(V319&lt;&gt;"",V319,IFERROR(IF(INDIRECT("'"&amp;V$86&amp;"'!"&amp;VLOOKUP(V$87,'List Values'!$C$3:$D$6,2,FALSE)&amp;ROW(V319))="","",INDIRECT("'"&amp;V$86&amp;"'!"&amp;VLOOKUP(V$87,'List Values'!$C$3:$D$6,2,FALSE)&amp;ROW(V319))),IF(V$86&lt;&gt;"","Data Source Error",""))))</f>
        <v/>
      </c>
      <c r="Y319" s="2643"/>
      <c r="Z319" s="2644"/>
      <c r="AA319" s="2644"/>
      <c r="AB319" s="2645"/>
    </row>
    <row r="320" spans="1:28" ht="15.75" customHeight="1" outlineLevel="1">
      <c r="A320" s="514"/>
      <c r="B320" s="252"/>
      <c r="C320" s="2680" t="s">
        <v>650</v>
      </c>
      <c r="D320" s="2680"/>
      <c r="E320" s="2062"/>
      <c r="F320" s="2062"/>
      <c r="G320" s="636"/>
      <c r="H320" s="637"/>
      <c r="I320" s="187"/>
      <c r="J320" s="580"/>
      <c r="K320" s="900" t="str">
        <f ca="1">IF(OR($H$7&lt;2,K$260&lt;3),"",IF(J320&lt;&gt;"",J320,IFERROR(IF(INDIRECT("'"&amp;J$86&amp;"'!"&amp;VLOOKUP(J$87,'List Values'!$C$3:$D$6,2,FALSE)&amp;ROW(J320))="","",INDIRECT("'"&amp;J$86&amp;"'!"&amp;VLOOKUP(J$87,'List Values'!$C$3:$D$6,2,FALSE)&amp;ROW(J320))),IF(J$86&lt;&gt;"","Data Source Error",""))))</f>
        <v/>
      </c>
      <c r="L320" s="187"/>
      <c r="M320" s="580"/>
      <c r="N320" s="900" t="str">
        <f ca="1">IF(OR($H$7&lt;3,N$260&lt;3),"",IF(M320&lt;&gt;"",M320,IFERROR(IF(INDIRECT("'"&amp;M$86&amp;"'!"&amp;VLOOKUP(M$87,'List Values'!$C$3:$D$6,2,FALSE)&amp;ROW(M320))="","",INDIRECT("'"&amp;M$86&amp;"'!"&amp;VLOOKUP(M$87,'List Values'!$C$3:$D$6,2,FALSE)&amp;ROW(M320))),IF(M$86&lt;&gt;"","Data Source Error",""))))</f>
        <v/>
      </c>
      <c r="O320" s="187"/>
      <c r="P320" s="580"/>
      <c r="Q320" s="900" t="str">
        <f ca="1">IF(OR($H$7&lt;4,Q$260&lt;3),"",IF(P320&lt;&gt;"",P320,IFERROR(IF(INDIRECT("'"&amp;P$86&amp;"'!"&amp;VLOOKUP(P$87,'List Values'!$C$3:$D$6,2,FALSE)&amp;ROW(P320))="","",INDIRECT("'"&amp;P$86&amp;"'!"&amp;VLOOKUP(P$87,'List Values'!$C$3:$D$6,2,FALSE)&amp;ROW(P320))),IF(P$86&lt;&gt;"","Data Source Error",""))))</f>
        <v/>
      </c>
      <c r="S320" s="580"/>
      <c r="T320" s="900" t="str">
        <f ca="1">IF(OR($H$7&lt;5,T$260&lt;3),"",IF(S320&lt;&gt;"",S320,IFERROR(IF(INDIRECT("'"&amp;S$86&amp;"'!"&amp;VLOOKUP(S$87,'List Values'!$C$3:$D$6,2,FALSE)&amp;ROW(S320))="","",INDIRECT("'"&amp;S$86&amp;"'!"&amp;VLOOKUP(S$87,'List Values'!$C$3:$D$6,2,FALSE)&amp;ROW(S320))),IF(S$86&lt;&gt;"","Data Source Error",""))))</f>
        <v/>
      </c>
      <c r="V320" s="580"/>
      <c r="W320" s="911" t="str">
        <f ca="1">IF(OR($H$7&lt;6,W$260&lt;3),"",IF(V320&lt;&gt;"",V320,IFERROR(IF(INDIRECT("'"&amp;V$86&amp;"'!"&amp;VLOOKUP(V$87,'List Values'!$C$3:$D$6,2,FALSE)&amp;ROW(V320))="","",INDIRECT("'"&amp;V$86&amp;"'!"&amp;VLOOKUP(V$87,'List Values'!$C$3:$D$6,2,FALSE)&amp;ROW(V320))),IF(V$86&lt;&gt;"","Data Source Error",""))))</f>
        <v/>
      </c>
      <c r="Y320" s="2643"/>
      <c r="Z320" s="2644"/>
      <c r="AA320" s="2644"/>
      <c r="AB320" s="2645"/>
    </row>
    <row r="321" spans="1:28" ht="31" customHeight="1" outlineLevel="1">
      <c r="A321" s="514"/>
      <c r="B321" s="252"/>
      <c r="C321" s="2646" t="s">
        <v>651</v>
      </c>
      <c r="D321" s="2646"/>
      <c r="E321" s="494"/>
      <c r="F321" s="494"/>
      <c r="G321" s="642"/>
      <c r="H321" s="643"/>
      <c r="I321" s="196"/>
      <c r="J321" s="632"/>
      <c r="K321" s="902" t="str">
        <f ca="1">IF(OR($H$7&lt;2,K$260&lt;3),"",IF(J321&lt;&gt;"",J321,IFERROR(IF(INDIRECT("'"&amp;J$86&amp;"'!"&amp;VLOOKUP(J$87,'List Values'!$C$3:$D$6,2,FALSE)&amp;ROW(J321))="","",INDIRECT("'"&amp;J$86&amp;"'!"&amp;VLOOKUP(J$87,'List Values'!$C$3:$D$6,2,FALSE)&amp;ROW(J321))),IF(J$86&lt;&gt;"","Data Source Error",""))))</f>
        <v/>
      </c>
      <c r="L321" s="196"/>
      <c r="M321" s="632"/>
      <c r="N321" s="902" t="str">
        <f ca="1">IF(OR($H$7&lt;3,N$260&lt;3),"",IF(M321&lt;&gt;"",M321,IFERROR(IF(INDIRECT("'"&amp;M$86&amp;"'!"&amp;VLOOKUP(M$87,'List Values'!$C$3:$D$6,2,FALSE)&amp;ROW(M321))="","",INDIRECT("'"&amp;M$86&amp;"'!"&amp;VLOOKUP(M$87,'List Values'!$C$3:$D$6,2,FALSE)&amp;ROW(M321))),IF(M$86&lt;&gt;"","Data Source Error",""))))</f>
        <v/>
      </c>
      <c r="O321" s="196"/>
      <c r="P321" s="632"/>
      <c r="Q321" s="902" t="str">
        <f ca="1">IF(OR($H$7&lt;4,Q$260&lt;3),"",IF(P321&lt;&gt;"",P321,IFERROR(IF(INDIRECT("'"&amp;P$86&amp;"'!"&amp;VLOOKUP(P$87,'List Values'!$C$3:$D$6,2,FALSE)&amp;ROW(P321))="","",INDIRECT("'"&amp;P$86&amp;"'!"&amp;VLOOKUP(P$87,'List Values'!$C$3:$D$6,2,FALSE)&amp;ROW(P321))),IF(P$86&lt;&gt;"","Data Source Error",""))))</f>
        <v/>
      </c>
      <c r="R321" s="236"/>
      <c r="S321" s="632"/>
      <c r="T321" s="902" t="str">
        <f ca="1">IF(OR($H$7&lt;5,T$260&lt;3),"",IF(S321&lt;&gt;"",S321,IFERROR(IF(INDIRECT("'"&amp;S$86&amp;"'!"&amp;VLOOKUP(S$87,'List Values'!$C$3:$D$6,2,FALSE)&amp;ROW(S321))="","",INDIRECT("'"&amp;S$86&amp;"'!"&amp;VLOOKUP(S$87,'List Values'!$C$3:$D$6,2,FALSE)&amp;ROW(S321))),IF(S$86&lt;&gt;"","Data Source Error",""))))</f>
        <v/>
      </c>
      <c r="U321" s="236"/>
      <c r="V321" s="632"/>
      <c r="W321" s="982" t="str">
        <f ca="1">IF(OR($H$7&lt;6,W$260&lt;3),"",IF(V321&lt;&gt;"",V321,IFERROR(IF(INDIRECT("'"&amp;V$86&amp;"'!"&amp;VLOOKUP(V$87,'List Values'!$C$3:$D$6,2,FALSE)&amp;ROW(V321))="","",INDIRECT("'"&amp;V$86&amp;"'!"&amp;VLOOKUP(V$87,'List Values'!$C$3:$D$6,2,FALSE)&amp;ROW(V321))),IF(V$86&lt;&gt;"","Data Source Error",""))))</f>
        <v/>
      </c>
      <c r="Y321" s="2657"/>
      <c r="Z321" s="2658"/>
      <c r="AA321" s="2658"/>
      <c r="AB321" s="2659"/>
    </row>
    <row r="322" spans="1:28" ht="21" customHeight="1" collapsed="1">
      <c r="A322" s="212"/>
      <c r="C322" s="130"/>
      <c r="D322" s="130"/>
      <c r="E322" s="130"/>
      <c r="G322" s="121"/>
      <c r="H322" s="69"/>
      <c r="K322" s="972"/>
      <c r="N322" s="972"/>
      <c r="Q322" s="972"/>
      <c r="S322" s="6"/>
      <c r="T322" s="972"/>
      <c r="V322" s="6"/>
      <c r="W322" s="972"/>
    </row>
    <row r="323" spans="1:28" ht="14.9" customHeight="1">
      <c r="G323" s="144"/>
      <c r="H323" s="145"/>
      <c r="I323" s="146"/>
      <c r="J323" s="254"/>
      <c r="K323" s="145"/>
      <c r="L323" s="146"/>
      <c r="M323" s="254"/>
      <c r="N323" s="145"/>
      <c r="O323" s="146"/>
      <c r="P323" s="254"/>
      <c r="Q323" s="145"/>
    </row>
    <row r="324" spans="1:28" ht="14.25" customHeight="1">
      <c r="G324" s="224"/>
      <c r="H324" s="145"/>
      <c r="I324" s="147"/>
      <c r="J324" s="224"/>
      <c r="K324" s="145"/>
      <c r="L324" s="147"/>
      <c r="M324" s="224"/>
      <c r="N324" s="145"/>
      <c r="Q324" s="145" t="str">
        <f ca="1">IFERROR(#REF!/Q106,"")</f>
        <v/>
      </c>
    </row>
    <row r="329" spans="1:28">
      <c r="K329" s="37"/>
    </row>
    <row r="330" spans="1:28">
      <c r="N330" s="37"/>
    </row>
  </sheetData>
  <sheetProtection algorithmName="SHA-512" hashValue="Z8NduYl+AV6+FJaiAL4iVMTDARZct3A3V3RpJmi0NpSFyqlMuo6ZUh+iINCwgqYdnsDavyXKljmD7qDyiJtByA==" saltValue="VfehKIigjj3MpDjBbMnLoQ==" spinCount="100000" sheet="1" formatColumns="0" formatRows="0" sort="0" autoFilter="0" pivotTables="0"/>
  <protectedRanges>
    <protectedRange sqref="Y5:AB12 Y16:AB22 Y27:AB38 Y86:AB88 Y92:AB99 Y103:AB117 Y121:AB123 Y133:AB193 Y197:AB257 Y260:AB321" name="Notes"/>
    <protectedRange sqref="G5:G12 G16:G21 G28:G38 J28:J38 M27:P38 G43:G78 J43:M78" name="Sections 1 to 4"/>
    <protectedRange sqref="G86:G88 J86:J88 M86:M88 P86:P88 S86:S88 V86:V88 G92:G99 J92:J99 M92:M99 P92:P99 S92:S99 V92:V99 G104:G117 J104:J117 M104:M117 P104:P117 S104:S117 V104:V117 G121:G123 J121:J123 M121:M123 P121:P123 S121:S123 V121:V123" name="Section 5"/>
    <protectedRange sqref="J133:J193 M133:M193 P133:P193 S133:S193 V133:V193 J197:J257 M197:M257 P197:P257 S197:S257 V197:V257 J260:J321 M260:M321 P260:P321 S260:S321 V260:V321" name="Section 6"/>
  </protectedRanges>
  <dataConsolidate link="1"/>
  <mergeCells count="632">
    <mergeCell ref="A1:K1"/>
    <mergeCell ref="B3:E3"/>
    <mergeCell ref="Y4:AB4"/>
    <mergeCell ref="B5:E5"/>
    <mergeCell ref="Y5:AB5"/>
    <mergeCell ref="B6:E6"/>
    <mergeCell ref="Y6:AB6"/>
    <mergeCell ref="B10:E10"/>
    <mergeCell ref="Y10:AB10"/>
    <mergeCell ref="B11:E11"/>
    <mergeCell ref="Y11:AB11"/>
    <mergeCell ref="B12:E12"/>
    <mergeCell ref="Y12:AB12"/>
    <mergeCell ref="B7:E7"/>
    <mergeCell ref="Y7:AB7"/>
    <mergeCell ref="B8:E8"/>
    <mergeCell ref="Y8:AB8"/>
    <mergeCell ref="B9:E9"/>
    <mergeCell ref="Y9:AB9"/>
    <mergeCell ref="B18:E18"/>
    <mergeCell ref="Y18:AB18"/>
    <mergeCell ref="B19:E19"/>
    <mergeCell ref="Y19:AB19"/>
    <mergeCell ref="B20:E20"/>
    <mergeCell ref="M20:N20"/>
    <mergeCell ref="Q20:S20"/>
    <mergeCell ref="Y20:AB20"/>
    <mergeCell ref="B14:E14"/>
    <mergeCell ref="K15:K16"/>
    <mergeCell ref="M15:S15"/>
    <mergeCell ref="Y15:AB15"/>
    <mergeCell ref="B16:E16"/>
    <mergeCell ref="Q16:S19"/>
    <mergeCell ref="Y16:AB16"/>
    <mergeCell ref="B17:E17"/>
    <mergeCell ref="K17:K19"/>
    <mergeCell ref="Y17:AB17"/>
    <mergeCell ref="B25:E26"/>
    <mergeCell ref="G25:H25"/>
    <mergeCell ref="J25:K25"/>
    <mergeCell ref="M25:P25"/>
    <mergeCell ref="M26:P26"/>
    <mergeCell ref="Y26:AB26"/>
    <mergeCell ref="B21:E21"/>
    <mergeCell ref="M21:N22"/>
    <mergeCell ref="P21:P22"/>
    <mergeCell ref="Q21:S21"/>
    <mergeCell ref="Y21:AB21"/>
    <mergeCell ref="B24:E24"/>
    <mergeCell ref="B30:D30"/>
    <mergeCell ref="Y30:AB30"/>
    <mergeCell ref="B31:D31"/>
    <mergeCell ref="Y31:AB31"/>
    <mergeCell ref="B32:D32"/>
    <mergeCell ref="Y32:AB32"/>
    <mergeCell ref="B27:D27"/>
    <mergeCell ref="Y27:AB27"/>
    <mergeCell ref="B28:D28"/>
    <mergeCell ref="Y28:AB28"/>
    <mergeCell ref="B29:D29"/>
    <mergeCell ref="Y29:AB29"/>
    <mergeCell ref="B36:D36"/>
    <mergeCell ref="Y36:AB36"/>
    <mergeCell ref="B37:D37"/>
    <mergeCell ref="Y37:AB37"/>
    <mergeCell ref="B38:D38"/>
    <mergeCell ref="Y38:AB38"/>
    <mergeCell ref="B33:D33"/>
    <mergeCell ref="Y33:AB33"/>
    <mergeCell ref="B34:D34"/>
    <mergeCell ref="Y34:AB34"/>
    <mergeCell ref="B35:D35"/>
    <mergeCell ref="Y35:AB35"/>
    <mergeCell ref="B43:C43"/>
    <mergeCell ref="J43:M43"/>
    <mergeCell ref="Y43:AB43"/>
    <mergeCell ref="B44:C44"/>
    <mergeCell ref="Y44:AB44"/>
    <mergeCell ref="B45:C45"/>
    <mergeCell ref="Y45:AB45"/>
    <mergeCell ref="B41:E41"/>
    <mergeCell ref="J41:M41"/>
    <mergeCell ref="Y41:AB41"/>
    <mergeCell ref="B42:C42"/>
    <mergeCell ref="J42:M42"/>
    <mergeCell ref="Y42:AB42"/>
    <mergeCell ref="B49:C49"/>
    <mergeCell ref="Y49:AB49"/>
    <mergeCell ref="B50:C50"/>
    <mergeCell ref="Y50:AB50"/>
    <mergeCell ref="B51:C51"/>
    <mergeCell ref="Y51:AB51"/>
    <mergeCell ref="B46:C46"/>
    <mergeCell ref="Y46:AB46"/>
    <mergeCell ref="B47:C47"/>
    <mergeCell ref="Y47:AB47"/>
    <mergeCell ref="B48:C48"/>
    <mergeCell ref="Y48:AB48"/>
    <mergeCell ref="B55:C55"/>
    <mergeCell ref="Y55:AB55"/>
    <mergeCell ref="B56:C56"/>
    <mergeCell ref="Y56:AB56"/>
    <mergeCell ref="B57:C57"/>
    <mergeCell ref="Y57:AB57"/>
    <mergeCell ref="B52:C52"/>
    <mergeCell ref="Y52:AB52"/>
    <mergeCell ref="B53:C53"/>
    <mergeCell ref="Y53:AB53"/>
    <mergeCell ref="B54:C54"/>
    <mergeCell ref="Y54:AB54"/>
    <mergeCell ref="B61:C61"/>
    <mergeCell ref="Y61:AB61"/>
    <mergeCell ref="B62:C62"/>
    <mergeCell ref="Y62:AB62"/>
    <mergeCell ref="B63:C63"/>
    <mergeCell ref="Y63:AB63"/>
    <mergeCell ref="B58:C58"/>
    <mergeCell ref="Y58:AB58"/>
    <mergeCell ref="B59:C59"/>
    <mergeCell ref="Y59:AB59"/>
    <mergeCell ref="B60:C60"/>
    <mergeCell ref="Y60:AB60"/>
    <mergeCell ref="B67:C67"/>
    <mergeCell ref="Y67:AB67"/>
    <mergeCell ref="B68:C68"/>
    <mergeCell ref="Y68:AB68"/>
    <mergeCell ref="B69:C69"/>
    <mergeCell ref="Y69:AB69"/>
    <mergeCell ref="B64:C64"/>
    <mergeCell ref="Y64:AB64"/>
    <mergeCell ref="B65:C65"/>
    <mergeCell ref="Y65:AB65"/>
    <mergeCell ref="B66:C66"/>
    <mergeCell ref="Y66:AB66"/>
    <mergeCell ref="B73:C73"/>
    <mergeCell ref="Y73:AB73"/>
    <mergeCell ref="B74:C74"/>
    <mergeCell ref="Y74:AB74"/>
    <mergeCell ref="B75:C75"/>
    <mergeCell ref="Y75:AB75"/>
    <mergeCell ref="B70:C70"/>
    <mergeCell ref="Y70:AB70"/>
    <mergeCell ref="B71:C71"/>
    <mergeCell ref="Y71:AB71"/>
    <mergeCell ref="B72:C72"/>
    <mergeCell ref="Y72:AB72"/>
    <mergeCell ref="B81:D81"/>
    <mergeCell ref="G83:H83"/>
    <mergeCell ref="J83:K83"/>
    <mergeCell ref="M83:N83"/>
    <mergeCell ref="P83:Q83"/>
    <mergeCell ref="S83:T83"/>
    <mergeCell ref="B76:C76"/>
    <mergeCell ref="Y76:AB76"/>
    <mergeCell ref="B77:C77"/>
    <mergeCell ref="Y77:AB77"/>
    <mergeCell ref="B78:C78"/>
    <mergeCell ref="Y78:AB78"/>
    <mergeCell ref="T84:T85"/>
    <mergeCell ref="V84:V85"/>
    <mergeCell ref="W84:W85"/>
    <mergeCell ref="B85:D85"/>
    <mergeCell ref="Y85:AB85"/>
    <mergeCell ref="B86:D86"/>
    <mergeCell ref="Y86:AB86"/>
    <mergeCell ref="V83:W83"/>
    <mergeCell ref="G84:G85"/>
    <mergeCell ref="H84:H85"/>
    <mergeCell ref="J84:J85"/>
    <mergeCell ref="K84:K85"/>
    <mergeCell ref="M84:M85"/>
    <mergeCell ref="N84:N85"/>
    <mergeCell ref="P84:P85"/>
    <mergeCell ref="Q84:Q85"/>
    <mergeCell ref="S84:S85"/>
    <mergeCell ref="Y91:AB91"/>
    <mergeCell ref="B92:D92"/>
    <mergeCell ref="Y92:AB92"/>
    <mergeCell ref="B93:D93"/>
    <mergeCell ref="Y93:AB93"/>
    <mergeCell ref="B94:D94"/>
    <mergeCell ref="Y94:AB94"/>
    <mergeCell ref="B87:D87"/>
    <mergeCell ref="Y87:AB87"/>
    <mergeCell ref="B88:D88"/>
    <mergeCell ref="Y88:AB88"/>
    <mergeCell ref="G91:H91"/>
    <mergeCell ref="J91:K91"/>
    <mergeCell ref="M91:N91"/>
    <mergeCell ref="P91:Q91"/>
    <mergeCell ref="S91:T91"/>
    <mergeCell ref="V91:W91"/>
    <mergeCell ref="B98:D98"/>
    <mergeCell ref="Y98:AB98"/>
    <mergeCell ref="B99:D99"/>
    <mergeCell ref="Y99:AB99"/>
    <mergeCell ref="P101:Q101"/>
    <mergeCell ref="S101:T101"/>
    <mergeCell ref="V101:W101"/>
    <mergeCell ref="B95:D95"/>
    <mergeCell ref="Y95:AB95"/>
    <mergeCell ref="B96:D96"/>
    <mergeCell ref="Y96:AB96"/>
    <mergeCell ref="B97:D97"/>
    <mergeCell ref="Y97:AB97"/>
    <mergeCell ref="Y102:AB102"/>
    <mergeCell ref="C103:D103"/>
    <mergeCell ref="Y103:AB103"/>
    <mergeCell ref="C104:D104"/>
    <mergeCell ref="Y104:AB104"/>
    <mergeCell ref="B105:B107"/>
    <mergeCell ref="C105:D105"/>
    <mergeCell ref="Y105:AB105"/>
    <mergeCell ref="C106:D106"/>
    <mergeCell ref="Y106:AB106"/>
    <mergeCell ref="G102:H103"/>
    <mergeCell ref="J102:K103"/>
    <mergeCell ref="M102:N103"/>
    <mergeCell ref="P102:Q103"/>
    <mergeCell ref="S102:T103"/>
    <mergeCell ref="V102:W103"/>
    <mergeCell ref="C107:D107"/>
    <mergeCell ref="Y107:AB107"/>
    <mergeCell ref="B108:B112"/>
    <mergeCell ref="C108:D108"/>
    <mergeCell ref="Y108:AB108"/>
    <mergeCell ref="C109:D109"/>
    <mergeCell ref="Y109:AB109"/>
    <mergeCell ref="C110:D110"/>
    <mergeCell ref="Y110:AB110"/>
    <mergeCell ref="C111:D111"/>
    <mergeCell ref="P119:Q119"/>
    <mergeCell ref="S119:T119"/>
    <mergeCell ref="V119:W119"/>
    <mergeCell ref="Y111:AB111"/>
    <mergeCell ref="C112:D112"/>
    <mergeCell ref="Y112:AB112"/>
    <mergeCell ref="Y120:AB120"/>
    <mergeCell ref="B121:D121"/>
    <mergeCell ref="Y121:AB121"/>
    <mergeCell ref="B113:B117"/>
    <mergeCell ref="C113:D113"/>
    <mergeCell ref="Y113:AB113"/>
    <mergeCell ref="C114:D114"/>
    <mergeCell ref="Y114:AB114"/>
    <mergeCell ref="C115:D115"/>
    <mergeCell ref="Y115:AB115"/>
    <mergeCell ref="C116:D116"/>
    <mergeCell ref="Y116:AB116"/>
    <mergeCell ref="C117:D117"/>
    <mergeCell ref="Y117:AB117"/>
    <mergeCell ref="B122:D122"/>
    <mergeCell ref="Y122:AB122"/>
    <mergeCell ref="B123:D123"/>
    <mergeCell ref="Y123:AB123"/>
    <mergeCell ref="G120:H120"/>
    <mergeCell ref="J120:K120"/>
    <mergeCell ref="M120:N120"/>
    <mergeCell ref="P120:Q120"/>
    <mergeCell ref="S120:T120"/>
    <mergeCell ref="V120:W120"/>
    <mergeCell ref="V130:W130"/>
    <mergeCell ref="Y132:AB132"/>
    <mergeCell ref="B133:D133"/>
    <mergeCell ref="Y133:AB133"/>
    <mergeCell ref="C135:D135"/>
    <mergeCell ref="Y135:AB135"/>
    <mergeCell ref="B129:D129"/>
    <mergeCell ref="B130:H132"/>
    <mergeCell ref="J130:K130"/>
    <mergeCell ref="M130:N130"/>
    <mergeCell ref="P130:Q130"/>
    <mergeCell ref="S130:T130"/>
    <mergeCell ref="C139:D139"/>
    <mergeCell ref="Y139:AB139"/>
    <mergeCell ref="C140:D140"/>
    <mergeCell ref="Y140:AB140"/>
    <mergeCell ref="C141:D141"/>
    <mergeCell ref="Y141:AB141"/>
    <mergeCell ref="C136:D136"/>
    <mergeCell ref="Y136:AB136"/>
    <mergeCell ref="C137:D137"/>
    <mergeCell ref="Y137:AB137"/>
    <mergeCell ref="C138:D138"/>
    <mergeCell ref="Y138:AB138"/>
    <mergeCell ref="C145:D145"/>
    <mergeCell ref="Y145:AB145"/>
    <mergeCell ref="C146:D146"/>
    <mergeCell ref="Y146:AB146"/>
    <mergeCell ref="C147:D147"/>
    <mergeCell ref="Y147:AB147"/>
    <mergeCell ref="C142:D142"/>
    <mergeCell ref="Y142:AB142"/>
    <mergeCell ref="C143:D143"/>
    <mergeCell ref="Y143:AB143"/>
    <mergeCell ref="C144:D144"/>
    <mergeCell ref="Y144:AB144"/>
    <mergeCell ref="C151:D151"/>
    <mergeCell ref="Y151:AB151"/>
    <mergeCell ref="C152:D152"/>
    <mergeCell ref="Y152:AB152"/>
    <mergeCell ref="C153:D153"/>
    <mergeCell ref="Y153:AB153"/>
    <mergeCell ref="C148:D148"/>
    <mergeCell ref="Y148:AB148"/>
    <mergeCell ref="C149:D149"/>
    <mergeCell ref="Y149:AB149"/>
    <mergeCell ref="C150:D150"/>
    <mergeCell ref="Y150:AB150"/>
    <mergeCell ref="C158:D158"/>
    <mergeCell ref="Y158:AB158"/>
    <mergeCell ref="C159:D159"/>
    <mergeCell ref="Y159:AB159"/>
    <mergeCell ref="C160:D160"/>
    <mergeCell ref="Y160:AB160"/>
    <mergeCell ref="C155:D155"/>
    <mergeCell ref="Y155:AB155"/>
    <mergeCell ref="C156:D156"/>
    <mergeCell ref="Y156:AB156"/>
    <mergeCell ref="C157:D157"/>
    <mergeCell ref="Y157:AB157"/>
    <mergeCell ref="C164:D164"/>
    <mergeCell ref="Y164:AB164"/>
    <mergeCell ref="C165:D165"/>
    <mergeCell ref="Y165:AB165"/>
    <mergeCell ref="C166:D166"/>
    <mergeCell ref="Y166:AB166"/>
    <mergeCell ref="C161:D161"/>
    <mergeCell ref="Y161:AB161"/>
    <mergeCell ref="C162:D162"/>
    <mergeCell ref="Y162:AB162"/>
    <mergeCell ref="C163:D163"/>
    <mergeCell ref="Y163:AB163"/>
    <mergeCell ref="C170:D170"/>
    <mergeCell ref="Y170:AB170"/>
    <mergeCell ref="C171:D171"/>
    <mergeCell ref="Y171:AB171"/>
    <mergeCell ref="C172:D172"/>
    <mergeCell ref="Y172:AB172"/>
    <mergeCell ref="C167:D167"/>
    <mergeCell ref="Y167:AB167"/>
    <mergeCell ref="C168:D168"/>
    <mergeCell ref="Y168:AB168"/>
    <mergeCell ref="C169:D169"/>
    <mergeCell ref="Y169:AB169"/>
    <mergeCell ref="C177:D177"/>
    <mergeCell ref="Y177:AB177"/>
    <mergeCell ref="C178:D178"/>
    <mergeCell ref="Y178:AB178"/>
    <mergeCell ref="C179:D179"/>
    <mergeCell ref="Y179:AB179"/>
    <mergeCell ref="C173:D173"/>
    <mergeCell ref="Y173:AB173"/>
    <mergeCell ref="C175:D175"/>
    <mergeCell ref="Y175:AB175"/>
    <mergeCell ref="C176:D176"/>
    <mergeCell ref="Y176:AB176"/>
    <mergeCell ref="C183:D183"/>
    <mergeCell ref="Y183:AB183"/>
    <mergeCell ref="C184:D184"/>
    <mergeCell ref="Y184:AB184"/>
    <mergeCell ref="C185:D185"/>
    <mergeCell ref="Y185:AB185"/>
    <mergeCell ref="C180:D180"/>
    <mergeCell ref="Y180:AB180"/>
    <mergeCell ref="C181:D181"/>
    <mergeCell ref="Y181:AB181"/>
    <mergeCell ref="C182:D182"/>
    <mergeCell ref="Y182:AB182"/>
    <mergeCell ref="C189:D189"/>
    <mergeCell ref="Y189:AB189"/>
    <mergeCell ref="C190:D190"/>
    <mergeCell ref="Y190:AB190"/>
    <mergeCell ref="C191:D191"/>
    <mergeCell ref="Y191:AB191"/>
    <mergeCell ref="C186:D186"/>
    <mergeCell ref="Y186:AB186"/>
    <mergeCell ref="C187:D187"/>
    <mergeCell ref="Y187:AB187"/>
    <mergeCell ref="C188:D188"/>
    <mergeCell ref="Y188:AB188"/>
    <mergeCell ref="C192:D192"/>
    <mergeCell ref="Y192:AB192"/>
    <mergeCell ref="C193:D193"/>
    <mergeCell ref="Y193:AB193"/>
    <mergeCell ref="B195:H196"/>
    <mergeCell ref="J195:K195"/>
    <mergeCell ref="M195:N195"/>
    <mergeCell ref="P195:Q195"/>
    <mergeCell ref="S195:T195"/>
    <mergeCell ref="V195:W195"/>
    <mergeCell ref="C201:D201"/>
    <mergeCell ref="Y201:AB201"/>
    <mergeCell ref="C202:D202"/>
    <mergeCell ref="Y202:AB202"/>
    <mergeCell ref="C203:D203"/>
    <mergeCell ref="Y203:AB203"/>
    <mergeCell ref="Y196:AB196"/>
    <mergeCell ref="B197:D197"/>
    <mergeCell ref="Y197:AB197"/>
    <mergeCell ref="C199:D199"/>
    <mergeCell ref="Y199:AB199"/>
    <mergeCell ref="C200:D200"/>
    <mergeCell ref="Y200:AB200"/>
    <mergeCell ref="C207:D207"/>
    <mergeCell ref="Y207:AB207"/>
    <mergeCell ref="C208:D208"/>
    <mergeCell ref="Y208:AB208"/>
    <mergeCell ref="C209:D209"/>
    <mergeCell ref="Y209:AB209"/>
    <mergeCell ref="C204:D204"/>
    <mergeCell ref="Y204:AB204"/>
    <mergeCell ref="C205:D205"/>
    <mergeCell ref="Y205:AB205"/>
    <mergeCell ref="C206:D206"/>
    <mergeCell ref="Y206:AB206"/>
    <mergeCell ref="C213:D213"/>
    <mergeCell ref="Y213:AB213"/>
    <mergeCell ref="C214:D214"/>
    <mergeCell ref="Y214:AB214"/>
    <mergeCell ref="C215:D215"/>
    <mergeCell ref="Y215:AB215"/>
    <mergeCell ref="C210:D210"/>
    <mergeCell ref="Y210:AB210"/>
    <mergeCell ref="C211:D211"/>
    <mergeCell ref="Y211:AB211"/>
    <mergeCell ref="C212:D212"/>
    <mergeCell ref="Y212:AB212"/>
    <mergeCell ref="C220:D220"/>
    <mergeCell ref="Y220:AB220"/>
    <mergeCell ref="C221:D221"/>
    <mergeCell ref="Y221:AB221"/>
    <mergeCell ref="C222:D222"/>
    <mergeCell ref="Y222:AB222"/>
    <mergeCell ref="C216:D216"/>
    <mergeCell ref="Y216:AB216"/>
    <mergeCell ref="C217:D217"/>
    <mergeCell ref="Y217:AB217"/>
    <mergeCell ref="C219:D219"/>
    <mergeCell ref="Y219:AB219"/>
    <mergeCell ref="C226:D226"/>
    <mergeCell ref="Y226:AB226"/>
    <mergeCell ref="C227:D227"/>
    <mergeCell ref="Y227:AB227"/>
    <mergeCell ref="C228:D228"/>
    <mergeCell ref="Y228:AB228"/>
    <mergeCell ref="C223:D223"/>
    <mergeCell ref="Y223:AB223"/>
    <mergeCell ref="C224:D224"/>
    <mergeCell ref="Y224:AB224"/>
    <mergeCell ref="C225:D225"/>
    <mergeCell ref="Y225:AB225"/>
    <mergeCell ref="C232:D232"/>
    <mergeCell ref="Y232:AB232"/>
    <mergeCell ref="C233:D233"/>
    <mergeCell ref="Y233:AB233"/>
    <mergeCell ref="C234:D234"/>
    <mergeCell ref="Y234:AB234"/>
    <mergeCell ref="C229:D229"/>
    <mergeCell ref="Y229:AB229"/>
    <mergeCell ref="C230:D230"/>
    <mergeCell ref="Y230:AB230"/>
    <mergeCell ref="C231:D231"/>
    <mergeCell ref="Y231:AB231"/>
    <mergeCell ref="C239:D239"/>
    <mergeCell ref="Y239:AB239"/>
    <mergeCell ref="C240:D240"/>
    <mergeCell ref="Y240:AB240"/>
    <mergeCell ref="C241:D241"/>
    <mergeCell ref="Y241:AB241"/>
    <mergeCell ref="C235:D235"/>
    <mergeCell ref="Y235:AB235"/>
    <mergeCell ref="C236:D236"/>
    <mergeCell ref="Y236:AB236"/>
    <mergeCell ref="C237:D237"/>
    <mergeCell ref="Y237:AB237"/>
    <mergeCell ref="C245:D245"/>
    <mergeCell ref="Y245:AB245"/>
    <mergeCell ref="C246:D246"/>
    <mergeCell ref="Y246:AB246"/>
    <mergeCell ref="C247:D247"/>
    <mergeCell ref="Y247:AB247"/>
    <mergeCell ref="C242:D242"/>
    <mergeCell ref="Y242:AB242"/>
    <mergeCell ref="C243:D243"/>
    <mergeCell ref="Y243:AB243"/>
    <mergeCell ref="C244:D244"/>
    <mergeCell ref="Y244:AB244"/>
    <mergeCell ref="C251:D251"/>
    <mergeCell ref="Y251:AB251"/>
    <mergeCell ref="C252:D252"/>
    <mergeCell ref="Y252:AB252"/>
    <mergeCell ref="C253:D253"/>
    <mergeCell ref="Y253:AB253"/>
    <mergeCell ref="C248:D248"/>
    <mergeCell ref="Y248:AB248"/>
    <mergeCell ref="C249:D249"/>
    <mergeCell ref="Y249:AB249"/>
    <mergeCell ref="C250:D250"/>
    <mergeCell ref="Y250:AB250"/>
    <mergeCell ref="C257:D257"/>
    <mergeCell ref="Y257:AB257"/>
    <mergeCell ref="B259:H259"/>
    <mergeCell ref="J259:K259"/>
    <mergeCell ref="M259:N259"/>
    <mergeCell ref="P259:Q259"/>
    <mergeCell ref="S259:T259"/>
    <mergeCell ref="V259:W259"/>
    <mergeCell ref="C254:D254"/>
    <mergeCell ref="Y254:AB254"/>
    <mergeCell ref="C255:D255"/>
    <mergeCell ref="Y255:AB255"/>
    <mergeCell ref="C256:D256"/>
    <mergeCell ref="Y256:AB256"/>
    <mergeCell ref="C264:D264"/>
    <mergeCell ref="Y264:AB264"/>
    <mergeCell ref="C265:D265"/>
    <mergeCell ref="Y265:AB265"/>
    <mergeCell ref="C266:D266"/>
    <mergeCell ref="Y266:AB266"/>
    <mergeCell ref="B260:D260"/>
    <mergeCell ref="Y260:AB260"/>
    <mergeCell ref="B261:D261"/>
    <mergeCell ref="Y261:AB261"/>
    <mergeCell ref="C263:D263"/>
    <mergeCell ref="Y263:AB263"/>
    <mergeCell ref="C270:D270"/>
    <mergeCell ref="Y270:AB270"/>
    <mergeCell ref="C271:D271"/>
    <mergeCell ref="Y271:AB271"/>
    <mergeCell ref="C272:D272"/>
    <mergeCell ref="Y272:AB272"/>
    <mergeCell ref="C267:D267"/>
    <mergeCell ref="Y267:AB267"/>
    <mergeCell ref="C268:D268"/>
    <mergeCell ref="Y268:AB268"/>
    <mergeCell ref="C269:D269"/>
    <mergeCell ref="Y269:AB269"/>
    <mergeCell ref="C276:D276"/>
    <mergeCell ref="Y276:AB276"/>
    <mergeCell ref="C277:D277"/>
    <mergeCell ref="Y277:AB277"/>
    <mergeCell ref="C278:D278"/>
    <mergeCell ref="Y278:AB278"/>
    <mergeCell ref="C273:D273"/>
    <mergeCell ref="Y273:AB273"/>
    <mergeCell ref="C274:D274"/>
    <mergeCell ref="Y274:AB274"/>
    <mergeCell ref="C275:D275"/>
    <mergeCell ref="Y275:AB275"/>
    <mergeCell ref="C283:D283"/>
    <mergeCell ref="Y283:AB283"/>
    <mergeCell ref="C284:D284"/>
    <mergeCell ref="Y284:AB284"/>
    <mergeCell ref="C285:D285"/>
    <mergeCell ref="Y285:AB285"/>
    <mergeCell ref="C279:D279"/>
    <mergeCell ref="Y279:AB279"/>
    <mergeCell ref="C280:D280"/>
    <mergeCell ref="Y280:AB280"/>
    <mergeCell ref="C281:D281"/>
    <mergeCell ref="Y281:AB281"/>
    <mergeCell ref="C289:D289"/>
    <mergeCell ref="Y289:AB289"/>
    <mergeCell ref="C290:D290"/>
    <mergeCell ref="Y290:AB290"/>
    <mergeCell ref="C291:D291"/>
    <mergeCell ref="Y291:AB291"/>
    <mergeCell ref="C286:D286"/>
    <mergeCell ref="Y286:AB286"/>
    <mergeCell ref="C287:D287"/>
    <mergeCell ref="Y287:AB287"/>
    <mergeCell ref="C288:D288"/>
    <mergeCell ref="Y288:AB288"/>
    <mergeCell ref="C295:D295"/>
    <mergeCell ref="Y295:AB295"/>
    <mergeCell ref="C296:D296"/>
    <mergeCell ref="Y296:AB296"/>
    <mergeCell ref="C297:D297"/>
    <mergeCell ref="Y297:AB297"/>
    <mergeCell ref="C292:D292"/>
    <mergeCell ref="Y292:AB292"/>
    <mergeCell ref="C293:D293"/>
    <mergeCell ref="Y293:AB293"/>
    <mergeCell ref="C294:D294"/>
    <mergeCell ref="Y294:AB294"/>
    <mergeCell ref="C301:D301"/>
    <mergeCell ref="Y301:AB301"/>
    <mergeCell ref="C303:D303"/>
    <mergeCell ref="Y303:AB303"/>
    <mergeCell ref="C304:D304"/>
    <mergeCell ref="Y304:AB304"/>
    <mergeCell ref="C298:D298"/>
    <mergeCell ref="Y298:AB298"/>
    <mergeCell ref="C299:D299"/>
    <mergeCell ref="Y299:AB299"/>
    <mergeCell ref="C300:D300"/>
    <mergeCell ref="Y300:AB300"/>
    <mergeCell ref="C308:D308"/>
    <mergeCell ref="Y308:AB308"/>
    <mergeCell ref="C309:D309"/>
    <mergeCell ref="Y309:AB309"/>
    <mergeCell ref="C310:D310"/>
    <mergeCell ref="Y310:AB310"/>
    <mergeCell ref="C305:D305"/>
    <mergeCell ref="Y305:AB305"/>
    <mergeCell ref="C306:D306"/>
    <mergeCell ref="Y306:AB306"/>
    <mergeCell ref="C307:D307"/>
    <mergeCell ref="Y307:AB307"/>
    <mergeCell ref="C314:D314"/>
    <mergeCell ref="Y314:AB314"/>
    <mergeCell ref="C315:D315"/>
    <mergeCell ref="Y315:AB315"/>
    <mergeCell ref="C316:D316"/>
    <mergeCell ref="Y316:AB316"/>
    <mergeCell ref="C311:D311"/>
    <mergeCell ref="Y311:AB311"/>
    <mergeCell ref="C312:D312"/>
    <mergeCell ref="Y312:AB312"/>
    <mergeCell ref="C313:D313"/>
    <mergeCell ref="Y313:AB313"/>
    <mergeCell ref="C320:D320"/>
    <mergeCell ref="Y320:AB320"/>
    <mergeCell ref="C321:D321"/>
    <mergeCell ref="Y321:AB321"/>
    <mergeCell ref="C317:D317"/>
    <mergeCell ref="Y317:AB317"/>
    <mergeCell ref="C318:D318"/>
    <mergeCell ref="Y318:AB318"/>
    <mergeCell ref="C319:D319"/>
    <mergeCell ref="Y319:AB319"/>
  </mergeCells>
  <conditionalFormatting sqref="H123 K123 N123 Q123 T123 W123">
    <cfRule type="expression" dxfId="1837" priority="374">
      <formula>H$121&lt;&gt;"Cost as % commodity value"</formula>
    </cfRule>
  </conditionalFormatting>
  <conditionalFormatting sqref="N122">
    <cfRule type="expression" dxfId="1836" priority="372">
      <formula>$N$121="Cost as % commodity value"</formula>
    </cfRule>
  </conditionalFormatting>
  <conditionalFormatting sqref="G17">
    <cfRule type="expression" dxfId="1835" priority="371">
      <formula>IF(#REF!="","Population changed - check value")</formula>
    </cfRule>
  </conditionalFormatting>
  <conditionalFormatting sqref="K122">
    <cfRule type="expression" dxfId="1834" priority="370">
      <formula>$N$121="Cost as % commodity value"</formula>
    </cfRule>
  </conditionalFormatting>
  <conditionalFormatting sqref="H122 K122 N122 Q122 T122 W122">
    <cfRule type="expression" dxfId="1833" priority="369">
      <formula>H$121&lt;&gt;"Cost per facility"</formula>
    </cfRule>
  </conditionalFormatting>
  <conditionalFormatting sqref="O142:Q160 O162:Q180 O207:Q225 O227:Q245 O271:Q289 O291:Q309 O311:Q321 O261 O182:Q205 O104:Q140 O82:Q101 O262:Q269 O247:Q260 O102:P102 O103">
    <cfRule type="expression" dxfId="1832" priority="1">
      <formula>$H$7&lt;4</formula>
    </cfRule>
  </conditionalFormatting>
  <conditionalFormatting sqref="J135:K140 J142:K153">
    <cfRule type="expression" dxfId="1831" priority="193">
      <formula>$K$133&lt;1</formula>
    </cfRule>
  </conditionalFormatting>
  <conditionalFormatting sqref="P135:Q140 P142:Q153">
    <cfRule type="expression" dxfId="1830" priority="210">
      <formula>$Q$133&lt;1</formula>
    </cfRule>
  </conditionalFormatting>
  <conditionalFormatting sqref="J155:K160 J162:K173">
    <cfRule type="expression" dxfId="1829" priority="148">
      <formula>$K$133&lt;2</formula>
    </cfRule>
  </conditionalFormatting>
  <conditionalFormatting sqref="M155:N160 M162:N173">
    <cfRule type="expression" dxfId="1828" priority="208">
      <formula>$N$133&lt;2</formula>
    </cfRule>
  </conditionalFormatting>
  <conditionalFormatting sqref="P155:Q160 P162:Q173">
    <cfRule type="expression" dxfId="1827" priority="363">
      <formula>$Q$133&lt;2</formula>
    </cfRule>
  </conditionalFormatting>
  <conditionalFormatting sqref="J175:K180 J182:K193">
    <cfRule type="expression" dxfId="1826" priority="158">
      <formula>$K$133&lt;3</formula>
    </cfRule>
  </conditionalFormatting>
  <conditionalFormatting sqref="M175:N180 M182:N193">
    <cfRule type="expression" dxfId="1825" priority="362">
      <formula>$N$133&lt;3</formula>
    </cfRule>
  </conditionalFormatting>
  <conditionalFormatting sqref="P175:Q180 P182:Q193">
    <cfRule type="expression" dxfId="1824" priority="361">
      <formula>$Q$133&lt;3</formula>
    </cfRule>
  </conditionalFormatting>
  <conditionalFormatting sqref="J199:K205 J207:K217">
    <cfRule type="expression" dxfId="1823" priority="156">
      <formula>$K$197&lt;1</formula>
    </cfRule>
  </conditionalFormatting>
  <conditionalFormatting sqref="M199:N205 M207:N217">
    <cfRule type="expression" dxfId="1822" priority="359">
      <formula>$N$197&lt;1</formula>
    </cfRule>
  </conditionalFormatting>
  <conditionalFormatting sqref="P199:Q205 P207:Q217">
    <cfRule type="expression" dxfId="1821" priority="358">
      <formula>$Q$197&lt;1</formula>
    </cfRule>
  </conditionalFormatting>
  <conditionalFormatting sqref="J219:K225 J227:K237">
    <cfRule type="expression" dxfId="1820" priority="154">
      <formula>$K$197&lt;2</formula>
    </cfRule>
  </conditionalFormatting>
  <conditionalFormatting sqref="M219:N225 M227:N237">
    <cfRule type="expression" dxfId="1819" priority="357">
      <formula>$N$197&lt;2</formula>
    </cfRule>
  </conditionalFormatting>
  <conditionalFormatting sqref="P219:Q225 P227:Q237">
    <cfRule type="expression" dxfId="1818" priority="356">
      <formula>$Q$197&lt;2</formula>
    </cfRule>
  </conditionalFormatting>
  <conditionalFormatting sqref="J239:K245 J247:K257">
    <cfRule type="expression" dxfId="1817" priority="152">
      <formula>$K$197&lt;3</formula>
    </cfRule>
  </conditionalFormatting>
  <conditionalFormatting sqref="M239:N245 M247:N257">
    <cfRule type="expression" dxfId="1816" priority="354">
      <formula>$N$197&lt;3</formula>
    </cfRule>
  </conditionalFormatting>
  <conditionalFormatting sqref="P239:Q245 P247:Q257">
    <cfRule type="expression" dxfId="1815" priority="353">
      <formula>$Q$197&lt;3</formula>
    </cfRule>
  </conditionalFormatting>
  <conditionalFormatting sqref="B199:B205 E199:H205 E207:H217 B207:B217">
    <cfRule type="expression" dxfId="1814" priority="351">
      <formula>MAX($H$197,$K$197,$N$197,$Q$197,$T$197,$W$197)&lt;1</formula>
    </cfRule>
  </conditionalFormatting>
  <conditionalFormatting sqref="B239:H245 B247:H257">
    <cfRule type="expression" dxfId="1813" priority="350">
      <formula>MAX($H$197,$K$197,$N$197,$Q$197,$T$197,$W$197)&lt;3</formula>
    </cfRule>
  </conditionalFormatting>
  <conditionalFormatting sqref="B155:B160 B162:B173">
    <cfRule type="expression" dxfId="1812" priority="346">
      <formula>MAX($H$133,$K$133,$N$133,$Q$133,$T$133,$W$133)&lt;2</formula>
    </cfRule>
  </conditionalFormatting>
  <conditionalFormatting sqref="B175:B180 B182:B193">
    <cfRule type="expression" dxfId="1811" priority="345">
      <formula>MAX($H$133,$K$133,$N$133,$Q$133,$T$133,$W$133)&lt;3</formula>
    </cfRule>
  </conditionalFormatting>
  <conditionalFormatting sqref="B219:H225 B227:H237">
    <cfRule type="expression" dxfId="1810" priority="344">
      <formula>MAX($H$197,$K$197,$N$197,$Q$197,$T$197,$W$197)&lt;2</formula>
    </cfRule>
  </conditionalFormatting>
  <conditionalFormatting sqref="H7">
    <cfRule type="expression" dxfId="1809" priority="342">
      <formula>OR(H7&lt;1,H7&gt;6)</formula>
    </cfRule>
  </conditionalFormatting>
  <conditionalFormatting sqref="H6:H7 H9:H12 H17:H19 H92:H93 H95:H97 K92:K99 N92:N99 Q92:Q99 T92:T99 W92:W99 H104 K104 H106:H109 K106:K109 N106:N109 Q106:Q116 T106:T116 W106:W116 K135 N135 Q135 T135 W135 K139:K140 N139:N140 Q139:Q140 T139:T140 W139:W140 K144 N144 Q144 T144 W144 K146 N146 Q146 T146 W146 K148:K152 N148:N152 Q148:Q152 T148:T152 W148:W152 K155 N155 Q155 T155 W155 K159:K160 N159:N160 Q159:Q160 T159:T160 W159:W160 K164 N164 Q164 T164 W164 K166 N166 Q166 T166 W166 K168:K172 N168:N172 Q168:Q172 T168:T172 W168:W172 K175 N175 Q175 T175 W175 K179:K180 N179:N180 Q179:Q180 T179:T180 W179:W180 K184 N184 Q184 T184 W184 K186 N186 Q186 T186 W186 K188:K192 N188:N192 Q188:Q192 T188:T192 W188:W192 K197 N197 Q197 T197 W197 K199 N199 Q199 T199 W199 N203:N204 Q203:Q204 T203:T204 W203:W204 N207 Q207 T207 W207 K207 K203:K204 K209 N209 Q209 T209 W209 K211 N211 Q211 T211 W211 K213:K217 N213:N217 Q213:Q217 T213:T217 W213:W217 K219 N219 Q219 T219 W219 K223:K224 N223:N224 Q223:Q224 T223:T224 W223:W224 K227 N227 Q227 T227 W227 K229 N229 Q229 T229 W229 K231 N231 Q231 T231 W231 K233:K237 N233:N237 Q233:Q237 T233:T237 W233:W237 K239 N239 Q239 T239 W239 K243:K244 N243:N244 Q243:Q244 T243:T244 W243:W244 K247 N247 Q247 T247 W247 K249 N249 Q249 T249 W249 K251 N251 Q251 T251 W251 K253:K257 N253:N257 Q253:Q257 T253:T257 W253:W257 K263 N263 Q263 T263 W263 K267:K268 N267:N268 Q267:Q268 T267:T268 W267:W268 K271 N271 Q271 T271 W271 K273 N273 Q273 T273 W273 K275 N275 Q275 T275 W275 K277:K281 N277:N281 Q277:Q281 T277:T281 W277:W281 K283 N283 Q283 T283 W283 K287:K288 N287:N288 Q287:Q288 T287:T288 W287:W288 K291 N291 Q291 T291 W291 K293 N293 Q293 T293 W293 K295 N295 Q295 T295 W295 K297:K301 N297:N301 Q297:Q301 T297:T301 W297:W301 K303 N303 Q303 T303 W303 K307:K308 N307:N308 Q307:Q308 T307:T308 W307:W308 K311 N311 Q311 T311 W311 K313 N313 Q313 T313 W313 K315 N315 Q315 T315 W315 K317:K321 N317:N321 Q317:Q321 T317:T321 W317:W321 N112:N116 K112:K116 H112:H116 N104 Q104 T104 W104 H99 W142 T142 Q142 N142 K142 W162 T162 Q162 N162 K162 W182 T182 Q182 N182 K182">
    <cfRule type="expression" dxfId="1808" priority="390">
      <formula>AND(ISTEXT(H6),H6&lt;&gt;"")</formula>
    </cfRule>
  </conditionalFormatting>
  <conditionalFormatting sqref="K94 N94 Q94 T94 W94">
    <cfRule type="expression" dxfId="1807" priority="343">
      <formula>K94&lt;0</formula>
    </cfRule>
  </conditionalFormatting>
  <conditionalFormatting sqref="H114:H116 K114:K116 N114:N116 Q114:Q116 T114:T116 W114:W116">
    <cfRule type="expression" dxfId="1806" priority="341">
      <formula>H114&lt;0</formula>
    </cfRule>
  </conditionalFormatting>
  <conditionalFormatting sqref="S135:T140 S142:T153">
    <cfRule type="expression" dxfId="1805" priority="339">
      <formula>$T$133&lt;1</formula>
    </cfRule>
  </conditionalFormatting>
  <conditionalFormatting sqref="S155:T160 S162:T173">
    <cfRule type="expression" dxfId="1804" priority="338">
      <formula>$T$133&lt;2</formula>
    </cfRule>
  </conditionalFormatting>
  <conditionalFormatting sqref="S175:T180 S182:T193">
    <cfRule type="expression" dxfId="1803" priority="337">
      <formula>$T$133&lt;3</formula>
    </cfRule>
  </conditionalFormatting>
  <conditionalFormatting sqref="S199:T205 S207:T217">
    <cfRule type="expression" dxfId="1802" priority="336">
      <formula>$T$197&lt;1</formula>
    </cfRule>
  </conditionalFormatting>
  <conditionalFormatting sqref="S219:T225 S227:T237">
    <cfRule type="expression" dxfId="1801" priority="335">
      <formula>$T$197&lt;2</formula>
    </cfRule>
  </conditionalFormatting>
  <conditionalFormatting sqref="S239:T245 S247:T257">
    <cfRule type="expression" dxfId="1800" priority="334">
      <formula>$T$197&lt;3</formula>
    </cfRule>
  </conditionalFormatting>
  <conditionalFormatting sqref="T94">
    <cfRule type="expression" dxfId="1799" priority="333">
      <formula>OR(S94&lt;0,S94&gt;1,ISTEXT(S94))</formula>
    </cfRule>
  </conditionalFormatting>
  <conditionalFormatting sqref="V135:W140 V142:W153">
    <cfRule type="expression" dxfId="1798" priority="332">
      <formula>$W$133&lt;1</formula>
    </cfRule>
  </conditionalFormatting>
  <conditionalFormatting sqref="V155:W160 V162:W173">
    <cfRule type="expression" dxfId="1797" priority="331">
      <formula>$W$133&lt;2</formula>
    </cfRule>
  </conditionalFormatting>
  <conditionalFormatting sqref="V175:W180 V182:W193">
    <cfRule type="expression" dxfId="1796" priority="330">
      <formula>$W$133&lt;3</formula>
    </cfRule>
  </conditionalFormatting>
  <conditionalFormatting sqref="V199:W205 V207:W217">
    <cfRule type="expression" dxfId="1795" priority="329">
      <formula>$W$197&lt;1</formula>
    </cfRule>
  </conditionalFormatting>
  <conditionalFormatting sqref="V219:W225 V227:W237">
    <cfRule type="expression" dxfId="1794" priority="328">
      <formula>$W$197&lt;2</formula>
    </cfRule>
  </conditionalFormatting>
  <conditionalFormatting sqref="V239:W245 V247:W257">
    <cfRule type="expression" dxfId="1793" priority="327">
      <formula>$W$197&lt;3</formula>
    </cfRule>
  </conditionalFormatting>
  <conditionalFormatting sqref="W94">
    <cfRule type="expression" dxfId="1792" priority="326">
      <formula>OR(V94&lt;0,V94&gt;1,ISTEXT(V94))</formula>
    </cfRule>
  </conditionalFormatting>
  <conditionalFormatting sqref="Q122">
    <cfRule type="expression" dxfId="1791" priority="340">
      <formula>$Q$121="Cost as % commodity value"</formula>
    </cfRule>
  </conditionalFormatting>
  <conditionalFormatting sqref="T122">
    <cfRule type="expression" dxfId="1790" priority="325">
      <formula>$T$121="Cost as % commodity value"</formula>
    </cfRule>
  </conditionalFormatting>
  <conditionalFormatting sqref="W122">
    <cfRule type="expression" dxfId="1789" priority="324">
      <formula>$W$121="Cost as % commodity value"</formula>
    </cfRule>
  </conditionalFormatting>
  <conditionalFormatting sqref="B135:C136 B137:B140 E135:H140 E142:H153 B142:B153">
    <cfRule type="expression" dxfId="1788" priority="322">
      <formula>MAX($H$133,$K$133,$N$133,$Q$133,$T$133,$W$133)&lt;1</formula>
    </cfRule>
  </conditionalFormatting>
  <conditionalFormatting sqref="L110:M111 L82:N101 L142:N160 L162:N180 L207:N225 L227:N245 L271:N289 L291:N309 L311:N321 L261 L197:N205 L196 L182:N195 L132:N140 L131 L112:N130 L262:N269 L247:N260 L104:N109 L102:M102 L103">
    <cfRule type="expression" dxfId="1787" priority="192">
      <formula>$H$7&lt;3</formula>
    </cfRule>
  </conditionalFormatting>
  <conditionalFormatting sqref="K129 J112:K128 J110:J111 J82:K101 J142:K160 J162:K180 J207:K225 J227:K245 J271:K289 J291:K309 J311:K321 J197:K205 J182:K195 J132:K140 J130:K130 J262:K269 J247:K260 J104:K109 J102">
    <cfRule type="expression" dxfId="1786" priority="147">
      <formula>$H$7&lt;2</formula>
    </cfRule>
  </conditionalFormatting>
  <conditionalFormatting sqref="R142:T160 R162:T180 R207:T225 R227:T245 R271:T289 R291:T309 R311:T321 R261 R182:T205 R104:T140 R82:T101 R262:T269 R247:T260 R102:S102 R103">
    <cfRule type="expression" dxfId="1785" priority="2">
      <formula>$H$7&lt;5</formula>
    </cfRule>
  </conditionalFormatting>
  <conditionalFormatting sqref="U142:W160 U162:W180 U207:W225 U227:W245 U271:W289 U291:W309 U311:W321 U261 U182:W205 U104:W140 U82:W101 U262:W269 U247:W260 U102:V102 U103">
    <cfRule type="expression" dxfId="1784" priority="202">
      <formula>$H$7&lt;6</formula>
    </cfRule>
  </conditionalFormatting>
  <conditionalFormatting sqref="V259">
    <cfRule type="expression" dxfId="1783" priority="318">
      <formula>$H$7&lt;2</formula>
    </cfRule>
  </conditionalFormatting>
  <conditionalFormatting sqref="C137">
    <cfRule type="expression" dxfId="1782" priority="315">
      <formula>MAX($H$133,$K$133,$N$133,$Q$133,$T$133,$W$133)&lt;1</formula>
    </cfRule>
  </conditionalFormatting>
  <conditionalFormatting sqref="C138">
    <cfRule type="expression" dxfId="1781" priority="314">
      <formula>MAX($H$133,$K$133,$N$133,$Q$133,$T$133,$W$133)&lt;1</formula>
    </cfRule>
  </conditionalFormatting>
  <conditionalFormatting sqref="C139">
    <cfRule type="expression" dxfId="1780" priority="313">
      <formula>MAX($H$133,$K$133,$N$133,$Q$133,$T$133,$W$133)&lt;1</formula>
    </cfRule>
  </conditionalFormatting>
  <conditionalFormatting sqref="C140">
    <cfRule type="expression" dxfId="1779" priority="312">
      <formula>MAX($H$133,$K$133,$N$133,$Q$133,$T$133,$W$133)&lt;1</formula>
    </cfRule>
  </conditionalFormatting>
  <conditionalFormatting sqref="C142">
    <cfRule type="expression" dxfId="1778" priority="311">
      <formula>MAX($H$133,$K$133,$N$133,$Q$133,$T$133,$W$133)&lt;1</formula>
    </cfRule>
  </conditionalFormatting>
  <conditionalFormatting sqref="C143">
    <cfRule type="expression" dxfId="1777" priority="310">
      <formula>MAX($H$133,$K$133,$N$133,$Q$133,$T$133,$W$133)&lt;1</formula>
    </cfRule>
  </conditionalFormatting>
  <conditionalFormatting sqref="C144">
    <cfRule type="expression" dxfId="1776" priority="309">
      <formula>MAX($H$133,$K$133,$N$133,$Q$133,$T$133,$W$133)&lt;1</formula>
    </cfRule>
  </conditionalFormatting>
  <conditionalFormatting sqref="C145">
    <cfRule type="expression" dxfId="1775" priority="308">
      <formula>MAX($H$133,$K$133,$N$133,$Q$133,$T$133,$W$133)&lt;1</formula>
    </cfRule>
  </conditionalFormatting>
  <conditionalFormatting sqref="C146">
    <cfRule type="expression" dxfId="1774" priority="307">
      <formula>MAX($H$133,$K$133,$N$133,$Q$133,$T$133,$W$133)&lt;1</formula>
    </cfRule>
  </conditionalFormatting>
  <conditionalFormatting sqref="C147">
    <cfRule type="expression" dxfId="1773" priority="306">
      <formula>MAX($H$133,$K$133,$N$133,$Q$133,$T$133,$W$133)&lt;1</formula>
    </cfRule>
  </conditionalFormatting>
  <conditionalFormatting sqref="C148">
    <cfRule type="expression" dxfId="1772" priority="305">
      <formula>MAX($H$133,$K$133,$N$133,$Q$133,$T$133,$W$133)&lt;1</formula>
    </cfRule>
  </conditionalFormatting>
  <conditionalFormatting sqref="C149">
    <cfRule type="expression" dxfId="1771" priority="304">
      <formula>MAX($H$133,$K$133,$N$133,$Q$133,$T$133,$W$133)&lt;1</formula>
    </cfRule>
  </conditionalFormatting>
  <conditionalFormatting sqref="C150">
    <cfRule type="expression" dxfId="1770" priority="303">
      <formula>MAX($H$133,$K$133,$N$133,$Q$133,$T$133,$W$133)&lt;1</formula>
    </cfRule>
  </conditionalFormatting>
  <conditionalFormatting sqref="C151">
    <cfRule type="expression" dxfId="1769" priority="302">
      <formula>MAX($H$133,$K$133,$N$133,$Q$133,$T$133,$W$133)&lt;1</formula>
    </cfRule>
  </conditionalFormatting>
  <conditionalFormatting sqref="C152">
    <cfRule type="expression" dxfId="1768" priority="301">
      <formula>MAX($H$133,$K$133,$N$133,$Q$133,$T$133,$W$133)&lt;1</formula>
    </cfRule>
  </conditionalFormatting>
  <conditionalFormatting sqref="C153">
    <cfRule type="expression" dxfId="1767" priority="300">
      <formula>MAX($H$133,$K$133,$N$133,$Q$133,$T$133,$W$133)&lt;1</formula>
    </cfRule>
  </conditionalFormatting>
  <conditionalFormatting sqref="C219:C220">
    <cfRule type="expression" dxfId="1766" priority="299">
      <formula>MAX($H$197,$K$197,$N$197,$Q$197,$T$197,$W$197)&lt;1</formula>
    </cfRule>
  </conditionalFormatting>
  <conditionalFormatting sqref="C221">
    <cfRule type="expression" dxfId="1765" priority="298">
      <formula>MAX($H$197,$K$197,$N$197,$Q$197,$T$197,$W$197)&lt;1</formula>
    </cfRule>
  </conditionalFormatting>
  <conditionalFormatting sqref="C222">
    <cfRule type="expression" dxfId="1764" priority="297">
      <formula>MAX($H$197,$K$197,$N$197,$Q$197,$T$197,$W$197)&lt;1</formula>
    </cfRule>
  </conditionalFormatting>
  <conditionalFormatting sqref="C223">
    <cfRule type="expression" dxfId="1763" priority="296">
      <formula>MAX($H$197,$K$197,$N$197,$Q$197,$T$197,$W$197)&lt;1</formula>
    </cfRule>
  </conditionalFormatting>
  <conditionalFormatting sqref="C224">
    <cfRule type="expression" dxfId="1762" priority="295">
      <formula>MAX($H$197,$K$197,$N$197,$Q$197,$T$197,$W$197)&lt;1</formula>
    </cfRule>
  </conditionalFormatting>
  <conditionalFormatting sqref="C225">
    <cfRule type="expression" dxfId="1761" priority="294">
      <formula>MAX($H$197,$K$197,$N$197,$Q$197,$T$197,$W$197)&lt;1</formula>
    </cfRule>
  </conditionalFormatting>
  <conditionalFormatting sqref="C227">
    <cfRule type="expression" dxfId="1760" priority="293">
      <formula>MAX($H$197,$K$197,$N$197,$Q$197,$T$197,$W$197)&lt;1</formula>
    </cfRule>
  </conditionalFormatting>
  <conditionalFormatting sqref="C228">
    <cfRule type="expression" dxfId="1759" priority="292">
      <formula>MAX($H$197,$K$197,$N$197,$Q$197,$T$197,$W$197)&lt;1</formula>
    </cfRule>
  </conditionalFormatting>
  <conditionalFormatting sqref="C229">
    <cfRule type="expression" dxfId="1758" priority="291">
      <formula>MAX($H$197,$K$197,$N$197,$Q$197,$T$197,$W$197)&lt;1</formula>
    </cfRule>
  </conditionalFormatting>
  <conditionalFormatting sqref="C230">
    <cfRule type="expression" dxfId="1757" priority="290">
      <formula>MAX($H$197,$K$197,$N$197,$Q$197,$T$197,$W$197)&lt;1</formula>
    </cfRule>
  </conditionalFormatting>
  <conditionalFormatting sqref="C231">
    <cfRule type="expression" dxfId="1756" priority="289">
      <formula>MAX($H$197,$K$197,$N$197,$Q$197,$T$197,$W$197)&lt;1</formula>
    </cfRule>
  </conditionalFormatting>
  <conditionalFormatting sqref="C232">
    <cfRule type="expression" dxfId="1755" priority="288">
      <formula>MAX($H$197,$K$197,$N$197,$Q$197,$T$197,$W$197)&lt;1</formula>
    </cfRule>
  </conditionalFormatting>
  <conditionalFormatting sqref="C233">
    <cfRule type="expression" dxfId="1754" priority="287">
      <formula>MAX($H$197,$K$197,$N$197,$Q$197,$T$197,$W$197)&lt;1</formula>
    </cfRule>
  </conditionalFormatting>
  <conditionalFormatting sqref="C234">
    <cfRule type="expression" dxfId="1753" priority="286">
      <formula>MAX($H$197,$K$197,$N$197,$Q$197,$T$197,$W$197)&lt;1</formula>
    </cfRule>
  </conditionalFormatting>
  <conditionalFormatting sqref="C235">
    <cfRule type="expression" dxfId="1752" priority="285">
      <formula>MAX($H$197,$K$197,$N$197,$Q$197,$T$197,$W$197)&lt;1</formula>
    </cfRule>
  </conditionalFormatting>
  <conditionalFormatting sqref="C236">
    <cfRule type="expression" dxfId="1751" priority="284">
      <formula>MAX($H$197,$K$197,$N$197,$Q$197,$T$197,$W$197)&lt;1</formula>
    </cfRule>
  </conditionalFormatting>
  <conditionalFormatting sqref="C237">
    <cfRule type="expression" dxfId="1750" priority="283">
      <formula>MAX($H$197,$K$197,$N$197,$Q$197,$T$197,$W$197)&lt;1</formula>
    </cfRule>
  </conditionalFormatting>
  <conditionalFormatting sqref="C239:C240">
    <cfRule type="expression" dxfId="1749" priority="282">
      <formula>MAX($H$197,$K$197,$N$197,$Q$197,$T$197,$W$197)&lt;1</formula>
    </cfRule>
  </conditionalFormatting>
  <conditionalFormatting sqref="C241">
    <cfRule type="expression" dxfId="1748" priority="281">
      <formula>MAX($H$197,$K$197,$N$197,$Q$197,$T$197,$W$197)&lt;1</formula>
    </cfRule>
  </conditionalFormatting>
  <conditionalFormatting sqref="C242">
    <cfRule type="expression" dxfId="1747" priority="280">
      <formula>MAX($H$197,$K$197,$N$197,$Q$197,$T$197,$W$197)&lt;1</formula>
    </cfRule>
  </conditionalFormatting>
  <conditionalFormatting sqref="C243">
    <cfRule type="expression" dxfId="1746" priority="279">
      <formula>MAX($H$197,$K$197,$N$197,$Q$197,$T$197,$W$197)&lt;1</formula>
    </cfRule>
  </conditionalFormatting>
  <conditionalFormatting sqref="C244">
    <cfRule type="expression" dxfId="1745" priority="278">
      <formula>MAX($H$197,$K$197,$N$197,$Q$197,$T$197,$W$197)&lt;1</formula>
    </cfRule>
  </conditionalFormatting>
  <conditionalFormatting sqref="C245">
    <cfRule type="expression" dxfId="1744" priority="277">
      <formula>MAX($H$197,$K$197,$N$197,$Q$197,$T$197,$W$197)&lt;1</formula>
    </cfRule>
  </conditionalFormatting>
  <conditionalFormatting sqref="C247">
    <cfRule type="expression" dxfId="1743" priority="276">
      <formula>MAX($H$197,$K$197,$N$197,$Q$197,$T$197,$W$197)&lt;1</formula>
    </cfRule>
  </conditionalFormatting>
  <conditionalFormatting sqref="C248">
    <cfRule type="expression" dxfId="1742" priority="275">
      <formula>MAX($H$197,$K$197,$N$197,$Q$197,$T$197,$W$197)&lt;1</formula>
    </cfRule>
  </conditionalFormatting>
  <conditionalFormatting sqref="C249">
    <cfRule type="expression" dxfId="1741" priority="274">
      <formula>MAX($H$197,$K$197,$N$197,$Q$197,$T$197,$W$197)&lt;1</formula>
    </cfRule>
  </conditionalFormatting>
  <conditionalFormatting sqref="C250">
    <cfRule type="expression" dxfId="1740" priority="273">
      <formula>MAX($H$197,$K$197,$N$197,$Q$197,$T$197,$W$197)&lt;1</formula>
    </cfRule>
  </conditionalFormatting>
  <conditionalFormatting sqref="C251">
    <cfRule type="expression" dxfId="1739" priority="272">
      <formula>MAX($H$197,$K$197,$N$197,$Q$197,$T$197,$W$197)&lt;1</formula>
    </cfRule>
  </conditionalFormatting>
  <conditionalFormatting sqref="C252">
    <cfRule type="expression" dxfId="1738" priority="271">
      <formula>MAX($H$197,$K$197,$N$197,$Q$197,$T$197,$W$197)&lt;1</formula>
    </cfRule>
  </conditionalFormatting>
  <conditionalFormatting sqref="C253">
    <cfRule type="expression" dxfId="1737" priority="270">
      <formula>MAX($H$197,$K$197,$N$197,$Q$197,$T$197,$W$197)&lt;1</formula>
    </cfRule>
  </conditionalFormatting>
  <conditionalFormatting sqref="C254">
    <cfRule type="expression" dxfId="1736" priority="269">
      <formula>MAX($H$197,$K$197,$N$197,$Q$197,$T$197,$W$197)&lt;1</formula>
    </cfRule>
  </conditionalFormatting>
  <conditionalFormatting sqref="C255">
    <cfRule type="expression" dxfId="1735" priority="268">
      <formula>MAX($H$197,$K$197,$N$197,$Q$197,$T$197,$W$197)&lt;1</formula>
    </cfRule>
  </conditionalFormatting>
  <conditionalFormatting sqref="C256">
    <cfRule type="expression" dxfId="1734" priority="267">
      <formula>MAX($H$197,$K$197,$N$197,$Q$197,$T$197,$W$197)&lt;1</formula>
    </cfRule>
  </conditionalFormatting>
  <conditionalFormatting sqref="C257">
    <cfRule type="expression" dxfId="1733" priority="266">
      <formula>MAX($H$197,$K$197,$N$197,$Q$197,$T$197,$W$197)&lt;1</formula>
    </cfRule>
  </conditionalFormatting>
  <conditionalFormatting sqref="C263:C264">
    <cfRule type="expression" dxfId="1732" priority="265">
      <formula>MAX($H$197,$K$197,$N$197,$Q$197,$T$197,$W$197)&lt;1</formula>
    </cfRule>
  </conditionalFormatting>
  <conditionalFormatting sqref="C265">
    <cfRule type="expression" dxfId="1731" priority="264">
      <formula>MAX($H$197,$K$197,$N$197,$Q$197,$T$197,$W$197)&lt;1</formula>
    </cfRule>
  </conditionalFormatting>
  <conditionalFormatting sqref="C266">
    <cfRule type="expression" dxfId="1730" priority="263">
      <formula>MAX($H$197,$K$197,$N$197,$Q$197,$T$197,$W$197)&lt;1</formula>
    </cfRule>
  </conditionalFormatting>
  <conditionalFormatting sqref="C267">
    <cfRule type="expression" dxfId="1729" priority="262">
      <formula>MAX($H$197,$K$197,$N$197,$Q$197,$T$197,$W$197)&lt;1</formula>
    </cfRule>
  </conditionalFormatting>
  <conditionalFormatting sqref="C268">
    <cfRule type="expression" dxfId="1728" priority="261">
      <formula>MAX($H$197,$K$197,$N$197,$Q$197,$T$197,$W$197)&lt;1</formula>
    </cfRule>
  </conditionalFormatting>
  <conditionalFormatting sqref="C269">
    <cfRule type="expression" dxfId="1727" priority="260">
      <formula>MAX($H$197,$K$197,$N$197,$Q$197,$T$197,$W$197)&lt;1</formula>
    </cfRule>
  </conditionalFormatting>
  <conditionalFormatting sqref="C271">
    <cfRule type="expression" dxfId="1726" priority="259">
      <formula>MAX($H$197,$K$197,$N$197,$Q$197,$T$197,$W$197)&lt;1</formula>
    </cfRule>
  </conditionalFormatting>
  <conditionalFormatting sqref="C272">
    <cfRule type="expression" dxfId="1725" priority="258">
      <formula>MAX($H$197,$K$197,$N$197,$Q$197,$T$197,$W$197)&lt;1</formula>
    </cfRule>
  </conditionalFormatting>
  <conditionalFormatting sqref="C273">
    <cfRule type="expression" dxfId="1724" priority="257">
      <formula>MAX($H$197,$K$197,$N$197,$Q$197,$T$197,$W$197)&lt;1</formula>
    </cfRule>
  </conditionalFormatting>
  <conditionalFormatting sqref="C274">
    <cfRule type="expression" dxfId="1723" priority="256">
      <formula>MAX($H$197,$K$197,$N$197,$Q$197,$T$197,$W$197)&lt;1</formula>
    </cfRule>
  </conditionalFormatting>
  <conditionalFormatting sqref="C275">
    <cfRule type="expression" dxfId="1722" priority="255">
      <formula>MAX($H$197,$K$197,$N$197,$Q$197,$T$197,$W$197)&lt;1</formula>
    </cfRule>
  </conditionalFormatting>
  <conditionalFormatting sqref="C276">
    <cfRule type="expression" dxfId="1721" priority="254">
      <formula>MAX($H$197,$K$197,$N$197,$Q$197,$T$197,$W$197)&lt;1</formula>
    </cfRule>
  </conditionalFormatting>
  <conditionalFormatting sqref="C277">
    <cfRule type="expression" dxfId="1720" priority="253">
      <formula>MAX($H$197,$K$197,$N$197,$Q$197,$T$197,$W$197)&lt;1</formula>
    </cfRule>
  </conditionalFormatting>
  <conditionalFormatting sqref="C278">
    <cfRule type="expression" dxfId="1719" priority="252">
      <formula>MAX($H$197,$K$197,$N$197,$Q$197,$T$197,$W$197)&lt;1</formula>
    </cfRule>
  </conditionalFormatting>
  <conditionalFormatting sqref="C279">
    <cfRule type="expression" dxfId="1718" priority="251">
      <formula>MAX($H$197,$K$197,$N$197,$Q$197,$T$197,$W$197)&lt;1</formula>
    </cfRule>
  </conditionalFormatting>
  <conditionalFormatting sqref="C280">
    <cfRule type="expression" dxfId="1717" priority="250">
      <formula>MAX($H$197,$K$197,$N$197,$Q$197,$T$197,$W$197)&lt;1</formula>
    </cfRule>
  </conditionalFormatting>
  <conditionalFormatting sqref="C281">
    <cfRule type="expression" dxfId="1716" priority="249">
      <formula>MAX($H$197,$K$197,$N$197,$Q$197,$T$197,$W$197)&lt;1</formula>
    </cfRule>
  </conditionalFormatting>
  <conditionalFormatting sqref="C283:C284">
    <cfRule type="expression" dxfId="1715" priority="248">
      <formula>MAX($H$197,$K$197,$N$197,$Q$197,$T$197,$W$197)&lt;1</formula>
    </cfRule>
  </conditionalFormatting>
  <conditionalFormatting sqref="C285">
    <cfRule type="expression" dxfId="1714" priority="247">
      <formula>MAX($H$197,$K$197,$N$197,$Q$197,$T$197,$W$197)&lt;1</formula>
    </cfRule>
  </conditionalFormatting>
  <conditionalFormatting sqref="C286">
    <cfRule type="expression" dxfId="1713" priority="246">
      <formula>MAX($H$197,$K$197,$N$197,$Q$197,$T$197,$W$197)&lt;1</formula>
    </cfRule>
  </conditionalFormatting>
  <conditionalFormatting sqref="C287">
    <cfRule type="expression" dxfId="1712" priority="245">
      <formula>MAX($H$197,$K$197,$N$197,$Q$197,$T$197,$W$197)&lt;1</formula>
    </cfRule>
  </conditionalFormatting>
  <conditionalFormatting sqref="C288">
    <cfRule type="expression" dxfId="1711" priority="244">
      <formula>MAX($H$197,$K$197,$N$197,$Q$197,$T$197,$W$197)&lt;1</formula>
    </cfRule>
  </conditionalFormatting>
  <conditionalFormatting sqref="C289">
    <cfRule type="expression" dxfId="1710" priority="243">
      <formula>MAX($H$197,$K$197,$N$197,$Q$197,$T$197,$W$197)&lt;1</formula>
    </cfRule>
  </conditionalFormatting>
  <conditionalFormatting sqref="C291">
    <cfRule type="expression" dxfId="1709" priority="242">
      <formula>MAX($H$197,$K$197,$N$197,$Q$197,$T$197,$W$197)&lt;1</formula>
    </cfRule>
  </conditionalFormatting>
  <conditionalFormatting sqref="C292">
    <cfRule type="expression" dxfId="1708" priority="241">
      <formula>MAX($H$197,$K$197,$N$197,$Q$197,$T$197,$W$197)&lt;1</formula>
    </cfRule>
  </conditionalFormatting>
  <conditionalFormatting sqref="C293">
    <cfRule type="expression" dxfId="1707" priority="240">
      <formula>MAX($H$197,$K$197,$N$197,$Q$197,$T$197,$W$197)&lt;1</formula>
    </cfRule>
  </conditionalFormatting>
  <conditionalFormatting sqref="C294">
    <cfRule type="expression" dxfId="1706" priority="239">
      <formula>MAX($H$197,$K$197,$N$197,$Q$197,$T$197,$W$197)&lt;1</formula>
    </cfRule>
  </conditionalFormatting>
  <conditionalFormatting sqref="C295">
    <cfRule type="expression" dxfId="1705" priority="238">
      <formula>MAX($H$197,$K$197,$N$197,$Q$197,$T$197,$W$197)&lt;1</formula>
    </cfRule>
  </conditionalFormatting>
  <conditionalFormatting sqref="C296">
    <cfRule type="expression" dxfId="1704" priority="237">
      <formula>MAX($H$197,$K$197,$N$197,$Q$197,$T$197,$W$197)&lt;1</formula>
    </cfRule>
  </conditionalFormatting>
  <conditionalFormatting sqref="C297">
    <cfRule type="expression" dxfId="1703" priority="236">
      <formula>MAX($H$197,$K$197,$N$197,$Q$197,$T$197,$W$197)&lt;1</formula>
    </cfRule>
  </conditionalFormatting>
  <conditionalFormatting sqref="C298">
    <cfRule type="expression" dxfId="1702" priority="235">
      <formula>MAX($H$197,$K$197,$N$197,$Q$197,$T$197,$W$197)&lt;1</formula>
    </cfRule>
  </conditionalFormatting>
  <conditionalFormatting sqref="C299">
    <cfRule type="expression" dxfId="1701" priority="234">
      <formula>MAX($H$197,$K$197,$N$197,$Q$197,$T$197,$W$197)&lt;1</formula>
    </cfRule>
  </conditionalFormatting>
  <conditionalFormatting sqref="C300">
    <cfRule type="expression" dxfId="1700" priority="233">
      <formula>MAX($H$197,$K$197,$N$197,$Q$197,$T$197,$W$197)&lt;1</formula>
    </cfRule>
  </conditionalFormatting>
  <conditionalFormatting sqref="C301">
    <cfRule type="expression" dxfId="1699" priority="232">
      <formula>MAX($H$197,$K$197,$N$197,$Q$197,$T$197,$W$197)&lt;1</formula>
    </cfRule>
  </conditionalFormatting>
  <conditionalFormatting sqref="C303:C304">
    <cfRule type="expression" dxfId="1698" priority="231">
      <formula>MAX($H$197,$K$197,$N$197,$Q$197,$T$197,$W$197)&lt;1</formula>
    </cfRule>
  </conditionalFormatting>
  <conditionalFormatting sqref="C305">
    <cfRule type="expression" dxfId="1697" priority="230">
      <formula>MAX($H$197,$K$197,$N$197,$Q$197,$T$197,$W$197)&lt;1</formula>
    </cfRule>
  </conditionalFormatting>
  <conditionalFormatting sqref="C306">
    <cfRule type="expression" dxfId="1696" priority="229">
      <formula>MAX($H$197,$K$197,$N$197,$Q$197,$T$197,$W$197)&lt;1</formula>
    </cfRule>
  </conditionalFormatting>
  <conditionalFormatting sqref="C307">
    <cfRule type="expression" dxfId="1695" priority="228">
      <formula>MAX($H$197,$K$197,$N$197,$Q$197,$T$197,$W$197)&lt;1</formula>
    </cfRule>
  </conditionalFormatting>
  <conditionalFormatting sqref="C308">
    <cfRule type="expression" dxfId="1694" priority="227">
      <formula>MAX($H$197,$K$197,$N$197,$Q$197,$T$197,$W$197)&lt;1</formula>
    </cfRule>
  </conditionalFormatting>
  <conditionalFormatting sqref="C309">
    <cfRule type="expression" dxfId="1693" priority="226">
      <formula>MAX($H$197,$K$197,$N$197,$Q$197,$T$197,$W$197)&lt;1</formula>
    </cfRule>
  </conditionalFormatting>
  <conditionalFormatting sqref="C311">
    <cfRule type="expression" dxfId="1692" priority="225">
      <formula>MAX($H$197,$K$197,$N$197,$Q$197,$T$197,$W$197)&lt;1</formula>
    </cfRule>
  </conditionalFormatting>
  <conditionalFormatting sqref="C312">
    <cfRule type="expression" dxfId="1691" priority="224">
      <formula>MAX($H$197,$K$197,$N$197,$Q$197,$T$197,$W$197)&lt;1</formula>
    </cfRule>
  </conditionalFormatting>
  <conditionalFormatting sqref="C313">
    <cfRule type="expression" dxfId="1690" priority="223">
      <formula>MAX($H$197,$K$197,$N$197,$Q$197,$T$197,$W$197)&lt;1</formula>
    </cfRule>
  </conditionalFormatting>
  <conditionalFormatting sqref="C314">
    <cfRule type="expression" dxfId="1689" priority="222">
      <formula>MAX($H$197,$K$197,$N$197,$Q$197,$T$197,$W$197)&lt;1</formula>
    </cfRule>
  </conditionalFormatting>
  <conditionalFormatting sqref="C315">
    <cfRule type="expression" dxfId="1688" priority="221">
      <formula>MAX($H$197,$K$197,$N$197,$Q$197,$T$197,$W$197)&lt;1</formula>
    </cfRule>
  </conditionalFormatting>
  <conditionalFormatting sqref="C316">
    <cfRule type="expression" dxfId="1687" priority="220">
      <formula>MAX($H$197,$K$197,$N$197,$Q$197,$T$197,$W$197)&lt;1</formula>
    </cfRule>
  </conditionalFormatting>
  <conditionalFormatting sqref="C317">
    <cfRule type="expression" dxfId="1686" priority="219">
      <formula>MAX($H$197,$K$197,$N$197,$Q$197,$T$197,$W$197)&lt;1</formula>
    </cfRule>
  </conditionalFormatting>
  <conditionalFormatting sqref="C318">
    <cfRule type="expression" dxfId="1685" priority="218">
      <formula>MAX($H$197,$K$197,$N$197,$Q$197,$T$197,$W$197)&lt;1</formula>
    </cfRule>
  </conditionalFormatting>
  <conditionalFormatting sqref="C319">
    <cfRule type="expression" dxfId="1684" priority="217">
      <formula>MAX($H$197,$K$197,$N$197,$Q$197,$T$197,$W$197)&lt;1</formula>
    </cfRule>
  </conditionalFormatting>
  <conditionalFormatting sqref="C320">
    <cfRule type="expression" dxfId="1683" priority="216">
      <formula>MAX($H$197,$K$197,$N$197,$Q$197,$T$197,$W$197)&lt;1</formula>
    </cfRule>
  </conditionalFormatting>
  <conditionalFormatting sqref="C321">
    <cfRule type="expression" dxfId="1682" priority="215">
      <formula>MAX($H$197,$K$197,$N$197,$Q$197,$T$197,$W$197)&lt;1</formula>
    </cfRule>
  </conditionalFormatting>
  <conditionalFormatting sqref="H28:H38 K28:K38">
    <cfRule type="expression" dxfId="1681" priority="214">
      <formula>AND(H28="",$F28&gt;0)</formula>
    </cfRule>
  </conditionalFormatting>
  <conditionalFormatting sqref="H43:H78">
    <cfRule type="expression" dxfId="1680" priority="213">
      <formula>AND(OR(H43="",H43="#"),E43&gt;0)</formula>
    </cfRule>
  </conditionalFormatting>
  <conditionalFormatting sqref="H6 H9:H12 H19 H92 K92 N92 Q92 T92 W92 H95:H96 K95:K96 N95:N96 Q95:Q96 T95:T96 W95:W96 K98 N98 Q98 T98 W98 H104 K104 N104 Q104 T104 W104 H108 K108 N108 Q108 T108 W108 K151:K152 N151:N152 Q151:Q152 T151:T152 W151:W152 K171:K172 N171:N172 Q171:Q172 T171:T172 W171:W172 K191:K192 N191:N192 Q191:Q192 T191:T192 W191:W192 K216:K217 N216:N217 Q216:Q217 T216:T217 W216:W217 K236:K237 N236:N237 Q236:Q237 T236:T237 W236:W237 K256:K257 N256:N257 Q256:Q257 T256:T257 W256:W257 K280:K281 N280:N281 Q280:Q281 T280:T281 W280:W281 K300:K301 N300:N301 Q300:Q301 T300:T301 W300:W301 K320:K321 N320:N321 Q320:Q321 T320:T321 W320:W321">
    <cfRule type="expression" dxfId="1679" priority="373">
      <formula>H6&lt;=0</formula>
    </cfRule>
  </conditionalFormatting>
  <conditionalFormatting sqref="G87 J87 M87 P87 S87 V87">
    <cfRule type="expression" dxfId="1678" priority="321">
      <formula>AND(ISBLANK(G87),NOT(ISBLANK(G86)))</formula>
    </cfRule>
  </conditionalFormatting>
  <conditionalFormatting sqref="P86 G86 J86 M86 S86 V86">
    <cfRule type="expression" dxfId="1677" priority="212">
      <formula>OR(AND(ISBLANK(G86),NOT(ISBLANK(G87))),AND(NOT(ISBLANK(G86)),IFERROR(INDIRECT("'"&amp;G86&amp;"'!A1"),TRUE)))</formula>
    </cfRule>
  </conditionalFormatting>
  <conditionalFormatting sqref="H88 K88 N88 Q88 T88 W88">
    <cfRule type="expression" dxfId="1676" priority="360">
      <formula>H88=""</formula>
    </cfRule>
  </conditionalFormatting>
  <conditionalFormatting sqref="M135:N140 M142:N153">
    <cfRule type="expression" dxfId="1675" priority="319">
      <formula>$N$133&lt;1</formula>
    </cfRule>
  </conditionalFormatting>
  <conditionalFormatting sqref="K133 N133 Q133 T133 W133 K197 N197 Q197 T197 W197 K260 N260 Q260 T260 W260">
    <cfRule type="expression" dxfId="1674" priority="203">
      <formula>AND(K133=0,J133="")</formula>
    </cfRule>
    <cfRule type="expression" dxfId="1673" priority="320">
      <formula>OR(K133&lt;0,K133&gt;3)</formula>
    </cfRule>
  </conditionalFormatting>
  <conditionalFormatting sqref="H8 H17:H18 H21 H27:H38 K27:K38 H43:H78 H93:H94 K93:K94 N93:N94 Q93:Q94 T93:T94 W93:W94 K99 N99 Q99 T99 W99 H106:H107 K106:K107 N106:N107 Q106:Q107 T106:T107 W106:W107 H109:H116 K109:K116 N109:N116 Q109:Q116 T109:T116 W109:W116 H122:H123 K122:K123 N122:N123 Q122:Q123 T122:T123 W122:W123 K133 N133 Q133 T133 W133 K135 N135 Q135 T135 W135 K139:K140 N139:N140 Q139:Q140 T139:T140 W139:W140 K144 N144 Q144 T144 W144 K146 N146 Q146 T146 W146 K148:K150 N148:N150 Q148:Q150 T148:T150 W148:W150 K155 N155 Q155 T155 W155 K159:K160 N159:N160 Q159:Q160 T159:T160 W159:W160 K164 N164 Q164 T164 W164 K166 N166 Q166 T166 W166 K168:K170 N168:N170 Q168:Q170 T168:T170 W168:W170 K175 N175 Q175 T175 W175 K179:K180 N179:N180 Q179:Q180 T179:T180 W179:W180 K184 N184 Q184 T184 W184 K186 N186 Q186 T186 W186 K188:K190 N188:N190 Q188:Q190 T188:T190 W188:W190 K199 N199 Q199 T199 W199 K203:K204 N203:N204 Q203:Q204 T203:T204 W203:W204 K207 N207 Q207 T207 W207 K209 N209 Q209 T209 W209 K211 N211 Q211 T211 W211 K213:K215 N213:N215 Q213:Q215 T213:T215 W213:W215 K219 N219 Q219 T219 W219 K223:K224 N223:N224 Q223:Q224 T223:T224 W223:W224 K227 N227 Q227 T227 W227 K229 N229 Q229 T229 W229 K231 N231 Q231 T231 W231 K233:K235 N233:N235 Q233:Q235 T233:T235 W233:W235 K239 N239 Q239 T239 W239 K243:K244 N243:N244 Q243:Q244 T243:T244 W243:W244 K247 N247 Q247 T247 W247 K249 N249 Q249 T249 W249 K251 N251 Q251 T251 W251 K253:K255 N253:N255 Q253:Q255 T253:T255 W253:W255 K263 N263 Q263 T263 W263 K267:K268 N267:N268 Q267:Q268 T267:T268 W267:W268 K271 N271 Q271 T271 W271 K273 N273 Q273 T273 W273 K275 N275 Q275 T275 W275 K277:K279 N277:N279 Q277:Q279 T277:T279 W277:W279 K283 N283 Q283 T283 W283 K287:K288 N287:N288 Q287:Q288 T287:T288 W287:W288 K291 N291 Q291 T291 W291 K293 N293 Q293 T293 W293 K295 N295 Q295 T295 W295 K297:K299 N297:N299 Q297:Q299 T297:T299 W297:W299 K303 N303 Q303 T303 W303 K307:K308 N307:N308 Q307:Q308 T307:T308 W307:W308 K311 N311 Q311 T311 W311 K313 N313 Q313 T313 W313 K315 N315 Q315 T315 W315 K317:K319 N317:N319 Q317:Q319 T317:T319 W317:W319 W142 T142 Q142 N142 K142 W162 T162 Q162 N162 K162 W182 T182 Q182 N182 K182">
    <cfRule type="expression" dxfId="1672" priority="391">
      <formula>H8&lt;0</formula>
    </cfRule>
  </conditionalFormatting>
  <conditionalFormatting sqref="H99">
    <cfRule type="expression" dxfId="1671" priority="204">
      <formula>$H$7&lt;2</formula>
    </cfRule>
  </conditionalFormatting>
  <conditionalFormatting sqref="H99">
    <cfRule type="expression" dxfId="1670" priority="205">
      <formula>H99&lt;0</formula>
    </cfRule>
  </conditionalFormatting>
  <conditionalFormatting sqref="H6:H12 H17:H20 H92:H93 H95:H97 H99 K92:K99 N92:N99 Q92:Q99 T92:T99 W92:W99 K133 N133 Q133 T133 W133 K135:K136 N135:N136 Q135:Q136 T135:T136 W135:W136 K155:K156 N155:N156 Q155:Q156 T155:T156 W155:W156 K175:K176 N175:N176 Q175:Q176 T175:T176 W175:W176 K197 N197 Q197 T197 W197 K199:K200 N199:N200 Q199:Q200 T199:T200 W199:W200 K219:K220 N219:N220 Q219:Q220 T219:T220 W219:W220 K239:K240 N239:N240 Q239:Q240 T239:T240 W239:W240 K260 N260 Q260 T260 W260 K263:K264 N263:N264 Q263:Q264 T263:T264 W263:W264 K283:K284 N283:N284 Q283:Q284 T283:T284 W283:W284 K303:K304 N303:N304 Q303:Q304 T303:T304 W303:W304 K317:K319 N317:N319 Q317:Q319 T317:T319 W317:W319 W297:W299 T297:T299 Q297:Q299 N297:N299 K297:K299 K277:K279 N277:N279 Q277:Q279 T277:T279 W277:W279 W253:W255 T253:T255 Q253:Q255 N253:N255 K253:K255 K233:K235 N233:N235 Q233:Q235 T233:T235 W233:W235 W213:W215 T213:T215 Q213:Q215 N213:N215 K213:K215 K188:K190 N188:N190 Q188:Q190 T188:T190 W188:W190 W168:W170 T168:T170 Q168:Q170 N168:N170 K168:K170 K148:K150 N148:N150 Q148:Q150 T148:T150 W148:W150">
    <cfRule type="expression" dxfId="1669" priority="392">
      <formula>H6=""</formula>
    </cfRule>
  </conditionalFormatting>
  <conditionalFormatting sqref="H17:H18">
    <cfRule type="expression" dxfId="1668" priority="201">
      <formula>SUM($H$17:$H$18)=0</formula>
    </cfRule>
  </conditionalFormatting>
  <conditionalFormatting sqref="K137:K140 N137:N140 Q137:Q140 T137:T140 W137:W140 K151:K152 N151:N152 Q151:Q152 T151:T152 W151:W152">
    <cfRule type="expression" dxfId="1667" priority="197">
      <formula>OR(K$136="Public Transport 1",K$136="Public Transport 2")</formula>
    </cfRule>
  </conditionalFormatting>
  <conditionalFormatting sqref="J137:J140 M137:M140 P137:P140 S137:S140 V137:V140 J151:J152 M151:M152 P151:P152 S151:S152 V151:V152">
    <cfRule type="expression" dxfId="1666" priority="206">
      <formula>OR(K$136="Public Transport 1",K$136="Public Transport 2")</formula>
    </cfRule>
  </conditionalFormatting>
  <conditionalFormatting sqref="J144 M144 P144 S144 V144 J151 M151 P151 S151 V151">
    <cfRule type="expression" dxfId="1665" priority="200">
      <formula>AND(K$143&lt;&gt;"Route-based", K$143&lt;&gt;"")</formula>
    </cfRule>
  </conditionalFormatting>
  <conditionalFormatting sqref="K144 N144 Q144 T144 W144">
    <cfRule type="expression" dxfId="1664" priority="194">
      <formula>AND(K$143&lt;&gt;"Route-based", K$143&lt;&gt;"")</formula>
    </cfRule>
  </conditionalFormatting>
  <conditionalFormatting sqref="J147 M147 P147 S147 V147 J167 M167 P167 S167 V167 J187 M187 P187 S187 V187 J212 M212 P212 S212 V212 J232 M232 P232 S232 V232 J252 M252 P252 S252 V252 J276 M276 P276 S276 V276 J296 M296 P296 S296 V296 J316 M316 P316 S316 V316">
    <cfRule type="expression" dxfId="1663" priority="323">
      <formula>K146=0</formula>
    </cfRule>
  </conditionalFormatting>
  <conditionalFormatting sqref="K147 N147 Q147 T147 W147 K167 N167 Q167 T167 W167 K187 N187 Q187 T187 W187 K212 N212 Q212 T212 W212 K232 N232 Q232 T232 W232 K252 N252 Q252 T252 W252 K276 N276 Q276 T276 W276 K296 N296 Q296 T296 W296 K316 N316 Q316 T316 W316">
    <cfRule type="expression" dxfId="1662" priority="198">
      <formula>K146=0</formula>
    </cfRule>
  </conditionalFormatting>
  <conditionalFormatting sqref="K151 N151 Q151 T151 W151">
    <cfRule type="expression" dxfId="1661" priority="209">
      <formula>AND(K$143&lt;&gt;"Route-based",K$143&lt;&gt;"")</formula>
    </cfRule>
  </conditionalFormatting>
  <conditionalFormatting sqref="J138:J139 M138:M139 P138:P139 S138:S139 V138:V139">
    <cfRule type="expression" dxfId="1660" priority="196">
      <formula>AND(K$137&lt;&gt;"Rented",K$137&lt;&gt;"Contracted to 3PL",K$137&lt;&gt;"")</formula>
    </cfRule>
  </conditionalFormatting>
  <conditionalFormatting sqref="K138:K139 N138:N139 Q138:Q139 T138:T139 W138:W139">
    <cfRule type="expression" dxfId="1659" priority="195">
      <formula>AND(K$137&lt;&gt;"Rented",K$137&lt;&gt;"Contracted to 3PL",K$137&lt;&gt;"")</formula>
    </cfRule>
  </conditionalFormatting>
  <conditionalFormatting sqref="K144 N144 Q144 T144 W144 K164 N164 Q164 T164 W164 K184 N184 Q184 T184 W184 K209 N209 Q209 T209 W209 K229 N229 Q229 T229 W229 K249 N249 Q249 T249 W249 K273 N273 Q273 T273 W273 K293 N293 Q293 T293 W293 K313 N313 Q313 T313 W313">
    <cfRule type="expression" dxfId="1658" priority="199">
      <formula>AND(K143="Route-based",K144="")</formula>
    </cfRule>
  </conditionalFormatting>
  <conditionalFormatting sqref="J157:J160 J171:J172 M157:M160 M171:M172 P157:P160 P171:P172 S157:S160 S171:S172 V157:V160 V171:V172">
    <cfRule type="expression" dxfId="1657" priority="366">
      <formula>OR(K$156="Public Transport 1",K$156="Public Transport 2")</formula>
    </cfRule>
  </conditionalFormatting>
  <conditionalFormatting sqref="K157:K160 K171:K172 N157:N160 N171:N172 Q157:Q160 Q171:Q172 T157:T160 T171:T172 W157:W160 W171:W172">
    <cfRule type="expression" dxfId="1656" priority="364">
      <formula>OR(K$156="Public Transport 1",K$156="Public Transport 2")</formula>
    </cfRule>
  </conditionalFormatting>
  <conditionalFormatting sqref="J177:J180 M177:M180 P177:P180 S177:S180 V177:V180 J191:J192 M191:M192 P191:P192 S191:S192 V191:V192">
    <cfRule type="expression" dxfId="1655" priority="317">
      <formula>OR(K$176="Public Transport 1",K$176="Public Transport 2")</formula>
    </cfRule>
  </conditionalFormatting>
  <conditionalFormatting sqref="K177:K180 N177:N180 Q177:Q180 T177:T180 W177:W180 K191:K192 N191:N192 Q191:Q192 T191:T192 W191:W192">
    <cfRule type="expression" dxfId="1654" priority="190">
      <formula>OR(K$176="Public Transport 1",K$176="Public Transport 2")</formula>
    </cfRule>
  </conditionalFormatting>
  <conditionalFormatting sqref="J201:J205 M201:M205 P201:P205 S201:S205 V201:V205 J216:J217 M216:M217 P216:P217 S216:S217 V216:V217">
    <cfRule type="expression" dxfId="1653" priority="207">
      <formula>OR(K$200="Public Transport 1",K$200="Public Transport 2")</formula>
    </cfRule>
  </conditionalFormatting>
  <conditionalFormatting sqref="K201:K205 N201:N205 Q201:Q205 T201:T205 W201:W205 K216:K217 N216:N217 Q216:Q217 T216:T217 W216:W217">
    <cfRule type="expression" dxfId="1652" priority="188">
      <formula>OR(K$200="Public Transport 1",K$200="Public Transport 2")</formula>
    </cfRule>
  </conditionalFormatting>
  <conditionalFormatting sqref="J221:J225 M221:M225 P221:P225 S221:S225 V221:V225 J236:J237 M236:M237 P236:P237 S236:S237 V236:V237">
    <cfRule type="expression" dxfId="1651" priority="355">
      <formula>OR(K$220="Public Transport 1",K$220="Public Transport 2")</formula>
    </cfRule>
  </conditionalFormatting>
  <conditionalFormatting sqref="K221:K225 N221:N225 Q221:Q225 T221:T225 W221:W225 K236:K237 N236:N237 Q236:Q237 T236:T237 W236:W237">
    <cfRule type="expression" dxfId="1650" priority="186">
      <formula>OR(K$220="Public Transport 1",K$220="Public Transport 2")</formula>
    </cfRule>
  </conditionalFormatting>
  <conditionalFormatting sqref="J241:J245 M241:M245 P241:P245 S241:S245 V241:V245 J256:J257 M256:M257 P256:P257 S256:S257 V256:V257">
    <cfRule type="expression" dxfId="1649" priority="352">
      <formula>OR(K$240="Public Transport 1",K$240="Public Transport 2")</formula>
    </cfRule>
  </conditionalFormatting>
  <conditionalFormatting sqref="K241:K245 N241:N245 Q241:Q245 T241:T245 W241:W245 K256:K257 N256:N257 Q256:Q257 T256:T257 W256:W257">
    <cfRule type="expression" dxfId="1648" priority="184">
      <formula>OR(K$240="Public Transport 1",K$240="Public Transport 2")</formula>
    </cfRule>
  </conditionalFormatting>
  <conditionalFormatting sqref="J265:J269 M265:M269 P265:P269 S265:S269 V265:V269 J280:J281 M280:M281 P280:P281 S280:S281 V280:V281">
    <cfRule type="expression" dxfId="1647" priority="349">
      <formula>OR(K$264="Public Transport 1",K$264="Public Transport 2")</formula>
    </cfRule>
  </conditionalFormatting>
  <conditionalFormatting sqref="K265:K269 N265:N269 Q265:Q269 T265:T269 W265:W269 K280:K281 N280:N281 Q280:Q281 T280:T281 W280:W281">
    <cfRule type="expression" dxfId="1646" priority="182">
      <formula>OR(K$264="Public Transport 1",K$264="Public Transport 2")</formula>
    </cfRule>
  </conditionalFormatting>
  <conditionalFormatting sqref="J285:J289 M285:M289 P285:P289 S285:S289 V285:V289 J300:J301 M300:M301 P300:P301 S300:S301 V300:V301">
    <cfRule type="expression" dxfId="1645" priority="348">
      <formula>OR(K$284="Public Transport 1",K$284="Public Transport 2")</formula>
    </cfRule>
  </conditionalFormatting>
  <conditionalFormatting sqref="K285:K289 N285:N289 Q285:Q289 T285:T289 W285:W289 K300:K301 N300:N301 Q300:Q301 T300:T301 W300:W301">
    <cfRule type="expression" dxfId="1644" priority="180">
      <formula>OR(K$284="Public Transport 1",K$284="Public Transport 2")</formula>
    </cfRule>
  </conditionalFormatting>
  <conditionalFormatting sqref="J305:J309 M305:M309 P305:P309 S305:S309 V305:V309 J320:J321 M320:M321 P320:P321 S320:S321 V320:V321">
    <cfRule type="expression" dxfId="1643" priority="347">
      <formula>OR(K$304="Public Transport 1",K$304="Public Transport 2")</formula>
    </cfRule>
  </conditionalFormatting>
  <conditionalFormatting sqref="K305:K309 N305:N309 Q305:Q309 T305:T309 W305:W309 K320:K321 N320:N321 Q320:Q321 T320:T321 W320:W321">
    <cfRule type="expression" dxfId="1642" priority="178">
      <formula>OR(K$304="Public Transport 1",K$304="Public Transport 2")</formula>
    </cfRule>
  </conditionalFormatting>
  <conditionalFormatting sqref="J158:J159 M158:M159 P158:P159 S158:S159 V158:V159">
    <cfRule type="expression" dxfId="1641" priority="191">
      <formula>AND(K$157&lt;&gt;"Rented",K$157&lt;&gt;"Contracted to 3PL",K$157&lt;&gt;"")</formula>
    </cfRule>
  </conditionalFormatting>
  <conditionalFormatting sqref="K158:K159 N158:N159 Q158:Q159 T158:T159 W158:W159">
    <cfRule type="expression" dxfId="1640" priority="176">
      <formula>AND(K$157&lt;&gt;"Rented",K$157&lt;&gt;"Contracted to 3PL",K$157&lt;&gt;"")</formula>
    </cfRule>
  </conditionalFormatting>
  <conditionalFormatting sqref="J178:J179 M178:M179 P178:P179 S178:S179 V178:V179">
    <cfRule type="expression" dxfId="1639" priority="189">
      <formula>AND(K$177&lt;&gt;"Rented",K$177&lt;&gt;"Contracted to 3PL",K$177&lt;&gt;"")</formula>
    </cfRule>
  </conditionalFormatting>
  <conditionalFormatting sqref="K178:K179 N178:N179 Q178:Q179 T178:T179 W178:W179">
    <cfRule type="expression" dxfId="1638" priority="174">
      <formula>AND(K$177&lt;&gt;"Rented",K$177&lt;&gt;"Contracted to 3PL",K$177&lt;&gt;"")</formula>
    </cfRule>
  </conditionalFormatting>
  <conditionalFormatting sqref="J202:J203 M202:M203 P202:P203 S202:S203 V202:V203">
    <cfRule type="expression" dxfId="1637" priority="187">
      <formula>AND(K$201&lt;&gt;"Rented",K$201&lt;&gt;"Contracted to 3PL",K$201&lt;&gt;"")</formula>
    </cfRule>
  </conditionalFormatting>
  <conditionalFormatting sqref="K202:K203 N202:N203 Q202:Q203 T202:T203 W202:W203">
    <cfRule type="expression" dxfId="1636" priority="172">
      <formula>AND(K$201&lt;&gt;"Rented",K$201&lt;&gt;"Contracted to 3PL",K$201&lt;&gt;"")</formula>
    </cfRule>
  </conditionalFormatting>
  <conditionalFormatting sqref="J222:J223 M222:M223 P222:P223 S222:S223 V222:V223">
    <cfRule type="expression" dxfId="1635" priority="185">
      <formula>AND(K$221&lt;&gt;"Rented",K$221&lt;&gt;"Contracted to 3PL",K$221&lt;&gt;"")</formula>
    </cfRule>
  </conditionalFormatting>
  <conditionalFormatting sqref="K222:K223 N222:N223 Q222:Q223 T222:T223 W222:W223">
    <cfRule type="expression" dxfId="1634" priority="170">
      <formula>AND(K$221&lt;&gt;"Rented",K$221&lt;&gt;"Contracted to 3PL",K$221&lt;&gt;"")</formula>
    </cfRule>
  </conditionalFormatting>
  <conditionalFormatting sqref="J242:J243 M242:M243 P242:P243 S242:S243 V242:V243">
    <cfRule type="expression" dxfId="1633" priority="183">
      <formula>AND(K$241&lt;&gt;"Rented",K$241&lt;&gt;"Contracted to 3PL",K$241&lt;&gt;"")</formula>
    </cfRule>
  </conditionalFormatting>
  <conditionalFormatting sqref="K242:K243 N242:N243 Q242:Q243 T242:T243 W242:W243">
    <cfRule type="expression" dxfId="1632" priority="168">
      <formula>AND(K$241&lt;&gt;"Rented",K$241&lt;&gt;"Contracted to 3PL",K$241&lt;&gt;"")</formula>
    </cfRule>
  </conditionalFormatting>
  <conditionalFormatting sqref="J266:J267 M266:M267 P266:P267 S266:S267 V266:V267">
    <cfRule type="expression" dxfId="1631" priority="181">
      <formula>AND(K$265&lt;&gt;"Rented",K$265&lt;&gt;"Contracted to 3PL",K$265&lt;&gt;"")</formula>
    </cfRule>
  </conditionalFormatting>
  <conditionalFormatting sqref="K266:K267 N266:N267 Q266:Q267 T266:T267 W266:W267">
    <cfRule type="expression" dxfId="1630" priority="166">
      <formula>AND(K$265&lt;&gt;"Rented",K$265&lt;&gt;"Contracted to 3PL",K$265&lt;&gt;"")</formula>
    </cfRule>
  </conditionalFormatting>
  <conditionalFormatting sqref="J286:J287 M286:M287 P286:P287 S286:S287 V286:V287">
    <cfRule type="expression" dxfId="1629" priority="179">
      <formula>AND(K$285&lt;&gt;"Rented",K$285&lt;&gt;"Contracted to 3PL",K$285&lt;&gt;"")</formula>
    </cfRule>
  </conditionalFormatting>
  <conditionalFormatting sqref="K286:K287 N286:N287 Q286:Q287 T286:T287 W286:W287">
    <cfRule type="expression" dxfId="1628" priority="164">
      <formula>AND(K$285&lt;&gt;"Rented",K$285&lt;&gt;"Contracted to 3PL",K$285&lt;&gt;"")</formula>
    </cfRule>
  </conditionalFormatting>
  <conditionalFormatting sqref="J306:J307 M306:M307 P306:P307 S306:S307 V306:V307">
    <cfRule type="expression" dxfId="1627" priority="177">
      <formula>AND(K$305&lt;&gt;"Rented",K$305&lt;&gt;"Contracted to 3PL",K$305&lt;&gt;"")</formula>
    </cfRule>
  </conditionalFormatting>
  <conditionalFormatting sqref="K306:K307 N306:N307 Q306:Q307 T306:T307 W306:W307">
    <cfRule type="expression" dxfId="1626" priority="162">
      <formula>AND(K$305&lt;&gt;"Rented",K$305&lt;&gt;"Contracted to 3PL",K$305&lt;&gt;"")</formula>
    </cfRule>
  </conditionalFormatting>
  <conditionalFormatting sqref="J164 M164 P164 S164 V164">
    <cfRule type="expression" dxfId="1625" priority="175">
      <formula>AND(K$163&lt;&gt;"Route-based", K$163&lt;&gt;"")</formula>
    </cfRule>
  </conditionalFormatting>
  <conditionalFormatting sqref="K164 N164 Q164 T164 W164">
    <cfRule type="expression" dxfId="1624" priority="160">
      <formula>AND(K$163&lt;&gt;"Route-based", K$163&lt;&gt;"")</formula>
    </cfRule>
  </conditionalFormatting>
  <conditionalFormatting sqref="J184 M184 P184 S184 V184">
    <cfRule type="expression" dxfId="1623" priority="173">
      <formula>AND(K$183&lt;&gt;"Route-based", K$183&lt;&gt;"")</formula>
    </cfRule>
  </conditionalFormatting>
  <conditionalFormatting sqref="K184 N184 Q184 T184 W184">
    <cfRule type="expression" dxfId="1622" priority="159">
      <formula>AND(K$183&lt;&gt;"Route-based", K$183&lt;&gt;"")</formula>
    </cfRule>
  </conditionalFormatting>
  <conditionalFormatting sqref="J209 M209 P209 S209 V209">
    <cfRule type="expression" dxfId="1621" priority="171">
      <formula>AND(K$208&lt;&gt;"Route-based", K$208&lt;&gt;"")</formula>
    </cfRule>
  </conditionalFormatting>
  <conditionalFormatting sqref="K209 N209 Q209 T209 W209">
    <cfRule type="expression" dxfId="1620" priority="157">
      <formula>AND(K$208&lt;&gt;"Route-based", K$208&lt;&gt;"")</formula>
    </cfRule>
  </conditionalFormatting>
  <conditionalFormatting sqref="J229 M229 P229 S229 V229">
    <cfRule type="expression" dxfId="1619" priority="169">
      <formula>AND(K$228&lt;&gt;"Route-based", K$228&lt;&gt;"")</formula>
    </cfRule>
  </conditionalFormatting>
  <conditionalFormatting sqref="K229 N229 Q229 T229 W229">
    <cfRule type="expression" dxfId="1618" priority="155">
      <formula>AND(K$228&lt;&gt;"Route-based", K$228&lt;&gt;"")</formula>
    </cfRule>
  </conditionalFormatting>
  <conditionalFormatting sqref="J249 M249 P249 S249 V249">
    <cfRule type="expression" dxfId="1617" priority="167">
      <formula>AND(K$248&lt;&gt;"Route-based", K$248&lt;&gt;"")</formula>
    </cfRule>
  </conditionalFormatting>
  <conditionalFormatting sqref="K249 N249 Q249 T249 W249">
    <cfRule type="expression" dxfId="1616" priority="153">
      <formula>AND(K$248&lt;&gt;"Route-based", K$248&lt;&gt;"")</formula>
    </cfRule>
  </conditionalFormatting>
  <conditionalFormatting sqref="J273 M273 P273 S273 V273">
    <cfRule type="expression" dxfId="1615" priority="165">
      <formula>AND(K$272&lt;&gt;"Route-based", K$272&lt;&gt;"")</formula>
    </cfRule>
  </conditionalFormatting>
  <conditionalFormatting sqref="K273 N273 Q273 T273 W273">
    <cfRule type="expression" dxfId="1614" priority="151">
      <formula>AND(K$272&lt;&gt;"Route-based", K$272&lt;&gt;"")</formula>
    </cfRule>
  </conditionalFormatting>
  <conditionalFormatting sqref="J293 M293 P293 S293 V293">
    <cfRule type="expression" dxfId="1613" priority="163">
      <formula>AND(K$292&lt;&gt;"Route-based", K$292&lt;&gt;"")</formula>
    </cfRule>
  </conditionalFormatting>
  <conditionalFormatting sqref="K293 N293 Q293 T293 W293">
    <cfRule type="expression" dxfId="1612" priority="150">
      <formula>AND(K$292&lt;&gt;"Route-based", K$292&lt;&gt;"")</formula>
    </cfRule>
  </conditionalFormatting>
  <conditionalFormatting sqref="J313 M313 P313 S313 V313">
    <cfRule type="expression" dxfId="1611" priority="161">
      <formula>AND(K$312&lt;&gt;"Route-based", K$312&lt;&gt;"")</formula>
    </cfRule>
  </conditionalFormatting>
  <conditionalFormatting sqref="K313 N313 Q313 T313 W313">
    <cfRule type="expression" dxfId="1610" priority="149">
      <formula>AND(K$312&lt;&gt;"Route-based", K$312&lt;&gt;"")</formula>
    </cfRule>
  </conditionalFormatting>
  <conditionalFormatting sqref="O141:Q141">
    <cfRule type="expression" dxfId="1609" priority="136">
      <formula>$H$7&lt;4</formula>
    </cfRule>
  </conditionalFormatting>
  <conditionalFormatting sqref="J141:K141">
    <cfRule type="expression" dxfId="1608" priority="135">
      <formula>$K$133&lt;1</formula>
    </cfRule>
  </conditionalFormatting>
  <conditionalFormatting sqref="P141:Q141">
    <cfRule type="expression" dxfId="1607" priority="137">
      <formula>$Q$133&lt;1</formula>
    </cfRule>
  </conditionalFormatting>
  <conditionalFormatting sqref="W141 T141 Q141 N141 K141">
    <cfRule type="expression" dxfId="1606" priority="145">
      <formula>AND(ISTEXT(K141),K141&lt;&gt;"")</formula>
    </cfRule>
  </conditionalFormatting>
  <conditionalFormatting sqref="S141:T141">
    <cfRule type="expression" dxfId="1605" priority="144">
      <formula>$T$133&lt;1</formula>
    </cfRule>
  </conditionalFormatting>
  <conditionalFormatting sqref="V141:W141">
    <cfRule type="expression" dxfId="1604" priority="143">
      <formula>$W$133&lt;1</formula>
    </cfRule>
  </conditionalFormatting>
  <conditionalFormatting sqref="E141:H141 B141">
    <cfRule type="expression" dxfId="1603" priority="142">
      <formula>MAX($H$133,$K$133,$N$133,$Q$133,$T$133,$W$133)&lt;1</formula>
    </cfRule>
  </conditionalFormatting>
  <conditionalFormatting sqref="L141:N141">
    <cfRule type="expression" dxfId="1602" priority="134">
      <formula>$H$7&lt;3</formula>
    </cfRule>
  </conditionalFormatting>
  <conditionalFormatting sqref="J141:K141">
    <cfRule type="expression" dxfId="1601" priority="133">
      <formula>$H$7&lt;2</formula>
    </cfRule>
  </conditionalFormatting>
  <conditionalFormatting sqref="R141:T141">
    <cfRule type="expression" dxfId="1600" priority="140">
      <formula>$H$7&lt;5</formula>
    </cfRule>
  </conditionalFormatting>
  <conditionalFormatting sqref="U141:W141">
    <cfRule type="expression" dxfId="1599" priority="138">
      <formula>$H$7&lt;6</formula>
    </cfRule>
  </conditionalFormatting>
  <conditionalFormatting sqref="C141">
    <cfRule type="expression" dxfId="1598" priority="139">
      <formula>MAX($H$133,$K$133,$N$133,$Q$133,$T$133,$W$133)&lt;1</formula>
    </cfRule>
  </conditionalFormatting>
  <conditionalFormatting sqref="M141:N141">
    <cfRule type="expression" dxfId="1597" priority="141">
      <formula>$N$133&lt;1</formula>
    </cfRule>
  </conditionalFormatting>
  <conditionalFormatting sqref="W141 T141 Q141 N141 K141">
    <cfRule type="expression" dxfId="1596" priority="146">
      <formula>K141&lt;0</formula>
    </cfRule>
  </conditionalFormatting>
  <conditionalFormatting sqref="O161:Q161">
    <cfRule type="expression" dxfId="1595" priority="123">
      <formula>$H$7&lt;4</formula>
    </cfRule>
  </conditionalFormatting>
  <conditionalFormatting sqref="J161:K161">
    <cfRule type="expression" dxfId="1594" priority="121">
      <formula>$K$133&lt;2</formula>
    </cfRule>
  </conditionalFormatting>
  <conditionalFormatting sqref="M161:N161">
    <cfRule type="expression" dxfId="1593" priority="124">
      <formula>$N$133&lt;2</formula>
    </cfRule>
  </conditionalFormatting>
  <conditionalFormatting sqref="P161:Q161">
    <cfRule type="expression" dxfId="1592" priority="130">
      <formula>$Q$133&lt;2</formula>
    </cfRule>
  </conditionalFormatting>
  <conditionalFormatting sqref="B161">
    <cfRule type="expression" dxfId="1591" priority="129">
      <formula>MAX($H$133,$K$133,$N$133,$Q$133,$T$133,$W$133)&lt;2</formula>
    </cfRule>
  </conditionalFormatting>
  <conditionalFormatting sqref="W161 T161 Q161 N161 K161">
    <cfRule type="expression" dxfId="1590" priority="131">
      <formula>AND(ISTEXT(K161),K161&lt;&gt;"")</formula>
    </cfRule>
  </conditionalFormatting>
  <conditionalFormatting sqref="S161:T161">
    <cfRule type="expression" dxfId="1589" priority="128">
      <formula>$T$133&lt;2</formula>
    </cfRule>
  </conditionalFormatting>
  <conditionalFormatting sqref="V161:W161">
    <cfRule type="expression" dxfId="1588" priority="127">
      <formula>$W$133&lt;2</formula>
    </cfRule>
  </conditionalFormatting>
  <conditionalFormatting sqref="L161:N161">
    <cfRule type="expression" dxfId="1587" priority="122">
      <formula>$H$7&lt;3</formula>
    </cfRule>
  </conditionalFormatting>
  <conditionalFormatting sqref="J161:K161">
    <cfRule type="expression" dxfId="1586" priority="120">
      <formula>$H$7&lt;2</formula>
    </cfRule>
  </conditionalFormatting>
  <conditionalFormatting sqref="R161:T161">
    <cfRule type="expression" dxfId="1585" priority="126">
      <formula>$H$7&lt;5</formula>
    </cfRule>
  </conditionalFormatting>
  <conditionalFormatting sqref="U161:W161">
    <cfRule type="expression" dxfId="1584" priority="125">
      <formula>$H$7&lt;6</formula>
    </cfRule>
  </conditionalFormatting>
  <conditionalFormatting sqref="W161 T161 Q161 N161 K161">
    <cfRule type="expression" dxfId="1583" priority="132">
      <formula>K161&lt;0</formula>
    </cfRule>
  </conditionalFormatting>
  <conditionalFormatting sqref="O181:Q181">
    <cfRule type="expression" dxfId="1582" priority="110">
      <formula>$H$7&lt;4</formula>
    </cfRule>
  </conditionalFormatting>
  <conditionalFormatting sqref="J181:K181">
    <cfRule type="expression" dxfId="1581" priority="108">
      <formula>$K$133&lt;3</formula>
    </cfRule>
  </conditionalFormatting>
  <conditionalFormatting sqref="M181:N181">
    <cfRule type="expression" dxfId="1580" priority="117">
      <formula>$N$133&lt;3</formula>
    </cfRule>
  </conditionalFormatting>
  <conditionalFormatting sqref="P181:Q181">
    <cfRule type="expression" dxfId="1579" priority="116">
      <formula>$Q$133&lt;3</formula>
    </cfRule>
  </conditionalFormatting>
  <conditionalFormatting sqref="B181">
    <cfRule type="expression" dxfId="1578" priority="115">
      <formula>MAX($H$133,$K$133,$N$133,$Q$133,$T$133,$W$133)&lt;3</formula>
    </cfRule>
  </conditionalFormatting>
  <conditionalFormatting sqref="W181 T181 Q181 N181 K181">
    <cfRule type="expression" dxfId="1577" priority="118">
      <formula>AND(ISTEXT(K181),K181&lt;&gt;"")</formula>
    </cfRule>
  </conditionalFormatting>
  <conditionalFormatting sqref="S181:T181">
    <cfRule type="expression" dxfId="1576" priority="114">
      <formula>$T$133&lt;3</formula>
    </cfRule>
  </conditionalFormatting>
  <conditionalFormatting sqref="V181:W181">
    <cfRule type="expression" dxfId="1575" priority="113">
      <formula>$W$133&lt;3</formula>
    </cfRule>
  </conditionalFormatting>
  <conditionalFormatting sqref="L181:N181">
    <cfRule type="expression" dxfId="1574" priority="109">
      <formula>$H$7&lt;3</formula>
    </cfRule>
  </conditionalFormatting>
  <conditionalFormatting sqref="J181:K181">
    <cfRule type="expression" dxfId="1573" priority="107">
      <formula>$H$7&lt;2</formula>
    </cfRule>
  </conditionalFormatting>
  <conditionalFormatting sqref="R181:T181">
    <cfRule type="expression" dxfId="1572" priority="112">
      <formula>$H$7&lt;5</formula>
    </cfRule>
  </conditionalFormatting>
  <conditionalFormatting sqref="U181:W181">
    <cfRule type="expression" dxfId="1571" priority="111">
      <formula>$H$7&lt;6</formula>
    </cfRule>
  </conditionalFormatting>
  <conditionalFormatting sqref="W181 T181 Q181 N181 K181">
    <cfRule type="expression" dxfId="1570" priority="119">
      <formula>K181&lt;0</formula>
    </cfRule>
  </conditionalFormatting>
  <conditionalFormatting sqref="O206:Q206">
    <cfRule type="expression" dxfId="1569" priority="97">
      <formula>$H$7&lt;4</formula>
    </cfRule>
  </conditionalFormatting>
  <conditionalFormatting sqref="J206:K206">
    <cfRule type="expression" dxfId="1568" priority="95">
      <formula>$K$197&lt;1</formula>
    </cfRule>
  </conditionalFormatting>
  <conditionalFormatting sqref="M206:N206">
    <cfRule type="expression" dxfId="1567" priority="104">
      <formula>$N$197&lt;1</formula>
    </cfRule>
  </conditionalFormatting>
  <conditionalFormatting sqref="P206:Q206">
    <cfRule type="expression" dxfId="1566" priority="103">
      <formula>$Q$197&lt;1</formula>
    </cfRule>
  </conditionalFormatting>
  <conditionalFormatting sqref="E206:H206 B206">
    <cfRule type="expression" dxfId="1565" priority="102">
      <formula>MAX($H$197,$K$197,$N$197,$Q$197,$T$197,$W$197)&lt;1</formula>
    </cfRule>
  </conditionalFormatting>
  <conditionalFormatting sqref="N206 Q206 T206 W206 K206">
    <cfRule type="expression" dxfId="1564" priority="105">
      <formula>AND(ISTEXT(K206),K206&lt;&gt;"")</formula>
    </cfRule>
  </conditionalFormatting>
  <conditionalFormatting sqref="S206:T206">
    <cfRule type="expression" dxfId="1563" priority="101">
      <formula>$T$197&lt;1</formula>
    </cfRule>
  </conditionalFormatting>
  <conditionalFormatting sqref="V206:W206">
    <cfRule type="expression" dxfId="1562" priority="100">
      <formula>$W$197&lt;1</formula>
    </cfRule>
  </conditionalFormatting>
  <conditionalFormatting sqref="L206:N206">
    <cfRule type="expression" dxfId="1561" priority="96">
      <formula>$H$7&lt;3</formula>
    </cfRule>
  </conditionalFormatting>
  <conditionalFormatting sqref="J206:K206">
    <cfRule type="expression" dxfId="1560" priority="94">
      <formula>$H$7&lt;2</formula>
    </cfRule>
  </conditionalFormatting>
  <conditionalFormatting sqref="R206:T206">
    <cfRule type="expression" dxfId="1559" priority="99">
      <formula>$H$7&lt;5</formula>
    </cfRule>
  </conditionalFormatting>
  <conditionalFormatting sqref="U206:W206">
    <cfRule type="expression" dxfId="1558" priority="98">
      <formula>$H$7&lt;6</formula>
    </cfRule>
  </conditionalFormatting>
  <conditionalFormatting sqref="K206 N206 Q206 T206 W206">
    <cfRule type="expression" dxfId="1557" priority="106">
      <formula>K206&lt;0</formula>
    </cfRule>
  </conditionalFormatting>
  <conditionalFormatting sqref="O226:Q226">
    <cfRule type="expression" dxfId="1556" priority="83">
      <formula>$H$7&lt;4</formula>
    </cfRule>
  </conditionalFormatting>
  <conditionalFormatting sqref="J226:K226">
    <cfRule type="expression" dxfId="1555" priority="81">
      <formula>$K$197&lt;2</formula>
    </cfRule>
  </conditionalFormatting>
  <conditionalFormatting sqref="M226:N226">
    <cfRule type="expression" dxfId="1554" priority="91">
      <formula>$N$197&lt;2</formula>
    </cfRule>
  </conditionalFormatting>
  <conditionalFormatting sqref="P226:Q226">
    <cfRule type="expression" dxfId="1553" priority="90">
      <formula>$Q$197&lt;2</formula>
    </cfRule>
  </conditionalFormatting>
  <conditionalFormatting sqref="B226:H226">
    <cfRule type="expression" dxfId="1552" priority="89">
      <formula>MAX($H$197,$K$197,$N$197,$Q$197,$T$197,$W$197)&lt;2</formula>
    </cfRule>
  </conditionalFormatting>
  <conditionalFormatting sqref="K226 N226 Q226 T226 W226">
    <cfRule type="expression" dxfId="1551" priority="92">
      <formula>AND(ISTEXT(K226),K226&lt;&gt;"")</formula>
    </cfRule>
  </conditionalFormatting>
  <conditionalFormatting sqref="S226:T226">
    <cfRule type="expression" dxfId="1550" priority="88">
      <formula>$T$197&lt;2</formula>
    </cfRule>
  </conditionalFormatting>
  <conditionalFormatting sqref="V226:W226">
    <cfRule type="expression" dxfId="1549" priority="87">
      <formula>$W$197&lt;2</formula>
    </cfRule>
  </conditionalFormatting>
  <conditionalFormatting sqref="L226:N226">
    <cfRule type="expression" dxfId="1548" priority="82">
      <formula>$H$7&lt;3</formula>
    </cfRule>
  </conditionalFormatting>
  <conditionalFormatting sqref="J226:K226">
    <cfRule type="expression" dxfId="1547" priority="80">
      <formula>$H$7&lt;2</formula>
    </cfRule>
  </conditionalFormatting>
  <conditionalFormatting sqref="R226:T226">
    <cfRule type="expression" dxfId="1546" priority="86">
      <formula>$H$7&lt;5</formula>
    </cfRule>
  </conditionalFormatting>
  <conditionalFormatting sqref="U226:W226">
    <cfRule type="expression" dxfId="1545" priority="84">
      <formula>$H$7&lt;6</formula>
    </cfRule>
  </conditionalFormatting>
  <conditionalFormatting sqref="C226">
    <cfRule type="expression" dxfId="1544" priority="85">
      <formula>MAX($H$197,$K$197,$N$197,$Q$197,$T$197,$W$197)&lt;1</formula>
    </cfRule>
  </conditionalFormatting>
  <conditionalFormatting sqref="K226 N226 Q226 T226 W226">
    <cfRule type="expression" dxfId="1543" priority="93">
      <formula>K226&lt;0</formula>
    </cfRule>
  </conditionalFormatting>
  <conditionalFormatting sqref="O246:Q246">
    <cfRule type="expression" dxfId="1542" priority="69">
      <formula>$H$7&lt;4</formula>
    </cfRule>
  </conditionalFormatting>
  <conditionalFormatting sqref="J246:K246">
    <cfRule type="expression" dxfId="1541" priority="67">
      <formula>$K$197&lt;3</formula>
    </cfRule>
  </conditionalFormatting>
  <conditionalFormatting sqref="M246:N246">
    <cfRule type="expression" dxfId="1540" priority="77">
      <formula>$N$197&lt;3</formula>
    </cfRule>
  </conditionalFormatting>
  <conditionalFormatting sqref="P246:Q246">
    <cfRule type="expression" dxfId="1539" priority="76">
      <formula>$Q$197&lt;3</formula>
    </cfRule>
  </conditionalFormatting>
  <conditionalFormatting sqref="B246:H246">
    <cfRule type="expression" dxfId="1538" priority="75">
      <formula>MAX($H$197,$K$197,$N$197,$Q$197,$T$197,$W$197)&lt;3</formula>
    </cfRule>
  </conditionalFormatting>
  <conditionalFormatting sqref="K246 N246 Q246 T246 W246">
    <cfRule type="expression" dxfId="1537" priority="78">
      <formula>AND(ISTEXT(K246),K246&lt;&gt;"")</formula>
    </cfRule>
  </conditionalFormatting>
  <conditionalFormatting sqref="S246:T246">
    <cfRule type="expression" dxfId="1536" priority="74">
      <formula>$T$197&lt;3</formula>
    </cfRule>
  </conditionalFormatting>
  <conditionalFormatting sqref="V246:W246">
    <cfRule type="expression" dxfId="1535" priority="73">
      <formula>$W$197&lt;3</formula>
    </cfRule>
  </conditionalFormatting>
  <conditionalFormatting sqref="L246:N246">
    <cfRule type="expression" dxfId="1534" priority="68">
      <formula>$H$7&lt;3</formula>
    </cfRule>
  </conditionalFormatting>
  <conditionalFormatting sqref="J246:K246">
    <cfRule type="expression" dxfId="1533" priority="66">
      <formula>$H$7&lt;2</formula>
    </cfRule>
  </conditionalFormatting>
  <conditionalFormatting sqref="R246:T246">
    <cfRule type="expression" dxfId="1532" priority="72">
      <formula>$H$7&lt;5</formula>
    </cfRule>
  </conditionalFormatting>
  <conditionalFormatting sqref="U246:W246">
    <cfRule type="expression" dxfId="1531" priority="70">
      <formula>$H$7&lt;6</formula>
    </cfRule>
  </conditionalFormatting>
  <conditionalFormatting sqref="C246">
    <cfRule type="expression" dxfId="1530" priority="71">
      <formula>MAX($H$197,$K$197,$N$197,$Q$197,$T$197,$W$197)&lt;1</formula>
    </cfRule>
  </conditionalFormatting>
  <conditionalFormatting sqref="K246 N246 Q246 T246 W246">
    <cfRule type="expression" dxfId="1529" priority="79">
      <formula>K246&lt;0</formula>
    </cfRule>
  </conditionalFormatting>
  <conditionalFormatting sqref="O270:Q270">
    <cfRule type="expression" dxfId="1528" priority="60">
      <formula>$H$7&lt;4</formula>
    </cfRule>
  </conditionalFormatting>
  <conditionalFormatting sqref="K270 N270 Q270 T270 W270">
    <cfRule type="expression" dxfId="1527" priority="64">
      <formula>AND(ISTEXT(K270),K270&lt;&gt;"")</formula>
    </cfRule>
  </conditionalFormatting>
  <conditionalFormatting sqref="L270:N270">
    <cfRule type="expression" dxfId="1526" priority="59">
      <formula>$H$7&lt;3</formula>
    </cfRule>
  </conditionalFormatting>
  <conditionalFormatting sqref="J270:K270">
    <cfRule type="expression" dxfId="1525" priority="58">
      <formula>$H$7&lt;2</formula>
    </cfRule>
  </conditionalFormatting>
  <conditionalFormatting sqref="R270:T270">
    <cfRule type="expression" dxfId="1524" priority="63">
      <formula>$H$7&lt;5</formula>
    </cfRule>
  </conditionalFormatting>
  <conditionalFormatting sqref="U270:W270">
    <cfRule type="expression" dxfId="1523" priority="61">
      <formula>$H$7&lt;6</formula>
    </cfRule>
  </conditionalFormatting>
  <conditionalFormatting sqref="C270">
    <cfRule type="expression" dxfId="1522" priority="62">
      <formula>MAX($H$197,$K$197,$N$197,$Q$197,$T$197,$W$197)&lt;1</formula>
    </cfRule>
  </conditionalFormatting>
  <conditionalFormatting sqref="K270 N270 Q270 T270 W270">
    <cfRule type="expression" dxfId="1521" priority="65">
      <formula>K270&lt;0</formula>
    </cfRule>
  </conditionalFormatting>
  <conditionalFormatting sqref="O290:Q290">
    <cfRule type="expression" dxfId="1520" priority="52">
      <formula>$H$7&lt;4</formula>
    </cfRule>
  </conditionalFormatting>
  <conditionalFormatting sqref="K290 N290 Q290 T290 W290">
    <cfRule type="expression" dxfId="1519" priority="56">
      <formula>AND(ISTEXT(K290),K290&lt;&gt;"")</formula>
    </cfRule>
  </conditionalFormatting>
  <conditionalFormatting sqref="L290:N290">
    <cfRule type="expression" dxfId="1518" priority="51">
      <formula>$H$7&lt;3</formula>
    </cfRule>
  </conditionalFormatting>
  <conditionalFormatting sqref="J290:K290">
    <cfRule type="expression" dxfId="1517" priority="50">
      <formula>$H$7&lt;2</formula>
    </cfRule>
  </conditionalFormatting>
  <conditionalFormatting sqref="R290:T290">
    <cfRule type="expression" dxfId="1516" priority="55">
      <formula>$H$7&lt;5</formula>
    </cfRule>
  </conditionalFormatting>
  <conditionalFormatting sqref="U290:W290">
    <cfRule type="expression" dxfId="1515" priority="53">
      <formula>$H$7&lt;6</formula>
    </cfRule>
  </conditionalFormatting>
  <conditionalFormatting sqref="C290">
    <cfRule type="expression" dxfId="1514" priority="54">
      <formula>MAX($H$197,$K$197,$N$197,$Q$197,$T$197,$W$197)&lt;1</formula>
    </cfRule>
  </conditionalFormatting>
  <conditionalFormatting sqref="K290 N290 Q290 T290 W290">
    <cfRule type="expression" dxfId="1513" priority="57">
      <formula>K290&lt;0</formula>
    </cfRule>
  </conditionalFormatting>
  <conditionalFormatting sqref="O310:Q310">
    <cfRule type="expression" dxfId="1512" priority="44">
      <formula>$H$7&lt;4</formula>
    </cfRule>
  </conditionalFormatting>
  <conditionalFormatting sqref="K310 N310 Q310 T310 W310">
    <cfRule type="expression" dxfId="1511" priority="48">
      <formula>AND(ISTEXT(K310),K310&lt;&gt;"")</formula>
    </cfRule>
  </conditionalFormatting>
  <conditionalFormatting sqref="L310:N310">
    <cfRule type="expression" dxfId="1510" priority="43">
      <formula>$H$7&lt;3</formula>
    </cfRule>
  </conditionalFormatting>
  <conditionalFormatting sqref="J310:K310">
    <cfRule type="expression" dxfId="1509" priority="42">
      <formula>$H$7&lt;2</formula>
    </cfRule>
  </conditionalFormatting>
  <conditionalFormatting sqref="R310:T310">
    <cfRule type="expression" dxfId="1508" priority="47">
      <formula>$H$7&lt;5</formula>
    </cfRule>
  </conditionalFormatting>
  <conditionalFormatting sqref="U310:W310">
    <cfRule type="expression" dxfId="1507" priority="45">
      <formula>$H$7&lt;6</formula>
    </cfRule>
  </conditionalFormatting>
  <conditionalFormatting sqref="C310">
    <cfRule type="expression" dxfId="1506" priority="46">
      <formula>MAX($H$197,$K$197,$N$197,$Q$197,$T$197,$W$197)&lt;1</formula>
    </cfRule>
  </conditionalFormatting>
  <conditionalFormatting sqref="K310 N310 Q310 T310 W310">
    <cfRule type="expression" dxfId="1505" priority="49">
      <formula>K310&lt;0</formula>
    </cfRule>
  </conditionalFormatting>
  <conditionalFormatting sqref="J263:K281">
    <cfRule type="expression" dxfId="1504" priority="365">
      <formula>$K$260&lt;1</formula>
    </cfRule>
  </conditionalFormatting>
  <conditionalFormatting sqref="M263:N281">
    <cfRule type="expression" dxfId="1503" priority="367">
      <formula>$N$260&lt;1</formula>
    </cfRule>
  </conditionalFormatting>
  <conditionalFormatting sqref="J283:K301">
    <cfRule type="expression" dxfId="1502" priority="377">
      <formula>$K$260&lt;2</formula>
    </cfRule>
  </conditionalFormatting>
  <conditionalFormatting sqref="M283:N301">
    <cfRule type="expression" dxfId="1501" priority="378">
      <formula>$N$260&lt;2</formula>
    </cfRule>
  </conditionalFormatting>
  <conditionalFormatting sqref="P263:Q281">
    <cfRule type="expression" dxfId="1500" priority="368">
      <formula>$Q$260&lt;1</formula>
    </cfRule>
  </conditionalFormatting>
  <conditionalFormatting sqref="P283:Q301">
    <cfRule type="expression" dxfId="1499" priority="380">
      <formula>$Q$260&lt;2</formula>
    </cfRule>
  </conditionalFormatting>
  <conditionalFormatting sqref="J303:K321">
    <cfRule type="expression" dxfId="1498" priority="381">
      <formula>$K$260&lt;3</formula>
    </cfRule>
  </conditionalFormatting>
  <conditionalFormatting sqref="M303:N321">
    <cfRule type="expression" dxfId="1497" priority="382">
      <formula>$N$260&lt;3</formula>
    </cfRule>
  </conditionalFormatting>
  <conditionalFormatting sqref="P303:Q321">
    <cfRule type="expression" dxfId="1496" priority="383">
      <formula>$Q$260&lt;3</formula>
    </cfRule>
  </conditionalFormatting>
  <conditionalFormatting sqref="B263:H281">
    <cfRule type="expression" dxfId="1495" priority="384">
      <formula>MAX($H$260,$K$260,$N$260,$Q$260,$T$260,$W$260)&lt;1</formula>
    </cfRule>
  </conditionalFormatting>
  <conditionalFormatting sqref="B283:H301">
    <cfRule type="expression" dxfId="1494" priority="385">
      <formula>MAX($H$260,$K$260,$N$260,$Q$260,$T$260,$W$260)&lt;2</formula>
    </cfRule>
  </conditionalFormatting>
  <conditionalFormatting sqref="B303:H321">
    <cfRule type="expression" dxfId="1493" priority="386">
      <formula>MAX($H$260,$K$260,$N$260,$Q$260,$T$260,$W$260)&lt;3</formula>
    </cfRule>
  </conditionalFormatting>
  <conditionalFormatting sqref="S263:T281">
    <cfRule type="expression" dxfId="1492" priority="375">
      <formula>$T$260&lt;1</formula>
    </cfRule>
  </conditionalFormatting>
  <conditionalFormatting sqref="S283:T301">
    <cfRule type="expression" dxfId="1491" priority="388">
      <formula>$T$260&lt;2</formula>
    </cfRule>
  </conditionalFormatting>
  <conditionalFormatting sqref="S303:T321">
    <cfRule type="expression" dxfId="1490" priority="389">
      <formula>$T$260&lt;3</formula>
    </cfRule>
  </conditionalFormatting>
  <conditionalFormatting sqref="V263:W281">
    <cfRule type="expression" dxfId="1489" priority="376">
      <formula>$W$260&lt;1</formula>
    </cfRule>
  </conditionalFormatting>
  <conditionalFormatting sqref="V283:W301">
    <cfRule type="expression" dxfId="1488" priority="379">
      <formula>$W$260&lt;2</formula>
    </cfRule>
  </conditionalFormatting>
  <conditionalFormatting sqref="V303:W321">
    <cfRule type="expression" dxfId="1487" priority="387">
      <formula>$W$260&lt;3</formula>
    </cfRule>
  </conditionalFormatting>
  <conditionalFormatting sqref="J261:K261">
    <cfRule type="expression" dxfId="1486" priority="39">
      <formula>$H$7&lt;2</formula>
    </cfRule>
  </conditionalFormatting>
  <conditionalFormatting sqref="K261">
    <cfRule type="expression" dxfId="1485" priority="40">
      <formula>AND(K261=0,J261="")</formula>
    </cfRule>
  </conditionalFormatting>
  <conditionalFormatting sqref="K261">
    <cfRule type="expression" dxfId="1484" priority="41">
      <formula>K261=""</formula>
    </cfRule>
  </conditionalFormatting>
  <conditionalFormatting sqref="M261:N261">
    <cfRule type="expression" dxfId="1483" priority="36">
      <formula>$H$7&lt;3</formula>
    </cfRule>
  </conditionalFormatting>
  <conditionalFormatting sqref="N261">
    <cfRule type="expression" dxfId="1482" priority="37">
      <formula>AND(N261=0,M261="")</formula>
    </cfRule>
  </conditionalFormatting>
  <conditionalFormatting sqref="N261">
    <cfRule type="expression" dxfId="1481" priority="38">
      <formula>N261=""</formula>
    </cfRule>
  </conditionalFormatting>
  <conditionalFormatting sqref="P261:Q261">
    <cfRule type="expression" dxfId="1480" priority="33">
      <formula>$H$7&lt;4</formula>
    </cfRule>
  </conditionalFormatting>
  <conditionalFormatting sqref="Q261">
    <cfRule type="expression" dxfId="1479" priority="34">
      <formula>AND(Q261=0,P261="")</formula>
    </cfRule>
  </conditionalFormatting>
  <conditionalFormatting sqref="Q261">
    <cfRule type="expression" dxfId="1478" priority="35">
      <formula>Q261=""</formula>
    </cfRule>
  </conditionalFormatting>
  <conditionalFormatting sqref="S261:T261">
    <cfRule type="expression" dxfId="1477" priority="31">
      <formula>$H$7&lt;5</formula>
    </cfRule>
  </conditionalFormatting>
  <conditionalFormatting sqref="T261">
    <cfRule type="expression" dxfId="1476" priority="30">
      <formula>AND(T261=0,S261="")</formula>
    </cfRule>
  </conditionalFormatting>
  <conditionalFormatting sqref="T261">
    <cfRule type="expression" dxfId="1475" priority="32">
      <formula>T261=""</formula>
    </cfRule>
  </conditionalFormatting>
  <conditionalFormatting sqref="V261:W261">
    <cfRule type="expression" dxfId="1474" priority="28">
      <formula>$H$7&lt;6</formula>
    </cfRule>
  </conditionalFormatting>
  <conditionalFormatting sqref="W261">
    <cfRule type="expression" dxfId="1473" priority="27">
      <formula>AND(W261=0,V261="")</formula>
    </cfRule>
  </conditionalFormatting>
  <conditionalFormatting sqref="W261">
    <cfRule type="expression" dxfId="1472" priority="29">
      <formula>W261=""</formula>
    </cfRule>
  </conditionalFormatting>
  <conditionalFormatting sqref="K15:S22">
    <cfRule type="expression" dxfId="1471" priority="26">
      <formula>$G$16&lt;&gt;"Yes"</formula>
    </cfRule>
  </conditionalFormatting>
  <conditionalFormatting sqref="J16">
    <cfRule type="expression" dxfId="1470" priority="25">
      <formula>$G$16&lt;&gt;"Yes"</formula>
    </cfRule>
  </conditionalFormatting>
  <conditionalFormatting sqref="C155:D160 C162:D173">
    <cfRule type="expression" dxfId="1469" priority="24">
      <formula>MAX($H$133,$K$133,$N$133,$Q$133,$T$133,$W$133)&lt;2</formula>
    </cfRule>
  </conditionalFormatting>
  <conditionalFormatting sqref="C161:D161">
    <cfRule type="expression" dxfId="1468" priority="23">
      <formula>MAX($H$133,$K$133,$N$133,$Q$133,$T$133,$W$133)&lt;2</formula>
    </cfRule>
  </conditionalFormatting>
  <conditionalFormatting sqref="C175:D180 C182:D193">
    <cfRule type="expression" dxfId="1467" priority="22">
      <formula>MAX($H$133,$K$133,$N$133,$Q$133,$T$133,$W$133)&lt;3</formula>
    </cfRule>
  </conditionalFormatting>
  <conditionalFormatting sqref="C181:D181">
    <cfRule type="expression" dxfId="1466" priority="21">
      <formula>MAX($H$133,$K$133,$N$133,$Q$133,$T$133,$W$133)&lt;3</formula>
    </cfRule>
  </conditionalFormatting>
  <conditionalFormatting sqref="C199:C200">
    <cfRule type="expression" dxfId="1465" priority="20">
      <formula>MAX($H$197,$K$197,$N$197,$Q$197,$T$197,$W$197)&lt;1</formula>
    </cfRule>
  </conditionalFormatting>
  <conditionalFormatting sqref="C201">
    <cfRule type="expression" dxfId="1464" priority="19">
      <formula>MAX($H$197,$K$197,$N$197,$Q$197,$T$197,$W$197)&lt;1</formula>
    </cfRule>
  </conditionalFormatting>
  <conditionalFormatting sqref="C202">
    <cfRule type="expression" dxfId="1463" priority="18">
      <formula>MAX($H$197,$K$197,$N$197,$Q$197,$T$197,$W$197)&lt;1</formula>
    </cfRule>
  </conditionalFormatting>
  <conditionalFormatting sqref="C203">
    <cfRule type="expression" dxfId="1462" priority="17">
      <formula>MAX($H$197,$K$197,$N$197,$Q$197,$T$197,$W$197)&lt;1</formula>
    </cfRule>
  </conditionalFormatting>
  <conditionalFormatting sqref="C204">
    <cfRule type="expression" dxfId="1461" priority="16">
      <formula>MAX($H$197,$K$197,$N$197,$Q$197,$T$197,$W$197)&lt;1</formula>
    </cfRule>
  </conditionalFormatting>
  <conditionalFormatting sqref="C205">
    <cfRule type="expression" dxfId="1460" priority="15">
      <formula>MAX($H$197,$K$197,$N$197,$Q$197,$T$197,$W$197)&lt;1</formula>
    </cfRule>
  </conditionalFormatting>
  <conditionalFormatting sqref="C207">
    <cfRule type="expression" dxfId="1459" priority="14">
      <formula>MAX($H$197,$K$197,$N$197,$Q$197,$T$197,$W$197)&lt;1</formula>
    </cfRule>
  </conditionalFormatting>
  <conditionalFormatting sqref="C208">
    <cfRule type="expression" dxfId="1458" priority="13">
      <formula>MAX($H$197,$K$197,$N$197,$Q$197,$T$197,$W$197)&lt;1</formula>
    </cfRule>
  </conditionalFormatting>
  <conditionalFormatting sqref="C209">
    <cfRule type="expression" dxfId="1457" priority="12">
      <formula>MAX($H$197,$K$197,$N$197,$Q$197,$T$197,$W$197)&lt;1</formula>
    </cfRule>
  </conditionalFormatting>
  <conditionalFormatting sqref="C210">
    <cfRule type="expression" dxfId="1456" priority="11">
      <formula>MAX($H$197,$K$197,$N$197,$Q$197,$T$197,$W$197)&lt;1</formula>
    </cfRule>
  </conditionalFormatting>
  <conditionalFormatting sqref="C211">
    <cfRule type="expression" dxfId="1455" priority="10">
      <formula>MAX($H$197,$K$197,$N$197,$Q$197,$T$197,$W$197)&lt;1</formula>
    </cfRule>
  </conditionalFormatting>
  <conditionalFormatting sqref="C212">
    <cfRule type="expression" dxfId="1454" priority="9">
      <formula>MAX($H$197,$K$197,$N$197,$Q$197,$T$197,$W$197)&lt;1</formula>
    </cfRule>
  </conditionalFormatting>
  <conditionalFormatting sqref="C213">
    <cfRule type="expression" dxfId="1453" priority="8">
      <formula>MAX($H$197,$K$197,$N$197,$Q$197,$T$197,$W$197)&lt;1</formula>
    </cfRule>
  </conditionalFormatting>
  <conditionalFormatting sqref="C214">
    <cfRule type="expression" dxfId="1452" priority="7">
      <formula>MAX($H$197,$K$197,$N$197,$Q$197,$T$197,$W$197)&lt;1</formula>
    </cfRule>
  </conditionalFormatting>
  <conditionalFormatting sqref="C215">
    <cfRule type="expression" dxfId="1451" priority="6">
      <formula>MAX($H$197,$K$197,$N$197,$Q$197,$T$197,$W$197)&lt;1</formula>
    </cfRule>
  </conditionalFormatting>
  <conditionalFormatting sqref="C216">
    <cfRule type="expression" dxfId="1450" priority="5">
      <formula>MAX($H$197,$K$197,$N$197,$Q$197,$T$197,$W$197)&lt;1</formula>
    </cfRule>
  </conditionalFormatting>
  <conditionalFormatting sqref="C217">
    <cfRule type="expression" dxfId="1449" priority="4">
      <formula>MAX($H$197,$K$197,$N$197,$Q$197,$T$197,$W$197)&lt;1</formula>
    </cfRule>
  </conditionalFormatting>
  <conditionalFormatting sqref="C206">
    <cfRule type="expression" dxfId="1448" priority="3">
      <formula>MAX($H$197,$K$197,$N$197,$Q$197,$T$197,$W$197)&lt;1</formula>
    </cfRule>
  </conditionalFormatting>
  <conditionalFormatting sqref="G122 J122 M122 P122 S122 V122">
    <cfRule type="expression" dxfId="1447" priority="316">
      <formula>H$121&lt;&gt;"Cost per facility"</formula>
    </cfRule>
  </conditionalFormatting>
  <conditionalFormatting sqref="G123 J123 M123 P123 S123 V123">
    <cfRule type="expression" dxfId="1446" priority="211">
      <formula>H$121&lt;&gt;"Cost as % commodity value"</formula>
    </cfRule>
  </conditionalFormatting>
  <dataValidations count="17">
    <dataValidation type="list" allowBlank="1" showInputMessage="1" showErrorMessage="1" sqref="G193 V173:V174 J173:J174 M173:M174 P173:P174 S173:S174 G153:G154 V153:V154 S153:S154 P153:P154 M153:M154 J153:J154 J193 G173:G174 S193 P193 M193 V193 G16" xr:uid="{7BB06E46-4561-46AA-A802-A291AC4CE3FB}">
      <formula1>"Yes,No"</formula1>
    </dataValidation>
    <dataValidation type="list" allowBlank="1" showInputMessage="1" showErrorMessage="1" sqref="M248 G312 J312 J208 V272 V228 V143 G228 M272 J292 P163 M228 M183 G248 J183 J248 J272 G272 V183 M163 M208 V292 G292 M292 V208 J163 M312 V248 J228 G208 J143 M143 P143 S143 P183 S163 S183 V163 P208 S208 P228 S228 P248 S248 P272 S272 P292 S292 P312 S312 V312" xr:uid="{220BB2BE-AFC7-4762-9CAD-5689D6D14A45}">
      <formula1>"Route-based,Point-to-point"</formula1>
    </dataValidation>
    <dataValidation type="list" allowBlank="1" showInputMessage="1" showErrorMessage="1" sqref="J309 M205 V289 V205 G309 P205 M225 V225 G289 P225 M245 V245 V309 P245 M269 V269 J289 P269 P289 S205 P309 S225 J205 S245 J225 S269 J245 S289 J269 S309 M289 M309" xr:uid="{29B225CE-5052-417C-9D43-17D8E559B693}">
      <formula1>"Yes, No"</formula1>
    </dataValidation>
    <dataValidation type="list" allowBlank="1" showInputMessage="1" showErrorMessage="1" sqref="G316 G274 G276 G212 G232 G210 G294 G230 G147 G167 G296 G250 G314 G252 G187" xr:uid="{9EECF313-A153-4970-884C-BE6D1433826F}">
      <formula1>$B$28:$B$38</formula1>
    </dataValidation>
    <dataValidation type="list" allowBlank="1" showInputMessage="1" showErrorMessage="1" sqref="G121 J121 M121 P121 S121 V121" xr:uid="{19BE9059-8EC6-45A3-96B1-DA95AC33ED3E}">
      <formula1>"Cost per facility, Cost as % commodity value"</formula1>
    </dataValidation>
    <dataValidation type="decimal" allowBlank="1" showInputMessage="1" showErrorMessage="1" sqref="G93 J93 M93 P93 S93 V93" xr:uid="{9F53DF08-0F48-43D8-A943-573BE1A3B87A}">
      <formula1>0.0001</formula1>
      <formula2>2</formula2>
    </dataValidation>
    <dataValidation type="decimal" operator="greaterThan" allowBlank="1" showInputMessage="1" showErrorMessage="1" sqref="G68 G77:G78 G6 V308 G71:G72 V92 G216 G9:G11 P171:P172 G236:G238 P262 V256:V257 V280:V281 S92 S114 P114 V114 G92 P151:P152 M180 P180 P160 J160 V191:V192 V184 M209 V209 J229 M229 G203:G204 V236:V237 J256:J257 M256:M257 G223:G224 V249 J273 M273 V273 J293 M293 V300:V301 J320:J321 M320:M321 P92 S140 V140 J140 J92 S151:S152 J184 M184 G307:G308 S160 M164 P164 G209 J216:J218 M216:M218 P216:P218 G229 J236:J238 M236:M238 P236:P238 G249 V229 J249 M249 G273 V244 M280:M282 P280:P282 G293 V268 M300:M302 P300:P302 G313 V293 J313 M313 P144 S144 G151:G152 V144 M92 V151:V152 J191:J192 M191:M192 G171:G172 J164 M171:M172 G191:G192 J209 M204 J171:J172 V204 J224 M224 J204 G256:G257 V224 J244 M244 J268 M268 G280:G282 G262 J288 M288 G300:G302 G267:G268 G320:G321 V288 J308 M308 J180 G21 G19 G44:G45 G47:G48 G53:G54 G287:G288 V108 S108 P108 G243:G244 J262 M262 M108 G108 J108 G114 J114 M114 M140 V313 J144 M144 J151:J152 M151:M152 P191:P192 S180 P184 V160 S171:S172 S164 V180 S191:S192 S184 P140 V164 V171:V172 M160 P209 P204 S216:S217 S209 S204 V216:V217 P229 P224 S236:S237 S229 S224 P256:P257 P249 P244 S256:S257 S249 S244 J280:J282 P273 P268 S280:S281 S273 S268 J300:J302 P293 P288 S300:S301 S293 S288 P320:P321 P313 P308 S320:S321 S313 S308 V320:V321 G59:G62 G65:G66" xr:uid="{E5CCD3A7-B215-41C0-A875-52253110E0DA}">
      <formula1>0</formula1>
    </dataValidation>
    <dataValidation type="decimal" allowBlank="1" showInputMessage="1" showErrorMessage="1" sqref="G94 J94 M94 P94 S94 V94" xr:uid="{32362F97-10B7-4234-8BC5-D2ABF53F1AB6}">
      <formula1>0</formula1>
      <formula2>99.9999</formula2>
    </dataValidation>
    <dataValidation type="whole" operator="greaterThan" allowBlank="1" showInputMessage="1" showErrorMessage="1" sqref="G95:G96 J95:J96 M95:M96 P95:P96 S95:S96 V95:V96" xr:uid="{A19E6AF2-EDD6-420E-BB02-38556E1E2CC9}">
      <formula1>0</formula1>
    </dataValidation>
    <dataValidation type="whole" allowBlank="1" showInputMessage="1" showErrorMessage="1" sqref="J133:J134 M133:M134 P133:P134 S133 V133 J197 M197 P197 S197 V197 J260 M260 P260 S260 V260" xr:uid="{BF1EB537-68EF-4D02-9A50-4B8DC87C7A72}">
      <formula1>0</formula1>
      <formula2>3</formula2>
    </dataValidation>
    <dataValidation type="decimal" allowBlank="1" showInputMessage="1" showErrorMessage="1" sqref="M310:M311 V135 J310:J311 S135 P135 G303 J175 M175 S141:S142 J181:J182 V141:V142 M181:M182 M155 P155 J155 M161:M162 J161:J162 P161:P162 V175 M206:M207 V181:V182 J206:J207 G199 J199 G246:G247 G206:G207 J226:J227 M226:M227 V206:V207 J219 G219 V199 M199 G226:G227 J246:J247 M246:M247 V226:V227 J239 G239 V219 M219 M239 J270:J271 M270:M271 V246:V247 J263 G263 V239 G270:G271 M263 J290:J291 J283 V270:V271 V263 G283 G290:G291 M290:M291 M283 V290:V291 G310:G311 J303 V283 M303 J135 M135 J141:J142 M141:M142 P141:P142 P175 P181:P182 S155 S161:S162 S175 S181:S182 V155 V161:V162 P206:P207 P199 S206:S207 S199 P226:P227 P219 S226:S227 S219 P246:P247 P239 S246:S247 S239 P270:P271 P263 S270:S271 S263 P290:P291 P283 S290:S291 S283 P310:P311 P303 S310:S311 S303 V310:V311 V303" xr:uid="{9371606B-D230-459A-84B6-3B39807E48A3}">
      <formula1>0</formula1>
      <formula2>1</formula2>
    </dataValidation>
    <dataValidation type="decimal" operator="greaterThanOrEqual" allowBlank="1" showInputMessage="1" showErrorMessage="1" sqref="G146 P139 S139 V139 G148:G150 P146 S146 V146 G46 S148:S150 J186 M186 G49:G52 V148:V150 J188:J190 M188:M190 G166 J166 M166 P166 G168:G170 J168:J170 M168:M170 P168:P170 G211 V188:V190 J211 M203 G213:G215 J203 J213:J215 M213:M215 G231 V203 J223 M223 G233:G235 V213:V215 J233:J235 M233:M235 G251 V223 J243 M243 G253:G255 V233:V235 J253:J255 M253:M255 G275 V243 J277:J279 M277:M279 G277:G279 V253:V255 J275 M275 G295 V277:V279 J297:J299 M297:M299 G297:G299 V275 J295 M295 G315 V297:V299 J317:J319 M317:M319 G317:G319 V295 J315 M315 G73:G76 S104 J122:J123 M122:M123 P122:P123 G28:G38 J28:J38 G12 G43 G55:G58 G122:G123 V98:V99 S122:S123 V122:V123 G8 G186 G188:G190 G67 G69:G70 G98:G99 J98:J99 M98:M99 P98:P99 S98:S99 G63:G64 G104 J104 M104 P104 G106:G107 J106:J107 M106:M107 P106:P107 S106:S107 V106:V107 G109:G113 J109:J113 M109:M113 P109:P113 S109:S113 V109:V113 G115:G116 J115:J116 M115:M116 P115:P116 S115:S116 V115:V116 J139 M139 J146 M146 J148:J150 M148:M150 P148:P150 J159 J179 M159 M179 P159 P179 P186 P188:P190 S159 S166 S168:S170 S179 S186 S188:S190 V159 V166 V168:V170 V179 V186 M211 P211 P203 P213:P215 S211 S203 S213:S215 V211 J231 M231 P231 P223 P233:P235 S231 S223 S233:S235 V231 J251 M251 P251 P243 P253:P255 S251 S243 S253:S255 V251 J267 M267 P267 P277:P279 P275 S267 S277:S279 S275 V267 J287 M287 P287 P297:P299 P295 S287 S297:S299 S295 V287 J307 M307 P307 P317:P319 P315 S307 S317:S319 S315 V307 V317:V319 V315 G17:G18 V104" xr:uid="{D524C0CE-8F26-4DE8-9735-531CFD4F5195}">
      <formula1>0</formula1>
    </dataValidation>
    <dataValidation type="whole" allowBlank="1" showInputMessage="1" showErrorMessage="1" sqref="G7" xr:uid="{BCABFD86-E211-47FC-AC86-E80D83FC435C}">
      <formula1>1</formula1>
      <formula2>6</formula2>
    </dataValidation>
    <dataValidation type="list" allowBlank="1" showInputMessage="1" showErrorMessage="1" sqref="G117 S117 J117 M117 P117 V117" xr:uid="{A45DEA3C-C8B7-4A13-969F-FC6E5F2A7CCB}">
      <formula1>"Upstream,Downstream"</formula1>
    </dataValidation>
    <dataValidation type="list" allowBlank="1" showInputMessage="1" showErrorMessage="1" sqref="S105 V314 V316 S314 S316 P314 P316 M314 M316 J314 J316 V294 V296 S294 S296 P294 P296 M294 M296 J294 J296 V274 V276 S274 S276 P274 P276 M274 M276 J274 J276 V250 V252 S250 S252 P250 P252 M250 M252 J250 J252 V230 V232 S230 S232 P230 P232 M230 M232 J230 J232 V210 V212 S210 S212 P210 P212 M210 M212 J210 J212 V185 V187 V165 V167 S185 S187 S165 S167 P185 P187 P165 P167 M185 M187 M165 M167 J185 J187 J165 J167 V145 S145 P145 M145 J145 V147 S147 P147 M147 J147 J105 G105 P105 M105 V105" xr:uid="{42471AE6-A705-479E-B59B-321063BD6E8C}">
      <formula1>$B$27:$B$38</formula1>
    </dataValidation>
    <dataValidation type="decimal" operator="greaterThanOrEqual" allowBlank="1" showInputMessage="1" showErrorMessage="1" sqref="G97 J97 M97 P97 S97 V97" xr:uid="{3D240446-F2FB-4019-B93E-893EB6A7CB5A}">
      <formula1>1</formula1>
    </dataValidation>
    <dataValidation type="list" allowBlank="1" showInputMessage="1" showErrorMessage="1" sqref="P16" xr:uid="{EF5F5732-6CFE-49C6-8A0A-241A17D3B98A}">
      <formula1>"Vaccines, Reproductive Health,General"</formula1>
    </dataValidation>
  </dataValidations>
  <hyperlinks>
    <hyperlink ref="K20" location="'Vaccine Demand Volume &amp; Value'!A1" display="Vaccines Demand V&amp;V" xr:uid="{43908168-F65D-4D6D-A30E-8E3F03EB2C77}"/>
    <hyperlink ref="K21" location="'RH Demand Volume &amp; Value'!A1" display="RH Demand V&amp;V" xr:uid="{71E83F08-CF01-4AEB-A1C7-E9AB03307295}"/>
    <hyperlink ref="Q20:S20" location="'Vaccine Demand Volume &amp; Value'!A1" display="1. Vaccine Demand Volume &amp; Value" xr:uid="{A938F2F6-F093-40F6-B16B-F68DD72E955F}"/>
    <hyperlink ref="Q21:S21" location="'RH Demand Volume &amp; Value'!A1" display="2. RH Demand Volume &amp; Value" xr:uid="{80430730-06E4-490E-B3AD-FEA122B8D535}"/>
    <hyperlink ref="K22" location="'General Demand Volume'!A1" display="c. General Demand Vol." xr:uid="{3E637679-AF44-4116-8293-9771215A3CAD}"/>
    <hyperlink ref="Q22" location="'General Demand Volume'!A1" display="c. General Demand Volume" xr:uid="{26EB8C95-BBB9-4CF6-8099-7E99403CCB10}"/>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61CF7F23-A9FC-4999-9D05-B6348FFB3BF9}">
          <x14:formula1>
            <xm:f>'List Values'!$E$3:$E$5</xm:f>
          </x14:formula1>
          <xm:sqref>M305 M285 J285 V265 M177 J177 V137 J305 V285 J157 M157 P157 M201 J201 V177 G305 G221 V201 J221 M221 M241 J241 V221 G241 G285 V241 J265 M265 J137 M137 P137 S137 P177 S157 S177 V157 P201 S201 P221 S221 P241 S241 P265 S265 P285 S285 P305 S305 V305</xm:sqref>
        </x14:dataValidation>
        <x14:dataValidation type="list" allowBlank="1" showInputMessage="1" showErrorMessage="1" xr:uid="{DA9AF74C-280E-4055-989D-69BE26C6C926}">
          <x14:formula1>
            <xm:f>'List Values'!$F$3:$F$7</xm:f>
          </x14:formula1>
          <xm:sqref>M306 J286 M286 G306 J306 V138 J178 M178 V286 J158 M158 P158 G202 V178 J202 M202 G222 V202 J222 M222 G242 V222 J242 M242 G266 V242 J266 M266 G286 V266 J138 M138 P138 S138 P178 S158 S178 V158 P202 S202 P222 S222 P242 S242 P266 S266 P286 S286 P306 S306 V306</xm:sqref>
        </x14:dataValidation>
        <x14:dataValidation type="list" allowBlank="1" showInputMessage="1" showErrorMessage="1" xr:uid="{72B5DAA2-6DA9-40ED-9869-15CC69595B70}">
          <x14:formula1>
            <xm:f>'List Values'!$E$3:$E$7</xm:f>
          </x14:formula1>
          <xm:sqref>T137</xm:sqref>
        </x14:dataValidation>
        <x14:dataValidation type="list" allowBlank="1" showInputMessage="1" showErrorMessage="1" xr:uid="{7E7240E4-4DBC-49E1-8E38-172F2D016E8C}">
          <x14:formula1>
            <xm:f>'List Values'!$B$3:$B$4</xm:f>
          </x14:formula1>
          <xm:sqref>G20 J19 P20</xm:sqref>
        </x14:dataValidation>
        <x14:dataValidation type="list" operator="greaterThan" allowBlank="1" showInputMessage="1" showErrorMessage="1" xr:uid="{2CB45EF6-75EB-4FF0-8F6A-F3D6364732F9}">
          <x14:formula1>
            <xm:f>'List Values'!$B$3:$B$4</xm:f>
          </x14:formula1>
          <xm:sqref>G20</xm:sqref>
        </x14:dataValidation>
        <x14:dataValidation type="list" allowBlank="1" showInputMessage="1" showErrorMessage="1" xr:uid="{B2DE6627-775E-486C-BD00-C409FDFCB5C1}">
          <x14:formula1>
            <xm:f>'List Values'!$G$3:$G$9</xm:f>
          </x14:formula1>
          <xm:sqref>J304 V264 J284 M284 V284 V136 M304 J176 M176 G304 J156 M156 P156 G200 V176 J200 M200 G220 V200 J220 M220 G240 V220 J240 M240 G264 V240 J264 M264 G284 J136 M136 P136 S136 P176 S156 S176 V156 P200 S200 P220 S220 P240 S240 P264 S264 P284 S284 P304 S304 V304</xm:sqref>
        </x14:dataValidation>
        <x14:dataValidation type="list" allowBlank="1" showInputMessage="1" showErrorMessage="1" xr:uid="{489DC876-E929-4E1F-8FB2-900FDEC94F41}">
          <x14:formula1>
            <xm:f>'List Values'!$C$3:$C$8</xm:f>
          </x14:formula1>
          <xm:sqref>G87 J87 M87 P87 S87 V87</xm:sqref>
        </x14:dataValidation>
        <x14:dataValidation type="list" allowBlank="1" showInputMessage="1" showErrorMessage="1" xr:uid="{CB23F432-6256-45AF-AF5D-770B96C3766C}">
          <x14:formula1>
            <xm:f>'Scenario Manager'!$O$7:$O$12</xm:f>
          </x14:formula1>
          <xm:sqref>G5 G86 J86 M86 P86 S86 V86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088C-904A-4A4E-AF79-3B6E7D249537}">
  <sheetPr>
    <tabColor theme="4" tint="0.59999389629810485"/>
    <outlinePr summaryBelow="0"/>
  </sheetPr>
  <dimension ref="A1:AF330"/>
  <sheetViews>
    <sheetView showGridLines="0" zoomScale="80" zoomScaleNormal="80" zoomScalePageLayoutView="80" workbookViewId="0">
      <pane xSplit="4" ySplit="2" topLeftCell="E93" activePane="bottomRight" state="frozen"/>
      <selection activeCell="M87" sqref="M87"/>
      <selection pane="topRight" activeCell="M87" sqref="M87"/>
      <selection pane="bottomLeft" activeCell="M87" sqref="M87"/>
      <selection pane="bottomRight" activeCell="M109" sqref="M109"/>
    </sheetView>
  </sheetViews>
  <sheetFormatPr defaultColWidth="8.84375" defaultRowHeight="14.6" outlineLevelRow="1"/>
  <cols>
    <col min="1" max="1" width="7.69140625" customWidth="1"/>
    <col min="2" max="2" width="13.69140625" customWidth="1"/>
    <col min="3" max="3" width="34.15234375" customWidth="1"/>
    <col min="4" max="4" width="46.3828125" customWidth="1"/>
    <col min="5" max="5" width="0.69140625" customWidth="1"/>
    <col min="6" max="6" width="0.3828125" customWidth="1"/>
    <col min="7" max="7" width="18.3828125" style="6" customWidth="1"/>
    <col min="8" max="8" width="21.84375" customWidth="1"/>
    <col min="9" max="9" width="0.3828125" customWidth="1"/>
    <col min="10" max="10" width="21.3828125" style="6" customWidth="1"/>
    <col min="11" max="11" width="25" customWidth="1"/>
    <col min="12" max="12" width="0.3828125" customWidth="1"/>
    <col min="13" max="13" width="24.69140625" style="6" customWidth="1"/>
    <col min="14" max="14" width="20.3828125" customWidth="1"/>
    <col min="15" max="15" width="0.3046875" customWidth="1"/>
    <col min="16" max="16" width="20.15234375" style="6" customWidth="1"/>
    <col min="17" max="17" width="18.84375" customWidth="1"/>
    <col min="18" max="18" width="0.3046875" customWidth="1"/>
    <col min="19" max="19" width="18.15234375" customWidth="1"/>
    <col min="20" max="20" width="19.15234375" customWidth="1"/>
    <col min="21" max="21" width="0.3046875" customWidth="1"/>
    <col min="22" max="22" width="17" customWidth="1"/>
    <col min="23" max="23" width="20" customWidth="1"/>
    <col min="25" max="25" width="26.3046875" customWidth="1"/>
    <col min="26" max="26" width="14.84375" customWidth="1"/>
    <col min="27" max="27" width="21.3046875" customWidth="1"/>
    <col min="28" max="28" width="18.84375" customWidth="1"/>
    <col min="30" max="30" width="8.84375" customWidth="1"/>
  </cols>
  <sheetData>
    <row r="1" spans="1:32" ht="36.75" customHeight="1">
      <c r="A1" s="2688" t="s">
        <v>5799</v>
      </c>
      <c r="B1" s="2689"/>
      <c r="C1" s="2689"/>
      <c r="D1" s="2689"/>
      <c r="E1" s="2689"/>
      <c r="F1" s="2689"/>
      <c r="G1" s="2689"/>
      <c r="H1" s="2689"/>
      <c r="I1" s="2689"/>
      <c r="J1" s="2689"/>
      <c r="K1" s="2689"/>
      <c r="X1" s="6"/>
    </row>
    <row r="2" spans="1:32" ht="9" customHeight="1">
      <c r="X2" s="6"/>
    </row>
    <row r="3" spans="1:32" ht="33" customHeight="1">
      <c r="B3" s="2391" t="s">
        <v>304</v>
      </c>
      <c r="C3" s="2391"/>
      <c r="D3" s="2391"/>
      <c r="E3" s="2391"/>
      <c r="V3" s="36"/>
      <c r="W3" s="36"/>
      <c r="X3" s="6"/>
      <c r="Y3" s="36"/>
      <c r="Z3" s="36"/>
      <c r="AA3" s="36"/>
      <c r="AB3" s="36"/>
      <c r="AC3" s="36"/>
      <c r="AD3" s="36"/>
      <c r="AE3" s="36"/>
      <c r="AF3" s="36"/>
    </row>
    <row r="4" spans="1:32" ht="30" customHeight="1" outlineLevel="1">
      <c r="B4" s="54"/>
      <c r="C4" s="236"/>
      <c r="D4" s="236"/>
      <c r="E4" s="5"/>
      <c r="G4" s="255" t="s">
        <v>17</v>
      </c>
      <c r="H4" s="924" t="s">
        <v>2510</v>
      </c>
      <c r="V4" s="36"/>
      <c r="W4" s="36"/>
      <c r="X4" s="6"/>
      <c r="Y4" s="2619" t="s">
        <v>673</v>
      </c>
      <c r="Z4" s="2620"/>
      <c r="AA4" s="2620"/>
      <c r="AB4" s="2621"/>
      <c r="AC4" s="36"/>
      <c r="AD4" s="36"/>
      <c r="AE4" s="36"/>
      <c r="AF4" s="36"/>
    </row>
    <row r="5" spans="1:32" ht="33" customHeight="1" outlineLevel="1">
      <c r="B5" s="2561" t="s">
        <v>2516</v>
      </c>
      <c r="C5" s="2562"/>
      <c r="D5" s="2562"/>
      <c r="E5" s="2563"/>
      <c r="G5" s="521" t="s">
        <v>5547</v>
      </c>
      <c r="H5" s="928"/>
      <c r="V5" s="36"/>
      <c r="W5" s="36"/>
      <c r="X5" s="6"/>
      <c r="Y5" s="2643" t="s">
        <v>2334</v>
      </c>
      <c r="Z5" s="2644"/>
      <c r="AA5" s="2644"/>
      <c r="AB5" s="2645"/>
      <c r="AC5" s="36"/>
      <c r="AD5" s="36"/>
      <c r="AE5" s="36"/>
      <c r="AF5" s="36"/>
    </row>
    <row r="6" spans="1:32" ht="30.75" customHeight="1" outlineLevel="1">
      <c r="B6" s="2564" t="s">
        <v>5544</v>
      </c>
      <c r="C6" s="2565"/>
      <c r="D6" s="2565"/>
      <c r="E6" s="2566"/>
      <c r="G6" s="522"/>
      <c r="H6" s="918">
        <f ca="1">IF(G6&lt;&gt;"",G6,IFERROR(IF(INDIRECT("'"&amp;$G$5&amp;"'!"&amp;ADDRESS(ROW(H6),COLUMN(H6)))="","",INDIRECT("'"&amp;G$5&amp;"'!"&amp;ADDRESS(ROW(H6),COLUMN(H6)))),IF($G$5&lt;&gt;"","Data Source Error","")))</f>
        <v>1</v>
      </c>
      <c r="V6" s="36"/>
      <c r="W6" s="36"/>
      <c r="X6" s="6"/>
      <c r="Y6" s="2643"/>
      <c r="Z6" s="2644"/>
      <c r="AA6" s="2644"/>
      <c r="AB6" s="2645"/>
      <c r="AC6" s="36"/>
      <c r="AD6" s="36"/>
      <c r="AE6" s="36"/>
      <c r="AF6" s="36"/>
    </row>
    <row r="7" spans="1:32" ht="16.5" customHeight="1" outlineLevel="1">
      <c r="B7" s="2567" t="s">
        <v>413</v>
      </c>
      <c r="C7" s="2568"/>
      <c r="D7" s="2568"/>
      <c r="E7" s="2569"/>
      <c r="G7" s="523"/>
      <c r="H7" s="918">
        <f ca="1">IF(G7&lt;&gt;"",G7,IFERROR(IF(INDIRECT("'"&amp;$G$5&amp;"'!"&amp;ADDRESS(ROW(H7),COLUMN(H7)))="","",INDIRECT("'"&amp;$G$5&amp;"'!"&amp;ADDRESS(ROW(H7),COLUMN(H7)))),IF($G$5&lt;&gt;"","Data Source Error","")))</f>
        <v>3</v>
      </c>
      <c r="V7" s="36"/>
      <c r="W7" s="36"/>
      <c r="X7" s="6"/>
      <c r="Y7" s="2643"/>
      <c r="Z7" s="2644"/>
      <c r="AA7" s="2644"/>
      <c r="AB7" s="2645"/>
      <c r="AC7" s="36"/>
      <c r="AD7" s="36"/>
      <c r="AE7" s="36"/>
      <c r="AF7" s="36"/>
    </row>
    <row r="8" spans="1:32" ht="15" customHeight="1" outlineLevel="1">
      <c r="B8" s="2567" t="s">
        <v>11</v>
      </c>
      <c r="C8" s="2568"/>
      <c r="D8" s="2568"/>
      <c r="E8" s="2569"/>
      <c r="G8" s="524"/>
      <c r="H8" s="1065">
        <f ca="1">IF(G8&lt;&gt;"",G8,IFERROR(IF(INDIRECT("'"&amp;$G$5&amp;"'!"&amp;ADDRESS(ROW(H8),COLUMN(H8)))="","",INDIRECT("'"&amp;$G$5&amp;"'!"&amp;ADDRESS(ROW(H8),COLUMN(H8)))*$H$6),IF($G$5&lt;&gt;"","Data Source Error","")))</f>
        <v>1.37</v>
      </c>
      <c r="N8" s="6"/>
      <c r="O8" s="6"/>
      <c r="Q8" s="6"/>
      <c r="R8" s="6"/>
      <c r="S8" s="6"/>
      <c r="T8" s="6"/>
      <c r="V8" s="36"/>
      <c r="W8" s="36"/>
      <c r="X8" s="6"/>
      <c r="Y8" s="2643"/>
      <c r="Z8" s="2644"/>
      <c r="AA8" s="2644"/>
      <c r="AB8" s="2645"/>
      <c r="AC8" s="36"/>
      <c r="AD8" s="36"/>
      <c r="AE8" s="36"/>
      <c r="AF8" s="36"/>
    </row>
    <row r="9" spans="1:32" ht="15" customHeight="1" outlineLevel="1">
      <c r="B9" s="2567" t="s">
        <v>12</v>
      </c>
      <c r="C9" s="2568"/>
      <c r="D9" s="2568"/>
      <c r="E9" s="2569"/>
      <c r="G9" s="523"/>
      <c r="H9" s="918">
        <f ca="1">IF(G9&lt;&gt;"",G9,IFERROR(IF(INDIRECT("'"&amp;$G$5&amp;"'!"&amp;ADDRESS(ROW(H9),COLUMN(H9)))="","",INDIRECT("'"&amp;$G$5&amp;"'!"&amp;ADDRESS(ROW(H9),COLUMN(H9)))),IF($G$5&lt;&gt;"","Data Source Error","")))</f>
        <v>240</v>
      </c>
      <c r="V9" s="36"/>
      <c r="W9" s="36"/>
      <c r="X9" s="6"/>
      <c r="Y9" s="2643"/>
      <c r="Z9" s="2644"/>
      <c r="AA9" s="2644"/>
      <c r="AB9" s="2645"/>
      <c r="AC9" s="36"/>
      <c r="AD9" s="36"/>
      <c r="AE9" s="36"/>
      <c r="AF9" s="36"/>
    </row>
    <row r="10" spans="1:32" ht="15" customHeight="1" outlineLevel="1">
      <c r="B10" s="2567" t="s">
        <v>13</v>
      </c>
      <c r="C10" s="2568"/>
      <c r="D10" s="2568"/>
      <c r="E10" s="2569"/>
      <c r="G10" s="523"/>
      <c r="H10" s="918">
        <f ca="1">IF(G10&lt;&gt;"",G10,IFERROR(IF(INDIRECT("'"&amp;$G$5&amp;"'!"&amp;ADDRESS(ROW(H10),COLUMN(H10)))="","",INDIRECT("'"&amp;$G$5&amp;"'!"&amp;ADDRESS(ROW(H10),COLUMN(H10)))),IF($G$5&lt;&gt;"","Data Source Error","")))</f>
        <v>8</v>
      </c>
      <c r="V10" s="36"/>
      <c r="W10" s="36"/>
      <c r="X10" s="6"/>
      <c r="Y10" s="2643"/>
      <c r="Z10" s="2644"/>
      <c r="AA10" s="2644"/>
      <c r="AB10" s="2645"/>
      <c r="AC10" s="36"/>
      <c r="AD10" s="36"/>
      <c r="AE10" s="36"/>
      <c r="AF10" s="36"/>
    </row>
    <row r="11" spans="1:32" ht="15" customHeight="1" outlineLevel="1">
      <c r="B11" s="2567" t="s">
        <v>388</v>
      </c>
      <c r="C11" s="2568"/>
      <c r="D11" s="2568"/>
      <c r="E11" s="2569"/>
      <c r="G11" s="523"/>
      <c r="H11" s="918">
        <f ca="1">IF(G11&lt;&gt;"",G11,IFERROR(IF(INDIRECT("'"&amp;$G$5&amp;"'!"&amp;ADDRESS(ROW(H11),COLUMN(H11)))="","",INDIRECT("'"&amp;$G$5&amp;"'!"&amp;ADDRESS(ROW(H11),COLUMN(H11)))),IF($G$5&lt;&gt;"","Data Source Error","")))</f>
        <v>5</v>
      </c>
      <c r="V11" s="36"/>
      <c r="W11" s="36"/>
      <c r="X11" s="6"/>
      <c r="Y11" s="2643"/>
      <c r="Z11" s="2644"/>
      <c r="AA11" s="2644"/>
      <c r="AB11" s="2645"/>
      <c r="AC11" s="36"/>
      <c r="AD11" s="36"/>
      <c r="AE11" s="36"/>
      <c r="AF11" s="36"/>
    </row>
    <row r="12" spans="1:32" ht="14.25" customHeight="1" outlineLevel="1">
      <c r="B12" s="2570" t="s">
        <v>399</v>
      </c>
      <c r="C12" s="2571"/>
      <c r="D12" s="2571"/>
      <c r="E12" s="2572"/>
      <c r="G12" s="2057"/>
      <c r="H12" s="920">
        <f ca="1">IF(G12&lt;&gt;"",G12,IFERROR(IF(INDIRECT("'"&amp;$G$5&amp;"'!"&amp;ADDRESS(ROW(H12),COLUMN(H12)))="","",INDIRECT("'"&amp;$G$5&amp;"'!"&amp;ADDRESS(ROW(H12),COLUMN(H12)))),IF($G$5&lt;&gt;"","Data Source Error","")))</f>
        <v>5</v>
      </c>
      <c r="V12" s="36"/>
      <c r="W12" s="36"/>
      <c r="X12" s="6"/>
      <c r="Y12" s="2643"/>
      <c r="Z12" s="2644"/>
      <c r="AA12" s="2644"/>
      <c r="AB12" s="2645"/>
      <c r="AC12" s="36"/>
      <c r="AD12" s="36"/>
      <c r="AE12" s="36"/>
      <c r="AF12" s="36"/>
    </row>
    <row r="13" spans="1:32" ht="36.75" customHeight="1">
      <c r="A13" s="630" t="s">
        <v>355</v>
      </c>
      <c r="C13" s="39"/>
      <c r="D13" s="39"/>
      <c r="E13" s="39"/>
      <c r="G13" s="121"/>
      <c r="H13" s="11"/>
      <c r="N13" s="6"/>
      <c r="P13"/>
      <c r="T13" s="36"/>
      <c r="U13" s="36"/>
      <c r="V13" s="6"/>
      <c r="W13" s="36"/>
      <c r="X13" s="36"/>
      <c r="Y13" s="36"/>
      <c r="Z13" s="36"/>
      <c r="AA13" s="36"/>
      <c r="AB13" s="36"/>
      <c r="AC13" s="36"/>
      <c r="AD13" s="36"/>
    </row>
    <row r="14" spans="1:32" ht="35.25" customHeight="1">
      <c r="B14" s="2391" t="s">
        <v>296</v>
      </c>
      <c r="C14" s="2391"/>
      <c r="D14" s="2391"/>
      <c r="E14" s="2391"/>
      <c r="G14" s="121"/>
      <c r="H14" s="11"/>
      <c r="AD14" s="36"/>
      <c r="AE14" s="36"/>
      <c r="AF14" s="36"/>
    </row>
    <row r="15" spans="1:32" ht="33.65" customHeight="1" outlineLevel="1">
      <c r="B15" s="54"/>
      <c r="C15" s="236"/>
      <c r="D15" s="236"/>
      <c r="E15" s="5"/>
      <c r="G15" s="255" t="s">
        <v>17</v>
      </c>
      <c r="H15" s="924" t="s">
        <v>2510</v>
      </c>
      <c r="J15" s="274"/>
      <c r="K15" s="2589" t="s">
        <v>5500</v>
      </c>
      <c r="M15" s="2573" t="s">
        <v>5506</v>
      </c>
      <c r="N15" s="2574"/>
      <c r="O15" s="2574"/>
      <c r="P15" s="2575"/>
      <c r="Q15" s="2574"/>
      <c r="R15" s="2574"/>
      <c r="S15" s="2576"/>
      <c r="T15" s="1690"/>
      <c r="U15" s="1690"/>
      <c r="V15" s="1690"/>
      <c r="Y15" s="2619" t="s">
        <v>673</v>
      </c>
      <c r="Z15" s="2620"/>
      <c r="AA15" s="2620"/>
      <c r="AB15" s="2621"/>
      <c r="AD15" s="36"/>
      <c r="AE15" s="36"/>
      <c r="AF15" s="36"/>
    </row>
    <row r="16" spans="1:32" ht="18.75" customHeight="1" outlineLevel="1" collapsed="1">
      <c r="B16" s="2579" t="s">
        <v>5471</v>
      </c>
      <c r="C16" s="2580"/>
      <c r="D16" s="2580"/>
      <c r="E16" s="2581"/>
      <c r="G16" s="521"/>
      <c r="H16" s="1687"/>
      <c r="J16" s="1690" t="s">
        <v>2440</v>
      </c>
      <c r="K16" s="2589"/>
      <c r="M16" s="1874" t="s">
        <v>2507</v>
      </c>
      <c r="N16" s="44"/>
      <c r="O16" s="1875"/>
      <c r="P16" s="1885" t="s">
        <v>2062</v>
      </c>
      <c r="Q16" s="2590" t="s">
        <v>5507</v>
      </c>
      <c r="R16" s="2591"/>
      <c r="S16" s="2592"/>
      <c r="T16" s="1688"/>
      <c r="U16" s="1688"/>
      <c r="V16" s="1688"/>
      <c r="Y16" s="2643"/>
      <c r="Z16" s="2644"/>
      <c r="AA16" s="2644"/>
      <c r="AB16" s="2645"/>
      <c r="AD16" s="36"/>
      <c r="AE16" s="36"/>
      <c r="AF16" s="36"/>
    </row>
    <row r="17" spans="1:32" ht="15" customHeight="1" outlineLevel="1">
      <c r="B17" s="2555" t="s">
        <v>367</v>
      </c>
      <c r="C17" s="2556"/>
      <c r="D17" s="2556"/>
      <c r="E17" s="2557"/>
      <c r="G17" s="553">
        <v>2932.5</v>
      </c>
      <c r="H17" s="925">
        <f ca="1">IF(G17&lt;&gt;"",G17,IFERROR(IF($G$16="Yes",$P$17,IF(INDIRECT("'"&amp;$G$5&amp;"'!"&amp;ADDRESS(ROW(H17),COLUMN(H17)))="","",INDIRECT("'"&amp;$G$5&amp;"'!"&amp;ADDRESS(ROW(H17),COLUMN(H17))))),IF($G$5&lt;&gt;"","Data Source Error","")))</f>
        <v>2932.5</v>
      </c>
      <c r="K17" s="2589" t="s">
        <v>5508</v>
      </c>
      <c r="M17" s="1873" t="s">
        <v>5503</v>
      </c>
      <c r="N17" s="1873"/>
      <c r="O17" s="1873"/>
      <c r="P17" s="1868">
        <f ca="1">IF($P$16="Vaccines",'Vaccine Demand Volume &amp; Value'!$G$82,IF($P$16="Reproductive Health",'RH Demand Volume &amp; Value'!$J$67, IF($P$16="General",'General Demand Volume'!$AB$9,"")))</f>
        <v>119.95700266668503</v>
      </c>
      <c r="Q17" s="2593"/>
      <c r="R17" s="2594"/>
      <c r="S17" s="2595"/>
      <c r="T17" s="1688"/>
      <c r="U17" s="1688"/>
      <c r="V17" s="1688"/>
      <c r="Y17" s="2643"/>
      <c r="Z17" s="2644"/>
      <c r="AA17" s="2644"/>
      <c r="AB17" s="2645"/>
      <c r="AD17" s="36"/>
      <c r="AE17" s="36"/>
    </row>
    <row r="18" spans="1:32" ht="15" customHeight="1" outlineLevel="1">
      <c r="B18" s="2558" t="s">
        <v>678</v>
      </c>
      <c r="C18" s="2559"/>
      <c r="D18" s="2559"/>
      <c r="E18" s="2560"/>
      <c r="G18" s="523"/>
      <c r="H18" s="918">
        <f ca="1">IF(G18&lt;&gt;"",G18,IFERROR(IF($G$16="Yes",$P$18,IF(INDIRECT("'"&amp;$G$5&amp;"'!"&amp;ADDRESS(ROW(H18),COLUMN(H18)))="","",INDIRECT("'"&amp;$G$5&amp;"'!"&amp;ADDRESS(ROW(H18),COLUMN(H18))))),IF($G$5&lt;&gt;"","Data Source Error","")))</f>
        <v>0</v>
      </c>
      <c r="K18" s="2589"/>
      <c r="M18" s="1876" t="s">
        <v>5504</v>
      </c>
      <c r="N18" s="1877"/>
      <c r="O18" s="1878"/>
      <c r="P18" s="1872">
        <f>IF($P$16="Vaccines",'Vaccine Demand Volume &amp; Value'!$G$81,IF($P$16="Reproductive Health",0, IF($P$16="General",'General Demand Volume'!$AB$11,"")))</f>
        <v>0</v>
      </c>
      <c r="Q18" s="2593"/>
      <c r="R18" s="2594"/>
      <c r="S18" s="2595"/>
      <c r="T18" s="1688"/>
      <c r="U18" s="1688"/>
      <c r="V18" s="1688"/>
      <c r="Y18" s="2643"/>
      <c r="Z18" s="2644"/>
      <c r="AA18" s="2644"/>
      <c r="AB18" s="2645"/>
      <c r="AD18" s="36"/>
      <c r="AE18" s="36"/>
      <c r="AF18" s="36"/>
    </row>
    <row r="19" spans="1:32" ht="15" customHeight="1" outlineLevel="1">
      <c r="B19" s="2558" t="s">
        <v>130</v>
      </c>
      <c r="C19" s="2559"/>
      <c r="D19" s="2559"/>
      <c r="E19" s="2560"/>
      <c r="G19" s="523"/>
      <c r="H19" s="918">
        <f ca="1">IF(G19&lt;&gt;"",G19,IFERROR(IF($G$16="Yes",$P$19,IF(INDIRECT("'"&amp;$G$5&amp;"'!"&amp;ADDRESS(ROW(H19),COLUMN(H19)))="","",INDIRECT("'"&amp;$G$5&amp;"'!"&amp;ADDRESS(ROW(H19),COLUMN(H19))))),IF($G$5&lt;&gt;"","Data Source Error","")))</f>
        <v>109</v>
      </c>
      <c r="K19" s="2589"/>
      <c r="M19" s="1876" t="s">
        <v>2508</v>
      </c>
      <c r="N19" s="1879"/>
      <c r="O19" s="1880"/>
      <c r="P19" s="1871">
        <f>IF($P$16="Vaccines",'Vaccine Demand Volume &amp; Value'!$G$83 + 'Vaccine Demand Volume &amp; Value'!$G$84,IF($P$16="Reproductive Health",'RH Demand Volume &amp; Value'!$L$47,IF($P$16="General",'General Demand Volume'!$AB$17,"")))</f>
        <v>10</v>
      </c>
      <c r="Q19" s="2593"/>
      <c r="R19" s="2594"/>
      <c r="S19" s="2595"/>
      <c r="T19" s="1688"/>
      <c r="U19" s="1688"/>
      <c r="V19" s="1688"/>
      <c r="Y19" s="2643"/>
      <c r="Z19" s="2644"/>
      <c r="AA19" s="2644"/>
      <c r="AB19" s="2645"/>
      <c r="AD19" s="36"/>
      <c r="AE19" s="36"/>
      <c r="AF19" s="36"/>
    </row>
    <row r="20" spans="1:32" ht="30" customHeight="1" outlineLevel="1">
      <c r="B20" s="2582" t="s">
        <v>373</v>
      </c>
      <c r="C20" s="2583"/>
      <c r="D20" s="2583"/>
      <c r="E20" s="2584"/>
      <c r="G20" s="526"/>
      <c r="H20" s="926" t="str">
        <f ca="1">IF(G20&lt;&gt;"",G20,IFERROR(IF($G$16="Yes",$P$20,IF(INDIRECT("'"&amp;$G$5&amp;"'!"&amp;ADDRESS(ROW(H20),COLUMN(H20)))="","",INDIRECT("'"&amp;$G$5&amp;"'!"&amp;ADDRESS(ROW(H20),COLUMN(H20))))),IF($G$5&lt;&gt;"","Data Source Error","")))</f>
        <v>Delivered</v>
      </c>
      <c r="K20" s="1882" t="s">
        <v>5439</v>
      </c>
      <c r="M20" s="2102" t="s">
        <v>5505</v>
      </c>
      <c r="N20" s="2250"/>
      <c r="O20" s="1881"/>
      <c r="P20" s="1870" t="s">
        <v>370</v>
      </c>
      <c r="Q20" s="2596" t="s">
        <v>5441</v>
      </c>
      <c r="R20" s="2597"/>
      <c r="S20" s="2598"/>
      <c r="T20" s="1688"/>
      <c r="U20" s="1688"/>
      <c r="V20" s="1688"/>
      <c r="Y20" s="2643"/>
      <c r="Z20" s="2644"/>
      <c r="AA20" s="2644"/>
      <c r="AB20" s="2645"/>
      <c r="AD20" s="36"/>
      <c r="AE20" s="36"/>
      <c r="AF20" s="36"/>
    </row>
    <row r="21" spans="1:32" ht="15" customHeight="1" outlineLevel="1">
      <c r="B21" s="2585" t="s">
        <v>2512</v>
      </c>
      <c r="C21" s="2586"/>
      <c r="D21" s="2586"/>
      <c r="E21" s="2587"/>
      <c r="G21" s="527">
        <v>18450000</v>
      </c>
      <c r="H21" s="927">
        <f ca="1">IF(G21&lt;&gt;"",G21,IFERROR(IF($G$16="Yes",$P$21,IF(INDIRECT("'"&amp;$G$5&amp;"'!"&amp;ADDRESS(ROW(H21),COLUMN(H21)))="","",INDIRECT("'"&amp;$G$5&amp;"'!"&amp;ADDRESS(ROW(H21),COLUMN(H21)))*$H$6)),IF($G$5&lt;&gt;"","Data Source Error","")))</f>
        <v>18450000</v>
      </c>
      <c r="J21" s="251"/>
      <c r="K21" s="1883" t="s">
        <v>5440</v>
      </c>
      <c r="M21" s="2602" t="s">
        <v>838</v>
      </c>
      <c r="N21" s="2603"/>
      <c r="O21" s="1867"/>
      <c r="P21" s="2606">
        <f ca="1">IF($P$16="Vaccines",'Vaccine Demand Volume &amp; Value'!$G$85,IF($P$16="Reproductive Health",'RH Demand Volume &amp; Value'!$K$67,IF($P$16="General","","")))</f>
        <v>5458781.7452971619</v>
      </c>
      <c r="Q21" s="2599" t="s">
        <v>5442</v>
      </c>
      <c r="R21" s="2600"/>
      <c r="S21" s="2601"/>
      <c r="T21" s="1688"/>
      <c r="U21" s="1688"/>
      <c r="V21" s="1688"/>
      <c r="W21" s="36"/>
      <c r="X21" s="6"/>
      <c r="Y21" s="2643"/>
      <c r="Z21" s="2644"/>
      <c r="AA21" s="2644"/>
      <c r="AB21" s="2645"/>
      <c r="AC21" s="36"/>
      <c r="AD21" s="36"/>
      <c r="AE21" s="36"/>
      <c r="AF21" s="36"/>
    </row>
    <row r="22" spans="1:32" ht="16.5" customHeight="1">
      <c r="A22" s="212" t="s">
        <v>354</v>
      </c>
      <c r="C22" s="50"/>
      <c r="D22" s="50"/>
      <c r="E22" s="50"/>
      <c r="G22" s="110"/>
      <c r="H22" s="50"/>
      <c r="I22" s="50"/>
      <c r="J22" s="110"/>
      <c r="K22" s="1884" t="s">
        <v>5501</v>
      </c>
      <c r="M22" s="2604"/>
      <c r="N22" s="2605"/>
      <c r="O22" s="236"/>
      <c r="P22" s="2607"/>
      <c r="Q22" s="1869" t="s">
        <v>5502</v>
      </c>
      <c r="R22" s="236"/>
      <c r="S22" s="5"/>
      <c r="W22" s="36"/>
      <c r="X22" s="6"/>
      <c r="Y22" s="36"/>
      <c r="Z22" s="36"/>
      <c r="AA22" s="36"/>
      <c r="AB22" s="36"/>
      <c r="AC22" s="36"/>
      <c r="AD22" s="36"/>
      <c r="AE22" s="36"/>
      <c r="AF22" s="36"/>
    </row>
    <row r="23" spans="1:32" ht="16.5" customHeight="1">
      <c r="W23" s="36"/>
      <c r="X23" s="6"/>
      <c r="Y23" s="36"/>
      <c r="Z23" s="36"/>
      <c r="AA23" s="36"/>
      <c r="AB23" s="36"/>
      <c r="AC23" s="36"/>
      <c r="AD23" s="36"/>
      <c r="AE23" s="36"/>
      <c r="AF23" s="36"/>
    </row>
    <row r="24" spans="1:32" ht="37.5" customHeight="1">
      <c r="B24" s="2588" t="s">
        <v>5419</v>
      </c>
      <c r="C24" s="2588"/>
      <c r="D24" s="2588"/>
      <c r="E24" s="2588"/>
      <c r="G24" s="252"/>
      <c r="H24" s="86"/>
      <c r="I24" s="1"/>
      <c r="J24" s="252"/>
      <c r="K24" s="86"/>
      <c r="V24" s="36"/>
      <c r="W24" s="36"/>
      <c r="X24" s="36"/>
      <c r="Y24" s="36"/>
      <c r="Z24" s="36"/>
      <c r="AA24" s="36"/>
      <c r="AB24" s="36"/>
      <c r="AC24" s="36"/>
      <c r="AD24" s="36"/>
      <c r="AE24" s="36"/>
      <c r="AF24" s="36"/>
    </row>
    <row r="25" spans="1:32" ht="16" customHeight="1" outlineLevel="1">
      <c r="B25" s="2608" t="s">
        <v>23</v>
      </c>
      <c r="C25" s="2609"/>
      <c r="D25" s="2609"/>
      <c r="E25" s="2610"/>
      <c r="G25" s="2614" t="s">
        <v>72</v>
      </c>
      <c r="H25" s="2615"/>
      <c r="J25" s="2614" t="s">
        <v>24</v>
      </c>
      <c r="K25" s="2615"/>
      <c r="M25" s="2629" t="s">
        <v>405</v>
      </c>
      <c r="N25" s="2630"/>
      <c r="O25" s="2630"/>
      <c r="P25" s="2631"/>
      <c r="V25" s="36"/>
      <c r="W25" s="36"/>
      <c r="X25" s="36"/>
      <c r="Y25" s="36"/>
      <c r="Z25" s="36"/>
      <c r="AA25" s="36"/>
      <c r="AB25" s="36"/>
      <c r="AC25" s="36"/>
      <c r="AD25" s="36"/>
      <c r="AE25" s="36"/>
      <c r="AF25" s="36"/>
    </row>
    <row r="26" spans="1:32" ht="36.75" customHeight="1" outlineLevel="1">
      <c r="B26" s="2611"/>
      <c r="C26" s="2612"/>
      <c r="D26" s="2612"/>
      <c r="E26" s="2613"/>
      <c r="G26" s="253" t="s">
        <v>17</v>
      </c>
      <c r="H26" s="921" t="s">
        <v>2510</v>
      </c>
      <c r="J26" s="255" t="s">
        <v>17</v>
      </c>
      <c r="K26" s="921" t="s">
        <v>2510</v>
      </c>
      <c r="M26" s="2619" t="s">
        <v>419</v>
      </c>
      <c r="N26" s="2620"/>
      <c r="O26" s="2620"/>
      <c r="P26" s="2621"/>
      <c r="V26" s="36"/>
      <c r="W26" s="36"/>
      <c r="X26" s="36"/>
      <c r="Y26" s="2619" t="s">
        <v>673</v>
      </c>
      <c r="Z26" s="2620"/>
      <c r="AA26" s="2620"/>
      <c r="AB26" s="2621"/>
      <c r="AC26" s="36"/>
      <c r="AD26" s="36"/>
      <c r="AE26" s="36"/>
      <c r="AF26" s="36"/>
    </row>
    <row r="27" spans="1:32" ht="14.25" customHeight="1" outlineLevel="1">
      <c r="B27" s="2622" t="s">
        <v>604</v>
      </c>
      <c r="C27" s="2623"/>
      <c r="D27" s="2623"/>
      <c r="E27" s="618"/>
      <c r="F27">
        <f t="shared" ref="F27:F38" ca="1" si="0">IF(OR(
$H$105=B27,$K$105=B27,$N$105=B27,$Q$105=B27,$T$105=B27,$W$105=B27,
$K$145=B27,$N$145=B27,$Q$145=B27,$T$145=B27,$W$145=B27,$K$147=B27,$N$147=B27,$Q$147=B27,$T$147=B27,$W$147=B27,
$K$165=B27,$N$165=B27,$Q$165=B27,$T$165=B27,$W$165=B27,$K$167=B27,$N$167=B27,$Q$167=B27,$T$167=B27,$W$167=B27,
$K$185=B27,$N$185=B27,$Q$185=B27,$T$185=B27,$W$185=B27,$K$187=B27,$N$187=B27,$Q$187=B27,$T$187=B27,$W$187=B27,
$K$210=B27,$N$210=B27,$Q$210=B27,$T$210=B27,$W$210=B27,$K$212=B27,$N$212=B27,$Q$212=B27,$T$212=B27,$W$212=B27,
$K$230=B27,,$N$230=B27,$Q$230=B27,$T$230=B27,$W$230=B27,$K$232=B27,$N$232=B27,$Q$232=B27,$T$232=B27,$W$232=B27,
$K$250=B27,$N$250=B27,$Q$250=B27,$T$250=B27,$W$250=B27,$K$252=B27,$N$252=B27,$Q$252=B27,$T$252=B27,$W$252=B27,
$K$274=B27,$N$274=B27,$Q$274=B27,$T$274=B27,$W$274=B27,$K$276=B27,$N$276=B27,$Q$276=B27,$T$276=B27,$W$276=B27,
$K$294=B27,$N$294=B27,$Q$294=B27,$T$294=B27,$W$294=B27,$K$296=B27,$N$296=B27,$Q$296=B27,$T$296=B27,$W$296=B27,
$K$314=B27,$N$314=B27,$Q$314=B27,$T$314=B27,$W$314=B27,$K$316=B27,$N$316=B27,$Q$316=B27,$T$316=B27,$W$316=B27),1,0)</f>
        <v>0</v>
      </c>
      <c r="G27" s="688"/>
      <c r="H27" s="922">
        <v>0</v>
      </c>
      <c r="J27" s="688"/>
      <c r="K27" s="922">
        <v>0</v>
      </c>
      <c r="M27" s="528"/>
      <c r="N27" s="532"/>
      <c r="O27" s="532"/>
      <c r="P27" s="533"/>
      <c r="V27" s="36"/>
      <c r="W27" s="36"/>
      <c r="X27" s="36"/>
      <c r="Y27" s="2643"/>
      <c r="Z27" s="2644"/>
      <c r="AA27" s="2644"/>
      <c r="AB27" s="2645"/>
      <c r="AC27" s="36"/>
      <c r="AD27" s="36"/>
      <c r="AE27" s="36"/>
      <c r="AF27" s="36"/>
    </row>
    <row r="28" spans="1:32" ht="16" customHeight="1" outlineLevel="1">
      <c r="B28" s="2577" t="s">
        <v>19</v>
      </c>
      <c r="C28" s="2578"/>
      <c r="D28" s="2578"/>
      <c r="E28" s="617"/>
      <c r="F28">
        <f t="shared" ca="1" si="0"/>
        <v>1</v>
      </c>
      <c r="G28" s="689"/>
      <c r="H28" s="919">
        <f ca="1">IF(G28&lt;&gt;"",G28,IFERROR(IF(INDIRECT("'"&amp;$G$5&amp;"'!"&amp;ADDRESS(ROW(H28),COLUMN(H28)))="","",INDIRECT("'"&amp;$G$5&amp;"'!"&amp;ADDRESS(ROW(H28),COLUMN(H28)))*$H$6),IF($G$5&lt;&gt;"","Data Source Error","")))</f>
        <v>2.7965144230769217</v>
      </c>
      <c r="I28" s="183"/>
      <c r="J28" s="689"/>
      <c r="K28" s="919">
        <f ca="1">IF(J28&lt;&gt;"",J28,IFERROR(IF(INDIRECT("'"&amp;$G$5&amp;"'!"&amp;ADDRESS(ROW(K28),COLUMN(K28)))="","",INDIRECT("'"&amp;$G$5&amp;"'!"&amp;ADDRESS(ROW(K28),COLUMN(K28)))*$H$6),IF($G$5&lt;&gt;"","Data Source Error","")))</f>
        <v>30</v>
      </c>
      <c r="M28" s="528"/>
      <c r="N28" s="532"/>
      <c r="O28" s="532"/>
      <c r="P28" s="533"/>
      <c r="V28" s="36"/>
      <c r="W28" s="36"/>
      <c r="X28" s="36"/>
      <c r="Y28" s="2643"/>
      <c r="Z28" s="2644"/>
      <c r="AA28" s="2644"/>
      <c r="AB28" s="2645"/>
      <c r="AC28" s="36" t="s">
        <v>166</v>
      </c>
      <c r="AD28" s="36"/>
      <c r="AE28" s="36"/>
      <c r="AF28" s="36"/>
    </row>
    <row r="29" spans="1:32" outlineLevel="1">
      <c r="B29" s="2577" t="s">
        <v>20</v>
      </c>
      <c r="C29" s="2578"/>
      <c r="D29" s="2578"/>
      <c r="E29" s="2066"/>
      <c r="F29">
        <f t="shared" ca="1" si="0"/>
        <v>0</v>
      </c>
      <c r="G29" s="689"/>
      <c r="H29" s="919">
        <f t="shared" ref="H29:H38" ca="1" si="1">IF(G29&lt;&gt;"",G29,IFERROR(IF(INDIRECT("'"&amp;$G$5&amp;"'!"&amp;ADDRESS(ROW(H29),COLUMN(H29)))="","",INDIRECT("'"&amp;$G$5&amp;"'!"&amp;ADDRESS(ROW(H29),COLUMN(H29)))*$H$6),IF($G$5&lt;&gt;"","Data Source Error","")))</f>
        <v>2.36</v>
      </c>
      <c r="I29" s="187"/>
      <c r="J29" s="689"/>
      <c r="K29" s="919">
        <f t="shared" ref="K29:K38" ca="1" si="2">IF(J29&lt;&gt;"",J29,IFERROR(IF(INDIRECT("'"&amp;$G$5&amp;"'!"&amp;ADDRESS(ROW(K29),COLUMN(K29)))="","",INDIRECT("'"&amp;$G$5&amp;"'!"&amp;ADDRESS(ROW(K29),COLUMN(K29)))*$H$6),IF($G$5&lt;&gt;"","Data Source Error","")))</f>
        <v>30</v>
      </c>
      <c r="M29" s="528"/>
      <c r="N29" s="532"/>
      <c r="O29" s="532"/>
      <c r="P29" s="533"/>
      <c r="V29" s="36"/>
      <c r="W29" s="36"/>
      <c r="X29" s="36"/>
      <c r="Y29" s="2643"/>
      <c r="Z29" s="2644"/>
      <c r="AA29" s="2644"/>
      <c r="AB29" s="2645"/>
      <c r="AC29" s="36" t="s">
        <v>168</v>
      </c>
      <c r="AD29" s="36"/>
      <c r="AE29" s="36"/>
      <c r="AF29" s="36"/>
    </row>
    <row r="30" spans="1:32" outlineLevel="1">
      <c r="B30" s="2577" t="s">
        <v>21</v>
      </c>
      <c r="C30" s="2578"/>
      <c r="D30" s="2578"/>
      <c r="E30" s="2066"/>
      <c r="F30">
        <f t="shared" ca="1" si="0"/>
        <v>0</v>
      </c>
      <c r="G30" s="689"/>
      <c r="H30" s="919">
        <f t="shared" ca="1" si="1"/>
        <v>4.915775</v>
      </c>
      <c r="I30" s="187"/>
      <c r="J30" s="689"/>
      <c r="K30" s="919">
        <f t="shared" ca="1" si="2"/>
        <v>31.65</v>
      </c>
      <c r="M30" s="528"/>
      <c r="N30" s="532"/>
      <c r="O30" s="532"/>
      <c r="P30" s="533"/>
      <c r="V30" s="36"/>
      <c r="W30" s="36"/>
      <c r="X30" s="36"/>
      <c r="Y30" s="2643"/>
      <c r="Z30" s="2644"/>
      <c r="AA30" s="2644"/>
      <c r="AB30" s="2645"/>
      <c r="AC30" s="36" t="s">
        <v>170</v>
      </c>
      <c r="AD30" s="36"/>
      <c r="AE30" s="36"/>
      <c r="AF30" s="36"/>
    </row>
    <row r="31" spans="1:32" outlineLevel="1">
      <c r="B31" s="2577" t="s">
        <v>22</v>
      </c>
      <c r="C31" s="2578"/>
      <c r="D31" s="2578"/>
      <c r="E31" s="2066"/>
      <c r="F31">
        <f t="shared" ca="1" si="0"/>
        <v>1</v>
      </c>
      <c r="G31" s="689"/>
      <c r="H31" s="919">
        <f t="shared" ca="1" si="1"/>
        <v>5.91</v>
      </c>
      <c r="I31" s="187"/>
      <c r="J31" s="689"/>
      <c r="K31" s="919">
        <f t="shared" ca="1" si="2"/>
        <v>30</v>
      </c>
      <c r="M31" s="528"/>
      <c r="N31" s="532"/>
      <c r="O31" s="532"/>
      <c r="P31" s="533"/>
      <c r="V31" s="36"/>
      <c r="W31" s="36"/>
      <c r="X31" s="36"/>
      <c r="Y31" s="2643"/>
      <c r="Z31" s="2644"/>
      <c r="AA31" s="2644"/>
      <c r="AB31" s="2645"/>
      <c r="AC31" s="36"/>
      <c r="AD31" s="36"/>
      <c r="AE31" s="36"/>
      <c r="AF31" s="36"/>
    </row>
    <row r="32" spans="1:32" outlineLevel="1">
      <c r="B32" s="2577" t="s">
        <v>402</v>
      </c>
      <c r="C32" s="2578"/>
      <c r="D32" s="2578"/>
      <c r="E32" s="2066"/>
      <c r="F32">
        <f t="shared" ca="1" si="0"/>
        <v>1</v>
      </c>
      <c r="G32" s="689"/>
      <c r="H32" s="919">
        <f t="shared" ca="1" si="1"/>
        <v>5</v>
      </c>
      <c r="I32" s="187"/>
      <c r="J32" s="689"/>
      <c r="K32" s="919">
        <f t="shared" ca="1" si="2"/>
        <v>30</v>
      </c>
      <c r="M32" s="528"/>
      <c r="N32" s="532"/>
      <c r="O32" s="532"/>
      <c r="P32" s="533"/>
      <c r="V32" s="36"/>
      <c r="W32" s="36"/>
      <c r="X32" s="36"/>
      <c r="Y32" s="2643"/>
      <c r="Z32" s="2644"/>
      <c r="AA32" s="2644"/>
      <c r="AB32" s="2645"/>
      <c r="AC32" s="36"/>
      <c r="AD32" s="36"/>
      <c r="AE32" s="36"/>
      <c r="AF32" s="36"/>
    </row>
    <row r="33" spans="1:32" outlineLevel="1">
      <c r="B33" s="2577" t="s">
        <v>401</v>
      </c>
      <c r="C33" s="2578"/>
      <c r="D33" s="2578"/>
      <c r="E33" s="2066"/>
      <c r="F33">
        <f t="shared" ca="1" si="0"/>
        <v>0</v>
      </c>
      <c r="G33" s="689"/>
      <c r="H33" s="919">
        <f t="shared" ca="1" si="1"/>
        <v>5.91</v>
      </c>
      <c r="I33" s="187"/>
      <c r="J33" s="689"/>
      <c r="K33" s="919">
        <f t="shared" ca="1" si="2"/>
        <v>30</v>
      </c>
      <c r="M33" s="528"/>
      <c r="N33" s="532"/>
      <c r="O33" s="532"/>
      <c r="P33" s="533"/>
      <c r="V33" s="36"/>
      <c r="W33" s="36"/>
      <c r="X33" s="36"/>
      <c r="Y33" s="2643"/>
      <c r="Z33" s="2644"/>
      <c r="AA33" s="2644"/>
      <c r="AB33" s="2645"/>
      <c r="AC33" s="36"/>
      <c r="AD33" s="36"/>
      <c r="AE33" s="36"/>
      <c r="AF33" s="36"/>
    </row>
    <row r="34" spans="1:32" outlineLevel="1">
      <c r="B34" s="2577" t="s">
        <v>403</v>
      </c>
      <c r="C34" s="2578"/>
      <c r="D34" s="2578"/>
      <c r="E34" s="2066"/>
      <c r="F34">
        <f t="shared" ca="1" si="0"/>
        <v>0</v>
      </c>
      <c r="G34" s="689"/>
      <c r="H34" s="919">
        <f t="shared" ca="1" si="1"/>
        <v>5.91</v>
      </c>
      <c r="I34" s="187"/>
      <c r="J34" s="689"/>
      <c r="K34" s="919">
        <f t="shared" ca="1" si="2"/>
        <v>30</v>
      </c>
      <c r="M34" s="528"/>
      <c r="N34" s="532"/>
      <c r="O34" s="532"/>
      <c r="P34" s="533"/>
      <c r="V34" s="36"/>
      <c r="W34" s="36"/>
      <c r="X34" s="36"/>
      <c r="Y34" s="2643"/>
      <c r="Z34" s="2644"/>
      <c r="AA34" s="2644"/>
      <c r="AB34" s="2645"/>
      <c r="AC34" s="36" t="s">
        <v>169</v>
      </c>
      <c r="AD34" s="36"/>
      <c r="AE34" s="36"/>
      <c r="AF34" s="36"/>
    </row>
    <row r="35" spans="1:32" outlineLevel="1">
      <c r="B35" s="2577" t="s">
        <v>404</v>
      </c>
      <c r="C35" s="2578"/>
      <c r="D35" s="2578"/>
      <c r="E35" s="2066"/>
      <c r="F35">
        <f t="shared" ca="1" si="0"/>
        <v>0</v>
      </c>
      <c r="G35" s="689"/>
      <c r="H35" s="919">
        <f t="shared" ca="1" si="1"/>
        <v>5</v>
      </c>
      <c r="I35" s="187"/>
      <c r="J35" s="689"/>
      <c r="K35" s="919">
        <f t="shared" ca="1" si="2"/>
        <v>30</v>
      </c>
      <c r="M35" s="528"/>
      <c r="N35" s="532"/>
      <c r="O35" s="532"/>
      <c r="P35" s="533"/>
      <c r="V35" s="36"/>
      <c r="W35" s="36"/>
      <c r="X35" s="36"/>
      <c r="Y35" s="2643"/>
      <c r="Z35" s="2644"/>
      <c r="AA35" s="2644"/>
      <c r="AB35" s="2645"/>
      <c r="AC35" s="36" t="s">
        <v>167</v>
      </c>
      <c r="AD35" s="36"/>
      <c r="AE35" s="36"/>
      <c r="AF35" s="36"/>
    </row>
    <row r="36" spans="1:32" outlineLevel="1">
      <c r="B36" s="2577" t="s">
        <v>416</v>
      </c>
      <c r="C36" s="2578"/>
      <c r="D36" s="2578"/>
      <c r="E36" s="276"/>
      <c r="F36">
        <f t="shared" ca="1" si="0"/>
        <v>0</v>
      </c>
      <c r="G36" s="690"/>
      <c r="H36" s="919" t="str">
        <f t="shared" ca="1" si="1"/>
        <v/>
      </c>
      <c r="I36" s="184"/>
      <c r="J36" s="690"/>
      <c r="K36" s="919" t="str">
        <f t="shared" ca="1" si="2"/>
        <v/>
      </c>
      <c r="M36" s="529"/>
      <c r="N36" s="534"/>
      <c r="O36" s="534"/>
      <c r="P36" s="535"/>
      <c r="V36" s="36"/>
      <c r="W36" s="36"/>
      <c r="X36" s="36"/>
      <c r="Y36" s="2643"/>
      <c r="Z36" s="2644"/>
      <c r="AA36" s="2644"/>
      <c r="AB36" s="2645"/>
      <c r="AC36" s="36"/>
      <c r="AD36" s="36"/>
      <c r="AE36" s="36"/>
      <c r="AF36" s="36"/>
    </row>
    <row r="37" spans="1:32" outlineLevel="1">
      <c r="B37" s="2577" t="s">
        <v>417</v>
      </c>
      <c r="C37" s="2578"/>
      <c r="D37" s="2578"/>
      <c r="E37" s="276"/>
      <c r="F37">
        <f t="shared" ca="1" si="0"/>
        <v>0</v>
      </c>
      <c r="G37" s="690"/>
      <c r="H37" s="919" t="str">
        <f t="shared" ca="1" si="1"/>
        <v/>
      </c>
      <c r="I37" s="184"/>
      <c r="J37" s="690"/>
      <c r="K37" s="919" t="str">
        <f t="shared" ca="1" si="2"/>
        <v/>
      </c>
      <c r="M37" s="529"/>
      <c r="N37" s="534"/>
      <c r="O37" s="534"/>
      <c r="P37" s="535"/>
      <c r="V37" s="36"/>
      <c r="W37" s="36"/>
      <c r="X37" s="36"/>
      <c r="Y37" s="2643"/>
      <c r="Z37" s="2644"/>
      <c r="AA37" s="2644"/>
      <c r="AB37" s="2645"/>
      <c r="AC37" s="36"/>
      <c r="AD37" s="36"/>
      <c r="AE37" s="36"/>
      <c r="AF37" s="36"/>
    </row>
    <row r="38" spans="1:32" outlineLevel="1">
      <c r="B38" s="2632" t="s">
        <v>418</v>
      </c>
      <c r="C38" s="2633"/>
      <c r="D38" s="2633"/>
      <c r="E38" s="210"/>
      <c r="F38">
        <f t="shared" ca="1" si="0"/>
        <v>0</v>
      </c>
      <c r="G38" s="691"/>
      <c r="H38" s="923">
        <f t="shared" ca="1" si="1"/>
        <v>7.8750999999999998</v>
      </c>
      <c r="I38" s="184"/>
      <c r="J38" s="691"/>
      <c r="K38" s="923">
        <f t="shared" ca="1" si="2"/>
        <v>75</v>
      </c>
      <c r="M38" s="530"/>
      <c r="N38" s="536"/>
      <c r="O38" s="536"/>
      <c r="P38" s="537"/>
      <c r="V38" s="36"/>
      <c r="W38" s="36"/>
      <c r="X38" s="36"/>
      <c r="Y38" s="2657"/>
      <c r="Z38" s="2658"/>
      <c r="AA38" s="2658"/>
      <c r="AB38" s="2659"/>
      <c r="AC38" s="36"/>
      <c r="AD38" s="36"/>
      <c r="AE38" s="36"/>
      <c r="AF38" s="36"/>
    </row>
    <row r="39" spans="1:32">
      <c r="A39" s="212" t="s">
        <v>353</v>
      </c>
      <c r="V39" s="36"/>
      <c r="W39" s="36"/>
      <c r="X39" s="36"/>
      <c r="Y39" s="36"/>
      <c r="Z39" s="36"/>
      <c r="AA39" s="36"/>
      <c r="AB39" s="36"/>
      <c r="AC39" s="36"/>
      <c r="AD39" s="36"/>
      <c r="AE39" s="36"/>
      <c r="AF39" s="36"/>
    </row>
    <row r="40" spans="1:32">
      <c r="A40" s="10"/>
      <c r="B40" s="2053"/>
      <c r="C40" s="2053"/>
      <c r="V40" s="36"/>
      <c r="W40" s="36"/>
      <c r="X40" s="36"/>
      <c r="Y40" s="36"/>
      <c r="Z40" s="36"/>
      <c r="AA40" s="36"/>
      <c r="AB40" s="36"/>
      <c r="AC40" s="36"/>
      <c r="AD40" s="36"/>
      <c r="AE40" s="36"/>
      <c r="AF40" s="36"/>
    </row>
    <row r="41" spans="1:32" ht="37.5" customHeight="1">
      <c r="B41" s="2588" t="s">
        <v>5631</v>
      </c>
      <c r="C41" s="2588"/>
      <c r="D41" s="2588"/>
      <c r="E41" s="2588"/>
      <c r="F41" s="148"/>
      <c r="J41" s="2616"/>
      <c r="K41" s="2616"/>
      <c r="L41" s="2616"/>
      <c r="M41" s="2616"/>
      <c r="V41" s="36"/>
      <c r="W41" s="36"/>
      <c r="X41" s="36"/>
      <c r="Y41" s="2690"/>
      <c r="Z41" s="2690"/>
      <c r="AA41" s="2690"/>
      <c r="AB41" s="2690"/>
      <c r="AC41" s="36"/>
      <c r="AD41" s="36"/>
      <c r="AE41" s="36"/>
      <c r="AF41" s="36"/>
    </row>
    <row r="42" spans="1:32" ht="29.15" outlineLevel="1">
      <c r="A42" s="10"/>
      <c r="B42" s="2617" t="s">
        <v>34</v>
      </c>
      <c r="C42" s="2618"/>
      <c r="D42" s="1636" t="s">
        <v>35</v>
      </c>
      <c r="E42" s="1637"/>
      <c r="F42" s="616"/>
      <c r="G42" s="253" t="s">
        <v>17</v>
      </c>
      <c r="H42" s="2056" t="s">
        <v>2510</v>
      </c>
      <c r="J42" s="2619" t="s">
        <v>420</v>
      </c>
      <c r="K42" s="2620"/>
      <c r="L42" s="2620"/>
      <c r="M42" s="2621"/>
      <c r="V42" s="36"/>
      <c r="W42" s="36"/>
      <c r="X42" s="36"/>
      <c r="Y42" s="2687"/>
      <c r="Z42" s="2687"/>
      <c r="AA42" s="2687"/>
      <c r="AB42" s="2687"/>
      <c r="AC42" s="36"/>
      <c r="AD42" s="36"/>
      <c r="AE42" s="36"/>
      <c r="AF42" s="36"/>
    </row>
    <row r="43" spans="1:32" outlineLevel="1">
      <c r="A43" s="10"/>
      <c r="B43" s="2624" t="s">
        <v>136</v>
      </c>
      <c r="C43" s="2625"/>
      <c r="D43" s="2055" t="s">
        <v>164</v>
      </c>
      <c r="E43" s="205">
        <f t="shared" ref="E43:E78" ca="1" si="3">IF(OR($K$136=B43,$N$136=B43,$Q$136=B43,$T$136=B43,$W$136=B43,
$K$156=B43,$N$156=B43,$Q$156=B43,$T$156=B43,$W$156=B43,
$K$176=B43,$N$176=B43,$Q$176=B43,$T$176=B43,$W$176=B43,
$K$200=B43,$N$200=B43,$Q$200=B43,$T$200=B43,$W$200=B43,
$K$220=B43,$N$220=B43,$Q$220=B43,$T$220=B43,$W$220=B43,
$K$240=B43,$N$240=B43,$Q$240=B43,$T$240=B43,$W$240=B43,
$K$264=B43,$N$264=B43,$Q$264=B43,$T$264=B43,$W$264=B43,
$K$284=B43,$N$284=B43,$Q$284=B43,$T$284=B43,$W$284=B43,
$K$304=B43,$N$304=B43,$Q$304=B43,$T$304=B43,$W$304=B43),1,0)</f>
        <v>0</v>
      </c>
      <c r="F43" s="549" t="str">
        <f t="shared" ref="F43:F78" si="4">B43&amp;D43</f>
        <v>Public Transport 1Average cost ($) per trip (one-way)</v>
      </c>
      <c r="G43" s="538"/>
      <c r="H43" s="917">
        <f ca="1">IF(G43&lt;&gt;"",G43,IFERROR(IF(INDIRECT("'"&amp;$G$5&amp;"'!"&amp;ADDRESS(ROW(H43),COLUMN(H43)))="","",INDIRECT("'"&amp;$G$5&amp;"'!"&amp;ADDRESS(ROW(H43),COLUMN(H43)))*$H$6),IF($G$5&lt;&gt;"","Data Source Error","")))</f>
        <v>0</v>
      </c>
      <c r="J43" s="2626"/>
      <c r="K43" s="2627"/>
      <c r="L43" s="2627"/>
      <c r="M43" s="2628"/>
      <c r="V43" s="36"/>
      <c r="W43" s="36"/>
      <c r="X43" s="36"/>
      <c r="Y43" s="2687"/>
      <c r="Z43" s="2687"/>
      <c r="AA43" s="2687"/>
      <c r="AB43" s="2687"/>
      <c r="AC43" s="36"/>
      <c r="AD43" s="36"/>
      <c r="AE43" s="36"/>
      <c r="AF43" s="36"/>
    </row>
    <row r="44" spans="1:32" outlineLevel="1">
      <c r="A44" s="10"/>
      <c r="B44" s="2558" t="s">
        <v>136</v>
      </c>
      <c r="C44" s="2559"/>
      <c r="D44" s="2054" t="s">
        <v>135</v>
      </c>
      <c r="E44" s="205">
        <f t="shared" ca="1" si="3"/>
        <v>0</v>
      </c>
      <c r="F44" s="549" t="str">
        <f t="shared" si="4"/>
        <v>Public Transport 1Average duration (hrs) per trip</v>
      </c>
      <c r="G44" s="539"/>
      <c r="H44" s="918">
        <f ca="1">IF(G44&lt;&gt;"",G44,IFERROR(IF(INDIRECT("'"&amp;$G$5&amp;"'!"&amp;ADDRESS(ROW(H44),COLUMN(H44)))="","",INDIRECT("'"&amp;$G$5&amp;"'!"&amp;ADDRESS(ROW(H44),COLUMN(H44)))),IF($G$5&lt;&gt;"","Data Source Error","")))</f>
        <v>0</v>
      </c>
      <c r="J44" s="523"/>
      <c r="K44" s="545"/>
      <c r="L44" s="545"/>
      <c r="M44" s="546"/>
      <c r="V44" s="36"/>
      <c r="W44" s="36"/>
      <c r="X44" s="36"/>
      <c r="Y44" s="2687"/>
      <c r="Z44" s="2687"/>
      <c r="AA44" s="2687"/>
      <c r="AB44" s="2687"/>
      <c r="AC44" s="36"/>
      <c r="AD44" s="36"/>
      <c r="AE44" s="36"/>
      <c r="AF44" s="36"/>
    </row>
    <row r="45" spans="1:32" outlineLevel="1">
      <c r="A45" s="10"/>
      <c r="B45" s="2558" t="s">
        <v>136</v>
      </c>
      <c r="C45" s="2559"/>
      <c r="D45" s="2063" t="s">
        <v>2511</v>
      </c>
      <c r="E45" s="205">
        <f t="shared" ca="1" si="3"/>
        <v>0</v>
      </c>
      <c r="F45" s="549" t="str">
        <f t="shared" si="4"/>
        <v>Public Transport 1Maximum delivery capacity (m^3)</v>
      </c>
      <c r="G45" s="539"/>
      <c r="H45" s="918">
        <f ca="1">IF(G45&lt;&gt;"",G45,IFERROR(IF(INDIRECT("'"&amp;$G$5&amp;"'!"&amp;ADDRESS(ROW(H45),COLUMN(H45)))="","",INDIRECT("'"&amp;$G$5&amp;"'!"&amp;ADDRESS(ROW(H45),COLUMN(H45)))),IF($G$5&lt;&gt;"","Data Source Error","")))</f>
        <v>0</v>
      </c>
      <c r="J45" s="523"/>
      <c r="K45" s="545"/>
      <c r="L45" s="545"/>
      <c r="M45" s="546"/>
      <c r="Y45" s="2687"/>
      <c r="Z45" s="2687"/>
      <c r="AA45" s="2687"/>
      <c r="AB45" s="2687"/>
    </row>
    <row r="46" spans="1:32" outlineLevel="1">
      <c r="A46" s="10"/>
      <c r="B46" s="2624" t="s">
        <v>137</v>
      </c>
      <c r="C46" s="2625"/>
      <c r="D46" s="1822" t="s">
        <v>164</v>
      </c>
      <c r="E46" s="205">
        <f t="shared" ca="1" si="3"/>
        <v>0</v>
      </c>
      <c r="F46" s="549" t="str">
        <f t="shared" si="4"/>
        <v>Public Transport 2Average cost ($) per trip (one-way)</v>
      </c>
      <c r="G46" s="538"/>
      <c r="H46" s="917">
        <f ca="1">IF(G46&lt;&gt;"",G46,IFERROR(IF(INDIRECT("'"&amp;$G$5&amp;"'!"&amp;ADDRESS(ROW(H46),COLUMN(H46)))="","",INDIRECT("'"&amp;$G$5&amp;"'!"&amp;ADDRESS(ROW(H46),COLUMN(H46)))*$H$6),IF($G$5&lt;&gt;"","Data Source Error","")))</f>
        <v>0</v>
      </c>
      <c r="J46" s="523"/>
      <c r="K46" s="545"/>
      <c r="L46" s="545"/>
      <c r="M46" s="546"/>
      <c r="Y46" s="2687"/>
      <c r="Z46" s="2687"/>
      <c r="AA46" s="2687"/>
      <c r="AB46" s="2687"/>
    </row>
    <row r="47" spans="1:32" outlineLevel="1">
      <c r="A47" s="10"/>
      <c r="B47" s="2558" t="s">
        <v>137</v>
      </c>
      <c r="C47" s="2559"/>
      <c r="D47" s="2063" t="s">
        <v>135</v>
      </c>
      <c r="E47" s="205">
        <f t="shared" ca="1" si="3"/>
        <v>0</v>
      </c>
      <c r="F47" s="549" t="str">
        <f t="shared" si="4"/>
        <v>Public Transport 2Average duration (hrs) per trip</v>
      </c>
      <c r="G47" s="539"/>
      <c r="H47" s="918">
        <f ca="1">IF(G47&lt;&gt;"",G47,IFERROR(IF(INDIRECT("'"&amp;$G$5&amp;"'!"&amp;ADDRESS(ROW(H47),COLUMN(H47)))="","",INDIRECT("'"&amp;$G$5&amp;"'!"&amp;ADDRESS(ROW(H47),COLUMN(H47)))),IF($G$5&lt;&gt;"","Data Source Error","")))</f>
        <v>0</v>
      </c>
      <c r="J47" s="523"/>
      <c r="K47" s="545"/>
      <c r="L47" s="545"/>
      <c r="M47" s="546"/>
      <c r="Y47" s="2687"/>
      <c r="Z47" s="2687"/>
      <c r="AA47" s="2687"/>
      <c r="AB47" s="2687"/>
    </row>
    <row r="48" spans="1:32" outlineLevel="1">
      <c r="A48" s="10"/>
      <c r="B48" s="2558" t="s">
        <v>137</v>
      </c>
      <c r="C48" s="2559"/>
      <c r="D48" s="2063" t="s">
        <v>2511</v>
      </c>
      <c r="E48" s="205">
        <f t="shared" ca="1" si="3"/>
        <v>0</v>
      </c>
      <c r="F48" s="549" t="str">
        <f t="shared" si="4"/>
        <v>Public Transport 2Maximum delivery capacity (m^3)</v>
      </c>
      <c r="G48" s="539"/>
      <c r="H48" s="918">
        <f ca="1">IF(G48&lt;&gt;"",G48,IFERROR(IF(INDIRECT("'"&amp;$G$5&amp;"'!"&amp;ADDRESS(ROW(H48),COLUMN(H48)))="","",INDIRECT("'"&amp;$G$5&amp;"'!"&amp;ADDRESS(ROW(H48),COLUMN(H48)))),IF($G$5&lt;&gt;"","Data Source Error","")))</f>
        <v>0</v>
      </c>
      <c r="J48" s="523"/>
      <c r="K48" s="545"/>
      <c r="L48" s="545"/>
      <c r="M48" s="546"/>
      <c r="Y48" s="2687"/>
      <c r="Z48" s="2687"/>
      <c r="AA48" s="2687"/>
      <c r="AB48" s="2687"/>
    </row>
    <row r="49" spans="1:28" ht="18" customHeight="1" outlineLevel="1">
      <c r="A49" s="10"/>
      <c r="B49" s="2624" t="s">
        <v>36</v>
      </c>
      <c r="C49" s="2625"/>
      <c r="D49" s="208" t="s">
        <v>1545</v>
      </c>
      <c r="E49" s="205">
        <f t="shared" ca="1" si="3"/>
        <v>0</v>
      </c>
      <c r="F49" s="549" t="str">
        <f t="shared" si="4"/>
        <v>MotorcyclePurchase Price ($)</v>
      </c>
      <c r="G49" s="540"/>
      <c r="H49" s="917" t="str">
        <f ca="1">IF(G49&lt;&gt;"",G49,IFERROR(IF(INDIRECT("'"&amp;$G$5&amp;"'!"&amp;ADDRESS(ROW(H49),COLUMN(H49)))="","",INDIRECT("'"&amp;$G$5&amp;"'!"&amp;ADDRESS(ROW(H49),COLUMN(H49)))*$H$6),IF($G$5&lt;&gt;"","Data Source Error","")))</f>
        <v/>
      </c>
      <c r="J49" s="523"/>
      <c r="K49" s="545"/>
      <c r="L49" s="545"/>
      <c r="M49" s="546"/>
      <c r="Y49" s="2687"/>
      <c r="Z49" s="2687"/>
      <c r="AA49" s="2687"/>
      <c r="AB49" s="2687"/>
    </row>
    <row r="50" spans="1:28" outlineLevel="1">
      <c r="A50" s="10"/>
      <c r="B50" s="2558" t="s">
        <v>36</v>
      </c>
      <c r="C50" s="2559"/>
      <c r="D50" s="191" t="s">
        <v>2513</v>
      </c>
      <c r="E50" s="1064">
        <f t="shared" ca="1" si="3"/>
        <v>0</v>
      </c>
      <c r="F50" s="549" t="str">
        <f t="shared" si="4"/>
        <v>MotorcycleDepreciation Cost / yr ($)</v>
      </c>
      <c r="G50" s="541"/>
      <c r="H50" s="919" t="str">
        <f ca="1">IF(G50&lt;&gt;"",G50,IFERROR(IF(G49&lt;&gt;"",H49/$H$11,IF(INDIRECT("'"&amp;$G$5&amp;"'!"&amp;ADDRESS(ROW(H50),COLUMN(H50)))="",IF(H49="","",H49/$H$11),INDIRECT("'"&amp;$G$5&amp;"'!"&amp;ADDRESS(ROW(H50),COLUMN(H50))))*$H$6),IF(INDIRECT("'"&amp;$G$5&amp;"'!"&amp;ADDRESS(ROW(H50),COLUMN(H50)))="","",IF($G$5&lt;&gt;"","Data Source Error",""))))</f>
        <v/>
      </c>
      <c r="J50" s="523"/>
      <c r="K50" s="545"/>
      <c r="L50" s="545"/>
      <c r="M50" s="546"/>
      <c r="Y50" s="2687"/>
      <c r="Z50" s="2687"/>
      <c r="AA50" s="2687"/>
      <c r="AB50" s="2687"/>
    </row>
    <row r="51" spans="1:28" outlineLevel="1">
      <c r="A51" s="10"/>
      <c r="B51" s="2558" t="s">
        <v>36</v>
      </c>
      <c r="C51" s="2559"/>
      <c r="D51" s="191" t="s">
        <v>2514</v>
      </c>
      <c r="E51" s="205">
        <f t="shared" ca="1" si="3"/>
        <v>0</v>
      </c>
      <c r="F51" s="549" t="str">
        <f t="shared" si="4"/>
        <v>MotorcycleInsurance cost /yr ($)</v>
      </c>
      <c r="G51" s="542"/>
      <c r="H51" s="919" t="str">
        <f ca="1">IF(G51&lt;&gt;"",G51,IFERROR(IF(INDIRECT("'"&amp;$G$5&amp;"'!"&amp;ADDRESS(ROW(H51),COLUMN(H51)))="","",INDIRECT("'"&amp;$G$5&amp;"'!"&amp;ADDRESS(ROW(H51),COLUMN(H51)))*$H$6),IF($G$5&lt;&gt;"","Data Source Error","")))</f>
        <v/>
      </c>
      <c r="J51" s="523"/>
      <c r="K51" s="545"/>
      <c r="L51" s="545"/>
      <c r="M51" s="546"/>
      <c r="Y51" s="2687"/>
      <c r="Z51" s="2687"/>
      <c r="AA51" s="2687"/>
      <c r="AB51" s="2687"/>
    </row>
    <row r="52" spans="1:28" outlineLevel="1">
      <c r="A52" s="10"/>
      <c r="B52" s="2558" t="s">
        <v>36</v>
      </c>
      <c r="C52" s="2559"/>
      <c r="D52" s="191" t="s">
        <v>2515</v>
      </c>
      <c r="E52" s="205">
        <f t="shared" ca="1" si="3"/>
        <v>0</v>
      </c>
      <c r="F52" s="549" t="str">
        <f t="shared" si="4"/>
        <v>MotorcycleMaintenance cost/km ($)</v>
      </c>
      <c r="G52" s="542"/>
      <c r="H52" s="919" t="str">
        <f ca="1">IF(G52&lt;&gt;"",G52,IFERROR(IF(INDIRECT("'"&amp;$G$5&amp;"'!"&amp;ADDRESS(ROW(H52),COLUMN(H52)))="","",INDIRECT("'"&amp;$G$5&amp;"'!"&amp;ADDRESS(ROW(H52),COLUMN(H52)))*$H$6),IF($G$5&lt;&gt;"","Data Source Error","")))</f>
        <v/>
      </c>
      <c r="J52" s="523"/>
      <c r="K52" s="545"/>
      <c r="L52" s="545"/>
      <c r="M52" s="546"/>
      <c r="Y52" s="2687"/>
      <c r="Z52" s="2687"/>
      <c r="AA52" s="2687"/>
      <c r="AB52" s="2687"/>
    </row>
    <row r="53" spans="1:28" outlineLevel="1">
      <c r="A53" s="10"/>
      <c r="B53" s="2558" t="s">
        <v>36</v>
      </c>
      <c r="C53" s="2559"/>
      <c r="D53" s="191" t="s">
        <v>41</v>
      </c>
      <c r="E53" s="205">
        <f t="shared" ca="1" si="3"/>
        <v>0</v>
      </c>
      <c r="F53" s="549" t="str">
        <f t="shared" si="4"/>
        <v>MotorcycleFuel Efficiency (km/liter)</v>
      </c>
      <c r="G53" s="543"/>
      <c r="H53" s="918" t="str">
        <f ca="1">IF(G53&lt;&gt;"",G53,IFERROR(IF(INDIRECT("'"&amp;$G$5&amp;"'!"&amp;ADDRESS(ROW(H53),COLUMN(H53)))="","",INDIRECT("'"&amp;$G$5&amp;"'!"&amp;ADDRESS(ROW(H53),COLUMN(H53)))),IF($G$5&lt;&gt;"","Data Source Error","")))</f>
        <v/>
      </c>
      <c r="J53" s="523"/>
      <c r="K53" s="545"/>
      <c r="L53" s="545"/>
      <c r="M53" s="546"/>
      <c r="Y53" s="2687"/>
      <c r="Z53" s="2687"/>
      <c r="AA53" s="2687"/>
      <c r="AB53" s="2687"/>
    </row>
    <row r="54" spans="1:28" ht="15.45" outlineLevel="1">
      <c r="A54" s="10"/>
      <c r="B54" s="2585" t="s">
        <v>36</v>
      </c>
      <c r="C54" s="2586"/>
      <c r="D54" s="207" t="s">
        <v>43</v>
      </c>
      <c r="E54" s="205">
        <f t="shared" ca="1" si="3"/>
        <v>0</v>
      </c>
      <c r="F54" s="549" t="str">
        <f t="shared" si="4"/>
        <v>MotorcycleDelivery Capacity (m^3)</v>
      </c>
      <c r="G54" s="544"/>
      <c r="H54" s="920" t="str">
        <f ca="1">IF(G54&lt;&gt;"",G54,IFERROR(IF(INDIRECT("'"&amp;$G$5&amp;"'!"&amp;ADDRESS(ROW(H54),COLUMN(H54)))="","",INDIRECT("'"&amp;$G$5&amp;"'!"&amp;ADDRESS(ROW(H54),COLUMN(H54)))),IF($G$5&lt;&gt;"","Data Source Error","")))</f>
        <v/>
      </c>
      <c r="J54" s="523"/>
      <c r="K54" s="545"/>
      <c r="L54" s="545"/>
      <c r="M54" s="546"/>
      <c r="O54" s="218"/>
      <c r="Y54" s="2687"/>
      <c r="Z54" s="2687"/>
      <c r="AA54" s="2687"/>
      <c r="AB54" s="2687"/>
    </row>
    <row r="55" spans="1:28" outlineLevel="1">
      <c r="A55" s="10"/>
      <c r="B55" s="2624" t="s">
        <v>407</v>
      </c>
      <c r="C55" s="2625"/>
      <c r="D55" s="208" t="s">
        <v>1545</v>
      </c>
      <c r="E55" s="205">
        <f t="shared" ca="1" si="3"/>
        <v>1</v>
      </c>
      <c r="F55" s="549" t="str">
        <f t="shared" si="4"/>
        <v>Car/Sport Utility/Consumer VehiclePurchase Price ($)</v>
      </c>
      <c r="G55" s="540"/>
      <c r="H55" s="917">
        <f ca="1">IF(G55&lt;&gt;"",G55,IFERROR(IF(INDIRECT("'"&amp;$G$5&amp;"'!"&amp;ADDRESS(ROW(H55),COLUMN(H55)))="","",INDIRECT("'"&amp;$G$5&amp;"'!"&amp;ADDRESS(ROW(H55),COLUMN(H55)))*$H$6),IF($G$5&lt;&gt;"","Data Source Error","")))</f>
        <v>60939.499795095864</v>
      </c>
      <c r="J55" s="523"/>
      <c r="K55" s="545"/>
      <c r="L55" s="545"/>
      <c r="M55" s="546"/>
      <c r="Y55" s="2687"/>
      <c r="Z55" s="2687"/>
      <c r="AA55" s="2687"/>
      <c r="AB55" s="2687"/>
    </row>
    <row r="56" spans="1:28" outlineLevel="1">
      <c r="A56" s="10"/>
      <c r="B56" s="2558" t="s">
        <v>407</v>
      </c>
      <c r="C56" s="2559"/>
      <c r="D56" s="191" t="s">
        <v>2513</v>
      </c>
      <c r="E56" s="205">
        <f t="shared" ca="1" si="3"/>
        <v>1</v>
      </c>
      <c r="F56" s="549" t="str">
        <f t="shared" si="4"/>
        <v>Car/Sport Utility/Consumer VehicleDepreciation Cost / yr ($)</v>
      </c>
      <c r="G56" s="541"/>
      <c r="H56" s="919">
        <f ca="1">IF(G56&lt;&gt;"",G56,IFERROR(IF(G55&lt;&gt;"",H55/$H$11,IF(INDIRECT("'"&amp;$G$5&amp;"'!"&amp;ADDRESS(ROW(H56),COLUMN(H56)))="",IF(H55="","",H55/$H$11),INDIRECT("'"&amp;$G$5&amp;"'!"&amp;ADDRESS(ROW(H56),COLUMN(H56))))*$H$6),IF(INDIRECT("'"&amp;$G$5&amp;"'!"&amp;ADDRESS(ROW(H56),COLUMN(H56)))="","",IF($G$5&lt;&gt;"","Data Source Error",""))))</f>
        <v>12187.899959019172</v>
      </c>
      <c r="J56" s="523"/>
      <c r="K56" s="545"/>
      <c r="L56" s="545"/>
      <c r="M56" s="546"/>
      <c r="Y56" s="2687"/>
      <c r="Z56" s="2687"/>
      <c r="AA56" s="2687"/>
      <c r="AB56" s="2687"/>
    </row>
    <row r="57" spans="1:28" outlineLevel="1">
      <c r="A57" s="10"/>
      <c r="B57" s="2558" t="s">
        <v>407</v>
      </c>
      <c r="C57" s="2559"/>
      <c r="D57" s="191" t="s">
        <v>2514</v>
      </c>
      <c r="E57" s="205">
        <f t="shared" ca="1" si="3"/>
        <v>1</v>
      </c>
      <c r="F57" s="549" t="str">
        <f t="shared" si="4"/>
        <v>Car/Sport Utility/Consumer VehicleInsurance cost /yr ($)</v>
      </c>
      <c r="G57" s="542"/>
      <c r="H57" s="919">
        <f ca="1">IF(G57&lt;&gt;"",G57,IFERROR(IF(INDIRECT("'"&amp;$G$5&amp;"'!"&amp;ADDRESS(ROW(H57),COLUMN(H57)))="","",INDIRECT("'"&amp;$G$5&amp;"'!"&amp;ADDRESS(ROW(H57),COLUMN(H57)))*$H$6),IF($G$5&lt;&gt;"","Data Source Error","")))</f>
        <v>2323.9499999999998</v>
      </c>
      <c r="J57" s="523"/>
      <c r="K57" s="545"/>
      <c r="L57" s="545"/>
      <c r="M57" s="546"/>
      <c r="Y57" s="2687"/>
      <c r="Z57" s="2687"/>
      <c r="AA57" s="2687"/>
      <c r="AB57" s="2687"/>
    </row>
    <row r="58" spans="1:28" outlineLevel="1">
      <c r="A58" s="10"/>
      <c r="B58" s="2558" t="s">
        <v>407</v>
      </c>
      <c r="C58" s="2559"/>
      <c r="D58" s="191" t="s">
        <v>2515</v>
      </c>
      <c r="E58" s="205">
        <f t="shared" ca="1" si="3"/>
        <v>1</v>
      </c>
      <c r="F58" s="549" t="str">
        <f t="shared" si="4"/>
        <v>Car/Sport Utility/Consumer VehicleMaintenance cost/km ($)</v>
      </c>
      <c r="G58" s="542"/>
      <c r="H58" s="919">
        <f ca="1">IF(G58&lt;&gt;"",G58,IFERROR(IF(INDIRECT("'"&amp;$G$5&amp;"'!"&amp;ADDRESS(ROW(H58),COLUMN(H58)))="","",INDIRECT("'"&amp;$G$5&amp;"'!"&amp;ADDRESS(ROW(H58),COLUMN(H58)))*$H$6),IF($G$5&lt;&gt;"","Data Source Error","")))</f>
        <v>0.12</v>
      </c>
      <c r="J58" s="523"/>
      <c r="K58" s="545"/>
      <c r="L58" s="545"/>
      <c r="M58" s="546"/>
      <c r="Y58" s="2687"/>
      <c r="Z58" s="2687"/>
      <c r="AA58" s="2687"/>
      <c r="AB58" s="2687"/>
    </row>
    <row r="59" spans="1:28" outlineLevel="1">
      <c r="A59" s="10"/>
      <c r="B59" s="2558" t="s">
        <v>407</v>
      </c>
      <c r="C59" s="2559"/>
      <c r="D59" s="191" t="s">
        <v>41</v>
      </c>
      <c r="E59" s="205">
        <f t="shared" ca="1" si="3"/>
        <v>1</v>
      </c>
      <c r="F59" s="549" t="str">
        <f t="shared" si="4"/>
        <v>Car/Sport Utility/Consumer VehicleFuel Efficiency (km/liter)</v>
      </c>
      <c r="G59" s="543"/>
      <c r="H59" s="918">
        <f ca="1">IF(G59&lt;&gt;"",G59,IFERROR(IF(INDIRECT("'"&amp;$G$5&amp;"'!"&amp;ADDRESS(ROW(H59),COLUMN(H59)))="","",INDIRECT("'"&amp;$G$5&amp;"'!"&amp;ADDRESS(ROW(H59),COLUMN(H59)))),IF($G$5&lt;&gt;"","Data Source Error","")))</f>
        <v>6.9</v>
      </c>
      <c r="J59" s="523"/>
      <c r="K59" s="545"/>
      <c r="L59" s="545"/>
      <c r="M59" s="546"/>
      <c r="Y59" s="2687"/>
      <c r="Z59" s="2687"/>
      <c r="AA59" s="2687"/>
      <c r="AB59" s="2687"/>
    </row>
    <row r="60" spans="1:28" outlineLevel="1">
      <c r="A60" s="10"/>
      <c r="B60" s="2585" t="s">
        <v>407</v>
      </c>
      <c r="C60" s="2586"/>
      <c r="D60" s="207" t="s">
        <v>43</v>
      </c>
      <c r="E60" s="205">
        <f t="shared" ca="1" si="3"/>
        <v>1</v>
      </c>
      <c r="F60" s="549" t="str">
        <f t="shared" si="4"/>
        <v>Car/Sport Utility/Consumer VehicleDelivery Capacity (m^3)</v>
      </c>
      <c r="G60" s="544"/>
      <c r="H60" s="920">
        <f ca="1">IF(G60&lt;&gt;"",G60,IFERROR(IF(INDIRECT("'"&amp;$G$5&amp;"'!"&amp;ADDRESS(ROW(H60),COLUMN(H60)))="","",INDIRECT("'"&amp;$G$5&amp;"'!"&amp;ADDRESS(ROW(H60),COLUMN(H60)))),IF($G$5&lt;&gt;"","Data Source Error","")))</f>
        <v>2</v>
      </c>
      <c r="J60" s="523"/>
      <c r="K60" s="545"/>
      <c r="L60" s="545"/>
      <c r="M60" s="546"/>
      <c r="Y60" s="2687"/>
      <c r="Z60" s="2687"/>
      <c r="AA60" s="2687"/>
      <c r="AB60" s="2687"/>
    </row>
    <row r="61" spans="1:28" outlineLevel="1">
      <c r="A61" s="10"/>
      <c r="B61" s="2624" t="s">
        <v>279</v>
      </c>
      <c r="C61" s="2625"/>
      <c r="D61" s="208" t="s">
        <v>1545</v>
      </c>
      <c r="E61" s="205">
        <f t="shared" ca="1" si="3"/>
        <v>1</v>
      </c>
      <c r="F61" s="549" t="str">
        <f t="shared" si="4"/>
        <v>Commercial TruckPurchase Price ($)</v>
      </c>
      <c r="G61" s="540"/>
      <c r="H61" s="917">
        <f ca="1">IF(G61&lt;&gt;"",G61,IFERROR(IF(INDIRECT("'"&amp;$G$5&amp;"'!"&amp;ADDRESS(ROW(H61),COLUMN(H61)))="","",INDIRECT("'"&amp;$G$5&amp;"'!"&amp;ADDRESS(ROW(H61),COLUMN(H61)))*$H$6),IF($G$5&lt;&gt;"","Data Source Error","")))</f>
        <v>70448.990000000005</v>
      </c>
      <c r="J61" s="523"/>
      <c r="K61" s="545"/>
      <c r="L61" s="545"/>
      <c r="M61" s="546"/>
      <c r="Y61" s="2687"/>
      <c r="Z61" s="2687"/>
      <c r="AA61" s="2687"/>
      <c r="AB61" s="2687"/>
    </row>
    <row r="62" spans="1:28" outlineLevel="1">
      <c r="A62" s="10"/>
      <c r="B62" s="2558" t="s">
        <v>279</v>
      </c>
      <c r="C62" s="2559"/>
      <c r="D62" s="191" t="s">
        <v>2513</v>
      </c>
      <c r="E62" s="1064">
        <f t="shared" ca="1" si="3"/>
        <v>1</v>
      </c>
      <c r="F62" s="549" t="str">
        <f t="shared" si="4"/>
        <v>Commercial TruckDepreciation Cost / yr ($)</v>
      </c>
      <c r="G62" s="541"/>
      <c r="H62" s="919">
        <f ca="1">IF(G62&lt;&gt;"",G62,IFERROR(IF(G61&lt;&gt;"",H61/$H$11,IF(INDIRECT("'"&amp;$G$5&amp;"'!"&amp;ADDRESS(ROW(H62),COLUMN(H62)))="",IF(H61="","",H61/$H$11),INDIRECT("'"&amp;$G$5&amp;"'!"&amp;ADDRESS(ROW(H62),COLUMN(H62))))*$H$6),IF(INDIRECT("'"&amp;$G$5&amp;"'!"&amp;ADDRESS(ROW(H62),COLUMN(H62)))="","",IF($G$5&lt;&gt;"","Data Source Error",""))))</f>
        <v>14089.798000000001</v>
      </c>
      <c r="J62" s="523"/>
      <c r="K62" s="545"/>
      <c r="L62" s="545"/>
      <c r="M62" s="546"/>
      <c r="Y62" s="2687"/>
      <c r="Z62" s="2687"/>
      <c r="AA62" s="2687"/>
      <c r="AB62" s="2687"/>
    </row>
    <row r="63" spans="1:28" outlineLevel="1">
      <c r="A63" s="10"/>
      <c r="B63" s="2558" t="s">
        <v>279</v>
      </c>
      <c r="C63" s="2559"/>
      <c r="D63" s="191" t="s">
        <v>2514</v>
      </c>
      <c r="E63" s="205">
        <f t="shared" ca="1" si="3"/>
        <v>1</v>
      </c>
      <c r="F63" s="549" t="str">
        <f t="shared" si="4"/>
        <v>Commercial TruckInsurance cost /yr ($)</v>
      </c>
      <c r="G63" s="542"/>
      <c r="H63" s="919">
        <f ca="1">IF(G63&lt;&gt;"",G63,IFERROR(IF(INDIRECT("'"&amp;$G$5&amp;"'!"&amp;ADDRESS(ROW(H63),COLUMN(H63)))="","",INDIRECT("'"&amp;$G$5&amp;"'!"&amp;ADDRESS(ROW(H63),COLUMN(H63)))*$H$6),IF($G$5&lt;&gt;"","Data Source Error","")))</f>
        <v>2575.86</v>
      </c>
      <c r="J63" s="523"/>
      <c r="K63" s="545"/>
      <c r="L63" s="545"/>
      <c r="M63" s="546"/>
      <c r="Y63" s="2687"/>
      <c r="Z63" s="2687"/>
      <c r="AA63" s="2687"/>
      <c r="AB63" s="2687"/>
    </row>
    <row r="64" spans="1:28" outlineLevel="1">
      <c r="A64" s="10"/>
      <c r="B64" s="2558" t="s">
        <v>279</v>
      </c>
      <c r="C64" s="2559"/>
      <c r="D64" s="191" t="s">
        <v>2515</v>
      </c>
      <c r="E64" s="205">
        <f t="shared" ca="1" si="3"/>
        <v>1</v>
      </c>
      <c r="F64" s="549" t="str">
        <f t="shared" si="4"/>
        <v>Commercial TruckMaintenance cost/km ($)</v>
      </c>
      <c r="G64" s="542"/>
      <c r="H64" s="919">
        <f ca="1">IF(G64&lt;&gt;"",G64,IFERROR(IF(INDIRECT("'"&amp;$G$5&amp;"'!"&amp;ADDRESS(ROW(H64),COLUMN(H64)))="","",INDIRECT("'"&amp;$G$5&amp;"'!"&amp;ADDRESS(ROW(H64),COLUMN(H64)))*$H$6),IF($G$5&lt;&gt;"","Data Source Error","")))</f>
        <v>0.38</v>
      </c>
      <c r="J64" s="523"/>
      <c r="K64" s="545"/>
      <c r="L64" s="545"/>
      <c r="M64" s="546"/>
      <c r="Y64" s="2687"/>
      <c r="Z64" s="2687"/>
      <c r="AA64" s="2687"/>
      <c r="AB64" s="2687"/>
    </row>
    <row r="65" spans="1:28" outlineLevel="1">
      <c r="A65" s="10"/>
      <c r="B65" s="2558" t="s">
        <v>279</v>
      </c>
      <c r="C65" s="2559"/>
      <c r="D65" s="191" t="s">
        <v>41</v>
      </c>
      <c r="E65" s="205">
        <f t="shared" ca="1" si="3"/>
        <v>1</v>
      </c>
      <c r="F65" s="549" t="str">
        <f t="shared" si="4"/>
        <v>Commercial TruckFuel Efficiency (km/liter)</v>
      </c>
      <c r="G65" s="543"/>
      <c r="H65" s="918">
        <f ca="1">IF(G65&lt;&gt;"",G65,IFERROR(IF(INDIRECT("'"&amp;$G$5&amp;"'!"&amp;ADDRESS(ROW(H65),COLUMN(H65)))="","",INDIRECT("'"&amp;$G$5&amp;"'!"&amp;ADDRESS(ROW(H65),COLUMN(H65)))),IF($G$5&lt;&gt;"","Data Source Error","")))</f>
        <v>3.86</v>
      </c>
      <c r="J65" s="523"/>
      <c r="K65" s="545"/>
      <c r="L65" s="545"/>
      <c r="M65" s="546"/>
      <c r="Y65" s="2687"/>
      <c r="Z65" s="2687"/>
      <c r="AA65" s="2687"/>
      <c r="AB65" s="2687"/>
    </row>
    <row r="66" spans="1:28" outlineLevel="1">
      <c r="A66" s="10"/>
      <c r="B66" s="2585" t="s">
        <v>279</v>
      </c>
      <c r="C66" s="2586"/>
      <c r="D66" s="207" t="s">
        <v>43</v>
      </c>
      <c r="E66" s="205">
        <f t="shared" ca="1" si="3"/>
        <v>1</v>
      </c>
      <c r="F66" s="549" t="str">
        <f t="shared" si="4"/>
        <v>Commercial TruckDelivery Capacity (m^3)</v>
      </c>
      <c r="G66" s="544">
        <v>12.5</v>
      </c>
      <c r="H66" s="920">
        <f ca="1">IF(G66&lt;&gt;"",G66,IFERROR(IF(INDIRECT("'"&amp;$G$5&amp;"'!"&amp;ADDRESS(ROW(H66),COLUMN(H66)))="","",INDIRECT("'"&amp;$G$5&amp;"'!"&amp;ADDRESS(ROW(H66),COLUMN(H66)))),IF($G$5&lt;&gt;"","Data Source Error","")))</f>
        <v>12.5</v>
      </c>
      <c r="J66" s="523"/>
      <c r="K66" s="545"/>
      <c r="L66" s="545"/>
      <c r="M66" s="546"/>
      <c r="Y66" s="2687"/>
      <c r="Z66" s="2687"/>
      <c r="AA66" s="2687"/>
      <c r="AB66" s="2687"/>
    </row>
    <row r="67" spans="1:28" outlineLevel="1">
      <c r="A67" s="10"/>
      <c r="B67" s="2624" t="s">
        <v>410</v>
      </c>
      <c r="C67" s="2625"/>
      <c r="D67" s="208" t="s">
        <v>1545</v>
      </c>
      <c r="E67" s="205">
        <f t="shared" ca="1" si="3"/>
        <v>0</v>
      </c>
      <c r="F67" s="549" t="str">
        <f t="shared" si="4"/>
        <v>Refrigerated VehiclePurchase Price ($)</v>
      </c>
      <c r="G67" s="540"/>
      <c r="H67" s="917" t="str">
        <f ca="1">IF(G67&lt;&gt;"",G67,IFERROR(IF(INDIRECT("'"&amp;$G$5&amp;"'!"&amp;ADDRESS(ROW(H67),COLUMN(H67)))="","",INDIRECT("'"&amp;$G$5&amp;"'!"&amp;ADDRESS(ROW(H67),COLUMN(H67)))*$H$6),IF($G$5&lt;&gt;"","Data Source Error","")))</f>
        <v/>
      </c>
      <c r="J67" s="523"/>
      <c r="K67" s="545"/>
      <c r="L67" s="545"/>
      <c r="M67" s="546"/>
      <c r="Y67" s="2687"/>
      <c r="Z67" s="2687"/>
      <c r="AA67" s="2687"/>
      <c r="AB67" s="2687"/>
    </row>
    <row r="68" spans="1:28" outlineLevel="1">
      <c r="A68" s="10"/>
      <c r="B68" s="2558" t="s">
        <v>410</v>
      </c>
      <c r="C68" s="2559"/>
      <c r="D68" s="191" t="s">
        <v>2513</v>
      </c>
      <c r="E68" s="1064">
        <f t="shared" ca="1" si="3"/>
        <v>0</v>
      </c>
      <c r="F68" s="549" t="str">
        <f t="shared" si="4"/>
        <v>Refrigerated VehicleDepreciation Cost / yr ($)</v>
      </c>
      <c r="G68" s="541"/>
      <c r="H68" s="919" t="str">
        <f ca="1">IF(G68&lt;&gt;"",G68,IFERROR(IF(G67&lt;&gt;"",H67/$H$11,IF(INDIRECT("'"&amp;$G$5&amp;"'!"&amp;ADDRESS(ROW(H68),COLUMN(H68)))="",IF(H67="","",H67/$H$11),INDIRECT("'"&amp;$G$5&amp;"'!"&amp;ADDRESS(ROW(H68),COLUMN(H68))))*$H$6),IF(INDIRECT("'"&amp;$G$5&amp;"'!"&amp;ADDRESS(ROW(H68),COLUMN(H68)))="","",IF($G$5&lt;&gt;"","Data Source Error",""))))</f>
        <v/>
      </c>
      <c r="J68" s="1797"/>
      <c r="K68" s="545"/>
      <c r="L68" s="545"/>
      <c r="M68" s="546"/>
      <c r="Y68" s="2687"/>
      <c r="Z68" s="2687"/>
      <c r="AA68" s="2687"/>
      <c r="AB68" s="2687"/>
    </row>
    <row r="69" spans="1:28" outlineLevel="1">
      <c r="A69" s="10"/>
      <c r="B69" s="2558" t="s">
        <v>410</v>
      </c>
      <c r="C69" s="2559"/>
      <c r="D69" s="191" t="s">
        <v>2514</v>
      </c>
      <c r="E69" s="205">
        <f t="shared" ca="1" si="3"/>
        <v>0</v>
      </c>
      <c r="F69" s="549" t="str">
        <f t="shared" si="4"/>
        <v>Refrigerated VehicleInsurance cost /yr ($)</v>
      </c>
      <c r="G69" s="542"/>
      <c r="H69" s="919" t="str">
        <f ca="1">IF(G69&lt;&gt;"",G69,IFERROR(IF(INDIRECT("'"&amp;$G$5&amp;"'!"&amp;ADDRESS(ROW(H69),COLUMN(H69)))="","",INDIRECT("'"&amp;$G$5&amp;"'!"&amp;ADDRESS(ROW(H69),COLUMN(H69)))*$H$6),IF($G$5&lt;&gt;"","Data Source Error","")))</f>
        <v/>
      </c>
      <c r="J69" s="523"/>
      <c r="K69" s="545"/>
      <c r="L69" s="545"/>
      <c r="M69" s="546"/>
      <c r="Y69" s="2687"/>
      <c r="Z69" s="2687"/>
      <c r="AA69" s="2687"/>
      <c r="AB69" s="2687"/>
    </row>
    <row r="70" spans="1:28" outlineLevel="1">
      <c r="A70" s="10"/>
      <c r="B70" s="2558" t="s">
        <v>410</v>
      </c>
      <c r="C70" s="2559"/>
      <c r="D70" s="191" t="s">
        <v>2515</v>
      </c>
      <c r="E70" s="205">
        <f t="shared" ca="1" si="3"/>
        <v>0</v>
      </c>
      <c r="F70" s="549" t="str">
        <f t="shared" si="4"/>
        <v>Refrigerated VehicleMaintenance cost/km ($)</v>
      </c>
      <c r="G70" s="542"/>
      <c r="H70" s="919" t="str">
        <f ca="1">IF(G70&lt;&gt;"",G70,IFERROR(IF(INDIRECT("'"&amp;$G$5&amp;"'!"&amp;ADDRESS(ROW(H70),COLUMN(H70)))="","",INDIRECT("'"&amp;$G$5&amp;"'!"&amp;ADDRESS(ROW(H70),COLUMN(H70)))*$H$6),IF($G$5&lt;&gt;"","Data Source Error","")))</f>
        <v/>
      </c>
      <c r="J70" s="523"/>
      <c r="K70" s="545"/>
      <c r="L70" s="545"/>
      <c r="M70" s="546"/>
      <c r="Y70" s="2687"/>
      <c r="Z70" s="2687"/>
      <c r="AA70" s="2687"/>
      <c r="AB70" s="2687"/>
    </row>
    <row r="71" spans="1:28" outlineLevel="1">
      <c r="A71" s="10"/>
      <c r="B71" s="2558" t="s">
        <v>410</v>
      </c>
      <c r="C71" s="2559"/>
      <c r="D71" s="191" t="s">
        <v>41</v>
      </c>
      <c r="E71" s="205">
        <f t="shared" ca="1" si="3"/>
        <v>0</v>
      </c>
      <c r="F71" s="549" t="str">
        <f t="shared" si="4"/>
        <v>Refrigerated VehicleFuel Efficiency (km/liter)</v>
      </c>
      <c r="G71" s="543"/>
      <c r="H71" s="918" t="str">
        <f ca="1">IF(G71&lt;&gt;"",G71,IFERROR(IF(INDIRECT("'"&amp;$G$5&amp;"'!"&amp;ADDRESS(ROW(H71),COLUMN(H71)))="","",INDIRECT("'"&amp;$G$5&amp;"'!"&amp;ADDRESS(ROW(H71),COLUMN(H71)))),IF($G$5&lt;&gt;"","Data Source Error","")))</f>
        <v/>
      </c>
      <c r="J71" s="523"/>
      <c r="K71" s="545"/>
      <c r="L71" s="545"/>
      <c r="M71" s="546"/>
      <c r="Y71" s="2687"/>
      <c r="Z71" s="2687"/>
      <c r="AA71" s="2687"/>
      <c r="AB71" s="2687"/>
    </row>
    <row r="72" spans="1:28" outlineLevel="1">
      <c r="A72" s="10"/>
      <c r="B72" s="2585" t="s">
        <v>410</v>
      </c>
      <c r="C72" s="2586"/>
      <c r="D72" s="207" t="s">
        <v>43</v>
      </c>
      <c r="E72" s="205">
        <f t="shared" ca="1" si="3"/>
        <v>0</v>
      </c>
      <c r="F72" s="549" t="str">
        <f t="shared" si="4"/>
        <v>Refrigerated VehicleDelivery Capacity (m^3)</v>
      </c>
      <c r="G72" s="544"/>
      <c r="H72" s="920" t="str">
        <f ca="1">IF(G72&lt;&gt;"",G72,IFERROR(IF(INDIRECT("'"&amp;$G$5&amp;"'!"&amp;ADDRESS(ROW(H72),COLUMN(H72)))="","",INDIRECT("'"&amp;$G$5&amp;"'!"&amp;ADDRESS(ROW(H72),COLUMN(H72)))),IF($G$5&lt;&gt;"","Data Source Error","")))</f>
        <v/>
      </c>
      <c r="J72" s="523"/>
      <c r="K72" s="545"/>
      <c r="L72" s="545"/>
      <c r="M72" s="546"/>
      <c r="Y72" s="2687"/>
      <c r="Z72" s="2687"/>
      <c r="AA72" s="2687"/>
      <c r="AB72" s="2687"/>
    </row>
    <row r="73" spans="1:28" outlineLevel="1">
      <c r="A73" s="10"/>
      <c r="B73" s="2624" t="s">
        <v>406</v>
      </c>
      <c r="C73" s="2625"/>
      <c r="D73" s="208" t="s">
        <v>1545</v>
      </c>
      <c r="E73" s="205">
        <f t="shared" ca="1" si="3"/>
        <v>0</v>
      </c>
      <c r="F73" s="549" t="str">
        <f t="shared" si="4"/>
        <v>Other Vehicle TypePurchase Price ($)</v>
      </c>
      <c r="G73" s="540"/>
      <c r="H73" s="917" t="str">
        <f ca="1">IF(G73&lt;&gt;"",G73,IFERROR(IF(INDIRECT("'"&amp;$G$5&amp;"'!"&amp;ADDRESS(ROW(H73),COLUMN(H73)))="","",INDIRECT("'"&amp;$G$5&amp;"'!"&amp;ADDRESS(ROW(H73),COLUMN(H73)))*$H$6),IF($G$5&lt;&gt;"","Data Source Error","")))</f>
        <v/>
      </c>
      <c r="J73" s="523"/>
      <c r="K73" s="545"/>
      <c r="L73" s="545"/>
      <c r="M73" s="546"/>
      <c r="Y73" s="2687"/>
      <c r="Z73" s="2687"/>
      <c r="AA73" s="2687"/>
      <c r="AB73" s="2687"/>
    </row>
    <row r="74" spans="1:28" outlineLevel="1">
      <c r="A74" s="10"/>
      <c r="B74" s="2558" t="s">
        <v>406</v>
      </c>
      <c r="C74" s="2559"/>
      <c r="D74" s="191" t="s">
        <v>2513</v>
      </c>
      <c r="E74" s="1064">
        <f t="shared" ca="1" si="3"/>
        <v>0</v>
      </c>
      <c r="F74" s="549" t="str">
        <f t="shared" si="4"/>
        <v>Other Vehicle TypeDepreciation Cost / yr ($)</v>
      </c>
      <c r="G74" s="541"/>
      <c r="H74" s="919" t="str">
        <f ca="1">IF(G74&lt;&gt;"",G74,IFERROR(IF(G73&lt;&gt;"",H73/$H$11,IF(INDIRECT("'"&amp;$G$5&amp;"'!"&amp;ADDRESS(ROW(H74),COLUMN(H74)))="",IF(H73="","",H73/$H$11),INDIRECT("'"&amp;$G$5&amp;"'!"&amp;ADDRESS(ROW(H74),COLUMN(H74))))*$H$6),IF(INDIRECT("'"&amp;$G$5&amp;"'!"&amp;ADDRESS(ROW(H74),COLUMN(H74)))="","",IF($G$5&lt;&gt;"","Data Source Error",""))))</f>
        <v/>
      </c>
      <c r="J74" s="523"/>
      <c r="K74" s="545"/>
      <c r="L74" s="545"/>
      <c r="M74" s="546"/>
      <c r="Y74" s="2687"/>
      <c r="Z74" s="2687"/>
      <c r="AA74" s="2687"/>
      <c r="AB74" s="2687"/>
    </row>
    <row r="75" spans="1:28" outlineLevel="1">
      <c r="A75" s="10"/>
      <c r="B75" s="2558" t="s">
        <v>406</v>
      </c>
      <c r="C75" s="2559"/>
      <c r="D75" s="191" t="s">
        <v>2514</v>
      </c>
      <c r="E75" s="205">
        <f t="shared" ca="1" si="3"/>
        <v>0</v>
      </c>
      <c r="F75" s="549" t="str">
        <f t="shared" si="4"/>
        <v>Other Vehicle TypeInsurance cost /yr ($)</v>
      </c>
      <c r="G75" s="542"/>
      <c r="H75" s="919" t="str">
        <f ca="1">IF(G75&lt;&gt;"",G75,IFERROR(IF(INDIRECT("'"&amp;$G$5&amp;"'!"&amp;ADDRESS(ROW(H75),COLUMN(H75)))="","",INDIRECT("'"&amp;$G$5&amp;"'!"&amp;ADDRESS(ROW(H75),COLUMN(H75)))*$H$6),IF($G$5&lt;&gt;"","Data Source Error","")))</f>
        <v/>
      </c>
      <c r="J75" s="523"/>
      <c r="K75" s="545"/>
      <c r="L75" s="545"/>
      <c r="M75" s="546"/>
      <c r="Y75" s="2687"/>
      <c r="Z75" s="2687"/>
      <c r="AA75" s="2687"/>
      <c r="AB75" s="2687"/>
    </row>
    <row r="76" spans="1:28" outlineLevel="1">
      <c r="A76" s="10"/>
      <c r="B76" s="2558" t="s">
        <v>406</v>
      </c>
      <c r="C76" s="2559"/>
      <c r="D76" s="191" t="s">
        <v>2515</v>
      </c>
      <c r="E76" s="205">
        <f t="shared" ca="1" si="3"/>
        <v>0</v>
      </c>
      <c r="F76" s="549" t="str">
        <f t="shared" si="4"/>
        <v>Other Vehicle TypeMaintenance cost/km ($)</v>
      </c>
      <c r="G76" s="542"/>
      <c r="H76" s="919" t="str">
        <f ca="1">IF(G76&lt;&gt;"",G76,IFERROR(IF(INDIRECT("'"&amp;$G$5&amp;"'!"&amp;ADDRESS(ROW(H76),COLUMN(H76)))="","",INDIRECT("'"&amp;$G$5&amp;"'!"&amp;ADDRESS(ROW(H76),COLUMN(H76)))*$H$6),IF($G$5&lt;&gt;"","Data Source Error","")))</f>
        <v/>
      </c>
      <c r="J76" s="523"/>
      <c r="K76" s="545"/>
      <c r="L76" s="545"/>
      <c r="M76" s="546"/>
      <c r="Y76" s="2687"/>
      <c r="Z76" s="2687"/>
      <c r="AA76" s="2687"/>
      <c r="AB76" s="2687"/>
    </row>
    <row r="77" spans="1:28" outlineLevel="1">
      <c r="A77" s="10"/>
      <c r="B77" s="2558" t="s">
        <v>406</v>
      </c>
      <c r="C77" s="2559"/>
      <c r="D77" s="191" t="s">
        <v>41</v>
      </c>
      <c r="E77" s="205">
        <f t="shared" ca="1" si="3"/>
        <v>0</v>
      </c>
      <c r="F77" s="549" t="str">
        <f t="shared" si="4"/>
        <v>Other Vehicle TypeFuel Efficiency (km/liter)</v>
      </c>
      <c r="G77" s="543"/>
      <c r="H77" s="918" t="str">
        <f ca="1">IF(G77&lt;&gt;"",G77,IFERROR(IF(INDIRECT("'"&amp;$G$5&amp;"'!"&amp;ADDRESS(ROW(H77),COLUMN(H77)))="","",INDIRECT("'"&amp;$G$5&amp;"'!"&amp;ADDRESS(ROW(H77),COLUMN(H77)))),IF($G$5&lt;&gt;"","Data Source Error","")))</f>
        <v/>
      </c>
      <c r="J77" s="523"/>
      <c r="K77" s="545"/>
      <c r="L77" s="545"/>
      <c r="M77" s="546"/>
      <c r="Y77" s="2687"/>
      <c r="Z77" s="2687"/>
      <c r="AA77" s="2687"/>
      <c r="AB77" s="2687"/>
    </row>
    <row r="78" spans="1:28" outlineLevel="1">
      <c r="A78" s="10"/>
      <c r="B78" s="2585" t="s">
        <v>406</v>
      </c>
      <c r="C78" s="2586"/>
      <c r="D78" s="207" t="s">
        <v>43</v>
      </c>
      <c r="E78" s="205">
        <f t="shared" ca="1" si="3"/>
        <v>0</v>
      </c>
      <c r="F78" s="549" t="str">
        <f t="shared" si="4"/>
        <v>Other Vehicle TypeDelivery Capacity (m^3)</v>
      </c>
      <c r="G78" s="544"/>
      <c r="H78" s="920" t="str">
        <f ca="1">IF(G78&lt;&gt;"",G78,IFERROR(IF(INDIRECT("'"&amp;$G$5&amp;"'!"&amp;ADDRESS(ROW(H78),COLUMN(H78)))="","",INDIRECT("'"&amp;$G$5&amp;"'!"&amp;ADDRESS(ROW(H78),COLUMN(H78)))),IF($G$5&lt;&gt;"","Data Source Error","")))</f>
        <v/>
      </c>
      <c r="J78" s="2057"/>
      <c r="K78" s="2058"/>
      <c r="L78" s="2058"/>
      <c r="M78" s="2059"/>
      <c r="Y78" s="2687"/>
      <c r="Z78" s="2687"/>
      <c r="AA78" s="2687"/>
      <c r="AB78" s="2687"/>
    </row>
    <row r="79" spans="1:28">
      <c r="A79" s="212" t="s">
        <v>647</v>
      </c>
      <c r="C79" s="2053"/>
    </row>
    <row r="80" spans="1:28">
      <c r="A80" s="10"/>
      <c r="B80" s="2053"/>
      <c r="C80" s="2053"/>
      <c r="H80" s="34"/>
    </row>
    <row r="81" spans="1:30" ht="29.25" customHeight="1">
      <c r="A81" s="10"/>
      <c r="B81" s="2318" t="s">
        <v>607</v>
      </c>
      <c r="C81" s="2318"/>
      <c r="D81" s="2318"/>
      <c r="E81" s="496"/>
      <c r="G81" s="212" t="s">
        <v>674</v>
      </c>
      <c r="H81" s="34"/>
    </row>
    <row r="82" spans="1:30" ht="25.5" customHeight="1">
      <c r="B82" s="2068" t="s">
        <v>613</v>
      </c>
      <c r="C82" s="592"/>
      <c r="D82" s="592"/>
      <c r="E82" s="592"/>
      <c r="F82" s="592"/>
      <c r="G82" s="593"/>
      <c r="H82" s="592"/>
      <c r="I82" s="592"/>
      <c r="J82" s="593"/>
      <c r="K82" s="592"/>
      <c r="L82" s="592"/>
      <c r="M82" s="593"/>
      <c r="N82" s="592"/>
      <c r="O82" s="592"/>
      <c r="P82" s="593"/>
      <c r="Q82" s="592"/>
      <c r="R82" s="594"/>
      <c r="S82" s="593"/>
      <c r="T82" s="592"/>
      <c r="U82" s="594"/>
      <c r="V82" s="593"/>
      <c r="W82" s="592"/>
    </row>
    <row r="83" spans="1:30" ht="35.25" customHeight="1" outlineLevel="1">
      <c r="A83" s="148"/>
      <c r="B83" s="109"/>
      <c r="C83" s="109"/>
      <c r="D83" s="109"/>
      <c r="E83" s="499"/>
      <c r="F83" s="21"/>
      <c r="G83" s="2634" t="s">
        <v>31</v>
      </c>
      <c r="H83" s="2635"/>
      <c r="I83" s="983"/>
      <c r="J83" s="2634" t="s">
        <v>6</v>
      </c>
      <c r="K83" s="2635"/>
      <c r="L83" s="983"/>
      <c r="M83" s="2634" t="s">
        <v>7</v>
      </c>
      <c r="N83" s="2635"/>
      <c r="O83" s="983"/>
      <c r="P83" s="2634" t="s">
        <v>8</v>
      </c>
      <c r="Q83" s="2635"/>
      <c r="R83" s="983"/>
      <c r="S83" s="2634" t="s">
        <v>411</v>
      </c>
      <c r="T83" s="2635"/>
      <c r="U83" s="983"/>
      <c r="V83" s="2634" t="s">
        <v>412</v>
      </c>
      <c r="W83" s="2636"/>
    </row>
    <row r="84" spans="1:30" ht="15" customHeight="1" outlineLevel="1">
      <c r="A84" s="148"/>
      <c r="B84" s="499"/>
      <c r="C84" s="499"/>
      <c r="D84" s="499"/>
      <c r="E84" s="499"/>
      <c r="F84" s="21"/>
      <c r="G84" s="2637" t="s">
        <v>17</v>
      </c>
      <c r="H84" s="2639" t="s">
        <v>10</v>
      </c>
      <c r="J84" s="2637" t="s">
        <v>17</v>
      </c>
      <c r="K84" s="2639" t="s">
        <v>10</v>
      </c>
      <c r="M84" s="2637" t="s">
        <v>17</v>
      </c>
      <c r="N84" s="2639" t="s">
        <v>10</v>
      </c>
      <c r="P84" s="2637" t="s">
        <v>17</v>
      </c>
      <c r="Q84" s="2639" t="s">
        <v>10</v>
      </c>
      <c r="S84" s="2637" t="s">
        <v>17</v>
      </c>
      <c r="T84" s="2639" t="s">
        <v>10</v>
      </c>
      <c r="V84" s="2637" t="s">
        <v>17</v>
      </c>
      <c r="W84" s="2641" t="s">
        <v>10</v>
      </c>
    </row>
    <row r="85" spans="1:30" ht="15" customHeight="1" outlineLevel="1">
      <c r="A85" s="148"/>
      <c r="B85" s="2651"/>
      <c r="C85" s="2651"/>
      <c r="D85" s="2651"/>
      <c r="E85" s="2061"/>
      <c r="F85" s="19"/>
      <c r="G85" s="2638"/>
      <c r="H85" s="2640"/>
      <c r="I85" s="236"/>
      <c r="J85" s="2638"/>
      <c r="K85" s="2640"/>
      <c r="L85" s="236"/>
      <c r="M85" s="2638"/>
      <c r="N85" s="2640"/>
      <c r="O85" s="236"/>
      <c r="P85" s="2638"/>
      <c r="Q85" s="2640"/>
      <c r="R85" s="236"/>
      <c r="S85" s="2638"/>
      <c r="T85" s="2640"/>
      <c r="U85" s="236"/>
      <c r="V85" s="2638"/>
      <c r="W85" s="2642"/>
      <c r="Y85" s="2619" t="s">
        <v>673</v>
      </c>
      <c r="Z85" s="2620"/>
      <c r="AA85" s="2620"/>
      <c r="AB85" s="2621"/>
    </row>
    <row r="86" spans="1:30" ht="36.75" customHeight="1" outlineLevel="1">
      <c r="B86" s="2650" t="s">
        <v>5472</v>
      </c>
      <c r="C86" s="2650"/>
      <c r="D86" s="2650"/>
      <c r="E86" s="182"/>
      <c r="F86" s="183"/>
      <c r="G86" s="561" t="s">
        <v>5547</v>
      </c>
      <c r="H86" s="914"/>
      <c r="I86" s="182"/>
      <c r="J86" s="628" t="s">
        <v>5547</v>
      </c>
      <c r="K86" s="914"/>
      <c r="L86" s="182"/>
      <c r="M86" s="628" t="s">
        <v>5547</v>
      </c>
      <c r="N86" s="914"/>
      <c r="O86" s="182"/>
      <c r="P86" s="552"/>
      <c r="Q86" s="891"/>
      <c r="R86" s="52"/>
      <c r="S86" s="810"/>
      <c r="T86" s="891"/>
      <c r="U86" s="52"/>
      <c r="V86" s="552"/>
      <c r="W86" s="894"/>
      <c r="Y86" s="2643"/>
      <c r="Z86" s="2644"/>
      <c r="AA86" s="2644"/>
      <c r="AB86" s="2645"/>
      <c r="AD86" s="52"/>
    </row>
    <row r="87" spans="1:30" ht="20.25" customHeight="1" outlineLevel="1">
      <c r="B87" s="2652" t="s">
        <v>5473</v>
      </c>
      <c r="C87" s="2652"/>
      <c r="D87" s="2652"/>
      <c r="E87" s="191"/>
      <c r="F87" s="187"/>
      <c r="G87" s="552" t="s">
        <v>31</v>
      </c>
      <c r="H87" s="915"/>
      <c r="I87" s="187"/>
      <c r="J87" s="551" t="s">
        <v>6</v>
      </c>
      <c r="K87" s="915"/>
      <c r="L87" s="187"/>
      <c r="M87" s="551" t="s">
        <v>7</v>
      </c>
      <c r="N87" s="915"/>
      <c r="O87" s="187"/>
      <c r="P87" s="552"/>
      <c r="Q87" s="892"/>
      <c r="R87" s="183"/>
      <c r="S87" s="552"/>
      <c r="T87" s="892"/>
      <c r="U87" s="183"/>
      <c r="V87" s="552"/>
      <c r="W87" s="895"/>
      <c r="Y87" s="2643"/>
      <c r="Z87" s="2644"/>
      <c r="AA87" s="2644"/>
      <c r="AB87" s="2645"/>
      <c r="AD87" s="52"/>
    </row>
    <row r="88" spans="1:30" s="52" customFormat="1" ht="17.899999999999999" customHeight="1" outlineLevel="1">
      <c r="B88" s="2646" t="s">
        <v>640</v>
      </c>
      <c r="C88" s="2646"/>
      <c r="D88" s="2646"/>
      <c r="E88" s="812"/>
      <c r="F88" s="207"/>
      <c r="G88" s="769"/>
      <c r="H88" s="893" t="str">
        <f ca="1">IF(G88&lt;&gt;"",G88,IFERROR(IF(INDIRECT("'"&amp;G$86&amp;"'!"&amp;VLOOKUP(G$87,'List Values'!$C$3:$D$6,2,FALSE)&amp;ROW(G88))="","",INDIRECT("'"&amp;G$86&amp;"'!"&amp;VLOOKUP(G$87,'List Values'!$C$3:$D$6,2,FALSE)&amp;ROW(G88))),IF($G$86&lt;&gt;"","Data Source Error","")))</f>
        <v>CMS</v>
      </c>
      <c r="I88" s="207"/>
      <c r="J88" s="769"/>
      <c r="K88" s="893" t="str">
        <f ca="1">IF($H$7&lt;2,"",IF(J88&lt;&gt;"",J88,IFERROR(IF(INDIRECT("'"&amp;J$86&amp;"'!"&amp;VLOOKUP(J$87,'List Values'!$C$3:$D$6,2,FALSE)&amp;ROW(J88))="","",INDIRECT("'"&amp;J$86&amp;"'!"&amp;VLOOKUP(J$87,'List Values'!$C$3:$D$6,2,FALSE)&amp;ROW(J88))),IF($J$86&lt;&gt;"","Data Source Error",""))))</f>
        <v>Regional WH</v>
      </c>
      <c r="L88" s="207"/>
      <c r="M88" s="769"/>
      <c r="N88" s="893" t="str">
        <f ca="1">IF($H$7&lt;3,"",IF(M88&lt;&gt;"",M88,IFERROR(IF(INDIRECT("'"&amp;M$86&amp;"'!"&amp;VLOOKUP(M$87,'List Values'!$C$3:$D$6,2,FALSE)&amp;ROW(M88))="","",INDIRECT("'"&amp;M$86&amp;"'!"&amp;VLOOKUP(M$87,'List Values'!$C$3:$D$6,2,FALSE)&amp;ROW(M88))),IF($M$86&lt;&gt;"","Data Source Error",""))))</f>
        <v>Health Facility</v>
      </c>
      <c r="O88" s="207"/>
      <c r="P88" s="813"/>
      <c r="Q88" s="893" t="str">
        <f ca="1">IF($H$7&lt;4,"",IF(P88&lt;&gt;"",P88,IFERROR(IF(INDIRECT("'"&amp;P$86&amp;"'!"&amp;VLOOKUP(P$87,'List Values'!$C$3:$D$6,2,FALSE)&amp;ROW(P88))="","",INDIRECT("'"&amp;P$86&amp;"'!"&amp;VLOOKUP(P$87,'List Values'!$C$3:$D$6,2,FALSE)&amp;ROW(P88))),IF($P$86&lt;&gt;"","Data Source Error",""))))</f>
        <v/>
      </c>
      <c r="R88" s="207"/>
      <c r="S88" s="813"/>
      <c r="T88" s="893" t="str">
        <f ca="1">IF($H$7&lt;5,"",IF(S88&lt;&gt;"",S88,IFERROR(IF(INDIRECT("'"&amp;S$86&amp;"'!"&amp;VLOOKUP(S$87,'List Values'!$C$3:$D$6,2,FALSE)&amp;ROW(S88))="","",INDIRECT("'"&amp;S$86&amp;"'!"&amp;VLOOKUP(S$87,'List Values'!$C$3:$D$6,2,FALSE)&amp;ROW(S88))),IF($S$86&lt;&gt;"","Data Source Error",""))))</f>
        <v/>
      </c>
      <c r="U88" s="207"/>
      <c r="V88" s="813"/>
      <c r="W88" s="896" t="str">
        <f ca="1">IF($H$7&lt;6,"",IF(V88&lt;&gt;"",V88,IFERROR(IF(INDIRECT("'"&amp;V$86&amp;"'!"&amp;VLOOKUP(V$87,'List Values'!$C$3:$D$6,2,FALSE)&amp;ROW(V88))="","",INDIRECT("'"&amp;V$86&amp;"'!"&amp;VLOOKUP(V$87,'List Values'!$C$3:$D$6,2,FALSE)&amp;ROW(V88))),IF($V$86&lt;&gt;"","Data Source Error",""))))</f>
        <v/>
      </c>
      <c r="Y88" s="2647"/>
      <c r="Z88" s="2648"/>
      <c r="AA88" s="2648"/>
      <c r="AB88" s="2649"/>
    </row>
    <row r="89" spans="1:30" ht="34.5" customHeight="1">
      <c r="A89" s="630" t="s">
        <v>652</v>
      </c>
      <c r="C89" s="52"/>
      <c r="D89" s="52"/>
      <c r="E89" s="52"/>
      <c r="G89" s="2067"/>
      <c r="H89" s="504"/>
      <c r="J89" s="2067"/>
      <c r="K89" s="504"/>
      <c r="M89" s="2067"/>
      <c r="N89" s="504"/>
      <c r="P89" s="2067"/>
      <c r="Q89" s="504"/>
      <c r="S89" s="2067"/>
      <c r="T89" s="504"/>
      <c r="V89" s="2067"/>
      <c r="W89" s="504"/>
    </row>
    <row r="90" spans="1:30" ht="27.75" customHeight="1">
      <c r="B90" s="2068" t="s">
        <v>608</v>
      </c>
      <c r="C90" s="595"/>
      <c r="D90" s="595"/>
      <c r="E90" s="595"/>
      <c r="F90" s="596"/>
      <c r="G90" s="597"/>
      <c r="H90" s="594"/>
      <c r="I90" s="598"/>
      <c r="J90" s="597"/>
      <c r="K90" s="594"/>
      <c r="L90" s="598"/>
      <c r="M90" s="597"/>
      <c r="N90" s="594"/>
      <c r="O90" s="598"/>
      <c r="P90" s="597"/>
      <c r="Q90" s="594"/>
      <c r="R90" s="599"/>
      <c r="S90" s="594"/>
      <c r="T90" s="594"/>
      <c r="U90" s="599"/>
      <c r="V90" s="594"/>
      <c r="W90" s="594"/>
    </row>
    <row r="91" spans="1:30" ht="19.5" customHeight="1" outlineLevel="1">
      <c r="B91" s="505"/>
      <c r="C91" s="50"/>
      <c r="D91" s="50"/>
      <c r="E91" s="50"/>
      <c r="F91" s="36"/>
      <c r="G91" s="2654" t="str">
        <f ca="1">IF(H88="",G83,H88)&amp;" Tier"</f>
        <v>CMS Tier</v>
      </c>
      <c r="H91" s="2655"/>
      <c r="I91" s="508"/>
      <c r="J91" s="2654" t="str">
        <f ca="1">IF(K88="",J83,K88)&amp;" Tier"</f>
        <v>Regional WH Tier</v>
      </c>
      <c r="K91" s="2655"/>
      <c r="L91" s="508"/>
      <c r="M91" s="2654" t="str">
        <f ca="1">IF(N88="",M83,N88)&amp;" Tier"</f>
        <v>Health Facility Tier</v>
      </c>
      <c r="N91" s="2655"/>
      <c r="O91" s="507"/>
      <c r="P91" s="2654" t="str">
        <f ca="1">IF(Q88="",P83,Q88)&amp;" Tier"</f>
        <v>Tier 4 Tier</v>
      </c>
      <c r="Q91" s="2655"/>
      <c r="R91" s="507"/>
      <c r="S91" s="2654" t="str">
        <f ca="1">IF(T88="",S83,T88)&amp;" Tier"</f>
        <v>Tier 5 Tier</v>
      </c>
      <c r="T91" s="2655"/>
      <c r="U91" s="507"/>
      <c r="V91" s="2654" t="str">
        <f ca="1">IF(W88="",V83,W88)&amp;" Tier"</f>
        <v>Tier 6 Tier</v>
      </c>
      <c r="W91" s="2655"/>
      <c r="Y91" s="2619" t="s">
        <v>673</v>
      </c>
      <c r="Z91" s="2620"/>
      <c r="AA91" s="2620"/>
      <c r="AB91" s="2621"/>
    </row>
    <row r="92" spans="1:30" ht="14.25" customHeight="1" outlineLevel="1">
      <c r="B92" s="2653" t="s">
        <v>2371</v>
      </c>
      <c r="C92" s="2653"/>
      <c r="D92" s="2653"/>
      <c r="E92" s="186"/>
      <c r="F92" s="187"/>
      <c r="G92" s="553"/>
      <c r="H92" s="897">
        <f ca="1">IF(G92&lt;&gt;"",G92,IFERROR(IF(INDIRECT("'"&amp;G$86&amp;"'!"&amp;VLOOKUP(G$87,'List Values'!$C$3:$D$6,2,FALSE)&amp;ROW(G92))="","",INDIRECT("'"&amp;G$86&amp;"'!"&amp;VLOOKUP(G$87,'List Values'!$C$3:$D$6,2,FALSE)&amp;ROW(G92))),IF($G$86&lt;&gt;"","Data Source Error","")))</f>
        <v>390757</v>
      </c>
      <c r="I92" s="183"/>
      <c r="J92" s="553"/>
      <c r="K92" s="897">
        <f ca="1">IF($H$7&lt;2,"",IF(J92&lt;&gt;"",J92,IFERROR(IF(INDIRECT("'"&amp;J$86&amp;"'!"&amp;VLOOKUP(J$87,'List Values'!$C$3:$D$6,2,FALSE)&amp;ROW(J92))="","",INDIRECT("'"&amp;J$86&amp;"'!"&amp;VLOOKUP(J$87,'List Values'!$C$3:$D$6,2,FALSE)&amp;ROW(J92))),IF($J$86&lt;&gt;"","Data Source Error",""))))</f>
        <v>36459</v>
      </c>
      <c r="L92" s="183"/>
      <c r="M92" s="553"/>
      <c r="N92" s="897">
        <f ca="1">IF($H$7&lt;3,"",IF(M92&lt;&gt;"",M92,IFERROR(IF(INDIRECT("'"&amp;M$86&amp;"'!"&amp;VLOOKUP(M$87,'List Values'!$C$3:$D$6,2,FALSE)&amp;ROW(M92))="","",INDIRECT("'"&amp;M$86&amp;"'!"&amp;VLOOKUP(M$87,'List Values'!$C$3:$D$6,2,FALSE)&amp;ROW(M92))),IF($M$86&lt;&gt;"","Data Source Error",""))))</f>
        <v>36459</v>
      </c>
      <c r="O92" s="183"/>
      <c r="P92" s="587"/>
      <c r="Q92" s="907" t="str">
        <f ca="1">IF($H$7&lt;4,"",IF(P92&lt;&gt;"",P92,IFERROR(IF(INDIRECT("'"&amp;P$86&amp;"'!"&amp;VLOOKUP(P$87,'List Values'!$C$3:$D$6,2,FALSE)&amp;ROW(P92))="","",INDIRECT("'"&amp;P$86&amp;"'!"&amp;VLOOKUP(P$87,'List Values'!$C$3:$D$6,2,FALSE)&amp;ROW(P92))),IF($P$86&lt;&gt;"","Data Source Error",""))))</f>
        <v/>
      </c>
      <c r="R92" s="509"/>
      <c r="S92" s="558"/>
      <c r="T92" s="897" t="str">
        <f ca="1">IF($H$7&lt;5,"",IF(S92&lt;&gt;"",S92,IFERROR(IF(INDIRECT("'"&amp;S$86&amp;"'!"&amp;VLOOKUP(S$87,'List Values'!$C$3:$D$6,2,FALSE)&amp;ROW(S92))="","",INDIRECT("'"&amp;S$86&amp;"'!"&amp;VLOOKUP(S$87,'List Values'!$C$3:$D$6,2,FALSE)&amp;ROW(S92))),IF($S$86&lt;&gt;"","Data Source Error",""))))</f>
        <v/>
      </c>
      <c r="V92" s="558"/>
      <c r="W92" s="908" t="str">
        <f ca="1">IF($H$7&lt;6,"",IF(V92&lt;&gt;"",V92,IFERROR(IF(INDIRECT("'"&amp;V$86&amp;"'!"&amp;VLOOKUP(V$87,'List Values'!$C$3:$D$6,2,FALSE)&amp;ROW(V92))="","",INDIRECT("'"&amp;V$86&amp;"'!"&amp;VLOOKUP(V$87,'List Values'!$C$3:$D$6,2,FALSE)&amp;ROW(V92))),IF($V$86&lt;&gt;"","Data Source Error",""))))</f>
        <v/>
      </c>
      <c r="Y92" s="2643"/>
      <c r="Z92" s="2644"/>
      <c r="AA92" s="2644"/>
      <c r="AB92" s="2645"/>
      <c r="AD92" s="52"/>
    </row>
    <row r="93" spans="1:30" s="6" customFormat="1" ht="14.25" customHeight="1" outlineLevel="1">
      <c r="B93" s="2653" t="s">
        <v>5446</v>
      </c>
      <c r="C93" s="2653"/>
      <c r="D93" s="2653"/>
      <c r="E93" s="188"/>
      <c r="F93" s="189"/>
      <c r="G93" s="554"/>
      <c r="H93" s="898">
        <f ca="1">IF(G93&lt;&gt;"",G93,IFERROR(IF(INDIRECT("'"&amp;G$86&amp;"'!"&amp;VLOOKUP(G$87,'List Values'!$C$3:$D$6,2,FALSE)&amp;ROW(G93))="","",INDIRECT("'"&amp;G$86&amp;"'!"&amp;VLOOKUP(G$87,'List Values'!$C$3:$D$6,2,FALSE)&amp;ROW(G93))),IF($G$86&lt;&gt;"","Data Source Error","")))</f>
        <v>1</v>
      </c>
      <c r="I93" s="189"/>
      <c r="J93" s="554"/>
      <c r="K93" s="898">
        <f ca="1">IF($H$7&lt;2,"",IF(J93&lt;&gt;"",J93,IFERROR(IF(INDIRECT("'"&amp;J$86&amp;"'!"&amp;VLOOKUP(J$87,'List Values'!$C$3:$D$6,2,FALSE)&amp;ROW(J93))="","",INDIRECT("'"&amp;J$86&amp;"'!"&amp;VLOOKUP(J$87,'List Values'!$C$3:$D$6,2,FALSE)&amp;ROW(J93))),IF($J$86&lt;&gt;"","Data Source Error",""))))</f>
        <v>1</v>
      </c>
      <c r="L93" s="189"/>
      <c r="M93" s="554"/>
      <c r="N93" s="898">
        <f ca="1">IF($H$7&lt;3,"",IF(M93&lt;&gt;"",M93,IFERROR(IF(INDIRECT("'"&amp;M$86&amp;"'!"&amp;VLOOKUP(M$87,'List Values'!$C$3:$D$6,2,FALSE)&amp;ROW(M93))="","",INDIRECT("'"&amp;M$86&amp;"'!"&amp;VLOOKUP(M$87,'List Values'!$C$3:$D$6,2,FALSE)&amp;ROW(M93))),IF($M$86&lt;&gt;"","Data Source Error",""))))</f>
        <v>1</v>
      </c>
      <c r="O93" s="189"/>
      <c r="P93" s="559"/>
      <c r="Q93" s="898" t="str">
        <f ca="1">IF($H$7&lt;4,"",IF(P93&lt;&gt;"",P93,IFERROR(IF(INDIRECT("'"&amp;P$86&amp;"'!"&amp;VLOOKUP(P$87,'List Values'!$C$3:$D$6,2,FALSE)&amp;ROW(P93))="","",INDIRECT("'"&amp;P$86&amp;"'!"&amp;VLOOKUP(P$87,'List Values'!$C$3:$D$6,2,FALSE)&amp;ROW(P93))),IF($P$86&lt;&gt;"","Data Source Error",""))))</f>
        <v/>
      </c>
      <c r="S93" s="559"/>
      <c r="T93" s="898" t="str">
        <f ca="1">IF($H$7&lt;5,"",IF(S93&lt;&gt;"",S93,IFERROR(IF(INDIRECT("'"&amp;S$86&amp;"'!"&amp;VLOOKUP(S$87,'List Values'!$C$3:$D$6,2,FALSE)&amp;ROW(S93))="","",INDIRECT("'"&amp;S$86&amp;"'!"&amp;VLOOKUP(S$87,'List Values'!$C$3:$D$6,2,FALSE)&amp;ROW(S93))),IF($S$86&lt;&gt;"","Data Source Error",""))))</f>
        <v/>
      </c>
      <c r="V93" s="559"/>
      <c r="W93" s="909" t="str">
        <f ca="1">IF($H$7&lt;6,"",IF(V93&lt;&gt;"",V93,IFERROR(IF(INDIRECT("'"&amp;V$86&amp;"'!"&amp;VLOOKUP(V$87,'List Values'!$C$3:$D$6,2,FALSE)&amp;ROW(V93))="","",INDIRECT("'"&amp;V$86&amp;"'!"&amp;VLOOKUP(V$87,'List Values'!$C$3:$D$6,2,FALSE)&amp;ROW(V93))),IF($V$86&lt;&gt;"","Data Source Error",""))))</f>
        <v/>
      </c>
      <c r="Y93" s="2643"/>
      <c r="Z93" s="2644"/>
      <c r="AA93" s="2644"/>
      <c r="AB93" s="2645"/>
      <c r="AD93" s="52"/>
    </row>
    <row r="94" spans="1:30" s="6" customFormat="1" ht="14.25" customHeight="1" outlineLevel="1">
      <c r="B94" s="2653" t="s">
        <v>5447</v>
      </c>
      <c r="C94" s="2653"/>
      <c r="D94" s="2653"/>
      <c r="E94" s="188"/>
      <c r="F94" s="189"/>
      <c r="G94" s="493"/>
      <c r="H94" s="899"/>
      <c r="I94" s="190"/>
      <c r="J94" s="551"/>
      <c r="K94" s="903">
        <f ca="1">IF($H$7&lt;2,"",IF(J94&lt;&gt;"",J94,IFERROR(IF(INDIRECT("'"&amp;J$86&amp;"'!"&amp;VLOOKUP(J$87,'List Values'!$C$3:$D$6,2,FALSE)&amp;ROW(J94))="","",INDIRECT("'"&amp;J$86&amp;"'!"&amp;VLOOKUP(J$87,'List Values'!$C$3:$D$6,2,FALSE)&amp;ROW(J94))),IF($J$86&lt;&gt;"","Data Source Error",""))))</f>
        <v>0.05</v>
      </c>
      <c r="L94" s="190"/>
      <c r="M94" s="551"/>
      <c r="N94" s="905">
        <f ca="1">IF($H$7&lt;3,"",IF(M94&lt;&gt;"",M94,IFERROR(IF(INDIRECT("'"&amp;M$86&amp;"'!"&amp;VLOOKUP(M$87,'List Values'!$C$3:$D$6,2,FALSE)&amp;ROW(M94))="","",INDIRECT("'"&amp;M$86&amp;"'!"&amp;VLOOKUP(M$87,'List Values'!$C$3:$D$6,2,FALSE)&amp;ROW(M94))),IF($M$86&lt;&gt;"","Data Source Error",""))))</f>
        <v>0.05</v>
      </c>
      <c r="O94" s="189"/>
      <c r="P94" s="559"/>
      <c r="Q94" s="903" t="str">
        <f ca="1">IF($H$7&lt;4,"",IF(P94&lt;&gt;"",P94,IFERROR(IF(INDIRECT("'"&amp;P$86&amp;"'!"&amp;VLOOKUP(P$87,'List Values'!$C$3:$D$6,2,FALSE)&amp;ROW(P94))="","",INDIRECT("'"&amp;P$86&amp;"'!"&amp;VLOOKUP(P$87,'List Values'!$C$3:$D$6,2,FALSE)&amp;ROW(P94))),IF($P$86&lt;&gt;"","Data Source Error",""))))</f>
        <v/>
      </c>
      <c r="S94" s="559"/>
      <c r="T94" s="903" t="str">
        <f ca="1">IF($H$7&lt;5,"",IF(S94&lt;&gt;"",S94,IFERROR(IF(INDIRECT("'"&amp;S$86&amp;"'!"&amp;VLOOKUP(S$87,'List Values'!$C$3:$D$6,2,FALSE)&amp;ROW(S94))="","",INDIRECT("'"&amp;S$86&amp;"'!"&amp;VLOOKUP(S$87,'List Values'!$C$3:$D$6,2,FALSE)&amp;ROW(S94))),IF($S$86&lt;&gt;"","Data Source Error",""))))</f>
        <v/>
      </c>
      <c r="V94" s="559"/>
      <c r="W94" s="910" t="str">
        <f ca="1">IF($H$7&lt;6,"",IF(V94&lt;&gt;"",V94,IFERROR(IF(INDIRECT("'"&amp;V$86&amp;"'!"&amp;VLOOKUP(V$87,'List Values'!$C$3:$D$6,2,FALSE)&amp;ROW(V94))="","",INDIRECT("'"&amp;V$86&amp;"'!"&amp;VLOOKUP(V$87,'List Values'!$C$3:$D$6,2,FALSE)&amp;ROW(V94))),IF($V$86&lt;&gt;"","Data Source Error",""))))</f>
        <v/>
      </c>
      <c r="Y94" s="2643"/>
      <c r="Z94" s="2644"/>
      <c r="AA94" s="2644"/>
      <c r="AB94" s="2645"/>
      <c r="AD94" s="52"/>
    </row>
    <row r="95" spans="1:30" ht="15" customHeight="1" outlineLevel="1">
      <c r="B95" s="2653" t="s">
        <v>642</v>
      </c>
      <c r="C95" s="2653"/>
      <c r="D95" s="2653"/>
      <c r="E95" s="186"/>
      <c r="F95" s="187"/>
      <c r="G95" s="523"/>
      <c r="H95" s="900">
        <f ca="1">IF(G95&lt;&gt;"",G95,IFERROR(IF(INDIRECT("'"&amp;G$86&amp;"'!"&amp;VLOOKUP(G$87,'List Values'!$C$3:$D$6,2,FALSE)&amp;ROW(G95))="","",INDIRECT("'"&amp;G$86&amp;"'!"&amp;VLOOKUP(G$87,'List Values'!$C$3:$D$6,2,FALSE)&amp;ROW(G95))),IF($G$86&lt;&gt;"","Data Source Error","")))</f>
        <v>1</v>
      </c>
      <c r="I95" s="187"/>
      <c r="J95" s="523"/>
      <c r="K95" s="900">
        <f ca="1">IF($H$7&lt;2,"",IF(J95&lt;&gt;"",J95,IFERROR(IF(INDIRECT("'"&amp;J$86&amp;"'!"&amp;VLOOKUP(J$87,'List Values'!$C$3:$D$6,2,FALSE)&amp;ROW(J95))="","",INDIRECT("'"&amp;J$86&amp;"'!"&amp;VLOOKUP(J$87,'List Values'!$C$3:$D$6,2,FALSE)&amp;ROW(J95))),IF($J$86&lt;&gt;"","Data Source Error",""))))</f>
        <v>1</v>
      </c>
      <c r="L95" s="187"/>
      <c r="M95" s="523"/>
      <c r="N95" s="900">
        <f ca="1">IF($H$7&lt;3,"",IF(M95&lt;&gt;"",M95,IFERROR(IF(INDIRECT("'"&amp;M$86&amp;"'!"&amp;VLOOKUP(M$87,'List Values'!$C$3:$D$6,2,FALSE)&amp;ROW(M95))="","",INDIRECT("'"&amp;M$86&amp;"'!"&amp;VLOOKUP(M$87,'List Values'!$C$3:$D$6,2,FALSE)&amp;ROW(M95))),IF($M$86&lt;&gt;"","Data Source Error",""))))</f>
        <v>345</v>
      </c>
      <c r="O95" s="187"/>
      <c r="P95" s="560"/>
      <c r="Q95" s="900" t="str">
        <f ca="1">IF($H$7&lt;4,"",IF(P95&lt;&gt;"",P95,IFERROR(IF(INDIRECT("'"&amp;P$86&amp;"'!"&amp;VLOOKUP(P$87,'List Values'!$C$3:$D$6,2,FALSE)&amp;ROW(P95))="","",INDIRECT("'"&amp;P$86&amp;"'!"&amp;VLOOKUP(P$87,'List Values'!$C$3:$D$6,2,FALSE)&amp;ROW(P95))),IF($P$86&lt;&gt;"","Data Source Error",""))))</f>
        <v/>
      </c>
      <c r="R95" s="509" t="str">
        <f>IF(OR(G92&gt;0, J92&gt;0,M92&gt;0),"&lt;-- Land Area Changed - Check # of facilities","")</f>
        <v/>
      </c>
      <c r="S95" s="560"/>
      <c r="T95" s="900" t="str">
        <f ca="1">IF($H$7&lt;5,"",IF(S95&lt;&gt;"",S95,IFERROR(IF(INDIRECT("'"&amp;S$86&amp;"'!"&amp;VLOOKUP(S$87,'List Values'!$C$3:$D$6,2,FALSE)&amp;ROW(S95))="","",INDIRECT("'"&amp;S$86&amp;"'!"&amp;VLOOKUP(S$87,'List Values'!$C$3:$D$6,2,FALSE)&amp;ROW(S95))),IF($S$86&lt;&gt;"","Data Source Error",""))))</f>
        <v/>
      </c>
      <c r="V95" s="560"/>
      <c r="W95" s="911" t="str">
        <f ca="1">IF($H$7&lt;6,"",IF(V95&lt;&gt;"",V95,IFERROR(IF(INDIRECT("'"&amp;V$86&amp;"'!"&amp;VLOOKUP(V$87,'List Values'!$C$3:$D$6,2,FALSE)&amp;ROW(V95))="","",INDIRECT("'"&amp;V$86&amp;"'!"&amp;VLOOKUP(V$87,'List Values'!$C$3:$D$6,2,FALSE)&amp;ROW(V95))),IF($V$86&lt;&gt;"","Data Source Error",""))))</f>
        <v/>
      </c>
      <c r="Y95" s="2643"/>
      <c r="Z95" s="2644"/>
      <c r="AA95" s="2644"/>
      <c r="AB95" s="2645"/>
      <c r="AD95" s="52"/>
    </row>
    <row r="96" spans="1:30" ht="15" customHeight="1" outlineLevel="1">
      <c r="B96" s="2653" t="s">
        <v>5448</v>
      </c>
      <c r="C96" s="2653"/>
      <c r="D96" s="2653"/>
      <c r="E96" s="186"/>
      <c r="F96" s="187"/>
      <c r="G96" s="523"/>
      <c r="H96" s="900">
        <f ca="1">IF(G96&lt;&gt;"",G96,IFERROR(IF(INDIRECT("'"&amp;G$86&amp;"'!"&amp;VLOOKUP(G$87,'List Values'!$C$3:$D$6,2,FALSE)&amp;ROW(G96))="","",INDIRECT("'"&amp;G$86&amp;"'!"&amp;VLOOKUP(G$87,'List Values'!$C$3:$D$6,2,FALSE)&amp;ROW(G96))),IF($G$86&lt;&gt;"","Data Source Error","")))</f>
        <v>4</v>
      </c>
      <c r="I96" s="187"/>
      <c r="J96" s="523"/>
      <c r="K96" s="900">
        <f ca="1">IF($H$7&lt;2,"",IF(J96&lt;&gt;"",J96,IFERROR(IF(INDIRECT("'"&amp;J$86&amp;"'!"&amp;VLOOKUP(J$87,'List Values'!$C$3:$D$6,2,FALSE)&amp;ROW(J96))="","",INDIRECT("'"&amp;J$86&amp;"'!"&amp;VLOOKUP(J$87,'List Values'!$C$3:$D$6,2,FALSE)&amp;ROW(J96))),IF($J$86&lt;&gt;"","Data Source Error",""))))</f>
        <v>4</v>
      </c>
      <c r="L96" s="187"/>
      <c r="M96" s="523"/>
      <c r="N96" s="900">
        <f ca="1">IF($H$7&lt;3,"",IF(M96&lt;&gt;"",M96,IFERROR(IF(INDIRECT("'"&amp;M$86&amp;"'!"&amp;VLOOKUP(M$87,'List Values'!$C$3:$D$6,2,FALSE)&amp;ROW(M96))="","",INDIRECT("'"&amp;M$86&amp;"'!"&amp;VLOOKUP(M$87,'List Values'!$C$3:$D$6,2,FALSE)&amp;ROW(M96))),IF($M$86&lt;&gt;"","Data Source Error",""))))</f>
        <v>4</v>
      </c>
      <c r="O96" s="187"/>
      <c r="P96" s="560"/>
      <c r="Q96" s="900" t="str">
        <f ca="1">IF($H$7&lt;4,"",IF(P96&lt;&gt;"",P96,IFERROR(IF(INDIRECT("'"&amp;P$86&amp;"'!"&amp;VLOOKUP(P$87,'List Values'!$C$3:$D$6,2,FALSE)&amp;ROW(P96))="","",INDIRECT("'"&amp;P$86&amp;"'!"&amp;VLOOKUP(P$87,'List Values'!$C$3:$D$6,2,FALSE)&amp;ROW(P96))),IF($P$86&lt;&gt;"","Data Source Error",""))))</f>
        <v/>
      </c>
      <c r="S96" s="560"/>
      <c r="T96" s="900" t="str">
        <f ca="1">IF($H$7&lt;5,"",IF(S96&lt;&gt;"",S96,IFERROR(IF(INDIRECT("'"&amp;S$86&amp;"'!"&amp;VLOOKUP(S$87,'List Values'!$C$3:$D$6,2,FALSE)&amp;ROW(S96))="","",INDIRECT("'"&amp;S$86&amp;"'!"&amp;VLOOKUP(S$87,'List Values'!$C$3:$D$6,2,FALSE)&amp;ROW(S96))),IF($S$86&lt;&gt;"","Data Source Error",""))))</f>
        <v/>
      </c>
      <c r="V96" s="560"/>
      <c r="W96" s="911" t="str">
        <f ca="1">IF($H$7&lt;6,"",IF(V96&lt;&gt;"",V96,IFERROR(IF(INDIRECT("'"&amp;V$86&amp;"'!"&amp;VLOOKUP(V$87,'List Values'!$C$3:$D$6,2,FALSE)&amp;ROW(V96))="","",INDIRECT("'"&amp;V$86&amp;"'!"&amp;VLOOKUP(V$87,'List Values'!$C$3:$D$6,2,FALSE)&amp;ROW(V96))),IF($V$86&lt;&gt;"","Data Source Error",""))))</f>
        <v/>
      </c>
      <c r="Y96" s="2643"/>
      <c r="Z96" s="2644"/>
      <c r="AA96" s="2644"/>
      <c r="AB96" s="2645"/>
      <c r="AD96" s="52"/>
    </row>
    <row r="97" spans="1:30" ht="15" customHeight="1" outlineLevel="1">
      <c r="B97" s="2653" t="s">
        <v>602</v>
      </c>
      <c r="C97" s="2653"/>
      <c r="D97" s="2653"/>
      <c r="E97" s="186"/>
      <c r="F97" s="187"/>
      <c r="G97" s="523"/>
      <c r="H97" s="900">
        <f ca="1">IF(G97&lt;&gt;"",G97,IFERROR(IF(INDIRECT("'"&amp;G$86&amp;"'!"&amp;VLOOKUP(G$87,'List Values'!$C$3:$D$6,2,FALSE)&amp;ROW(G97))="","",INDIRECT("'"&amp;G$86&amp;"'!"&amp;VLOOKUP(G$87,'List Values'!$C$3:$D$6,2,FALSE)&amp;ROW(G97))),IF($G$86&lt;&gt;"","Data Source Error","")))</f>
        <v>1.3</v>
      </c>
      <c r="I97" s="187"/>
      <c r="J97" s="523"/>
      <c r="K97" s="900">
        <f ca="1">IF($H$7&lt;2,"",IF(J97&lt;&gt;"",J97,IFERROR(IF(INDIRECT("'"&amp;J$86&amp;"'!"&amp;VLOOKUP(J$87,'List Values'!$C$3:$D$6,2,FALSE)&amp;ROW(J97))="","",INDIRECT("'"&amp;J$86&amp;"'!"&amp;VLOOKUP(J$87,'List Values'!$C$3:$D$6,2,FALSE)&amp;ROW(J97))),IF($J$86&lt;&gt;"","Data Source Error",""))))</f>
        <v>1.5</v>
      </c>
      <c r="L97" s="187"/>
      <c r="M97" s="523"/>
      <c r="N97" s="900">
        <f ca="1">IF($H$7&lt;3,"",IF(M97&lt;&gt;"",M97,IFERROR(IF(INDIRECT("'"&amp;M$86&amp;"'!"&amp;VLOOKUP(M$87,'List Values'!$C$3:$D$6,2,FALSE)&amp;ROW(M97))="","",INDIRECT("'"&amp;M$86&amp;"'!"&amp;VLOOKUP(M$87,'List Values'!$C$3:$D$6,2,FALSE)&amp;ROW(M97))),IF($M$86&lt;&gt;"","Data Source Error",""))))</f>
        <v>1.7</v>
      </c>
      <c r="O97" s="187"/>
      <c r="P97" s="560"/>
      <c r="Q97" s="900" t="str">
        <f ca="1">IF($H$7&lt;4,"",IF(P97&lt;&gt;"",P97,IFERROR(IF(INDIRECT("'"&amp;P$86&amp;"'!"&amp;VLOOKUP(P$87,'List Values'!$C$3:$D$6,2,FALSE)&amp;ROW(P97))="","",INDIRECT("'"&amp;P$86&amp;"'!"&amp;VLOOKUP(P$87,'List Values'!$C$3:$D$6,2,FALSE)&amp;ROW(P97))),IF($P$86&lt;&gt;"","Data Source Error",""))))</f>
        <v/>
      </c>
      <c r="S97" s="560"/>
      <c r="T97" s="900" t="str">
        <f ca="1">IF($H$7&lt;5,"",IF(S97&lt;&gt;"",S97,IFERROR(IF(INDIRECT("'"&amp;S$86&amp;"'!"&amp;VLOOKUP(S$87,'List Values'!$C$3:$D$6,2,FALSE)&amp;ROW(S97))="","",INDIRECT("'"&amp;S$86&amp;"'!"&amp;VLOOKUP(S$87,'List Values'!$C$3:$D$6,2,FALSE)&amp;ROW(S97))),IF($S$86&lt;&gt;"","Data Source Error",""))))</f>
        <v/>
      </c>
      <c r="V97" s="560"/>
      <c r="W97" s="911" t="str">
        <f ca="1">IF($H$7&lt;6,"",IF(V97&lt;&gt;"",V97,IFERROR(IF(INDIRECT("'"&amp;V$86&amp;"'!"&amp;VLOOKUP(V$87,'List Values'!$C$3:$D$6,2,FALSE)&amp;ROW(V97))="","",INDIRECT("'"&amp;V$86&amp;"'!"&amp;VLOOKUP(V$87,'List Values'!$C$3:$D$6,2,FALSE)&amp;ROW(V97))),IF($V$86&lt;&gt;"","Data Source Error",""))))</f>
        <v/>
      </c>
      <c r="Y97" s="2643"/>
      <c r="Z97" s="2644"/>
      <c r="AA97" s="2644"/>
      <c r="AB97" s="2645"/>
      <c r="AD97" s="52"/>
    </row>
    <row r="98" spans="1:30" ht="15" customHeight="1" outlineLevel="1">
      <c r="B98" s="2653" t="s">
        <v>644</v>
      </c>
      <c r="C98" s="2653"/>
      <c r="D98" s="2653"/>
      <c r="E98" s="2062"/>
      <c r="F98" s="187"/>
      <c r="G98" s="482"/>
      <c r="H98" s="901"/>
      <c r="I98" s="187"/>
      <c r="J98" s="523"/>
      <c r="K98" s="904">
        <f ca="1">IF($H$7&lt;2,"",IF(J$98&lt;&gt;"",J$98,
IF(AND(J$97="",J$95="",J$92=""),IFERROR(IF(INDIRECT("'"&amp;J$86&amp;"'!"&amp;VLOOKUP(J$87,'List Values'!$C$3:$D$6,2,FALSE)&amp;ROW(J98))="",K$97*(SQRT(H$92/H$95)/6)*(SQRT(2)+LN(1+SQRT(2))),INDIRECT("'"&amp;J$86&amp;"'!"&amp;VLOOKUP(J$87,'List Values'!$C$3:$D$6,2,FALSE)&amp;ROW(J98))),IF($J$86&lt;&gt;"","Data Source Error","")),
K$97*(SQRT(H$92/H$95)/6)*(SQRT(2)+LN(1+SQRT(2))))))</f>
        <v>289</v>
      </c>
      <c r="L98" s="193"/>
      <c r="M98" s="555"/>
      <c r="N98" s="904">
        <f ca="1">IF($H$7&lt;3,"",IF(M$98&lt;&gt;"",M$98,
IF(AND(M$97="",M$95="",M$92=""),IFERROR(IF(INDIRECT("'"&amp;M$86&amp;"'!"&amp;VLOOKUP(M$87,'List Values'!$C$3:$D$6,2,FALSE)&amp;ROW(M98))="",N$97*(SQRT(K$92/K$95)/6)*(SQRT(2)+LN(1+SQRT(2))),INDIRECT("'"&amp;M$86&amp;"'!"&amp;VLOOKUP(M$87,'List Values'!$C$3:$D$6,2,FALSE)&amp;ROW(M98))),IF($M$86&lt;&gt;"","Data Source Error","")),
N$97*(SQRT(K$92/K$95)/6)*(SQRT(2)+LN(1+SQRT(2))))))</f>
        <v>124.19206038512104</v>
      </c>
      <c r="O98" s="187"/>
      <c r="P98" s="523"/>
      <c r="Q98" s="1177" t="str">
        <f ca="1">IF($H$7&lt;4,"",IF(P$98&lt;&gt;"",P$98,
IF(AND(P$97="",P$95="",P$92=""),IFERROR(IF(INDIRECT("'"&amp;P$86&amp;"'!"&amp;VLOOKUP(P$87,'List Values'!$C$3:$D$6,2,FALSE)&amp;ROW(P98))="",Q$97*(SQRT(N$92/N$95)/6)*(SQRT(2)+LN(1+SQRT(2))),INDIRECT("'"&amp;P$86&amp;"'!"&amp;VLOOKUP(P$87,'List Values'!$C$3:$D$6,2,FALSE)&amp;ROW(P98))),IF($P$86&lt;&gt;"","Data Source Error","")),
Q$97*(SQRT(N$92/N$95)/6)*(SQRT(2)+LN(1+SQRT(2))))))</f>
        <v/>
      </c>
      <c r="S98" s="523"/>
      <c r="T98" s="904" t="str">
        <f ca="1">IF($H$7&lt;5,"",IF(S$98&lt;&gt;"",S$98,
IF(AND(S$97="",S$95="",S$92=""),IFERROR(IF(INDIRECT("'"&amp;S$86&amp;"'!"&amp;VLOOKUP(S$87,'List Values'!$C$3:$D$6,2,FALSE)&amp;ROW(S98))="",T$97*(SQRT(Q$92/Q$95)/6)*(SQRT(2)+LN(1+SQRT(2))),INDIRECT("'"&amp;S$86&amp;"'!"&amp;VLOOKUP(S$87,'List Values'!$C$3:$D$6,2,FALSE)&amp;ROW(S98))),IF($S$86&lt;&gt;"","Data Source Error","")),
T$97*(SQRT(Q$92/Q$95)/6)*(SQRT(2)+LN(1+SQRT(2))))))</f>
        <v/>
      </c>
      <c r="V98" s="523"/>
      <c r="W98" s="912" t="str">
        <f ca="1">IF($H$7&lt;6,"",IF(V$98&lt;&gt;"",V$98,
IF(AND(V$97="",V$95="",V$92=""),IFERROR(IF(INDIRECT("'"&amp;V$86&amp;"'!"&amp;VLOOKUP(V$87,'List Values'!$C$3:$D$6,2,FALSE)&amp;ROW(V98))="",W$97*(SQRT(T$92/T$95)/6)*(SQRT(2)+LN(1+SQRT(2))),INDIRECT("'"&amp;V$86&amp;"'!"&amp;VLOOKUP(V$87,'List Values'!$C$3:$D$6,2,FALSE)&amp;ROW(V98))),IF($V$86&lt;&gt;"","Data Source Error","")),
W$97*(SQRT(T$92/T$95)/6)*(SQRT(2)+LN(1+SQRT(2))))))</f>
        <v/>
      </c>
      <c r="Y98" s="2643"/>
      <c r="Z98" s="2644"/>
      <c r="AA98" s="2644"/>
      <c r="AB98" s="2645"/>
      <c r="AD98" s="52"/>
    </row>
    <row r="99" spans="1:30" outlineLevel="1">
      <c r="B99" s="2656" t="s">
        <v>645</v>
      </c>
      <c r="C99" s="2656"/>
      <c r="D99" s="2656"/>
      <c r="E99" s="196"/>
      <c r="F99" s="196"/>
      <c r="G99" s="2057"/>
      <c r="H99" s="902">
        <f ca="1">IF(G$99&lt;&gt;"",G$99,
IF(AND(G$97="",G$95="",G$92=""),IFERROR(IF(INDIRECT("'"&amp;G$86&amp;"'!"&amp;VLOOKUP(G$87,'List Values'!$C$3:$D$6,2,FALSE)&amp;ROW(G99))="",IF(H$95=1,0,0.5*H$97*(SQRT(H$92/H$95)+SQRT(2*H$92/H$95))),INDIRECT("'"&amp;G$86&amp;"'!"&amp;VLOOKUP(G$87,'List Values'!$C$3:$D$6,2,FALSE)&amp;ROW(G99))),IF($G$86&lt;&gt;"","Data Source Error","")),
IF(H$95=1,0,0.5*H$97*(SQRT(H$92/H$95)+SQRT(2*H$92/H$95)))))</f>
        <v>0</v>
      </c>
      <c r="I99" s="196"/>
      <c r="J99" s="530"/>
      <c r="K99" s="943">
        <f ca="1">IF($H$7&lt;2,"",IF(J$99&lt;&gt;"",J$99,
IF(AND(J$97="",J$95="",J$92=""),IFERROR(IF(INDIRECT("'"&amp;J$86&amp;"'!"&amp;VLOOKUP(J$87,'List Values'!$C$3:$D$6,2,FALSE)&amp;ROW(J99))="",IF(K$95=1,0,0.5*K$97*(SQRT(K$92/K$95)+SQRT(2*K$92/K$95))),INDIRECT("'"&amp;J$86&amp;"'!"&amp;VLOOKUP(J$87,'List Values'!$C$3:$D$6,2,FALSE)&amp;ROW(J99))),IF($J$86&lt;&gt;"","Data Source Error","")),
IF(K$95=1,0,0.5*K$97*(SQRT(K$92/K$95)+SQRT(2*K$92/K$95))))))</f>
        <v>0</v>
      </c>
      <c r="L99" s="196"/>
      <c r="M99" s="556"/>
      <c r="N99" s="906">
        <f ca="1">IF($H$7&lt;3,"",IF(M$99&lt;&gt;"",M$99,
IF(AND(M$97="",M$95="",M$92=""),IFERROR(IF(INDIRECT("'"&amp;M$86&amp;"'!"&amp;VLOOKUP(M$87,'List Values'!$C$3:$D$6,2,FALSE)&amp;ROW(M99))="",IF(N$95=1,0,0.5*N$97*(SQRT(N$92/N$95)+SQRT(2*N$92/N$95))),INDIRECT("'"&amp;M$86&amp;"'!"&amp;VLOOKUP(M$87,'List Values'!$C$3:$D$6,2,FALSE)&amp;ROW(M99))),IF($M$86&lt;&gt;"","Data Source Error","")),
IF(N$95=1,0,0.5*N$97*(SQRT(N$92/N$95)+SQRT(2*N$92/N$95))))))</f>
        <v>21.09538422148453</v>
      </c>
      <c r="O99" s="196"/>
      <c r="P99" s="530"/>
      <c r="Q99" s="906" t="str">
        <f ca="1">IF($H$7&lt;4,"",IF(P$99&lt;&gt;"",P$99,
IF(AND(P$97="",P$95="",P$92=""),IFERROR(IF(INDIRECT("'"&amp;P$86&amp;"'!"&amp;VLOOKUP(P$87,'List Values'!$C$3:$D$6,2,FALSE)&amp;ROW(P99))="",IF(Q$95=1,0,0.5*Q$97*(SQRT(Q$92/Q$95)+SQRT(2*Q$92/Q$95))),INDIRECT("'"&amp;P$86&amp;"'!"&amp;VLOOKUP(P$87,'List Values'!$C$3:$D$6,2,FALSE)&amp;ROW(P99))),IF($P$86&lt;&gt;"","Data Source Error","")),
IF(Q$95=1,0,0.5*Q$97*(SQRT(Q$92/Q$95)+SQRT(2*Q$92/Q$95))))))</f>
        <v/>
      </c>
      <c r="S99" s="530"/>
      <c r="T99" s="906" t="str">
        <f ca="1">IF($H$7&lt;5,"",IF(S$99&lt;&gt;"",S$99,
IF(AND(S$97="",S$95="",S$92=""),IFERROR(IF(INDIRECT("'"&amp;S$86&amp;"'!"&amp;VLOOKUP(S$87,'List Values'!$C$3:$D$6,2,FALSE)&amp;ROW(S99))="",IF(T$95=1,0,0.5*T$97*(SQRT(T$92/T$95)+SQRT(2*T$92/T$95))),INDIRECT("'"&amp;S$86&amp;"'!"&amp;VLOOKUP(S$87,'List Values'!$C$3:$D$6,2,FALSE)&amp;ROW(S99))),IF($S$86&lt;&gt;"","Data Source Error","")),
IF(T$95=1,0,0.5*T$97*(SQRT(T$92/T$95)+SQRT(2*T$92/T$95))))))</f>
        <v/>
      </c>
      <c r="V99" s="530"/>
      <c r="W99" s="913" t="str">
        <f ca="1">IF($H$7&lt;6,"",IF(V$99&lt;&gt;"",V$99,
IF(AND(V$97="",V$95="",V$92=""),IFERROR(IF(INDIRECT("'"&amp;V$86&amp;"'!"&amp;VLOOKUP(V$87,'List Values'!$C$3:$D$6,2,FALSE)&amp;ROW(V99))="",IF(W$95=1,0,0.5*W$97*(SQRT(W$92/W$95)+SQRT(2*W$92/W$95))),INDIRECT("'"&amp;V$86&amp;"'!"&amp;VLOOKUP(V$87,'List Values'!$C$3:$D$6,2,FALSE)&amp;ROW(V99))),IF($V$86&lt;&gt;"","Data Source Error","")),
IF(W$95=1,0,0.5*W$97*(SQRT(W$92/W$95)+SQRT(2*W$92/W$95))))))</f>
        <v/>
      </c>
      <c r="Y99" s="2657"/>
      <c r="Z99" s="2658"/>
      <c r="AA99" s="2658"/>
      <c r="AB99" s="2659"/>
      <c r="AD99" s="52"/>
    </row>
    <row r="100" spans="1:30" ht="30" customHeight="1">
      <c r="A100" s="630" t="s">
        <v>653</v>
      </c>
      <c r="C100" s="130"/>
      <c r="D100" s="130"/>
      <c r="E100" s="130"/>
      <c r="G100" s="121"/>
      <c r="H100" s="69"/>
      <c r="K100" s="69"/>
      <c r="N100" s="69"/>
      <c r="Q100" s="69"/>
      <c r="S100" s="6"/>
      <c r="T100" s="69"/>
      <c r="V100" s="6"/>
      <c r="W100" s="69"/>
    </row>
    <row r="101" spans="1:30" ht="30.75" customHeight="1">
      <c r="B101" s="2068" t="s">
        <v>614</v>
      </c>
      <c r="C101" s="596"/>
      <c r="D101" s="596"/>
      <c r="E101" s="596"/>
      <c r="F101" s="596"/>
      <c r="G101" s="597"/>
      <c r="H101" s="594"/>
      <c r="I101" s="596"/>
      <c r="J101" s="597"/>
      <c r="K101" s="594"/>
      <c r="L101" s="596"/>
      <c r="M101" s="597"/>
      <c r="N101" s="594"/>
      <c r="O101" s="596"/>
      <c r="P101" s="2660"/>
      <c r="Q101" s="2660"/>
      <c r="R101" s="594"/>
      <c r="S101" s="2660"/>
      <c r="T101" s="2660"/>
      <c r="U101" s="594"/>
      <c r="V101" s="2660"/>
      <c r="W101" s="2660"/>
    </row>
    <row r="102" spans="1:30" ht="19.5" customHeight="1" outlineLevel="1">
      <c r="B102" s="505"/>
      <c r="C102" s="36"/>
      <c r="D102" s="36"/>
      <c r="E102" s="36"/>
      <c r="F102" s="36"/>
      <c r="G102" s="2665" t="str">
        <f ca="1">"Storage at "&amp;H88</f>
        <v>Storage at CMS</v>
      </c>
      <c r="H102" s="2666"/>
      <c r="I102" s="129"/>
      <c r="J102" s="2665" t="str">
        <f ca="1">"Storage at "&amp;K88</f>
        <v>Storage at Regional WH</v>
      </c>
      <c r="K102" s="2666"/>
      <c r="L102" s="506"/>
      <c r="M102" s="2665" t="str">
        <f ca="1">"Storage at "&amp;N88</f>
        <v>Storage at Health Facility</v>
      </c>
      <c r="N102" s="2666"/>
      <c r="O102" s="506"/>
      <c r="P102" s="2665" t="str">
        <f ca="1">"Storage at "&amp;Q88</f>
        <v xml:space="preserve">Storage at </v>
      </c>
      <c r="Q102" s="2666"/>
      <c r="R102" s="129"/>
      <c r="S102" s="2665" t="str">
        <f ca="1">"Storage at "&amp;T88</f>
        <v xml:space="preserve">Storage at </v>
      </c>
      <c r="T102" s="2666"/>
      <c r="U102" s="129"/>
      <c r="V102" s="2665" t="str">
        <f ca="1">"Storage at "&amp;W88</f>
        <v xml:space="preserve">Storage at </v>
      </c>
      <c r="W102" s="2669"/>
      <c r="Y102" s="2619" t="s">
        <v>673</v>
      </c>
      <c r="Z102" s="2620"/>
      <c r="AA102" s="2620"/>
      <c r="AB102" s="2621"/>
    </row>
    <row r="103" spans="1:30" ht="11.25" customHeight="1" outlineLevel="1">
      <c r="A103" s="75"/>
      <c r="B103" s="1347"/>
      <c r="C103" s="2512"/>
      <c r="D103" s="2512"/>
      <c r="E103" s="185"/>
      <c r="F103" s="183"/>
      <c r="G103" s="2667"/>
      <c r="H103" s="2668"/>
      <c r="I103" s="1395"/>
      <c r="J103" s="2667"/>
      <c r="K103" s="2668"/>
      <c r="L103" s="1395"/>
      <c r="M103" s="2667"/>
      <c r="N103" s="2668"/>
      <c r="O103" s="1396"/>
      <c r="P103" s="2667"/>
      <c r="Q103" s="2668"/>
      <c r="R103" s="1396"/>
      <c r="S103" s="2667"/>
      <c r="T103" s="2668"/>
      <c r="U103" s="1396"/>
      <c r="V103" s="2667"/>
      <c r="W103" s="2670"/>
      <c r="Y103" s="2643"/>
      <c r="Z103" s="2644"/>
      <c r="AA103" s="2644"/>
      <c r="AB103" s="2645"/>
      <c r="AD103" s="52"/>
    </row>
    <row r="104" spans="1:30" ht="46.5" customHeight="1" outlineLevel="1">
      <c r="A104" s="75"/>
      <c r="B104" s="2064" t="s">
        <v>341</v>
      </c>
      <c r="C104" s="2512" t="s">
        <v>2373</v>
      </c>
      <c r="D104" s="2512"/>
      <c r="E104" s="197"/>
      <c r="F104" s="184"/>
      <c r="G104" s="586"/>
      <c r="H104" s="1391">
        <f ca="1">IF(G104&lt;&gt;"",G104,IFERROR(IF(INDIRECT("'"&amp;G$86&amp;"'!"&amp;VLOOKUP(G$87,'List Values'!$C$3:$D$6,2,FALSE)&amp;ROW(G104))="","",INDIRECT("'"&amp;G$86&amp;"'!"&amp;VLOOKUP(G$87,'List Values'!$C$3:$D$6,2,FALSE)&amp;ROW(G104))),IF($G$86&lt;&gt;"","Data Source Error","")))</f>
        <v>3</v>
      </c>
      <c r="I104" s="1392"/>
      <c r="J104" s="586"/>
      <c r="K104" s="1391">
        <f ca="1">IF($H$7&lt;2,"",IF(J104&lt;&gt;"",J104,IFERROR(IF(INDIRECT("'"&amp;J$86&amp;"'!"&amp;VLOOKUP(J$87,'List Values'!$C$3:$D$6,2,FALSE)&amp;ROW(J104))="","",INDIRECT("'"&amp;J$86&amp;"'!"&amp;VLOOKUP(J$87,'List Values'!$C$3:$D$6,2,FALSE)&amp;ROW(J104))),IF($J$86&lt;&gt;"","Data Source Error",""))))</f>
        <v>3</v>
      </c>
      <c r="L104" s="1392"/>
      <c r="M104" s="586"/>
      <c r="N104" s="1391">
        <f ca="1">IF($H$7&lt;3,"",IF(M104&lt;&gt;"",M104,IFERROR(IF(INDIRECT("'"&amp;M$86&amp;"'!"&amp;VLOOKUP(M$87,'List Values'!$C$3:$D$6,2,FALSE)&amp;ROW(M104))="","",INDIRECT("'"&amp;M$86&amp;"'!"&amp;VLOOKUP(M$87,'List Values'!$C$3:$D$6,2,FALSE)&amp;ROW(M104))),IF($M$86&lt;&gt;"","Data Source Error",""))))</f>
        <v>3</v>
      </c>
      <c r="O104" s="1393"/>
      <c r="P104" s="712"/>
      <c r="Q104" s="1394" t="str">
        <f ca="1">IF($H$7&lt;4,"",IF(P104&lt;&gt;"",P104,IFERROR(IF(INDIRECT("'"&amp;P$86&amp;"'!"&amp;VLOOKUP(P$87,'List Values'!$C$3:$D$6,2,FALSE)&amp;ROW(P104))="","",INDIRECT("'"&amp;P$86&amp;"'!"&amp;VLOOKUP(P$87,'List Values'!$C$3:$D$6,2,FALSE)&amp;ROW(P104))),IF($P$86&lt;&gt;"","Data Source Error",""))))</f>
        <v/>
      </c>
      <c r="S104" s="712"/>
      <c r="T104" s="1394" t="str">
        <f ca="1">IF($H$7&lt;5,"",IF(S104&lt;&gt;"",S104,IFERROR(IF(INDIRECT("'"&amp;S$86&amp;"'!"&amp;VLOOKUP(S$87,'List Values'!$C$3:$D$6,2,FALSE)&amp;ROW(S104))="","",INDIRECT("'"&amp;S$86&amp;"'!"&amp;VLOOKUP(S$87,'List Values'!$C$3:$D$6,2,FALSE)&amp;ROW(S104))),IF($S$86&lt;&gt;"","Data Source Error",""))))</f>
        <v/>
      </c>
      <c r="V104" s="712"/>
      <c r="W104" s="976" t="str">
        <f ca="1">IF($H$7&lt;6,"",IF(V104&lt;&gt;"",V104,IFERROR(IF(INDIRECT("'"&amp;V$86&amp;"'!"&amp;VLOOKUP(V$87,'List Values'!$C$3:$D$6,2,FALSE)&amp;ROW(V104))="","",INDIRECT("'"&amp;V$86&amp;"'!"&amp;VLOOKUP(V$87,'List Values'!$C$3:$D$6,2,FALSE)&amp;ROW(V104))),IF($V$86&lt;&gt;"","Data Source Error",""))))</f>
        <v/>
      </c>
      <c r="Y104" s="2643"/>
      <c r="Z104" s="2644"/>
      <c r="AA104" s="2644"/>
      <c r="AB104" s="2645"/>
      <c r="AD104" s="52"/>
    </row>
    <row r="105" spans="1:30" ht="29.25" customHeight="1" outlineLevel="1">
      <c r="A105" s="86"/>
      <c r="B105" s="2661" t="s">
        <v>185</v>
      </c>
      <c r="C105" s="2663" t="s">
        <v>231</v>
      </c>
      <c r="D105" s="2663"/>
      <c r="E105" s="198"/>
      <c r="F105" s="198"/>
      <c r="G105" s="563"/>
      <c r="H105" s="931" t="str">
        <f ca="1">IF(G105&lt;&gt;"",G105,IFERROR(IF(INDIRECT("'"&amp;G$86&amp;"'!"&amp;VLOOKUP(G$87,'List Values'!$C$3:$D$6,2,FALSE)&amp;ROW(G105))="","",INDIRECT("'"&amp;G$86&amp;"'!"&amp;VLOOKUP(G$87,'List Values'!$C$3:$D$6,2,FALSE)&amp;ROW(G105))),IF($G$86&lt;&gt;"","Data Source Error","")))</f>
        <v>Warehouse Staff - Floor worker</v>
      </c>
      <c r="I105" s="213"/>
      <c r="J105" s="563"/>
      <c r="K105" s="931" t="str">
        <f ca="1">IF($H$7&lt;2,"",IF(J105&lt;&gt;"",J105,IFERROR(IF(INDIRECT("'"&amp;J$86&amp;"'!"&amp;VLOOKUP(J$87,'List Values'!$C$3:$D$6,2,FALSE)&amp;ROW(J105))="","",INDIRECT("'"&amp;J$86&amp;"'!"&amp;VLOOKUP(J$87,'List Values'!$C$3:$D$6,2,FALSE)&amp;ROW(J105))),IF($J$86&lt;&gt;"","Data Source Error",""))))</f>
        <v>Warehouse Staff - Floor worker</v>
      </c>
      <c r="L105" s="213"/>
      <c r="M105" s="563"/>
      <c r="N105" s="931" t="str">
        <f ca="1">IF($H$7&lt;3,"",IF(M105&lt;&gt;"",M105,IFERROR(IF(INDIRECT("'"&amp;M$86&amp;"'!"&amp;VLOOKUP(M$87,'List Values'!$C$3:$D$6,2,FALSE)&amp;ROW(M105))="","",INDIRECT("'"&amp;M$86&amp;"'!"&amp;VLOOKUP(M$87,'List Values'!$C$3:$D$6,2,FALSE)&amp;ROW(M105))),IF($M$86&lt;&gt;"","Data Source Error",""))))</f>
        <v>Health Clinic - Nurse/Pharmacist in-charge</v>
      </c>
      <c r="O105" s="198"/>
      <c r="P105" s="531"/>
      <c r="Q105" s="942" t="str">
        <f ca="1">IF($H$7&lt;4,"",IF(P105&lt;&gt;"",P105,IFERROR(IF(INDIRECT("'"&amp;P$86&amp;"'!"&amp;VLOOKUP(P$87,'List Values'!$C$3:$D$6,2,FALSE)&amp;ROW(P105))="","",INDIRECT("'"&amp;P$86&amp;"'!"&amp;VLOOKUP(P$87,'List Values'!$C$3:$D$6,2,FALSE)&amp;ROW(P105))),IF($P$86&lt;&gt;"","Data Source Error",""))))</f>
        <v/>
      </c>
      <c r="S105" s="531"/>
      <c r="T105" s="942" t="str">
        <f ca="1">IF($H$7&lt;5,"",IF(S105&lt;&gt;"",S105,IFERROR(IF(INDIRECT("'"&amp;S$86&amp;"'!"&amp;VLOOKUP(S$87,'List Values'!$C$3:$D$6,2,FALSE)&amp;ROW(S105))="","",INDIRECT("'"&amp;S$86&amp;"'!"&amp;VLOOKUP(S$87,'List Values'!$C$3:$D$6,2,FALSE)&amp;ROW(S105))),IF($S$86&lt;&gt;"","Data Source Error",""))))</f>
        <v/>
      </c>
      <c r="V105" s="531"/>
      <c r="W105" s="948" t="str">
        <f ca="1">IF($H$7&lt;6,"",IF(V105&lt;&gt;"",V105,IFERROR(IF(INDIRECT("'"&amp;V$86&amp;"'!"&amp;VLOOKUP(V$87,'List Values'!$C$3:$D$6,2,FALSE)&amp;ROW(V105))="","",INDIRECT("'"&amp;V$86&amp;"'!"&amp;VLOOKUP(V$87,'List Values'!$C$3:$D$6,2,FALSE)&amp;ROW(V105))),IF($V$86&lt;&gt;"","Data Source Error",""))))</f>
        <v/>
      </c>
      <c r="Y105" s="2643"/>
      <c r="Z105" s="2644"/>
      <c r="AA105" s="2644"/>
      <c r="AB105" s="2645"/>
      <c r="AD105" s="52"/>
    </row>
    <row r="106" spans="1:30" ht="36" customHeight="1" outlineLevel="1">
      <c r="A106" s="86"/>
      <c r="B106" s="2662"/>
      <c r="C106" s="2583" t="s">
        <v>356</v>
      </c>
      <c r="D106" s="2583"/>
      <c r="E106" s="187"/>
      <c r="F106" s="187"/>
      <c r="G106" s="564">
        <v>35</v>
      </c>
      <c r="H106" s="932">
        <f ca="1">IF(G106&lt;&gt;"",G106,IFERROR(IF(INDIRECT("'"&amp;G$86&amp;"'!"&amp;VLOOKUP(G$87,'List Values'!$C$3:$D$6,2,FALSE)&amp;ROW(G106))="","",INDIRECT("'"&amp;G$86&amp;"'!"&amp;VLOOKUP(G$87,'List Values'!$C$3:$D$6,2,FALSE)&amp;ROW(G106))),IF($G$86&lt;&gt;"","Data Source Error","")))</f>
        <v>35</v>
      </c>
      <c r="I106" s="214"/>
      <c r="J106" s="564">
        <v>28</v>
      </c>
      <c r="K106" s="932">
        <f ca="1">IF($H$7&lt;2,"",IF(J106&lt;&gt;"",J106,IFERROR(IF(INDIRECT("'"&amp;J$86&amp;"'!"&amp;VLOOKUP(J$87,'List Values'!$C$3:$D$6,2,FALSE)&amp;ROW(J106))="","",INDIRECT("'"&amp;J$86&amp;"'!"&amp;VLOOKUP(J$87,'List Values'!$C$3:$D$6,2,FALSE)&amp;ROW(J106))),IF($J$86&lt;&gt;"","Data Source Error",""))))</f>
        <v>28</v>
      </c>
      <c r="L106" s="214"/>
      <c r="M106" s="573">
        <v>0.05</v>
      </c>
      <c r="N106" s="939">
        <f ca="1">IF($H$7&lt;3,"",IF(M106&lt;&gt;"",M106,IFERROR(IF(INDIRECT("'"&amp;M$86&amp;"'!"&amp;VLOOKUP(M$87,'List Values'!$C$3:$D$6,2,FALSE)&amp;ROW(M106))="","",INDIRECT("'"&amp;M$86&amp;"'!"&amp;VLOOKUP(M$87,'List Values'!$C$3:$D$6,2,FALSE)&amp;ROW(M106))),IF($M$86&lt;&gt;"","Data Source Error",""))))</f>
        <v>0.05</v>
      </c>
      <c r="O106" s="187"/>
      <c r="P106" s="528"/>
      <c r="Q106" s="904" t="str">
        <f ca="1">IF($H$7&lt;4,"",IF(P106&lt;&gt;"",P106,IFERROR(IF(INDIRECT("'"&amp;P$86&amp;"'!"&amp;VLOOKUP(P$87,'List Values'!$C$3:$D$6,2,FALSE)&amp;ROW(P106))="","",INDIRECT("'"&amp;P$86&amp;"'!"&amp;VLOOKUP(P$87,'List Values'!$C$3:$D$6,2,FALSE)&amp;ROW(P106))),IF($P$86&lt;&gt;"","Data Source Error",""))))</f>
        <v/>
      </c>
      <c r="S106" s="528"/>
      <c r="T106" s="904" t="str">
        <f ca="1">IF($H$7&lt;5,"",IF(S106&lt;&gt;"",S106,IFERROR(IF(INDIRECT("'"&amp;S$86&amp;"'!"&amp;VLOOKUP(S$87,'List Values'!$C$3:$D$6,2,FALSE)&amp;ROW(S106))="","",INDIRECT("'"&amp;S$86&amp;"'!"&amp;VLOOKUP(S$87,'List Values'!$C$3:$D$6,2,FALSE)&amp;ROW(S106))),IF($S$86&lt;&gt;"","Data Source Error",""))))</f>
        <v/>
      </c>
      <c r="V106" s="528"/>
      <c r="W106" s="912" t="str">
        <f ca="1">IF($H$7&lt;6,"",IF(V106&lt;&gt;"",V106,IFERROR(IF(INDIRECT("'"&amp;V$86&amp;"'!"&amp;VLOOKUP(V$87,'List Values'!$C$3:$D$6,2,FALSE)&amp;ROW(V106))="","",INDIRECT("'"&amp;V$86&amp;"'!"&amp;VLOOKUP(V$87,'List Values'!$C$3:$D$6,2,FALSE)&amp;ROW(V106))),IF($V$86&lt;&gt;"","Data Source Error",""))))</f>
        <v/>
      </c>
      <c r="Y106" s="2643"/>
      <c r="Z106" s="2644"/>
      <c r="AA106" s="2644"/>
      <c r="AB106" s="2645"/>
      <c r="AD106" s="52"/>
    </row>
    <row r="107" spans="1:30" ht="36.75" customHeight="1" outlineLevel="1">
      <c r="A107" s="86"/>
      <c r="B107" s="2612"/>
      <c r="C107" s="2664" t="s">
        <v>599</v>
      </c>
      <c r="D107" s="2664"/>
      <c r="E107" s="200"/>
      <c r="F107" s="200"/>
      <c r="G107" s="565"/>
      <c r="H107" s="933">
        <f ca="1">IF(G107&lt;&gt;"",G107,IFERROR(IF(INDIRECT("'"&amp;G$86&amp;"'!"&amp;VLOOKUP(G$87,'List Values'!$C$3:$D$6,2,FALSE)&amp;ROW(G107))="","",INDIRECT("'"&amp;G$86&amp;"'!"&amp;VLOOKUP(G$87,'List Values'!$C$3:$D$6,2,FALSE)&amp;ROW(G107))),IF($G$86&lt;&gt;"","Data Source Error","")))</f>
        <v>0.51956390740105851</v>
      </c>
      <c r="I107" s="492"/>
      <c r="J107" s="571"/>
      <c r="K107" s="933">
        <f ca="1">IF($H$7&lt;2,"",IF(J107&lt;&gt;"",J107,IFERROR(IF(INDIRECT("'"&amp;J$86&amp;"'!"&amp;VLOOKUP(J$87,'List Values'!$C$3:$D$6,2,FALSE)&amp;ROW(J107))="","",INDIRECT("'"&amp;J$86&amp;"'!"&amp;VLOOKUP(J$87,'List Values'!$C$3:$D$6,2,FALSE)&amp;ROW(J107))),IF($J$86&lt;&gt;"","Data Source Error",""))))</f>
        <v>0.54959420694220995</v>
      </c>
      <c r="L107" s="215"/>
      <c r="M107" s="565"/>
      <c r="N107" s="940">
        <f ca="1">IF($H$7&lt;3,"",IF(M107&lt;&gt;"",M107,IFERROR(IF(INDIRECT("'"&amp;M$86&amp;"'!"&amp;VLOOKUP(M$87,'List Values'!$C$3:$D$6,2,FALSE)&amp;ROW(M107))="","",INDIRECT("'"&amp;M$86&amp;"'!"&amp;VLOOKUP(M$87,'List Values'!$C$3:$D$6,2,FALSE)&amp;ROW(M107))),IF($M$86&lt;&gt;"","Data Source Error",""))))</f>
        <v>0.88659612260755372</v>
      </c>
      <c r="O107" s="187"/>
      <c r="P107" s="530"/>
      <c r="Q107" s="943" t="str">
        <f ca="1">IF($H$7&lt;4,"",IF(P107&lt;&gt;"",P107,IFERROR(IF(INDIRECT("'"&amp;P$86&amp;"'!"&amp;VLOOKUP(P$87,'List Values'!$C$3:$D$6,2,FALSE)&amp;ROW(P107))="","",INDIRECT("'"&amp;P$86&amp;"'!"&amp;VLOOKUP(P$87,'List Values'!$C$3:$D$6,2,FALSE)&amp;ROW(P107))),IF($P$86&lt;&gt;"","Data Source Error",""))))</f>
        <v/>
      </c>
      <c r="S107" s="530"/>
      <c r="T107" s="943" t="str">
        <f ca="1">IF($H$7&lt;5,"",IF(S107&lt;&gt;"",S107,IFERROR(IF(INDIRECT("'"&amp;S$86&amp;"'!"&amp;VLOOKUP(S$87,'List Values'!$C$3:$D$6,2,FALSE)&amp;ROW(S107))="","",INDIRECT("'"&amp;S$86&amp;"'!"&amp;VLOOKUP(S$87,'List Values'!$C$3:$D$6,2,FALSE)&amp;ROW(S107))),IF($S$86&lt;&gt;"","Data Source Error",""))))</f>
        <v/>
      </c>
      <c r="V107" s="530"/>
      <c r="W107" s="949" t="str">
        <f ca="1">IF($H$7&lt;6,"",IF(V107&lt;&gt;"",V107,IFERROR(IF(INDIRECT("'"&amp;V$86&amp;"'!"&amp;VLOOKUP(V$87,'List Values'!$C$3:$D$6,2,FALSE)&amp;ROW(V107))="","",INDIRECT("'"&amp;V$86&amp;"'!"&amp;VLOOKUP(V$87,'List Values'!$C$3:$D$6,2,FALSE)&amp;ROW(V107))),IF($V$86&lt;&gt;"","Data Source Error",""))))</f>
        <v/>
      </c>
      <c r="Y107" s="2643"/>
      <c r="Z107" s="2644"/>
      <c r="AA107" s="2644"/>
      <c r="AB107" s="2645"/>
      <c r="AD107" s="52"/>
    </row>
    <row r="108" spans="1:30" ht="19.5" customHeight="1" outlineLevel="1">
      <c r="A108" s="86"/>
      <c r="B108" s="2671" t="s">
        <v>394</v>
      </c>
      <c r="C108" s="2663" t="s">
        <v>375</v>
      </c>
      <c r="D108" s="2663"/>
      <c r="E108" s="199"/>
      <c r="F108" s="199"/>
      <c r="G108" s="1926">
        <v>1374.6</v>
      </c>
      <c r="H108" s="934">
        <f ca="1">IF(G108&lt;&gt;"",G108,IFERROR(IF(INDIRECT("'"&amp;G$86&amp;"'!"&amp;VLOOKUP(G$87,'List Values'!$C$3:$D$6,2,FALSE)&amp;ROW(G108))="","",INDIRECT("'"&amp;G$86&amp;"'!"&amp;VLOOKUP(G$87,'List Values'!$C$3:$D$6,2,FALSE)&amp;ROW(G108))),IF($G$86&lt;&gt;"","Data Source Error","")))</f>
        <v>1374.6</v>
      </c>
      <c r="I108" s="216"/>
      <c r="J108" s="566">
        <v>1374.6</v>
      </c>
      <c r="K108" s="934">
        <f ca="1">IF($H$7&lt;2,"",IF(J108&lt;&gt;"",J108,IFERROR(IF(INDIRECT("'"&amp;J$86&amp;"'!"&amp;VLOOKUP(J$87,'List Values'!$C$3:$D$6,2,FALSE)&amp;ROW(J108))="","",INDIRECT("'"&amp;J$86&amp;"'!"&amp;VLOOKUP(J$87,'List Values'!$C$3:$D$6,2,FALSE)&amp;ROW(J108))),IF($J$86&lt;&gt;"","Data Source Error",""))))</f>
        <v>1374.6</v>
      </c>
      <c r="L108" s="216"/>
      <c r="M108" s="566">
        <v>4.0999999999999996</v>
      </c>
      <c r="N108" s="934">
        <f ca="1">IF($H$7&lt;3,"",IF(M108&lt;&gt;"",M108,IFERROR(IF(INDIRECT("'"&amp;M$86&amp;"'!"&amp;VLOOKUP(M$87,'List Values'!$C$3:$D$6,2,FALSE)&amp;ROW(M108))="","",INDIRECT("'"&amp;M$86&amp;"'!"&amp;VLOOKUP(M$87,'List Values'!$C$3:$D$6,2,FALSE)&amp;ROW(M108))),IF($M$86&lt;&gt;"","Data Source Error",""))))</f>
        <v>4.0999999999999996</v>
      </c>
      <c r="O108" s="183"/>
      <c r="P108" s="574"/>
      <c r="Q108" s="944" t="str">
        <f ca="1">IF($H$7&lt;4,"",IF(P108&lt;&gt;"",P108,IFERROR(IF(INDIRECT("'"&amp;P$86&amp;"'!"&amp;VLOOKUP(P$87,'List Values'!$C$3:$D$6,2,FALSE)&amp;ROW(P108))="","",INDIRECT("'"&amp;P$86&amp;"'!"&amp;VLOOKUP(P$87,'List Values'!$C$3:$D$6,2,FALSE)&amp;ROW(P108))),IF($P$86&lt;&gt;"","Data Source Error",""))))</f>
        <v/>
      </c>
      <c r="S108" s="574"/>
      <c r="T108" s="944" t="str">
        <f ca="1">IF($H$7&lt;5,"",IF(S108&lt;&gt;"",S108,IFERROR(IF(INDIRECT("'"&amp;S$86&amp;"'!"&amp;VLOOKUP(S$87,'List Values'!$C$3:$D$6,2,FALSE)&amp;ROW(S108))="","",INDIRECT("'"&amp;S$86&amp;"'!"&amp;VLOOKUP(S$87,'List Values'!$C$3:$D$6,2,FALSE)&amp;ROW(S108))),IF($S$86&lt;&gt;"","Data Source Error",""))))</f>
        <v/>
      </c>
      <c r="V108" s="574"/>
      <c r="W108" s="950" t="str">
        <f ca="1">IF($H$7&lt;6,"",IF(V108&lt;&gt;"",V108,IFERROR(IF(INDIRECT("'"&amp;V$86&amp;"'!"&amp;VLOOKUP(V$87,'List Values'!$C$3:$D$6,2,FALSE)&amp;ROW(V108))="","",INDIRECT("'"&amp;V$86&amp;"'!"&amp;VLOOKUP(V$87,'List Values'!$C$3:$D$6,2,FALSE)&amp;ROW(V108))),IF($V$86&lt;&gt;"","Data Source Error",""))))</f>
        <v/>
      </c>
      <c r="Y108" s="2643"/>
      <c r="Z108" s="2644"/>
      <c r="AA108" s="2644"/>
      <c r="AB108" s="2645"/>
      <c r="AD108" s="52"/>
    </row>
    <row r="109" spans="1:30" ht="34.5" customHeight="1" outlineLevel="1">
      <c r="A109" s="86"/>
      <c r="B109" s="2672"/>
      <c r="C109" s="2583" t="s">
        <v>395</v>
      </c>
      <c r="D109" s="2583"/>
      <c r="E109" s="199"/>
      <c r="F109" s="199"/>
      <c r="G109" s="567"/>
      <c r="H109" s="935" t="str">
        <f ca="1">IF(G109&lt;&gt;"",G109,IFERROR(IF(INDIRECT("'"&amp;G$86&amp;"'!"&amp;VLOOKUP(G$87,'List Values'!$C$3:$D$6,2,FALSE)&amp;ROW(G109))="","",INDIRECT("'"&amp;G$86&amp;"'!"&amp;VLOOKUP(G$87,'List Values'!$C$3:$D$6,2,FALSE)&amp;ROW(G109))),IF($G$86&lt;&gt;"","Data Source Error","")))</f>
        <v/>
      </c>
      <c r="I109" s="248"/>
      <c r="J109" s="567"/>
      <c r="K109" s="935" t="str">
        <f ca="1">IF($H$7&lt;2,"",IF(J109&lt;&gt;"",J109,IFERROR(IF(INDIRECT("'"&amp;J$86&amp;"'!"&amp;VLOOKUP(J$87,'List Values'!$C$3:$D$6,2,FALSE)&amp;ROW(J109))="","",INDIRECT("'"&amp;J$86&amp;"'!"&amp;VLOOKUP(J$87,'List Values'!$C$3:$D$6,2,FALSE)&amp;ROW(J109))),IF($J$86&lt;&gt;"","Data Source Error",""))))</f>
        <v/>
      </c>
      <c r="L109" s="248"/>
      <c r="M109" s="567"/>
      <c r="N109" s="929" t="str">
        <f ca="1">IF($H$7&lt;3,"",IF(M109&lt;&gt;"",M109,IFERROR(IF(INDIRECT("'"&amp;M$86&amp;"'!"&amp;VLOOKUP(M$87,'List Values'!$C$3:$D$6,2,FALSE)&amp;ROW(M109))="","",INDIRECT("'"&amp;M$86&amp;"'!"&amp;VLOOKUP(M$87,'List Values'!$C$3:$D$6,2,FALSE)&amp;ROW(M109))),IF($M$86&lt;&gt;"","Data Source Error",""))))</f>
        <v/>
      </c>
      <c r="O109" s="183"/>
      <c r="P109" s="574"/>
      <c r="Q109" s="934" t="str">
        <f ca="1">IF($H$7&lt;4,"",IF(P109&lt;&gt;"",P109,IFERROR(IF(INDIRECT("'"&amp;P$86&amp;"'!"&amp;VLOOKUP(P$87,'List Values'!$C$3:$D$6,2,FALSE)&amp;ROW(P109))="","",INDIRECT("'"&amp;P$86&amp;"'!"&amp;VLOOKUP(P$87,'List Values'!$C$3:$D$6,2,FALSE)&amp;ROW(P109))),IF($P$86&lt;&gt;"","Data Source Error",""))))</f>
        <v/>
      </c>
      <c r="S109" s="574"/>
      <c r="T109" s="934" t="str">
        <f ca="1">IF($H$7&lt;5,"",IF(S109&lt;&gt;"",S109,IFERROR(IF(INDIRECT("'"&amp;S$86&amp;"'!"&amp;VLOOKUP(S$87,'List Values'!$C$3:$D$6,2,FALSE)&amp;ROW(S109))="","",INDIRECT("'"&amp;S$86&amp;"'!"&amp;VLOOKUP(S$87,'List Values'!$C$3:$D$6,2,FALSE)&amp;ROW(S109))),IF($S$86&lt;&gt;"","Data Source Error",""))))</f>
        <v/>
      </c>
      <c r="V109" s="574"/>
      <c r="W109" s="951" t="str">
        <f ca="1">IF($H$7&lt;6,"",IF(V109&lt;&gt;"",V109,IFERROR(IF(INDIRECT("'"&amp;V$86&amp;"'!"&amp;VLOOKUP(V$87,'List Values'!$C$3:$D$6,2,FALSE)&amp;ROW(V109))="","",INDIRECT("'"&amp;V$86&amp;"'!"&amp;VLOOKUP(V$87,'List Values'!$C$3:$D$6,2,FALSE)&amp;ROW(V109))),IF($V$86&lt;&gt;"","Data Source Error",""))))</f>
        <v/>
      </c>
      <c r="Y109" s="2643"/>
      <c r="Z109" s="2644"/>
      <c r="AA109" s="2644"/>
      <c r="AB109" s="2645"/>
      <c r="AD109" s="52"/>
    </row>
    <row r="110" spans="1:30" ht="34.5" customHeight="1" outlineLevel="1">
      <c r="A110" s="86"/>
      <c r="B110" s="2672"/>
      <c r="C110" s="2583" t="s">
        <v>5443</v>
      </c>
      <c r="D110" s="2583"/>
      <c r="E110" s="187"/>
      <c r="F110" s="187"/>
      <c r="G110" s="568"/>
      <c r="H110" s="1070">
        <f ca="1">IF(G110&lt;&gt;"",G110,IFERROR(IF(INDIRECT("'"&amp;G$86&amp;"'!"&amp;VLOOKUP(G$87,'List Values'!$C$3:$D$6,2,FALSE)&amp;ROW(G110))="","",INDIRECT("'"&amp;G$86&amp;"'!"&amp;VLOOKUP(G$87,'List Values'!$C$3:$D$6,2,FALSE)&amp;ROW(G110))*$H$6),IF($G$86&lt;&gt;"","Data Source Error","")))</f>
        <v>169.65084425619176</v>
      </c>
      <c r="I110" s="195"/>
      <c r="J110" s="568"/>
      <c r="K110" s="1070">
        <f ca="1">IF($H$7&lt;2,"",IF(J110&lt;&gt;"",J110,IFERROR(IF(INDIRECT("'"&amp;J$86&amp;"'!"&amp;VLOOKUP(J$87,'List Values'!$C$3:$D$6,2,FALSE)&amp;ROW(J110))="","",INDIRECT("'"&amp;J$86&amp;"'!"&amp;VLOOKUP(J$87,'List Values'!$C$3:$D$6,2,FALSE)&amp;ROW(J110))*$H$6),IF($J$86&lt;&gt;"","Data Source Error",""))))</f>
        <v>84.709602195082624</v>
      </c>
      <c r="L110" s="195"/>
      <c r="M110" s="568"/>
      <c r="N110" s="936">
        <f ca="1">IF($H$7&lt;3,"",IF(M110&lt;&gt;"",M110,IFERROR(IF(INDIRECT("'"&amp;M$86&amp;"'!"&amp;VLOOKUP(M$87,'List Values'!$C$3:$D$6,2,FALSE)&amp;ROW(M110))="","",INDIRECT("'"&amp;M$86&amp;"'!"&amp;VLOOKUP(M$87,'List Values'!$C$3:$D$6,2,FALSE)&amp;ROW(M110))*$H$6),IF($M$86&lt;&gt;"","Data Source Error",""))))</f>
        <v>187.45983087332772</v>
      </c>
      <c r="O110" s="187"/>
      <c r="P110" s="528"/>
      <c r="Q110" s="945" t="str">
        <f ca="1">IF($H$7&lt;4,"",IF(P110&lt;&gt;"",P110,IFERROR(IF(INDIRECT("'"&amp;P$86&amp;"'!"&amp;VLOOKUP(P$87,'List Values'!$C$3:$D$6,2,FALSE)&amp;ROW(P110))="","",INDIRECT("'"&amp;P$86&amp;"'!"&amp;VLOOKUP(P$87,'List Values'!$C$3:$D$6,2,FALSE)&amp;ROW(P110))*$H$6),IF($P$86&lt;&gt;"","Data Source Error",""))))</f>
        <v/>
      </c>
      <c r="S110" s="528"/>
      <c r="T110" s="945" t="str">
        <f ca="1">IF($H$7&lt;5,"",IF(S110&lt;&gt;"",S110,IFERROR(IF(INDIRECT("'"&amp;S$86&amp;"'!"&amp;VLOOKUP(S$87,'List Values'!$C$3:$D$6,2,FALSE)&amp;ROW(S110))="","",INDIRECT("'"&amp;S$86&amp;"'!"&amp;VLOOKUP(S$87,'List Values'!$C$3:$D$6,2,FALSE)&amp;ROW(S110))*$H$6),IF($S$86&lt;&gt;"","Data Source Error",""))))</f>
        <v/>
      </c>
      <c r="V110" s="528"/>
      <c r="W110" s="952" t="str">
        <f ca="1">IF($H$7&lt;6,"",IF(V110&lt;&gt;"",V110,IFERROR(IF(INDIRECT("'"&amp;V$86&amp;"'!"&amp;VLOOKUP(V$87,'List Values'!$C$3:$D$6,2,FALSE)&amp;ROW(V110))="","",INDIRECT("'"&amp;V$86&amp;"'!"&amp;VLOOKUP(V$87,'List Values'!$C$3:$D$6,2,FALSE)&amp;ROW(V110))*$H$6),IF($V$86&lt;&gt;"","Data Source Error",""))))</f>
        <v/>
      </c>
      <c r="Y110" s="2643"/>
      <c r="Z110" s="2644"/>
      <c r="AA110" s="2644"/>
      <c r="AB110" s="2645"/>
      <c r="AD110" s="52"/>
    </row>
    <row r="111" spans="1:30" ht="36" customHeight="1" outlineLevel="1">
      <c r="A111" s="86"/>
      <c r="B111" s="2672"/>
      <c r="C111" s="2583" t="s">
        <v>5444</v>
      </c>
      <c r="D111" s="2583"/>
      <c r="E111" s="187"/>
      <c r="F111" s="187"/>
      <c r="G111" s="568"/>
      <c r="H111" s="936">
        <f ca="1">IF(G111&lt;&gt;"",G111,IFERROR(IF(INDIRECT("'"&amp;G$86&amp;"'!"&amp;VLOOKUP(G$87,'List Values'!$C$3:$D$6,2,FALSE)&amp;ROW(G111))="","",INDIRECT("'"&amp;G$86&amp;"'!"&amp;VLOOKUP(G$87,'List Values'!$C$3:$D$6,2,FALSE)&amp;ROW(G111))*$H$6),IF($G$86&lt;&gt;"","Data Source Error","")))</f>
        <v>13.891187860080294</v>
      </c>
      <c r="I111" s="195"/>
      <c r="J111" s="568"/>
      <c r="K111" s="936">
        <f ca="1">IF($H$7&lt;2,"",IF(J111&lt;&gt;"",J111,IFERROR(IF(INDIRECT("'"&amp;J$86&amp;"'!"&amp;VLOOKUP(J$87,'List Values'!$C$3:$D$6,2,FALSE)&amp;ROW(J111))="","",INDIRECT("'"&amp;J$86&amp;"'!"&amp;VLOOKUP(J$87,'List Values'!$C$3:$D$6,2,FALSE)&amp;ROW(J111))*$H$6),IF($J$86&lt;&gt;"","Data Source Error",""))))</f>
        <v>28.152463822514672</v>
      </c>
      <c r="L111" s="195"/>
      <c r="M111" s="568"/>
      <c r="N111" s="936">
        <f ca="1">IF($H$7&lt;3,"",IF(M111&lt;&gt;"",M111,IFERROR(IF(INDIRECT("'"&amp;M$86&amp;"'!"&amp;VLOOKUP(M$87,'List Values'!$C$3:$D$6,2,FALSE)&amp;ROW(M111))="","",INDIRECT("'"&amp;M$86&amp;"'!"&amp;VLOOKUP(M$87,'List Values'!$C$3:$D$6,2,FALSE)&amp;ROW(M111))*$H$6),IF($M$86&lt;&gt;"","Data Source Error",""))))</f>
        <v>0</v>
      </c>
      <c r="O111" s="184"/>
      <c r="P111" s="529"/>
      <c r="Q111" s="945" t="str">
        <f ca="1">IF($H$7&lt;4,"",IF(P111&lt;&gt;"",P111,IFERROR(IF(INDIRECT("'"&amp;P$86&amp;"'!"&amp;VLOOKUP(P$87,'List Values'!$C$3:$D$6,2,FALSE)&amp;ROW(P111))="","",INDIRECT("'"&amp;P$86&amp;"'!"&amp;VLOOKUP(P$87,'List Values'!$C$3:$D$6,2,FALSE)&amp;ROW(P111))*$H$6),IF($P$86&lt;&gt;"","Data Source Error",""))))</f>
        <v/>
      </c>
      <c r="S111" s="529"/>
      <c r="T111" s="945" t="str">
        <f ca="1">IF($H$7&lt;5,"",IF(S111&lt;&gt;"",S111,IFERROR(IF(INDIRECT("'"&amp;S$86&amp;"'!"&amp;VLOOKUP(S$87,'List Values'!$C$3:$D$6,2,FALSE)&amp;ROW(S111))="","",INDIRECT("'"&amp;S$86&amp;"'!"&amp;VLOOKUP(S$87,'List Values'!$C$3:$D$6,2,FALSE)&amp;ROW(S111))*$H$6),IF($S$86&lt;&gt;"","Data Source Error",""))))</f>
        <v/>
      </c>
      <c r="U111" s="258"/>
      <c r="V111" s="529"/>
      <c r="W111" s="952" t="str">
        <f ca="1">IF($H$7&lt;6,"",IF(V111&lt;&gt;"",V111,IFERROR(IF(INDIRECT("'"&amp;V$86&amp;"'!"&amp;VLOOKUP(V$87,'List Values'!$C$3:$D$6,2,FALSE)&amp;ROW(V111))="","",INDIRECT("'"&amp;V$86&amp;"'!"&amp;VLOOKUP(V$87,'List Values'!$C$3:$D$6,2,FALSE)&amp;ROW(V111))*$H$6),IF($V$86&lt;&gt;"","Data Source Error",""))))</f>
        <v/>
      </c>
      <c r="X111" s="86"/>
      <c r="Y111" s="2643"/>
      <c r="Z111" s="2644"/>
      <c r="AA111" s="2644"/>
      <c r="AB111" s="2645"/>
      <c r="AD111" s="52"/>
    </row>
    <row r="112" spans="1:30" ht="33.75" customHeight="1" outlineLevel="1">
      <c r="B112" s="2673"/>
      <c r="C112" s="2664" t="s">
        <v>5445</v>
      </c>
      <c r="D112" s="2664"/>
      <c r="E112" s="196"/>
      <c r="F112" s="196"/>
      <c r="G112" s="569"/>
      <c r="H112" s="937">
        <f ca="1">IF(G112&lt;&gt;"",G112,IFERROR(IF(INDIRECT("'"&amp;G$86&amp;"'!"&amp;VLOOKUP(G$87,'List Values'!$C$3:$D$6,2,FALSE)&amp;ROW(G112))="","",INDIRECT("'"&amp;G$86&amp;"'!"&amp;VLOOKUP(G$87,'List Values'!$C$3:$D$6,2,FALSE)&amp;ROW(G112))*$H$6),IF($G$86&lt;&gt;"","Data Source Error","")))</f>
        <v>15</v>
      </c>
      <c r="I112" s="247"/>
      <c r="J112" s="569"/>
      <c r="K112" s="937">
        <f ca="1">IF($H$7&lt;2,"",IF(J112&lt;&gt;"",J112,IFERROR(IF(INDIRECT("'"&amp;J$86&amp;"'!"&amp;VLOOKUP(J$87,'List Values'!$C$3:$D$6,2,FALSE)&amp;ROW(J112))="","",INDIRECT("'"&amp;J$86&amp;"'!"&amp;VLOOKUP(J$87,'List Values'!$C$3:$D$6,2,FALSE)&amp;ROW(J112))*$H$6),IF($J$86&lt;&gt;"","Data Source Error",""))))</f>
        <v>15</v>
      </c>
      <c r="L112" s="247"/>
      <c r="M112" s="569"/>
      <c r="N112" s="937">
        <f ca="1">IF($H$7&lt;3,"",IF(M112&lt;&gt;"",M112,IFERROR(IF(INDIRECT("'"&amp;M$86&amp;"'!"&amp;VLOOKUP(M$87,'List Values'!$C$3:$D$6,2,FALSE)&amp;ROW(M112))="","",INDIRECT("'"&amp;M$86&amp;"'!"&amp;VLOOKUP(M$87,'List Values'!$C$3:$D$6,2,FALSE)&amp;ROW(M112))*$H$6),IF($M$86&lt;&gt;"","Data Source Error",""))))</f>
        <v>15</v>
      </c>
      <c r="O112" s="196"/>
      <c r="P112" s="530"/>
      <c r="Q112" s="946" t="str">
        <f ca="1">IF($H$7&lt;4,"",IF(P112&lt;&gt;"",P112,IFERROR(IF(INDIRECT("'"&amp;P$86&amp;"'!"&amp;VLOOKUP(P$87,'List Values'!$C$3:$D$6,2,FALSE)&amp;ROW(P112))="","",INDIRECT("'"&amp;P$86&amp;"'!"&amp;VLOOKUP(P$87,'List Values'!$C$3:$D$6,2,FALSE)&amp;ROW(P112))*$H$6),IF($P$86&lt;&gt;"","Data Source Error",""))))</f>
        <v/>
      </c>
      <c r="S112" s="530"/>
      <c r="T112" s="946" t="str">
        <f ca="1">IF($H$7&lt;5,"",IF(S112&lt;&gt;"",S112,IFERROR(IF(INDIRECT("'"&amp;S$86&amp;"'!"&amp;VLOOKUP(S$87,'List Values'!$C$3:$D$6,2,FALSE)&amp;ROW(S112))="","",INDIRECT("'"&amp;S$86&amp;"'!"&amp;VLOOKUP(S$87,'List Values'!$C$3:$D$6,2,FALSE)&amp;ROW(S112))*$H$6),IF($S$86&lt;&gt;"","Data Source Error",""))))</f>
        <v/>
      </c>
      <c r="V112" s="530"/>
      <c r="W112" s="953" t="str">
        <f ca="1">IF($H$7&lt;6,"",IF(V112&lt;&gt;"",V112,IFERROR(IF(INDIRECT("'"&amp;V$86&amp;"'!"&amp;VLOOKUP(V$87,'List Values'!$C$3:$D$6,2,FALSE)&amp;ROW(V112))="","",INDIRECT("'"&amp;V$86&amp;"'!"&amp;VLOOKUP(V$87,'List Values'!$C$3:$D$6,2,FALSE)&amp;ROW(V112))*$H$6),IF($V$86&lt;&gt;"","Data Source Error",""))))</f>
        <v/>
      </c>
      <c r="Y112" s="2643"/>
      <c r="Z112" s="2644"/>
      <c r="AA112" s="2644"/>
      <c r="AB112" s="2645"/>
      <c r="AD112" s="52"/>
    </row>
    <row r="113" spans="1:30" ht="33.75" customHeight="1" outlineLevel="1">
      <c r="B113" s="2671" t="s">
        <v>824</v>
      </c>
      <c r="C113" s="2663" t="s">
        <v>825</v>
      </c>
      <c r="D113" s="2663"/>
      <c r="E113" s="61"/>
      <c r="F113" s="61"/>
      <c r="G113" s="563"/>
      <c r="H113" s="938">
        <f ca="1">IF(G113&lt;&gt;"",G113,IFERROR(IF(INDIRECT("'"&amp;G$86&amp;"'!"&amp;VLOOKUP(G$87,'List Values'!$C$3:$D$6,2,FALSE)&amp;ROW(G113))="","",INDIRECT("'"&amp;G$86&amp;"'!"&amp;VLOOKUP(G$87,'List Values'!$C$3:$D$6,2,FALSE)&amp;ROW(G113))),IF($G$86&lt;&gt;"","Data Source Error","")))</f>
        <v>20</v>
      </c>
      <c r="I113" s="249"/>
      <c r="J113" s="572"/>
      <c r="K113" s="938">
        <f ca="1">IF($H$7&lt;2,"",IF(J113&lt;&gt;"",J113,IFERROR(IF(INDIRECT("'"&amp;J$86&amp;"'!"&amp;VLOOKUP(J$87,'List Values'!$C$3:$D$6,2,FALSE)&amp;ROW(J113))="","",INDIRECT("'"&amp;J$86&amp;"'!"&amp;VLOOKUP(J$87,'List Values'!$C$3:$D$6,2,FALSE)&amp;ROW(J113))),IF($J$86&lt;&gt;"","Data Source Error",""))))</f>
        <v>10</v>
      </c>
      <c r="L113" s="249"/>
      <c r="M113" s="572"/>
      <c r="N113" s="938">
        <f ca="1">IF($H$7&lt;3,"",IF(M113&lt;&gt;"",M113,IFERROR(IF(INDIRECT("'"&amp;M$86&amp;"'!"&amp;VLOOKUP(M$87,'List Values'!$C$3:$D$6,2,FALSE)&amp;ROW(M113))="","",INDIRECT("'"&amp;M$86&amp;"'!"&amp;VLOOKUP(M$87,'List Values'!$C$3:$D$6,2,FALSE)&amp;ROW(M113))),IF($M$86&lt;&gt;"","Data Source Error",""))))</f>
        <v>1</v>
      </c>
      <c r="O113" s="198"/>
      <c r="P113" s="531"/>
      <c r="Q113" s="942" t="str">
        <f ca="1">IF($H$7&lt;4,"",IF(P113&lt;&gt;"",P113,IFERROR(IF(INDIRECT("'"&amp;P$86&amp;"'!"&amp;VLOOKUP(P$87,'List Values'!$C$3:$D$6,2,FALSE)&amp;ROW(P113))="","",INDIRECT("'"&amp;P$86&amp;"'!"&amp;VLOOKUP(P$87,'List Values'!$C$3:$D$6,2,FALSE)&amp;ROW(P113))),IF($P$86&lt;&gt;"","Data Source Error",""))))</f>
        <v/>
      </c>
      <c r="S113" s="531"/>
      <c r="T113" s="942" t="str">
        <f ca="1">IF($H$7&lt;5,"",IF(S113&lt;&gt;"",S113,IFERROR(IF(INDIRECT("'"&amp;S$86&amp;"'!"&amp;VLOOKUP(S$87,'List Values'!$C$3:$D$6,2,FALSE)&amp;ROW(S113))="","",INDIRECT("'"&amp;S$86&amp;"'!"&amp;VLOOKUP(S$87,'List Values'!$C$3:$D$6,2,FALSE)&amp;ROW(S113))),IF($S$86&lt;&gt;"","Data Source Error",""))))</f>
        <v/>
      </c>
      <c r="V113" s="531"/>
      <c r="W113" s="948" t="str">
        <f ca="1">IF($H$7&lt;6,"",IF(V113&lt;&gt;"",V113,IFERROR(IF(INDIRECT("'"&amp;V$86&amp;"'!"&amp;VLOOKUP(V$87,'List Values'!$C$3:$D$6,2,FALSE)&amp;ROW(V113))="","",INDIRECT("'"&amp;V$86&amp;"'!"&amp;VLOOKUP(V$87,'List Values'!$C$3:$D$6,2,FALSE)&amp;ROW(V113))),IF($V$86&lt;&gt;"","Data Source Error",""))))</f>
        <v/>
      </c>
      <c r="Y113" s="2643"/>
      <c r="Z113" s="2644"/>
      <c r="AA113" s="2644"/>
      <c r="AB113" s="2645"/>
      <c r="AD113" s="52"/>
    </row>
    <row r="114" spans="1:30" ht="20.25" customHeight="1" outlineLevel="1">
      <c r="B114" s="2672"/>
      <c r="C114" s="2583" t="s">
        <v>826</v>
      </c>
      <c r="D114" s="2583"/>
      <c r="G114" s="564"/>
      <c r="H114" s="939">
        <f ca="1">IF(G114&lt;&gt;"",G114,IFERROR(IF(INDIRECT("'"&amp;G$86&amp;"'!"&amp;VLOOKUP(G$87,'List Values'!$C$3:$D$6,2,FALSE)&amp;ROW(G114))="","",INDIRECT("'"&amp;G$86&amp;"'!"&amp;VLOOKUP(G$87,'List Values'!$C$3:$D$6,2,FALSE)&amp;ROW(G114))),IF($G$86&lt;&gt;"","Data Source Error","")))</f>
        <v>0.01</v>
      </c>
      <c r="I114" s="214"/>
      <c r="J114" s="573"/>
      <c r="K114" s="939">
        <f ca="1">IF($H$7&lt;2,"",IF(J114&lt;&gt;"",J114,IFERROR(IF(INDIRECT("'"&amp;J$86&amp;"'!"&amp;VLOOKUP(J$87,'List Values'!$C$3:$D$6,2,FALSE)&amp;ROW(J114))="","",INDIRECT("'"&amp;J$86&amp;"'!"&amp;VLOOKUP(J$87,'List Values'!$C$3:$D$6,2,FALSE)&amp;ROW(J114))),IF($J$86&lt;&gt;"","Data Source Error",""))))</f>
        <v>0.01</v>
      </c>
      <c r="L114" s="214"/>
      <c r="M114" s="573"/>
      <c r="N114" s="939">
        <f ca="1">IF($H$7&lt;3,"",IF(M114&lt;&gt;"",M114,IFERROR(IF(INDIRECT("'"&amp;M$86&amp;"'!"&amp;VLOOKUP(M$87,'List Values'!$C$3:$D$6,2,FALSE)&amp;ROW(M114))="","",INDIRECT("'"&amp;M$86&amp;"'!"&amp;VLOOKUP(M$87,'List Values'!$C$3:$D$6,2,FALSE)&amp;ROW(M114))),IF($M$86&lt;&gt;"","Data Source Error",""))))</f>
        <v>0.01</v>
      </c>
      <c r="O114" s="187"/>
      <c r="P114" s="528"/>
      <c r="Q114" s="904" t="str">
        <f ca="1">IF($H$7&lt;4,"",IF(P114&lt;&gt;"",P114,IFERROR(IF(INDIRECT("'"&amp;P$86&amp;"'!"&amp;VLOOKUP(P$87,'List Values'!$C$3:$D$6,2,FALSE)&amp;ROW(P114))="","",INDIRECT("'"&amp;P$86&amp;"'!"&amp;VLOOKUP(P$87,'List Values'!$C$3:$D$6,2,FALSE)&amp;ROW(P114))),IF($P$86&lt;&gt;"","Data Source Error",""))))</f>
        <v/>
      </c>
      <c r="S114" s="528"/>
      <c r="T114" s="904" t="str">
        <f ca="1">IF($H$7&lt;5,"",IF(S114&lt;&gt;"",S114,IFERROR(IF(INDIRECT("'"&amp;S$86&amp;"'!"&amp;VLOOKUP(S$87,'List Values'!$C$3:$D$6,2,FALSE)&amp;ROW(S114))="","",INDIRECT("'"&amp;S$86&amp;"'!"&amp;VLOOKUP(S$87,'List Values'!$C$3:$D$6,2,FALSE)&amp;ROW(S114))),IF($S$86&lt;&gt;"","Data Source Error",""))))</f>
        <v/>
      </c>
      <c r="V114" s="528"/>
      <c r="W114" s="912" t="str">
        <f ca="1">IF($H$7&lt;6,"",IF(V114&lt;&gt;"",V114,IFERROR(IF(INDIRECT("'"&amp;V$86&amp;"'!"&amp;VLOOKUP(V$87,'List Values'!$C$3:$D$6,2,FALSE)&amp;ROW(V114))="","",INDIRECT("'"&amp;V$86&amp;"'!"&amp;VLOOKUP(V$87,'List Values'!$C$3:$D$6,2,FALSE)&amp;ROW(V114))),IF($V$86&lt;&gt;"","Data Source Error",""))))</f>
        <v/>
      </c>
      <c r="Y114" s="2643"/>
      <c r="Z114" s="2644"/>
      <c r="AA114" s="2644"/>
      <c r="AB114" s="2645"/>
      <c r="AD114" s="52"/>
    </row>
    <row r="115" spans="1:30" ht="20.25" customHeight="1" outlineLevel="1">
      <c r="B115" s="2672"/>
      <c r="C115" s="2583" t="s">
        <v>827</v>
      </c>
      <c r="D115" s="2583"/>
      <c r="G115" s="564"/>
      <c r="H115" s="936">
        <f ca="1">IF(G115&lt;&gt;"",G115,IFERROR(IF(INDIRECT("'"&amp;G$86&amp;"'!"&amp;VLOOKUP(G$87,'List Values'!$C$3:$D$6,2,FALSE)&amp;ROW(G115))="","",INDIRECT("'"&amp;G$86&amp;"'!"&amp;VLOOKUP(G$87,'List Values'!$C$3:$D$6,2,FALSE)&amp;ROW(G115))*$H$6),IF($G$86&lt;&gt;"","Data Source Error","")))</f>
        <v>150</v>
      </c>
      <c r="I115" s="250"/>
      <c r="J115" s="568"/>
      <c r="K115" s="936">
        <f ca="1">IF($H$7&lt;2,"",IF(J115&lt;&gt;"",J115,IFERROR(IF(INDIRECT("'"&amp;J$86&amp;"'!"&amp;VLOOKUP(J$87,'List Values'!$C$3:$D$6,2,FALSE)&amp;ROW(J115))="","",INDIRECT("'"&amp;J$86&amp;"'!"&amp;VLOOKUP(J$87,'List Values'!$C$3:$D$6,2,FALSE)&amp;ROW(J115))*$H$6),IF($J$86&lt;&gt;"","Data Source Error",""))))</f>
        <v>150</v>
      </c>
      <c r="L115" s="250"/>
      <c r="M115" s="568"/>
      <c r="N115" s="936">
        <f ca="1">IF($H$7&lt;3,"",IF(M115&lt;&gt;"",M115,IFERROR(IF(INDIRECT("'"&amp;M$86&amp;"'!"&amp;VLOOKUP(M$87,'List Values'!$C$3:$D$6,2,FALSE)&amp;ROW(M115))="","",INDIRECT("'"&amp;M$86&amp;"'!"&amp;VLOOKUP(M$87,'List Values'!$C$3:$D$6,2,FALSE)&amp;ROW(M115))*$H$6),IF($M$86&lt;&gt;"","Data Source Error",""))))</f>
        <v>150</v>
      </c>
      <c r="O115" s="187"/>
      <c r="P115" s="528"/>
      <c r="Q115" s="904" t="str">
        <f ca="1">IF($H$7&lt;4,"",IF(P115&lt;&gt;"",P115,IFERROR(IF(INDIRECT("'"&amp;P$86&amp;"'!"&amp;VLOOKUP(P$87,'List Values'!$C$3:$D$6,2,FALSE)&amp;ROW(P115))="","",INDIRECT("'"&amp;P$86&amp;"'!"&amp;VLOOKUP(P$87,'List Values'!$C$3:$D$6,2,FALSE)&amp;ROW(P115))*$H$6),IF($P$86&lt;&gt;"","Data Source Error",""))))</f>
        <v/>
      </c>
      <c r="S115" s="528"/>
      <c r="T115" s="904" t="str">
        <f ca="1">IF($H$7&lt;5,"",IF(S115&lt;&gt;"",S115,IFERROR(IF(INDIRECT("'"&amp;S$86&amp;"'!"&amp;VLOOKUP(S$87,'List Values'!$C$3:$D$6,2,FALSE)&amp;ROW(S115))="","",INDIRECT("'"&amp;S$86&amp;"'!"&amp;VLOOKUP(S$87,'List Values'!$C$3:$D$6,2,FALSE)&amp;ROW(S115))*$H$6),IF($S$86&lt;&gt;"","Data Source Error",""))))</f>
        <v/>
      </c>
      <c r="V115" s="528"/>
      <c r="W115" s="912" t="str">
        <f ca="1">IF($H$7&lt;6,"",IF(V115&lt;&gt;"",V115,IFERROR(IF(INDIRECT("'"&amp;V$86&amp;"'!"&amp;VLOOKUP(V$87,'List Values'!$C$3:$D$6,2,FALSE)&amp;ROW(V115))="","",INDIRECT("'"&amp;V$86&amp;"'!"&amp;VLOOKUP(V$87,'List Values'!$C$3:$D$6,2,FALSE)&amp;ROW(V115))*$H$6),IF($V$86&lt;&gt;"","Data Source Error",""))))</f>
        <v/>
      </c>
      <c r="Y115" s="2643"/>
      <c r="Z115" s="2644"/>
      <c r="AA115" s="2644"/>
      <c r="AB115" s="2645"/>
      <c r="AD115" s="52"/>
    </row>
    <row r="116" spans="1:30" ht="20.25" customHeight="1" outlineLevel="1">
      <c r="B116" s="2672"/>
      <c r="C116" s="2583" t="s">
        <v>828</v>
      </c>
      <c r="D116" s="2583"/>
      <c r="G116" s="564"/>
      <c r="H116" s="939">
        <f ca="1">IF(G116&lt;&gt;"",G116,IFERROR(IF(INDIRECT("'"&amp;G$86&amp;"'!"&amp;VLOOKUP(G$87,'List Values'!$C$3:$D$6,2,FALSE)&amp;ROW(G116))="","",INDIRECT("'"&amp;G$86&amp;"'!"&amp;VLOOKUP(G$87,'List Values'!$C$3:$D$6,2,FALSE)&amp;ROW(G116))*$H$6),IF($G$86&lt;&gt;"","Data Source Error","")))</f>
        <v>0</v>
      </c>
      <c r="I116" s="214"/>
      <c r="J116" s="573"/>
      <c r="K116" s="939">
        <f ca="1">IF($H$7&lt;2,"",IF(J116&lt;&gt;"",J116,IFERROR(IF(INDIRECT("'"&amp;J$86&amp;"'!"&amp;VLOOKUP(J$87,'List Values'!$C$3:$D$6,2,FALSE)&amp;ROW(J116))="","",INDIRECT("'"&amp;J$86&amp;"'!"&amp;VLOOKUP(J$87,'List Values'!$C$3:$D$6,2,FALSE)&amp;ROW(J116))*$H$6),IF($J$86&lt;&gt;"","Data Source Error",""))))</f>
        <v>0</v>
      </c>
      <c r="L116" s="214"/>
      <c r="M116" s="573"/>
      <c r="N116" s="939">
        <f ca="1">IF($H$7&lt;3,"",IF(M116&lt;&gt;"",M116,IFERROR(IF(INDIRECT("'"&amp;M$86&amp;"'!"&amp;VLOOKUP(M$87,'List Values'!$C$3:$D$6,2,FALSE)&amp;ROW(M116))="","",INDIRECT("'"&amp;M$86&amp;"'!"&amp;VLOOKUP(M$87,'List Values'!$C$3:$D$6,2,FALSE)&amp;ROW(M116))*$H$6),IF($M$86&lt;&gt;"","Data Source Error",""))))</f>
        <v>0</v>
      </c>
      <c r="O116" s="187"/>
      <c r="P116" s="528"/>
      <c r="Q116" s="904" t="str">
        <f ca="1">IF($H$7&lt;4,"",IF(P116&lt;&gt;"",P116,IFERROR(IF(INDIRECT("'"&amp;P$86&amp;"'!"&amp;VLOOKUP(P$87,'List Values'!$C$3:$D$6,2,FALSE)&amp;ROW(P116))="","",INDIRECT("'"&amp;P$86&amp;"'!"&amp;VLOOKUP(P$87,'List Values'!$C$3:$D$6,2,FALSE)&amp;ROW(P116))*$H$6),IF($P$86&lt;&gt;"","Data Source Error",""))))</f>
        <v/>
      </c>
      <c r="S116" s="528"/>
      <c r="T116" s="904" t="str">
        <f ca="1">IF($H$7&lt;5,"",IF(S116&lt;&gt;"",S116,IFERROR(IF(INDIRECT("'"&amp;S$86&amp;"'!"&amp;VLOOKUP(S$87,'List Values'!$C$3:$D$6,2,FALSE)&amp;ROW(S116))="","",INDIRECT("'"&amp;S$86&amp;"'!"&amp;VLOOKUP(S$87,'List Values'!$C$3:$D$6,2,FALSE)&amp;ROW(S116))*$H$6),IF($S$86&lt;&gt;"","Data Source Error",""))))</f>
        <v/>
      </c>
      <c r="V116" s="528"/>
      <c r="W116" s="912" t="str">
        <f ca="1">IF($H$7&lt;6,"",IF(V116&lt;&gt;"",V116,IFERROR(IF(INDIRECT("'"&amp;V$86&amp;"'!"&amp;VLOOKUP(V$87,'List Values'!$C$3:$D$6,2,FALSE)&amp;ROW(V116))="","",INDIRECT("'"&amp;V$86&amp;"'!"&amp;VLOOKUP(V$87,'List Values'!$C$3:$D$6,2,FALSE)&amp;ROW(V116))*$H$6),IF($V$86&lt;&gt;"","Data Source Error",""))))</f>
        <v/>
      </c>
      <c r="Y116" s="2643"/>
      <c r="Z116" s="2644"/>
      <c r="AA116" s="2644"/>
      <c r="AB116" s="2645"/>
      <c r="AD116" s="52"/>
    </row>
    <row r="117" spans="1:30" ht="35.25" customHeight="1" outlineLevel="1">
      <c r="B117" s="2673"/>
      <c r="C117" s="2664" t="s">
        <v>829</v>
      </c>
      <c r="D117" s="2664"/>
      <c r="E117" s="236"/>
      <c r="F117" s="236"/>
      <c r="G117" s="570"/>
      <c r="H117" s="893" t="str">
        <f ca="1">IF(G117&lt;&gt;"",G117,IFERROR(IF(INDIRECT("'"&amp;G$86&amp;"'!"&amp;VLOOKUP(G$87,'List Values'!$C$3:$D$6,2,FALSE)&amp;ROW(G117))="","",INDIRECT("'"&amp;G$86&amp;"'!"&amp;VLOOKUP(G$87,'List Values'!$C$3:$D$6,2,FALSE)&amp;ROW(G117))),IF($G$86&lt;&gt;"","Data Source Error","")))</f>
        <v>Downstream</v>
      </c>
      <c r="I117" s="275"/>
      <c r="J117" s="570"/>
      <c r="K117" s="893" t="str">
        <f ca="1">IF($H$7&lt;2,"",IF(J117&lt;&gt;"",J117,IFERROR(IF(INDIRECT("'"&amp;J$86&amp;"'!"&amp;VLOOKUP(J$87,'List Values'!$C$3:$D$6,2,FALSE)&amp;ROW(J117))="","",INDIRECT("'"&amp;J$86&amp;"'!"&amp;VLOOKUP(J$87,'List Values'!$C$3:$D$6,2,FALSE)&amp;ROW(J117))),IF($J$86&lt;&gt;"","Data Source Error",""))))</f>
        <v>Downstream</v>
      </c>
      <c r="L117" s="275"/>
      <c r="M117" s="570"/>
      <c r="N117" s="933" t="str">
        <f ca="1">IF($H$7&lt;3,"",IF(M117&lt;&gt;"",M117,IFERROR(IF(INDIRECT("'"&amp;M$86&amp;"'!"&amp;VLOOKUP(M$87,'List Values'!$C$3:$D$6,2,FALSE)&amp;ROW(M117))="","",INDIRECT("'"&amp;M$86&amp;"'!"&amp;VLOOKUP(M$87,'List Values'!$C$3:$D$6,2,FALSE)&amp;ROW(M117))),IF($M$86&lt;&gt;"","Data Source Error",""))))</f>
        <v>Upstream</v>
      </c>
      <c r="O117" s="236"/>
      <c r="P117" s="570"/>
      <c r="Q117" s="940" t="str">
        <f ca="1">IF($H$7&lt;4,"",IF(P117&lt;&gt;"",P117,IFERROR(IF(INDIRECT("'"&amp;P$86&amp;"'!"&amp;VLOOKUP(P$87,'List Values'!$C$3:$D$6,2,FALSE)&amp;ROW(P117))="","",INDIRECT("'"&amp;P$86&amp;"'!"&amp;VLOOKUP(P$87,'List Values'!$C$3:$D$6,2,FALSE)&amp;ROW(P117))),IF($P$86&lt;&gt;"","Data Source Error",""))))</f>
        <v/>
      </c>
      <c r="S117" s="570"/>
      <c r="T117" s="940" t="str">
        <f ca="1">IF($H$7&lt;5,"",IF(S117&lt;&gt;"",S117,IFERROR(IF(INDIRECT("'"&amp;S$86&amp;"'!"&amp;VLOOKUP(S$87,'List Values'!$C$3:$D$6,2,FALSE)&amp;ROW(S117))="","",INDIRECT("'"&amp;S$86&amp;"'!"&amp;VLOOKUP(S$87,'List Values'!$C$3:$D$6,2,FALSE)&amp;ROW(S117))),IF($S$86&lt;&gt;"","Data Source Error",""))))</f>
        <v/>
      </c>
      <c r="V117" s="570"/>
      <c r="W117" s="954" t="str">
        <f ca="1">IF($H$7&lt;6,"",IF(V117&lt;&gt;"",V117,IFERROR(IF(INDIRECT("'"&amp;V$86&amp;"'!"&amp;VLOOKUP(V$87,'List Values'!$C$3:$D$6,2,FALSE)&amp;ROW(V117))="","",INDIRECT("'"&amp;V$86&amp;"'!"&amp;VLOOKUP(V$87,'List Values'!$C$3:$D$6,2,FALSE)&amp;ROW(V117))),IF($V$86&lt;&gt;"","Data Source Error",""))))</f>
        <v/>
      </c>
      <c r="Y117" s="2657"/>
      <c r="Z117" s="2658"/>
      <c r="AA117" s="2658"/>
      <c r="AB117" s="2659"/>
      <c r="AD117" s="52"/>
    </row>
    <row r="118" spans="1:30" ht="28.5" customHeight="1">
      <c r="A118" s="630" t="s">
        <v>654</v>
      </c>
      <c r="C118" s="130"/>
      <c r="D118" s="130"/>
      <c r="E118" s="130"/>
      <c r="G118" s="121"/>
      <c r="H118" s="69"/>
      <c r="K118" s="69"/>
      <c r="N118" s="69"/>
      <c r="Q118" s="69"/>
    </row>
    <row r="119" spans="1:30" ht="26.25" customHeight="1" collapsed="1">
      <c r="B119" s="600" t="s">
        <v>603</v>
      </c>
      <c r="C119" s="596"/>
      <c r="D119" s="596"/>
      <c r="E119" s="596"/>
      <c r="F119" s="596"/>
      <c r="G119" s="597"/>
      <c r="H119" s="594"/>
      <c r="I119" s="596"/>
      <c r="J119" s="597"/>
      <c r="K119" s="594"/>
      <c r="L119" s="596"/>
      <c r="M119" s="597"/>
      <c r="N119" s="594"/>
      <c r="O119" s="596"/>
      <c r="P119" s="2660"/>
      <c r="Q119" s="2660"/>
      <c r="R119" s="594"/>
      <c r="S119" s="2660"/>
      <c r="T119" s="2660"/>
      <c r="U119" s="594"/>
      <c r="V119" s="2660"/>
      <c r="W119" s="2660"/>
      <c r="X119" s="86"/>
    </row>
    <row r="120" spans="1:30" ht="19.5" hidden="1" customHeight="1" outlineLevel="1">
      <c r="B120" s="505"/>
      <c r="C120" s="36"/>
      <c r="D120" s="36"/>
      <c r="E120" s="36"/>
      <c r="F120" s="36"/>
      <c r="G120" s="2674" t="str">
        <f ca="1">"Management at "&amp;H88</f>
        <v>Management at CMS</v>
      </c>
      <c r="H120" s="2678"/>
      <c r="I120" s="129"/>
      <c r="J120" s="2674" t="str">
        <f ca="1">"Management at "&amp;K88</f>
        <v>Management at Regional WH</v>
      </c>
      <c r="K120" s="2678"/>
      <c r="L120" s="129"/>
      <c r="M120" s="2674" t="str">
        <f ca="1">"Management at "&amp;N88</f>
        <v>Management at Health Facility</v>
      </c>
      <c r="N120" s="2678"/>
      <c r="O120" s="506"/>
      <c r="P120" s="2674" t="str">
        <f ca="1">"Management at "&amp;Q88</f>
        <v xml:space="preserve">Management at </v>
      </c>
      <c r="Q120" s="2678"/>
      <c r="R120" s="236"/>
      <c r="S120" s="2674" t="str">
        <f ca="1">"Management at "&amp;T88</f>
        <v xml:space="preserve">Management at </v>
      </c>
      <c r="T120" s="2678"/>
      <c r="U120" s="236"/>
      <c r="V120" s="2674" t="str">
        <f ca="1">"Management at "&amp;W88</f>
        <v xml:space="preserve">Management at </v>
      </c>
      <c r="W120" s="2675"/>
      <c r="X120" s="86"/>
      <c r="Y120" s="2619" t="s">
        <v>673</v>
      </c>
      <c r="Z120" s="2620"/>
      <c r="AA120" s="2620"/>
      <c r="AB120" s="2621"/>
    </row>
    <row r="121" spans="1:30" ht="52.5" hidden="1" customHeight="1" outlineLevel="1">
      <c r="A121" s="1"/>
      <c r="B121" s="2676" t="s">
        <v>5462</v>
      </c>
      <c r="C121" s="2676"/>
      <c r="D121" s="2676"/>
      <c r="E121" s="183"/>
      <c r="F121" s="183"/>
      <c r="G121" s="575"/>
      <c r="H121" s="955" t="str">
        <f ca="1">IF(G121&lt;&gt;"",G121,IFERROR(IF(INDIRECT("'"&amp;G$86&amp;"'!"&amp;VLOOKUP(G$87,'List Values'!$C$3:$D$6,2,FALSE)&amp;ROW(G121))="","",INDIRECT("'"&amp;G$86&amp;"'!"&amp;VLOOKUP(G$87,'List Values'!$C$3:$D$6,2,FALSE)&amp;ROW(G121))),IF($G$86&lt;&gt;"","Data Source Error","")))</f>
        <v>Cost per facility</v>
      </c>
      <c r="I121" s="201"/>
      <c r="J121" s="575"/>
      <c r="K121" s="955" t="str">
        <f ca="1">IF($H$7&lt;2,"",IF(J121&lt;&gt;"",J121,IFERROR(IF(INDIRECT("'"&amp;J$86&amp;"'!"&amp;VLOOKUP(J$87,'List Values'!$C$3:$D$6,2,FALSE)&amp;ROW(J121))="","",INDIRECT("'"&amp;J$86&amp;"'!"&amp;VLOOKUP(J$87,'List Values'!$C$3:$D$6,2,FALSE)&amp;ROW(J121))),IF($J$86&lt;&gt;"","Data Source Error",""))))</f>
        <v>Cost per facility</v>
      </c>
      <c r="L121" s="201"/>
      <c r="M121" s="575"/>
      <c r="N121" s="955" t="str">
        <f ca="1">IF($H$7&lt;3,"",IF(M121&lt;&gt;"",M121,IFERROR(IF(INDIRECT("'"&amp;M$86&amp;"'!"&amp;VLOOKUP(M$87,'List Values'!$C$3:$D$6,2,FALSE)&amp;ROW(M121))="","",INDIRECT("'"&amp;M$86&amp;"'!"&amp;VLOOKUP(M$87,'List Values'!$C$3:$D$6,2,FALSE)&amp;ROW(M121))),IF($M$86&lt;&gt;"","Data Source Error",""))))</f>
        <v>Cost per facility</v>
      </c>
      <c r="O121" s="183"/>
      <c r="P121" s="578"/>
      <c r="Q121" s="955" t="str">
        <f ca="1">IF($H$7&lt;4,"",IF(P121&lt;&gt;"",P121,IFERROR(IF(INDIRECT("'"&amp;P$86&amp;"'!"&amp;VLOOKUP(P$87,'List Values'!$C$3:$D$6,2,FALSE)&amp;ROW(P121))="","",INDIRECT("'"&amp;P$86&amp;"'!"&amp;VLOOKUP(P$87,'List Values'!$C$3:$D$6,2,FALSE)&amp;ROW(P121))),IF($P$86&lt;&gt;"","Data Source Error",""))))</f>
        <v/>
      </c>
      <c r="S121" s="578"/>
      <c r="T121" s="955" t="str">
        <f ca="1">IF($H$7&lt;5,"",IF(S121&lt;&gt;"",S121,IFERROR(IF(INDIRECT("'"&amp;S$86&amp;"'!"&amp;VLOOKUP(S$87,'List Values'!$C$3:$D$6,2,FALSE)&amp;ROW(S121))="","",INDIRECT("'"&amp;S$86&amp;"'!"&amp;VLOOKUP(S$87,'List Values'!$C$3:$D$6,2,FALSE)&amp;ROW(S121))),IF($S$86&lt;&gt;"","Data Source Error",""))))</f>
        <v/>
      </c>
      <c r="V121" s="578"/>
      <c r="W121" s="958" t="str">
        <f ca="1">IF($H$7&lt;6,"",IF(V121&lt;&gt;"",V121,IFERROR(IF(INDIRECT("'"&amp;V$86&amp;"'!"&amp;VLOOKUP(V$87,'List Values'!$C$3:$D$6,2,FALSE)&amp;ROW(V121))="","",INDIRECT("'"&amp;V$86&amp;"'!"&amp;VLOOKUP(V$87,'List Values'!$C$3:$D$6,2,FALSE)&amp;ROW(V121))),IF($V$86&lt;&gt;"","Data Source Error",""))))</f>
        <v/>
      </c>
      <c r="Y121" s="2643"/>
      <c r="Z121" s="2644"/>
      <c r="AA121" s="2644"/>
      <c r="AB121" s="2645"/>
    </row>
    <row r="122" spans="1:30" ht="30" hidden="1" customHeight="1" outlineLevel="1">
      <c r="B122" s="2677" t="s">
        <v>5463</v>
      </c>
      <c r="C122" s="2677"/>
      <c r="D122" s="2677"/>
      <c r="E122" s="187"/>
      <c r="F122" s="187"/>
      <c r="G122" s="576"/>
      <c r="H122" s="956">
        <f ca="1">IF(G122&lt;&gt;"",G122,IFERROR(IF(INDIRECT("'"&amp;G$86&amp;"'!"&amp;VLOOKUP(G$87,'List Values'!$C$3:$D$6,2,FALSE)&amp;ROW(G122))="","",INDIRECT("'"&amp;G$86&amp;"'!"&amp;VLOOKUP(G$87,'List Values'!$C$3:$D$6,2,FALSE)&amp;ROW(G122))*$H$6),IF($G$86&lt;&gt;"","Data Source Error","")))</f>
        <v>68518.335535384278</v>
      </c>
      <c r="I122" s="217"/>
      <c r="J122" s="576"/>
      <c r="K122" s="956">
        <f ca="1">IF($H$7&lt;2,"",IF(J122&lt;&gt;"",J122,IFERROR(IF(INDIRECT("'"&amp;J$86&amp;"'!"&amp;VLOOKUP(J$87,'List Values'!$C$3:$D$6,2,FALSE)&amp;ROW(J122))="","",INDIRECT("'"&amp;J$86&amp;"'!"&amp;VLOOKUP(J$87,'List Values'!$C$3:$D$6,2,FALSE)&amp;ROW(J122))*$H$6),IF($J$86&lt;&gt;"","Data Source Error",""))))</f>
        <v>13104</v>
      </c>
      <c r="L122" s="217"/>
      <c r="M122" s="576"/>
      <c r="N122" s="956">
        <f ca="1">IF($H$7&lt;3,"",IF(M122&lt;&gt;"",M122,IFERROR(IF(INDIRECT("'"&amp;M$86&amp;"'!"&amp;VLOOKUP(M$87,'List Values'!$C$3:$D$6,2,FALSE)&amp;ROW(M122))="","",INDIRECT("'"&amp;M$86&amp;"'!"&amp;VLOOKUP(M$87,'List Values'!$C$3:$D$6,2,FALSE)&amp;ROW(M122))*$H$6),IF($M$86&lt;&gt;"","Data Source Error",""))))</f>
        <v>146.23868975562249</v>
      </c>
      <c r="O122" s="187"/>
      <c r="P122" s="528"/>
      <c r="Q122" s="956" t="str">
        <f ca="1">IF($H$7&lt;4,"",IF(P122&lt;&gt;"",P122,IFERROR(IF(INDIRECT("'"&amp;P$86&amp;"'!"&amp;VLOOKUP(P$87,'List Values'!$C$3:$D$6,2,FALSE)&amp;ROW(P122))="","",INDIRECT("'"&amp;P$86&amp;"'!"&amp;VLOOKUP(P$87,'List Values'!$C$3:$D$6,2,FALSE)&amp;ROW(P122))*$H$6),IF($P$86&lt;&gt;"","Data Source Error",""))))</f>
        <v/>
      </c>
      <c r="S122" s="528"/>
      <c r="T122" s="956" t="str">
        <f ca="1">IF($H$7&lt;5,"",IF(S122&lt;&gt;"",S122,IFERROR(IF(INDIRECT("'"&amp;S$86&amp;"'!"&amp;VLOOKUP(S$87,'List Values'!$C$3:$D$6,2,FALSE)&amp;ROW(S122))="","",INDIRECT("'"&amp;S$86&amp;"'!"&amp;VLOOKUP(S$87,'List Values'!$C$3:$D$6,2,FALSE)&amp;ROW(S122))*$H$6),IF($S$86&lt;&gt;"","Data Source Error",""))))</f>
        <v/>
      </c>
      <c r="V122" s="528"/>
      <c r="W122" s="959" t="str">
        <f ca="1">IF($H$7&lt;6,"",IF(V122&lt;&gt;"",V122,IFERROR(IF(INDIRECT("'"&amp;V$86&amp;"'!"&amp;VLOOKUP(V$87,'List Values'!$C$3:$D$6,2,FALSE)&amp;ROW(V122))="","",INDIRECT("'"&amp;V$86&amp;"'!"&amp;VLOOKUP(V$87,'List Values'!$C$3:$D$6,2,FALSE)&amp;ROW(V122))*$H$6),IF($V$86&lt;&gt;"","Data Source Error",""))))</f>
        <v/>
      </c>
      <c r="Y122" s="2643"/>
      <c r="Z122" s="2644"/>
      <c r="AA122" s="2644"/>
      <c r="AB122" s="2645"/>
    </row>
    <row r="123" spans="1:30" ht="30.45" hidden="1" customHeight="1" outlineLevel="1">
      <c r="B123" s="2681" t="s">
        <v>5464</v>
      </c>
      <c r="C123" s="2681"/>
      <c r="D123" s="2681"/>
      <c r="E123" s="196"/>
      <c r="F123" s="196"/>
      <c r="G123" s="577"/>
      <c r="H123" s="957">
        <f ca="1">IF(G123&lt;&gt;"",G123,IFERROR(IF(INDIRECT("'"&amp;G$86&amp;"'!"&amp;VLOOKUP(G$87,'List Values'!$C$3:$D$6,2,FALSE)&amp;ROW(G123))="","",INDIRECT("'"&amp;G$86&amp;"'!"&amp;VLOOKUP(G$87,'List Values'!$C$3:$D$6,2,FALSE)&amp;ROW(G123))),IF($G$86&lt;&gt;"","Data Source Error","")))</f>
        <v>5.5705963849905903E-3</v>
      </c>
      <c r="I123" s="510"/>
      <c r="J123" s="577"/>
      <c r="K123" s="957">
        <f ca="1">IF($H$7&lt;2,"",IF(J123&lt;&gt;"",J123,IFERROR(IF(INDIRECT("'"&amp;J$86&amp;"'!"&amp;VLOOKUP(J$87,'List Values'!$C$3:$D$6,2,FALSE)&amp;ROW(J123))="","",INDIRECT("'"&amp;J$86&amp;"'!"&amp;VLOOKUP(J$87,'List Values'!$C$3:$D$6,2,FALSE)&amp;ROW(J123))),IF($J$86&lt;&gt;"","Data Source Error",""))))</f>
        <v>1.0653658536585366E-3</v>
      </c>
      <c r="L123" s="510"/>
      <c r="M123" s="577"/>
      <c r="N123" s="957">
        <f ca="1">IF($H$7&lt;3,"",IF(M123&lt;&gt;"",M123,IFERROR(IF(INDIRECT("'"&amp;M$86&amp;"'!"&amp;VLOOKUP(M$87,'List Values'!$C$3:$D$6,2,FALSE)&amp;ROW(M123))="","",INDIRECT("'"&amp;M$86&amp;"'!"&amp;VLOOKUP(M$87,'List Values'!$C$3:$D$6,2,FALSE)&amp;ROW(M123))),IF($M$86&lt;&gt;"","Data Source Error",""))))</f>
        <v>4.1018169077796547E-3</v>
      </c>
      <c r="O123" s="196"/>
      <c r="P123" s="530"/>
      <c r="Q123" s="957" t="str">
        <f ca="1">IF($H$7&lt;4,"",IF(P123&lt;&gt;"",P123,IFERROR(IF(INDIRECT("'"&amp;P$86&amp;"'!"&amp;VLOOKUP(P$87,'List Values'!$C$3:$D$6,2,FALSE)&amp;ROW(P123))="","",INDIRECT("'"&amp;P$86&amp;"'!"&amp;VLOOKUP(P$87,'List Values'!$C$3:$D$6,2,FALSE)&amp;ROW(P123))),IF($P$86&lt;&gt;"","Data Source Error",""))))</f>
        <v/>
      </c>
      <c r="R123" s="236"/>
      <c r="S123" s="530"/>
      <c r="T123" s="957" t="str">
        <f ca="1">IF($H$7&lt;5,"",IF(S123&lt;&gt;"",S123,IFERROR(IF(INDIRECT("'"&amp;S$86&amp;"'!"&amp;VLOOKUP(S$87,'List Values'!$C$3:$D$6,2,FALSE)&amp;ROW(S123))="","",INDIRECT("'"&amp;S$86&amp;"'!"&amp;VLOOKUP(S$87,'List Values'!$C$3:$D$6,2,FALSE)&amp;ROW(S123))),IF($S$86&lt;&gt;"","Data Source Error",""))))</f>
        <v/>
      </c>
      <c r="U123" s="236"/>
      <c r="V123" s="530"/>
      <c r="W123" s="960" t="str">
        <f ca="1">IF($H$7&lt;6,"",IF(V123&lt;&gt;"",V123,IFERROR(IF(INDIRECT("'"&amp;V$86&amp;"'!"&amp;VLOOKUP(V$87,'List Values'!$C$3:$D$6,2,FALSE)&amp;ROW(V123))="","",INDIRECT("'"&amp;V$86&amp;"'!"&amp;VLOOKUP(V$87,'List Values'!$C$3:$D$6,2,FALSE)&amp;ROW(V123))),IF($V$86&lt;&gt;"","Data Source Error",""))))</f>
        <v/>
      </c>
      <c r="Y123" s="2657"/>
      <c r="Z123" s="2658"/>
      <c r="AA123" s="2658"/>
      <c r="AB123" s="2659"/>
    </row>
    <row r="124" spans="1:30" ht="21" customHeight="1">
      <c r="A124" s="212" t="s">
        <v>352</v>
      </c>
      <c r="C124" s="130"/>
      <c r="D124" s="130"/>
      <c r="E124" s="130"/>
      <c r="G124" s="121"/>
      <c r="H124" s="69"/>
      <c r="K124" s="69"/>
      <c r="N124" s="69"/>
      <c r="Q124" s="69"/>
    </row>
    <row r="125" spans="1:30" ht="16" customHeight="1">
      <c r="A125" s="1"/>
      <c r="W125" s="4"/>
    </row>
    <row r="126" spans="1:30" ht="16" customHeight="1">
      <c r="A126" s="1"/>
      <c r="H126" s="147"/>
      <c r="W126" s="4"/>
    </row>
    <row r="127" spans="1:30" ht="16" customHeight="1">
      <c r="A127" s="1"/>
      <c r="W127" s="4"/>
    </row>
    <row r="128" spans="1:30" ht="16" customHeight="1">
      <c r="A128" s="1"/>
      <c r="W128" s="4"/>
    </row>
    <row r="129" spans="1:28" ht="41.25" customHeight="1">
      <c r="B129" s="2318" t="s">
        <v>606</v>
      </c>
      <c r="C129" s="2318"/>
      <c r="D129" s="2318"/>
      <c r="E129" s="496"/>
      <c r="F129" s="496"/>
      <c r="G129" s="497"/>
      <c r="H129" s="498"/>
      <c r="I129" s="2053"/>
      <c r="J129" s="212" t="s">
        <v>674</v>
      </c>
    </row>
    <row r="130" spans="1:28" s="52" customFormat="1" ht="24" customHeight="1">
      <c r="B130" s="2682" t="s">
        <v>2498</v>
      </c>
      <c r="C130" s="2682"/>
      <c r="D130" s="2682"/>
      <c r="E130" s="2682"/>
      <c r="F130" s="2682"/>
      <c r="G130" s="2682"/>
      <c r="H130" s="2682"/>
      <c r="I130" s="601"/>
      <c r="J130" s="2683" t="str">
        <f ca="1">H88&amp;"  to  "&amp;K88</f>
        <v>CMS  to  Regional WH</v>
      </c>
      <c r="K130" s="2683"/>
      <c r="L130" s="601"/>
      <c r="M130" s="2683" t="str">
        <f ca="1">K88&amp;"  to  "&amp;N88</f>
        <v>Regional WH  to  Health Facility</v>
      </c>
      <c r="N130" s="2683"/>
      <c r="O130" s="601"/>
      <c r="P130" s="2683" t="str">
        <f ca="1">N88&amp;"  to  "&amp;Q88</f>
        <v xml:space="preserve">Health Facility  to  </v>
      </c>
      <c r="Q130" s="2683"/>
      <c r="R130" s="601"/>
      <c r="S130" s="2683" t="str">
        <f ca="1">Q88&amp;"  to  "&amp;T88</f>
        <v xml:space="preserve">  to  </v>
      </c>
      <c r="T130" s="2683"/>
      <c r="U130" s="601"/>
      <c r="V130" s="2683" t="str">
        <f ca="1">T88&amp;"  to  "&amp;W88</f>
        <v xml:space="preserve">  to  </v>
      </c>
      <c r="W130" s="2683"/>
    </row>
    <row r="131" spans="1:28" s="52" customFormat="1" ht="1.5" customHeight="1" outlineLevel="1">
      <c r="B131" s="2682"/>
      <c r="C131" s="2682"/>
      <c r="D131" s="2682"/>
      <c r="E131" s="2682"/>
      <c r="F131" s="2682"/>
      <c r="G131" s="2682"/>
      <c r="H131" s="2682"/>
      <c r="I131" s="601"/>
      <c r="J131" s="602"/>
      <c r="K131" s="602"/>
      <c r="L131" s="1207"/>
      <c r="M131" s="602"/>
      <c r="N131" s="602"/>
      <c r="O131" s="601"/>
      <c r="P131" s="602"/>
      <c r="Q131" s="602"/>
      <c r="R131" s="603"/>
      <c r="S131" s="602"/>
      <c r="T131" s="602"/>
      <c r="U131" s="603"/>
      <c r="V131" s="602"/>
      <c r="W131" s="602"/>
    </row>
    <row r="132" spans="1:28" s="52" customFormat="1" ht="30.75" customHeight="1" outlineLevel="1">
      <c r="B132" s="2682"/>
      <c r="C132" s="2682"/>
      <c r="D132" s="2682"/>
      <c r="E132" s="2682"/>
      <c r="F132" s="2682"/>
      <c r="G132" s="2682"/>
      <c r="H132" s="2682"/>
      <c r="I132" s="1206"/>
      <c r="J132" s="2067" t="s">
        <v>17</v>
      </c>
      <c r="K132" s="1208" t="s">
        <v>10</v>
      </c>
      <c r="L132" s="2053"/>
      <c r="M132" s="2067" t="s">
        <v>17</v>
      </c>
      <c r="N132" s="1208" t="s">
        <v>10</v>
      </c>
      <c r="O132"/>
      <c r="P132" s="1209" t="s">
        <v>17</v>
      </c>
      <c r="Q132" s="1210" t="s">
        <v>10</v>
      </c>
      <c r="R132"/>
      <c r="S132" s="1209" t="s">
        <v>17</v>
      </c>
      <c r="T132" s="1210" t="s">
        <v>10</v>
      </c>
      <c r="U132"/>
      <c r="V132" s="1209" t="s">
        <v>17</v>
      </c>
      <c r="W132" s="1210" t="s">
        <v>10</v>
      </c>
      <c r="Y132" s="2619" t="s">
        <v>673</v>
      </c>
      <c r="Z132" s="2620"/>
      <c r="AA132" s="2620"/>
      <c r="AB132" s="2621"/>
    </row>
    <row r="133" spans="1:28" ht="32.25" customHeight="1" outlineLevel="1">
      <c r="A133" s="1"/>
      <c r="B133" s="2679" t="s">
        <v>2509</v>
      </c>
      <c r="C133" s="2679"/>
      <c r="D133" s="2679"/>
      <c r="E133" s="35"/>
      <c r="F133" s="35"/>
      <c r="G133" s="646"/>
      <c r="H133" s="647"/>
      <c r="I133" s="51"/>
      <c r="J133" s="586"/>
      <c r="K133" s="1203">
        <f ca="1">IF($H$7&lt;2,0,IF(J133&lt;&gt;"",J133,IFERROR(IF(INDIRECT("'"&amp;J$86&amp;"'!"&amp;VLOOKUP(J$87,'List Values'!$C$3:$D$6,2,FALSE)&amp;ROW(J133))="",0,INDIRECT("'"&amp;J$86&amp;"'!"&amp;VLOOKUP(J$87,'List Values'!$C$3:$D$6,2,FALSE)&amp;ROW(J133))),IF(J$86&lt;&gt;"","Data Source Error",0))))</f>
        <v>1</v>
      </c>
      <c r="L133" s="51"/>
      <c r="M133" s="586">
        <v>1</v>
      </c>
      <c r="N133" s="1203">
        <f ca="1">IF($H$7&lt;3,0,IF(M133&lt;&gt;"",M133,IFERROR(IF(INDIRECT("'"&amp;M$86&amp;"'!"&amp;VLOOKUP(M$87,'List Values'!$C$3:$D$6,2,FALSE)&amp;ROW(M133))="",0,INDIRECT("'"&amp;M$86&amp;"'!"&amp;VLOOKUP(M$87,'List Values'!$C$3:$D$6,2,FALSE)&amp;ROW(M133))),IF(M$86&lt;&gt;"","Data Source Error",0))))</f>
        <v>1</v>
      </c>
      <c r="O133" s="51"/>
      <c r="P133" s="1204"/>
      <c r="Q133" s="1203">
        <f ca="1">IF($H$7&lt;4,0,IF(P133&lt;&gt;"",P133,IFERROR(IF(INDIRECT("'"&amp;P$86&amp;"'!"&amp;VLOOKUP(P$87,'List Values'!$C$3:$D$6,2,FALSE)&amp;ROW(P133))="",0,INDIRECT("'"&amp;P$86&amp;"'!"&amp;VLOOKUP(P$87,'List Values'!$C$3:$D$6,2,FALSE)&amp;ROW(P133))),IF(P$86&lt;&gt;"","Data Source Error",0))))</f>
        <v>0</v>
      </c>
      <c r="S133" s="1204"/>
      <c r="T133" s="1203">
        <f ca="1">IF($H$7&lt;5,0,IF(S133&lt;&gt;"",S133,IFERROR(IF(INDIRECT("'"&amp;S$86&amp;"'!"&amp;VLOOKUP(S$87,'List Values'!$C$3:$D$6,2,FALSE)&amp;ROW(S133))="",0,INDIRECT("'"&amp;S$86&amp;"'!"&amp;VLOOKUP(S$87,'List Values'!$C$3:$D$6,2,FALSE)&amp;ROW(S133))),IF(S$86&lt;&gt;"","Data Source Error",0))))</f>
        <v>0</v>
      </c>
      <c r="V133" s="1204"/>
      <c r="W133" s="1205">
        <f ca="1">IF($H$7&lt;6,0,IF(V133&lt;&gt;"",V133,IFERROR(IF(INDIRECT("'"&amp;V$86&amp;"'!"&amp;VLOOKUP(V$87,'List Values'!$C$3:$D$6,2,FALSE)&amp;ROW(V133))="",0,INDIRECT("'"&amp;V$86&amp;"'!"&amp;VLOOKUP(V$87,'List Values'!$C$3:$D$6,2,FALSE)&amp;ROW(V133))),IF(V$86&lt;&gt;"","Data Source Error",0))))</f>
        <v>0</v>
      </c>
      <c r="Y133" s="2643"/>
      <c r="Z133" s="2644"/>
      <c r="AA133" s="2644"/>
      <c r="AB133" s="2645"/>
    </row>
    <row r="134" spans="1:28" ht="21" customHeight="1">
      <c r="A134" s="1"/>
      <c r="B134" s="612" t="s">
        <v>609</v>
      </c>
      <c r="C134" s="604"/>
      <c r="D134" s="604"/>
      <c r="E134" s="604"/>
      <c r="F134" s="604"/>
      <c r="G134" s="604"/>
      <c r="H134" s="604"/>
      <c r="I134" s="605"/>
      <c r="J134" s="606"/>
      <c r="K134" s="961"/>
      <c r="L134" s="605"/>
      <c r="M134" s="606"/>
      <c r="N134" s="961"/>
      <c r="O134" s="605"/>
      <c r="P134" s="607"/>
      <c r="Q134" s="961"/>
      <c r="R134" s="608"/>
      <c r="S134" s="607"/>
      <c r="T134" s="961"/>
      <c r="U134" s="608"/>
      <c r="V134" s="607"/>
      <c r="W134" s="961"/>
      <c r="Y134" s="631"/>
      <c r="Z134" s="631"/>
      <c r="AA134" s="631"/>
      <c r="AB134" s="631"/>
    </row>
    <row r="135" spans="1:28" ht="18.75" customHeight="1" outlineLevel="1">
      <c r="A135" s="252"/>
      <c r="B135" s="252"/>
      <c r="C135" s="2580" t="s">
        <v>631</v>
      </c>
      <c r="D135" s="2580"/>
      <c r="E135" s="202"/>
      <c r="F135" s="202"/>
      <c r="G135" s="634"/>
      <c r="H135" s="635"/>
      <c r="I135" s="52"/>
      <c r="J135" s="581"/>
      <c r="K135" s="962">
        <f ca="1">IF(OR($H$7&lt;2,K$133&lt;1),"",IF(J135&lt;&gt;"",J135,IFERROR(IF(INDIRECT("'"&amp;J$86&amp;"'!"&amp;VLOOKUP(J$87,'List Values'!$C$3:$D$6,2,FALSE)&amp;ROW(J135))="","",INDIRECT("'"&amp;J$86&amp;"'!"&amp;VLOOKUP(J$87,'List Values'!$C$3:$D$6,2,FALSE)&amp;ROW(J135))),IF(J$86&lt;&gt;"","Data Source Error",""))))</f>
        <v>1</v>
      </c>
      <c r="L135" s="626"/>
      <c r="M135" s="581"/>
      <c r="N135" s="962">
        <f ca="1">IF(OR($H$7&lt;3,N$133&lt;1),"",IF(M135&lt;&gt;"",M135,IFERROR(IF(INDIRECT("'"&amp;M$86&amp;"'!"&amp;VLOOKUP(M$87,'List Values'!$C$3:$D$6,2,FALSE)&amp;ROW(M135))="","",INDIRECT("'"&amp;M$86&amp;"'!"&amp;VLOOKUP(M$87,'List Values'!$C$3:$D$6,2,FALSE)&amp;ROW(M135))),IF(M$86&lt;&gt;"","Data Source Error",""))))</f>
        <v>1</v>
      </c>
      <c r="O135" s="627"/>
      <c r="P135" s="585"/>
      <c r="Q135" s="967" t="str">
        <f ca="1">IF(OR($H$7&lt;4,Q$133&lt;1),"",IF(P135&lt;&gt;"",P135,IFERROR(IF(INDIRECT("'"&amp;P$86&amp;"'!"&amp;VLOOKUP(P$87,'List Values'!$C$3:$D$6,2,FALSE)&amp;ROW(P135))="","",INDIRECT("'"&amp;P$86&amp;"'!"&amp;VLOOKUP(P$87,'List Values'!$C$3:$D$6,2,FALSE)&amp;ROW(P135))),IF(P$86&lt;&gt;"","Data Source Error",""))))</f>
        <v/>
      </c>
      <c r="R135" s="460"/>
      <c r="S135" s="585"/>
      <c r="T135" s="967" t="str">
        <f ca="1">IF(OR($H$7&lt;5,T$133&lt;1),"",IF(S135&lt;&gt;"",S135,IFERROR(IF(INDIRECT("'"&amp;S$86&amp;"'!"&amp;VLOOKUP(S$87,'List Values'!$C$3:$D$6,2,FALSE)&amp;ROW(S135))="","",INDIRECT("'"&amp;S$86&amp;"'!"&amp;VLOOKUP(S$87,'List Values'!$C$3:$D$6,2,FALSE)&amp;ROW(S135))),IF(S$86&lt;&gt;"","Data Source Error",""))))</f>
        <v/>
      </c>
      <c r="U135" s="460"/>
      <c r="V135" s="585"/>
      <c r="W135" s="973" t="str">
        <f ca="1">IF(OR($H$7&lt;6,W$133&lt;1),"",IF(V135&lt;&gt;"",V135,IFERROR(IF(INDIRECT("'"&amp;V$86&amp;"'!"&amp;VLOOKUP(V$87,'List Values'!$C$3:$D$6,2,FALSE)&amp;ROW(V135))="","",INDIRECT("'"&amp;V$86&amp;"'!"&amp;VLOOKUP(V$87,'List Values'!$C$3:$D$6,2,FALSE)&amp;ROW(V135))),IF(V$86&lt;&gt;"","Data Source Error",""))))</f>
        <v/>
      </c>
      <c r="Y135" s="2643"/>
      <c r="Z135" s="2644"/>
      <c r="AA135" s="2644"/>
      <c r="AB135" s="2645"/>
    </row>
    <row r="136" spans="1:28" ht="28.5" customHeight="1" outlineLevel="1">
      <c r="A136" s="252"/>
      <c r="B136" s="252"/>
      <c r="C136" s="2680" t="s">
        <v>633</v>
      </c>
      <c r="D136" s="2680"/>
      <c r="E136" s="2062"/>
      <c r="F136" s="2062"/>
      <c r="G136" s="636"/>
      <c r="H136" s="636"/>
      <c r="I136" s="520"/>
      <c r="J136" s="526"/>
      <c r="K136" s="963" t="str">
        <f ca="1">IF(OR($H$7&lt;2,K$133&lt;1),"",IF(J136&lt;&gt;"",J136,IFERROR(IF(INDIRECT("'"&amp;J$86&amp;"'!"&amp;VLOOKUP(J$87,'List Values'!$C$3:$D$6,2,FALSE)&amp;ROW(J136))="","",INDIRECT("'"&amp;J$86&amp;"'!"&amp;VLOOKUP(J$87,'List Values'!$C$3:$D$6,2,FALSE)&amp;ROW(J136))),IF(J$86&lt;&gt;"","Data Source Error",""))))</f>
        <v>Commercial Truck</v>
      </c>
      <c r="L136" s="52"/>
      <c r="M136" s="526"/>
      <c r="N136" s="963" t="str">
        <f ca="1">IF(OR($H$7&lt;3,N$133&lt;1),"",IF(M136&lt;&gt;"",M136,IFERROR(IF(INDIRECT("'"&amp;M$86&amp;"'!"&amp;VLOOKUP(M$87,'List Values'!$C$3:$D$6,2,FALSE)&amp;ROW(M136))="","",INDIRECT("'"&amp;M$86&amp;"'!"&amp;VLOOKUP(M$87,'List Values'!$C$3:$D$6,2,FALSE)&amp;ROW(M136))),IF(M$86&lt;&gt;"","Data Source Error",""))))</f>
        <v>Commercial Truck</v>
      </c>
      <c r="O136" s="187"/>
      <c r="P136" s="560"/>
      <c r="Q136" s="900" t="str">
        <f ca="1">IF(OR($H$7&lt;4,Q$133&lt;1),"",IF(P136&lt;&gt;"",P136,IFERROR(IF(INDIRECT("'"&amp;P$86&amp;"'!"&amp;VLOOKUP(P$87,'List Values'!$C$3:$D$6,2,FALSE)&amp;ROW(P136))="","",INDIRECT("'"&amp;P$86&amp;"'!"&amp;VLOOKUP(P$87,'List Values'!$C$3:$D$6,2,FALSE)&amp;ROW(P136))),IF(P$86&lt;&gt;"","Data Source Error",""))))</f>
        <v/>
      </c>
      <c r="S136" s="560"/>
      <c r="T136" s="900" t="str">
        <f ca="1">IF(OR($H$7&lt;5,T$133&lt;1),"",IF(S136&lt;&gt;"",S136,IFERROR(IF(INDIRECT("'"&amp;S$86&amp;"'!"&amp;VLOOKUP(S$87,'List Values'!$C$3:$D$6,2,FALSE)&amp;ROW(S136))="","",INDIRECT("'"&amp;S$86&amp;"'!"&amp;VLOOKUP(S$87,'List Values'!$C$3:$D$6,2,FALSE)&amp;ROW(S136))),IF(S$86&lt;&gt;"","Data Source Error",""))))</f>
        <v/>
      </c>
      <c r="V136" s="560"/>
      <c r="W136" s="911" t="str">
        <f ca="1">IF(OR($H$7&lt;6,W$133&lt;1),"",IF(V136&lt;&gt;"",V136,IFERROR(IF(INDIRECT("'"&amp;V$86&amp;"'!"&amp;VLOOKUP(V$87,'List Values'!$C$3:$D$6,2,FALSE)&amp;ROW(V136))="","",INDIRECT("'"&amp;V$86&amp;"'!"&amp;VLOOKUP(V$87,'List Values'!$C$3:$D$6,2,FALSE)&amp;ROW(V136))),IF(V$86&lt;&gt;"","Data Source Error",""))))</f>
        <v/>
      </c>
      <c r="Y136" s="2643"/>
      <c r="Z136" s="2644"/>
      <c r="AA136" s="2644"/>
      <c r="AB136" s="2645"/>
    </row>
    <row r="137" spans="1:28" ht="33.75" customHeight="1" outlineLevel="1">
      <c r="A137" s="252"/>
      <c r="B137" s="252"/>
      <c r="C137" s="2680" t="s">
        <v>2517</v>
      </c>
      <c r="D137" s="2680"/>
      <c r="E137" s="2062"/>
      <c r="F137" s="2062"/>
      <c r="G137" s="636"/>
      <c r="H137" s="637"/>
      <c r="I137" s="182"/>
      <c r="J137" s="561"/>
      <c r="K137" s="962" t="str">
        <f ca="1">IF(OR($H$7&lt;2,K$133&lt;1),"",IF(J137&lt;&gt;"",J137,IFERROR(IF(INDIRECT("'"&amp;J$86&amp;"'!"&amp;VLOOKUP(J$87,'List Values'!$C$3:$D$6,2,FALSE)&amp;ROW(J137))="","",INDIRECT("'"&amp;J$86&amp;"'!"&amp;VLOOKUP(J$87,'List Values'!$C$3:$D$6,2,FALSE)&amp;ROW(J137))),IF(J$86&lt;&gt;"","Data Source Error",""))))</f>
        <v>Owned</v>
      </c>
      <c r="L137" s="182"/>
      <c r="M137" s="561"/>
      <c r="N137" s="969" t="str">
        <f ca="1">IF(OR($H$7&lt;3,N$133&lt;1),"",IF(M137&lt;&gt;"",M137,IFERROR(IF(INDIRECT("'"&amp;M$86&amp;"'!"&amp;VLOOKUP(M$87,'List Values'!$C$3:$D$6,2,FALSE)&amp;ROW(M137))="","",INDIRECT("'"&amp;M$86&amp;"'!"&amp;VLOOKUP(M$87,'List Values'!$C$3:$D$6,2,FALSE)&amp;ROW(M137))),IF(M$86&lt;&gt;"","Data Source Error",""))))</f>
        <v>Owned</v>
      </c>
      <c r="O137" s="183"/>
      <c r="P137" s="558"/>
      <c r="Q137" s="897" t="str">
        <f ca="1">IF(OR($H$7&lt;4,Q$133&lt;1),"",IF(P137&lt;&gt;"",P137,IFERROR(IF(INDIRECT("'"&amp;P$86&amp;"'!"&amp;VLOOKUP(P$87,'List Values'!$C$3:$D$6,2,FALSE)&amp;ROW(P137))="","",INDIRECT("'"&amp;P$86&amp;"'!"&amp;VLOOKUP(P$87,'List Values'!$C$3:$D$6,2,FALSE)&amp;ROW(P137))),IF(P$86&lt;&gt;"","Data Source Error",""))))</f>
        <v/>
      </c>
      <c r="S137" s="558"/>
      <c r="T137" s="897" t="str">
        <f ca="1">IF(OR($H$7&lt;5,T$133&lt;1),"",IF(S137&lt;&gt;"",S137,IFERROR(IF(INDIRECT("'"&amp;S$86&amp;"'!"&amp;VLOOKUP(S$87,'List Values'!$C$3:$D$6,2,FALSE)&amp;ROW(S137))="","",INDIRECT("'"&amp;S$86&amp;"'!"&amp;VLOOKUP(S$87,'List Values'!$C$3:$D$6,2,FALSE)&amp;ROW(S137))),IF(S$86&lt;&gt;"","Data Source Error",""))))</f>
        <v/>
      </c>
      <c r="V137" s="558"/>
      <c r="W137" s="908" t="str">
        <f ca="1">IF(OR($H$7&lt;6,W$133&lt;1),"",IF(V137&lt;&gt;"",V137,IFERROR(IF(INDIRECT("'"&amp;V$86&amp;"'!"&amp;VLOOKUP(V$87,'List Values'!$C$3:$D$6,2,FALSE)&amp;ROW(V137))="","",INDIRECT("'"&amp;V$86&amp;"'!"&amp;VLOOKUP(V$87,'List Values'!$C$3:$D$6,2,FALSE)&amp;ROW(V137))),IF(V$86&lt;&gt;"","Data Source Error",""))))</f>
        <v/>
      </c>
      <c r="Y137" s="2643"/>
      <c r="Z137" s="2644"/>
      <c r="AA137" s="2644"/>
      <c r="AB137" s="2645"/>
    </row>
    <row r="138" spans="1:28" ht="33.75" customHeight="1" outlineLevel="1">
      <c r="A138" s="252"/>
      <c r="B138" s="252"/>
      <c r="C138" s="2684" t="s">
        <v>628</v>
      </c>
      <c r="D138" s="2684"/>
      <c r="E138" s="2062"/>
      <c r="F138" s="2062"/>
      <c r="G138" s="636"/>
      <c r="H138" s="637"/>
      <c r="I138" s="191"/>
      <c r="J138" s="526"/>
      <c r="K138" s="964" t="str">
        <f ca="1">IF(OR($H$7&lt;2,K$133&lt;1),"",IF(J138&lt;&gt;"",J138,IFERROR(IF(INDIRECT("'"&amp;J$86&amp;"'!"&amp;VLOOKUP(J$87,'List Values'!$C$3:$D$6,2,FALSE)&amp;ROW(J138))="","",INDIRECT("'"&amp;J$86&amp;"'!"&amp;VLOOKUP(J$87,'List Values'!$C$3:$D$6,2,FALSE)&amp;ROW(J138))),IF(J$86&lt;&gt;"","Data Source Error",""))))</f>
        <v xml:space="preserve">$ per km </v>
      </c>
      <c r="L138" s="191"/>
      <c r="M138" s="526"/>
      <c r="N138" s="963" t="str">
        <f ca="1">IF(OR($H$7&lt;3,N$133&lt;1),"",IF(M138&lt;&gt;"",M138,IFERROR(IF(INDIRECT("'"&amp;M$86&amp;"'!"&amp;VLOOKUP(M$87,'List Values'!$C$3:$D$6,2,FALSE)&amp;ROW(M138))="","",INDIRECT("'"&amp;M$86&amp;"'!"&amp;VLOOKUP(M$87,'List Values'!$C$3:$D$6,2,FALSE)&amp;ROW(M138))),IF(M$86&lt;&gt;"","Data Source Error",""))))</f>
        <v xml:space="preserve">$ per km </v>
      </c>
      <c r="O138" s="187"/>
      <c r="P138" s="560"/>
      <c r="Q138" s="900" t="str">
        <f ca="1">IF(OR($H$7&lt;4,Q$133&lt;1),"",IF(P138&lt;&gt;"",P138,IFERROR(IF(INDIRECT("'"&amp;P$86&amp;"'!"&amp;VLOOKUP(P$87,'List Values'!$C$3:$D$6,2,FALSE)&amp;ROW(P138))="","",INDIRECT("'"&amp;P$86&amp;"'!"&amp;VLOOKUP(P$87,'List Values'!$C$3:$D$6,2,FALSE)&amp;ROW(P138))),IF(P$86&lt;&gt;"","Data Source Error",""))))</f>
        <v/>
      </c>
      <c r="S138" s="560"/>
      <c r="T138" s="900" t="str">
        <f ca="1">IF(OR($H$7&lt;5,T$133&lt;1),"",IF(S138&lt;&gt;"",S138,IFERROR(IF(INDIRECT("'"&amp;S$86&amp;"'!"&amp;VLOOKUP(S$87,'List Values'!$C$3:$D$6,2,FALSE)&amp;ROW(S138))="","",INDIRECT("'"&amp;S$86&amp;"'!"&amp;VLOOKUP(S$87,'List Values'!$C$3:$D$6,2,FALSE)&amp;ROW(S138))),IF(S$86&lt;&gt;"","Data Source Error",""))))</f>
        <v/>
      </c>
      <c r="V138" s="560"/>
      <c r="W138" s="911" t="str">
        <f ca="1">IF(OR($H$7&lt;6,W$133&lt;1),"",IF(V138&lt;&gt;"",V138,IFERROR(IF(INDIRECT("'"&amp;V$86&amp;"'!"&amp;VLOOKUP(V$87,'List Values'!$C$3:$D$6,2,FALSE)&amp;ROW(V138))="","",INDIRECT("'"&amp;V$86&amp;"'!"&amp;VLOOKUP(V$87,'List Values'!$C$3:$D$6,2,FALSE)&amp;ROW(V138))),IF(V$86&lt;&gt;"","Data Source Error",""))))</f>
        <v/>
      </c>
      <c r="Y138" s="2643"/>
      <c r="Z138" s="2644"/>
      <c r="AA138" s="2644"/>
      <c r="AB138" s="2645"/>
    </row>
    <row r="139" spans="1:28" ht="33.75" customHeight="1" outlineLevel="1">
      <c r="A139" s="252"/>
      <c r="B139" s="252"/>
      <c r="C139" s="2684" t="s">
        <v>629</v>
      </c>
      <c r="D139" s="2684"/>
      <c r="E139" s="2062"/>
      <c r="F139" s="2062"/>
      <c r="G139" s="636"/>
      <c r="H139" s="637"/>
      <c r="I139" s="191"/>
      <c r="J139" s="568"/>
      <c r="K139" s="956">
        <f ca="1">IF(OR($H$7&lt;2,K$133&lt;1),"",IF(J139&lt;&gt;"",J139,IFERROR(IF(INDIRECT("'"&amp;J$86&amp;"'!"&amp;VLOOKUP(J$87,'List Values'!$C$3:$D$6,2,FALSE)&amp;ROW(J139))="","",INDIRECT("'"&amp;J$86&amp;"'!"&amp;VLOOKUP(J$87,'List Values'!$C$3:$D$6,2,FALSE)&amp;ROW(J139))*$H$6),IF(J$86&lt;&gt;"","Data Source Error",""))))</f>
        <v>1</v>
      </c>
      <c r="L139" s="622"/>
      <c r="M139" s="568"/>
      <c r="N139" s="956">
        <f ca="1">IF(OR($H$7&lt;3,N$133&lt;1),"",IF(M139&lt;&gt;"",M139,IFERROR(IF(INDIRECT("'"&amp;M$86&amp;"'!"&amp;VLOOKUP(M$87,'List Values'!$C$3:$D$6,2,FALSE)&amp;ROW(M139))="","",INDIRECT("'"&amp;M$86&amp;"'!"&amp;VLOOKUP(M$87,'List Values'!$C$3:$D$6,2,FALSE)&amp;ROW(M139))*$H$6),IF(M$86&lt;&gt;"","Data Source Error",""))))</f>
        <v>1</v>
      </c>
      <c r="O139" s="339"/>
      <c r="P139" s="623"/>
      <c r="Q139" s="936" t="str">
        <f ca="1">IF(OR($H$7&lt;4,Q$133&lt;1),"",IF(P139&lt;&gt;"",P139,IFERROR(IF(INDIRECT("'"&amp;P$86&amp;"'!"&amp;VLOOKUP(P$87,'List Values'!$C$3:$D$6,2,FALSE)&amp;ROW(P139))="","",INDIRECT("'"&amp;P$86&amp;"'!"&amp;VLOOKUP(P$87,'List Values'!$C$3:$D$6,2,FALSE)&amp;ROW(P139))*$H$6),IF(P$86&lt;&gt;"","Data Source Error",""))))</f>
        <v/>
      </c>
      <c r="R139" s="7"/>
      <c r="S139" s="623"/>
      <c r="T139" s="936" t="str">
        <f ca="1">IF(OR($H$7&lt;5,T$133&lt;1),"",IF(S139&lt;&gt;"",S139,IFERROR(IF(INDIRECT("'"&amp;S$86&amp;"'!"&amp;VLOOKUP(S$87,'List Values'!$C$3:$D$6,2,FALSE)&amp;ROW(S139))="","",INDIRECT("'"&amp;S$86&amp;"'!"&amp;VLOOKUP(S$87,'List Values'!$C$3:$D$6,2,FALSE)&amp;ROW(S139))*$H$6),IF(S$86&lt;&gt;"","Data Source Error",""))))</f>
        <v/>
      </c>
      <c r="U139" s="7"/>
      <c r="V139" s="623"/>
      <c r="W139" s="974" t="str">
        <f ca="1">IF(OR($H$7&lt;6,W$133&lt;1),"",IF(V139&lt;&gt;"",V139,IFERROR(IF(INDIRECT("'"&amp;V$86&amp;"'!"&amp;VLOOKUP(V$87,'List Values'!$C$3:$D$6,2,FALSE)&amp;ROW(V139))="","",INDIRECT("'"&amp;V$86&amp;"'!"&amp;VLOOKUP(V$87,'List Values'!$C$3:$D$6,2,FALSE)&amp;ROW(V139))*$H$6),IF(V$86&lt;&gt;"","Data Source Error",""))))</f>
        <v/>
      </c>
      <c r="Y139" s="2643"/>
      <c r="Z139" s="2644"/>
      <c r="AA139" s="2644"/>
      <c r="AB139" s="2645"/>
    </row>
    <row r="140" spans="1:28" ht="18.75" customHeight="1" outlineLevel="1">
      <c r="A140" s="252"/>
      <c r="B140" s="252"/>
      <c r="C140" s="2680" t="s">
        <v>632</v>
      </c>
      <c r="D140" s="2680"/>
      <c r="E140" s="2062"/>
      <c r="F140" s="2062"/>
      <c r="G140" s="636"/>
      <c r="H140" s="637"/>
      <c r="I140" s="191"/>
      <c r="J140" s="526"/>
      <c r="K140" s="963">
        <f ca="1">IF(OR($H$7&lt;2,K$133&lt;1),"",IF(J140&lt;&gt;"",J140,IFERROR(IF(INDIRECT("'"&amp;J$86&amp;"'!"&amp;VLOOKUP(J$87,'List Values'!$C$3:$D$6,2,FALSE)&amp;ROW(J140))="","",INDIRECT("'"&amp;J$86&amp;"'!"&amp;VLOOKUP(J$87,'List Values'!$C$3:$D$6,2,FALSE)&amp;ROW(J140))),IF(J$86&lt;&gt;"","Data Source Error",""))))</f>
        <v>1</v>
      </c>
      <c r="L140" s="191"/>
      <c r="M140" s="526"/>
      <c r="N140" s="963">
        <f ca="1">IF(OR($H$7&lt;3,N$133&lt;1),"",IF(M140&lt;&gt;"",M140,IFERROR(IF(INDIRECT("'"&amp;M$86&amp;"'!"&amp;VLOOKUP(M$87,'List Values'!$C$3:$D$6,2,FALSE)&amp;ROW(M140))="","",INDIRECT("'"&amp;M$86&amp;"'!"&amp;VLOOKUP(M$87,'List Values'!$C$3:$D$6,2,FALSE)&amp;ROW(M140))),IF(M$86&lt;&gt;"","Data Source Error",""))))</f>
        <v>1.5</v>
      </c>
      <c r="O140" s="187"/>
      <c r="P140" s="560"/>
      <c r="Q140" s="900" t="str">
        <f ca="1">IF(OR($H$7&lt;4,Q$133&lt;1),"",IF(P140&lt;&gt;"",P140,IFERROR(IF(INDIRECT("'"&amp;P$86&amp;"'!"&amp;VLOOKUP(P$87,'List Values'!$C$3:$D$6,2,FALSE)&amp;ROW(P140))="","",INDIRECT("'"&amp;P$86&amp;"'!"&amp;VLOOKUP(P$87,'List Values'!$C$3:$D$6,2,FALSE)&amp;ROW(P140))),IF(P$86&lt;&gt;"","Data Source Error",""))))</f>
        <v/>
      </c>
      <c r="S140" s="560"/>
      <c r="T140" s="900" t="str">
        <f ca="1">IF(OR($H$7&lt;5,T$133&lt;1),"",IF(S140&lt;&gt;"",S140,IFERROR(IF(INDIRECT("'"&amp;S$86&amp;"'!"&amp;VLOOKUP(S$87,'List Values'!$C$3:$D$6,2,FALSE)&amp;ROW(S140))="","",INDIRECT("'"&amp;S$86&amp;"'!"&amp;VLOOKUP(S$87,'List Values'!$C$3:$D$6,2,FALSE)&amp;ROW(S140))),IF(S$86&lt;&gt;"","Data Source Error",""))))</f>
        <v/>
      </c>
      <c r="V140" s="560"/>
      <c r="W140" s="911" t="str">
        <f ca="1">IF(OR($H$7&lt;6,W$133&lt;1),"",IF(V140&lt;&gt;"",V140,IFERROR(IF(INDIRECT("'"&amp;V$86&amp;"'!"&amp;VLOOKUP(V$87,'List Values'!$C$3:$D$6,2,FALSE)&amp;ROW(V140))="","",INDIRECT("'"&amp;V$86&amp;"'!"&amp;VLOOKUP(V$87,'List Values'!$C$3:$D$6,2,FALSE)&amp;ROW(V140))),IF(V$86&lt;&gt;"","Data Source Error",""))))</f>
        <v/>
      </c>
      <c r="Y140" s="2643"/>
      <c r="Z140" s="2644"/>
      <c r="AA140" s="2644"/>
      <c r="AB140" s="2645"/>
    </row>
    <row r="141" spans="1:28" ht="49.5" customHeight="1" outlineLevel="1">
      <c r="A141" s="252"/>
      <c r="B141" s="252"/>
      <c r="C141" s="2680" t="s">
        <v>5476</v>
      </c>
      <c r="D141" s="2680"/>
      <c r="E141" s="2062"/>
      <c r="F141" s="2062"/>
      <c r="G141" s="636"/>
      <c r="H141" s="637"/>
      <c r="I141" s="191"/>
      <c r="J141" s="619"/>
      <c r="K141" s="964">
        <f ca="1">IF(OR($H$7&lt;2,K$133&lt;1),"",IF(J141&lt;&gt;"",J141,IFERROR(IF(INDIRECT("'"&amp;J$86&amp;"'!"&amp;VLOOKUP(J$87,'List Values'!$C$3:$D$6,2,FALSE)&amp;ROW(J141))="","",INDIRECT("'"&amp;J$86&amp;"'!"&amp;VLOOKUP(J$87,'List Values'!$C$3:$D$6,2,FALSE)&amp;ROW(J141))),IF(J$86&lt;&gt;"","Data Source Error",""))))</f>
        <v>0</v>
      </c>
      <c r="L141" s="620"/>
      <c r="M141" s="619"/>
      <c r="N141" s="964">
        <f ca="1">IF(OR($H$7&lt;3,N$133&lt;1),"",IF(M141&lt;&gt;"",M141,IFERROR(IF(INDIRECT("'"&amp;M$86&amp;"'!"&amp;VLOOKUP(M$87,'List Values'!$C$3:$D$6,2,FALSE)&amp;ROW(M141))="","",INDIRECT("'"&amp;M$86&amp;"'!"&amp;VLOOKUP(M$87,'List Values'!$C$3:$D$6,2,FALSE)&amp;ROW(M141))),IF(M$86&lt;&gt;"","Data Source Error",""))))</f>
        <v>0</v>
      </c>
      <c r="O141" s="621"/>
      <c r="P141" s="619"/>
      <c r="Q141" s="971" t="str">
        <f ca="1">IF(OR($H$7&lt;4,Q$133&lt;1),"",IF(P141&lt;&gt;"",P141,IFERROR(IF(INDIRECT("'"&amp;P$86&amp;"'!"&amp;VLOOKUP(P$87,'List Values'!$C$3:$D$6,2,FALSE)&amp;ROW(P141))="","",INDIRECT("'"&amp;P$86&amp;"'!"&amp;VLOOKUP(P$87,'List Values'!$C$3:$D$6,2,FALSE)&amp;ROW(P141))),IF(P$86&lt;&gt;"","Data Source Error",""))))</f>
        <v/>
      </c>
      <c r="R141" s="147"/>
      <c r="S141" s="619"/>
      <c r="T141" s="971" t="str">
        <f ca="1">IF(OR($H$7&lt;5,T$133&lt;1),"",IF(S141&lt;&gt;"",S141,IFERROR(IF(INDIRECT("'"&amp;S$86&amp;"'!"&amp;VLOOKUP(S$87,'List Values'!$C$3:$D$6,2,FALSE)&amp;ROW(S141))="","",INDIRECT("'"&amp;S$86&amp;"'!"&amp;VLOOKUP(S$87,'List Values'!$C$3:$D$6,2,FALSE)&amp;ROW(S141))),IF(S$86&lt;&gt;"","Data Source Error",""))))</f>
        <v/>
      </c>
      <c r="U141" s="147"/>
      <c r="V141" s="619"/>
      <c r="W141" s="975" t="str">
        <f ca="1">IF(OR($H$7&lt;6,W$133&lt;1),"",IF(V141&lt;&gt;"",V141,IFERROR(IF(INDIRECT("'"&amp;V$86&amp;"'!"&amp;VLOOKUP(V$87,'List Values'!$C$3:$D$6,2,FALSE)&amp;ROW(V141))="","",INDIRECT("'"&amp;V$86&amp;"'!"&amp;VLOOKUP(V$87,'List Values'!$C$3:$D$6,2,FALSE)&amp;ROW(V141))),IF(V$86&lt;&gt;"","Data Source Error",""))))</f>
        <v/>
      </c>
      <c r="Y141" s="2643"/>
      <c r="Z141" s="2644"/>
      <c r="AA141" s="2644"/>
      <c r="AB141" s="2645"/>
    </row>
    <row r="142" spans="1:28" ht="55.5" customHeight="1" outlineLevel="1">
      <c r="A142" s="252"/>
      <c r="B142" s="252"/>
      <c r="C142" s="2680" t="s">
        <v>5477</v>
      </c>
      <c r="D142" s="2680"/>
      <c r="E142" s="2062"/>
      <c r="F142" s="2062"/>
      <c r="G142" s="636"/>
      <c r="H142" s="637"/>
      <c r="I142" s="191"/>
      <c r="J142" s="619"/>
      <c r="K142" s="964">
        <f ca="1">IF(OR($H$7&lt;2,K$133&lt;1),"",IF(J142&lt;&gt;"",J142,IFERROR(IF(INDIRECT("'"&amp;J$86&amp;"'!"&amp;VLOOKUP(J$87,'List Values'!$C$3:$D$6,2,FALSE)&amp;ROW(J142))="","",INDIRECT("'"&amp;J$86&amp;"'!"&amp;VLOOKUP(J$87,'List Values'!$C$3:$D$6,2,FALSE)&amp;ROW(J142))),IF(J$86&lt;&gt;"","Data Source Error",""))))</f>
        <v>0</v>
      </c>
      <c r="L142" s="620"/>
      <c r="M142" s="619"/>
      <c r="N142" s="964">
        <f ca="1">IF(OR($H$7&lt;3,N$133&lt;1),"",IF(M142&lt;&gt;"",M142,IFERROR(IF(INDIRECT("'"&amp;M$86&amp;"'!"&amp;VLOOKUP(M$87,'List Values'!$C$3:$D$6,2,FALSE)&amp;ROW(M142))="","",INDIRECT("'"&amp;M$86&amp;"'!"&amp;VLOOKUP(M$87,'List Values'!$C$3:$D$6,2,FALSE)&amp;ROW(M142))),IF(M$86&lt;&gt;"","Data Source Error",""))))</f>
        <v>0</v>
      </c>
      <c r="O142" s="621"/>
      <c r="P142" s="619"/>
      <c r="Q142" s="971" t="str">
        <f ca="1">IF(OR($H$7&lt;4,Q$133&lt;1),"",IF(P142&lt;&gt;"",P142,IFERROR(IF(INDIRECT("'"&amp;P$86&amp;"'!"&amp;VLOOKUP(P$87,'List Values'!$C$3:$D$6,2,FALSE)&amp;ROW(P142))="","",INDIRECT("'"&amp;P$86&amp;"'!"&amp;VLOOKUP(P$87,'List Values'!$C$3:$D$6,2,FALSE)&amp;ROW(P142))),IF(P$86&lt;&gt;"","Data Source Error",""))))</f>
        <v/>
      </c>
      <c r="R142" s="147"/>
      <c r="S142" s="619"/>
      <c r="T142" s="971" t="str">
        <f ca="1">IF(OR($H$7&lt;5,T$133&lt;1),"",IF(S142&lt;&gt;"",S142,IFERROR(IF(INDIRECT("'"&amp;S$86&amp;"'!"&amp;VLOOKUP(S$87,'List Values'!$C$3:$D$6,2,FALSE)&amp;ROW(S142))="","",INDIRECT("'"&amp;S$86&amp;"'!"&amp;VLOOKUP(S$87,'List Values'!$C$3:$D$6,2,FALSE)&amp;ROW(S142))),IF(S$86&lt;&gt;"","Data Source Error",""))))</f>
        <v/>
      </c>
      <c r="U142" s="147"/>
      <c r="V142" s="619"/>
      <c r="W142" s="975" t="str">
        <f ca="1">IF(OR($H$7&lt;6,W$133&lt;1),"",IF(V142&lt;&gt;"",V142,IFERROR(IF(INDIRECT("'"&amp;V$86&amp;"'!"&amp;VLOOKUP(V$87,'List Values'!$C$3:$D$6,2,FALSE)&amp;ROW(V142))="","",INDIRECT("'"&amp;V$86&amp;"'!"&amp;VLOOKUP(V$87,'List Values'!$C$3:$D$6,2,FALSE)&amp;ROW(V142))),IF(V$86&lt;&gt;"","Data Source Error",""))))</f>
        <v/>
      </c>
      <c r="Y142" s="2643"/>
      <c r="Z142" s="2644"/>
      <c r="AA142" s="2644"/>
      <c r="AB142" s="2645"/>
    </row>
    <row r="143" spans="1:28" ht="33.75" customHeight="1" outlineLevel="1">
      <c r="A143" s="252"/>
      <c r="B143" s="252"/>
      <c r="C143" s="2680" t="s">
        <v>331</v>
      </c>
      <c r="D143" s="2680"/>
      <c r="E143" s="2062"/>
      <c r="F143" s="2062"/>
      <c r="G143" s="636"/>
      <c r="H143" s="637"/>
      <c r="I143" s="191"/>
      <c r="J143" s="526"/>
      <c r="K143" s="963" t="str">
        <f ca="1">IF(OR($H$7&lt;2,K$133&lt;1),"",IF(J143&lt;&gt;"",J143,IFERROR(IF(INDIRECT("'"&amp;J$86&amp;"'!"&amp;VLOOKUP(J$87,'List Values'!$C$3:$D$6,2,FALSE)&amp;ROW(J143))="","",INDIRECT("'"&amp;J$86&amp;"'!"&amp;VLOOKUP(J$87,'List Values'!$C$3:$D$6,2,FALSE)&amp;ROW(J143))),IF(J$86&lt;&gt;"","Data Source Error",""))))</f>
        <v>Point-to-point</v>
      </c>
      <c r="L143" s="191"/>
      <c r="M143" s="526"/>
      <c r="N143" s="963" t="str">
        <f ca="1">IF(OR($H$7&lt;3,N$133&lt;1),"",IF(M143&lt;&gt;"",M143,IFERROR(IF(INDIRECT("'"&amp;M$86&amp;"'!"&amp;VLOOKUP(M$87,'List Values'!$C$3:$D$6,2,FALSE)&amp;ROW(M143))="","",INDIRECT("'"&amp;M$86&amp;"'!"&amp;VLOOKUP(M$87,'List Values'!$C$3:$D$6,2,FALSE)&amp;ROW(M143))),IF(M$86&lt;&gt;"","Data Source Error",""))))</f>
        <v>Route-based</v>
      </c>
      <c r="O143" s="187"/>
      <c r="P143" s="523"/>
      <c r="Q143" s="900" t="str">
        <f ca="1">IF(OR($H$7&lt;4,Q$133&lt;1),"",IF(P143&lt;&gt;"",P143,IFERROR(IF(INDIRECT("'"&amp;P$86&amp;"'!"&amp;VLOOKUP(P$87,'List Values'!$C$3:$D$6,2,FALSE)&amp;ROW(P143))="","",INDIRECT("'"&amp;P$86&amp;"'!"&amp;VLOOKUP(P$87,'List Values'!$C$3:$D$6,2,FALSE)&amp;ROW(P143))),IF(P$86&lt;&gt;"","Data Source Error",""))))</f>
        <v/>
      </c>
      <c r="S143" s="523"/>
      <c r="T143" s="900" t="str">
        <f ca="1">IF(OR($H$7&lt;5,T$133&lt;1),"",IF(S143&lt;&gt;"",S143,IFERROR(IF(INDIRECT("'"&amp;S$86&amp;"'!"&amp;VLOOKUP(S$87,'List Values'!$C$3:$D$6,2,FALSE)&amp;ROW(S143))="","",INDIRECT("'"&amp;S$86&amp;"'!"&amp;VLOOKUP(S$87,'List Values'!$C$3:$D$6,2,FALSE)&amp;ROW(S143))),IF(S$86&lt;&gt;"","Data Source Error",""))))</f>
        <v/>
      </c>
      <c r="V143" s="523"/>
      <c r="W143" s="911" t="str">
        <f ca="1">IF(OR($H$7&lt;6,W$133&lt;1),"",IF(V143&lt;&gt;"",V143,IFERROR(IF(INDIRECT("'"&amp;V$86&amp;"'!"&amp;VLOOKUP(V$87,'List Values'!$C$3:$D$6,2,FALSE)&amp;ROW(V143))="","",INDIRECT("'"&amp;V$86&amp;"'!"&amp;VLOOKUP(V$87,'List Values'!$C$3:$D$6,2,FALSE)&amp;ROW(V143))),IF(V$86&lt;&gt;"","Data Source Error",""))))</f>
        <v/>
      </c>
      <c r="Y143" s="2643"/>
      <c r="Z143" s="2644"/>
      <c r="AA143" s="2644"/>
      <c r="AB143" s="2645"/>
    </row>
    <row r="144" spans="1:28" ht="18.75" customHeight="1" outlineLevel="1">
      <c r="A144" s="252"/>
      <c r="B144" s="252"/>
      <c r="C144" s="2684" t="s">
        <v>332</v>
      </c>
      <c r="D144" s="2684"/>
      <c r="E144" s="2062"/>
      <c r="F144" s="2062"/>
      <c r="G144" s="636"/>
      <c r="H144" s="637"/>
      <c r="I144" s="191"/>
      <c r="J144" s="580"/>
      <c r="K144" s="963">
        <f ca="1">IF(OR($H$7&lt;2,K$133&lt;1),"",IF(J144&lt;&gt;"",J144,IFERROR(IF(INDIRECT("'"&amp;J$86&amp;"'!"&amp;VLOOKUP(J$87,'List Values'!$C$3:$D$6,2,FALSE)&amp;ROW(J144))="","",INDIRECT("'"&amp;J$86&amp;"'!"&amp;VLOOKUP(J$87,'List Values'!$C$3:$D$6,2,FALSE)&amp;ROW(J144))),IF(J$86&lt;&gt;"","Data Source Error",""))))</f>
        <v>2</v>
      </c>
      <c r="L144" s="191"/>
      <c r="M144" s="580"/>
      <c r="N144" s="963">
        <f ca="1">IF(OR($H$7&lt;3,N$133&lt;1),"",IF(M144&lt;&gt;"",M144,IFERROR(IF(INDIRECT("'"&amp;M$86&amp;"'!"&amp;VLOOKUP(M$87,'List Values'!$C$3:$D$6,2,FALSE)&amp;ROW(M144))="","",INDIRECT("'"&amp;M$86&amp;"'!"&amp;VLOOKUP(M$87,'List Values'!$C$3:$D$6,2,FALSE)&amp;ROW(M144))),IF(M$86&lt;&gt;"","Data Source Error",""))))</f>
        <v>2</v>
      </c>
      <c r="O144" s="187"/>
      <c r="P144" s="528"/>
      <c r="Q144" s="900" t="str">
        <f ca="1">IF(OR($H$7&lt;4,Q$133&lt;1),"",IF(P144&lt;&gt;"",P144,IFERROR(IF(INDIRECT("'"&amp;P$86&amp;"'!"&amp;VLOOKUP(P$87,'List Values'!$C$3:$D$6,2,FALSE)&amp;ROW(P144))="","",INDIRECT("'"&amp;P$86&amp;"'!"&amp;VLOOKUP(P$87,'List Values'!$C$3:$D$6,2,FALSE)&amp;ROW(P144))),IF(P$86&lt;&gt;"","Data Source Error",""))))</f>
        <v/>
      </c>
      <c r="S144" s="528"/>
      <c r="T144" s="900" t="str">
        <f ca="1">IF(OR($H$7&lt;5,T$133&lt;1),"",IF(S144&lt;&gt;"",S144,IFERROR(IF(INDIRECT("'"&amp;S$86&amp;"'!"&amp;VLOOKUP(S$87,'List Values'!$C$3:$D$6,2,FALSE)&amp;ROW(S144))="","",INDIRECT("'"&amp;S$86&amp;"'!"&amp;VLOOKUP(S$87,'List Values'!$C$3:$D$6,2,FALSE)&amp;ROW(S144))),IF(S$86&lt;&gt;"","Data Source Error",""))))</f>
        <v/>
      </c>
      <c r="V144" s="528"/>
      <c r="W144" s="911" t="str">
        <f ca="1">IF(OR($H$7&lt;6,W$133&lt;1),"",IF(V144&lt;&gt;"",V144,IFERROR(IF(INDIRECT("'"&amp;V$86&amp;"'!"&amp;VLOOKUP(V$87,'List Values'!$C$3:$D$6,2,FALSE)&amp;ROW(V144))="","",INDIRECT("'"&amp;V$86&amp;"'!"&amp;VLOOKUP(V$87,'List Values'!$C$3:$D$6,2,FALSE)&amp;ROW(V144))),IF(V$86&lt;&gt;"","Data Source Error",""))))</f>
        <v/>
      </c>
      <c r="Y144" s="2643"/>
      <c r="Z144" s="2644"/>
      <c r="AA144" s="2644"/>
      <c r="AB144" s="2645"/>
    </row>
    <row r="145" spans="1:28" ht="30" customHeight="1" outlineLevel="1">
      <c r="A145" s="252"/>
      <c r="B145" s="252"/>
      <c r="C145" s="2680" t="s">
        <v>2519</v>
      </c>
      <c r="D145" s="2680"/>
      <c r="E145" s="2062"/>
      <c r="F145" s="2062"/>
      <c r="G145" s="636"/>
      <c r="H145" s="637"/>
      <c r="I145" s="191"/>
      <c r="J145" s="580"/>
      <c r="K145" s="963" t="str">
        <f ca="1">IF(OR($H$7&lt;2,K$133&lt;1),"",IF(J145&lt;&gt;"",J145,IFERROR(IF(INDIRECT("'"&amp;J$86&amp;"'!"&amp;VLOOKUP(J$87,'List Values'!$C$3:$D$6,2,FALSE)&amp;ROW(J145))="","",INDIRECT("'"&amp;J$86&amp;"'!"&amp;VLOOKUP(J$87,'List Values'!$C$3:$D$6,2,FALSE)&amp;ROW(J145))),IF(J$86&lt;&gt;"","Data Source Error",""))))</f>
        <v>Transport team - Driver</v>
      </c>
      <c r="L145" s="191"/>
      <c r="M145" s="580"/>
      <c r="N145" s="963" t="str">
        <f ca="1">IF(OR($H$7&lt;3,N$133&lt;1),"",IF(M145&lt;&gt;"",M145,IFERROR(IF(INDIRECT("'"&amp;M$86&amp;"'!"&amp;VLOOKUP(M$87,'List Values'!$C$3:$D$6,2,FALSE)&amp;ROW(M145))="","",INDIRECT("'"&amp;M$86&amp;"'!"&amp;VLOOKUP(M$87,'List Values'!$C$3:$D$6,2,FALSE)&amp;ROW(M145))),IF(M$86&lt;&gt;"","Data Source Error",""))))</f>
        <v>Transport team - Driver</v>
      </c>
      <c r="O145" s="187"/>
      <c r="P145" s="528"/>
      <c r="Q145" s="900" t="str">
        <f ca="1">IF(OR($H$7&lt;4,Q$133&lt;1),"",IF(P145&lt;&gt;"",P145,IFERROR(IF(INDIRECT("'"&amp;P$86&amp;"'!"&amp;VLOOKUP(P$87,'List Values'!$C$3:$D$6,2,FALSE)&amp;ROW(P145))="","",INDIRECT("'"&amp;P$86&amp;"'!"&amp;VLOOKUP(P$87,'List Values'!$C$3:$D$6,2,FALSE)&amp;ROW(P145))),IF(P$86&lt;&gt;"","Data Source Error",""))))</f>
        <v/>
      </c>
      <c r="S145" s="528"/>
      <c r="T145" s="900" t="str">
        <f ca="1">IF(OR($H$7&lt;5,T$133&lt;1),"",IF(S145&lt;&gt;"",S145,IFERROR(IF(INDIRECT("'"&amp;S$86&amp;"'!"&amp;VLOOKUP(S$87,'List Values'!$C$3:$D$6,2,FALSE)&amp;ROW(S145))="","",INDIRECT("'"&amp;S$86&amp;"'!"&amp;VLOOKUP(S$87,'List Values'!$C$3:$D$6,2,FALSE)&amp;ROW(S145))),IF(S$86&lt;&gt;"","Data Source Error",""))))</f>
        <v/>
      </c>
      <c r="V145" s="528"/>
      <c r="W145" s="911" t="str">
        <f ca="1">IF(OR($H$7&lt;6,W$133&lt;1),"",IF(V145&lt;&gt;"",V145,IFERROR(IF(INDIRECT("'"&amp;V$86&amp;"'!"&amp;VLOOKUP(V$87,'List Values'!$C$3:$D$6,2,FALSE)&amp;ROW(V145))="","",INDIRECT("'"&amp;V$86&amp;"'!"&amp;VLOOKUP(V$87,'List Values'!$C$3:$D$6,2,FALSE)&amp;ROW(V145))),IF(V$86&lt;&gt;"","Data Source Error",""))))</f>
        <v/>
      </c>
      <c r="Y145" s="2643"/>
      <c r="Z145" s="2644"/>
      <c r="AA145" s="2644"/>
      <c r="AB145" s="2645"/>
    </row>
    <row r="146" spans="1:28" ht="36" customHeight="1" outlineLevel="1">
      <c r="A146" s="252"/>
      <c r="B146" s="252"/>
      <c r="C146" s="2680" t="s">
        <v>5474</v>
      </c>
      <c r="D146" s="2680"/>
      <c r="E146" s="2062"/>
      <c r="F146" s="2062"/>
      <c r="G146" s="636"/>
      <c r="H146" s="637"/>
      <c r="I146" s="191"/>
      <c r="J146" s="580"/>
      <c r="K146" s="963">
        <f ca="1">IF(OR($H$7&lt;2,K$133&lt;1),"",IF(J146&lt;&gt;"",J146,IFERROR(IF(INDIRECT("'"&amp;J$86&amp;"'!"&amp;VLOOKUP(J$87,'List Values'!$C$3:$D$6,2,FALSE)&amp;ROW(J146))="","",INDIRECT("'"&amp;J$86&amp;"'!"&amp;VLOOKUP(J$87,'List Values'!$C$3:$D$6,2,FALSE)&amp;ROW(J146))),IF(J$86&lt;&gt;"","Data Source Error",""))))</f>
        <v>0</v>
      </c>
      <c r="L146" s="191"/>
      <c r="M146" s="580"/>
      <c r="N146" s="963">
        <f ca="1">IF(OR($H$7&lt;3,N$133&lt;1),"",IF(M146&lt;&gt;"",M146,IFERROR(IF(INDIRECT("'"&amp;M$86&amp;"'!"&amp;VLOOKUP(M$87,'List Values'!$C$3:$D$6,2,FALSE)&amp;ROW(M146))="","",INDIRECT("'"&amp;M$86&amp;"'!"&amp;VLOOKUP(M$87,'List Values'!$C$3:$D$6,2,FALSE)&amp;ROW(M146))),IF(M$86&lt;&gt;"","Data Source Error",""))))</f>
        <v>0</v>
      </c>
      <c r="O146" s="187"/>
      <c r="P146" s="528"/>
      <c r="Q146" s="900" t="str">
        <f ca="1">IF(OR($H$7&lt;4,Q$133&lt;1),"",IF(P146&lt;&gt;"",P146,IFERROR(IF(INDIRECT("'"&amp;P$86&amp;"'!"&amp;VLOOKUP(P$87,'List Values'!$C$3:$D$6,2,FALSE)&amp;ROW(P146))="","",INDIRECT("'"&amp;P$86&amp;"'!"&amp;VLOOKUP(P$87,'List Values'!$C$3:$D$6,2,FALSE)&amp;ROW(P146))),IF(P$86&lt;&gt;"","Data Source Error",""))))</f>
        <v/>
      </c>
      <c r="S146" s="528"/>
      <c r="T146" s="900" t="str">
        <f ca="1">IF(OR($H$7&lt;5,T$133&lt;1),"",IF(S146&lt;&gt;"",S146,IFERROR(IF(INDIRECT("'"&amp;S$86&amp;"'!"&amp;VLOOKUP(S$87,'List Values'!$C$3:$D$6,2,FALSE)&amp;ROW(S146))="","",INDIRECT("'"&amp;S$86&amp;"'!"&amp;VLOOKUP(S$87,'List Values'!$C$3:$D$6,2,FALSE)&amp;ROW(S146))),IF(S$86&lt;&gt;"","Data Source Error",""))))</f>
        <v/>
      </c>
      <c r="V146" s="528"/>
      <c r="W146" s="911" t="str">
        <f ca="1">IF(OR($H$7&lt;6,W$133&lt;1),"",IF(V146&lt;&gt;"",V146,IFERROR(IF(INDIRECT("'"&amp;V$86&amp;"'!"&amp;VLOOKUP(V$87,'List Values'!$C$3:$D$6,2,FALSE)&amp;ROW(V146))="","",INDIRECT("'"&amp;V$86&amp;"'!"&amp;VLOOKUP(V$87,'List Values'!$C$3:$D$6,2,FALSE)&amp;ROW(V146))),IF(V$86&lt;&gt;"","Data Source Error",""))))</f>
        <v/>
      </c>
      <c r="Y146" s="2643"/>
      <c r="Z146" s="2644"/>
      <c r="AA146" s="2644"/>
      <c r="AB146" s="2645"/>
    </row>
    <row r="147" spans="1:28" ht="28.5" customHeight="1" outlineLevel="1">
      <c r="A147" s="252"/>
      <c r="B147" s="252"/>
      <c r="C147" s="2684" t="s">
        <v>5475</v>
      </c>
      <c r="D147" s="2684"/>
      <c r="E147" s="2062"/>
      <c r="F147" s="2062"/>
      <c r="G147" s="636"/>
      <c r="H147" s="637"/>
      <c r="I147" s="191"/>
      <c r="J147" s="580"/>
      <c r="K147" s="963" t="str">
        <f ca="1">IF(OR($H$7&lt;2,K$133&lt;1),"",IF(J147&lt;&gt;"",J147,IFERROR(IF(INDIRECT("'"&amp;J$86&amp;"'!"&amp;VLOOKUP(J$87,'List Values'!$C$3:$D$6,2,FALSE)&amp;ROW(J147))="","",INDIRECT("'"&amp;J$86&amp;"'!"&amp;VLOOKUP(J$87,'List Values'!$C$3:$D$6,2,FALSE)&amp;ROW(J147))),IF(J$86&lt;&gt;"","Data Source Error",""))))</f>
        <v/>
      </c>
      <c r="L147" s="191"/>
      <c r="M147" s="580"/>
      <c r="N147" s="963" t="str">
        <f ca="1">IF(OR($H$7&lt;3,N$133&lt;1),"",IF(M147&lt;&gt;"",M147,IFERROR(IF(INDIRECT("'"&amp;M$86&amp;"'!"&amp;VLOOKUP(M$87,'List Values'!$C$3:$D$6,2,FALSE)&amp;ROW(M147))="","",INDIRECT("'"&amp;M$86&amp;"'!"&amp;VLOOKUP(M$87,'List Values'!$C$3:$D$6,2,FALSE)&amp;ROW(M147))),IF(M$86&lt;&gt;"","Data Source Error",""))))</f>
        <v/>
      </c>
      <c r="O147" s="187"/>
      <c r="P147" s="528"/>
      <c r="Q147" s="900" t="str">
        <f ca="1">IF(OR($H$7&lt;4,Q$133&lt;1),"",IF(P147&lt;&gt;"",P147,IFERROR(IF(INDIRECT("'"&amp;P$86&amp;"'!"&amp;VLOOKUP(P$87,'List Values'!$C$3:$D$6,2,FALSE)&amp;ROW(P147))="","",INDIRECT("'"&amp;P$86&amp;"'!"&amp;VLOOKUP(P$87,'List Values'!$C$3:$D$6,2,FALSE)&amp;ROW(P147))),IF(P$86&lt;&gt;"","Data Source Error",""))))</f>
        <v/>
      </c>
      <c r="S147" s="528"/>
      <c r="T147" s="900" t="str">
        <f ca="1">IF(OR($H$7&lt;5,T$133&lt;1),"",IF(S147&lt;&gt;"",S147,IFERROR(IF(INDIRECT("'"&amp;S$86&amp;"'!"&amp;VLOOKUP(S$87,'List Values'!$C$3:$D$6,2,FALSE)&amp;ROW(S147))="","",INDIRECT("'"&amp;S$86&amp;"'!"&amp;VLOOKUP(S$87,'List Values'!$C$3:$D$6,2,FALSE)&amp;ROW(S147))),IF(S$86&lt;&gt;"","Data Source Error",""))))</f>
        <v/>
      </c>
      <c r="V147" s="528"/>
      <c r="W147" s="911" t="str">
        <f ca="1">IF(OR($H$7&lt;6,W$133&lt;1),"",IF(V147&lt;&gt;"",V147,IFERROR(IF(INDIRECT("'"&amp;V$86&amp;"'!"&amp;VLOOKUP(V$87,'List Values'!$C$3:$D$6,2,FALSE)&amp;ROW(V147))="","",INDIRECT("'"&amp;V$86&amp;"'!"&amp;VLOOKUP(V$87,'List Values'!$C$3:$D$6,2,FALSE)&amp;ROW(V147))),IF(V$86&lt;&gt;"","Data Source Error",""))))</f>
        <v/>
      </c>
      <c r="Y147" s="2643"/>
      <c r="Z147" s="2644"/>
      <c r="AA147" s="2644"/>
      <c r="AB147" s="2645"/>
    </row>
    <row r="148" spans="1:28" ht="37.5" customHeight="1" outlineLevel="1">
      <c r="A148" s="252"/>
      <c r="B148" s="252"/>
      <c r="C148" s="2680" t="s">
        <v>5478</v>
      </c>
      <c r="D148" s="2680"/>
      <c r="E148" s="2062"/>
      <c r="F148" s="2062"/>
      <c r="G148" s="636"/>
      <c r="H148" s="637"/>
      <c r="I148" s="191"/>
      <c r="J148" s="580"/>
      <c r="K148" s="963">
        <f ca="1">IF(OR($H$7&lt;2,K$133&lt;1),"",IF(J148&lt;&gt;"",J148,IFERROR(IF(INDIRECT("'"&amp;J$86&amp;"'!"&amp;VLOOKUP(J$87,'List Values'!$C$3:$D$6,2,FALSE)&amp;ROW(J148))="","",INDIRECT("'"&amp;J$86&amp;"'!"&amp;VLOOKUP(J$87,'List Values'!$C$3:$D$6,2,FALSE)&amp;ROW(J148))),IF(J$86&lt;&gt;"","Data Source Error",""))))</f>
        <v>60</v>
      </c>
      <c r="L148" s="191"/>
      <c r="M148" s="580"/>
      <c r="N148" s="963">
        <f ca="1">IF(OR($H$7&lt;3,N$133&lt;1),"",IF(M148&lt;&gt;"",M148,IFERROR(IF(INDIRECT("'"&amp;M$86&amp;"'!"&amp;VLOOKUP(M$87,'List Values'!$C$3:$D$6,2,FALSE)&amp;ROW(M148))="","",INDIRECT("'"&amp;M$86&amp;"'!"&amp;VLOOKUP(M$87,'List Values'!$C$3:$D$6,2,FALSE)&amp;ROW(M148))),IF(M$86&lt;&gt;"","Data Source Error",""))))</f>
        <v>20</v>
      </c>
      <c r="O148" s="187"/>
      <c r="P148" s="528"/>
      <c r="Q148" s="900" t="str">
        <f ca="1">IF(OR($H$7&lt;4,Q$133&lt;1),"",IF(P148&lt;&gt;"",P148,IFERROR(IF(INDIRECT("'"&amp;P$86&amp;"'!"&amp;VLOOKUP(P$87,'List Values'!$C$3:$D$6,2,FALSE)&amp;ROW(P148))="","",INDIRECT("'"&amp;P$86&amp;"'!"&amp;VLOOKUP(P$87,'List Values'!$C$3:$D$6,2,FALSE)&amp;ROW(P148))),IF(P$86&lt;&gt;"","Data Source Error",""))))</f>
        <v/>
      </c>
      <c r="S148" s="528"/>
      <c r="T148" s="900" t="str">
        <f ca="1">IF(OR($H$7&lt;5,T$133&lt;1),"",IF(S148&lt;&gt;"",S148,IFERROR(IF(INDIRECT("'"&amp;S$86&amp;"'!"&amp;VLOOKUP(S$87,'List Values'!$C$3:$D$6,2,FALSE)&amp;ROW(S148))="","",INDIRECT("'"&amp;S$86&amp;"'!"&amp;VLOOKUP(S$87,'List Values'!$C$3:$D$6,2,FALSE)&amp;ROW(S148))),IF(S$86&lt;&gt;"","Data Source Error",""))))</f>
        <v/>
      </c>
      <c r="V148" s="528"/>
      <c r="W148" s="911" t="str">
        <f ca="1">IF(OR($H$7&lt;6,W$133&lt;1),"",IF(V148&lt;&gt;"",V148,IFERROR(IF(INDIRECT("'"&amp;V$86&amp;"'!"&amp;VLOOKUP(V$87,'List Values'!$C$3:$D$6,2,FALSE)&amp;ROW(V148))="","",INDIRECT("'"&amp;V$86&amp;"'!"&amp;VLOOKUP(V$87,'List Values'!$C$3:$D$6,2,FALSE)&amp;ROW(V148))),IF(V$86&lt;&gt;"","Data Source Error",""))))</f>
        <v/>
      </c>
      <c r="Y148" s="2643"/>
      <c r="Z148" s="2644"/>
      <c r="AA148" s="2644"/>
      <c r="AB148" s="2645"/>
    </row>
    <row r="149" spans="1:28" ht="56.25" customHeight="1" outlineLevel="1">
      <c r="A149" s="252"/>
      <c r="B149" s="252"/>
      <c r="C149" s="2680" t="s">
        <v>5479</v>
      </c>
      <c r="D149" s="2680"/>
      <c r="E149" s="2062"/>
      <c r="F149" s="2062"/>
      <c r="G149" s="636"/>
      <c r="H149" s="637"/>
      <c r="I149" s="191"/>
      <c r="J149" s="580"/>
      <c r="K149" s="963">
        <f ca="1">IF(OR($H$7&lt;2,K$133&lt;1),"",IF(J149&lt;&gt;"",J149,IFERROR(IF(INDIRECT("'"&amp;J$86&amp;"'!"&amp;VLOOKUP(J$87,'List Values'!$C$3:$D$6,2,FALSE)&amp;ROW(J149))="","",INDIRECT("'"&amp;J$86&amp;"'!"&amp;VLOOKUP(J$87,'List Values'!$C$3:$D$6,2,FALSE)&amp;ROW(J149))),IF(J$86&lt;&gt;"","Data Source Error",""))))</f>
        <v>0</v>
      </c>
      <c r="L149" s="191"/>
      <c r="M149" s="580"/>
      <c r="N149" s="963">
        <f ca="1">IF(OR($H$7&lt;3,N$133&lt;1),"",IF(M149&lt;&gt;"",M149,IFERROR(IF(INDIRECT("'"&amp;M$86&amp;"'!"&amp;VLOOKUP(M$87,'List Values'!$C$3:$D$6,2,FALSE)&amp;ROW(M149))="","",INDIRECT("'"&amp;M$86&amp;"'!"&amp;VLOOKUP(M$87,'List Values'!$C$3:$D$6,2,FALSE)&amp;ROW(M149))),IF(M$86&lt;&gt;"","Data Source Error",""))))</f>
        <v>0</v>
      </c>
      <c r="O149" s="187"/>
      <c r="P149" s="528"/>
      <c r="Q149" s="900" t="str">
        <f ca="1">IF(OR($H$7&lt;4,Q$133&lt;1),"",IF(P149&lt;&gt;"",P149,IFERROR(IF(INDIRECT("'"&amp;P$86&amp;"'!"&amp;VLOOKUP(P$87,'List Values'!$C$3:$D$6,2,FALSE)&amp;ROW(P149))="","",INDIRECT("'"&amp;P$86&amp;"'!"&amp;VLOOKUP(P$87,'List Values'!$C$3:$D$6,2,FALSE)&amp;ROW(P149))),IF(P$86&lt;&gt;"","Data Source Error",""))))</f>
        <v/>
      </c>
      <c r="S149" s="528"/>
      <c r="T149" s="900" t="str">
        <f ca="1">IF(OR($H$7&lt;5,T$133&lt;1),"",IF(S149&lt;&gt;"",S149,IFERROR(IF(INDIRECT("'"&amp;S$86&amp;"'!"&amp;VLOOKUP(S$87,'List Values'!$C$3:$D$6,2,FALSE)&amp;ROW(S149))="","",INDIRECT("'"&amp;S$86&amp;"'!"&amp;VLOOKUP(S$87,'List Values'!$C$3:$D$6,2,FALSE)&amp;ROW(S149))),IF(S$86&lt;&gt;"","Data Source Error",""))))</f>
        <v/>
      </c>
      <c r="V149" s="528"/>
      <c r="W149" s="911" t="str">
        <f ca="1">IF(OR($H$7&lt;6,W$133&lt;1),"",IF(V149&lt;&gt;"",V149,IFERROR(IF(INDIRECT("'"&amp;V$86&amp;"'!"&amp;VLOOKUP(V$87,'List Values'!$C$3:$D$6,2,FALSE)&amp;ROW(V149))="","",INDIRECT("'"&amp;V$86&amp;"'!"&amp;VLOOKUP(V$87,'List Values'!$C$3:$D$6,2,FALSE)&amp;ROW(V149))),IF(V$86&lt;&gt;"","Data Source Error",""))))</f>
        <v/>
      </c>
      <c r="Y149" s="2643"/>
      <c r="Z149" s="2644"/>
      <c r="AA149" s="2644"/>
      <c r="AB149" s="2645"/>
    </row>
    <row r="150" spans="1:28" ht="51.75" customHeight="1" outlineLevel="1">
      <c r="A150" s="252"/>
      <c r="B150" s="252"/>
      <c r="C150" s="2680" t="s">
        <v>5480</v>
      </c>
      <c r="D150" s="2680"/>
      <c r="E150" s="2062"/>
      <c r="F150" s="2062"/>
      <c r="G150" s="636"/>
      <c r="H150" s="637"/>
      <c r="I150" s="191"/>
      <c r="J150" s="580"/>
      <c r="K150" s="963">
        <f ca="1">IF(OR($H$7&lt;2,K$133&lt;1),"",IF(J150&lt;&gt;"",J150,IFERROR(IF(INDIRECT("'"&amp;J$86&amp;"'!"&amp;VLOOKUP(J$87,'List Values'!$C$3:$D$6,2,FALSE)&amp;ROW(J150))="","",INDIRECT("'"&amp;J$86&amp;"'!"&amp;VLOOKUP(J$87,'List Values'!$C$3:$D$6,2,FALSE)&amp;ROW(J150))),IF(J$86&lt;&gt;"","Data Source Error",""))))</f>
        <v>0</v>
      </c>
      <c r="L150" s="191"/>
      <c r="M150" s="580"/>
      <c r="N150" s="963">
        <f ca="1">IF(OR($H$7&lt;3,N$133&lt;1),"",IF(M150&lt;&gt;"",M150,IFERROR(IF(INDIRECT("'"&amp;M$86&amp;"'!"&amp;VLOOKUP(M$87,'List Values'!$C$3:$D$6,2,FALSE)&amp;ROW(M150))="","",INDIRECT("'"&amp;M$86&amp;"'!"&amp;VLOOKUP(M$87,'List Values'!$C$3:$D$6,2,FALSE)&amp;ROW(M150))),IF(M$86&lt;&gt;"","Data Source Error",""))))</f>
        <v>0</v>
      </c>
      <c r="O150" s="187"/>
      <c r="P150" s="528"/>
      <c r="Q150" s="900" t="str">
        <f ca="1">IF(OR($H$7&lt;4,Q$133&lt;1),"",IF(P150&lt;&gt;"",P150,IFERROR(IF(INDIRECT("'"&amp;P$86&amp;"'!"&amp;VLOOKUP(P$87,'List Values'!$C$3:$D$6,2,FALSE)&amp;ROW(P150))="","",INDIRECT("'"&amp;P$86&amp;"'!"&amp;VLOOKUP(P$87,'List Values'!$C$3:$D$6,2,FALSE)&amp;ROW(P150))),IF(P$86&lt;&gt;"","Data Source Error",""))))</f>
        <v/>
      </c>
      <c r="S150" s="528"/>
      <c r="T150" s="900" t="str">
        <f ca="1">IF(OR($H$7&lt;5,T$133&lt;1),"",IF(S150&lt;&gt;"",S150,IFERROR(IF(INDIRECT("'"&amp;S$86&amp;"'!"&amp;VLOOKUP(S$87,'List Values'!$C$3:$D$6,2,FALSE)&amp;ROW(S150))="","",INDIRECT("'"&amp;S$86&amp;"'!"&amp;VLOOKUP(S$87,'List Values'!$C$3:$D$6,2,FALSE)&amp;ROW(S150))),IF(S$86&lt;&gt;"","Data Source Error",""))))</f>
        <v/>
      </c>
      <c r="V150" s="528"/>
      <c r="W150" s="911" t="str">
        <f ca="1">IF(OR($H$7&lt;6,W$133&lt;1),"",IF(V150&lt;&gt;"",V150,IFERROR(IF(INDIRECT("'"&amp;V$86&amp;"'!"&amp;VLOOKUP(V$87,'List Values'!$C$3:$D$6,2,FALSE)&amp;ROW(V150))="","",INDIRECT("'"&amp;V$86&amp;"'!"&amp;VLOOKUP(V$87,'List Values'!$C$3:$D$6,2,FALSE)&amp;ROW(V150))),IF(V$86&lt;&gt;"","Data Source Error",""))))</f>
        <v/>
      </c>
      <c r="Y150" s="2643"/>
      <c r="Z150" s="2644"/>
      <c r="AA150" s="2644"/>
      <c r="AB150" s="2645"/>
    </row>
    <row r="151" spans="1:28" ht="18.75" customHeight="1" outlineLevel="1">
      <c r="A151" s="252"/>
      <c r="B151" s="252"/>
      <c r="C151" s="2680" t="s">
        <v>648</v>
      </c>
      <c r="D151" s="2680"/>
      <c r="E151" s="2062"/>
      <c r="F151" s="2062"/>
      <c r="G151" s="636"/>
      <c r="H151" s="637"/>
      <c r="I151" s="191"/>
      <c r="J151" s="580"/>
      <c r="K151" s="963">
        <f ca="1">IF(OR($H$7&lt;2,K$133&lt;1),"",IF(J151&lt;&gt;"",J151,IFERROR(IF(INDIRECT("'"&amp;J$86&amp;"'!"&amp;VLOOKUP(J$87,'List Values'!$C$3:$D$6,2,FALSE)&amp;ROW(J151))="","",INDIRECT("'"&amp;J$86&amp;"'!"&amp;VLOOKUP(J$87,'List Values'!$C$3:$D$6,2,FALSE)&amp;ROW(J151))),IF(J$86&lt;&gt;"","Data Source Error",""))))</f>
        <v>100</v>
      </c>
      <c r="L151" s="191"/>
      <c r="M151" s="580"/>
      <c r="N151" s="963">
        <f ca="1">IF(OR($H$7&lt;3,N$133&lt;1),"",IF(M151&lt;&gt;"",M151,IFERROR(IF(INDIRECT("'"&amp;M$86&amp;"'!"&amp;VLOOKUP(M$87,'List Values'!$C$3:$D$6,2,FALSE)&amp;ROW(M151))="","",INDIRECT("'"&amp;M$86&amp;"'!"&amp;VLOOKUP(M$87,'List Values'!$C$3:$D$6,2,FALSE)&amp;ROW(M151))),IF(M$86&lt;&gt;"","Data Source Error",""))))</f>
        <v>25</v>
      </c>
      <c r="O151" s="187"/>
      <c r="P151" s="528"/>
      <c r="Q151" s="900" t="str">
        <f ca="1">IF(OR($H$7&lt;4,Q$133&lt;1),"",IF(P151&lt;&gt;"",P151,IFERROR(IF(INDIRECT("'"&amp;P$86&amp;"'!"&amp;VLOOKUP(P$87,'List Values'!$C$3:$D$6,2,FALSE)&amp;ROW(P151))="","",INDIRECT("'"&amp;P$86&amp;"'!"&amp;VLOOKUP(P$87,'List Values'!$C$3:$D$6,2,FALSE)&amp;ROW(P151))),IF(P$86&lt;&gt;"","Data Source Error",""))))</f>
        <v/>
      </c>
      <c r="S151" s="528"/>
      <c r="T151" s="900" t="str">
        <f ca="1">IF(OR($H$7&lt;5,T$133&lt;1),"",IF(S151&lt;&gt;"",S151,IFERROR(IF(INDIRECT("'"&amp;S$86&amp;"'!"&amp;VLOOKUP(S$87,'List Values'!$C$3:$D$6,2,FALSE)&amp;ROW(S151))="","",INDIRECT("'"&amp;S$86&amp;"'!"&amp;VLOOKUP(S$87,'List Values'!$C$3:$D$6,2,FALSE)&amp;ROW(S151))),IF(S$86&lt;&gt;"","Data Source Error",""))))</f>
        <v/>
      </c>
      <c r="V151" s="528"/>
      <c r="W151" s="911" t="str">
        <f ca="1">IF(OR($H$7&lt;6,W$133&lt;1),"",IF(V151&lt;&gt;"",V151,IFERROR(IF(INDIRECT("'"&amp;V$86&amp;"'!"&amp;VLOOKUP(V$87,'List Values'!$C$3:$D$6,2,FALSE)&amp;ROW(V151))="","",INDIRECT("'"&amp;V$86&amp;"'!"&amp;VLOOKUP(V$87,'List Values'!$C$3:$D$6,2,FALSE)&amp;ROW(V151))),IF(V$86&lt;&gt;"","Data Source Error",""))))</f>
        <v/>
      </c>
      <c r="Y151" s="2643"/>
      <c r="Z151" s="2644"/>
      <c r="AA151" s="2644"/>
      <c r="AB151" s="2645"/>
    </row>
    <row r="152" spans="1:28" ht="33.75" customHeight="1" outlineLevel="1" thickBot="1">
      <c r="A152" s="252"/>
      <c r="B152" s="252"/>
      <c r="C152" s="2680" t="s">
        <v>649</v>
      </c>
      <c r="D152" s="2680"/>
      <c r="E152" s="2062"/>
      <c r="F152" s="2062"/>
      <c r="G152" s="636"/>
      <c r="H152" s="637"/>
      <c r="I152" s="239"/>
      <c r="J152" s="624"/>
      <c r="K152" s="965">
        <f ca="1">IF(OR($H$7&lt;2,K$133&lt;1),"",IF(J152&lt;&gt;"",J152,IFERROR(IF(INDIRECT("'"&amp;J$86&amp;"'!"&amp;VLOOKUP(J$87,'List Values'!$C$3:$D$6,2,FALSE)&amp;ROW(J152))="","",INDIRECT("'"&amp;J$86&amp;"'!"&amp;VLOOKUP(J$87,'List Values'!$C$3:$D$6,2,FALSE)&amp;ROW(J152))),IF(J$86&lt;&gt;"","Data Source Error",""))))</f>
        <v>100</v>
      </c>
      <c r="L152" s="239"/>
      <c r="M152" s="624"/>
      <c r="N152" s="965">
        <f ca="1">IF(OR($H$7&lt;3,N$133&lt;1),"",IF(M152&lt;&gt;"",M152,IFERROR(IF(INDIRECT("'"&amp;M$86&amp;"'!"&amp;VLOOKUP(M$87,'List Values'!$C$3:$D$6,2,FALSE)&amp;ROW(M152))="","",INDIRECT("'"&amp;M$86&amp;"'!"&amp;VLOOKUP(M$87,'List Values'!$C$3:$D$6,2,FALSE)&amp;ROW(M152))),IF(M$86&lt;&gt;"","Data Source Error",""))))</f>
        <v>100</v>
      </c>
      <c r="O152" s="625"/>
      <c r="P152" s="528"/>
      <c r="Q152" s="900" t="str">
        <f ca="1">IF(OR($H$7&lt;4,Q$133&lt;1),"",IF(P152&lt;&gt;"",P152,IFERROR(IF(INDIRECT("'"&amp;P$86&amp;"'!"&amp;VLOOKUP(P$87,'List Values'!$C$3:$D$6,2,FALSE)&amp;ROW(P152))="","",INDIRECT("'"&amp;P$86&amp;"'!"&amp;VLOOKUP(P$87,'List Values'!$C$3:$D$6,2,FALSE)&amp;ROW(P152))),IF(P$86&lt;&gt;"","Data Source Error",""))))</f>
        <v/>
      </c>
      <c r="S152" s="528"/>
      <c r="T152" s="900" t="str">
        <f ca="1">IF(OR($H$7&lt;5,T$133&lt;1),"",IF(S152&lt;&gt;"",S152,IFERROR(IF(INDIRECT("'"&amp;S$86&amp;"'!"&amp;VLOOKUP(S$87,'List Values'!$C$3:$D$6,2,FALSE)&amp;ROW(S152))="","",INDIRECT("'"&amp;S$86&amp;"'!"&amp;VLOOKUP(S$87,'List Values'!$C$3:$D$6,2,FALSE)&amp;ROW(S152))),IF(S$86&lt;&gt;"","Data Source Error",""))))</f>
        <v/>
      </c>
      <c r="V152" s="528"/>
      <c r="W152" s="911" t="str">
        <f ca="1">IF(OR($H$7&lt;6,W$133&lt;1),"",IF(V152&lt;&gt;"",V152,IFERROR(IF(INDIRECT("'"&amp;V$86&amp;"'!"&amp;VLOOKUP(V$87,'List Values'!$C$3:$D$6,2,FALSE)&amp;ROW(V152))="","",INDIRECT("'"&amp;V$86&amp;"'!"&amp;VLOOKUP(V$87,'List Values'!$C$3:$D$6,2,FALSE)&amp;ROW(V152))),IF(V$86&lt;&gt;"","Data Source Error",""))))</f>
        <v/>
      </c>
      <c r="Y152" s="2643"/>
      <c r="Z152" s="2644"/>
      <c r="AA152" s="2644"/>
      <c r="AB152" s="2645"/>
    </row>
    <row r="153" spans="1:28" ht="33.75" customHeight="1" outlineLevel="1">
      <c r="A153" s="237"/>
      <c r="B153" s="252"/>
      <c r="C153" s="2680" t="s">
        <v>415</v>
      </c>
      <c r="D153" s="2680"/>
      <c r="E153" s="238"/>
      <c r="F153" s="238"/>
      <c r="G153" s="638"/>
      <c r="H153" s="639"/>
      <c r="I153" s="52"/>
      <c r="J153" s="583"/>
      <c r="K153" s="965" t="str">
        <f ca="1">IF(OR($H$7&lt;2,K$133&lt;1),"",IF(J153&lt;&gt;"",J153,IFERROR(IF(INDIRECT("'"&amp;J$86&amp;"'!"&amp;VLOOKUP(J$87,'List Values'!$C$3:$D$6,2,FALSE)&amp;ROW(J153))="","",INDIRECT("'"&amp;J$86&amp;"'!"&amp;VLOOKUP(J$87,'List Values'!$C$3:$D$6,2,FALSE)&amp;ROW(J153))),IF(J$86&lt;&gt;"","Data Source Error",""))))</f>
        <v>No</v>
      </c>
      <c r="L153" s="52"/>
      <c r="M153" s="583"/>
      <c r="N153" s="965" t="str">
        <f ca="1">IF(OR($H$7&lt;3,N$133&lt;1),"",IF(M153&lt;&gt;"",M153,IFERROR(IF(INDIRECT("'"&amp;M$86&amp;"'!"&amp;VLOOKUP(M$87,'List Values'!$C$3:$D$6,2,FALSE)&amp;ROW(M153))="","",INDIRECT("'"&amp;M$86&amp;"'!"&amp;VLOOKUP(M$87,'List Values'!$C$3:$D$6,2,FALSE)&amp;ROW(M153))),IF(M$86&lt;&gt;"","Data Source Error",""))))</f>
        <v>No</v>
      </c>
      <c r="P153" s="582"/>
      <c r="Q153" s="941" t="str">
        <f ca="1">IF(OR($H$7&lt;4,Q$133&lt;1),"",IF(P153&lt;&gt;"",P153,IFERROR(IF(INDIRECT("'"&amp;P$86&amp;"'!"&amp;VLOOKUP(P$87,'List Values'!$C$3:$D$6,2,FALSE)&amp;ROW(P153))="","",INDIRECT("'"&amp;P$86&amp;"'!"&amp;VLOOKUP(P$87,'List Values'!$C$3:$D$6,2,FALSE)&amp;ROW(P153))),IF(P$86&lt;&gt;"","Data Source Error",""))))</f>
        <v/>
      </c>
      <c r="S153" s="582"/>
      <c r="T153" s="972" t="str">
        <f ca="1">IF(OR($H$7&lt;5,T$133&lt;1),"",IF(S153&lt;&gt;"",S153,IFERROR(IF(INDIRECT("'"&amp;S$86&amp;"'!"&amp;VLOOKUP(S$87,'List Values'!$C$3:$D$6,2,FALSE)&amp;ROW(S153))="","",INDIRECT("'"&amp;S$86&amp;"'!"&amp;VLOOKUP(S$87,'List Values'!$C$3:$D$6,2,FALSE)&amp;ROW(S153))),IF(S$86&lt;&gt;"","Data Source Error",""))))</f>
        <v/>
      </c>
      <c r="V153" s="582"/>
      <c r="W153" s="976" t="str">
        <f ca="1">IF(OR($H$7&lt;6,W$133&lt;1),"",IF(V153&lt;&gt;"",V153,IFERROR(IF(INDIRECT("'"&amp;V$86&amp;"'!"&amp;VLOOKUP(V$87,'List Values'!$C$3:$D$6,2,FALSE)&amp;ROW(V153))="","",INDIRECT("'"&amp;V$86&amp;"'!"&amp;VLOOKUP(V$87,'List Values'!$C$3:$D$6,2,FALSE)&amp;ROW(V153))),IF(V$86&lt;&gt;"","Data Source Error",""))))</f>
        <v/>
      </c>
      <c r="Y153" s="2643"/>
      <c r="Z153" s="2644"/>
      <c r="AA153" s="2644"/>
      <c r="AB153" s="2645"/>
    </row>
    <row r="154" spans="1:28" ht="18.75" customHeight="1">
      <c r="A154" s="237"/>
      <c r="B154" s="612" t="s">
        <v>610</v>
      </c>
      <c r="C154" s="604"/>
      <c r="D154" s="604"/>
      <c r="E154" s="604"/>
      <c r="F154" s="604"/>
      <c r="G154" s="604"/>
      <c r="H154" s="604"/>
      <c r="I154" s="609"/>
      <c r="J154" s="605"/>
      <c r="K154" s="966"/>
      <c r="L154" s="609"/>
      <c r="M154" s="605"/>
      <c r="N154" s="961"/>
      <c r="O154" s="608"/>
      <c r="P154" s="610"/>
      <c r="Q154" s="970"/>
      <c r="R154" s="608"/>
      <c r="S154" s="610"/>
      <c r="T154" s="970"/>
      <c r="U154" s="608"/>
      <c r="V154" s="610"/>
      <c r="W154" s="970"/>
      <c r="Y154" s="631"/>
      <c r="Z154" s="631"/>
      <c r="AA154" s="631"/>
      <c r="AB154" s="631"/>
    </row>
    <row r="155" spans="1:28" ht="15.75" customHeight="1" outlineLevel="1">
      <c r="A155" s="252"/>
      <c r="B155" s="252"/>
      <c r="C155" s="2580" t="s">
        <v>731</v>
      </c>
      <c r="D155" s="2580"/>
      <c r="E155" s="202"/>
      <c r="F155" s="202"/>
      <c r="G155" s="634"/>
      <c r="H155" s="635"/>
      <c r="I155" s="183"/>
      <c r="J155" s="628"/>
      <c r="K155" s="967" t="str">
        <f ca="1">IF(OR($H$7&lt;2,K$133&lt;2),"",IF(J155&lt;&gt;"",J155,IFERROR(IF(INDIRECT("'"&amp;J$86&amp;"'!"&amp;VLOOKUP(J$87,'List Values'!$C$3:$D$6,2,FALSE)&amp;ROW(J155))="","",INDIRECT("'"&amp;J$86&amp;"'!"&amp;VLOOKUP(J$87,'List Values'!$C$3:$D$6,2,FALSE)&amp;ROW(J155))),IF(J$86&lt;&gt;"","Data Source Error",""))))</f>
        <v/>
      </c>
      <c r="L155" s="629"/>
      <c r="M155" s="628"/>
      <c r="N155" s="967" t="str">
        <f ca="1">IF(OR($H$7&lt;3,N$133&lt;2),"",IF(M155&lt;&gt;"",M155,IFERROR(IF(INDIRECT("'"&amp;M$86&amp;"'!"&amp;VLOOKUP(M$87,'List Values'!$C$3:$D$6,2,FALSE)&amp;ROW(M155))="","",INDIRECT("'"&amp;M$86&amp;"'!"&amp;VLOOKUP(M$87,'List Values'!$C$3:$D$6,2,FALSE)&amp;ROW(M155))),IF(M$86&lt;&gt;"","Data Source Error",""))))</f>
        <v/>
      </c>
      <c r="O155" s="629"/>
      <c r="P155" s="590"/>
      <c r="Q155" s="967" t="str">
        <f ca="1">IF(OR($H$7&lt;4,Q$133&lt;2),"",IF(P155&lt;&gt;"",P155,IFERROR(IF(INDIRECT("'"&amp;P$86&amp;"'!"&amp;VLOOKUP(P$87,'List Values'!$C$3:$D$6,2,FALSE)&amp;ROW(P155))="","",INDIRECT("'"&amp;P$86&amp;"'!"&amp;VLOOKUP(P$87,'List Values'!$C$3:$D$6,2,FALSE)&amp;ROW(P155))),IF(P$86&lt;&gt;"","Data Source Error",""))))</f>
        <v/>
      </c>
      <c r="R155" s="147"/>
      <c r="S155" s="590"/>
      <c r="T155" s="967" t="str">
        <f ca="1">IF(OR($H$7&lt;5,T$133&lt;2),"",IF(S155&lt;&gt;"",S155,IFERROR(IF(INDIRECT("'"&amp;S$86&amp;"'!"&amp;VLOOKUP(S$87,'List Values'!$C$3:$D$6,2,FALSE)&amp;ROW(S155))="","",INDIRECT("'"&amp;S$86&amp;"'!"&amp;VLOOKUP(S$87,'List Values'!$C$3:$D$6,2,FALSE)&amp;ROW(S155))),IF(S$86&lt;&gt;"","Data Source Error",""))))</f>
        <v/>
      </c>
      <c r="U155" s="147"/>
      <c r="V155" s="590"/>
      <c r="W155" s="973" t="str">
        <f ca="1">IF(OR($H$7&lt;6,W$133&lt;2),"",IF(V155&lt;&gt;"",V155,IFERROR(IF(INDIRECT("'"&amp;V$86&amp;"'!"&amp;VLOOKUP(V$87,'List Values'!$C$3:$D$6,2,FALSE)&amp;ROW(V155))="","",INDIRECT("'"&amp;V$86&amp;"'!"&amp;VLOOKUP(V$87,'List Values'!$C$3:$D$6,2,FALSE)&amp;ROW(V155))),IF(V$86&lt;&gt;"","Data Source Error",""))))</f>
        <v/>
      </c>
      <c r="Y155" s="2643"/>
      <c r="Z155" s="2644"/>
      <c r="AA155" s="2644"/>
      <c r="AB155" s="2645"/>
    </row>
    <row r="156" spans="1:28" ht="15.75" customHeight="1" outlineLevel="1">
      <c r="A156" s="252"/>
      <c r="B156" s="252"/>
      <c r="C156" s="2680" t="s">
        <v>626</v>
      </c>
      <c r="D156" s="2680"/>
      <c r="E156" s="2062"/>
      <c r="F156" s="2062"/>
      <c r="G156" s="636"/>
      <c r="H156" s="637"/>
      <c r="I156" s="187"/>
      <c r="J156" s="526"/>
      <c r="K156" s="900" t="str">
        <f ca="1">IF(OR($H$7&lt;2,K$133&lt;2),"",IF(J156&lt;&gt;"",J156,IFERROR(IF(INDIRECT("'"&amp;J$86&amp;"'!"&amp;VLOOKUP(J$87,'List Values'!$C$3:$D$6,2,FALSE)&amp;ROW(J156))="","",INDIRECT("'"&amp;J$86&amp;"'!"&amp;VLOOKUP(J$87,'List Values'!$C$3:$D$6,2,FALSE)&amp;ROW(J156))),IF(J$86&lt;&gt;"","Data Source Error",""))))</f>
        <v/>
      </c>
      <c r="L156" s="187"/>
      <c r="M156" s="526"/>
      <c r="N156" s="900" t="str">
        <f ca="1">IF(OR($H$7&lt;3,N$133&lt;2),"",IF(M156&lt;&gt;"",M156,IFERROR(IF(INDIRECT("'"&amp;M$86&amp;"'!"&amp;VLOOKUP(M$87,'List Values'!$C$3:$D$6,2,FALSE)&amp;ROW(M156))="","",INDIRECT("'"&amp;M$86&amp;"'!"&amp;VLOOKUP(M$87,'List Values'!$C$3:$D$6,2,FALSE)&amp;ROW(M156))),IF(M$86&lt;&gt;"","Data Source Error",""))))</f>
        <v/>
      </c>
      <c r="O156" s="187"/>
      <c r="P156" s="560"/>
      <c r="Q156" s="900" t="str">
        <f ca="1">IF(OR($H$7&lt;4,Q$133&lt;2),"",IF(P156&lt;&gt;"",P156,IFERROR(IF(INDIRECT("'"&amp;P$86&amp;"'!"&amp;VLOOKUP(P$87,'List Values'!$C$3:$D$6,2,FALSE)&amp;ROW(P156))="","",INDIRECT("'"&amp;P$86&amp;"'!"&amp;VLOOKUP(P$87,'List Values'!$C$3:$D$6,2,FALSE)&amp;ROW(P156))),IF(P$86&lt;&gt;"","Data Source Error",""))))</f>
        <v/>
      </c>
      <c r="S156" s="560"/>
      <c r="T156" s="900" t="str">
        <f ca="1">IF(OR($H$7&lt;5,T$133&lt;2),"",IF(S156&lt;&gt;"",S156,IFERROR(IF(INDIRECT("'"&amp;S$86&amp;"'!"&amp;VLOOKUP(S$87,'List Values'!$C$3:$D$6,2,FALSE)&amp;ROW(S156))="","",INDIRECT("'"&amp;S$86&amp;"'!"&amp;VLOOKUP(S$87,'List Values'!$C$3:$D$6,2,FALSE)&amp;ROW(S156))),IF(S$86&lt;&gt;"","Data Source Error",""))))</f>
        <v/>
      </c>
      <c r="V156" s="560"/>
      <c r="W156" s="911" t="str">
        <f ca="1">IF(OR($H$7&lt;6,W$133&lt;2),"",IF(V156&lt;&gt;"",V156,IFERROR(IF(INDIRECT("'"&amp;V$86&amp;"'!"&amp;VLOOKUP(V$87,'List Values'!$C$3:$D$6,2,FALSE)&amp;ROW(V156))="","",INDIRECT("'"&amp;V$86&amp;"'!"&amp;VLOOKUP(V$87,'List Values'!$C$3:$D$6,2,FALSE)&amp;ROW(V156))),IF(V$86&lt;&gt;"","Data Source Error",""))))</f>
        <v/>
      </c>
      <c r="Y156" s="2643"/>
      <c r="Z156" s="2644"/>
      <c r="AA156" s="2644"/>
      <c r="AB156" s="2645"/>
    </row>
    <row r="157" spans="1:28" ht="31.5" customHeight="1" outlineLevel="1">
      <c r="A157" s="252"/>
      <c r="B157" s="252"/>
      <c r="C157" s="2680" t="s">
        <v>2520</v>
      </c>
      <c r="D157" s="2680"/>
      <c r="E157" s="2062"/>
      <c r="F157" s="2062"/>
      <c r="G157" s="636"/>
      <c r="H157" s="637"/>
      <c r="I157" s="183"/>
      <c r="J157" s="561"/>
      <c r="K157" s="897" t="str">
        <f ca="1">IF(OR($H$7&lt;2,K$133&lt;2),"",IF(J157&lt;&gt;"",J157,IFERROR(IF(INDIRECT("'"&amp;J$86&amp;"'!"&amp;VLOOKUP(J$87,'List Values'!$C$3:$D$6,2,FALSE)&amp;ROW(J157))="","",INDIRECT("'"&amp;J$86&amp;"'!"&amp;VLOOKUP(J$87,'List Values'!$C$3:$D$6,2,FALSE)&amp;ROW(J157))),IF(J$86&lt;&gt;"","Data Source Error",""))))</f>
        <v/>
      </c>
      <c r="L157" s="183"/>
      <c r="M157" s="561"/>
      <c r="N157" s="897" t="str">
        <f ca="1">IF(OR($H$7&lt;3,N$133&lt;2),"",IF(M157&lt;&gt;"",M157,IFERROR(IF(INDIRECT("'"&amp;M$86&amp;"'!"&amp;VLOOKUP(M$87,'List Values'!$C$3:$D$6,2,FALSE)&amp;ROW(M157))="","",INDIRECT("'"&amp;M$86&amp;"'!"&amp;VLOOKUP(M$87,'List Values'!$C$3:$D$6,2,FALSE)&amp;ROW(M157))),IF(M$86&lt;&gt;"","Data Source Error",""))))</f>
        <v/>
      </c>
      <c r="O157" s="183"/>
      <c r="P157" s="558"/>
      <c r="Q157" s="897" t="str">
        <f ca="1">IF(OR($H$7&lt;4,Q$133&lt;2),"",IF(P157&lt;&gt;"",P157,IFERROR(IF(INDIRECT("'"&amp;P$86&amp;"'!"&amp;VLOOKUP(P$87,'List Values'!$C$3:$D$6,2,FALSE)&amp;ROW(P157))="","",INDIRECT("'"&amp;P$86&amp;"'!"&amp;VLOOKUP(P$87,'List Values'!$C$3:$D$6,2,FALSE)&amp;ROW(P157))),IF(P$86&lt;&gt;"","Data Source Error",""))))</f>
        <v/>
      </c>
      <c r="S157" s="558"/>
      <c r="T157" s="897" t="str">
        <f ca="1">IF(OR($H$7&lt;5,T$133&lt;2),"",IF(S157&lt;&gt;"",S157,IFERROR(IF(INDIRECT("'"&amp;S$86&amp;"'!"&amp;VLOOKUP(S$87,'List Values'!$C$3:$D$6,2,FALSE)&amp;ROW(S157))="","",INDIRECT("'"&amp;S$86&amp;"'!"&amp;VLOOKUP(S$87,'List Values'!$C$3:$D$6,2,FALSE)&amp;ROW(S157))),IF(S$86&lt;&gt;"","Data Source Error",""))))</f>
        <v/>
      </c>
      <c r="V157" s="558"/>
      <c r="W157" s="908" t="str">
        <f ca="1">IF(OR($H$7&lt;6,W$133&lt;2),"",IF(V157&lt;&gt;"",V157,IFERROR(IF(INDIRECT("'"&amp;V$86&amp;"'!"&amp;VLOOKUP(V$87,'List Values'!$C$3:$D$6,2,FALSE)&amp;ROW(V157))="","",INDIRECT("'"&amp;V$86&amp;"'!"&amp;VLOOKUP(V$87,'List Values'!$C$3:$D$6,2,FALSE)&amp;ROW(V157))),IF(V$86&lt;&gt;"","Data Source Error",""))))</f>
        <v/>
      </c>
      <c r="Y157" s="2643"/>
      <c r="Z157" s="2644"/>
      <c r="AA157" s="2644"/>
      <c r="AB157" s="2645"/>
    </row>
    <row r="158" spans="1:28" ht="31.5" customHeight="1" outlineLevel="1">
      <c r="A158" s="252"/>
      <c r="B158" s="252"/>
      <c r="C158" s="2684" t="s">
        <v>726</v>
      </c>
      <c r="D158" s="2684"/>
      <c r="E158" s="2062"/>
      <c r="F158" s="2062"/>
      <c r="G158" s="636"/>
      <c r="H158" s="637"/>
      <c r="I158" s="187"/>
      <c r="J158" s="526"/>
      <c r="K158" s="900" t="str">
        <f ca="1">IF(OR($H$7&lt;2,K$133&lt;2),"",IF(J158&lt;&gt;"",J158,IFERROR(IF(INDIRECT("'"&amp;J$86&amp;"'!"&amp;VLOOKUP(J$87,'List Values'!$C$3:$D$6,2,FALSE)&amp;ROW(J158))="","",INDIRECT("'"&amp;J$86&amp;"'!"&amp;VLOOKUP(J$87,'List Values'!$C$3:$D$6,2,FALSE)&amp;ROW(J158))),IF(J$86&lt;&gt;"","Data Source Error",""))))</f>
        <v/>
      </c>
      <c r="L158" s="187"/>
      <c r="M158" s="526"/>
      <c r="N158" s="900" t="str">
        <f ca="1">IF(OR($H$7&lt;3,N$133&lt;2),"",IF(M158&lt;&gt;"",M158,IFERROR(IF(INDIRECT("'"&amp;M$86&amp;"'!"&amp;VLOOKUP(M$87,'List Values'!$C$3:$D$6,2,FALSE)&amp;ROW(M158))="","",INDIRECT("'"&amp;M$86&amp;"'!"&amp;VLOOKUP(M$87,'List Values'!$C$3:$D$6,2,FALSE)&amp;ROW(M158))),IF(M$86&lt;&gt;"","Data Source Error",""))))</f>
        <v/>
      </c>
      <c r="O158" s="187"/>
      <c r="P158" s="560"/>
      <c r="Q158" s="900" t="str">
        <f ca="1">IF(OR($H$7&lt;4,Q$133&lt;2),"",IF(P158&lt;&gt;"",P158,IFERROR(IF(INDIRECT("'"&amp;P$86&amp;"'!"&amp;VLOOKUP(P$87,'List Values'!$C$3:$D$6,2,FALSE)&amp;ROW(P158))="","",INDIRECT("'"&amp;P$86&amp;"'!"&amp;VLOOKUP(P$87,'List Values'!$C$3:$D$6,2,FALSE)&amp;ROW(P158))),IF(P$86&lt;&gt;"","Data Source Error",""))))</f>
        <v/>
      </c>
      <c r="S158" s="560"/>
      <c r="T158" s="900" t="str">
        <f ca="1">IF(OR($H$7&lt;5,T$133&lt;2),"",IF(S158&lt;&gt;"",S158,IFERROR(IF(INDIRECT("'"&amp;S$86&amp;"'!"&amp;VLOOKUP(S$87,'List Values'!$C$3:$D$6,2,FALSE)&amp;ROW(S158))="","",INDIRECT("'"&amp;S$86&amp;"'!"&amp;VLOOKUP(S$87,'List Values'!$C$3:$D$6,2,FALSE)&amp;ROW(S158))),IF(S$86&lt;&gt;"","Data Source Error",""))))</f>
        <v/>
      </c>
      <c r="V158" s="560"/>
      <c r="W158" s="911" t="str">
        <f ca="1">IF(OR($H$7&lt;6,W$133&lt;2),"",IF(V158&lt;&gt;"",V158,IFERROR(IF(INDIRECT("'"&amp;V$86&amp;"'!"&amp;VLOOKUP(V$87,'List Values'!$C$3:$D$6,2,FALSE)&amp;ROW(V158))="","",INDIRECT("'"&amp;V$86&amp;"'!"&amp;VLOOKUP(V$87,'List Values'!$C$3:$D$6,2,FALSE)&amp;ROW(V158))),IF(V$86&lt;&gt;"","Data Source Error",""))))</f>
        <v/>
      </c>
      <c r="Y158" s="2643"/>
      <c r="Z158" s="2644"/>
      <c r="AA158" s="2644"/>
      <c r="AB158" s="2645"/>
    </row>
    <row r="159" spans="1:28" ht="31.5" customHeight="1" outlineLevel="1">
      <c r="A159" s="252"/>
      <c r="B159" s="252"/>
      <c r="C159" s="2684" t="s">
        <v>727</v>
      </c>
      <c r="D159" s="2684"/>
      <c r="E159" s="2062"/>
      <c r="F159" s="2062"/>
      <c r="G159" s="636"/>
      <c r="H159" s="637"/>
      <c r="I159" s="187"/>
      <c r="J159" s="568"/>
      <c r="K159" s="945" t="str">
        <f ca="1">IF(OR($H$7&lt;2,K$133&lt;2),"",IF(J159&lt;&gt;"",J159,IFERROR(IF(INDIRECT("'"&amp;J$86&amp;"'!"&amp;VLOOKUP(J$87,'List Values'!$C$3:$D$6,2,FALSE)&amp;ROW(J159))="","",INDIRECT("'"&amp;J$86&amp;"'!"&amp;VLOOKUP(J$87,'List Values'!$C$3:$D$6,2,FALSE)&amp;ROW(J159))*$H$6),IF(J$86&lt;&gt;"","Data Source Error",""))))</f>
        <v/>
      </c>
      <c r="L159" s="339"/>
      <c r="M159" s="568"/>
      <c r="N159" s="945" t="str">
        <f ca="1">IF(OR($H$7&lt;3,N$133&lt;2),"",IF(M159&lt;&gt;"",M159,IFERROR(IF(INDIRECT("'"&amp;M$86&amp;"'!"&amp;VLOOKUP(M$87,'List Values'!$C$3:$D$6,2,FALSE)&amp;ROW(M159))="","",INDIRECT("'"&amp;M$86&amp;"'!"&amp;VLOOKUP(M$87,'List Values'!$C$3:$D$6,2,FALSE)&amp;ROW(M159))*$H$6),IF(M$86&lt;&gt;"","Data Source Error",""))))</f>
        <v/>
      </c>
      <c r="O159" s="339"/>
      <c r="P159" s="623"/>
      <c r="Q159" s="945" t="str">
        <f ca="1">IF(OR($H$7&lt;4,Q$133&lt;2),"",IF(P159&lt;&gt;"",P159,IFERROR(IF(INDIRECT("'"&amp;P$86&amp;"'!"&amp;VLOOKUP(P$87,'List Values'!$C$3:$D$6,2,FALSE)&amp;ROW(P159))="","",INDIRECT("'"&amp;P$86&amp;"'!"&amp;VLOOKUP(P$87,'List Values'!$C$3:$D$6,2,FALSE)&amp;ROW(P159))*$H$6),IF(P$86&lt;&gt;"","Data Source Error",""))))</f>
        <v/>
      </c>
      <c r="R159" s="7"/>
      <c r="S159" s="623"/>
      <c r="T159" s="945" t="str">
        <f ca="1">IF(OR($H$7&lt;5,T$133&lt;2),"",IF(S159&lt;&gt;"",S159,IFERROR(IF(INDIRECT("'"&amp;S$86&amp;"'!"&amp;VLOOKUP(S$87,'List Values'!$C$3:$D$6,2,FALSE)&amp;ROW(S159))="","",INDIRECT("'"&amp;S$86&amp;"'!"&amp;VLOOKUP(S$87,'List Values'!$C$3:$D$6,2,FALSE)&amp;ROW(S159))*$H$6),IF(S$86&lt;&gt;"","Data Source Error",""))))</f>
        <v/>
      </c>
      <c r="U159" s="7"/>
      <c r="V159" s="623"/>
      <c r="W159" s="952" t="str">
        <f ca="1">IF(OR($H$7&lt;6,W$133&lt;2),"",IF(V159&lt;&gt;"",V159,IFERROR(IF(INDIRECT("'"&amp;V$86&amp;"'!"&amp;VLOOKUP(V$87,'List Values'!$C$3:$D$6,2,FALSE)&amp;ROW(V159))="","",INDIRECT("'"&amp;V$86&amp;"'!"&amp;VLOOKUP(V$87,'List Values'!$C$3:$D$6,2,FALSE)&amp;ROW(V159))*$H$6),IF(V$86&lt;&gt;"","Data Source Error",""))))</f>
        <v/>
      </c>
      <c r="Y159" s="2643"/>
      <c r="Z159" s="2644"/>
      <c r="AA159" s="2644"/>
      <c r="AB159" s="2645"/>
    </row>
    <row r="160" spans="1:28" ht="15.75" customHeight="1" outlineLevel="1">
      <c r="A160" s="252"/>
      <c r="B160" s="252"/>
      <c r="C160" s="2680" t="s">
        <v>732</v>
      </c>
      <c r="D160" s="2680"/>
      <c r="E160" s="2062"/>
      <c r="F160" s="2062"/>
      <c r="G160" s="636"/>
      <c r="H160" s="637"/>
      <c r="I160" s="187"/>
      <c r="J160" s="526"/>
      <c r="K160" s="900" t="str">
        <f ca="1">IF(OR($H$7&lt;2,K$133&lt;2),"",IF(J160&lt;&gt;"",J160,IFERROR(IF(INDIRECT("'"&amp;J$86&amp;"'!"&amp;VLOOKUP(J$87,'List Values'!$C$3:$D$6,2,FALSE)&amp;ROW(J160))="","",INDIRECT("'"&amp;J$86&amp;"'!"&amp;VLOOKUP(J$87,'List Values'!$C$3:$D$6,2,FALSE)&amp;ROW(J160))),IF(J$86&lt;&gt;"","Data Source Error",""))))</f>
        <v/>
      </c>
      <c r="L160" s="187"/>
      <c r="M160" s="526"/>
      <c r="N160" s="900" t="str">
        <f ca="1">IF(OR($H$7&lt;3,N$133&lt;2),"",IF(M160&lt;&gt;"",M160,IFERROR(IF(INDIRECT("'"&amp;M$86&amp;"'!"&amp;VLOOKUP(M$87,'List Values'!$C$3:$D$6,2,FALSE)&amp;ROW(M160))="","",INDIRECT("'"&amp;M$86&amp;"'!"&amp;VLOOKUP(M$87,'List Values'!$C$3:$D$6,2,FALSE)&amp;ROW(M160))),IF(M$86&lt;&gt;"","Data Source Error",""))))</f>
        <v/>
      </c>
      <c r="O160" s="187"/>
      <c r="P160" s="560"/>
      <c r="Q160" s="900" t="str">
        <f ca="1">IF(OR($H$7&lt;4,Q$133&lt;2),"",IF(P160&lt;&gt;"",P160,IFERROR(IF(INDIRECT("'"&amp;P$86&amp;"'!"&amp;VLOOKUP(P$87,'List Values'!$C$3:$D$6,2,FALSE)&amp;ROW(P160))="","",INDIRECT("'"&amp;P$86&amp;"'!"&amp;VLOOKUP(P$87,'List Values'!$C$3:$D$6,2,FALSE)&amp;ROW(P160))),IF(P$86&lt;&gt;"","Data Source Error",""))))</f>
        <v/>
      </c>
      <c r="S160" s="560"/>
      <c r="T160" s="900" t="str">
        <f ca="1">IF(OR($H$7&lt;5,T$133&lt;2),"",IF(S160&lt;&gt;"",S160,IFERROR(IF(INDIRECT("'"&amp;S$86&amp;"'!"&amp;VLOOKUP(S$87,'List Values'!$C$3:$D$6,2,FALSE)&amp;ROW(S160))="","",INDIRECT("'"&amp;S$86&amp;"'!"&amp;VLOOKUP(S$87,'List Values'!$C$3:$D$6,2,FALSE)&amp;ROW(S160))),IF(S$86&lt;&gt;"","Data Source Error",""))))</f>
        <v/>
      </c>
      <c r="V160" s="560"/>
      <c r="W160" s="911" t="str">
        <f ca="1">IF(OR($H$7&lt;6,W$133&lt;2),"",IF(V160&lt;&gt;"",V160,IFERROR(IF(INDIRECT("'"&amp;V$86&amp;"'!"&amp;VLOOKUP(V$87,'List Values'!$C$3:$D$6,2,FALSE)&amp;ROW(V160))="","",INDIRECT("'"&amp;V$86&amp;"'!"&amp;VLOOKUP(V$87,'List Values'!$C$3:$D$6,2,FALSE)&amp;ROW(V160))),IF(V$86&lt;&gt;"","Data Source Error",""))))</f>
        <v/>
      </c>
      <c r="Y160" s="2643"/>
      <c r="Z160" s="2644"/>
      <c r="AA160" s="2644"/>
      <c r="AB160" s="2645"/>
    </row>
    <row r="161" spans="1:28" ht="31.5" customHeight="1" outlineLevel="1">
      <c r="A161" s="252"/>
      <c r="B161" s="252"/>
      <c r="C161" s="2680" t="s">
        <v>2521</v>
      </c>
      <c r="D161" s="2680"/>
      <c r="E161" s="2062"/>
      <c r="F161" s="2062"/>
      <c r="G161" s="636"/>
      <c r="H161" s="637"/>
      <c r="I161" s="187"/>
      <c r="J161" s="619"/>
      <c r="K161" s="898" t="str">
        <f ca="1">IF(OR($H$7&lt;2,K$133&lt;2),"",IF(J161&lt;&gt;"",J161,IFERROR(IF(INDIRECT("'"&amp;J$86&amp;"'!"&amp;VLOOKUP(J$87,'List Values'!$C$3:$D$6,2,FALSE)&amp;ROW(J161))="","",INDIRECT("'"&amp;J$86&amp;"'!"&amp;VLOOKUP(J$87,'List Values'!$C$3:$D$6,2,FALSE)&amp;ROW(J161))),IF(J$86&lt;&gt;"","Data Source Error",""))))</f>
        <v/>
      </c>
      <c r="L161" s="621"/>
      <c r="M161" s="619"/>
      <c r="N161" s="898" t="str">
        <f ca="1">IF(OR($H$7&lt;3,N$133&lt;2),"",IF(M161&lt;&gt;"",M161,IFERROR(IF(INDIRECT("'"&amp;M$86&amp;"'!"&amp;VLOOKUP(M$87,'List Values'!$C$3:$D$6,2,FALSE)&amp;ROW(M161))="","",INDIRECT("'"&amp;M$86&amp;"'!"&amp;VLOOKUP(M$87,'List Values'!$C$3:$D$6,2,FALSE)&amp;ROW(M161))),IF(M$86&lt;&gt;"","Data Source Error",""))))</f>
        <v/>
      </c>
      <c r="O161" s="621"/>
      <c r="P161" s="619"/>
      <c r="Q161" s="898" t="str">
        <f ca="1">IF(OR($H$7&lt;4,Q$133&lt;2),"",IF(P161&lt;&gt;"",P161,IFERROR(IF(INDIRECT("'"&amp;P$86&amp;"'!"&amp;VLOOKUP(P$87,'List Values'!$C$3:$D$6,2,FALSE)&amp;ROW(P161))="","",INDIRECT("'"&amp;P$86&amp;"'!"&amp;VLOOKUP(P$87,'List Values'!$C$3:$D$6,2,FALSE)&amp;ROW(P161))),IF(P$86&lt;&gt;"","Data Source Error",""))))</f>
        <v/>
      </c>
      <c r="R161" s="147"/>
      <c r="S161" s="619"/>
      <c r="T161" s="898" t="str">
        <f ca="1">IF(OR($H$7&lt;5,T$133&lt;2),"",IF(S161&lt;&gt;"",S161,IFERROR(IF(INDIRECT("'"&amp;S$86&amp;"'!"&amp;VLOOKUP(S$87,'List Values'!$C$3:$D$6,2,FALSE)&amp;ROW(S161))="","",INDIRECT("'"&amp;S$86&amp;"'!"&amp;VLOOKUP(S$87,'List Values'!$C$3:$D$6,2,FALSE)&amp;ROW(S161))),IF(S$86&lt;&gt;"","Data Source Error",""))))</f>
        <v/>
      </c>
      <c r="U161" s="147"/>
      <c r="V161" s="619"/>
      <c r="W161" s="909" t="str">
        <f ca="1">IF(OR($H$7&lt;6,W$133&lt;2),"",IF(V161&lt;&gt;"",V161,IFERROR(IF(INDIRECT("'"&amp;V$86&amp;"'!"&amp;VLOOKUP(V$87,'List Values'!$C$3:$D$6,2,FALSE)&amp;ROW(V161))="","",INDIRECT("'"&amp;V$86&amp;"'!"&amp;VLOOKUP(V$87,'List Values'!$C$3:$D$6,2,FALSE)&amp;ROW(V161))),IF(V$86&lt;&gt;"","Data Source Error",""))))</f>
        <v/>
      </c>
      <c r="Y161" s="2643"/>
      <c r="Z161" s="2644"/>
      <c r="AA161" s="2644"/>
      <c r="AB161" s="2645"/>
    </row>
    <row r="162" spans="1:28" ht="31.5" customHeight="1" outlineLevel="1">
      <c r="A162" s="252"/>
      <c r="B162" s="252"/>
      <c r="C162" s="2680" t="s">
        <v>2522</v>
      </c>
      <c r="D162" s="2680"/>
      <c r="E162" s="2062"/>
      <c r="F162" s="2062"/>
      <c r="G162" s="636"/>
      <c r="H162" s="637"/>
      <c r="I162" s="187"/>
      <c r="J162" s="619"/>
      <c r="K162" s="898" t="str">
        <f ca="1">IF(OR($H$7&lt;2,K$133&lt;2),"",IF(J162&lt;&gt;"",J162,IFERROR(IF(INDIRECT("'"&amp;J$86&amp;"'!"&amp;VLOOKUP(J$87,'List Values'!$C$3:$D$6,2,FALSE)&amp;ROW(J162))="","",INDIRECT("'"&amp;J$86&amp;"'!"&amp;VLOOKUP(J$87,'List Values'!$C$3:$D$6,2,FALSE)&amp;ROW(J162))),IF(J$86&lt;&gt;"","Data Source Error",""))))</f>
        <v/>
      </c>
      <c r="L162" s="621"/>
      <c r="M162" s="619"/>
      <c r="N162" s="898" t="str">
        <f ca="1">IF(OR($H$7&lt;3,N$133&lt;2),"",IF(M162&lt;&gt;"",M162,IFERROR(IF(INDIRECT("'"&amp;M$86&amp;"'!"&amp;VLOOKUP(M$87,'List Values'!$C$3:$D$6,2,FALSE)&amp;ROW(M162))="","",INDIRECT("'"&amp;M$86&amp;"'!"&amp;VLOOKUP(M$87,'List Values'!$C$3:$D$6,2,FALSE)&amp;ROW(M162))),IF(M$86&lt;&gt;"","Data Source Error",""))))</f>
        <v/>
      </c>
      <c r="O162" s="621"/>
      <c r="P162" s="619"/>
      <c r="Q162" s="898" t="str">
        <f ca="1">IF(OR($H$7&lt;4,Q$133&lt;2),"",IF(P162&lt;&gt;"",P162,IFERROR(IF(INDIRECT("'"&amp;P$86&amp;"'!"&amp;VLOOKUP(P$87,'List Values'!$C$3:$D$6,2,FALSE)&amp;ROW(P162))="","",INDIRECT("'"&amp;P$86&amp;"'!"&amp;VLOOKUP(P$87,'List Values'!$C$3:$D$6,2,FALSE)&amp;ROW(P162))),IF(P$86&lt;&gt;"","Data Source Error",""))))</f>
        <v/>
      </c>
      <c r="R162" s="147"/>
      <c r="S162" s="619"/>
      <c r="T162" s="898" t="str">
        <f ca="1">IF(OR($H$7&lt;5,T$133&lt;2),"",IF(S162&lt;&gt;"",S162,IFERROR(IF(INDIRECT("'"&amp;S$86&amp;"'!"&amp;VLOOKUP(S$87,'List Values'!$C$3:$D$6,2,FALSE)&amp;ROW(S162))="","",INDIRECT("'"&amp;S$86&amp;"'!"&amp;VLOOKUP(S$87,'List Values'!$C$3:$D$6,2,FALSE)&amp;ROW(S162))),IF(S$86&lt;&gt;"","Data Source Error",""))))</f>
        <v/>
      </c>
      <c r="U162" s="147"/>
      <c r="V162" s="619"/>
      <c r="W162" s="909" t="str">
        <f ca="1">IF(OR($H$7&lt;6,W$133&lt;2),"",IF(V162&lt;&gt;"",V162,IFERROR(IF(INDIRECT("'"&amp;V$86&amp;"'!"&amp;VLOOKUP(V$87,'List Values'!$C$3:$D$6,2,FALSE)&amp;ROW(V162))="","",INDIRECT("'"&amp;V$86&amp;"'!"&amp;VLOOKUP(V$87,'List Values'!$C$3:$D$6,2,FALSE)&amp;ROW(V162))),IF(V$86&lt;&gt;"","Data Source Error",""))))</f>
        <v/>
      </c>
      <c r="Y162" s="2643"/>
      <c r="Z162" s="2644"/>
      <c r="AA162" s="2644"/>
      <c r="AB162" s="2645"/>
    </row>
    <row r="163" spans="1:28" ht="31.5" customHeight="1" outlineLevel="1">
      <c r="A163" s="252"/>
      <c r="B163" s="252"/>
      <c r="C163" s="2680" t="s">
        <v>253</v>
      </c>
      <c r="D163" s="2680"/>
      <c r="E163" s="2062"/>
      <c r="F163" s="2062"/>
      <c r="G163" s="636"/>
      <c r="H163" s="637"/>
      <c r="I163" s="187"/>
      <c r="J163" s="526"/>
      <c r="K163" s="900" t="str">
        <f ca="1">IF(OR($H$7&lt;2,K$133&lt;2),"",IF(J163&lt;&gt;"",J163,IFERROR(IF(INDIRECT("'"&amp;J$86&amp;"'!"&amp;VLOOKUP(J$87,'List Values'!$C$3:$D$6,2,FALSE)&amp;ROW(J163))="","",INDIRECT("'"&amp;J$86&amp;"'!"&amp;VLOOKUP(J$87,'List Values'!$C$3:$D$6,2,FALSE)&amp;ROW(J163))),IF(J$86&lt;&gt;"","Data Source Error",""))))</f>
        <v/>
      </c>
      <c r="L163" s="187"/>
      <c r="M163" s="526"/>
      <c r="N163" s="900" t="str">
        <f ca="1">IF(OR($H$7&lt;3,N$133&lt;2),"",IF(M163&lt;&gt;"",M163,IFERROR(IF(INDIRECT("'"&amp;M$86&amp;"'!"&amp;VLOOKUP(M$87,'List Values'!$C$3:$D$6,2,FALSE)&amp;ROW(M163))="","",INDIRECT("'"&amp;M$86&amp;"'!"&amp;VLOOKUP(M$87,'List Values'!$C$3:$D$6,2,FALSE)&amp;ROW(M163))),IF(M$86&lt;&gt;"","Data Source Error",""))))</f>
        <v/>
      </c>
      <c r="O163" s="187"/>
      <c r="P163" s="523"/>
      <c r="Q163" s="900" t="str">
        <f ca="1">IF(OR($H$7&lt;4,Q$133&lt;2),"",IF(P163&lt;&gt;"",P163,IFERROR(IF(INDIRECT("'"&amp;P$86&amp;"'!"&amp;VLOOKUP(P$87,'List Values'!$C$3:$D$6,2,FALSE)&amp;ROW(P163))="","",INDIRECT("'"&amp;P$86&amp;"'!"&amp;VLOOKUP(P$87,'List Values'!$C$3:$D$6,2,FALSE)&amp;ROW(P163))),IF(P$86&lt;&gt;"","Data Source Error",""))))</f>
        <v/>
      </c>
      <c r="S163" s="523"/>
      <c r="T163" s="900" t="str">
        <f ca="1">IF(OR($H$7&lt;5,T$133&lt;2),"",IF(S163&lt;&gt;"",S163,IFERROR(IF(INDIRECT("'"&amp;S$86&amp;"'!"&amp;VLOOKUP(S$87,'List Values'!$C$3:$D$6,2,FALSE)&amp;ROW(S163))="","",INDIRECT("'"&amp;S$86&amp;"'!"&amp;VLOOKUP(S$87,'List Values'!$C$3:$D$6,2,FALSE)&amp;ROW(S163))),IF(S$86&lt;&gt;"","Data Source Error",""))))</f>
        <v/>
      </c>
      <c r="V163" s="523"/>
      <c r="W163" s="911" t="str">
        <f ca="1">IF(OR($H$7&lt;6,W$133&lt;2),"",IF(V163&lt;&gt;"",V163,IFERROR(IF(INDIRECT("'"&amp;V$86&amp;"'!"&amp;VLOOKUP(V$87,'List Values'!$C$3:$D$6,2,FALSE)&amp;ROW(V163))="","",INDIRECT("'"&amp;V$86&amp;"'!"&amp;VLOOKUP(V$87,'List Values'!$C$3:$D$6,2,FALSE)&amp;ROW(V163))),IF(V$86&lt;&gt;"","Data Source Error",""))))</f>
        <v/>
      </c>
      <c r="Y163" s="2643"/>
      <c r="Z163" s="2644"/>
      <c r="AA163" s="2644"/>
      <c r="AB163" s="2645"/>
    </row>
    <row r="164" spans="1:28" ht="15.75" customHeight="1" outlineLevel="1">
      <c r="A164" s="252"/>
      <c r="B164" s="252"/>
      <c r="C164" s="2684" t="s">
        <v>244</v>
      </c>
      <c r="D164" s="2684"/>
      <c r="E164" s="2062"/>
      <c r="F164" s="2062"/>
      <c r="G164" s="636"/>
      <c r="H164" s="637"/>
      <c r="I164" s="187"/>
      <c r="J164" s="580"/>
      <c r="K164" s="900" t="str">
        <f ca="1">IF(OR($H$7&lt;2,K$133&lt;2),"",IF(J164&lt;&gt;"",J164,IFERROR(IF(INDIRECT("'"&amp;J$86&amp;"'!"&amp;VLOOKUP(J$87,'List Values'!$C$3:$D$6,2,FALSE)&amp;ROW(J164))="","",INDIRECT("'"&amp;J$86&amp;"'!"&amp;VLOOKUP(J$87,'List Values'!$C$3:$D$6,2,FALSE)&amp;ROW(J164))),IF(J$86&lt;&gt;"","Data Source Error",""))))</f>
        <v/>
      </c>
      <c r="L164" s="187"/>
      <c r="M164" s="580"/>
      <c r="N164" s="900" t="str">
        <f ca="1">IF(OR($H$7&lt;3,N$133&lt;2),"",IF(M164&lt;&gt;"",M164,IFERROR(IF(INDIRECT("'"&amp;M$86&amp;"'!"&amp;VLOOKUP(M$87,'List Values'!$C$3:$D$6,2,FALSE)&amp;ROW(M164))="","",INDIRECT("'"&amp;M$86&amp;"'!"&amp;VLOOKUP(M$87,'List Values'!$C$3:$D$6,2,FALSE)&amp;ROW(M164))),IF(M$86&lt;&gt;"","Data Source Error",""))))</f>
        <v/>
      </c>
      <c r="O164" s="187"/>
      <c r="P164" s="528"/>
      <c r="Q164" s="900" t="str">
        <f ca="1">IF(OR($H$7&lt;4,Q$133&lt;2),"",IF(P164&lt;&gt;"",P164,IFERROR(IF(INDIRECT("'"&amp;P$86&amp;"'!"&amp;VLOOKUP(P$87,'List Values'!$C$3:$D$6,2,FALSE)&amp;ROW(P164))="","",INDIRECT("'"&amp;P$86&amp;"'!"&amp;VLOOKUP(P$87,'List Values'!$C$3:$D$6,2,FALSE)&amp;ROW(P164))),IF(P$86&lt;&gt;"","Data Source Error",""))))</f>
        <v/>
      </c>
      <c r="S164" s="528"/>
      <c r="T164" s="900" t="str">
        <f ca="1">IF(OR($H$7&lt;5,T$133&lt;2),"",IF(S164&lt;&gt;"",S164,IFERROR(IF(INDIRECT("'"&amp;S$86&amp;"'!"&amp;VLOOKUP(S$87,'List Values'!$C$3:$D$6,2,FALSE)&amp;ROW(S164))="","",INDIRECT("'"&amp;S$86&amp;"'!"&amp;VLOOKUP(S$87,'List Values'!$C$3:$D$6,2,FALSE)&amp;ROW(S164))),IF(S$86&lt;&gt;"","Data Source Error",""))))</f>
        <v/>
      </c>
      <c r="V164" s="528"/>
      <c r="W164" s="911" t="str">
        <f ca="1">IF(OR($H$7&lt;6,W$133&lt;2),"",IF(V164&lt;&gt;"",V164,IFERROR(IF(INDIRECT("'"&amp;V$86&amp;"'!"&amp;VLOOKUP(V$87,'List Values'!$C$3:$D$6,2,FALSE)&amp;ROW(V164))="","",INDIRECT("'"&amp;V$86&amp;"'!"&amp;VLOOKUP(V$87,'List Values'!$C$3:$D$6,2,FALSE)&amp;ROW(V164))),IF(V$86&lt;&gt;"","Data Source Error",""))))</f>
        <v/>
      </c>
      <c r="Y164" s="2643"/>
      <c r="Z164" s="2644"/>
      <c r="AA164" s="2644"/>
      <c r="AB164" s="2645"/>
    </row>
    <row r="165" spans="1:28" ht="33" customHeight="1" outlineLevel="1">
      <c r="A165" s="252"/>
      <c r="B165" s="252"/>
      <c r="C165" s="2680" t="s">
        <v>2523</v>
      </c>
      <c r="D165" s="2680"/>
      <c r="E165" s="2062"/>
      <c r="F165" s="2062"/>
      <c r="G165" s="636"/>
      <c r="H165" s="637"/>
      <c r="I165" s="187"/>
      <c r="J165" s="580"/>
      <c r="K165" s="900" t="str">
        <f ca="1">IF(OR($H$7&lt;2,K$133&lt;2),"",IF(J165&lt;&gt;"",J165,IFERROR(IF(INDIRECT("'"&amp;J$86&amp;"'!"&amp;VLOOKUP(J$87,'List Values'!$C$3:$D$6,2,FALSE)&amp;ROW(J165))="","",INDIRECT("'"&amp;J$86&amp;"'!"&amp;VLOOKUP(J$87,'List Values'!$C$3:$D$6,2,FALSE)&amp;ROW(J165))),IF(J$86&lt;&gt;"","Data Source Error",""))))</f>
        <v/>
      </c>
      <c r="L165" s="187"/>
      <c r="M165" s="580"/>
      <c r="N165" s="900" t="str">
        <f ca="1">IF(OR($H$7&lt;3,N$133&lt;2),"",IF(M165&lt;&gt;"",M165,IFERROR(IF(INDIRECT("'"&amp;M$86&amp;"'!"&amp;VLOOKUP(M$87,'List Values'!$C$3:$D$6,2,FALSE)&amp;ROW(M165))="","",INDIRECT("'"&amp;M$86&amp;"'!"&amp;VLOOKUP(M$87,'List Values'!$C$3:$D$6,2,FALSE)&amp;ROW(M165))),IF(M$86&lt;&gt;"","Data Source Error",""))))</f>
        <v/>
      </c>
      <c r="O165" s="187"/>
      <c r="P165" s="528"/>
      <c r="Q165" s="900" t="str">
        <f ca="1">IF(OR($H$7&lt;4,Q$133&lt;2),"",IF(P165&lt;&gt;"",P165,IFERROR(IF(INDIRECT("'"&amp;P$86&amp;"'!"&amp;VLOOKUP(P$87,'List Values'!$C$3:$D$6,2,FALSE)&amp;ROW(P165))="","",INDIRECT("'"&amp;P$86&amp;"'!"&amp;VLOOKUP(P$87,'List Values'!$C$3:$D$6,2,FALSE)&amp;ROW(P165))),IF(P$86&lt;&gt;"","Data Source Error",""))))</f>
        <v/>
      </c>
      <c r="S165" s="528"/>
      <c r="T165" s="900" t="str">
        <f ca="1">IF(OR($H$7&lt;5,T$133&lt;2),"",IF(S165&lt;&gt;"",S165,IFERROR(IF(INDIRECT("'"&amp;S$86&amp;"'!"&amp;VLOOKUP(S$87,'List Values'!$C$3:$D$6,2,FALSE)&amp;ROW(S165))="","",INDIRECT("'"&amp;S$86&amp;"'!"&amp;VLOOKUP(S$87,'List Values'!$C$3:$D$6,2,FALSE)&amp;ROW(S165))),IF(S$86&lt;&gt;"","Data Source Error",""))))</f>
        <v/>
      </c>
      <c r="V165" s="528"/>
      <c r="W165" s="911" t="str">
        <f ca="1">IF(OR($H$7&lt;6,W$133&lt;2),"",IF(V165&lt;&gt;"",V165,IFERROR(IF(INDIRECT("'"&amp;V$86&amp;"'!"&amp;VLOOKUP(V$87,'List Values'!$C$3:$D$6,2,FALSE)&amp;ROW(V165))="","",INDIRECT("'"&amp;V$86&amp;"'!"&amp;VLOOKUP(V$87,'List Values'!$C$3:$D$6,2,FALSE)&amp;ROW(V165))),IF(V$86&lt;&gt;"","Data Source Error",""))))</f>
        <v/>
      </c>
      <c r="Y165" s="2643"/>
      <c r="Z165" s="2644"/>
      <c r="AA165" s="2644"/>
      <c r="AB165" s="2645"/>
    </row>
    <row r="166" spans="1:28" ht="15.75" customHeight="1" outlineLevel="1">
      <c r="A166" s="252"/>
      <c r="B166" s="252"/>
      <c r="C166" s="2680" t="s">
        <v>2524</v>
      </c>
      <c r="D166" s="2680"/>
      <c r="E166" s="2062"/>
      <c r="F166" s="2062"/>
      <c r="G166" s="636"/>
      <c r="H166" s="637"/>
      <c r="I166" s="187"/>
      <c r="J166" s="580"/>
      <c r="K166" s="900" t="str">
        <f ca="1">IF(OR($H$7&lt;2,K$133&lt;2),"",IF(J166&lt;&gt;"",J166,IFERROR(IF(INDIRECT("'"&amp;J$86&amp;"'!"&amp;VLOOKUP(J$87,'List Values'!$C$3:$D$6,2,FALSE)&amp;ROW(J166))="","",INDIRECT("'"&amp;J$86&amp;"'!"&amp;VLOOKUP(J$87,'List Values'!$C$3:$D$6,2,FALSE)&amp;ROW(J166))),IF(J$86&lt;&gt;"","Data Source Error",""))))</f>
        <v/>
      </c>
      <c r="L166" s="187"/>
      <c r="M166" s="580"/>
      <c r="N166" s="900" t="str">
        <f ca="1">IF(OR($H$7&lt;3,N$133&lt;2),"",IF(M166&lt;&gt;"",M166,IFERROR(IF(INDIRECT("'"&amp;M$86&amp;"'!"&amp;VLOOKUP(M$87,'List Values'!$C$3:$D$6,2,FALSE)&amp;ROW(M166))="","",INDIRECT("'"&amp;M$86&amp;"'!"&amp;VLOOKUP(M$87,'List Values'!$C$3:$D$6,2,FALSE)&amp;ROW(M166))),IF(M$86&lt;&gt;"","Data Source Error",""))))</f>
        <v/>
      </c>
      <c r="O166" s="187"/>
      <c r="P166" s="528"/>
      <c r="Q166" s="900" t="str">
        <f ca="1">IF(OR($H$7&lt;4,Q$133&lt;2),"",IF(P166&lt;&gt;"",P166,IFERROR(IF(INDIRECT("'"&amp;P$86&amp;"'!"&amp;VLOOKUP(P$87,'List Values'!$C$3:$D$6,2,FALSE)&amp;ROW(P166))="","",INDIRECT("'"&amp;P$86&amp;"'!"&amp;VLOOKUP(P$87,'List Values'!$C$3:$D$6,2,FALSE)&amp;ROW(P166))),IF(P$86&lt;&gt;"","Data Source Error",""))))</f>
        <v/>
      </c>
      <c r="S166" s="528"/>
      <c r="T166" s="900" t="str">
        <f ca="1">IF(OR($H$7&lt;5,T$133&lt;2),"",IF(S166&lt;&gt;"",S166,IFERROR(IF(INDIRECT("'"&amp;S$86&amp;"'!"&amp;VLOOKUP(S$87,'List Values'!$C$3:$D$6,2,FALSE)&amp;ROW(S166))="","",INDIRECT("'"&amp;S$86&amp;"'!"&amp;VLOOKUP(S$87,'List Values'!$C$3:$D$6,2,FALSE)&amp;ROW(S166))),IF(S$86&lt;&gt;"","Data Source Error",""))))</f>
        <v/>
      </c>
      <c r="V166" s="528"/>
      <c r="W166" s="911" t="str">
        <f ca="1">IF(OR($H$7&lt;6,W$133&lt;2),"",IF(V166&lt;&gt;"",V166,IFERROR(IF(INDIRECT("'"&amp;V$86&amp;"'!"&amp;VLOOKUP(V$87,'List Values'!$C$3:$D$6,2,FALSE)&amp;ROW(V166))="","",INDIRECT("'"&amp;V$86&amp;"'!"&amp;VLOOKUP(V$87,'List Values'!$C$3:$D$6,2,FALSE)&amp;ROW(V166))),IF(V$86&lt;&gt;"","Data Source Error",""))))</f>
        <v/>
      </c>
      <c r="Y166" s="2643"/>
      <c r="Z166" s="2644"/>
      <c r="AA166" s="2644"/>
      <c r="AB166" s="2645"/>
    </row>
    <row r="167" spans="1:28" ht="15.75" customHeight="1" outlineLevel="1">
      <c r="A167" s="252"/>
      <c r="B167" s="252"/>
      <c r="C167" s="2684" t="s">
        <v>2525</v>
      </c>
      <c r="D167" s="2684"/>
      <c r="E167" s="2062"/>
      <c r="F167" s="2062"/>
      <c r="G167" s="636"/>
      <c r="H167" s="637"/>
      <c r="I167" s="187"/>
      <c r="J167" s="580"/>
      <c r="K167" s="900" t="str">
        <f ca="1">IF(OR($H$7&lt;2,K$133&lt;2),"",IF(J167&lt;&gt;"",J167,IFERROR(IF(INDIRECT("'"&amp;J$86&amp;"'!"&amp;VLOOKUP(J$87,'List Values'!$C$3:$D$6,2,FALSE)&amp;ROW(J167))="","",INDIRECT("'"&amp;J$86&amp;"'!"&amp;VLOOKUP(J$87,'List Values'!$C$3:$D$6,2,FALSE)&amp;ROW(J167))),IF(J$86&lt;&gt;"","Data Source Error",""))))</f>
        <v/>
      </c>
      <c r="L167" s="187"/>
      <c r="M167" s="580"/>
      <c r="N167" s="900" t="str">
        <f ca="1">IF(OR($H$7&lt;3,N$133&lt;2),"",IF(M167&lt;&gt;"",M167,IFERROR(IF(INDIRECT("'"&amp;M$86&amp;"'!"&amp;VLOOKUP(M$87,'List Values'!$C$3:$D$6,2,FALSE)&amp;ROW(M167))="","",INDIRECT("'"&amp;M$86&amp;"'!"&amp;VLOOKUP(M$87,'List Values'!$C$3:$D$6,2,FALSE)&amp;ROW(M167))),IF(M$86&lt;&gt;"","Data Source Error",""))))</f>
        <v/>
      </c>
      <c r="O167" s="187"/>
      <c r="P167" s="528"/>
      <c r="Q167" s="900" t="str">
        <f ca="1">IF(OR($H$7&lt;4,Q$133&lt;2),"",IF(P167&lt;&gt;"",P167,IFERROR(IF(INDIRECT("'"&amp;P$86&amp;"'!"&amp;VLOOKUP(P$87,'List Values'!$C$3:$D$6,2,FALSE)&amp;ROW(P167))="","",INDIRECT("'"&amp;P$86&amp;"'!"&amp;VLOOKUP(P$87,'List Values'!$C$3:$D$6,2,FALSE)&amp;ROW(P167))),IF(P$86&lt;&gt;"","Data Source Error",""))))</f>
        <v/>
      </c>
      <c r="S167" s="528"/>
      <c r="T167" s="900" t="str">
        <f ca="1">IF(OR($H$7&lt;5,T$133&lt;2),"",IF(S167&lt;&gt;"",S167,IFERROR(IF(INDIRECT("'"&amp;S$86&amp;"'!"&amp;VLOOKUP(S$87,'List Values'!$C$3:$D$6,2,FALSE)&amp;ROW(S167))="","",INDIRECT("'"&amp;S$86&amp;"'!"&amp;VLOOKUP(S$87,'List Values'!$C$3:$D$6,2,FALSE)&amp;ROW(S167))),IF(S$86&lt;&gt;"","Data Source Error",""))))</f>
        <v/>
      </c>
      <c r="V167" s="528"/>
      <c r="W167" s="911" t="str">
        <f ca="1">IF(OR($H$7&lt;6,W$133&lt;2),"",IF(V167&lt;&gt;"",V167,IFERROR(IF(INDIRECT("'"&amp;V$86&amp;"'!"&amp;VLOOKUP(V$87,'List Values'!$C$3:$D$6,2,FALSE)&amp;ROW(V167))="","",INDIRECT("'"&amp;V$86&amp;"'!"&amp;VLOOKUP(V$87,'List Values'!$C$3:$D$6,2,FALSE)&amp;ROW(V167))),IF(V$86&lt;&gt;"","Data Source Error",""))))</f>
        <v/>
      </c>
      <c r="Y167" s="2643"/>
      <c r="Z167" s="2644"/>
      <c r="AA167" s="2644"/>
      <c r="AB167" s="2645"/>
    </row>
    <row r="168" spans="1:28" ht="31.5" customHeight="1" outlineLevel="1">
      <c r="A168" s="252"/>
      <c r="B168" s="252"/>
      <c r="C168" s="2680" t="s">
        <v>2526</v>
      </c>
      <c r="D168" s="2680"/>
      <c r="E168" s="2062"/>
      <c r="F168" s="2062"/>
      <c r="G168" s="636"/>
      <c r="H168" s="637"/>
      <c r="I168" s="187"/>
      <c r="J168" s="580"/>
      <c r="K168" s="900" t="str">
        <f ca="1">IF(OR($H$7&lt;2,K$133&lt;2),"",IF(J168&lt;&gt;"",J168,IFERROR(IF(INDIRECT("'"&amp;J$86&amp;"'!"&amp;VLOOKUP(J$87,'List Values'!$C$3:$D$6,2,FALSE)&amp;ROW(J168))="","",INDIRECT("'"&amp;J$86&amp;"'!"&amp;VLOOKUP(J$87,'List Values'!$C$3:$D$6,2,FALSE)&amp;ROW(J168))),IF(J$86&lt;&gt;"","Data Source Error",""))))</f>
        <v/>
      </c>
      <c r="L168" s="187"/>
      <c r="M168" s="580"/>
      <c r="N168" s="900" t="str">
        <f ca="1">IF(OR($H$7&lt;3,N$133&lt;2),"",IF(M168&lt;&gt;"",M168,IFERROR(IF(INDIRECT("'"&amp;M$86&amp;"'!"&amp;VLOOKUP(M$87,'List Values'!$C$3:$D$6,2,FALSE)&amp;ROW(M168))="","",INDIRECT("'"&amp;M$86&amp;"'!"&amp;VLOOKUP(M$87,'List Values'!$C$3:$D$6,2,FALSE)&amp;ROW(M168))),IF(M$86&lt;&gt;"","Data Source Error",""))))</f>
        <v/>
      </c>
      <c r="O168" s="187"/>
      <c r="P168" s="528"/>
      <c r="Q168" s="900" t="str">
        <f ca="1">IF(OR($H$7&lt;4,Q$133&lt;2),"",IF(P168&lt;&gt;"",P168,IFERROR(IF(INDIRECT("'"&amp;P$86&amp;"'!"&amp;VLOOKUP(P$87,'List Values'!$C$3:$D$6,2,FALSE)&amp;ROW(P168))="","",INDIRECT("'"&amp;P$86&amp;"'!"&amp;VLOOKUP(P$87,'List Values'!$C$3:$D$6,2,FALSE)&amp;ROW(P168))),IF(P$86&lt;&gt;"","Data Source Error",""))))</f>
        <v/>
      </c>
      <c r="S168" s="528"/>
      <c r="T168" s="900" t="str">
        <f ca="1">IF(OR($H$7&lt;5,T$133&lt;2),"",IF(S168&lt;&gt;"",S168,IFERROR(IF(INDIRECT("'"&amp;S$86&amp;"'!"&amp;VLOOKUP(S$87,'List Values'!$C$3:$D$6,2,FALSE)&amp;ROW(S168))="","",INDIRECT("'"&amp;S$86&amp;"'!"&amp;VLOOKUP(S$87,'List Values'!$C$3:$D$6,2,FALSE)&amp;ROW(S168))),IF(S$86&lt;&gt;"","Data Source Error",""))))</f>
        <v/>
      </c>
      <c r="V168" s="528"/>
      <c r="W168" s="911" t="str">
        <f ca="1">IF(OR($H$7&lt;6,W$133&lt;2),"",IF(V168&lt;&gt;"",V168,IFERROR(IF(INDIRECT("'"&amp;V$86&amp;"'!"&amp;VLOOKUP(V$87,'List Values'!$C$3:$D$6,2,FALSE)&amp;ROW(V168))="","",INDIRECT("'"&amp;V$86&amp;"'!"&amp;VLOOKUP(V$87,'List Values'!$C$3:$D$6,2,FALSE)&amp;ROW(V168))),IF(V$86&lt;&gt;"","Data Source Error",""))))</f>
        <v/>
      </c>
      <c r="Y168" s="2643"/>
      <c r="Z168" s="2644"/>
      <c r="AA168" s="2644"/>
      <c r="AB168" s="2645"/>
    </row>
    <row r="169" spans="1:28" ht="48" customHeight="1" outlineLevel="1">
      <c r="A169" s="252"/>
      <c r="B169" s="252"/>
      <c r="C169" s="2680" t="s">
        <v>2527</v>
      </c>
      <c r="D169" s="2680"/>
      <c r="E169" s="2062"/>
      <c r="F169" s="2062"/>
      <c r="G169" s="636"/>
      <c r="H169" s="637"/>
      <c r="I169" s="187"/>
      <c r="J169" s="580"/>
      <c r="K169" s="900" t="str">
        <f ca="1">IF(OR($H$7&lt;2,K$133&lt;2),"",IF(J169&lt;&gt;"",J169,IFERROR(IF(INDIRECT("'"&amp;J$86&amp;"'!"&amp;VLOOKUP(J$87,'List Values'!$C$3:$D$6,2,FALSE)&amp;ROW(J169))="","",INDIRECT("'"&amp;J$86&amp;"'!"&amp;VLOOKUP(J$87,'List Values'!$C$3:$D$6,2,FALSE)&amp;ROW(J169))),IF(J$86&lt;&gt;"","Data Source Error",""))))</f>
        <v/>
      </c>
      <c r="L169" s="187"/>
      <c r="M169" s="580"/>
      <c r="N169" s="900" t="str">
        <f ca="1">IF(OR($H$7&lt;3,N$133&lt;2),"",IF(M169&lt;&gt;"",M169,IFERROR(IF(INDIRECT("'"&amp;M$86&amp;"'!"&amp;VLOOKUP(M$87,'List Values'!$C$3:$D$6,2,FALSE)&amp;ROW(M169))="","",INDIRECT("'"&amp;M$86&amp;"'!"&amp;VLOOKUP(M$87,'List Values'!$C$3:$D$6,2,FALSE)&amp;ROW(M169))),IF(M$86&lt;&gt;"","Data Source Error",""))))</f>
        <v/>
      </c>
      <c r="O169" s="187"/>
      <c r="P169" s="528"/>
      <c r="Q169" s="900" t="str">
        <f ca="1">IF(OR($H$7&lt;4,Q$133&lt;2),"",IF(P169&lt;&gt;"",P169,IFERROR(IF(INDIRECT("'"&amp;P$86&amp;"'!"&amp;VLOOKUP(P$87,'List Values'!$C$3:$D$6,2,FALSE)&amp;ROW(P169))="","",INDIRECT("'"&amp;P$86&amp;"'!"&amp;VLOOKUP(P$87,'List Values'!$C$3:$D$6,2,FALSE)&amp;ROW(P169))),IF(P$86&lt;&gt;"","Data Source Error",""))))</f>
        <v/>
      </c>
      <c r="S169" s="528"/>
      <c r="T169" s="900" t="str">
        <f ca="1">IF(OR($H$7&lt;5,T$133&lt;2),"",IF(S169&lt;&gt;"",S169,IFERROR(IF(INDIRECT("'"&amp;S$86&amp;"'!"&amp;VLOOKUP(S$87,'List Values'!$C$3:$D$6,2,FALSE)&amp;ROW(S169))="","",INDIRECT("'"&amp;S$86&amp;"'!"&amp;VLOOKUP(S$87,'List Values'!$C$3:$D$6,2,FALSE)&amp;ROW(S169))),IF(S$86&lt;&gt;"","Data Source Error",""))))</f>
        <v/>
      </c>
      <c r="V169" s="528"/>
      <c r="W169" s="911" t="str">
        <f ca="1">IF(OR($H$7&lt;6,W$133&lt;2),"",IF(V169&lt;&gt;"",V169,IFERROR(IF(INDIRECT("'"&amp;V$86&amp;"'!"&amp;VLOOKUP(V$87,'List Values'!$C$3:$D$6,2,FALSE)&amp;ROW(V169))="","",INDIRECT("'"&amp;V$86&amp;"'!"&amp;VLOOKUP(V$87,'List Values'!$C$3:$D$6,2,FALSE)&amp;ROW(V169))),IF(V$86&lt;&gt;"","Data Source Error",""))))</f>
        <v/>
      </c>
      <c r="Y169" s="2643"/>
      <c r="Z169" s="2644"/>
      <c r="AA169" s="2644"/>
      <c r="AB169" s="2645"/>
    </row>
    <row r="170" spans="1:28" ht="46.5" customHeight="1" outlineLevel="1">
      <c r="A170" s="252"/>
      <c r="B170" s="252"/>
      <c r="C170" s="2680" t="s">
        <v>2528</v>
      </c>
      <c r="D170" s="2680"/>
      <c r="E170" s="2062"/>
      <c r="F170" s="2062"/>
      <c r="G170" s="636"/>
      <c r="H170" s="637"/>
      <c r="I170" s="187"/>
      <c r="J170" s="580"/>
      <c r="K170" s="900" t="str">
        <f ca="1">IF(OR($H$7&lt;2,K$133&lt;2),"",IF(J170&lt;&gt;"",J170,IFERROR(IF(INDIRECT("'"&amp;J$86&amp;"'!"&amp;VLOOKUP(J$87,'List Values'!$C$3:$D$6,2,FALSE)&amp;ROW(J170))="","",INDIRECT("'"&amp;J$86&amp;"'!"&amp;VLOOKUP(J$87,'List Values'!$C$3:$D$6,2,FALSE)&amp;ROW(J170))),IF(J$86&lt;&gt;"","Data Source Error",""))))</f>
        <v/>
      </c>
      <c r="L170" s="187"/>
      <c r="M170" s="580"/>
      <c r="N170" s="900" t="str">
        <f ca="1">IF(OR($H$7&lt;3,N$133&lt;2),"",IF(M170&lt;&gt;"",M170,IFERROR(IF(INDIRECT("'"&amp;M$86&amp;"'!"&amp;VLOOKUP(M$87,'List Values'!$C$3:$D$6,2,FALSE)&amp;ROW(M170))="","",INDIRECT("'"&amp;M$86&amp;"'!"&amp;VLOOKUP(M$87,'List Values'!$C$3:$D$6,2,FALSE)&amp;ROW(M170))),IF(M$86&lt;&gt;"","Data Source Error",""))))</f>
        <v/>
      </c>
      <c r="O170" s="187"/>
      <c r="P170" s="528"/>
      <c r="Q170" s="900" t="str">
        <f ca="1">IF(OR($H$7&lt;4,Q$133&lt;2),"",IF(P170&lt;&gt;"",P170,IFERROR(IF(INDIRECT("'"&amp;P$86&amp;"'!"&amp;VLOOKUP(P$87,'List Values'!$C$3:$D$6,2,FALSE)&amp;ROW(P170))="","",INDIRECT("'"&amp;P$86&amp;"'!"&amp;VLOOKUP(P$87,'List Values'!$C$3:$D$6,2,FALSE)&amp;ROW(P170))),IF(P$86&lt;&gt;"","Data Source Error",""))))</f>
        <v/>
      </c>
      <c r="S170" s="528"/>
      <c r="T170" s="900" t="str">
        <f ca="1">IF(OR($H$7&lt;5,T$133&lt;2),"",IF(S170&lt;&gt;"",S170,IFERROR(IF(INDIRECT("'"&amp;S$86&amp;"'!"&amp;VLOOKUP(S$87,'List Values'!$C$3:$D$6,2,FALSE)&amp;ROW(S170))="","",INDIRECT("'"&amp;S$86&amp;"'!"&amp;VLOOKUP(S$87,'List Values'!$C$3:$D$6,2,FALSE)&amp;ROW(S170))),IF(S$86&lt;&gt;"","Data Source Error",""))))</f>
        <v/>
      </c>
      <c r="V170" s="528"/>
      <c r="W170" s="911" t="str">
        <f ca="1">IF(OR($H$7&lt;6,W$133&lt;2),"",IF(V170&lt;&gt;"",V170,IFERROR(IF(INDIRECT("'"&amp;V$86&amp;"'!"&amp;VLOOKUP(V$87,'List Values'!$C$3:$D$6,2,FALSE)&amp;ROW(V170))="","",INDIRECT("'"&amp;V$86&amp;"'!"&amp;VLOOKUP(V$87,'List Values'!$C$3:$D$6,2,FALSE)&amp;ROW(V170))),IF(V$86&lt;&gt;"","Data Source Error",""))))</f>
        <v/>
      </c>
      <c r="Y170" s="2643"/>
      <c r="Z170" s="2644"/>
      <c r="AA170" s="2644"/>
      <c r="AB170" s="2645"/>
    </row>
    <row r="171" spans="1:28" ht="15.75" customHeight="1" outlineLevel="1">
      <c r="A171" s="252"/>
      <c r="B171" s="252"/>
      <c r="C171" s="2680" t="s">
        <v>650</v>
      </c>
      <c r="D171" s="2680"/>
      <c r="E171" s="2062"/>
      <c r="F171" s="2062"/>
      <c r="G171" s="636"/>
      <c r="H171" s="637"/>
      <c r="I171" s="187"/>
      <c r="J171" s="580"/>
      <c r="K171" s="900" t="str">
        <f ca="1">IF(OR($H$7&lt;2,K$133&lt;2),"",IF(J171&lt;&gt;"",J171,IFERROR(IF(INDIRECT("'"&amp;J$86&amp;"'!"&amp;VLOOKUP(J$87,'List Values'!$C$3:$D$6,2,FALSE)&amp;ROW(J171))="","",INDIRECT("'"&amp;J$86&amp;"'!"&amp;VLOOKUP(J$87,'List Values'!$C$3:$D$6,2,FALSE)&amp;ROW(J171))),IF(J$86&lt;&gt;"","Data Source Error",""))))</f>
        <v/>
      </c>
      <c r="L171" s="187"/>
      <c r="M171" s="580"/>
      <c r="N171" s="900" t="str">
        <f ca="1">IF(OR($H$7&lt;3,N$133&lt;2),"",IF(M171&lt;&gt;"",M171,IFERROR(IF(INDIRECT("'"&amp;M$86&amp;"'!"&amp;VLOOKUP(M$87,'List Values'!$C$3:$D$6,2,FALSE)&amp;ROW(M171))="","",INDIRECT("'"&amp;M$86&amp;"'!"&amp;VLOOKUP(M$87,'List Values'!$C$3:$D$6,2,FALSE)&amp;ROW(M171))),IF(M$86&lt;&gt;"","Data Source Error",""))))</f>
        <v/>
      </c>
      <c r="O171" s="187"/>
      <c r="P171" s="528"/>
      <c r="Q171" s="900" t="str">
        <f ca="1">IF(OR($H$7&lt;4,Q$133&lt;2),"",IF(P171&lt;&gt;"",P171,IFERROR(IF(INDIRECT("'"&amp;P$86&amp;"'!"&amp;VLOOKUP(P$87,'List Values'!$C$3:$D$6,2,FALSE)&amp;ROW(P171))="","",INDIRECT("'"&amp;P$86&amp;"'!"&amp;VLOOKUP(P$87,'List Values'!$C$3:$D$6,2,FALSE)&amp;ROW(P171))),IF(P$86&lt;&gt;"","Data Source Error",""))))</f>
        <v/>
      </c>
      <c r="S171" s="528"/>
      <c r="T171" s="900" t="str">
        <f ca="1">IF(OR($H$7&lt;5,T$133&lt;2),"",IF(S171&lt;&gt;"",S171,IFERROR(IF(INDIRECT("'"&amp;S$86&amp;"'!"&amp;VLOOKUP(S$87,'List Values'!$C$3:$D$6,2,FALSE)&amp;ROW(S171))="","",INDIRECT("'"&amp;S$86&amp;"'!"&amp;VLOOKUP(S$87,'List Values'!$C$3:$D$6,2,FALSE)&amp;ROW(S171))),IF(S$86&lt;&gt;"","Data Source Error",""))))</f>
        <v/>
      </c>
      <c r="V171" s="528"/>
      <c r="W171" s="911" t="str">
        <f ca="1">IF(OR($H$7&lt;6,W$133&lt;2),"",IF(V171&lt;&gt;"",V171,IFERROR(IF(INDIRECT("'"&amp;V$86&amp;"'!"&amp;VLOOKUP(V$87,'List Values'!$C$3:$D$6,2,FALSE)&amp;ROW(V171))="","",INDIRECT("'"&amp;V$86&amp;"'!"&amp;VLOOKUP(V$87,'List Values'!$C$3:$D$6,2,FALSE)&amp;ROW(V171))),IF(V$86&lt;&gt;"","Data Source Error",""))))</f>
        <v/>
      </c>
      <c r="Y171" s="2643"/>
      <c r="Z171" s="2644"/>
      <c r="AA171" s="2644"/>
      <c r="AB171" s="2645"/>
    </row>
    <row r="172" spans="1:28" ht="31.5" customHeight="1" outlineLevel="1">
      <c r="A172" s="252"/>
      <c r="B172" s="252"/>
      <c r="C172" s="2680" t="s">
        <v>651</v>
      </c>
      <c r="D172" s="2680"/>
      <c r="E172" s="2062"/>
      <c r="F172" s="2062"/>
      <c r="G172" s="636"/>
      <c r="H172" s="637"/>
      <c r="I172" s="184"/>
      <c r="J172" s="624"/>
      <c r="K172" s="941" t="str">
        <f ca="1">IF(OR($H$7&lt;2,K$133&lt;2),"",IF(J172&lt;&gt;"",J172,IFERROR(IF(INDIRECT("'"&amp;J$86&amp;"'!"&amp;VLOOKUP(J$87,'List Values'!$C$3:$D$6,2,FALSE)&amp;ROW(J172))="","",INDIRECT("'"&amp;J$86&amp;"'!"&amp;VLOOKUP(J$87,'List Values'!$C$3:$D$6,2,FALSE)&amp;ROW(J172))),IF(J$86&lt;&gt;"","Data Source Error",""))))</f>
        <v/>
      </c>
      <c r="L172" s="184"/>
      <c r="M172" s="624"/>
      <c r="N172" s="941" t="str">
        <f ca="1">IF(OR($H$7&lt;3,N$133&lt;2),"",IF(M172&lt;&gt;"",M172,IFERROR(IF(INDIRECT("'"&amp;M$86&amp;"'!"&amp;VLOOKUP(M$87,'List Values'!$C$3:$D$6,2,FALSE)&amp;ROW(M172))="","",INDIRECT("'"&amp;M$86&amp;"'!"&amp;VLOOKUP(M$87,'List Values'!$C$3:$D$6,2,FALSE)&amp;ROW(M172))),IF(M$86&lt;&gt;"","Data Source Error",""))))</f>
        <v/>
      </c>
      <c r="O172" s="184"/>
      <c r="P172" s="528"/>
      <c r="Q172" s="941" t="str">
        <f ca="1">IF(OR($H$7&lt;4,Q$133&lt;2),"",IF(P172&lt;&gt;"",P172,IFERROR(IF(INDIRECT("'"&amp;P$86&amp;"'!"&amp;VLOOKUP(P$87,'List Values'!$C$3:$D$6,2,FALSE)&amp;ROW(P172))="","",INDIRECT("'"&amp;P$86&amp;"'!"&amp;VLOOKUP(P$87,'List Values'!$C$3:$D$6,2,FALSE)&amp;ROW(P172))),IF(P$86&lt;&gt;"","Data Source Error",""))))</f>
        <v/>
      </c>
      <c r="S172" s="528"/>
      <c r="T172" s="941" t="str">
        <f ca="1">IF(OR($H$7&lt;5,T$133&lt;2),"",IF(S172&lt;&gt;"",S172,IFERROR(IF(INDIRECT("'"&amp;S$86&amp;"'!"&amp;VLOOKUP(S$87,'List Values'!$C$3:$D$6,2,FALSE)&amp;ROW(S172))="","",INDIRECT("'"&amp;S$86&amp;"'!"&amp;VLOOKUP(S$87,'List Values'!$C$3:$D$6,2,FALSE)&amp;ROW(S172))),IF(S$86&lt;&gt;"","Data Source Error",""))))</f>
        <v/>
      </c>
      <c r="V172" s="528"/>
      <c r="W172" s="947" t="str">
        <f ca="1">IF(OR($H$7&lt;6,W$133&lt;2),"",IF(V172&lt;&gt;"",V172,IFERROR(IF(INDIRECT("'"&amp;V$86&amp;"'!"&amp;VLOOKUP(V$87,'List Values'!$C$3:$D$6,2,FALSE)&amp;ROW(V172))="","",INDIRECT("'"&amp;V$86&amp;"'!"&amp;VLOOKUP(V$87,'List Values'!$C$3:$D$6,2,FALSE)&amp;ROW(V172))),IF(V$86&lt;&gt;"","Data Source Error",""))))</f>
        <v/>
      </c>
      <c r="Y172" s="2643"/>
      <c r="Z172" s="2644"/>
      <c r="AA172" s="2644"/>
      <c r="AB172" s="2645"/>
    </row>
    <row r="173" spans="1:28" ht="31.5" customHeight="1" outlineLevel="1">
      <c r="A173" s="237"/>
      <c r="B173" s="252"/>
      <c r="C173" s="2680" t="s">
        <v>684</v>
      </c>
      <c r="D173" s="2680"/>
      <c r="E173" s="238"/>
      <c r="F173" s="238"/>
      <c r="G173" s="638"/>
      <c r="H173" s="639"/>
      <c r="J173" s="583"/>
      <c r="K173" s="930" t="str">
        <f ca="1">IF(OR($H$7&lt;2,K$133&lt;2),"",IF(J173&lt;&gt;"",J173,IFERROR(IF(INDIRECT("'"&amp;J$86&amp;"'!"&amp;VLOOKUP(J$87,'List Values'!$C$3:$D$6,2,FALSE)&amp;ROW(J173))="","",INDIRECT("'"&amp;J$86&amp;"'!"&amp;VLOOKUP(J$87,'List Values'!$C$3:$D$6,2,FALSE)&amp;ROW(J173))),IF(J$86&lt;&gt;"","Data Source Error",""))))</f>
        <v/>
      </c>
      <c r="M173" s="583"/>
      <c r="N173" s="941" t="str">
        <f ca="1">IF(OR($H$7&lt;3,N$133&lt;2),"",IF(M173&lt;&gt;"",M173,IFERROR(IF(INDIRECT("'"&amp;M$86&amp;"'!"&amp;VLOOKUP(M$87,'List Values'!$C$3:$D$6,2,FALSE)&amp;ROW(M173))="","",INDIRECT("'"&amp;M$86&amp;"'!"&amp;VLOOKUP(M$87,'List Values'!$C$3:$D$6,2,FALSE)&amp;ROW(M173))),IF(M$86&lt;&gt;"","Data Source Error",""))))</f>
        <v/>
      </c>
      <c r="P173" s="582"/>
      <c r="Q173" s="941" t="str">
        <f ca="1">IF(OR($H$7&lt;4,Q$133&lt;2),"",IF(P173&lt;&gt;"",P173,IFERROR(IF(INDIRECT("'"&amp;P$86&amp;"'!"&amp;VLOOKUP(P$87,'List Values'!$C$3:$D$6,2,FALSE)&amp;ROW(P173))="","",INDIRECT("'"&amp;P$86&amp;"'!"&amp;VLOOKUP(P$87,'List Values'!$C$3:$D$6,2,FALSE)&amp;ROW(P173))),IF(P$86&lt;&gt;"","Data Source Error",""))))</f>
        <v/>
      </c>
      <c r="S173" s="582"/>
      <c r="T173" s="972" t="str">
        <f ca="1">IF(OR($H$7&lt;5,T$133&lt;2),"",IF(S173&lt;&gt;"",S173,IFERROR(IF(INDIRECT("'"&amp;S$86&amp;"'!"&amp;VLOOKUP(S$87,'List Values'!$C$3:$D$6,2,FALSE)&amp;ROW(S173))="","",INDIRECT("'"&amp;S$86&amp;"'!"&amp;VLOOKUP(S$87,'List Values'!$C$3:$D$6,2,FALSE)&amp;ROW(S173))),IF(S$86&lt;&gt;"","Data Source Error",""))))</f>
        <v/>
      </c>
      <c r="V173" s="582"/>
      <c r="W173" s="976" t="str">
        <f ca="1">IF(OR($H$7&lt;6,W$133&lt;2),"",IF(V173&lt;&gt;"",V173,IFERROR(IF(INDIRECT("'"&amp;V$86&amp;"'!"&amp;VLOOKUP(V$87,'List Values'!$C$3:$D$6,2,FALSE)&amp;ROW(V173))="","",INDIRECT("'"&amp;V$86&amp;"'!"&amp;VLOOKUP(V$87,'List Values'!$C$3:$D$6,2,FALSE)&amp;ROW(V173))),IF(V$86&lt;&gt;"","Data Source Error",""))))</f>
        <v/>
      </c>
      <c r="Y173" s="2643"/>
      <c r="Z173" s="2644"/>
      <c r="AA173" s="2644"/>
      <c r="AB173" s="2645"/>
    </row>
    <row r="174" spans="1:28" ht="18.75" customHeight="1">
      <c r="A174" s="237"/>
      <c r="B174" s="612" t="s">
        <v>611</v>
      </c>
      <c r="C174" s="604"/>
      <c r="D174" s="604"/>
      <c r="E174" s="604"/>
      <c r="F174" s="604"/>
      <c r="G174" s="604"/>
      <c r="H174" s="604"/>
      <c r="I174" s="608"/>
      <c r="J174" s="606"/>
      <c r="K174" s="961"/>
      <c r="L174" s="608"/>
      <c r="M174" s="610"/>
      <c r="N174" s="970"/>
      <c r="O174" s="608"/>
      <c r="P174" s="610"/>
      <c r="Q174" s="970"/>
      <c r="R174" s="608"/>
      <c r="S174" s="610"/>
      <c r="T174" s="970"/>
      <c r="U174" s="608"/>
      <c r="V174" s="610"/>
      <c r="W174" s="970"/>
      <c r="Y174" s="631"/>
      <c r="Z174" s="631"/>
      <c r="AA174" s="631"/>
      <c r="AB174" s="631"/>
    </row>
    <row r="175" spans="1:28" ht="15.75" customHeight="1" outlineLevel="1">
      <c r="A175" s="252"/>
      <c r="B175" s="252"/>
      <c r="C175" s="2680" t="s">
        <v>731</v>
      </c>
      <c r="D175" s="2680"/>
      <c r="E175" s="2060"/>
      <c r="F175" s="2060"/>
      <c r="G175" s="640"/>
      <c r="H175" s="641"/>
      <c r="I175" s="183"/>
      <c r="J175" s="628"/>
      <c r="K175" s="967" t="str">
        <f ca="1">IF(OR($H$7&lt;2,K$133&lt;3),"",IF(J175&lt;&gt;"",J175,IFERROR(IF(INDIRECT("'"&amp;J$86&amp;"'!"&amp;VLOOKUP(J$87,'List Values'!$C$3:$D$6,2,FALSE)&amp;ROW(J175))="","",INDIRECT("'"&amp;J$86&amp;"'!"&amp;VLOOKUP(J$87,'List Values'!$C$3:$D$6,2,FALSE)&amp;ROW(J175))),IF(J$86&lt;&gt;"","Data Source Error",""))))</f>
        <v/>
      </c>
      <c r="L175" s="629"/>
      <c r="M175" s="628"/>
      <c r="N175" s="967" t="str">
        <f ca="1">IF(OR($H$7&lt;3,N$133&lt;3),"",IF(M175&lt;&gt;"",M175,IFERROR(IF(INDIRECT("'"&amp;M$86&amp;"'!"&amp;VLOOKUP(M$87,'List Values'!$C$3:$D$6,2,FALSE)&amp;ROW(M175))="","",INDIRECT("'"&amp;M$86&amp;"'!"&amp;VLOOKUP(M$87,'List Values'!$C$3:$D$6,2,FALSE)&amp;ROW(M175))),IF(M$86&lt;&gt;"","Data Source Error",""))))</f>
        <v/>
      </c>
      <c r="O175" s="629"/>
      <c r="P175" s="590"/>
      <c r="Q175" s="967" t="str">
        <f ca="1">IF(OR($H$7&lt;4,Q$133&lt;3),"",IF(P175&lt;&gt;"",P175,IFERROR(IF(INDIRECT("'"&amp;P$86&amp;"'!"&amp;VLOOKUP(P$87,'List Values'!$C$3:$D$6,2,FALSE)&amp;ROW(P175))="","",INDIRECT("'"&amp;P$86&amp;"'!"&amp;VLOOKUP(P$87,'List Values'!$C$3:$D$6,2,FALSE)&amp;ROW(P175))),IF(P$86&lt;&gt;"","Data Source Error",""))))</f>
        <v/>
      </c>
      <c r="R175" s="147"/>
      <c r="S175" s="590"/>
      <c r="T175" s="967" t="str">
        <f ca="1">IF(OR($H$7&lt;5,T$133&lt;3),"",IF(S175&lt;&gt;"",S175,IFERROR(IF(INDIRECT("'"&amp;S$86&amp;"'!"&amp;VLOOKUP(S$87,'List Values'!$C$3:$D$6,2,FALSE)&amp;ROW(S175))="","",INDIRECT("'"&amp;S$86&amp;"'!"&amp;VLOOKUP(S$87,'List Values'!$C$3:$D$6,2,FALSE)&amp;ROW(S175))),IF(S$86&lt;&gt;"","Data Source Error",""))))</f>
        <v/>
      </c>
      <c r="U175" s="147"/>
      <c r="V175" s="590"/>
      <c r="W175" s="973" t="str">
        <f ca="1">IF(OR($H$7&lt;6,W$133&lt;3),"",IF(V175&lt;&gt;"",V175,IFERROR(IF(INDIRECT("'"&amp;V$86&amp;"'!"&amp;VLOOKUP(V$87,'List Values'!$C$3:$D$6,2,FALSE)&amp;ROW(V175))="","",INDIRECT("'"&amp;V$86&amp;"'!"&amp;VLOOKUP(V$87,'List Values'!$C$3:$D$6,2,FALSE)&amp;ROW(V175))),IF(V$86&lt;&gt;"","Data Source Error",""))))</f>
        <v/>
      </c>
      <c r="Y175" s="2643"/>
      <c r="Z175" s="2644"/>
      <c r="AA175" s="2644"/>
      <c r="AB175" s="2645"/>
    </row>
    <row r="176" spans="1:28" ht="15.75" customHeight="1" outlineLevel="1">
      <c r="A176" s="252"/>
      <c r="B176" s="252"/>
      <c r="C176" s="2680" t="s">
        <v>626</v>
      </c>
      <c r="D176" s="2680"/>
      <c r="E176" s="2062"/>
      <c r="F176" s="2062"/>
      <c r="G176" s="636"/>
      <c r="H176" s="637"/>
      <c r="I176" s="187"/>
      <c r="J176" s="526"/>
      <c r="K176" s="900" t="str">
        <f ca="1">IF(OR($H$7&lt;2,K$133&lt;3),"",IF(J176&lt;&gt;"",J176,IFERROR(IF(INDIRECT("'"&amp;J$86&amp;"'!"&amp;VLOOKUP(J$87,'List Values'!$C$3:$D$6,2,FALSE)&amp;ROW(J176))="","",INDIRECT("'"&amp;J$86&amp;"'!"&amp;VLOOKUP(J$87,'List Values'!$C$3:$D$6,2,FALSE)&amp;ROW(J176))),IF(J$86&lt;&gt;"","Data Source Error",""))))</f>
        <v/>
      </c>
      <c r="L176" s="187"/>
      <c r="M176" s="526"/>
      <c r="N176" s="900" t="str">
        <f ca="1">IF(OR($H$7&lt;3,N$133&lt;3),"",IF(M176&lt;&gt;"",M176,IFERROR(IF(INDIRECT("'"&amp;M$86&amp;"'!"&amp;VLOOKUP(M$87,'List Values'!$C$3:$D$6,2,FALSE)&amp;ROW(M176))="","",INDIRECT("'"&amp;M$86&amp;"'!"&amp;VLOOKUP(M$87,'List Values'!$C$3:$D$6,2,FALSE)&amp;ROW(M176))),IF(M$86&lt;&gt;"","Data Source Error",""))))</f>
        <v/>
      </c>
      <c r="O176" s="187"/>
      <c r="P176" s="560"/>
      <c r="Q176" s="900" t="str">
        <f ca="1">IF(OR($H$7&lt;4,Q$133&lt;3),"",IF(P176&lt;&gt;"",P176,IFERROR(IF(INDIRECT("'"&amp;P$86&amp;"'!"&amp;VLOOKUP(P$87,'List Values'!$C$3:$D$6,2,FALSE)&amp;ROW(P176))="","",INDIRECT("'"&amp;P$86&amp;"'!"&amp;VLOOKUP(P$87,'List Values'!$C$3:$D$6,2,FALSE)&amp;ROW(P176))),IF(P$86&lt;&gt;"","Data Source Error",""))))</f>
        <v/>
      </c>
      <c r="S176" s="560"/>
      <c r="T176" s="900" t="str">
        <f ca="1">IF(OR($H$7&lt;5,T$133&lt;3),"",IF(S176&lt;&gt;"",S176,IFERROR(IF(INDIRECT("'"&amp;S$86&amp;"'!"&amp;VLOOKUP(S$87,'List Values'!$C$3:$D$6,2,FALSE)&amp;ROW(S176))="","",INDIRECT("'"&amp;S$86&amp;"'!"&amp;VLOOKUP(S$87,'List Values'!$C$3:$D$6,2,FALSE)&amp;ROW(S176))),IF(S$86&lt;&gt;"","Data Source Error",""))))</f>
        <v/>
      </c>
      <c r="V176" s="560"/>
      <c r="W176" s="911" t="str">
        <f ca="1">IF(OR($H$7&lt;6,W$133&lt;3),"",IF(V176&lt;&gt;"",V176,IFERROR(IF(INDIRECT("'"&amp;V$86&amp;"'!"&amp;VLOOKUP(V$87,'List Values'!$C$3:$D$6,2,FALSE)&amp;ROW(V176))="","",INDIRECT("'"&amp;V$86&amp;"'!"&amp;VLOOKUP(V$87,'List Values'!$C$3:$D$6,2,FALSE)&amp;ROW(V176))),IF(V$86&lt;&gt;"","Data Source Error",""))))</f>
        <v/>
      </c>
      <c r="Y176" s="2643"/>
      <c r="Z176" s="2644"/>
      <c r="AA176" s="2644"/>
      <c r="AB176" s="2645"/>
    </row>
    <row r="177" spans="1:28" ht="30.75" customHeight="1" outlineLevel="1">
      <c r="A177" s="252"/>
      <c r="B177" s="252"/>
      <c r="C177" s="2680" t="s">
        <v>2520</v>
      </c>
      <c r="D177" s="2680"/>
      <c r="E177" s="2062"/>
      <c r="F177" s="2062"/>
      <c r="G177" s="636"/>
      <c r="H177" s="637"/>
      <c r="I177" s="183"/>
      <c r="J177" s="561"/>
      <c r="K177" s="897" t="str">
        <f ca="1">IF(OR($H$7&lt;2,K$133&lt;3),"",IF(J177&lt;&gt;"",J177,IFERROR(IF(INDIRECT("'"&amp;J$86&amp;"'!"&amp;VLOOKUP(J$87,'List Values'!$C$3:$D$6,2,FALSE)&amp;ROW(J177))="","",INDIRECT("'"&amp;J$86&amp;"'!"&amp;VLOOKUP(J$87,'List Values'!$C$3:$D$6,2,FALSE)&amp;ROW(J177))),IF(J$86&lt;&gt;"","Data Source Error",""))))</f>
        <v/>
      </c>
      <c r="L177" s="183"/>
      <c r="M177" s="561"/>
      <c r="N177" s="897" t="str">
        <f ca="1">IF(OR($H$7&lt;3,N$133&lt;3),"",IF(M177&lt;&gt;"",M177,IFERROR(IF(INDIRECT("'"&amp;M$86&amp;"'!"&amp;VLOOKUP(M$87,'List Values'!$C$3:$D$6,2,FALSE)&amp;ROW(M177))="","",INDIRECT("'"&amp;M$86&amp;"'!"&amp;VLOOKUP(M$87,'List Values'!$C$3:$D$6,2,FALSE)&amp;ROW(M177))),IF(M$86&lt;&gt;"","Data Source Error",""))))</f>
        <v/>
      </c>
      <c r="O177" s="183"/>
      <c r="P177" s="558"/>
      <c r="Q177" s="897" t="str">
        <f ca="1">IF(OR($H$7&lt;4,Q$133&lt;3),"",IF(P177&lt;&gt;"",P177,IFERROR(IF(INDIRECT("'"&amp;P$86&amp;"'!"&amp;VLOOKUP(P$87,'List Values'!$C$3:$D$6,2,FALSE)&amp;ROW(P177))="","",INDIRECT("'"&amp;P$86&amp;"'!"&amp;VLOOKUP(P$87,'List Values'!$C$3:$D$6,2,FALSE)&amp;ROW(P177))),IF(P$86&lt;&gt;"","Data Source Error",""))))</f>
        <v/>
      </c>
      <c r="S177" s="558"/>
      <c r="T177" s="897" t="str">
        <f ca="1">IF(OR($H$7&lt;5,T$133&lt;3),"",IF(S177&lt;&gt;"",S177,IFERROR(IF(INDIRECT("'"&amp;S$86&amp;"'!"&amp;VLOOKUP(S$87,'List Values'!$C$3:$D$6,2,FALSE)&amp;ROW(S177))="","",INDIRECT("'"&amp;S$86&amp;"'!"&amp;VLOOKUP(S$87,'List Values'!$C$3:$D$6,2,FALSE)&amp;ROW(S177))),IF(S$86&lt;&gt;"","Data Source Error",""))))</f>
        <v/>
      </c>
      <c r="V177" s="558"/>
      <c r="W177" s="908" t="str">
        <f ca="1">IF(OR($H$7&lt;6,W$133&lt;3),"",IF(V177&lt;&gt;"",V177,IFERROR(IF(INDIRECT("'"&amp;V$86&amp;"'!"&amp;VLOOKUP(V$87,'List Values'!$C$3:$D$6,2,FALSE)&amp;ROW(V177))="","",INDIRECT("'"&amp;V$86&amp;"'!"&amp;VLOOKUP(V$87,'List Values'!$C$3:$D$6,2,FALSE)&amp;ROW(V177))),IF(V$86&lt;&gt;"","Data Source Error",""))))</f>
        <v/>
      </c>
      <c r="Y177" s="2643"/>
      <c r="Z177" s="2644"/>
      <c r="AA177" s="2644"/>
      <c r="AB177" s="2645"/>
    </row>
    <row r="178" spans="1:28" ht="30.75" customHeight="1" outlineLevel="1">
      <c r="A178" s="252"/>
      <c r="B178" s="252"/>
      <c r="C178" s="2684" t="s">
        <v>726</v>
      </c>
      <c r="D178" s="2684"/>
      <c r="E178" s="2062"/>
      <c r="F178" s="2062"/>
      <c r="G178" s="636"/>
      <c r="H178" s="637"/>
      <c r="I178" s="187"/>
      <c r="J178" s="526"/>
      <c r="K178" s="900" t="str">
        <f ca="1">IF(OR($H$7&lt;2,K$133&lt;3),"",IF(J178&lt;&gt;"",J178,IFERROR(IF(INDIRECT("'"&amp;J$86&amp;"'!"&amp;VLOOKUP(J$87,'List Values'!$C$3:$D$6,2,FALSE)&amp;ROW(J178))="","",INDIRECT("'"&amp;J$86&amp;"'!"&amp;VLOOKUP(J$87,'List Values'!$C$3:$D$6,2,FALSE)&amp;ROW(J178))),IF(J$86&lt;&gt;"","Data Source Error",""))))</f>
        <v/>
      </c>
      <c r="L178" s="187"/>
      <c r="M178" s="526"/>
      <c r="N178" s="900" t="str">
        <f ca="1">IF(OR($H$7&lt;3,N$133&lt;3),"",IF(M178&lt;&gt;"",M178,IFERROR(IF(INDIRECT("'"&amp;M$86&amp;"'!"&amp;VLOOKUP(M$87,'List Values'!$C$3:$D$6,2,FALSE)&amp;ROW(M178))="","",INDIRECT("'"&amp;M$86&amp;"'!"&amp;VLOOKUP(M$87,'List Values'!$C$3:$D$6,2,FALSE)&amp;ROW(M178))),IF(M$86&lt;&gt;"","Data Source Error",""))))</f>
        <v/>
      </c>
      <c r="O178" s="187"/>
      <c r="P178" s="560"/>
      <c r="Q178" s="900" t="str">
        <f ca="1">IF(OR($H$7&lt;4,Q$133&lt;3),"",IF(P178&lt;&gt;"",P178,IFERROR(IF(INDIRECT("'"&amp;P$86&amp;"'!"&amp;VLOOKUP(P$87,'List Values'!$C$3:$D$6,2,FALSE)&amp;ROW(P178))="","",INDIRECT("'"&amp;P$86&amp;"'!"&amp;VLOOKUP(P$87,'List Values'!$C$3:$D$6,2,FALSE)&amp;ROW(P178))),IF(P$86&lt;&gt;"","Data Source Error",""))))</f>
        <v/>
      </c>
      <c r="S178" s="560"/>
      <c r="T178" s="900" t="str">
        <f ca="1">IF(OR($H$7&lt;5,T$133&lt;3),"",IF(S178&lt;&gt;"",S178,IFERROR(IF(INDIRECT("'"&amp;S$86&amp;"'!"&amp;VLOOKUP(S$87,'List Values'!$C$3:$D$6,2,FALSE)&amp;ROW(S178))="","",INDIRECT("'"&amp;S$86&amp;"'!"&amp;VLOOKUP(S$87,'List Values'!$C$3:$D$6,2,FALSE)&amp;ROW(S178))),IF(S$86&lt;&gt;"","Data Source Error",""))))</f>
        <v/>
      </c>
      <c r="V178" s="560"/>
      <c r="W178" s="911" t="str">
        <f ca="1">IF(OR($H$7&lt;6,W$133&lt;3),"",IF(V178&lt;&gt;"",V178,IFERROR(IF(INDIRECT("'"&amp;V$86&amp;"'!"&amp;VLOOKUP(V$87,'List Values'!$C$3:$D$6,2,FALSE)&amp;ROW(V178))="","",INDIRECT("'"&amp;V$86&amp;"'!"&amp;VLOOKUP(V$87,'List Values'!$C$3:$D$6,2,FALSE)&amp;ROW(V178))),IF(V$86&lt;&gt;"","Data Source Error",""))))</f>
        <v/>
      </c>
      <c r="Y178" s="2643"/>
      <c r="Z178" s="2644"/>
      <c r="AA178" s="2644"/>
      <c r="AB178" s="2645"/>
    </row>
    <row r="179" spans="1:28" ht="30.75" customHeight="1" outlineLevel="1">
      <c r="A179" s="252"/>
      <c r="B179" s="252"/>
      <c r="C179" s="2684" t="s">
        <v>727</v>
      </c>
      <c r="D179" s="2684"/>
      <c r="E179" s="2062"/>
      <c r="F179" s="2062"/>
      <c r="G179" s="636"/>
      <c r="H179" s="637"/>
      <c r="I179" s="187"/>
      <c r="J179" s="568"/>
      <c r="K179" s="945" t="str">
        <f ca="1">IF(OR($H$7&lt;2,K$133&lt;3),"",IF(J179&lt;&gt;"",J179,IFERROR(IF(INDIRECT("'"&amp;J$86&amp;"'!"&amp;VLOOKUP(J$87,'List Values'!$C$3:$D$6,2,FALSE)&amp;ROW(J179))="","",INDIRECT("'"&amp;J$86&amp;"'!"&amp;VLOOKUP(J$87,'List Values'!$C$3:$D$6,2,FALSE)&amp;ROW(J179))*$H$6),IF(J$86&lt;&gt;"","Data Source Error",""))))</f>
        <v/>
      </c>
      <c r="L179" s="339"/>
      <c r="M179" s="568"/>
      <c r="N179" s="945" t="str">
        <f ca="1">IF(OR($H$7&lt;3,N$133&lt;3),"",IF(M179&lt;&gt;"",M179,IFERROR(IF(INDIRECT("'"&amp;M$86&amp;"'!"&amp;VLOOKUP(M$87,'List Values'!$C$3:$D$6,2,FALSE)&amp;ROW(M179))="","",INDIRECT("'"&amp;M$86&amp;"'!"&amp;VLOOKUP(M$87,'List Values'!$C$3:$D$6,2,FALSE)&amp;ROW(M179))*$H$6),IF(M$86&lt;&gt;"","Data Source Error",""))))</f>
        <v/>
      </c>
      <c r="O179" s="339"/>
      <c r="P179" s="623"/>
      <c r="Q179" s="945" t="str">
        <f ca="1">IF(OR($H$7&lt;4,Q$133&lt;3),"",IF(P179&lt;&gt;"",P179,IFERROR(IF(INDIRECT("'"&amp;P$86&amp;"'!"&amp;VLOOKUP(P$87,'List Values'!$C$3:$D$6,2,FALSE)&amp;ROW(P179))="","",INDIRECT("'"&amp;P$86&amp;"'!"&amp;VLOOKUP(P$87,'List Values'!$C$3:$D$6,2,FALSE)&amp;ROW(P179))*$H$6),IF(P$86&lt;&gt;"","Data Source Error",""))))</f>
        <v/>
      </c>
      <c r="R179" s="7"/>
      <c r="S179" s="623"/>
      <c r="T179" s="945" t="str">
        <f ca="1">IF(OR($H$7&lt;5,T$133&lt;3),"",IF(S179&lt;&gt;"",S179,IFERROR(IF(INDIRECT("'"&amp;S$86&amp;"'!"&amp;VLOOKUP(S$87,'List Values'!$C$3:$D$6,2,FALSE)&amp;ROW(S179))="","",INDIRECT("'"&amp;S$86&amp;"'!"&amp;VLOOKUP(S$87,'List Values'!$C$3:$D$6,2,FALSE)&amp;ROW(S179))*$H$6),IF(S$86&lt;&gt;"","Data Source Error",""))))</f>
        <v/>
      </c>
      <c r="U179" s="7"/>
      <c r="V179" s="623"/>
      <c r="W179" s="952" t="str">
        <f ca="1">IF(OR($H$7&lt;6,W$133&lt;3),"",IF(V179&lt;&gt;"",V179,IFERROR(IF(INDIRECT("'"&amp;V$86&amp;"'!"&amp;VLOOKUP(V$87,'List Values'!$C$3:$D$6,2,FALSE)&amp;ROW(V179))="","",INDIRECT("'"&amp;V$86&amp;"'!"&amp;VLOOKUP(V$87,'List Values'!$C$3:$D$6,2,FALSE)&amp;ROW(V179))*$H$6),IF(V$86&lt;&gt;"","Data Source Error",""))))</f>
        <v/>
      </c>
      <c r="Y179" s="2643"/>
      <c r="Z179" s="2644"/>
      <c r="AA179" s="2644"/>
      <c r="AB179" s="2645"/>
    </row>
    <row r="180" spans="1:28" ht="15.75" customHeight="1" outlineLevel="1">
      <c r="A180" s="252"/>
      <c r="B180" s="252"/>
      <c r="C180" s="2680" t="s">
        <v>732</v>
      </c>
      <c r="D180" s="2680"/>
      <c r="E180" s="2062"/>
      <c r="F180" s="2062"/>
      <c r="G180" s="636"/>
      <c r="H180" s="637"/>
      <c r="I180" s="187"/>
      <c r="J180" s="526"/>
      <c r="K180" s="900" t="str">
        <f ca="1">IF(OR($H$7&lt;2,K$133&lt;3),"",IF(J180&lt;&gt;"",J180,IFERROR(IF(INDIRECT("'"&amp;J$86&amp;"'!"&amp;VLOOKUP(J$87,'List Values'!$C$3:$D$6,2,FALSE)&amp;ROW(J180))="","",INDIRECT("'"&amp;J$86&amp;"'!"&amp;VLOOKUP(J$87,'List Values'!$C$3:$D$6,2,FALSE)&amp;ROW(J180))),IF(J$86&lt;&gt;"","Data Source Error",""))))</f>
        <v/>
      </c>
      <c r="L180" s="187"/>
      <c r="M180" s="526"/>
      <c r="N180" s="900" t="str">
        <f ca="1">IF(OR($H$7&lt;3,N$133&lt;3),"",IF(M180&lt;&gt;"",M180,IFERROR(IF(INDIRECT("'"&amp;M$86&amp;"'!"&amp;VLOOKUP(M$87,'List Values'!$C$3:$D$6,2,FALSE)&amp;ROW(M180))="","",INDIRECT("'"&amp;M$86&amp;"'!"&amp;VLOOKUP(M$87,'List Values'!$C$3:$D$6,2,FALSE)&amp;ROW(M180))),IF(M$86&lt;&gt;"","Data Source Error",""))))</f>
        <v/>
      </c>
      <c r="O180" s="187"/>
      <c r="P180" s="560"/>
      <c r="Q180" s="900" t="str">
        <f ca="1">IF(OR($H$7&lt;4,Q$133&lt;3),"",IF(P180&lt;&gt;"",P180,IFERROR(IF(INDIRECT("'"&amp;P$86&amp;"'!"&amp;VLOOKUP(P$87,'List Values'!$C$3:$D$6,2,FALSE)&amp;ROW(P180))="","",INDIRECT("'"&amp;P$86&amp;"'!"&amp;VLOOKUP(P$87,'List Values'!$C$3:$D$6,2,FALSE)&amp;ROW(P180))),IF(P$86&lt;&gt;"","Data Source Error",""))))</f>
        <v/>
      </c>
      <c r="S180" s="560"/>
      <c r="T180" s="900" t="str">
        <f ca="1">IF(OR($H$7&lt;5,T$133&lt;3),"",IF(S180&lt;&gt;"",S180,IFERROR(IF(INDIRECT("'"&amp;S$86&amp;"'!"&amp;VLOOKUP(S$87,'List Values'!$C$3:$D$6,2,FALSE)&amp;ROW(S180))="","",INDIRECT("'"&amp;S$86&amp;"'!"&amp;VLOOKUP(S$87,'List Values'!$C$3:$D$6,2,FALSE)&amp;ROW(S180))),IF(S$86&lt;&gt;"","Data Source Error",""))))</f>
        <v/>
      </c>
      <c r="V180" s="560"/>
      <c r="W180" s="911" t="str">
        <f ca="1">IF(OR($H$7&lt;6,W$133&lt;3),"",IF(V180&lt;&gt;"",V180,IFERROR(IF(INDIRECT("'"&amp;V$86&amp;"'!"&amp;VLOOKUP(V$87,'List Values'!$C$3:$D$6,2,FALSE)&amp;ROW(V180))="","",INDIRECT("'"&amp;V$86&amp;"'!"&amp;VLOOKUP(V$87,'List Values'!$C$3:$D$6,2,FALSE)&amp;ROW(V180))),IF(V$86&lt;&gt;"","Data Source Error",""))))</f>
        <v/>
      </c>
      <c r="Y180" s="2643"/>
      <c r="Z180" s="2644"/>
      <c r="AA180" s="2644"/>
      <c r="AB180" s="2645"/>
    </row>
    <row r="181" spans="1:28" ht="30.75" customHeight="1" outlineLevel="1">
      <c r="A181" s="252"/>
      <c r="B181" s="252"/>
      <c r="C181" s="2680" t="s">
        <v>2521</v>
      </c>
      <c r="D181" s="2680"/>
      <c r="E181" s="2062"/>
      <c r="F181" s="2062"/>
      <c r="G181" s="636"/>
      <c r="H181" s="637"/>
      <c r="I181" s="187"/>
      <c r="J181" s="619"/>
      <c r="K181" s="898" t="str">
        <f ca="1">IF(OR($H$7&lt;2,K$133&lt;3),"",IF(J181&lt;&gt;"",J181,IFERROR(IF(INDIRECT("'"&amp;J$86&amp;"'!"&amp;VLOOKUP(J$87,'List Values'!$C$3:$D$6,2,FALSE)&amp;ROW(J181))="","",INDIRECT("'"&amp;J$86&amp;"'!"&amp;VLOOKUP(J$87,'List Values'!$C$3:$D$6,2,FALSE)&amp;ROW(J181))),IF(J$86&lt;&gt;"","Data Source Error",""))))</f>
        <v/>
      </c>
      <c r="L181" s="621"/>
      <c r="M181" s="619"/>
      <c r="N181" s="898" t="str">
        <f ca="1">IF(OR($H$7&lt;3,N$133&lt;3),"",IF(M181&lt;&gt;"",M181,IFERROR(IF(INDIRECT("'"&amp;M$86&amp;"'!"&amp;VLOOKUP(M$87,'List Values'!$C$3:$D$6,2,FALSE)&amp;ROW(M181))="","",INDIRECT("'"&amp;M$86&amp;"'!"&amp;VLOOKUP(M$87,'List Values'!$C$3:$D$6,2,FALSE)&amp;ROW(M181))),IF(M$86&lt;&gt;"","Data Source Error",""))))</f>
        <v/>
      </c>
      <c r="O181" s="621"/>
      <c r="P181" s="619"/>
      <c r="Q181" s="898" t="str">
        <f ca="1">IF(OR($H$7&lt;4,Q$133&lt;3),"",IF(P181&lt;&gt;"",P181,IFERROR(IF(INDIRECT("'"&amp;P$86&amp;"'!"&amp;VLOOKUP(P$87,'List Values'!$C$3:$D$6,2,FALSE)&amp;ROW(P181))="","",INDIRECT("'"&amp;P$86&amp;"'!"&amp;VLOOKUP(P$87,'List Values'!$C$3:$D$6,2,FALSE)&amp;ROW(P181))),IF(P$86&lt;&gt;"","Data Source Error",""))))</f>
        <v/>
      </c>
      <c r="R181" s="147"/>
      <c r="S181" s="619"/>
      <c r="T181" s="898" t="str">
        <f ca="1">IF(OR($H$7&lt;5,T$133&lt;3),"",IF(S181&lt;&gt;"",S181,IFERROR(IF(INDIRECT("'"&amp;S$86&amp;"'!"&amp;VLOOKUP(S$87,'List Values'!$C$3:$D$6,2,FALSE)&amp;ROW(S181))="","",INDIRECT("'"&amp;S$86&amp;"'!"&amp;VLOOKUP(S$87,'List Values'!$C$3:$D$6,2,FALSE)&amp;ROW(S181))),IF(S$86&lt;&gt;"","Data Source Error",""))))</f>
        <v/>
      </c>
      <c r="U181" s="147"/>
      <c r="V181" s="619"/>
      <c r="W181" s="909" t="str">
        <f ca="1">IF(OR($H$7&lt;6,W$133&lt;3),"",IF(V181&lt;&gt;"",V181,IFERROR(IF(INDIRECT("'"&amp;V$86&amp;"'!"&amp;VLOOKUP(V$87,'List Values'!$C$3:$D$6,2,FALSE)&amp;ROW(V181))="","",INDIRECT("'"&amp;V$86&amp;"'!"&amp;VLOOKUP(V$87,'List Values'!$C$3:$D$6,2,FALSE)&amp;ROW(V181))),IF(V$86&lt;&gt;"","Data Source Error",""))))</f>
        <v/>
      </c>
      <c r="Y181" s="2643"/>
      <c r="Z181" s="2644"/>
      <c r="AA181" s="2644"/>
      <c r="AB181" s="2645"/>
    </row>
    <row r="182" spans="1:28" ht="30.75" customHeight="1" outlineLevel="1">
      <c r="A182" s="252"/>
      <c r="B182" s="252"/>
      <c r="C182" s="2680" t="s">
        <v>2522</v>
      </c>
      <c r="D182" s="2680"/>
      <c r="E182" s="2062"/>
      <c r="F182" s="2062"/>
      <c r="G182" s="636"/>
      <c r="H182" s="637"/>
      <c r="I182" s="187"/>
      <c r="J182" s="619"/>
      <c r="K182" s="898" t="str">
        <f ca="1">IF(OR($H$7&lt;2,K$133&lt;3),"",IF(J182&lt;&gt;"",J182,IFERROR(IF(INDIRECT("'"&amp;J$86&amp;"'!"&amp;VLOOKUP(J$87,'List Values'!$C$3:$D$6,2,FALSE)&amp;ROW(J182))="","",INDIRECT("'"&amp;J$86&amp;"'!"&amp;VLOOKUP(J$87,'List Values'!$C$3:$D$6,2,FALSE)&amp;ROW(J182))),IF(J$86&lt;&gt;"","Data Source Error",""))))</f>
        <v/>
      </c>
      <c r="L182" s="621"/>
      <c r="M182" s="619"/>
      <c r="N182" s="971" t="str">
        <f ca="1">IF(OR($H$7&lt;3,N$133&lt;3),"",IF(M182&lt;&gt;"",M182,IFERROR(IF(INDIRECT("'"&amp;M$86&amp;"'!"&amp;VLOOKUP(M$87,'List Values'!$C$3:$D$6,2,FALSE)&amp;ROW(M182))="","",INDIRECT("'"&amp;M$86&amp;"'!"&amp;VLOOKUP(M$87,'List Values'!$C$3:$D$6,2,FALSE)&amp;ROW(M182))),IF(M$86&lt;&gt;"","Data Source Error",""))))</f>
        <v/>
      </c>
      <c r="O182" s="621"/>
      <c r="P182" s="619"/>
      <c r="Q182" s="898" t="str">
        <f ca="1">IF(OR($H$7&lt;4,Q$133&lt;3),"",IF(P182&lt;&gt;"",P182,IFERROR(IF(INDIRECT("'"&amp;P$86&amp;"'!"&amp;VLOOKUP(P$87,'List Values'!$C$3:$D$6,2,FALSE)&amp;ROW(P182))="","",INDIRECT("'"&amp;P$86&amp;"'!"&amp;VLOOKUP(P$87,'List Values'!$C$3:$D$6,2,FALSE)&amp;ROW(P182))),IF(P$86&lt;&gt;"","Data Source Error",""))))</f>
        <v/>
      </c>
      <c r="R182" s="147"/>
      <c r="S182" s="619"/>
      <c r="T182" s="898" t="str">
        <f ca="1">IF(OR($H$7&lt;5,T$133&lt;3),"",IF(S182&lt;&gt;"",S182,IFERROR(IF(INDIRECT("'"&amp;S$86&amp;"'!"&amp;VLOOKUP(S$87,'List Values'!$C$3:$D$6,2,FALSE)&amp;ROW(S182))="","",INDIRECT("'"&amp;S$86&amp;"'!"&amp;VLOOKUP(S$87,'List Values'!$C$3:$D$6,2,FALSE)&amp;ROW(S182))),IF(S$86&lt;&gt;"","Data Source Error",""))))</f>
        <v/>
      </c>
      <c r="U182" s="147"/>
      <c r="V182" s="619"/>
      <c r="W182" s="909" t="str">
        <f ca="1">IF(OR($H$7&lt;6,W$133&lt;3),"",IF(V182&lt;&gt;"",V182,IFERROR(IF(INDIRECT("'"&amp;V$86&amp;"'!"&amp;VLOOKUP(V$87,'List Values'!$C$3:$D$6,2,FALSE)&amp;ROW(V182))="","",INDIRECT("'"&amp;V$86&amp;"'!"&amp;VLOOKUP(V$87,'List Values'!$C$3:$D$6,2,FALSE)&amp;ROW(V182))),IF(V$86&lt;&gt;"","Data Source Error",""))))</f>
        <v/>
      </c>
      <c r="Y182" s="2643"/>
      <c r="Z182" s="2644"/>
      <c r="AA182" s="2644"/>
      <c r="AB182" s="2645"/>
    </row>
    <row r="183" spans="1:28" ht="31.5" customHeight="1" outlineLevel="1">
      <c r="A183" s="252"/>
      <c r="B183" s="252"/>
      <c r="C183" s="2680" t="s">
        <v>253</v>
      </c>
      <c r="D183" s="2680"/>
      <c r="E183" s="2062"/>
      <c r="F183" s="2062"/>
      <c r="G183" s="636"/>
      <c r="H183" s="637"/>
      <c r="I183" s="187"/>
      <c r="J183" s="526"/>
      <c r="K183" s="900" t="str">
        <f ca="1">IF(OR($H$7&lt;2,K$133&lt;3),"",IF(J183&lt;&gt;"",J183,IFERROR(IF(INDIRECT("'"&amp;J$86&amp;"'!"&amp;VLOOKUP(J$87,'List Values'!$C$3:$D$6,2,FALSE)&amp;ROW(J183))="","",INDIRECT("'"&amp;J$86&amp;"'!"&amp;VLOOKUP(J$87,'List Values'!$C$3:$D$6,2,FALSE)&amp;ROW(J183))),IF(J$86&lt;&gt;"","Data Source Error",""))))</f>
        <v/>
      </c>
      <c r="L183" s="187"/>
      <c r="M183" s="526"/>
      <c r="N183" s="900" t="str">
        <f ca="1">IF(OR($H$7&lt;3,N$133&lt;3),"",IF(M183&lt;&gt;"",M183,IFERROR(IF(INDIRECT("'"&amp;M$86&amp;"'!"&amp;VLOOKUP(M$87,'List Values'!$C$3:$D$6,2,FALSE)&amp;ROW(M183))="","",INDIRECT("'"&amp;M$86&amp;"'!"&amp;VLOOKUP(M$87,'List Values'!$C$3:$D$6,2,FALSE)&amp;ROW(M183))),IF(M$86&lt;&gt;"","Data Source Error",""))))</f>
        <v/>
      </c>
      <c r="O183" s="187"/>
      <c r="P183" s="523"/>
      <c r="Q183" s="900" t="str">
        <f ca="1">IF(OR($H$7&lt;4,Q$133&lt;3),"",IF(P183&lt;&gt;"",P183,IFERROR(IF(INDIRECT("'"&amp;P$86&amp;"'!"&amp;VLOOKUP(P$87,'List Values'!$C$3:$D$6,2,FALSE)&amp;ROW(P183))="","",INDIRECT("'"&amp;P$86&amp;"'!"&amp;VLOOKUP(P$87,'List Values'!$C$3:$D$6,2,FALSE)&amp;ROW(P183))),IF(P$86&lt;&gt;"","Data Source Error",""))))</f>
        <v/>
      </c>
      <c r="S183" s="523"/>
      <c r="T183" s="900" t="str">
        <f ca="1">IF(OR($H$7&lt;5,T$133&lt;3),"",IF(S183&lt;&gt;"",S183,IFERROR(IF(INDIRECT("'"&amp;S$86&amp;"'!"&amp;VLOOKUP(S$87,'List Values'!$C$3:$D$6,2,FALSE)&amp;ROW(S183))="","",INDIRECT("'"&amp;S$86&amp;"'!"&amp;VLOOKUP(S$87,'List Values'!$C$3:$D$6,2,FALSE)&amp;ROW(S183))),IF(S$86&lt;&gt;"","Data Source Error",""))))</f>
        <v/>
      </c>
      <c r="V183" s="523"/>
      <c r="W183" s="911" t="str">
        <f ca="1">IF(OR($H$7&lt;6,W$133&lt;3),"",IF(V183&lt;&gt;"",V183,IFERROR(IF(INDIRECT("'"&amp;V$86&amp;"'!"&amp;VLOOKUP(V$87,'List Values'!$C$3:$D$6,2,FALSE)&amp;ROW(V183))="","",INDIRECT("'"&amp;V$86&amp;"'!"&amp;VLOOKUP(V$87,'List Values'!$C$3:$D$6,2,FALSE)&amp;ROW(V183))),IF(V$86&lt;&gt;"","Data Source Error",""))))</f>
        <v/>
      </c>
      <c r="Y183" s="2643"/>
      <c r="Z183" s="2644"/>
      <c r="AA183" s="2644"/>
      <c r="AB183" s="2645"/>
    </row>
    <row r="184" spans="1:28" ht="15.75" customHeight="1" outlineLevel="1">
      <c r="A184" s="252"/>
      <c r="B184" s="252"/>
      <c r="C184" s="2684" t="s">
        <v>244</v>
      </c>
      <c r="D184" s="2684"/>
      <c r="E184" s="2062"/>
      <c r="F184" s="2062"/>
      <c r="G184" s="636"/>
      <c r="H184" s="637"/>
      <c r="I184" s="187"/>
      <c r="J184" s="580"/>
      <c r="K184" s="900" t="str">
        <f ca="1">IF(OR($H$7&lt;2,K$133&lt;3),"",IF(J184&lt;&gt;"",J184,IFERROR(IF(INDIRECT("'"&amp;J$86&amp;"'!"&amp;VLOOKUP(J$87,'List Values'!$C$3:$D$6,2,FALSE)&amp;ROW(J184))="","",INDIRECT("'"&amp;J$86&amp;"'!"&amp;VLOOKUP(J$87,'List Values'!$C$3:$D$6,2,FALSE)&amp;ROW(J184))),IF(J$86&lt;&gt;"","Data Source Error",""))))</f>
        <v/>
      </c>
      <c r="L184" s="187"/>
      <c r="M184" s="580"/>
      <c r="N184" s="900" t="str">
        <f ca="1">IF(OR($H$7&lt;3,N$133&lt;3),"",IF(M184&lt;&gt;"",M184,IFERROR(IF(INDIRECT("'"&amp;M$86&amp;"'!"&amp;VLOOKUP(M$87,'List Values'!$C$3:$D$6,2,FALSE)&amp;ROW(M184))="","",INDIRECT("'"&amp;M$86&amp;"'!"&amp;VLOOKUP(M$87,'List Values'!$C$3:$D$6,2,FALSE)&amp;ROW(M184))),IF(M$86&lt;&gt;"","Data Source Error",""))))</f>
        <v/>
      </c>
      <c r="O184" s="187"/>
      <c r="P184" s="528"/>
      <c r="Q184" s="900" t="str">
        <f ca="1">IF(OR($H$7&lt;4,Q$133&lt;3),"",IF(P184&lt;&gt;"",P184,IFERROR(IF(INDIRECT("'"&amp;P$86&amp;"'!"&amp;VLOOKUP(P$87,'List Values'!$C$3:$D$6,2,FALSE)&amp;ROW(P184))="","",INDIRECT("'"&amp;P$86&amp;"'!"&amp;VLOOKUP(P$87,'List Values'!$C$3:$D$6,2,FALSE)&amp;ROW(P184))),IF(P$86&lt;&gt;"","Data Source Error",""))))</f>
        <v/>
      </c>
      <c r="S184" s="528"/>
      <c r="T184" s="900" t="str">
        <f ca="1">IF(OR($H$7&lt;5,T$133&lt;3),"",IF(S184&lt;&gt;"",S184,IFERROR(IF(INDIRECT("'"&amp;S$86&amp;"'!"&amp;VLOOKUP(S$87,'List Values'!$C$3:$D$6,2,FALSE)&amp;ROW(S184))="","",INDIRECT("'"&amp;S$86&amp;"'!"&amp;VLOOKUP(S$87,'List Values'!$C$3:$D$6,2,FALSE)&amp;ROW(S184))),IF(S$86&lt;&gt;"","Data Source Error",""))))</f>
        <v/>
      </c>
      <c r="V184" s="528"/>
      <c r="W184" s="911" t="str">
        <f ca="1">IF(OR($H$7&lt;6,W$133&lt;3),"",IF(V184&lt;&gt;"",V184,IFERROR(IF(INDIRECT("'"&amp;V$86&amp;"'!"&amp;VLOOKUP(V$87,'List Values'!$C$3:$D$6,2,FALSE)&amp;ROW(V184))="","",INDIRECT("'"&amp;V$86&amp;"'!"&amp;VLOOKUP(V$87,'List Values'!$C$3:$D$6,2,FALSE)&amp;ROW(V184))),IF(V$86&lt;&gt;"","Data Source Error",""))))</f>
        <v/>
      </c>
      <c r="Y184" s="2643"/>
      <c r="Z184" s="2644"/>
      <c r="AA184" s="2644"/>
      <c r="AB184" s="2645"/>
    </row>
    <row r="185" spans="1:28" ht="30.75" customHeight="1" outlineLevel="1">
      <c r="A185" s="252"/>
      <c r="B185" s="252"/>
      <c r="C185" s="2680" t="s">
        <v>2523</v>
      </c>
      <c r="D185" s="2680"/>
      <c r="E185" s="2062"/>
      <c r="F185" s="2062"/>
      <c r="G185" s="636"/>
      <c r="H185" s="637"/>
      <c r="I185" s="187"/>
      <c r="J185" s="580"/>
      <c r="K185" s="900" t="str">
        <f ca="1">IF(OR($H$7&lt;2,K$133&lt;3),"",IF(J185&lt;&gt;"",J185,IFERROR(IF(INDIRECT("'"&amp;J$86&amp;"'!"&amp;VLOOKUP(J$87,'List Values'!$C$3:$D$6,2,FALSE)&amp;ROW(J185))="","",INDIRECT("'"&amp;J$86&amp;"'!"&amp;VLOOKUP(J$87,'List Values'!$C$3:$D$6,2,FALSE)&amp;ROW(J185))),IF(J$86&lt;&gt;"","Data Source Error",""))))</f>
        <v/>
      </c>
      <c r="L185" s="187"/>
      <c r="M185" s="580"/>
      <c r="N185" s="900" t="str">
        <f ca="1">IF(OR($H$7&lt;3,N$133&lt;3),"",IF(M185&lt;&gt;"",M185,IFERROR(IF(INDIRECT("'"&amp;M$86&amp;"'!"&amp;VLOOKUP(M$87,'List Values'!$C$3:$D$6,2,FALSE)&amp;ROW(M185))="","",INDIRECT("'"&amp;M$86&amp;"'!"&amp;VLOOKUP(M$87,'List Values'!$C$3:$D$6,2,FALSE)&amp;ROW(M185))),IF(M$86&lt;&gt;"","Data Source Error",""))))</f>
        <v/>
      </c>
      <c r="O185" s="187"/>
      <c r="P185" s="528"/>
      <c r="Q185" s="900" t="str">
        <f ca="1">IF(OR($H$7&lt;4,Q$133&lt;3),"",IF(P185&lt;&gt;"",P185,IFERROR(IF(INDIRECT("'"&amp;P$86&amp;"'!"&amp;VLOOKUP(P$87,'List Values'!$C$3:$D$6,2,FALSE)&amp;ROW(P185))="","",INDIRECT("'"&amp;P$86&amp;"'!"&amp;VLOOKUP(P$87,'List Values'!$C$3:$D$6,2,FALSE)&amp;ROW(P185))),IF(P$86&lt;&gt;"","Data Source Error",""))))</f>
        <v/>
      </c>
      <c r="S185" s="528"/>
      <c r="T185" s="900" t="str">
        <f ca="1">IF(OR($H$7&lt;5,T$133&lt;3),"",IF(S185&lt;&gt;"",S185,IFERROR(IF(INDIRECT("'"&amp;S$86&amp;"'!"&amp;VLOOKUP(S$87,'List Values'!$C$3:$D$6,2,FALSE)&amp;ROW(S185))="","",INDIRECT("'"&amp;S$86&amp;"'!"&amp;VLOOKUP(S$87,'List Values'!$C$3:$D$6,2,FALSE)&amp;ROW(S185))),IF(S$86&lt;&gt;"","Data Source Error",""))))</f>
        <v/>
      </c>
      <c r="V185" s="528"/>
      <c r="W185" s="911" t="str">
        <f ca="1">IF(OR($H$7&lt;6,W$133&lt;3),"",IF(V185&lt;&gt;"",V185,IFERROR(IF(INDIRECT("'"&amp;V$86&amp;"'!"&amp;VLOOKUP(V$87,'List Values'!$C$3:$D$6,2,FALSE)&amp;ROW(V185))="","",INDIRECT("'"&amp;V$86&amp;"'!"&amp;VLOOKUP(V$87,'List Values'!$C$3:$D$6,2,FALSE)&amp;ROW(V185))),IF(V$86&lt;&gt;"","Data Source Error",""))))</f>
        <v/>
      </c>
      <c r="Y185" s="2643"/>
      <c r="Z185" s="2644"/>
      <c r="AA185" s="2644"/>
      <c r="AB185" s="2645"/>
    </row>
    <row r="186" spans="1:28" ht="15.75" customHeight="1" outlineLevel="1">
      <c r="A186" s="252"/>
      <c r="B186" s="252"/>
      <c r="C186" s="2680" t="s">
        <v>2524</v>
      </c>
      <c r="D186" s="2680"/>
      <c r="E186" s="2062"/>
      <c r="F186" s="2062"/>
      <c r="G186" s="636"/>
      <c r="H186" s="637"/>
      <c r="I186" s="187"/>
      <c r="J186" s="580"/>
      <c r="K186" s="900" t="str">
        <f ca="1">IF(OR($H$7&lt;2,K$133&lt;3),"",IF(J186&lt;&gt;"",J186,IFERROR(IF(INDIRECT("'"&amp;J$86&amp;"'!"&amp;VLOOKUP(J$87,'List Values'!$C$3:$D$6,2,FALSE)&amp;ROW(J186))="","",INDIRECT("'"&amp;J$86&amp;"'!"&amp;VLOOKUP(J$87,'List Values'!$C$3:$D$6,2,FALSE)&amp;ROW(J186))),IF(J$86&lt;&gt;"","Data Source Error",""))))</f>
        <v/>
      </c>
      <c r="L186" s="187"/>
      <c r="M186" s="580"/>
      <c r="N186" s="900" t="str">
        <f ca="1">IF(OR($H$7&lt;3,N$133&lt;3),"",IF(M186&lt;&gt;"",M186,IFERROR(IF(INDIRECT("'"&amp;M$86&amp;"'!"&amp;VLOOKUP(M$87,'List Values'!$C$3:$D$6,2,FALSE)&amp;ROW(M186))="","",INDIRECT("'"&amp;M$86&amp;"'!"&amp;VLOOKUP(M$87,'List Values'!$C$3:$D$6,2,FALSE)&amp;ROW(M186))),IF(M$86&lt;&gt;"","Data Source Error",""))))</f>
        <v/>
      </c>
      <c r="O186" s="187"/>
      <c r="P186" s="528"/>
      <c r="Q186" s="900" t="str">
        <f ca="1">IF(OR($H$7&lt;4,Q$133&lt;3),"",IF(P186&lt;&gt;"",P186,IFERROR(IF(INDIRECT("'"&amp;P$86&amp;"'!"&amp;VLOOKUP(P$87,'List Values'!$C$3:$D$6,2,FALSE)&amp;ROW(P186))="","",INDIRECT("'"&amp;P$86&amp;"'!"&amp;VLOOKUP(P$87,'List Values'!$C$3:$D$6,2,FALSE)&amp;ROW(P186))),IF(P$86&lt;&gt;"","Data Source Error",""))))</f>
        <v/>
      </c>
      <c r="S186" s="528"/>
      <c r="T186" s="900" t="str">
        <f ca="1">IF(OR($H$7&lt;5,T$133&lt;3),"",IF(S186&lt;&gt;"",S186,IFERROR(IF(INDIRECT("'"&amp;S$86&amp;"'!"&amp;VLOOKUP(S$87,'List Values'!$C$3:$D$6,2,FALSE)&amp;ROW(S186))="","",INDIRECT("'"&amp;S$86&amp;"'!"&amp;VLOOKUP(S$87,'List Values'!$C$3:$D$6,2,FALSE)&amp;ROW(S186))),IF(S$86&lt;&gt;"","Data Source Error",""))))</f>
        <v/>
      </c>
      <c r="V186" s="528"/>
      <c r="W186" s="911" t="str">
        <f ca="1">IF(OR($H$7&lt;6,W$133&lt;3),"",IF(V186&lt;&gt;"",V186,IFERROR(IF(INDIRECT("'"&amp;V$86&amp;"'!"&amp;VLOOKUP(V$87,'List Values'!$C$3:$D$6,2,FALSE)&amp;ROW(V186))="","",INDIRECT("'"&amp;V$86&amp;"'!"&amp;VLOOKUP(V$87,'List Values'!$C$3:$D$6,2,FALSE)&amp;ROW(V186))),IF(V$86&lt;&gt;"","Data Source Error",""))))</f>
        <v/>
      </c>
      <c r="Y186" s="2643"/>
      <c r="Z186" s="2644"/>
      <c r="AA186" s="2644"/>
      <c r="AB186" s="2645"/>
    </row>
    <row r="187" spans="1:28" ht="15.65" customHeight="1" outlineLevel="1">
      <c r="A187" s="252"/>
      <c r="B187" s="252"/>
      <c r="C187" s="2684" t="s">
        <v>2525</v>
      </c>
      <c r="D187" s="2684"/>
      <c r="E187" s="2062"/>
      <c r="F187" s="2062"/>
      <c r="G187" s="636"/>
      <c r="H187" s="637"/>
      <c r="I187" s="187"/>
      <c r="J187" s="580"/>
      <c r="K187" s="900" t="str">
        <f ca="1">IF(OR($H$7&lt;2,K$133&lt;3),"",IF(J187&lt;&gt;"",J187,IFERROR(IF(INDIRECT("'"&amp;J$86&amp;"'!"&amp;VLOOKUP(J$87,'List Values'!$C$3:$D$6,2,FALSE)&amp;ROW(J187))="","",INDIRECT("'"&amp;J$86&amp;"'!"&amp;VLOOKUP(J$87,'List Values'!$C$3:$D$6,2,FALSE)&amp;ROW(J187))),IF(J$86&lt;&gt;"","Data Source Error",""))))</f>
        <v/>
      </c>
      <c r="L187" s="187"/>
      <c r="M187" s="580"/>
      <c r="N187" s="900" t="str">
        <f ca="1">IF(OR($H$7&lt;3,N$133&lt;3),"",IF(M187&lt;&gt;"",M187,IFERROR(IF(INDIRECT("'"&amp;M$86&amp;"'!"&amp;VLOOKUP(M$87,'List Values'!$C$3:$D$6,2,FALSE)&amp;ROW(M187))="","",INDIRECT("'"&amp;M$86&amp;"'!"&amp;VLOOKUP(M$87,'List Values'!$C$3:$D$6,2,FALSE)&amp;ROW(M187))),IF(M$86&lt;&gt;"","Data Source Error",""))))</f>
        <v/>
      </c>
      <c r="O187" s="187"/>
      <c r="P187" s="528"/>
      <c r="Q187" s="900" t="str">
        <f ca="1">IF(OR($H$7&lt;4,Q$133&lt;3),"",IF(P187&lt;&gt;"",P187,IFERROR(IF(INDIRECT("'"&amp;P$86&amp;"'!"&amp;VLOOKUP(P$87,'List Values'!$C$3:$D$6,2,FALSE)&amp;ROW(P187))="","",INDIRECT("'"&amp;P$86&amp;"'!"&amp;VLOOKUP(P$87,'List Values'!$C$3:$D$6,2,FALSE)&amp;ROW(P187))),IF(P$86&lt;&gt;"","Data Source Error",""))))</f>
        <v/>
      </c>
      <c r="S187" s="528"/>
      <c r="T187" s="900" t="str">
        <f ca="1">IF(OR($H$7&lt;5,T$133&lt;3),"",IF(S187&lt;&gt;"",S187,IFERROR(IF(INDIRECT("'"&amp;S$86&amp;"'!"&amp;VLOOKUP(S$87,'List Values'!$C$3:$D$6,2,FALSE)&amp;ROW(S187))="","",INDIRECT("'"&amp;S$86&amp;"'!"&amp;VLOOKUP(S$87,'List Values'!$C$3:$D$6,2,FALSE)&amp;ROW(S187))),IF(S$86&lt;&gt;"","Data Source Error",""))))</f>
        <v/>
      </c>
      <c r="V187" s="528"/>
      <c r="W187" s="911" t="str">
        <f ca="1">IF(OR($H$7&lt;6,W$133&lt;3),"",IF(V187&lt;&gt;"",V187,IFERROR(IF(INDIRECT("'"&amp;V$86&amp;"'!"&amp;VLOOKUP(V$87,'List Values'!$C$3:$D$6,2,FALSE)&amp;ROW(V187))="","",INDIRECT("'"&amp;V$86&amp;"'!"&amp;VLOOKUP(V$87,'List Values'!$C$3:$D$6,2,FALSE)&amp;ROW(V187))),IF(V$86&lt;&gt;"","Data Source Error",""))))</f>
        <v/>
      </c>
      <c r="Y187" s="2643"/>
      <c r="Z187" s="2644"/>
      <c r="AA187" s="2644"/>
      <c r="AB187" s="2645"/>
    </row>
    <row r="188" spans="1:28" ht="30.75" customHeight="1" outlineLevel="1">
      <c r="A188" s="252"/>
      <c r="B188" s="252"/>
      <c r="C188" s="2680" t="s">
        <v>2526</v>
      </c>
      <c r="D188" s="2680"/>
      <c r="E188" s="2062"/>
      <c r="F188" s="2062"/>
      <c r="G188" s="636"/>
      <c r="H188" s="637"/>
      <c r="I188" s="187"/>
      <c r="J188" s="580"/>
      <c r="K188" s="900" t="str">
        <f ca="1">IF(OR($H$7&lt;2,K$133&lt;3),"",IF(J188&lt;&gt;"",J188,IFERROR(IF(INDIRECT("'"&amp;J$86&amp;"'!"&amp;VLOOKUP(J$87,'List Values'!$C$3:$D$6,2,FALSE)&amp;ROW(J188))="","",INDIRECT("'"&amp;J$86&amp;"'!"&amp;VLOOKUP(J$87,'List Values'!$C$3:$D$6,2,FALSE)&amp;ROW(J188))),IF(J$86&lt;&gt;"","Data Source Error",""))))</f>
        <v/>
      </c>
      <c r="L188" s="187"/>
      <c r="M188" s="580"/>
      <c r="N188" s="900" t="str">
        <f ca="1">IF(OR($H$7&lt;3,N$133&lt;3),"",IF(M188&lt;&gt;"",M188,IFERROR(IF(INDIRECT("'"&amp;M$86&amp;"'!"&amp;VLOOKUP(M$87,'List Values'!$C$3:$D$6,2,FALSE)&amp;ROW(M188))="","",INDIRECT("'"&amp;M$86&amp;"'!"&amp;VLOOKUP(M$87,'List Values'!$C$3:$D$6,2,FALSE)&amp;ROW(M188))),IF(M$86&lt;&gt;"","Data Source Error",""))))</f>
        <v/>
      </c>
      <c r="O188" s="187"/>
      <c r="P188" s="528"/>
      <c r="Q188" s="900" t="str">
        <f ca="1">IF(OR($H$7&lt;4,Q$133&lt;3),"",IF(P188&lt;&gt;"",P188,IFERROR(IF(INDIRECT("'"&amp;P$86&amp;"'!"&amp;VLOOKUP(P$87,'List Values'!$C$3:$D$6,2,FALSE)&amp;ROW(P188))="","",INDIRECT("'"&amp;P$86&amp;"'!"&amp;VLOOKUP(P$87,'List Values'!$C$3:$D$6,2,FALSE)&amp;ROW(P188))),IF(P$86&lt;&gt;"","Data Source Error",""))))</f>
        <v/>
      </c>
      <c r="S188" s="528"/>
      <c r="T188" s="900" t="str">
        <f ca="1">IF(OR($H$7&lt;5,T$133&lt;3),"",IF(S188&lt;&gt;"",S188,IFERROR(IF(INDIRECT("'"&amp;S$86&amp;"'!"&amp;VLOOKUP(S$87,'List Values'!$C$3:$D$6,2,FALSE)&amp;ROW(S188))="","",INDIRECT("'"&amp;S$86&amp;"'!"&amp;VLOOKUP(S$87,'List Values'!$C$3:$D$6,2,FALSE)&amp;ROW(S188))),IF(S$86&lt;&gt;"","Data Source Error",""))))</f>
        <v/>
      </c>
      <c r="V188" s="528"/>
      <c r="W188" s="911" t="str">
        <f ca="1">IF(OR($H$7&lt;6,W$133&lt;3),"",IF(V188&lt;&gt;"",V188,IFERROR(IF(INDIRECT("'"&amp;V$86&amp;"'!"&amp;VLOOKUP(V$87,'List Values'!$C$3:$D$6,2,FALSE)&amp;ROW(V188))="","",INDIRECT("'"&amp;V$86&amp;"'!"&amp;VLOOKUP(V$87,'List Values'!$C$3:$D$6,2,FALSE)&amp;ROW(V188))),IF(V$86&lt;&gt;"","Data Source Error",""))))</f>
        <v/>
      </c>
      <c r="Y188" s="2643"/>
      <c r="Z188" s="2644"/>
      <c r="AA188" s="2644"/>
      <c r="AB188" s="2645"/>
    </row>
    <row r="189" spans="1:28" ht="30.75" customHeight="1" outlineLevel="1">
      <c r="A189" s="252"/>
      <c r="B189" s="252"/>
      <c r="C189" s="2680" t="s">
        <v>2527</v>
      </c>
      <c r="D189" s="2680"/>
      <c r="E189" s="2062"/>
      <c r="F189" s="2062"/>
      <c r="G189" s="636"/>
      <c r="H189" s="637"/>
      <c r="I189" s="187"/>
      <c r="J189" s="580"/>
      <c r="K189" s="900" t="str">
        <f ca="1">IF(OR($H$7&lt;2,K$133&lt;3),"",IF(J189&lt;&gt;"",J189,IFERROR(IF(INDIRECT("'"&amp;J$86&amp;"'!"&amp;VLOOKUP(J$87,'List Values'!$C$3:$D$6,2,FALSE)&amp;ROW(J189))="","",INDIRECT("'"&amp;J$86&amp;"'!"&amp;VLOOKUP(J$87,'List Values'!$C$3:$D$6,2,FALSE)&amp;ROW(J189))),IF(J$86&lt;&gt;"","Data Source Error",""))))</f>
        <v/>
      </c>
      <c r="L189" s="187"/>
      <c r="M189" s="580"/>
      <c r="N189" s="900" t="str">
        <f ca="1">IF(OR($H$7&lt;3,N$133&lt;3),"",IF(M189&lt;&gt;"",M189,IFERROR(IF(INDIRECT("'"&amp;M$86&amp;"'!"&amp;VLOOKUP(M$87,'List Values'!$C$3:$D$6,2,FALSE)&amp;ROW(M189))="","",INDIRECT("'"&amp;M$86&amp;"'!"&amp;VLOOKUP(M$87,'List Values'!$C$3:$D$6,2,FALSE)&amp;ROW(M189))),IF(M$86&lt;&gt;"","Data Source Error",""))))</f>
        <v/>
      </c>
      <c r="O189" s="187"/>
      <c r="P189" s="528"/>
      <c r="Q189" s="900" t="str">
        <f ca="1">IF(OR($H$7&lt;4,Q$133&lt;3),"",IF(P189&lt;&gt;"",P189,IFERROR(IF(INDIRECT("'"&amp;P$86&amp;"'!"&amp;VLOOKUP(P$87,'List Values'!$C$3:$D$6,2,FALSE)&amp;ROW(P189))="","",INDIRECT("'"&amp;P$86&amp;"'!"&amp;VLOOKUP(P$87,'List Values'!$C$3:$D$6,2,FALSE)&amp;ROW(P189))),IF(P$86&lt;&gt;"","Data Source Error",""))))</f>
        <v/>
      </c>
      <c r="S189" s="528"/>
      <c r="T189" s="900" t="str">
        <f ca="1">IF(OR($H$7&lt;5,T$133&lt;3),"",IF(S189&lt;&gt;"",S189,IFERROR(IF(INDIRECT("'"&amp;S$86&amp;"'!"&amp;VLOOKUP(S$87,'List Values'!$C$3:$D$6,2,FALSE)&amp;ROW(S189))="","",INDIRECT("'"&amp;S$86&amp;"'!"&amp;VLOOKUP(S$87,'List Values'!$C$3:$D$6,2,FALSE)&amp;ROW(S189))),IF(S$86&lt;&gt;"","Data Source Error",""))))</f>
        <v/>
      </c>
      <c r="V189" s="528"/>
      <c r="W189" s="911" t="str">
        <f ca="1">IF(OR($H$7&lt;6,W$133&lt;3),"",IF(V189&lt;&gt;"",V189,IFERROR(IF(INDIRECT("'"&amp;V$86&amp;"'!"&amp;VLOOKUP(V$87,'List Values'!$C$3:$D$6,2,FALSE)&amp;ROW(V189))="","",INDIRECT("'"&amp;V$86&amp;"'!"&amp;VLOOKUP(V$87,'List Values'!$C$3:$D$6,2,FALSE)&amp;ROW(V189))),IF(V$86&lt;&gt;"","Data Source Error",""))))</f>
        <v/>
      </c>
      <c r="Y189" s="2643"/>
      <c r="Z189" s="2644"/>
      <c r="AA189" s="2644"/>
      <c r="AB189" s="2645"/>
    </row>
    <row r="190" spans="1:28" ht="30.75" customHeight="1" outlineLevel="1">
      <c r="A190" s="252"/>
      <c r="B190" s="252"/>
      <c r="C190" s="2680" t="s">
        <v>2528</v>
      </c>
      <c r="D190" s="2680"/>
      <c r="E190" s="2062"/>
      <c r="F190" s="2062"/>
      <c r="G190" s="636"/>
      <c r="H190" s="637"/>
      <c r="I190" s="187"/>
      <c r="J190" s="580"/>
      <c r="K190" s="900" t="str">
        <f ca="1">IF(OR($H$7&lt;2,K$133&lt;3),"",IF(J190&lt;&gt;"",J190,IFERROR(IF(INDIRECT("'"&amp;J$86&amp;"'!"&amp;VLOOKUP(J$87,'List Values'!$C$3:$D$6,2,FALSE)&amp;ROW(J190))="","",INDIRECT("'"&amp;J$86&amp;"'!"&amp;VLOOKUP(J$87,'List Values'!$C$3:$D$6,2,FALSE)&amp;ROW(J190))),IF(J$86&lt;&gt;"","Data Source Error",""))))</f>
        <v/>
      </c>
      <c r="L190" s="187"/>
      <c r="M190" s="580"/>
      <c r="N190" s="900" t="str">
        <f ca="1">IF(OR($H$7&lt;3,N$133&lt;3),"",IF(M190&lt;&gt;"",M190,IFERROR(IF(INDIRECT("'"&amp;M$86&amp;"'!"&amp;VLOOKUP(M$87,'List Values'!$C$3:$D$6,2,FALSE)&amp;ROW(M190))="","",INDIRECT("'"&amp;M$86&amp;"'!"&amp;VLOOKUP(M$87,'List Values'!$C$3:$D$6,2,FALSE)&amp;ROW(M190))),IF(M$86&lt;&gt;"","Data Source Error",""))))</f>
        <v/>
      </c>
      <c r="O190" s="187"/>
      <c r="P190" s="528"/>
      <c r="Q190" s="900" t="str">
        <f ca="1">IF(OR($H$7&lt;4,Q$133&lt;3),"",IF(P190&lt;&gt;"",P190,IFERROR(IF(INDIRECT("'"&amp;P$86&amp;"'!"&amp;VLOOKUP(P$87,'List Values'!$C$3:$D$6,2,FALSE)&amp;ROW(P190))="","",INDIRECT("'"&amp;P$86&amp;"'!"&amp;VLOOKUP(P$87,'List Values'!$C$3:$D$6,2,FALSE)&amp;ROW(P190))),IF(P$86&lt;&gt;"","Data Source Error",""))))</f>
        <v/>
      </c>
      <c r="S190" s="528"/>
      <c r="T190" s="900" t="str">
        <f ca="1">IF(OR($H$7&lt;5,T$133&lt;3),"",IF(S190&lt;&gt;"",S190,IFERROR(IF(INDIRECT("'"&amp;S$86&amp;"'!"&amp;VLOOKUP(S$87,'List Values'!$C$3:$D$6,2,FALSE)&amp;ROW(S190))="","",INDIRECT("'"&amp;S$86&amp;"'!"&amp;VLOOKUP(S$87,'List Values'!$C$3:$D$6,2,FALSE)&amp;ROW(S190))),IF(S$86&lt;&gt;"","Data Source Error",""))))</f>
        <v/>
      </c>
      <c r="V190" s="528"/>
      <c r="W190" s="911" t="str">
        <f ca="1">IF(OR($H$7&lt;6,W$133&lt;3),"",IF(V190&lt;&gt;"",V190,IFERROR(IF(INDIRECT("'"&amp;V$86&amp;"'!"&amp;VLOOKUP(V$87,'List Values'!$C$3:$D$6,2,FALSE)&amp;ROW(V190))="","",INDIRECT("'"&amp;V$86&amp;"'!"&amp;VLOOKUP(V$87,'List Values'!$C$3:$D$6,2,FALSE)&amp;ROW(V190))),IF(V$86&lt;&gt;"","Data Source Error",""))))</f>
        <v/>
      </c>
      <c r="Y190" s="2643"/>
      <c r="Z190" s="2644"/>
      <c r="AA190" s="2644"/>
      <c r="AB190" s="2645"/>
    </row>
    <row r="191" spans="1:28" ht="15.75" customHeight="1" outlineLevel="1">
      <c r="A191" s="252"/>
      <c r="B191" s="252"/>
      <c r="C191" s="2680" t="s">
        <v>650</v>
      </c>
      <c r="D191" s="2680"/>
      <c r="E191" s="2062"/>
      <c r="F191" s="2062"/>
      <c r="G191" s="636"/>
      <c r="H191" s="637"/>
      <c r="I191" s="187"/>
      <c r="J191" s="580"/>
      <c r="K191" s="900" t="str">
        <f ca="1">IF(OR($H$7&lt;2,K$133&lt;3),"",IF(J191&lt;&gt;"",J191,IFERROR(IF(INDIRECT("'"&amp;J$86&amp;"'!"&amp;VLOOKUP(J$87,'List Values'!$C$3:$D$6,2,FALSE)&amp;ROW(J191))="","",INDIRECT("'"&amp;J$86&amp;"'!"&amp;VLOOKUP(J$87,'List Values'!$C$3:$D$6,2,FALSE)&amp;ROW(J191))),IF(J$86&lt;&gt;"","Data Source Error",""))))</f>
        <v/>
      </c>
      <c r="L191" s="187"/>
      <c r="M191" s="580"/>
      <c r="N191" s="900" t="str">
        <f ca="1">IF(OR($H$7&lt;3,N$133&lt;3),"",IF(M191&lt;&gt;"",M191,IFERROR(IF(INDIRECT("'"&amp;M$86&amp;"'!"&amp;VLOOKUP(M$87,'List Values'!$C$3:$D$6,2,FALSE)&amp;ROW(M191))="","",INDIRECT("'"&amp;M$86&amp;"'!"&amp;VLOOKUP(M$87,'List Values'!$C$3:$D$6,2,FALSE)&amp;ROW(M191))),IF(M$86&lt;&gt;"","Data Source Error",""))))</f>
        <v/>
      </c>
      <c r="O191" s="187"/>
      <c r="P191" s="528"/>
      <c r="Q191" s="900" t="str">
        <f ca="1">IF(OR($H$7&lt;4,Q$133&lt;3),"",IF(P191&lt;&gt;"",P191,IFERROR(IF(INDIRECT("'"&amp;P$86&amp;"'!"&amp;VLOOKUP(P$87,'List Values'!$C$3:$D$6,2,FALSE)&amp;ROW(P191))="","",INDIRECT("'"&amp;P$86&amp;"'!"&amp;VLOOKUP(P$87,'List Values'!$C$3:$D$6,2,FALSE)&amp;ROW(P191))),IF(P$86&lt;&gt;"","Data Source Error",""))))</f>
        <v/>
      </c>
      <c r="S191" s="528"/>
      <c r="T191" s="900" t="str">
        <f ca="1">IF(OR($H$7&lt;5,T$133&lt;3),"",IF(S191&lt;&gt;"",S191,IFERROR(IF(INDIRECT("'"&amp;S$86&amp;"'!"&amp;VLOOKUP(S$87,'List Values'!$C$3:$D$6,2,FALSE)&amp;ROW(S191))="","",INDIRECT("'"&amp;S$86&amp;"'!"&amp;VLOOKUP(S$87,'List Values'!$C$3:$D$6,2,FALSE)&amp;ROW(S191))),IF(S$86&lt;&gt;"","Data Source Error",""))))</f>
        <v/>
      </c>
      <c r="V191" s="528"/>
      <c r="W191" s="911" t="str">
        <f ca="1">IF(OR($H$7&lt;6,W$133&lt;3),"",IF(V191&lt;&gt;"",V191,IFERROR(IF(INDIRECT("'"&amp;V$86&amp;"'!"&amp;VLOOKUP(V$87,'List Values'!$C$3:$D$6,2,FALSE)&amp;ROW(V191))="","",INDIRECT("'"&amp;V$86&amp;"'!"&amp;VLOOKUP(V$87,'List Values'!$C$3:$D$6,2,FALSE)&amp;ROW(V191))),IF(V$86&lt;&gt;"","Data Source Error",""))))</f>
        <v/>
      </c>
      <c r="Y191" s="2643"/>
      <c r="Z191" s="2644"/>
      <c r="AA191" s="2644"/>
      <c r="AB191" s="2645"/>
    </row>
    <row r="192" spans="1:28" ht="30.75" customHeight="1" outlineLevel="1">
      <c r="A192" s="252"/>
      <c r="B192" s="252"/>
      <c r="C192" s="2680" t="s">
        <v>651</v>
      </c>
      <c r="D192" s="2680"/>
      <c r="E192" s="2062"/>
      <c r="F192" s="2062"/>
      <c r="G192" s="636"/>
      <c r="H192" s="637"/>
      <c r="I192" s="184"/>
      <c r="J192" s="624"/>
      <c r="K192" s="941" t="str">
        <f ca="1">IF(OR($H$7&lt;2,K$133&lt;3),"",IF(J192&lt;&gt;"",J192,IFERROR(IF(INDIRECT("'"&amp;J$86&amp;"'!"&amp;VLOOKUP(J$87,'List Values'!$C$3:$D$6,2,FALSE)&amp;ROW(J192))="","",INDIRECT("'"&amp;J$86&amp;"'!"&amp;VLOOKUP(J$87,'List Values'!$C$3:$D$6,2,FALSE)&amp;ROW(J192))),IF(J$86&lt;&gt;"","Data Source Error",""))))</f>
        <v/>
      </c>
      <c r="L192" s="184"/>
      <c r="M192" s="624"/>
      <c r="N192" s="941" t="str">
        <f ca="1">IF(OR($H$7&lt;3,N$133&lt;3),"",IF(M192&lt;&gt;"",M192,IFERROR(IF(INDIRECT("'"&amp;M$86&amp;"'!"&amp;VLOOKUP(M$87,'List Values'!$C$3:$D$6,2,FALSE)&amp;ROW(M192))="","",INDIRECT("'"&amp;M$86&amp;"'!"&amp;VLOOKUP(M$87,'List Values'!$C$3:$D$6,2,FALSE)&amp;ROW(M192))),IF(M$86&lt;&gt;"","Data Source Error",""))))</f>
        <v/>
      </c>
      <c r="O192" s="184"/>
      <c r="P192" s="528"/>
      <c r="Q192" s="941" t="str">
        <f ca="1">IF(OR($H$7&lt;4,Q$133&lt;3),"",IF(P192&lt;&gt;"",P192,IFERROR(IF(INDIRECT("'"&amp;P$86&amp;"'!"&amp;VLOOKUP(P$87,'List Values'!$C$3:$D$6,2,FALSE)&amp;ROW(P192))="","",INDIRECT("'"&amp;P$86&amp;"'!"&amp;VLOOKUP(P$87,'List Values'!$C$3:$D$6,2,FALSE)&amp;ROW(P192))),IF(P$86&lt;&gt;"","Data Source Error",""))))</f>
        <v/>
      </c>
      <c r="S192" s="528"/>
      <c r="T192" s="941" t="str">
        <f ca="1">IF(OR($H$7&lt;5,T$133&lt;3),"",IF(S192&lt;&gt;"",S192,IFERROR(IF(INDIRECT("'"&amp;S$86&amp;"'!"&amp;VLOOKUP(S$87,'List Values'!$C$3:$D$6,2,FALSE)&amp;ROW(S192))="","",INDIRECT("'"&amp;S$86&amp;"'!"&amp;VLOOKUP(S$87,'List Values'!$C$3:$D$6,2,FALSE)&amp;ROW(S192))),IF(S$86&lt;&gt;"","Data Source Error",""))))</f>
        <v/>
      </c>
      <c r="V192" s="528"/>
      <c r="W192" s="947" t="str">
        <f ca="1">IF(OR($H$7&lt;6,W$133&lt;3),"",IF(V192&lt;&gt;"",V192,IFERROR(IF(INDIRECT("'"&amp;V$86&amp;"'!"&amp;VLOOKUP(V$87,'List Values'!$C$3:$D$6,2,FALSE)&amp;ROW(V192))="","",INDIRECT("'"&amp;V$86&amp;"'!"&amp;VLOOKUP(V$87,'List Values'!$C$3:$D$6,2,FALSE)&amp;ROW(V192))),IF(V$86&lt;&gt;"","Data Source Error",""))))</f>
        <v/>
      </c>
      <c r="Y192" s="2643"/>
      <c r="Z192" s="2644"/>
      <c r="AA192" s="2644"/>
      <c r="AB192" s="2645"/>
    </row>
    <row r="193" spans="1:28" ht="30.75" customHeight="1" outlineLevel="1">
      <c r="A193" s="237"/>
      <c r="B193" s="511"/>
      <c r="C193" s="2680" t="s">
        <v>684</v>
      </c>
      <c r="D193" s="2680"/>
      <c r="E193" s="494"/>
      <c r="F193" s="494"/>
      <c r="G193" s="642"/>
      <c r="H193" s="643"/>
      <c r="I193" s="236"/>
      <c r="J193" s="583"/>
      <c r="K193" s="968" t="str">
        <f ca="1">IF(OR($H$7&lt;2,K$133&lt;3),"",IF(J193&lt;&gt;"",J193,IFERROR(IF(INDIRECT("'"&amp;J$86&amp;"'!"&amp;VLOOKUP(J$87,'List Values'!$C$3:$D$6,2,FALSE)&amp;ROW(J193))="","",INDIRECT("'"&amp;J$86&amp;"'!"&amp;VLOOKUP(J$87,'List Values'!$C$3:$D$6,2,FALSE)&amp;ROW(J193))),IF(J$86&lt;&gt;"","Data Source Error",""))))</f>
        <v/>
      </c>
      <c r="L193" s="236"/>
      <c r="M193" s="583"/>
      <c r="N193" s="968" t="str">
        <f ca="1">IF(OR($H$7&lt;3,N$133&lt;3),"",IF(M193&lt;&gt;"",M193,IFERROR(IF(INDIRECT("'"&amp;M$86&amp;"'!"&amp;VLOOKUP(M$87,'List Values'!$C$3:$D$6,2,FALSE)&amp;ROW(M193))="","",INDIRECT("'"&amp;M$86&amp;"'!"&amp;VLOOKUP(M$87,'List Values'!$C$3:$D$6,2,FALSE)&amp;ROW(M193))),IF(M$86&lt;&gt;"","Data Source Error",""))))</f>
        <v/>
      </c>
      <c r="O193" s="236"/>
      <c r="P193" s="582"/>
      <c r="Q193" s="968" t="str">
        <f ca="1">IF(OR($H$7&lt;4,Q$133&lt;3),"",IF(P193&lt;&gt;"",P193,IFERROR(IF(INDIRECT("'"&amp;P$86&amp;"'!"&amp;VLOOKUP(P$87,'List Values'!$C$3:$D$6,2,FALSE)&amp;ROW(P193))="","",INDIRECT("'"&amp;P$86&amp;"'!"&amp;VLOOKUP(P$87,'List Values'!$C$3:$D$6,2,FALSE)&amp;ROW(P193))),IF(P$86&lt;&gt;"","Data Source Error",""))))</f>
        <v/>
      </c>
      <c r="R193" s="236"/>
      <c r="S193" s="582"/>
      <c r="T193" s="968" t="str">
        <f ca="1">IF(OR($H$7&lt;5,T$133&lt;3),"",IF(S193&lt;&gt;"",S193,IFERROR(IF(INDIRECT("'"&amp;S$86&amp;"'!"&amp;VLOOKUP(S$87,'List Values'!$C$3:$D$6,2,FALSE)&amp;ROW(S193))="","",INDIRECT("'"&amp;S$86&amp;"'!"&amp;VLOOKUP(S$87,'List Values'!$C$3:$D$6,2,FALSE)&amp;ROW(S193))),IF(S$86&lt;&gt;"","Data Source Error",""))))</f>
        <v/>
      </c>
      <c r="U193" s="236"/>
      <c r="V193" s="582"/>
      <c r="W193" s="977" t="str">
        <f ca="1">IF(OR($H$7&lt;6,W$133&lt;3),"",IF(V193&lt;&gt;"",V193,IFERROR(IF(INDIRECT("'"&amp;V$86&amp;"'!"&amp;VLOOKUP(V$87,'List Values'!$C$3:$D$6,2,FALSE)&amp;ROW(V193))="","",INDIRECT("'"&amp;V$86&amp;"'!"&amp;VLOOKUP(V$87,'List Values'!$C$3:$D$6,2,FALSE)&amp;ROW(V193))),IF(V$86&lt;&gt;"","Data Source Error",""))))</f>
        <v/>
      </c>
      <c r="Y193" s="2657"/>
      <c r="Z193" s="2658"/>
      <c r="AA193" s="2658"/>
      <c r="AB193" s="2659"/>
    </row>
    <row r="194" spans="1:28" ht="27" customHeight="1">
      <c r="A194" s="212"/>
      <c r="B194" s="1211"/>
      <c r="C194" s="1212"/>
      <c r="D194" s="1212"/>
      <c r="E194" s="1212"/>
      <c r="F194" s="1211"/>
      <c r="G194" s="1213"/>
      <c r="H194" s="1214"/>
      <c r="I194" s="1211"/>
      <c r="J194" s="1215"/>
      <c r="K194" s="1214"/>
      <c r="L194" s="1211"/>
      <c r="M194" s="1215"/>
      <c r="N194" s="1214"/>
      <c r="O194" s="1211"/>
      <c r="P194" s="1215"/>
      <c r="Q194" s="1214"/>
      <c r="R194" s="1211"/>
      <c r="S194" s="1215"/>
      <c r="T194" s="1214"/>
      <c r="U194" s="1211"/>
      <c r="V194" s="1215"/>
      <c r="W194" s="1214"/>
    </row>
    <row r="195" spans="1:28" ht="25.5" customHeight="1">
      <c r="B195" s="2682" t="s">
        <v>2530</v>
      </c>
      <c r="C195" s="2682"/>
      <c r="D195" s="2682"/>
      <c r="E195" s="2682"/>
      <c r="F195" s="2682"/>
      <c r="G195" s="2682"/>
      <c r="H195" s="2682"/>
      <c r="I195" s="596"/>
      <c r="J195" s="2683" t="str">
        <f ca="1">H88&amp;" to "&amp;K88</f>
        <v>CMS to Regional WH</v>
      </c>
      <c r="K195" s="2683"/>
      <c r="L195" s="1219"/>
      <c r="M195" s="2683" t="str">
        <f ca="1">K88&amp;" to "&amp;N88</f>
        <v>Regional WH to Health Facility</v>
      </c>
      <c r="N195" s="2683"/>
      <c r="O195" s="1219"/>
      <c r="P195" s="2683" t="str">
        <f ca="1">N88&amp;" to "&amp;Q88</f>
        <v xml:space="preserve">Health Facility to </v>
      </c>
      <c r="Q195" s="2683"/>
      <c r="R195" s="1219"/>
      <c r="S195" s="2683" t="str">
        <f ca="1">Q88&amp;" to "&amp;T88</f>
        <v xml:space="preserve"> to </v>
      </c>
      <c r="T195" s="2683"/>
      <c r="U195" s="1219"/>
      <c r="V195" s="2683" t="str">
        <f ca="1">T88&amp;" to "&amp;W88</f>
        <v xml:space="preserve"> to </v>
      </c>
      <c r="W195" s="2683"/>
    </row>
    <row r="196" spans="1:28" ht="9.75" customHeight="1" outlineLevel="1">
      <c r="B196" s="2682"/>
      <c r="C196" s="2682"/>
      <c r="D196" s="2682"/>
      <c r="E196" s="2682"/>
      <c r="F196" s="2682"/>
      <c r="G196" s="2682"/>
      <c r="H196" s="2682"/>
      <c r="I196" s="596"/>
      <c r="J196" s="594"/>
      <c r="K196" s="594"/>
      <c r="L196" s="596"/>
      <c r="M196" s="594"/>
      <c r="N196" s="594"/>
      <c r="O196" s="596"/>
      <c r="P196" s="594"/>
      <c r="Q196" s="594"/>
      <c r="R196" s="594"/>
      <c r="S196" s="594"/>
      <c r="T196" s="594"/>
      <c r="U196" s="594"/>
      <c r="V196" s="594"/>
      <c r="W196" s="594"/>
      <c r="Y196" s="2619" t="s">
        <v>673</v>
      </c>
      <c r="Z196" s="2620"/>
      <c r="AA196" s="2620"/>
      <c r="AB196" s="2621"/>
    </row>
    <row r="197" spans="1:28" ht="32.15" customHeight="1" outlineLevel="1">
      <c r="A197" s="1"/>
      <c r="B197" s="2685" t="s">
        <v>2518</v>
      </c>
      <c r="C197" s="2685"/>
      <c r="D197" s="2685"/>
      <c r="E197" s="1691"/>
      <c r="F197" s="1691"/>
      <c r="G197" s="646"/>
      <c r="H197" s="647"/>
      <c r="I197" s="1216"/>
      <c r="J197" s="766"/>
      <c r="K197" s="1217">
        <f ca="1">IF($H$7&lt;2,0,IF(J197&lt;&gt;"",J197,IFERROR(IF(INDIRECT("'"&amp;J$86&amp;"'!"&amp;VLOOKUP(J$87,'List Values'!$C$3:$D$6,2,FALSE)&amp;ROW(J197))="",0,INDIRECT("'"&amp;J$86&amp;"'!"&amp;VLOOKUP(J$87,'List Values'!$C$3:$D$6,2,FALSE)&amp;ROW(J197))),IF(J$86&lt;&gt;"","Data Source Error",0))))</f>
        <v>0</v>
      </c>
      <c r="L197" s="1216"/>
      <c r="M197" s="766"/>
      <c r="N197" s="1217">
        <f ca="1">IF($H$7&lt;3,0,IF(M197&lt;&gt;"",M197,IFERROR(IF(INDIRECT("'"&amp;M$86&amp;"'!"&amp;VLOOKUP(M$87,'List Values'!$C$3:$D$6,2,FALSE)&amp;ROW(M197))="",0,INDIRECT("'"&amp;M$86&amp;"'!"&amp;VLOOKUP(M$87,'List Values'!$C$3:$D$6,2,FALSE)&amp;ROW(M197))),IF(M$86&lt;&gt;"","Data Source Error",0))))</f>
        <v>1</v>
      </c>
      <c r="O197" s="236"/>
      <c r="P197" s="767"/>
      <c r="Q197" s="1217">
        <f ca="1">IF($H$7&lt;4,0,IF(P197&lt;&gt;"",P197,IFERROR(IF(INDIRECT("'"&amp;P$86&amp;"'!"&amp;VLOOKUP(P$87,'List Values'!$C$3:$D$6,2,FALSE)&amp;ROW(P197))="",0,INDIRECT("'"&amp;P$86&amp;"'!"&amp;VLOOKUP(P$87,'List Values'!$C$3:$D$6,2,FALSE)&amp;ROW(P197))),IF(P$86&lt;&gt;"","Data Source Error",0))))</f>
        <v>0</v>
      </c>
      <c r="R197" s="236"/>
      <c r="S197" s="767"/>
      <c r="T197" s="1217">
        <f ca="1">IF($H$7&lt;5,0,IF(S197&lt;&gt;"",S197,IFERROR(IF(INDIRECT("'"&amp;S$86&amp;"'!"&amp;VLOOKUP(S$87,'List Values'!$C$3:$D$6,2,FALSE)&amp;ROW(S197))="",0,INDIRECT("'"&amp;S$86&amp;"'!"&amp;VLOOKUP(S$87,'List Values'!$C$3:$D$6,2,FALSE)&amp;ROW(S197))),IF(S$86&lt;&gt;"","Data Source Error",0))))</f>
        <v>0</v>
      </c>
      <c r="U197" s="236"/>
      <c r="V197" s="767"/>
      <c r="W197" s="1218">
        <f ca="1">IF($H$7&lt;6,0,IF(V197&lt;&gt;"",V197,IFERROR(IF(INDIRECT("'"&amp;V$86&amp;"'!"&amp;VLOOKUP(V$87,'List Values'!$C$3:$D$6,2,FALSE)&amp;ROW(V197))="",0,INDIRECT("'"&amp;V$86&amp;"'!"&amp;VLOOKUP(V$87,'List Values'!$C$3:$D$6,2,FALSE)&amp;ROW(V197))),IF(V$86&lt;&gt;"","Data Source Error",0))))</f>
        <v>0</v>
      </c>
      <c r="Y197" s="2643"/>
      <c r="Z197" s="2644"/>
      <c r="AA197" s="2644"/>
      <c r="AB197" s="2645"/>
    </row>
    <row r="198" spans="1:28" ht="21" customHeight="1">
      <c r="A198" s="1"/>
      <c r="B198" s="612" t="s">
        <v>616</v>
      </c>
      <c r="C198" s="607"/>
      <c r="D198" s="607"/>
      <c r="E198" s="607"/>
      <c r="F198" s="607"/>
      <c r="G198" s="607"/>
      <c r="H198" s="607"/>
      <c r="I198" s="609"/>
      <c r="J198" s="606"/>
      <c r="K198" s="961"/>
      <c r="L198" s="609"/>
      <c r="M198" s="606"/>
      <c r="N198" s="961"/>
      <c r="O198" s="608"/>
      <c r="P198" s="613"/>
      <c r="Q198" s="961"/>
      <c r="R198" s="608"/>
      <c r="S198" s="613"/>
      <c r="T198" s="961"/>
      <c r="U198" s="608"/>
      <c r="V198" s="613"/>
      <c r="W198" s="961"/>
      <c r="Y198" s="631"/>
      <c r="Z198" s="631"/>
      <c r="AA198" s="631"/>
      <c r="AB198" s="631"/>
    </row>
    <row r="199" spans="1:28" ht="15.75" customHeight="1" outlineLevel="1">
      <c r="A199" s="512"/>
      <c r="B199" s="252"/>
      <c r="C199" s="2580" t="s">
        <v>731</v>
      </c>
      <c r="D199" s="2580"/>
      <c r="E199" s="202"/>
      <c r="F199" s="202"/>
      <c r="G199" s="634"/>
      <c r="H199" s="635"/>
      <c r="I199" s="183"/>
      <c r="J199" s="628"/>
      <c r="K199" s="967" t="str">
        <f ca="1">IF(OR($H$7&lt;2,K$197&lt;1),"",IF(J199&lt;&gt;"",J199,IFERROR(IF(INDIRECT("'"&amp;J$86&amp;"'!"&amp;VLOOKUP(J$87,'List Values'!$C$3:$D$6,2,FALSE)&amp;ROW(J199))="","",INDIRECT("'"&amp;J$86&amp;"'!"&amp;VLOOKUP(J$87,'List Values'!$C$3:$D$6,2,FALSE)&amp;ROW(J199))),IF(J$86&lt;&gt;"","Data Source Error",""))))</f>
        <v/>
      </c>
      <c r="L199" s="629"/>
      <c r="M199" s="628"/>
      <c r="N199" s="967">
        <f ca="1">IF(OR($H$7&lt;3,N$197&lt;1),"",IF(M199&lt;&gt;"",M199,IFERROR(IF(INDIRECT("'"&amp;M$86&amp;"'!"&amp;VLOOKUP(M$87,'List Values'!$C$3:$D$6,2,FALSE)&amp;ROW(M199))="","",INDIRECT("'"&amp;M$86&amp;"'!"&amp;VLOOKUP(M$87,'List Values'!$C$3:$D$6,2,FALSE)&amp;ROW(M199))),IF(M$86&lt;&gt;"","Data Source Error",""))))</f>
        <v>1</v>
      </c>
      <c r="O199" s="629"/>
      <c r="P199" s="628"/>
      <c r="Q199" s="967" t="str">
        <f ca="1">IF(OR($H$7&lt;4,Q$197&lt;1),"",IF(P199&lt;&gt;"",P199,IFERROR(IF(INDIRECT("'"&amp;P$86&amp;"'!"&amp;VLOOKUP(P$87,'List Values'!$C$3:$D$6,2,FALSE)&amp;ROW(P199))="","",INDIRECT("'"&amp;P$86&amp;"'!"&amp;VLOOKUP(P$87,'List Values'!$C$3:$D$6,2,FALSE)&amp;ROW(P199))),IF(P$86&lt;&gt;"","Data Source Error",""))))</f>
        <v/>
      </c>
      <c r="R199" s="147"/>
      <c r="S199" s="628"/>
      <c r="T199" s="967" t="str">
        <f ca="1">IF(OR($H$7&lt;5,T$197&lt;1),"",IF(S199&lt;&gt;"",S199,IFERROR(IF(INDIRECT("'"&amp;S$86&amp;"'!"&amp;VLOOKUP(S$87,'List Values'!$C$3:$D$6,2,FALSE)&amp;ROW(S199))="","",INDIRECT("'"&amp;S$86&amp;"'!"&amp;VLOOKUP(S$87,'List Values'!$C$3:$D$6,2,FALSE)&amp;ROW(S199))),IF(S$86&lt;&gt;"","Data Source Error",""))))</f>
        <v/>
      </c>
      <c r="U199" s="147"/>
      <c r="V199" s="628"/>
      <c r="W199" s="973" t="str">
        <f ca="1">IF(OR($H$7&lt;6,W$197&lt;1),"",IF(V199&lt;&gt;"",V199,IFERROR(IF(INDIRECT("'"&amp;V$86&amp;"'!"&amp;VLOOKUP(V$87,'List Values'!$C$3:$D$6,2,FALSE)&amp;ROW(V199))="","",INDIRECT("'"&amp;V$86&amp;"'!"&amp;VLOOKUP(V$87,'List Values'!$C$3:$D$6,2,FALSE)&amp;ROW(V199))),IF(V$86&lt;&gt;"","Data Source Error",""))))</f>
        <v/>
      </c>
      <c r="Y199" s="2643"/>
      <c r="Z199" s="2644"/>
      <c r="AA199" s="2644"/>
      <c r="AB199" s="2645"/>
    </row>
    <row r="200" spans="1:28" ht="15.65" customHeight="1" outlineLevel="1">
      <c r="A200" s="512"/>
      <c r="B200" s="252"/>
      <c r="C200" s="2680" t="s">
        <v>626</v>
      </c>
      <c r="D200" s="2680"/>
      <c r="E200" s="2062"/>
      <c r="F200" s="2062"/>
      <c r="G200" s="636"/>
      <c r="H200" s="637"/>
      <c r="I200" s="187"/>
      <c r="J200" s="526"/>
      <c r="K200" s="979" t="str">
        <f ca="1">IF(OR($H$7&lt;2,K$197&lt;1),"",IF(J200&lt;&gt;"",J200,IFERROR(IF(INDIRECT("'"&amp;J$86&amp;"'!"&amp;VLOOKUP(J$87,'List Values'!$C$3:$D$6,2,FALSE)&amp;ROW(J200))="","",INDIRECT("'"&amp;J$86&amp;"'!"&amp;VLOOKUP(J$87,'List Values'!$C$3:$D$6,2,FALSE)&amp;ROW(J200))),IF(J$86&lt;&gt;"","Data Source Error",""))))</f>
        <v/>
      </c>
      <c r="L200" s="187"/>
      <c r="M200" s="526"/>
      <c r="N200" s="900" t="str">
        <f ca="1">IF(OR($H$7&lt;3,N$197&lt;1),"",IF(M200&lt;&gt;"",M200,IFERROR(IF(INDIRECT("'"&amp;M$86&amp;"'!"&amp;VLOOKUP(M$87,'List Values'!$C$3:$D$6,2,FALSE)&amp;ROW(M200))="","",INDIRECT("'"&amp;M$86&amp;"'!"&amp;VLOOKUP(M$87,'List Values'!$C$3:$D$6,2,FALSE)&amp;ROW(M200))),IF(M$86&lt;&gt;"","Data Source Error",""))))</f>
        <v>Car/Sport Utility/Consumer Vehicle</v>
      </c>
      <c r="O200" s="187"/>
      <c r="P200" s="526"/>
      <c r="Q200" s="900" t="str">
        <f ca="1">IF(OR($H$7&lt;4,Q$197&lt;1),"",IF(P200&lt;&gt;"",P200,IFERROR(IF(INDIRECT("'"&amp;P$86&amp;"'!"&amp;VLOOKUP(P$87,'List Values'!$C$3:$D$6,2,FALSE)&amp;ROW(P200))="","",INDIRECT("'"&amp;P$86&amp;"'!"&amp;VLOOKUP(P$87,'List Values'!$C$3:$D$6,2,FALSE)&amp;ROW(P200))),IF(P$86&lt;&gt;"","Data Source Error",""))))</f>
        <v/>
      </c>
      <c r="S200" s="526"/>
      <c r="T200" s="900" t="str">
        <f ca="1">IF(OR($H$7&lt;5,T$197&lt;1),"",IF(S200&lt;&gt;"",S200,IFERROR(IF(INDIRECT("'"&amp;S$86&amp;"'!"&amp;VLOOKUP(S$87,'List Values'!$C$3:$D$6,2,FALSE)&amp;ROW(S200))="","",INDIRECT("'"&amp;S$86&amp;"'!"&amp;VLOOKUP(S$87,'List Values'!$C$3:$D$6,2,FALSE)&amp;ROW(S200))),IF(S$86&lt;&gt;"","Data Source Error",""))))</f>
        <v/>
      </c>
      <c r="V200" s="526"/>
      <c r="W200" s="911" t="str">
        <f ca="1">IF(OR($H$7&lt;6,W$197&lt;1),"",IF(V200&lt;&gt;"",V200,IFERROR(IF(INDIRECT("'"&amp;V$86&amp;"'!"&amp;VLOOKUP(V$87,'List Values'!$C$3:$D$6,2,FALSE)&amp;ROW(V200))="","",INDIRECT("'"&amp;V$86&amp;"'!"&amp;VLOOKUP(V$87,'List Values'!$C$3:$D$6,2,FALSE)&amp;ROW(V200))),IF(V$86&lt;&gt;"","Data Source Error",""))))</f>
        <v/>
      </c>
      <c r="Y200" s="2643"/>
      <c r="Z200" s="2644"/>
      <c r="AA200" s="2644"/>
      <c r="AB200" s="2645"/>
    </row>
    <row r="201" spans="1:28" ht="31.5" customHeight="1" outlineLevel="1">
      <c r="A201" s="512"/>
      <c r="B201" s="252"/>
      <c r="C201" s="2680" t="s">
        <v>2520</v>
      </c>
      <c r="D201" s="2680"/>
      <c r="E201" s="2062"/>
      <c r="F201" s="2062"/>
      <c r="G201" s="636"/>
      <c r="H201" s="637"/>
      <c r="I201" s="187"/>
      <c r="J201" s="561" t="s">
        <v>218</v>
      </c>
      <c r="K201" s="900" t="str">
        <f ca="1">IF(OR($H$7&lt;2,K$197&lt;1),"",IF(J201&lt;&gt;"",J201,IFERROR(IF(INDIRECT("'"&amp;J$86&amp;"'!"&amp;VLOOKUP(J$87,'List Values'!$C$3:$D$6,2,FALSE)&amp;ROW(J201))="","",INDIRECT("'"&amp;J$86&amp;"'!"&amp;VLOOKUP(J$87,'List Values'!$C$3:$D$6,2,FALSE)&amp;ROW(J201))),IF(J$86&lt;&gt;"","Data Source Error",""))))</f>
        <v/>
      </c>
      <c r="L201" s="187"/>
      <c r="M201" s="561"/>
      <c r="N201" s="900" t="str">
        <f ca="1">IF(OR($H$7&lt;3,N$197&lt;1),"",IF(M201&lt;&gt;"",M201,IFERROR(IF(INDIRECT("'"&amp;M$86&amp;"'!"&amp;VLOOKUP(M$87,'List Values'!$C$3:$D$6,2,FALSE)&amp;ROW(M201))="","",INDIRECT("'"&amp;M$86&amp;"'!"&amp;VLOOKUP(M$87,'List Values'!$C$3:$D$6,2,FALSE)&amp;ROW(M201))),IF(M$86&lt;&gt;"","Data Source Error",""))))</f>
        <v>Owned</v>
      </c>
      <c r="O201" s="187"/>
      <c r="P201" s="561"/>
      <c r="Q201" s="900" t="str">
        <f ca="1">IF(OR($H$7&lt;4,Q$197&lt;1),"",IF(P201&lt;&gt;"",P201,IFERROR(IF(INDIRECT("'"&amp;P$86&amp;"'!"&amp;VLOOKUP(P$87,'List Values'!$C$3:$D$6,2,FALSE)&amp;ROW(P201))="","",INDIRECT("'"&amp;P$86&amp;"'!"&amp;VLOOKUP(P$87,'List Values'!$C$3:$D$6,2,FALSE)&amp;ROW(P201))),IF(P$86&lt;&gt;"","Data Source Error",""))))</f>
        <v/>
      </c>
      <c r="S201" s="561"/>
      <c r="T201" s="900" t="str">
        <f ca="1">IF(OR($H$7&lt;5,T$197&lt;1),"",IF(S201&lt;&gt;"",S201,IFERROR(IF(INDIRECT("'"&amp;S$86&amp;"'!"&amp;VLOOKUP(S$87,'List Values'!$C$3:$D$6,2,FALSE)&amp;ROW(S201))="","",INDIRECT("'"&amp;S$86&amp;"'!"&amp;VLOOKUP(S$87,'List Values'!$C$3:$D$6,2,FALSE)&amp;ROW(S201))),IF(S$86&lt;&gt;"","Data Source Error",""))))</f>
        <v/>
      </c>
      <c r="V201" s="561"/>
      <c r="W201" s="911" t="str">
        <f ca="1">IF(OR($H$7&lt;6,W$197&lt;1),"",IF(V201&lt;&gt;"",V201,IFERROR(IF(INDIRECT("'"&amp;V$86&amp;"'!"&amp;VLOOKUP(V$87,'List Values'!$C$3:$D$6,2,FALSE)&amp;ROW(V201))="","",INDIRECT("'"&amp;V$86&amp;"'!"&amp;VLOOKUP(V$87,'List Values'!$C$3:$D$6,2,FALSE)&amp;ROW(V201))),IF(V$86&lt;&gt;"","Data Source Error",""))))</f>
        <v/>
      </c>
      <c r="Y201" s="2643"/>
      <c r="Z201" s="2644"/>
      <c r="AA201" s="2644"/>
      <c r="AB201" s="2645"/>
    </row>
    <row r="202" spans="1:28" ht="31.5" customHeight="1" outlineLevel="1">
      <c r="A202" s="512"/>
      <c r="B202" s="252"/>
      <c r="C202" s="2684" t="s">
        <v>726</v>
      </c>
      <c r="D202" s="2684"/>
      <c r="E202" s="2062"/>
      <c r="F202" s="2062"/>
      <c r="G202" s="636"/>
      <c r="H202" s="637"/>
      <c r="I202" s="187"/>
      <c r="J202" s="526"/>
      <c r="K202" s="900" t="str">
        <f ca="1">IF(OR($H$7&lt;2,K$197&lt;1),"",IF(J202&lt;&gt;"",J202,IFERROR(IF(INDIRECT("'"&amp;J$86&amp;"'!"&amp;VLOOKUP(J$87,'List Values'!$C$3:$D$6,2,FALSE)&amp;ROW(J202))="","",INDIRECT("'"&amp;J$86&amp;"'!"&amp;VLOOKUP(J$87,'List Values'!$C$3:$D$6,2,FALSE)&amp;ROW(J202))),IF(J$86&lt;&gt;"","Data Source Error",""))))</f>
        <v/>
      </c>
      <c r="L202" s="187"/>
      <c r="M202" s="526"/>
      <c r="N202" s="900" t="str">
        <f ca="1">IF(OR($H$7&lt;3,N$197&lt;1),"",IF(M202&lt;&gt;"",M202,IFERROR(IF(INDIRECT("'"&amp;M$86&amp;"'!"&amp;VLOOKUP(M$87,'List Values'!$C$3:$D$6,2,FALSE)&amp;ROW(M202))="","",INDIRECT("'"&amp;M$86&amp;"'!"&amp;VLOOKUP(M$87,'List Values'!$C$3:$D$6,2,FALSE)&amp;ROW(M202))),IF(M$86&lt;&gt;"","Data Source Error",""))))</f>
        <v>#</v>
      </c>
      <c r="O202" s="187"/>
      <c r="P202" s="526"/>
      <c r="Q202" s="900" t="str">
        <f ca="1">IF(OR($H$7&lt;4,Q$197&lt;1),"",IF(P202&lt;&gt;"",P202,IFERROR(IF(INDIRECT("'"&amp;P$86&amp;"'!"&amp;VLOOKUP(P$87,'List Values'!$C$3:$D$6,2,FALSE)&amp;ROW(P202))="","",INDIRECT("'"&amp;P$86&amp;"'!"&amp;VLOOKUP(P$87,'List Values'!$C$3:$D$6,2,FALSE)&amp;ROW(P202))),IF(P$86&lt;&gt;"","Data Source Error",""))))</f>
        <v/>
      </c>
      <c r="S202" s="526"/>
      <c r="T202" s="900" t="str">
        <f ca="1">IF(OR($H$7&lt;5,T$197&lt;1),"",IF(S202&lt;&gt;"",S202,IFERROR(IF(INDIRECT("'"&amp;S$86&amp;"'!"&amp;VLOOKUP(S$87,'List Values'!$C$3:$D$6,2,FALSE)&amp;ROW(S202))="","",INDIRECT("'"&amp;S$86&amp;"'!"&amp;VLOOKUP(S$87,'List Values'!$C$3:$D$6,2,FALSE)&amp;ROW(S202))),IF(S$86&lt;&gt;"","Data Source Error",""))))</f>
        <v/>
      </c>
      <c r="V202" s="526"/>
      <c r="W202" s="911" t="str">
        <f ca="1">IF(OR($H$7&lt;6,W$197&lt;1),"",IF(V202&lt;&gt;"",V202,IFERROR(IF(INDIRECT("'"&amp;V$86&amp;"'!"&amp;VLOOKUP(V$87,'List Values'!$C$3:$D$6,2,FALSE)&amp;ROW(V202))="","",INDIRECT("'"&amp;V$86&amp;"'!"&amp;VLOOKUP(V$87,'List Values'!$C$3:$D$6,2,FALSE)&amp;ROW(V202))),IF(V$86&lt;&gt;"","Data Source Error",""))))</f>
        <v/>
      </c>
      <c r="Y202" s="2643"/>
      <c r="Z202" s="2644"/>
      <c r="AA202" s="2644"/>
      <c r="AB202" s="2645"/>
    </row>
    <row r="203" spans="1:28" ht="31.5" customHeight="1" outlineLevel="1">
      <c r="A203" s="512"/>
      <c r="B203" s="252"/>
      <c r="C203" s="2684" t="s">
        <v>727</v>
      </c>
      <c r="D203" s="2684"/>
      <c r="E203" s="2062"/>
      <c r="F203" s="2062"/>
      <c r="G203" s="636"/>
      <c r="H203" s="637"/>
      <c r="I203" s="187"/>
      <c r="J203" s="568"/>
      <c r="K203" s="945" t="str">
        <f ca="1">IF(OR($H$7&lt;2,K$197&lt;1),"",IF(J203&lt;&gt;"",J203,IFERROR(IF(INDIRECT("'"&amp;J$86&amp;"'!"&amp;VLOOKUP(J$87,'List Values'!$C$3:$D$6,2,FALSE)&amp;ROW(J203))="","",INDIRECT("'"&amp;J$86&amp;"'!"&amp;VLOOKUP(J$87,'List Values'!$C$3:$D$6,2,FALSE)&amp;ROW(J203))*$H$6),IF(J$86&lt;&gt;"","Data Source Error",""))))</f>
        <v/>
      </c>
      <c r="L203" s="339"/>
      <c r="M203" s="568"/>
      <c r="N203" s="945" t="str">
        <f ca="1">IF(OR($H$7&lt;3,N$197&lt;1),"",IF(M203&lt;&gt;"",M203,IFERROR(IF(INDIRECT("'"&amp;M$86&amp;"'!"&amp;VLOOKUP(M$87,'List Values'!$C$3:$D$6,2,FALSE)&amp;ROW(M203))="","",INDIRECT("'"&amp;M$86&amp;"'!"&amp;VLOOKUP(M$87,'List Values'!$C$3:$D$6,2,FALSE)&amp;ROW(M203))*$H$6),IF(M$86&lt;&gt;"","Data Source Error",""))))</f>
        <v>Data Source Error</v>
      </c>
      <c r="O203" s="339"/>
      <c r="P203" s="568"/>
      <c r="Q203" s="945" t="str">
        <f ca="1">IF(OR($H$7&lt;4,Q$197&lt;1),"",IF(P203&lt;&gt;"",P203,IFERROR(IF(INDIRECT("'"&amp;P$86&amp;"'!"&amp;VLOOKUP(P$87,'List Values'!$C$3:$D$6,2,FALSE)&amp;ROW(P203))="","",INDIRECT("'"&amp;P$86&amp;"'!"&amp;VLOOKUP(P$87,'List Values'!$C$3:$D$6,2,FALSE)&amp;ROW(P203))*$H$6),IF(P$86&lt;&gt;"","Data Source Error",""))))</f>
        <v/>
      </c>
      <c r="R203" s="7"/>
      <c r="S203" s="568"/>
      <c r="T203" s="945" t="str">
        <f ca="1">IF(OR($H$7&lt;5,T$197&lt;1),"",IF(S203&lt;&gt;"",S203,IFERROR(IF(INDIRECT("'"&amp;S$86&amp;"'!"&amp;VLOOKUP(S$87,'List Values'!$C$3:$D$6,2,FALSE)&amp;ROW(S203))="","",INDIRECT("'"&amp;S$86&amp;"'!"&amp;VLOOKUP(S$87,'List Values'!$C$3:$D$6,2,FALSE)&amp;ROW(S203))*$H$6),IF(S$86&lt;&gt;"","Data Source Error",""))))</f>
        <v/>
      </c>
      <c r="U203" s="7"/>
      <c r="V203" s="568"/>
      <c r="W203" s="952" t="str">
        <f ca="1">IF(OR($H$7&lt;6,W$197&lt;1),"",IF(V203&lt;&gt;"",V203,IFERROR(IF(INDIRECT("'"&amp;V$86&amp;"'!"&amp;VLOOKUP(V$87,'List Values'!$C$3:$D$6,2,FALSE)&amp;ROW(V203))="","",INDIRECT("'"&amp;V$86&amp;"'!"&amp;VLOOKUP(V$87,'List Values'!$C$3:$D$6,2,FALSE)&amp;ROW(V203))*$H$6),IF(V$86&lt;&gt;"","Data Source Error",""))))</f>
        <v/>
      </c>
      <c r="Y203" s="2643"/>
      <c r="Z203" s="2644"/>
      <c r="AA203" s="2644"/>
      <c r="AB203" s="2645"/>
    </row>
    <row r="204" spans="1:28" ht="15.75" customHeight="1" outlineLevel="1">
      <c r="A204" s="512"/>
      <c r="B204" s="252"/>
      <c r="C204" s="2680" t="s">
        <v>732</v>
      </c>
      <c r="D204" s="2680"/>
      <c r="E204" s="2062"/>
      <c r="F204" s="2062"/>
      <c r="G204" s="636"/>
      <c r="H204" s="637"/>
      <c r="I204" s="187"/>
      <c r="J204" s="526"/>
      <c r="K204" s="900" t="str">
        <f ca="1">IF(OR($H$7&lt;2,K$197&lt;1),"",IF(J204&lt;&gt;"",J204,IFERROR(IF(INDIRECT("'"&amp;J$86&amp;"'!"&amp;VLOOKUP(J$87,'List Values'!$C$3:$D$6,2,FALSE)&amp;ROW(J204))="","",INDIRECT("'"&amp;J$86&amp;"'!"&amp;VLOOKUP(J$87,'List Values'!$C$3:$D$6,2,FALSE)&amp;ROW(J204))),IF(J$86&lt;&gt;"","Data Source Error",""))))</f>
        <v/>
      </c>
      <c r="L204" s="187"/>
      <c r="M204" s="526"/>
      <c r="N204" s="900">
        <f ca="1">IF(OR($H$7&lt;3,N$197&lt;1),"",IF(M204&lt;&gt;"",M204,IFERROR(IF(INDIRECT("'"&amp;M$86&amp;"'!"&amp;VLOOKUP(M$87,'List Values'!$C$3:$D$6,2,FALSE)&amp;ROW(M204))="","",INDIRECT("'"&amp;M$86&amp;"'!"&amp;VLOOKUP(M$87,'List Values'!$C$3:$D$6,2,FALSE)&amp;ROW(M204))),IF(M$86&lt;&gt;"","Data Source Error",""))))</f>
        <v>5</v>
      </c>
      <c r="O204" s="187"/>
      <c r="P204" s="526"/>
      <c r="Q204" s="900" t="str">
        <f ca="1">IF(OR($H$7&lt;4,Q$197&lt;1),"",IF(P204&lt;&gt;"",P204,IFERROR(IF(INDIRECT("'"&amp;P$86&amp;"'!"&amp;VLOOKUP(P$87,'List Values'!$C$3:$D$6,2,FALSE)&amp;ROW(P204))="","",INDIRECT("'"&amp;P$86&amp;"'!"&amp;VLOOKUP(P$87,'List Values'!$C$3:$D$6,2,FALSE)&amp;ROW(P204))),IF(P$86&lt;&gt;"","Data Source Error",""))))</f>
        <v/>
      </c>
      <c r="S204" s="526"/>
      <c r="T204" s="900" t="str">
        <f ca="1">IF(OR($H$7&lt;5,T$197&lt;1),"",IF(S204&lt;&gt;"",S204,IFERROR(IF(INDIRECT("'"&amp;S$86&amp;"'!"&amp;VLOOKUP(S$87,'List Values'!$C$3:$D$6,2,FALSE)&amp;ROW(S204))="","",INDIRECT("'"&amp;S$86&amp;"'!"&amp;VLOOKUP(S$87,'List Values'!$C$3:$D$6,2,FALSE)&amp;ROW(S204))),IF(S$86&lt;&gt;"","Data Source Error",""))))</f>
        <v/>
      </c>
      <c r="V204" s="526"/>
      <c r="W204" s="911" t="str">
        <f ca="1">IF(OR($H$7&lt;6,W$197&lt;1),"",IF(V204&lt;&gt;"",V204,IFERROR(IF(INDIRECT("'"&amp;V$86&amp;"'!"&amp;VLOOKUP(V$87,'List Values'!$C$3:$D$6,2,FALSE)&amp;ROW(V204))="","",INDIRECT("'"&amp;V$86&amp;"'!"&amp;VLOOKUP(V$87,'List Values'!$C$3:$D$6,2,FALSE)&amp;ROW(V204))),IF(V$86&lt;&gt;"","Data Source Error",""))))</f>
        <v/>
      </c>
      <c r="Y204" s="2643"/>
      <c r="Z204" s="2644"/>
      <c r="AA204" s="2644"/>
      <c r="AB204" s="2645"/>
    </row>
    <row r="205" spans="1:28" ht="31.5" customHeight="1" outlineLevel="1">
      <c r="A205" s="512"/>
      <c r="B205" s="252"/>
      <c r="C205" s="2684" t="s">
        <v>634</v>
      </c>
      <c r="D205" s="2684"/>
      <c r="E205" s="203"/>
      <c r="F205" s="203"/>
      <c r="G205" s="644"/>
      <c r="H205" s="645"/>
      <c r="I205" s="183"/>
      <c r="J205" s="553"/>
      <c r="K205" s="897" t="str">
        <f ca="1">IF(OR($H$7&lt;2,K$197&lt;1),"",IF(J205&lt;&gt;"",J205,IFERROR(IF(INDIRECT("'"&amp;J$86&amp;"'!"&amp;VLOOKUP(J$87,'List Values'!$C$3:$D$6,2,FALSE)&amp;ROW(J205))="","",INDIRECT("'"&amp;J$86&amp;"'!"&amp;VLOOKUP(J$87,'List Values'!$C$3:$D$6,2,FALSE)&amp;ROW(J205))),IF(J$86&lt;&gt;"","Data Source Error",""))))</f>
        <v/>
      </c>
      <c r="L205" s="183"/>
      <c r="M205" s="553"/>
      <c r="N205" s="897" t="str">
        <f ca="1">IF(OR($H$7&lt;3,N$197&lt;1),"",IF(M205&lt;&gt;"",M205,IFERROR(IF(INDIRECT("'"&amp;M$86&amp;"'!"&amp;VLOOKUP(M$87,'List Values'!$C$3:$D$6,2,FALSE)&amp;ROW(M205))="","",INDIRECT("'"&amp;M$86&amp;"'!"&amp;VLOOKUP(M$87,'List Values'!$C$3:$D$6,2,FALSE)&amp;ROW(M205))),IF(M$86&lt;&gt;"","Data Source Error",""))))</f>
        <v>No</v>
      </c>
      <c r="O205" s="183"/>
      <c r="P205" s="553"/>
      <c r="Q205" s="897" t="str">
        <f ca="1">IF(OR($H$7&lt;4,Q$197&lt;1),"",IF(P205&lt;&gt;"",P205,IFERROR(IF(INDIRECT("'"&amp;P$86&amp;"'!"&amp;VLOOKUP(P$87,'List Values'!$C$3:$D$6,2,FALSE)&amp;ROW(P205))="","",INDIRECT("'"&amp;P$86&amp;"'!"&amp;VLOOKUP(P$87,'List Values'!$C$3:$D$6,2,FALSE)&amp;ROW(P205))),IF(P$86&lt;&gt;"","Data Source Error",""))))</f>
        <v/>
      </c>
      <c r="S205" s="553"/>
      <c r="T205" s="897" t="str">
        <f ca="1">IF(OR($H$7&lt;5,T$197&lt;1),"",IF(S205&lt;&gt;"",S205,IFERROR(IF(INDIRECT("'"&amp;S$86&amp;"'!"&amp;VLOOKUP(S$87,'List Values'!$C$3:$D$6,2,FALSE)&amp;ROW(S205))="","",INDIRECT("'"&amp;S$86&amp;"'!"&amp;VLOOKUP(S$87,'List Values'!$C$3:$D$6,2,FALSE)&amp;ROW(S205))),IF(S$86&lt;&gt;"","Data Source Error",""))))</f>
        <v/>
      </c>
      <c r="V205" s="553"/>
      <c r="W205" s="908" t="str">
        <f ca="1">IF(OR($H$7&lt;6,W$197&lt;1),"",IF(V205&lt;&gt;"",V205,IFERROR(IF(INDIRECT("'"&amp;V$86&amp;"'!"&amp;VLOOKUP(V$87,'List Values'!$C$3:$D$6,2,FALSE)&amp;ROW(V205))="","",INDIRECT("'"&amp;V$86&amp;"'!"&amp;VLOOKUP(V$87,'List Values'!$C$3:$D$6,2,FALSE)&amp;ROW(V205))),IF(V$86&lt;&gt;"","Data Source Error",""))))</f>
        <v/>
      </c>
      <c r="Y205" s="2643"/>
      <c r="Z205" s="2644"/>
      <c r="AA205" s="2644"/>
      <c r="AB205" s="2645"/>
    </row>
    <row r="206" spans="1:28" ht="31.5" customHeight="1" outlineLevel="1">
      <c r="A206" s="512"/>
      <c r="B206" s="252"/>
      <c r="C206" s="2680" t="s">
        <v>2521</v>
      </c>
      <c r="D206" s="2680"/>
      <c r="E206" s="2062"/>
      <c r="F206" s="2062"/>
      <c r="G206" s="636"/>
      <c r="H206" s="637"/>
      <c r="I206" s="187"/>
      <c r="J206" s="619"/>
      <c r="K206" s="898" t="str">
        <f ca="1">IF(OR($H$7&lt;2,K$197&lt;1),"",IF(J206&lt;&gt;"",J206,IFERROR(IF(INDIRECT("'"&amp;J$86&amp;"'!"&amp;VLOOKUP(J$87,'List Values'!$C$3:$D$6,2,FALSE)&amp;ROW(J206))="","",INDIRECT("'"&amp;J$86&amp;"'!"&amp;VLOOKUP(J$87,'List Values'!$C$3:$D$6,2,FALSE)&amp;ROW(J206))),IF(J$86&lt;&gt;"","Data Source Error",""))))</f>
        <v/>
      </c>
      <c r="L206" s="621"/>
      <c r="M206" s="619"/>
      <c r="N206" s="898">
        <f ca="1">IF(OR($H$7&lt;3,N$197&lt;1),"",IF(M206&lt;&gt;"",M206,IFERROR(IF(INDIRECT("'"&amp;M$86&amp;"'!"&amp;VLOOKUP(M$87,'List Values'!$C$3:$D$6,2,FALSE)&amp;ROW(M206))="","",INDIRECT("'"&amp;M$86&amp;"'!"&amp;VLOOKUP(M$87,'List Values'!$C$3:$D$6,2,FALSE)&amp;ROW(M206))),IF(M$86&lt;&gt;"","Data Source Error",""))))</f>
        <v>0</v>
      </c>
      <c r="O206" s="621"/>
      <c r="P206" s="619"/>
      <c r="Q206" s="898" t="str">
        <f ca="1">IF(OR($H$7&lt;4,Q$197&lt;1),"",IF(P206&lt;&gt;"",P206,IFERROR(IF(INDIRECT("'"&amp;P$86&amp;"'!"&amp;VLOOKUP(P$87,'List Values'!$C$3:$D$6,2,FALSE)&amp;ROW(P206))="","",INDIRECT("'"&amp;P$86&amp;"'!"&amp;VLOOKUP(P$87,'List Values'!$C$3:$D$6,2,FALSE)&amp;ROW(P206))),IF(P$86&lt;&gt;"","Data Source Error",""))))</f>
        <v/>
      </c>
      <c r="R206" s="147"/>
      <c r="S206" s="619"/>
      <c r="T206" s="898" t="str">
        <f ca="1">IF(OR($H$7&lt;5,T$197&lt;1),"",IF(S206&lt;&gt;"",S206,IFERROR(IF(INDIRECT("'"&amp;S$86&amp;"'!"&amp;VLOOKUP(S$87,'List Values'!$C$3:$D$6,2,FALSE)&amp;ROW(S206))="","",INDIRECT("'"&amp;S$86&amp;"'!"&amp;VLOOKUP(S$87,'List Values'!$C$3:$D$6,2,FALSE)&amp;ROW(S206))),IF(S$86&lt;&gt;"","Data Source Error",""))))</f>
        <v/>
      </c>
      <c r="U206" s="147"/>
      <c r="V206" s="619"/>
      <c r="W206" s="909" t="str">
        <f ca="1">IF(OR($H$7&lt;6,W$197&lt;1),"",IF(V206&lt;&gt;"",V206,IFERROR(IF(INDIRECT("'"&amp;V$86&amp;"'!"&amp;VLOOKUP(V$87,'List Values'!$C$3:$D$6,2,FALSE)&amp;ROW(V206))="","",INDIRECT("'"&amp;V$86&amp;"'!"&amp;VLOOKUP(V$87,'List Values'!$C$3:$D$6,2,FALSE)&amp;ROW(V206))),IF(V$86&lt;&gt;"","Data Source Error",""))))</f>
        <v/>
      </c>
      <c r="Y206" s="2643"/>
      <c r="Z206" s="2644"/>
      <c r="AA206" s="2644"/>
      <c r="AB206" s="2645"/>
    </row>
    <row r="207" spans="1:28" ht="31.5" customHeight="1" outlineLevel="1">
      <c r="A207" s="512"/>
      <c r="B207" s="252"/>
      <c r="C207" s="2680" t="s">
        <v>2522</v>
      </c>
      <c r="D207" s="2680"/>
      <c r="E207" s="2062"/>
      <c r="F207" s="2062"/>
      <c r="G207" s="636"/>
      <c r="H207" s="637"/>
      <c r="I207" s="187"/>
      <c r="J207" s="619"/>
      <c r="K207" s="898" t="str">
        <f ca="1">IF(OR($H$7&lt;2,K$197&lt;1),"",IF(J207&lt;&gt;"",J207,IFERROR(IF(INDIRECT("'"&amp;J$86&amp;"'!"&amp;VLOOKUP(J$87,'List Values'!$C$3:$D$6,2,FALSE)&amp;ROW(J207))="","",INDIRECT("'"&amp;J$86&amp;"'!"&amp;VLOOKUP(J$87,'List Values'!$C$3:$D$6,2,FALSE)&amp;ROW(J207))),IF(J$86&lt;&gt;"","Data Source Error",""))))</f>
        <v/>
      </c>
      <c r="L207" s="621"/>
      <c r="M207" s="619"/>
      <c r="N207" s="898">
        <f ca="1">IF(OR($H$7&lt;3,N$197&lt;1),"",IF(M207&lt;&gt;"",M207,IFERROR(IF(INDIRECT("'"&amp;M$86&amp;"'!"&amp;VLOOKUP(M$87,'List Values'!$C$3:$D$6,2,FALSE)&amp;ROW(M207))="","",INDIRECT("'"&amp;M$86&amp;"'!"&amp;VLOOKUP(M$87,'List Values'!$C$3:$D$6,2,FALSE)&amp;ROW(M207))),IF(M$86&lt;&gt;"","Data Source Error",""))))</f>
        <v>0</v>
      </c>
      <c r="O207" s="621"/>
      <c r="P207" s="619"/>
      <c r="Q207" s="898" t="str">
        <f ca="1">IF(OR($H$7&lt;4,Q$197&lt;1),"",IF(P207&lt;&gt;"",P207,IFERROR(IF(INDIRECT("'"&amp;P$86&amp;"'!"&amp;VLOOKUP(P$87,'List Values'!$C$3:$D$6,2,FALSE)&amp;ROW(P207))="","",INDIRECT("'"&amp;P$86&amp;"'!"&amp;VLOOKUP(P$87,'List Values'!$C$3:$D$6,2,FALSE)&amp;ROW(P207))),IF(P$86&lt;&gt;"","Data Source Error",""))))</f>
        <v/>
      </c>
      <c r="R207" s="147"/>
      <c r="S207" s="619"/>
      <c r="T207" s="898" t="str">
        <f ca="1">IF(OR($H$7&lt;5,T$197&lt;1),"",IF(S207&lt;&gt;"",S207,IFERROR(IF(INDIRECT("'"&amp;S$86&amp;"'!"&amp;VLOOKUP(S$87,'List Values'!$C$3:$D$6,2,FALSE)&amp;ROW(S207))="","",INDIRECT("'"&amp;S$86&amp;"'!"&amp;VLOOKUP(S$87,'List Values'!$C$3:$D$6,2,FALSE)&amp;ROW(S207))),IF(S$86&lt;&gt;"","Data Source Error",""))))</f>
        <v/>
      </c>
      <c r="U207" s="147"/>
      <c r="V207" s="619"/>
      <c r="W207" s="909" t="str">
        <f ca="1">IF(OR($H$7&lt;6,W$197&lt;1),"",IF(V207&lt;&gt;"",V207,IFERROR(IF(INDIRECT("'"&amp;V$86&amp;"'!"&amp;VLOOKUP(V$87,'List Values'!$C$3:$D$6,2,FALSE)&amp;ROW(V207))="","",INDIRECT("'"&amp;V$86&amp;"'!"&amp;VLOOKUP(V$87,'List Values'!$C$3:$D$6,2,FALSE)&amp;ROW(V207))),IF(V$86&lt;&gt;"","Data Source Error",""))))</f>
        <v/>
      </c>
      <c r="Y207" s="2643"/>
      <c r="Z207" s="2644"/>
      <c r="AA207" s="2644"/>
      <c r="AB207" s="2645"/>
    </row>
    <row r="208" spans="1:28" ht="33.75" customHeight="1" outlineLevel="1">
      <c r="A208" s="512"/>
      <c r="B208" s="252"/>
      <c r="C208" s="2680" t="s">
        <v>253</v>
      </c>
      <c r="D208" s="2680"/>
      <c r="E208" s="2062"/>
      <c r="F208" s="2062"/>
      <c r="G208" s="636"/>
      <c r="H208" s="637"/>
      <c r="I208" s="187"/>
      <c r="J208" s="526"/>
      <c r="K208" s="900" t="str">
        <f ca="1">IF(OR($H$7&lt;2,K$197&lt;1),"",IF(J208&lt;&gt;"",J208,IFERROR(IF(INDIRECT("'"&amp;J$86&amp;"'!"&amp;VLOOKUP(J$87,'List Values'!$C$3:$D$6,2,FALSE)&amp;ROW(J208))="","",INDIRECT("'"&amp;J$86&amp;"'!"&amp;VLOOKUP(J$87,'List Values'!$C$3:$D$6,2,FALSE)&amp;ROW(J208))),IF(J$86&lt;&gt;"","Data Source Error",""))))</f>
        <v/>
      </c>
      <c r="L208" s="187"/>
      <c r="M208" s="526"/>
      <c r="N208" s="900" t="str">
        <f ca="1">IF(OR($H$7&lt;3,N$197&lt;1),"",IF(M208&lt;&gt;"",M208,IFERROR(IF(INDIRECT("'"&amp;M$86&amp;"'!"&amp;VLOOKUP(M$87,'List Values'!$C$3:$D$6,2,FALSE)&amp;ROW(M208))="","",INDIRECT("'"&amp;M$86&amp;"'!"&amp;VLOOKUP(M$87,'List Values'!$C$3:$D$6,2,FALSE)&amp;ROW(M208))),IF(M$86&lt;&gt;"","Data Source Error",""))))</f>
        <v>Route-based</v>
      </c>
      <c r="O208" s="187"/>
      <c r="P208" s="526"/>
      <c r="Q208" s="900" t="str">
        <f ca="1">IF(OR($H$7&lt;4,Q$197&lt;1),"",IF(P208&lt;&gt;"",P208,IFERROR(IF(INDIRECT("'"&amp;P$86&amp;"'!"&amp;VLOOKUP(P$87,'List Values'!$C$3:$D$6,2,FALSE)&amp;ROW(P208))="","",INDIRECT("'"&amp;P$86&amp;"'!"&amp;VLOOKUP(P$87,'List Values'!$C$3:$D$6,2,FALSE)&amp;ROW(P208))),IF(P$86&lt;&gt;"","Data Source Error",""))))</f>
        <v/>
      </c>
      <c r="S208" s="526"/>
      <c r="T208" s="900" t="str">
        <f ca="1">IF(OR($H$7&lt;5,T$197&lt;1),"",IF(S208&lt;&gt;"",S208,IFERROR(IF(INDIRECT("'"&amp;S$86&amp;"'!"&amp;VLOOKUP(S$87,'List Values'!$C$3:$D$6,2,FALSE)&amp;ROW(S208))="","",INDIRECT("'"&amp;S$86&amp;"'!"&amp;VLOOKUP(S$87,'List Values'!$C$3:$D$6,2,FALSE)&amp;ROW(S208))),IF(S$86&lt;&gt;"","Data Source Error",""))))</f>
        <v/>
      </c>
      <c r="V208" s="526"/>
      <c r="W208" s="911" t="str">
        <f ca="1">IF(OR($H$7&lt;6,W$197&lt;1),"",IF(V208&lt;&gt;"",V208,IFERROR(IF(INDIRECT("'"&amp;V$86&amp;"'!"&amp;VLOOKUP(V$87,'List Values'!$C$3:$D$6,2,FALSE)&amp;ROW(V208))="","",INDIRECT("'"&amp;V$86&amp;"'!"&amp;VLOOKUP(V$87,'List Values'!$C$3:$D$6,2,FALSE)&amp;ROW(V208))),IF(V$86&lt;&gt;"","Data Source Error",""))))</f>
        <v/>
      </c>
      <c r="Y208" s="2643"/>
      <c r="Z208" s="2644"/>
      <c r="AA208" s="2644"/>
      <c r="AB208" s="2645"/>
    </row>
    <row r="209" spans="1:28" ht="15.75" customHeight="1" outlineLevel="1">
      <c r="A209" s="512"/>
      <c r="B209" s="252"/>
      <c r="C209" s="2684" t="s">
        <v>2529</v>
      </c>
      <c r="D209" s="2684"/>
      <c r="E209" s="2062"/>
      <c r="F209" s="2062"/>
      <c r="G209" s="636"/>
      <c r="H209" s="637"/>
      <c r="I209" s="187"/>
      <c r="J209" s="580"/>
      <c r="K209" s="900" t="str">
        <f ca="1">IF(OR($H$7&lt;2,K$197&lt;1),"",IF(J209&lt;&gt;"",J209,IFERROR(IF(INDIRECT("'"&amp;J$86&amp;"'!"&amp;VLOOKUP(J$87,'List Values'!$C$3:$D$6,2,FALSE)&amp;ROW(J209))="","",INDIRECT("'"&amp;J$86&amp;"'!"&amp;VLOOKUP(J$87,'List Values'!$C$3:$D$6,2,FALSE)&amp;ROW(J209))),IF(J$86&lt;&gt;"","Data Source Error",""))))</f>
        <v/>
      </c>
      <c r="L209" s="187"/>
      <c r="M209" s="580"/>
      <c r="N209" s="900">
        <f ca="1">IF(OR($H$7&lt;3,N$197&lt;1),"",IF(M209&lt;&gt;"",M209,IFERROR(IF(INDIRECT("'"&amp;M$86&amp;"'!"&amp;VLOOKUP(M$87,'List Values'!$C$3:$D$6,2,FALSE)&amp;ROW(M209))="","",INDIRECT("'"&amp;M$86&amp;"'!"&amp;VLOOKUP(M$87,'List Values'!$C$3:$D$6,2,FALSE)&amp;ROW(M209))),IF(M$86&lt;&gt;"","Data Source Error",""))))</f>
        <v>1</v>
      </c>
      <c r="O209" s="187"/>
      <c r="P209" s="580"/>
      <c r="Q209" s="900" t="str">
        <f ca="1">IF(OR($H$7&lt;4,Q$197&lt;1),"",IF(P209&lt;&gt;"",P209,IFERROR(IF(INDIRECT("'"&amp;P$86&amp;"'!"&amp;VLOOKUP(P$87,'List Values'!$C$3:$D$6,2,FALSE)&amp;ROW(P209))="","",INDIRECT("'"&amp;P$86&amp;"'!"&amp;VLOOKUP(P$87,'List Values'!$C$3:$D$6,2,FALSE)&amp;ROW(P209))),IF(P$86&lt;&gt;"","Data Source Error",""))))</f>
        <v/>
      </c>
      <c r="S209" s="580"/>
      <c r="T209" s="900" t="str">
        <f ca="1">IF(OR($H$7&lt;5,T$197&lt;1),"",IF(S209&lt;&gt;"",S209,IFERROR(IF(INDIRECT("'"&amp;S$86&amp;"'!"&amp;VLOOKUP(S$87,'List Values'!$C$3:$D$6,2,FALSE)&amp;ROW(S209))="","",INDIRECT("'"&amp;S$86&amp;"'!"&amp;VLOOKUP(S$87,'List Values'!$C$3:$D$6,2,FALSE)&amp;ROW(S209))),IF(S$86&lt;&gt;"","Data Source Error",""))))</f>
        <v/>
      </c>
      <c r="V209" s="580"/>
      <c r="W209" s="911" t="str">
        <f ca="1">IF(OR($H$7&lt;6,W$197&lt;1),"",IF(V209&lt;&gt;"",V209,IFERROR(IF(INDIRECT("'"&amp;V$86&amp;"'!"&amp;VLOOKUP(V$87,'List Values'!$C$3:$D$6,2,FALSE)&amp;ROW(V209))="","",INDIRECT("'"&amp;V$86&amp;"'!"&amp;VLOOKUP(V$87,'List Values'!$C$3:$D$6,2,FALSE)&amp;ROW(V209))),IF(V$86&lt;&gt;"","Data Source Error",""))))</f>
        <v/>
      </c>
      <c r="Y209" s="2643"/>
      <c r="Z209" s="2644"/>
      <c r="AA209" s="2644"/>
      <c r="AB209" s="2645"/>
    </row>
    <row r="210" spans="1:28" ht="33.75" customHeight="1" outlineLevel="1">
      <c r="A210" s="512"/>
      <c r="B210" s="252"/>
      <c r="C210" s="2680" t="s">
        <v>2523</v>
      </c>
      <c r="D210" s="2680"/>
      <c r="E210" s="2062"/>
      <c r="F210" s="2062"/>
      <c r="G210" s="636"/>
      <c r="H210" s="637"/>
      <c r="I210" s="187"/>
      <c r="J210" s="580"/>
      <c r="K210" s="900" t="str">
        <f ca="1">IF(OR($H$7&lt;2,K$197&lt;1),"",IF(J210&lt;&gt;"",J210,IFERROR(IF(INDIRECT("'"&amp;J$86&amp;"'!"&amp;VLOOKUP(J$87,'List Values'!$C$3:$D$6,2,FALSE)&amp;ROW(J210))="","",INDIRECT("'"&amp;J$86&amp;"'!"&amp;VLOOKUP(J$87,'List Values'!$C$3:$D$6,2,FALSE)&amp;ROW(J210))),IF(J$86&lt;&gt;"","Data Source Error",""))))</f>
        <v/>
      </c>
      <c r="L210" s="187"/>
      <c r="M210" s="580"/>
      <c r="N210" s="900" t="str">
        <f ca="1">IF(OR($H$7&lt;3,N$197&lt;1),"",IF(M210&lt;&gt;"",M210,IFERROR(IF(INDIRECT("'"&amp;M$86&amp;"'!"&amp;VLOOKUP(M$87,'List Values'!$C$3:$D$6,2,FALSE)&amp;ROW(M210))="","",INDIRECT("'"&amp;M$86&amp;"'!"&amp;VLOOKUP(M$87,'List Values'!$C$3:$D$6,2,FALSE)&amp;ROW(M210))),IF(M$86&lt;&gt;"","Data Source Error",""))))</f>
        <v>Transport team - Driver</v>
      </c>
      <c r="O210" s="187"/>
      <c r="P210" s="580"/>
      <c r="Q210" s="900" t="str">
        <f ca="1">IF(OR($H$7&lt;4,Q$197&lt;1),"",IF(P210&lt;&gt;"",P210,IFERROR(IF(INDIRECT("'"&amp;P$86&amp;"'!"&amp;VLOOKUP(P$87,'List Values'!$C$3:$D$6,2,FALSE)&amp;ROW(P210))="","",INDIRECT("'"&amp;P$86&amp;"'!"&amp;VLOOKUP(P$87,'List Values'!$C$3:$D$6,2,FALSE)&amp;ROW(P210))),IF(P$86&lt;&gt;"","Data Source Error",""))))</f>
        <v/>
      </c>
      <c r="S210" s="580"/>
      <c r="T210" s="900" t="str">
        <f ca="1">IF(OR($H$7&lt;5,T$197&lt;1),"",IF(S210&lt;&gt;"",S210,IFERROR(IF(INDIRECT("'"&amp;S$86&amp;"'!"&amp;VLOOKUP(S$87,'List Values'!$C$3:$D$6,2,FALSE)&amp;ROW(S210))="","",INDIRECT("'"&amp;S$86&amp;"'!"&amp;VLOOKUP(S$87,'List Values'!$C$3:$D$6,2,FALSE)&amp;ROW(S210))),IF(S$86&lt;&gt;"","Data Source Error",""))))</f>
        <v/>
      </c>
      <c r="V210" s="580"/>
      <c r="W210" s="911" t="str">
        <f ca="1">IF(OR($H$7&lt;6,W$197&lt;1),"",IF(V210&lt;&gt;"",V210,IFERROR(IF(INDIRECT("'"&amp;V$86&amp;"'!"&amp;VLOOKUP(V$87,'List Values'!$C$3:$D$6,2,FALSE)&amp;ROW(V210))="","",INDIRECT("'"&amp;V$86&amp;"'!"&amp;VLOOKUP(V$87,'List Values'!$C$3:$D$6,2,FALSE)&amp;ROW(V210))),IF(V$86&lt;&gt;"","Data Source Error",""))))</f>
        <v/>
      </c>
      <c r="Y210" s="2643"/>
      <c r="Z210" s="2644"/>
      <c r="AA210" s="2644"/>
      <c r="AB210" s="2645"/>
    </row>
    <row r="211" spans="1:28" ht="15.75" customHeight="1" outlineLevel="1">
      <c r="A211" s="512"/>
      <c r="B211" s="252"/>
      <c r="C211" s="2680" t="s">
        <v>2524</v>
      </c>
      <c r="D211" s="2680"/>
      <c r="E211" s="2062"/>
      <c r="F211" s="2062"/>
      <c r="G211" s="636"/>
      <c r="H211" s="637"/>
      <c r="I211" s="187"/>
      <c r="J211" s="580"/>
      <c r="K211" s="900" t="str">
        <f ca="1">IF(OR($H$7&lt;2,K$197&lt;1),"",IF(J211&lt;&gt;"",J211,IFERROR(IF(INDIRECT("'"&amp;J$86&amp;"'!"&amp;VLOOKUP(J$87,'List Values'!$C$3:$D$6,2,FALSE)&amp;ROW(J211))="","",INDIRECT("'"&amp;J$86&amp;"'!"&amp;VLOOKUP(J$87,'List Values'!$C$3:$D$6,2,FALSE)&amp;ROW(J211))),IF(J$86&lt;&gt;"","Data Source Error",""))))</f>
        <v/>
      </c>
      <c r="L211" s="187"/>
      <c r="M211" s="580"/>
      <c r="N211" s="900">
        <f ca="1">IF(OR($H$7&lt;3,N$197&lt;1),"",IF(M211&lt;&gt;"",M211,IFERROR(IF(INDIRECT("'"&amp;M$86&amp;"'!"&amp;VLOOKUP(M$87,'List Values'!$C$3:$D$6,2,FALSE)&amp;ROW(M211))="","",INDIRECT("'"&amp;M$86&amp;"'!"&amp;VLOOKUP(M$87,'List Values'!$C$3:$D$6,2,FALSE)&amp;ROW(M211))),IF(M$86&lt;&gt;"","Data Source Error",""))))</f>
        <v>1</v>
      </c>
      <c r="O211" s="187"/>
      <c r="P211" s="580"/>
      <c r="Q211" s="900" t="str">
        <f ca="1">IF(OR($H$7&lt;4,Q$197&lt;1),"",IF(P211&lt;&gt;"",P211,IFERROR(IF(INDIRECT("'"&amp;P$86&amp;"'!"&amp;VLOOKUP(P$87,'List Values'!$C$3:$D$6,2,FALSE)&amp;ROW(P211))="","",INDIRECT("'"&amp;P$86&amp;"'!"&amp;VLOOKUP(P$87,'List Values'!$C$3:$D$6,2,FALSE)&amp;ROW(P211))),IF(P$86&lt;&gt;"","Data Source Error",""))))</f>
        <v/>
      </c>
      <c r="S211" s="580"/>
      <c r="T211" s="900" t="str">
        <f ca="1">IF(OR($H$7&lt;5,T$197&lt;1),"",IF(S211&lt;&gt;"",S211,IFERROR(IF(INDIRECT("'"&amp;S$86&amp;"'!"&amp;VLOOKUP(S$87,'List Values'!$C$3:$D$6,2,FALSE)&amp;ROW(S211))="","",INDIRECT("'"&amp;S$86&amp;"'!"&amp;VLOOKUP(S$87,'List Values'!$C$3:$D$6,2,FALSE)&amp;ROW(S211))),IF(S$86&lt;&gt;"","Data Source Error",""))))</f>
        <v/>
      </c>
      <c r="V211" s="580"/>
      <c r="W211" s="911" t="str">
        <f ca="1">IF(OR($H$7&lt;6,W$197&lt;1),"",IF(V211&lt;&gt;"",V211,IFERROR(IF(INDIRECT("'"&amp;V$86&amp;"'!"&amp;VLOOKUP(V$87,'List Values'!$C$3:$D$6,2,FALSE)&amp;ROW(V211))="","",INDIRECT("'"&amp;V$86&amp;"'!"&amp;VLOOKUP(V$87,'List Values'!$C$3:$D$6,2,FALSE)&amp;ROW(V211))),IF(V$86&lt;&gt;"","Data Source Error",""))))</f>
        <v/>
      </c>
      <c r="Y211" s="2643"/>
      <c r="Z211" s="2644"/>
      <c r="AA211" s="2644"/>
      <c r="AB211" s="2645"/>
    </row>
    <row r="212" spans="1:28" ht="15.75" customHeight="1" outlineLevel="1">
      <c r="A212" s="512"/>
      <c r="B212" s="252"/>
      <c r="C212" s="2684" t="s">
        <v>2525</v>
      </c>
      <c r="D212" s="2684"/>
      <c r="E212" s="2062"/>
      <c r="F212" s="2062"/>
      <c r="G212" s="636"/>
      <c r="H212" s="637"/>
      <c r="I212" s="187"/>
      <c r="J212" s="580"/>
      <c r="K212" s="900" t="str">
        <f ca="1">IF(OR($H$7&lt;2,K$197&lt;1),"",IF(J212&lt;&gt;"",J212,IFERROR(IF(INDIRECT("'"&amp;J$86&amp;"'!"&amp;VLOOKUP(J$87,'List Values'!$C$3:$D$6,2,FALSE)&amp;ROW(J212))="","",INDIRECT("'"&amp;J$86&amp;"'!"&amp;VLOOKUP(J$87,'List Values'!$C$3:$D$6,2,FALSE)&amp;ROW(J212))),IF(J$86&lt;&gt;"","Data Source Error",""))))</f>
        <v/>
      </c>
      <c r="L212" s="187"/>
      <c r="M212" s="580"/>
      <c r="N212" s="900" t="str">
        <f ca="1">IF(OR($H$7&lt;3,N$197&lt;1),"",IF(M212&lt;&gt;"",M212,IFERROR(IF(INDIRECT("'"&amp;M$86&amp;"'!"&amp;VLOOKUP(M$87,'List Values'!$C$3:$D$6,2,FALSE)&amp;ROW(M212))="","",INDIRECT("'"&amp;M$86&amp;"'!"&amp;VLOOKUP(M$87,'List Values'!$C$3:$D$6,2,FALSE)&amp;ROW(M212))),IF(M$86&lt;&gt;"","Data Source Error",""))))</f>
        <v>#</v>
      </c>
      <c r="O212" s="187"/>
      <c r="P212" s="580"/>
      <c r="Q212" s="900" t="str">
        <f ca="1">IF(OR($H$7&lt;4,Q$197&lt;1),"",IF(P212&lt;&gt;"",P212,IFERROR(IF(INDIRECT("'"&amp;P$86&amp;"'!"&amp;VLOOKUP(P$87,'List Values'!$C$3:$D$6,2,FALSE)&amp;ROW(P212))="","",INDIRECT("'"&amp;P$86&amp;"'!"&amp;VLOOKUP(P$87,'List Values'!$C$3:$D$6,2,FALSE)&amp;ROW(P212))),IF(P$86&lt;&gt;"","Data Source Error",""))))</f>
        <v/>
      </c>
      <c r="S212" s="580"/>
      <c r="T212" s="900" t="str">
        <f ca="1">IF(OR($H$7&lt;5,T$197&lt;1),"",IF(S212&lt;&gt;"",S212,IFERROR(IF(INDIRECT("'"&amp;S$86&amp;"'!"&amp;VLOOKUP(S$87,'List Values'!$C$3:$D$6,2,FALSE)&amp;ROW(S212))="","",INDIRECT("'"&amp;S$86&amp;"'!"&amp;VLOOKUP(S$87,'List Values'!$C$3:$D$6,2,FALSE)&amp;ROW(S212))),IF(S$86&lt;&gt;"","Data Source Error",""))))</f>
        <v/>
      </c>
      <c r="V212" s="580"/>
      <c r="W212" s="911" t="str">
        <f ca="1">IF(OR($H$7&lt;6,W$197&lt;1),"",IF(V212&lt;&gt;"",V212,IFERROR(IF(INDIRECT("'"&amp;V$86&amp;"'!"&amp;VLOOKUP(V$87,'List Values'!$C$3:$D$6,2,FALSE)&amp;ROW(V212))="","",INDIRECT("'"&amp;V$86&amp;"'!"&amp;VLOOKUP(V$87,'List Values'!$C$3:$D$6,2,FALSE)&amp;ROW(V212))),IF(V$86&lt;&gt;"","Data Source Error",""))))</f>
        <v/>
      </c>
      <c r="Y212" s="2643"/>
      <c r="Z212" s="2644"/>
      <c r="AA212" s="2644"/>
      <c r="AB212" s="2645"/>
    </row>
    <row r="213" spans="1:28" ht="31.5" customHeight="1" outlineLevel="1">
      <c r="A213" s="512"/>
      <c r="B213" s="252"/>
      <c r="C213" s="2680" t="s">
        <v>2526</v>
      </c>
      <c r="D213" s="2680"/>
      <c r="E213" s="2062"/>
      <c r="F213" s="2062"/>
      <c r="G213" s="636"/>
      <c r="H213" s="637"/>
      <c r="I213" s="187"/>
      <c r="J213" s="580"/>
      <c r="K213" s="900" t="str">
        <f ca="1">IF(OR($H$7&lt;2,K$197&lt;1),"",IF(J213&lt;&gt;"",J213,IFERROR(IF(INDIRECT("'"&amp;J$86&amp;"'!"&amp;VLOOKUP(J$87,'List Values'!$C$3:$D$6,2,FALSE)&amp;ROW(J213))="","",INDIRECT("'"&amp;J$86&amp;"'!"&amp;VLOOKUP(J$87,'List Values'!$C$3:$D$6,2,FALSE)&amp;ROW(J213))),IF(J$86&lt;&gt;"","Data Source Error",""))))</f>
        <v/>
      </c>
      <c r="L213" s="187"/>
      <c r="M213" s="580"/>
      <c r="N213" s="900">
        <f ca="1">IF(OR($H$7&lt;3,N$197&lt;1),"",IF(M213&lt;&gt;"",M213,IFERROR(IF(INDIRECT("'"&amp;M$86&amp;"'!"&amp;VLOOKUP(M$87,'List Values'!$C$3:$D$6,2,FALSE)&amp;ROW(M213))="","",INDIRECT("'"&amp;M$86&amp;"'!"&amp;VLOOKUP(M$87,'List Values'!$C$3:$D$6,2,FALSE)&amp;ROW(M213))),IF(M$86&lt;&gt;"","Data Source Error",""))))</f>
        <v>210</v>
      </c>
      <c r="O213" s="187"/>
      <c r="P213" s="580"/>
      <c r="Q213" s="900" t="str">
        <f ca="1">IF(OR($H$7&lt;4,Q$197&lt;1),"",IF(P213&lt;&gt;"",P213,IFERROR(IF(INDIRECT("'"&amp;P$86&amp;"'!"&amp;VLOOKUP(P$87,'List Values'!$C$3:$D$6,2,FALSE)&amp;ROW(P213))="","",INDIRECT("'"&amp;P$86&amp;"'!"&amp;VLOOKUP(P$87,'List Values'!$C$3:$D$6,2,FALSE)&amp;ROW(P213))),IF(P$86&lt;&gt;"","Data Source Error",""))))</f>
        <v/>
      </c>
      <c r="S213" s="580"/>
      <c r="T213" s="900" t="str">
        <f ca="1">IF(OR($H$7&lt;5,T$197&lt;1),"",IF(S213&lt;&gt;"",S213,IFERROR(IF(INDIRECT("'"&amp;S$86&amp;"'!"&amp;VLOOKUP(S$87,'List Values'!$C$3:$D$6,2,FALSE)&amp;ROW(S213))="","",INDIRECT("'"&amp;S$86&amp;"'!"&amp;VLOOKUP(S$87,'List Values'!$C$3:$D$6,2,FALSE)&amp;ROW(S213))),IF(S$86&lt;&gt;"","Data Source Error",""))))</f>
        <v/>
      </c>
      <c r="V213" s="580"/>
      <c r="W213" s="911" t="str">
        <f ca="1">IF(OR($H$7&lt;6,W$197&lt;1),"",IF(V213&lt;&gt;"",V213,IFERROR(IF(INDIRECT("'"&amp;V$86&amp;"'!"&amp;VLOOKUP(V$87,'List Values'!$C$3:$D$6,2,FALSE)&amp;ROW(V213))="","",INDIRECT("'"&amp;V$86&amp;"'!"&amp;VLOOKUP(V$87,'List Values'!$C$3:$D$6,2,FALSE)&amp;ROW(V213))),IF(V$86&lt;&gt;"","Data Source Error",""))))</f>
        <v/>
      </c>
      <c r="Y213" s="2643"/>
      <c r="Z213" s="2644"/>
      <c r="AA213" s="2644"/>
      <c r="AB213" s="2645"/>
    </row>
    <row r="214" spans="1:28" ht="41.15" customHeight="1" outlineLevel="1">
      <c r="A214" s="512"/>
      <c r="B214" s="252"/>
      <c r="C214" s="2680" t="s">
        <v>2527</v>
      </c>
      <c r="D214" s="2680"/>
      <c r="E214" s="2062"/>
      <c r="F214" s="2062"/>
      <c r="G214" s="636"/>
      <c r="H214" s="637"/>
      <c r="I214" s="187"/>
      <c r="J214" s="580"/>
      <c r="K214" s="900" t="str">
        <f ca="1">IF(OR($H$7&lt;2,K$197&lt;1),"",IF(J214&lt;&gt;"",J214,IFERROR(IF(INDIRECT("'"&amp;J$86&amp;"'!"&amp;VLOOKUP(J$87,'List Values'!$C$3:$D$6,2,FALSE)&amp;ROW(J214))="","",INDIRECT("'"&amp;J$86&amp;"'!"&amp;VLOOKUP(J$87,'List Values'!$C$3:$D$6,2,FALSE)&amp;ROW(J214))),IF(J$86&lt;&gt;"","Data Source Error",""))))</f>
        <v/>
      </c>
      <c r="L214" s="187"/>
      <c r="M214" s="580"/>
      <c r="N214" s="900">
        <f ca="1">IF(OR($H$7&lt;3,N$197&lt;1),"",IF(M214&lt;&gt;"",M214,IFERROR(IF(INDIRECT("'"&amp;M$86&amp;"'!"&amp;VLOOKUP(M$87,'List Values'!$C$3:$D$6,2,FALSE)&amp;ROW(M214))="","",INDIRECT("'"&amp;M$86&amp;"'!"&amp;VLOOKUP(M$87,'List Values'!$C$3:$D$6,2,FALSE)&amp;ROW(M214))),IF(M$86&lt;&gt;"","Data Source Error",""))))</f>
        <v>0</v>
      </c>
      <c r="O214" s="187"/>
      <c r="P214" s="580"/>
      <c r="Q214" s="900" t="str">
        <f ca="1">IF(OR($H$7&lt;4,Q$197&lt;1),"",IF(P214&lt;&gt;"",P214,IFERROR(IF(INDIRECT("'"&amp;P$86&amp;"'!"&amp;VLOOKUP(P$87,'List Values'!$C$3:$D$6,2,FALSE)&amp;ROW(P214))="","",INDIRECT("'"&amp;P$86&amp;"'!"&amp;VLOOKUP(P$87,'List Values'!$C$3:$D$6,2,FALSE)&amp;ROW(P214))),IF(P$86&lt;&gt;"","Data Source Error",""))))</f>
        <v/>
      </c>
      <c r="S214" s="580"/>
      <c r="T214" s="900" t="str">
        <f ca="1">IF(OR($H$7&lt;5,T$197&lt;1),"",IF(S214&lt;&gt;"",S214,IFERROR(IF(INDIRECT("'"&amp;S$86&amp;"'!"&amp;VLOOKUP(S$87,'List Values'!$C$3:$D$6,2,FALSE)&amp;ROW(S214))="","",INDIRECT("'"&amp;S$86&amp;"'!"&amp;VLOOKUP(S$87,'List Values'!$C$3:$D$6,2,FALSE)&amp;ROW(S214))),IF(S$86&lt;&gt;"","Data Source Error",""))))</f>
        <v/>
      </c>
      <c r="V214" s="580"/>
      <c r="W214" s="911" t="str">
        <f ca="1">IF(OR($H$7&lt;6,W$197&lt;1),"",IF(V214&lt;&gt;"",V214,IFERROR(IF(INDIRECT("'"&amp;V$86&amp;"'!"&amp;VLOOKUP(V$87,'List Values'!$C$3:$D$6,2,FALSE)&amp;ROW(V214))="","",INDIRECT("'"&amp;V$86&amp;"'!"&amp;VLOOKUP(V$87,'List Values'!$C$3:$D$6,2,FALSE)&amp;ROW(V214))),IF(V$86&lt;&gt;"","Data Source Error",""))))</f>
        <v/>
      </c>
      <c r="Y214" s="2643"/>
      <c r="Z214" s="2644"/>
      <c r="AA214" s="2644"/>
      <c r="AB214" s="2645"/>
    </row>
    <row r="215" spans="1:28" ht="31.5" customHeight="1" outlineLevel="1">
      <c r="A215" s="512"/>
      <c r="B215" s="252"/>
      <c r="C215" s="2680" t="s">
        <v>2528</v>
      </c>
      <c r="D215" s="2680"/>
      <c r="E215" s="2062"/>
      <c r="F215" s="2062"/>
      <c r="G215" s="636"/>
      <c r="H215" s="637"/>
      <c r="I215" s="187"/>
      <c r="J215" s="580"/>
      <c r="K215" s="900" t="str">
        <f ca="1">IF(OR($H$7&lt;2,K$197&lt;1),"",IF(J215&lt;&gt;"",J215,IFERROR(IF(INDIRECT("'"&amp;J$86&amp;"'!"&amp;VLOOKUP(J$87,'List Values'!$C$3:$D$6,2,FALSE)&amp;ROW(J215))="","",INDIRECT("'"&amp;J$86&amp;"'!"&amp;VLOOKUP(J$87,'List Values'!$C$3:$D$6,2,FALSE)&amp;ROW(J215))),IF(J$86&lt;&gt;"","Data Source Error",""))))</f>
        <v/>
      </c>
      <c r="L215" s="187"/>
      <c r="M215" s="580"/>
      <c r="N215" s="900">
        <f ca="1">IF(OR($H$7&lt;3,N$197&lt;1),"",IF(M215&lt;&gt;"",M215,IFERROR(IF(INDIRECT("'"&amp;M$86&amp;"'!"&amp;VLOOKUP(M$87,'List Values'!$C$3:$D$6,2,FALSE)&amp;ROW(M215))="","",INDIRECT("'"&amp;M$86&amp;"'!"&amp;VLOOKUP(M$87,'List Values'!$C$3:$D$6,2,FALSE)&amp;ROW(M215))),IF(M$86&lt;&gt;"","Data Source Error",""))))</f>
        <v>0</v>
      </c>
      <c r="O215" s="187"/>
      <c r="P215" s="580"/>
      <c r="Q215" s="900" t="str">
        <f ca="1">IF(OR($H$7&lt;4,Q$197&lt;1),"",IF(P215&lt;&gt;"",P215,IFERROR(IF(INDIRECT("'"&amp;P$86&amp;"'!"&amp;VLOOKUP(P$87,'List Values'!$C$3:$D$6,2,FALSE)&amp;ROW(P215))="","",INDIRECT("'"&amp;P$86&amp;"'!"&amp;VLOOKUP(P$87,'List Values'!$C$3:$D$6,2,FALSE)&amp;ROW(P215))),IF(P$86&lt;&gt;"","Data Source Error",""))))</f>
        <v/>
      </c>
      <c r="S215" s="580"/>
      <c r="T215" s="900" t="str">
        <f ca="1">IF(OR($H$7&lt;5,T$197&lt;1),"",IF(S215&lt;&gt;"",S215,IFERROR(IF(INDIRECT("'"&amp;S$86&amp;"'!"&amp;VLOOKUP(S$87,'List Values'!$C$3:$D$6,2,FALSE)&amp;ROW(S215))="","",INDIRECT("'"&amp;S$86&amp;"'!"&amp;VLOOKUP(S$87,'List Values'!$C$3:$D$6,2,FALSE)&amp;ROW(S215))),IF(S$86&lt;&gt;"","Data Source Error",""))))</f>
        <v/>
      </c>
      <c r="V215" s="580"/>
      <c r="W215" s="911" t="str">
        <f ca="1">IF(OR($H$7&lt;6,W$197&lt;1),"",IF(V215&lt;&gt;"",V215,IFERROR(IF(INDIRECT("'"&amp;V$86&amp;"'!"&amp;VLOOKUP(V$87,'List Values'!$C$3:$D$6,2,FALSE)&amp;ROW(V215))="","",INDIRECT("'"&amp;V$86&amp;"'!"&amp;VLOOKUP(V$87,'List Values'!$C$3:$D$6,2,FALSE)&amp;ROW(V215))),IF(V$86&lt;&gt;"","Data Source Error",""))))</f>
        <v/>
      </c>
      <c r="Y215" s="2643"/>
      <c r="Z215" s="2644"/>
      <c r="AA215" s="2644"/>
      <c r="AB215" s="2645"/>
    </row>
    <row r="216" spans="1:28" ht="15.75" customHeight="1" outlineLevel="1">
      <c r="A216" s="512"/>
      <c r="B216" s="252"/>
      <c r="C216" s="2680" t="s">
        <v>650</v>
      </c>
      <c r="D216" s="2680"/>
      <c r="E216" s="2062"/>
      <c r="F216" s="2062"/>
      <c r="G216" s="636"/>
      <c r="H216" s="637"/>
      <c r="I216" s="187"/>
      <c r="J216" s="580"/>
      <c r="K216" s="900" t="str">
        <f ca="1">IF(OR($H$7&lt;2,K$197&lt;1),"",IF(J216&lt;&gt;"",J216,IFERROR(IF(INDIRECT("'"&amp;J$86&amp;"'!"&amp;VLOOKUP(J$87,'List Values'!$C$3:$D$6,2,FALSE)&amp;ROW(J216))="","",INDIRECT("'"&amp;J$86&amp;"'!"&amp;VLOOKUP(J$87,'List Values'!$C$3:$D$6,2,FALSE)&amp;ROW(J216))),IF(J$86&lt;&gt;"","Data Source Error",""))))</f>
        <v/>
      </c>
      <c r="L216" s="187"/>
      <c r="M216" s="580"/>
      <c r="N216" s="900">
        <f ca="1">IF(OR($H$7&lt;3,N$197&lt;1),"",IF(M216&lt;&gt;"",M216,IFERROR(IF(INDIRECT("'"&amp;M$86&amp;"'!"&amp;VLOOKUP(M$87,'List Values'!$C$3:$D$6,2,FALSE)&amp;ROW(M216))="","",INDIRECT("'"&amp;M$86&amp;"'!"&amp;VLOOKUP(M$87,'List Values'!$C$3:$D$6,2,FALSE)&amp;ROW(M216))),IF(M$86&lt;&gt;"","Data Source Error",""))))</f>
        <v>30</v>
      </c>
      <c r="O216" s="187"/>
      <c r="P216" s="580"/>
      <c r="Q216" s="900" t="str">
        <f ca="1">IF(OR($H$7&lt;4,Q$197&lt;1),"",IF(P216&lt;&gt;"",P216,IFERROR(IF(INDIRECT("'"&amp;P$86&amp;"'!"&amp;VLOOKUP(P$87,'List Values'!$C$3:$D$6,2,FALSE)&amp;ROW(P216))="","",INDIRECT("'"&amp;P$86&amp;"'!"&amp;VLOOKUP(P$87,'List Values'!$C$3:$D$6,2,FALSE)&amp;ROW(P216))),IF(P$86&lt;&gt;"","Data Source Error",""))))</f>
        <v/>
      </c>
      <c r="S216" s="580"/>
      <c r="T216" s="900" t="str">
        <f ca="1">IF(OR($H$7&lt;5,T$197&lt;1),"",IF(S216&lt;&gt;"",S216,IFERROR(IF(INDIRECT("'"&amp;S$86&amp;"'!"&amp;VLOOKUP(S$87,'List Values'!$C$3:$D$6,2,FALSE)&amp;ROW(S216))="","",INDIRECT("'"&amp;S$86&amp;"'!"&amp;VLOOKUP(S$87,'List Values'!$C$3:$D$6,2,FALSE)&amp;ROW(S216))),IF(S$86&lt;&gt;"","Data Source Error",""))))</f>
        <v/>
      </c>
      <c r="V216" s="580"/>
      <c r="W216" s="911" t="str">
        <f ca="1">IF(OR($H$7&lt;6,W$197&lt;1),"",IF(V216&lt;&gt;"",V216,IFERROR(IF(INDIRECT("'"&amp;V$86&amp;"'!"&amp;VLOOKUP(V$87,'List Values'!$C$3:$D$6,2,FALSE)&amp;ROW(V216))="","",INDIRECT("'"&amp;V$86&amp;"'!"&amp;VLOOKUP(V$87,'List Values'!$C$3:$D$6,2,FALSE)&amp;ROW(V216))),IF(V$86&lt;&gt;"","Data Source Error",""))))</f>
        <v/>
      </c>
      <c r="Y216" s="2643"/>
      <c r="Z216" s="2644"/>
      <c r="AA216" s="2644"/>
      <c r="AB216" s="2645"/>
    </row>
    <row r="217" spans="1:28" ht="31.5" customHeight="1" outlineLevel="1">
      <c r="A217" s="512"/>
      <c r="B217" s="511"/>
      <c r="C217" s="2680" t="s">
        <v>651</v>
      </c>
      <c r="D217" s="2680"/>
      <c r="E217" s="494"/>
      <c r="F217" s="494"/>
      <c r="G217" s="642"/>
      <c r="H217" s="643"/>
      <c r="I217" s="196"/>
      <c r="J217" s="624"/>
      <c r="K217" s="902" t="str">
        <f ca="1">IF(OR($H$7&lt;2,K$197&lt;1),"",IF(J217&lt;&gt;"",J217,IFERROR(IF(INDIRECT("'"&amp;J$86&amp;"'!"&amp;VLOOKUP(J$87,'List Values'!$C$3:$D$6,2,FALSE)&amp;ROW(J217))="","",INDIRECT("'"&amp;J$86&amp;"'!"&amp;VLOOKUP(J$87,'List Values'!$C$3:$D$6,2,FALSE)&amp;ROW(J217))),IF(J$86&lt;&gt;"","Data Source Error",""))))</f>
        <v/>
      </c>
      <c r="L217" s="196"/>
      <c r="M217" s="624"/>
      <c r="N217" s="902">
        <f ca="1">IF(OR($H$7&lt;3,N$197&lt;1),"",IF(M217&lt;&gt;"",M217,IFERROR(IF(INDIRECT("'"&amp;M$86&amp;"'!"&amp;VLOOKUP(M$87,'List Values'!$C$3:$D$6,2,FALSE)&amp;ROW(M217))="","",INDIRECT("'"&amp;M$86&amp;"'!"&amp;VLOOKUP(M$87,'List Values'!$C$3:$D$6,2,FALSE)&amp;ROW(M217))),IF(M$86&lt;&gt;"","Data Source Error",""))))</f>
        <v>100</v>
      </c>
      <c r="O217" s="196"/>
      <c r="P217" s="624"/>
      <c r="Q217" s="902" t="str">
        <f ca="1">IF(OR($H$7&lt;4,Q$197&lt;1),"",IF(P217&lt;&gt;"",P217,IFERROR(IF(INDIRECT("'"&amp;P$86&amp;"'!"&amp;VLOOKUP(P$87,'List Values'!$C$3:$D$6,2,FALSE)&amp;ROW(P217))="","",INDIRECT("'"&amp;P$86&amp;"'!"&amp;VLOOKUP(P$87,'List Values'!$C$3:$D$6,2,FALSE)&amp;ROW(P217))),IF(P$86&lt;&gt;"","Data Source Error",""))))</f>
        <v/>
      </c>
      <c r="R217" s="236"/>
      <c r="S217" s="624"/>
      <c r="T217" s="902" t="str">
        <f ca="1">IF(OR($H$7&lt;5,T$197&lt;1),"",IF(S217&lt;&gt;"",S217,IFERROR(IF(INDIRECT("'"&amp;S$86&amp;"'!"&amp;VLOOKUP(S$87,'List Values'!$C$3:$D$6,2,FALSE)&amp;ROW(S217))="","",INDIRECT("'"&amp;S$86&amp;"'!"&amp;VLOOKUP(S$87,'List Values'!$C$3:$D$6,2,FALSE)&amp;ROW(S217))),IF(S$86&lt;&gt;"","Data Source Error",""))))</f>
        <v/>
      </c>
      <c r="U217" s="236"/>
      <c r="V217" s="624"/>
      <c r="W217" s="982" t="str">
        <f ca="1">IF(OR($H$7&lt;6,W$197&lt;1),"",IF(V217&lt;&gt;"",V217,IFERROR(IF(INDIRECT("'"&amp;V$86&amp;"'!"&amp;VLOOKUP(V$87,'List Values'!$C$3:$D$6,2,FALSE)&amp;ROW(V217))="","",INDIRECT("'"&amp;V$86&amp;"'!"&amp;VLOOKUP(V$87,'List Values'!$C$3:$D$6,2,FALSE)&amp;ROW(V217))),IF(V$86&lt;&gt;"","Data Source Error",""))))</f>
        <v/>
      </c>
      <c r="Y217" s="2643"/>
      <c r="Z217" s="2644"/>
      <c r="AA217" s="2644"/>
      <c r="AB217" s="2645"/>
    </row>
    <row r="218" spans="1:28" ht="20.25" customHeight="1">
      <c r="A218" s="808"/>
      <c r="B218" s="612" t="s">
        <v>617</v>
      </c>
      <c r="C218" s="604"/>
      <c r="D218" s="604"/>
      <c r="E218" s="604"/>
      <c r="F218" s="604"/>
      <c r="G218" s="604"/>
      <c r="H218" s="604"/>
      <c r="I218" s="608"/>
      <c r="J218" s="610"/>
      <c r="K218" s="970"/>
      <c r="L218" s="608"/>
      <c r="M218" s="610"/>
      <c r="N218" s="970"/>
      <c r="O218" s="608"/>
      <c r="P218" s="610"/>
      <c r="Q218" s="970"/>
      <c r="R218" s="608"/>
      <c r="S218" s="610"/>
      <c r="T218" s="970"/>
      <c r="U218" s="608"/>
      <c r="V218" s="610"/>
      <c r="W218" s="970"/>
      <c r="Y218" s="631"/>
      <c r="Z218" s="631"/>
      <c r="AA218" s="631"/>
      <c r="AB218" s="631"/>
    </row>
    <row r="219" spans="1:28" ht="17.25" customHeight="1" outlineLevel="1">
      <c r="A219" s="513"/>
      <c r="B219" s="252"/>
      <c r="C219" s="2580" t="s">
        <v>731</v>
      </c>
      <c r="D219" s="2580"/>
      <c r="E219" s="202"/>
      <c r="F219" s="202"/>
      <c r="G219" s="634"/>
      <c r="H219" s="635"/>
      <c r="I219" s="183"/>
      <c r="J219" s="628"/>
      <c r="K219" s="967" t="str">
        <f ca="1">IF(OR($H$7&lt;2,K$197&lt;2),"",IF(J219&lt;&gt;"",J219,IFERROR(IF(INDIRECT("'"&amp;J$86&amp;"'!"&amp;VLOOKUP(J$87,'List Values'!$C$3:$D$6,2,FALSE)&amp;ROW(J219))="","",INDIRECT("'"&amp;J$86&amp;"'!"&amp;VLOOKUP(J$87,'List Values'!$C$3:$D$6,2,FALSE)&amp;ROW(J219))),IF(J$86&lt;&gt;"","Data Source Error",""))))</f>
        <v/>
      </c>
      <c r="L219" s="629"/>
      <c r="M219" s="628"/>
      <c r="N219" s="967" t="str">
        <f ca="1">IF(OR($H$7&lt;3,N$197&lt;2),"",IF(M219&lt;&gt;"",M219,IFERROR(IF(INDIRECT("'"&amp;M$86&amp;"'!"&amp;VLOOKUP(M$87,'List Values'!$C$3:$D$6,2,FALSE)&amp;ROW(M219))="","",INDIRECT("'"&amp;M$86&amp;"'!"&amp;VLOOKUP(M$87,'List Values'!$C$3:$D$6,2,FALSE)&amp;ROW(M219))),IF(M$86&lt;&gt;"","Data Source Error",""))))</f>
        <v/>
      </c>
      <c r="O219" s="629"/>
      <c r="P219" s="628"/>
      <c r="Q219" s="967" t="str">
        <f ca="1">IF(OR($H$7&lt;4,Q$197&lt;2),"",IF(P219&lt;&gt;"",P219,IFERROR(IF(INDIRECT("'"&amp;P$86&amp;"'!"&amp;VLOOKUP(P$87,'List Values'!$C$3:$D$6,2,FALSE)&amp;ROW(P219))="","",INDIRECT("'"&amp;P$86&amp;"'!"&amp;VLOOKUP(P$87,'List Values'!$C$3:$D$6,2,FALSE)&amp;ROW(P219))),IF(P$86&lt;&gt;"","Data Source Error",""))))</f>
        <v/>
      </c>
      <c r="R219" s="147"/>
      <c r="S219" s="628"/>
      <c r="T219" s="967" t="str">
        <f ca="1">IF(OR($H$7&lt;5,T$197&lt;2),"",IF(S219&lt;&gt;"",S219,IFERROR(IF(INDIRECT("'"&amp;S$86&amp;"'!"&amp;VLOOKUP(S$87,'List Values'!$C$3:$D$6,2,FALSE)&amp;ROW(S219))="","",INDIRECT("'"&amp;S$86&amp;"'!"&amp;VLOOKUP(S$87,'List Values'!$C$3:$D$6,2,FALSE)&amp;ROW(S219))),IF(S$86&lt;&gt;"","Data Source Error",""))))</f>
        <v/>
      </c>
      <c r="U219" s="147"/>
      <c r="V219" s="628"/>
      <c r="W219" s="973" t="str">
        <f ca="1">IF(OR($H$7&lt;6,W$197&lt;2),"",IF(V219&lt;&gt;"",V219,IFERROR(IF(INDIRECT("'"&amp;V$86&amp;"'!"&amp;VLOOKUP(V$87,'List Values'!$C$3:$D$6,2,FALSE)&amp;ROW(V219))="","",INDIRECT("'"&amp;V$86&amp;"'!"&amp;VLOOKUP(V$87,'List Values'!$C$3:$D$6,2,FALSE)&amp;ROW(V219))),IF(V$86&lt;&gt;"","Data Source Error",""))))</f>
        <v/>
      </c>
      <c r="Y219" s="2643"/>
      <c r="Z219" s="2644"/>
      <c r="AA219" s="2644"/>
      <c r="AB219" s="2645"/>
    </row>
    <row r="220" spans="1:28" ht="17.25" customHeight="1" outlineLevel="1">
      <c r="A220" s="513"/>
      <c r="B220" s="252"/>
      <c r="C220" s="2680" t="s">
        <v>626</v>
      </c>
      <c r="D220" s="2680"/>
      <c r="E220" s="202"/>
      <c r="F220" s="202"/>
      <c r="G220" s="634"/>
      <c r="H220" s="635"/>
      <c r="I220" s="187"/>
      <c r="J220" s="526"/>
      <c r="K220" s="900" t="str">
        <f ca="1">IF(OR($H$7&lt;2,K$197&lt;2),"",IF(J220&lt;&gt;"",J220,IFERROR(IF(INDIRECT("'"&amp;J$86&amp;"'!"&amp;VLOOKUP(J$87,'List Values'!$C$3:$D$6,2,FALSE)&amp;ROW(J220))="","",INDIRECT("'"&amp;J$86&amp;"'!"&amp;VLOOKUP(J$87,'List Values'!$C$3:$D$6,2,FALSE)&amp;ROW(J220))),IF(J$86&lt;&gt;"","Data Source Error",""))))</f>
        <v/>
      </c>
      <c r="L220" s="187"/>
      <c r="M220" s="526"/>
      <c r="N220" s="900" t="str">
        <f ca="1">IF(OR($H$7&lt;3,N$197&lt;2),"",IF(M220&lt;&gt;"",M220,IFERROR(IF(INDIRECT("'"&amp;M$86&amp;"'!"&amp;VLOOKUP(M$87,'List Values'!$C$3:$D$6,2,FALSE)&amp;ROW(M220))="","",INDIRECT("'"&amp;M$86&amp;"'!"&amp;VLOOKUP(M$87,'List Values'!$C$3:$D$6,2,FALSE)&amp;ROW(M220))),IF(M$86&lt;&gt;"","Data Source Error",""))))</f>
        <v/>
      </c>
      <c r="O220" s="187"/>
      <c r="P220" s="526"/>
      <c r="Q220" s="900" t="str">
        <f ca="1">IF(OR($H$7&lt;4,Q$197&lt;2),"",IF(P220&lt;&gt;"",P220,IFERROR(IF(INDIRECT("'"&amp;P$86&amp;"'!"&amp;VLOOKUP(P$87,'List Values'!$C$3:$D$6,2,FALSE)&amp;ROW(P220))="","",INDIRECT("'"&amp;P$86&amp;"'!"&amp;VLOOKUP(P$87,'List Values'!$C$3:$D$6,2,FALSE)&amp;ROW(P220))),IF(P$86&lt;&gt;"","Data Source Error",""))))</f>
        <v/>
      </c>
      <c r="S220" s="526"/>
      <c r="T220" s="900" t="str">
        <f ca="1">IF(OR($H$7&lt;5,T$197&lt;2),"",IF(S220&lt;&gt;"",S220,IFERROR(IF(INDIRECT("'"&amp;S$86&amp;"'!"&amp;VLOOKUP(S$87,'List Values'!$C$3:$D$6,2,FALSE)&amp;ROW(S220))="","",INDIRECT("'"&amp;S$86&amp;"'!"&amp;VLOOKUP(S$87,'List Values'!$C$3:$D$6,2,FALSE)&amp;ROW(S220))),IF(S$86&lt;&gt;"","Data Source Error",""))))</f>
        <v/>
      </c>
      <c r="V220" s="526"/>
      <c r="W220" s="911" t="str">
        <f ca="1">IF(OR($H$7&lt;6,W$197&lt;2),"",IF(V220&lt;&gt;"",V220,IFERROR(IF(INDIRECT("'"&amp;V$86&amp;"'!"&amp;VLOOKUP(V$87,'List Values'!$C$3:$D$6,2,FALSE)&amp;ROW(V220))="","",INDIRECT("'"&amp;V$86&amp;"'!"&amp;VLOOKUP(V$87,'List Values'!$C$3:$D$6,2,FALSE)&amp;ROW(V220))),IF(V$86&lt;&gt;"","Data Source Error",""))))</f>
        <v/>
      </c>
      <c r="Y220" s="2643"/>
      <c r="Z220" s="2644"/>
      <c r="AA220" s="2644"/>
      <c r="AB220" s="2645"/>
    </row>
    <row r="221" spans="1:28" ht="31" customHeight="1" outlineLevel="1">
      <c r="A221" s="513"/>
      <c r="B221" s="252"/>
      <c r="C221" s="2680" t="s">
        <v>2520</v>
      </c>
      <c r="D221" s="2680"/>
      <c r="E221" s="202"/>
      <c r="F221" s="202"/>
      <c r="G221" s="634"/>
      <c r="H221" s="635"/>
      <c r="I221" s="187"/>
      <c r="J221" s="561"/>
      <c r="K221" s="900" t="str">
        <f ca="1">IF(OR($H$7&lt;2,K$197&lt;2),"",IF(J221&lt;&gt;"",J221,IFERROR(IF(INDIRECT("'"&amp;J$86&amp;"'!"&amp;VLOOKUP(J$87,'List Values'!$C$3:$D$6,2,FALSE)&amp;ROW(J221))="","",INDIRECT("'"&amp;J$86&amp;"'!"&amp;VLOOKUP(J$87,'List Values'!$C$3:$D$6,2,FALSE)&amp;ROW(J221))),IF(J$86&lt;&gt;"","Data Source Error",""))))</f>
        <v/>
      </c>
      <c r="L221" s="187"/>
      <c r="M221" s="561"/>
      <c r="N221" s="900" t="str">
        <f ca="1">IF(OR($H$7&lt;3,N$197&lt;2),"",IF(M221&lt;&gt;"",M221,IFERROR(IF(INDIRECT("'"&amp;M$86&amp;"'!"&amp;VLOOKUP(M$87,'List Values'!$C$3:$D$6,2,FALSE)&amp;ROW(M221))="","",INDIRECT("'"&amp;M$86&amp;"'!"&amp;VLOOKUP(M$87,'List Values'!$C$3:$D$6,2,FALSE)&amp;ROW(M221))),IF(M$86&lt;&gt;"","Data Source Error",""))))</f>
        <v/>
      </c>
      <c r="O221" s="187"/>
      <c r="P221" s="561"/>
      <c r="Q221" s="900" t="str">
        <f ca="1">IF(OR($H$7&lt;4,Q$197&lt;2),"",IF(P221&lt;&gt;"",P221,IFERROR(IF(INDIRECT("'"&amp;P$86&amp;"'!"&amp;VLOOKUP(P$87,'List Values'!$C$3:$D$6,2,FALSE)&amp;ROW(P221))="","",INDIRECT("'"&amp;P$86&amp;"'!"&amp;VLOOKUP(P$87,'List Values'!$C$3:$D$6,2,FALSE)&amp;ROW(P221))),IF(P$86&lt;&gt;"","Data Source Error",""))))</f>
        <v/>
      </c>
      <c r="S221" s="561"/>
      <c r="T221" s="900" t="str">
        <f ca="1">IF(OR($H$7&lt;5,T$197&lt;2),"",IF(S221&lt;&gt;"",S221,IFERROR(IF(INDIRECT("'"&amp;S$86&amp;"'!"&amp;VLOOKUP(S$87,'List Values'!$C$3:$D$6,2,FALSE)&amp;ROW(S221))="","",INDIRECT("'"&amp;S$86&amp;"'!"&amp;VLOOKUP(S$87,'List Values'!$C$3:$D$6,2,FALSE)&amp;ROW(S221))),IF(S$86&lt;&gt;"","Data Source Error",""))))</f>
        <v/>
      </c>
      <c r="V221" s="561"/>
      <c r="W221" s="911" t="str">
        <f ca="1">IF(OR($H$7&lt;6,W$197&lt;2),"",IF(V221&lt;&gt;"",V221,IFERROR(IF(INDIRECT("'"&amp;V$86&amp;"'!"&amp;VLOOKUP(V$87,'List Values'!$C$3:$D$6,2,FALSE)&amp;ROW(V221))="","",INDIRECT("'"&amp;V$86&amp;"'!"&amp;VLOOKUP(V$87,'List Values'!$C$3:$D$6,2,FALSE)&amp;ROW(V221))),IF(V$86&lt;&gt;"","Data Source Error",""))))</f>
        <v/>
      </c>
      <c r="Y221" s="2643"/>
      <c r="Z221" s="2644"/>
      <c r="AA221" s="2644"/>
      <c r="AB221" s="2645"/>
    </row>
    <row r="222" spans="1:28" ht="31" customHeight="1" outlineLevel="1">
      <c r="A222" s="513"/>
      <c r="B222" s="252"/>
      <c r="C222" s="2684" t="s">
        <v>726</v>
      </c>
      <c r="D222" s="2684"/>
      <c r="E222" s="202"/>
      <c r="F222" s="202"/>
      <c r="G222" s="634"/>
      <c r="H222" s="635"/>
      <c r="I222" s="187"/>
      <c r="J222" s="526"/>
      <c r="K222" s="900" t="str">
        <f ca="1">IF(OR($H$7&lt;2,K$197&lt;2),"",IF(J222&lt;&gt;"",J222,IFERROR(IF(INDIRECT("'"&amp;J$86&amp;"'!"&amp;VLOOKUP(J$87,'List Values'!$C$3:$D$6,2,FALSE)&amp;ROW(J222))="","",INDIRECT("'"&amp;J$86&amp;"'!"&amp;VLOOKUP(J$87,'List Values'!$C$3:$D$6,2,FALSE)&amp;ROW(J222))),IF(J$86&lt;&gt;"","Data Source Error",""))))</f>
        <v/>
      </c>
      <c r="L222" s="187"/>
      <c r="M222" s="526"/>
      <c r="N222" s="900" t="str">
        <f ca="1">IF(OR($H$7&lt;3,N$197&lt;2),"",IF(M222&lt;&gt;"",M222,IFERROR(IF(INDIRECT("'"&amp;M$86&amp;"'!"&amp;VLOOKUP(M$87,'List Values'!$C$3:$D$6,2,FALSE)&amp;ROW(M222))="","",INDIRECT("'"&amp;M$86&amp;"'!"&amp;VLOOKUP(M$87,'List Values'!$C$3:$D$6,2,FALSE)&amp;ROW(M222))),IF(M$86&lt;&gt;"","Data Source Error",""))))</f>
        <v/>
      </c>
      <c r="O222" s="187"/>
      <c r="P222" s="526"/>
      <c r="Q222" s="900" t="str">
        <f ca="1">IF(OR($H$7&lt;4,Q$197&lt;2),"",IF(P222&lt;&gt;"",P222,IFERROR(IF(INDIRECT("'"&amp;P$86&amp;"'!"&amp;VLOOKUP(P$87,'List Values'!$C$3:$D$6,2,FALSE)&amp;ROW(P222))="","",INDIRECT("'"&amp;P$86&amp;"'!"&amp;VLOOKUP(P$87,'List Values'!$C$3:$D$6,2,FALSE)&amp;ROW(P222))),IF(P$86&lt;&gt;"","Data Source Error",""))))</f>
        <v/>
      </c>
      <c r="S222" s="526"/>
      <c r="T222" s="900" t="str">
        <f ca="1">IF(OR($H$7&lt;5,T$197&lt;2),"",IF(S222&lt;&gt;"",S222,IFERROR(IF(INDIRECT("'"&amp;S$86&amp;"'!"&amp;VLOOKUP(S$87,'List Values'!$C$3:$D$6,2,FALSE)&amp;ROW(S222))="","",INDIRECT("'"&amp;S$86&amp;"'!"&amp;VLOOKUP(S$87,'List Values'!$C$3:$D$6,2,FALSE)&amp;ROW(S222))),IF(S$86&lt;&gt;"","Data Source Error",""))))</f>
        <v/>
      </c>
      <c r="V222" s="526"/>
      <c r="W222" s="911" t="str">
        <f ca="1">IF(OR($H$7&lt;6,W$197&lt;2),"",IF(V222&lt;&gt;"",V222,IFERROR(IF(INDIRECT("'"&amp;V$86&amp;"'!"&amp;VLOOKUP(V$87,'List Values'!$C$3:$D$6,2,FALSE)&amp;ROW(V222))="","",INDIRECT("'"&amp;V$86&amp;"'!"&amp;VLOOKUP(V$87,'List Values'!$C$3:$D$6,2,FALSE)&amp;ROW(V222))),IF(V$86&lt;&gt;"","Data Source Error",""))))</f>
        <v/>
      </c>
      <c r="Y222" s="2643"/>
      <c r="Z222" s="2644"/>
      <c r="AA222" s="2644"/>
      <c r="AB222" s="2645"/>
    </row>
    <row r="223" spans="1:28" ht="33" customHeight="1" outlineLevel="1">
      <c r="A223" s="513"/>
      <c r="B223" s="252"/>
      <c r="C223" s="2684" t="s">
        <v>727</v>
      </c>
      <c r="D223" s="2684"/>
      <c r="E223" s="202"/>
      <c r="F223" s="202"/>
      <c r="G223" s="634"/>
      <c r="H223" s="635"/>
      <c r="I223" s="187"/>
      <c r="J223" s="568"/>
      <c r="K223" s="945" t="str">
        <f ca="1">IF(OR($H$7&lt;2,K$197&lt;2),"",IF(J223&lt;&gt;"",J223,IFERROR(IF(INDIRECT("'"&amp;J$86&amp;"'!"&amp;VLOOKUP(J$87,'List Values'!$C$3:$D$6,2,FALSE)&amp;ROW(J223))="","",INDIRECT("'"&amp;J$86&amp;"'!"&amp;VLOOKUP(J$87,'List Values'!$C$3:$D$6,2,FALSE)&amp;ROW(J223))*$H$6),IF(J$86&lt;&gt;"","Data Source Error",""))))</f>
        <v/>
      </c>
      <c r="L223" s="339"/>
      <c r="M223" s="568"/>
      <c r="N223" s="945" t="str">
        <f ca="1">IF(OR($H$7&lt;3,N$197&lt;2),"",IF(M223&lt;&gt;"",M223,IFERROR(IF(INDIRECT("'"&amp;M$86&amp;"'!"&amp;VLOOKUP(M$87,'List Values'!$C$3:$D$6,2,FALSE)&amp;ROW(M223))="","",INDIRECT("'"&amp;M$86&amp;"'!"&amp;VLOOKUP(M$87,'List Values'!$C$3:$D$6,2,FALSE)&amp;ROW(M223))*$H$6),IF(M$86&lt;&gt;"","Data Source Error",""))))</f>
        <v/>
      </c>
      <c r="O223" s="339"/>
      <c r="P223" s="568"/>
      <c r="Q223" s="945" t="str">
        <f ca="1">IF(OR($H$7&lt;4,Q$197&lt;2),"",IF(P223&lt;&gt;"",P223,IFERROR(IF(INDIRECT("'"&amp;P$86&amp;"'!"&amp;VLOOKUP(P$87,'List Values'!$C$3:$D$6,2,FALSE)&amp;ROW(P223))="","",INDIRECT("'"&amp;P$86&amp;"'!"&amp;VLOOKUP(P$87,'List Values'!$C$3:$D$6,2,FALSE)&amp;ROW(P223))*$H$6),IF(P$86&lt;&gt;"","Data Source Error",""))))</f>
        <v/>
      </c>
      <c r="R223" s="7"/>
      <c r="S223" s="568"/>
      <c r="T223" s="945" t="str">
        <f ca="1">IF(OR($H$7&lt;5,T$197&lt;2),"",IF(S223&lt;&gt;"",S223,IFERROR(IF(INDIRECT("'"&amp;S$86&amp;"'!"&amp;VLOOKUP(S$87,'List Values'!$C$3:$D$6,2,FALSE)&amp;ROW(S223))="","",INDIRECT("'"&amp;S$86&amp;"'!"&amp;VLOOKUP(S$87,'List Values'!$C$3:$D$6,2,FALSE)&amp;ROW(S223))*$H$6),IF(S$86&lt;&gt;"","Data Source Error",""))))</f>
        <v/>
      </c>
      <c r="U223" s="7"/>
      <c r="V223" s="568"/>
      <c r="W223" s="952" t="str">
        <f ca="1">IF(OR($H$7&lt;6,W$197&lt;2),"",IF(V223&lt;&gt;"",V223,IFERROR(IF(INDIRECT("'"&amp;V$86&amp;"'!"&amp;VLOOKUP(V$87,'List Values'!$C$3:$D$6,2,FALSE)&amp;ROW(V223))="","",INDIRECT("'"&amp;V$86&amp;"'!"&amp;VLOOKUP(V$87,'List Values'!$C$3:$D$6,2,FALSE)&amp;ROW(V223))*$H$6),IF(V$86&lt;&gt;"","Data Source Error",""))))</f>
        <v/>
      </c>
      <c r="Y223" s="2643"/>
      <c r="Z223" s="2644"/>
      <c r="AA223" s="2644"/>
      <c r="AB223" s="2645"/>
    </row>
    <row r="224" spans="1:28" ht="17.25" customHeight="1" outlineLevel="1">
      <c r="A224" s="513"/>
      <c r="B224" s="252"/>
      <c r="C224" s="2680" t="s">
        <v>732</v>
      </c>
      <c r="D224" s="2680"/>
      <c r="E224" s="202"/>
      <c r="F224" s="202"/>
      <c r="G224" s="634"/>
      <c r="H224" s="635"/>
      <c r="I224" s="187"/>
      <c r="J224" s="526"/>
      <c r="K224" s="900" t="str">
        <f ca="1">IF(OR($H$7&lt;2,K$197&lt;2),"",IF(J224&lt;&gt;"",J224,IFERROR(IF(INDIRECT("'"&amp;J$86&amp;"'!"&amp;VLOOKUP(J$87,'List Values'!$C$3:$D$6,2,FALSE)&amp;ROW(J224))="","",INDIRECT("'"&amp;J$86&amp;"'!"&amp;VLOOKUP(J$87,'List Values'!$C$3:$D$6,2,FALSE)&amp;ROW(J224))),IF(J$86&lt;&gt;"","Data Source Error",""))))</f>
        <v/>
      </c>
      <c r="L224" s="187"/>
      <c r="M224" s="526"/>
      <c r="N224" s="900" t="str">
        <f ca="1">IF(OR($H$7&lt;3,N$197&lt;2),"",IF(M224&lt;&gt;"",M224,IFERROR(IF(INDIRECT("'"&amp;M$86&amp;"'!"&amp;VLOOKUP(M$87,'List Values'!$C$3:$D$6,2,FALSE)&amp;ROW(M224))="","",INDIRECT("'"&amp;M$86&amp;"'!"&amp;VLOOKUP(M$87,'List Values'!$C$3:$D$6,2,FALSE)&amp;ROW(M224))),IF(M$86&lt;&gt;"","Data Source Error",""))))</f>
        <v/>
      </c>
      <c r="O224" s="187"/>
      <c r="P224" s="526"/>
      <c r="Q224" s="900" t="str">
        <f ca="1">IF(OR($H$7&lt;4,Q$197&lt;2),"",IF(P224&lt;&gt;"",P224,IFERROR(IF(INDIRECT("'"&amp;P$86&amp;"'!"&amp;VLOOKUP(P$87,'List Values'!$C$3:$D$6,2,FALSE)&amp;ROW(P224))="","",INDIRECT("'"&amp;P$86&amp;"'!"&amp;VLOOKUP(P$87,'List Values'!$C$3:$D$6,2,FALSE)&amp;ROW(P224))),IF(P$86&lt;&gt;"","Data Source Error",""))))</f>
        <v/>
      </c>
      <c r="S224" s="526"/>
      <c r="T224" s="900" t="str">
        <f ca="1">IF(OR($H$7&lt;5,T$197&lt;2),"",IF(S224&lt;&gt;"",S224,IFERROR(IF(INDIRECT("'"&amp;S$86&amp;"'!"&amp;VLOOKUP(S$87,'List Values'!$C$3:$D$6,2,FALSE)&amp;ROW(S224))="","",INDIRECT("'"&amp;S$86&amp;"'!"&amp;VLOOKUP(S$87,'List Values'!$C$3:$D$6,2,FALSE)&amp;ROW(S224))),IF(S$86&lt;&gt;"","Data Source Error",""))))</f>
        <v/>
      </c>
      <c r="V224" s="526"/>
      <c r="W224" s="911" t="str">
        <f ca="1">IF(OR($H$7&lt;6,W$197&lt;2),"",IF(V224&lt;&gt;"",V224,IFERROR(IF(INDIRECT("'"&amp;V$86&amp;"'!"&amp;VLOOKUP(V$87,'List Values'!$C$3:$D$6,2,FALSE)&amp;ROW(V224))="","",INDIRECT("'"&amp;V$86&amp;"'!"&amp;VLOOKUP(V$87,'List Values'!$C$3:$D$6,2,FALSE)&amp;ROW(V224))),IF(V$86&lt;&gt;"","Data Source Error",""))))</f>
        <v/>
      </c>
      <c r="Y224" s="2643"/>
      <c r="Z224" s="2644"/>
      <c r="AA224" s="2644"/>
      <c r="AB224" s="2645"/>
    </row>
    <row r="225" spans="1:28" ht="31" customHeight="1" outlineLevel="1">
      <c r="A225" s="513"/>
      <c r="B225" s="252"/>
      <c r="C225" s="2684" t="s">
        <v>730</v>
      </c>
      <c r="D225" s="2684"/>
      <c r="E225" s="202"/>
      <c r="F225" s="202"/>
      <c r="G225" s="634"/>
      <c r="H225" s="635"/>
      <c r="I225" s="183"/>
      <c r="J225" s="553"/>
      <c r="K225" s="897" t="str">
        <f ca="1">IF(OR($H$7&lt;2,K$197&lt;2),"",IF(J225&lt;&gt;"",J225,IFERROR(IF(INDIRECT("'"&amp;J$86&amp;"'!"&amp;VLOOKUP(J$87,'List Values'!$C$3:$D$6,2,FALSE)&amp;ROW(J225))="","",INDIRECT("'"&amp;J$86&amp;"'!"&amp;VLOOKUP(J$87,'List Values'!$C$3:$D$6,2,FALSE)&amp;ROW(J225))),IF(J$86&lt;&gt;"","Data Source Error",""))))</f>
        <v/>
      </c>
      <c r="L225" s="183"/>
      <c r="M225" s="553"/>
      <c r="N225" s="897" t="str">
        <f ca="1">IF(OR($H$7&lt;3,N$197&lt;2),"",IF(M225&lt;&gt;"",M225,IFERROR(IF(INDIRECT("'"&amp;M$86&amp;"'!"&amp;VLOOKUP(M$87,'List Values'!$C$3:$D$6,2,FALSE)&amp;ROW(M225))="","",INDIRECT("'"&amp;M$86&amp;"'!"&amp;VLOOKUP(M$87,'List Values'!$C$3:$D$6,2,FALSE)&amp;ROW(M225))),IF(M$86&lt;&gt;"","Data Source Error",""))))</f>
        <v/>
      </c>
      <c r="O225" s="183"/>
      <c r="P225" s="553"/>
      <c r="Q225" s="897" t="str">
        <f ca="1">IF(OR($H$7&lt;4,Q$197&lt;2),"",IF(P225&lt;&gt;"",P225,IFERROR(IF(INDIRECT("'"&amp;P$86&amp;"'!"&amp;VLOOKUP(P$87,'List Values'!$C$3:$D$6,2,FALSE)&amp;ROW(P225))="","",INDIRECT("'"&amp;P$86&amp;"'!"&amp;VLOOKUP(P$87,'List Values'!$C$3:$D$6,2,FALSE)&amp;ROW(P225))),IF(P$86&lt;&gt;"","Data Source Error",""))))</f>
        <v/>
      </c>
      <c r="S225" s="553"/>
      <c r="T225" s="897" t="str">
        <f ca="1">IF(OR($H$7&lt;5,T$197&lt;2),"",IF(S225&lt;&gt;"",S225,IFERROR(IF(INDIRECT("'"&amp;S$86&amp;"'!"&amp;VLOOKUP(S$87,'List Values'!$C$3:$D$6,2,FALSE)&amp;ROW(S225))="","",INDIRECT("'"&amp;S$86&amp;"'!"&amp;VLOOKUP(S$87,'List Values'!$C$3:$D$6,2,FALSE)&amp;ROW(S225))),IF(S$86&lt;&gt;"","Data Source Error",""))))</f>
        <v/>
      </c>
      <c r="V225" s="553"/>
      <c r="W225" s="908" t="str">
        <f ca="1">IF(OR($H$7&lt;6,W$197&lt;2),"",IF(V225&lt;&gt;"",V225,IFERROR(IF(INDIRECT("'"&amp;V$86&amp;"'!"&amp;VLOOKUP(V$87,'List Values'!$C$3:$D$6,2,FALSE)&amp;ROW(V225))="","",INDIRECT("'"&amp;V$86&amp;"'!"&amp;VLOOKUP(V$87,'List Values'!$C$3:$D$6,2,FALSE)&amp;ROW(V225))),IF(V$86&lt;&gt;"","Data Source Error",""))))</f>
        <v/>
      </c>
      <c r="Y225" s="2643"/>
      <c r="Z225" s="2644"/>
      <c r="AA225" s="2644"/>
      <c r="AB225" s="2645"/>
    </row>
    <row r="226" spans="1:28" ht="31" customHeight="1" outlineLevel="1">
      <c r="A226" s="513"/>
      <c r="B226" s="252"/>
      <c r="C226" s="2680" t="s">
        <v>2521</v>
      </c>
      <c r="D226" s="2680"/>
      <c r="E226" s="202"/>
      <c r="F226" s="202"/>
      <c r="G226" s="634"/>
      <c r="H226" s="635"/>
      <c r="I226" s="187"/>
      <c r="J226" s="619"/>
      <c r="K226" s="898" t="str">
        <f ca="1">IF(OR($H$7&lt;2,K$197&lt;2),"",IF(J226&lt;&gt;"",J226,IFERROR(IF(INDIRECT("'"&amp;J$86&amp;"'!"&amp;VLOOKUP(J$87,'List Values'!$C$3:$D$6,2,FALSE)&amp;ROW(J226))="","",INDIRECT("'"&amp;J$86&amp;"'!"&amp;VLOOKUP(J$87,'List Values'!$C$3:$D$6,2,FALSE)&amp;ROW(J226))),IF(J$86&lt;&gt;"","Data Source Error",""))))</f>
        <v/>
      </c>
      <c r="L226" s="621"/>
      <c r="M226" s="619"/>
      <c r="N226" s="898" t="str">
        <f ca="1">IF(OR($H$7&lt;3,N$197&lt;2),"",IF(M226&lt;&gt;"",M226,IFERROR(IF(INDIRECT("'"&amp;M$86&amp;"'!"&amp;VLOOKUP(M$87,'List Values'!$C$3:$D$6,2,FALSE)&amp;ROW(M226))="","",INDIRECT("'"&amp;M$86&amp;"'!"&amp;VLOOKUP(M$87,'List Values'!$C$3:$D$6,2,FALSE)&amp;ROW(M226))),IF(M$86&lt;&gt;"","Data Source Error",""))))</f>
        <v/>
      </c>
      <c r="O226" s="621"/>
      <c r="P226" s="619"/>
      <c r="Q226" s="898" t="str">
        <f ca="1">IF(OR($H$7&lt;4,Q$197&lt;2),"",IF(P226&lt;&gt;"",P226,IFERROR(IF(INDIRECT("'"&amp;P$86&amp;"'!"&amp;VLOOKUP(P$87,'List Values'!$C$3:$D$6,2,FALSE)&amp;ROW(P226))="","",INDIRECT("'"&amp;P$86&amp;"'!"&amp;VLOOKUP(P$87,'List Values'!$C$3:$D$6,2,FALSE)&amp;ROW(P226))),IF(P$86&lt;&gt;"","Data Source Error",""))))</f>
        <v/>
      </c>
      <c r="R226" s="147"/>
      <c r="S226" s="619"/>
      <c r="T226" s="898" t="str">
        <f ca="1">IF(OR($H$7&lt;5,T$197&lt;2),"",IF(S226&lt;&gt;"",S226,IFERROR(IF(INDIRECT("'"&amp;S$86&amp;"'!"&amp;VLOOKUP(S$87,'List Values'!$C$3:$D$6,2,FALSE)&amp;ROW(S226))="","",INDIRECT("'"&amp;S$86&amp;"'!"&amp;VLOOKUP(S$87,'List Values'!$C$3:$D$6,2,FALSE)&amp;ROW(S226))),IF(S$86&lt;&gt;"","Data Source Error",""))))</f>
        <v/>
      </c>
      <c r="U226" s="147"/>
      <c r="V226" s="619"/>
      <c r="W226" s="909" t="str">
        <f ca="1">IF(OR($H$7&lt;6,W$197&lt;2),"",IF(V226&lt;&gt;"",V226,IFERROR(IF(INDIRECT("'"&amp;V$86&amp;"'!"&amp;VLOOKUP(V$87,'List Values'!$C$3:$D$6,2,FALSE)&amp;ROW(V226))="","",INDIRECT("'"&amp;V$86&amp;"'!"&amp;VLOOKUP(V$87,'List Values'!$C$3:$D$6,2,FALSE)&amp;ROW(V226))),IF(V$86&lt;&gt;"","Data Source Error",""))))</f>
        <v/>
      </c>
      <c r="Y226" s="2643"/>
      <c r="Z226" s="2644"/>
      <c r="AA226" s="2644"/>
      <c r="AB226" s="2645"/>
    </row>
    <row r="227" spans="1:28" ht="31" customHeight="1" outlineLevel="1">
      <c r="A227" s="513"/>
      <c r="B227" s="252"/>
      <c r="C227" s="2680" t="s">
        <v>2522</v>
      </c>
      <c r="D227" s="2680"/>
      <c r="E227" s="202"/>
      <c r="F227" s="202"/>
      <c r="G227" s="634"/>
      <c r="H227" s="635"/>
      <c r="I227" s="187"/>
      <c r="J227" s="619"/>
      <c r="K227" s="898" t="str">
        <f ca="1">IF(OR($H$7&lt;2,K$197&lt;2),"",IF(J227&lt;&gt;"",J227,IFERROR(IF(INDIRECT("'"&amp;J$86&amp;"'!"&amp;VLOOKUP(J$87,'List Values'!$C$3:$D$6,2,FALSE)&amp;ROW(J227))="","",INDIRECT("'"&amp;J$86&amp;"'!"&amp;VLOOKUP(J$87,'List Values'!$C$3:$D$6,2,FALSE)&amp;ROW(J227))),IF(J$86&lt;&gt;"","Data Source Error",""))))</f>
        <v/>
      </c>
      <c r="L227" s="621"/>
      <c r="M227" s="619"/>
      <c r="N227" s="898" t="str">
        <f ca="1">IF(OR($H$7&lt;3,N$197&lt;2),"",IF(M227&lt;&gt;"",M227,IFERROR(IF(INDIRECT("'"&amp;M$86&amp;"'!"&amp;VLOOKUP(M$87,'List Values'!$C$3:$D$6,2,FALSE)&amp;ROW(M227))="","",INDIRECT("'"&amp;M$86&amp;"'!"&amp;VLOOKUP(M$87,'List Values'!$C$3:$D$6,2,FALSE)&amp;ROW(M227))),IF(M$86&lt;&gt;"","Data Source Error",""))))</f>
        <v/>
      </c>
      <c r="O227" s="621"/>
      <c r="P227" s="619"/>
      <c r="Q227" s="898" t="str">
        <f ca="1">IF(OR($H$7&lt;4,Q$197&lt;2),"",IF(P227&lt;&gt;"",P227,IFERROR(IF(INDIRECT("'"&amp;P$86&amp;"'!"&amp;VLOOKUP(P$87,'List Values'!$C$3:$D$6,2,FALSE)&amp;ROW(P227))="","",INDIRECT("'"&amp;P$86&amp;"'!"&amp;VLOOKUP(P$87,'List Values'!$C$3:$D$6,2,FALSE)&amp;ROW(P227))),IF(P$86&lt;&gt;"","Data Source Error",""))))</f>
        <v/>
      </c>
      <c r="R227" s="147"/>
      <c r="S227" s="619"/>
      <c r="T227" s="898" t="str">
        <f ca="1">IF(OR($H$7&lt;5,T$197&lt;2),"",IF(S227&lt;&gt;"",S227,IFERROR(IF(INDIRECT("'"&amp;S$86&amp;"'!"&amp;VLOOKUP(S$87,'List Values'!$C$3:$D$6,2,FALSE)&amp;ROW(S227))="","",INDIRECT("'"&amp;S$86&amp;"'!"&amp;VLOOKUP(S$87,'List Values'!$C$3:$D$6,2,FALSE)&amp;ROW(S227))),IF(S$86&lt;&gt;"","Data Source Error",""))))</f>
        <v/>
      </c>
      <c r="U227" s="147"/>
      <c r="V227" s="619"/>
      <c r="W227" s="909" t="str">
        <f ca="1">IF(OR($H$7&lt;6,W$197&lt;2),"",IF(V227&lt;&gt;"",V227,IFERROR(IF(INDIRECT("'"&amp;V$86&amp;"'!"&amp;VLOOKUP(V$87,'List Values'!$C$3:$D$6,2,FALSE)&amp;ROW(V227))="","",INDIRECT("'"&amp;V$86&amp;"'!"&amp;VLOOKUP(V$87,'List Values'!$C$3:$D$6,2,FALSE)&amp;ROW(V227))),IF(V$86&lt;&gt;"","Data Source Error",""))))</f>
        <v/>
      </c>
      <c r="Y227" s="2643"/>
      <c r="Z227" s="2644"/>
      <c r="AA227" s="2644"/>
      <c r="AB227" s="2645"/>
    </row>
    <row r="228" spans="1:28" ht="33" customHeight="1" outlineLevel="1">
      <c r="A228" s="513"/>
      <c r="B228" s="252"/>
      <c r="C228" s="2680" t="s">
        <v>253</v>
      </c>
      <c r="D228" s="2680"/>
      <c r="E228" s="202"/>
      <c r="F228" s="202"/>
      <c r="G228" s="634"/>
      <c r="H228" s="635"/>
      <c r="I228" s="187"/>
      <c r="J228" s="526"/>
      <c r="K228" s="900" t="str">
        <f ca="1">IF(OR($H$7&lt;2,K$197&lt;2),"",IF(J228&lt;&gt;"",J228,IFERROR(IF(INDIRECT("'"&amp;J$86&amp;"'!"&amp;VLOOKUP(J$87,'List Values'!$C$3:$D$6,2,FALSE)&amp;ROW(J228))="","",INDIRECT("'"&amp;J$86&amp;"'!"&amp;VLOOKUP(J$87,'List Values'!$C$3:$D$6,2,FALSE)&amp;ROW(J228))),IF(J$86&lt;&gt;"","Data Source Error",""))))</f>
        <v/>
      </c>
      <c r="L228" s="187"/>
      <c r="M228" s="526"/>
      <c r="N228" s="900" t="str">
        <f ca="1">IF(OR($H$7&lt;3,N$197&lt;2),"",IF(M228&lt;&gt;"",M228,IFERROR(IF(INDIRECT("'"&amp;M$86&amp;"'!"&amp;VLOOKUP(M$87,'List Values'!$C$3:$D$6,2,FALSE)&amp;ROW(M228))="","",INDIRECT("'"&amp;M$86&amp;"'!"&amp;VLOOKUP(M$87,'List Values'!$C$3:$D$6,2,FALSE)&amp;ROW(M228))),IF(M$86&lt;&gt;"","Data Source Error",""))))</f>
        <v/>
      </c>
      <c r="O228" s="187"/>
      <c r="P228" s="526"/>
      <c r="Q228" s="900" t="str">
        <f ca="1">IF(OR($H$7&lt;4,Q$197&lt;2),"",IF(P228&lt;&gt;"",P228,IFERROR(IF(INDIRECT("'"&amp;P$86&amp;"'!"&amp;VLOOKUP(P$87,'List Values'!$C$3:$D$6,2,FALSE)&amp;ROW(P228))="","",INDIRECT("'"&amp;P$86&amp;"'!"&amp;VLOOKUP(P$87,'List Values'!$C$3:$D$6,2,FALSE)&amp;ROW(P228))),IF(P$86&lt;&gt;"","Data Source Error",""))))</f>
        <v/>
      </c>
      <c r="S228" s="526"/>
      <c r="T228" s="900" t="str">
        <f ca="1">IF(OR($H$7&lt;5,T$197&lt;2),"",IF(S228&lt;&gt;"",S228,IFERROR(IF(INDIRECT("'"&amp;S$86&amp;"'!"&amp;VLOOKUP(S$87,'List Values'!$C$3:$D$6,2,FALSE)&amp;ROW(S228))="","",INDIRECT("'"&amp;S$86&amp;"'!"&amp;VLOOKUP(S$87,'List Values'!$C$3:$D$6,2,FALSE)&amp;ROW(S228))),IF(S$86&lt;&gt;"","Data Source Error",""))))</f>
        <v/>
      </c>
      <c r="V228" s="526"/>
      <c r="W228" s="911" t="str">
        <f ca="1">IF(OR($H$7&lt;6,W$197&lt;2),"",IF(V228&lt;&gt;"",V228,IFERROR(IF(INDIRECT("'"&amp;V$86&amp;"'!"&amp;VLOOKUP(V$87,'List Values'!$C$3:$D$6,2,FALSE)&amp;ROW(V228))="","",INDIRECT("'"&amp;V$86&amp;"'!"&amp;VLOOKUP(V$87,'List Values'!$C$3:$D$6,2,FALSE)&amp;ROW(V228))),IF(V$86&lt;&gt;"","Data Source Error",""))))</f>
        <v/>
      </c>
      <c r="Y228" s="2643"/>
      <c r="Z228" s="2644"/>
      <c r="AA228" s="2644"/>
      <c r="AB228" s="2645"/>
    </row>
    <row r="229" spans="1:28" ht="17.25" customHeight="1" outlineLevel="1">
      <c r="A229" s="513"/>
      <c r="B229" s="252"/>
      <c r="C229" s="2684" t="s">
        <v>2529</v>
      </c>
      <c r="D229" s="2684"/>
      <c r="E229" s="202"/>
      <c r="F229" s="202"/>
      <c r="G229" s="634"/>
      <c r="H229" s="635"/>
      <c r="I229" s="187"/>
      <c r="J229" s="580"/>
      <c r="K229" s="900" t="str">
        <f ca="1">IF(OR($H$7&lt;2,K$197&lt;2),"",IF(J229&lt;&gt;"",J229,IFERROR(IF(INDIRECT("'"&amp;J$86&amp;"'!"&amp;VLOOKUP(J$87,'List Values'!$C$3:$D$6,2,FALSE)&amp;ROW(J229))="","",INDIRECT("'"&amp;J$86&amp;"'!"&amp;VLOOKUP(J$87,'List Values'!$C$3:$D$6,2,FALSE)&amp;ROW(J229))),IF(J$86&lt;&gt;"","Data Source Error",""))))</f>
        <v/>
      </c>
      <c r="L229" s="187"/>
      <c r="M229" s="580"/>
      <c r="N229" s="900" t="str">
        <f ca="1">IF(OR($H$7&lt;3,N$197&lt;2),"",IF(M229&lt;&gt;"",M229,IFERROR(IF(INDIRECT("'"&amp;M$86&amp;"'!"&amp;VLOOKUP(M$87,'List Values'!$C$3:$D$6,2,FALSE)&amp;ROW(M229))="","",INDIRECT("'"&amp;M$86&amp;"'!"&amp;VLOOKUP(M$87,'List Values'!$C$3:$D$6,2,FALSE)&amp;ROW(M229))),IF(M$86&lt;&gt;"","Data Source Error",""))))</f>
        <v/>
      </c>
      <c r="O229" s="187"/>
      <c r="P229" s="580"/>
      <c r="Q229" s="900" t="str">
        <f ca="1">IF(OR($H$7&lt;4,Q$197&lt;2),"",IF(P229&lt;&gt;"",P229,IFERROR(IF(INDIRECT("'"&amp;P$86&amp;"'!"&amp;VLOOKUP(P$87,'List Values'!$C$3:$D$6,2,FALSE)&amp;ROW(P229))="","",INDIRECT("'"&amp;P$86&amp;"'!"&amp;VLOOKUP(P$87,'List Values'!$C$3:$D$6,2,FALSE)&amp;ROW(P229))),IF(P$86&lt;&gt;"","Data Source Error",""))))</f>
        <v/>
      </c>
      <c r="S229" s="580"/>
      <c r="T229" s="900" t="str">
        <f ca="1">IF(OR($H$7&lt;5,T$197&lt;2),"",IF(S229&lt;&gt;"",S229,IFERROR(IF(INDIRECT("'"&amp;S$86&amp;"'!"&amp;VLOOKUP(S$87,'List Values'!$C$3:$D$6,2,FALSE)&amp;ROW(S229))="","",INDIRECT("'"&amp;S$86&amp;"'!"&amp;VLOOKUP(S$87,'List Values'!$C$3:$D$6,2,FALSE)&amp;ROW(S229))),IF(S$86&lt;&gt;"","Data Source Error",""))))</f>
        <v/>
      </c>
      <c r="V229" s="580"/>
      <c r="W229" s="911" t="str">
        <f ca="1">IF(OR($H$7&lt;6,W$197&lt;2),"",IF(V229&lt;&gt;"",V229,IFERROR(IF(INDIRECT("'"&amp;V$86&amp;"'!"&amp;VLOOKUP(V$87,'List Values'!$C$3:$D$6,2,FALSE)&amp;ROW(V229))="","",INDIRECT("'"&amp;V$86&amp;"'!"&amp;VLOOKUP(V$87,'List Values'!$C$3:$D$6,2,FALSE)&amp;ROW(V229))),IF(V$86&lt;&gt;"","Data Source Error",""))))</f>
        <v/>
      </c>
      <c r="Y229" s="2643"/>
      <c r="Z229" s="2644"/>
      <c r="AA229" s="2644"/>
      <c r="AB229" s="2645"/>
    </row>
    <row r="230" spans="1:28" ht="33" customHeight="1" outlineLevel="1">
      <c r="A230" s="513"/>
      <c r="B230" s="252"/>
      <c r="C230" s="2680" t="s">
        <v>2523</v>
      </c>
      <c r="D230" s="2680"/>
      <c r="E230" s="202"/>
      <c r="F230" s="202"/>
      <c r="G230" s="634"/>
      <c r="H230" s="635"/>
      <c r="I230" s="187"/>
      <c r="J230" s="580"/>
      <c r="K230" s="900" t="str">
        <f ca="1">IF(OR($H$7&lt;2,K$197&lt;2),"",IF(J230&lt;&gt;"",J230,IFERROR(IF(INDIRECT("'"&amp;J$86&amp;"'!"&amp;VLOOKUP(J$87,'List Values'!$C$3:$D$6,2,FALSE)&amp;ROW(J230))="","",INDIRECT("'"&amp;J$86&amp;"'!"&amp;VLOOKUP(J$87,'List Values'!$C$3:$D$6,2,FALSE)&amp;ROW(J230))),IF(J$86&lt;&gt;"","Data Source Error",""))))</f>
        <v/>
      </c>
      <c r="L230" s="187"/>
      <c r="M230" s="580"/>
      <c r="N230" s="900" t="str">
        <f ca="1">IF(OR($H$7&lt;3,N$197&lt;2),"",IF(M230&lt;&gt;"",M230,IFERROR(IF(INDIRECT("'"&amp;M$86&amp;"'!"&amp;VLOOKUP(M$87,'List Values'!$C$3:$D$6,2,FALSE)&amp;ROW(M230))="","",INDIRECT("'"&amp;M$86&amp;"'!"&amp;VLOOKUP(M$87,'List Values'!$C$3:$D$6,2,FALSE)&amp;ROW(M230))),IF(M$86&lt;&gt;"","Data Source Error",""))))</f>
        <v/>
      </c>
      <c r="O230" s="187"/>
      <c r="P230" s="580"/>
      <c r="Q230" s="900" t="str">
        <f ca="1">IF(OR($H$7&lt;4,Q$197&lt;2),"",IF(P230&lt;&gt;"",P230,IFERROR(IF(INDIRECT("'"&amp;P$86&amp;"'!"&amp;VLOOKUP(P$87,'List Values'!$C$3:$D$6,2,FALSE)&amp;ROW(P230))="","",INDIRECT("'"&amp;P$86&amp;"'!"&amp;VLOOKUP(P$87,'List Values'!$C$3:$D$6,2,FALSE)&amp;ROW(P230))),IF(P$86&lt;&gt;"","Data Source Error",""))))</f>
        <v/>
      </c>
      <c r="S230" s="580"/>
      <c r="T230" s="900" t="str">
        <f ca="1">IF(OR($H$7&lt;5,T$197&lt;2),"",IF(S230&lt;&gt;"",S230,IFERROR(IF(INDIRECT("'"&amp;S$86&amp;"'!"&amp;VLOOKUP(S$87,'List Values'!$C$3:$D$6,2,FALSE)&amp;ROW(S230))="","",INDIRECT("'"&amp;S$86&amp;"'!"&amp;VLOOKUP(S$87,'List Values'!$C$3:$D$6,2,FALSE)&amp;ROW(S230))),IF(S$86&lt;&gt;"","Data Source Error",""))))</f>
        <v/>
      </c>
      <c r="V230" s="580"/>
      <c r="W230" s="911" t="str">
        <f ca="1">IF(OR($H$7&lt;6,W$197&lt;2),"",IF(V230&lt;&gt;"",V230,IFERROR(IF(INDIRECT("'"&amp;V$86&amp;"'!"&amp;VLOOKUP(V$87,'List Values'!$C$3:$D$6,2,FALSE)&amp;ROW(V230))="","",INDIRECT("'"&amp;V$86&amp;"'!"&amp;VLOOKUP(V$87,'List Values'!$C$3:$D$6,2,FALSE)&amp;ROW(V230))),IF(V$86&lt;&gt;"","Data Source Error",""))))</f>
        <v/>
      </c>
      <c r="Y230" s="2643"/>
      <c r="Z230" s="2644"/>
      <c r="AA230" s="2644"/>
      <c r="AB230" s="2645"/>
    </row>
    <row r="231" spans="1:28" ht="17.25" customHeight="1" outlineLevel="1">
      <c r="A231" s="513"/>
      <c r="B231" s="252"/>
      <c r="C231" s="2680" t="s">
        <v>2524</v>
      </c>
      <c r="D231" s="2680"/>
      <c r="E231" s="202"/>
      <c r="F231" s="202"/>
      <c r="G231" s="634"/>
      <c r="H231" s="635"/>
      <c r="I231" s="187"/>
      <c r="J231" s="580"/>
      <c r="K231" s="900" t="str">
        <f ca="1">IF(OR($H$7&lt;2,K$197&lt;2),"",IF(J231&lt;&gt;"",J231,IFERROR(IF(INDIRECT("'"&amp;J$86&amp;"'!"&amp;VLOOKUP(J$87,'List Values'!$C$3:$D$6,2,FALSE)&amp;ROW(J231))="","",INDIRECT("'"&amp;J$86&amp;"'!"&amp;VLOOKUP(J$87,'List Values'!$C$3:$D$6,2,FALSE)&amp;ROW(J231))),IF(J$86&lt;&gt;"","Data Source Error",""))))</f>
        <v/>
      </c>
      <c r="L231" s="187"/>
      <c r="M231" s="580"/>
      <c r="N231" s="900" t="str">
        <f ca="1">IF(OR($H$7&lt;3,N$197&lt;2),"",IF(M231&lt;&gt;"",M231,IFERROR(IF(INDIRECT("'"&amp;M$86&amp;"'!"&amp;VLOOKUP(M$87,'List Values'!$C$3:$D$6,2,FALSE)&amp;ROW(M231))="","",INDIRECT("'"&amp;M$86&amp;"'!"&amp;VLOOKUP(M$87,'List Values'!$C$3:$D$6,2,FALSE)&amp;ROW(M231))),IF(M$86&lt;&gt;"","Data Source Error",""))))</f>
        <v/>
      </c>
      <c r="O231" s="187"/>
      <c r="P231" s="580"/>
      <c r="Q231" s="900" t="str">
        <f ca="1">IF(OR($H$7&lt;4,Q$197&lt;2),"",IF(P231&lt;&gt;"",P231,IFERROR(IF(INDIRECT("'"&amp;P$86&amp;"'!"&amp;VLOOKUP(P$87,'List Values'!$C$3:$D$6,2,FALSE)&amp;ROW(P231))="","",INDIRECT("'"&amp;P$86&amp;"'!"&amp;VLOOKUP(P$87,'List Values'!$C$3:$D$6,2,FALSE)&amp;ROW(P231))),IF(P$86&lt;&gt;"","Data Source Error",""))))</f>
        <v/>
      </c>
      <c r="S231" s="580"/>
      <c r="T231" s="900" t="str">
        <f ca="1">IF(OR($H$7&lt;5,T$197&lt;2),"",IF(S231&lt;&gt;"",S231,IFERROR(IF(INDIRECT("'"&amp;S$86&amp;"'!"&amp;VLOOKUP(S$87,'List Values'!$C$3:$D$6,2,FALSE)&amp;ROW(S231))="","",INDIRECT("'"&amp;S$86&amp;"'!"&amp;VLOOKUP(S$87,'List Values'!$C$3:$D$6,2,FALSE)&amp;ROW(S231))),IF(S$86&lt;&gt;"","Data Source Error",""))))</f>
        <v/>
      </c>
      <c r="V231" s="580"/>
      <c r="W231" s="911" t="str">
        <f ca="1">IF(OR($H$7&lt;6,W$197&lt;2),"",IF(V231&lt;&gt;"",V231,IFERROR(IF(INDIRECT("'"&amp;V$86&amp;"'!"&amp;VLOOKUP(V$87,'List Values'!$C$3:$D$6,2,FALSE)&amp;ROW(V231))="","",INDIRECT("'"&amp;V$86&amp;"'!"&amp;VLOOKUP(V$87,'List Values'!$C$3:$D$6,2,FALSE)&amp;ROW(V231))),IF(V$86&lt;&gt;"","Data Source Error",""))))</f>
        <v/>
      </c>
      <c r="Y231" s="2643"/>
      <c r="Z231" s="2644"/>
      <c r="AA231" s="2644"/>
      <c r="AB231" s="2645"/>
    </row>
    <row r="232" spans="1:28" ht="17.25" customHeight="1" outlineLevel="1">
      <c r="A232" s="513"/>
      <c r="B232" s="252"/>
      <c r="C232" s="2684" t="s">
        <v>2525</v>
      </c>
      <c r="D232" s="2684"/>
      <c r="E232" s="202"/>
      <c r="F232" s="202"/>
      <c r="G232" s="634"/>
      <c r="H232" s="635"/>
      <c r="I232" s="187"/>
      <c r="J232" s="580"/>
      <c r="K232" s="900" t="str">
        <f ca="1">IF(OR($H$7&lt;2,K$197&lt;2),"",IF(J232&lt;&gt;"",J232,IFERROR(IF(INDIRECT("'"&amp;J$86&amp;"'!"&amp;VLOOKUP(J$87,'List Values'!$C$3:$D$6,2,FALSE)&amp;ROW(J232))="","",INDIRECT("'"&amp;J$86&amp;"'!"&amp;VLOOKUP(J$87,'List Values'!$C$3:$D$6,2,FALSE)&amp;ROW(J232))),IF(J$86&lt;&gt;"","Data Source Error",""))))</f>
        <v/>
      </c>
      <c r="L232" s="187"/>
      <c r="M232" s="580"/>
      <c r="N232" s="900" t="str">
        <f ca="1">IF(OR($H$7&lt;3,N$197&lt;2),"",IF(M232&lt;&gt;"",M232,IFERROR(IF(INDIRECT("'"&amp;M$86&amp;"'!"&amp;VLOOKUP(M$87,'List Values'!$C$3:$D$6,2,FALSE)&amp;ROW(M232))="","",INDIRECT("'"&amp;M$86&amp;"'!"&amp;VLOOKUP(M$87,'List Values'!$C$3:$D$6,2,FALSE)&amp;ROW(M232))),IF(M$86&lt;&gt;"","Data Source Error",""))))</f>
        <v/>
      </c>
      <c r="O232" s="187"/>
      <c r="P232" s="580"/>
      <c r="Q232" s="900" t="str">
        <f ca="1">IF(OR($H$7&lt;4,Q$197&lt;2),"",IF(P232&lt;&gt;"",P232,IFERROR(IF(INDIRECT("'"&amp;P$86&amp;"'!"&amp;VLOOKUP(P$87,'List Values'!$C$3:$D$6,2,FALSE)&amp;ROW(P232))="","",INDIRECT("'"&amp;P$86&amp;"'!"&amp;VLOOKUP(P$87,'List Values'!$C$3:$D$6,2,FALSE)&amp;ROW(P232))),IF(P$86&lt;&gt;"","Data Source Error",""))))</f>
        <v/>
      </c>
      <c r="S232" s="580"/>
      <c r="T232" s="900" t="str">
        <f ca="1">IF(OR($H$7&lt;5,T$197&lt;2),"",IF(S232&lt;&gt;"",S232,IFERROR(IF(INDIRECT("'"&amp;S$86&amp;"'!"&amp;VLOOKUP(S$87,'List Values'!$C$3:$D$6,2,FALSE)&amp;ROW(S232))="","",INDIRECT("'"&amp;S$86&amp;"'!"&amp;VLOOKUP(S$87,'List Values'!$C$3:$D$6,2,FALSE)&amp;ROW(S232))),IF(S$86&lt;&gt;"","Data Source Error",""))))</f>
        <v/>
      </c>
      <c r="V232" s="580"/>
      <c r="W232" s="911" t="str">
        <f ca="1">IF(OR($H$7&lt;6,W$197&lt;2),"",IF(V232&lt;&gt;"",V232,IFERROR(IF(INDIRECT("'"&amp;V$86&amp;"'!"&amp;VLOOKUP(V$87,'List Values'!$C$3:$D$6,2,FALSE)&amp;ROW(V232))="","",INDIRECT("'"&amp;V$86&amp;"'!"&amp;VLOOKUP(V$87,'List Values'!$C$3:$D$6,2,FALSE)&amp;ROW(V232))),IF(V$86&lt;&gt;"","Data Source Error",""))))</f>
        <v/>
      </c>
      <c r="Y232" s="2643"/>
      <c r="Z232" s="2644"/>
      <c r="AA232" s="2644"/>
      <c r="AB232" s="2645"/>
    </row>
    <row r="233" spans="1:28" ht="31" customHeight="1" outlineLevel="1">
      <c r="A233" s="513"/>
      <c r="B233" s="252"/>
      <c r="C233" s="2680" t="s">
        <v>2526</v>
      </c>
      <c r="D233" s="2680"/>
      <c r="E233" s="202"/>
      <c r="F233" s="202"/>
      <c r="G233" s="634"/>
      <c r="H233" s="635"/>
      <c r="I233" s="187"/>
      <c r="J233" s="580"/>
      <c r="K233" s="900" t="str">
        <f ca="1">IF(OR($H$7&lt;2,K$197&lt;2),"",IF(J233&lt;&gt;"",J233,IFERROR(IF(INDIRECT("'"&amp;J$86&amp;"'!"&amp;VLOOKUP(J$87,'List Values'!$C$3:$D$6,2,FALSE)&amp;ROW(J233))="","",INDIRECT("'"&amp;J$86&amp;"'!"&amp;VLOOKUP(J$87,'List Values'!$C$3:$D$6,2,FALSE)&amp;ROW(J233))),IF(J$86&lt;&gt;"","Data Source Error",""))))</f>
        <v/>
      </c>
      <c r="L233" s="187"/>
      <c r="M233" s="580"/>
      <c r="N233" s="900" t="str">
        <f ca="1">IF(OR($H$7&lt;3,N$197&lt;2),"",IF(M233&lt;&gt;"",M233,IFERROR(IF(INDIRECT("'"&amp;M$86&amp;"'!"&amp;VLOOKUP(M$87,'List Values'!$C$3:$D$6,2,FALSE)&amp;ROW(M233))="","",INDIRECT("'"&amp;M$86&amp;"'!"&amp;VLOOKUP(M$87,'List Values'!$C$3:$D$6,2,FALSE)&amp;ROW(M233))),IF(M$86&lt;&gt;"","Data Source Error",""))))</f>
        <v/>
      </c>
      <c r="O233" s="187"/>
      <c r="P233" s="580"/>
      <c r="Q233" s="900" t="str">
        <f ca="1">IF(OR($H$7&lt;4,Q$197&lt;2),"",IF(P233&lt;&gt;"",P233,IFERROR(IF(INDIRECT("'"&amp;P$86&amp;"'!"&amp;VLOOKUP(P$87,'List Values'!$C$3:$D$6,2,FALSE)&amp;ROW(P233))="","",INDIRECT("'"&amp;P$86&amp;"'!"&amp;VLOOKUP(P$87,'List Values'!$C$3:$D$6,2,FALSE)&amp;ROW(P233))),IF(P$86&lt;&gt;"","Data Source Error",""))))</f>
        <v/>
      </c>
      <c r="S233" s="580"/>
      <c r="T233" s="900" t="str">
        <f ca="1">IF(OR($H$7&lt;5,T$197&lt;2),"",IF(S233&lt;&gt;"",S233,IFERROR(IF(INDIRECT("'"&amp;S$86&amp;"'!"&amp;VLOOKUP(S$87,'List Values'!$C$3:$D$6,2,FALSE)&amp;ROW(S233))="","",INDIRECT("'"&amp;S$86&amp;"'!"&amp;VLOOKUP(S$87,'List Values'!$C$3:$D$6,2,FALSE)&amp;ROW(S233))),IF(S$86&lt;&gt;"","Data Source Error",""))))</f>
        <v/>
      </c>
      <c r="V233" s="580"/>
      <c r="W233" s="911" t="str">
        <f ca="1">IF(OR($H$7&lt;6,W$197&lt;2),"",IF(V233&lt;&gt;"",V233,IFERROR(IF(INDIRECT("'"&amp;V$86&amp;"'!"&amp;VLOOKUP(V$87,'List Values'!$C$3:$D$6,2,FALSE)&amp;ROW(V233))="","",INDIRECT("'"&amp;V$86&amp;"'!"&amp;VLOOKUP(V$87,'List Values'!$C$3:$D$6,2,FALSE)&amp;ROW(V233))),IF(V$86&lt;&gt;"","Data Source Error",""))))</f>
        <v/>
      </c>
      <c r="Y233" s="2643"/>
      <c r="Z233" s="2644"/>
      <c r="AA233" s="2644"/>
      <c r="AB233" s="2645"/>
    </row>
    <row r="234" spans="1:28" ht="33" customHeight="1" outlineLevel="1">
      <c r="A234" s="513"/>
      <c r="B234" s="252"/>
      <c r="C234" s="2680" t="s">
        <v>2527</v>
      </c>
      <c r="D234" s="2680"/>
      <c r="E234" s="202"/>
      <c r="F234" s="202"/>
      <c r="G234" s="634"/>
      <c r="H234" s="635"/>
      <c r="I234" s="187"/>
      <c r="J234" s="580"/>
      <c r="K234" s="900" t="str">
        <f ca="1">IF(OR($H$7&lt;2,K$197&lt;2),"",IF(J234&lt;&gt;"",J234,IFERROR(IF(INDIRECT("'"&amp;J$86&amp;"'!"&amp;VLOOKUP(J$87,'List Values'!$C$3:$D$6,2,FALSE)&amp;ROW(J234))="","",INDIRECT("'"&amp;J$86&amp;"'!"&amp;VLOOKUP(J$87,'List Values'!$C$3:$D$6,2,FALSE)&amp;ROW(J234))),IF(J$86&lt;&gt;"","Data Source Error",""))))</f>
        <v/>
      </c>
      <c r="L234" s="187"/>
      <c r="M234" s="580"/>
      <c r="N234" s="900" t="str">
        <f ca="1">IF(OR($H$7&lt;3,N$197&lt;2),"",IF(M234&lt;&gt;"",M234,IFERROR(IF(INDIRECT("'"&amp;M$86&amp;"'!"&amp;VLOOKUP(M$87,'List Values'!$C$3:$D$6,2,FALSE)&amp;ROW(M234))="","",INDIRECT("'"&amp;M$86&amp;"'!"&amp;VLOOKUP(M$87,'List Values'!$C$3:$D$6,2,FALSE)&amp;ROW(M234))),IF(M$86&lt;&gt;"","Data Source Error",""))))</f>
        <v/>
      </c>
      <c r="O234" s="187"/>
      <c r="P234" s="580"/>
      <c r="Q234" s="900" t="str">
        <f ca="1">IF(OR($H$7&lt;4,Q$197&lt;2),"",IF(P234&lt;&gt;"",P234,IFERROR(IF(INDIRECT("'"&amp;P$86&amp;"'!"&amp;VLOOKUP(P$87,'List Values'!$C$3:$D$6,2,FALSE)&amp;ROW(P234))="","",INDIRECT("'"&amp;P$86&amp;"'!"&amp;VLOOKUP(P$87,'List Values'!$C$3:$D$6,2,FALSE)&amp;ROW(P234))),IF(P$86&lt;&gt;"","Data Source Error",""))))</f>
        <v/>
      </c>
      <c r="S234" s="580"/>
      <c r="T234" s="900" t="str">
        <f ca="1">IF(OR($H$7&lt;5,T$197&lt;2),"",IF(S234&lt;&gt;"",S234,IFERROR(IF(INDIRECT("'"&amp;S$86&amp;"'!"&amp;VLOOKUP(S$87,'List Values'!$C$3:$D$6,2,FALSE)&amp;ROW(S234))="","",INDIRECT("'"&amp;S$86&amp;"'!"&amp;VLOOKUP(S$87,'List Values'!$C$3:$D$6,2,FALSE)&amp;ROW(S234))),IF(S$86&lt;&gt;"","Data Source Error",""))))</f>
        <v/>
      </c>
      <c r="V234" s="580"/>
      <c r="W234" s="911" t="str">
        <f ca="1">IF(OR($H$7&lt;6,W$197&lt;2),"",IF(V234&lt;&gt;"",V234,IFERROR(IF(INDIRECT("'"&amp;V$86&amp;"'!"&amp;VLOOKUP(V$87,'List Values'!$C$3:$D$6,2,FALSE)&amp;ROW(V234))="","",INDIRECT("'"&amp;V$86&amp;"'!"&amp;VLOOKUP(V$87,'List Values'!$C$3:$D$6,2,FALSE)&amp;ROW(V234))),IF(V$86&lt;&gt;"","Data Source Error",""))))</f>
        <v/>
      </c>
      <c r="Y234" s="2643"/>
      <c r="Z234" s="2644"/>
      <c r="AA234" s="2644"/>
      <c r="AB234" s="2645"/>
    </row>
    <row r="235" spans="1:28" ht="45" customHeight="1" outlineLevel="1">
      <c r="A235" s="513"/>
      <c r="B235" s="252"/>
      <c r="C235" s="2680" t="s">
        <v>2528</v>
      </c>
      <c r="D235" s="2680"/>
      <c r="E235" s="202"/>
      <c r="F235" s="202"/>
      <c r="G235" s="634"/>
      <c r="H235" s="635"/>
      <c r="I235" s="187"/>
      <c r="J235" s="580"/>
      <c r="K235" s="900" t="str">
        <f ca="1">IF(OR($H$7&lt;2,K$197&lt;2),"",IF(J235&lt;&gt;"",J235,IFERROR(IF(INDIRECT("'"&amp;J$86&amp;"'!"&amp;VLOOKUP(J$87,'List Values'!$C$3:$D$6,2,FALSE)&amp;ROW(J235))="","",INDIRECT("'"&amp;J$86&amp;"'!"&amp;VLOOKUP(J$87,'List Values'!$C$3:$D$6,2,FALSE)&amp;ROW(J235))),IF(J$86&lt;&gt;"","Data Source Error",""))))</f>
        <v/>
      </c>
      <c r="L235" s="187"/>
      <c r="M235" s="580"/>
      <c r="N235" s="900" t="str">
        <f ca="1">IF(OR($H$7&lt;3,N$197&lt;2),"",IF(M235&lt;&gt;"",M235,IFERROR(IF(INDIRECT("'"&amp;M$86&amp;"'!"&amp;VLOOKUP(M$87,'List Values'!$C$3:$D$6,2,FALSE)&amp;ROW(M235))="","",INDIRECT("'"&amp;M$86&amp;"'!"&amp;VLOOKUP(M$87,'List Values'!$C$3:$D$6,2,FALSE)&amp;ROW(M235))),IF(M$86&lt;&gt;"","Data Source Error",""))))</f>
        <v/>
      </c>
      <c r="O235" s="187"/>
      <c r="P235" s="580"/>
      <c r="Q235" s="900" t="str">
        <f ca="1">IF(OR($H$7&lt;4,Q$197&lt;2),"",IF(P235&lt;&gt;"",P235,IFERROR(IF(INDIRECT("'"&amp;P$86&amp;"'!"&amp;VLOOKUP(P$87,'List Values'!$C$3:$D$6,2,FALSE)&amp;ROW(P235))="","",INDIRECT("'"&amp;P$86&amp;"'!"&amp;VLOOKUP(P$87,'List Values'!$C$3:$D$6,2,FALSE)&amp;ROW(P235))),IF(P$86&lt;&gt;"","Data Source Error",""))))</f>
        <v/>
      </c>
      <c r="S235" s="580"/>
      <c r="T235" s="900" t="str">
        <f ca="1">IF(OR($H$7&lt;5,T$197&lt;2),"",IF(S235&lt;&gt;"",S235,IFERROR(IF(INDIRECT("'"&amp;S$86&amp;"'!"&amp;VLOOKUP(S$87,'List Values'!$C$3:$D$6,2,FALSE)&amp;ROW(S235))="","",INDIRECT("'"&amp;S$86&amp;"'!"&amp;VLOOKUP(S$87,'List Values'!$C$3:$D$6,2,FALSE)&amp;ROW(S235))),IF(S$86&lt;&gt;"","Data Source Error",""))))</f>
        <v/>
      </c>
      <c r="V235" s="580"/>
      <c r="W235" s="911" t="str">
        <f ca="1">IF(OR($H$7&lt;6,W$197&lt;2),"",IF(V235&lt;&gt;"",V235,IFERROR(IF(INDIRECT("'"&amp;V$86&amp;"'!"&amp;VLOOKUP(V$87,'List Values'!$C$3:$D$6,2,FALSE)&amp;ROW(V235))="","",INDIRECT("'"&amp;V$86&amp;"'!"&amp;VLOOKUP(V$87,'List Values'!$C$3:$D$6,2,FALSE)&amp;ROW(V235))),IF(V$86&lt;&gt;"","Data Source Error",""))))</f>
        <v/>
      </c>
      <c r="Y235" s="2643"/>
      <c r="Z235" s="2644"/>
      <c r="AA235" s="2644"/>
      <c r="AB235" s="2645"/>
    </row>
    <row r="236" spans="1:28" ht="17.25" customHeight="1" outlineLevel="1">
      <c r="A236" s="513"/>
      <c r="B236" s="252"/>
      <c r="C236" s="2680" t="s">
        <v>650</v>
      </c>
      <c r="D236" s="2680"/>
      <c r="E236" s="202"/>
      <c r="F236" s="202"/>
      <c r="G236" s="634"/>
      <c r="H236" s="635"/>
      <c r="I236" s="187"/>
      <c r="J236" s="580"/>
      <c r="K236" s="900" t="str">
        <f ca="1">IF(OR($H$7&lt;2,K$197&lt;2),"",IF(J236&lt;&gt;"",J236,IFERROR(IF(INDIRECT("'"&amp;J$86&amp;"'!"&amp;VLOOKUP(J$87,'List Values'!$C$3:$D$6,2,FALSE)&amp;ROW(J236))="","",INDIRECT("'"&amp;J$86&amp;"'!"&amp;VLOOKUP(J$87,'List Values'!$C$3:$D$6,2,FALSE)&amp;ROW(J236))),IF(J$86&lt;&gt;"","Data Source Error",""))))</f>
        <v/>
      </c>
      <c r="L236" s="187"/>
      <c r="M236" s="580"/>
      <c r="N236" s="900" t="str">
        <f ca="1">IF(OR($H$7&lt;3,N$197&lt;2),"",IF(M236&lt;&gt;"",M236,IFERROR(IF(INDIRECT("'"&amp;M$86&amp;"'!"&amp;VLOOKUP(M$87,'List Values'!$C$3:$D$6,2,FALSE)&amp;ROW(M236))="","",INDIRECT("'"&amp;M$86&amp;"'!"&amp;VLOOKUP(M$87,'List Values'!$C$3:$D$6,2,FALSE)&amp;ROW(M236))),IF(M$86&lt;&gt;"","Data Source Error",""))))</f>
        <v/>
      </c>
      <c r="O236" s="187"/>
      <c r="P236" s="580"/>
      <c r="Q236" s="900" t="str">
        <f ca="1">IF(OR($H$7&lt;4,Q$197&lt;2),"",IF(P236&lt;&gt;"",P236,IFERROR(IF(INDIRECT("'"&amp;P$86&amp;"'!"&amp;VLOOKUP(P$87,'List Values'!$C$3:$D$6,2,FALSE)&amp;ROW(P236))="","",INDIRECT("'"&amp;P$86&amp;"'!"&amp;VLOOKUP(P$87,'List Values'!$C$3:$D$6,2,FALSE)&amp;ROW(P236))),IF(P$86&lt;&gt;"","Data Source Error",""))))</f>
        <v/>
      </c>
      <c r="S236" s="580"/>
      <c r="T236" s="900" t="str">
        <f ca="1">IF(OR($H$7&lt;5,T$197&lt;2),"",IF(S236&lt;&gt;"",S236,IFERROR(IF(INDIRECT("'"&amp;S$86&amp;"'!"&amp;VLOOKUP(S$87,'List Values'!$C$3:$D$6,2,FALSE)&amp;ROW(S236))="","",INDIRECT("'"&amp;S$86&amp;"'!"&amp;VLOOKUP(S$87,'List Values'!$C$3:$D$6,2,FALSE)&amp;ROW(S236))),IF(S$86&lt;&gt;"","Data Source Error",""))))</f>
        <v/>
      </c>
      <c r="V236" s="580"/>
      <c r="W236" s="911" t="str">
        <f ca="1">IF(OR($H$7&lt;6,W$197&lt;2),"",IF(V236&lt;&gt;"",V236,IFERROR(IF(INDIRECT("'"&amp;V$86&amp;"'!"&amp;VLOOKUP(V$87,'List Values'!$C$3:$D$6,2,FALSE)&amp;ROW(V236))="","",INDIRECT("'"&amp;V$86&amp;"'!"&amp;VLOOKUP(V$87,'List Values'!$C$3:$D$6,2,FALSE)&amp;ROW(V236))),IF(V$86&lt;&gt;"","Data Source Error",""))))</f>
        <v/>
      </c>
      <c r="Y236" s="2643"/>
      <c r="Z236" s="2644"/>
      <c r="AA236" s="2644"/>
      <c r="AB236" s="2645"/>
    </row>
    <row r="237" spans="1:28" ht="31" customHeight="1" outlineLevel="1">
      <c r="A237" s="513"/>
      <c r="B237" s="252"/>
      <c r="C237" s="2680" t="s">
        <v>651</v>
      </c>
      <c r="D237" s="2680"/>
      <c r="E237" s="35"/>
      <c r="F237" s="35"/>
      <c r="G237" s="646"/>
      <c r="H237" s="647"/>
      <c r="I237" s="184"/>
      <c r="J237" s="624"/>
      <c r="K237" s="941" t="str">
        <f ca="1">IF(OR($H$7&lt;2,K$197&lt;2),"",IF(J237&lt;&gt;"",J237,IFERROR(IF(INDIRECT("'"&amp;J$86&amp;"'!"&amp;VLOOKUP(J$87,'List Values'!$C$3:$D$6,2,FALSE)&amp;ROW(J237))="","",INDIRECT("'"&amp;J$86&amp;"'!"&amp;VLOOKUP(J$87,'List Values'!$C$3:$D$6,2,FALSE)&amp;ROW(J237))),IF(J$86&lt;&gt;"","Data Source Error",""))))</f>
        <v/>
      </c>
      <c r="L237" s="184"/>
      <c r="M237" s="624"/>
      <c r="N237" s="941" t="str">
        <f ca="1">IF(OR($H$7&lt;3,N$197&lt;2),"",IF(M237&lt;&gt;"",M237,IFERROR(IF(INDIRECT("'"&amp;M$86&amp;"'!"&amp;VLOOKUP(M$87,'List Values'!$C$3:$D$6,2,FALSE)&amp;ROW(M237))="","",INDIRECT("'"&amp;M$86&amp;"'!"&amp;VLOOKUP(M$87,'List Values'!$C$3:$D$6,2,FALSE)&amp;ROW(M237))),IF(M$86&lt;&gt;"","Data Source Error",""))))</f>
        <v/>
      </c>
      <c r="O237" s="184"/>
      <c r="P237" s="624"/>
      <c r="Q237" s="941" t="str">
        <f ca="1">IF(OR($H$7&lt;4,Q$197&lt;2),"",IF(P237&lt;&gt;"",P237,IFERROR(IF(INDIRECT("'"&amp;P$86&amp;"'!"&amp;VLOOKUP(P$87,'List Values'!$C$3:$D$6,2,FALSE)&amp;ROW(P237))="","",INDIRECT("'"&amp;P$86&amp;"'!"&amp;VLOOKUP(P$87,'List Values'!$C$3:$D$6,2,FALSE)&amp;ROW(P237))),IF(P$86&lt;&gt;"","Data Source Error",""))))</f>
        <v/>
      </c>
      <c r="S237" s="624"/>
      <c r="T237" s="941" t="str">
        <f ca="1">IF(OR($H$7&lt;5,T$197&lt;2),"",IF(S237&lt;&gt;"",S237,IFERROR(IF(INDIRECT("'"&amp;S$86&amp;"'!"&amp;VLOOKUP(S$87,'List Values'!$C$3:$D$6,2,FALSE)&amp;ROW(S237))="","",INDIRECT("'"&amp;S$86&amp;"'!"&amp;VLOOKUP(S$87,'List Values'!$C$3:$D$6,2,FALSE)&amp;ROW(S237))),IF(S$86&lt;&gt;"","Data Source Error",""))))</f>
        <v/>
      </c>
      <c r="V237" s="624"/>
      <c r="W237" s="947" t="str">
        <f ca="1">IF(OR($H$7&lt;6,W$197&lt;2),"",IF(V237&lt;&gt;"",V237,IFERROR(IF(INDIRECT("'"&amp;V$86&amp;"'!"&amp;VLOOKUP(V$87,'List Values'!$C$3:$D$6,2,FALSE)&amp;ROW(V237))="","",INDIRECT("'"&amp;V$86&amp;"'!"&amp;VLOOKUP(V$87,'List Values'!$C$3:$D$6,2,FALSE)&amp;ROW(V237))),IF(V$86&lt;&gt;"","Data Source Error",""))))</f>
        <v/>
      </c>
      <c r="Y237" s="2643"/>
      <c r="Z237" s="2644"/>
      <c r="AA237" s="2644"/>
      <c r="AB237" s="2645"/>
    </row>
    <row r="238" spans="1:28" ht="20.25" customHeight="1">
      <c r="A238" s="807"/>
      <c r="B238" s="612" t="s">
        <v>618</v>
      </c>
      <c r="C238" s="604"/>
      <c r="D238" s="604"/>
      <c r="E238" s="614"/>
      <c r="F238" s="608"/>
      <c r="G238" s="615"/>
      <c r="H238" s="611"/>
      <c r="I238" s="608"/>
      <c r="J238" s="610"/>
      <c r="K238" s="970"/>
      <c r="L238" s="608"/>
      <c r="M238" s="610"/>
      <c r="N238" s="970"/>
      <c r="O238" s="608"/>
      <c r="P238" s="610"/>
      <c r="Q238" s="970"/>
      <c r="R238" s="608"/>
      <c r="S238" s="610"/>
      <c r="T238" s="970"/>
      <c r="U238" s="608"/>
      <c r="V238" s="610"/>
      <c r="W238" s="970"/>
      <c r="Y238" s="631"/>
      <c r="Z238" s="631"/>
      <c r="AA238" s="631"/>
      <c r="AB238" s="631"/>
    </row>
    <row r="239" spans="1:28" ht="15.75" customHeight="1" outlineLevel="1">
      <c r="A239" s="514"/>
      <c r="B239" s="252"/>
      <c r="C239" s="2580" t="s">
        <v>731</v>
      </c>
      <c r="D239" s="2580"/>
      <c r="E239" s="203"/>
      <c r="F239" s="203"/>
      <c r="G239" s="644"/>
      <c r="H239" s="645"/>
      <c r="I239" s="183"/>
      <c r="J239" s="628"/>
      <c r="K239" s="967" t="str">
        <f ca="1">IF(OR($H$7&lt;2,K$197&lt;3),"",IF(J239&lt;&gt;"",J239,IFERROR(IF(INDIRECT("'"&amp;J$86&amp;"'!"&amp;VLOOKUP(J$87,'List Values'!$C$3:$D$6,2,FALSE)&amp;ROW(J239))="","",INDIRECT("'"&amp;J$86&amp;"'!"&amp;VLOOKUP(J$87,'List Values'!$C$3:$D$6,2,FALSE)&amp;ROW(J239))),IF(J$86&lt;&gt;"","Data Source Error",""))))</f>
        <v/>
      </c>
      <c r="L239" s="629"/>
      <c r="M239" s="628"/>
      <c r="N239" s="967" t="str">
        <f ca="1">IF(OR($H$7&lt;3,N$197&lt;3),"",IF(M239&lt;&gt;"",M239,IFERROR(IF(INDIRECT("'"&amp;M$86&amp;"'!"&amp;VLOOKUP(M$87,'List Values'!$C$3:$D$6,2,FALSE)&amp;ROW(M239))="","",INDIRECT("'"&amp;M$86&amp;"'!"&amp;VLOOKUP(M$87,'List Values'!$C$3:$D$6,2,FALSE)&amp;ROW(M239))),IF(M$86&lt;&gt;"","Data Source Error",""))))</f>
        <v/>
      </c>
      <c r="O239" s="629"/>
      <c r="P239" s="628"/>
      <c r="Q239" s="967" t="str">
        <f ca="1">IF(OR($H$7&lt;4,Q$197&lt;3),"",IF(P239&lt;&gt;"",P239,IFERROR(IF(INDIRECT("'"&amp;P$86&amp;"'!"&amp;VLOOKUP(P$87,'List Values'!$C$3:$D$6,2,FALSE)&amp;ROW(P239))="","",INDIRECT("'"&amp;P$86&amp;"'!"&amp;VLOOKUP(P$87,'List Values'!$C$3:$D$6,2,FALSE)&amp;ROW(P239))),IF(P$86&lt;&gt;"","Data Source Error",""))))</f>
        <v/>
      </c>
      <c r="R239" s="147"/>
      <c r="S239" s="628"/>
      <c r="T239" s="967" t="str">
        <f ca="1">IF(OR($H$7&lt;5,T$197&lt;3),"",IF(S239&lt;&gt;"",S239,IFERROR(IF(INDIRECT("'"&amp;S$86&amp;"'!"&amp;VLOOKUP(S$87,'List Values'!$C$3:$D$6,2,FALSE)&amp;ROW(S239))="","",INDIRECT("'"&amp;S$86&amp;"'!"&amp;VLOOKUP(S$87,'List Values'!$C$3:$D$6,2,FALSE)&amp;ROW(S239))),IF(S$86&lt;&gt;"","Data Source Error",""))))</f>
        <v/>
      </c>
      <c r="U239" s="147"/>
      <c r="V239" s="628"/>
      <c r="W239" s="973" t="str">
        <f ca="1">IF(OR($H$7&lt;6,W$197&lt;3),"",IF(V239&lt;&gt;"",V239,IFERROR(IF(INDIRECT("'"&amp;V$86&amp;"'!"&amp;VLOOKUP(V$87,'List Values'!$C$3:$D$6,2,FALSE)&amp;ROW(V239))="","",INDIRECT("'"&amp;V$86&amp;"'!"&amp;VLOOKUP(V$87,'List Values'!$C$3:$D$6,2,FALSE)&amp;ROW(V239))),IF(V$86&lt;&gt;"","Data Source Error",""))))</f>
        <v/>
      </c>
      <c r="Y239" s="2643"/>
      <c r="Z239" s="2644"/>
      <c r="AA239" s="2644"/>
      <c r="AB239" s="2645"/>
    </row>
    <row r="240" spans="1:28" ht="15.75" customHeight="1" outlineLevel="1">
      <c r="A240" s="514"/>
      <c r="B240" s="252"/>
      <c r="C240" s="2680" t="s">
        <v>626</v>
      </c>
      <c r="D240" s="2680"/>
      <c r="E240" s="203"/>
      <c r="F240" s="203"/>
      <c r="G240" s="644"/>
      <c r="H240" s="645"/>
      <c r="I240" s="187"/>
      <c r="J240" s="526"/>
      <c r="K240" s="900" t="str">
        <f ca="1">IF(OR($H$7&lt;2,K$197&lt;3),"",IF(J240&lt;&gt;"",J240,IFERROR(IF(INDIRECT("'"&amp;J$86&amp;"'!"&amp;VLOOKUP(J$87,'List Values'!$C$3:$D$6,2,FALSE)&amp;ROW(J240))="","",INDIRECT("'"&amp;J$86&amp;"'!"&amp;VLOOKUP(J$87,'List Values'!$C$3:$D$6,2,FALSE)&amp;ROW(J240))),IF(J$86&lt;&gt;"","Data Source Error",""))))</f>
        <v/>
      </c>
      <c r="L240" s="187"/>
      <c r="M240" s="526"/>
      <c r="N240" s="900" t="str">
        <f ca="1">IF(OR($H$7&lt;3,N$197&lt;3),"",IF(M240&lt;&gt;"",M240,IFERROR(IF(INDIRECT("'"&amp;M$86&amp;"'!"&amp;VLOOKUP(M$87,'List Values'!$C$3:$D$6,2,FALSE)&amp;ROW(M240))="","",INDIRECT("'"&amp;M$86&amp;"'!"&amp;VLOOKUP(M$87,'List Values'!$C$3:$D$6,2,FALSE)&amp;ROW(M240))),IF(M$86&lt;&gt;"","Data Source Error",""))))</f>
        <v/>
      </c>
      <c r="O240" s="187"/>
      <c r="P240" s="526"/>
      <c r="Q240" s="900" t="str">
        <f ca="1">IF(OR($H$7&lt;4,Q$197&lt;3),"",IF(P240&lt;&gt;"",P240,IFERROR(IF(INDIRECT("'"&amp;P$86&amp;"'!"&amp;VLOOKUP(P$87,'List Values'!$C$3:$D$6,2,FALSE)&amp;ROW(P240))="","",INDIRECT("'"&amp;P$86&amp;"'!"&amp;VLOOKUP(P$87,'List Values'!$C$3:$D$6,2,FALSE)&amp;ROW(P240))),IF(P$86&lt;&gt;"","Data Source Error",""))))</f>
        <v/>
      </c>
      <c r="S240" s="526"/>
      <c r="T240" s="900" t="str">
        <f ca="1">IF(OR($H$7&lt;5,T$197&lt;3),"",IF(S240&lt;&gt;"",S240,IFERROR(IF(INDIRECT("'"&amp;S$86&amp;"'!"&amp;VLOOKUP(S$87,'List Values'!$C$3:$D$6,2,FALSE)&amp;ROW(S240))="","",INDIRECT("'"&amp;S$86&amp;"'!"&amp;VLOOKUP(S$87,'List Values'!$C$3:$D$6,2,FALSE)&amp;ROW(S240))),IF(S$86&lt;&gt;"","Data Source Error",""))))</f>
        <v/>
      </c>
      <c r="V240" s="526"/>
      <c r="W240" s="911" t="str">
        <f ca="1">IF(OR($H$7&lt;6,W$197&lt;3),"",IF(V240&lt;&gt;"",V240,IFERROR(IF(INDIRECT("'"&amp;V$86&amp;"'!"&amp;VLOOKUP(V$87,'List Values'!$C$3:$D$6,2,FALSE)&amp;ROW(V240))="","",INDIRECT("'"&amp;V$86&amp;"'!"&amp;VLOOKUP(V$87,'List Values'!$C$3:$D$6,2,FALSE)&amp;ROW(V240))),IF(V$86&lt;&gt;"","Data Source Error",""))))</f>
        <v/>
      </c>
      <c r="Y240" s="2643"/>
      <c r="Z240" s="2644"/>
      <c r="AA240" s="2644"/>
      <c r="AB240" s="2645"/>
    </row>
    <row r="241" spans="1:28" ht="29.25" customHeight="1" outlineLevel="1">
      <c r="A241" s="514"/>
      <c r="B241" s="252"/>
      <c r="C241" s="2680" t="s">
        <v>2520</v>
      </c>
      <c r="D241" s="2680"/>
      <c r="E241" s="203"/>
      <c r="F241" s="203"/>
      <c r="G241" s="644"/>
      <c r="H241" s="645"/>
      <c r="I241" s="187"/>
      <c r="J241" s="561"/>
      <c r="K241" s="900" t="str">
        <f ca="1">IF(OR($H$7&lt;2,K$197&lt;3),"",IF(J241&lt;&gt;"",J241,IFERROR(IF(INDIRECT("'"&amp;J$86&amp;"'!"&amp;VLOOKUP(J$87,'List Values'!$C$3:$D$6,2,FALSE)&amp;ROW(J241))="","",INDIRECT("'"&amp;J$86&amp;"'!"&amp;VLOOKUP(J$87,'List Values'!$C$3:$D$6,2,FALSE)&amp;ROW(J241))),IF(J$86&lt;&gt;"","Data Source Error",""))))</f>
        <v/>
      </c>
      <c r="L241" s="187"/>
      <c r="M241" s="561"/>
      <c r="N241" s="900" t="str">
        <f ca="1">IF(OR($H$7&lt;3,N$197&lt;3),"",IF(M241&lt;&gt;"",M241,IFERROR(IF(INDIRECT("'"&amp;M$86&amp;"'!"&amp;VLOOKUP(M$87,'List Values'!$C$3:$D$6,2,FALSE)&amp;ROW(M241))="","",INDIRECT("'"&amp;M$86&amp;"'!"&amp;VLOOKUP(M$87,'List Values'!$C$3:$D$6,2,FALSE)&amp;ROW(M241))),IF(M$86&lt;&gt;"","Data Source Error",""))))</f>
        <v/>
      </c>
      <c r="O241" s="187"/>
      <c r="P241" s="561"/>
      <c r="Q241" s="900" t="str">
        <f ca="1">IF(OR($H$7&lt;4,Q$197&lt;3),"",IF(P241&lt;&gt;"",P241,IFERROR(IF(INDIRECT("'"&amp;P$86&amp;"'!"&amp;VLOOKUP(P$87,'List Values'!$C$3:$D$6,2,FALSE)&amp;ROW(P241))="","",INDIRECT("'"&amp;P$86&amp;"'!"&amp;VLOOKUP(P$87,'List Values'!$C$3:$D$6,2,FALSE)&amp;ROW(P241))),IF(P$86&lt;&gt;"","Data Source Error",""))))</f>
        <v/>
      </c>
      <c r="S241" s="561"/>
      <c r="T241" s="900" t="str">
        <f ca="1">IF(OR($H$7&lt;5,T$197&lt;3),"",IF(S241&lt;&gt;"",S241,IFERROR(IF(INDIRECT("'"&amp;S$86&amp;"'!"&amp;VLOOKUP(S$87,'List Values'!$C$3:$D$6,2,FALSE)&amp;ROW(S241))="","",INDIRECT("'"&amp;S$86&amp;"'!"&amp;VLOOKUP(S$87,'List Values'!$C$3:$D$6,2,FALSE)&amp;ROW(S241))),IF(S$86&lt;&gt;"","Data Source Error",""))))</f>
        <v/>
      </c>
      <c r="V241" s="561"/>
      <c r="W241" s="911" t="str">
        <f ca="1">IF(OR($H$7&lt;6,W$197&lt;3),"",IF(V241&lt;&gt;"",V241,IFERROR(IF(INDIRECT("'"&amp;V$86&amp;"'!"&amp;VLOOKUP(V$87,'List Values'!$C$3:$D$6,2,FALSE)&amp;ROW(V241))="","",INDIRECT("'"&amp;V$86&amp;"'!"&amp;VLOOKUP(V$87,'List Values'!$C$3:$D$6,2,FALSE)&amp;ROW(V241))),IF(V$86&lt;&gt;"","Data Source Error",""))))</f>
        <v/>
      </c>
      <c r="Y241" s="2643"/>
      <c r="Z241" s="2644"/>
      <c r="AA241" s="2644"/>
      <c r="AB241" s="2645"/>
    </row>
    <row r="242" spans="1:28" ht="31" customHeight="1" outlineLevel="1">
      <c r="A242" s="514"/>
      <c r="B242" s="252"/>
      <c r="C242" s="2684" t="s">
        <v>726</v>
      </c>
      <c r="D242" s="2684"/>
      <c r="E242" s="203"/>
      <c r="F242" s="203"/>
      <c r="G242" s="644"/>
      <c r="H242" s="645"/>
      <c r="I242" s="187"/>
      <c r="J242" s="526"/>
      <c r="K242" s="900" t="str">
        <f ca="1">IF(OR($H$7&lt;2,K$197&lt;3),"",IF(J242&lt;&gt;"",J242,IFERROR(IF(INDIRECT("'"&amp;J$86&amp;"'!"&amp;VLOOKUP(J$87,'List Values'!$C$3:$D$6,2,FALSE)&amp;ROW(J242))="","",INDIRECT("'"&amp;J$86&amp;"'!"&amp;VLOOKUP(J$87,'List Values'!$C$3:$D$6,2,FALSE)&amp;ROW(J242))),IF(J$86&lt;&gt;"","Data Source Error",""))))</f>
        <v/>
      </c>
      <c r="L242" s="187"/>
      <c r="M242" s="526"/>
      <c r="N242" s="900" t="str">
        <f ca="1">IF(OR($H$7&lt;3,N$197&lt;3),"",IF(M242&lt;&gt;"",M242,IFERROR(IF(INDIRECT("'"&amp;M$86&amp;"'!"&amp;VLOOKUP(M$87,'List Values'!$C$3:$D$6,2,FALSE)&amp;ROW(M242))="","",INDIRECT("'"&amp;M$86&amp;"'!"&amp;VLOOKUP(M$87,'List Values'!$C$3:$D$6,2,FALSE)&amp;ROW(M242))),IF(M$86&lt;&gt;"","Data Source Error",""))))</f>
        <v/>
      </c>
      <c r="O242" s="187"/>
      <c r="P242" s="526"/>
      <c r="Q242" s="900" t="str">
        <f ca="1">IF(OR($H$7&lt;4,Q$197&lt;3),"",IF(P242&lt;&gt;"",P242,IFERROR(IF(INDIRECT("'"&amp;P$86&amp;"'!"&amp;VLOOKUP(P$87,'List Values'!$C$3:$D$6,2,FALSE)&amp;ROW(P242))="","",INDIRECT("'"&amp;P$86&amp;"'!"&amp;VLOOKUP(P$87,'List Values'!$C$3:$D$6,2,FALSE)&amp;ROW(P242))),IF(P$86&lt;&gt;"","Data Source Error",""))))</f>
        <v/>
      </c>
      <c r="S242" s="526"/>
      <c r="T242" s="900" t="str">
        <f ca="1">IF(OR($H$7&lt;5,T$197&lt;3),"",IF(S242&lt;&gt;"",S242,IFERROR(IF(INDIRECT("'"&amp;S$86&amp;"'!"&amp;VLOOKUP(S$87,'List Values'!$C$3:$D$6,2,FALSE)&amp;ROW(S242))="","",INDIRECT("'"&amp;S$86&amp;"'!"&amp;VLOOKUP(S$87,'List Values'!$C$3:$D$6,2,FALSE)&amp;ROW(S242))),IF(S$86&lt;&gt;"","Data Source Error",""))))</f>
        <v/>
      </c>
      <c r="V242" s="526"/>
      <c r="W242" s="911" t="str">
        <f ca="1">IF(OR($H$7&lt;6,W$197&lt;3),"",IF(V242&lt;&gt;"",V242,IFERROR(IF(INDIRECT("'"&amp;V$86&amp;"'!"&amp;VLOOKUP(V$87,'List Values'!$C$3:$D$6,2,FALSE)&amp;ROW(V242))="","",INDIRECT("'"&amp;V$86&amp;"'!"&amp;VLOOKUP(V$87,'List Values'!$C$3:$D$6,2,FALSE)&amp;ROW(V242))),IF(V$86&lt;&gt;"","Data Source Error",""))))</f>
        <v/>
      </c>
      <c r="Y242" s="2643"/>
      <c r="Z242" s="2644"/>
      <c r="AA242" s="2644"/>
      <c r="AB242" s="2645"/>
    </row>
    <row r="243" spans="1:28" ht="33.75" customHeight="1" outlineLevel="1">
      <c r="A243" s="514"/>
      <c r="B243" s="252"/>
      <c r="C243" s="2684" t="s">
        <v>727</v>
      </c>
      <c r="D243" s="2684"/>
      <c r="E243" s="202"/>
      <c r="F243" s="202"/>
      <c r="G243" s="634"/>
      <c r="H243" s="635"/>
      <c r="I243" s="187"/>
      <c r="J243" s="568"/>
      <c r="K243" s="945" t="str">
        <f ca="1">IF(OR($H$7&lt;2,K$197&lt;3),"",IF(J243&lt;&gt;"",J243,IFERROR(IF(INDIRECT("'"&amp;J$86&amp;"'!"&amp;VLOOKUP(J$87,'List Values'!$C$3:$D$6,2,FALSE)&amp;ROW(J243))="","",INDIRECT("'"&amp;J$86&amp;"'!"&amp;VLOOKUP(J$87,'List Values'!$C$3:$D$6,2,FALSE)&amp;ROW(J243))*$H$6),IF(J$86&lt;&gt;"","Data Source Error",""))))</f>
        <v/>
      </c>
      <c r="L243" s="339"/>
      <c r="M243" s="568"/>
      <c r="N243" s="945" t="str">
        <f ca="1">IF(OR($H$7&lt;3,N$197&lt;3),"",IF(M243&lt;&gt;"",M243,IFERROR(IF(INDIRECT("'"&amp;M$86&amp;"'!"&amp;VLOOKUP(M$87,'List Values'!$C$3:$D$6,2,FALSE)&amp;ROW(M243))="","",INDIRECT("'"&amp;M$86&amp;"'!"&amp;VLOOKUP(M$87,'List Values'!$C$3:$D$6,2,FALSE)&amp;ROW(M243))*$H$6),IF(M$86&lt;&gt;"","Data Source Error",""))))</f>
        <v/>
      </c>
      <c r="O243" s="339"/>
      <c r="P243" s="568"/>
      <c r="Q243" s="945" t="str">
        <f ca="1">IF(OR($H$7&lt;4,Q$197&lt;3),"",IF(P243&lt;&gt;"",P243,IFERROR(IF(INDIRECT("'"&amp;P$86&amp;"'!"&amp;VLOOKUP(P$87,'List Values'!$C$3:$D$6,2,FALSE)&amp;ROW(P243))="","",INDIRECT("'"&amp;P$86&amp;"'!"&amp;VLOOKUP(P$87,'List Values'!$C$3:$D$6,2,FALSE)&amp;ROW(P243))*$H$6),IF(P$86&lt;&gt;"","Data Source Error",""))))</f>
        <v/>
      </c>
      <c r="R243" s="7"/>
      <c r="S243" s="568"/>
      <c r="T243" s="945" t="str">
        <f ca="1">IF(OR($H$7&lt;5,T$197&lt;3),"",IF(S243&lt;&gt;"",S243,IFERROR(IF(INDIRECT("'"&amp;S$86&amp;"'!"&amp;VLOOKUP(S$87,'List Values'!$C$3:$D$6,2,FALSE)&amp;ROW(S243))="","",INDIRECT("'"&amp;S$86&amp;"'!"&amp;VLOOKUP(S$87,'List Values'!$C$3:$D$6,2,FALSE)&amp;ROW(S243))*$H$6),IF(S$86&lt;&gt;"","Data Source Error",""))))</f>
        <v/>
      </c>
      <c r="U243" s="7"/>
      <c r="V243" s="568"/>
      <c r="W243" s="952" t="str">
        <f ca="1">IF(OR($H$7&lt;6,W$197&lt;3),"",IF(V243&lt;&gt;"",V243,IFERROR(IF(INDIRECT("'"&amp;V$86&amp;"'!"&amp;VLOOKUP(V$87,'List Values'!$C$3:$D$6,2,FALSE)&amp;ROW(V243))="","",INDIRECT("'"&amp;V$86&amp;"'!"&amp;VLOOKUP(V$87,'List Values'!$C$3:$D$6,2,FALSE)&amp;ROW(V243))*$H$6),IF(V$86&lt;&gt;"","Data Source Error",""))))</f>
        <v/>
      </c>
      <c r="Y243" s="2643"/>
      <c r="Z243" s="2644"/>
      <c r="AA243" s="2644"/>
      <c r="AB243" s="2645"/>
    </row>
    <row r="244" spans="1:28" ht="15.75" customHeight="1" outlineLevel="1">
      <c r="A244" s="514"/>
      <c r="B244" s="252"/>
      <c r="C244" s="2680" t="s">
        <v>732</v>
      </c>
      <c r="D244" s="2680"/>
      <c r="E244" s="203"/>
      <c r="F244" s="203"/>
      <c r="G244" s="644"/>
      <c r="H244" s="645"/>
      <c r="I244" s="187"/>
      <c r="J244" s="526"/>
      <c r="K244" s="900" t="str">
        <f ca="1">IF(OR($H$7&lt;2,K$197&lt;3),"",IF(J244&lt;&gt;"",J244,IFERROR(IF(INDIRECT("'"&amp;J$86&amp;"'!"&amp;VLOOKUP(J$87,'List Values'!$C$3:$D$6,2,FALSE)&amp;ROW(J244))="","",INDIRECT("'"&amp;J$86&amp;"'!"&amp;VLOOKUP(J$87,'List Values'!$C$3:$D$6,2,FALSE)&amp;ROW(J244))),IF(J$86&lt;&gt;"","Data Source Error",""))))</f>
        <v/>
      </c>
      <c r="L244" s="187"/>
      <c r="M244" s="526"/>
      <c r="N244" s="900" t="str">
        <f ca="1">IF(OR($H$7&lt;3,N$197&lt;3),"",IF(M244&lt;&gt;"",M244,IFERROR(IF(INDIRECT("'"&amp;M$86&amp;"'!"&amp;VLOOKUP(M$87,'List Values'!$C$3:$D$6,2,FALSE)&amp;ROW(M244))="","",INDIRECT("'"&amp;M$86&amp;"'!"&amp;VLOOKUP(M$87,'List Values'!$C$3:$D$6,2,FALSE)&amp;ROW(M244))),IF(M$86&lt;&gt;"","Data Source Error",""))))</f>
        <v/>
      </c>
      <c r="O244" s="187"/>
      <c r="P244" s="526"/>
      <c r="Q244" s="900" t="str">
        <f ca="1">IF(OR($H$7&lt;4,Q$197&lt;3),"",IF(P244&lt;&gt;"",P244,IFERROR(IF(INDIRECT("'"&amp;P$86&amp;"'!"&amp;VLOOKUP(P$87,'List Values'!$C$3:$D$6,2,FALSE)&amp;ROW(P244))="","",INDIRECT("'"&amp;P$86&amp;"'!"&amp;VLOOKUP(P$87,'List Values'!$C$3:$D$6,2,FALSE)&amp;ROW(P244))),IF(P$86&lt;&gt;"","Data Source Error",""))))</f>
        <v/>
      </c>
      <c r="S244" s="526"/>
      <c r="T244" s="900" t="str">
        <f ca="1">IF(OR($H$7&lt;5,T$197&lt;3),"",IF(S244&lt;&gt;"",S244,IFERROR(IF(INDIRECT("'"&amp;S$86&amp;"'!"&amp;VLOOKUP(S$87,'List Values'!$C$3:$D$6,2,FALSE)&amp;ROW(S244))="","",INDIRECT("'"&amp;S$86&amp;"'!"&amp;VLOOKUP(S$87,'List Values'!$C$3:$D$6,2,FALSE)&amp;ROW(S244))),IF(S$86&lt;&gt;"","Data Source Error",""))))</f>
        <v/>
      </c>
      <c r="V244" s="526"/>
      <c r="W244" s="911" t="str">
        <f ca="1">IF(OR($H$7&lt;6,W$197&lt;3),"",IF(V244&lt;&gt;"",V244,IFERROR(IF(INDIRECT("'"&amp;V$86&amp;"'!"&amp;VLOOKUP(V$87,'List Values'!$C$3:$D$6,2,FALSE)&amp;ROW(V244))="","",INDIRECT("'"&amp;V$86&amp;"'!"&amp;VLOOKUP(V$87,'List Values'!$C$3:$D$6,2,FALSE)&amp;ROW(V244))),IF(V$86&lt;&gt;"","Data Source Error",""))))</f>
        <v/>
      </c>
      <c r="Y244" s="2643"/>
      <c r="Z244" s="2644"/>
      <c r="AA244" s="2644"/>
      <c r="AB244" s="2645"/>
    </row>
    <row r="245" spans="1:28" ht="31" customHeight="1" outlineLevel="1">
      <c r="A245" s="514"/>
      <c r="B245" s="252"/>
      <c r="C245" s="2684" t="s">
        <v>730</v>
      </c>
      <c r="D245" s="2684"/>
      <c r="E245" s="203"/>
      <c r="F245" s="203"/>
      <c r="G245" s="644"/>
      <c r="H245" s="645"/>
      <c r="I245" s="183"/>
      <c r="J245" s="553"/>
      <c r="K245" s="897" t="str">
        <f ca="1">IF(OR($H$7&lt;2,K$197&lt;3),"",IF(J245&lt;&gt;"",J245,IFERROR(IF(INDIRECT("'"&amp;J$86&amp;"'!"&amp;VLOOKUP(J$87,'List Values'!$C$3:$D$6,2,FALSE)&amp;ROW(J245))="","",INDIRECT("'"&amp;J$86&amp;"'!"&amp;VLOOKUP(J$87,'List Values'!$C$3:$D$6,2,FALSE)&amp;ROW(J245))),IF(J$86&lt;&gt;"","Data Source Error",""))))</f>
        <v/>
      </c>
      <c r="L245" s="183"/>
      <c r="M245" s="553"/>
      <c r="N245" s="897" t="str">
        <f ca="1">IF(OR($H$7&lt;3,N$197&lt;3),"",IF(M245&lt;&gt;"",M245,IFERROR(IF(INDIRECT("'"&amp;M$86&amp;"'!"&amp;VLOOKUP(M$87,'List Values'!$C$3:$D$6,2,FALSE)&amp;ROW(M245))="","",INDIRECT("'"&amp;M$86&amp;"'!"&amp;VLOOKUP(M$87,'List Values'!$C$3:$D$6,2,FALSE)&amp;ROW(M245))),IF(M$86&lt;&gt;"","Data Source Error",""))))</f>
        <v/>
      </c>
      <c r="O245" s="183"/>
      <c r="P245" s="553"/>
      <c r="Q245" s="897" t="str">
        <f ca="1">IF(OR($H$7&lt;4,Q$197&lt;3),"",IF(P245&lt;&gt;"",P245,IFERROR(IF(INDIRECT("'"&amp;P$86&amp;"'!"&amp;VLOOKUP(P$87,'List Values'!$C$3:$D$6,2,FALSE)&amp;ROW(P245))="","",INDIRECT("'"&amp;P$86&amp;"'!"&amp;VLOOKUP(P$87,'List Values'!$C$3:$D$6,2,FALSE)&amp;ROW(P245))),IF(P$86&lt;&gt;"","Data Source Error",""))))</f>
        <v/>
      </c>
      <c r="S245" s="553"/>
      <c r="T245" s="897" t="str">
        <f ca="1">IF(OR($H$7&lt;5,T$197&lt;3),"",IF(S245&lt;&gt;"",S245,IFERROR(IF(INDIRECT("'"&amp;S$86&amp;"'!"&amp;VLOOKUP(S$87,'List Values'!$C$3:$D$6,2,FALSE)&amp;ROW(S245))="","",INDIRECT("'"&amp;S$86&amp;"'!"&amp;VLOOKUP(S$87,'List Values'!$C$3:$D$6,2,FALSE)&amp;ROW(S245))),IF(S$86&lt;&gt;"","Data Source Error",""))))</f>
        <v/>
      </c>
      <c r="V245" s="553"/>
      <c r="W245" s="908" t="str">
        <f ca="1">IF(OR($H$7&lt;6,W$197&lt;3),"",IF(V245&lt;&gt;"",V245,IFERROR(IF(INDIRECT("'"&amp;V$86&amp;"'!"&amp;VLOOKUP(V$87,'List Values'!$C$3:$D$6,2,FALSE)&amp;ROW(V245))="","",INDIRECT("'"&amp;V$86&amp;"'!"&amp;VLOOKUP(V$87,'List Values'!$C$3:$D$6,2,FALSE)&amp;ROW(V245))),IF(V$86&lt;&gt;"","Data Source Error",""))))</f>
        <v/>
      </c>
      <c r="Y245" s="2643"/>
      <c r="Z245" s="2644"/>
      <c r="AA245" s="2644"/>
      <c r="AB245" s="2645"/>
    </row>
    <row r="246" spans="1:28" ht="31" customHeight="1" outlineLevel="1">
      <c r="A246" s="514"/>
      <c r="B246" s="252"/>
      <c r="C246" s="2680" t="s">
        <v>2521</v>
      </c>
      <c r="D246" s="2680"/>
      <c r="E246" s="203"/>
      <c r="F246" s="203"/>
      <c r="G246" s="644"/>
      <c r="H246" s="645"/>
      <c r="I246" s="187"/>
      <c r="J246" s="619"/>
      <c r="K246" s="898" t="str">
        <f ca="1">IF(OR($H$7&lt;2,K$197&lt;3),"",IF(J246&lt;&gt;"",J246,IFERROR(IF(INDIRECT("'"&amp;J$86&amp;"'!"&amp;VLOOKUP(J$87,'List Values'!$C$3:$D$6,2,FALSE)&amp;ROW(J246))="","",INDIRECT("'"&amp;J$86&amp;"'!"&amp;VLOOKUP(J$87,'List Values'!$C$3:$D$6,2,FALSE)&amp;ROW(J246))),IF(J$86&lt;&gt;"","Data Source Error",""))))</f>
        <v/>
      </c>
      <c r="L246" s="621"/>
      <c r="M246" s="619"/>
      <c r="N246" s="898" t="str">
        <f ca="1">IF(OR($H$7&lt;3,N$197&lt;3),"",IF(M246&lt;&gt;"",M246,IFERROR(IF(INDIRECT("'"&amp;M$86&amp;"'!"&amp;VLOOKUP(M$87,'List Values'!$C$3:$D$6,2,FALSE)&amp;ROW(M246))="","",INDIRECT("'"&amp;M$86&amp;"'!"&amp;VLOOKUP(M$87,'List Values'!$C$3:$D$6,2,FALSE)&amp;ROW(M246))),IF(M$86&lt;&gt;"","Data Source Error",""))))</f>
        <v/>
      </c>
      <c r="O246" s="621"/>
      <c r="P246" s="619"/>
      <c r="Q246" s="898" t="str">
        <f ca="1">IF(OR($H$7&lt;4,Q$197&lt;3),"",IF(P246&lt;&gt;"",P246,IFERROR(IF(INDIRECT("'"&amp;P$86&amp;"'!"&amp;VLOOKUP(P$87,'List Values'!$C$3:$D$6,2,FALSE)&amp;ROW(P246))="","",INDIRECT("'"&amp;P$86&amp;"'!"&amp;VLOOKUP(P$87,'List Values'!$C$3:$D$6,2,FALSE)&amp;ROW(P246))),IF(P$86&lt;&gt;"","Data Source Error",""))))</f>
        <v/>
      </c>
      <c r="R246" s="147"/>
      <c r="S246" s="619"/>
      <c r="T246" s="898" t="str">
        <f ca="1">IF(OR($H$7&lt;5,T$197&lt;3),"",IF(S246&lt;&gt;"",S246,IFERROR(IF(INDIRECT("'"&amp;S$86&amp;"'!"&amp;VLOOKUP(S$87,'List Values'!$C$3:$D$6,2,FALSE)&amp;ROW(S246))="","",INDIRECT("'"&amp;S$86&amp;"'!"&amp;VLOOKUP(S$87,'List Values'!$C$3:$D$6,2,FALSE)&amp;ROW(S246))),IF(S$86&lt;&gt;"","Data Source Error",""))))</f>
        <v/>
      </c>
      <c r="U246" s="147"/>
      <c r="V246" s="619"/>
      <c r="W246" s="909" t="str">
        <f ca="1">IF(OR($H$7&lt;6,W$197&lt;3),"",IF(V246&lt;&gt;"",V246,IFERROR(IF(INDIRECT("'"&amp;V$86&amp;"'!"&amp;VLOOKUP(V$87,'List Values'!$C$3:$D$6,2,FALSE)&amp;ROW(V246))="","",INDIRECT("'"&amp;V$86&amp;"'!"&amp;VLOOKUP(V$87,'List Values'!$C$3:$D$6,2,FALSE)&amp;ROW(V246))),IF(V$86&lt;&gt;"","Data Source Error",""))))</f>
        <v/>
      </c>
      <c r="Y246" s="2643"/>
      <c r="Z246" s="2644"/>
      <c r="AA246" s="2644"/>
      <c r="AB246" s="2645"/>
    </row>
    <row r="247" spans="1:28" ht="31" customHeight="1" outlineLevel="1">
      <c r="A247" s="514"/>
      <c r="B247" s="252"/>
      <c r="C247" s="2680" t="s">
        <v>2522</v>
      </c>
      <c r="D247" s="2680"/>
      <c r="E247" s="203"/>
      <c r="F247" s="203"/>
      <c r="G247" s="644"/>
      <c r="H247" s="645"/>
      <c r="I247" s="187"/>
      <c r="J247" s="619"/>
      <c r="K247" s="898" t="str">
        <f ca="1">IF(OR($H$7&lt;2,K$197&lt;3),"",IF(J247&lt;&gt;"",J247,IFERROR(IF(INDIRECT("'"&amp;J$86&amp;"'!"&amp;VLOOKUP(J$87,'List Values'!$C$3:$D$6,2,FALSE)&amp;ROW(J247))="","",INDIRECT("'"&amp;J$86&amp;"'!"&amp;VLOOKUP(J$87,'List Values'!$C$3:$D$6,2,FALSE)&amp;ROW(J247))),IF(J$86&lt;&gt;"","Data Source Error",""))))</f>
        <v/>
      </c>
      <c r="L247" s="621"/>
      <c r="M247" s="619"/>
      <c r="N247" s="898" t="str">
        <f ca="1">IF(OR($H$7&lt;3,N$197&lt;3),"",IF(M247&lt;&gt;"",M247,IFERROR(IF(INDIRECT("'"&amp;M$86&amp;"'!"&amp;VLOOKUP(M$87,'List Values'!$C$3:$D$6,2,FALSE)&amp;ROW(M247))="","",INDIRECT("'"&amp;M$86&amp;"'!"&amp;VLOOKUP(M$87,'List Values'!$C$3:$D$6,2,FALSE)&amp;ROW(M247))),IF(M$86&lt;&gt;"","Data Source Error",""))))</f>
        <v/>
      </c>
      <c r="O247" s="621"/>
      <c r="P247" s="619"/>
      <c r="Q247" s="898" t="str">
        <f ca="1">IF(OR($H$7&lt;4,Q$197&lt;3),"",IF(P247&lt;&gt;"",P247,IFERROR(IF(INDIRECT("'"&amp;P$86&amp;"'!"&amp;VLOOKUP(P$87,'List Values'!$C$3:$D$6,2,FALSE)&amp;ROW(P247))="","",INDIRECT("'"&amp;P$86&amp;"'!"&amp;VLOOKUP(P$87,'List Values'!$C$3:$D$6,2,FALSE)&amp;ROW(P247))),IF(P$86&lt;&gt;"","Data Source Error",""))))</f>
        <v/>
      </c>
      <c r="R247" s="147"/>
      <c r="S247" s="619"/>
      <c r="T247" s="898" t="str">
        <f ca="1">IF(OR($H$7&lt;5,T$197&lt;3),"",IF(S247&lt;&gt;"",S247,IFERROR(IF(INDIRECT("'"&amp;S$86&amp;"'!"&amp;VLOOKUP(S$87,'List Values'!$C$3:$D$6,2,FALSE)&amp;ROW(S247))="","",INDIRECT("'"&amp;S$86&amp;"'!"&amp;VLOOKUP(S$87,'List Values'!$C$3:$D$6,2,FALSE)&amp;ROW(S247))),IF(S$86&lt;&gt;"","Data Source Error",""))))</f>
        <v/>
      </c>
      <c r="U247" s="147"/>
      <c r="V247" s="619"/>
      <c r="W247" s="909" t="str">
        <f ca="1">IF(OR($H$7&lt;6,W$197&lt;3),"",IF(V247&lt;&gt;"",V247,IFERROR(IF(INDIRECT("'"&amp;V$86&amp;"'!"&amp;VLOOKUP(V$87,'List Values'!$C$3:$D$6,2,FALSE)&amp;ROW(V247))="","",INDIRECT("'"&amp;V$86&amp;"'!"&amp;VLOOKUP(V$87,'List Values'!$C$3:$D$6,2,FALSE)&amp;ROW(V247))),IF(V$86&lt;&gt;"","Data Source Error",""))))</f>
        <v/>
      </c>
      <c r="Y247" s="2643"/>
      <c r="Z247" s="2644"/>
      <c r="AA247" s="2644"/>
      <c r="AB247" s="2645"/>
    </row>
    <row r="248" spans="1:28" ht="33.75" customHeight="1" outlineLevel="1">
      <c r="A248" s="514"/>
      <c r="B248" s="252"/>
      <c r="C248" s="2680" t="s">
        <v>253</v>
      </c>
      <c r="D248" s="2680"/>
      <c r="E248" s="202"/>
      <c r="F248" s="202"/>
      <c r="G248" s="634"/>
      <c r="H248" s="635"/>
      <c r="I248" s="187"/>
      <c r="J248" s="526"/>
      <c r="K248" s="900" t="str">
        <f ca="1">IF(OR($H$7&lt;2,K$197&lt;3),"",IF(J248&lt;&gt;"",J248,IFERROR(IF(INDIRECT("'"&amp;J$86&amp;"'!"&amp;VLOOKUP(J$87,'List Values'!$C$3:$D$6,2,FALSE)&amp;ROW(J248))="","",INDIRECT("'"&amp;J$86&amp;"'!"&amp;VLOOKUP(J$87,'List Values'!$C$3:$D$6,2,FALSE)&amp;ROW(J248))),IF(J$86&lt;&gt;"","Data Source Error",""))))</f>
        <v/>
      </c>
      <c r="L248" s="187"/>
      <c r="M248" s="526"/>
      <c r="N248" s="900" t="str">
        <f ca="1">IF(OR($H$7&lt;3,N$197&lt;3),"",IF(M248&lt;&gt;"",M248,IFERROR(IF(INDIRECT("'"&amp;M$86&amp;"'!"&amp;VLOOKUP(M$87,'List Values'!$C$3:$D$6,2,FALSE)&amp;ROW(M248))="","",INDIRECT("'"&amp;M$86&amp;"'!"&amp;VLOOKUP(M$87,'List Values'!$C$3:$D$6,2,FALSE)&amp;ROW(M248))),IF(M$86&lt;&gt;"","Data Source Error",""))))</f>
        <v/>
      </c>
      <c r="O248" s="187"/>
      <c r="P248" s="526"/>
      <c r="Q248" s="900" t="str">
        <f ca="1">IF(OR($H$7&lt;4,Q$197&lt;3),"",IF(P248&lt;&gt;"",P248,IFERROR(IF(INDIRECT("'"&amp;P$86&amp;"'!"&amp;VLOOKUP(P$87,'List Values'!$C$3:$D$6,2,FALSE)&amp;ROW(P248))="","",INDIRECT("'"&amp;P$86&amp;"'!"&amp;VLOOKUP(P$87,'List Values'!$C$3:$D$6,2,FALSE)&amp;ROW(P248))),IF(P$86&lt;&gt;"","Data Source Error",""))))</f>
        <v/>
      </c>
      <c r="S248" s="526"/>
      <c r="T248" s="900" t="str">
        <f ca="1">IF(OR($H$7&lt;5,T$197&lt;3),"",IF(S248&lt;&gt;"",S248,IFERROR(IF(INDIRECT("'"&amp;S$86&amp;"'!"&amp;VLOOKUP(S$87,'List Values'!$C$3:$D$6,2,FALSE)&amp;ROW(S248))="","",INDIRECT("'"&amp;S$86&amp;"'!"&amp;VLOOKUP(S$87,'List Values'!$C$3:$D$6,2,FALSE)&amp;ROW(S248))),IF(S$86&lt;&gt;"","Data Source Error",""))))</f>
        <v/>
      </c>
      <c r="V248" s="526"/>
      <c r="W248" s="911" t="str">
        <f ca="1">IF(OR($H$7&lt;6,W$197&lt;3),"",IF(V248&lt;&gt;"",V248,IFERROR(IF(INDIRECT("'"&amp;V$86&amp;"'!"&amp;VLOOKUP(V$87,'List Values'!$C$3:$D$6,2,FALSE)&amp;ROW(V248))="","",INDIRECT("'"&amp;V$86&amp;"'!"&amp;VLOOKUP(V$87,'List Values'!$C$3:$D$6,2,FALSE)&amp;ROW(V248))),IF(V$86&lt;&gt;"","Data Source Error",""))))</f>
        <v/>
      </c>
      <c r="Y248" s="2643"/>
      <c r="Z248" s="2644"/>
      <c r="AA248" s="2644"/>
      <c r="AB248" s="2645"/>
    </row>
    <row r="249" spans="1:28" ht="15.75" customHeight="1" outlineLevel="1">
      <c r="A249" s="514"/>
      <c r="B249" s="252"/>
      <c r="C249" s="2684" t="s">
        <v>2529</v>
      </c>
      <c r="D249" s="2684"/>
      <c r="E249" s="203"/>
      <c r="F249" s="203"/>
      <c r="G249" s="644"/>
      <c r="H249" s="645"/>
      <c r="I249" s="187"/>
      <c r="J249" s="580"/>
      <c r="K249" s="900" t="str">
        <f ca="1">IF(OR($H$7&lt;2,K$197&lt;3),"",IF(J249&lt;&gt;"",J249,IFERROR(IF(INDIRECT("'"&amp;J$86&amp;"'!"&amp;VLOOKUP(J$87,'List Values'!$C$3:$D$6,2,FALSE)&amp;ROW(J249))="","",INDIRECT("'"&amp;J$86&amp;"'!"&amp;VLOOKUP(J$87,'List Values'!$C$3:$D$6,2,FALSE)&amp;ROW(J249))),IF(J$86&lt;&gt;"","Data Source Error",""))))</f>
        <v/>
      </c>
      <c r="L249" s="187"/>
      <c r="M249" s="580"/>
      <c r="N249" s="900" t="str">
        <f ca="1">IF(OR($H$7&lt;3,N$197&lt;3),"",IF(M249&lt;&gt;"",M249,IFERROR(IF(INDIRECT("'"&amp;M$86&amp;"'!"&amp;VLOOKUP(M$87,'List Values'!$C$3:$D$6,2,FALSE)&amp;ROW(M249))="","",INDIRECT("'"&amp;M$86&amp;"'!"&amp;VLOOKUP(M$87,'List Values'!$C$3:$D$6,2,FALSE)&amp;ROW(M249))),IF(M$86&lt;&gt;"","Data Source Error",""))))</f>
        <v/>
      </c>
      <c r="O249" s="187"/>
      <c r="P249" s="580"/>
      <c r="Q249" s="900" t="str">
        <f ca="1">IF(OR($H$7&lt;4,Q$197&lt;3),"",IF(P249&lt;&gt;"",P249,IFERROR(IF(INDIRECT("'"&amp;P$86&amp;"'!"&amp;VLOOKUP(P$87,'List Values'!$C$3:$D$6,2,FALSE)&amp;ROW(P249))="","",INDIRECT("'"&amp;P$86&amp;"'!"&amp;VLOOKUP(P$87,'List Values'!$C$3:$D$6,2,FALSE)&amp;ROW(P249))),IF(P$86&lt;&gt;"","Data Source Error",""))))</f>
        <v/>
      </c>
      <c r="S249" s="580"/>
      <c r="T249" s="900" t="str">
        <f ca="1">IF(OR($H$7&lt;5,T$197&lt;3),"",IF(S249&lt;&gt;"",S249,IFERROR(IF(INDIRECT("'"&amp;S$86&amp;"'!"&amp;VLOOKUP(S$87,'List Values'!$C$3:$D$6,2,FALSE)&amp;ROW(S249))="","",INDIRECT("'"&amp;S$86&amp;"'!"&amp;VLOOKUP(S$87,'List Values'!$C$3:$D$6,2,FALSE)&amp;ROW(S249))),IF(S$86&lt;&gt;"","Data Source Error",""))))</f>
        <v/>
      </c>
      <c r="V249" s="580"/>
      <c r="W249" s="911" t="str">
        <f ca="1">IF(OR($H$7&lt;6,W$197&lt;3),"",IF(V249&lt;&gt;"",V249,IFERROR(IF(INDIRECT("'"&amp;V$86&amp;"'!"&amp;VLOOKUP(V$87,'List Values'!$C$3:$D$6,2,FALSE)&amp;ROW(V249))="","",INDIRECT("'"&amp;V$86&amp;"'!"&amp;VLOOKUP(V$87,'List Values'!$C$3:$D$6,2,FALSE)&amp;ROW(V249))),IF(V$86&lt;&gt;"","Data Source Error",""))))</f>
        <v/>
      </c>
      <c r="Y249" s="2643"/>
      <c r="Z249" s="2644"/>
      <c r="AA249" s="2644"/>
      <c r="AB249" s="2645"/>
    </row>
    <row r="250" spans="1:28" ht="30" customHeight="1" outlineLevel="1">
      <c r="A250" s="514"/>
      <c r="B250" s="252"/>
      <c r="C250" s="2680" t="s">
        <v>2523</v>
      </c>
      <c r="D250" s="2680"/>
      <c r="E250" s="203"/>
      <c r="F250" s="203"/>
      <c r="G250" s="644"/>
      <c r="H250" s="645"/>
      <c r="I250" s="187"/>
      <c r="J250" s="580"/>
      <c r="K250" s="900" t="str">
        <f ca="1">IF(OR($H$7&lt;2,K$197&lt;3),"",IF(J250&lt;&gt;"",J250,IFERROR(IF(INDIRECT("'"&amp;J$86&amp;"'!"&amp;VLOOKUP(J$87,'List Values'!$C$3:$D$6,2,FALSE)&amp;ROW(J250))="","",INDIRECT("'"&amp;J$86&amp;"'!"&amp;VLOOKUP(J$87,'List Values'!$C$3:$D$6,2,FALSE)&amp;ROW(J250))),IF(J$86&lt;&gt;"","Data Source Error",""))))</f>
        <v/>
      </c>
      <c r="L250" s="187"/>
      <c r="M250" s="580"/>
      <c r="N250" s="900" t="str">
        <f ca="1">IF(OR($H$7&lt;3,N$197&lt;3),"",IF(M250&lt;&gt;"",M250,IFERROR(IF(INDIRECT("'"&amp;M$86&amp;"'!"&amp;VLOOKUP(M$87,'List Values'!$C$3:$D$6,2,FALSE)&amp;ROW(M250))="","",INDIRECT("'"&amp;M$86&amp;"'!"&amp;VLOOKUP(M$87,'List Values'!$C$3:$D$6,2,FALSE)&amp;ROW(M250))),IF(M$86&lt;&gt;"","Data Source Error",""))))</f>
        <v/>
      </c>
      <c r="O250" s="187"/>
      <c r="P250" s="580"/>
      <c r="Q250" s="900" t="str">
        <f ca="1">IF(OR($H$7&lt;4,Q$197&lt;3),"",IF(P250&lt;&gt;"",P250,IFERROR(IF(INDIRECT("'"&amp;P$86&amp;"'!"&amp;VLOOKUP(P$87,'List Values'!$C$3:$D$6,2,FALSE)&amp;ROW(P250))="","",INDIRECT("'"&amp;P$86&amp;"'!"&amp;VLOOKUP(P$87,'List Values'!$C$3:$D$6,2,FALSE)&amp;ROW(P250))),IF(P$86&lt;&gt;"","Data Source Error",""))))</f>
        <v/>
      </c>
      <c r="S250" s="580"/>
      <c r="T250" s="900" t="str">
        <f ca="1">IF(OR($H$7&lt;5,T$197&lt;3),"",IF(S250&lt;&gt;"",S250,IFERROR(IF(INDIRECT("'"&amp;S$86&amp;"'!"&amp;VLOOKUP(S$87,'List Values'!$C$3:$D$6,2,FALSE)&amp;ROW(S250))="","",INDIRECT("'"&amp;S$86&amp;"'!"&amp;VLOOKUP(S$87,'List Values'!$C$3:$D$6,2,FALSE)&amp;ROW(S250))),IF(S$86&lt;&gt;"","Data Source Error",""))))</f>
        <v/>
      </c>
      <c r="V250" s="580"/>
      <c r="W250" s="911" t="str">
        <f ca="1">IF(OR($H$7&lt;6,W$197&lt;3),"",IF(V250&lt;&gt;"",V250,IFERROR(IF(INDIRECT("'"&amp;V$86&amp;"'!"&amp;VLOOKUP(V$87,'List Values'!$C$3:$D$6,2,FALSE)&amp;ROW(V250))="","",INDIRECT("'"&amp;V$86&amp;"'!"&amp;VLOOKUP(V$87,'List Values'!$C$3:$D$6,2,FALSE)&amp;ROW(V250))),IF(V$86&lt;&gt;"","Data Source Error",""))))</f>
        <v/>
      </c>
      <c r="Y250" s="2643"/>
      <c r="Z250" s="2644"/>
      <c r="AA250" s="2644"/>
      <c r="AB250" s="2645"/>
    </row>
    <row r="251" spans="1:28" ht="15.75" customHeight="1" outlineLevel="1">
      <c r="A251" s="514"/>
      <c r="B251" s="252"/>
      <c r="C251" s="2680" t="s">
        <v>2524</v>
      </c>
      <c r="D251" s="2680"/>
      <c r="E251" s="203"/>
      <c r="F251" s="203"/>
      <c r="G251" s="644"/>
      <c r="H251" s="645"/>
      <c r="I251" s="187"/>
      <c r="J251" s="580"/>
      <c r="K251" s="900" t="str">
        <f ca="1">IF(OR($H$7&lt;2,K$197&lt;3),"",IF(J251&lt;&gt;"",J251,IFERROR(IF(INDIRECT("'"&amp;J$86&amp;"'!"&amp;VLOOKUP(J$87,'List Values'!$C$3:$D$6,2,FALSE)&amp;ROW(J251))="","",INDIRECT("'"&amp;J$86&amp;"'!"&amp;VLOOKUP(J$87,'List Values'!$C$3:$D$6,2,FALSE)&amp;ROW(J251))),IF(J$86&lt;&gt;"","Data Source Error",""))))</f>
        <v/>
      </c>
      <c r="L251" s="187"/>
      <c r="M251" s="580"/>
      <c r="N251" s="900" t="str">
        <f ca="1">IF(OR($H$7&lt;3,N$197&lt;3),"",IF(M251&lt;&gt;"",M251,IFERROR(IF(INDIRECT("'"&amp;M$86&amp;"'!"&amp;VLOOKUP(M$87,'List Values'!$C$3:$D$6,2,FALSE)&amp;ROW(M251))="","",INDIRECT("'"&amp;M$86&amp;"'!"&amp;VLOOKUP(M$87,'List Values'!$C$3:$D$6,2,FALSE)&amp;ROW(M251))),IF(M$86&lt;&gt;"","Data Source Error",""))))</f>
        <v/>
      </c>
      <c r="O251" s="187"/>
      <c r="P251" s="580"/>
      <c r="Q251" s="900" t="str">
        <f ca="1">IF(OR($H$7&lt;4,Q$197&lt;3),"",IF(P251&lt;&gt;"",P251,IFERROR(IF(INDIRECT("'"&amp;P$86&amp;"'!"&amp;VLOOKUP(P$87,'List Values'!$C$3:$D$6,2,FALSE)&amp;ROW(P251))="","",INDIRECT("'"&amp;P$86&amp;"'!"&amp;VLOOKUP(P$87,'List Values'!$C$3:$D$6,2,FALSE)&amp;ROW(P251))),IF(P$86&lt;&gt;"","Data Source Error",""))))</f>
        <v/>
      </c>
      <c r="S251" s="580"/>
      <c r="T251" s="900" t="str">
        <f ca="1">IF(OR($H$7&lt;5,T$197&lt;3),"",IF(S251&lt;&gt;"",S251,IFERROR(IF(INDIRECT("'"&amp;S$86&amp;"'!"&amp;VLOOKUP(S$87,'List Values'!$C$3:$D$6,2,FALSE)&amp;ROW(S251))="","",INDIRECT("'"&amp;S$86&amp;"'!"&amp;VLOOKUP(S$87,'List Values'!$C$3:$D$6,2,FALSE)&amp;ROW(S251))),IF(S$86&lt;&gt;"","Data Source Error",""))))</f>
        <v/>
      </c>
      <c r="V251" s="580"/>
      <c r="W251" s="911" t="str">
        <f ca="1">IF(OR($H$7&lt;6,W$197&lt;3),"",IF(V251&lt;&gt;"",V251,IFERROR(IF(INDIRECT("'"&amp;V$86&amp;"'!"&amp;VLOOKUP(V$87,'List Values'!$C$3:$D$6,2,FALSE)&amp;ROW(V251))="","",INDIRECT("'"&amp;V$86&amp;"'!"&amp;VLOOKUP(V$87,'List Values'!$C$3:$D$6,2,FALSE)&amp;ROW(V251))),IF(V$86&lt;&gt;"","Data Source Error",""))))</f>
        <v/>
      </c>
      <c r="Y251" s="2643"/>
      <c r="Z251" s="2644"/>
      <c r="AA251" s="2644"/>
      <c r="AB251" s="2645"/>
    </row>
    <row r="252" spans="1:28" ht="15.75" customHeight="1" outlineLevel="1">
      <c r="A252" s="514"/>
      <c r="B252" s="252"/>
      <c r="C252" s="2684" t="s">
        <v>2525</v>
      </c>
      <c r="D252" s="2684"/>
      <c r="E252" s="203"/>
      <c r="F252" s="203"/>
      <c r="G252" s="644"/>
      <c r="H252" s="645"/>
      <c r="I252" s="187"/>
      <c r="J252" s="580"/>
      <c r="K252" s="900" t="str">
        <f ca="1">IF(OR($H$7&lt;2,K$197&lt;3),"",IF(J252&lt;&gt;"",J252,IFERROR(IF(INDIRECT("'"&amp;J$86&amp;"'!"&amp;VLOOKUP(J$87,'List Values'!$C$3:$D$6,2,FALSE)&amp;ROW(J252))="","",INDIRECT("'"&amp;J$86&amp;"'!"&amp;VLOOKUP(J$87,'List Values'!$C$3:$D$6,2,FALSE)&amp;ROW(J252))),IF(J$86&lt;&gt;"","Data Source Error",""))))</f>
        <v/>
      </c>
      <c r="L252" s="187"/>
      <c r="M252" s="580"/>
      <c r="N252" s="900" t="str">
        <f ca="1">IF(OR($H$7&lt;3,N$197&lt;3),"",IF(M252&lt;&gt;"",M252,IFERROR(IF(INDIRECT("'"&amp;M$86&amp;"'!"&amp;VLOOKUP(M$87,'List Values'!$C$3:$D$6,2,FALSE)&amp;ROW(M252))="","",INDIRECT("'"&amp;M$86&amp;"'!"&amp;VLOOKUP(M$87,'List Values'!$C$3:$D$6,2,FALSE)&amp;ROW(M252))),IF(M$86&lt;&gt;"","Data Source Error",""))))</f>
        <v/>
      </c>
      <c r="O252" s="187"/>
      <c r="P252" s="580"/>
      <c r="Q252" s="900" t="str">
        <f ca="1">IF(OR($H$7&lt;4,Q$197&lt;3),"",IF(P252&lt;&gt;"",P252,IFERROR(IF(INDIRECT("'"&amp;P$86&amp;"'!"&amp;VLOOKUP(P$87,'List Values'!$C$3:$D$6,2,FALSE)&amp;ROW(P252))="","",INDIRECT("'"&amp;P$86&amp;"'!"&amp;VLOOKUP(P$87,'List Values'!$C$3:$D$6,2,FALSE)&amp;ROW(P252))),IF(P$86&lt;&gt;"","Data Source Error",""))))</f>
        <v/>
      </c>
      <c r="S252" s="580"/>
      <c r="T252" s="900" t="str">
        <f ca="1">IF(OR($H$7&lt;5,T$197&lt;3),"",IF(S252&lt;&gt;"",S252,IFERROR(IF(INDIRECT("'"&amp;S$86&amp;"'!"&amp;VLOOKUP(S$87,'List Values'!$C$3:$D$6,2,FALSE)&amp;ROW(S252))="","",INDIRECT("'"&amp;S$86&amp;"'!"&amp;VLOOKUP(S$87,'List Values'!$C$3:$D$6,2,FALSE)&amp;ROW(S252))),IF(S$86&lt;&gt;"","Data Source Error",""))))</f>
        <v/>
      </c>
      <c r="V252" s="580"/>
      <c r="W252" s="911" t="str">
        <f ca="1">IF(OR($H$7&lt;6,W$197&lt;3),"",IF(V252&lt;&gt;"",V252,IFERROR(IF(INDIRECT("'"&amp;V$86&amp;"'!"&amp;VLOOKUP(V$87,'List Values'!$C$3:$D$6,2,FALSE)&amp;ROW(V252))="","",INDIRECT("'"&amp;V$86&amp;"'!"&amp;VLOOKUP(V$87,'List Values'!$C$3:$D$6,2,FALSE)&amp;ROW(V252))),IF(V$86&lt;&gt;"","Data Source Error",""))))</f>
        <v/>
      </c>
      <c r="Y252" s="2643"/>
      <c r="Z252" s="2644"/>
      <c r="AA252" s="2644"/>
      <c r="AB252" s="2645"/>
    </row>
    <row r="253" spans="1:28" ht="31" customHeight="1" outlineLevel="1">
      <c r="A253" s="514"/>
      <c r="B253" s="252"/>
      <c r="C253" s="2680" t="s">
        <v>2526</v>
      </c>
      <c r="D253" s="2680"/>
      <c r="E253" s="203"/>
      <c r="F253" s="203"/>
      <c r="G253" s="644"/>
      <c r="H253" s="645"/>
      <c r="I253" s="187"/>
      <c r="J253" s="580"/>
      <c r="K253" s="900" t="str">
        <f ca="1">IF(OR($H$7&lt;2,K$197&lt;3),"",IF(J253&lt;&gt;"",J253,IFERROR(IF(INDIRECT("'"&amp;J$86&amp;"'!"&amp;VLOOKUP(J$87,'List Values'!$C$3:$D$6,2,FALSE)&amp;ROW(J253))="","",INDIRECT("'"&amp;J$86&amp;"'!"&amp;VLOOKUP(J$87,'List Values'!$C$3:$D$6,2,FALSE)&amp;ROW(J253))),IF(J$86&lt;&gt;"","Data Source Error",""))))</f>
        <v/>
      </c>
      <c r="L253" s="187"/>
      <c r="M253" s="580"/>
      <c r="N253" s="900" t="str">
        <f ca="1">IF(OR($H$7&lt;3,N$197&lt;3),"",IF(M253&lt;&gt;"",M253,IFERROR(IF(INDIRECT("'"&amp;M$86&amp;"'!"&amp;VLOOKUP(M$87,'List Values'!$C$3:$D$6,2,FALSE)&amp;ROW(M253))="","",INDIRECT("'"&amp;M$86&amp;"'!"&amp;VLOOKUP(M$87,'List Values'!$C$3:$D$6,2,FALSE)&amp;ROW(M253))),IF(M$86&lt;&gt;"","Data Source Error",""))))</f>
        <v/>
      </c>
      <c r="O253" s="187"/>
      <c r="P253" s="580"/>
      <c r="Q253" s="900" t="str">
        <f ca="1">IF(OR($H$7&lt;4,Q$197&lt;3),"",IF(P253&lt;&gt;"",P253,IFERROR(IF(INDIRECT("'"&amp;P$86&amp;"'!"&amp;VLOOKUP(P$87,'List Values'!$C$3:$D$6,2,FALSE)&amp;ROW(P253))="","",INDIRECT("'"&amp;P$86&amp;"'!"&amp;VLOOKUP(P$87,'List Values'!$C$3:$D$6,2,FALSE)&amp;ROW(P253))),IF(P$86&lt;&gt;"","Data Source Error",""))))</f>
        <v/>
      </c>
      <c r="S253" s="580"/>
      <c r="T253" s="900" t="str">
        <f ca="1">IF(OR($H$7&lt;5,T$197&lt;3),"",IF(S253&lt;&gt;"",S253,IFERROR(IF(INDIRECT("'"&amp;S$86&amp;"'!"&amp;VLOOKUP(S$87,'List Values'!$C$3:$D$6,2,FALSE)&amp;ROW(S253))="","",INDIRECT("'"&amp;S$86&amp;"'!"&amp;VLOOKUP(S$87,'List Values'!$C$3:$D$6,2,FALSE)&amp;ROW(S253))),IF(S$86&lt;&gt;"","Data Source Error",""))))</f>
        <v/>
      </c>
      <c r="V253" s="580"/>
      <c r="W253" s="911" t="str">
        <f ca="1">IF(OR($H$7&lt;6,W$197&lt;3),"",IF(V253&lt;&gt;"",V253,IFERROR(IF(INDIRECT("'"&amp;V$86&amp;"'!"&amp;VLOOKUP(V$87,'List Values'!$C$3:$D$6,2,FALSE)&amp;ROW(V253))="","",INDIRECT("'"&amp;V$86&amp;"'!"&amp;VLOOKUP(V$87,'List Values'!$C$3:$D$6,2,FALSE)&amp;ROW(V253))),IF(V$86&lt;&gt;"","Data Source Error",""))))</f>
        <v/>
      </c>
      <c r="Y253" s="2643"/>
      <c r="Z253" s="2644"/>
      <c r="AA253" s="2644"/>
      <c r="AB253" s="2645"/>
    </row>
    <row r="254" spans="1:28" ht="33.75" customHeight="1" outlineLevel="1">
      <c r="A254" s="514"/>
      <c r="B254" s="252"/>
      <c r="C254" s="2680" t="s">
        <v>2527</v>
      </c>
      <c r="D254" s="2680"/>
      <c r="E254" s="202"/>
      <c r="F254" s="202"/>
      <c r="G254" s="634"/>
      <c r="H254" s="635"/>
      <c r="I254" s="187"/>
      <c r="J254" s="580"/>
      <c r="K254" s="900" t="str">
        <f ca="1">IF(OR($H$7&lt;2,K$197&lt;3),"",IF(J254&lt;&gt;"",J254,IFERROR(IF(INDIRECT("'"&amp;J$86&amp;"'!"&amp;VLOOKUP(J$87,'List Values'!$C$3:$D$6,2,FALSE)&amp;ROW(J254))="","",INDIRECT("'"&amp;J$86&amp;"'!"&amp;VLOOKUP(J$87,'List Values'!$C$3:$D$6,2,FALSE)&amp;ROW(J254))),IF(J$86&lt;&gt;"","Data Source Error",""))))</f>
        <v/>
      </c>
      <c r="L254" s="187"/>
      <c r="M254" s="580"/>
      <c r="N254" s="900" t="str">
        <f ca="1">IF(OR($H$7&lt;3,N$197&lt;3),"",IF(M254&lt;&gt;"",M254,IFERROR(IF(INDIRECT("'"&amp;M$86&amp;"'!"&amp;VLOOKUP(M$87,'List Values'!$C$3:$D$6,2,FALSE)&amp;ROW(M254))="","",INDIRECT("'"&amp;M$86&amp;"'!"&amp;VLOOKUP(M$87,'List Values'!$C$3:$D$6,2,FALSE)&amp;ROW(M254))),IF(M$86&lt;&gt;"","Data Source Error",""))))</f>
        <v/>
      </c>
      <c r="O254" s="187"/>
      <c r="P254" s="580"/>
      <c r="Q254" s="900" t="str">
        <f ca="1">IF(OR($H$7&lt;4,Q$197&lt;3),"",IF(P254&lt;&gt;"",P254,IFERROR(IF(INDIRECT("'"&amp;P$86&amp;"'!"&amp;VLOOKUP(P$87,'List Values'!$C$3:$D$6,2,FALSE)&amp;ROW(P254))="","",INDIRECT("'"&amp;P$86&amp;"'!"&amp;VLOOKUP(P$87,'List Values'!$C$3:$D$6,2,FALSE)&amp;ROW(P254))),IF(P$86&lt;&gt;"","Data Source Error",""))))</f>
        <v/>
      </c>
      <c r="S254" s="580"/>
      <c r="T254" s="900" t="str">
        <f ca="1">IF(OR($H$7&lt;5,T$197&lt;3),"",IF(S254&lt;&gt;"",S254,IFERROR(IF(INDIRECT("'"&amp;S$86&amp;"'!"&amp;VLOOKUP(S$87,'List Values'!$C$3:$D$6,2,FALSE)&amp;ROW(S254))="","",INDIRECT("'"&amp;S$86&amp;"'!"&amp;VLOOKUP(S$87,'List Values'!$C$3:$D$6,2,FALSE)&amp;ROW(S254))),IF(S$86&lt;&gt;"","Data Source Error",""))))</f>
        <v/>
      </c>
      <c r="V254" s="580"/>
      <c r="W254" s="911" t="str">
        <f ca="1">IF(OR($H$7&lt;6,W$197&lt;3),"",IF(V254&lt;&gt;"",V254,IFERROR(IF(INDIRECT("'"&amp;V$86&amp;"'!"&amp;VLOOKUP(V$87,'List Values'!$C$3:$D$6,2,FALSE)&amp;ROW(V254))="","",INDIRECT("'"&amp;V$86&amp;"'!"&amp;VLOOKUP(V$87,'List Values'!$C$3:$D$6,2,FALSE)&amp;ROW(V254))),IF(V$86&lt;&gt;"","Data Source Error",""))))</f>
        <v/>
      </c>
      <c r="Y254" s="2643"/>
      <c r="Z254" s="2644"/>
      <c r="AA254" s="2644"/>
      <c r="AB254" s="2645"/>
    </row>
    <row r="255" spans="1:28" ht="33.75" customHeight="1" outlineLevel="1">
      <c r="A255" s="514"/>
      <c r="B255" s="252"/>
      <c r="C255" s="2680" t="s">
        <v>2528</v>
      </c>
      <c r="D255" s="2680"/>
      <c r="E255" s="202"/>
      <c r="F255" s="202"/>
      <c r="G255" s="634"/>
      <c r="H255" s="635"/>
      <c r="I255" s="187"/>
      <c r="J255" s="580"/>
      <c r="K255" s="900" t="str">
        <f ca="1">IF(OR($H$7&lt;2,K$197&lt;3),"",IF(J255&lt;&gt;"",J255,IFERROR(IF(INDIRECT("'"&amp;J$86&amp;"'!"&amp;VLOOKUP(J$87,'List Values'!$C$3:$D$6,2,FALSE)&amp;ROW(J255))="","",INDIRECT("'"&amp;J$86&amp;"'!"&amp;VLOOKUP(J$87,'List Values'!$C$3:$D$6,2,FALSE)&amp;ROW(J255))),IF(J$86&lt;&gt;"","Data Source Error",""))))</f>
        <v/>
      </c>
      <c r="L255" s="187"/>
      <c r="M255" s="580"/>
      <c r="N255" s="900" t="str">
        <f ca="1">IF(OR($H$7&lt;3,N$197&lt;3),"",IF(M255&lt;&gt;"",M255,IFERROR(IF(INDIRECT("'"&amp;M$86&amp;"'!"&amp;VLOOKUP(M$87,'List Values'!$C$3:$D$6,2,FALSE)&amp;ROW(M255))="","",INDIRECT("'"&amp;M$86&amp;"'!"&amp;VLOOKUP(M$87,'List Values'!$C$3:$D$6,2,FALSE)&amp;ROW(M255))),IF(M$86&lt;&gt;"","Data Source Error",""))))</f>
        <v/>
      </c>
      <c r="O255" s="187"/>
      <c r="P255" s="580"/>
      <c r="Q255" s="900" t="str">
        <f ca="1">IF(OR($H$7&lt;4,Q$197&lt;3),"",IF(P255&lt;&gt;"",P255,IFERROR(IF(INDIRECT("'"&amp;P$86&amp;"'!"&amp;VLOOKUP(P$87,'List Values'!$C$3:$D$6,2,FALSE)&amp;ROW(P255))="","",INDIRECT("'"&amp;P$86&amp;"'!"&amp;VLOOKUP(P$87,'List Values'!$C$3:$D$6,2,FALSE)&amp;ROW(P255))),IF(P$86&lt;&gt;"","Data Source Error",""))))</f>
        <v/>
      </c>
      <c r="S255" s="580"/>
      <c r="T255" s="900" t="str">
        <f ca="1">IF(OR($H$7&lt;5,T$197&lt;3),"",IF(S255&lt;&gt;"",S255,IFERROR(IF(INDIRECT("'"&amp;S$86&amp;"'!"&amp;VLOOKUP(S$87,'List Values'!$C$3:$D$6,2,FALSE)&amp;ROW(S255))="","",INDIRECT("'"&amp;S$86&amp;"'!"&amp;VLOOKUP(S$87,'List Values'!$C$3:$D$6,2,FALSE)&amp;ROW(S255))),IF(S$86&lt;&gt;"","Data Source Error",""))))</f>
        <v/>
      </c>
      <c r="V255" s="580"/>
      <c r="W255" s="911" t="str">
        <f ca="1">IF(OR($H$7&lt;6,W$197&lt;3),"",IF(V255&lt;&gt;"",V255,IFERROR(IF(INDIRECT("'"&amp;V$86&amp;"'!"&amp;VLOOKUP(V$87,'List Values'!$C$3:$D$6,2,FALSE)&amp;ROW(V255))="","",INDIRECT("'"&amp;V$86&amp;"'!"&amp;VLOOKUP(V$87,'List Values'!$C$3:$D$6,2,FALSE)&amp;ROW(V255))),IF(V$86&lt;&gt;"","Data Source Error",""))))</f>
        <v/>
      </c>
      <c r="Y255" s="2643"/>
      <c r="Z255" s="2644"/>
      <c r="AA255" s="2644"/>
      <c r="AB255" s="2645"/>
    </row>
    <row r="256" spans="1:28" ht="15.75" customHeight="1" outlineLevel="1">
      <c r="A256" s="514"/>
      <c r="B256" s="252"/>
      <c r="C256" s="2680" t="s">
        <v>650</v>
      </c>
      <c r="D256" s="2680"/>
      <c r="E256" s="203"/>
      <c r="F256" s="203"/>
      <c r="G256" s="644"/>
      <c r="H256" s="645"/>
      <c r="I256" s="187"/>
      <c r="J256" s="580"/>
      <c r="K256" s="900" t="str">
        <f ca="1">IF(OR($H$7&lt;2,K$197&lt;3),"",IF(J256&lt;&gt;"",J256,IFERROR(IF(INDIRECT("'"&amp;J$86&amp;"'!"&amp;VLOOKUP(J$87,'List Values'!$C$3:$D$6,2,FALSE)&amp;ROW(J256))="","",INDIRECT("'"&amp;J$86&amp;"'!"&amp;VLOOKUP(J$87,'List Values'!$C$3:$D$6,2,FALSE)&amp;ROW(J256))),IF(J$86&lt;&gt;"","Data Source Error",""))))</f>
        <v/>
      </c>
      <c r="L256" s="187"/>
      <c r="M256" s="580"/>
      <c r="N256" s="900" t="str">
        <f ca="1">IF(OR($H$7&lt;3,N$197&lt;3),"",IF(M256&lt;&gt;"",M256,IFERROR(IF(INDIRECT("'"&amp;M$86&amp;"'!"&amp;VLOOKUP(M$87,'List Values'!$C$3:$D$6,2,FALSE)&amp;ROW(M256))="","",INDIRECT("'"&amp;M$86&amp;"'!"&amp;VLOOKUP(M$87,'List Values'!$C$3:$D$6,2,FALSE)&amp;ROW(M256))),IF(M$86&lt;&gt;"","Data Source Error",""))))</f>
        <v/>
      </c>
      <c r="O256" s="187"/>
      <c r="P256" s="580"/>
      <c r="Q256" s="900" t="str">
        <f ca="1">IF(OR($H$7&lt;4,Q$197&lt;3),"",IF(P256&lt;&gt;"",P256,IFERROR(IF(INDIRECT("'"&amp;P$86&amp;"'!"&amp;VLOOKUP(P$87,'List Values'!$C$3:$D$6,2,FALSE)&amp;ROW(P256))="","",INDIRECT("'"&amp;P$86&amp;"'!"&amp;VLOOKUP(P$87,'List Values'!$C$3:$D$6,2,FALSE)&amp;ROW(P256))),IF(P$86&lt;&gt;"","Data Source Error",""))))</f>
        <v/>
      </c>
      <c r="S256" s="580"/>
      <c r="T256" s="900" t="str">
        <f ca="1">IF(OR($H$7&lt;5,T$197&lt;3),"",IF(S256&lt;&gt;"",S256,IFERROR(IF(INDIRECT("'"&amp;S$86&amp;"'!"&amp;VLOOKUP(S$87,'List Values'!$C$3:$D$6,2,FALSE)&amp;ROW(S256))="","",INDIRECT("'"&amp;S$86&amp;"'!"&amp;VLOOKUP(S$87,'List Values'!$C$3:$D$6,2,FALSE)&amp;ROW(S256))),IF(S$86&lt;&gt;"","Data Source Error",""))))</f>
        <v/>
      </c>
      <c r="V256" s="580"/>
      <c r="W256" s="911" t="str">
        <f ca="1">IF(OR($H$7&lt;6,W$197&lt;3),"",IF(V256&lt;&gt;"",V256,IFERROR(IF(INDIRECT("'"&amp;V$86&amp;"'!"&amp;VLOOKUP(V$87,'List Values'!$C$3:$D$6,2,FALSE)&amp;ROW(V256))="","",INDIRECT("'"&amp;V$86&amp;"'!"&amp;VLOOKUP(V$87,'List Values'!$C$3:$D$6,2,FALSE)&amp;ROW(V256))),IF(V$86&lt;&gt;"","Data Source Error",""))))</f>
        <v/>
      </c>
      <c r="Y256" s="2643"/>
      <c r="Z256" s="2644"/>
      <c r="AA256" s="2644"/>
      <c r="AB256" s="2645"/>
    </row>
    <row r="257" spans="1:28" ht="31" customHeight="1" outlineLevel="1">
      <c r="A257" s="514"/>
      <c r="B257" s="252"/>
      <c r="C257" s="2680" t="s">
        <v>651</v>
      </c>
      <c r="D257" s="2680"/>
      <c r="E257" s="51"/>
      <c r="F257" s="51"/>
      <c r="G257" s="500"/>
      <c r="H257" s="648"/>
      <c r="I257" s="184"/>
      <c r="J257" s="624"/>
      <c r="K257" s="941" t="str">
        <f ca="1">IF(OR($H$7&lt;2,K$197&lt;3),"",IF(J257&lt;&gt;"",J257,IFERROR(IF(INDIRECT("'"&amp;J$86&amp;"'!"&amp;VLOOKUP(J$87,'List Values'!$C$3:$D$6,2,FALSE)&amp;ROW(J257))="","",INDIRECT("'"&amp;J$86&amp;"'!"&amp;VLOOKUP(J$87,'List Values'!$C$3:$D$6,2,FALSE)&amp;ROW(J257))),IF(J$86&lt;&gt;"","Data Source Error",""))))</f>
        <v/>
      </c>
      <c r="L257" s="184"/>
      <c r="M257" s="624"/>
      <c r="N257" s="941" t="str">
        <f ca="1">IF(OR($H$7&lt;3,N$197&lt;3),"",IF(M257&lt;&gt;"",M257,IFERROR(IF(INDIRECT("'"&amp;M$86&amp;"'!"&amp;VLOOKUP(M$87,'List Values'!$C$3:$D$6,2,FALSE)&amp;ROW(M257))="","",INDIRECT("'"&amp;M$86&amp;"'!"&amp;VLOOKUP(M$87,'List Values'!$C$3:$D$6,2,FALSE)&amp;ROW(M257))),IF(M$86&lt;&gt;"","Data Source Error",""))))</f>
        <v/>
      </c>
      <c r="O257" s="184"/>
      <c r="P257" s="624"/>
      <c r="Q257" s="941" t="str">
        <f ca="1">IF(OR($H$7&lt;4,Q$197&lt;3),"",IF(P257&lt;&gt;"",P257,IFERROR(IF(INDIRECT("'"&amp;P$86&amp;"'!"&amp;VLOOKUP(P$87,'List Values'!$C$3:$D$6,2,FALSE)&amp;ROW(P257))="","",INDIRECT("'"&amp;P$86&amp;"'!"&amp;VLOOKUP(P$87,'List Values'!$C$3:$D$6,2,FALSE)&amp;ROW(P257))),IF(P$86&lt;&gt;"","Data Source Error",""))))</f>
        <v/>
      </c>
      <c r="S257" s="624"/>
      <c r="T257" s="941" t="str">
        <f ca="1">IF(OR($H$7&lt;5,T$197&lt;3),"",IF(S257&lt;&gt;"",S257,IFERROR(IF(INDIRECT("'"&amp;S$86&amp;"'!"&amp;VLOOKUP(S$87,'List Values'!$C$3:$D$6,2,FALSE)&amp;ROW(S257))="","",INDIRECT("'"&amp;S$86&amp;"'!"&amp;VLOOKUP(S$87,'List Values'!$C$3:$D$6,2,FALSE)&amp;ROW(S257))),IF(S$86&lt;&gt;"","Data Source Error",""))))</f>
        <v/>
      </c>
      <c r="V257" s="624"/>
      <c r="W257" s="947" t="str">
        <f ca="1">IF(OR($H$7&lt;6,W$197&lt;3),"",IF(V257&lt;&gt;"",V257,IFERROR(IF(INDIRECT("'"&amp;V$86&amp;"'!"&amp;VLOOKUP(V$87,'List Values'!$C$3:$D$6,2,FALSE)&amp;ROW(V257))="","",INDIRECT("'"&amp;V$86&amp;"'!"&amp;VLOOKUP(V$87,'List Values'!$C$3:$D$6,2,FALSE)&amp;ROW(V257))),IF(V$86&lt;&gt;"","Data Source Error",""))))</f>
        <v/>
      </c>
      <c r="Y257" s="2657"/>
      <c r="Z257" s="2658"/>
      <c r="AA257" s="2658"/>
      <c r="AB257" s="2659"/>
    </row>
    <row r="258" spans="1:28" ht="27" customHeight="1" collapsed="1">
      <c r="A258" s="212"/>
      <c r="B258" s="61"/>
      <c r="C258" s="516"/>
      <c r="D258" s="516"/>
      <c r="E258" s="516"/>
      <c r="F258" s="61"/>
      <c r="G258" s="517"/>
      <c r="H258" s="518"/>
      <c r="I258" s="61"/>
      <c r="J258" s="519"/>
      <c r="K258" s="980"/>
      <c r="L258" s="61"/>
      <c r="M258" s="519"/>
      <c r="N258" s="980"/>
      <c r="O258" s="61"/>
      <c r="P258" s="519"/>
      <c r="Q258" s="980"/>
      <c r="R258" s="61"/>
      <c r="S258" s="519"/>
      <c r="T258" s="980"/>
      <c r="U258" s="61"/>
      <c r="V258" s="519"/>
      <c r="W258" s="980"/>
    </row>
    <row r="259" spans="1:28" ht="30.75" customHeight="1">
      <c r="B259" s="2682" t="s">
        <v>2499</v>
      </c>
      <c r="C259" s="2682"/>
      <c r="D259" s="2682"/>
      <c r="E259" s="2682"/>
      <c r="F259" s="2682"/>
      <c r="G259" s="2682"/>
      <c r="H259" s="2682"/>
      <c r="I259" s="1164"/>
      <c r="J259" s="2683" t="str">
        <f ca="1">H88&amp;" to "&amp;K88</f>
        <v>CMS to Regional WH</v>
      </c>
      <c r="K259" s="2683"/>
      <c r="L259" s="1164"/>
      <c r="M259" s="2683" t="str">
        <f ca="1">K88&amp;" to "&amp;N88</f>
        <v>Regional WH to Health Facility</v>
      </c>
      <c r="N259" s="2683"/>
      <c r="O259" s="1164"/>
      <c r="P259" s="2683" t="str">
        <f ca="1">N88&amp;" to "&amp;Q88</f>
        <v xml:space="preserve">Health Facility to </v>
      </c>
      <c r="Q259" s="2683"/>
      <c r="R259" s="1164"/>
      <c r="S259" s="2683" t="str">
        <f ca="1">Q88&amp;" to "&amp;T88</f>
        <v xml:space="preserve"> to </v>
      </c>
      <c r="T259" s="2683"/>
      <c r="U259" s="1164"/>
      <c r="V259" s="2683" t="str">
        <f ca="1">T88&amp;" to "&amp;W88</f>
        <v xml:space="preserve"> to </v>
      </c>
      <c r="W259" s="2683"/>
    </row>
    <row r="260" spans="1:28" ht="29.25" customHeight="1" outlineLevel="1">
      <c r="A260" s="1"/>
      <c r="B260" s="2686" t="s">
        <v>2531</v>
      </c>
      <c r="C260" s="2686"/>
      <c r="D260" s="2686"/>
      <c r="E260" s="2065"/>
      <c r="F260" s="2065"/>
      <c r="G260" s="646"/>
      <c r="H260" s="647"/>
      <c r="I260" s="44"/>
      <c r="J260" s="588"/>
      <c r="K260" s="978">
        <f ca="1">IF($H$7&lt;2,0,IF(J260&lt;&gt;"",J260,IFERROR(IF(INDIRECT("'"&amp;J$86&amp;"'!"&amp;VLOOKUP(J$87,'List Values'!$C$3:$D$6,2,FALSE)&amp;ROW(J260))="",0,INDIRECT("'"&amp;J$86&amp;"'!"&amp;VLOOKUP(J$87,'List Values'!$C$3:$D$6,2,FALSE)&amp;ROW(J260))),IF(J$86&lt;&gt;"","Data Source Error",0))))</f>
        <v>0</v>
      </c>
      <c r="L260" s="44"/>
      <c r="M260" s="588"/>
      <c r="N260" s="978">
        <f ca="1">IF($H$7&lt;3,0,IF(M260&lt;&gt;"",M260,IFERROR(IF(INDIRECT("'"&amp;M$86&amp;"'!"&amp;VLOOKUP(M$87,'List Values'!$C$3:$D$6,2,FALSE)&amp;ROW(M260))="",0,INDIRECT("'"&amp;M$86&amp;"'!"&amp;VLOOKUP(M$87,'List Values'!$C$3:$D$6,2,FALSE)&amp;ROW(M260))),IF(M$86&lt;&gt;"","Data Source Error",0))))</f>
        <v>0</v>
      </c>
      <c r="O260" s="44"/>
      <c r="P260" s="589"/>
      <c r="Q260" s="978">
        <f ca="1">IF($H$7&lt;4,0,IF(P260&lt;&gt;"",P260,IFERROR(IF(INDIRECT("'"&amp;P$86&amp;"'!"&amp;VLOOKUP(P$87,'List Values'!$C$3:$D$6,2,FALSE)&amp;ROW(P260))="",0,INDIRECT("'"&amp;P$86&amp;"'!"&amp;VLOOKUP(P$87,'List Values'!$C$3:$D$6,2,FALSE)&amp;ROW(P260))),IF(P$86&lt;&gt;"","Data Source Error",0))))</f>
        <v>0</v>
      </c>
      <c r="R260" s="27"/>
      <c r="S260" s="589"/>
      <c r="T260" s="978">
        <f ca="1">IF($H$7&lt;5,0,IF(S260&lt;&gt;"",S260,IFERROR(IF(INDIRECT("'"&amp;S$86&amp;"'!"&amp;VLOOKUP(S$87,'List Values'!$C$3:$D$6,2,FALSE)&amp;ROW(S260))="",0,INDIRECT("'"&amp;S$86&amp;"'!"&amp;VLOOKUP(S$87,'List Values'!$C$3:$D$6,2,FALSE)&amp;ROW(S260))),IF(S$86&lt;&gt;"","Data Source Error",0))))</f>
        <v>0</v>
      </c>
      <c r="U260" s="27"/>
      <c r="V260" s="589"/>
      <c r="W260" s="981">
        <f ca="1">IF($H$7&lt;6,0,IF(V260&lt;&gt;"",V260,IFERROR(IF(INDIRECT("'"&amp;V$86&amp;"'!"&amp;VLOOKUP(V$87,'List Values'!$C$3:$D$6,2,FALSE)&amp;ROW(V260))="",0,INDIRECT("'"&amp;V$86&amp;"'!"&amp;VLOOKUP(V$87,'List Values'!$C$3:$D$6,2,FALSE)&amp;ROW(V260))),IF(V$86&lt;&gt;"","Data Source Error",0))))</f>
        <v>0</v>
      </c>
      <c r="Y260" s="2619" t="s">
        <v>673</v>
      </c>
      <c r="Z260" s="2620"/>
      <c r="AA260" s="2620"/>
      <c r="AB260" s="2621"/>
    </row>
    <row r="261" spans="1:28" ht="32.25" customHeight="1" outlineLevel="1">
      <c r="B261" s="2686" t="s">
        <v>2532</v>
      </c>
      <c r="C261" s="2686"/>
      <c r="D261" s="2686"/>
      <c r="E261" s="2065"/>
      <c r="F261" s="2065"/>
      <c r="G261" s="646"/>
      <c r="H261" s="647"/>
      <c r="I261" s="483"/>
      <c r="J261" s="588"/>
      <c r="K261" s="978">
        <f ca="1">IF($H$7&lt;2,0,IF(J261&lt;&gt;"",J261,IFERROR(IF(INDIRECT("'"&amp;J$86&amp;"'!"&amp;VLOOKUP(J$87,'List Values'!$C$3:$D$6,2,FALSE)&amp;ROW(J261))="",IF(K$260=0,0,K$96),INDIRECT("'"&amp;J$86&amp;"'!"&amp;VLOOKUP(J$87,'List Values'!$C$3:$D$6,2,FALSE)&amp;ROW(J261))),IF(J$86&lt;&gt;"","Data Source Error",0))))</f>
        <v>0</v>
      </c>
      <c r="L261" s="515"/>
      <c r="M261" s="588"/>
      <c r="N261" s="978">
        <f ca="1">IF($H$7&lt;3,0,IF(M261&lt;&gt;"",M261,IFERROR(IF(INDIRECT("'"&amp;M$86&amp;"'!"&amp;VLOOKUP(M$87,'List Values'!$C$3:$D$6,2,FALSE)&amp;ROW(M261))="",IF(N$260=0,0,N$96),INDIRECT("'"&amp;M$86&amp;"'!"&amp;VLOOKUP(M$87,'List Values'!$C$3:$D$6,2,FALSE)&amp;ROW(M261))),IF(M$86&lt;&gt;"","Data Source Error",0))))</f>
        <v>0</v>
      </c>
      <c r="O261" s="515"/>
      <c r="P261" s="589"/>
      <c r="Q261" s="978">
        <f ca="1">IF($H$7&lt;4,0,IF(P261&lt;&gt;"",P261,IFERROR(IF(INDIRECT("'"&amp;P$86&amp;"'!"&amp;VLOOKUP(P$87,'List Values'!$C$3:$D$6,2,FALSE)&amp;ROW(P261))="",IF(Q$260=0,0,Q$96),INDIRECT("'"&amp;P$86&amp;"'!"&amp;VLOOKUP(P$87,'List Values'!$C$3:$D$6,2,FALSE)&amp;ROW(P261))),IF(P$86&lt;&gt;"","Data Source Error",0))))</f>
        <v>0</v>
      </c>
      <c r="R261" s="515"/>
      <c r="S261" s="589"/>
      <c r="T261" s="978">
        <f ca="1">IF($H$7&lt;5,0,IF(S261&lt;&gt;"",S261,IFERROR(IF(INDIRECT("'"&amp;S$86&amp;"'!"&amp;VLOOKUP(S$87,'List Values'!$C$3:$D$6,2,FALSE)&amp;ROW(S261))="",IF(T$260=0,0,T$96),INDIRECT("'"&amp;S$86&amp;"'!"&amp;VLOOKUP(S$87,'List Values'!$C$3:$D$6,2,FALSE)&amp;ROW(S261))),IF(S$86&lt;&gt;"","Data Source Error",0))))</f>
        <v>0</v>
      </c>
      <c r="U261" s="515"/>
      <c r="V261" s="589"/>
      <c r="W261" s="981">
        <f ca="1">IF($H$7&lt;6,0,IF(V261&lt;&gt;"",V261,IFERROR(IF(INDIRECT("'"&amp;V$86&amp;"'!"&amp;VLOOKUP(V$87,'List Values'!$C$3:$D$6,2,FALSE)&amp;ROW(V261))="",IF(W$260=0,0,W$96),INDIRECT("'"&amp;V$86&amp;"'!"&amp;VLOOKUP(V$87,'List Values'!$C$3:$D$6,2,FALSE)&amp;ROW(V261))),IF(V$86&lt;&gt;"","Data Source Error",0))))</f>
        <v>0</v>
      </c>
      <c r="Y261" s="2643"/>
      <c r="Z261" s="2644"/>
      <c r="AA261" s="2644"/>
      <c r="AB261" s="2645"/>
    </row>
    <row r="262" spans="1:28" ht="21" customHeight="1">
      <c r="A262" s="1"/>
      <c r="B262" s="612" t="s">
        <v>619</v>
      </c>
      <c r="C262" s="604"/>
      <c r="D262" s="604"/>
      <c r="E262" s="614"/>
      <c r="F262" s="608"/>
      <c r="G262" s="615"/>
      <c r="H262" s="611"/>
      <c r="I262" s="608"/>
      <c r="J262" s="610"/>
      <c r="K262" s="970"/>
      <c r="L262" s="608"/>
      <c r="M262" s="610"/>
      <c r="N262" s="970"/>
      <c r="O262" s="608"/>
      <c r="P262" s="610"/>
      <c r="Q262" s="970"/>
      <c r="R262" s="608"/>
      <c r="S262" s="610"/>
      <c r="T262" s="970"/>
      <c r="U262" s="608"/>
      <c r="V262" s="610"/>
      <c r="W262" s="970"/>
      <c r="Y262" s="631"/>
      <c r="Z262" s="631"/>
      <c r="AA262" s="631"/>
      <c r="AB262" s="631"/>
    </row>
    <row r="263" spans="1:28" ht="15.75" customHeight="1" outlineLevel="1">
      <c r="A263" s="512"/>
      <c r="B263" s="252"/>
      <c r="C263" s="2580" t="s">
        <v>625</v>
      </c>
      <c r="D263" s="2580"/>
      <c r="E263" s="202"/>
      <c r="F263" s="202"/>
      <c r="G263" s="634"/>
      <c r="H263" s="635"/>
      <c r="I263" s="183"/>
      <c r="J263" s="628"/>
      <c r="K263" s="967" t="str">
        <f ca="1">IF(OR($H$7&lt;2,K$260&lt;1),"",IF(J263&lt;&gt;"",J263,IFERROR(IF(INDIRECT("'"&amp;J$86&amp;"'!"&amp;VLOOKUP(J$87,'List Values'!$C$3:$D$6,2,FALSE)&amp;ROW(J263))="","",INDIRECT("'"&amp;J$86&amp;"'!"&amp;VLOOKUP(J$87,'List Values'!$C$3:$D$6,2,FALSE)&amp;ROW(J263))),IF(J$86&lt;&gt;"","Data Source Error",""))))</f>
        <v/>
      </c>
      <c r="L263" s="629"/>
      <c r="M263" s="628"/>
      <c r="N263" s="967" t="str">
        <f ca="1">IF(OR($H$7&lt;3,N$260&lt;1),"",IF(M263&lt;&gt;"",M263,IFERROR(IF(INDIRECT("'"&amp;M$86&amp;"'!"&amp;VLOOKUP(M$87,'List Values'!$C$3:$D$6,2,FALSE)&amp;ROW(M263))="","",INDIRECT("'"&amp;M$86&amp;"'!"&amp;VLOOKUP(M$87,'List Values'!$C$3:$D$6,2,FALSE)&amp;ROW(M263))),IF(M$86&lt;&gt;"","Data Source Error",""))))</f>
        <v/>
      </c>
      <c r="O263" s="629"/>
      <c r="P263" s="628"/>
      <c r="Q263" s="967" t="str">
        <f ca="1">IF(OR($H$7&lt;4,Q$260&lt;1),"",IF(P263&lt;&gt;"",P263,IFERROR(IF(INDIRECT("'"&amp;P$86&amp;"'!"&amp;VLOOKUP(P$87,'List Values'!$C$3:$D$6,2,FALSE)&amp;ROW(P263))="","",INDIRECT("'"&amp;P$86&amp;"'!"&amp;VLOOKUP(P$87,'List Values'!$C$3:$D$6,2,FALSE)&amp;ROW(P263))),IF(P$86&lt;&gt;"","Data Source Error",""))))</f>
        <v/>
      </c>
      <c r="R263" s="147"/>
      <c r="S263" s="628"/>
      <c r="T263" s="967" t="str">
        <f ca="1">IF(OR($H$7&lt;5,T$260&lt;1),"",IF(S263&lt;&gt;"",S263,IFERROR(IF(INDIRECT("'"&amp;S$86&amp;"'!"&amp;VLOOKUP(S$87,'List Values'!$C$3:$D$6,2,FALSE)&amp;ROW(S263))="","",INDIRECT("'"&amp;S$86&amp;"'!"&amp;VLOOKUP(S$87,'List Values'!$C$3:$D$6,2,FALSE)&amp;ROW(S263))),IF(S$86&lt;&gt;"","Data Source Error",""))))</f>
        <v/>
      </c>
      <c r="U263" s="147"/>
      <c r="V263" s="628"/>
      <c r="W263" s="973" t="str">
        <f ca="1">IF(OR($H$7&lt;6,W$260&lt;1),"",IF(V263&lt;&gt;"",V263,IFERROR(IF(INDIRECT("'"&amp;V$86&amp;"'!"&amp;VLOOKUP(V$87,'List Values'!$C$3:$D$6,2,FALSE)&amp;ROW(V263))="","",INDIRECT("'"&amp;V$86&amp;"'!"&amp;VLOOKUP(V$87,'List Values'!$C$3:$D$6,2,FALSE)&amp;ROW(V263))),IF(V$86&lt;&gt;"","Data Source Error",""))))</f>
        <v/>
      </c>
      <c r="Y263" s="2643"/>
      <c r="Z263" s="2644"/>
      <c r="AA263" s="2644"/>
      <c r="AB263" s="2645"/>
    </row>
    <row r="264" spans="1:28" ht="15.75" customHeight="1" outlineLevel="1">
      <c r="A264" s="512"/>
      <c r="B264" s="252"/>
      <c r="C264" s="2680" t="s">
        <v>626</v>
      </c>
      <c r="D264" s="2680"/>
      <c r="E264" s="2062"/>
      <c r="F264" s="2062"/>
      <c r="G264" s="636"/>
      <c r="H264" s="637"/>
      <c r="I264" s="187"/>
      <c r="J264" s="526"/>
      <c r="K264" s="900" t="str">
        <f ca="1">IF(OR($H$7&lt;2,K$260&lt;1),"",IF(J264&lt;&gt;"",J264,IFERROR(IF(INDIRECT("'"&amp;J$86&amp;"'!"&amp;VLOOKUP(J$87,'List Values'!$C$3:$D$6,2,FALSE)&amp;ROW(J264))="","",INDIRECT("'"&amp;J$86&amp;"'!"&amp;VLOOKUP(J$87,'List Values'!$C$3:$D$6,2,FALSE)&amp;ROW(J264))),IF(J$86&lt;&gt;"","Data Source Error",""))))</f>
        <v/>
      </c>
      <c r="L264" s="187"/>
      <c r="M264" s="526"/>
      <c r="N264" s="900" t="str">
        <f ca="1">IF(OR($H$7&lt;3,N$260&lt;1),"",IF(M264&lt;&gt;"",M264,IFERROR(IF(INDIRECT("'"&amp;M$86&amp;"'!"&amp;VLOOKUP(M$87,'List Values'!$C$3:$D$6,2,FALSE)&amp;ROW(M264))="","",INDIRECT("'"&amp;M$86&amp;"'!"&amp;VLOOKUP(M$87,'List Values'!$C$3:$D$6,2,FALSE)&amp;ROW(M264))),IF(M$86&lt;&gt;"","Data Source Error",""))))</f>
        <v/>
      </c>
      <c r="O264" s="187"/>
      <c r="P264" s="526"/>
      <c r="Q264" s="900" t="str">
        <f ca="1">IF(OR($H$7&lt;4,Q$260&lt;1),"",IF(P264&lt;&gt;"",P264,IFERROR(IF(INDIRECT("'"&amp;P$86&amp;"'!"&amp;VLOOKUP(P$87,'List Values'!$C$3:$D$6,2,FALSE)&amp;ROW(P264))="","",INDIRECT("'"&amp;P$86&amp;"'!"&amp;VLOOKUP(P$87,'List Values'!$C$3:$D$6,2,FALSE)&amp;ROW(P264))),IF(P$86&lt;&gt;"","Data Source Error",""))))</f>
        <v/>
      </c>
      <c r="S264" s="526"/>
      <c r="T264" s="900" t="str">
        <f ca="1">IF(OR($H$7&lt;5,T$260&lt;1),"",IF(S264&lt;&gt;"",S264,IFERROR(IF(INDIRECT("'"&amp;S$86&amp;"'!"&amp;VLOOKUP(S$87,'List Values'!$C$3:$D$6,2,FALSE)&amp;ROW(S264))="","",INDIRECT("'"&amp;S$86&amp;"'!"&amp;VLOOKUP(S$87,'List Values'!$C$3:$D$6,2,FALSE)&amp;ROW(S264))),IF(S$86&lt;&gt;"","Data Source Error",""))))</f>
        <v/>
      </c>
      <c r="V264" s="526"/>
      <c r="W264" s="911" t="str">
        <f ca="1">IF(OR($H$7&lt;6,W$260&lt;1),"",IF(V264&lt;&gt;"",V264,IFERROR(IF(INDIRECT("'"&amp;V$86&amp;"'!"&amp;VLOOKUP(V$87,'List Values'!$C$3:$D$6,2,FALSE)&amp;ROW(V264))="","",INDIRECT("'"&amp;V$86&amp;"'!"&amp;VLOOKUP(V$87,'List Values'!$C$3:$D$6,2,FALSE)&amp;ROW(V264))),IF(V$86&lt;&gt;"","Data Source Error",""))))</f>
        <v/>
      </c>
      <c r="Y264" s="2643"/>
      <c r="Z264" s="2644"/>
      <c r="AA264" s="2644"/>
      <c r="AB264" s="2645"/>
    </row>
    <row r="265" spans="1:28" ht="31" customHeight="1" outlineLevel="1">
      <c r="A265" s="512"/>
      <c r="B265" s="252"/>
      <c r="C265" s="2680" t="s">
        <v>627</v>
      </c>
      <c r="D265" s="2680"/>
      <c r="E265" s="2062"/>
      <c r="F265" s="2062"/>
      <c r="G265" s="636"/>
      <c r="H265" s="637"/>
      <c r="I265" s="187"/>
      <c r="J265" s="561"/>
      <c r="K265" s="900" t="str">
        <f ca="1">IF(OR($H$7&lt;2,K$260&lt;1),"",IF(J265&lt;&gt;"",J265,IFERROR(IF(INDIRECT("'"&amp;J$86&amp;"'!"&amp;VLOOKUP(J$87,'List Values'!$C$3:$D$6,2,FALSE)&amp;ROW(J265))="","",INDIRECT("'"&amp;J$86&amp;"'!"&amp;VLOOKUP(J$87,'List Values'!$C$3:$D$6,2,FALSE)&amp;ROW(J265))),IF(J$86&lt;&gt;"","Data Source Error",""))))</f>
        <v/>
      </c>
      <c r="L265" s="187"/>
      <c r="M265" s="561"/>
      <c r="N265" s="900" t="str">
        <f ca="1">IF(OR($H$7&lt;3,N$260&lt;1),"",IF(M265&lt;&gt;"",M265,IFERROR(IF(INDIRECT("'"&amp;M$86&amp;"'!"&amp;VLOOKUP(M$87,'List Values'!$C$3:$D$6,2,FALSE)&amp;ROW(M265))="","",INDIRECT("'"&amp;M$86&amp;"'!"&amp;VLOOKUP(M$87,'List Values'!$C$3:$D$6,2,FALSE)&amp;ROW(M265))),IF(M$86&lt;&gt;"","Data Source Error",""))))</f>
        <v/>
      </c>
      <c r="O265" s="187"/>
      <c r="P265" s="561"/>
      <c r="Q265" s="900" t="str">
        <f ca="1">IF(OR($H$7&lt;4,Q$260&lt;1),"",IF(P265&lt;&gt;"",P265,IFERROR(IF(INDIRECT("'"&amp;P$86&amp;"'!"&amp;VLOOKUP(P$87,'List Values'!$C$3:$D$6,2,FALSE)&amp;ROW(P265))="","",INDIRECT("'"&amp;P$86&amp;"'!"&amp;VLOOKUP(P$87,'List Values'!$C$3:$D$6,2,FALSE)&amp;ROW(P265))),IF(P$86&lt;&gt;"","Data Source Error",""))))</f>
        <v/>
      </c>
      <c r="S265" s="561"/>
      <c r="T265" s="900" t="str">
        <f ca="1">IF(OR($H$7&lt;5,T$260&lt;1),"",IF(S265&lt;&gt;"",S265,IFERROR(IF(INDIRECT("'"&amp;S$86&amp;"'!"&amp;VLOOKUP(S$87,'List Values'!$C$3:$D$6,2,FALSE)&amp;ROW(S265))="","",INDIRECT("'"&amp;S$86&amp;"'!"&amp;VLOOKUP(S$87,'List Values'!$C$3:$D$6,2,FALSE)&amp;ROW(S265))),IF(S$86&lt;&gt;"","Data Source Error",""))))</f>
        <v/>
      </c>
      <c r="V265" s="561"/>
      <c r="W265" s="911" t="str">
        <f ca="1">IF(OR($H$7&lt;6,W$260&lt;1),"",IF(V265&lt;&gt;"",V265,IFERROR(IF(INDIRECT("'"&amp;V$86&amp;"'!"&amp;VLOOKUP(V$87,'List Values'!$C$3:$D$6,2,FALSE)&amp;ROW(V265))="","",INDIRECT("'"&amp;V$86&amp;"'!"&amp;VLOOKUP(V$87,'List Values'!$C$3:$D$6,2,FALSE)&amp;ROW(V265))),IF(V$86&lt;&gt;"","Data Source Error",""))))</f>
        <v/>
      </c>
      <c r="Y265" s="2643"/>
      <c r="Z265" s="2644"/>
      <c r="AA265" s="2644"/>
      <c r="AB265" s="2645"/>
    </row>
    <row r="266" spans="1:28" ht="31" customHeight="1" outlineLevel="1">
      <c r="A266" s="512"/>
      <c r="B266" s="252"/>
      <c r="C266" s="2684" t="s">
        <v>628</v>
      </c>
      <c r="D266" s="2684"/>
      <c r="E266" s="2062"/>
      <c r="F266" s="2062"/>
      <c r="G266" s="636"/>
      <c r="H266" s="637"/>
      <c r="I266" s="187"/>
      <c r="J266" s="526"/>
      <c r="K266" s="900" t="str">
        <f ca="1">IF(OR($H$7&lt;2,K$260&lt;1),"",IF(J266&lt;&gt;"",J266,IFERROR(IF(INDIRECT("'"&amp;J$86&amp;"'!"&amp;VLOOKUP(J$87,'List Values'!$C$3:$D$6,2,FALSE)&amp;ROW(J266))="","",INDIRECT("'"&amp;J$86&amp;"'!"&amp;VLOOKUP(J$87,'List Values'!$C$3:$D$6,2,FALSE)&amp;ROW(J266))),IF(J$86&lt;&gt;"","Data Source Error",""))))</f>
        <v/>
      </c>
      <c r="L266" s="187"/>
      <c r="M266" s="526"/>
      <c r="N266" s="900" t="str">
        <f ca="1">IF(OR($H$7&lt;3,N$260&lt;1),"",IF(M266&lt;&gt;"",M266,IFERROR(IF(INDIRECT("'"&amp;M$86&amp;"'!"&amp;VLOOKUP(M$87,'List Values'!$C$3:$D$6,2,FALSE)&amp;ROW(M266))="","",INDIRECT("'"&amp;M$86&amp;"'!"&amp;VLOOKUP(M$87,'List Values'!$C$3:$D$6,2,FALSE)&amp;ROW(M266))),IF(M$86&lt;&gt;"","Data Source Error",""))))</f>
        <v/>
      </c>
      <c r="O266" s="187"/>
      <c r="P266" s="526"/>
      <c r="Q266" s="900" t="str">
        <f ca="1">IF(OR($H$7&lt;4,Q$260&lt;1),"",IF(P266&lt;&gt;"",P266,IFERROR(IF(INDIRECT("'"&amp;P$86&amp;"'!"&amp;VLOOKUP(P$87,'List Values'!$C$3:$D$6,2,FALSE)&amp;ROW(P266))="","",INDIRECT("'"&amp;P$86&amp;"'!"&amp;VLOOKUP(P$87,'List Values'!$C$3:$D$6,2,FALSE)&amp;ROW(P266))),IF(P$86&lt;&gt;"","Data Source Error",""))))</f>
        <v/>
      </c>
      <c r="S266" s="526"/>
      <c r="T266" s="900" t="str">
        <f ca="1">IF(OR($H$7&lt;5,T$260&lt;1),"",IF(S266&lt;&gt;"",S266,IFERROR(IF(INDIRECT("'"&amp;S$86&amp;"'!"&amp;VLOOKUP(S$87,'List Values'!$C$3:$D$6,2,FALSE)&amp;ROW(S266))="","",INDIRECT("'"&amp;S$86&amp;"'!"&amp;VLOOKUP(S$87,'List Values'!$C$3:$D$6,2,FALSE)&amp;ROW(S266))),IF(S$86&lt;&gt;"","Data Source Error",""))))</f>
        <v/>
      </c>
      <c r="V266" s="526"/>
      <c r="W266" s="911" t="str">
        <f ca="1">IF(OR($H$7&lt;6,W$260&lt;1),"",IF(V266&lt;&gt;"",V266,IFERROR(IF(INDIRECT("'"&amp;V$86&amp;"'!"&amp;VLOOKUP(V$87,'List Values'!$C$3:$D$6,2,FALSE)&amp;ROW(V266))="","",INDIRECT("'"&amp;V$86&amp;"'!"&amp;VLOOKUP(V$87,'List Values'!$C$3:$D$6,2,FALSE)&amp;ROW(V266))),IF(V$86&lt;&gt;"","Data Source Error",""))))</f>
        <v/>
      </c>
      <c r="Y266" s="2643"/>
      <c r="Z266" s="2644"/>
      <c r="AA266" s="2644"/>
      <c r="AB266" s="2645"/>
    </row>
    <row r="267" spans="1:28" ht="33" customHeight="1" outlineLevel="1">
      <c r="A267" s="512"/>
      <c r="B267" s="252"/>
      <c r="C267" s="2684" t="s">
        <v>629</v>
      </c>
      <c r="D267" s="2684"/>
      <c r="E267" s="2062"/>
      <c r="F267" s="2062"/>
      <c r="G267" s="636"/>
      <c r="H267" s="637"/>
      <c r="I267" s="187"/>
      <c r="J267" s="568"/>
      <c r="K267" s="945" t="str">
        <f ca="1">IF(OR($H$7&lt;2,K$260&lt;1),"",IF(J267&lt;&gt;"",J267,IFERROR(IF(INDIRECT("'"&amp;J$86&amp;"'!"&amp;VLOOKUP(J$87,'List Values'!$C$3:$D$6,2,FALSE)&amp;ROW(J267))="","",INDIRECT("'"&amp;J$86&amp;"'!"&amp;VLOOKUP(J$87,'List Values'!$C$3:$D$6,2,FALSE)&amp;ROW(J267))),IF(J$86&lt;&gt;"","Data Source Error",""))))</f>
        <v/>
      </c>
      <c r="L267" s="339"/>
      <c r="M267" s="568"/>
      <c r="N267" s="945" t="str">
        <f ca="1">IF(OR($H$7&lt;3,N$260&lt;1),"",IF(M267&lt;&gt;"",M267,IFERROR(IF(INDIRECT("'"&amp;M$86&amp;"'!"&amp;VLOOKUP(M$87,'List Values'!$C$3:$D$6,2,FALSE)&amp;ROW(M267))="","",INDIRECT("'"&amp;M$86&amp;"'!"&amp;VLOOKUP(M$87,'List Values'!$C$3:$D$6,2,FALSE)&amp;ROW(M267))),IF(M$86&lt;&gt;"","Data Source Error",""))))</f>
        <v/>
      </c>
      <c r="O267" s="339"/>
      <c r="P267" s="568"/>
      <c r="Q267" s="945" t="str">
        <f ca="1">IF(OR($H$7&lt;4,Q$260&lt;1),"",IF(P267&lt;&gt;"",P267,IFERROR(IF(INDIRECT("'"&amp;P$86&amp;"'!"&amp;VLOOKUP(P$87,'List Values'!$C$3:$D$6,2,FALSE)&amp;ROW(P267))="","",INDIRECT("'"&amp;P$86&amp;"'!"&amp;VLOOKUP(P$87,'List Values'!$C$3:$D$6,2,FALSE)&amp;ROW(P267))),IF(P$86&lt;&gt;"","Data Source Error",""))))</f>
        <v/>
      </c>
      <c r="R267" s="7"/>
      <c r="S267" s="568"/>
      <c r="T267" s="945" t="str">
        <f ca="1">IF(OR($H$7&lt;5,T$260&lt;1),"",IF(S267&lt;&gt;"",S267,IFERROR(IF(INDIRECT("'"&amp;S$86&amp;"'!"&amp;VLOOKUP(S$87,'List Values'!$C$3:$D$6,2,FALSE)&amp;ROW(S267))="","",INDIRECT("'"&amp;S$86&amp;"'!"&amp;VLOOKUP(S$87,'List Values'!$C$3:$D$6,2,FALSE)&amp;ROW(S267))),IF(S$86&lt;&gt;"","Data Source Error",""))))</f>
        <v/>
      </c>
      <c r="U267" s="7"/>
      <c r="V267" s="568"/>
      <c r="W267" s="952" t="str">
        <f ca="1">IF(OR($H$7&lt;6,W$260&lt;1),"",IF(V267&lt;&gt;"",V267,IFERROR(IF(INDIRECT("'"&amp;V$86&amp;"'!"&amp;VLOOKUP(V$87,'List Values'!$C$3:$D$6,2,FALSE)&amp;ROW(V267))="","",INDIRECT("'"&amp;V$86&amp;"'!"&amp;VLOOKUP(V$87,'List Values'!$C$3:$D$6,2,FALSE)&amp;ROW(V267))),IF(V$86&lt;&gt;"","Data Source Error",""))))</f>
        <v/>
      </c>
      <c r="Y267" s="2643"/>
      <c r="Z267" s="2644"/>
      <c r="AA267" s="2644"/>
      <c r="AB267" s="2645"/>
    </row>
    <row r="268" spans="1:28" ht="15.75" customHeight="1" outlineLevel="1">
      <c r="A268" s="512"/>
      <c r="B268" s="252"/>
      <c r="C268" s="2680" t="s">
        <v>630</v>
      </c>
      <c r="D268" s="2680"/>
      <c r="E268" s="2062"/>
      <c r="F268" s="2062"/>
      <c r="G268" s="636"/>
      <c r="H268" s="637"/>
      <c r="I268" s="187"/>
      <c r="J268" s="526"/>
      <c r="K268" s="900" t="str">
        <f ca="1">IF(OR($H$7&lt;2,K$260&lt;1),"",IF(J268&lt;&gt;"",J268,IFERROR(IF(INDIRECT("'"&amp;J$86&amp;"'!"&amp;VLOOKUP(J$87,'List Values'!$C$3:$D$6,2,FALSE)&amp;ROW(J268))="","",INDIRECT("'"&amp;J$86&amp;"'!"&amp;VLOOKUP(J$87,'List Values'!$C$3:$D$6,2,FALSE)&amp;ROW(J268))),IF(J$86&lt;&gt;"","Data Source Error",""))))</f>
        <v/>
      </c>
      <c r="L268" s="187"/>
      <c r="M268" s="526"/>
      <c r="N268" s="900" t="str">
        <f ca="1">IF(OR($H$7&lt;3,N$260&lt;1),"",IF(M268&lt;&gt;"",M268,IFERROR(IF(INDIRECT("'"&amp;M$86&amp;"'!"&amp;VLOOKUP(M$87,'List Values'!$C$3:$D$6,2,FALSE)&amp;ROW(M268))="","",INDIRECT("'"&amp;M$86&amp;"'!"&amp;VLOOKUP(M$87,'List Values'!$C$3:$D$6,2,FALSE)&amp;ROW(M268))),IF(M$86&lt;&gt;"","Data Source Error",""))))</f>
        <v/>
      </c>
      <c r="O268" s="187"/>
      <c r="P268" s="526"/>
      <c r="Q268" s="900" t="str">
        <f ca="1">IF(OR($H$7&lt;4,Q$260&lt;1),"",IF(P268&lt;&gt;"",P268,IFERROR(IF(INDIRECT("'"&amp;P$86&amp;"'!"&amp;VLOOKUP(P$87,'List Values'!$C$3:$D$6,2,FALSE)&amp;ROW(P268))="","",INDIRECT("'"&amp;P$86&amp;"'!"&amp;VLOOKUP(P$87,'List Values'!$C$3:$D$6,2,FALSE)&amp;ROW(P268))),IF(P$86&lt;&gt;"","Data Source Error",""))))</f>
        <v/>
      </c>
      <c r="S268" s="526"/>
      <c r="T268" s="900" t="str">
        <f ca="1">IF(OR($H$7&lt;5,T$260&lt;1),"",IF(S268&lt;&gt;"",S268,IFERROR(IF(INDIRECT("'"&amp;S$86&amp;"'!"&amp;VLOOKUP(S$87,'List Values'!$C$3:$D$6,2,FALSE)&amp;ROW(S268))="","",INDIRECT("'"&amp;S$86&amp;"'!"&amp;VLOOKUP(S$87,'List Values'!$C$3:$D$6,2,FALSE)&amp;ROW(S268))),IF(S$86&lt;&gt;"","Data Source Error",""))))</f>
        <v/>
      </c>
      <c r="V268" s="526"/>
      <c r="W268" s="911" t="str">
        <f ca="1">IF(OR($H$7&lt;6,W$260&lt;1),"",IF(V268&lt;&gt;"",V268,IFERROR(IF(INDIRECT("'"&amp;V$86&amp;"'!"&amp;VLOOKUP(V$87,'List Values'!$C$3:$D$6,2,FALSE)&amp;ROW(V268))="","",INDIRECT("'"&amp;V$86&amp;"'!"&amp;VLOOKUP(V$87,'List Values'!$C$3:$D$6,2,FALSE)&amp;ROW(V268))),IF(V$86&lt;&gt;"","Data Source Error",""))))</f>
        <v/>
      </c>
      <c r="Y268" s="2643"/>
      <c r="Z268" s="2644"/>
      <c r="AA268" s="2644"/>
      <c r="AB268" s="2645"/>
    </row>
    <row r="269" spans="1:28" ht="31" customHeight="1" outlineLevel="1">
      <c r="A269" s="512"/>
      <c r="B269" s="252"/>
      <c r="C269" s="2684" t="s">
        <v>634</v>
      </c>
      <c r="D269" s="2684"/>
      <c r="E269" s="203"/>
      <c r="F269" s="203"/>
      <c r="G269" s="644"/>
      <c r="H269" s="645"/>
      <c r="I269" s="183"/>
      <c r="J269" s="553"/>
      <c r="K269" s="897" t="str">
        <f ca="1">IF(OR($H$7&lt;2,K$260&lt;1),"",IF(J269&lt;&gt;"",J269,IFERROR(IF(INDIRECT("'"&amp;J$86&amp;"'!"&amp;VLOOKUP(J$87,'List Values'!$C$3:$D$6,2,FALSE)&amp;ROW(J269))="","",INDIRECT("'"&amp;J$86&amp;"'!"&amp;VLOOKUP(J$87,'List Values'!$C$3:$D$6,2,FALSE)&amp;ROW(J269))),IF(J$86&lt;&gt;"","Data Source Error",""))))</f>
        <v/>
      </c>
      <c r="L269" s="183"/>
      <c r="M269" s="553"/>
      <c r="N269" s="897" t="str">
        <f ca="1">IF(OR($H$7&lt;3,N$260&lt;1),"",IF(M269&lt;&gt;"",M269,IFERROR(IF(INDIRECT("'"&amp;M$86&amp;"'!"&amp;VLOOKUP(M$87,'List Values'!$C$3:$D$6,2,FALSE)&amp;ROW(M269))="","",INDIRECT("'"&amp;M$86&amp;"'!"&amp;VLOOKUP(M$87,'List Values'!$C$3:$D$6,2,FALSE)&amp;ROW(M269))),IF(M$86&lt;&gt;"","Data Source Error",""))))</f>
        <v/>
      </c>
      <c r="O269" s="183"/>
      <c r="P269" s="553"/>
      <c r="Q269" s="897" t="str">
        <f ca="1">IF(OR($H$7&lt;4,Q$260&lt;1),"",IF(P269&lt;&gt;"",P269,IFERROR(IF(INDIRECT("'"&amp;P$86&amp;"'!"&amp;VLOOKUP(P$87,'List Values'!$C$3:$D$6,2,FALSE)&amp;ROW(P269))="","",INDIRECT("'"&amp;P$86&amp;"'!"&amp;VLOOKUP(P$87,'List Values'!$C$3:$D$6,2,FALSE)&amp;ROW(P269))),IF(P$86&lt;&gt;"","Data Source Error",""))))</f>
        <v/>
      </c>
      <c r="S269" s="553"/>
      <c r="T269" s="897" t="str">
        <f ca="1">IF(OR($H$7&lt;5,T$260&lt;1),"",IF(S269&lt;&gt;"",S269,IFERROR(IF(INDIRECT("'"&amp;S$86&amp;"'!"&amp;VLOOKUP(S$87,'List Values'!$C$3:$D$6,2,FALSE)&amp;ROW(S269))="","",INDIRECT("'"&amp;S$86&amp;"'!"&amp;VLOOKUP(S$87,'List Values'!$C$3:$D$6,2,FALSE)&amp;ROW(S269))),IF(S$86&lt;&gt;"","Data Source Error",""))))</f>
        <v/>
      </c>
      <c r="V269" s="553"/>
      <c r="W269" s="908" t="str">
        <f ca="1">IF(OR($H$7&lt;6,W$260&lt;1),"",IF(V269&lt;&gt;"",V269,IFERROR(IF(INDIRECT("'"&amp;V$86&amp;"'!"&amp;VLOOKUP(V$87,'List Values'!$C$3:$D$6,2,FALSE)&amp;ROW(V269))="","",INDIRECT("'"&amp;V$86&amp;"'!"&amp;VLOOKUP(V$87,'List Values'!$C$3:$D$6,2,FALSE)&amp;ROW(V269))),IF(V$86&lt;&gt;"","Data Source Error",""))))</f>
        <v/>
      </c>
      <c r="Y269" s="2643"/>
      <c r="Z269" s="2644"/>
      <c r="AA269" s="2644"/>
      <c r="AB269" s="2645"/>
    </row>
    <row r="270" spans="1:28" ht="31" customHeight="1" outlineLevel="1">
      <c r="A270" s="512"/>
      <c r="B270" s="252"/>
      <c r="C270" s="2680" t="s">
        <v>1551</v>
      </c>
      <c r="D270" s="2680"/>
      <c r="E270" s="2062"/>
      <c r="F270" s="2062"/>
      <c r="G270" s="636"/>
      <c r="H270" s="637"/>
      <c r="I270" s="187"/>
      <c r="J270" s="619"/>
      <c r="K270" s="898" t="str">
        <f ca="1">IF(OR($H$7&lt;2,K$260&lt;1),"",IF(J270&lt;&gt;"",J270,IFERROR(IF(INDIRECT("'"&amp;J$86&amp;"'!"&amp;VLOOKUP(J$87,'List Values'!$C$3:$D$6,2,FALSE)&amp;ROW(J270))="","",INDIRECT("'"&amp;J$86&amp;"'!"&amp;VLOOKUP(J$87,'List Values'!$C$3:$D$6,2,FALSE)&amp;ROW(J270))),IF(J$86&lt;&gt;"","Data Source Error",""))))</f>
        <v/>
      </c>
      <c r="L270" s="621"/>
      <c r="M270" s="619"/>
      <c r="N270" s="898" t="str">
        <f ca="1">IF(OR($H$7&lt;3,N$260&lt;1),"",IF(M270&lt;&gt;"",M270,IFERROR(IF(INDIRECT("'"&amp;M$86&amp;"'!"&amp;VLOOKUP(M$87,'List Values'!$C$3:$D$6,2,FALSE)&amp;ROW(M270))="","",INDIRECT("'"&amp;M$86&amp;"'!"&amp;VLOOKUP(M$87,'List Values'!$C$3:$D$6,2,FALSE)&amp;ROW(M270))),IF(M$86&lt;&gt;"","Data Source Error",""))))</f>
        <v/>
      </c>
      <c r="O270" s="621"/>
      <c r="P270" s="619"/>
      <c r="Q270" s="898" t="str">
        <f ca="1">IF(OR($H$7&lt;4,Q$260&lt;1),"",IF(P270&lt;&gt;"",P270,IFERROR(IF(INDIRECT("'"&amp;P$86&amp;"'!"&amp;VLOOKUP(P$87,'List Values'!$C$3:$D$6,2,FALSE)&amp;ROW(P270))="","",INDIRECT("'"&amp;P$86&amp;"'!"&amp;VLOOKUP(P$87,'List Values'!$C$3:$D$6,2,FALSE)&amp;ROW(P270))),IF(P$86&lt;&gt;"","Data Source Error",""))))</f>
        <v/>
      </c>
      <c r="R270" s="147"/>
      <c r="S270" s="619"/>
      <c r="T270" s="898" t="str">
        <f ca="1">IF(OR($H$7&lt;5,T$260&lt;1),"",IF(S270&lt;&gt;"",S270,IFERROR(IF(INDIRECT("'"&amp;S$86&amp;"'!"&amp;VLOOKUP(S$87,'List Values'!$C$3:$D$6,2,FALSE)&amp;ROW(S270))="","",INDIRECT("'"&amp;S$86&amp;"'!"&amp;VLOOKUP(S$87,'List Values'!$C$3:$D$6,2,FALSE)&amp;ROW(S270))),IF(S$86&lt;&gt;"","Data Source Error",""))))</f>
        <v/>
      </c>
      <c r="U270" s="147"/>
      <c r="V270" s="619"/>
      <c r="W270" s="909" t="str">
        <f ca="1">IF(OR($H$7&lt;6,W$260&lt;1),"",IF(V270&lt;&gt;"",V270,IFERROR(IF(INDIRECT("'"&amp;V$86&amp;"'!"&amp;VLOOKUP(V$87,'List Values'!$C$3:$D$6,2,FALSE)&amp;ROW(V270))="","",INDIRECT("'"&amp;V$86&amp;"'!"&amp;VLOOKUP(V$87,'List Values'!$C$3:$D$6,2,FALSE)&amp;ROW(V270))),IF(V$86&lt;&gt;"","Data Source Error",""))))</f>
        <v/>
      </c>
      <c r="Y270" s="2643"/>
      <c r="Z270" s="2644"/>
      <c r="AA270" s="2644"/>
      <c r="AB270" s="2645"/>
    </row>
    <row r="271" spans="1:28" ht="31" customHeight="1" outlineLevel="1">
      <c r="A271" s="512"/>
      <c r="B271" s="252"/>
      <c r="C271" s="2680" t="s">
        <v>1552</v>
      </c>
      <c r="D271" s="2680"/>
      <c r="E271" s="2062"/>
      <c r="F271" s="2062"/>
      <c r="G271" s="636"/>
      <c r="H271" s="637"/>
      <c r="I271" s="187"/>
      <c r="J271" s="619"/>
      <c r="K271" s="898" t="str">
        <f ca="1">IF(OR($H$7&lt;2,K$260&lt;1),"",IF(J271&lt;&gt;"",J271,IFERROR(IF(INDIRECT("'"&amp;J$86&amp;"'!"&amp;VLOOKUP(J$87,'List Values'!$C$3:$D$6,2,FALSE)&amp;ROW(J271))="","",INDIRECT("'"&amp;J$86&amp;"'!"&amp;VLOOKUP(J$87,'List Values'!$C$3:$D$6,2,FALSE)&amp;ROW(J271))),IF(J$86&lt;&gt;"","Data Source Error",""))))</f>
        <v/>
      </c>
      <c r="L271" s="621"/>
      <c r="M271" s="619"/>
      <c r="N271" s="898" t="str">
        <f ca="1">IF(OR($H$7&lt;3,N$260&lt;1),"",IF(M271&lt;&gt;"",M271,IFERROR(IF(INDIRECT("'"&amp;M$86&amp;"'!"&amp;VLOOKUP(M$87,'List Values'!$C$3:$D$6,2,FALSE)&amp;ROW(M271))="","",INDIRECT("'"&amp;M$86&amp;"'!"&amp;VLOOKUP(M$87,'List Values'!$C$3:$D$6,2,FALSE)&amp;ROW(M271))),IF(M$86&lt;&gt;"","Data Source Error",""))))</f>
        <v/>
      </c>
      <c r="O271" s="621"/>
      <c r="P271" s="619"/>
      <c r="Q271" s="898" t="str">
        <f ca="1">IF(OR($H$7&lt;4,Q$260&lt;1),"",IF(P271&lt;&gt;"",P271,IFERROR(IF(INDIRECT("'"&amp;P$86&amp;"'!"&amp;VLOOKUP(P$87,'List Values'!$C$3:$D$6,2,FALSE)&amp;ROW(P271))="","",INDIRECT("'"&amp;P$86&amp;"'!"&amp;VLOOKUP(P$87,'List Values'!$C$3:$D$6,2,FALSE)&amp;ROW(P271))),IF(P$86&lt;&gt;"","Data Source Error",""))))</f>
        <v/>
      </c>
      <c r="R271" s="147"/>
      <c r="S271" s="619"/>
      <c r="T271" s="898" t="str">
        <f ca="1">IF(OR($H$7&lt;5,T$260&lt;1),"",IF(S271&lt;&gt;"",S271,IFERROR(IF(INDIRECT("'"&amp;S$86&amp;"'!"&amp;VLOOKUP(S$87,'List Values'!$C$3:$D$6,2,FALSE)&amp;ROW(S271))="","",INDIRECT("'"&amp;S$86&amp;"'!"&amp;VLOOKUP(S$87,'List Values'!$C$3:$D$6,2,FALSE)&amp;ROW(S271))),IF(S$86&lt;&gt;"","Data Source Error",""))))</f>
        <v/>
      </c>
      <c r="U271" s="147"/>
      <c r="V271" s="619"/>
      <c r="W271" s="909" t="str">
        <f ca="1">IF(OR($H$7&lt;6,W$260&lt;1),"",IF(V271&lt;&gt;"",V271,IFERROR(IF(INDIRECT("'"&amp;V$86&amp;"'!"&amp;VLOOKUP(V$87,'List Values'!$C$3:$D$6,2,FALSE)&amp;ROW(V271))="","",INDIRECT("'"&amp;V$86&amp;"'!"&amp;VLOOKUP(V$87,'List Values'!$C$3:$D$6,2,FALSE)&amp;ROW(V271))),IF(V$86&lt;&gt;"","Data Source Error",""))))</f>
        <v/>
      </c>
      <c r="Y271" s="2643"/>
      <c r="Z271" s="2644"/>
      <c r="AA271" s="2644"/>
      <c r="AB271" s="2645"/>
    </row>
    <row r="272" spans="1:28" ht="33" customHeight="1" outlineLevel="1">
      <c r="A272" s="512"/>
      <c r="B272" s="252"/>
      <c r="C272" s="2680" t="s">
        <v>331</v>
      </c>
      <c r="D272" s="2680"/>
      <c r="E272" s="2062"/>
      <c r="F272" s="2062"/>
      <c r="G272" s="636"/>
      <c r="H272" s="637"/>
      <c r="I272" s="187"/>
      <c r="J272" s="526"/>
      <c r="K272" s="900" t="str">
        <f ca="1">IF(OR($H$7&lt;2,K$260&lt;1),"",IF(J272&lt;&gt;"",J272,IFERROR(IF(INDIRECT("'"&amp;J$86&amp;"'!"&amp;VLOOKUP(J$87,'List Values'!$C$3:$D$6,2,FALSE)&amp;ROW(J272))="","",INDIRECT("'"&amp;J$86&amp;"'!"&amp;VLOOKUP(J$87,'List Values'!$C$3:$D$6,2,FALSE)&amp;ROW(J272))),IF(J$86&lt;&gt;"","Data Source Error",""))))</f>
        <v/>
      </c>
      <c r="L272" s="187"/>
      <c r="M272" s="526"/>
      <c r="N272" s="900" t="str">
        <f ca="1">IF(OR($H$7&lt;3,N$260&lt;1),"",IF(M272&lt;&gt;"",M272,IFERROR(IF(INDIRECT("'"&amp;M$86&amp;"'!"&amp;VLOOKUP(M$87,'List Values'!$C$3:$D$6,2,FALSE)&amp;ROW(M272))="","",INDIRECT("'"&amp;M$86&amp;"'!"&amp;VLOOKUP(M$87,'List Values'!$C$3:$D$6,2,FALSE)&amp;ROW(M272))),IF(M$86&lt;&gt;"","Data Source Error",""))))</f>
        <v/>
      </c>
      <c r="O272" s="187"/>
      <c r="P272" s="526"/>
      <c r="Q272" s="900" t="str">
        <f ca="1">IF(OR($H$7&lt;4,Q$260&lt;1),"",IF(P272&lt;&gt;"",P272,IFERROR(IF(INDIRECT("'"&amp;P$86&amp;"'!"&amp;VLOOKUP(P$87,'List Values'!$C$3:$D$6,2,FALSE)&amp;ROW(P272))="","",INDIRECT("'"&amp;P$86&amp;"'!"&amp;VLOOKUP(P$87,'List Values'!$C$3:$D$6,2,FALSE)&amp;ROW(P272))),IF(P$86&lt;&gt;"","Data Source Error",""))))</f>
        <v/>
      </c>
      <c r="S272" s="526"/>
      <c r="T272" s="900" t="str">
        <f ca="1">IF(OR($H$7&lt;5,T$260&lt;1),"",IF(S272&lt;&gt;"",S272,IFERROR(IF(INDIRECT("'"&amp;S$86&amp;"'!"&amp;VLOOKUP(S$87,'List Values'!$C$3:$D$6,2,FALSE)&amp;ROW(S272))="","",INDIRECT("'"&amp;S$86&amp;"'!"&amp;VLOOKUP(S$87,'List Values'!$C$3:$D$6,2,FALSE)&amp;ROW(S272))),IF(S$86&lt;&gt;"","Data Source Error",""))))</f>
        <v/>
      </c>
      <c r="V272" s="526"/>
      <c r="W272" s="911" t="str">
        <f ca="1">IF(OR($H$7&lt;6,W$260&lt;1),"",IF(V272&lt;&gt;"",V272,IFERROR(IF(INDIRECT("'"&amp;V$86&amp;"'!"&amp;VLOOKUP(V$87,'List Values'!$C$3:$D$6,2,FALSE)&amp;ROW(V272))="","",INDIRECT("'"&amp;V$86&amp;"'!"&amp;VLOOKUP(V$87,'List Values'!$C$3:$D$6,2,FALSE)&amp;ROW(V272))),IF(V$86&lt;&gt;"","Data Source Error",""))))</f>
        <v/>
      </c>
      <c r="Y272" s="2643"/>
      <c r="Z272" s="2644"/>
      <c r="AA272" s="2644"/>
      <c r="AB272" s="2645"/>
    </row>
    <row r="273" spans="1:28" ht="15.75" customHeight="1" outlineLevel="1">
      <c r="A273" s="512"/>
      <c r="B273" s="252"/>
      <c r="C273" s="2684" t="s">
        <v>332</v>
      </c>
      <c r="D273" s="2684"/>
      <c r="E273" s="2062"/>
      <c r="F273" s="2062"/>
      <c r="G273" s="636"/>
      <c r="H273" s="637"/>
      <c r="I273" s="187"/>
      <c r="J273" s="580"/>
      <c r="K273" s="900" t="str">
        <f ca="1">IF(OR($H$7&lt;2,K$260&lt;1),"",IF(J273&lt;&gt;"",J273,IFERROR(IF(INDIRECT("'"&amp;J$86&amp;"'!"&amp;VLOOKUP(J$87,'List Values'!$C$3:$D$6,2,FALSE)&amp;ROW(J273))="","",INDIRECT("'"&amp;J$86&amp;"'!"&amp;VLOOKUP(J$87,'List Values'!$C$3:$D$6,2,FALSE)&amp;ROW(J273))),IF(J$86&lt;&gt;"","Data Source Error",""))))</f>
        <v/>
      </c>
      <c r="L273" s="187"/>
      <c r="M273" s="580"/>
      <c r="N273" s="900" t="str">
        <f ca="1">IF(OR($H$7&lt;3,N$260&lt;1),"",IF(M273&lt;&gt;"",M273,IFERROR(IF(INDIRECT("'"&amp;M$86&amp;"'!"&amp;VLOOKUP(M$87,'List Values'!$C$3:$D$6,2,FALSE)&amp;ROW(M273))="","",INDIRECT("'"&amp;M$86&amp;"'!"&amp;VLOOKUP(M$87,'List Values'!$C$3:$D$6,2,FALSE)&amp;ROW(M273))),IF(M$86&lt;&gt;"","Data Source Error",""))))</f>
        <v/>
      </c>
      <c r="O273" s="187"/>
      <c r="P273" s="580"/>
      <c r="Q273" s="900" t="str">
        <f ca="1">IF(OR($H$7&lt;4,Q$260&lt;1),"",IF(P273&lt;&gt;"",P273,IFERROR(IF(INDIRECT("'"&amp;P$86&amp;"'!"&amp;VLOOKUP(P$87,'List Values'!$C$3:$D$6,2,FALSE)&amp;ROW(P273))="","",INDIRECT("'"&amp;P$86&amp;"'!"&amp;VLOOKUP(P$87,'List Values'!$C$3:$D$6,2,FALSE)&amp;ROW(P273))),IF(P$86&lt;&gt;"","Data Source Error",""))))</f>
        <v/>
      </c>
      <c r="S273" s="580"/>
      <c r="T273" s="900" t="str">
        <f ca="1">IF(OR($H$7&lt;5,T$260&lt;1),"",IF(S273&lt;&gt;"",S273,IFERROR(IF(INDIRECT("'"&amp;S$86&amp;"'!"&amp;VLOOKUP(S$87,'List Values'!$C$3:$D$6,2,FALSE)&amp;ROW(S273))="","",INDIRECT("'"&amp;S$86&amp;"'!"&amp;VLOOKUP(S$87,'List Values'!$C$3:$D$6,2,FALSE)&amp;ROW(S273))),IF(S$86&lt;&gt;"","Data Source Error",""))))</f>
        <v/>
      </c>
      <c r="V273" s="580"/>
      <c r="W273" s="911" t="str">
        <f ca="1">IF(OR($H$7&lt;6,W$260&lt;1),"",IF(V273&lt;&gt;"",V273,IFERROR(IF(INDIRECT("'"&amp;V$86&amp;"'!"&amp;VLOOKUP(V$87,'List Values'!$C$3:$D$6,2,FALSE)&amp;ROW(V273))="","",INDIRECT("'"&amp;V$86&amp;"'!"&amp;VLOOKUP(V$87,'List Values'!$C$3:$D$6,2,FALSE)&amp;ROW(V273))),IF(V$86&lt;&gt;"","Data Source Error",""))))</f>
        <v/>
      </c>
      <c r="Y273" s="2643"/>
      <c r="Z273" s="2644"/>
      <c r="AA273" s="2644"/>
      <c r="AB273" s="2645"/>
    </row>
    <row r="274" spans="1:28" ht="30.75" customHeight="1" outlineLevel="1">
      <c r="A274" s="512"/>
      <c r="B274" s="252"/>
      <c r="C274" s="2680" t="s">
        <v>839</v>
      </c>
      <c r="D274" s="2680"/>
      <c r="E274" s="2062"/>
      <c r="F274" s="2062"/>
      <c r="G274" s="636"/>
      <c r="H274" s="637"/>
      <c r="I274" s="187"/>
      <c r="J274" s="580"/>
      <c r="K274" s="900" t="str">
        <f ca="1">IF(OR($H$7&lt;2,K$260&lt;1),"",IF(J274&lt;&gt;"",J274,IFERROR(IF(INDIRECT("'"&amp;J$86&amp;"'!"&amp;VLOOKUP(J$87,'List Values'!$C$3:$D$6,2,FALSE)&amp;ROW(J274))="","",INDIRECT("'"&amp;J$86&amp;"'!"&amp;VLOOKUP(J$87,'List Values'!$C$3:$D$6,2,FALSE)&amp;ROW(J274))),IF(J$86&lt;&gt;"","Data Source Error",""))))</f>
        <v/>
      </c>
      <c r="L274" s="187"/>
      <c r="M274" s="580"/>
      <c r="N274" s="900" t="str">
        <f ca="1">IF(OR($H$7&lt;3,N$260&lt;1),"",IF(M274&lt;&gt;"",M274,IFERROR(IF(INDIRECT("'"&amp;M$86&amp;"'!"&amp;VLOOKUP(M$87,'List Values'!$C$3:$D$6,2,FALSE)&amp;ROW(M274))="","",INDIRECT("'"&amp;M$86&amp;"'!"&amp;VLOOKUP(M$87,'List Values'!$C$3:$D$6,2,FALSE)&amp;ROW(M274))),IF(M$86&lt;&gt;"","Data Source Error",""))))</f>
        <v/>
      </c>
      <c r="O274" s="187"/>
      <c r="P274" s="580"/>
      <c r="Q274" s="900" t="str">
        <f ca="1">IF(OR($H$7&lt;4,Q$260&lt;1),"",IF(P274&lt;&gt;"",P274,IFERROR(IF(INDIRECT("'"&amp;P$86&amp;"'!"&amp;VLOOKUP(P$87,'List Values'!$C$3:$D$6,2,FALSE)&amp;ROW(P274))="","",INDIRECT("'"&amp;P$86&amp;"'!"&amp;VLOOKUP(P$87,'List Values'!$C$3:$D$6,2,FALSE)&amp;ROW(P274))),IF(P$86&lt;&gt;"","Data Source Error",""))))</f>
        <v/>
      </c>
      <c r="S274" s="580"/>
      <c r="T274" s="900" t="str">
        <f ca="1">IF(OR($H$7&lt;5,T$260&lt;1),"",IF(S274&lt;&gt;"",S274,IFERROR(IF(INDIRECT("'"&amp;S$86&amp;"'!"&amp;VLOOKUP(S$87,'List Values'!$C$3:$D$6,2,FALSE)&amp;ROW(S274))="","",INDIRECT("'"&amp;S$86&amp;"'!"&amp;VLOOKUP(S$87,'List Values'!$C$3:$D$6,2,FALSE)&amp;ROW(S274))),IF(S$86&lt;&gt;"","Data Source Error",""))))</f>
        <v/>
      </c>
      <c r="V274" s="580"/>
      <c r="W274" s="911" t="str">
        <f ca="1">IF(OR($H$7&lt;6,W$260&lt;1),"",IF(V274&lt;&gt;"",V274,IFERROR(IF(INDIRECT("'"&amp;V$86&amp;"'!"&amp;VLOOKUP(V$87,'List Values'!$C$3:$D$6,2,FALSE)&amp;ROW(V274))="","",INDIRECT("'"&amp;V$86&amp;"'!"&amp;VLOOKUP(V$87,'List Values'!$C$3:$D$6,2,FALSE)&amp;ROW(V274))),IF(V$86&lt;&gt;"","Data Source Error",""))))</f>
        <v/>
      </c>
      <c r="Y274" s="2643"/>
      <c r="Z274" s="2644"/>
      <c r="AA274" s="2644"/>
      <c r="AB274" s="2645"/>
    </row>
    <row r="275" spans="1:28" ht="15.75" customHeight="1" outlineLevel="1">
      <c r="A275" s="512"/>
      <c r="B275" s="252"/>
      <c r="C275" s="2680" t="s">
        <v>334</v>
      </c>
      <c r="D275" s="2680"/>
      <c r="E275" s="2062"/>
      <c r="F275" s="2062"/>
      <c r="G275" s="636"/>
      <c r="H275" s="637"/>
      <c r="I275" s="187"/>
      <c r="J275" s="580"/>
      <c r="K275" s="900" t="str">
        <f ca="1">IF(OR($H$7&lt;2,K$260&lt;1),"",IF(J275&lt;&gt;"",J275,IFERROR(IF(INDIRECT("'"&amp;J$86&amp;"'!"&amp;VLOOKUP(J$87,'List Values'!$C$3:$D$6,2,FALSE)&amp;ROW(J275))="","",INDIRECT("'"&amp;J$86&amp;"'!"&amp;VLOOKUP(J$87,'List Values'!$C$3:$D$6,2,FALSE)&amp;ROW(J275))),IF(J$86&lt;&gt;"","Data Source Error",""))))</f>
        <v/>
      </c>
      <c r="L275" s="187"/>
      <c r="M275" s="580"/>
      <c r="N275" s="900" t="str">
        <f ca="1">IF(OR($H$7&lt;3,N$260&lt;1),"",IF(M275&lt;&gt;"",M275,IFERROR(IF(INDIRECT("'"&amp;M$86&amp;"'!"&amp;VLOOKUP(M$87,'List Values'!$C$3:$D$6,2,FALSE)&amp;ROW(M275))="","",INDIRECT("'"&amp;M$86&amp;"'!"&amp;VLOOKUP(M$87,'List Values'!$C$3:$D$6,2,FALSE)&amp;ROW(M275))),IF(M$86&lt;&gt;"","Data Source Error",""))))</f>
        <v/>
      </c>
      <c r="O275" s="187"/>
      <c r="P275" s="580"/>
      <c r="Q275" s="900" t="str">
        <f ca="1">IF(OR($H$7&lt;4,Q$260&lt;1),"",IF(P275&lt;&gt;"",P275,IFERROR(IF(INDIRECT("'"&amp;P$86&amp;"'!"&amp;VLOOKUP(P$87,'List Values'!$C$3:$D$6,2,FALSE)&amp;ROW(P275))="","",INDIRECT("'"&amp;P$86&amp;"'!"&amp;VLOOKUP(P$87,'List Values'!$C$3:$D$6,2,FALSE)&amp;ROW(P275))),IF(P$86&lt;&gt;"","Data Source Error",""))))</f>
        <v/>
      </c>
      <c r="S275" s="580"/>
      <c r="T275" s="900" t="str">
        <f ca="1">IF(OR($H$7&lt;5,T$260&lt;1),"",IF(S275&lt;&gt;"",S275,IFERROR(IF(INDIRECT("'"&amp;S$86&amp;"'!"&amp;VLOOKUP(S$87,'List Values'!$C$3:$D$6,2,FALSE)&amp;ROW(S275))="","",INDIRECT("'"&amp;S$86&amp;"'!"&amp;VLOOKUP(S$87,'List Values'!$C$3:$D$6,2,FALSE)&amp;ROW(S275))),IF(S$86&lt;&gt;"","Data Source Error",""))))</f>
        <v/>
      </c>
      <c r="V275" s="580"/>
      <c r="W275" s="911" t="str">
        <f ca="1">IF(OR($H$7&lt;6,W$260&lt;1),"",IF(V275&lt;&gt;"",V275,IFERROR(IF(INDIRECT("'"&amp;V$86&amp;"'!"&amp;VLOOKUP(V$87,'List Values'!$C$3:$D$6,2,FALSE)&amp;ROW(V275))="","",INDIRECT("'"&amp;V$86&amp;"'!"&amp;VLOOKUP(V$87,'List Values'!$C$3:$D$6,2,FALSE)&amp;ROW(V275))),IF(V$86&lt;&gt;"","Data Source Error",""))))</f>
        <v/>
      </c>
      <c r="Y275" s="2643"/>
      <c r="Z275" s="2644"/>
      <c r="AA275" s="2644"/>
      <c r="AB275" s="2645"/>
    </row>
    <row r="276" spans="1:28" ht="15.75" customHeight="1" outlineLevel="1">
      <c r="A276" s="512"/>
      <c r="B276" s="252"/>
      <c r="C276" s="2684" t="s">
        <v>335</v>
      </c>
      <c r="D276" s="2684"/>
      <c r="E276" s="2062"/>
      <c r="F276" s="2062"/>
      <c r="G276" s="636"/>
      <c r="H276" s="637"/>
      <c r="I276" s="187"/>
      <c r="J276" s="580"/>
      <c r="K276" s="900" t="str">
        <f ca="1">IF(OR($H$7&lt;2,K$260&lt;1),"",IF(J276&lt;&gt;"",J276,IFERROR(IF(INDIRECT("'"&amp;J$86&amp;"'!"&amp;VLOOKUP(J$87,'List Values'!$C$3:$D$6,2,FALSE)&amp;ROW(J276))="","",INDIRECT("'"&amp;J$86&amp;"'!"&amp;VLOOKUP(J$87,'List Values'!$C$3:$D$6,2,FALSE)&amp;ROW(J276))),IF(J$86&lt;&gt;"","Data Source Error",""))))</f>
        <v/>
      </c>
      <c r="L276" s="187"/>
      <c r="M276" s="580"/>
      <c r="N276" s="900" t="str">
        <f ca="1">IF(OR($H$7&lt;3,N$260&lt;1),"",IF(M276&lt;&gt;"",M276,IFERROR(IF(INDIRECT("'"&amp;M$86&amp;"'!"&amp;VLOOKUP(M$87,'List Values'!$C$3:$D$6,2,FALSE)&amp;ROW(M276))="","",INDIRECT("'"&amp;M$86&amp;"'!"&amp;VLOOKUP(M$87,'List Values'!$C$3:$D$6,2,FALSE)&amp;ROW(M276))),IF(M$86&lt;&gt;"","Data Source Error",""))))</f>
        <v/>
      </c>
      <c r="O276" s="187"/>
      <c r="P276" s="580"/>
      <c r="Q276" s="900" t="str">
        <f ca="1">IF(OR($H$7&lt;4,Q$260&lt;1),"",IF(P276&lt;&gt;"",P276,IFERROR(IF(INDIRECT("'"&amp;P$86&amp;"'!"&amp;VLOOKUP(P$87,'List Values'!$C$3:$D$6,2,FALSE)&amp;ROW(P276))="","",INDIRECT("'"&amp;P$86&amp;"'!"&amp;VLOOKUP(P$87,'List Values'!$C$3:$D$6,2,FALSE)&amp;ROW(P276))),IF(P$86&lt;&gt;"","Data Source Error",""))))</f>
        <v/>
      </c>
      <c r="S276" s="580"/>
      <c r="T276" s="900" t="str">
        <f ca="1">IF(OR($H$7&lt;5,T$260&lt;1),"",IF(S276&lt;&gt;"",S276,IFERROR(IF(INDIRECT("'"&amp;S$86&amp;"'!"&amp;VLOOKUP(S$87,'List Values'!$C$3:$D$6,2,FALSE)&amp;ROW(S276))="","",INDIRECT("'"&amp;S$86&amp;"'!"&amp;VLOOKUP(S$87,'List Values'!$C$3:$D$6,2,FALSE)&amp;ROW(S276))),IF(S$86&lt;&gt;"","Data Source Error",""))))</f>
        <v/>
      </c>
      <c r="V276" s="580"/>
      <c r="W276" s="911" t="str">
        <f ca="1">IF(OR($H$7&lt;6,W$260&lt;1),"",IF(V276&lt;&gt;"",V276,IFERROR(IF(INDIRECT("'"&amp;V$86&amp;"'!"&amp;VLOOKUP(V$87,'List Values'!$C$3:$D$6,2,FALSE)&amp;ROW(V276))="","",INDIRECT("'"&amp;V$86&amp;"'!"&amp;VLOOKUP(V$87,'List Values'!$C$3:$D$6,2,FALSE)&amp;ROW(V276))),IF(V$86&lt;&gt;"","Data Source Error",""))))</f>
        <v/>
      </c>
      <c r="Y276" s="2643"/>
      <c r="Z276" s="2644"/>
      <c r="AA276" s="2644"/>
      <c r="AB276" s="2645"/>
    </row>
    <row r="277" spans="1:28" ht="31" customHeight="1" outlineLevel="1">
      <c r="A277" s="512"/>
      <c r="B277" s="252"/>
      <c r="C277" s="2680" t="s">
        <v>336</v>
      </c>
      <c r="D277" s="2680"/>
      <c r="E277" s="2062"/>
      <c r="F277" s="2062"/>
      <c r="G277" s="636"/>
      <c r="H277" s="637"/>
      <c r="I277" s="187"/>
      <c r="J277" s="580"/>
      <c r="K277" s="900" t="str">
        <f ca="1">IF(OR($H$7&lt;2,K$260&lt;1),"",IF(J277&lt;&gt;"",J277,IFERROR(IF(INDIRECT("'"&amp;J$86&amp;"'!"&amp;VLOOKUP(J$87,'List Values'!$C$3:$D$6,2,FALSE)&amp;ROW(J277))="","",INDIRECT("'"&amp;J$86&amp;"'!"&amp;VLOOKUP(J$87,'List Values'!$C$3:$D$6,2,FALSE)&amp;ROW(J277))),IF(J$86&lt;&gt;"","Data Source Error",""))))</f>
        <v/>
      </c>
      <c r="L277" s="187"/>
      <c r="M277" s="580"/>
      <c r="N277" s="900" t="str">
        <f ca="1">IF(OR($H$7&lt;3,N$260&lt;1),"",IF(M277&lt;&gt;"",M277,IFERROR(IF(INDIRECT("'"&amp;M$86&amp;"'!"&amp;VLOOKUP(M$87,'List Values'!$C$3:$D$6,2,FALSE)&amp;ROW(M277))="","",INDIRECT("'"&amp;M$86&amp;"'!"&amp;VLOOKUP(M$87,'List Values'!$C$3:$D$6,2,FALSE)&amp;ROW(M277))),IF(M$86&lt;&gt;"","Data Source Error",""))))</f>
        <v/>
      </c>
      <c r="O277" s="187"/>
      <c r="P277" s="580"/>
      <c r="Q277" s="900" t="str">
        <f ca="1">IF(OR($H$7&lt;4,Q$260&lt;1),"",IF(P277&lt;&gt;"",P277,IFERROR(IF(INDIRECT("'"&amp;P$86&amp;"'!"&amp;VLOOKUP(P$87,'List Values'!$C$3:$D$6,2,FALSE)&amp;ROW(P277))="","",INDIRECT("'"&amp;P$86&amp;"'!"&amp;VLOOKUP(P$87,'List Values'!$C$3:$D$6,2,FALSE)&amp;ROW(P277))),IF(P$86&lt;&gt;"","Data Source Error",""))))</f>
        <v/>
      </c>
      <c r="S277" s="580"/>
      <c r="T277" s="900" t="str">
        <f ca="1">IF(OR($H$7&lt;5,T$260&lt;1),"",IF(S277&lt;&gt;"",S277,IFERROR(IF(INDIRECT("'"&amp;S$86&amp;"'!"&amp;VLOOKUP(S$87,'List Values'!$C$3:$D$6,2,FALSE)&amp;ROW(S277))="","",INDIRECT("'"&amp;S$86&amp;"'!"&amp;VLOOKUP(S$87,'List Values'!$C$3:$D$6,2,FALSE)&amp;ROW(S277))),IF(S$86&lt;&gt;"","Data Source Error",""))))</f>
        <v/>
      </c>
      <c r="V277" s="580"/>
      <c r="W277" s="911" t="str">
        <f ca="1">IF(OR($H$7&lt;6,W$260&lt;1),"",IF(V277&lt;&gt;"",V277,IFERROR(IF(INDIRECT("'"&amp;V$86&amp;"'!"&amp;VLOOKUP(V$87,'List Values'!$C$3:$D$6,2,FALSE)&amp;ROW(V277))="","",INDIRECT("'"&amp;V$86&amp;"'!"&amp;VLOOKUP(V$87,'List Values'!$C$3:$D$6,2,FALSE)&amp;ROW(V277))),IF(V$86&lt;&gt;"","Data Source Error",""))))</f>
        <v/>
      </c>
      <c r="Y277" s="2643"/>
      <c r="Z277" s="2644"/>
      <c r="AA277" s="2644"/>
      <c r="AB277" s="2645"/>
    </row>
    <row r="278" spans="1:28" ht="33" customHeight="1" outlineLevel="1">
      <c r="A278" s="512"/>
      <c r="B278" s="252"/>
      <c r="C278" s="2680" t="s">
        <v>337</v>
      </c>
      <c r="D278" s="2680"/>
      <c r="E278" s="2062"/>
      <c r="F278" s="2062"/>
      <c r="G278" s="636"/>
      <c r="H278" s="637"/>
      <c r="I278" s="187"/>
      <c r="J278" s="580"/>
      <c r="K278" s="900" t="str">
        <f ca="1">IF(OR($H$7&lt;2,K$260&lt;1),"",IF(J278&lt;&gt;"",J278,IFERROR(IF(INDIRECT("'"&amp;J$86&amp;"'!"&amp;VLOOKUP(J$87,'List Values'!$C$3:$D$6,2,FALSE)&amp;ROW(J278))="","",INDIRECT("'"&amp;J$86&amp;"'!"&amp;VLOOKUP(J$87,'List Values'!$C$3:$D$6,2,FALSE)&amp;ROW(J278))),IF(J$86&lt;&gt;"","Data Source Error",""))))</f>
        <v/>
      </c>
      <c r="L278" s="187"/>
      <c r="M278" s="580"/>
      <c r="N278" s="900" t="str">
        <f ca="1">IF(OR($H$7&lt;3,N$260&lt;1),"",IF(M278&lt;&gt;"",M278,IFERROR(IF(INDIRECT("'"&amp;M$86&amp;"'!"&amp;VLOOKUP(M$87,'List Values'!$C$3:$D$6,2,FALSE)&amp;ROW(M278))="","",INDIRECT("'"&amp;M$86&amp;"'!"&amp;VLOOKUP(M$87,'List Values'!$C$3:$D$6,2,FALSE)&amp;ROW(M278))),IF(M$86&lt;&gt;"","Data Source Error",""))))</f>
        <v/>
      </c>
      <c r="O278" s="187"/>
      <c r="P278" s="580"/>
      <c r="Q278" s="900" t="str">
        <f ca="1">IF(OR($H$7&lt;4,Q$260&lt;1),"",IF(P278&lt;&gt;"",P278,IFERROR(IF(INDIRECT("'"&amp;P$86&amp;"'!"&amp;VLOOKUP(P$87,'List Values'!$C$3:$D$6,2,FALSE)&amp;ROW(P278))="","",INDIRECT("'"&amp;P$86&amp;"'!"&amp;VLOOKUP(P$87,'List Values'!$C$3:$D$6,2,FALSE)&amp;ROW(P278))),IF(P$86&lt;&gt;"","Data Source Error",""))))</f>
        <v/>
      </c>
      <c r="S278" s="580"/>
      <c r="T278" s="900" t="str">
        <f ca="1">IF(OR($H$7&lt;5,T$260&lt;1),"",IF(S278&lt;&gt;"",S278,IFERROR(IF(INDIRECT("'"&amp;S$86&amp;"'!"&amp;VLOOKUP(S$87,'List Values'!$C$3:$D$6,2,FALSE)&amp;ROW(S278))="","",INDIRECT("'"&amp;S$86&amp;"'!"&amp;VLOOKUP(S$87,'List Values'!$C$3:$D$6,2,FALSE)&amp;ROW(S278))),IF(S$86&lt;&gt;"","Data Source Error",""))))</f>
        <v/>
      </c>
      <c r="V278" s="580"/>
      <c r="W278" s="911" t="str">
        <f ca="1">IF(OR($H$7&lt;6,W$260&lt;1),"",IF(V278&lt;&gt;"",V278,IFERROR(IF(INDIRECT("'"&amp;V$86&amp;"'!"&amp;VLOOKUP(V$87,'List Values'!$C$3:$D$6,2,FALSE)&amp;ROW(V278))="","",INDIRECT("'"&amp;V$86&amp;"'!"&amp;VLOOKUP(V$87,'List Values'!$C$3:$D$6,2,FALSE)&amp;ROW(V278))),IF(V$86&lt;&gt;"","Data Source Error",""))))</f>
        <v/>
      </c>
      <c r="Y278" s="2643"/>
      <c r="Z278" s="2644"/>
      <c r="AA278" s="2644"/>
      <c r="AB278" s="2645"/>
    </row>
    <row r="279" spans="1:28" ht="33" customHeight="1" outlineLevel="1">
      <c r="A279" s="512"/>
      <c r="B279" s="252"/>
      <c r="C279" s="2680" t="s">
        <v>338</v>
      </c>
      <c r="D279" s="2680"/>
      <c r="E279" s="2062"/>
      <c r="F279" s="2062"/>
      <c r="G279" s="636"/>
      <c r="H279" s="637"/>
      <c r="I279" s="187"/>
      <c r="J279" s="580"/>
      <c r="K279" s="900" t="str">
        <f ca="1">IF(OR($H$7&lt;2,K$260&lt;1),"",IF(J279&lt;&gt;"",J279,IFERROR(IF(INDIRECT("'"&amp;J$86&amp;"'!"&amp;VLOOKUP(J$87,'List Values'!$C$3:$D$6,2,FALSE)&amp;ROW(J279))="","",INDIRECT("'"&amp;J$86&amp;"'!"&amp;VLOOKUP(J$87,'List Values'!$C$3:$D$6,2,FALSE)&amp;ROW(J279))),IF(J$86&lt;&gt;"","Data Source Error",""))))</f>
        <v/>
      </c>
      <c r="L279" s="187"/>
      <c r="M279" s="580"/>
      <c r="N279" s="900" t="str">
        <f ca="1">IF(OR($H$7&lt;3,N$260&lt;1),"",IF(M279&lt;&gt;"",M279,IFERROR(IF(INDIRECT("'"&amp;M$86&amp;"'!"&amp;VLOOKUP(M$87,'List Values'!$C$3:$D$6,2,FALSE)&amp;ROW(M279))="","",INDIRECT("'"&amp;M$86&amp;"'!"&amp;VLOOKUP(M$87,'List Values'!$C$3:$D$6,2,FALSE)&amp;ROW(M279))),IF(M$86&lt;&gt;"","Data Source Error",""))))</f>
        <v/>
      </c>
      <c r="O279" s="187"/>
      <c r="P279" s="580"/>
      <c r="Q279" s="900" t="str">
        <f ca="1">IF(OR($H$7&lt;4,Q$260&lt;1),"",IF(P279&lt;&gt;"",P279,IFERROR(IF(INDIRECT("'"&amp;P$86&amp;"'!"&amp;VLOOKUP(P$87,'List Values'!$C$3:$D$6,2,FALSE)&amp;ROW(P279))="","",INDIRECT("'"&amp;P$86&amp;"'!"&amp;VLOOKUP(P$87,'List Values'!$C$3:$D$6,2,FALSE)&amp;ROW(P279))),IF(P$86&lt;&gt;"","Data Source Error",""))))</f>
        <v/>
      </c>
      <c r="S279" s="580"/>
      <c r="T279" s="900" t="str">
        <f ca="1">IF(OR($H$7&lt;5,T$260&lt;1),"",IF(S279&lt;&gt;"",S279,IFERROR(IF(INDIRECT("'"&amp;S$86&amp;"'!"&amp;VLOOKUP(S$87,'List Values'!$C$3:$D$6,2,FALSE)&amp;ROW(S279))="","",INDIRECT("'"&amp;S$86&amp;"'!"&amp;VLOOKUP(S$87,'List Values'!$C$3:$D$6,2,FALSE)&amp;ROW(S279))),IF(S$86&lt;&gt;"","Data Source Error",""))))</f>
        <v/>
      </c>
      <c r="V279" s="580"/>
      <c r="W279" s="911" t="str">
        <f ca="1">IF(OR($H$7&lt;6,W$260&lt;1),"",IF(V279&lt;&gt;"",V279,IFERROR(IF(INDIRECT("'"&amp;V$86&amp;"'!"&amp;VLOOKUP(V$87,'List Values'!$C$3:$D$6,2,FALSE)&amp;ROW(V279))="","",INDIRECT("'"&amp;V$86&amp;"'!"&amp;VLOOKUP(V$87,'List Values'!$C$3:$D$6,2,FALSE)&amp;ROW(V279))),IF(V$86&lt;&gt;"","Data Source Error",""))))</f>
        <v/>
      </c>
      <c r="Y279" s="2643"/>
      <c r="Z279" s="2644"/>
      <c r="AA279" s="2644"/>
      <c r="AB279" s="2645"/>
    </row>
    <row r="280" spans="1:28" ht="15.75" customHeight="1" outlineLevel="1">
      <c r="A280" s="512"/>
      <c r="B280" s="252"/>
      <c r="C280" s="2680" t="s">
        <v>650</v>
      </c>
      <c r="D280" s="2680"/>
      <c r="E280" s="2062"/>
      <c r="F280" s="2062"/>
      <c r="G280" s="636"/>
      <c r="H280" s="637"/>
      <c r="I280" s="187"/>
      <c r="J280" s="580"/>
      <c r="K280" s="900" t="str">
        <f ca="1">IF(OR($H$7&lt;2,K$260&lt;1),"",IF(J280&lt;&gt;"",J280,IFERROR(IF(INDIRECT("'"&amp;J$86&amp;"'!"&amp;VLOOKUP(J$87,'List Values'!$C$3:$D$6,2,FALSE)&amp;ROW(J280))="","",INDIRECT("'"&amp;J$86&amp;"'!"&amp;VLOOKUP(J$87,'List Values'!$C$3:$D$6,2,FALSE)&amp;ROW(J280))),IF(J$86&lt;&gt;"","Data Source Error",""))))</f>
        <v/>
      </c>
      <c r="L280" s="187"/>
      <c r="M280" s="580"/>
      <c r="N280" s="900" t="str">
        <f ca="1">IF(OR($H$7&lt;3,N$260&lt;1),"",IF(M280&lt;&gt;"",M280,IFERROR(IF(INDIRECT("'"&amp;M$86&amp;"'!"&amp;VLOOKUP(M$87,'List Values'!$C$3:$D$6,2,FALSE)&amp;ROW(M280))="","",INDIRECT("'"&amp;M$86&amp;"'!"&amp;VLOOKUP(M$87,'List Values'!$C$3:$D$6,2,FALSE)&amp;ROW(M280))),IF(M$86&lt;&gt;"","Data Source Error",""))))</f>
        <v/>
      </c>
      <c r="O280" s="187"/>
      <c r="P280" s="580"/>
      <c r="Q280" s="900" t="str">
        <f ca="1">IF(OR($H$7&lt;4,Q$260&lt;1),"",IF(P280&lt;&gt;"",P280,IFERROR(IF(INDIRECT("'"&amp;P$86&amp;"'!"&amp;VLOOKUP(P$87,'List Values'!$C$3:$D$6,2,FALSE)&amp;ROW(P280))="","",INDIRECT("'"&amp;P$86&amp;"'!"&amp;VLOOKUP(P$87,'List Values'!$C$3:$D$6,2,FALSE)&amp;ROW(P280))),IF(P$86&lt;&gt;"","Data Source Error",""))))</f>
        <v/>
      </c>
      <c r="S280" s="580"/>
      <c r="T280" s="900" t="str">
        <f ca="1">IF(OR($H$7&lt;5,T$260&lt;1),"",IF(S280&lt;&gt;"",S280,IFERROR(IF(INDIRECT("'"&amp;S$86&amp;"'!"&amp;VLOOKUP(S$87,'List Values'!$C$3:$D$6,2,FALSE)&amp;ROW(S280))="","",INDIRECT("'"&amp;S$86&amp;"'!"&amp;VLOOKUP(S$87,'List Values'!$C$3:$D$6,2,FALSE)&amp;ROW(S280))),IF(S$86&lt;&gt;"","Data Source Error",""))))</f>
        <v/>
      </c>
      <c r="V280" s="580"/>
      <c r="W280" s="911" t="str">
        <f ca="1">IF(OR($H$7&lt;6,W$260&lt;1),"",IF(V280&lt;&gt;"",V280,IFERROR(IF(INDIRECT("'"&amp;V$86&amp;"'!"&amp;VLOOKUP(V$87,'List Values'!$C$3:$D$6,2,FALSE)&amp;ROW(V280))="","",INDIRECT("'"&amp;V$86&amp;"'!"&amp;VLOOKUP(V$87,'List Values'!$C$3:$D$6,2,FALSE)&amp;ROW(V280))),IF(V$86&lt;&gt;"","Data Source Error",""))))</f>
        <v/>
      </c>
      <c r="Y280" s="2643"/>
      <c r="Z280" s="2644"/>
      <c r="AA280" s="2644"/>
      <c r="AB280" s="2645"/>
    </row>
    <row r="281" spans="1:28" ht="31" customHeight="1" outlineLevel="1">
      <c r="A281" s="512"/>
      <c r="B281" s="252"/>
      <c r="C281" s="2680" t="s">
        <v>651</v>
      </c>
      <c r="D281" s="2680"/>
      <c r="E281" s="238"/>
      <c r="F281" s="238"/>
      <c r="G281" s="638"/>
      <c r="H281" s="639"/>
      <c r="I281" s="184"/>
      <c r="J281" s="624"/>
      <c r="K281" s="941" t="str">
        <f ca="1">IF(OR($H$7&lt;2,K$260&lt;1),"",IF(J281&lt;&gt;"",J281,IFERROR(IF(INDIRECT("'"&amp;J$86&amp;"'!"&amp;VLOOKUP(J$87,'List Values'!$C$3:$D$6,2,FALSE)&amp;ROW(J281))="","",INDIRECT("'"&amp;J$86&amp;"'!"&amp;VLOOKUP(J$87,'List Values'!$C$3:$D$6,2,FALSE)&amp;ROW(J281))),IF(J$86&lt;&gt;"","Data Source Error",""))))</f>
        <v/>
      </c>
      <c r="L281" s="184"/>
      <c r="M281" s="624"/>
      <c r="N281" s="941" t="str">
        <f ca="1">IF(OR($H$7&lt;3,N$260&lt;1),"",IF(M281&lt;&gt;"",M281,IFERROR(IF(INDIRECT("'"&amp;M$86&amp;"'!"&amp;VLOOKUP(M$87,'List Values'!$C$3:$D$6,2,FALSE)&amp;ROW(M281))="","",INDIRECT("'"&amp;M$86&amp;"'!"&amp;VLOOKUP(M$87,'List Values'!$C$3:$D$6,2,FALSE)&amp;ROW(M281))),IF(M$86&lt;&gt;"","Data Source Error",""))))</f>
        <v/>
      </c>
      <c r="O281" s="184"/>
      <c r="P281" s="624"/>
      <c r="Q281" s="941" t="str">
        <f ca="1">IF(OR($H$7&lt;4,Q$260&lt;1),"",IF(P281&lt;&gt;"",P281,IFERROR(IF(INDIRECT("'"&amp;P$86&amp;"'!"&amp;VLOOKUP(P$87,'List Values'!$C$3:$D$6,2,FALSE)&amp;ROW(P281))="","",INDIRECT("'"&amp;P$86&amp;"'!"&amp;VLOOKUP(P$87,'List Values'!$C$3:$D$6,2,FALSE)&amp;ROW(P281))),IF(P$86&lt;&gt;"","Data Source Error",""))))</f>
        <v/>
      </c>
      <c r="S281" s="624"/>
      <c r="T281" s="941" t="str">
        <f ca="1">IF(OR($H$7&lt;5,T$260&lt;1),"",IF(S281&lt;&gt;"",S281,IFERROR(IF(INDIRECT("'"&amp;S$86&amp;"'!"&amp;VLOOKUP(S$87,'List Values'!$C$3:$D$6,2,FALSE)&amp;ROW(S281))="","",INDIRECT("'"&amp;S$86&amp;"'!"&amp;VLOOKUP(S$87,'List Values'!$C$3:$D$6,2,FALSE)&amp;ROW(S281))),IF(S$86&lt;&gt;"","Data Source Error",""))))</f>
        <v/>
      </c>
      <c r="V281" s="624"/>
      <c r="W281" s="947" t="str">
        <f ca="1">IF(OR($H$7&lt;6,W$260&lt;1),"",IF(V281&lt;&gt;"",V281,IFERROR(IF(INDIRECT("'"&amp;V$86&amp;"'!"&amp;VLOOKUP(V$87,'List Values'!$C$3:$D$6,2,FALSE)&amp;ROW(V281))="","",INDIRECT("'"&amp;V$86&amp;"'!"&amp;VLOOKUP(V$87,'List Values'!$C$3:$D$6,2,FALSE)&amp;ROW(V281))),IF(V$86&lt;&gt;"","Data Source Error",""))))</f>
        <v/>
      </c>
      <c r="Y281" s="2643"/>
      <c r="Z281" s="2644"/>
      <c r="AA281" s="2644"/>
      <c r="AB281" s="2645"/>
    </row>
    <row r="282" spans="1:28" ht="21" customHeight="1">
      <c r="A282" s="808"/>
      <c r="B282" s="612" t="s">
        <v>620</v>
      </c>
      <c r="C282" s="604"/>
      <c r="D282" s="604"/>
      <c r="E282" s="614"/>
      <c r="F282" s="608"/>
      <c r="G282" s="615"/>
      <c r="H282" s="611"/>
      <c r="I282" s="608"/>
      <c r="J282" s="610"/>
      <c r="K282" s="970"/>
      <c r="L282" s="608"/>
      <c r="M282" s="610"/>
      <c r="N282" s="970"/>
      <c r="O282" s="608"/>
      <c r="P282" s="610"/>
      <c r="Q282" s="970"/>
      <c r="R282" s="608"/>
      <c r="S282" s="610"/>
      <c r="T282" s="970"/>
      <c r="U282" s="608"/>
      <c r="V282" s="610"/>
      <c r="W282" s="970"/>
      <c r="Y282" s="631"/>
      <c r="Z282" s="631"/>
      <c r="AA282" s="631"/>
      <c r="AB282" s="631"/>
    </row>
    <row r="283" spans="1:28" ht="15.75" customHeight="1" outlineLevel="1">
      <c r="A283" s="513"/>
      <c r="B283" s="252"/>
      <c r="C283" s="2580" t="s">
        <v>625</v>
      </c>
      <c r="D283" s="2580"/>
      <c r="E283" s="202"/>
      <c r="F283" s="202"/>
      <c r="G283" s="634"/>
      <c r="H283" s="635"/>
      <c r="I283" s="183"/>
      <c r="J283" s="628"/>
      <c r="K283" s="967" t="str">
        <f ca="1">IF(OR($H$7&lt;2,K$260&lt;2),"",IF(J283&lt;&gt;"",J283,IFERROR(IF(INDIRECT("'"&amp;J$86&amp;"'!"&amp;VLOOKUP(J$87,'List Values'!$C$3:$D$6,2,FALSE)&amp;ROW(J283))="","",INDIRECT("'"&amp;J$86&amp;"'!"&amp;VLOOKUP(J$87,'List Values'!$C$3:$D$6,2,FALSE)&amp;ROW(J283))),IF(J$86&lt;&gt;"","Data Source Error",""))))</f>
        <v/>
      </c>
      <c r="L283" s="629"/>
      <c r="M283" s="628"/>
      <c r="N283" s="967" t="str">
        <f ca="1">IF(OR($H$7&lt;3,N$260&lt;2),"",IF(M283&lt;&gt;"",M283,IFERROR(IF(INDIRECT("'"&amp;M$86&amp;"'!"&amp;VLOOKUP(M$87,'List Values'!$C$3:$D$6,2,FALSE)&amp;ROW(M283))="","",INDIRECT("'"&amp;M$86&amp;"'!"&amp;VLOOKUP(M$87,'List Values'!$C$3:$D$6,2,FALSE)&amp;ROW(M283))),IF(M$86&lt;&gt;"","Data Source Error",""))))</f>
        <v/>
      </c>
      <c r="O283" s="629"/>
      <c r="P283" s="628"/>
      <c r="Q283" s="967" t="str">
        <f ca="1">IF(OR($H$7&lt;4,Q$260&lt;2),"",IF(P283&lt;&gt;"",P283,IFERROR(IF(INDIRECT("'"&amp;P$86&amp;"'!"&amp;VLOOKUP(P$87,'List Values'!$C$3:$D$6,2,FALSE)&amp;ROW(P283))="","",INDIRECT("'"&amp;P$86&amp;"'!"&amp;VLOOKUP(P$87,'List Values'!$C$3:$D$6,2,FALSE)&amp;ROW(P283))),IF(P$86&lt;&gt;"","Data Source Error",""))))</f>
        <v/>
      </c>
      <c r="R283" s="147"/>
      <c r="S283" s="628"/>
      <c r="T283" s="967" t="str">
        <f ca="1">IF(OR($H$7&lt;5,T$260&lt;2),"",IF(S283&lt;&gt;"",S283,IFERROR(IF(INDIRECT("'"&amp;S$86&amp;"'!"&amp;VLOOKUP(S$87,'List Values'!$C$3:$D$6,2,FALSE)&amp;ROW(S283))="","",INDIRECT("'"&amp;S$86&amp;"'!"&amp;VLOOKUP(S$87,'List Values'!$C$3:$D$6,2,FALSE)&amp;ROW(S283))),IF(S$86&lt;&gt;"","Data Source Error",""))))</f>
        <v/>
      </c>
      <c r="U283" s="147"/>
      <c r="V283" s="628"/>
      <c r="W283" s="973" t="str">
        <f ca="1">IF(OR($H$7&lt;6,W$260&lt;2),"",IF(V283&lt;&gt;"",V283,IFERROR(IF(INDIRECT("'"&amp;V$86&amp;"'!"&amp;VLOOKUP(V$87,'List Values'!$C$3:$D$6,2,FALSE)&amp;ROW(V283))="","",INDIRECT("'"&amp;V$86&amp;"'!"&amp;VLOOKUP(V$87,'List Values'!$C$3:$D$6,2,FALSE)&amp;ROW(V283))),IF(V$86&lt;&gt;"","Data Source Error",""))))</f>
        <v/>
      </c>
      <c r="Y283" s="2643"/>
      <c r="Z283" s="2644"/>
      <c r="AA283" s="2644"/>
      <c r="AB283" s="2645"/>
    </row>
    <row r="284" spans="1:28" ht="15.75" customHeight="1" outlineLevel="1">
      <c r="A284" s="513"/>
      <c r="B284" s="252"/>
      <c r="C284" s="2680" t="s">
        <v>626</v>
      </c>
      <c r="D284" s="2680"/>
      <c r="E284" s="2062"/>
      <c r="F284" s="2062"/>
      <c r="G284" s="636"/>
      <c r="H284" s="637"/>
      <c r="I284" s="187"/>
      <c r="J284" s="526"/>
      <c r="K284" s="900" t="str">
        <f ca="1">IF(OR($H$7&lt;2,K$260&lt;2),"",IF(J284&lt;&gt;"",J284,IFERROR(IF(INDIRECT("'"&amp;J$86&amp;"'!"&amp;VLOOKUP(J$87,'List Values'!$C$3:$D$6,2,FALSE)&amp;ROW(J284))="","",INDIRECT("'"&amp;J$86&amp;"'!"&amp;VLOOKUP(J$87,'List Values'!$C$3:$D$6,2,FALSE)&amp;ROW(J284))),IF(J$86&lt;&gt;"","Data Source Error",""))))</f>
        <v/>
      </c>
      <c r="L284" s="187"/>
      <c r="M284" s="526"/>
      <c r="N284" s="900" t="str">
        <f ca="1">IF(OR($H$7&lt;3,N$260&lt;2),"",IF(M284&lt;&gt;"",M284,IFERROR(IF(INDIRECT("'"&amp;M$86&amp;"'!"&amp;VLOOKUP(M$87,'List Values'!$C$3:$D$6,2,FALSE)&amp;ROW(M284))="","",INDIRECT("'"&amp;M$86&amp;"'!"&amp;VLOOKUP(M$87,'List Values'!$C$3:$D$6,2,FALSE)&amp;ROW(M284))),IF(M$86&lt;&gt;"","Data Source Error",""))))</f>
        <v/>
      </c>
      <c r="O284" s="187"/>
      <c r="P284" s="526"/>
      <c r="Q284" s="900" t="str">
        <f ca="1">IF(OR($H$7&lt;4,Q$260&lt;2),"",IF(P284&lt;&gt;"",P284,IFERROR(IF(INDIRECT("'"&amp;P$86&amp;"'!"&amp;VLOOKUP(P$87,'List Values'!$C$3:$D$6,2,FALSE)&amp;ROW(P284))="","",INDIRECT("'"&amp;P$86&amp;"'!"&amp;VLOOKUP(P$87,'List Values'!$C$3:$D$6,2,FALSE)&amp;ROW(P284))),IF(P$86&lt;&gt;"","Data Source Error",""))))</f>
        <v/>
      </c>
      <c r="S284" s="526"/>
      <c r="T284" s="900" t="str">
        <f ca="1">IF(OR($H$7&lt;5,T$260&lt;2),"",IF(S284&lt;&gt;"",S284,IFERROR(IF(INDIRECT("'"&amp;S$86&amp;"'!"&amp;VLOOKUP(S$87,'List Values'!$C$3:$D$6,2,FALSE)&amp;ROW(S284))="","",INDIRECT("'"&amp;S$86&amp;"'!"&amp;VLOOKUP(S$87,'List Values'!$C$3:$D$6,2,FALSE)&amp;ROW(S284))),IF(S$86&lt;&gt;"","Data Source Error",""))))</f>
        <v/>
      </c>
      <c r="V284" s="526"/>
      <c r="W284" s="911" t="str">
        <f ca="1">IF(OR($H$7&lt;6,W$260&lt;2),"",IF(V284&lt;&gt;"",V284,IFERROR(IF(INDIRECT("'"&amp;V$86&amp;"'!"&amp;VLOOKUP(V$87,'List Values'!$C$3:$D$6,2,FALSE)&amp;ROW(V284))="","",INDIRECT("'"&amp;V$86&amp;"'!"&amp;VLOOKUP(V$87,'List Values'!$C$3:$D$6,2,FALSE)&amp;ROW(V284))),IF(V$86&lt;&gt;"","Data Source Error",""))))</f>
        <v/>
      </c>
      <c r="Y284" s="2643"/>
      <c r="Z284" s="2644"/>
      <c r="AA284" s="2644"/>
      <c r="AB284" s="2645"/>
    </row>
    <row r="285" spans="1:28" ht="31" customHeight="1" outlineLevel="1">
      <c r="A285" s="513"/>
      <c r="B285" s="252"/>
      <c r="C285" s="2680" t="s">
        <v>627</v>
      </c>
      <c r="D285" s="2680"/>
      <c r="E285" s="2062"/>
      <c r="F285" s="2062"/>
      <c r="G285" s="636"/>
      <c r="H285" s="637"/>
      <c r="I285" s="187"/>
      <c r="J285" s="561"/>
      <c r="K285" s="900" t="str">
        <f ca="1">IF(OR($H$7&lt;2,K$260&lt;2),"",IF(J285&lt;&gt;"",J285,IFERROR(IF(INDIRECT("'"&amp;J$86&amp;"'!"&amp;VLOOKUP(J$87,'List Values'!$C$3:$D$6,2,FALSE)&amp;ROW(J285))="","",INDIRECT("'"&amp;J$86&amp;"'!"&amp;VLOOKUP(J$87,'List Values'!$C$3:$D$6,2,FALSE)&amp;ROW(J285))),IF(J$86&lt;&gt;"","Data Source Error",""))))</f>
        <v/>
      </c>
      <c r="L285" s="187"/>
      <c r="M285" s="561"/>
      <c r="N285" s="900" t="str">
        <f ca="1">IF(OR($H$7&lt;3,N$260&lt;2),"",IF(M285&lt;&gt;"",M285,IFERROR(IF(INDIRECT("'"&amp;M$86&amp;"'!"&amp;VLOOKUP(M$87,'List Values'!$C$3:$D$6,2,FALSE)&amp;ROW(M285))="","",INDIRECT("'"&amp;M$86&amp;"'!"&amp;VLOOKUP(M$87,'List Values'!$C$3:$D$6,2,FALSE)&amp;ROW(M285))),IF(M$86&lt;&gt;"","Data Source Error",""))))</f>
        <v/>
      </c>
      <c r="O285" s="187"/>
      <c r="P285" s="561"/>
      <c r="Q285" s="900" t="str">
        <f ca="1">IF(OR($H$7&lt;4,Q$260&lt;2),"",IF(P285&lt;&gt;"",P285,IFERROR(IF(INDIRECT("'"&amp;P$86&amp;"'!"&amp;VLOOKUP(P$87,'List Values'!$C$3:$D$6,2,FALSE)&amp;ROW(P285))="","",INDIRECT("'"&amp;P$86&amp;"'!"&amp;VLOOKUP(P$87,'List Values'!$C$3:$D$6,2,FALSE)&amp;ROW(P285))),IF(P$86&lt;&gt;"","Data Source Error",""))))</f>
        <v/>
      </c>
      <c r="S285" s="561"/>
      <c r="T285" s="900" t="str">
        <f ca="1">IF(OR($H$7&lt;5,T$260&lt;2),"",IF(S285&lt;&gt;"",S285,IFERROR(IF(INDIRECT("'"&amp;S$86&amp;"'!"&amp;VLOOKUP(S$87,'List Values'!$C$3:$D$6,2,FALSE)&amp;ROW(S285))="","",INDIRECT("'"&amp;S$86&amp;"'!"&amp;VLOOKUP(S$87,'List Values'!$C$3:$D$6,2,FALSE)&amp;ROW(S285))),IF(S$86&lt;&gt;"","Data Source Error",""))))</f>
        <v/>
      </c>
      <c r="V285" s="561"/>
      <c r="W285" s="911" t="str">
        <f ca="1">IF(OR($H$7&lt;6,W$260&lt;2),"",IF(V285&lt;&gt;"",V285,IFERROR(IF(INDIRECT("'"&amp;V$86&amp;"'!"&amp;VLOOKUP(V$87,'List Values'!$C$3:$D$6,2,FALSE)&amp;ROW(V285))="","",INDIRECT("'"&amp;V$86&amp;"'!"&amp;VLOOKUP(V$87,'List Values'!$C$3:$D$6,2,FALSE)&amp;ROW(V285))),IF(V$86&lt;&gt;"","Data Source Error",""))))</f>
        <v/>
      </c>
      <c r="Y285" s="2643"/>
      <c r="Z285" s="2644"/>
      <c r="AA285" s="2644"/>
      <c r="AB285" s="2645"/>
    </row>
    <row r="286" spans="1:28" ht="31" customHeight="1" outlineLevel="1">
      <c r="A286" s="513"/>
      <c r="B286" s="252"/>
      <c r="C286" s="2684" t="s">
        <v>628</v>
      </c>
      <c r="D286" s="2684"/>
      <c r="E286" s="2062"/>
      <c r="F286" s="2062"/>
      <c r="G286" s="636"/>
      <c r="H286" s="637"/>
      <c r="I286" s="187"/>
      <c r="J286" s="526"/>
      <c r="K286" s="900" t="str">
        <f ca="1">IF(OR($H$7&lt;2,K$260&lt;2),"",IF(J286&lt;&gt;"",J286,IFERROR(IF(INDIRECT("'"&amp;J$86&amp;"'!"&amp;VLOOKUP(J$87,'List Values'!$C$3:$D$6,2,FALSE)&amp;ROW(J286))="","",INDIRECT("'"&amp;J$86&amp;"'!"&amp;VLOOKUP(J$87,'List Values'!$C$3:$D$6,2,FALSE)&amp;ROW(J286))),IF(J$86&lt;&gt;"","Data Source Error",""))))</f>
        <v/>
      </c>
      <c r="L286" s="187"/>
      <c r="M286" s="526"/>
      <c r="N286" s="900" t="str">
        <f ca="1">IF(OR($H$7&lt;3,N$260&lt;2),"",IF(M286&lt;&gt;"",M286,IFERROR(IF(INDIRECT("'"&amp;M$86&amp;"'!"&amp;VLOOKUP(M$87,'List Values'!$C$3:$D$6,2,FALSE)&amp;ROW(M286))="","",INDIRECT("'"&amp;M$86&amp;"'!"&amp;VLOOKUP(M$87,'List Values'!$C$3:$D$6,2,FALSE)&amp;ROW(M286))),IF(M$86&lt;&gt;"","Data Source Error",""))))</f>
        <v/>
      </c>
      <c r="O286" s="187"/>
      <c r="P286" s="526"/>
      <c r="Q286" s="900" t="str">
        <f ca="1">IF(OR($H$7&lt;4,Q$260&lt;2),"",IF(P286&lt;&gt;"",P286,IFERROR(IF(INDIRECT("'"&amp;P$86&amp;"'!"&amp;VLOOKUP(P$87,'List Values'!$C$3:$D$6,2,FALSE)&amp;ROW(P286))="","",INDIRECT("'"&amp;P$86&amp;"'!"&amp;VLOOKUP(P$87,'List Values'!$C$3:$D$6,2,FALSE)&amp;ROW(P286))),IF(P$86&lt;&gt;"","Data Source Error",""))))</f>
        <v/>
      </c>
      <c r="S286" s="526"/>
      <c r="T286" s="900" t="str">
        <f ca="1">IF(OR($H$7&lt;5,T$260&lt;2),"",IF(S286&lt;&gt;"",S286,IFERROR(IF(INDIRECT("'"&amp;S$86&amp;"'!"&amp;VLOOKUP(S$87,'List Values'!$C$3:$D$6,2,FALSE)&amp;ROW(S286))="","",INDIRECT("'"&amp;S$86&amp;"'!"&amp;VLOOKUP(S$87,'List Values'!$C$3:$D$6,2,FALSE)&amp;ROW(S286))),IF(S$86&lt;&gt;"","Data Source Error",""))))</f>
        <v/>
      </c>
      <c r="V286" s="526"/>
      <c r="W286" s="911" t="str">
        <f ca="1">IF(OR($H$7&lt;6,W$260&lt;2),"",IF(V286&lt;&gt;"",V286,IFERROR(IF(INDIRECT("'"&amp;V$86&amp;"'!"&amp;VLOOKUP(V$87,'List Values'!$C$3:$D$6,2,FALSE)&amp;ROW(V286))="","",INDIRECT("'"&amp;V$86&amp;"'!"&amp;VLOOKUP(V$87,'List Values'!$C$3:$D$6,2,FALSE)&amp;ROW(V286))),IF(V$86&lt;&gt;"","Data Source Error",""))))</f>
        <v/>
      </c>
      <c r="Y286" s="2643"/>
      <c r="Z286" s="2644"/>
      <c r="AA286" s="2644"/>
      <c r="AB286" s="2645"/>
    </row>
    <row r="287" spans="1:28" ht="33" customHeight="1" outlineLevel="1">
      <c r="A287" s="513"/>
      <c r="B287" s="252"/>
      <c r="C287" s="2684" t="s">
        <v>629</v>
      </c>
      <c r="D287" s="2684"/>
      <c r="E287" s="2062"/>
      <c r="F287" s="2062"/>
      <c r="G287" s="636"/>
      <c r="H287" s="637"/>
      <c r="I287" s="187"/>
      <c r="J287" s="568"/>
      <c r="K287" s="945" t="str">
        <f ca="1">IF(OR($H$7&lt;2,K$260&lt;2),"",IF(J287&lt;&gt;"",J287,IFERROR(IF(INDIRECT("'"&amp;J$86&amp;"'!"&amp;VLOOKUP(J$87,'List Values'!$C$3:$D$6,2,FALSE)&amp;ROW(J287))="","",INDIRECT("'"&amp;J$86&amp;"'!"&amp;VLOOKUP(J$87,'List Values'!$C$3:$D$6,2,FALSE)&amp;ROW(J287))),IF(J$86&lt;&gt;"","Data Source Error",""))))</f>
        <v/>
      </c>
      <c r="L287" s="339"/>
      <c r="M287" s="568"/>
      <c r="N287" s="945" t="str">
        <f ca="1">IF(OR($H$7&lt;3,N$260&lt;2),"",IF(M287&lt;&gt;"",M287,IFERROR(IF(INDIRECT("'"&amp;M$86&amp;"'!"&amp;VLOOKUP(M$87,'List Values'!$C$3:$D$6,2,FALSE)&amp;ROW(M287))="","",INDIRECT("'"&amp;M$86&amp;"'!"&amp;VLOOKUP(M$87,'List Values'!$C$3:$D$6,2,FALSE)&amp;ROW(M287))),IF(M$86&lt;&gt;"","Data Source Error",""))))</f>
        <v/>
      </c>
      <c r="O287" s="339"/>
      <c r="P287" s="568"/>
      <c r="Q287" s="945" t="str">
        <f ca="1">IF(OR($H$7&lt;4,Q$260&lt;2),"",IF(P287&lt;&gt;"",P287,IFERROR(IF(INDIRECT("'"&amp;P$86&amp;"'!"&amp;VLOOKUP(P$87,'List Values'!$C$3:$D$6,2,FALSE)&amp;ROW(P287))="","",INDIRECT("'"&amp;P$86&amp;"'!"&amp;VLOOKUP(P$87,'List Values'!$C$3:$D$6,2,FALSE)&amp;ROW(P287))),IF(P$86&lt;&gt;"","Data Source Error",""))))</f>
        <v/>
      </c>
      <c r="R287" s="7"/>
      <c r="S287" s="568"/>
      <c r="T287" s="945" t="str">
        <f ca="1">IF(OR($H$7&lt;5,T$260&lt;2),"",IF(S287&lt;&gt;"",S287,IFERROR(IF(INDIRECT("'"&amp;S$86&amp;"'!"&amp;VLOOKUP(S$87,'List Values'!$C$3:$D$6,2,FALSE)&amp;ROW(S287))="","",INDIRECT("'"&amp;S$86&amp;"'!"&amp;VLOOKUP(S$87,'List Values'!$C$3:$D$6,2,FALSE)&amp;ROW(S287))),IF(S$86&lt;&gt;"","Data Source Error",""))))</f>
        <v/>
      </c>
      <c r="U287" s="7"/>
      <c r="V287" s="568"/>
      <c r="W287" s="952" t="str">
        <f ca="1">IF(OR($H$7&lt;6,W$260&lt;2),"",IF(V287&lt;&gt;"",V287,IFERROR(IF(INDIRECT("'"&amp;V$86&amp;"'!"&amp;VLOOKUP(V$87,'List Values'!$C$3:$D$6,2,FALSE)&amp;ROW(V287))="","",INDIRECT("'"&amp;V$86&amp;"'!"&amp;VLOOKUP(V$87,'List Values'!$C$3:$D$6,2,FALSE)&amp;ROW(V287))),IF(V$86&lt;&gt;"","Data Source Error",""))))</f>
        <v/>
      </c>
      <c r="Y287" s="2643"/>
      <c r="Z287" s="2644"/>
      <c r="AA287" s="2644"/>
      <c r="AB287" s="2645"/>
    </row>
    <row r="288" spans="1:28" ht="15.75" customHeight="1" outlineLevel="1">
      <c r="A288" s="513"/>
      <c r="B288" s="252"/>
      <c r="C288" s="2680" t="s">
        <v>630</v>
      </c>
      <c r="D288" s="2680"/>
      <c r="E288" s="2062"/>
      <c r="F288" s="2062"/>
      <c r="G288" s="636"/>
      <c r="H288" s="637"/>
      <c r="I288" s="187"/>
      <c r="J288" s="526"/>
      <c r="K288" s="900" t="str">
        <f ca="1">IF(OR($H$7&lt;2,K$260&lt;2),"",IF(J288&lt;&gt;"",J288,IFERROR(IF(INDIRECT("'"&amp;J$86&amp;"'!"&amp;VLOOKUP(J$87,'List Values'!$C$3:$D$6,2,FALSE)&amp;ROW(J288))="","",INDIRECT("'"&amp;J$86&amp;"'!"&amp;VLOOKUP(J$87,'List Values'!$C$3:$D$6,2,FALSE)&amp;ROW(J288))),IF(J$86&lt;&gt;"","Data Source Error",""))))</f>
        <v/>
      </c>
      <c r="L288" s="187"/>
      <c r="M288" s="526"/>
      <c r="N288" s="900" t="str">
        <f ca="1">IF(OR($H$7&lt;3,N$260&lt;2),"",IF(M288&lt;&gt;"",M288,IFERROR(IF(INDIRECT("'"&amp;M$86&amp;"'!"&amp;VLOOKUP(M$87,'List Values'!$C$3:$D$6,2,FALSE)&amp;ROW(M288))="","",INDIRECT("'"&amp;M$86&amp;"'!"&amp;VLOOKUP(M$87,'List Values'!$C$3:$D$6,2,FALSE)&amp;ROW(M288))),IF(M$86&lt;&gt;"","Data Source Error",""))))</f>
        <v/>
      </c>
      <c r="O288" s="187"/>
      <c r="P288" s="526"/>
      <c r="Q288" s="900" t="str">
        <f ca="1">IF(OR($H$7&lt;4,Q$260&lt;2),"",IF(P288&lt;&gt;"",P288,IFERROR(IF(INDIRECT("'"&amp;P$86&amp;"'!"&amp;VLOOKUP(P$87,'List Values'!$C$3:$D$6,2,FALSE)&amp;ROW(P288))="","",INDIRECT("'"&amp;P$86&amp;"'!"&amp;VLOOKUP(P$87,'List Values'!$C$3:$D$6,2,FALSE)&amp;ROW(P288))),IF(P$86&lt;&gt;"","Data Source Error",""))))</f>
        <v/>
      </c>
      <c r="S288" s="526"/>
      <c r="T288" s="900" t="str">
        <f ca="1">IF(OR($H$7&lt;5,T$260&lt;2),"",IF(S288&lt;&gt;"",S288,IFERROR(IF(INDIRECT("'"&amp;S$86&amp;"'!"&amp;VLOOKUP(S$87,'List Values'!$C$3:$D$6,2,FALSE)&amp;ROW(S288))="","",INDIRECT("'"&amp;S$86&amp;"'!"&amp;VLOOKUP(S$87,'List Values'!$C$3:$D$6,2,FALSE)&amp;ROW(S288))),IF(S$86&lt;&gt;"","Data Source Error",""))))</f>
        <v/>
      </c>
      <c r="V288" s="526"/>
      <c r="W288" s="911" t="str">
        <f ca="1">IF(OR($H$7&lt;6,W$260&lt;2),"",IF(V288&lt;&gt;"",V288,IFERROR(IF(INDIRECT("'"&amp;V$86&amp;"'!"&amp;VLOOKUP(V$87,'List Values'!$C$3:$D$6,2,FALSE)&amp;ROW(V288))="","",INDIRECT("'"&amp;V$86&amp;"'!"&amp;VLOOKUP(V$87,'List Values'!$C$3:$D$6,2,FALSE)&amp;ROW(V288))),IF(V$86&lt;&gt;"","Data Source Error",""))))</f>
        <v/>
      </c>
      <c r="Y288" s="2643"/>
      <c r="Z288" s="2644"/>
      <c r="AA288" s="2644"/>
      <c r="AB288" s="2645"/>
    </row>
    <row r="289" spans="1:28" ht="31" customHeight="1" outlineLevel="1">
      <c r="A289" s="513"/>
      <c r="B289" s="252"/>
      <c r="C289" s="2684" t="s">
        <v>634</v>
      </c>
      <c r="D289" s="2684"/>
      <c r="E289" s="202"/>
      <c r="F289" s="202"/>
      <c r="G289" s="634"/>
      <c r="H289" s="635"/>
      <c r="I289" s="183"/>
      <c r="J289" s="553"/>
      <c r="K289" s="897" t="str">
        <f ca="1">IF(OR($H$7&lt;2,K$260&lt;2),"",IF(J289&lt;&gt;"",J289,IFERROR(IF(INDIRECT("'"&amp;J$86&amp;"'!"&amp;VLOOKUP(J$87,'List Values'!$C$3:$D$6,2,FALSE)&amp;ROW(J289))="","",INDIRECT("'"&amp;J$86&amp;"'!"&amp;VLOOKUP(J$87,'List Values'!$C$3:$D$6,2,FALSE)&amp;ROW(J289))),IF(J$86&lt;&gt;"","Data Source Error",""))))</f>
        <v/>
      </c>
      <c r="L289" s="183"/>
      <c r="M289" s="553"/>
      <c r="N289" s="897" t="str">
        <f ca="1">IF(OR($H$7&lt;3,N$260&lt;2),"",IF(M289&lt;&gt;"",M289,IFERROR(IF(INDIRECT("'"&amp;M$86&amp;"'!"&amp;VLOOKUP(M$87,'List Values'!$C$3:$D$6,2,FALSE)&amp;ROW(M289))="","",INDIRECT("'"&amp;M$86&amp;"'!"&amp;VLOOKUP(M$87,'List Values'!$C$3:$D$6,2,FALSE)&amp;ROW(M289))),IF(M$86&lt;&gt;"","Data Source Error",""))))</f>
        <v/>
      </c>
      <c r="O289" s="183"/>
      <c r="P289" s="553"/>
      <c r="Q289" s="897" t="str">
        <f ca="1">IF(OR($H$7&lt;4,Q$260&lt;2),"",IF(P289&lt;&gt;"",P289,IFERROR(IF(INDIRECT("'"&amp;P$86&amp;"'!"&amp;VLOOKUP(P$87,'List Values'!$C$3:$D$6,2,FALSE)&amp;ROW(P289))="","",INDIRECT("'"&amp;P$86&amp;"'!"&amp;VLOOKUP(P$87,'List Values'!$C$3:$D$6,2,FALSE)&amp;ROW(P289))),IF(P$86&lt;&gt;"","Data Source Error",""))))</f>
        <v/>
      </c>
      <c r="S289" s="553"/>
      <c r="T289" s="897" t="str">
        <f ca="1">IF(OR($H$7&lt;5,T$260&lt;2),"",IF(S289&lt;&gt;"",S289,IFERROR(IF(INDIRECT("'"&amp;S$86&amp;"'!"&amp;VLOOKUP(S$87,'List Values'!$C$3:$D$6,2,FALSE)&amp;ROW(S289))="","",INDIRECT("'"&amp;S$86&amp;"'!"&amp;VLOOKUP(S$87,'List Values'!$C$3:$D$6,2,FALSE)&amp;ROW(S289))),IF(S$86&lt;&gt;"","Data Source Error",""))))</f>
        <v/>
      </c>
      <c r="V289" s="553"/>
      <c r="W289" s="908" t="str">
        <f ca="1">IF(OR($H$7&lt;6,W$260&lt;2),"",IF(V289&lt;&gt;"",V289,IFERROR(IF(INDIRECT("'"&amp;V$86&amp;"'!"&amp;VLOOKUP(V$87,'List Values'!$C$3:$D$6,2,FALSE)&amp;ROW(V289))="","",INDIRECT("'"&amp;V$86&amp;"'!"&amp;VLOOKUP(V$87,'List Values'!$C$3:$D$6,2,FALSE)&amp;ROW(V289))),IF(V$86&lt;&gt;"","Data Source Error",""))))</f>
        <v/>
      </c>
      <c r="Y289" s="2643"/>
      <c r="Z289" s="2644"/>
      <c r="AA289" s="2644"/>
      <c r="AB289" s="2645"/>
    </row>
    <row r="290" spans="1:28" ht="31" customHeight="1" outlineLevel="1">
      <c r="A290" s="513"/>
      <c r="B290" s="252"/>
      <c r="C290" s="2680" t="s">
        <v>1551</v>
      </c>
      <c r="D290" s="2680"/>
      <c r="E290" s="2062"/>
      <c r="F290" s="2062"/>
      <c r="G290" s="636"/>
      <c r="H290" s="637"/>
      <c r="I290" s="187"/>
      <c r="J290" s="619"/>
      <c r="K290" s="898" t="str">
        <f ca="1">IF(OR($H$7&lt;2,K$260&lt;2),"",IF(J290&lt;&gt;"",J290,IFERROR(IF(INDIRECT("'"&amp;J$86&amp;"'!"&amp;VLOOKUP(J$87,'List Values'!$C$3:$D$6,2,FALSE)&amp;ROW(J290))="","",INDIRECT("'"&amp;J$86&amp;"'!"&amp;VLOOKUP(J$87,'List Values'!$C$3:$D$6,2,FALSE)&amp;ROW(J290))),IF(J$86&lt;&gt;"","Data Source Error",""))))</f>
        <v/>
      </c>
      <c r="L290" s="621"/>
      <c r="M290" s="619"/>
      <c r="N290" s="898" t="str">
        <f ca="1">IF(OR($H$7&lt;3,N$260&lt;2),"",IF(M290&lt;&gt;"",M290,IFERROR(IF(INDIRECT("'"&amp;M$86&amp;"'!"&amp;VLOOKUP(M$87,'List Values'!$C$3:$D$6,2,FALSE)&amp;ROW(M290))="","",INDIRECT("'"&amp;M$86&amp;"'!"&amp;VLOOKUP(M$87,'List Values'!$C$3:$D$6,2,FALSE)&amp;ROW(M290))),IF(M$86&lt;&gt;"","Data Source Error",""))))</f>
        <v/>
      </c>
      <c r="O290" s="621"/>
      <c r="P290" s="619"/>
      <c r="Q290" s="898" t="str">
        <f ca="1">IF(OR($H$7&lt;4,Q$260&lt;2),"",IF(P290&lt;&gt;"",P290,IFERROR(IF(INDIRECT("'"&amp;P$86&amp;"'!"&amp;VLOOKUP(P$87,'List Values'!$C$3:$D$6,2,FALSE)&amp;ROW(P290))="","",INDIRECT("'"&amp;P$86&amp;"'!"&amp;VLOOKUP(P$87,'List Values'!$C$3:$D$6,2,FALSE)&amp;ROW(P290))),IF(P$86&lt;&gt;"","Data Source Error",""))))</f>
        <v/>
      </c>
      <c r="R290" s="147"/>
      <c r="S290" s="619"/>
      <c r="T290" s="898" t="str">
        <f ca="1">IF(OR($H$7&lt;5,T$260&lt;2),"",IF(S290&lt;&gt;"",S290,IFERROR(IF(INDIRECT("'"&amp;S$86&amp;"'!"&amp;VLOOKUP(S$87,'List Values'!$C$3:$D$6,2,FALSE)&amp;ROW(S290))="","",INDIRECT("'"&amp;S$86&amp;"'!"&amp;VLOOKUP(S$87,'List Values'!$C$3:$D$6,2,FALSE)&amp;ROW(S290))),IF(S$86&lt;&gt;"","Data Source Error",""))))</f>
        <v/>
      </c>
      <c r="U290" s="147"/>
      <c r="V290" s="619"/>
      <c r="W290" s="909" t="str">
        <f ca="1">IF(OR($H$7&lt;6,W$260&lt;2),"",IF(V290&lt;&gt;"",V290,IFERROR(IF(INDIRECT("'"&amp;V$86&amp;"'!"&amp;VLOOKUP(V$87,'List Values'!$C$3:$D$6,2,FALSE)&amp;ROW(V290))="","",INDIRECT("'"&amp;V$86&amp;"'!"&amp;VLOOKUP(V$87,'List Values'!$C$3:$D$6,2,FALSE)&amp;ROW(V290))),IF(V$86&lt;&gt;"","Data Source Error",""))))</f>
        <v/>
      </c>
      <c r="Y290" s="2643"/>
      <c r="Z290" s="2644"/>
      <c r="AA290" s="2644"/>
      <c r="AB290" s="2645"/>
    </row>
    <row r="291" spans="1:28" ht="31" customHeight="1" outlineLevel="1">
      <c r="A291" s="513"/>
      <c r="B291" s="252"/>
      <c r="C291" s="2680" t="s">
        <v>1552</v>
      </c>
      <c r="D291" s="2680"/>
      <c r="E291" s="2062"/>
      <c r="F291" s="2062"/>
      <c r="G291" s="636"/>
      <c r="H291" s="637"/>
      <c r="I291" s="187"/>
      <c r="J291" s="619"/>
      <c r="K291" s="898" t="str">
        <f ca="1">IF(OR($H$7&lt;2,K$260&lt;2),"",IF(J291&lt;&gt;"",J291,IFERROR(IF(INDIRECT("'"&amp;J$86&amp;"'!"&amp;VLOOKUP(J$87,'List Values'!$C$3:$D$6,2,FALSE)&amp;ROW(J291))="","",INDIRECT("'"&amp;J$86&amp;"'!"&amp;VLOOKUP(J$87,'List Values'!$C$3:$D$6,2,FALSE)&amp;ROW(J291))),IF(J$86&lt;&gt;"","Data Source Error",""))))</f>
        <v/>
      </c>
      <c r="L291" s="621"/>
      <c r="M291" s="619"/>
      <c r="N291" s="898" t="str">
        <f ca="1">IF(OR($H$7&lt;3,N$260&lt;2),"",IF(M291&lt;&gt;"",M291,IFERROR(IF(INDIRECT("'"&amp;M$86&amp;"'!"&amp;VLOOKUP(M$87,'List Values'!$C$3:$D$6,2,FALSE)&amp;ROW(M291))="","",INDIRECT("'"&amp;M$86&amp;"'!"&amp;VLOOKUP(M$87,'List Values'!$C$3:$D$6,2,FALSE)&amp;ROW(M291))),IF(M$86&lt;&gt;"","Data Source Error",""))))</f>
        <v/>
      </c>
      <c r="O291" s="621"/>
      <c r="P291" s="619"/>
      <c r="Q291" s="898" t="str">
        <f ca="1">IF(OR($H$7&lt;4,Q$260&lt;2),"",IF(P291&lt;&gt;"",P291,IFERROR(IF(INDIRECT("'"&amp;P$86&amp;"'!"&amp;VLOOKUP(P$87,'List Values'!$C$3:$D$6,2,FALSE)&amp;ROW(P291))="","",INDIRECT("'"&amp;P$86&amp;"'!"&amp;VLOOKUP(P$87,'List Values'!$C$3:$D$6,2,FALSE)&amp;ROW(P291))),IF(P$86&lt;&gt;"","Data Source Error",""))))</f>
        <v/>
      </c>
      <c r="R291" s="147"/>
      <c r="S291" s="619"/>
      <c r="T291" s="898" t="str">
        <f ca="1">IF(OR($H$7&lt;5,T$260&lt;2),"",IF(S291&lt;&gt;"",S291,IFERROR(IF(INDIRECT("'"&amp;S$86&amp;"'!"&amp;VLOOKUP(S$87,'List Values'!$C$3:$D$6,2,FALSE)&amp;ROW(S291))="","",INDIRECT("'"&amp;S$86&amp;"'!"&amp;VLOOKUP(S$87,'List Values'!$C$3:$D$6,2,FALSE)&amp;ROW(S291))),IF(S$86&lt;&gt;"","Data Source Error",""))))</f>
        <v/>
      </c>
      <c r="U291" s="147"/>
      <c r="V291" s="619"/>
      <c r="W291" s="909" t="str">
        <f ca="1">IF(OR($H$7&lt;6,W$260&lt;2),"",IF(V291&lt;&gt;"",V291,IFERROR(IF(INDIRECT("'"&amp;V$86&amp;"'!"&amp;VLOOKUP(V$87,'List Values'!$C$3:$D$6,2,FALSE)&amp;ROW(V291))="","",INDIRECT("'"&amp;V$86&amp;"'!"&amp;VLOOKUP(V$87,'List Values'!$C$3:$D$6,2,FALSE)&amp;ROW(V291))),IF(V$86&lt;&gt;"","Data Source Error",""))))</f>
        <v/>
      </c>
      <c r="Y291" s="2643"/>
      <c r="Z291" s="2644"/>
      <c r="AA291" s="2644"/>
      <c r="AB291" s="2645"/>
    </row>
    <row r="292" spans="1:28" ht="33" customHeight="1" outlineLevel="1">
      <c r="A292" s="513"/>
      <c r="B292" s="252"/>
      <c r="C292" s="2680" t="s">
        <v>331</v>
      </c>
      <c r="D292" s="2680"/>
      <c r="E292" s="2062"/>
      <c r="F292" s="2062"/>
      <c r="G292" s="636"/>
      <c r="H292" s="637"/>
      <c r="I292" s="187"/>
      <c r="J292" s="526"/>
      <c r="K292" s="935" t="str">
        <f ca="1">IF(OR($H$7&lt;2,K$260&lt;2),"",IF(J292&lt;&gt;"",J292,IFERROR(IF(INDIRECT("'"&amp;J$86&amp;"'!"&amp;VLOOKUP(J$87,'List Values'!$C$3:$D$6,2,FALSE)&amp;ROW(J292))="","",INDIRECT("'"&amp;J$86&amp;"'!"&amp;VLOOKUP(J$87,'List Values'!$C$3:$D$6,2,FALSE)&amp;ROW(J292))),IF(J$86&lt;&gt;"","Data Source Error",""))))</f>
        <v/>
      </c>
      <c r="L292" s="187"/>
      <c r="M292" s="526"/>
      <c r="N292" s="900" t="str">
        <f ca="1">IF(OR($H$7&lt;3,N$260&lt;2),"",IF(M292&lt;&gt;"",M292,IFERROR(IF(INDIRECT("'"&amp;M$86&amp;"'!"&amp;VLOOKUP(M$87,'List Values'!$C$3:$D$6,2,FALSE)&amp;ROW(M292))="","",INDIRECT("'"&amp;M$86&amp;"'!"&amp;VLOOKUP(M$87,'List Values'!$C$3:$D$6,2,FALSE)&amp;ROW(M292))),IF(M$86&lt;&gt;"","Data Source Error",""))))</f>
        <v/>
      </c>
      <c r="O292" s="187"/>
      <c r="P292" s="526"/>
      <c r="Q292" s="900" t="str">
        <f ca="1">IF(OR($H$7&lt;4,Q$260&lt;2),"",IF(P292&lt;&gt;"",P292,IFERROR(IF(INDIRECT("'"&amp;P$86&amp;"'!"&amp;VLOOKUP(P$87,'List Values'!$C$3:$D$6,2,FALSE)&amp;ROW(P292))="","",INDIRECT("'"&amp;P$86&amp;"'!"&amp;VLOOKUP(P$87,'List Values'!$C$3:$D$6,2,FALSE)&amp;ROW(P292))),IF(P$86&lt;&gt;"","Data Source Error",""))))</f>
        <v/>
      </c>
      <c r="S292" s="526"/>
      <c r="T292" s="900" t="str">
        <f ca="1">IF(OR($H$7&lt;5,T$260&lt;2),"",IF(S292&lt;&gt;"",S292,IFERROR(IF(INDIRECT("'"&amp;S$86&amp;"'!"&amp;VLOOKUP(S$87,'List Values'!$C$3:$D$6,2,FALSE)&amp;ROW(S292))="","",INDIRECT("'"&amp;S$86&amp;"'!"&amp;VLOOKUP(S$87,'List Values'!$C$3:$D$6,2,FALSE)&amp;ROW(S292))),IF(S$86&lt;&gt;"","Data Source Error",""))))</f>
        <v/>
      </c>
      <c r="V292" s="526"/>
      <c r="W292" s="911" t="str">
        <f ca="1">IF(OR($H$7&lt;6,W$260&lt;2),"",IF(V292&lt;&gt;"",V292,IFERROR(IF(INDIRECT("'"&amp;V$86&amp;"'!"&amp;VLOOKUP(V$87,'List Values'!$C$3:$D$6,2,FALSE)&amp;ROW(V292))="","",INDIRECT("'"&amp;V$86&amp;"'!"&amp;VLOOKUP(V$87,'List Values'!$C$3:$D$6,2,FALSE)&amp;ROW(V292))),IF(V$86&lt;&gt;"","Data Source Error",""))))</f>
        <v/>
      </c>
      <c r="Y292" s="2643"/>
      <c r="Z292" s="2644"/>
      <c r="AA292" s="2644"/>
      <c r="AB292" s="2645"/>
    </row>
    <row r="293" spans="1:28" ht="15.75" customHeight="1" outlineLevel="1">
      <c r="A293" s="513"/>
      <c r="B293" s="252"/>
      <c r="C293" s="2684" t="s">
        <v>332</v>
      </c>
      <c r="D293" s="2684"/>
      <c r="E293" s="2062"/>
      <c r="F293" s="2062"/>
      <c r="G293" s="636"/>
      <c r="H293" s="637"/>
      <c r="I293" s="187"/>
      <c r="J293" s="580"/>
      <c r="K293" s="900" t="str">
        <f ca="1">IF(OR($H$7&lt;2,K$260&lt;2),"",IF(J293&lt;&gt;"",J293,IFERROR(IF(INDIRECT("'"&amp;J$86&amp;"'!"&amp;VLOOKUP(J$87,'List Values'!$C$3:$D$6,2,FALSE)&amp;ROW(J293))="","",INDIRECT("'"&amp;J$86&amp;"'!"&amp;VLOOKUP(J$87,'List Values'!$C$3:$D$6,2,FALSE)&amp;ROW(J293))),IF(J$86&lt;&gt;"","Data Source Error",""))))</f>
        <v/>
      </c>
      <c r="L293" s="187"/>
      <c r="M293" s="580"/>
      <c r="N293" s="900" t="str">
        <f ca="1">IF(OR($H$7&lt;3,N$260&lt;2),"",IF(M293&lt;&gt;"",M293,IFERROR(IF(INDIRECT("'"&amp;M$86&amp;"'!"&amp;VLOOKUP(M$87,'List Values'!$C$3:$D$6,2,FALSE)&amp;ROW(M293))="","",INDIRECT("'"&amp;M$86&amp;"'!"&amp;VLOOKUP(M$87,'List Values'!$C$3:$D$6,2,FALSE)&amp;ROW(M293))),IF(M$86&lt;&gt;"","Data Source Error",""))))</f>
        <v/>
      </c>
      <c r="O293" s="187"/>
      <c r="P293" s="580"/>
      <c r="Q293" s="900" t="str">
        <f ca="1">IF(OR($H$7&lt;4,Q$260&lt;2),"",IF(P293&lt;&gt;"",P293,IFERROR(IF(INDIRECT("'"&amp;P$86&amp;"'!"&amp;VLOOKUP(P$87,'List Values'!$C$3:$D$6,2,FALSE)&amp;ROW(P293))="","",INDIRECT("'"&amp;P$86&amp;"'!"&amp;VLOOKUP(P$87,'List Values'!$C$3:$D$6,2,FALSE)&amp;ROW(P293))),IF(P$86&lt;&gt;"","Data Source Error",""))))</f>
        <v/>
      </c>
      <c r="S293" s="580"/>
      <c r="T293" s="900" t="str">
        <f ca="1">IF(OR($H$7&lt;5,T$260&lt;2),"",IF(S293&lt;&gt;"",S293,IFERROR(IF(INDIRECT("'"&amp;S$86&amp;"'!"&amp;VLOOKUP(S$87,'List Values'!$C$3:$D$6,2,FALSE)&amp;ROW(S293))="","",INDIRECT("'"&amp;S$86&amp;"'!"&amp;VLOOKUP(S$87,'List Values'!$C$3:$D$6,2,FALSE)&amp;ROW(S293))),IF(S$86&lt;&gt;"","Data Source Error",""))))</f>
        <v/>
      </c>
      <c r="V293" s="580"/>
      <c r="W293" s="911" t="str">
        <f ca="1">IF(OR($H$7&lt;6,W$260&lt;2),"",IF(V293&lt;&gt;"",V293,IFERROR(IF(INDIRECT("'"&amp;V$86&amp;"'!"&amp;VLOOKUP(V$87,'List Values'!$C$3:$D$6,2,FALSE)&amp;ROW(V293))="","",INDIRECT("'"&amp;V$86&amp;"'!"&amp;VLOOKUP(V$87,'List Values'!$C$3:$D$6,2,FALSE)&amp;ROW(V293))),IF(V$86&lt;&gt;"","Data Source Error",""))))</f>
        <v/>
      </c>
      <c r="Y293" s="2643"/>
      <c r="Z293" s="2644"/>
      <c r="AA293" s="2644"/>
      <c r="AB293" s="2645"/>
    </row>
    <row r="294" spans="1:28" ht="30.75" customHeight="1" outlineLevel="1">
      <c r="A294" s="513"/>
      <c r="B294" s="252"/>
      <c r="C294" s="2680" t="s">
        <v>839</v>
      </c>
      <c r="D294" s="2680"/>
      <c r="E294" s="2062"/>
      <c r="F294" s="2062"/>
      <c r="G294" s="636"/>
      <c r="H294" s="637"/>
      <c r="I294" s="187"/>
      <c r="J294" s="580"/>
      <c r="K294" s="900" t="str">
        <f ca="1">IF(OR($H$7&lt;2,K$260&lt;2),"",IF(J294&lt;&gt;"",J294,IFERROR(IF(INDIRECT("'"&amp;J$86&amp;"'!"&amp;VLOOKUP(J$87,'List Values'!$C$3:$D$6,2,FALSE)&amp;ROW(J294))="","",INDIRECT("'"&amp;J$86&amp;"'!"&amp;VLOOKUP(J$87,'List Values'!$C$3:$D$6,2,FALSE)&amp;ROW(J294))),IF(J$86&lt;&gt;"","Data Source Error",""))))</f>
        <v/>
      </c>
      <c r="L294" s="187"/>
      <c r="M294" s="580"/>
      <c r="N294" s="900" t="str">
        <f ca="1">IF(OR($H$7&lt;3,N$260&lt;2),"",IF(M294&lt;&gt;"",M294,IFERROR(IF(INDIRECT("'"&amp;M$86&amp;"'!"&amp;VLOOKUP(M$87,'List Values'!$C$3:$D$6,2,FALSE)&amp;ROW(M294))="","",INDIRECT("'"&amp;M$86&amp;"'!"&amp;VLOOKUP(M$87,'List Values'!$C$3:$D$6,2,FALSE)&amp;ROW(M294))),IF(M$86&lt;&gt;"","Data Source Error",""))))</f>
        <v/>
      </c>
      <c r="O294" s="187"/>
      <c r="P294" s="580"/>
      <c r="Q294" s="900" t="str">
        <f ca="1">IF(OR($H$7&lt;4,Q$260&lt;2),"",IF(P294&lt;&gt;"",P294,IFERROR(IF(INDIRECT("'"&amp;P$86&amp;"'!"&amp;VLOOKUP(P$87,'List Values'!$C$3:$D$6,2,FALSE)&amp;ROW(P294))="","",INDIRECT("'"&amp;P$86&amp;"'!"&amp;VLOOKUP(P$87,'List Values'!$C$3:$D$6,2,FALSE)&amp;ROW(P294))),IF(P$86&lt;&gt;"","Data Source Error",""))))</f>
        <v/>
      </c>
      <c r="S294" s="580"/>
      <c r="T294" s="900" t="str">
        <f ca="1">IF(OR($H$7&lt;5,T$260&lt;2),"",IF(S294&lt;&gt;"",S294,IFERROR(IF(INDIRECT("'"&amp;S$86&amp;"'!"&amp;VLOOKUP(S$87,'List Values'!$C$3:$D$6,2,FALSE)&amp;ROW(S294))="","",INDIRECT("'"&amp;S$86&amp;"'!"&amp;VLOOKUP(S$87,'List Values'!$C$3:$D$6,2,FALSE)&amp;ROW(S294))),IF(S$86&lt;&gt;"","Data Source Error",""))))</f>
        <v/>
      </c>
      <c r="V294" s="580"/>
      <c r="W294" s="911" t="str">
        <f ca="1">IF(OR($H$7&lt;6,W$260&lt;2),"",IF(V294&lt;&gt;"",V294,IFERROR(IF(INDIRECT("'"&amp;V$86&amp;"'!"&amp;VLOOKUP(V$87,'List Values'!$C$3:$D$6,2,FALSE)&amp;ROW(V294))="","",INDIRECT("'"&amp;V$86&amp;"'!"&amp;VLOOKUP(V$87,'List Values'!$C$3:$D$6,2,FALSE)&amp;ROW(V294))),IF(V$86&lt;&gt;"","Data Source Error",""))))</f>
        <v/>
      </c>
      <c r="Y294" s="2643"/>
      <c r="Z294" s="2644"/>
      <c r="AA294" s="2644"/>
      <c r="AB294" s="2645"/>
    </row>
    <row r="295" spans="1:28" ht="15.75" customHeight="1" outlineLevel="1">
      <c r="A295" s="513"/>
      <c r="B295" s="252"/>
      <c r="C295" s="2680" t="s">
        <v>334</v>
      </c>
      <c r="D295" s="2680"/>
      <c r="E295" s="2062"/>
      <c r="F295" s="2062"/>
      <c r="G295" s="636"/>
      <c r="H295" s="637"/>
      <c r="I295" s="187"/>
      <c r="J295" s="580"/>
      <c r="K295" s="900" t="str">
        <f ca="1">IF(OR($H$7&lt;2,K$260&lt;2),"",IF(J295&lt;&gt;"",J295,IFERROR(IF(INDIRECT("'"&amp;J$86&amp;"'!"&amp;VLOOKUP(J$87,'List Values'!$C$3:$D$6,2,FALSE)&amp;ROW(J295))="","",INDIRECT("'"&amp;J$86&amp;"'!"&amp;VLOOKUP(J$87,'List Values'!$C$3:$D$6,2,FALSE)&amp;ROW(J295))),IF(J$86&lt;&gt;"","Data Source Error",""))))</f>
        <v/>
      </c>
      <c r="L295" s="187"/>
      <c r="M295" s="580"/>
      <c r="N295" s="900" t="str">
        <f ca="1">IF(OR($H$7&lt;3,N$260&lt;2),"",IF(M295&lt;&gt;"",M295,IFERROR(IF(INDIRECT("'"&amp;M$86&amp;"'!"&amp;VLOOKUP(M$87,'List Values'!$C$3:$D$6,2,FALSE)&amp;ROW(M295))="","",INDIRECT("'"&amp;M$86&amp;"'!"&amp;VLOOKUP(M$87,'List Values'!$C$3:$D$6,2,FALSE)&amp;ROW(M295))),IF(M$86&lt;&gt;"","Data Source Error",""))))</f>
        <v/>
      </c>
      <c r="O295" s="187"/>
      <c r="P295" s="580"/>
      <c r="Q295" s="900" t="str">
        <f ca="1">IF(OR($H$7&lt;4,Q$260&lt;2),"",IF(P295&lt;&gt;"",P295,IFERROR(IF(INDIRECT("'"&amp;P$86&amp;"'!"&amp;VLOOKUP(P$87,'List Values'!$C$3:$D$6,2,FALSE)&amp;ROW(P295))="","",INDIRECT("'"&amp;P$86&amp;"'!"&amp;VLOOKUP(P$87,'List Values'!$C$3:$D$6,2,FALSE)&amp;ROW(P295))),IF(P$86&lt;&gt;"","Data Source Error",""))))</f>
        <v/>
      </c>
      <c r="S295" s="580"/>
      <c r="T295" s="900" t="str">
        <f ca="1">IF(OR($H$7&lt;5,T$260&lt;2),"",IF(S295&lt;&gt;"",S295,IFERROR(IF(INDIRECT("'"&amp;S$86&amp;"'!"&amp;VLOOKUP(S$87,'List Values'!$C$3:$D$6,2,FALSE)&amp;ROW(S295))="","",INDIRECT("'"&amp;S$86&amp;"'!"&amp;VLOOKUP(S$87,'List Values'!$C$3:$D$6,2,FALSE)&amp;ROW(S295))),IF(S$86&lt;&gt;"","Data Source Error",""))))</f>
        <v/>
      </c>
      <c r="V295" s="580"/>
      <c r="W295" s="911" t="str">
        <f ca="1">IF(OR($H$7&lt;6,W$260&lt;2),"",IF(V295&lt;&gt;"",V295,IFERROR(IF(INDIRECT("'"&amp;V$86&amp;"'!"&amp;VLOOKUP(V$87,'List Values'!$C$3:$D$6,2,FALSE)&amp;ROW(V295))="","",INDIRECT("'"&amp;V$86&amp;"'!"&amp;VLOOKUP(V$87,'List Values'!$C$3:$D$6,2,FALSE)&amp;ROW(V295))),IF(V$86&lt;&gt;"","Data Source Error",""))))</f>
        <v/>
      </c>
      <c r="Y295" s="2643"/>
      <c r="Z295" s="2644"/>
      <c r="AA295" s="2644"/>
      <c r="AB295" s="2645"/>
    </row>
    <row r="296" spans="1:28" ht="15.75" customHeight="1" outlineLevel="1">
      <c r="A296" s="513"/>
      <c r="B296" s="252"/>
      <c r="C296" s="2684" t="s">
        <v>335</v>
      </c>
      <c r="D296" s="2684"/>
      <c r="E296" s="2062"/>
      <c r="F296" s="2062"/>
      <c r="G296" s="636"/>
      <c r="H296" s="637"/>
      <c r="I296" s="187"/>
      <c r="J296" s="580"/>
      <c r="K296" s="900" t="str">
        <f ca="1">IF(OR($H$7&lt;2,K$260&lt;2),"",IF(J296&lt;&gt;"",J296,IFERROR(IF(INDIRECT("'"&amp;J$86&amp;"'!"&amp;VLOOKUP(J$87,'List Values'!$C$3:$D$6,2,FALSE)&amp;ROW(J296))="","",INDIRECT("'"&amp;J$86&amp;"'!"&amp;VLOOKUP(J$87,'List Values'!$C$3:$D$6,2,FALSE)&amp;ROW(J296))),IF(J$86&lt;&gt;"","Data Source Error",""))))</f>
        <v/>
      </c>
      <c r="L296" s="187"/>
      <c r="M296" s="580"/>
      <c r="N296" s="900" t="str">
        <f ca="1">IF(OR($H$7&lt;3,N$260&lt;2),"",IF(M296&lt;&gt;"",M296,IFERROR(IF(INDIRECT("'"&amp;M$86&amp;"'!"&amp;VLOOKUP(M$87,'List Values'!$C$3:$D$6,2,FALSE)&amp;ROW(M296))="","",INDIRECT("'"&amp;M$86&amp;"'!"&amp;VLOOKUP(M$87,'List Values'!$C$3:$D$6,2,FALSE)&amp;ROW(M296))),IF(M$86&lt;&gt;"","Data Source Error",""))))</f>
        <v/>
      </c>
      <c r="O296" s="187"/>
      <c r="P296" s="580"/>
      <c r="Q296" s="900" t="str">
        <f ca="1">IF(OR($H$7&lt;4,Q$260&lt;2),"",IF(P296&lt;&gt;"",P296,IFERROR(IF(INDIRECT("'"&amp;P$86&amp;"'!"&amp;VLOOKUP(P$87,'List Values'!$C$3:$D$6,2,FALSE)&amp;ROW(P296))="","",INDIRECT("'"&amp;P$86&amp;"'!"&amp;VLOOKUP(P$87,'List Values'!$C$3:$D$6,2,FALSE)&amp;ROW(P296))),IF(P$86&lt;&gt;"","Data Source Error",""))))</f>
        <v/>
      </c>
      <c r="S296" s="580"/>
      <c r="T296" s="900" t="str">
        <f ca="1">IF(OR($H$7&lt;5,T$260&lt;2),"",IF(S296&lt;&gt;"",S296,IFERROR(IF(INDIRECT("'"&amp;S$86&amp;"'!"&amp;VLOOKUP(S$87,'List Values'!$C$3:$D$6,2,FALSE)&amp;ROW(S296))="","",INDIRECT("'"&amp;S$86&amp;"'!"&amp;VLOOKUP(S$87,'List Values'!$C$3:$D$6,2,FALSE)&amp;ROW(S296))),IF(S$86&lt;&gt;"","Data Source Error",""))))</f>
        <v/>
      </c>
      <c r="V296" s="580"/>
      <c r="W296" s="911" t="str">
        <f ca="1">IF(OR($H$7&lt;6,W$260&lt;2),"",IF(V296&lt;&gt;"",V296,IFERROR(IF(INDIRECT("'"&amp;V$86&amp;"'!"&amp;VLOOKUP(V$87,'List Values'!$C$3:$D$6,2,FALSE)&amp;ROW(V296))="","",INDIRECT("'"&amp;V$86&amp;"'!"&amp;VLOOKUP(V$87,'List Values'!$C$3:$D$6,2,FALSE)&amp;ROW(V296))),IF(V$86&lt;&gt;"","Data Source Error",""))))</f>
        <v/>
      </c>
      <c r="Y296" s="2643"/>
      <c r="Z296" s="2644"/>
      <c r="AA296" s="2644"/>
      <c r="AB296" s="2645"/>
    </row>
    <row r="297" spans="1:28" ht="31" customHeight="1" outlineLevel="1">
      <c r="A297" s="513"/>
      <c r="B297" s="252"/>
      <c r="C297" s="2680" t="s">
        <v>336</v>
      </c>
      <c r="D297" s="2680"/>
      <c r="E297" s="2062"/>
      <c r="F297" s="2062"/>
      <c r="G297" s="636"/>
      <c r="H297" s="637"/>
      <c r="I297" s="187"/>
      <c r="J297" s="580"/>
      <c r="K297" s="900" t="str">
        <f ca="1">IF(OR($H$7&lt;2,K$260&lt;2),"",IF(J297&lt;&gt;"",J297,IFERROR(IF(INDIRECT("'"&amp;J$86&amp;"'!"&amp;VLOOKUP(J$87,'List Values'!$C$3:$D$6,2,FALSE)&amp;ROW(J297))="","",INDIRECT("'"&amp;J$86&amp;"'!"&amp;VLOOKUP(J$87,'List Values'!$C$3:$D$6,2,FALSE)&amp;ROW(J297))),IF(J$86&lt;&gt;"","Data Source Error",""))))</f>
        <v/>
      </c>
      <c r="L297" s="187"/>
      <c r="M297" s="580"/>
      <c r="N297" s="900" t="str">
        <f ca="1">IF(OR($H$7&lt;3,N$260&lt;2),"",IF(M297&lt;&gt;"",M297,IFERROR(IF(INDIRECT("'"&amp;M$86&amp;"'!"&amp;VLOOKUP(M$87,'List Values'!$C$3:$D$6,2,FALSE)&amp;ROW(M297))="","",INDIRECT("'"&amp;M$86&amp;"'!"&amp;VLOOKUP(M$87,'List Values'!$C$3:$D$6,2,FALSE)&amp;ROW(M297))),IF(M$86&lt;&gt;"","Data Source Error",""))))</f>
        <v/>
      </c>
      <c r="O297" s="187"/>
      <c r="P297" s="580"/>
      <c r="Q297" s="900" t="str">
        <f ca="1">IF(OR($H$7&lt;4,Q$260&lt;2),"",IF(P297&lt;&gt;"",P297,IFERROR(IF(INDIRECT("'"&amp;P$86&amp;"'!"&amp;VLOOKUP(P$87,'List Values'!$C$3:$D$6,2,FALSE)&amp;ROW(P297))="","",INDIRECT("'"&amp;P$86&amp;"'!"&amp;VLOOKUP(P$87,'List Values'!$C$3:$D$6,2,FALSE)&amp;ROW(P297))),IF(P$86&lt;&gt;"","Data Source Error",""))))</f>
        <v/>
      </c>
      <c r="S297" s="580"/>
      <c r="T297" s="900" t="str">
        <f ca="1">IF(OR($H$7&lt;5,T$260&lt;2),"",IF(S297&lt;&gt;"",S297,IFERROR(IF(INDIRECT("'"&amp;S$86&amp;"'!"&amp;VLOOKUP(S$87,'List Values'!$C$3:$D$6,2,FALSE)&amp;ROW(S297))="","",INDIRECT("'"&amp;S$86&amp;"'!"&amp;VLOOKUP(S$87,'List Values'!$C$3:$D$6,2,FALSE)&amp;ROW(S297))),IF(S$86&lt;&gt;"","Data Source Error",""))))</f>
        <v/>
      </c>
      <c r="V297" s="580"/>
      <c r="W297" s="911" t="str">
        <f ca="1">IF(OR($H$7&lt;6,W$260&lt;2),"",IF(V297&lt;&gt;"",V297,IFERROR(IF(INDIRECT("'"&amp;V$86&amp;"'!"&amp;VLOOKUP(V$87,'List Values'!$C$3:$D$6,2,FALSE)&amp;ROW(V297))="","",INDIRECT("'"&amp;V$86&amp;"'!"&amp;VLOOKUP(V$87,'List Values'!$C$3:$D$6,2,FALSE)&amp;ROW(V297))),IF(V$86&lt;&gt;"","Data Source Error",""))))</f>
        <v/>
      </c>
      <c r="Y297" s="2643"/>
      <c r="Z297" s="2644"/>
      <c r="AA297" s="2644"/>
      <c r="AB297" s="2645"/>
    </row>
    <row r="298" spans="1:28" ht="33" customHeight="1" outlineLevel="1">
      <c r="A298" s="513"/>
      <c r="B298" s="252"/>
      <c r="C298" s="2680" t="s">
        <v>337</v>
      </c>
      <c r="D298" s="2680"/>
      <c r="E298" s="2062"/>
      <c r="F298" s="2062"/>
      <c r="G298" s="636"/>
      <c r="H298" s="637"/>
      <c r="I298" s="187"/>
      <c r="J298" s="580"/>
      <c r="K298" s="900" t="str">
        <f ca="1">IF(OR($H$7&lt;2,K$260&lt;2),"",IF(J298&lt;&gt;"",J298,IFERROR(IF(INDIRECT("'"&amp;J$86&amp;"'!"&amp;VLOOKUP(J$87,'List Values'!$C$3:$D$6,2,FALSE)&amp;ROW(J298))="","",INDIRECT("'"&amp;J$86&amp;"'!"&amp;VLOOKUP(J$87,'List Values'!$C$3:$D$6,2,FALSE)&amp;ROW(J298))),IF(J$86&lt;&gt;"","Data Source Error",""))))</f>
        <v/>
      </c>
      <c r="L298" s="187"/>
      <c r="M298" s="580"/>
      <c r="N298" s="900" t="str">
        <f ca="1">IF(OR($H$7&lt;3,N$260&lt;2),"",IF(M298&lt;&gt;"",M298,IFERROR(IF(INDIRECT("'"&amp;M$86&amp;"'!"&amp;VLOOKUP(M$87,'List Values'!$C$3:$D$6,2,FALSE)&amp;ROW(M298))="","",INDIRECT("'"&amp;M$86&amp;"'!"&amp;VLOOKUP(M$87,'List Values'!$C$3:$D$6,2,FALSE)&amp;ROW(M298))),IF(M$86&lt;&gt;"","Data Source Error",""))))</f>
        <v/>
      </c>
      <c r="O298" s="187"/>
      <c r="P298" s="580"/>
      <c r="Q298" s="900" t="str">
        <f ca="1">IF(OR($H$7&lt;4,Q$260&lt;2),"",IF(P298&lt;&gt;"",P298,IFERROR(IF(INDIRECT("'"&amp;P$86&amp;"'!"&amp;VLOOKUP(P$87,'List Values'!$C$3:$D$6,2,FALSE)&amp;ROW(P298))="","",INDIRECT("'"&amp;P$86&amp;"'!"&amp;VLOOKUP(P$87,'List Values'!$C$3:$D$6,2,FALSE)&amp;ROW(P298))),IF(P$86&lt;&gt;"","Data Source Error",""))))</f>
        <v/>
      </c>
      <c r="S298" s="580"/>
      <c r="T298" s="900" t="str">
        <f ca="1">IF(OR($H$7&lt;5,T$260&lt;2),"",IF(S298&lt;&gt;"",S298,IFERROR(IF(INDIRECT("'"&amp;S$86&amp;"'!"&amp;VLOOKUP(S$87,'List Values'!$C$3:$D$6,2,FALSE)&amp;ROW(S298))="","",INDIRECT("'"&amp;S$86&amp;"'!"&amp;VLOOKUP(S$87,'List Values'!$C$3:$D$6,2,FALSE)&amp;ROW(S298))),IF(S$86&lt;&gt;"","Data Source Error",""))))</f>
        <v/>
      </c>
      <c r="V298" s="580"/>
      <c r="W298" s="911" t="str">
        <f ca="1">IF(OR($H$7&lt;6,W$260&lt;2),"",IF(V298&lt;&gt;"",V298,IFERROR(IF(INDIRECT("'"&amp;V$86&amp;"'!"&amp;VLOOKUP(V$87,'List Values'!$C$3:$D$6,2,FALSE)&amp;ROW(V298))="","",INDIRECT("'"&amp;V$86&amp;"'!"&amp;VLOOKUP(V$87,'List Values'!$C$3:$D$6,2,FALSE)&amp;ROW(V298))),IF(V$86&lt;&gt;"","Data Source Error",""))))</f>
        <v/>
      </c>
      <c r="Y298" s="2643"/>
      <c r="Z298" s="2644"/>
      <c r="AA298" s="2644"/>
      <c r="AB298" s="2645"/>
    </row>
    <row r="299" spans="1:28" ht="33" customHeight="1" outlineLevel="1">
      <c r="A299" s="513"/>
      <c r="B299" s="252"/>
      <c r="C299" s="2680" t="s">
        <v>338</v>
      </c>
      <c r="D299" s="2680"/>
      <c r="E299" s="2062"/>
      <c r="F299" s="2062"/>
      <c r="G299" s="636"/>
      <c r="H299" s="637"/>
      <c r="I299" s="187"/>
      <c r="J299" s="580"/>
      <c r="K299" s="900" t="str">
        <f ca="1">IF(OR($H$7&lt;2,K$260&lt;2),"",IF(J299&lt;&gt;"",J299,IFERROR(IF(INDIRECT("'"&amp;J$86&amp;"'!"&amp;VLOOKUP(J$87,'List Values'!$C$3:$D$6,2,FALSE)&amp;ROW(J299))="","",INDIRECT("'"&amp;J$86&amp;"'!"&amp;VLOOKUP(J$87,'List Values'!$C$3:$D$6,2,FALSE)&amp;ROW(J299))),IF(J$86&lt;&gt;"","Data Source Error",""))))</f>
        <v/>
      </c>
      <c r="L299" s="187"/>
      <c r="M299" s="580"/>
      <c r="N299" s="900" t="str">
        <f ca="1">IF(OR($H$7&lt;3,N$260&lt;2),"",IF(M299&lt;&gt;"",M299,IFERROR(IF(INDIRECT("'"&amp;M$86&amp;"'!"&amp;VLOOKUP(M$87,'List Values'!$C$3:$D$6,2,FALSE)&amp;ROW(M299))="","",INDIRECT("'"&amp;M$86&amp;"'!"&amp;VLOOKUP(M$87,'List Values'!$C$3:$D$6,2,FALSE)&amp;ROW(M299))),IF(M$86&lt;&gt;"","Data Source Error",""))))</f>
        <v/>
      </c>
      <c r="O299" s="187"/>
      <c r="P299" s="580"/>
      <c r="Q299" s="900" t="str">
        <f ca="1">IF(OR($H$7&lt;4,Q$260&lt;2),"",IF(P299&lt;&gt;"",P299,IFERROR(IF(INDIRECT("'"&amp;P$86&amp;"'!"&amp;VLOOKUP(P$87,'List Values'!$C$3:$D$6,2,FALSE)&amp;ROW(P299))="","",INDIRECT("'"&amp;P$86&amp;"'!"&amp;VLOOKUP(P$87,'List Values'!$C$3:$D$6,2,FALSE)&amp;ROW(P299))),IF(P$86&lt;&gt;"","Data Source Error",""))))</f>
        <v/>
      </c>
      <c r="S299" s="580"/>
      <c r="T299" s="900" t="str">
        <f ca="1">IF(OR($H$7&lt;5,T$260&lt;2),"",IF(S299&lt;&gt;"",S299,IFERROR(IF(INDIRECT("'"&amp;S$86&amp;"'!"&amp;VLOOKUP(S$87,'List Values'!$C$3:$D$6,2,FALSE)&amp;ROW(S299))="","",INDIRECT("'"&amp;S$86&amp;"'!"&amp;VLOOKUP(S$87,'List Values'!$C$3:$D$6,2,FALSE)&amp;ROW(S299))),IF(S$86&lt;&gt;"","Data Source Error",""))))</f>
        <v/>
      </c>
      <c r="V299" s="580"/>
      <c r="W299" s="911" t="str">
        <f ca="1">IF(OR($H$7&lt;6,W$260&lt;2),"",IF(V299&lt;&gt;"",V299,IFERROR(IF(INDIRECT("'"&amp;V$86&amp;"'!"&amp;VLOOKUP(V$87,'List Values'!$C$3:$D$6,2,FALSE)&amp;ROW(V299))="","",INDIRECT("'"&amp;V$86&amp;"'!"&amp;VLOOKUP(V$87,'List Values'!$C$3:$D$6,2,FALSE)&amp;ROW(V299))),IF(V$86&lt;&gt;"","Data Source Error",""))))</f>
        <v/>
      </c>
      <c r="Y299" s="2643"/>
      <c r="Z299" s="2644"/>
      <c r="AA299" s="2644"/>
      <c r="AB299" s="2645"/>
    </row>
    <row r="300" spans="1:28" ht="15.75" customHeight="1" outlineLevel="1">
      <c r="A300" s="513"/>
      <c r="B300" s="252"/>
      <c r="C300" s="2680" t="s">
        <v>650</v>
      </c>
      <c r="D300" s="2680"/>
      <c r="E300" s="2062"/>
      <c r="F300" s="2062"/>
      <c r="G300" s="636"/>
      <c r="H300" s="637"/>
      <c r="I300" s="187"/>
      <c r="J300" s="580"/>
      <c r="K300" s="900" t="str">
        <f ca="1">IF(OR($H$7&lt;2,K$260&lt;2),"",IF(J300&lt;&gt;"",J300,IFERROR(IF(INDIRECT("'"&amp;J$86&amp;"'!"&amp;VLOOKUP(J$87,'List Values'!$C$3:$D$6,2,FALSE)&amp;ROW(J300))="","",INDIRECT("'"&amp;J$86&amp;"'!"&amp;VLOOKUP(J$87,'List Values'!$C$3:$D$6,2,FALSE)&amp;ROW(J300))),IF(J$86&lt;&gt;"","Data Source Error",""))))</f>
        <v/>
      </c>
      <c r="L300" s="187"/>
      <c r="M300" s="580"/>
      <c r="N300" s="900" t="str">
        <f ca="1">IF(OR($H$7&lt;3,N$260&lt;2),"",IF(M300&lt;&gt;"",M300,IFERROR(IF(INDIRECT("'"&amp;M$86&amp;"'!"&amp;VLOOKUP(M$87,'List Values'!$C$3:$D$6,2,FALSE)&amp;ROW(M300))="","",INDIRECT("'"&amp;M$86&amp;"'!"&amp;VLOOKUP(M$87,'List Values'!$C$3:$D$6,2,FALSE)&amp;ROW(M300))),IF(M$86&lt;&gt;"","Data Source Error",""))))</f>
        <v/>
      </c>
      <c r="O300" s="187"/>
      <c r="P300" s="580"/>
      <c r="Q300" s="900" t="str">
        <f ca="1">IF(OR($H$7&lt;4,Q$260&lt;2),"",IF(P300&lt;&gt;"",P300,IFERROR(IF(INDIRECT("'"&amp;P$86&amp;"'!"&amp;VLOOKUP(P$87,'List Values'!$C$3:$D$6,2,FALSE)&amp;ROW(P300))="","",INDIRECT("'"&amp;P$86&amp;"'!"&amp;VLOOKUP(P$87,'List Values'!$C$3:$D$6,2,FALSE)&amp;ROW(P300))),IF(P$86&lt;&gt;"","Data Source Error",""))))</f>
        <v/>
      </c>
      <c r="S300" s="580"/>
      <c r="T300" s="900" t="str">
        <f ca="1">IF(OR($H$7&lt;5,T$260&lt;2),"",IF(S300&lt;&gt;"",S300,IFERROR(IF(INDIRECT("'"&amp;S$86&amp;"'!"&amp;VLOOKUP(S$87,'List Values'!$C$3:$D$6,2,FALSE)&amp;ROW(S300))="","",INDIRECT("'"&amp;S$86&amp;"'!"&amp;VLOOKUP(S$87,'List Values'!$C$3:$D$6,2,FALSE)&amp;ROW(S300))),IF(S$86&lt;&gt;"","Data Source Error",""))))</f>
        <v/>
      </c>
      <c r="V300" s="580"/>
      <c r="W300" s="911" t="str">
        <f ca="1">IF(OR($H$7&lt;6,W$260&lt;2),"",IF(V300&lt;&gt;"",V300,IFERROR(IF(INDIRECT("'"&amp;V$86&amp;"'!"&amp;VLOOKUP(V$87,'List Values'!$C$3:$D$6,2,FALSE)&amp;ROW(V300))="","",INDIRECT("'"&amp;V$86&amp;"'!"&amp;VLOOKUP(V$87,'List Values'!$C$3:$D$6,2,FALSE)&amp;ROW(V300))),IF(V$86&lt;&gt;"","Data Source Error",""))))</f>
        <v/>
      </c>
      <c r="Y300" s="2643"/>
      <c r="Z300" s="2644"/>
      <c r="AA300" s="2644"/>
      <c r="AB300" s="2645"/>
    </row>
    <row r="301" spans="1:28" ht="31" customHeight="1" outlineLevel="1">
      <c r="A301" s="513"/>
      <c r="B301" s="252"/>
      <c r="C301" s="2680" t="s">
        <v>651</v>
      </c>
      <c r="D301" s="2680"/>
      <c r="E301" s="238"/>
      <c r="F301" s="238"/>
      <c r="G301" s="638"/>
      <c r="H301" s="639"/>
      <c r="I301" s="184"/>
      <c r="J301" s="624"/>
      <c r="K301" s="941" t="str">
        <f ca="1">IF(OR($H$7&lt;2,K$260&lt;2),"",IF(J301&lt;&gt;"",J301,IFERROR(IF(INDIRECT("'"&amp;J$86&amp;"'!"&amp;VLOOKUP(J$87,'List Values'!$C$3:$D$6,2,FALSE)&amp;ROW(J301))="","",INDIRECT("'"&amp;J$86&amp;"'!"&amp;VLOOKUP(J$87,'List Values'!$C$3:$D$6,2,FALSE)&amp;ROW(J301))),IF(J$86&lt;&gt;"","Data Source Error",""))))</f>
        <v/>
      </c>
      <c r="L301" s="184"/>
      <c r="M301" s="624"/>
      <c r="N301" s="941" t="str">
        <f ca="1">IF(OR($H$7&lt;3,N$260&lt;2),"",IF(M301&lt;&gt;"",M301,IFERROR(IF(INDIRECT("'"&amp;M$86&amp;"'!"&amp;VLOOKUP(M$87,'List Values'!$C$3:$D$6,2,FALSE)&amp;ROW(M301))="","",INDIRECT("'"&amp;M$86&amp;"'!"&amp;VLOOKUP(M$87,'List Values'!$C$3:$D$6,2,FALSE)&amp;ROW(M301))),IF(M$86&lt;&gt;"","Data Source Error",""))))</f>
        <v/>
      </c>
      <c r="O301" s="184"/>
      <c r="P301" s="624"/>
      <c r="Q301" s="941" t="str">
        <f ca="1">IF(OR($H$7&lt;4,Q$260&lt;2),"",IF(P301&lt;&gt;"",P301,IFERROR(IF(INDIRECT("'"&amp;P$86&amp;"'!"&amp;VLOOKUP(P$87,'List Values'!$C$3:$D$6,2,FALSE)&amp;ROW(P301))="","",INDIRECT("'"&amp;P$86&amp;"'!"&amp;VLOOKUP(P$87,'List Values'!$C$3:$D$6,2,FALSE)&amp;ROW(P301))),IF(P$86&lt;&gt;"","Data Source Error",""))))</f>
        <v/>
      </c>
      <c r="S301" s="624"/>
      <c r="T301" s="941" t="str">
        <f ca="1">IF(OR($H$7&lt;5,T$260&lt;2),"",IF(S301&lt;&gt;"",S301,IFERROR(IF(INDIRECT("'"&amp;S$86&amp;"'!"&amp;VLOOKUP(S$87,'List Values'!$C$3:$D$6,2,FALSE)&amp;ROW(S301))="","",INDIRECT("'"&amp;S$86&amp;"'!"&amp;VLOOKUP(S$87,'List Values'!$C$3:$D$6,2,FALSE)&amp;ROW(S301))),IF(S$86&lt;&gt;"","Data Source Error",""))))</f>
        <v/>
      </c>
      <c r="V301" s="624"/>
      <c r="W301" s="947" t="str">
        <f ca="1">IF(OR($H$7&lt;6,W$260&lt;2),"",IF(V301&lt;&gt;"",V301,IFERROR(IF(INDIRECT("'"&amp;V$86&amp;"'!"&amp;VLOOKUP(V$87,'List Values'!$C$3:$D$6,2,FALSE)&amp;ROW(V301))="","",INDIRECT("'"&amp;V$86&amp;"'!"&amp;VLOOKUP(V$87,'List Values'!$C$3:$D$6,2,FALSE)&amp;ROW(V301))),IF(V$86&lt;&gt;"","Data Source Error",""))))</f>
        <v/>
      </c>
      <c r="Y301" s="2643"/>
      <c r="Z301" s="2644"/>
      <c r="AA301" s="2644"/>
      <c r="AB301" s="2645"/>
    </row>
    <row r="302" spans="1:28" ht="21" customHeight="1">
      <c r="A302" s="807"/>
      <c r="B302" s="612" t="s">
        <v>621</v>
      </c>
      <c r="C302" s="604"/>
      <c r="D302" s="604"/>
      <c r="E302" s="614"/>
      <c r="F302" s="608"/>
      <c r="G302" s="615"/>
      <c r="H302" s="611"/>
      <c r="I302" s="608"/>
      <c r="J302" s="610"/>
      <c r="K302" s="970"/>
      <c r="L302" s="608"/>
      <c r="M302" s="610"/>
      <c r="N302" s="970"/>
      <c r="O302" s="608"/>
      <c r="P302" s="610"/>
      <c r="Q302" s="970"/>
      <c r="R302" s="608"/>
      <c r="S302" s="610"/>
      <c r="T302" s="970"/>
      <c r="U302" s="608"/>
      <c r="V302" s="610"/>
      <c r="W302" s="970"/>
      <c r="Y302" s="631"/>
      <c r="Z302" s="631"/>
      <c r="AA302" s="631"/>
      <c r="AB302" s="631"/>
    </row>
    <row r="303" spans="1:28" ht="15.75" customHeight="1" outlineLevel="1">
      <c r="A303" s="514"/>
      <c r="B303" s="252"/>
      <c r="C303" s="2580" t="s">
        <v>625</v>
      </c>
      <c r="D303" s="2580"/>
      <c r="E303" s="202"/>
      <c r="F303" s="202"/>
      <c r="G303" s="634"/>
      <c r="H303" s="635"/>
      <c r="I303" s="183"/>
      <c r="J303" s="628"/>
      <c r="K303" s="967" t="str">
        <f ca="1">IF(OR($H$7&lt;2,K$260&lt;3),"",IF(J303&lt;&gt;"",J303,IFERROR(IF(INDIRECT("'"&amp;J$86&amp;"'!"&amp;VLOOKUP(J$87,'List Values'!$C$3:$D$6,2,FALSE)&amp;ROW(J303))="","",INDIRECT("'"&amp;J$86&amp;"'!"&amp;VLOOKUP(J$87,'List Values'!$C$3:$D$6,2,FALSE)&amp;ROW(J303))),IF(J$86&lt;&gt;"","Data Source Error",""))))</f>
        <v/>
      </c>
      <c r="L303" s="629"/>
      <c r="M303" s="628"/>
      <c r="N303" s="967" t="str">
        <f ca="1">IF(OR($H$7&lt;3,N$260&lt;3),"",IF(M303&lt;&gt;"",M303,IFERROR(IF(INDIRECT("'"&amp;M$86&amp;"'!"&amp;VLOOKUP(M$87,'List Values'!$C$3:$D$6,2,FALSE)&amp;ROW(M303))="","",INDIRECT("'"&amp;M$86&amp;"'!"&amp;VLOOKUP(M$87,'List Values'!$C$3:$D$6,2,FALSE)&amp;ROW(M303))),IF(M$86&lt;&gt;"","Data Source Error",""))))</f>
        <v/>
      </c>
      <c r="O303" s="629"/>
      <c r="P303" s="628"/>
      <c r="Q303" s="967" t="str">
        <f ca="1">IF(OR($H$7&lt;4,Q$260&lt;3),"",IF(P303&lt;&gt;"",P303,IFERROR(IF(INDIRECT("'"&amp;P$86&amp;"'!"&amp;VLOOKUP(P$87,'List Values'!$C$3:$D$6,2,FALSE)&amp;ROW(P303))="","",INDIRECT("'"&amp;P$86&amp;"'!"&amp;VLOOKUP(P$87,'List Values'!$C$3:$D$6,2,FALSE)&amp;ROW(P303))),IF(P$86&lt;&gt;"","Data Source Error",""))))</f>
        <v/>
      </c>
      <c r="R303" s="147"/>
      <c r="S303" s="628"/>
      <c r="T303" s="967" t="str">
        <f ca="1">IF(OR($H$7&lt;5,T$260&lt;3),"",IF(S303&lt;&gt;"",S303,IFERROR(IF(INDIRECT("'"&amp;S$86&amp;"'!"&amp;VLOOKUP(S$87,'List Values'!$C$3:$D$6,2,FALSE)&amp;ROW(S303))="","",INDIRECT("'"&amp;S$86&amp;"'!"&amp;VLOOKUP(S$87,'List Values'!$C$3:$D$6,2,FALSE)&amp;ROW(S303))),IF(S$86&lt;&gt;"","Data Source Error",""))))</f>
        <v/>
      </c>
      <c r="U303" s="147"/>
      <c r="V303" s="628"/>
      <c r="W303" s="973" t="str">
        <f ca="1">IF(OR($H$7&lt;6,W$260&lt;3),"",IF(V303&lt;&gt;"",V303,IFERROR(IF(INDIRECT("'"&amp;V$86&amp;"'!"&amp;VLOOKUP(V$87,'List Values'!$C$3:$D$6,2,FALSE)&amp;ROW(V303))="","",INDIRECT("'"&amp;V$86&amp;"'!"&amp;VLOOKUP(V$87,'List Values'!$C$3:$D$6,2,FALSE)&amp;ROW(V303))),IF(V$86&lt;&gt;"","Data Source Error",""))))</f>
        <v/>
      </c>
      <c r="Y303" s="2643"/>
      <c r="Z303" s="2644"/>
      <c r="AA303" s="2644"/>
      <c r="AB303" s="2645"/>
    </row>
    <row r="304" spans="1:28" ht="15.75" customHeight="1" outlineLevel="1">
      <c r="A304" s="514"/>
      <c r="B304" s="252"/>
      <c r="C304" s="2680" t="s">
        <v>626</v>
      </c>
      <c r="D304" s="2680"/>
      <c r="E304" s="2062"/>
      <c r="F304" s="2062"/>
      <c r="G304" s="636"/>
      <c r="H304" s="637"/>
      <c r="I304" s="187"/>
      <c r="J304" s="526"/>
      <c r="K304" s="900" t="str">
        <f ca="1">IF(OR($H$7&lt;2,K$260&lt;3),"",IF(J304&lt;&gt;"",J304,IFERROR(IF(INDIRECT("'"&amp;J$86&amp;"'!"&amp;VLOOKUP(J$87,'List Values'!$C$3:$D$6,2,FALSE)&amp;ROW(J304))="","",INDIRECT("'"&amp;J$86&amp;"'!"&amp;VLOOKUP(J$87,'List Values'!$C$3:$D$6,2,FALSE)&amp;ROW(J304))),IF(J$86&lt;&gt;"","Data Source Error",""))))</f>
        <v/>
      </c>
      <c r="L304" s="187"/>
      <c r="M304" s="526"/>
      <c r="N304" s="900" t="str">
        <f ca="1">IF(OR($H$7&lt;3,N$260&lt;3),"",IF(M304&lt;&gt;"",M304,IFERROR(IF(INDIRECT("'"&amp;M$86&amp;"'!"&amp;VLOOKUP(M$87,'List Values'!$C$3:$D$6,2,FALSE)&amp;ROW(M304))="","",INDIRECT("'"&amp;M$86&amp;"'!"&amp;VLOOKUP(M$87,'List Values'!$C$3:$D$6,2,FALSE)&amp;ROW(M304))),IF(M$86&lt;&gt;"","Data Source Error",""))))</f>
        <v/>
      </c>
      <c r="O304" s="187"/>
      <c r="P304" s="526"/>
      <c r="Q304" s="900" t="str">
        <f ca="1">IF(OR($H$7&lt;4,Q$260&lt;3),"",IF(P304&lt;&gt;"",P304,IFERROR(IF(INDIRECT("'"&amp;P$86&amp;"'!"&amp;VLOOKUP(P$87,'List Values'!$C$3:$D$6,2,FALSE)&amp;ROW(P304))="","",INDIRECT("'"&amp;P$86&amp;"'!"&amp;VLOOKUP(P$87,'List Values'!$C$3:$D$6,2,FALSE)&amp;ROW(P304))),IF(P$86&lt;&gt;"","Data Source Error",""))))</f>
        <v/>
      </c>
      <c r="S304" s="526"/>
      <c r="T304" s="900" t="str">
        <f ca="1">IF(OR($H$7&lt;5,T$260&lt;3),"",IF(S304&lt;&gt;"",S304,IFERROR(IF(INDIRECT("'"&amp;S$86&amp;"'!"&amp;VLOOKUP(S$87,'List Values'!$C$3:$D$6,2,FALSE)&amp;ROW(S304))="","",INDIRECT("'"&amp;S$86&amp;"'!"&amp;VLOOKUP(S$87,'List Values'!$C$3:$D$6,2,FALSE)&amp;ROW(S304))),IF(S$86&lt;&gt;"","Data Source Error",""))))</f>
        <v/>
      </c>
      <c r="V304" s="526"/>
      <c r="W304" s="911" t="str">
        <f ca="1">IF(OR($H$7&lt;6,W$260&lt;3),"",IF(V304&lt;&gt;"",V304,IFERROR(IF(INDIRECT("'"&amp;V$86&amp;"'!"&amp;VLOOKUP(V$87,'List Values'!$C$3:$D$6,2,FALSE)&amp;ROW(V304))="","",INDIRECT("'"&amp;V$86&amp;"'!"&amp;VLOOKUP(V$87,'List Values'!$C$3:$D$6,2,FALSE)&amp;ROW(V304))),IF(V$86&lt;&gt;"","Data Source Error",""))))</f>
        <v/>
      </c>
      <c r="Y304" s="2643"/>
      <c r="Z304" s="2644"/>
      <c r="AA304" s="2644"/>
      <c r="AB304" s="2645"/>
    </row>
    <row r="305" spans="1:28" ht="31" customHeight="1" outlineLevel="1">
      <c r="A305" s="514"/>
      <c r="B305" s="252"/>
      <c r="C305" s="2680" t="s">
        <v>627</v>
      </c>
      <c r="D305" s="2680"/>
      <c r="E305" s="2062"/>
      <c r="F305" s="2062"/>
      <c r="G305" s="636"/>
      <c r="H305" s="637"/>
      <c r="I305" s="187"/>
      <c r="J305" s="561"/>
      <c r="K305" s="900" t="str">
        <f ca="1">IF(OR($H$7&lt;2,K$260&lt;3),"",IF(J305&lt;&gt;"",J305,IFERROR(IF(INDIRECT("'"&amp;J$86&amp;"'!"&amp;VLOOKUP(J$87,'List Values'!$C$3:$D$6,2,FALSE)&amp;ROW(J305))="","",INDIRECT("'"&amp;J$86&amp;"'!"&amp;VLOOKUP(J$87,'List Values'!$C$3:$D$6,2,FALSE)&amp;ROW(J305))),IF(J$86&lt;&gt;"","Data Source Error",""))))</f>
        <v/>
      </c>
      <c r="L305" s="187"/>
      <c r="M305" s="561"/>
      <c r="N305" s="900" t="str">
        <f ca="1">IF(OR($H$7&lt;3,N$260&lt;3),"",IF(M305&lt;&gt;"",M305,IFERROR(IF(INDIRECT("'"&amp;M$86&amp;"'!"&amp;VLOOKUP(M$87,'List Values'!$C$3:$D$6,2,FALSE)&amp;ROW(M305))="","",INDIRECT("'"&amp;M$86&amp;"'!"&amp;VLOOKUP(M$87,'List Values'!$C$3:$D$6,2,FALSE)&amp;ROW(M305))),IF(M$86&lt;&gt;"","Data Source Error",""))))</f>
        <v/>
      </c>
      <c r="O305" s="187"/>
      <c r="P305" s="561"/>
      <c r="Q305" s="900" t="str">
        <f ca="1">IF(OR($H$7&lt;4,Q$260&lt;3),"",IF(P305&lt;&gt;"",P305,IFERROR(IF(INDIRECT("'"&amp;P$86&amp;"'!"&amp;VLOOKUP(P$87,'List Values'!$C$3:$D$6,2,FALSE)&amp;ROW(P305))="","",INDIRECT("'"&amp;P$86&amp;"'!"&amp;VLOOKUP(P$87,'List Values'!$C$3:$D$6,2,FALSE)&amp;ROW(P305))),IF(P$86&lt;&gt;"","Data Source Error",""))))</f>
        <v/>
      </c>
      <c r="S305" s="561"/>
      <c r="T305" s="900" t="str">
        <f ca="1">IF(OR($H$7&lt;5,T$260&lt;3),"",IF(S305&lt;&gt;"",S305,IFERROR(IF(INDIRECT("'"&amp;S$86&amp;"'!"&amp;VLOOKUP(S$87,'List Values'!$C$3:$D$6,2,FALSE)&amp;ROW(S305))="","",INDIRECT("'"&amp;S$86&amp;"'!"&amp;VLOOKUP(S$87,'List Values'!$C$3:$D$6,2,FALSE)&amp;ROW(S305))),IF(S$86&lt;&gt;"","Data Source Error",""))))</f>
        <v/>
      </c>
      <c r="V305" s="561"/>
      <c r="W305" s="911" t="str">
        <f ca="1">IF(OR($H$7&lt;6,W$260&lt;3),"",IF(V305&lt;&gt;"",V305,IFERROR(IF(INDIRECT("'"&amp;V$86&amp;"'!"&amp;VLOOKUP(V$87,'List Values'!$C$3:$D$6,2,FALSE)&amp;ROW(V305))="","",INDIRECT("'"&amp;V$86&amp;"'!"&amp;VLOOKUP(V$87,'List Values'!$C$3:$D$6,2,FALSE)&amp;ROW(V305))),IF(V$86&lt;&gt;"","Data Source Error",""))))</f>
        <v/>
      </c>
      <c r="Y305" s="2643"/>
      <c r="Z305" s="2644"/>
      <c r="AA305" s="2644"/>
      <c r="AB305" s="2645"/>
    </row>
    <row r="306" spans="1:28" ht="31" customHeight="1" outlineLevel="1">
      <c r="A306" s="514"/>
      <c r="B306" s="252"/>
      <c r="C306" s="2684" t="s">
        <v>628</v>
      </c>
      <c r="D306" s="2684"/>
      <c r="E306" s="2062"/>
      <c r="F306" s="2062"/>
      <c r="G306" s="636"/>
      <c r="H306" s="637"/>
      <c r="I306" s="187"/>
      <c r="J306" s="526"/>
      <c r="K306" s="900" t="str">
        <f ca="1">IF(OR($H$7&lt;2,K$260&lt;3),"",IF(J306&lt;&gt;"",J306,IFERROR(IF(INDIRECT("'"&amp;J$86&amp;"'!"&amp;VLOOKUP(J$87,'List Values'!$C$3:$D$6,2,FALSE)&amp;ROW(J306))="","",INDIRECT("'"&amp;J$86&amp;"'!"&amp;VLOOKUP(J$87,'List Values'!$C$3:$D$6,2,FALSE)&amp;ROW(J306))),IF(J$86&lt;&gt;"","Data Source Error",""))))</f>
        <v/>
      </c>
      <c r="L306" s="187"/>
      <c r="M306" s="526"/>
      <c r="N306" s="900" t="str">
        <f ca="1">IF(OR($H$7&lt;3,N$260&lt;3),"",IF(M306&lt;&gt;"",M306,IFERROR(IF(INDIRECT("'"&amp;M$86&amp;"'!"&amp;VLOOKUP(M$87,'List Values'!$C$3:$D$6,2,FALSE)&amp;ROW(M306))="","",INDIRECT("'"&amp;M$86&amp;"'!"&amp;VLOOKUP(M$87,'List Values'!$C$3:$D$6,2,FALSE)&amp;ROW(M306))),IF(M$86&lt;&gt;"","Data Source Error",""))))</f>
        <v/>
      </c>
      <c r="O306" s="187"/>
      <c r="P306" s="526"/>
      <c r="Q306" s="900" t="str">
        <f ca="1">IF(OR($H$7&lt;4,Q$260&lt;3),"",IF(P306&lt;&gt;"",P306,IFERROR(IF(INDIRECT("'"&amp;P$86&amp;"'!"&amp;VLOOKUP(P$87,'List Values'!$C$3:$D$6,2,FALSE)&amp;ROW(P306))="","",INDIRECT("'"&amp;P$86&amp;"'!"&amp;VLOOKUP(P$87,'List Values'!$C$3:$D$6,2,FALSE)&amp;ROW(P306))),IF(P$86&lt;&gt;"","Data Source Error",""))))</f>
        <v/>
      </c>
      <c r="S306" s="526"/>
      <c r="T306" s="900" t="str">
        <f ca="1">IF(OR($H$7&lt;5,T$260&lt;3),"",IF(S306&lt;&gt;"",S306,IFERROR(IF(INDIRECT("'"&amp;S$86&amp;"'!"&amp;VLOOKUP(S$87,'List Values'!$C$3:$D$6,2,FALSE)&amp;ROW(S306))="","",INDIRECT("'"&amp;S$86&amp;"'!"&amp;VLOOKUP(S$87,'List Values'!$C$3:$D$6,2,FALSE)&amp;ROW(S306))),IF(S$86&lt;&gt;"","Data Source Error",""))))</f>
        <v/>
      </c>
      <c r="V306" s="526"/>
      <c r="W306" s="911" t="str">
        <f ca="1">IF(OR($H$7&lt;6,W$260&lt;3),"",IF(V306&lt;&gt;"",V306,IFERROR(IF(INDIRECT("'"&amp;V$86&amp;"'!"&amp;VLOOKUP(V$87,'List Values'!$C$3:$D$6,2,FALSE)&amp;ROW(V306))="","",INDIRECT("'"&amp;V$86&amp;"'!"&amp;VLOOKUP(V$87,'List Values'!$C$3:$D$6,2,FALSE)&amp;ROW(V306))),IF(V$86&lt;&gt;"","Data Source Error",""))))</f>
        <v/>
      </c>
      <c r="Y306" s="2643"/>
      <c r="Z306" s="2644"/>
      <c r="AA306" s="2644"/>
      <c r="AB306" s="2645"/>
    </row>
    <row r="307" spans="1:28" ht="33" customHeight="1" outlineLevel="1">
      <c r="A307" s="514"/>
      <c r="B307" s="252"/>
      <c r="C307" s="2684" t="s">
        <v>629</v>
      </c>
      <c r="D307" s="2684"/>
      <c r="E307" s="2062"/>
      <c r="F307" s="2062"/>
      <c r="G307" s="636"/>
      <c r="H307" s="637"/>
      <c r="I307" s="187"/>
      <c r="J307" s="568"/>
      <c r="K307" s="945" t="str">
        <f ca="1">IF(OR($H$7&lt;2,K$260&lt;3),"",IF(J307&lt;&gt;"",J307,IFERROR(IF(INDIRECT("'"&amp;J$86&amp;"'!"&amp;VLOOKUP(J$87,'List Values'!$C$3:$D$6,2,FALSE)&amp;ROW(J307))="","",INDIRECT("'"&amp;J$86&amp;"'!"&amp;VLOOKUP(J$87,'List Values'!$C$3:$D$6,2,FALSE)&amp;ROW(J307))),IF(J$86&lt;&gt;"","Data Source Error",""))))</f>
        <v/>
      </c>
      <c r="L307" s="339"/>
      <c r="M307" s="568"/>
      <c r="N307" s="945" t="str">
        <f ca="1">IF(OR($H$7&lt;3,N$260&lt;3),"",IF(M307&lt;&gt;"",M307,IFERROR(IF(INDIRECT("'"&amp;M$86&amp;"'!"&amp;VLOOKUP(M$87,'List Values'!$C$3:$D$6,2,FALSE)&amp;ROW(M307))="","",INDIRECT("'"&amp;M$86&amp;"'!"&amp;VLOOKUP(M$87,'List Values'!$C$3:$D$6,2,FALSE)&amp;ROW(M307))),IF(M$86&lt;&gt;"","Data Source Error",""))))</f>
        <v/>
      </c>
      <c r="O307" s="339"/>
      <c r="P307" s="568"/>
      <c r="Q307" s="945" t="str">
        <f ca="1">IF(OR($H$7&lt;4,Q$260&lt;3),"",IF(P307&lt;&gt;"",P307,IFERROR(IF(INDIRECT("'"&amp;P$86&amp;"'!"&amp;VLOOKUP(P$87,'List Values'!$C$3:$D$6,2,FALSE)&amp;ROW(P307))="","",INDIRECT("'"&amp;P$86&amp;"'!"&amp;VLOOKUP(P$87,'List Values'!$C$3:$D$6,2,FALSE)&amp;ROW(P307))),IF(P$86&lt;&gt;"","Data Source Error",""))))</f>
        <v/>
      </c>
      <c r="R307" s="7"/>
      <c r="S307" s="568"/>
      <c r="T307" s="945" t="str">
        <f ca="1">IF(OR($H$7&lt;5,T$260&lt;3),"",IF(S307&lt;&gt;"",S307,IFERROR(IF(INDIRECT("'"&amp;S$86&amp;"'!"&amp;VLOOKUP(S$87,'List Values'!$C$3:$D$6,2,FALSE)&amp;ROW(S307))="","",INDIRECT("'"&amp;S$86&amp;"'!"&amp;VLOOKUP(S$87,'List Values'!$C$3:$D$6,2,FALSE)&amp;ROW(S307))),IF(S$86&lt;&gt;"","Data Source Error",""))))</f>
        <v/>
      </c>
      <c r="U307" s="7"/>
      <c r="V307" s="568"/>
      <c r="W307" s="952" t="str">
        <f ca="1">IF(OR($H$7&lt;6,W$260&lt;3),"",IF(V307&lt;&gt;"",V307,IFERROR(IF(INDIRECT("'"&amp;V$86&amp;"'!"&amp;VLOOKUP(V$87,'List Values'!$C$3:$D$6,2,FALSE)&amp;ROW(V307))="","",INDIRECT("'"&amp;V$86&amp;"'!"&amp;VLOOKUP(V$87,'List Values'!$C$3:$D$6,2,FALSE)&amp;ROW(V307))),IF(V$86&lt;&gt;"","Data Source Error",""))))</f>
        <v/>
      </c>
      <c r="Y307" s="2643"/>
      <c r="Z307" s="2644"/>
      <c r="AA307" s="2644"/>
      <c r="AB307" s="2645"/>
    </row>
    <row r="308" spans="1:28" ht="15.75" customHeight="1" outlineLevel="1">
      <c r="A308" s="514"/>
      <c r="B308" s="252"/>
      <c r="C308" s="2680" t="s">
        <v>630</v>
      </c>
      <c r="D308" s="2680"/>
      <c r="E308" s="2062"/>
      <c r="F308" s="2062"/>
      <c r="G308" s="636"/>
      <c r="H308" s="637"/>
      <c r="I308" s="187"/>
      <c r="J308" s="526"/>
      <c r="K308" s="900" t="str">
        <f ca="1">IF(OR($H$7&lt;2,K$260&lt;3),"",IF(J308&lt;&gt;"",J308,IFERROR(IF(INDIRECT("'"&amp;J$86&amp;"'!"&amp;VLOOKUP(J$87,'List Values'!$C$3:$D$6,2,FALSE)&amp;ROW(J308))="","",INDIRECT("'"&amp;J$86&amp;"'!"&amp;VLOOKUP(J$87,'List Values'!$C$3:$D$6,2,FALSE)&amp;ROW(J308))),IF(J$86&lt;&gt;"","Data Source Error",""))))</f>
        <v/>
      </c>
      <c r="L308" s="187"/>
      <c r="M308" s="526"/>
      <c r="N308" s="900" t="str">
        <f ca="1">IF(OR($H$7&lt;3,N$260&lt;3),"",IF(M308&lt;&gt;"",M308,IFERROR(IF(INDIRECT("'"&amp;M$86&amp;"'!"&amp;VLOOKUP(M$87,'List Values'!$C$3:$D$6,2,FALSE)&amp;ROW(M308))="","",INDIRECT("'"&amp;M$86&amp;"'!"&amp;VLOOKUP(M$87,'List Values'!$C$3:$D$6,2,FALSE)&amp;ROW(M308))),IF(M$86&lt;&gt;"","Data Source Error",""))))</f>
        <v/>
      </c>
      <c r="O308" s="187"/>
      <c r="P308" s="526"/>
      <c r="Q308" s="900" t="str">
        <f ca="1">IF(OR($H$7&lt;4,Q$260&lt;3),"",IF(P308&lt;&gt;"",P308,IFERROR(IF(INDIRECT("'"&amp;P$86&amp;"'!"&amp;VLOOKUP(P$87,'List Values'!$C$3:$D$6,2,FALSE)&amp;ROW(P308))="","",INDIRECT("'"&amp;P$86&amp;"'!"&amp;VLOOKUP(P$87,'List Values'!$C$3:$D$6,2,FALSE)&amp;ROW(P308))),IF(P$86&lt;&gt;"","Data Source Error",""))))</f>
        <v/>
      </c>
      <c r="S308" s="526"/>
      <c r="T308" s="900" t="str">
        <f ca="1">IF(OR($H$7&lt;5,T$260&lt;3),"",IF(S308&lt;&gt;"",S308,IFERROR(IF(INDIRECT("'"&amp;S$86&amp;"'!"&amp;VLOOKUP(S$87,'List Values'!$C$3:$D$6,2,FALSE)&amp;ROW(S308))="","",INDIRECT("'"&amp;S$86&amp;"'!"&amp;VLOOKUP(S$87,'List Values'!$C$3:$D$6,2,FALSE)&amp;ROW(S308))),IF(S$86&lt;&gt;"","Data Source Error",""))))</f>
        <v/>
      </c>
      <c r="V308" s="526"/>
      <c r="W308" s="911" t="str">
        <f ca="1">IF(OR($H$7&lt;6,W$260&lt;3),"",IF(V308&lt;&gt;"",V308,IFERROR(IF(INDIRECT("'"&amp;V$86&amp;"'!"&amp;VLOOKUP(V$87,'List Values'!$C$3:$D$6,2,FALSE)&amp;ROW(V308))="","",INDIRECT("'"&amp;V$86&amp;"'!"&amp;VLOOKUP(V$87,'List Values'!$C$3:$D$6,2,FALSE)&amp;ROW(V308))),IF(V$86&lt;&gt;"","Data Source Error",""))))</f>
        <v/>
      </c>
      <c r="Y308" s="2643"/>
      <c r="Z308" s="2644"/>
      <c r="AA308" s="2644"/>
      <c r="AB308" s="2645"/>
    </row>
    <row r="309" spans="1:28" ht="31" customHeight="1" outlineLevel="1">
      <c r="A309" s="514"/>
      <c r="B309" s="252"/>
      <c r="C309" s="2684" t="s">
        <v>634</v>
      </c>
      <c r="D309" s="2684"/>
      <c r="E309" s="202"/>
      <c r="F309" s="202"/>
      <c r="G309" s="634"/>
      <c r="H309" s="635"/>
      <c r="I309" s="183"/>
      <c r="J309" s="553"/>
      <c r="K309" s="897" t="str">
        <f ca="1">IF(OR($H$7&lt;2,K$260&lt;3),"",IF(J309&lt;&gt;"",J309,IFERROR(IF(INDIRECT("'"&amp;J$86&amp;"'!"&amp;VLOOKUP(J$87,'List Values'!$C$3:$D$6,2,FALSE)&amp;ROW(J309))="","",INDIRECT("'"&amp;J$86&amp;"'!"&amp;VLOOKUP(J$87,'List Values'!$C$3:$D$6,2,FALSE)&amp;ROW(J309))),IF(J$86&lt;&gt;"","Data Source Error",""))))</f>
        <v/>
      </c>
      <c r="L309" s="183"/>
      <c r="M309" s="553"/>
      <c r="N309" s="897" t="str">
        <f ca="1">IF(OR($H$7&lt;3,N$260&lt;3),"",IF(M309&lt;&gt;"",M309,IFERROR(IF(INDIRECT("'"&amp;M$86&amp;"'!"&amp;VLOOKUP(M$87,'List Values'!$C$3:$D$6,2,FALSE)&amp;ROW(M309))="","",INDIRECT("'"&amp;M$86&amp;"'!"&amp;VLOOKUP(M$87,'List Values'!$C$3:$D$6,2,FALSE)&amp;ROW(M309))),IF(M$86&lt;&gt;"","Data Source Error",""))))</f>
        <v/>
      </c>
      <c r="O309" s="183"/>
      <c r="P309" s="553"/>
      <c r="Q309" s="897" t="str">
        <f ca="1">IF(OR($H$7&lt;4,Q$260&lt;3),"",IF(P309&lt;&gt;"",P309,IFERROR(IF(INDIRECT("'"&amp;P$86&amp;"'!"&amp;VLOOKUP(P$87,'List Values'!$C$3:$D$6,2,FALSE)&amp;ROW(P309))="","",INDIRECT("'"&amp;P$86&amp;"'!"&amp;VLOOKUP(P$87,'List Values'!$C$3:$D$6,2,FALSE)&amp;ROW(P309))),IF(P$86&lt;&gt;"","Data Source Error",""))))</f>
        <v/>
      </c>
      <c r="S309" s="553"/>
      <c r="T309" s="897" t="str">
        <f ca="1">IF(OR($H$7&lt;5,T$260&lt;3),"",IF(S309&lt;&gt;"",S309,IFERROR(IF(INDIRECT("'"&amp;S$86&amp;"'!"&amp;VLOOKUP(S$87,'List Values'!$C$3:$D$6,2,FALSE)&amp;ROW(S309))="","",INDIRECT("'"&amp;S$86&amp;"'!"&amp;VLOOKUP(S$87,'List Values'!$C$3:$D$6,2,FALSE)&amp;ROW(S309))),IF(S$86&lt;&gt;"","Data Source Error",""))))</f>
        <v/>
      </c>
      <c r="V309" s="553"/>
      <c r="W309" s="908" t="str">
        <f ca="1">IF(OR($H$7&lt;6,W$260&lt;3),"",IF(V309&lt;&gt;"",V309,IFERROR(IF(INDIRECT("'"&amp;V$86&amp;"'!"&amp;VLOOKUP(V$87,'List Values'!$C$3:$D$6,2,FALSE)&amp;ROW(V309))="","",INDIRECT("'"&amp;V$86&amp;"'!"&amp;VLOOKUP(V$87,'List Values'!$C$3:$D$6,2,FALSE)&amp;ROW(V309))),IF(V$86&lt;&gt;"","Data Source Error",""))))</f>
        <v/>
      </c>
      <c r="Y309" s="2643"/>
      <c r="Z309" s="2644"/>
      <c r="AA309" s="2644"/>
      <c r="AB309" s="2645"/>
    </row>
    <row r="310" spans="1:28" ht="31" customHeight="1" outlineLevel="1">
      <c r="A310" s="514"/>
      <c r="B310" s="252"/>
      <c r="C310" s="2680" t="s">
        <v>1551</v>
      </c>
      <c r="D310" s="2680"/>
      <c r="E310" s="2062"/>
      <c r="F310" s="2062"/>
      <c r="G310" s="636"/>
      <c r="H310" s="637"/>
      <c r="I310" s="187"/>
      <c r="J310" s="619"/>
      <c r="K310" s="898" t="str">
        <f ca="1">IF(OR($H$7&lt;2,K$260&lt;3),"",IF(J310&lt;&gt;"",J310,IFERROR(IF(INDIRECT("'"&amp;J$86&amp;"'!"&amp;VLOOKUP(J$87,'List Values'!$C$3:$D$6,2,FALSE)&amp;ROW(J310))="","",INDIRECT("'"&amp;J$86&amp;"'!"&amp;VLOOKUP(J$87,'List Values'!$C$3:$D$6,2,FALSE)&amp;ROW(J310))),IF(J$86&lt;&gt;"","Data Source Error",""))))</f>
        <v/>
      </c>
      <c r="L310" s="621"/>
      <c r="M310" s="619"/>
      <c r="N310" s="898" t="str">
        <f ca="1">IF(OR($H$7&lt;3,N$260&lt;3),"",IF(M310&lt;&gt;"",M310,IFERROR(IF(INDIRECT("'"&amp;M$86&amp;"'!"&amp;VLOOKUP(M$87,'List Values'!$C$3:$D$6,2,FALSE)&amp;ROW(M310))="","",INDIRECT("'"&amp;M$86&amp;"'!"&amp;VLOOKUP(M$87,'List Values'!$C$3:$D$6,2,FALSE)&amp;ROW(M310))),IF(M$86&lt;&gt;"","Data Source Error",""))))</f>
        <v/>
      </c>
      <c r="O310" s="621"/>
      <c r="P310" s="619"/>
      <c r="Q310" s="898" t="str">
        <f ca="1">IF(OR($H$7&lt;4,Q$260&lt;3),"",IF(P310&lt;&gt;"",P310,IFERROR(IF(INDIRECT("'"&amp;P$86&amp;"'!"&amp;VLOOKUP(P$87,'List Values'!$C$3:$D$6,2,FALSE)&amp;ROW(P310))="","",INDIRECT("'"&amp;P$86&amp;"'!"&amp;VLOOKUP(P$87,'List Values'!$C$3:$D$6,2,FALSE)&amp;ROW(P310))),IF(P$86&lt;&gt;"","Data Source Error",""))))</f>
        <v/>
      </c>
      <c r="R310" s="147"/>
      <c r="S310" s="619"/>
      <c r="T310" s="898" t="str">
        <f ca="1">IF(OR($H$7&lt;5,T$260&lt;3),"",IF(S310&lt;&gt;"",S310,IFERROR(IF(INDIRECT("'"&amp;S$86&amp;"'!"&amp;VLOOKUP(S$87,'List Values'!$C$3:$D$6,2,FALSE)&amp;ROW(S310))="","",INDIRECT("'"&amp;S$86&amp;"'!"&amp;VLOOKUP(S$87,'List Values'!$C$3:$D$6,2,FALSE)&amp;ROW(S310))),IF(S$86&lt;&gt;"","Data Source Error",""))))</f>
        <v/>
      </c>
      <c r="U310" s="147"/>
      <c r="V310" s="619"/>
      <c r="W310" s="909" t="str">
        <f ca="1">IF(OR($H$7&lt;6,W$260&lt;3),"",IF(V310&lt;&gt;"",V310,IFERROR(IF(INDIRECT("'"&amp;V$86&amp;"'!"&amp;VLOOKUP(V$87,'List Values'!$C$3:$D$6,2,FALSE)&amp;ROW(V310))="","",INDIRECT("'"&amp;V$86&amp;"'!"&amp;VLOOKUP(V$87,'List Values'!$C$3:$D$6,2,FALSE)&amp;ROW(V310))),IF(V$86&lt;&gt;"","Data Source Error",""))))</f>
        <v/>
      </c>
      <c r="Y310" s="2643"/>
      <c r="Z310" s="2644"/>
      <c r="AA310" s="2644"/>
      <c r="AB310" s="2645"/>
    </row>
    <row r="311" spans="1:28" ht="31" customHeight="1" outlineLevel="1">
      <c r="A311" s="514"/>
      <c r="B311" s="252"/>
      <c r="C311" s="2680" t="s">
        <v>1552</v>
      </c>
      <c r="D311" s="2680"/>
      <c r="E311" s="2062"/>
      <c r="F311" s="2062"/>
      <c r="G311" s="636"/>
      <c r="H311" s="637"/>
      <c r="I311" s="187"/>
      <c r="J311" s="619"/>
      <c r="K311" s="898" t="str">
        <f ca="1">IF(OR($H$7&lt;2,K$260&lt;3),"",IF(J311&lt;&gt;"",J311,IFERROR(IF(INDIRECT("'"&amp;J$86&amp;"'!"&amp;VLOOKUP(J$87,'List Values'!$C$3:$D$6,2,FALSE)&amp;ROW(J311))="","",INDIRECT("'"&amp;J$86&amp;"'!"&amp;VLOOKUP(J$87,'List Values'!$C$3:$D$6,2,FALSE)&amp;ROW(J311))),IF(J$86&lt;&gt;"","Data Source Error",""))))</f>
        <v/>
      </c>
      <c r="L311" s="621"/>
      <c r="M311" s="619"/>
      <c r="N311" s="898" t="str">
        <f ca="1">IF(OR($H$7&lt;3,N$260&lt;3),"",IF(M311&lt;&gt;"",M311,IFERROR(IF(INDIRECT("'"&amp;M$86&amp;"'!"&amp;VLOOKUP(M$87,'List Values'!$C$3:$D$6,2,FALSE)&amp;ROW(M311))="","",INDIRECT("'"&amp;M$86&amp;"'!"&amp;VLOOKUP(M$87,'List Values'!$C$3:$D$6,2,FALSE)&amp;ROW(M311))),IF(M$86&lt;&gt;"","Data Source Error",""))))</f>
        <v/>
      </c>
      <c r="O311" s="621"/>
      <c r="P311" s="619"/>
      <c r="Q311" s="898" t="str">
        <f ca="1">IF(OR($H$7&lt;4,Q$260&lt;3),"",IF(P311&lt;&gt;"",P311,IFERROR(IF(INDIRECT("'"&amp;P$86&amp;"'!"&amp;VLOOKUP(P$87,'List Values'!$C$3:$D$6,2,FALSE)&amp;ROW(P311))="","",INDIRECT("'"&amp;P$86&amp;"'!"&amp;VLOOKUP(P$87,'List Values'!$C$3:$D$6,2,FALSE)&amp;ROW(P311))),IF(P$86&lt;&gt;"","Data Source Error",""))))</f>
        <v/>
      </c>
      <c r="R311" s="147"/>
      <c r="S311" s="619"/>
      <c r="T311" s="898" t="str">
        <f ca="1">IF(OR($H$7&lt;5,T$260&lt;3),"",IF(S311&lt;&gt;"",S311,IFERROR(IF(INDIRECT("'"&amp;S$86&amp;"'!"&amp;VLOOKUP(S$87,'List Values'!$C$3:$D$6,2,FALSE)&amp;ROW(S311))="","",INDIRECT("'"&amp;S$86&amp;"'!"&amp;VLOOKUP(S$87,'List Values'!$C$3:$D$6,2,FALSE)&amp;ROW(S311))),IF(S$86&lt;&gt;"","Data Source Error",""))))</f>
        <v/>
      </c>
      <c r="U311" s="147"/>
      <c r="V311" s="619"/>
      <c r="W311" s="909" t="str">
        <f ca="1">IF(OR($H$7&lt;6,W$260&lt;3),"",IF(V311&lt;&gt;"",V311,IFERROR(IF(INDIRECT("'"&amp;V$86&amp;"'!"&amp;VLOOKUP(V$87,'List Values'!$C$3:$D$6,2,FALSE)&amp;ROW(V311))="","",INDIRECT("'"&amp;V$86&amp;"'!"&amp;VLOOKUP(V$87,'List Values'!$C$3:$D$6,2,FALSE)&amp;ROW(V311))),IF(V$86&lt;&gt;"","Data Source Error",""))))</f>
        <v/>
      </c>
      <c r="Y311" s="2643"/>
      <c r="Z311" s="2644"/>
      <c r="AA311" s="2644"/>
      <c r="AB311" s="2645"/>
    </row>
    <row r="312" spans="1:28" ht="33" customHeight="1" outlineLevel="1">
      <c r="A312" s="514"/>
      <c r="B312" s="252"/>
      <c r="C312" s="2680" t="s">
        <v>331</v>
      </c>
      <c r="D312" s="2680"/>
      <c r="E312" s="2062"/>
      <c r="F312" s="2062"/>
      <c r="G312" s="636"/>
      <c r="H312" s="637"/>
      <c r="I312" s="187"/>
      <c r="J312" s="526"/>
      <c r="K312" s="900" t="str">
        <f ca="1">IF(OR($H$7&lt;2,K$260&lt;3),"",IF(J312&lt;&gt;"",J312,IFERROR(IF(INDIRECT("'"&amp;J$86&amp;"'!"&amp;VLOOKUP(J$87,'List Values'!$C$3:$D$6,2,FALSE)&amp;ROW(J312))="","",INDIRECT("'"&amp;J$86&amp;"'!"&amp;VLOOKUP(J$87,'List Values'!$C$3:$D$6,2,FALSE)&amp;ROW(J312))),IF(J$86&lt;&gt;"","Data Source Error",""))))</f>
        <v/>
      </c>
      <c r="L312" s="187"/>
      <c r="M312" s="526"/>
      <c r="N312" s="900" t="str">
        <f ca="1">IF(OR($H$7&lt;3,N$260&lt;3),"",IF(M312&lt;&gt;"",M312,IFERROR(IF(INDIRECT("'"&amp;M$86&amp;"'!"&amp;VLOOKUP(M$87,'List Values'!$C$3:$D$6,2,FALSE)&amp;ROW(M312))="","",INDIRECT("'"&amp;M$86&amp;"'!"&amp;VLOOKUP(M$87,'List Values'!$C$3:$D$6,2,FALSE)&amp;ROW(M312))),IF(M$86&lt;&gt;"","Data Source Error",""))))</f>
        <v/>
      </c>
      <c r="O312" s="187"/>
      <c r="P312" s="526"/>
      <c r="Q312" s="900" t="str">
        <f ca="1">IF(OR($H$7&lt;4,Q$260&lt;3),"",IF(P312&lt;&gt;"",P312,IFERROR(IF(INDIRECT("'"&amp;P$86&amp;"'!"&amp;VLOOKUP(P$87,'List Values'!$C$3:$D$6,2,FALSE)&amp;ROW(P312))="","",INDIRECT("'"&amp;P$86&amp;"'!"&amp;VLOOKUP(P$87,'List Values'!$C$3:$D$6,2,FALSE)&amp;ROW(P312))),IF(P$86&lt;&gt;"","Data Source Error",""))))</f>
        <v/>
      </c>
      <c r="S312" s="526"/>
      <c r="T312" s="900" t="str">
        <f ca="1">IF(OR($H$7&lt;5,T$260&lt;3),"",IF(S312&lt;&gt;"",S312,IFERROR(IF(INDIRECT("'"&amp;S$86&amp;"'!"&amp;VLOOKUP(S$87,'List Values'!$C$3:$D$6,2,FALSE)&amp;ROW(S312))="","",INDIRECT("'"&amp;S$86&amp;"'!"&amp;VLOOKUP(S$87,'List Values'!$C$3:$D$6,2,FALSE)&amp;ROW(S312))),IF(S$86&lt;&gt;"","Data Source Error",""))))</f>
        <v/>
      </c>
      <c r="V312" s="526"/>
      <c r="W312" s="911" t="str">
        <f ca="1">IF(OR($H$7&lt;6,W$260&lt;3),"",IF(V312&lt;&gt;"",V312,IFERROR(IF(INDIRECT("'"&amp;V$86&amp;"'!"&amp;VLOOKUP(V$87,'List Values'!$C$3:$D$6,2,FALSE)&amp;ROW(V312))="","",INDIRECT("'"&amp;V$86&amp;"'!"&amp;VLOOKUP(V$87,'List Values'!$C$3:$D$6,2,FALSE)&amp;ROW(V312))),IF(V$86&lt;&gt;"","Data Source Error",""))))</f>
        <v/>
      </c>
      <c r="Y312" s="2643"/>
      <c r="Z312" s="2644"/>
      <c r="AA312" s="2644"/>
      <c r="AB312" s="2645"/>
    </row>
    <row r="313" spans="1:28" ht="15.75" customHeight="1" outlineLevel="1">
      <c r="A313" s="514"/>
      <c r="B313" s="252"/>
      <c r="C313" s="2684" t="s">
        <v>332</v>
      </c>
      <c r="D313" s="2684"/>
      <c r="E313" s="2062"/>
      <c r="F313" s="2062"/>
      <c r="G313" s="636"/>
      <c r="H313" s="637"/>
      <c r="I313" s="187"/>
      <c r="J313" s="580"/>
      <c r="K313" s="900" t="str">
        <f ca="1">IF(OR($H$7&lt;2,K$260&lt;3),"",IF(J313&lt;&gt;"",J313,IFERROR(IF(INDIRECT("'"&amp;J$86&amp;"'!"&amp;VLOOKUP(J$87,'List Values'!$C$3:$D$6,2,FALSE)&amp;ROW(J313))="","",INDIRECT("'"&amp;J$86&amp;"'!"&amp;VLOOKUP(J$87,'List Values'!$C$3:$D$6,2,FALSE)&amp;ROW(J313))),IF(J$86&lt;&gt;"","Data Source Error",""))))</f>
        <v/>
      </c>
      <c r="L313" s="187"/>
      <c r="M313" s="580"/>
      <c r="N313" s="900" t="str">
        <f ca="1">IF(OR($H$7&lt;3,N$260&lt;3),"",IF(M313&lt;&gt;"",M313,IFERROR(IF(INDIRECT("'"&amp;M$86&amp;"'!"&amp;VLOOKUP(M$87,'List Values'!$C$3:$D$6,2,FALSE)&amp;ROW(M313))="","",INDIRECT("'"&amp;M$86&amp;"'!"&amp;VLOOKUP(M$87,'List Values'!$C$3:$D$6,2,FALSE)&amp;ROW(M313))),IF(M$86&lt;&gt;"","Data Source Error",""))))</f>
        <v/>
      </c>
      <c r="O313" s="187"/>
      <c r="P313" s="580"/>
      <c r="Q313" s="900" t="str">
        <f ca="1">IF(OR($H$7&lt;4,Q$260&lt;3),"",IF(P313&lt;&gt;"",P313,IFERROR(IF(INDIRECT("'"&amp;P$86&amp;"'!"&amp;VLOOKUP(P$87,'List Values'!$C$3:$D$6,2,FALSE)&amp;ROW(P313))="","",INDIRECT("'"&amp;P$86&amp;"'!"&amp;VLOOKUP(P$87,'List Values'!$C$3:$D$6,2,FALSE)&amp;ROW(P313))),IF(P$86&lt;&gt;"","Data Source Error",""))))</f>
        <v/>
      </c>
      <c r="S313" s="580"/>
      <c r="T313" s="900" t="str">
        <f ca="1">IF(OR($H$7&lt;5,T$260&lt;3),"",IF(S313&lt;&gt;"",S313,IFERROR(IF(INDIRECT("'"&amp;S$86&amp;"'!"&amp;VLOOKUP(S$87,'List Values'!$C$3:$D$6,2,FALSE)&amp;ROW(S313))="","",INDIRECT("'"&amp;S$86&amp;"'!"&amp;VLOOKUP(S$87,'List Values'!$C$3:$D$6,2,FALSE)&amp;ROW(S313))),IF(S$86&lt;&gt;"","Data Source Error",""))))</f>
        <v/>
      </c>
      <c r="V313" s="580"/>
      <c r="W313" s="911" t="str">
        <f ca="1">IF(OR($H$7&lt;6,W$260&lt;3),"",IF(V313&lt;&gt;"",V313,IFERROR(IF(INDIRECT("'"&amp;V$86&amp;"'!"&amp;VLOOKUP(V$87,'List Values'!$C$3:$D$6,2,FALSE)&amp;ROW(V313))="","",INDIRECT("'"&amp;V$86&amp;"'!"&amp;VLOOKUP(V$87,'List Values'!$C$3:$D$6,2,FALSE)&amp;ROW(V313))),IF(V$86&lt;&gt;"","Data Source Error",""))))</f>
        <v/>
      </c>
      <c r="Y313" s="2643"/>
      <c r="Z313" s="2644"/>
      <c r="AA313" s="2644"/>
      <c r="AB313" s="2645"/>
    </row>
    <row r="314" spans="1:28" ht="31.5" customHeight="1" outlineLevel="1">
      <c r="A314" s="514"/>
      <c r="B314" s="252"/>
      <c r="C314" s="2680" t="s">
        <v>839</v>
      </c>
      <c r="D314" s="2680"/>
      <c r="E314" s="2062"/>
      <c r="F314" s="2062"/>
      <c r="G314" s="636"/>
      <c r="H314" s="637"/>
      <c r="I314" s="187"/>
      <c r="J314" s="580"/>
      <c r="K314" s="900" t="str">
        <f ca="1">IF(OR($H$7&lt;2,K$260&lt;3),"",IF(J314&lt;&gt;"",J314,IFERROR(IF(INDIRECT("'"&amp;J$86&amp;"'!"&amp;VLOOKUP(J$87,'List Values'!$C$3:$D$6,2,FALSE)&amp;ROW(J314))="","",INDIRECT("'"&amp;J$86&amp;"'!"&amp;VLOOKUP(J$87,'List Values'!$C$3:$D$6,2,FALSE)&amp;ROW(J314))),IF(J$86&lt;&gt;"","Data Source Error",""))))</f>
        <v/>
      </c>
      <c r="L314" s="187"/>
      <c r="M314" s="580"/>
      <c r="N314" s="900" t="str">
        <f ca="1">IF(OR($H$7&lt;3,N$260&lt;3),"",IF(M314&lt;&gt;"",M314,IFERROR(IF(INDIRECT("'"&amp;M$86&amp;"'!"&amp;VLOOKUP(M$87,'List Values'!$C$3:$D$6,2,FALSE)&amp;ROW(M314))="","",INDIRECT("'"&amp;M$86&amp;"'!"&amp;VLOOKUP(M$87,'List Values'!$C$3:$D$6,2,FALSE)&amp;ROW(M314))),IF(M$86&lt;&gt;"","Data Source Error",""))))</f>
        <v/>
      </c>
      <c r="O314" s="187"/>
      <c r="P314" s="580"/>
      <c r="Q314" s="900" t="str">
        <f ca="1">IF(OR($H$7&lt;4,Q$260&lt;3),"",IF(P314&lt;&gt;"",P314,IFERROR(IF(INDIRECT("'"&amp;P$86&amp;"'!"&amp;VLOOKUP(P$87,'List Values'!$C$3:$D$6,2,FALSE)&amp;ROW(P314))="","",INDIRECT("'"&amp;P$86&amp;"'!"&amp;VLOOKUP(P$87,'List Values'!$C$3:$D$6,2,FALSE)&amp;ROW(P314))),IF(P$86&lt;&gt;"","Data Source Error",""))))</f>
        <v/>
      </c>
      <c r="S314" s="580"/>
      <c r="T314" s="900" t="str">
        <f ca="1">IF(OR($H$7&lt;5,T$260&lt;3),"",IF(S314&lt;&gt;"",S314,IFERROR(IF(INDIRECT("'"&amp;S$86&amp;"'!"&amp;VLOOKUP(S$87,'List Values'!$C$3:$D$6,2,FALSE)&amp;ROW(S314))="","",INDIRECT("'"&amp;S$86&amp;"'!"&amp;VLOOKUP(S$87,'List Values'!$C$3:$D$6,2,FALSE)&amp;ROW(S314))),IF(S$86&lt;&gt;"","Data Source Error",""))))</f>
        <v/>
      </c>
      <c r="V314" s="580"/>
      <c r="W314" s="911" t="str">
        <f ca="1">IF(OR($H$7&lt;6,W$260&lt;3),"",IF(V314&lt;&gt;"",V314,IFERROR(IF(INDIRECT("'"&amp;V$86&amp;"'!"&amp;VLOOKUP(V$87,'List Values'!$C$3:$D$6,2,FALSE)&amp;ROW(V314))="","",INDIRECT("'"&amp;V$86&amp;"'!"&amp;VLOOKUP(V$87,'List Values'!$C$3:$D$6,2,FALSE)&amp;ROW(V314))),IF(V$86&lt;&gt;"","Data Source Error",""))))</f>
        <v/>
      </c>
      <c r="Y314" s="2643"/>
      <c r="Z314" s="2644"/>
      <c r="AA314" s="2644"/>
      <c r="AB314" s="2645"/>
    </row>
    <row r="315" spans="1:28" ht="15.75" customHeight="1" outlineLevel="1">
      <c r="A315" s="514"/>
      <c r="B315" s="252"/>
      <c r="C315" s="2680" t="s">
        <v>334</v>
      </c>
      <c r="D315" s="2680"/>
      <c r="E315" s="2062"/>
      <c r="F315" s="2062"/>
      <c r="G315" s="636"/>
      <c r="H315" s="637"/>
      <c r="I315" s="187"/>
      <c r="J315" s="580"/>
      <c r="K315" s="900" t="str">
        <f ca="1">IF(OR($H$7&lt;2,K$260&lt;3),"",IF(J315&lt;&gt;"",J315,IFERROR(IF(INDIRECT("'"&amp;J$86&amp;"'!"&amp;VLOOKUP(J$87,'List Values'!$C$3:$D$6,2,FALSE)&amp;ROW(J315))="","",INDIRECT("'"&amp;J$86&amp;"'!"&amp;VLOOKUP(J$87,'List Values'!$C$3:$D$6,2,FALSE)&amp;ROW(J315))),IF(J$86&lt;&gt;"","Data Source Error",""))))</f>
        <v/>
      </c>
      <c r="L315" s="187"/>
      <c r="M315" s="580"/>
      <c r="N315" s="900" t="str">
        <f ca="1">IF(OR($H$7&lt;3,N$260&lt;3),"",IF(M315&lt;&gt;"",M315,IFERROR(IF(INDIRECT("'"&amp;M$86&amp;"'!"&amp;VLOOKUP(M$87,'List Values'!$C$3:$D$6,2,FALSE)&amp;ROW(M315))="","",INDIRECT("'"&amp;M$86&amp;"'!"&amp;VLOOKUP(M$87,'List Values'!$C$3:$D$6,2,FALSE)&amp;ROW(M315))),IF(M$86&lt;&gt;"","Data Source Error",""))))</f>
        <v/>
      </c>
      <c r="O315" s="187"/>
      <c r="P315" s="580"/>
      <c r="Q315" s="900" t="str">
        <f ca="1">IF(OR($H$7&lt;4,Q$260&lt;3),"",IF(P315&lt;&gt;"",P315,IFERROR(IF(INDIRECT("'"&amp;P$86&amp;"'!"&amp;VLOOKUP(P$87,'List Values'!$C$3:$D$6,2,FALSE)&amp;ROW(P315))="","",INDIRECT("'"&amp;P$86&amp;"'!"&amp;VLOOKUP(P$87,'List Values'!$C$3:$D$6,2,FALSE)&amp;ROW(P315))),IF(P$86&lt;&gt;"","Data Source Error",""))))</f>
        <v/>
      </c>
      <c r="S315" s="580"/>
      <c r="T315" s="900" t="str">
        <f ca="1">IF(OR($H$7&lt;5,T$260&lt;3),"",IF(S315&lt;&gt;"",S315,IFERROR(IF(INDIRECT("'"&amp;S$86&amp;"'!"&amp;VLOOKUP(S$87,'List Values'!$C$3:$D$6,2,FALSE)&amp;ROW(S315))="","",INDIRECT("'"&amp;S$86&amp;"'!"&amp;VLOOKUP(S$87,'List Values'!$C$3:$D$6,2,FALSE)&amp;ROW(S315))),IF(S$86&lt;&gt;"","Data Source Error",""))))</f>
        <v/>
      </c>
      <c r="V315" s="580"/>
      <c r="W315" s="911" t="str">
        <f ca="1">IF(OR($H$7&lt;6,W$260&lt;3),"",IF(V315&lt;&gt;"",V315,IFERROR(IF(INDIRECT("'"&amp;V$86&amp;"'!"&amp;VLOOKUP(V$87,'List Values'!$C$3:$D$6,2,FALSE)&amp;ROW(V315))="","",INDIRECT("'"&amp;V$86&amp;"'!"&amp;VLOOKUP(V$87,'List Values'!$C$3:$D$6,2,FALSE)&amp;ROW(V315))),IF(V$86&lt;&gt;"","Data Source Error",""))))</f>
        <v/>
      </c>
      <c r="Y315" s="2643"/>
      <c r="Z315" s="2644"/>
      <c r="AA315" s="2644"/>
      <c r="AB315" s="2645"/>
    </row>
    <row r="316" spans="1:28" ht="15.75" customHeight="1" outlineLevel="1">
      <c r="A316" s="514"/>
      <c r="B316" s="252"/>
      <c r="C316" s="2684" t="s">
        <v>335</v>
      </c>
      <c r="D316" s="2684"/>
      <c r="E316" s="2062"/>
      <c r="F316" s="2062"/>
      <c r="G316" s="636"/>
      <c r="H316" s="637"/>
      <c r="I316" s="187"/>
      <c r="J316" s="580"/>
      <c r="K316" s="900" t="str">
        <f ca="1">IF(OR($H$7&lt;2,K$260&lt;3),"",IF(J316&lt;&gt;"",J316,IFERROR(IF(INDIRECT("'"&amp;J$86&amp;"'!"&amp;VLOOKUP(J$87,'List Values'!$C$3:$D$6,2,FALSE)&amp;ROW(J316))="","",INDIRECT("'"&amp;J$86&amp;"'!"&amp;VLOOKUP(J$87,'List Values'!$C$3:$D$6,2,FALSE)&amp;ROW(J316))),IF(J$86&lt;&gt;"","Data Source Error",""))))</f>
        <v/>
      </c>
      <c r="L316" s="187"/>
      <c r="M316" s="580"/>
      <c r="N316" s="900" t="str">
        <f ca="1">IF(OR($H$7&lt;3,N$260&lt;3),"",IF(M316&lt;&gt;"",M316,IFERROR(IF(INDIRECT("'"&amp;M$86&amp;"'!"&amp;VLOOKUP(M$87,'List Values'!$C$3:$D$6,2,FALSE)&amp;ROW(M316))="","",INDIRECT("'"&amp;M$86&amp;"'!"&amp;VLOOKUP(M$87,'List Values'!$C$3:$D$6,2,FALSE)&amp;ROW(M316))),IF(M$86&lt;&gt;"","Data Source Error",""))))</f>
        <v/>
      </c>
      <c r="O316" s="187"/>
      <c r="P316" s="580"/>
      <c r="Q316" s="900" t="str">
        <f ca="1">IF(OR($H$7&lt;4,Q$260&lt;3),"",IF(P316&lt;&gt;"",P316,IFERROR(IF(INDIRECT("'"&amp;P$86&amp;"'!"&amp;VLOOKUP(P$87,'List Values'!$C$3:$D$6,2,FALSE)&amp;ROW(P316))="","",INDIRECT("'"&amp;P$86&amp;"'!"&amp;VLOOKUP(P$87,'List Values'!$C$3:$D$6,2,FALSE)&amp;ROW(P316))),IF(P$86&lt;&gt;"","Data Source Error",""))))</f>
        <v/>
      </c>
      <c r="S316" s="580"/>
      <c r="T316" s="900" t="str">
        <f ca="1">IF(OR($H$7&lt;5,T$260&lt;3),"",IF(S316&lt;&gt;"",S316,IFERROR(IF(INDIRECT("'"&amp;S$86&amp;"'!"&amp;VLOOKUP(S$87,'List Values'!$C$3:$D$6,2,FALSE)&amp;ROW(S316))="","",INDIRECT("'"&amp;S$86&amp;"'!"&amp;VLOOKUP(S$87,'List Values'!$C$3:$D$6,2,FALSE)&amp;ROW(S316))),IF(S$86&lt;&gt;"","Data Source Error",""))))</f>
        <v/>
      </c>
      <c r="V316" s="580"/>
      <c r="W316" s="911" t="str">
        <f ca="1">IF(OR($H$7&lt;6,W$260&lt;3),"",IF(V316&lt;&gt;"",V316,IFERROR(IF(INDIRECT("'"&amp;V$86&amp;"'!"&amp;VLOOKUP(V$87,'List Values'!$C$3:$D$6,2,FALSE)&amp;ROW(V316))="","",INDIRECT("'"&amp;V$86&amp;"'!"&amp;VLOOKUP(V$87,'List Values'!$C$3:$D$6,2,FALSE)&amp;ROW(V316))),IF(V$86&lt;&gt;"","Data Source Error",""))))</f>
        <v/>
      </c>
      <c r="Y316" s="2643"/>
      <c r="Z316" s="2644"/>
      <c r="AA316" s="2644"/>
      <c r="AB316" s="2645"/>
    </row>
    <row r="317" spans="1:28" ht="31" customHeight="1" outlineLevel="1">
      <c r="A317" s="514"/>
      <c r="B317" s="252"/>
      <c r="C317" s="2680" t="s">
        <v>336</v>
      </c>
      <c r="D317" s="2680"/>
      <c r="E317" s="2062"/>
      <c r="F317" s="2062"/>
      <c r="G317" s="636"/>
      <c r="H317" s="637"/>
      <c r="I317" s="187"/>
      <c r="J317" s="580"/>
      <c r="K317" s="900" t="str">
        <f ca="1">IF(OR($H$7&lt;2,K$260&lt;3),"",IF(J317&lt;&gt;"",J317,IFERROR(IF(INDIRECT("'"&amp;J$86&amp;"'!"&amp;VLOOKUP(J$87,'List Values'!$C$3:$D$6,2,FALSE)&amp;ROW(J317))="","",INDIRECT("'"&amp;J$86&amp;"'!"&amp;VLOOKUP(J$87,'List Values'!$C$3:$D$6,2,FALSE)&amp;ROW(J317))),IF(J$86&lt;&gt;"","Data Source Error",""))))</f>
        <v/>
      </c>
      <c r="L317" s="187"/>
      <c r="M317" s="580"/>
      <c r="N317" s="900" t="str">
        <f ca="1">IF(OR($H$7&lt;3,N$260&lt;3),"",IF(M317&lt;&gt;"",M317,IFERROR(IF(INDIRECT("'"&amp;M$86&amp;"'!"&amp;VLOOKUP(M$87,'List Values'!$C$3:$D$6,2,FALSE)&amp;ROW(M317))="","",INDIRECT("'"&amp;M$86&amp;"'!"&amp;VLOOKUP(M$87,'List Values'!$C$3:$D$6,2,FALSE)&amp;ROW(M317))),IF(M$86&lt;&gt;"","Data Source Error",""))))</f>
        <v/>
      </c>
      <c r="O317" s="187"/>
      <c r="P317" s="580"/>
      <c r="Q317" s="900" t="str">
        <f ca="1">IF(OR($H$7&lt;4,Q$260&lt;3),"",IF(P317&lt;&gt;"",P317,IFERROR(IF(INDIRECT("'"&amp;P$86&amp;"'!"&amp;VLOOKUP(P$87,'List Values'!$C$3:$D$6,2,FALSE)&amp;ROW(P317))="","",INDIRECT("'"&amp;P$86&amp;"'!"&amp;VLOOKUP(P$87,'List Values'!$C$3:$D$6,2,FALSE)&amp;ROW(P317))),IF(P$86&lt;&gt;"","Data Source Error",""))))</f>
        <v/>
      </c>
      <c r="S317" s="580"/>
      <c r="T317" s="900" t="str">
        <f ca="1">IF(OR($H$7&lt;5,T$260&lt;3),"",IF(S317&lt;&gt;"",S317,IFERROR(IF(INDIRECT("'"&amp;S$86&amp;"'!"&amp;VLOOKUP(S$87,'List Values'!$C$3:$D$6,2,FALSE)&amp;ROW(S317))="","",INDIRECT("'"&amp;S$86&amp;"'!"&amp;VLOOKUP(S$87,'List Values'!$C$3:$D$6,2,FALSE)&amp;ROW(S317))),IF(S$86&lt;&gt;"","Data Source Error",""))))</f>
        <v/>
      </c>
      <c r="V317" s="580"/>
      <c r="W317" s="911" t="str">
        <f ca="1">IF(OR($H$7&lt;6,W$260&lt;3),"",IF(V317&lt;&gt;"",V317,IFERROR(IF(INDIRECT("'"&amp;V$86&amp;"'!"&amp;VLOOKUP(V$87,'List Values'!$C$3:$D$6,2,FALSE)&amp;ROW(V317))="","",INDIRECT("'"&amp;V$86&amp;"'!"&amp;VLOOKUP(V$87,'List Values'!$C$3:$D$6,2,FALSE)&amp;ROW(V317))),IF(V$86&lt;&gt;"","Data Source Error",""))))</f>
        <v/>
      </c>
      <c r="Y317" s="2643"/>
      <c r="Z317" s="2644"/>
      <c r="AA317" s="2644"/>
      <c r="AB317" s="2645"/>
    </row>
    <row r="318" spans="1:28" ht="33" customHeight="1" outlineLevel="1">
      <c r="A318" s="514"/>
      <c r="B318" s="252"/>
      <c r="C318" s="2680" t="s">
        <v>337</v>
      </c>
      <c r="D318" s="2680"/>
      <c r="E318" s="2062"/>
      <c r="F318" s="2062"/>
      <c r="G318" s="636"/>
      <c r="H318" s="637"/>
      <c r="I318" s="187"/>
      <c r="J318" s="580"/>
      <c r="K318" s="900" t="str">
        <f ca="1">IF(OR($H$7&lt;2,K$260&lt;3),"",IF(J318&lt;&gt;"",J318,IFERROR(IF(INDIRECT("'"&amp;J$86&amp;"'!"&amp;VLOOKUP(J$87,'List Values'!$C$3:$D$6,2,FALSE)&amp;ROW(J318))="","",INDIRECT("'"&amp;J$86&amp;"'!"&amp;VLOOKUP(J$87,'List Values'!$C$3:$D$6,2,FALSE)&amp;ROW(J318))),IF(J$86&lt;&gt;"","Data Source Error",""))))</f>
        <v/>
      </c>
      <c r="L318" s="187"/>
      <c r="M318" s="580"/>
      <c r="N318" s="900" t="str">
        <f ca="1">IF(OR($H$7&lt;3,N$260&lt;3),"",IF(M318&lt;&gt;"",M318,IFERROR(IF(INDIRECT("'"&amp;M$86&amp;"'!"&amp;VLOOKUP(M$87,'List Values'!$C$3:$D$6,2,FALSE)&amp;ROW(M318))="","",INDIRECT("'"&amp;M$86&amp;"'!"&amp;VLOOKUP(M$87,'List Values'!$C$3:$D$6,2,FALSE)&amp;ROW(M318))),IF(M$86&lt;&gt;"","Data Source Error",""))))</f>
        <v/>
      </c>
      <c r="O318" s="187"/>
      <c r="P318" s="580"/>
      <c r="Q318" s="900" t="str">
        <f ca="1">IF(OR($H$7&lt;4,Q$260&lt;3),"",IF(P318&lt;&gt;"",P318,IFERROR(IF(INDIRECT("'"&amp;P$86&amp;"'!"&amp;VLOOKUP(P$87,'List Values'!$C$3:$D$6,2,FALSE)&amp;ROW(P318))="","",INDIRECT("'"&amp;P$86&amp;"'!"&amp;VLOOKUP(P$87,'List Values'!$C$3:$D$6,2,FALSE)&amp;ROW(P318))),IF(P$86&lt;&gt;"","Data Source Error",""))))</f>
        <v/>
      </c>
      <c r="S318" s="580"/>
      <c r="T318" s="900" t="str">
        <f ca="1">IF(OR($H$7&lt;5,T$260&lt;3),"",IF(S318&lt;&gt;"",S318,IFERROR(IF(INDIRECT("'"&amp;S$86&amp;"'!"&amp;VLOOKUP(S$87,'List Values'!$C$3:$D$6,2,FALSE)&amp;ROW(S318))="","",INDIRECT("'"&amp;S$86&amp;"'!"&amp;VLOOKUP(S$87,'List Values'!$C$3:$D$6,2,FALSE)&amp;ROW(S318))),IF(S$86&lt;&gt;"","Data Source Error",""))))</f>
        <v/>
      </c>
      <c r="V318" s="580"/>
      <c r="W318" s="911" t="str">
        <f ca="1">IF(OR($H$7&lt;6,W$260&lt;3),"",IF(V318&lt;&gt;"",V318,IFERROR(IF(INDIRECT("'"&amp;V$86&amp;"'!"&amp;VLOOKUP(V$87,'List Values'!$C$3:$D$6,2,FALSE)&amp;ROW(V318))="","",INDIRECT("'"&amp;V$86&amp;"'!"&amp;VLOOKUP(V$87,'List Values'!$C$3:$D$6,2,FALSE)&amp;ROW(V318))),IF(V$86&lt;&gt;"","Data Source Error",""))))</f>
        <v/>
      </c>
      <c r="Y318" s="2643"/>
      <c r="Z318" s="2644"/>
      <c r="AA318" s="2644"/>
      <c r="AB318" s="2645"/>
    </row>
    <row r="319" spans="1:28" ht="33" customHeight="1" outlineLevel="1">
      <c r="A319" s="514"/>
      <c r="B319" s="252"/>
      <c r="C319" s="2680" t="s">
        <v>338</v>
      </c>
      <c r="D319" s="2680"/>
      <c r="E319" s="2062"/>
      <c r="F319" s="2062"/>
      <c r="G319" s="636"/>
      <c r="H319" s="637"/>
      <c r="I319" s="187"/>
      <c r="J319" s="580"/>
      <c r="K319" s="900" t="str">
        <f ca="1">IF(OR($H$7&lt;2,K$260&lt;3),"",IF(J319&lt;&gt;"",J319,IFERROR(IF(INDIRECT("'"&amp;J$86&amp;"'!"&amp;VLOOKUP(J$87,'List Values'!$C$3:$D$6,2,FALSE)&amp;ROW(J319))="","",INDIRECT("'"&amp;J$86&amp;"'!"&amp;VLOOKUP(J$87,'List Values'!$C$3:$D$6,2,FALSE)&amp;ROW(J319))),IF(J$86&lt;&gt;"","Data Source Error",""))))</f>
        <v/>
      </c>
      <c r="L319" s="187"/>
      <c r="M319" s="580"/>
      <c r="N319" s="900" t="str">
        <f ca="1">IF(OR($H$7&lt;3,N$260&lt;3),"",IF(M319&lt;&gt;"",M319,IFERROR(IF(INDIRECT("'"&amp;M$86&amp;"'!"&amp;VLOOKUP(M$87,'List Values'!$C$3:$D$6,2,FALSE)&amp;ROW(M319))="","",INDIRECT("'"&amp;M$86&amp;"'!"&amp;VLOOKUP(M$87,'List Values'!$C$3:$D$6,2,FALSE)&amp;ROW(M319))),IF(M$86&lt;&gt;"","Data Source Error",""))))</f>
        <v/>
      </c>
      <c r="O319" s="187"/>
      <c r="P319" s="580"/>
      <c r="Q319" s="900" t="str">
        <f ca="1">IF(OR($H$7&lt;4,Q$260&lt;3),"",IF(P319&lt;&gt;"",P319,IFERROR(IF(INDIRECT("'"&amp;P$86&amp;"'!"&amp;VLOOKUP(P$87,'List Values'!$C$3:$D$6,2,FALSE)&amp;ROW(P319))="","",INDIRECT("'"&amp;P$86&amp;"'!"&amp;VLOOKUP(P$87,'List Values'!$C$3:$D$6,2,FALSE)&amp;ROW(P319))),IF(P$86&lt;&gt;"","Data Source Error",""))))</f>
        <v/>
      </c>
      <c r="S319" s="580"/>
      <c r="T319" s="900" t="str">
        <f ca="1">IF(OR($H$7&lt;5,T$260&lt;3),"",IF(S319&lt;&gt;"",S319,IFERROR(IF(INDIRECT("'"&amp;S$86&amp;"'!"&amp;VLOOKUP(S$87,'List Values'!$C$3:$D$6,2,FALSE)&amp;ROW(S319))="","",INDIRECT("'"&amp;S$86&amp;"'!"&amp;VLOOKUP(S$87,'List Values'!$C$3:$D$6,2,FALSE)&amp;ROW(S319))),IF(S$86&lt;&gt;"","Data Source Error",""))))</f>
        <v/>
      </c>
      <c r="V319" s="580"/>
      <c r="W319" s="911" t="str">
        <f ca="1">IF(OR($H$7&lt;6,W$260&lt;3),"",IF(V319&lt;&gt;"",V319,IFERROR(IF(INDIRECT("'"&amp;V$86&amp;"'!"&amp;VLOOKUP(V$87,'List Values'!$C$3:$D$6,2,FALSE)&amp;ROW(V319))="","",INDIRECT("'"&amp;V$86&amp;"'!"&amp;VLOOKUP(V$87,'List Values'!$C$3:$D$6,2,FALSE)&amp;ROW(V319))),IF(V$86&lt;&gt;"","Data Source Error",""))))</f>
        <v/>
      </c>
      <c r="Y319" s="2643"/>
      <c r="Z319" s="2644"/>
      <c r="AA319" s="2644"/>
      <c r="AB319" s="2645"/>
    </row>
    <row r="320" spans="1:28" ht="15.75" customHeight="1" outlineLevel="1">
      <c r="A320" s="514"/>
      <c r="B320" s="252"/>
      <c r="C320" s="2680" t="s">
        <v>650</v>
      </c>
      <c r="D320" s="2680"/>
      <c r="E320" s="2062"/>
      <c r="F320" s="2062"/>
      <c r="G320" s="636"/>
      <c r="H320" s="637"/>
      <c r="I320" s="187"/>
      <c r="J320" s="580"/>
      <c r="K320" s="900" t="str">
        <f ca="1">IF(OR($H$7&lt;2,K$260&lt;3),"",IF(J320&lt;&gt;"",J320,IFERROR(IF(INDIRECT("'"&amp;J$86&amp;"'!"&amp;VLOOKUP(J$87,'List Values'!$C$3:$D$6,2,FALSE)&amp;ROW(J320))="","",INDIRECT("'"&amp;J$86&amp;"'!"&amp;VLOOKUP(J$87,'List Values'!$C$3:$D$6,2,FALSE)&amp;ROW(J320))),IF(J$86&lt;&gt;"","Data Source Error",""))))</f>
        <v/>
      </c>
      <c r="L320" s="187"/>
      <c r="M320" s="580"/>
      <c r="N320" s="900" t="str">
        <f ca="1">IF(OR($H$7&lt;3,N$260&lt;3),"",IF(M320&lt;&gt;"",M320,IFERROR(IF(INDIRECT("'"&amp;M$86&amp;"'!"&amp;VLOOKUP(M$87,'List Values'!$C$3:$D$6,2,FALSE)&amp;ROW(M320))="","",INDIRECT("'"&amp;M$86&amp;"'!"&amp;VLOOKUP(M$87,'List Values'!$C$3:$D$6,2,FALSE)&amp;ROW(M320))),IF(M$86&lt;&gt;"","Data Source Error",""))))</f>
        <v/>
      </c>
      <c r="O320" s="187"/>
      <c r="P320" s="580"/>
      <c r="Q320" s="900" t="str">
        <f ca="1">IF(OR($H$7&lt;4,Q$260&lt;3),"",IF(P320&lt;&gt;"",P320,IFERROR(IF(INDIRECT("'"&amp;P$86&amp;"'!"&amp;VLOOKUP(P$87,'List Values'!$C$3:$D$6,2,FALSE)&amp;ROW(P320))="","",INDIRECT("'"&amp;P$86&amp;"'!"&amp;VLOOKUP(P$87,'List Values'!$C$3:$D$6,2,FALSE)&amp;ROW(P320))),IF(P$86&lt;&gt;"","Data Source Error",""))))</f>
        <v/>
      </c>
      <c r="S320" s="580"/>
      <c r="T320" s="900" t="str">
        <f ca="1">IF(OR($H$7&lt;5,T$260&lt;3),"",IF(S320&lt;&gt;"",S320,IFERROR(IF(INDIRECT("'"&amp;S$86&amp;"'!"&amp;VLOOKUP(S$87,'List Values'!$C$3:$D$6,2,FALSE)&amp;ROW(S320))="","",INDIRECT("'"&amp;S$86&amp;"'!"&amp;VLOOKUP(S$87,'List Values'!$C$3:$D$6,2,FALSE)&amp;ROW(S320))),IF(S$86&lt;&gt;"","Data Source Error",""))))</f>
        <v/>
      </c>
      <c r="V320" s="580"/>
      <c r="W320" s="911" t="str">
        <f ca="1">IF(OR($H$7&lt;6,W$260&lt;3),"",IF(V320&lt;&gt;"",V320,IFERROR(IF(INDIRECT("'"&amp;V$86&amp;"'!"&amp;VLOOKUP(V$87,'List Values'!$C$3:$D$6,2,FALSE)&amp;ROW(V320))="","",INDIRECT("'"&amp;V$86&amp;"'!"&amp;VLOOKUP(V$87,'List Values'!$C$3:$D$6,2,FALSE)&amp;ROW(V320))),IF(V$86&lt;&gt;"","Data Source Error",""))))</f>
        <v/>
      </c>
      <c r="Y320" s="2643"/>
      <c r="Z320" s="2644"/>
      <c r="AA320" s="2644"/>
      <c r="AB320" s="2645"/>
    </row>
    <row r="321" spans="1:28" ht="31" customHeight="1" outlineLevel="1">
      <c r="A321" s="514"/>
      <c r="B321" s="252"/>
      <c r="C321" s="2646" t="s">
        <v>651</v>
      </c>
      <c r="D321" s="2646"/>
      <c r="E321" s="494"/>
      <c r="F321" s="494"/>
      <c r="G321" s="642"/>
      <c r="H321" s="643"/>
      <c r="I321" s="196"/>
      <c r="J321" s="632"/>
      <c r="K321" s="902" t="str">
        <f ca="1">IF(OR($H$7&lt;2,K$260&lt;3),"",IF(J321&lt;&gt;"",J321,IFERROR(IF(INDIRECT("'"&amp;J$86&amp;"'!"&amp;VLOOKUP(J$87,'List Values'!$C$3:$D$6,2,FALSE)&amp;ROW(J321))="","",INDIRECT("'"&amp;J$86&amp;"'!"&amp;VLOOKUP(J$87,'List Values'!$C$3:$D$6,2,FALSE)&amp;ROW(J321))),IF(J$86&lt;&gt;"","Data Source Error",""))))</f>
        <v/>
      </c>
      <c r="L321" s="196"/>
      <c r="M321" s="632"/>
      <c r="N321" s="902" t="str">
        <f ca="1">IF(OR($H$7&lt;3,N$260&lt;3),"",IF(M321&lt;&gt;"",M321,IFERROR(IF(INDIRECT("'"&amp;M$86&amp;"'!"&amp;VLOOKUP(M$87,'List Values'!$C$3:$D$6,2,FALSE)&amp;ROW(M321))="","",INDIRECT("'"&amp;M$86&amp;"'!"&amp;VLOOKUP(M$87,'List Values'!$C$3:$D$6,2,FALSE)&amp;ROW(M321))),IF(M$86&lt;&gt;"","Data Source Error",""))))</f>
        <v/>
      </c>
      <c r="O321" s="196"/>
      <c r="P321" s="632"/>
      <c r="Q321" s="902" t="str">
        <f ca="1">IF(OR($H$7&lt;4,Q$260&lt;3),"",IF(P321&lt;&gt;"",P321,IFERROR(IF(INDIRECT("'"&amp;P$86&amp;"'!"&amp;VLOOKUP(P$87,'List Values'!$C$3:$D$6,2,FALSE)&amp;ROW(P321))="","",INDIRECT("'"&amp;P$86&amp;"'!"&amp;VLOOKUP(P$87,'List Values'!$C$3:$D$6,2,FALSE)&amp;ROW(P321))),IF(P$86&lt;&gt;"","Data Source Error",""))))</f>
        <v/>
      </c>
      <c r="R321" s="236"/>
      <c r="S321" s="632"/>
      <c r="T321" s="902" t="str">
        <f ca="1">IF(OR($H$7&lt;5,T$260&lt;3),"",IF(S321&lt;&gt;"",S321,IFERROR(IF(INDIRECT("'"&amp;S$86&amp;"'!"&amp;VLOOKUP(S$87,'List Values'!$C$3:$D$6,2,FALSE)&amp;ROW(S321))="","",INDIRECT("'"&amp;S$86&amp;"'!"&amp;VLOOKUP(S$87,'List Values'!$C$3:$D$6,2,FALSE)&amp;ROW(S321))),IF(S$86&lt;&gt;"","Data Source Error",""))))</f>
        <v/>
      </c>
      <c r="U321" s="236"/>
      <c r="V321" s="632"/>
      <c r="W321" s="982" t="str">
        <f ca="1">IF(OR($H$7&lt;6,W$260&lt;3),"",IF(V321&lt;&gt;"",V321,IFERROR(IF(INDIRECT("'"&amp;V$86&amp;"'!"&amp;VLOOKUP(V$87,'List Values'!$C$3:$D$6,2,FALSE)&amp;ROW(V321))="","",INDIRECT("'"&amp;V$86&amp;"'!"&amp;VLOOKUP(V$87,'List Values'!$C$3:$D$6,2,FALSE)&amp;ROW(V321))),IF(V$86&lt;&gt;"","Data Source Error",""))))</f>
        <v/>
      </c>
      <c r="Y321" s="2657"/>
      <c r="Z321" s="2658"/>
      <c r="AA321" s="2658"/>
      <c r="AB321" s="2659"/>
    </row>
    <row r="322" spans="1:28" ht="21" customHeight="1" collapsed="1">
      <c r="A322" s="212"/>
      <c r="C322" s="130"/>
      <c r="D322" s="130"/>
      <c r="E322" s="130"/>
      <c r="G322" s="121"/>
      <c r="H322" s="69"/>
      <c r="K322" s="972"/>
      <c r="N322" s="972"/>
      <c r="Q322" s="972"/>
      <c r="S322" s="6"/>
      <c r="T322" s="972"/>
      <c r="V322" s="6"/>
      <c r="W322" s="972"/>
    </row>
    <row r="323" spans="1:28" ht="14.9" customHeight="1">
      <c r="G323" s="144"/>
      <c r="H323" s="145"/>
      <c r="I323" s="146"/>
      <c r="J323" s="254"/>
      <c r="K323" s="145"/>
      <c r="L323" s="146"/>
      <c r="M323" s="254"/>
      <c r="N323" s="145"/>
      <c r="O323" s="146"/>
      <c r="P323" s="254"/>
      <c r="Q323" s="145"/>
    </row>
    <row r="324" spans="1:28" ht="14.25" customHeight="1">
      <c r="G324" s="224"/>
      <c r="H324" s="145"/>
      <c r="I324" s="147"/>
      <c r="J324" s="224"/>
      <c r="K324" s="145"/>
      <c r="L324" s="147"/>
      <c r="M324" s="224"/>
      <c r="N324" s="145"/>
      <c r="Q324" s="145" t="str">
        <f ca="1">IFERROR(#REF!/Q106,"")</f>
        <v/>
      </c>
    </row>
    <row r="329" spans="1:28">
      <c r="K329" s="37"/>
    </row>
    <row r="330" spans="1:28">
      <c r="N330" s="37"/>
    </row>
  </sheetData>
  <sheetProtection algorithmName="SHA-512" hashValue="Z8NduYl+AV6+FJaiAL4iVMTDARZct3A3V3RpJmi0NpSFyqlMuo6ZUh+iINCwgqYdnsDavyXKljmD7qDyiJtByA==" saltValue="VfehKIigjj3MpDjBbMnLoQ==" spinCount="100000" sheet="1" formatColumns="0" formatRows="0" sort="0" autoFilter="0" pivotTables="0"/>
  <protectedRanges>
    <protectedRange sqref="Y5:AB12 Y16:AB22 Y27:AB38 Y86:AB88 Y92:AB99 Y103:AB117 Y121:AB123 Y133:AB193 Y197:AB257 Y260:AB321" name="Notes"/>
    <protectedRange sqref="G5:G12 G16:G21 G28:G38 J28:J38 M27:P38 G43:G78 J43:M78" name="Sections 1 to 4"/>
    <protectedRange sqref="G86:G88 J86:J88 M86:M88 P86:P88 S86:S88 V86:V88 G92:G99 J92:J99 M92:M99 P92:P99 S92:S99 V92:V99 G104:G117 J104:J117 M104:M117 P104:P117 S104:S117 V104:V117 G121:G123 J121:J123 M121:M123 P121:P123 S121:S123 V121:V123" name="Section 5"/>
    <protectedRange sqref="J133:J193 M133:M193 P133:P193 S133:S193 V133:V193 J197:J257 M197:M257 P197:P257 S197:S257 V197:V257 J260:J321 M260:M321 P260:P321 S260:S321 V260:V321" name="Section 6"/>
  </protectedRanges>
  <dataConsolidate link="1"/>
  <mergeCells count="632">
    <mergeCell ref="A1:K1"/>
    <mergeCell ref="B3:E3"/>
    <mergeCell ref="Y4:AB4"/>
    <mergeCell ref="B5:E5"/>
    <mergeCell ref="Y5:AB5"/>
    <mergeCell ref="B6:E6"/>
    <mergeCell ref="Y6:AB6"/>
    <mergeCell ref="B10:E10"/>
    <mergeCell ref="Y10:AB10"/>
    <mergeCell ref="B11:E11"/>
    <mergeCell ref="Y11:AB11"/>
    <mergeCell ref="B12:E12"/>
    <mergeCell ref="Y12:AB12"/>
    <mergeCell ref="B7:E7"/>
    <mergeCell ref="Y7:AB7"/>
    <mergeCell ref="B8:E8"/>
    <mergeCell ref="Y8:AB8"/>
    <mergeCell ref="B9:E9"/>
    <mergeCell ref="Y9:AB9"/>
    <mergeCell ref="B18:E18"/>
    <mergeCell ref="Y18:AB18"/>
    <mergeCell ref="B19:E19"/>
    <mergeCell ref="Y19:AB19"/>
    <mergeCell ref="B20:E20"/>
    <mergeCell ref="M20:N20"/>
    <mergeCell ref="Q20:S20"/>
    <mergeCell ref="Y20:AB20"/>
    <mergeCell ref="B14:E14"/>
    <mergeCell ref="K15:K16"/>
    <mergeCell ref="M15:S15"/>
    <mergeCell ref="Y15:AB15"/>
    <mergeCell ref="B16:E16"/>
    <mergeCell ref="Q16:S19"/>
    <mergeCell ref="Y16:AB16"/>
    <mergeCell ref="B17:E17"/>
    <mergeCell ref="K17:K19"/>
    <mergeCell ref="Y17:AB17"/>
    <mergeCell ref="B25:E26"/>
    <mergeCell ref="G25:H25"/>
    <mergeCell ref="J25:K25"/>
    <mergeCell ref="M25:P25"/>
    <mergeCell ref="M26:P26"/>
    <mergeCell ref="Y26:AB26"/>
    <mergeCell ref="B21:E21"/>
    <mergeCell ref="M21:N22"/>
    <mergeCell ref="P21:P22"/>
    <mergeCell ref="Q21:S21"/>
    <mergeCell ref="Y21:AB21"/>
    <mergeCell ref="B24:E24"/>
    <mergeCell ref="B30:D30"/>
    <mergeCell ref="Y30:AB30"/>
    <mergeCell ref="B31:D31"/>
    <mergeCell ref="Y31:AB31"/>
    <mergeCell ref="B32:D32"/>
    <mergeCell ref="Y32:AB32"/>
    <mergeCell ref="B27:D27"/>
    <mergeCell ref="Y27:AB27"/>
    <mergeCell ref="B28:D28"/>
    <mergeCell ref="Y28:AB28"/>
    <mergeCell ref="B29:D29"/>
    <mergeCell ref="Y29:AB29"/>
    <mergeCell ref="B36:D36"/>
    <mergeCell ref="Y36:AB36"/>
    <mergeCell ref="B37:D37"/>
    <mergeCell ref="Y37:AB37"/>
    <mergeCell ref="B38:D38"/>
    <mergeCell ref="Y38:AB38"/>
    <mergeCell ref="B33:D33"/>
    <mergeCell ref="Y33:AB33"/>
    <mergeCell ref="B34:D34"/>
    <mergeCell ref="Y34:AB34"/>
    <mergeCell ref="B35:D35"/>
    <mergeCell ref="Y35:AB35"/>
    <mergeCell ref="B43:C43"/>
    <mergeCell ref="J43:M43"/>
    <mergeCell ref="Y43:AB43"/>
    <mergeCell ref="B44:C44"/>
    <mergeCell ref="Y44:AB44"/>
    <mergeCell ref="B45:C45"/>
    <mergeCell ref="Y45:AB45"/>
    <mergeCell ref="B41:E41"/>
    <mergeCell ref="J41:M41"/>
    <mergeCell ref="Y41:AB41"/>
    <mergeCell ref="B42:C42"/>
    <mergeCell ref="J42:M42"/>
    <mergeCell ref="Y42:AB42"/>
    <mergeCell ref="B49:C49"/>
    <mergeCell ref="Y49:AB49"/>
    <mergeCell ref="B50:C50"/>
    <mergeCell ref="Y50:AB50"/>
    <mergeCell ref="B51:C51"/>
    <mergeCell ref="Y51:AB51"/>
    <mergeCell ref="B46:C46"/>
    <mergeCell ref="Y46:AB46"/>
    <mergeCell ref="B47:C47"/>
    <mergeCell ref="Y47:AB47"/>
    <mergeCell ref="B48:C48"/>
    <mergeCell ref="Y48:AB48"/>
    <mergeCell ref="B55:C55"/>
    <mergeCell ref="Y55:AB55"/>
    <mergeCell ref="B56:C56"/>
    <mergeCell ref="Y56:AB56"/>
    <mergeCell ref="B57:C57"/>
    <mergeCell ref="Y57:AB57"/>
    <mergeCell ref="B52:C52"/>
    <mergeCell ref="Y52:AB52"/>
    <mergeCell ref="B53:C53"/>
    <mergeCell ref="Y53:AB53"/>
    <mergeCell ref="B54:C54"/>
    <mergeCell ref="Y54:AB54"/>
    <mergeCell ref="B61:C61"/>
    <mergeCell ref="Y61:AB61"/>
    <mergeCell ref="B62:C62"/>
    <mergeCell ref="Y62:AB62"/>
    <mergeCell ref="B63:C63"/>
    <mergeCell ref="Y63:AB63"/>
    <mergeCell ref="B58:C58"/>
    <mergeCell ref="Y58:AB58"/>
    <mergeCell ref="B59:C59"/>
    <mergeCell ref="Y59:AB59"/>
    <mergeCell ref="B60:C60"/>
    <mergeCell ref="Y60:AB60"/>
    <mergeCell ref="B67:C67"/>
    <mergeCell ref="Y67:AB67"/>
    <mergeCell ref="B68:C68"/>
    <mergeCell ref="Y68:AB68"/>
    <mergeCell ref="B69:C69"/>
    <mergeCell ref="Y69:AB69"/>
    <mergeCell ref="B64:C64"/>
    <mergeCell ref="Y64:AB64"/>
    <mergeCell ref="B65:C65"/>
    <mergeCell ref="Y65:AB65"/>
    <mergeCell ref="B66:C66"/>
    <mergeCell ref="Y66:AB66"/>
    <mergeCell ref="B73:C73"/>
    <mergeCell ref="Y73:AB73"/>
    <mergeCell ref="B74:C74"/>
    <mergeCell ref="Y74:AB74"/>
    <mergeCell ref="B75:C75"/>
    <mergeCell ref="Y75:AB75"/>
    <mergeCell ref="B70:C70"/>
    <mergeCell ref="Y70:AB70"/>
    <mergeCell ref="B71:C71"/>
    <mergeCell ref="Y71:AB71"/>
    <mergeCell ref="B72:C72"/>
    <mergeCell ref="Y72:AB72"/>
    <mergeCell ref="B81:D81"/>
    <mergeCell ref="G83:H83"/>
    <mergeCell ref="J83:K83"/>
    <mergeCell ref="M83:N83"/>
    <mergeCell ref="P83:Q83"/>
    <mergeCell ref="S83:T83"/>
    <mergeCell ref="B76:C76"/>
    <mergeCell ref="Y76:AB76"/>
    <mergeCell ref="B77:C77"/>
    <mergeCell ref="Y77:AB77"/>
    <mergeCell ref="B78:C78"/>
    <mergeCell ref="Y78:AB78"/>
    <mergeCell ref="T84:T85"/>
    <mergeCell ref="V84:V85"/>
    <mergeCell ref="W84:W85"/>
    <mergeCell ref="B85:D85"/>
    <mergeCell ref="Y85:AB85"/>
    <mergeCell ref="B86:D86"/>
    <mergeCell ref="Y86:AB86"/>
    <mergeCell ref="V83:W83"/>
    <mergeCell ref="G84:G85"/>
    <mergeCell ref="H84:H85"/>
    <mergeCell ref="J84:J85"/>
    <mergeCell ref="K84:K85"/>
    <mergeCell ref="M84:M85"/>
    <mergeCell ref="N84:N85"/>
    <mergeCell ref="P84:P85"/>
    <mergeCell ref="Q84:Q85"/>
    <mergeCell ref="S84:S85"/>
    <mergeCell ref="Y91:AB91"/>
    <mergeCell ref="B92:D92"/>
    <mergeCell ref="Y92:AB92"/>
    <mergeCell ref="B93:D93"/>
    <mergeCell ref="Y93:AB93"/>
    <mergeCell ref="B94:D94"/>
    <mergeCell ref="Y94:AB94"/>
    <mergeCell ref="B87:D87"/>
    <mergeCell ref="Y87:AB87"/>
    <mergeCell ref="B88:D88"/>
    <mergeCell ref="Y88:AB88"/>
    <mergeCell ref="G91:H91"/>
    <mergeCell ref="J91:K91"/>
    <mergeCell ref="M91:N91"/>
    <mergeCell ref="P91:Q91"/>
    <mergeCell ref="S91:T91"/>
    <mergeCell ref="V91:W91"/>
    <mergeCell ref="B98:D98"/>
    <mergeCell ref="Y98:AB98"/>
    <mergeCell ref="B99:D99"/>
    <mergeCell ref="Y99:AB99"/>
    <mergeCell ref="P101:Q101"/>
    <mergeCell ref="S101:T101"/>
    <mergeCell ref="V101:W101"/>
    <mergeCell ref="B95:D95"/>
    <mergeCell ref="Y95:AB95"/>
    <mergeCell ref="B96:D96"/>
    <mergeCell ref="Y96:AB96"/>
    <mergeCell ref="B97:D97"/>
    <mergeCell ref="Y97:AB97"/>
    <mergeCell ref="Y102:AB102"/>
    <mergeCell ref="C103:D103"/>
    <mergeCell ref="Y103:AB103"/>
    <mergeCell ref="C104:D104"/>
    <mergeCell ref="Y104:AB104"/>
    <mergeCell ref="B105:B107"/>
    <mergeCell ref="C105:D105"/>
    <mergeCell ref="Y105:AB105"/>
    <mergeCell ref="C106:D106"/>
    <mergeCell ref="Y106:AB106"/>
    <mergeCell ref="G102:H103"/>
    <mergeCell ref="J102:K103"/>
    <mergeCell ref="M102:N103"/>
    <mergeCell ref="P102:Q103"/>
    <mergeCell ref="S102:T103"/>
    <mergeCell ref="V102:W103"/>
    <mergeCell ref="C107:D107"/>
    <mergeCell ref="Y107:AB107"/>
    <mergeCell ref="B108:B112"/>
    <mergeCell ref="C108:D108"/>
    <mergeCell ref="Y108:AB108"/>
    <mergeCell ref="C109:D109"/>
    <mergeCell ref="Y109:AB109"/>
    <mergeCell ref="C110:D110"/>
    <mergeCell ref="Y110:AB110"/>
    <mergeCell ref="C111:D111"/>
    <mergeCell ref="P119:Q119"/>
    <mergeCell ref="S119:T119"/>
    <mergeCell ref="V119:W119"/>
    <mergeCell ref="Y111:AB111"/>
    <mergeCell ref="C112:D112"/>
    <mergeCell ref="Y112:AB112"/>
    <mergeCell ref="Y120:AB120"/>
    <mergeCell ref="B121:D121"/>
    <mergeCell ref="Y121:AB121"/>
    <mergeCell ref="B113:B117"/>
    <mergeCell ref="C113:D113"/>
    <mergeCell ref="Y113:AB113"/>
    <mergeCell ref="C114:D114"/>
    <mergeCell ref="Y114:AB114"/>
    <mergeCell ref="C115:D115"/>
    <mergeCell ref="Y115:AB115"/>
    <mergeCell ref="C116:D116"/>
    <mergeCell ref="Y116:AB116"/>
    <mergeCell ref="C117:D117"/>
    <mergeCell ref="Y117:AB117"/>
    <mergeCell ref="B122:D122"/>
    <mergeCell ref="Y122:AB122"/>
    <mergeCell ref="B123:D123"/>
    <mergeCell ref="Y123:AB123"/>
    <mergeCell ref="G120:H120"/>
    <mergeCell ref="J120:K120"/>
    <mergeCell ref="M120:N120"/>
    <mergeCell ref="P120:Q120"/>
    <mergeCell ref="S120:T120"/>
    <mergeCell ref="V120:W120"/>
    <mergeCell ref="V130:W130"/>
    <mergeCell ref="Y132:AB132"/>
    <mergeCell ref="B133:D133"/>
    <mergeCell ref="Y133:AB133"/>
    <mergeCell ref="C135:D135"/>
    <mergeCell ref="Y135:AB135"/>
    <mergeCell ref="B129:D129"/>
    <mergeCell ref="B130:H132"/>
    <mergeCell ref="J130:K130"/>
    <mergeCell ref="M130:N130"/>
    <mergeCell ref="P130:Q130"/>
    <mergeCell ref="S130:T130"/>
    <mergeCell ref="C139:D139"/>
    <mergeCell ref="Y139:AB139"/>
    <mergeCell ref="C140:D140"/>
    <mergeCell ref="Y140:AB140"/>
    <mergeCell ref="C141:D141"/>
    <mergeCell ref="Y141:AB141"/>
    <mergeCell ref="C136:D136"/>
    <mergeCell ref="Y136:AB136"/>
    <mergeCell ref="C137:D137"/>
    <mergeCell ref="Y137:AB137"/>
    <mergeCell ref="C138:D138"/>
    <mergeCell ref="Y138:AB138"/>
    <mergeCell ref="C145:D145"/>
    <mergeCell ref="Y145:AB145"/>
    <mergeCell ref="C146:D146"/>
    <mergeCell ref="Y146:AB146"/>
    <mergeCell ref="C147:D147"/>
    <mergeCell ref="Y147:AB147"/>
    <mergeCell ref="C142:D142"/>
    <mergeCell ref="Y142:AB142"/>
    <mergeCell ref="C143:D143"/>
    <mergeCell ref="Y143:AB143"/>
    <mergeCell ref="C144:D144"/>
    <mergeCell ref="Y144:AB144"/>
    <mergeCell ref="C151:D151"/>
    <mergeCell ref="Y151:AB151"/>
    <mergeCell ref="C152:D152"/>
    <mergeCell ref="Y152:AB152"/>
    <mergeCell ref="C153:D153"/>
    <mergeCell ref="Y153:AB153"/>
    <mergeCell ref="C148:D148"/>
    <mergeCell ref="Y148:AB148"/>
    <mergeCell ref="C149:D149"/>
    <mergeCell ref="Y149:AB149"/>
    <mergeCell ref="C150:D150"/>
    <mergeCell ref="Y150:AB150"/>
    <mergeCell ref="C158:D158"/>
    <mergeCell ref="Y158:AB158"/>
    <mergeCell ref="C159:D159"/>
    <mergeCell ref="Y159:AB159"/>
    <mergeCell ref="C160:D160"/>
    <mergeCell ref="Y160:AB160"/>
    <mergeCell ref="C155:D155"/>
    <mergeCell ref="Y155:AB155"/>
    <mergeCell ref="C156:D156"/>
    <mergeCell ref="Y156:AB156"/>
    <mergeCell ref="C157:D157"/>
    <mergeCell ref="Y157:AB157"/>
    <mergeCell ref="C164:D164"/>
    <mergeCell ref="Y164:AB164"/>
    <mergeCell ref="C165:D165"/>
    <mergeCell ref="Y165:AB165"/>
    <mergeCell ref="C166:D166"/>
    <mergeCell ref="Y166:AB166"/>
    <mergeCell ref="C161:D161"/>
    <mergeCell ref="Y161:AB161"/>
    <mergeCell ref="C162:D162"/>
    <mergeCell ref="Y162:AB162"/>
    <mergeCell ref="C163:D163"/>
    <mergeCell ref="Y163:AB163"/>
    <mergeCell ref="C170:D170"/>
    <mergeCell ref="Y170:AB170"/>
    <mergeCell ref="C171:D171"/>
    <mergeCell ref="Y171:AB171"/>
    <mergeCell ref="C172:D172"/>
    <mergeCell ref="Y172:AB172"/>
    <mergeCell ref="C167:D167"/>
    <mergeCell ref="Y167:AB167"/>
    <mergeCell ref="C168:D168"/>
    <mergeCell ref="Y168:AB168"/>
    <mergeCell ref="C169:D169"/>
    <mergeCell ref="Y169:AB169"/>
    <mergeCell ref="C177:D177"/>
    <mergeCell ref="Y177:AB177"/>
    <mergeCell ref="C178:D178"/>
    <mergeCell ref="Y178:AB178"/>
    <mergeCell ref="C179:D179"/>
    <mergeCell ref="Y179:AB179"/>
    <mergeCell ref="C173:D173"/>
    <mergeCell ref="Y173:AB173"/>
    <mergeCell ref="C175:D175"/>
    <mergeCell ref="Y175:AB175"/>
    <mergeCell ref="C176:D176"/>
    <mergeCell ref="Y176:AB176"/>
    <mergeCell ref="C183:D183"/>
    <mergeCell ref="Y183:AB183"/>
    <mergeCell ref="C184:D184"/>
    <mergeCell ref="Y184:AB184"/>
    <mergeCell ref="C185:D185"/>
    <mergeCell ref="Y185:AB185"/>
    <mergeCell ref="C180:D180"/>
    <mergeCell ref="Y180:AB180"/>
    <mergeCell ref="C181:D181"/>
    <mergeCell ref="Y181:AB181"/>
    <mergeCell ref="C182:D182"/>
    <mergeCell ref="Y182:AB182"/>
    <mergeCell ref="C189:D189"/>
    <mergeCell ref="Y189:AB189"/>
    <mergeCell ref="C190:D190"/>
    <mergeCell ref="Y190:AB190"/>
    <mergeCell ref="C191:D191"/>
    <mergeCell ref="Y191:AB191"/>
    <mergeCell ref="C186:D186"/>
    <mergeCell ref="Y186:AB186"/>
    <mergeCell ref="C187:D187"/>
    <mergeCell ref="Y187:AB187"/>
    <mergeCell ref="C188:D188"/>
    <mergeCell ref="Y188:AB188"/>
    <mergeCell ref="C192:D192"/>
    <mergeCell ref="Y192:AB192"/>
    <mergeCell ref="C193:D193"/>
    <mergeCell ref="Y193:AB193"/>
    <mergeCell ref="B195:H196"/>
    <mergeCell ref="J195:K195"/>
    <mergeCell ref="M195:N195"/>
    <mergeCell ref="P195:Q195"/>
    <mergeCell ref="S195:T195"/>
    <mergeCell ref="V195:W195"/>
    <mergeCell ref="C201:D201"/>
    <mergeCell ref="Y201:AB201"/>
    <mergeCell ref="C202:D202"/>
    <mergeCell ref="Y202:AB202"/>
    <mergeCell ref="C203:D203"/>
    <mergeCell ref="Y203:AB203"/>
    <mergeCell ref="Y196:AB196"/>
    <mergeCell ref="B197:D197"/>
    <mergeCell ref="Y197:AB197"/>
    <mergeCell ref="C199:D199"/>
    <mergeCell ref="Y199:AB199"/>
    <mergeCell ref="C200:D200"/>
    <mergeCell ref="Y200:AB200"/>
    <mergeCell ref="C207:D207"/>
    <mergeCell ref="Y207:AB207"/>
    <mergeCell ref="C208:D208"/>
    <mergeCell ref="Y208:AB208"/>
    <mergeCell ref="C209:D209"/>
    <mergeCell ref="Y209:AB209"/>
    <mergeCell ref="C204:D204"/>
    <mergeCell ref="Y204:AB204"/>
    <mergeCell ref="C205:D205"/>
    <mergeCell ref="Y205:AB205"/>
    <mergeCell ref="C206:D206"/>
    <mergeCell ref="Y206:AB206"/>
    <mergeCell ref="C213:D213"/>
    <mergeCell ref="Y213:AB213"/>
    <mergeCell ref="C214:D214"/>
    <mergeCell ref="Y214:AB214"/>
    <mergeCell ref="C215:D215"/>
    <mergeCell ref="Y215:AB215"/>
    <mergeCell ref="C210:D210"/>
    <mergeCell ref="Y210:AB210"/>
    <mergeCell ref="C211:D211"/>
    <mergeCell ref="Y211:AB211"/>
    <mergeCell ref="C212:D212"/>
    <mergeCell ref="Y212:AB212"/>
    <mergeCell ref="C220:D220"/>
    <mergeCell ref="Y220:AB220"/>
    <mergeCell ref="C221:D221"/>
    <mergeCell ref="Y221:AB221"/>
    <mergeCell ref="C222:D222"/>
    <mergeCell ref="Y222:AB222"/>
    <mergeCell ref="C216:D216"/>
    <mergeCell ref="Y216:AB216"/>
    <mergeCell ref="C217:D217"/>
    <mergeCell ref="Y217:AB217"/>
    <mergeCell ref="C219:D219"/>
    <mergeCell ref="Y219:AB219"/>
    <mergeCell ref="C226:D226"/>
    <mergeCell ref="Y226:AB226"/>
    <mergeCell ref="C227:D227"/>
    <mergeCell ref="Y227:AB227"/>
    <mergeCell ref="C228:D228"/>
    <mergeCell ref="Y228:AB228"/>
    <mergeCell ref="C223:D223"/>
    <mergeCell ref="Y223:AB223"/>
    <mergeCell ref="C224:D224"/>
    <mergeCell ref="Y224:AB224"/>
    <mergeCell ref="C225:D225"/>
    <mergeCell ref="Y225:AB225"/>
    <mergeCell ref="C232:D232"/>
    <mergeCell ref="Y232:AB232"/>
    <mergeCell ref="C233:D233"/>
    <mergeCell ref="Y233:AB233"/>
    <mergeCell ref="C234:D234"/>
    <mergeCell ref="Y234:AB234"/>
    <mergeCell ref="C229:D229"/>
    <mergeCell ref="Y229:AB229"/>
    <mergeCell ref="C230:D230"/>
    <mergeCell ref="Y230:AB230"/>
    <mergeCell ref="C231:D231"/>
    <mergeCell ref="Y231:AB231"/>
    <mergeCell ref="C239:D239"/>
    <mergeCell ref="Y239:AB239"/>
    <mergeCell ref="C240:D240"/>
    <mergeCell ref="Y240:AB240"/>
    <mergeCell ref="C241:D241"/>
    <mergeCell ref="Y241:AB241"/>
    <mergeCell ref="C235:D235"/>
    <mergeCell ref="Y235:AB235"/>
    <mergeCell ref="C236:D236"/>
    <mergeCell ref="Y236:AB236"/>
    <mergeCell ref="C237:D237"/>
    <mergeCell ref="Y237:AB237"/>
    <mergeCell ref="C245:D245"/>
    <mergeCell ref="Y245:AB245"/>
    <mergeCell ref="C246:D246"/>
    <mergeCell ref="Y246:AB246"/>
    <mergeCell ref="C247:D247"/>
    <mergeCell ref="Y247:AB247"/>
    <mergeCell ref="C242:D242"/>
    <mergeCell ref="Y242:AB242"/>
    <mergeCell ref="C243:D243"/>
    <mergeCell ref="Y243:AB243"/>
    <mergeCell ref="C244:D244"/>
    <mergeCell ref="Y244:AB244"/>
    <mergeCell ref="C251:D251"/>
    <mergeCell ref="Y251:AB251"/>
    <mergeCell ref="C252:D252"/>
    <mergeCell ref="Y252:AB252"/>
    <mergeCell ref="C253:D253"/>
    <mergeCell ref="Y253:AB253"/>
    <mergeCell ref="C248:D248"/>
    <mergeCell ref="Y248:AB248"/>
    <mergeCell ref="C249:D249"/>
    <mergeCell ref="Y249:AB249"/>
    <mergeCell ref="C250:D250"/>
    <mergeCell ref="Y250:AB250"/>
    <mergeCell ref="C257:D257"/>
    <mergeCell ref="Y257:AB257"/>
    <mergeCell ref="B259:H259"/>
    <mergeCell ref="J259:K259"/>
    <mergeCell ref="M259:N259"/>
    <mergeCell ref="P259:Q259"/>
    <mergeCell ref="S259:T259"/>
    <mergeCell ref="V259:W259"/>
    <mergeCell ref="C254:D254"/>
    <mergeCell ref="Y254:AB254"/>
    <mergeCell ref="C255:D255"/>
    <mergeCell ref="Y255:AB255"/>
    <mergeCell ref="C256:D256"/>
    <mergeCell ref="Y256:AB256"/>
    <mergeCell ref="C264:D264"/>
    <mergeCell ref="Y264:AB264"/>
    <mergeCell ref="C265:D265"/>
    <mergeCell ref="Y265:AB265"/>
    <mergeCell ref="C266:D266"/>
    <mergeCell ref="Y266:AB266"/>
    <mergeCell ref="B260:D260"/>
    <mergeCell ref="Y260:AB260"/>
    <mergeCell ref="B261:D261"/>
    <mergeCell ref="Y261:AB261"/>
    <mergeCell ref="C263:D263"/>
    <mergeCell ref="Y263:AB263"/>
    <mergeCell ref="C270:D270"/>
    <mergeCell ref="Y270:AB270"/>
    <mergeCell ref="C271:D271"/>
    <mergeCell ref="Y271:AB271"/>
    <mergeCell ref="C272:D272"/>
    <mergeCell ref="Y272:AB272"/>
    <mergeCell ref="C267:D267"/>
    <mergeCell ref="Y267:AB267"/>
    <mergeCell ref="C268:D268"/>
    <mergeCell ref="Y268:AB268"/>
    <mergeCell ref="C269:D269"/>
    <mergeCell ref="Y269:AB269"/>
    <mergeCell ref="C276:D276"/>
    <mergeCell ref="Y276:AB276"/>
    <mergeCell ref="C277:D277"/>
    <mergeCell ref="Y277:AB277"/>
    <mergeCell ref="C278:D278"/>
    <mergeCell ref="Y278:AB278"/>
    <mergeCell ref="C273:D273"/>
    <mergeCell ref="Y273:AB273"/>
    <mergeCell ref="C274:D274"/>
    <mergeCell ref="Y274:AB274"/>
    <mergeCell ref="C275:D275"/>
    <mergeCell ref="Y275:AB275"/>
    <mergeCell ref="C283:D283"/>
    <mergeCell ref="Y283:AB283"/>
    <mergeCell ref="C284:D284"/>
    <mergeCell ref="Y284:AB284"/>
    <mergeCell ref="C285:D285"/>
    <mergeCell ref="Y285:AB285"/>
    <mergeCell ref="C279:D279"/>
    <mergeCell ref="Y279:AB279"/>
    <mergeCell ref="C280:D280"/>
    <mergeCell ref="Y280:AB280"/>
    <mergeCell ref="C281:D281"/>
    <mergeCell ref="Y281:AB281"/>
    <mergeCell ref="C289:D289"/>
    <mergeCell ref="Y289:AB289"/>
    <mergeCell ref="C290:D290"/>
    <mergeCell ref="Y290:AB290"/>
    <mergeCell ref="C291:D291"/>
    <mergeCell ref="Y291:AB291"/>
    <mergeCell ref="C286:D286"/>
    <mergeCell ref="Y286:AB286"/>
    <mergeCell ref="C287:D287"/>
    <mergeCell ref="Y287:AB287"/>
    <mergeCell ref="C288:D288"/>
    <mergeCell ref="Y288:AB288"/>
    <mergeCell ref="C295:D295"/>
    <mergeCell ref="Y295:AB295"/>
    <mergeCell ref="C296:D296"/>
    <mergeCell ref="Y296:AB296"/>
    <mergeCell ref="C297:D297"/>
    <mergeCell ref="Y297:AB297"/>
    <mergeCell ref="C292:D292"/>
    <mergeCell ref="Y292:AB292"/>
    <mergeCell ref="C293:D293"/>
    <mergeCell ref="Y293:AB293"/>
    <mergeCell ref="C294:D294"/>
    <mergeCell ref="Y294:AB294"/>
    <mergeCell ref="C301:D301"/>
    <mergeCell ref="Y301:AB301"/>
    <mergeCell ref="C303:D303"/>
    <mergeCell ref="Y303:AB303"/>
    <mergeCell ref="C304:D304"/>
    <mergeCell ref="Y304:AB304"/>
    <mergeCell ref="C298:D298"/>
    <mergeCell ref="Y298:AB298"/>
    <mergeCell ref="C299:D299"/>
    <mergeCell ref="Y299:AB299"/>
    <mergeCell ref="C300:D300"/>
    <mergeCell ref="Y300:AB300"/>
    <mergeCell ref="C308:D308"/>
    <mergeCell ref="Y308:AB308"/>
    <mergeCell ref="C309:D309"/>
    <mergeCell ref="Y309:AB309"/>
    <mergeCell ref="C310:D310"/>
    <mergeCell ref="Y310:AB310"/>
    <mergeCell ref="C305:D305"/>
    <mergeCell ref="Y305:AB305"/>
    <mergeCell ref="C306:D306"/>
    <mergeCell ref="Y306:AB306"/>
    <mergeCell ref="C307:D307"/>
    <mergeCell ref="Y307:AB307"/>
    <mergeCell ref="C314:D314"/>
    <mergeCell ref="Y314:AB314"/>
    <mergeCell ref="C315:D315"/>
    <mergeCell ref="Y315:AB315"/>
    <mergeCell ref="C316:D316"/>
    <mergeCell ref="Y316:AB316"/>
    <mergeCell ref="C311:D311"/>
    <mergeCell ref="Y311:AB311"/>
    <mergeCell ref="C312:D312"/>
    <mergeCell ref="Y312:AB312"/>
    <mergeCell ref="C313:D313"/>
    <mergeCell ref="Y313:AB313"/>
    <mergeCell ref="C320:D320"/>
    <mergeCell ref="Y320:AB320"/>
    <mergeCell ref="C321:D321"/>
    <mergeCell ref="Y321:AB321"/>
    <mergeCell ref="C317:D317"/>
    <mergeCell ref="Y317:AB317"/>
    <mergeCell ref="C318:D318"/>
    <mergeCell ref="Y318:AB318"/>
    <mergeCell ref="C319:D319"/>
    <mergeCell ref="Y319:AB319"/>
  </mergeCells>
  <conditionalFormatting sqref="H123 K123 N123 Q123 T123 W123">
    <cfRule type="expression" dxfId="1445" priority="374">
      <formula>H$121&lt;&gt;"Cost as % commodity value"</formula>
    </cfRule>
  </conditionalFormatting>
  <conditionalFormatting sqref="N122">
    <cfRule type="expression" dxfId="1444" priority="372">
      <formula>$N$121="Cost as % commodity value"</formula>
    </cfRule>
  </conditionalFormatting>
  <conditionalFormatting sqref="G17">
    <cfRule type="expression" dxfId="1443" priority="371">
      <formula>IF(#REF!="","Population changed - check value")</formula>
    </cfRule>
  </conditionalFormatting>
  <conditionalFormatting sqref="K122">
    <cfRule type="expression" dxfId="1442" priority="370">
      <formula>$N$121="Cost as % commodity value"</formula>
    </cfRule>
  </conditionalFormatting>
  <conditionalFormatting sqref="H122 K122 N122 Q122 T122 W122">
    <cfRule type="expression" dxfId="1441" priority="369">
      <formula>H$121&lt;&gt;"Cost per facility"</formula>
    </cfRule>
  </conditionalFormatting>
  <conditionalFormatting sqref="O142:Q160 O162:Q180 O207:Q225 O227:Q245 O271:Q289 O291:Q309 O311:Q321 O261 O182:Q205 O104:Q140 O82:Q101 O262:Q269 O247:Q260 O102:P102 O103">
    <cfRule type="expression" dxfId="1440" priority="1">
      <formula>$H$7&lt;4</formula>
    </cfRule>
  </conditionalFormatting>
  <conditionalFormatting sqref="J135:K140 J142:K153">
    <cfRule type="expression" dxfId="1439" priority="193">
      <formula>$K$133&lt;1</formula>
    </cfRule>
  </conditionalFormatting>
  <conditionalFormatting sqref="P135:Q140 P142:Q153">
    <cfRule type="expression" dxfId="1438" priority="210">
      <formula>$Q$133&lt;1</formula>
    </cfRule>
  </conditionalFormatting>
  <conditionalFormatting sqref="J155:K160 J162:K173">
    <cfRule type="expression" dxfId="1437" priority="148">
      <formula>$K$133&lt;2</formula>
    </cfRule>
  </conditionalFormatting>
  <conditionalFormatting sqref="M155:N160 M162:N173">
    <cfRule type="expression" dxfId="1436" priority="208">
      <formula>$N$133&lt;2</formula>
    </cfRule>
  </conditionalFormatting>
  <conditionalFormatting sqref="P155:Q160 P162:Q173">
    <cfRule type="expression" dxfId="1435" priority="363">
      <formula>$Q$133&lt;2</formula>
    </cfRule>
  </conditionalFormatting>
  <conditionalFormatting sqref="J175:K180 J182:K193">
    <cfRule type="expression" dxfId="1434" priority="158">
      <formula>$K$133&lt;3</formula>
    </cfRule>
  </conditionalFormatting>
  <conditionalFormatting sqref="M175:N180 M182:N193">
    <cfRule type="expression" dxfId="1433" priority="362">
      <formula>$N$133&lt;3</formula>
    </cfRule>
  </conditionalFormatting>
  <conditionalFormatting sqref="P175:Q180 P182:Q193">
    <cfRule type="expression" dxfId="1432" priority="361">
      <formula>$Q$133&lt;3</formula>
    </cfRule>
  </conditionalFormatting>
  <conditionalFormatting sqref="J199:K205 J207:K217">
    <cfRule type="expression" dxfId="1431" priority="156">
      <formula>$K$197&lt;1</formula>
    </cfRule>
  </conditionalFormatting>
  <conditionalFormatting sqref="M199:N205 M207:N217">
    <cfRule type="expression" dxfId="1430" priority="359">
      <formula>$N$197&lt;1</formula>
    </cfRule>
  </conditionalFormatting>
  <conditionalFormatting sqref="P199:Q205 P207:Q217">
    <cfRule type="expression" dxfId="1429" priority="358">
      <formula>$Q$197&lt;1</formula>
    </cfRule>
  </conditionalFormatting>
  <conditionalFormatting sqref="J219:K225 J227:K237">
    <cfRule type="expression" dxfId="1428" priority="154">
      <formula>$K$197&lt;2</formula>
    </cfRule>
  </conditionalFormatting>
  <conditionalFormatting sqref="M219:N225 M227:N237">
    <cfRule type="expression" dxfId="1427" priority="357">
      <formula>$N$197&lt;2</formula>
    </cfRule>
  </conditionalFormatting>
  <conditionalFormatting sqref="P219:Q225 P227:Q237">
    <cfRule type="expression" dxfId="1426" priority="356">
      <formula>$Q$197&lt;2</formula>
    </cfRule>
  </conditionalFormatting>
  <conditionalFormatting sqref="J239:K245 J247:K257">
    <cfRule type="expression" dxfId="1425" priority="152">
      <formula>$K$197&lt;3</formula>
    </cfRule>
  </conditionalFormatting>
  <conditionalFormatting sqref="M239:N245 M247:N257">
    <cfRule type="expression" dxfId="1424" priority="354">
      <formula>$N$197&lt;3</formula>
    </cfRule>
  </conditionalFormatting>
  <conditionalFormatting sqref="P239:Q245 P247:Q257">
    <cfRule type="expression" dxfId="1423" priority="353">
      <formula>$Q$197&lt;3</formula>
    </cfRule>
  </conditionalFormatting>
  <conditionalFormatting sqref="B199:B205 E199:H205 E207:H217 B207:B217">
    <cfRule type="expression" dxfId="1422" priority="351">
      <formula>MAX($H$197,$K$197,$N$197,$Q$197,$T$197,$W$197)&lt;1</formula>
    </cfRule>
  </conditionalFormatting>
  <conditionalFormatting sqref="B239:H245 B247:H257">
    <cfRule type="expression" dxfId="1421" priority="350">
      <formula>MAX($H$197,$K$197,$N$197,$Q$197,$T$197,$W$197)&lt;3</formula>
    </cfRule>
  </conditionalFormatting>
  <conditionalFormatting sqref="B155:B160 B162:B173">
    <cfRule type="expression" dxfId="1420" priority="346">
      <formula>MAX($H$133,$K$133,$N$133,$Q$133,$T$133,$W$133)&lt;2</formula>
    </cfRule>
  </conditionalFormatting>
  <conditionalFormatting sqref="B175:B180 B182:B193">
    <cfRule type="expression" dxfId="1419" priority="345">
      <formula>MAX($H$133,$K$133,$N$133,$Q$133,$T$133,$W$133)&lt;3</formula>
    </cfRule>
  </conditionalFormatting>
  <conditionalFormatting sqref="B219:H225 B227:H237">
    <cfRule type="expression" dxfId="1418" priority="344">
      <formula>MAX($H$197,$K$197,$N$197,$Q$197,$T$197,$W$197)&lt;2</formula>
    </cfRule>
  </conditionalFormatting>
  <conditionalFormatting sqref="H7">
    <cfRule type="expression" dxfId="1417" priority="342">
      <formula>OR(H7&lt;1,H7&gt;6)</formula>
    </cfRule>
  </conditionalFormatting>
  <conditionalFormatting sqref="H6:H7 H9:H12 H17:H19 H92:H93 H95:H97 K92:K99 N92:N99 Q92:Q99 T92:T99 W92:W99 H104 K104 H106:H109 K106:K109 N106:N109 Q106:Q116 T106:T116 W106:W116 K135 N135 Q135 T135 W135 K139:K140 N139:N140 Q139:Q140 T139:T140 W139:W140 K144 N144 Q144 T144 W144 K146 N146 Q146 T146 W146 K148:K152 N148:N152 Q148:Q152 T148:T152 W148:W152 K155 N155 Q155 T155 W155 K159:K160 N159:N160 Q159:Q160 T159:T160 W159:W160 K164 N164 Q164 T164 W164 K166 N166 Q166 T166 W166 K168:K172 N168:N172 Q168:Q172 T168:T172 W168:W172 K175 N175 Q175 T175 W175 K179:K180 N179:N180 Q179:Q180 T179:T180 W179:W180 K184 N184 Q184 T184 W184 K186 N186 Q186 T186 W186 K188:K192 N188:N192 Q188:Q192 T188:T192 W188:W192 K197 N197 Q197 T197 W197 K199 N199 Q199 T199 W199 N203:N204 Q203:Q204 T203:T204 W203:W204 N207 Q207 T207 W207 K207 K203:K204 K209 N209 Q209 T209 W209 K211 N211 Q211 T211 W211 K213:K217 N213:N217 Q213:Q217 T213:T217 W213:W217 K219 N219 Q219 T219 W219 K223:K224 N223:N224 Q223:Q224 T223:T224 W223:W224 K227 N227 Q227 T227 W227 K229 N229 Q229 T229 W229 K231 N231 Q231 T231 W231 K233:K237 N233:N237 Q233:Q237 T233:T237 W233:W237 K239 N239 Q239 T239 W239 K243:K244 N243:N244 Q243:Q244 T243:T244 W243:W244 K247 N247 Q247 T247 W247 K249 N249 Q249 T249 W249 K251 N251 Q251 T251 W251 K253:K257 N253:N257 Q253:Q257 T253:T257 W253:W257 K263 N263 Q263 T263 W263 K267:K268 N267:N268 Q267:Q268 T267:T268 W267:W268 K271 N271 Q271 T271 W271 K273 N273 Q273 T273 W273 K275 N275 Q275 T275 W275 K277:K281 N277:N281 Q277:Q281 T277:T281 W277:W281 K283 N283 Q283 T283 W283 K287:K288 N287:N288 Q287:Q288 T287:T288 W287:W288 K291 N291 Q291 T291 W291 K293 N293 Q293 T293 W293 K295 N295 Q295 T295 W295 K297:K301 N297:N301 Q297:Q301 T297:T301 W297:W301 K303 N303 Q303 T303 W303 K307:K308 N307:N308 Q307:Q308 T307:T308 W307:W308 K311 N311 Q311 T311 W311 K313 N313 Q313 T313 W313 K315 N315 Q315 T315 W315 K317:K321 N317:N321 Q317:Q321 T317:T321 W317:W321 N112:N116 K112:K116 H112:H116 N104 Q104 T104 W104 H99 W142 T142 Q142 N142 K142 W162 T162 Q162 N162 K162 W182 T182 Q182 N182 K182">
    <cfRule type="expression" dxfId="1416" priority="390">
      <formula>AND(ISTEXT(H6),H6&lt;&gt;"")</formula>
    </cfRule>
  </conditionalFormatting>
  <conditionalFormatting sqref="K94 N94 Q94 T94 W94">
    <cfRule type="expression" dxfId="1415" priority="343">
      <formula>K94&lt;0</formula>
    </cfRule>
  </conditionalFormatting>
  <conditionalFormatting sqref="H114:H116 K114:K116 N114:N116 Q114:Q116 T114:T116 W114:W116">
    <cfRule type="expression" dxfId="1414" priority="341">
      <formula>H114&lt;0</formula>
    </cfRule>
  </conditionalFormatting>
  <conditionalFormatting sqref="S135:T140 S142:T153">
    <cfRule type="expression" dxfId="1413" priority="339">
      <formula>$T$133&lt;1</formula>
    </cfRule>
  </conditionalFormatting>
  <conditionalFormatting sqref="S155:T160 S162:T173">
    <cfRule type="expression" dxfId="1412" priority="338">
      <formula>$T$133&lt;2</formula>
    </cfRule>
  </conditionalFormatting>
  <conditionalFormatting sqref="S175:T180 S182:T193">
    <cfRule type="expression" dxfId="1411" priority="337">
      <formula>$T$133&lt;3</formula>
    </cfRule>
  </conditionalFormatting>
  <conditionalFormatting sqref="S199:T205 S207:T217">
    <cfRule type="expression" dxfId="1410" priority="336">
      <formula>$T$197&lt;1</formula>
    </cfRule>
  </conditionalFormatting>
  <conditionalFormatting sqref="S219:T225 S227:T237">
    <cfRule type="expression" dxfId="1409" priority="335">
      <formula>$T$197&lt;2</formula>
    </cfRule>
  </conditionalFormatting>
  <conditionalFormatting sqref="S239:T245 S247:T257">
    <cfRule type="expression" dxfId="1408" priority="334">
      <formula>$T$197&lt;3</formula>
    </cfRule>
  </conditionalFormatting>
  <conditionalFormatting sqref="T94">
    <cfRule type="expression" dxfId="1407" priority="333">
      <formula>OR(S94&lt;0,S94&gt;1,ISTEXT(S94))</formula>
    </cfRule>
  </conditionalFormatting>
  <conditionalFormatting sqref="V135:W140 V142:W153">
    <cfRule type="expression" dxfId="1406" priority="332">
      <formula>$W$133&lt;1</formula>
    </cfRule>
  </conditionalFormatting>
  <conditionalFormatting sqref="V155:W160 V162:W173">
    <cfRule type="expression" dxfId="1405" priority="331">
      <formula>$W$133&lt;2</formula>
    </cfRule>
  </conditionalFormatting>
  <conditionalFormatting sqref="V175:W180 V182:W193">
    <cfRule type="expression" dxfId="1404" priority="330">
      <formula>$W$133&lt;3</formula>
    </cfRule>
  </conditionalFormatting>
  <conditionalFormatting sqref="V199:W205 V207:W217">
    <cfRule type="expression" dxfId="1403" priority="329">
      <formula>$W$197&lt;1</formula>
    </cfRule>
  </conditionalFormatting>
  <conditionalFormatting sqref="V219:W225 V227:W237">
    <cfRule type="expression" dxfId="1402" priority="328">
      <formula>$W$197&lt;2</formula>
    </cfRule>
  </conditionalFormatting>
  <conditionalFormatting sqref="V239:W245 V247:W257">
    <cfRule type="expression" dxfId="1401" priority="327">
      <formula>$W$197&lt;3</formula>
    </cfRule>
  </conditionalFormatting>
  <conditionalFormatting sqref="W94">
    <cfRule type="expression" dxfId="1400" priority="326">
      <formula>OR(V94&lt;0,V94&gt;1,ISTEXT(V94))</formula>
    </cfRule>
  </conditionalFormatting>
  <conditionalFormatting sqref="Q122">
    <cfRule type="expression" dxfId="1399" priority="340">
      <formula>$Q$121="Cost as % commodity value"</formula>
    </cfRule>
  </conditionalFormatting>
  <conditionalFormatting sqref="T122">
    <cfRule type="expression" dxfId="1398" priority="325">
      <formula>$T$121="Cost as % commodity value"</formula>
    </cfRule>
  </conditionalFormatting>
  <conditionalFormatting sqref="W122">
    <cfRule type="expression" dxfId="1397" priority="324">
      <formula>$W$121="Cost as % commodity value"</formula>
    </cfRule>
  </conditionalFormatting>
  <conditionalFormatting sqref="B135:C136 B137:B140 E135:H140 E142:H153 B142:B153">
    <cfRule type="expression" dxfId="1396" priority="322">
      <formula>MAX($H$133,$K$133,$N$133,$Q$133,$T$133,$W$133)&lt;1</formula>
    </cfRule>
  </conditionalFormatting>
  <conditionalFormatting sqref="L110:M111 L82:N101 L142:N160 L162:N180 L207:N225 L227:N245 L271:N289 L291:N309 L311:N321 L261 L197:N205 L196 L182:N195 L132:N140 L131 L112:N130 L262:N269 L247:N260 L104:N109 L102:M102 L103">
    <cfRule type="expression" dxfId="1395" priority="192">
      <formula>$H$7&lt;3</formula>
    </cfRule>
  </conditionalFormatting>
  <conditionalFormatting sqref="K129 J112:K128 J110:J111 J82:K101 J142:K160 J162:K180 J207:K225 J227:K245 J271:K289 J291:K309 J311:K321 J197:K205 J182:K195 J132:K140 J130:K130 J262:K269 J247:K260 J104:K109 J102">
    <cfRule type="expression" dxfId="1394" priority="147">
      <formula>$H$7&lt;2</formula>
    </cfRule>
  </conditionalFormatting>
  <conditionalFormatting sqref="R142:T160 R162:T180 R207:T225 R227:T245 R271:T289 R291:T309 R311:T321 R261 R182:T205 R104:T140 R82:T101 R262:T269 R247:T260 R102:S102 R103">
    <cfRule type="expression" dxfId="1393" priority="2">
      <formula>$H$7&lt;5</formula>
    </cfRule>
  </conditionalFormatting>
  <conditionalFormatting sqref="U142:W160 U162:W180 U207:W225 U227:W245 U271:W289 U291:W309 U311:W321 U261 U182:W205 U104:W140 U82:W101 U262:W269 U247:W260 U102:V102 U103">
    <cfRule type="expression" dxfId="1392" priority="202">
      <formula>$H$7&lt;6</formula>
    </cfRule>
  </conditionalFormatting>
  <conditionalFormatting sqref="V259">
    <cfRule type="expression" dxfId="1391" priority="318">
      <formula>$H$7&lt;2</formula>
    </cfRule>
  </conditionalFormatting>
  <conditionalFormatting sqref="C137">
    <cfRule type="expression" dxfId="1390" priority="315">
      <formula>MAX($H$133,$K$133,$N$133,$Q$133,$T$133,$W$133)&lt;1</formula>
    </cfRule>
  </conditionalFormatting>
  <conditionalFormatting sqref="C138">
    <cfRule type="expression" dxfId="1389" priority="314">
      <formula>MAX($H$133,$K$133,$N$133,$Q$133,$T$133,$W$133)&lt;1</formula>
    </cfRule>
  </conditionalFormatting>
  <conditionalFormatting sqref="C139">
    <cfRule type="expression" dxfId="1388" priority="313">
      <formula>MAX($H$133,$K$133,$N$133,$Q$133,$T$133,$W$133)&lt;1</formula>
    </cfRule>
  </conditionalFormatting>
  <conditionalFormatting sqref="C140">
    <cfRule type="expression" dxfId="1387" priority="312">
      <formula>MAX($H$133,$K$133,$N$133,$Q$133,$T$133,$W$133)&lt;1</formula>
    </cfRule>
  </conditionalFormatting>
  <conditionalFormatting sqref="C142">
    <cfRule type="expression" dxfId="1386" priority="311">
      <formula>MAX($H$133,$K$133,$N$133,$Q$133,$T$133,$W$133)&lt;1</formula>
    </cfRule>
  </conditionalFormatting>
  <conditionalFormatting sqref="C143">
    <cfRule type="expression" dxfId="1385" priority="310">
      <formula>MAX($H$133,$K$133,$N$133,$Q$133,$T$133,$W$133)&lt;1</formula>
    </cfRule>
  </conditionalFormatting>
  <conditionalFormatting sqref="C144">
    <cfRule type="expression" dxfId="1384" priority="309">
      <formula>MAX($H$133,$K$133,$N$133,$Q$133,$T$133,$W$133)&lt;1</formula>
    </cfRule>
  </conditionalFormatting>
  <conditionalFormatting sqref="C145">
    <cfRule type="expression" dxfId="1383" priority="308">
      <formula>MAX($H$133,$K$133,$N$133,$Q$133,$T$133,$W$133)&lt;1</formula>
    </cfRule>
  </conditionalFormatting>
  <conditionalFormatting sqref="C146">
    <cfRule type="expression" dxfId="1382" priority="307">
      <formula>MAX($H$133,$K$133,$N$133,$Q$133,$T$133,$W$133)&lt;1</formula>
    </cfRule>
  </conditionalFormatting>
  <conditionalFormatting sqref="C147">
    <cfRule type="expression" dxfId="1381" priority="306">
      <formula>MAX($H$133,$K$133,$N$133,$Q$133,$T$133,$W$133)&lt;1</formula>
    </cfRule>
  </conditionalFormatting>
  <conditionalFormatting sqref="C148">
    <cfRule type="expression" dxfId="1380" priority="305">
      <formula>MAX($H$133,$K$133,$N$133,$Q$133,$T$133,$W$133)&lt;1</formula>
    </cfRule>
  </conditionalFormatting>
  <conditionalFormatting sqref="C149">
    <cfRule type="expression" dxfId="1379" priority="304">
      <formula>MAX($H$133,$K$133,$N$133,$Q$133,$T$133,$W$133)&lt;1</formula>
    </cfRule>
  </conditionalFormatting>
  <conditionalFormatting sqref="C150">
    <cfRule type="expression" dxfId="1378" priority="303">
      <formula>MAX($H$133,$K$133,$N$133,$Q$133,$T$133,$W$133)&lt;1</formula>
    </cfRule>
  </conditionalFormatting>
  <conditionalFormatting sqref="C151">
    <cfRule type="expression" dxfId="1377" priority="302">
      <formula>MAX($H$133,$K$133,$N$133,$Q$133,$T$133,$W$133)&lt;1</formula>
    </cfRule>
  </conditionalFormatting>
  <conditionalFormatting sqref="C152">
    <cfRule type="expression" dxfId="1376" priority="301">
      <formula>MAX($H$133,$K$133,$N$133,$Q$133,$T$133,$W$133)&lt;1</formula>
    </cfRule>
  </conditionalFormatting>
  <conditionalFormatting sqref="C153">
    <cfRule type="expression" dxfId="1375" priority="300">
      <formula>MAX($H$133,$K$133,$N$133,$Q$133,$T$133,$W$133)&lt;1</formula>
    </cfRule>
  </conditionalFormatting>
  <conditionalFormatting sqref="C219:C220">
    <cfRule type="expression" dxfId="1374" priority="299">
      <formula>MAX($H$197,$K$197,$N$197,$Q$197,$T$197,$W$197)&lt;1</formula>
    </cfRule>
  </conditionalFormatting>
  <conditionalFormatting sqref="C221">
    <cfRule type="expression" dxfId="1373" priority="298">
      <formula>MAX($H$197,$K$197,$N$197,$Q$197,$T$197,$W$197)&lt;1</formula>
    </cfRule>
  </conditionalFormatting>
  <conditionalFormatting sqref="C222">
    <cfRule type="expression" dxfId="1372" priority="297">
      <formula>MAX($H$197,$K$197,$N$197,$Q$197,$T$197,$W$197)&lt;1</formula>
    </cfRule>
  </conditionalFormatting>
  <conditionalFormatting sqref="C223">
    <cfRule type="expression" dxfId="1371" priority="296">
      <formula>MAX($H$197,$K$197,$N$197,$Q$197,$T$197,$W$197)&lt;1</formula>
    </cfRule>
  </conditionalFormatting>
  <conditionalFormatting sqref="C224">
    <cfRule type="expression" dxfId="1370" priority="295">
      <formula>MAX($H$197,$K$197,$N$197,$Q$197,$T$197,$W$197)&lt;1</formula>
    </cfRule>
  </conditionalFormatting>
  <conditionalFormatting sqref="C225">
    <cfRule type="expression" dxfId="1369" priority="294">
      <formula>MAX($H$197,$K$197,$N$197,$Q$197,$T$197,$W$197)&lt;1</formula>
    </cfRule>
  </conditionalFormatting>
  <conditionalFormatting sqref="C227">
    <cfRule type="expression" dxfId="1368" priority="293">
      <formula>MAX($H$197,$K$197,$N$197,$Q$197,$T$197,$W$197)&lt;1</formula>
    </cfRule>
  </conditionalFormatting>
  <conditionalFormatting sqref="C228">
    <cfRule type="expression" dxfId="1367" priority="292">
      <formula>MAX($H$197,$K$197,$N$197,$Q$197,$T$197,$W$197)&lt;1</formula>
    </cfRule>
  </conditionalFormatting>
  <conditionalFormatting sqref="C229">
    <cfRule type="expression" dxfId="1366" priority="291">
      <formula>MAX($H$197,$K$197,$N$197,$Q$197,$T$197,$W$197)&lt;1</formula>
    </cfRule>
  </conditionalFormatting>
  <conditionalFormatting sqref="C230">
    <cfRule type="expression" dxfId="1365" priority="290">
      <formula>MAX($H$197,$K$197,$N$197,$Q$197,$T$197,$W$197)&lt;1</formula>
    </cfRule>
  </conditionalFormatting>
  <conditionalFormatting sqref="C231">
    <cfRule type="expression" dxfId="1364" priority="289">
      <formula>MAX($H$197,$K$197,$N$197,$Q$197,$T$197,$W$197)&lt;1</formula>
    </cfRule>
  </conditionalFormatting>
  <conditionalFormatting sqref="C232">
    <cfRule type="expression" dxfId="1363" priority="288">
      <formula>MAX($H$197,$K$197,$N$197,$Q$197,$T$197,$W$197)&lt;1</formula>
    </cfRule>
  </conditionalFormatting>
  <conditionalFormatting sqref="C233">
    <cfRule type="expression" dxfId="1362" priority="287">
      <formula>MAX($H$197,$K$197,$N$197,$Q$197,$T$197,$W$197)&lt;1</formula>
    </cfRule>
  </conditionalFormatting>
  <conditionalFormatting sqref="C234">
    <cfRule type="expression" dxfId="1361" priority="286">
      <formula>MAX($H$197,$K$197,$N$197,$Q$197,$T$197,$W$197)&lt;1</formula>
    </cfRule>
  </conditionalFormatting>
  <conditionalFormatting sqref="C235">
    <cfRule type="expression" dxfId="1360" priority="285">
      <formula>MAX($H$197,$K$197,$N$197,$Q$197,$T$197,$W$197)&lt;1</formula>
    </cfRule>
  </conditionalFormatting>
  <conditionalFormatting sqref="C236">
    <cfRule type="expression" dxfId="1359" priority="284">
      <formula>MAX($H$197,$K$197,$N$197,$Q$197,$T$197,$W$197)&lt;1</formula>
    </cfRule>
  </conditionalFormatting>
  <conditionalFormatting sqref="C237">
    <cfRule type="expression" dxfId="1358" priority="283">
      <formula>MAX($H$197,$K$197,$N$197,$Q$197,$T$197,$W$197)&lt;1</formula>
    </cfRule>
  </conditionalFormatting>
  <conditionalFormatting sqref="C239:C240">
    <cfRule type="expression" dxfId="1357" priority="282">
      <formula>MAX($H$197,$K$197,$N$197,$Q$197,$T$197,$W$197)&lt;1</formula>
    </cfRule>
  </conditionalFormatting>
  <conditionalFormatting sqref="C241">
    <cfRule type="expression" dxfId="1356" priority="281">
      <formula>MAX($H$197,$K$197,$N$197,$Q$197,$T$197,$W$197)&lt;1</formula>
    </cfRule>
  </conditionalFormatting>
  <conditionalFormatting sqref="C242">
    <cfRule type="expression" dxfId="1355" priority="280">
      <formula>MAX($H$197,$K$197,$N$197,$Q$197,$T$197,$W$197)&lt;1</formula>
    </cfRule>
  </conditionalFormatting>
  <conditionalFormatting sqref="C243">
    <cfRule type="expression" dxfId="1354" priority="279">
      <formula>MAX($H$197,$K$197,$N$197,$Q$197,$T$197,$W$197)&lt;1</formula>
    </cfRule>
  </conditionalFormatting>
  <conditionalFormatting sqref="C244">
    <cfRule type="expression" dxfId="1353" priority="278">
      <formula>MAX($H$197,$K$197,$N$197,$Q$197,$T$197,$W$197)&lt;1</formula>
    </cfRule>
  </conditionalFormatting>
  <conditionalFormatting sqref="C245">
    <cfRule type="expression" dxfId="1352" priority="277">
      <formula>MAX($H$197,$K$197,$N$197,$Q$197,$T$197,$W$197)&lt;1</formula>
    </cfRule>
  </conditionalFormatting>
  <conditionalFormatting sqref="C247">
    <cfRule type="expression" dxfId="1351" priority="276">
      <formula>MAX($H$197,$K$197,$N$197,$Q$197,$T$197,$W$197)&lt;1</formula>
    </cfRule>
  </conditionalFormatting>
  <conditionalFormatting sqref="C248">
    <cfRule type="expression" dxfId="1350" priority="275">
      <formula>MAX($H$197,$K$197,$N$197,$Q$197,$T$197,$W$197)&lt;1</formula>
    </cfRule>
  </conditionalFormatting>
  <conditionalFormatting sqref="C249">
    <cfRule type="expression" dxfId="1349" priority="274">
      <formula>MAX($H$197,$K$197,$N$197,$Q$197,$T$197,$W$197)&lt;1</formula>
    </cfRule>
  </conditionalFormatting>
  <conditionalFormatting sqref="C250">
    <cfRule type="expression" dxfId="1348" priority="273">
      <formula>MAX($H$197,$K$197,$N$197,$Q$197,$T$197,$W$197)&lt;1</formula>
    </cfRule>
  </conditionalFormatting>
  <conditionalFormatting sqref="C251">
    <cfRule type="expression" dxfId="1347" priority="272">
      <formula>MAX($H$197,$K$197,$N$197,$Q$197,$T$197,$W$197)&lt;1</formula>
    </cfRule>
  </conditionalFormatting>
  <conditionalFormatting sqref="C252">
    <cfRule type="expression" dxfId="1346" priority="271">
      <formula>MAX($H$197,$K$197,$N$197,$Q$197,$T$197,$W$197)&lt;1</formula>
    </cfRule>
  </conditionalFormatting>
  <conditionalFormatting sqref="C253">
    <cfRule type="expression" dxfId="1345" priority="270">
      <formula>MAX($H$197,$K$197,$N$197,$Q$197,$T$197,$W$197)&lt;1</formula>
    </cfRule>
  </conditionalFormatting>
  <conditionalFormatting sqref="C254">
    <cfRule type="expression" dxfId="1344" priority="269">
      <formula>MAX($H$197,$K$197,$N$197,$Q$197,$T$197,$W$197)&lt;1</formula>
    </cfRule>
  </conditionalFormatting>
  <conditionalFormatting sqref="C255">
    <cfRule type="expression" dxfId="1343" priority="268">
      <formula>MAX($H$197,$K$197,$N$197,$Q$197,$T$197,$W$197)&lt;1</formula>
    </cfRule>
  </conditionalFormatting>
  <conditionalFormatting sqref="C256">
    <cfRule type="expression" dxfId="1342" priority="267">
      <formula>MAX($H$197,$K$197,$N$197,$Q$197,$T$197,$W$197)&lt;1</formula>
    </cfRule>
  </conditionalFormatting>
  <conditionalFormatting sqref="C257">
    <cfRule type="expression" dxfId="1341" priority="266">
      <formula>MAX($H$197,$K$197,$N$197,$Q$197,$T$197,$W$197)&lt;1</formula>
    </cfRule>
  </conditionalFormatting>
  <conditionalFormatting sqref="C263:C264">
    <cfRule type="expression" dxfId="1340" priority="265">
      <formula>MAX($H$197,$K$197,$N$197,$Q$197,$T$197,$W$197)&lt;1</formula>
    </cfRule>
  </conditionalFormatting>
  <conditionalFormatting sqref="C265">
    <cfRule type="expression" dxfId="1339" priority="264">
      <formula>MAX($H$197,$K$197,$N$197,$Q$197,$T$197,$W$197)&lt;1</formula>
    </cfRule>
  </conditionalFormatting>
  <conditionalFormatting sqref="C266">
    <cfRule type="expression" dxfId="1338" priority="263">
      <formula>MAX($H$197,$K$197,$N$197,$Q$197,$T$197,$W$197)&lt;1</formula>
    </cfRule>
  </conditionalFormatting>
  <conditionalFormatting sqref="C267">
    <cfRule type="expression" dxfId="1337" priority="262">
      <formula>MAX($H$197,$K$197,$N$197,$Q$197,$T$197,$W$197)&lt;1</formula>
    </cfRule>
  </conditionalFormatting>
  <conditionalFormatting sqref="C268">
    <cfRule type="expression" dxfId="1336" priority="261">
      <formula>MAX($H$197,$K$197,$N$197,$Q$197,$T$197,$W$197)&lt;1</formula>
    </cfRule>
  </conditionalFormatting>
  <conditionalFormatting sqref="C269">
    <cfRule type="expression" dxfId="1335" priority="260">
      <formula>MAX($H$197,$K$197,$N$197,$Q$197,$T$197,$W$197)&lt;1</formula>
    </cfRule>
  </conditionalFormatting>
  <conditionalFormatting sqref="C271">
    <cfRule type="expression" dxfId="1334" priority="259">
      <formula>MAX($H$197,$K$197,$N$197,$Q$197,$T$197,$W$197)&lt;1</formula>
    </cfRule>
  </conditionalFormatting>
  <conditionalFormatting sqref="C272">
    <cfRule type="expression" dxfId="1333" priority="258">
      <formula>MAX($H$197,$K$197,$N$197,$Q$197,$T$197,$W$197)&lt;1</formula>
    </cfRule>
  </conditionalFormatting>
  <conditionalFormatting sqref="C273">
    <cfRule type="expression" dxfId="1332" priority="257">
      <formula>MAX($H$197,$K$197,$N$197,$Q$197,$T$197,$W$197)&lt;1</formula>
    </cfRule>
  </conditionalFormatting>
  <conditionalFormatting sqref="C274">
    <cfRule type="expression" dxfId="1331" priority="256">
      <formula>MAX($H$197,$K$197,$N$197,$Q$197,$T$197,$W$197)&lt;1</formula>
    </cfRule>
  </conditionalFormatting>
  <conditionalFormatting sqref="C275">
    <cfRule type="expression" dxfId="1330" priority="255">
      <formula>MAX($H$197,$K$197,$N$197,$Q$197,$T$197,$W$197)&lt;1</formula>
    </cfRule>
  </conditionalFormatting>
  <conditionalFormatting sqref="C276">
    <cfRule type="expression" dxfId="1329" priority="254">
      <formula>MAX($H$197,$K$197,$N$197,$Q$197,$T$197,$W$197)&lt;1</formula>
    </cfRule>
  </conditionalFormatting>
  <conditionalFormatting sqref="C277">
    <cfRule type="expression" dxfId="1328" priority="253">
      <formula>MAX($H$197,$K$197,$N$197,$Q$197,$T$197,$W$197)&lt;1</formula>
    </cfRule>
  </conditionalFormatting>
  <conditionalFormatting sqref="C278">
    <cfRule type="expression" dxfId="1327" priority="252">
      <formula>MAX($H$197,$K$197,$N$197,$Q$197,$T$197,$W$197)&lt;1</formula>
    </cfRule>
  </conditionalFormatting>
  <conditionalFormatting sqref="C279">
    <cfRule type="expression" dxfId="1326" priority="251">
      <formula>MAX($H$197,$K$197,$N$197,$Q$197,$T$197,$W$197)&lt;1</formula>
    </cfRule>
  </conditionalFormatting>
  <conditionalFormatting sqref="C280">
    <cfRule type="expression" dxfId="1325" priority="250">
      <formula>MAX($H$197,$K$197,$N$197,$Q$197,$T$197,$W$197)&lt;1</formula>
    </cfRule>
  </conditionalFormatting>
  <conditionalFormatting sqref="C281">
    <cfRule type="expression" dxfId="1324" priority="249">
      <formula>MAX($H$197,$K$197,$N$197,$Q$197,$T$197,$W$197)&lt;1</formula>
    </cfRule>
  </conditionalFormatting>
  <conditionalFormatting sqref="C283:C284">
    <cfRule type="expression" dxfId="1323" priority="248">
      <formula>MAX($H$197,$K$197,$N$197,$Q$197,$T$197,$W$197)&lt;1</formula>
    </cfRule>
  </conditionalFormatting>
  <conditionalFormatting sqref="C285">
    <cfRule type="expression" dxfId="1322" priority="247">
      <formula>MAX($H$197,$K$197,$N$197,$Q$197,$T$197,$W$197)&lt;1</formula>
    </cfRule>
  </conditionalFormatting>
  <conditionalFormatting sqref="C286">
    <cfRule type="expression" dxfId="1321" priority="246">
      <formula>MAX($H$197,$K$197,$N$197,$Q$197,$T$197,$W$197)&lt;1</formula>
    </cfRule>
  </conditionalFormatting>
  <conditionalFormatting sqref="C287">
    <cfRule type="expression" dxfId="1320" priority="245">
      <formula>MAX($H$197,$K$197,$N$197,$Q$197,$T$197,$W$197)&lt;1</formula>
    </cfRule>
  </conditionalFormatting>
  <conditionalFormatting sqref="C288">
    <cfRule type="expression" dxfId="1319" priority="244">
      <formula>MAX($H$197,$K$197,$N$197,$Q$197,$T$197,$W$197)&lt;1</formula>
    </cfRule>
  </conditionalFormatting>
  <conditionalFormatting sqref="C289">
    <cfRule type="expression" dxfId="1318" priority="243">
      <formula>MAX($H$197,$K$197,$N$197,$Q$197,$T$197,$W$197)&lt;1</formula>
    </cfRule>
  </conditionalFormatting>
  <conditionalFormatting sqref="C291">
    <cfRule type="expression" dxfId="1317" priority="242">
      <formula>MAX($H$197,$K$197,$N$197,$Q$197,$T$197,$W$197)&lt;1</formula>
    </cfRule>
  </conditionalFormatting>
  <conditionalFormatting sqref="C292">
    <cfRule type="expression" dxfId="1316" priority="241">
      <formula>MAX($H$197,$K$197,$N$197,$Q$197,$T$197,$W$197)&lt;1</formula>
    </cfRule>
  </conditionalFormatting>
  <conditionalFormatting sqref="C293">
    <cfRule type="expression" dxfId="1315" priority="240">
      <formula>MAX($H$197,$K$197,$N$197,$Q$197,$T$197,$W$197)&lt;1</formula>
    </cfRule>
  </conditionalFormatting>
  <conditionalFormatting sqref="C294">
    <cfRule type="expression" dxfId="1314" priority="239">
      <formula>MAX($H$197,$K$197,$N$197,$Q$197,$T$197,$W$197)&lt;1</formula>
    </cfRule>
  </conditionalFormatting>
  <conditionalFormatting sqref="C295">
    <cfRule type="expression" dxfId="1313" priority="238">
      <formula>MAX($H$197,$K$197,$N$197,$Q$197,$T$197,$W$197)&lt;1</formula>
    </cfRule>
  </conditionalFormatting>
  <conditionalFormatting sqref="C296">
    <cfRule type="expression" dxfId="1312" priority="237">
      <formula>MAX($H$197,$K$197,$N$197,$Q$197,$T$197,$W$197)&lt;1</formula>
    </cfRule>
  </conditionalFormatting>
  <conditionalFormatting sqref="C297">
    <cfRule type="expression" dxfId="1311" priority="236">
      <formula>MAX($H$197,$K$197,$N$197,$Q$197,$T$197,$W$197)&lt;1</formula>
    </cfRule>
  </conditionalFormatting>
  <conditionalFormatting sqref="C298">
    <cfRule type="expression" dxfId="1310" priority="235">
      <formula>MAX($H$197,$K$197,$N$197,$Q$197,$T$197,$W$197)&lt;1</formula>
    </cfRule>
  </conditionalFormatting>
  <conditionalFormatting sqref="C299">
    <cfRule type="expression" dxfId="1309" priority="234">
      <formula>MAX($H$197,$K$197,$N$197,$Q$197,$T$197,$W$197)&lt;1</formula>
    </cfRule>
  </conditionalFormatting>
  <conditionalFormatting sqref="C300">
    <cfRule type="expression" dxfId="1308" priority="233">
      <formula>MAX($H$197,$K$197,$N$197,$Q$197,$T$197,$W$197)&lt;1</formula>
    </cfRule>
  </conditionalFormatting>
  <conditionalFormatting sqref="C301">
    <cfRule type="expression" dxfId="1307" priority="232">
      <formula>MAX($H$197,$K$197,$N$197,$Q$197,$T$197,$W$197)&lt;1</formula>
    </cfRule>
  </conditionalFormatting>
  <conditionalFormatting sqref="C303:C304">
    <cfRule type="expression" dxfId="1306" priority="231">
      <formula>MAX($H$197,$K$197,$N$197,$Q$197,$T$197,$W$197)&lt;1</formula>
    </cfRule>
  </conditionalFormatting>
  <conditionalFormatting sqref="C305">
    <cfRule type="expression" dxfId="1305" priority="230">
      <formula>MAX($H$197,$K$197,$N$197,$Q$197,$T$197,$W$197)&lt;1</formula>
    </cfRule>
  </conditionalFormatting>
  <conditionalFormatting sqref="C306">
    <cfRule type="expression" dxfId="1304" priority="229">
      <formula>MAX($H$197,$K$197,$N$197,$Q$197,$T$197,$W$197)&lt;1</formula>
    </cfRule>
  </conditionalFormatting>
  <conditionalFormatting sqref="C307">
    <cfRule type="expression" dxfId="1303" priority="228">
      <formula>MAX($H$197,$K$197,$N$197,$Q$197,$T$197,$W$197)&lt;1</formula>
    </cfRule>
  </conditionalFormatting>
  <conditionalFormatting sqref="C308">
    <cfRule type="expression" dxfId="1302" priority="227">
      <formula>MAX($H$197,$K$197,$N$197,$Q$197,$T$197,$W$197)&lt;1</formula>
    </cfRule>
  </conditionalFormatting>
  <conditionalFormatting sqref="C309">
    <cfRule type="expression" dxfId="1301" priority="226">
      <formula>MAX($H$197,$K$197,$N$197,$Q$197,$T$197,$W$197)&lt;1</formula>
    </cfRule>
  </conditionalFormatting>
  <conditionalFormatting sqref="C311">
    <cfRule type="expression" dxfId="1300" priority="225">
      <formula>MAX($H$197,$K$197,$N$197,$Q$197,$T$197,$W$197)&lt;1</formula>
    </cfRule>
  </conditionalFormatting>
  <conditionalFormatting sqref="C312">
    <cfRule type="expression" dxfId="1299" priority="224">
      <formula>MAX($H$197,$K$197,$N$197,$Q$197,$T$197,$W$197)&lt;1</formula>
    </cfRule>
  </conditionalFormatting>
  <conditionalFormatting sqref="C313">
    <cfRule type="expression" dxfId="1298" priority="223">
      <formula>MAX($H$197,$K$197,$N$197,$Q$197,$T$197,$W$197)&lt;1</formula>
    </cfRule>
  </conditionalFormatting>
  <conditionalFormatting sqref="C314">
    <cfRule type="expression" dxfId="1297" priority="222">
      <formula>MAX($H$197,$K$197,$N$197,$Q$197,$T$197,$W$197)&lt;1</formula>
    </cfRule>
  </conditionalFormatting>
  <conditionalFormatting sqref="C315">
    <cfRule type="expression" dxfId="1296" priority="221">
      <formula>MAX($H$197,$K$197,$N$197,$Q$197,$T$197,$W$197)&lt;1</formula>
    </cfRule>
  </conditionalFormatting>
  <conditionalFormatting sqref="C316">
    <cfRule type="expression" dxfId="1295" priority="220">
      <formula>MAX($H$197,$K$197,$N$197,$Q$197,$T$197,$W$197)&lt;1</formula>
    </cfRule>
  </conditionalFormatting>
  <conditionalFormatting sqref="C317">
    <cfRule type="expression" dxfId="1294" priority="219">
      <formula>MAX($H$197,$K$197,$N$197,$Q$197,$T$197,$W$197)&lt;1</formula>
    </cfRule>
  </conditionalFormatting>
  <conditionalFormatting sqref="C318">
    <cfRule type="expression" dxfId="1293" priority="218">
      <formula>MAX($H$197,$K$197,$N$197,$Q$197,$T$197,$W$197)&lt;1</formula>
    </cfRule>
  </conditionalFormatting>
  <conditionalFormatting sqref="C319">
    <cfRule type="expression" dxfId="1292" priority="217">
      <formula>MAX($H$197,$K$197,$N$197,$Q$197,$T$197,$W$197)&lt;1</formula>
    </cfRule>
  </conditionalFormatting>
  <conditionalFormatting sqref="C320">
    <cfRule type="expression" dxfId="1291" priority="216">
      <formula>MAX($H$197,$K$197,$N$197,$Q$197,$T$197,$W$197)&lt;1</formula>
    </cfRule>
  </conditionalFormatting>
  <conditionalFormatting sqref="C321">
    <cfRule type="expression" dxfId="1290" priority="215">
      <formula>MAX($H$197,$K$197,$N$197,$Q$197,$T$197,$W$197)&lt;1</formula>
    </cfRule>
  </conditionalFormatting>
  <conditionalFormatting sqref="H28:H38 K28:K38">
    <cfRule type="expression" dxfId="1289" priority="214">
      <formula>AND(H28="",$F28&gt;0)</formula>
    </cfRule>
  </conditionalFormatting>
  <conditionalFormatting sqref="H43:H78">
    <cfRule type="expression" dxfId="1288" priority="213">
      <formula>AND(OR(H43="",H43="#"),E43&gt;0)</formula>
    </cfRule>
  </conditionalFormatting>
  <conditionalFormatting sqref="H6 H9:H12 H19 H92 K92 N92 Q92 T92 W92 H95:H96 K95:K96 N95:N96 Q95:Q96 T95:T96 W95:W96 K98 N98 Q98 T98 W98 H104 K104 N104 Q104 T104 W104 H108 K108 N108 Q108 T108 W108 K151:K152 N151:N152 Q151:Q152 T151:T152 W151:W152 K171:K172 N171:N172 Q171:Q172 T171:T172 W171:W172 K191:K192 N191:N192 Q191:Q192 T191:T192 W191:W192 K216:K217 N216:N217 Q216:Q217 T216:T217 W216:W217 K236:K237 N236:N237 Q236:Q237 T236:T237 W236:W237 K256:K257 N256:N257 Q256:Q257 T256:T257 W256:W257 K280:K281 N280:N281 Q280:Q281 T280:T281 W280:W281 K300:K301 N300:N301 Q300:Q301 T300:T301 W300:W301 K320:K321 N320:N321 Q320:Q321 T320:T321 W320:W321">
    <cfRule type="expression" dxfId="1287" priority="373">
      <formula>H6&lt;=0</formula>
    </cfRule>
  </conditionalFormatting>
  <conditionalFormatting sqref="G87 J87 M87 P87 S87 V87">
    <cfRule type="expression" dxfId="1286" priority="321">
      <formula>AND(ISBLANK(G87),NOT(ISBLANK(G86)))</formula>
    </cfRule>
  </conditionalFormatting>
  <conditionalFormatting sqref="P86 G86 J86 M86 S86 V86">
    <cfRule type="expression" dxfId="1285" priority="212">
      <formula>OR(AND(ISBLANK(G86),NOT(ISBLANK(G87))),AND(NOT(ISBLANK(G86)),IFERROR(INDIRECT("'"&amp;G86&amp;"'!A1"),TRUE)))</formula>
    </cfRule>
  </conditionalFormatting>
  <conditionalFormatting sqref="H88 K88 N88 Q88 T88 W88">
    <cfRule type="expression" dxfId="1284" priority="360">
      <formula>H88=""</formula>
    </cfRule>
  </conditionalFormatting>
  <conditionalFormatting sqref="M135:N140 M142:N153">
    <cfRule type="expression" dxfId="1283" priority="319">
      <formula>$N$133&lt;1</formula>
    </cfRule>
  </conditionalFormatting>
  <conditionalFormatting sqref="K133 N133 Q133 T133 W133 K197 N197 Q197 T197 W197 K260 N260 Q260 T260 W260">
    <cfRule type="expression" dxfId="1282" priority="203">
      <formula>AND(K133=0,J133="")</formula>
    </cfRule>
    <cfRule type="expression" dxfId="1281" priority="320">
      <formula>OR(K133&lt;0,K133&gt;3)</formula>
    </cfRule>
  </conditionalFormatting>
  <conditionalFormatting sqref="H8 H17:H18 H21 H27:H38 K27:K38 H43:H78 H93:H94 K93:K94 N93:N94 Q93:Q94 T93:T94 W93:W94 K99 N99 Q99 T99 W99 H106:H107 K106:K107 N106:N107 Q106:Q107 T106:T107 W106:W107 H109:H116 K109:K116 N109:N116 Q109:Q116 T109:T116 W109:W116 H122:H123 K122:K123 N122:N123 Q122:Q123 T122:T123 W122:W123 K133 N133 Q133 T133 W133 K135 N135 Q135 T135 W135 K139:K140 N139:N140 Q139:Q140 T139:T140 W139:W140 K144 N144 Q144 T144 W144 K146 N146 Q146 T146 W146 K148:K150 N148:N150 Q148:Q150 T148:T150 W148:W150 K155 N155 Q155 T155 W155 K159:K160 N159:N160 Q159:Q160 T159:T160 W159:W160 K164 N164 Q164 T164 W164 K166 N166 Q166 T166 W166 K168:K170 N168:N170 Q168:Q170 T168:T170 W168:W170 K175 N175 Q175 T175 W175 K179:K180 N179:N180 Q179:Q180 T179:T180 W179:W180 K184 N184 Q184 T184 W184 K186 N186 Q186 T186 W186 K188:K190 N188:N190 Q188:Q190 T188:T190 W188:W190 K199 N199 Q199 T199 W199 K203:K204 N203:N204 Q203:Q204 T203:T204 W203:W204 K207 N207 Q207 T207 W207 K209 N209 Q209 T209 W209 K211 N211 Q211 T211 W211 K213:K215 N213:N215 Q213:Q215 T213:T215 W213:W215 K219 N219 Q219 T219 W219 K223:K224 N223:N224 Q223:Q224 T223:T224 W223:W224 K227 N227 Q227 T227 W227 K229 N229 Q229 T229 W229 K231 N231 Q231 T231 W231 K233:K235 N233:N235 Q233:Q235 T233:T235 W233:W235 K239 N239 Q239 T239 W239 K243:K244 N243:N244 Q243:Q244 T243:T244 W243:W244 K247 N247 Q247 T247 W247 K249 N249 Q249 T249 W249 K251 N251 Q251 T251 W251 K253:K255 N253:N255 Q253:Q255 T253:T255 W253:W255 K263 N263 Q263 T263 W263 K267:K268 N267:N268 Q267:Q268 T267:T268 W267:W268 K271 N271 Q271 T271 W271 K273 N273 Q273 T273 W273 K275 N275 Q275 T275 W275 K277:K279 N277:N279 Q277:Q279 T277:T279 W277:W279 K283 N283 Q283 T283 W283 K287:K288 N287:N288 Q287:Q288 T287:T288 W287:W288 K291 N291 Q291 T291 W291 K293 N293 Q293 T293 W293 K295 N295 Q295 T295 W295 K297:K299 N297:N299 Q297:Q299 T297:T299 W297:W299 K303 N303 Q303 T303 W303 K307:K308 N307:N308 Q307:Q308 T307:T308 W307:W308 K311 N311 Q311 T311 W311 K313 N313 Q313 T313 W313 K315 N315 Q315 T315 W315 K317:K319 N317:N319 Q317:Q319 T317:T319 W317:W319 W142 T142 Q142 N142 K142 W162 T162 Q162 N162 K162 W182 T182 Q182 N182 K182">
    <cfRule type="expression" dxfId="1280" priority="391">
      <formula>H8&lt;0</formula>
    </cfRule>
  </conditionalFormatting>
  <conditionalFormatting sqref="H99">
    <cfRule type="expression" dxfId="1279" priority="204">
      <formula>$H$7&lt;2</formula>
    </cfRule>
  </conditionalFormatting>
  <conditionalFormatting sqref="H99">
    <cfRule type="expression" dxfId="1278" priority="205">
      <formula>H99&lt;0</formula>
    </cfRule>
  </conditionalFormatting>
  <conditionalFormatting sqref="H6:H12 H17:H20 H92:H93 H95:H97 H99 K92:K99 N92:N99 Q92:Q99 T92:T99 W92:W99 K133 N133 Q133 T133 W133 K135:K136 N135:N136 Q135:Q136 T135:T136 W135:W136 K155:K156 N155:N156 Q155:Q156 T155:T156 W155:W156 K175:K176 N175:N176 Q175:Q176 T175:T176 W175:W176 K197 N197 Q197 T197 W197 K199:K200 N199:N200 Q199:Q200 T199:T200 W199:W200 K219:K220 N219:N220 Q219:Q220 T219:T220 W219:W220 K239:K240 N239:N240 Q239:Q240 T239:T240 W239:W240 K260 N260 Q260 T260 W260 K263:K264 N263:N264 Q263:Q264 T263:T264 W263:W264 K283:K284 N283:N284 Q283:Q284 T283:T284 W283:W284 K303:K304 N303:N304 Q303:Q304 T303:T304 W303:W304 K317:K319 N317:N319 Q317:Q319 T317:T319 W317:W319 W297:W299 T297:T299 Q297:Q299 N297:N299 K297:K299 K277:K279 N277:N279 Q277:Q279 T277:T279 W277:W279 W253:W255 T253:T255 Q253:Q255 N253:N255 K253:K255 K233:K235 N233:N235 Q233:Q235 T233:T235 W233:W235 W213:W215 T213:T215 Q213:Q215 N213:N215 K213:K215 K188:K190 N188:N190 Q188:Q190 T188:T190 W188:W190 W168:W170 T168:T170 Q168:Q170 N168:N170 K168:K170 K148:K150 N148:N150 Q148:Q150 T148:T150 W148:W150">
    <cfRule type="expression" dxfId="1277" priority="392">
      <formula>H6=""</formula>
    </cfRule>
  </conditionalFormatting>
  <conditionalFormatting sqref="H17:H18">
    <cfRule type="expression" dxfId="1276" priority="201">
      <formula>SUM($H$17:$H$18)=0</formula>
    </cfRule>
  </conditionalFormatting>
  <conditionalFormatting sqref="K137:K140 N137:N140 Q137:Q140 T137:T140 W137:W140 K151:K152 N151:N152 Q151:Q152 T151:T152 W151:W152">
    <cfRule type="expression" dxfId="1275" priority="197">
      <formula>OR(K$136="Public Transport 1",K$136="Public Transport 2")</formula>
    </cfRule>
  </conditionalFormatting>
  <conditionalFormatting sqref="J137:J140 M137:M140 P137:P140 S137:S140 V137:V140 J151:J152 M151:M152 P151:P152 S151:S152 V151:V152">
    <cfRule type="expression" dxfId="1274" priority="206">
      <formula>OR(K$136="Public Transport 1",K$136="Public Transport 2")</formula>
    </cfRule>
  </conditionalFormatting>
  <conditionalFormatting sqref="J144 M144 P144 S144 V144 J151 M151 P151 S151 V151">
    <cfRule type="expression" dxfId="1273" priority="200">
      <formula>AND(K$143&lt;&gt;"Route-based", K$143&lt;&gt;"")</formula>
    </cfRule>
  </conditionalFormatting>
  <conditionalFormatting sqref="K144 N144 Q144 T144 W144">
    <cfRule type="expression" dxfId="1272" priority="194">
      <formula>AND(K$143&lt;&gt;"Route-based", K$143&lt;&gt;"")</formula>
    </cfRule>
  </conditionalFormatting>
  <conditionalFormatting sqref="J147 M147 P147 S147 V147 J167 M167 P167 S167 V167 J187 M187 P187 S187 V187 J212 M212 P212 S212 V212 J232 M232 P232 S232 V232 J252 M252 P252 S252 V252 J276 M276 P276 S276 V276 J296 M296 P296 S296 V296 J316 M316 P316 S316 V316">
    <cfRule type="expression" dxfId="1271" priority="323">
      <formula>K146=0</formula>
    </cfRule>
  </conditionalFormatting>
  <conditionalFormatting sqref="K147 N147 Q147 T147 W147 K167 N167 Q167 T167 W167 K187 N187 Q187 T187 W187 K212 N212 Q212 T212 W212 K232 N232 Q232 T232 W232 K252 N252 Q252 T252 W252 K276 N276 Q276 T276 W276 K296 N296 Q296 T296 W296 K316 N316 Q316 T316 W316">
    <cfRule type="expression" dxfId="1270" priority="198">
      <formula>K146=0</formula>
    </cfRule>
  </conditionalFormatting>
  <conditionalFormatting sqref="K151 N151 Q151 T151 W151">
    <cfRule type="expression" dxfId="1269" priority="209">
      <formula>AND(K$143&lt;&gt;"Route-based",K$143&lt;&gt;"")</formula>
    </cfRule>
  </conditionalFormatting>
  <conditionalFormatting sqref="J138:J139 M138:M139 P138:P139 S138:S139 V138:V139">
    <cfRule type="expression" dxfId="1268" priority="196">
      <formula>AND(K$137&lt;&gt;"Rented",K$137&lt;&gt;"Contracted to 3PL",K$137&lt;&gt;"")</formula>
    </cfRule>
  </conditionalFormatting>
  <conditionalFormatting sqref="K138:K139 N138:N139 Q138:Q139 T138:T139 W138:W139">
    <cfRule type="expression" dxfId="1267" priority="195">
      <formula>AND(K$137&lt;&gt;"Rented",K$137&lt;&gt;"Contracted to 3PL",K$137&lt;&gt;"")</formula>
    </cfRule>
  </conditionalFormatting>
  <conditionalFormatting sqref="K144 N144 Q144 T144 W144 K164 N164 Q164 T164 W164 K184 N184 Q184 T184 W184 K209 N209 Q209 T209 W209 K229 N229 Q229 T229 W229 K249 N249 Q249 T249 W249 K273 N273 Q273 T273 W273 K293 N293 Q293 T293 W293 K313 N313 Q313 T313 W313">
    <cfRule type="expression" dxfId="1266" priority="199">
      <formula>AND(K143="Route-based",K144="")</formula>
    </cfRule>
  </conditionalFormatting>
  <conditionalFormatting sqref="J157:J160 J171:J172 M157:M160 M171:M172 P157:P160 P171:P172 S157:S160 S171:S172 V157:V160 V171:V172">
    <cfRule type="expression" dxfId="1265" priority="366">
      <formula>OR(K$156="Public Transport 1",K$156="Public Transport 2")</formula>
    </cfRule>
  </conditionalFormatting>
  <conditionalFormatting sqref="K157:K160 K171:K172 N157:N160 N171:N172 Q157:Q160 Q171:Q172 T157:T160 T171:T172 W157:W160 W171:W172">
    <cfRule type="expression" dxfId="1264" priority="364">
      <formula>OR(K$156="Public Transport 1",K$156="Public Transport 2")</formula>
    </cfRule>
  </conditionalFormatting>
  <conditionalFormatting sqref="J177:J180 M177:M180 P177:P180 S177:S180 V177:V180 J191:J192 M191:M192 P191:P192 S191:S192 V191:V192">
    <cfRule type="expression" dxfId="1263" priority="317">
      <formula>OR(K$176="Public Transport 1",K$176="Public Transport 2")</formula>
    </cfRule>
  </conditionalFormatting>
  <conditionalFormatting sqref="K177:K180 N177:N180 Q177:Q180 T177:T180 W177:W180 K191:K192 N191:N192 Q191:Q192 T191:T192 W191:W192">
    <cfRule type="expression" dxfId="1262" priority="190">
      <formula>OR(K$176="Public Transport 1",K$176="Public Transport 2")</formula>
    </cfRule>
  </conditionalFormatting>
  <conditionalFormatting sqref="J201:J205 M201:M205 P201:P205 S201:S205 V201:V205 J216:J217 M216:M217 P216:P217 S216:S217 V216:V217">
    <cfRule type="expression" dxfId="1261" priority="207">
      <formula>OR(K$200="Public Transport 1",K$200="Public Transport 2")</formula>
    </cfRule>
  </conditionalFormatting>
  <conditionalFormatting sqref="K201:K205 N201:N205 Q201:Q205 T201:T205 W201:W205 K216:K217 N216:N217 Q216:Q217 T216:T217 W216:W217">
    <cfRule type="expression" dxfId="1260" priority="188">
      <formula>OR(K$200="Public Transport 1",K$200="Public Transport 2")</formula>
    </cfRule>
  </conditionalFormatting>
  <conditionalFormatting sqref="J221:J225 M221:M225 P221:P225 S221:S225 V221:V225 J236:J237 M236:M237 P236:P237 S236:S237 V236:V237">
    <cfRule type="expression" dxfId="1259" priority="355">
      <formula>OR(K$220="Public Transport 1",K$220="Public Transport 2")</formula>
    </cfRule>
  </conditionalFormatting>
  <conditionalFormatting sqref="K221:K225 N221:N225 Q221:Q225 T221:T225 W221:W225 K236:K237 N236:N237 Q236:Q237 T236:T237 W236:W237">
    <cfRule type="expression" dxfId="1258" priority="186">
      <formula>OR(K$220="Public Transport 1",K$220="Public Transport 2")</formula>
    </cfRule>
  </conditionalFormatting>
  <conditionalFormatting sqref="J241:J245 M241:M245 P241:P245 S241:S245 V241:V245 J256:J257 M256:M257 P256:P257 S256:S257 V256:V257">
    <cfRule type="expression" dxfId="1257" priority="352">
      <formula>OR(K$240="Public Transport 1",K$240="Public Transport 2")</formula>
    </cfRule>
  </conditionalFormatting>
  <conditionalFormatting sqref="K241:K245 N241:N245 Q241:Q245 T241:T245 W241:W245 K256:K257 N256:N257 Q256:Q257 T256:T257 W256:W257">
    <cfRule type="expression" dxfId="1256" priority="184">
      <formula>OR(K$240="Public Transport 1",K$240="Public Transport 2")</formula>
    </cfRule>
  </conditionalFormatting>
  <conditionalFormatting sqref="J265:J269 M265:M269 P265:P269 S265:S269 V265:V269 J280:J281 M280:M281 P280:P281 S280:S281 V280:V281">
    <cfRule type="expression" dxfId="1255" priority="349">
      <formula>OR(K$264="Public Transport 1",K$264="Public Transport 2")</formula>
    </cfRule>
  </conditionalFormatting>
  <conditionalFormatting sqref="K265:K269 N265:N269 Q265:Q269 T265:T269 W265:W269 K280:K281 N280:N281 Q280:Q281 T280:T281 W280:W281">
    <cfRule type="expression" dxfId="1254" priority="182">
      <formula>OR(K$264="Public Transport 1",K$264="Public Transport 2")</formula>
    </cfRule>
  </conditionalFormatting>
  <conditionalFormatting sqref="J285:J289 M285:M289 P285:P289 S285:S289 V285:V289 J300:J301 M300:M301 P300:P301 S300:S301 V300:V301">
    <cfRule type="expression" dxfId="1253" priority="348">
      <formula>OR(K$284="Public Transport 1",K$284="Public Transport 2")</formula>
    </cfRule>
  </conditionalFormatting>
  <conditionalFormatting sqref="K285:K289 N285:N289 Q285:Q289 T285:T289 W285:W289 K300:K301 N300:N301 Q300:Q301 T300:T301 W300:W301">
    <cfRule type="expression" dxfId="1252" priority="180">
      <formula>OR(K$284="Public Transport 1",K$284="Public Transport 2")</formula>
    </cfRule>
  </conditionalFormatting>
  <conditionalFormatting sqref="J305:J309 M305:M309 P305:P309 S305:S309 V305:V309 J320:J321 M320:M321 P320:P321 S320:S321 V320:V321">
    <cfRule type="expression" dxfId="1251" priority="347">
      <formula>OR(K$304="Public Transport 1",K$304="Public Transport 2")</formula>
    </cfRule>
  </conditionalFormatting>
  <conditionalFormatting sqref="K305:K309 N305:N309 Q305:Q309 T305:T309 W305:W309 K320:K321 N320:N321 Q320:Q321 T320:T321 W320:W321">
    <cfRule type="expression" dxfId="1250" priority="178">
      <formula>OR(K$304="Public Transport 1",K$304="Public Transport 2")</formula>
    </cfRule>
  </conditionalFormatting>
  <conditionalFormatting sqref="J158:J159 M158:M159 P158:P159 S158:S159 V158:V159">
    <cfRule type="expression" dxfId="1249" priority="191">
      <formula>AND(K$157&lt;&gt;"Rented",K$157&lt;&gt;"Contracted to 3PL",K$157&lt;&gt;"")</formula>
    </cfRule>
  </conditionalFormatting>
  <conditionalFormatting sqref="K158:K159 N158:N159 Q158:Q159 T158:T159 W158:W159">
    <cfRule type="expression" dxfId="1248" priority="176">
      <formula>AND(K$157&lt;&gt;"Rented",K$157&lt;&gt;"Contracted to 3PL",K$157&lt;&gt;"")</formula>
    </cfRule>
  </conditionalFormatting>
  <conditionalFormatting sqref="J178:J179 M178:M179 P178:P179 S178:S179 V178:V179">
    <cfRule type="expression" dxfId="1247" priority="189">
      <formula>AND(K$177&lt;&gt;"Rented",K$177&lt;&gt;"Contracted to 3PL",K$177&lt;&gt;"")</formula>
    </cfRule>
  </conditionalFormatting>
  <conditionalFormatting sqref="K178:K179 N178:N179 Q178:Q179 T178:T179 W178:W179">
    <cfRule type="expression" dxfId="1246" priority="174">
      <formula>AND(K$177&lt;&gt;"Rented",K$177&lt;&gt;"Contracted to 3PL",K$177&lt;&gt;"")</formula>
    </cfRule>
  </conditionalFormatting>
  <conditionalFormatting sqref="J202:J203 M202:M203 P202:P203 S202:S203 V202:V203">
    <cfRule type="expression" dxfId="1245" priority="187">
      <formula>AND(K$201&lt;&gt;"Rented",K$201&lt;&gt;"Contracted to 3PL",K$201&lt;&gt;"")</formula>
    </cfRule>
  </conditionalFormatting>
  <conditionalFormatting sqref="K202:K203 N202:N203 Q202:Q203 T202:T203 W202:W203">
    <cfRule type="expression" dxfId="1244" priority="172">
      <formula>AND(K$201&lt;&gt;"Rented",K$201&lt;&gt;"Contracted to 3PL",K$201&lt;&gt;"")</formula>
    </cfRule>
  </conditionalFormatting>
  <conditionalFormatting sqref="J222:J223 M222:M223 P222:P223 S222:S223 V222:V223">
    <cfRule type="expression" dxfId="1243" priority="185">
      <formula>AND(K$221&lt;&gt;"Rented",K$221&lt;&gt;"Contracted to 3PL",K$221&lt;&gt;"")</formula>
    </cfRule>
  </conditionalFormatting>
  <conditionalFormatting sqref="K222:K223 N222:N223 Q222:Q223 T222:T223 W222:W223">
    <cfRule type="expression" dxfId="1242" priority="170">
      <formula>AND(K$221&lt;&gt;"Rented",K$221&lt;&gt;"Contracted to 3PL",K$221&lt;&gt;"")</formula>
    </cfRule>
  </conditionalFormatting>
  <conditionalFormatting sqref="J242:J243 M242:M243 P242:P243 S242:S243 V242:V243">
    <cfRule type="expression" dxfId="1241" priority="183">
      <formula>AND(K$241&lt;&gt;"Rented",K$241&lt;&gt;"Contracted to 3PL",K$241&lt;&gt;"")</formula>
    </cfRule>
  </conditionalFormatting>
  <conditionalFormatting sqref="K242:K243 N242:N243 Q242:Q243 T242:T243 W242:W243">
    <cfRule type="expression" dxfId="1240" priority="168">
      <formula>AND(K$241&lt;&gt;"Rented",K$241&lt;&gt;"Contracted to 3PL",K$241&lt;&gt;"")</formula>
    </cfRule>
  </conditionalFormatting>
  <conditionalFormatting sqref="J266:J267 M266:M267 P266:P267 S266:S267 V266:V267">
    <cfRule type="expression" dxfId="1239" priority="181">
      <formula>AND(K$265&lt;&gt;"Rented",K$265&lt;&gt;"Contracted to 3PL",K$265&lt;&gt;"")</formula>
    </cfRule>
  </conditionalFormatting>
  <conditionalFormatting sqref="K266:K267 N266:N267 Q266:Q267 T266:T267 W266:W267">
    <cfRule type="expression" dxfId="1238" priority="166">
      <formula>AND(K$265&lt;&gt;"Rented",K$265&lt;&gt;"Contracted to 3PL",K$265&lt;&gt;"")</formula>
    </cfRule>
  </conditionalFormatting>
  <conditionalFormatting sqref="J286:J287 M286:M287 P286:P287 S286:S287 V286:V287">
    <cfRule type="expression" dxfId="1237" priority="179">
      <formula>AND(K$285&lt;&gt;"Rented",K$285&lt;&gt;"Contracted to 3PL",K$285&lt;&gt;"")</formula>
    </cfRule>
  </conditionalFormatting>
  <conditionalFormatting sqref="K286:K287 N286:N287 Q286:Q287 T286:T287 W286:W287">
    <cfRule type="expression" dxfId="1236" priority="164">
      <formula>AND(K$285&lt;&gt;"Rented",K$285&lt;&gt;"Contracted to 3PL",K$285&lt;&gt;"")</formula>
    </cfRule>
  </conditionalFormatting>
  <conditionalFormatting sqref="J306:J307 M306:M307 P306:P307 S306:S307 V306:V307">
    <cfRule type="expression" dxfId="1235" priority="177">
      <formula>AND(K$305&lt;&gt;"Rented",K$305&lt;&gt;"Contracted to 3PL",K$305&lt;&gt;"")</formula>
    </cfRule>
  </conditionalFormatting>
  <conditionalFormatting sqref="K306:K307 N306:N307 Q306:Q307 T306:T307 W306:W307">
    <cfRule type="expression" dxfId="1234" priority="162">
      <formula>AND(K$305&lt;&gt;"Rented",K$305&lt;&gt;"Contracted to 3PL",K$305&lt;&gt;"")</formula>
    </cfRule>
  </conditionalFormatting>
  <conditionalFormatting sqref="J164 M164 P164 S164 V164">
    <cfRule type="expression" dxfId="1233" priority="175">
      <formula>AND(K$163&lt;&gt;"Route-based", K$163&lt;&gt;"")</formula>
    </cfRule>
  </conditionalFormatting>
  <conditionalFormatting sqref="K164 N164 Q164 T164 W164">
    <cfRule type="expression" dxfId="1232" priority="160">
      <formula>AND(K$163&lt;&gt;"Route-based", K$163&lt;&gt;"")</formula>
    </cfRule>
  </conditionalFormatting>
  <conditionalFormatting sqref="J184 M184 P184 S184 V184">
    <cfRule type="expression" dxfId="1231" priority="173">
      <formula>AND(K$183&lt;&gt;"Route-based", K$183&lt;&gt;"")</formula>
    </cfRule>
  </conditionalFormatting>
  <conditionalFormatting sqref="K184 N184 Q184 T184 W184">
    <cfRule type="expression" dxfId="1230" priority="159">
      <formula>AND(K$183&lt;&gt;"Route-based", K$183&lt;&gt;"")</formula>
    </cfRule>
  </conditionalFormatting>
  <conditionalFormatting sqref="J209 M209 P209 S209 V209">
    <cfRule type="expression" dxfId="1229" priority="171">
      <formula>AND(K$208&lt;&gt;"Route-based", K$208&lt;&gt;"")</formula>
    </cfRule>
  </conditionalFormatting>
  <conditionalFormatting sqref="K209 N209 Q209 T209 W209">
    <cfRule type="expression" dxfId="1228" priority="157">
      <formula>AND(K$208&lt;&gt;"Route-based", K$208&lt;&gt;"")</formula>
    </cfRule>
  </conditionalFormatting>
  <conditionalFormatting sqref="J229 M229 P229 S229 V229">
    <cfRule type="expression" dxfId="1227" priority="169">
      <formula>AND(K$228&lt;&gt;"Route-based", K$228&lt;&gt;"")</formula>
    </cfRule>
  </conditionalFormatting>
  <conditionalFormatting sqref="K229 N229 Q229 T229 W229">
    <cfRule type="expression" dxfId="1226" priority="155">
      <formula>AND(K$228&lt;&gt;"Route-based", K$228&lt;&gt;"")</formula>
    </cfRule>
  </conditionalFormatting>
  <conditionalFormatting sqref="J249 M249 P249 S249 V249">
    <cfRule type="expression" dxfId="1225" priority="167">
      <formula>AND(K$248&lt;&gt;"Route-based", K$248&lt;&gt;"")</formula>
    </cfRule>
  </conditionalFormatting>
  <conditionalFormatting sqref="K249 N249 Q249 T249 W249">
    <cfRule type="expression" dxfId="1224" priority="153">
      <formula>AND(K$248&lt;&gt;"Route-based", K$248&lt;&gt;"")</formula>
    </cfRule>
  </conditionalFormatting>
  <conditionalFormatting sqref="J273 M273 P273 S273 V273">
    <cfRule type="expression" dxfId="1223" priority="165">
      <formula>AND(K$272&lt;&gt;"Route-based", K$272&lt;&gt;"")</formula>
    </cfRule>
  </conditionalFormatting>
  <conditionalFormatting sqref="K273 N273 Q273 T273 W273">
    <cfRule type="expression" dxfId="1222" priority="151">
      <formula>AND(K$272&lt;&gt;"Route-based", K$272&lt;&gt;"")</formula>
    </cfRule>
  </conditionalFormatting>
  <conditionalFormatting sqref="J293 M293 P293 S293 V293">
    <cfRule type="expression" dxfId="1221" priority="163">
      <formula>AND(K$292&lt;&gt;"Route-based", K$292&lt;&gt;"")</formula>
    </cfRule>
  </conditionalFormatting>
  <conditionalFormatting sqref="K293 N293 Q293 T293 W293">
    <cfRule type="expression" dxfId="1220" priority="150">
      <formula>AND(K$292&lt;&gt;"Route-based", K$292&lt;&gt;"")</formula>
    </cfRule>
  </conditionalFormatting>
  <conditionalFormatting sqref="J313 M313 P313 S313 V313">
    <cfRule type="expression" dxfId="1219" priority="161">
      <formula>AND(K$312&lt;&gt;"Route-based", K$312&lt;&gt;"")</formula>
    </cfRule>
  </conditionalFormatting>
  <conditionalFormatting sqref="K313 N313 Q313 T313 W313">
    <cfRule type="expression" dxfId="1218" priority="149">
      <formula>AND(K$312&lt;&gt;"Route-based", K$312&lt;&gt;"")</formula>
    </cfRule>
  </conditionalFormatting>
  <conditionalFormatting sqref="O141:Q141">
    <cfRule type="expression" dxfId="1217" priority="136">
      <formula>$H$7&lt;4</formula>
    </cfRule>
  </conditionalFormatting>
  <conditionalFormatting sqref="J141:K141">
    <cfRule type="expression" dxfId="1216" priority="135">
      <formula>$K$133&lt;1</formula>
    </cfRule>
  </conditionalFormatting>
  <conditionalFormatting sqref="P141:Q141">
    <cfRule type="expression" dxfId="1215" priority="137">
      <formula>$Q$133&lt;1</formula>
    </cfRule>
  </conditionalFormatting>
  <conditionalFormatting sqref="W141 T141 Q141 N141 K141">
    <cfRule type="expression" dxfId="1214" priority="145">
      <formula>AND(ISTEXT(K141),K141&lt;&gt;"")</formula>
    </cfRule>
  </conditionalFormatting>
  <conditionalFormatting sqref="S141:T141">
    <cfRule type="expression" dxfId="1213" priority="144">
      <formula>$T$133&lt;1</formula>
    </cfRule>
  </conditionalFormatting>
  <conditionalFormatting sqref="V141:W141">
    <cfRule type="expression" dxfId="1212" priority="143">
      <formula>$W$133&lt;1</formula>
    </cfRule>
  </conditionalFormatting>
  <conditionalFormatting sqref="E141:H141 B141">
    <cfRule type="expression" dxfId="1211" priority="142">
      <formula>MAX($H$133,$K$133,$N$133,$Q$133,$T$133,$W$133)&lt;1</formula>
    </cfRule>
  </conditionalFormatting>
  <conditionalFormatting sqref="L141:N141">
    <cfRule type="expression" dxfId="1210" priority="134">
      <formula>$H$7&lt;3</formula>
    </cfRule>
  </conditionalFormatting>
  <conditionalFormatting sqref="J141:K141">
    <cfRule type="expression" dxfId="1209" priority="133">
      <formula>$H$7&lt;2</formula>
    </cfRule>
  </conditionalFormatting>
  <conditionalFormatting sqref="R141:T141">
    <cfRule type="expression" dxfId="1208" priority="140">
      <formula>$H$7&lt;5</formula>
    </cfRule>
  </conditionalFormatting>
  <conditionalFormatting sqref="U141:W141">
    <cfRule type="expression" dxfId="1207" priority="138">
      <formula>$H$7&lt;6</formula>
    </cfRule>
  </conditionalFormatting>
  <conditionalFormatting sqref="C141">
    <cfRule type="expression" dxfId="1206" priority="139">
      <formula>MAX($H$133,$K$133,$N$133,$Q$133,$T$133,$W$133)&lt;1</formula>
    </cfRule>
  </conditionalFormatting>
  <conditionalFormatting sqref="M141:N141">
    <cfRule type="expression" dxfId="1205" priority="141">
      <formula>$N$133&lt;1</formula>
    </cfRule>
  </conditionalFormatting>
  <conditionalFormatting sqref="W141 T141 Q141 N141 K141">
    <cfRule type="expression" dxfId="1204" priority="146">
      <formula>K141&lt;0</formula>
    </cfRule>
  </conditionalFormatting>
  <conditionalFormatting sqref="O161:Q161">
    <cfRule type="expression" dxfId="1203" priority="123">
      <formula>$H$7&lt;4</formula>
    </cfRule>
  </conditionalFormatting>
  <conditionalFormatting sqref="J161:K161">
    <cfRule type="expression" dxfId="1202" priority="121">
      <formula>$K$133&lt;2</formula>
    </cfRule>
  </conditionalFormatting>
  <conditionalFormatting sqref="M161:N161">
    <cfRule type="expression" dxfId="1201" priority="124">
      <formula>$N$133&lt;2</formula>
    </cfRule>
  </conditionalFormatting>
  <conditionalFormatting sqref="P161:Q161">
    <cfRule type="expression" dxfId="1200" priority="130">
      <formula>$Q$133&lt;2</formula>
    </cfRule>
  </conditionalFormatting>
  <conditionalFormatting sqref="B161">
    <cfRule type="expression" dxfId="1199" priority="129">
      <formula>MAX($H$133,$K$133,$N$133,$Q$133,$T$133,$W$133)&lt;2</formula>
    </cfRule>
  </conditionalFormatting>
  <conditionalFormatting sqref="W161 T161 Q161 N161 K161">
    <cfRule type="expression" dxfId="1198" priority="131">
      <formula>AND(ISTEXT(K161),K161&lt;&gt;"")</formula>
    </cfRule>
  </conditionalFormatting>
  <conditionalFormatting sqref="S161:T161">
    <cfRule type="expression" dxfId="1197" priority="128">
      <formula>$T$133&lt;2</formula>
    </cfRule>
  </conditionalFormatting>
  <conditionalFormatting sqref="V161:W161">
    <cfRule type="expression" dxfId="1196" priority="127">
      <formula>$W$133&lt;2</formula>
    </cfRule>
  </conditionalFormatting>
  <conditionalFormatting sqref="L161:N161">
    <cfRule type="expression" dxfId="1195" priority="122">
      <formula>$H$7&lt;3</formula>
    </cfRule>
  </conditionalFormatting>
  <conditionalFormatting sqref="J161:K161">
    <cfRule type="expression" dxfId="1194" priority="120">
      <formula>$H$7&lt;2</formula>
    </cfRule>
  </conditionalFormatting>
  <conditionalFormatting sqref="R161:T161">
    <cfRule type="expression" dxfId="1193" priority="126">
      <formula>$H$7&lt;5</formula>
    </cfRule>
  </conditionalFormatting>
  <conditionalFormatting sqref="U161:W161">
    <cfRule type="expression" dxfId="1192" priority="125">
      <formula>$H$7&lt;6</formula>
    </cfRule>
  </conditionalFormatting>
  <conditionalFormatting sqref="W161 T161 Q161 N161 K161">
    <cfRule type="expression" dxfId="1191" priority="132">
      <formula>K161&lt;0</formula>
    </cfRule>
  </conditionalFormatting>
  <conditionalFormatting sqref="O181:Q181">
    <cfRule type="expression" dxfId="1190" priority="110">
      <formula>$H$7&lt;4</formula>
    </cfRule>
  </conditionalFormatting>
  <conditionalFormatting sqref="J181:K181">
    <cfRule type="expression" dxfId="1189" priority="108">
      <formula>$K$133&lt;3</formula>
    </cfRule>
  </conditionalFormatting>
  <conditionalFormatting sqref="M181:N181">
    <cfRule type="expression" dxfId="1188" priority="117">
      <formula>$N$133&lt;3</formula>
    </cfRule>
  </conditionalFormatting>
  <conditionalFormatting sqref="P181:Q181">
    <cfRule type="expression" dxfId="1187" priority="116">
      <formula>$Q$133&lt;3</formula>
    </cfRule>
  </conditionalFormatting>
  <conditionalFormatting sqref="B181">
    <cfRule type="expression" dxfId="1186" priority="115">
      <formula>MAX($H$133,$K$133,$N$133,$Q$133,$T$133,$W$133)&lt;3</formula>
    </cfRule>
  </conditionalFormatting>
  <conditionalFormatting sqref="W181 T181 Q181 N181 K181">
    <cfRule type="expression" dxfId="1185" priority="118">
      <formula>AND(ISTEXT(K181),K181&lt;&gt;"")</formula>
    </cfRule>
  </conditionalFormatting>
  <conditionalFormatting sqref="S181:T181">
    <cfRule type="expression" dxfId="1184" priority="114">
      <formula>$T$133&lt;3</formula>
    </cfRule>
  </conditionalFormatting>
  <conditionalFormatting sqref="V181:W181">
    <cfRule type="expression" dxfId="1183" priority="113">
      <formula>$W$133&lt;3</formula>
    </cfRule>
  </conditionalFormatting>
  <conditionalFormatting sqref="L181:N181">
    <cfRule type="expression" dxfId="1182" priority="109">
      <formula>$H$7&lt;3</formula>
    </cfRule>
  </conditionalFormatting>
  <conditionalFormatting sqref="J181:K181">
    <cfRule type="expression" dxfId="1181" priority="107">
      <formula>$H$7&lt;2</formula>
    </cfRule>
  </conditionalFormatting>
  <conditionalFormatting sqref="R181:T181">
    <cfRule type="expression" dxfId="1180" priority="112">
      <formula>$H$7&lt;5</formula>
    </cfRule>
  </conditionalFormatting>
  <conditionalFormatting sqref="U181:W181">
    <cfRule type="expression" dxfId="1179" priority="111">
      <formula>$H$7&lt;6</formula>
    </cfRule>
  </conditionalFormatting>
  <conditionalFormatting sqref="W181 T181 Q181 N181 K181">
    <cfRule type="expression" dxfId="1178" priority="119">
      <formula>K181&lt;0</formula>
    </cfRule>
  </conditionalFormatting>
  <conditionalFormatting sqref="O206:Q206">
    <cfRule type="expression" dxfId="1177" priority="97">
      <formula>$H$7&lt;4</formula>
    </cfRule>
  </conditionalFormatting>
  <conditionalFormatting sqref="J206:K206">
    <cfRule type="expression" dxfId="1176" priority="95">
      <formula>$K$197&lt;1</formula>
    </cfRule>
  </conditionalFormatting>
  <conditionalFormatting sqref="M206:N206">
    <cfRule type="expression" dxfId="1175" priority="104">
      <formula>$N$197&lt;1</formula>
    </cfRule>
  </conditionalFormatting>
  <conditionalFormatting sqref="P206:Q206">
    <cfRule type="expression" dxfId="1174" priority="103">
      <formula>$Q$197&lt;1</formula>
    </cfRule>
  </conditionalFormatting>
  <conditionalFormatting sqref="E206:H206 B206">
    <cfRule type="expression" dxfId="1173" priority="102">
      <formula>MAX($H$197,$K$197,$N$197,$Q$197,$T$197,$W$197)&lt;1</formula>
    </cfRule>
  </conditionalFormatting>
  <conditionalFormatting sqref="N206 Q206 T206 W206 K206">
    <cfRule type="expression" dxfId="1172" priority="105">
      <formula>AND(ISTEXT(K206),K206&lt;&gt;"")</formula>
    </cfRule>
  </conditionalFormatting>
  <conditionalFormatting sqref="S206:T206">
    <cfRule type="expression" dxfId="1171" priority="101">
      <formula>$T$197&lt;1</formula>
    </cfRule>
  </conditionalFormatting>
  <conditionalFormatting sqref="V206:W206">
    <cfRule type="expression" dxfId="1170" priority="100">
      <formula>$W$197&lt;1</formula>
    </cfRule>
  </conditionalFormatting>
  <conditionalFormatting sqref="L206:N206">
    <cfRule type="expression" dxfId="1169" priority="96">
      <formula>$H$7&lt;3</formula>
    </cfRule>
  </conditionalFormatting>
  <conditionalFormatting sqref="J206:K206">
    <cfRule type="expression" dxfId="1168" priority="94">
      <formula>$H$7&lt;2</formula>
    </cfRule>
  </conditionalFormatting>
  <conditionalFormatting sqref="R206:T206">
    <cfRule type="expression" dxfId="1167" priority="99">
      <formula>$H$7&lt;5</formula>
    </cfRule>
  </conditionalFormatting>
  <conditionalFormatting sqref="U206:W206">
    <cfRule type="expression" dxfId="1166" priority="98">
      <formula>$H$7&lt;6</formula>
    </cfRule>
  </conditionalFormatting>
  <conditionalFormatting sqref="K206 N206 Q206 T206 W206">
    <cfRule type="expression" dxfId="1165" priority="106">
      <formula>K206&lt;0</formula>
    </cfRule>
  </conditionalFormatting>
  <conditionalFormatting sqref="O226:Q226">
    <cfRule type="expression" dxfId="1164" priority="83">
      <formula>$H$7&lt;4</formula>
    </cfRule>
  </conditionalFormatting>
  <conditionalFormatting sqref="J226:K226">
    <cfRule type="expression" dxfId="1163" priority="81">
      <formula>$K$197&lt;2</formula>
    </cfRule>
  </conditionalFormatting>
  <conditionalFormatting sqref="M226:N226">
    <cfRule type="expression" dxfId="1162" priority="91">
      <formula>$N$197&lt;2</formula>
    </cfRule>
  </conditionalFormatting>
  <conditionalFormatting sqref="P226:Q226">
    <cfRule type="expression" dxfId="1161" priority="90">
      <formula>$Q$197&lt;2</formula>
    </cfRule>
  </conditionalFormatting>
  <conditionalFormatting sqref="B226:H226">
    <cfRule type="expression" dxfId="1160" priority="89">
      <formula>MAX($H$197,$K$197,$N$197,$Q$197,$T$197,$W$197)&lt;2</formula>
    </cfRule>
  </conditionalFormatting>
  <conditionalFormatting sqref="K226 N226 Q226 T226 W226">
    <cfRule type="expression" dxfId="1159" priority="92">
      <formula>AND(ISTEXT(K226),K226&lt;&gt;"")</formula>
    </cfRule>
  </conditionalFormatting>
  <conditionalFormatting sqref="S226:T226">
    <cfRule type="expression" dxfId="1158" priority="88">
      <formula>$T$197&lt;2</formula>
    </cfRule>
  </conditionalFormatting>
  <conditionalFormatting sqref="V226:W226">
    <cfRule type="expression" dxfId="1157" priority="87">
      <formula>$W$197&lt;2</formula>
    </cfRule>
  </conditionalFormatting>
  <conditionalFormatting sqref="L226:N226">
    <cfRule type="expression" dxfId="1156" priority="82">
      <formula>$H$7&lt;3</formula>
    </cfRule>
  </conditionalFormatting>
  <conditionalFormatting sqref="J226:K226">
    <cfRule type="expression" dxfId="1155" priority="80">
      <formula>$H$7&lt;2</formula>
    </cfRule>
  </conditionalFormatting>
  <conditionalFormatting sqref="R226:T226">
    <cfRule type="expression" dxfId="1154" priority="86">
      <formula>$H$7&lt;5</formula>
    </cfRule>
  </conditionalFormatting>
  <conditionalFormatting sqref="U226:W226">
    <cfRule type="expression" dxfId="1153" priority="84">
      <formula>$H$7&lt;6</formula>
    </cfRule>
  </conditionalFormatting>
  <conditionalFormatting sqref="C226">
    <cfRule type="expression" dxfId="1152" priority="85">
      <formula>MAX($H$197,$K$197,$N$197,$Q$197,$T$197,$W$197)&lt;1</formula>
    </cfRule>
  </conditionalFormatting>
  <conditionalFormatting sqref="K226 N226 Q226 T226 W226">
    <cfRule type="expression" dxfId="1151" priority="93">
      <formula>K226&lt;0</formula>
    </cfRule>
  </conditionalFormatting>
  <conditionalFormatting sqref="O246:Q246">
    <cfRule type="expression" dxfId="1150" priority="69">
      <formula>$H$7&lt;4</formula>
    </cfRule>
  </conditionalFormatting>
  <conditionalFormatting sqref="J246:K246">
    <cfRule type="expression" dxfId="1149" priority="67">
      <formula>$K$197&lt;3</formula>
    </cfRule>
  </conditionalFormatting>
  <conditionalFormatting sqref="M246:N246">
    <cfRule type="expression" dxfId="1148" priority="77">
      <formula>$N$197&lt;3</formula>
    </cfRule>
  </conditionalFormatting>
  <conditionalFormatting sqref="P246:Q246">
    <cfRule type="expression" dxfId="1147" priority="76">
      <formula>$Q$197&lt;3</formula>
    </cfRule>
  </conditionalFormatting>
  <conditionalFormatting sqref="B246:H246">
    <cfRule type="expression" dxfId="1146" priority="75">
      <formula>MAX($H$197,$K$197,$N$197,$Q$197,$T$197,$W$197)&lt;3</formula>
    </cfRule>
  </conditionalFormatting>
  <conditionalFormatting sqref="K246 N246 Q246 T246 W246">
    <cfRule type="expression" dxfId="1145" priority="78">
      <formula>AND(ISTEXT(K246),K246&lt;&gt;"")</formula>
    </cfRule>
  </conditionalFormatting>
  <conditionalFormatting sqref="S246:T246">
    <cfRule type="expression" dxfId="1144" priority="74">
      <formula>$T$197&lt;3</formula>
    </cfRule>
  </conditionalFormatting>
  <conditionalFormatting sqref="V246:W246">
    <cfRule type="expression" dxfId="1143" priority="73">
      <formula>$W$197&lt;3</formula>
    </cfRule>
  </conditionalFormatting>
  <conditionalFormatting sqref="L246:N246">
    <cfRule type="expression" dxfId="1142" priority="68">
      <formula>$H$7&lt;3</formula>
    </cfRule>
  </conditionalFormatting>
  <conditionalFormatting sqref="J246:K246">
    <cfRule type="expression" dxfId="1141" priority="66">
      <formula>$H$7&lt;2</formula>
    </cfRule>
  </conditionalFormatting>
  <conditionalFormatting sqref="R246:T246">
    <cfRule type="expression" dxfId="1140" priority="72">
      <formula>$H$7&lt;5</formula>
    </cfRule>
  </conditionalFormatting>
  <conditionalFormatting sqref="U246:W246">
    <cfRule type="expression" dxfId="1139" priority="70">
      <formula>$H$7&lt;6</formula>
    </cfRule>
  </conditionalFormatting>
  <conditionalFormatting sqref="C246">
    <cfRule type="expression" dxfId="1138" priority="71">
      <formula>MAX($H$197,$K$197,$N$197,$Q$197,$T$197,$W$197)&lt;1</formula>
    </cfRule>
  </conditionalFormatting>
  <conditionalFormatting sqref="K246 N246 Q246 T246 W246">
    <cfRule type="expression" dxfId="1137" priority="79">
      <formula>K246&lt;0</formula>
    </cfRule>
  </conditionalFormatting>
  <conditionalFormatting sqref="O270:Q270">
    <cfRule type="expression" dxfId="1136" priority="60">
      <formula>$H$7&lt;4</formula>
    </cfRule>
  </conditionalFormatting>
  <conditionalFormatting sqref="K270 N270 Q270 T270 W270">
    <cfRule type="expression" dxfId="1135" priority="64">
      <formula>AND(ISTEXT(K270),K270&lt;&gt;"")</formula>
    </cfRule>
  </conditionalFormatting>
  <conditionalFormatting sqref="L270:N270">
    <cfRule type="expression" dxfId="1134" priority="59">
      <formula>$H$7&lt;3</formula>
    </cfRule>
  </conditionalFormatting>
  <conditionalFormatting sqref="J270:K270">
    <cfRule type="expression" dxfId="1133" priority="58">
      <formula>$H$7&lt;2</formula>
    </cfRule>
  </conditionalFormatting>
  <conditionalFormatting sqref="R270:T270">
    <cfRule type="expression" dxfId="1132" priority="63">
      <formula>$H$7&lt;5</formula>
    </cfRule>
  </conditionalFormatting>
  <conditionalFormatting sqref="U270:W270">
    <cfRule type="expression" dxfId="1131" priority="61">
      <formula>$H$7&lt;6</formula>
    </cfRule>
  </conditionalFormatting>
  <conditionalFormatting sqref="C270">
    <cfRule type="expression" dxfId="1130" priority="62">
      <formula>MAX($H$197,$K$197,$N$197,$Q$197,$T$197,$W$197)&lt;1</formula>
    </cfRule>
  </conditionalFormatting>
  <conditionalFormatting sqref="K270 N270 Q270 T270 W270">
    <cfRule type="expression" dxfId="1129" priority="65">
      <formula>K270&lt;0</formula>
    </cfRule>
  </conditionalFormatting>
  <conditionalFormatting sqref="O290:Q290">
    <cfRule type="expression" dxfId="1128" priority="52">
      <formula>$H$7&lt;4</formula>
    </cfRule>
  </conditionalFormatting>
  <conditionalFormatting sqref="K290 N290 Q290 T290 W290">
    <cfRule type="expression" dxfId="1127" priority="56">
      <formula>AND(ISTEXT(K290),K290&lt;&gt;"")</formula>
    </cfRule>
  </conditionalFormatting>
  <conditionalFormatting sqref="L290:N290">
    <cfRule type="expression" dxfId="1126" priority="51">
      <formula>$H$7&lt;3</formula>
    </cfRule>
  </conditionalFormatting>
  <conditionalFormatting sqref="J290:K290">
    <cfRule type="expression" dxfId="1125" priority="50">
      <formula>$H$7&lt;2</formula>
    </cfRule>
  </conditionalFormatting>
  <conditionalFormatting sqref="R290:T290">
    <cfRule type="expression" dxfId="1124" priority="55">
      <formula>$H$7&lt;5</formula>
    </cfRule>
  </conditionalFormatting>
  <conditionalFormatting sqref="U290:W290">
    <cfRule type="expression" dxfId="1123" priority="53">
      <formula>$H$7&lt;6</formula>
    </cfRule>
  </conditionalFormatting>
  <conditionalFormatting sqref="C290">
    <cfRule type="expression" dxfId="1122" priority="54">
      <formula>MAX($H$197,$K$197,$N$197,$Q$197,$T$197,$W$197)&lt;1</formula>
    </cfRule>
  </conditionalFormatting>
  <conditionalFormatting sqref="K290 N290 Q290 T290 W290">
    <cfRule type="expression" dxfId="1121" priority="57">
      <formula>K290&lt;0</formula>
    </cfRule>
  </conditionalFormatting>
  <conditionalFormatting sqref="O310:Q310">
    <cfRule type="expression" dxfId="1120" priority="44">
      <formula>$H$7&lt;4</formula>
    </cfRule>
  </conditionalFormatting>
  <conditionalFormatting sqref="K310 N310 Q310 T310 W310">
    <cfRule type="expression" dxfId="1119" priority="48">
      <formula>AND(ISTEXT(K310),K310&lt;&gt;"")</formula>
    </cfRule>
  </conditionalFormatting>
  <conditionalFormatting sqref="L310:N310">
    <cfRule type="expression" dxfId="1118" priority="43">
      <formula>$H$7&lt;3</formula>
    </cfRule>
  </conditionalFormatting>
  <conditionalFormatting sqref="J310:K310">
    <cfRule type="expression" dxfId="1117" priority="42">
      <formula>$H$7&lt;2</formula>
    </cfRule>
  </conditionalFormatting>
  <conditionalFormatting sqref="R310:T310">
    <cfRule type="expression" dxfId="1116" priority="47">
      <formula>$H$7&lt;5</formula>
    </cfRule>
  </conditionalFormatting>
  <conditionalFormatting sqref="U310:W310">
    <cfRule type="expression" dxfId="1115" priority="45">
      <formula>$H$7&lt;6</formula>
    </cfRule>
  </conditionalFormatting>
  <conditionalFormatting sqref="C310">
    <cfRule type="expression" dxfId="1114" priority="46">
      <formula>MAX($H$197,$K$197,$N$197,$Q$197,$T$197,$W$197)&lt;1</formula>
    </cfRule>
  </conditionalFormatting>
  <conditionalFormatting sqref="K310 N310 Q310 T310 W310">
    <cfRule type="expression" dxfId="1113" priority="49">
      <formula>K310&lt;0</formula>
    </cfRule>
  </conditionalFormatting>
  <conditionalFormatting sqref="J263:K281">
    <cfRule type="expression" dxfId="1112" priority="365">
      <formula>$K$260&lt;1</formula>
    </cfRule>
  </conditionalFormatting>
  <conditionalFormatting sqref="M263:N281">
    <cfRule type="expression" dxfId="1111" priority="367">
      <formula>$N$260&lt;1</formula>
    </cfRule>
  </conditionalFormatting>
  <conditionalFormatting sqref="J283:K301">
    <cfRule type="expression" dxfId="1110" priority="377">
      <formula>$K$260&lt;2</formula>
    </cfRule>
  </conditionalFormatting>
  <conditionalFormatting sqref="M283:N301">
    <cfRule type="expression" dxfId="1109" priority="378">
      <formula>$N$260&lt;2</formula>
    </cfRule>
  </conditionalFormatting>
  <conditionalFormatting sqref="P263:Q281">
    <cfRule type="expression" dxfId="1108" priority="368">
      <formula>$Q$260&lt;1</formula>
    </cfRule>
  </conditionalFormatting>
  <conditionalFormatting sqref="P283:Q301">
    <cfRule type="expression" dxfId="1107" priority="380">
      <formula>$Q$260&lt;2</formula>
    </cfRule>
  </conditionalFormatting>
  <conditionalFormatting sqref="J303:K321">
    <cfRule type="expression" dxfId="1106" priority="381">
      <formula>$K$260&lt;3</formula>
    </cfRule>
  </conditionalFormatting>
  <conditionalFormatting sqref="M303:N321">
    <cfRule type="expression" dxfId="1105" priority="382">
      <formula>$N$260&lt;3</formula>
    </cfRule>
  </conditionalFormatting>
  <conditionalFormatting sqref="P303:Q321">
    <cfRule type="expression" dxfId="1104" priority="383">
      <formula>$Q$260&lt;3</formula>
    </cfRule>
  </conditionalFormatting>
  <conditionalFormatting sqref="B263:H281">
    <cfRule type="expression" dxfId="1103" priority="384">
      <formula>MAX($H$260,$K$260,$N$260,$Q$260,$T$260,$W$260)&lt;1</formula>
    </cfRule>
  </conditionalFormatting>
  <conditionalFormatting sqref="B283:H301">
    <cfRule type="expression" dxfId="1102" priority="385">
      <formula>MAX($H$260,$K$260,$N$260,$Q$260,$T$260,$W$260)&lt;2</formula>
    </cfRule>
  </conditionalFormatting>
  <conditionalFormatting sqref="B303:H321">
    <cfRule type="expression" dxfId="1101" priority="386">
      <formula>MAX($H$260,$K$260,$N$260,$Q$260,$T$260,$W$260)&lt;3</formula>
    </cfRule>
  </conditionalFormatting>
  <conditionalFormatting sqref="S263:T281">
    <cfRule type="expression" dxfId="1100" priority="375">
      <formula>$T$260&lt;1</formula>
    </cfRule>
  </conditionalFormatting>
  <conditionalFormatting sqref="S283:T301">
    <cfRule type="expression" dxfId="1099" priority="388">
      <formula>$T$260&lt;2</formula>
    </cfRule>
  </conditionalFormatting>
  <conditionalFormatting sqref="S303:T321">
    <cfRule type="expression" dxfId="1098" priority="389">
      <formula>$T$260&lt;3</formula>
    </cfRule>
  </conditionalFormatting>
  <conditionalFormatting sqref="V263:W281">
    <cfRule type="expression" dxfId="1097" priority="376">
      <formula>$W$260&lt;1</formula>
    </cfRule>
  </conditionalFormatting>
  <conditionalFormatting sqref="V283:W301">
    <cfRule type="expression" dxfId="1096" priority="379">
      <formula>$W$260&lt;2</formula>
    </cfRule>
  </conditionalFormatting>
  <conditionalFormatting sqref="V303:W321">
    <cfRule type="expression" dxfId="1095" priority="387">
      <formula>$W$260&lt;3</formula>
    </cfRule>
  </conditionalFormatting>
  <conditionalFormatting sqref="J261:K261">
    <cfRule type="expression" dxfId="1094" priority="39">
      <formula>$H$7&lt;2</formula>
    </cfRule>
  </conditionalFormatting>
  <conditionalFormatting sqref="K261">
    <cfRule type="expression" dxfId="1093" priority="40">
      <formula>AND(K261=0,J261="")</formula>
    </cfRule>
  </conditionalFormatting>
  <conditionalFormatting sqref="K261">
    <cfRule type="expression" dxfId="1092" priority="41">
      <formula>K261=""</formula>
    </cfRule>
  </conditionalFormatting>
  <conditionalFormatting sqref="M261:N261">
    <cfRule type="expression" dxfId="1091" priority="36">
      <formula>$H$7&lt;3</formula>
    </cfRule>
  </conditionalFormatting>
  <conditionalFormatting sqref="N261">
    <cfRule type="expression" dxfId="1090" priority="37">
      <formula>AND(N261=0,M261="")</formula>
    </cfRule>
  </conditionalFormatting>
  <conditionalFormatting sqref="N261">
    <cfRule type="expression" dxfId="1089" priority="38">
      <formula>N261=""</formula>
    </cfRule>
  </conditionalFormatting>
  <conditionalFormatting sqref="P261:Q261">
    <cfRule type="expression" dxfId="1088" priority="33">
      <formula>$H$7&lt;4</formula>
    </cfRule>
  </conditionalFormatting>
  <conditionalFormatting sqref="Q261">
    <cfRule type="expression" dxfId="1087" priority="34">
      <formula>AND(Q261=0,P261="")</formula>
    </cfRule>
  </conditionalFormatting>
  <conditionalFormatting sqref="Q261">
    <cfRule type="expression" dxfId="1086" priority="35">
      <formula>Q261=""</formula>
    </cfRule>
  </conditionalFormatting>
  <conditionalFormatting sqref="S261:T261">
    <cfRule type="expression" dxfId="1085" priority="31">
      <formula>$H$7&lt;5</formula>
    </cfRule>
  </conditionalFormatting>
  <conditionalFormatting sqref="T261">
    <cfRule type="expression" dxfId="1084" priority="30">
      <formula>AND(T261=0,S261="")</formula>
    </cfRule>
  </conditionalFormatting>
  <conditionalFormatting sqref="T261">
    <cfRule type="expression" dxfId="1083" priority="32">
      <formula>T261=""</formula>
    </cfRule>
  </conditionalFormatting>
  <conditionalFormatting sqref="V261:W261">
    <cfRule type="expression" dxfId="1082" priority="28">
      <formula>$H$7&lt;6</formula>
    </cfRule>
  </conditionalFormatting>
  <conditionalFormatting sqref="W261">
    <cfRule type="expression" dxfId="1081" priority="27">
      <formula>AND(W261=0,V261="")</formula>
    </cfRule>
  </conditionalFormatting>
  <conditionalFormatting sqref="W261">
    <cfRule type="expression" dxfId="1080" priority="29">
      <formula>W261=""</formula>
    </cfRule>
  </conditionalFormatting>
  <conditionalFormatting sqref="K15:S22">
    <cfRule type="expression" dxfId="1079" priority="26">
      <formula>$G$16&lt;&gt;"Yes"</formula>
    </cfRule>
  </conditionalFormatting>
  <conditionalFormatting sqref="J16">
    <cfRule type="expression" dxfId="1078" priority="25">
      <formula>$G$16&lt;&gt;"Yes"</formula>
    </cfRule>
  </conditionalFormatting>
  <conditionalFormatting sqref="C155:D160 C162:D173">
    <cfRule type="expression" dxfId="1077" priority="24">
      <formula>MAX($H$133,$K$133,$N$133,$Q$133,$T$133,$W$133)&lt;2</formula>
    </cfRule>
  </conditionalFormatting>
  <conditionalFormatting sqref="C161:D161">
    <cfRule type="expression" dxfId="1076" priority="23">
      <formula>MAX($H$133,$K$133,$N$133,$Q$133,$T$133,$W$133)&lt;2</formula>
    </cfRule>
  </conditionalFormatting>
  <conditionalFormatting sqref="C175:D180 C182:D193">
    <cfRule type="expression" dxfId="1075" priority="22">
      <formula>MAX($H$133,$K$133,$N$133,$Q$133,$T$133,$W$133)&lt;3</formula>
    </cfRule>
  </conditionalFormatting>
  <conditionalFormatting sqref="C181:D181">
    <cfRule type="expression" dxfId="1074" priority="21">
      <formula>MAX($H$133,$K$133,$N$133,$Q$133,$T$133,$W$133)&lt;3</formula>
    </cfRule>
  </conditionalFormatting>
  <conditionalFormatting sqref="C199:C200">
    <cfRule type="expression" dxfId="1073" priority="20">
      <formula>MAX($H$197,$K$197,$N$197,$Q$197,$T$197,$W$197)&lt;1</formula>
    </cfRule>
  </conditionalFormatting>
  <conditionalFormatting sqref="C201">
    <cfRule type="expression" dxfId="1072" priority="19">
      <formula>MAX($H$197,$K$197,$N$197,$Q$197,$T$197,$W$197)&lt;1</formula>
    </cfRule>
  </conditionalFormatting>
  <conditionalFormatting sqref="C202">
    <cfRule type="expression" dxfId="1071" priority="18">
      <formula>MAX($H$197,$K$197,$N$197,$Q$197,$T$197,$W$197)&lt;1</formula>
    </cfRule>
  </conditionalFormatting>
  <conditionalFormatting sqref="C203">
    <cfRule type="expression" dxfId="1070" priority="17">
      <formula>MAX($H$197,$K$197,$N$197,$Q$197,$T$197,$W$197)&lt;1</formula>
    </cfRule>
  </conditionalFormatting>
  <conditionalFormatting sqref="C204">
    <cfRule type="expression" dxfId="1069" priority="16">
      <formula>MAX($H$197,$K$197,$N$197,$Q$197,$T$197,$W$197)&lt;1</formula>
    </cfRule>
  </conditionalFormatting>
  <conditionalFormatting sqref="C205">
    <cfRule type="expression" dxfId="1068" priority="15">
      <formula>MAX($H$197,$K$197,$N$197,$Q$197,$T$197,$W$197)&lt;1</formula>
    </cfRule>
  </conditionalFormatting>
  <conditionalFormatting sqref="C207">
    <cfRule type="expression" dxfId="1067" priority="14">
      <formula>MAX($H$197,$K$197,$N$197,$Q$197,$T$197,$W$197)&lt;1</formula>
    </cfRule>
  </conditionalFormatting>
  <conditionalFormatting sqref="C208">
    <cfRule type="expression" dxfId="1066" priority="13">
      <formula>MAX($H$197,$K$197,$N$197,$Q$197,$T$197,$W$197)&lt;1</formula>
    </cfRule>
  </conditionalFormatting>
  <conditionalFormatting sqref="C209">
    <cfRule type="expression" dxfId="1065" priority="12">
      <formula>MAX($H$197,$K$197,$N$197,$Q$197,$T$197,$W$197)&lt;1</formula>
    </cfRule>
  </conditionalFormatting>
  <conditionalFormatting sqref="C210">
    <cfRule type="expression" dxfId="1064" priority="11">
      <formula>MAX($H$197,$K$197,$N$197,$Q$197,$T$197,$W$197)&lt;1</formula>
    </cfRule>
  </conditionalFormatting>
  <conditionalFormatting sqref="C211">
    <cfRule type="expression" dxfId="1063" priority="10">
      <formula>MAX($H$197,$K$197,$N$197,$Q$197,$T$197,$W$197)&lt;1</formula>
    </cfRule>
  </conditionalFormatting>
  <conditionalFormatting sqref="C212">
    <cfRule type="expression" dxfId="1062" priority="9">
      <formula>MAX($H$197,$K$197,$N$197,$Q$197,$T$197,$W$197)&lt;1</formula>
    </cfRule>
  </conditionalFormatting>
  <conditionalFormatting sqref="C213">
    <cfRule type="expression" dxfId="1061" priority="8">
      <formula>MAX($H$197,$K$197,$N$197,$Q$197,$T$197,$W$197)&lt;1</formula>
    </cfRule>
  </conditionalFormatting>
  <conditionalFormatting sqref="C214">
    <cfRule type="expression" dxfId="1060" priority="7">
      <formula>MAX($H$197,$K$197,$N$197,$Q$197,$T$197,$W$197)&lt;1</formula>
    </cfRule>
  </conditionalFormatting>
  <conditionalFormatting sqref="C215">
    <cfRule type="expression" dxfId="1059" priority="6">
      <formula>MAX($H$197,$K$197,$N$197,$Q$197,$T$197,$W$197)&lt;1</formula>
    </cfRule>
  </conditionalFormatting>
  <conditionalFormatting sqref="C216">
    <cfRule type="expression" dxfId="1058" priority="5">
      <formula>MAX($H$197,$K$197,$N$197,$Q$197,$T$197,$W$197)&lt;1</formula>
    </cfRule>
  </conditionalFormatting>
  <conditionalFormatting sqref="C217">
    <cfRule type="expression" dxfId="1057" priority="4">
      <formula>MAX($H$197,$K$197,$N$197,$Q$197,$T$197,$W$197)&lt;1</formula>
    </cfRule>
  </conditionalFormatting>
  <conditionalFormatting sqref="C206">
    <cfRule type="expression" dxfId="1056" priority="3">
      <formula>MAX($H$197,$K$197,$N$197,$Q$197,$T$197,$W$197)&lt;1</formula>
    </cfRule>
  </conditionalFormatting>
  <conditionalFormatting sqref="G122 J122 M122 P122 S122 V122">
    <cfRule type="expression" dxfId="1055" priority="316">
      <formula>H$121&lt;&gt;"Cost per facility"</formula>
    </cfRule>
  </conditionalFormatting>
  <conditionalFormatting sqref="G123 J123 M123 P123 S123 V123">
    <cfRule type="expression" dxfId="1054" priority="211">
      <formula>H$121&lt;&gt;"Cost as % commodity value"</formula>
    </cfRule>
  </conditionalFormatting>
  <dataValidations count="17">
    <dataValidation type="list" allowBlank="1" showInputMessage="1" showErrorMessage="1" sqref="P16" xr:uid="{6869E39E-E9E8-4EF6-82CC-C7EA04681C30}">
      <formula1>"Vaccines, Reproductive Health,General"</formula1>
    </dataValidation>
    <dataValidation type="decimal" operator="greaterThanOrEqual" allowBlank="1" showInputMessage="1" showErrorMessage="1" sqref="G97 J97 M97 P97 S97 V97" xr:uid="{F9400452-E892-4BEF-9B59-5B304124A3F9}">
      <formula1>1</formula1>
    </dataValidation>
    <dataValidation type="list" allowBlank="1" showInputMessage="1" showErrorMessage="1" sqref="S105 V314 V316 S314 S316 P314 P316 M314 M316 J314 J316 V294 V296 S294 S296 P294 P296 M294 M296 J294 J296 V274 V276 S274 S276 P274 P276 M274 M276 J274 J276 V250 V252 S250 S252 P250 P252 M250 M252 J250 J252 V230 V232 S230 S232 P230 P232 M230 M232 J230 J232 V210 V212 S210 S212 P210 P212 M210 M212 J210 J212 V185 V187 V165 V167 S185 S187 S165 S167 P185 P187 P165 P167 M185 M187 M165 M167 J185 J187 J165 J167 V145 S145 P145 M145 J145 V147 S147 P147 M147 J147 J105 G105 P105 M105 V105" xr:uid="{31D2156F-F59C-43B0-ACC3-EBCFBACAF906}">
      <formula1>$B$27:$B$38</formula1>
    </dataValidation>
    <dataValidation type="list" allowBlank="1" showInputMessage="1" showErrorMessage="1" sqref="G117 S117 J117 M117 P117 V117" xr:uid="{8A956BD7-3F39-4D80-8D42-2D36D0E717A7}">
      <formula1>"Upstream,Downstream"</formula1>
    </dataValidation>
    <dataValidation type="whole" allowBlank="1" showInputMessage="1" showErrorMessage="1" sqref="G7" xr:uid="{20C271D9-CDEE-4F90-BDFF-07A71824F00B}">
      <formula1>1</formula1>
      <formula2>6</formula2>
    </dataValidation>
    <dataValidation type="decimal" operator="greaterThanOrEqual" allowBlank="1" showInputMessage="1" showErrorMessage="1" sqref="G146 P139 S139 V139 G148:G150 P146 S146 V146 G46 S148:S150 J186 M186 G49:G52 V148:V150 J188:J190 M188:M190 G166 J166 M166 P166 G168:G170 J168:J170 M168:M170 P168:P170 G211 V188:V190 J211 M203 G213:G215 J203 J213:J215 M213:M215 G231 V203 J223 M223 G233:G235 V213:V215 J233:J235 M233:M235 G251 V223 J243 M243 G253:G255 V233:V235 J253:J255 M253:M255 G275 V243 J277:J279 M277:M279 G277:G279 V253:V255 J275 M275 G295 V277:V279 J297:J299 M297:M299 G297:G299 V275 J295 M295 G315 V297:V299 J317:J319 M317:M319 G317:G319 V295 J315 M315 G73:G76 S104 J122:J123 M122:M123 P122:P123 G28:G38 J28:J38 G12 G43 G55:G58 G122:G123 V98:V99 S122:S123 V122:V123 G8 G186 G188:G190 G67 G69:G70 G98:G99 J98:J99 M98:M99 P98:P99 S98:S99 G63:G64 G104 J104 M104 P104 G106:G107 J106:J107 M106:M107 P106:P107 S106:S107 V106:V107 G109:G113 J109:J113 M109:M113 P109:P113 S109:S113 V109:V113 G115:G116 J115:J116 M115:M116 P115:P116 S115:S116 V115:V116 J139 M139 J146 M146 J148:J150 M148:M150 P148:P150 J159 J179 M159 M179 P159 P179 P186 P188:P190 S159 S166 S168:S170 S179 S186 S188:S190 V159 V166 V168:V170 V179 V186 M211 P211 P203 P213:P215 S211 S203 S213:S215 V211 J231 M231 P231 P223 P233:P235 S231 S223 S233:S235 V231 J251 M251 P251 P243 P253:P255 S251 S243 S253:S255 V251 J267 M267 P267 P277:P279 P275 S267 S277:S279 S275 V267 J287 M287 P287 P297:P299 P295 S287 S297:S299 S295 V287 J307 M307 P307 P317:P319 P315 S307 S317:S319 S315 V307 V317:V319 V315 G17:G18 V104" xr:uid="{F53A1FCD-1A40-4B97-9FD6-402A85A0D70C}">
      <formula1>0</formula1>
    </dataValidation>
    <dataValidation type="decimal" allowBlank="1" showInputMessage="1" showErrorMessage="1" sqref="M310:M311 V135 J310:J311 S135 P135 G303 J175 M175 S141:S142 J181:J182 V141:V142 M181:M182 M155 P155 J155 M161:M162 J161:J162 P161:P162 V175 M206:M207 V181:V182 J206:J207 G199 J199 G246:G247 G206:G207 J226:J227 M226:M227 V206:V207 J219 G219 V199 M199 G226:G227 J246:J247 M246:M247 V226:V227 J239 G239 V219 M219 M239 J270:J271 M270:M271 V246:V247 J263 G263 V239 G270:G271 M263 J290:J291 J283 V270:V271 V263 G283 G290:G291 M290:M291 M283 V290:V291 G310:G311 J303 V283 M303 J135 M135 J141:J142 M141:M142 P141:P142 P175 P181:P182 S155 S161:S162 S175 S181:S182 V155 V161:V162 P206:P207 P199 S206:S207 S199 P226:P227 P219 S226:S227 S219 P246:P247 P239 S246:S247 S239 P270:P271 P263 S270:S271 S263 P290:P291 P283 S290:S291 S283 P310:P311 P303 S310:S311 S303 V310:V311 V303" xr:uid="{6EC2F771-7B46-4870-ACE2-CFC20B641F7F}">
      <formula1>0</formula1>
      <formula2>1</formula2>
    </dataValidation>
    <dataValidation type="whole" allowBlank="1" showInputMessage="1" showErrorMessage="1" sqref="J133:J134 M133:M134 P133:P134 S133 V133 J197 M197 P197 S197 V197 J260 M260 P260 S260 V260" xr:uid="{27124920-F2F6-481E-A983-0B3BEC12D6D1}">
      <formula1>0</formula1>
      <formula2>3</formula2>
    </dataValidation>
    <dataValidation type="whole" operator="greaterThan" allowBlank="1" showInputMessage="1" showErrorMessage="1" sqref="G95:G96 J95:J96 M95:M96 P95:P96 S95:S96 V95:V96" xr:uid="{E52E0A05-21E3-411C-A5BC-878E0AB24629}">
      <formula1>0</formula1>
    </dataValidation>
    <dataValidation type="decimal" allowBlank="1" showInputMessage="1" showErrorMessage="1" sqref="G94 J94 M94 P94 S94 V94" xr:uid="{C76788D6-92B4-48EC-AC4B-6ADE4C3AC88C}">
      <formula1>0</formula1>
      <formula2>99.9999</formula2>
    </dataValidation>
    <dataValidation type="decimal" operator="greaterThan" allowBlank="1" showInputMessage="1" showErrorMessage="1" sqref="G68 G77:G78 G6 V308 G71:G72 V92 G216 G9:G11 P171:P172 G236:G238 P262 V256:V257 V280:V281 S92 S114 P114 V114 G92 P151:P152 M180 P180 P160 J160 V191:V192 V184 M209 V209 J229 M229 G203:G204 V236:V237 J256:J257 M256:M257 G223:G224 V249 J273 M273 V273 J293 M293 V300:V301 J320:J321 M320:M321 P92 S140 V140 J140 J92 S151:S152 J184 M184 G307:G308 S160 M164 P164 G209 J216:J218 M216:M218 P216:P218 G229 J236:J238 M236:M238 P236:P238 G249 V229 J249 M249 G273 V244 M280:M282 P280:P282 G293 V268 M300:M302 P300:P302 G313 V293 J313 M313 P144 S144 G151:G152 V144 M92 V151:V152 J191:J192 M191:M192 G171:G172 J164 M171:M172 G191:G192 J209 M204 J171:J172 V204 J224 M224 J204 G256:G257 V224 J244 M244 J268 M268 G280:G282 G262 J288 M288 G300:G302 G267:G268 G320:G321 V288 J308 M308 J180 G21 G19 G44:G45 G47:G48 G53:G54 G287:G288 V108 S108 P108 G243:G244 J262 M262 M108 G108 J108 G114 J114 M114 M140 V313 J144 M144 J151:J152 M151:M152 P191:P192 S180 P184 V160 S171:S172 S164 V180 S191:S192 S184 P140 V164 V171:V172 M160 P209 P204 S216:S217 S209 S204 V216:V217 P229 P224 S236:S237 S229 S224 P256:P257 P249 P244 S256:S257 S249 S244 J280:J282 P273 P268 S280:S281 S273 S268 J300:J302 P293 P288 S300:S301 S293 S288 P320:P321 P313 P308 S320:S321 S313 S308 V320:V321 G59:G62 G65:G66" xr:uid="{CF7ED460-5CFE-4289-AD1A-22B5C6B6A35E}">
      <formula1>0</formula1>
    </dataValidation>
    <dataValidation type="decimal" allowBlank="1" showInputMessage="1" showErrorMessage="1" sqref="G93 J93 M93 P93 S93 V93" xr:uid="{90FB27F1-DDEC-4505-9DC0-0B935EDCCBCF}">
      <formula1>0.0001</formula1>
      <formula2>2</formula2>
    </dataValidation>
    <dataValidation type="list" allowBlank="1" showInputMessage="1" showErrorMessage="1" sqref="G121 J121 M121 P121 S121 V121" xr:uid="{2FDF6852-ECAC-4E83-83C9-08C7A30D5C91}">
      <formula1>"Cost per facility, Cost as % commodity value"</formula1>
    </dataValidation>
    <dataValidation type="list" allowBlank="1" showInputMessage="1" showErrorMessage="1" sqref="G316 G274 G276 G212 G232 G210 G294 G230 G147 G167 G296 G250 G314 G252 G187" xr:uid="{CC98E769-FBAA-4F89-BF15-DD643A3C49E0}">
      <formula1>$B$28:$B$38</formula1>
    </dataValidation>
    <dataValidation type="list" allowBlank="1" showInputMessage="1" showErrorMessage="1" sqref="J309 M205 V289 V205 G309 P205 M225 V225 G289 P225 M245 V245 V309 P245 M269 V269 J289 P269 P289 S205 P309 S225 J205 S245 J225 S269 J245 S289 J269 S309 M289 M309" xr:uid="{525ADC1D-37EB-4AC9-AB85-9A0B0223709B}">
      <formula1>"Yes, No"</formula1>
    </dataValidation>
    <dataValidation type="list" allowBlank="1" showInputMessage="1" showErrorMessage="1" sqref="M248 G312 J312 J208 V272 V228 V143 G228 M272 J292 P163 M228 M183 G248 J183 J248 J272 G272 V183 M163 M208 V292 G292 M292 V208 J163 M312 V248 J228 G208 J143 M143 P143 S143 P183 S163 S183 V163 P208 S208 P228 S228 P248 S248 P272 S272 P292 S292 P312 S312 V312" xr:uid="{3C68BE73-54B4-4668-8F91-BC3083DF3E6D}">
      <formula1>"Route-based,Point-to-point"</formula1>
    </dataValidation>
    <dataValidation type="list" allowBlank="1" showInputMessage="1" showErrorMessage="1" sqref="G193 V173:V174 J173:J174 M173:M174 P173:P174 S173:S174 G153:G154 V153:V154 S153:S154 P153:P154 M153:M154 J153:J154 J193 G173:G174 S193 P193 M193 V193 G16" xr:uid="{8A8A5890-848F-4CD0-8C0D-0B36317D2A69}">
      <formula1>"Yes,No"</formula1>
    </dataValidation>
  </dataValidations>
  <hyperlinks>
    <hyperlink ref="K20" location="'Vaccine Demand Volume &amp; Value'!A1" display="Vaccines Demand V&amp;V" xr:uid="{8740ED2D-85AC-47D7-A583-F4DA9183272F}"/>
    <hyperlink ref="K21" location="'RH Demand Volume &amp; Value'!A1" display="RH Demand V&amp;V" xr:uid="{7CC1EE58-07BF-4D20-BA24-3070EE099650}"/>
    <hyperlink ref="Q20:S20" location="'Vaccine Demand Volume &amp; Value'!A1" display="1. Vaccine Demand Volume &amp; Value" xr:uid="{16147C14-4BCC-41CF-B94A-A7340E06544E}"/>
    <hyperlink ref="Q21:S21" location="'RH Demand Volume &amp; Value'!A1" display="2. RH Demand Volume &amp; Value" xr:uid="{6182C57C-D12A-4372-BFB2-56214E5BEE86}"/>
    <hyperlink ref="K22" location="'General Demand Volume'!A1" display="c. General Demand Vol." xr:uid="{6340319B-2DAA-417D-B359-0574A912BF7B}"/>
    <hyperlink ref="Q22" location="'General Demand Volume'!A1" display="c. General Demand Volume" xr:uid="{949D30B8-A171-4B23-A4B3-35AF088C991A}"/>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4BC4BEE5-073F-464C-8D47-B00B5772186F}">
          <x14:formula1>
            <xm:f>'Scenario Manager'!$O$7:$O$12</xm:f>
          </x14:formula1>
          <xm:sqref>G5 G86 J86 M86 P86 S86 V86</xm:sqref>
        </x14:dataValidation>
        <x14:dataValidation type="list" allowBlank="1" showInputMessage="1" showErrorMessage="1" xr:uid="{2D480394-0F6F-4192-B5D3-B8C983E3AA40}">
          <x14:formula1>
            <xm:f>'List Values'!$C$3:$C$8</xm:f>
          </x14:formula1>
          <xm:sqref>G87 J87 M87 P87 S87 V87</xm:sqref>
        </x14:dataValidation>
        <x14:dataValidation type="list" allowBlank="1" showInputMessage="1" showErrorMessage="1" xr:uid="{C3D8406D-528F-4542-8FBB-38FD370244B3}">
          <x14:formula1>
            <xm:f>'List Values'!$G$3:$G$9</xm:f>
          </x14:formula1>
          <xm:sqref>J304 V264 J284 M284 V284 V136 M304 J176 M176 G304 J156 M156 P156 G200 V176 J200 M200 G220 V200 J220 M220 G240 V220 J240 M240 G264 V240 J264 M264 G284 J136 M136 P136 S136 P176 S156 S176 V156 P200 S200 P220 S220 P240 S240 P264 S264 P284 S284 P304 S304 V304</xm:sqref>
        </x14:dataValidation>
        <x14:dataValidation type="list" operator="greaterThan" allowBlank="1" showInputMessage="1" showErrorMessage="1" xr:uid="{6424DD1F-90F0-4001-AFAF-EA8F2695D4C9}">
          <x14:formula1>
            <xm:f>'List Values'!$B$3:$B$4</xm:f>
          </x14:formula1>
          <xm:sqref>G20</xm:sqref>
        </x14:dataValidation>
        <x14:dataValidation type="list" allowBlank="1" showInputMessage="1" showErrorMessage="1" xr:uid="{AFCDB342-0FC8-4E31-B0EF-C3F3FEF013FF}">
          <x14:formula1>
            <xm:f>'List Values'!$B$3:$B$4</xm:f>
          </x14:formula1>
          <xm:sqref>G20 J19 P20</xm:sqref>
        </x14:dataValidation>
        <x14:dataValidation type="list" allowBlank="1" showInputMessage="1" showErrorMessage="1" xr:uid="{3EDB9B90-BFFA-4972-8C9F-43A0D3DBBD17}">
          <x14:formula1>
            <xm:f>'List Values'!$E$3:$E$7</xm:f>
          </x14:formula1>
          <xm:sqref>T137</xm:sqref>
        </x14:dataValidation>
        <x14:dataValidation type="list" allowBlank="1" showInputMessage="1" showErrorMessage="1" xr:uid="{8F59A88F-68ED-4ED9-B902-2E4FA7BFFBD0}">
          <x14:formula1>
            <xm:f>'List Values'!$F$3:$F$7</xm:f>
          </x14:formula1>
          <xm:sqref>M306 J286 M286 G306 J306 V138 J178 M178 V286 J158 M158 P158 G202 V178 J202 M202 G222 V202 J222 M222 G242 V222 J242 M242 G266 V242 J266 M266 G286 V266 J138 M138 P138 S138 P178 S158 S178 V158 P202 S202 P222 S222 P242 S242 P266 S266 P286 S286 P306 S306 V306</xm:sqref>
        </x14:dataValidation>
        <x14:dataValidation type="list" allowBlank="1" showInputMessage="1" showErrorMessage="1" xr:uid="{91F00B14-06DC-488D-B294-7233635CF1F9}">
          <x14:formula1>
            <xm:f>'List Values'!$E$3:$E$5</xm:f>
          </x14:formula1>
          <xm:sqref>M305 M285 J285 V265 M177 J177 V137 J305 V285 J157 M157 P157 M201 J201 V177 G305 G221 V201 J221 M221 M241 J241 V221 G241 G285 V241 J265 M265 J137 M137 P137 S137 P177 S157 S177 V157 P201 S201 P221 S221 P241 S241 P265 S265 P285 S285 P305 S305 V305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AU447"/>
  <sheetViews>
    <sheetView showGridLines="0" topLeftCell="A43" zoomScale="85" zoomScaleNormal="85" zoomScalePageLayoutView="117" workbookViewId="0">
      <selection activeCell="H69" sqref="H69"/>
    </sheetView>
  </sheetViews>
  <sheetFormatPr defaultColWidth="11.3046875" defaultRowHeight="14.6" outlineLevelRow="1"/>
  <cols>
    <col min="1" max="4" width="2.3046875" customWidth="1"/>
    <col min="5" max="5" width="1.84375" customWidth="1"/>
    <col min="6" max="6" width="22.3828125" customWidth="1"/>
    <col min="7" max="7" width="52.3046875" customWidth="1"/>
    <col min="8" max="8" width="15.15234375" style="7" customWidth="1"/>
    <col min="9" max="10" width="15.69140625" style="7" hidden="1" customWidth="1"/>
    <col min="11" max="11" width="16.3046875" style="7" customWidth="1"/>
    <col min="12" max="13" width="15.3046875" style="7" hidden="1" customWidth="1"/>
    <col min="14" max="14" width="15.15234375" style="7" customWidth="1"/>
    <col min="15" max="16" width="15.3046875" style="7" hidden="1" customWidth="1"/>
    <col min="17" max="17" width="15.15234375" style="7" customWidth="1"/>
    <col min="18" max="19" width="20.15234375" style="7" hidden="1" customWidth="1"/>
    <col min="20" max="20" width="15.15234375" style="7" customWidth="1"/>
    <col min="21" max="22" width="20.15234375" style="7" hidden="1" customWidth="1"/>
    <col min="23" max="23" width="15.15234375" style="7" customWidth="1"/>
    <col min="24" max="24" width="0.53515625" style="1444" customWidth="1"/>
    <col min="25" max="25" width="17" customWidth="1"/>
    <col min="26" max="26" width="13.84375" customWidth="1"/>
    <col min="28" max="28" width="9.84375" customWidth="1"/>
    <col min="29" max="29" width="7.84375" customWidth="1"/>
    <col min="32" max="32" width="8.3046875" customWidth="1"/>
    <col min="33" max="33" width="7.3828125" customWidth="1"/>
  </cols>
  <sheetData>
    <row r="1" spans="1:24" ht="33.75" customHeight="1">
      <c r="A1" s="2688" t="s">
        <v>5799</v>
      </c>
      <c r="B1" s="2688"/>
      <c r="C1" s="2688"/>
      <c r="D1" s="2688"/>
      <c r="E1" s="2688"/>
      <c r="F1" s="2688"/>
      <c r="G1" s="2688"/>
      <c r="H1" s="2688"/>
      <c r="I1" s="2688"/>
      <c r="J1" s="2688"/>
      <c r="K1" s="2688"/>
      <c r="L1" s="2688"/>
      <c r="M1" s="2688"/>
      <c r="N1" s="2688"/>
      <c r="O1" s="2688"/>
      <c r="P1" s="2688"/>
      <c r="Q1" s="2688"/>
      <c r="R1" s="2688"/>
      <c r="S1" s="2688"/>
      <c r="T1" s="2688"/>
    </row>
    <row r="2" spans="1:24">
      <c r="A2" s="486"/>
      <c r="T2" s="1585"/>
    </row>
    <row r="3" spans="1:24" ht="26.9" customHeight="1">
      <c r="F3" s="393" t="s">
        <v>2533</v>
      </c>
      <c r="G3" s="322"/>
      <c r="H3" s="2693" t="s">
        <v>5812</v>
      </c>
      <c r="I3" s="2693"/>
      <c r="J3" s="2693"/>
      <c r="K3" s="2693"/>
      <c r="N3" s="424"/>
      <c r="W3" s="261"/>
    </row>
    <row r="4" spans="1:24" ht="31.5" customHeight="1">
      <c r="F4" s="394" t="s">
        <v>470</v>
      </c>
      <c r="G4" s="323"/>
      <c r="H4" s="2694" t="str">
        <f>IFERROR(INDEX('Scenario Manager'!$B$7:$B$12,MATCH($H$3,'Scenario Manager'!$C$7:$C$12,0)),"Can't Find Selected Input Parameters Worksheet!")</f>
        <v>Baseline</v>
      </c>
      <c r="I4" s="2694"/>
      <c r="J4" s="2694"/>
      <c r="K4" s="2694"/>
      <c r="W4" s="261"/>
    </row>
    <row r="5" spans="1:24" ht="22.5" customHeight="1"/>
    <row r="6" spans="1:24" ht="22.5" customHeight="1">
      <c r="W6" s="261"/>
    </row>
    <row r="7" spans="1:24" ht="30" customHeight="1"/>
    <row r="8" spans="1:24" ht="29.25" customHeight="1">
      <c r="E8" s="412" t="s">
        <v>457</v>
      </c>
      <c r="F8" s="324"/>
      <c r="G8" s="324"/>
      <c r="H8" s="324"/>
      <c r="I8" s="324"/>
      <c r="J8" s="324"/>
      <c r="K8" s="325"/>
    </row>
    <row r="9" spans="1:24" ht="25" customHeight="1">
      <c r="F9" s="487" t="s">
        <v>453</v>
      </c>
      <c r="G9" s="488"/>
      <c r="H9" s="2695">
        <f ca="1">INDIRECT("'"&amp;$H$3&amp;"'!$H$7")</f>
        <v>3</v>
      </c>
      <c r="I9" s="2696"/>
      <c r="J9" s="2696"/>
      <c r="K9" s="2697"/>
      <c r="L9" s="309"/>
      <c r="M9" s="309"/>
      <c r="N9" s="260"/>
      <c r="O9" s="260"/>
      <c r="P9" s="260"/>
      <c r="Q9" s="310"/>
      <c r="R9" s="305"/>
      <c r="S9" s="305"/>
      <c r="T9" s="306"/>
    </row>
    <row r="10" spans="1:24" ht="25" customHeight="1">
      <c r="F10" s="314" t="s">
        <v>2534</v>
      </c>
      <c r="G10" s="315"/>
      <c r="H10" s="2698">
        <f ca="1">IF(INDIRECT("'"&amp;$H$3&amp;"'!$H$7")=1,(INDIRECT("'"&amp;$H$3&amp;"'!$H$95")),
IF(INDIRECT("'"&amp;$H$3&amp;"'!$H$7")=2,(INDIRECT("'"&amp;$H$3&amp;"'!$K$95")),
IF(INDIRECT("'"&amp;$H$3&amp;"'!$H$7")=3,(INDIRECT("'"&amp;$H$3&amp;"'!$N$95")),
IF(INDIRECT("'"&amp;$H$3&amp;"'!$H$7")=4,(INDIRECT("'"&amp;$H$3&amp;"'!$Q$95")),
IF(INDIRECT("'"&amp;$H$3&amp;"'!$H$7")=5,(INDIRECT("'"&amp;$H$3&amp;"'!$T$95")),
(INDIRECT("'"&amp;$H$3&amp;"'!$W$95")))))))</f>
        <v>345</v>
      </c>
      <c r="I10" s="2698"/>
      <c r="J10" s="2698"/>
      <c r="K10" s="2698"/>
      <c r="L10" s="23"/>
      <c r="M10" s="23"/>
      <c r="N10" s="260"/>
      <c r="O10" s="260"/>
      <c r="P10" s="260"/>
      <c r="Q10" s="310"/>
      <c r="R10" s="305"/>
      <c r="S10" s="222"/>
      <c r="T10" s="307"/>
      <c r="U10" s="260"/>
      <c r="V10" s="260"/>
    </row>
    <row r="11" spans="1:24" ht="25" customHeight="1">
      <c r="F11" s="317" t="s">
        <v>5515</v>
      </c>
      <c r="G11" s="316"/>
      <c r="H11" s="2691">
        <f ca="1">IF(INDIRECT("'"&amp;$H$3&amp;"'!$H$7")=1,($H$52*INDIRECT("'"&amp;$H$3&amp;"'!$H$95")),
IF(INDIRECT("'"&amp;$H$3&amp;"'!$H$7")=2,($K$52*INDIRECT("'"&amp;$H$3&amp;"'!$K$95")),
IF(INDIRECT("'"&amp;$H$3&amp;"'!$H$7")=3,($N$52*INDIRECT("'"&amp;$H$3&amp;"'!$N$95")),
IF(INDIRECT("'"&amp;$H$3&amp;"'!$H$7")=4,($Q$52*INDIRECT("'"&amp;$H$3&amp;"'!$Q$95")),
IF(INDIRECT("'"&amp;$H$3&amp;"'!$H$7")=5,($T$52*INDIRECT("'"&amp;$H$3&amp;"'!$T$95")),
($W$52*INDIRECT("'"&amp;$H$3&amp;"'!$W$95")))))))</f>
        <v>1955</v>
      </c>
      <c r="I11" s="2691"/>
      <c r="J11" s="2691"/>
      <c r="K11" s="2691"/>
      <c r="L11" s="23"/>
      <c r="M11" s="23"/>
      <c r="N11" s="260"/>
      <c r="O11" s="260"/>
      <c r="P11" s="260"/>
      <c r="Q11" s="310"/>
      <c r="R11" s="305"/>
      <c r="S11" s="306"/>
      <c r="T11" s="307"/>
      <c r="U11" s="261"/>
      <c r="V11" s="261"/>
    </row>
    <row r="12" spans="1:24" ht="25" customHeight="1">
      <c r="F12" s="1889" t="s">
        <v>5516</v>
      </c>
      <c r="H12" s="2691">
        <f ca="1">IF(INDIRECT("'"&amp;$H$3&amp;"'!$H$7")=1,($H$64*INDIRECT("'"&amp;$H$3&amp;"'!$H$95")),
IF(INDIRECT("'"&amp;$H$3&amp;"'!$H$7")=2,($K$64*INDIRECT("'"&amp;$H$3&amp;"'!$K$95")),
IF(INDIRECT("'"&amp;$H$3&amp;"'!$H$7")=3,($N$64*INDIRECT("'"&amp;$H$3&amp;"'!$N$95")),
IF(INDIRECT("'"&amp;$H$3&amp;"'!$H$7")=4,($Q$64*INDIRECT("'"&amp;$H$3&amp;"'!$Q$95")),
IF(INDIRECT("'"&amp;$H$3&amp;"'!$H$7")=5,($T$64*INDIRECT("'"&amp;$H$3&amp;"'!$T$95")),
($W$64*INDIRECT("'"&amp;$H$3&amp;"'!$W$95")))))))</f>
        <v>0</v>
      </c>
      <c r="I12" s="2691"/>
      <c r="J12" s="2691"/>
      <c r="K12" s="2691"/>
      <c r="L12" s="23"/>
      <c r="M12" s="23"/>
      <c r="N12" s="260"/>
      <c r="O12" s="260"/>
      <c r="P12" s="260"/>
      <c r="Q12" s="310"/>
      <c r="R12" s="305"/>
      <c r="S12" s="306"/>
      <c r="T12" s="307"/>
      <c r="U12" s="261"/>
      <c r="V12" s="261"/>
    </row>
    <row r="13" spans="1:24" ht="25" customHeight="1">
      <c r="F13" s="317" t="s">
        <v>374</v>
      </c>
      <c r="G13" s="318"/>
      <c r="H13" s="2692">
        <f ca="1">INDIRECT("'"&amp;$H$3&amp;"'!$H$21")</f>
        <v>12300000</v>
      </c>
      <c r="I13" s="2692"/>
      <c r="J13" s="2692"/>
      <c r="K13" s="2692"/>
      <c r="L13" s="23"/>
      <c r="M13" s="23"/>
      <c r="N13" s="260"/>
      <c r="O13" s="260"/>
      <c r="P13" s="260"/>
      <c r="Q13" s="310"/>
      <c r="R13" s="305"/>
      <c r="S13" s="306"/>
      <c r="T13" s="307"/>
      <c r="U13" s="261"/>
      <c r="V13" s="261"/>
      <c r="W13" s="261"/>
      <c r="X13" s="1445"/>
    </row>
    <row r="14" spans="1:24" ht="41.25" customHeight="1">
      <c r="F14" s="2495" t="s">
        <v>830</v>
      </c>
      <c r="G14" s="2496"/>
      <c r="H14" s="2706">
        <f ca="1">SUM(H280:W280,H309:W309,H338:W338,H169:W169,H207:W207,H245:W245,H369:W369,H398:W398,H427:W427)</f>
        <v>406773.92385298421</v>
      </c>
      <c r="I14" s="2707"/>
      <c r="J14" s="2707"/>
      <c r="K14" s="2708"/>
      <c r="L14" s="23"/>
      <c r="M14" s="23"/>
      <c r="N14" s="260"/>
      <c r="O14" s="260"/>
      <c r="P14" s="260"/>
      <c r="Q14" s="310"/>
      <c r="R14" s="305"/>
      <c r="S14" s="306"/>
      <c r="T14" s="307"/>
      <c r="U14" s="261"/>
      <c r="V14" s="261"/>
      <c r="W14" s="261"/>
      <c r="X14" s="1445"/>
    </row>
    <row r="15" spans="1:24" ht="25" customHeight="1">
      <c r="F15" s="314" t="s">
        <v>456</v>
      </c>
      <c r="G15" s="316"/>
      <c r="H15" s="2706">
        <f ca="1">SUM(H267:W267,H281:W281,H296:W296,H310:W310,H325:W325,H339:W339,
H155:W155,H171:W171,H193:W193,H209:W209,H231:W231,H247:W247,
H356:W356,H370:W370,H385:W385,H399:W399,H414:W414,H428:W428)</f>
        <v>1327</v>
      </c>
      <c r="I15" s="2707"/>
      <c r="J15" s="2707"/>
      <c r="K15" s="2708"/>
      <c r="L15" s="23"/>
      <c r="M15" s="23"/>
      <c r="N15" s="260"/>
      <c r="O15" s="260"/>
      <c r="P15" s="260"/>
      <c r="Q15" s="310"/>
      <c r="R15" s="305"/>
      <c r="S15" s="306"/>
      <c r="T15" s="307"/>
      <c r="U15" s="261"/>
      <c r="V15" s="261"/>
      <c r="W15" s="261"/>
      <c r="X15" s="1445"/>
    </row>
    <row r="16" spans="1:24" ht="19.5" customHeight="1">
      <c r="F16" s="319" t="s">
        <v>469</v>
      </c>
      <c r="G16" s="320"/>
      <c r="H16" s="2709">
        <f ca="1">SUM(Z46,H55,K55,N55,Q55,T55,W55)</f>
        <v>3</v>
      </c>
      <c r="I16" s="2710"/>
      <c r="J16" s="2710"/>
      <c r="K16" s="2711"/>
      <c r="L16" s="23"/>
      <c r="M16" s="23"/>
      <c r="N16" s="260"/>
      <c r="O16" s="260"/>
      <c r="P16" s="260"/>
      <c r="Q16" s="310"/>
      <c r="R16" s="305"/>
      <c r="S16" s="306"/>
      <c r="T16" s="307"/>
      <c r="U16" s="261"/>
      <c r="V16" s="261"/>
      <c r="W16" s="261"/>
      <c r="X16" s="1445"/>
    </row>
    <row r="17" spans="5:29" ht="12.75" customHeight="1">
      <c r="F17" s="308"/>
      <c r="G17" s="311"/>
      <c r="H17" s="321"/>
      <c r="I17" s="137"/>
      <c r="J17" s="137"/>
      <c r="K17" s="137"/>
      <c r="L17" s="23"/>
      <c r="M17" s="23"/>
      <c r="N17" s="260"/>
      <c r="O17" s="260"/>
      <c r="P17" s="260"/>
      <c r="Q17" s="221"/>
      <c r="R17" s="1342"/>
      <c r="S17" s="1342"/>
      <c r="T17" s="1343"/>
      <c r="U17" s="260"/>
      <c r="V17" s="260"/>
      <c r="W17" s="260"/>
      <c r="X17" s="1446"/>
    </row>
    <row r="18" spans="5:29" ht="15" customHeight="1">
      <c r="F18" s="417" t="s">
        <v>393</v>
      </c>
      <c r="G18" s="418"/>
      <c r="H18" s="2712">
        <f ca="1">Y81</f>
        <v>1429944.3733770894</v>
      </c>
      <c r="I18" s="2713"/>
      <c r="J18" s="2713"/>
      <c r="K18" s="2714"/>
      <c r="L18" s="23"/>
      <c r="M18" s="23"/>
      <c r="N18" s="260"/>
      <c r="O18" s="260"/>
      <c r="P18" s="260"/>
      <c r="Q18" s="310"/>
      <c r="R18" s="305"/>
      <c r="S18" s="222"/>
      <c r="T18" s="1341"/>
      <c r="U18" s="222"/>
      <c r="V18" s="222"/>
      <c r="W18" s="222"/>
      <c r="X18" s="1447"/>
    </row>
    <row r="19" spans="5:29" ht="15" customHeight="1">
      <c r="F19" s="312"/>
      <c r="G19" s="312"/>
      <c r="H19" s="313"/>
      <c r="I19" s="313"/>
      <c r="J19" s="313"/>
      <c r="K19" s="313"/>
      <c r="L19" s="23"/>
      <c r="M19" s="23"/>
      <c r="N19" s="260"/>
      <c r="O19" s="260"/>
      <c r="P19" s="260"/>
      <c r="Q19" s="310"/>
      <c r="R19" s="305"/>
      <c r="S19" s="222"/>
      <c r="T19" s="307"/>
      <c r="U19" s="222"/>
      <c r="V19" s="222"/>
      <c r="W19" s="222"/>
      <c r="X19" s="1447"/>
    </row>
    <row r="20" spans="5:29" ht="15" customHeight="1">
      <c r="F20" s="312"/>
      <c r="G20" s="312"/>
      <c r="H20" s="313"/>
      <c r="I20" s="313"/>
      <c r="J20" s="313"/>
      <c r="K20" s="313"/>
      <c r="L20" s="23"/>
      <c r="M20" s="23"/>
      <c r="N20" s="260"/>
      <c r="O20" s="260"/>
      <c r="P20" s="260"/>
      <c r="Q20" s="310"/>
      <c r="R20" s="305"/>
      <c r="S20" s="222"/>
      <c r="T20" s="307"/>
      <c r="U20" s="222"/>
      <c r="V20" s="222"/>
      <c r="W20" s="222"/>
      <c r="X20" s="1447"/>
    </row>
    <row r="21" spans="5:29" ht="15" customHeight="1">
      <c r="L21" s="135"/>
      <c r="M21" s="135"/>
      <c r="N21" s="260"/>
      <c r="O21" s="260"/>
      <c r="P21" s="260"/>
      <c r="Q21" s="310"/>
      <c r="R21" s="305"/>
      <c r="S21" s="305"/>
      <c r="U21" s="260"/>
      <c r="V21" s="260"/>
      <c r="W21" s="260"/>
      <c r="X21" s="1446"/>
    </row>
    <row r="22" spans="5:29" ht="15.65" customHeight="1">
      <c r="F22" s="24"/>
      <c r="G22" s="24"/>
      <c r="H22" s="134"/>
      <c r="I22" s="134"/>
      <c r="J22" s="134"/>
      <c r="K22" s="134"/>
      <c r="L22" s="135"/>
      <c r="M22" s="135"/>
      <c r="Q22" s="136"/>
      <c r="R22" s="137"/>
      <c r="S22" s="137"/>
      <c r="T22" s="137"/>
      <c r="U22" s="137"/>
      <c r="V22" s="137"/>
      <c r="W22" s="137"/>
      <c r="X22" s="1448"/>
    </row>
    <row r="23" spans="5:29" ht="31.5" customHeight="1">
      <c r="E23" s="413" t="s">
        <v>458</v>
      </c>
      <c r="F23" s="1491"/>
      <c r="G23" s="1491"/>
      <c r="H23" s="1492" t="str">
        <f ca="1">IF($H$9&gt;=1,INDIRECT("'"&amp;$H$3&amp;"'!G$91"),"")</f>
        <v>CMS Tier</v>
      </c>
      <c r="I23" s="1492" t="str">
        <f t="shared" ref="I23:V23" ca="1" si="0">IF($H$9&gt;=1,"Tier 1","")</f>
        <v>Tier 1</v>
      </c>
      <c r="J23" s="1492" t="str">
        <f t="shared" ca="1" si="0"/>
        <v>Tier 1</v>
      </c>
      <c r="K23" s="1492" t="str">
        <f ca="1">IF($H$9&gt;=2,INDIRECT("'"&amp;$H$3&amp;"'!J$91"),"")</f>
        <v>Regional WH Tier</v>
      </c>
      <c r="L23" s="1492" t="str">
        <f t="shared" ca="1" si="0"/>
        <v>Tier 1</v>
      </c>
      <c r="M23" s="1492" t="str">
        <f t="shared" ca="1" si="0"/>
        <v>Tier 1</v>
      </c>
      <c r="N23" s="1492" t="str">
        <f ca="1">IF($H$9&gt;=3,INDIRECT("'"&amp;$H$3&amp;"'!M$91"),"")</f>
        <v>Health Facility Tier</v>
      </c>
      <c r="O23" s="1492" t="str">
        <f t="shared" ca="1" si="0"/>
        <v>Tier 1</v>
      </c>
      <c r="P23" s="1492" t="str">
        <f t="shared" ca="1" si="0"/>
        <v>Tier 1</v>
      </c>
      <c r="Q23" s="1492" t="str">
        <f ca="1">IF($H$9&gt;=4,INDIRECT("'"&amp;$H$3&amp;"'!P$91"),"")</f>
        <v/>
      </c>
      <c r="R23" s="1493" t="str">
        <f t="shared" ca="1" si="0"/>
        <v>Tier 1</v>
      </c>
      <c r="S23" s="136" t="str">
        <f t="shared" ca="1" si="0"/>
        <v>Tier 1</v>
      </c>
      <c r="T23" s="1492" t="str">
        <f ca="1">IF($H$9&gt;=5,INDIRECT("'"&amp;$H$3&amp;"'!S$91"),"")</f>
        <v/>
      </c>
      <c r="U23" s="136" t="str">
        <f t="shared" ca="1" si="0"/>
        <v>Tier 1</v>
      </c>
      <c r="V23" s="136" t="str">
        <f t="shared" ca="1" si="0"/>
        <v>Tier 1</v>
      </c>
      <c r="W23" s="1492" t="str">
        <f ca="1">IF($H$9&gt;=6,INDIRECT("'"&amp;$H$3&amp;"'!V$91"),"")</f>
        <v/>
      </c>
      <c r="X23" s="1494"/>
      <c r="Y23" s="1495" t="s">
        <v>473</v>
      </c>
    </row>
    <row r="24" spans="5:29" ht="15" customHeight="1">
      <c r="E24" s="367"/>
      <c r="F24" s="351" t="s">
        <v>465</v>
      </c>
      <c r="G24" s="332"/>
      <c r="H24" s="342"/>
      <c r="I24" s="342"/>
      <c r="J24" s="342"/>
      <c r="K24" s="342"/>
      <c r="L24" s="342"/>
      <c r="M24" s="342"/>
      <c r="N24" s="342"/>
      <c r="O24" s="342"/>
      <c r="P24" s="342"/>
      <c r="Q24" s="342"/>
      <c r="R24" s="343"/>
      <c r="S24" s="342"/>
      <c r="T24" s="342"/>
      <c r="U24" s="342"/>
      <c r="V24" s="342"/>
      <c r="W24" s="342"/>
      <c r="X24" s="1420"/>
      <c r="Y24" s="344"/>
    </row>
    <row r="25" spans="5:29" ht="16.5" customHeight="1">
      <c r="F25" s="345"/>
      <c r="G25" s="336" t="s">
        <v>32</v>
      </c>
      <c r="H25" s="387">
        <f ca="1">H81/$H$13</f>
        <v>3.4589914680955958E-2</v>
      </c>
      <c r="I25" s="387"/>
      <c r="J25" s="387"/>
      <c r="K25" s="387">
        <f ca="1">K81/$H$13</f>
        <v>3.2170859493498141E-2</v>
      </c>
      <c r="L25" s="387"/>
      <c r="M25" s="387"/>
      <c r="N25" s="388">
        <f ca="1">N81/$H$13</f>
        <v>4.9494865937504372E-2</v>
      </c>
      <c r="O25" s="388"/>
      <c r="P25" s="388"/>
      <c r="Q25" s="388">
        <f ca="1">Q81/$H$13</f>
        <v>0</v>
      </c>
      <c r="R25" s="388"/>
      <c r="S25" s="388"/>
      <c r="T25" s="388">
        <f ca="1">T81/$H$13</f>
        <v>0</v>
      </c>
      <c r="U25" s="388"/>
      <c r="V25" s="388"/>
      <c r="W25" s="1407">
        <f ca="1">W81/$H$13</f>
        <v>0</v>
      </c>
      <c r="X25" s="1449"/>
      <c r="Y25" s="389">
        <f ca="1">Y81/$H$13</f>
        <v>0.11625564011195849</v>
      </c>
    </row>
    <row r="26" spans="5:29" ht="16.5" customHeight="1">
      <c r="F26" s="345"/>
      <c r="G26" s="336" t="s">
        <v>2535</v>
      </c>
      <c r="H26" s="289">
        <f ca="1">H81/$H$11</f>
        <v>217.62452714872543</v>
      </c>
      <c r="I26" s="289"/>
      <c r="J26" s="289"/>
      <c r="K26" s="289">
        <f ca="1">K81/$H$11</f>
        <v>202.40489604604969</v>
      </c>
      <c r="L26" s="289"/>
      <c r="M26" s="289"/>
      <c r="N26" s="289">
        <f ca="1">N81/$H$11</f>
        <v>311.39992380117837</v>
      </c>
      <c r="O26" s="289"/>
      <c r="P26" s="289"/>
      <c r="Q26" s="289">
        <f ca="1">Q81/$H$11</f>
        <v>0</v>
      </c>
      <c r="R26" s="289"/>
      <c r="S26" s="289"/>
      <c r="T26" s="289">
        <f ca="1">T81/$H$11</f>
        <v>0</v>
      </c>
      <c r="U26" s="289"/>
      <c r="V26" s="289"/>
      <c r="W26" s="1408">
        <f ca="1">W81/$H$11</f>
        <v>0</v>
      </c>
      <c r="X26" s="1450"/>
      <c r="Y26" s="369">
        <f ca="1">Y81/$H$11</f>
        <v>731.42934699595367</v>
      </c>
    </row>
    <row r="27" spans="5:29" ht="16.5" customHeight="1">
      <c r="F27" s="345"/>
      <c r="G27" s="336" t="s">
        <v>183</v>
      </c>
      <c r="H27" s="302">
        <f ca="1">IFERROR((($H$13/$H$11)*H$60*INDIRECT("'"&amp;$H$3&amp;"'!H$95")),0)</f>
        <v>5085281.25</v>
      </c>
      <c r="I27" s="302"/>
      <c r="J27" s="302"/>
      <c r="K27" s="302">
        <f ca="1">IFERROR((($H$13/$H$11)*K$60*INDIRECT("'"&amp;$H$3&amp;"'!K$95")),0)</f>
        <v>4843125</v>
      </c>
      <c r="L27" s="302"/>
      <c r="M27" s="302"/>
      <c r="N27" s="302">
        <f ca="1">IFERROR((($H$13/$H$11)*N$60*INDIRECT("'"&amp;$H$3&amp;"'!N$95")),0)</f>
        <v>4612500.0000000009</v>
      </c>
      <c r="O27" s="303"/>
      <c r="P27" s="303"/>
      <c r="Q27" s="302">
        <f ca="1">IFERROR((($H$13/$H$11)*Q$60*INDIRECT("'"&amp;$H$3&amp;"'!Q$95")),0)</f>
        <v>0</v>
      </c>
      <c r="R27" s="304"/>
      <c r="S27" s="304"/>
      <c r="T27" s="302">
        <f ca="1">IFERROR((($H$13/$H$11)*T$60*INDIRECT("'"&amp;$H$3&amp;"'!T$95")),0)</f>
        <v>0</v>
      </c>
      <c r="U27" s="304"/>
      <c r="V27" s="304"/>
      <c r="W27" s="1409">
        <f ca="1">IFERROR((($H$13/$H$11)*W$60*INDIRECT("'"&amp;$H$3&amp;"'!W$95")),0)</f>
        <v>0</v>
      </c>
      <c r="X27" s="1451"/>
      <c r="Y27" s="370">
        <f ca="1">SUM(H27:N27)</f>
        <v>14540906.25</v>
      </c>
    </row>
    <row r="28" spans="5:29" ht="16.5" customHeight="1">
      <c r="F28" s="390"/>
      <c r="G28" s="210" t="s">
        <v>2536</v>
      </c>
      <c r="H28" s="391">
        <f ca="1">IFERROR(SUM(H280,H309,H338,H169,H207,H245,H369,H398,H427)/(H52*INDIRECT("'"&amp;$H$3&amp;"'!H$95")),0)</f>
        <v>0</v>
      </c>
      <c r="I28" s="391"/>
      <c r="J28" s="391"/>
      <c r="K28" s="391">
        <f ca="1">IFERROR(SUM(K280,K309,K338,K169,K207,K245,K369,K398,K427)/(K52*INDIRECT("'"&amp;$H$3&amp;"'!K$95")),0)</f>
        <v>48.430641821946168</v>
      </c>
      <c r="L28" s="391"/>
      <c r="M28" s="391"/>
      <c r="N28" s="391">
        <f ca="1">IFERROR(SUM(N280,N309,N338,N169,N207,N245,N369,N398,N427)/(N52*INDIRECT("'"&amp;$H$3&amp;"'!N$95")),0)</f>
        <v>157.21632933656483</v>
      </c>
      <c r="O28" s="391"/>
      <c r="P28" s="391"/>
      <c r="Q28" s="391">
        <f ca="1">IFERROR(SUM(Q280,Q309,Q338,Q169,Q207,Q245,Q369,Q398,Q427)/(Q52*INDIRECT("'"&amp;$H$3&amp;"'!Q$95")),0)</f>
        <v>0</v>
      </c>
      <c r="R28" s="391"/>
      <c r="S28" s="391"/>
      <c r="T28" s="391">
        <f ca="1">IFERROR(SUM(T280,T309,T338,T169,T207,T245,T369,T398,T427)/(T52*INDIRECT("'"&amp;$H$3&amp;"'!T$95")),0)</f>
        <v>0</v>
      </c>
      <c r="U28" s="391"/>
      <c r="V28" s="391"/>
      <c r="W28" s="1410">
        <f ca="1">IFERROR(SUM(W280,W309,W338,W169,W207,W245,W369,W398,W427)/(W52*INDIRECT("'"&amp;$H$3&amp;"'!W$95")),0)</f>
        <v>0</v>
      </c>
      <c r="X28" s="1418"/>
      <c r="Y28" s="392">
        <f ca="1">SUM(H28:W28)</f>
        <v>205.64697115851101</v>
      </c>
    </row>
    <row r="29" spans="5:29" ht="10" customHeight="1">
      <c r="H29" s="439"/>
      <c r="I29" s="439"/>
      <c r="J29" s="439"/>
      <c r="K29" s="439"/>
      <c r="L29" s="439"/>
      <c r="M29" s="439"/>
      <c r="N29" s="439"/>
      <c r="O29" s="439"/>
      <c r="P29" s="439"/>
      <c r="Q29" s="439"/>
      <c r="R29" s="439"/>
      <c r="S29" s="439"/>
      <c r="T29" s="439"/>
      <c r="U29" s="439"/>
      <c r="V29" s="439"/>
      <c r="W29" s="439"/>
      <c r="X29" s="1418"/>
      <c r="Y29" s="1443"/>
    </row>
    <row r="30" spans="5:29" ht="33.65" customHeight="1">
      <c r="F30" s="442" t="s">
        <v>468</v>
      </c>
      <c r="G30" s="332"/>
      <c r="H30" s="437"/>
      <c r="I30" s="437"/>
      <c r="J30" s="437"/>
      <c r="K30" s="437"/>
      <c r="L30" s="437"/>
      <c r="M30" s="437"/>
      <c r="N30" s="437"/>
      <c r="O30" s="437"/>
      <c r="P30" s="437"/>
      <c r="Q30" s="437"/>
      <c r="R30" s="438"/>
      <c r="S30" s="437"/>
      <c r="T30" s="437"/>
      <c r="U30" s="437"/>
      <c r="V30" s="437"/>
      <c r="W30" s="437"/>
      <c r="X30" s="1420"/>
      <c r="Y30" s="1415" t="s">
        <v>590</v>
      </c>
      <c r="Z30" s="441" t="s">
        <v>474</v>
      </c>
    </row>
    <row r="31" spans="5:29" ht="14.9" customHeight="1">
      <c r="F31" s="2481" t="s">
        <v>235</v>
      </c>
      <c r="G31" s="425" t="s">
        <v>209</v>
      </c>
      <c r="H31" s="2082">
        <f ca="1">_xlfn.IFNA(IF(IFERROR(OR(H175&lt;1,AND(H175&gt;0,H176&gt;0,H176&gt;H175,INDIRECT("'"&amp;$H$3&amp;"'!H143")="Route-based")),FALSE),0,H172),0)</f>
        <v>0</v>
      </c>
      <c r="I31" s="2082"/>
      <c r="J31" s="2082"/>
      <c r="K31" s="2082">
        <f ca="1">_xlfn.IFNA(IF(IFERROR(OR(K175&lt;1,AND(K175&gt;0,K176&gt;0,K176&gt;K175,INDIRECT("'"&amp;$H$3&amp;"'!K143")="Route-based")),FALSE),0,K172),0)</f>
        <v>0</v>
      </c>
      <c r="L31" s="2082"/>
      <c r="M31" s="2082"/>
      <c r="N31" s="2082">
        <f ca="1">_xlfn.IFNA(IF(IFERROR(OR(N175&lt;1,AND(N175&gt;0,N176&gt;0,N176&gt;N175,INDIRECT("'"&amp;$H$3&amp;"'!N143")="Route-based")),FALSE),0,N172),0)</f>
        <v>0</v>
      </c>
      <c r="O31" s="2082"/>
      <c r="P31" s="2082"/>
      <c r="Q31" s="2082">
        <f ca="1">_xlfn.IFNA(IF(IFERROR(OR(Q175&lt;1,AND(Q175&gt;0,Q176&gt;0,Q176&gt;Q175,INDIRECT("'"&amp;$H$3&amp;"'!Q143")="Route-based")),FALSE),0,Q172),0)</f>
        <v>0</v>
      </c>
      <c r="R31" s="2082"/>
      <c r="S31" s="2082"/>
      <c r="T31" s="2082">
        <f ca="1">_xlfn.IFNA(IF(IFERROR(OR(T175&lt;1,AND(T175&gt;0,T176&gt;0,T176&gt;T175,INDIRECT("'"&amp;$H$3&amp;"'!T143")="Route-based")),FALSE),0,T172),0)</f>
        <v>0</v>
      </c>
      <c r="U31" s="2082"/>
      <c r="V31" s="2082"/>
      <c r="W31" s="2083">
        <f ca="1">_xlfn.IFNA(IF(IFERROR(OR(W175&lt;1,AND(W175&gt;0,W176&gt;0,W176&gt;W175,INDIRECT("'"&amp;$H$3&amp;"'!W143")="Route-based")),FALSE),0,W172),0)</f>
        <v>0</v>
      </c>
      <c r="X31" s="1452"/>
      <c r="Y31" s="2720"/>
      <c r="Z31" s="2699">
        <f ca="1">COUNTIFS(H31:W33,"&gt;0",H31:W33,{"&gt;0.9","&lt;0.5"})</f>
        <v>0</v>
      </c>
      <c r="AA31" s="273"/>
      <c r="AB31" s="273"/>
      <c r="AC31" s="273"/>
    </row>
    <row r="32" spans="5:29" ht="14.9" customHeight="1">
      <c r="F32" s="2481"/>
      <c r="G32" s="426" t="s">
        <v>210</v>
      </c>
      <c r="H32" s="2084">
        <f ca="1">_xlfn.IFNA(IF(IFERROR(OR(H213&lt;1,AND(H213&gt;0,H214&gt;0,H214&gt;H213,INDIRECT("'"&amp;$H$3&amp;"'!H163")="Route-based")),FALSE),0,H210),0)</f>
        <v>0</v>
      </c>
      <c r="I32" s="2084"/>
      <c r="J32" s="2084"/>
      <c r="K32" s="2084">
        <f ca="1">_xlfn.IFNA(IF(IFERROR(OR(K213&lt;1,AND(K213&gt;0,K214&gt;0,K214&gt;K213,INDIRECT("'"&amp;$H$3&amp;"'!K163")="Route-based")),FALSE),0,K210),0)</f>
        <v>0</v>
      </c>
      <c r="L32" s="2084"/>
      <c r="M32" s="2084"/>
      <c r="N32" s="2084">
        <f ca="1">_xlfn.IFNA(IF(IFERROR(OR(N213&lt;1,AND(N213&gt;0,N214&gt;0,N214&gt;N213,INDIRECT("'"&amp;$H$3&amp;"'!N163")="Route-based")),FALSE),0,N210),0)</f>
        <v>0</v>
      </c>
      <c r="O32" s="2084"/>
      <c r="P32" s="2084"/>
      <c r="Q32" s="2084">
        <f ca="1">_xlfn.IFNA(IF(IFERROR(OR(Q213&lt;1,AND(Q213&gt;0,Q214&gt;0,Q214&gt;Q213,INDIRECT("'"&amp;$H$3&amp;"'!Q163")="Route-based")),FALSE),0,Q210),0)</f>
        <v>0</v>
      </c>
      <c r="R32" s="2084"/>
      <c r="S32" s="2084"/>
      <c r="T32" s="2084">
        <f ca="1">_xlfn.IFNA(IF(IFERROR(OR(T213&lt;1,AND(T213&gt;0,T214&gt;0,T214&gt;T213,INDIRECT("'"&amp;$H$3&amp;"'!T163")="Route-based")),FALSE),0,T210),0)</f>
        <v>0</v>
      </c>
      <c r="U32" s="2084"/>
      <c r="V32" s="2084"/>
      <c r="W32" s="2085">
        <f ca="1">_xlfn.IFNA(IF(IFERROR(OR(W213&lt;1,AND(W213&gt;0,W214&gt;0,W214&gt;W213,INDIRECT("'"&amp;$H$3&amp;"'!W163")="Route-based")),FALSE),0,W210),0)</f>
        <v>0</v>
      </c>
      <c r="X32" s="1452"/>
      <c r="Y32" s="2720"/>
      <c r="Z32" s="2700"/>
      <c r="AA32" s="273"/>
      <c r="AB32" s="273"/>
      <c r="AC32" s="273"/>
    </row>
    <row r="33" spans="6:47" ht="14.9" customHeight="1">
      <c r="F33" s="2482"/>
      <c r="G33" s="427" t="s">
        <v>211</v>
      </c>
      <c r="H33" s="2086">
        <f ca="1">_xlfn.IFNA(IF(IFERROR(OR(H251&lt;1,AND(H251&gt;0,H252&gt;0,H252&gt;H251,INDIRECT("'"&amp;$H$3&amp;"'!H183")="Route-based")),FALSE),0,H248),0)</f>
        <v>0</v>
      </c>
      <c r="I33" s="2086"/>
      <c r="J33" s="2086"/>
      <c r="K33" s="2086">
        <f ca="1">_xlfn.IFNA(IF(IFERROR(OR(K251&lt;1,AND(K251&gt;0,K252&gt;0,K252&gt;K251,INDIRECT("'"&amp;$H$3&amp;"'!K183")="Route-based")),FALSE),0,K248),0)</f>
        <v>0</v>
      </c>
      <c r="L33" s="2086"/>
      <c r="M33" s="2086"/>
      <c r="N33" s="2086">
        <f ca="1">_xlfn.IFNA(IF(IFERROR(OR(N251&lt;1,AND(N251&gt;0,N252&gt;0,N252&gt;N251,INDIRECT("'"&amp;$H$3&amp;"'!N183")="Route-based")),FALSE),0,N248),0)</f>
        <v>0</v>
      </c>
      <c r="O33" s="2086"/>
      <c r="P33" s="2086"/>
      <c r="Q33" s="2086">
        <f ca="1">_xlfn.IFNA(IF(IFERROR(OR(Q251&lt;1,AND(Q251&gt;0,Q252&gt;0,Q252&gt;Q251,INDIRECT("'"&amp;$H$3&amp;"'!Q183")="Route-based")),FALSE),0,Q248),0)</f>
        <v>0</v>
      </c>
      <c r="R33" s="2086"/>
      <c r="S33" s="2086"/>
      <c r="T33" s="2086">
        <f ca="1">_xlfn.IFNA(IF(IFERROR(OR(T251&lt;1,AND(T251&gt;0,T252&gt;0,T252&gt;T251,INDIRECT("'"&amp;$H$3&amp;"'!T183")="Route-based")),FALSE),0,T248),0)</f>
        <v>0</v>
      </c>
      <c r="U33" s="2086"/>
      <c r="V33" s="2086"/>
      <c r="W33" s="2087">
        <f ca="1">_xlfn.IFNA(IF(IFERROR(OR(W251&lt;1,AND(W251&gt;0,W252&gt;0,W252&gt;W251,INDIRECT("'"&amp;$H$3&amp;"'!W183")="Route-based")),FALSE),0,W248),0)</f>
        <v>0</v>
      </c>
      <c r="X33" s="1452"/>
      <c r="Y33" s="2721"/>
      <c r="Z33" s="2701"/>
      <c r="AA33" s="273"/>
      <c r="AB33" s="273"/>
      <c r="AC33" s="273"/>
    </row>
    <row r="34" spans="6:47" ht="15" customHeight="1">
      <c r="F34" s="2483" t="s">
        <v>236</v>
      </c>
      <c r="G34" s="428" t="s">
        <v>359</v>
      </c>
      <c r="H34" s="429">
        <f>IFERROR(((H168*H173)+(H206*H211)+(H244*H249))/(H168+H206+H244),IFERROR(H173+H211+H249,"Error"))</f>
        <v>0</v>
      </c>
      <c r="I34" s="429"/>
      <c r="J34" s="429"/>
      <c r="K34" s="429">
        <f ca="1">IFERROR(((K168*K173)+(K206*K211)+(K244*K249))/(K168+K206+K244),IFERROR(K173+K211+K249,"Error"))</f>
        <v>0.60833333333333328</v>
      </c>
      <c r="L34" s="429"/>
      <c r="M34" s="429"/>
      <c r="N34" s="429">
        <f ca="1">IFERROR(((N168*N173)+(N206*N211)+(N244*N249))/(N168+N206+N244),IFERROR(N173+N211+N249,"Error"))</f>
        <v>0.66666666666666663</v>
      </c>
      <c r="O34" s="429"/>
      <c r="P34" s="429"/>
      <c r="Q34" s="429">
        <f ca="1">IFERROR(((Q168*Q173)+(Q206*Q211)+(Q244*Q249))/(Q168+Q206+Q244),IFERROR(Q173+Q211+Q249,"Error"))</f>
        <v>0</v>
      </c>
      <c r="R34" s="430"/>
      <c r="S34" s="430"/>
      <c r="T34" s="429">
        <f ca="1">IFERROR(((T168*T173)+(T206*T211)+(T244*T249))/(T168+T206+T244),IFERROR(T173+T211+T249,"Error"))</f>
        <v>0</v>
      </c>
      <c r="U34" s="430"/>
      <c r="V34" s="430"/>
      <c r="W34" s="1411">
        <f ca="1">IFERROR(((W168*W173)+(W206*W211)+(W244*W249))/(W168+W206+W244),IFERROR(W173+W211+W249,"Error"))</f>
        <v>0</v>
      </c>
      <c r="X34" s="1453"/>
      <c r="Y34" s="2702">
        <f ca="1">IFERROR(AVERAGEIF(H34:W34,"&lt;&gt;0"),"")</f>
        <v>0.63749999999999996</v>
      </c>
      <c r="Z34" s="2705">
        <f ca="1">COUNTIFS(H35:W37,"&gt;0",H35:W37,{"&gt;0.9","&lt;0.5"})</f>
        <v>0</v>
      </c>
    </row>
    <row r="35" spans="6:47" ht="15" customHeight="1">
      <c r="F35" s="2484"/>
      <c r="G35" s="425" t="s">
        <v>209</v>
      </c>
      <c r="H35" s="431">
        <f>_xlfn.IFNA(H173,0)</f>
        <v>0</v>
      </c>
      <c r="I35" s="431"/>
      <c r="J35" s="431"/>
      <c r="K35" s="431">
        <f ca="1">_xlfn.IFNA(K173,0)</f>
        <v>0.60833333333333328</v>
      </c>
      <c r="L35" s="431"/>
      <c r="M35" s="431"/>
      <c r="N35" s="431">
        <f ca="1">_xlfn.IFNA(N173,0)</f>
        <v>0.66666666666666663</v>
      </c>
      <c r="O35" s="431"/>
      <c r="P35" s="431"/>
      <c r="Q35" s="431">
        <f ca="1">_xlfn.IFNA(Q173,0)</f>
        <v>0</v>
      </c>
      <c r="R35" s="432"/>
      <c r="S35" s="432"/>
      <c r="T35" s="431">
        <f ca="1">_xlfn.IFNA(T173,0)</f>
        <v>0</v>
      </c>
      <c r="U35" s="432"/>
      <c r="V35" s="432"/>
      <c r="W35" s="1412">
        <f ca="1">_xlfn.IFNA(W173,0)</f>
        <v>0</v>
      </c>
      <c r="X35" s="1454"/>
      <c r="Y35" s="2703"/>
      <c r="Z35" s="2705"/>
    </row>
    <row r="36" spans="6:47" ht="15" customHeight="1">
      <c r="F36" s="2484"/>
      <c r="G36" s="426" t="s">
        <v>210</v>
      </c>
      <c r="H36" s="433">
        <f>_xlfn.IFNA(H211,0)</f>
        <v>0</v>
      </c>
      <c r="I36" s="433"/>
      <c r="J36" s="433"/>
      <c r="K36" s="433">
        <f ca="1">_xlfn.IFNA(K211,0)</f>
        <v>0</v>
      </c>
      <c r="L36" s="433"/>
      <c r="M36" s="433"/>
      <c r="N36" s="433">
        <f ca="1">_xlfn.IFNA(N211,0)</f>
        <v>0</v>
      </c>
      <c r="O36" s="433"/>
      <c r="P36" s="433"/>
      <c r="Q36" s="433">
        <f ca="1">_xlfn.IFNA(Q211,0)</f>
        <v>0</v>
      </c>
      <c r="R36" s="434"/>
      <c r="S36" s="434"/>
      <c r="T36" s="433">
        <f ca="1">_xlfn.IFNA(T211,0)</f>
        <v>0</v>
      </c>
      <c r="U36" s="434"/>
      <c r="V36" s="434"/>
      <c r="W36" s="1413">
        <f ca="1">_xlfn.IFNA(W211,0)</f>
        <v>0</v>
      </c>
      <c r="X36" s="1454"/>
      <c r="Y36" s="2703"/>
      <c r="Z36" s="2705"/>
    </row>
    <row r="37" spans="6:47" ht="15" customHeight="1">
      <c r="F37" s="2485"/>
      <c r="G37" s="427" t="s">
        <v>211</v>
      </c>
      <c r="H37" s="2088">
        <f>_xlfn.IFNA(H249,0)</f>
        <v>0</v>
      </c>
      <c r="I37" s="2088"/>
      <c r="J37" s="2088"/>
      <c r="K37" s="2088">
        <f ca="1">_xlfn.IFNA(K249,0)</f>
        <v>0</v>
      </c>
      <c r="L37" s="2088"/>
      <c r="M37" s="2088"/>
      <c r="N37" s="2088">
        <f ca="1">_xlfn.IFNA(N249,0)</f>
        <v>0</v>
      </c>
      <c r="O37" s="2088"/>
      <c r="P37" s="2088"/>
      <c r="Q37" s="2088">
        <f ca="1">_xlfn.IFNA(Q249,0)</f>
        <v>0</v>
      </c>
      <c r="R37" s="2089"/>
      <c r="S37" s="2089"/>
      <c r="T37" s="2088">
        <f ca="1">_xlfn.IFNA(T249,0)</f>
        <v>0</v>
      </c>
      <c r="U37" s="2089"/>
      <c r="V37" s="2089"/>
      <c r="W37" s="2090">
        <f ca="1">_xlfn.IFNA(W249,0)</f>
        <v>0</v>
      </c>
      <c r="X37" s="1455"/>
      <c r="Y37" s="2704"/>
      <c r="Z37" s="2705"/>
    </row>
    <row r="38" spans="6:47" ht="15" customHeight="1">
      <c r="F38" s="2483" t="s">
        <v>238</v>
      </c>
      <c r="G38" s="428" t="s">
        <v>359</v>
      </c>
      <c r="H38" s="429">
        <f>IFERROR(((H279*H282)+(H308*H311)+(H337*H340))/(H279+H308+H337),IFERROR(H282+H311+H340,"Error"))</f>
        <v>0</v>
      </c>
      <c r="I38" s="429"/>
      <c r="J38" s="429"/>
      <c r="K38" s="429">
        <f ca="1">IFERROR(((K279*K282)+(K308*K311)+(K337*K340))/(K279+K308+K337),IFERROR(K282+K311+K340,"Error"))</f>
        <v>0</v>
      </c>
      <c r="L38" s="429"/>
      <c r="M38" s="429"/>
      <c r="N38" s="429">
        <f ca="1">IFERROR(((N279*N282)+(N308*N311)+(N337*N340))/(N279+N308+N337),IFERROR(N282+N311+N340,"Error"))</f>
        <v>0.78416666666666668</v>
      </c>
      <c r="O38" s="429"/>
      <c r="P38" s="429"/>
      <c r="Q38" s="429">
        <f ca="1">IFERROR(((Q279*Q282)+(Q308*Q311)+(Q337*Q340))/(Q279+Q308+Q337),IFERROR(Q282+Q311+Q340,"Error"))</f>
        <v>0</v>
      </c>
      <c r="R38" s="430"/>
      <c r="S38" s="430"/>
      <c r="T38" s="429">
        <f ca="1">IFERROR(((T279*T282)+(T308*T311)+(T337*T340))/(T279+T308+T337),IFERROR(T282+T311+T340,"Error"))</f>
        <v>0</v>
      </c>
      <c r="U38" s="430"/>
      <c r="V38" s="430"/>
      <c r="W38" s="1411">
        <f ca="1">IFERROR(((W279*W282)+(W308*W311)+(W337*W340))/(W279+W308+W337),IFERROR(W282+W311+W340,"Error"))</f>
        <v>0</v>
      </c>
      <c r="X38" s="1453"/>
      <c r="Y38" s="2717">
        <f ca="1">IFERROR(AVERAGEIF(H38:W38,"&lt;&gt;0"),"")</f>
        <v>0.78416666666666668</v>
      </c>
      <c r="Z38" s="2705">
        <f ca="1">COUNTIFS(H39:W41,"&gt;0",H39:W41,{"&gt;0.9","&lt;0.5"})</f>
        <v>0</v>
      </c>
    </row>
    <row r="39" spans="6:47" ht="15" customHeight="1">
      <c r="F39" s="2484"/>
      <c r="G39" s="425" t="s">
        <v>209</v>
      </c>
      <c r="H39" s="431">
        <f>_xlfn.IFNA(H282,0)</f>
        <v>0</v>
      </c>
      <c r="I39" s="431"/>
      <c r="J39" s="431"/>
      <c r="K39" s="431">
        <f ca="1">_xlfn.IFNA(K282,0)</f>
        <v>0</v>
      </c>
      <c r="L39" s="431"/>
      <c r="M39" s="431"/>
      <c r="N39" s="431">
        <f ca="1">_xlfn.IFNA(N282,0)</f>
        <v>0.78416666666666668</v>
      </c>
      <c r="O39" s="431"/>
      <c r="P39" s="431"/>
      <c r="Q39" s="431">
        <f ca="1">_xlfn.IFNA(Q282,0)</f>
        <v>0</v>
      </c>
      <c r="R39" s="431"/>
      <c r="S39" s="431"/>
      <c r="T39" s="431">
        <f ca="1">_xlfn.IFNA(T282,0)</f>
        <v>0</v>
      </c>
      <c r="U39" s="431"/>
      <c r="V39" s="431"/>
      <c r="W39" s="1412">
        <f ca="1">_xlfn.IFNA(W282,0)</f>
        <v>0</v>
      </c>
      <c r="X39" s="1454"/>
      <c r="Y39" s="2718"/>
      <c r="Z39" s="2705"/>
    </row>
    <row r="40" spans="6:47" ht="15" customHeight="1">
      <c r="F40" s="2484"/>
      <c r="G40" s="426" t="s">
        <v>210</v>
      </c>
      <c r="H40" s="433">
        <f>_xlfn.IFNA(H311,0)</f>
        <v>0</v>
      </c>
      <c r="I40" s="433"/>
      <c r="J40" s="433"/>
      <c r="K40" s="433">
        <f ca="1">_xlfn.IFNA(K311,0)</f>
        <v>0</v>
      </c>
      <c r="L40" s="433"/>
      <c r="M40" s="433"/>
      <c r="N40" s="433">
        <f ca="1">_xlfn.IFNA(N311,0)</f>
        <v>0</v>
      </c>
      <c r="O40" s="433"/>
      <c r="P40" s="433"/>
      <c r="Q40" s="433">
        <f ca="1">_xlfn.IFNA(Q311,0)</f>
        <v>0</v>
      </c>
      <c r="R40" s="433"/>
      <c r="S40" s="433"/>
      <c r="T40" s="433">
        <f ca="1">_xlfn.IFNA(T311,0)</f>
        <v>0</v>
      </c>
      <c r="U40" s="433"/>
      <c r="V40" s="433"/>
      <c r="W40" s="1413">
        <f ca="1">_xlfn.IFNA(W311,0)</f>
        <v>0</v>
      </c>
      <c r="X40" s="1454"/>
      <c r="Y40" s="2718"/>
      <c r="Z40" s="2705"/>
    </row>
    <row r="41" spans="6:47" ht="15" customHeight="1">
      <c r="F41" s="2485"/>
      <c r="G41" s="427" t="s">
        <v>211</v>
      </c>
      <c r="H41" s="2088">
        <f>_xlfn.IFNA(H340,0)</f>
        <v>0</v>
      </c>
      <c r="I41" s="2088"/>
      <c r="J41" s="2088"/>
      <c r="K41" s="2088">
        <f ca="1">_xlfn.IFNA(K340,0)</f>
        <v>0</v>
      </c>
      <c r="L41" s="2088"/>
      <c r="M41" s="2088"/>
      <c r="N41" s="2088">
        <f ca="1">_xlfn.IFNA(N340,0)</f>
        <v>0</v>
      </c>
      <c r="O41" s="2088"/>
      <c r="P41" s="2088"/>
      <c r="Q41" s="2088">
        <f ca="1">_xlfn.IFNA(Q340,0)</f>
        <v>0</v>
      </c>
      <c r="R41" s="2088"/>
      <c r="S41" s="2088"/>
      <c r="T41" s="2088">
        <f ca="1">_xlfn.IFNA(T340,0)</f>
        <v>0</v>
      </c>
      <c r="U41" s="2088"/>
      <c r="V41" s="2088"/>
      <c r="W41" s="2090">
        <f ca="1">_xlfn.IFNA(W340,0)</f>
        <v>0</v>
      </c>
      <c r="X41" s="1455"/>
      <c r="Y41" s="2719"/>
      <c r="Z41" s="2705"/>
    </row>
    <row r="42" spans="6:47" ht="15" customHeight="1">
      <c r="F42" s="2483" t="s">
        <v>237</v>
      </c>
      <c r="G42" s="428" t="s">
        <v>359</v>
      </c>
      <c r="H42" s="429">
        <f>IFERROR(((H368*H371)+(H397*H400)+(H426*H429))/(H368+H397+H426),IFERROR(H371+H400+H429,"Error"))</f>
        <v>0</v>
      </c>
      <c r="I42" s="429"/>
      <c r="J42" s="429"/>
      <c r="K42" s="429">
        <f t="shared" ref="K42:Q42" ca="1" si="1">IFERROR(((K368*K371)+(K397*K400)+(K426*K429))/(K368+K397+K426),IFERROR(K371+K400+K429,"Error"))</f>
        <v>0</v>
      </c>
      <c r="L42" s="429"/>
      <c r="M42" s="429"/>
      <c r="N42" s="429">
        <f t="shared" ca="1" si="1"/>
        <v>0</v>
      </c>
      <c r="O42" s="429"/>
      <c r="P42" s="429"/>
      <c r="Q42" s="429">
        <f t="shared" ca="1" si="1"/>
        <v>0</v>
      </c>
      <c r="R42" s="430"/>
      <c r="S42" s="430"/>
      <c r="T42" s="429">
        <f ca="1">IFERROR(((T368*T371)+(T397*T400)+(T426*T429))/(T368+T397+T426),IFERROR(T371+T400+T429,"Error"))</f>
        <v>0</v>
      </c>
      <c r="U42" s="430"/>
      <c r="V42" s="430"/>
      <c r="W42" s="1411">
        <f ca="1">IFERROR(((W368*W371)+(W397*W400)+(W426*W429))/(W368+W397+W426),IFERROR(W371+W400+W429,"Error"))</f>
        <v>0</v>
      </c>
      <c r="X42" s="1453"/>
      <c r="Y42" s="2717" t="str">
        <f ca="1">IFERROR(AVERAGEIF(H42:W42,"&lt;&gt;0"),"")</f>
        <v/>
      </c>
      <c r="Z42" s="2705">
        <f ca="1">COUNTIFS(H43:W45,"&gt;0",H43:W45,{"&gt;0.9","&lt;0.5"})</f>
        <v>0</v>
      </c>
    </row>
    <row r="43" spans="6:47" ht="15" customHeight="1">
      <c r="F43" s="2484"/>
      <c r="G43" s="425" t="s">
        <v>209</v>
      </c>
      <c r="H43" s="431">
        <f>_xlfn.IFNA(H371,0)</f>
        <v>0</v>
      </c>
      <c r="I43" s="431"/>
      <c r="J43" s="431"/>
      <c r="K43" s="431">
        <f ca="1">_xlfn.IFNA(K371,0)</f>
        <v>0</v>
      </c>
      <c r="L43" s="431"/>
      <c r="M43" s="431"/>
      <c r="N43" s="431">
        <f ca="1">_xlfn.IFNA(N371,0)</f>
        <v>0</v>
      </c>
      <c r="O43" s="431"/>
      <c r="P43" s="431"/>
      <c r="Q43" s="431">
        <f ca="1">_xlfn.IFNA(Q371,0)</f>
        <v>0</v>
      </c>
      <c r="R43" s="431"/>
      <c r="S43" s="431"/>
      <c r="T43" s="431">
        <f ca="1">_xlfn.IFNA(T371,0)</f>
        <v>0</v>
      </c>
      <c r="U43" s="431"/>
      <c r="V43" s="431"/>
      <c r="W43" s="1412">
        <f ca="1">_xlfn.IFNA(W371,0)</f>
        <v>0</v>
      </c>
      <c r="X43" s="1454"/>
      <c r="Y43" s="2718"/>
      <c r="Z43" s="2705"/>
    </row>
    <row r="44" spans="6:47" ht="15" customHeight="1">
      <c r="F44" s="2484"/>
      <c r="G44" s="426" t="s">
        <v>210</v>
      </c>
      <c r="H44" s="433">
        <f>_xlfn.IFNA(H400,0)</f>
        <v>0</v>
      </c>
      <c r="I44" s="433"/>
      <c r="J44" s="433"/>
      <c r="K44" s="433">
        <f ca="1">_xlfn.IFNA(K400,0)</f>
        <v>0</v>
      </c>
      <c r="L44" s="433"/>
      <c r="M44" s="433"/>
      <c r="N44" s="433">
        <f ca="1">_xlfn.IFNA(N400,0)</f>
        <v>0</v>
      </c>
      <c r="O44" s="433"/>
      <c r="P44" s="433"/>
      <c r="Q44" s="433">
        <f ca="1">_xlfn.IFNA(Q400,0)</f>
        <v>0</v>
      </c>
      <c r="R44" s="433"/>
      <c r="S44" s="433"/>
      <c r="T44" s="433">
        <f ca="1">_xlfn.IFNA(T400,0)</f>
        <v>0</v>
      </c>
      <c r="U44" s="433"/>
      <c r="V44" s="433"/>
      <c r="W44" s="1413">
        <f ca="1">_xlfn.IFNA(W400,0)</f>
        <v>0</v>
      </c>
      <c r="X44" s="1454"/>
      <c r="Y44" s="2718"/>
      <c r="Z44" s="2705"/>
    </row>
    <row r="45" spans="6:47" ht="15" customHeight="1">
      <c r="F45" s="2485"/>
      <c r="G45" s="427" t="s">
        <v>211</v>
      </c>
      <c r="H45" s="2088">
        <f>_xlfn.IFNA(H429,0)</f>
        <v>0</v>
      </c>
      <c r="I45" s="2088"/>
      <c r="J45" s="2088"/>
      <c r="K45" s="2088">
        <f ca="1">_xlfn.IFNA(K429,0)</f>
        <v>0</v>
      </c>
      <c r="L45" s="2088"/>
      <c r="M45" s="2088"/>
      <c r="N45" s="2088">
        <f ca="1">_xlfn.IFNA(N429,0)</f>
        <v>0</v>
      </c>
      <c r="O45" s="2088"/>
      <c r="P45" s="2088"/>
      <c r="Q45" s="2088">
        <f ca="1">_xlfn.IFNA(Q429,0)</f>
        <v>0</v>
      </c>
      <c r="R45" s="2088"/>
      <c r="S45" s="2088"/>
      <c r="T45" s="2088">
        <f ca="1">_xlfn.IFNA(T429,0)</f>
        <v>0</v>
      </c>
      <c r="U45" s="2088"/>
      <c r="V45" s="2088"/>
      <c r="W45" s="2090">
        <f ca="1">_xlfn.IFNA(W429,0)</f>
        <v>0</v>
      </c>
      <c r="X45" s="1455"/>
      <c r="Y45" s="2719"/>
      <c r="Z45" s="2705"/>
    </row>
    <row r="46" spans="6:47" ht="29.25" customHeight="1">
      <c r="F46" s="455" t="s">
        <v>481</v>
      </c>
      <c r="G46" s="490" t="s">
        <v>482</v>
      </c>
      <c r="H46" s="454" t="str">
        <f>IFERROR(SUM(IF(H34&gt;0,H34,0),IF(H38&gt;0,H38,0),IF(H42&gt;0,H42,0))/SUM(IF(H34&gt;0,1,0),IF(H38&gt;0,1,0),IF(H42&gt;0,1,0)),"")</f>
        <v/>
      </c>
      <c r="I46" s="454"/>
      <c r="J46" s="454"/>
      <c r="K46" s="454">
        <f ca="1">IFERROR(SUM(IF(K34&gt;0,K34,0),IF(K38&gt;0,K38,0),IF(K42&gt;0,K42,0))/SUM(IF(K34&gt;0,1,0),IF(K38&gt;0,1,0),IF(K42&gt;0,1,0)),"")</f>
        <v>0.60833333333333328</v>
      </c>
      <c r="L46" s="454"/>
      <c r="M46" s="454"/>
      <c r="N46" s="454">
        <f ca="1">IFERROR(SUM(IF(N34&gt;0,N34,0),IF(N38&gt;0,N38,0),IF(N42&gt;0,N42,0))/SUM(IF(N34&gt;0,1,0),IF(N38&gt;0,1,0),IF(N42&gt;0,1,0)),"")</f>
        <v>0.7254166666666666</v>
      </c>
      <c r="O46" s="454"/>
      <c r="P46" s="454"/>
      <c r="Q46" s="454" t="str">
        <f ca="1">IFERROR(SUM(IF(Q34&gt;0,Q34,0),IF(Q38&gt;0,Q38,0),IF(Q42&gt;0,Q42,0))/SUM(IF(Q34&gt;0,1,0),IF(Q38&gt;0,1,0),IF(Q42&gt;0,1,0)),"")</f>
        <v/>
      </c>
      <c r="R46" s="454"/>
      <c r="S46" s="454"/>
      <c r="T46" s="454" t="str">
        <f ca="1">IFERROR(SUM(IF(T34&gt;0,T34,0),IF(T38&gt;0,T38,0),IF(T42&gt;0,T42,0))/SUM(IF(T34&gt;0,1,0),IF(T38&gt;0,1,0),IF(T42&gt;0,1,0)),"")</f>
        <v/>
      </c>
      <c r="U46" s="454"/>
      <c r="V46" s="454"/>
      <c r="W46" s="1414" t="str">
        <f ca="1">IFERROR(SUM(IF(W34&gt;0,W34,0),IF(W38&gt;0,W38,0),IF(W42&gt;0,W42,0))/SUM(IF(W34&gt;0,1,0),IF(W38&gt;0,1,0),IF(W42&gt;0,1,0)),"")</f>
        <v/>
      </c>
      <c r="X46" s="1456"/>
      <c r="Y46" s="1416" t="s">
        <v>591</v>
      </c>
      <c r="Z46" s="448">
        <f ca="1">SUM(Z31:Z45)</f>
        <v>0</v>
      </c>
    </row>
    <row r="47" spans="6:47" ht="16.5" customHeight="1">
      <c r="F47" s="240"/>
      <c r="G47" s="52"/>
      <c r="AB47" s="456"/>
      <c r="AC47" s="456"/>
      <c r="AD47" s="456"/>
      <c r="AE47" s="456"/>
      <c r="AF47" s="456"/>
      <c r="AG47" s="456"/>
      <c r="AH47" s="456"/>
      <c r="AI47" s="456"/>
      <c r="AJ47" s="456"/>
    </row>
    <row r="48" spans="6:47" ht="32.9" customHeight="1">
      <c r="AB48" s="456"/>
      <c r="AC48" s="456"/>
      <c r="AD48" s="456"/>
      <c r="AE48" s="456"/>
      <c r="AF48" s="456"/>
      <c r="AG48" s="456"/>
      <c r="AH48" s="456"/>
      <c r="AI48" s="456"/>
      <c r="AJ48" s="456"/>
      <c r="AP48" s="2505" t="s">
        <v>675</v>
      </c>
      <c r="AQ48" s="2506"/>
      <c r="AR48" s="2506"/>
      <c r="AS48" s="2506"/>
      <c r="AT48" s="2506"/>
      <c r="AU48" s="2507"/>
    </row>
    <row r="49" spans="5:47">
      <c r="H49" s="243" t="str">
        <f ca="1">"Overall Storage Capacity - "&amp;H50</f>
        <v>Overall Storage Capacity - CMS Tier</v>
      </c>
      <c r="I49" s="243"/>
      <c r="J49" s="243"/>
      <c r="K49" s="243" t="str">
        <f ca="1">"Overall Storage Capacity - "&amp;K50</f>
        <v>Overall Storage Capacity - Regional WH Tier</v>
      </c>
      <c r="L49" s="243"/>
      <c r="M49" s="243"/>
      <c r="N49" s="243" t="str">
        <f ca="1">"Overall Storage Capacity - "&amp;N50</f>
        <v>Overall Storage Capacity - Health Facility Tier</v>
      </c>
      <c r="O49" s="243"/>
      <c r="P49" s="243"/>
      <c r="Q49" s="243" t="str">
        <f ca="1">"Overall Storage Capacity - "&amp;Q50</f>
        <v xml:space="preserve">Overall Storage Capacity - </v>
      </c>
      <c r="R49" s="243"/>
      <c r="S49" s="243"/>
      <c r="T49" s="243" t="str">
        <f ca="1">"Overall Storage Capacity - "&amp;T50</f>
        <v xml:space="preserve">Overall Storage Capacity - </v>
      </c>
      <c r="U49" s="243"/>
      <c r="V49" s="243"/>
      <c r="W49" s="243" t="str">
        <f ca="1">"Overall Storage Capacity - "&amp;W50</f>
        <v xml:space="preserve">Overall Storage Capacity - </v>
      </c>
      <c r="X49" s="1457"/>
      <c r="AB49" s="456"/>
      <c r="AC49" s="456"/>
      <c r="AD49" s="456"/>
      <c r="AE49" s="456"/>
      <c r="AF49" s="456"/>
      <c r="AG49" s="456"/>
      <c r="AH49" s="456"/>
      <c r="AI49" s="456"/>
      <c r="AJ49" s="456"/>
      <c r="AP49" s="449"/>
      <c r="AQ49" s="450"/>
      <c r="AR49" s="450"/>
      <c r="AS49" s="450"/>
      <c r="AT49" s="451" t="s">
        <v>479</v>
      </c>
      <c r="AU49" s="452" t="s">
        <v>480</v>
      </c>
    </row>
    <row r="50" spans="5:47" ht="33.75" customHeight="1">
      <c r="E50" s="1500" t="s">
        <v>459</v>
      </c>
      <c r="F50" s="1496"/>
      <c r="G50" s="1497"/>
      <c r="H50" s="1498" t="str">
        <f ca="1">IF($H$9&gt;=1,INDIRECT("'"&amp;$H$3&amp;"'!G$91"),"")</f>
        <v>CMS Tier</v>
      </c>
      <c r="I50" s="1498" t="str">
        <f t="shared" ref="I50:V50" ca="1" si="2">IF($H$9&gt;=1,"Tier 1","")</f>
        <v>Tier 1</v>
      </c>
      <c r="J50" s="1498" t="str">
        <f t="shared" ca="1" si="2"/>
        <v>Tier 1</v>
      </c>
      <c r="K50" s="1498" t="str">
        <f ca="1">IF($H$9&gt;=2,INDIRECT("'"&amp;$H$3&amp;"'!J$91"),"")</f>
        <v>Regional WH Tier</v>
      </c>
      <c r="L50" s="1498" t="str">
        <f t="shared" ca="1" si="2"/>
        <v>Tier 1</v>
      </c>
      <c r="M50" s="1498" t="str">
        <f t="shared" ca="1" si="2"/>
        <v>Tier 1</v>
      </c>
      <c r="N50" s="1498" t="str">
        <f ca="1">IF($H$9&gt;=3,INDIRECT("'"&amp;$H$3&amp;"'!M$91"),"")</f>
        <v>Health Facility Tier</v>
      </c>
      <c r="O50" s="1498" t="str">
        <f t="shared" ca="1" si="2"/>
        <v>Tier 1</v>
      </c>
      <c r="P50" s="1498" t="str">
        <f t="shared" ca="1" si="2"/>
        <v>Tier 1</v>
      </c>
      <c r="Q50" s="1499" t="str">
        <f ca="1">IF($H$9&gt;=4,INDIRECT("'"&amp;$H$3&amp;"'!P$91"),"")</f>
        <v/>
      </c>
      <c r="R50" s="659" t="str">
        <f t="shared" ca="1" si="2"/>
        <v>Tier 1</v>
      </c>
      <c r="S50" s="659" t="str">
        <f t="shared" ca="1" si="2"/>
        <v>Tier 1</v>
      </c>
      <c r="T50" s="1499" t="str">
        <f ca="1">IF($H$9&gt;=5,INDIRECT("'"&amp;$H$3&amp;"'!S$91"),"")</f>
        <v/>
      </c>
      <c r="U50" s="1499" t="str">
        <f t="shared" ca="1" si="2"/>
        <v>Tier 1</v>
      </c>
      <c r="V50" s="1499" t="str">
        <f t="shared" ca="1" si="2"/>
        <v>Tier 1</v>
      </c>
      <c r="W50" s="1499" t="str">
        <f ca="1">IF($H$9&gt;=6,INDIRECT("'"&amp;$H$3&amp;"'!V$91"),"")</f>
        <v/>
      </c>
      <c r="X50" s="1419"/>
      <c r="AB50" s="456"/>
      <c r="AC50" s="456"/>
      <c r="AD50" s="456"/>
      <c r="AE50" s="456"/>
      <c r="AF50" s="456"/>
      <c r="AG50" s="456"/>
      <c r="AH50" s="456"/>
      <c r="AI50" s="456"/>
      <c r="AJ50" s="456"/>
      <c r="AP50" s="2508" t="s">
        <v>483</v>
      </c>
      <c r="AQ50" s="2509"/>
      <c r="AR50" s="2509"/>
      <c r="AS50" s="2510"/>
      <c r="AT50" s="2514">
        <v>0.9</v>
      </c>
      <c r="AU50" s="2514">
        <v>0.9</v>
      </c>
    </row>
    <row r="51" spans="5:47" ht="18.45">
      <c r="E51" s="277"/>
      <c r="F51" s="351" t="s">
        <v>382</v>
      </c>
      <c r="G51" s="332"/>
      <c r="H51" s="342"/>
      <c r="I51" s="342"/>
      <c r="J51" s="342"/>
      <c r="K51" s="342"/>
      <c r="L51" s="342"/>
      <c r="M51" s="342"/>
      <c r="N51" s="342"/>
      <c r="O51" s="342"/>
      <c r="P51" s="342"/>
      <c r="Q51" s="342"/>
      <c r="R51" s="343"/>
      <c r="S51" s="342"/>
      <c r="T51" s="342"/>
      <c r="U51" s="342"/>
      <c r="V51" s="342"/>
      <c r="W51" s="342"/>
      <c r="X51" s="1420"/>
      <c r="AA51" s="36"/>
      <c r="AB51" s="456"/>
      <c r="AC51" s="456"/>
      <c r="AD51" s="456"/>
      <c r="AE51" s="456"/>
      <c r="AF51" s="456"/>
      <c r="AG51" s="456"/>
      <c r="AH51" s="456"/>
      <c r="AI51" s="456"/>
      <c r="AJ51" s="456"/>
      <c r="AK51" s="36"/>
      <c r="AL51" s="36"/>
      <c r="AP51" s="2511"/>
      <c r="AQ51" s="2512"/>
      <c r="AR51" s="2512"/>
      <c r="AS51" s="2513"/>
      <c r="AT51" s="2515"/>
      <c r="AU51" s="2515"/>
    </row>
    <row r="52" spans="5:47" ht="19.5" customHeight="1">
      <c r="E52" s="233"/>
      <c r="F52" s="398"/>
      <c r="G52" s="187" t="s">
        <v>381</v>
      </c>
      <c r="H52" s="399">
        <f ca="1">SUM(H57,H64)</f>
        <v>2155.3875000000003</v>
      </c>
      <c r="I52" s="400"/>
      <c r="J52" s="400"/>
      <c r="K52" s="399">
        <f ca="1">SUM(K57,K64)</f>
        <v>2052.75</v>
      </c>
      <c r="L52" s="400"/>
      <c r="M52" s="400"/>
      <c r="N52" s="401">
        <f ca="1">SUM(N57,N64)</f>
        <v>5.666666666666667</v>
      </c>
      <c r="O52" s="400"/>
      <c r="P52" s="400"/>
      <c r="Q52" s="401">
        <f ca="1">SUM(Q57,Q64)</f>
        <v>0</v>
      </c>
      <c r="R52" s="295"/>
      <c r="S52" s="295"/>
      <c r="T52" s="401">
        <f ca="1">SUM(T57,T64)</f>
        <v>0</v>
      </c>
      <c r="U52" s="295"/>
      <c r="V52" s="295"/>
      <c r="W52" s="1429">
        <f ca="1">SUM(W57,W64)</f>
        <v>0</v>
      </c>
      <c r="X52" s="1421"/>
      <c r="AA52" s="36"/>
      <c r="AB52" s="456"/>
      <c r="AC52" s="456"/>
      <c r="AD52" s="456"/>
      <c r="AE52" s="456"/>
      <c r="AF52" s="456"/>
      <c r="AG52" s="456"/>
      <c r="AH52" s="456"/>
      <c r="AI52" s="456"/>
      <c r="AJ52" s="456"/>
      <c r="AK52" s="36"/>
      <c r="AL52" s="36"/>
      <c r="AP52" s="2508" t="s">
        <v>484</v>
      </c>
      <c r="AQ52" s="2509"/>
      <c r="AR52" s="2509"/>
      <c r="AS52" s="2510"/>
      <c r="AT52" s="2514">
        <v>0.5</v>
      </c>
      <c r="AU52" s="2514">
        <v>0.5</v>
      </c>
    </row>
    <row r="53" spans="5:47" ht="19.5" customHeight="1">
      <c r="E53" s="233"/>
      <c r="F53" s="398"/>
      <c r="G53" s="187" t="s">
        <v>601</v>
      </c>
      <c r="H53" s="395">
        <f ca="1">IFERROR(H52/(INDIRECT("'"&amp;$H$3&amp;"'!H$106")*INDIRECT("'"&amp;$H$3&amp;"'!H$107")*INDIRECT("'"&amp;$H$3&amp;"'!$H$9")),"")</f>
        <v>0.88200000000000023</v>
      </c>
      <c r="I53" s="400"/>
      <c r="J53" s="400"/>
      <c r="K53" s="395">
        <f ca="1">IFERROR(K52/(INDIRECT("'"&amp;$H$3&amp;"'!K$106")*INDIRECT("'"&amp;$H$3&amp;"'!K$107")*INDIRECT("'"&amp;$H$3&amp;"'!$H$9")),"")</f>
        <v>0.84</v>
      </c>
      <c r="L53" s="400"/>
      <c r="M53" s="400"/>
      <c r="N53" s="395">
        <f ca="1">IFERROR(N52/(INDIRECT("'"&amp;$H$3&amp;"'!N$106")*INDIRECT("'"&amp;$H$3&amp;"'!N$107")*INDIRECT("'"&amp;$H$3&amp;"'!$H$9")),"")</f>
        <v>0.79999999999999993</v>
      </c>
      <c r="O53" s="400"/>
      <c r="P53" s="400"/>
      <c r="Q53" s="395" t="str">
        <f ca="1">IFERROR(Q52/(INDIRECT("'"&amp;$H$3&amp;"'!Q$106")*INDIRECT("'"&amp;$H$3&amp;"'!Q$107")*INDIRECT("'"&amp;$H$3&amp;"'!$H$9")),"")</f>
        <v/>
      </c>
      <c r="R53" s="295"/>
      <c r="S53" s="295"/>
      <c r="T53" s="395" t="str">
        <f ca="1">IFERROR(T52/(INDIRECT("'"&amp;$H$3&amp;"'!T$106")*INDIRECT("'"&amp;$H$3&amp;"'!T$107")*INDIRECT("'"&amp;$H$3&amp;"'!$H$9")),"")</f>
        <v/>
      </c>
      <c r="U53" s="295"/>
      <c r="V53" s="295"/>
      <c r="W53" s="1430" t="str">
        <f ca="1">IFERROR(W52/(INDIRECT("'"&amp;$H$3&amp;"'!W$106")*INDIRECT("'"&amp;$H$3&amp;"'!W$107")*INDIRECT("'"&amp;$H$3&amp;"'!$H$9")),"")</f>
        <v/>
      </c>
      <c r="X53" s="1422"/>
      <c r="AA53" s="36"/>
      <c r="AB53" s="456"/>
      <c r="AC53" s="456"/>
      <c r="AD53" s="456"/>
      <c r="AE53" s="456"/>
      <c r="AF53" s="456"/>
      <c r="AG53" s="456"/>
      <c r="AH53" s="456"/>
      <c r="AI53" s="456"/>
      <c r="AJ53" s="456"/>
      <c r="AK53" s="36"/>
      <c r="AL53" s="36"/>
      <c r="AP53" s="2511"/>
      <c r="AQ53" s="2512"/>
      <c r="AR53" s="2512"/>
      <c r="AS53" s="2513"/>
      <c r="AT53" s="2515"/>
      <c r="AU53" s="2515"/>
    </row>
    <row r="54" spans="5:47" ht="18" customHeight="1">
      <c r="F54" s="397"/>
      <c r="G54" s="191" t="s">
        <v>600</v>
      </c>
      <c r="H54" s="395">
        <f ca="1">IFERROR(SUM(H62,H69,H71)/(AND(H71&gt;0,H71&lt;&gt;"")+AND(H69&gt;0,H69&lt;&gt;"")+AND(H62&gt;0,H62&lt;&gt;"")),"")</f>
        <v>0.8819999999999999</v>
      </c>
      <c r="I54" s="395"/>
      <c r="J54" s="395"/>
      <c r="K54" s="395">
        <f ca="1">IFERROR(SUM(K62,K69,K71)/(AND(K71&gt;0,K71&lt;&gt;"")+AND(K69&gt;0,K69&lt;&gt;"")+AND(K62&gt;0,K62&lt;&gt;"")),"")</f>
        <v>0.84</v>
      </c>
      <c r="L54" s="395"/>
      <c r="M54" s="395"/>
      <c r="N54" s="395">
        <f ca="1">IFERROR(SUM(N62,N69,N71)/(AND(N71&gt;0,N71&lt;&gt;"")+AND(N69&gt;0,N69&lt;&gt;"")+AND(N62&gt;0,N62&lt;&gt;"")),"")</f>
        <v>0.79887218045112773</v>
      </c>
      <c r="O54" s="395"/>
      <c r="P54" s="395"/>
      <c r="Q54" s="395">
        <f ca="1">IFERROR(SUM(Q62,Q69,Q71)/(AND(Q71&gt;0,Q71&lt;&gt;"")+AND(Q69&gt;0,Q69&lt;&gt;"")+AND(Q62&gt;0,Q62&lt;&gt;"")),"")</f>
        <v>0</v>
      </c>
      <c r="R54" s="395"/>
      <c r="S54" s="395"/>
      <c r="T54" s="395">
        <f ca="1">IFERROR(SUM(T62,T69,T71)/(AND(T71&gt;0,T71&lt;&gt;"")+AND(T69&gt;0,T69&lt;&gt;"")+AND(T62&gt;0,T62&lt;&gt;"")),"")</f>
        <v>0</v>
      </c>
      <c r="U54" s="395"/>
      <c r="V54" s="395"/>
      <c r="W54" s="1430">
        <f ca="1">IFERROR(SUM(W62,W69,W71)/(AND(W71&gt;0,W71&lt;&gt;"")+AND(W69&gt;0,W69&lt;&gt;"")+AND(W62&gt;0,W62&lt;&gt;"")),"")</f>
        <v>0</v>
      </c>
      <c r="X54" s="1422"/>
      <c r="AA54" s="36"/>
      <c r="AB54" s="456"/>
      <c r="AC54" s="456"/>
      <c r="AD54" s="456"/>
      <c r="AE54" s="456"/>
      <c r="AF54" s="456"/>
      <c r="AG54" s="456"/>
      <c r="AH54" s="456"/>
      <c r="AI54" s="456"/>
      <c r="AJ54" s="456"/>
      <c r="AK54" s="36"/>
      <c r="AL54" s="36"/>
    </row>
    <row r="55" spans="5:47" ht="18" customHeight="1">
      <c r="F55" s="390"/>
      <c r="G55" s="207" t="s">
        <v>472</v>
      </c>
      <c r="H55" s="396">
        <f ca="1">IF(AND(H71&gt;0,H71&lt;&gt;"",OR(H71&lt;0.5,H71&gt;0.9)),1,0)+IF(AND(H69&gt;0,H69&lt;&gt;"",OR(H69&lt;0.5,H69&gt;0.9)),1,0)+IF(AND(H62&gt;0,H62&lt;&gt;"",OR(H62&lt;0.5,H62&gt;0.9)),1,0)</f>
        <v>0</v>
      </c>
      <c r="I55" s="396"/>
      <c r="J55" s="396"/>
      <c r="K55" s="396">
        <f ca="1">IF(AND(K71&gt;0,K71&lt;&gt;"",OR(K71&lt;0.5,K71&gt;0.9)),1,0)+IF(AND(K69&gt;0,K69&lt;&gt;"",OR(K69&lt;0.5,K69&gt;0.9)),1,0)+IF(AND(K62&gt;0,K62&lt;&gt;"",OR(K62&lt;0.5,K62&gt;0.9)),1,0)</f>
        <v>0</v>
      </c>
      <c r="L55" s="396"/>
      <c r="M55" s="396"/>
      <c r="N55" s="396">
        <f ca="1">IF(AND(N71&gt;0,N71&lt;&gt;"",OR(N71&lt;0.5,N71&gt;0.9)),1,0)+IF(AND(N69&gt;0,N69&lt;&gt;"",OR(N69&lt;0.5,N69&gt;0.9)),1,0)+IF(AND(N62&gt;0,N62&lt;&gt;"",OR(N62&lt;0.5,N62&gt;0.9)),1,0)</f>
        <v>0</v>
      </c>
      <c r="O55" s="396"/>
      <c r="P55" s="396"/>
      <c r="Q55" s="396">
        <f ca="1">IF(AND(Q71&gt;0,Q71&lt;&gt;"",OR(Q71&lt;0.5,Q71&gt;0.9)),1,0)+IF(AND(Q69&gt;0,Q69&lt;&gt;"",OR(Q69&lt;0.5,Q69&gt;0.9)),1,0)+IF(AND(Q62&gt;0,Q62&lt;&gt;"",OR(Q62&lt;0.5,Q62&gt;0.9)),1,0)</f>
        <v>1</v>
      </c>
      <c r="R55" s="396"/>
      <c r="S55" s="396"/>
      <c r="T55" s="396">
        <f ca="1">IF(AND(T71&gt;0,T71&lt;&gt;"",OR(T71&lt;0.5,T71&gt;0.9)),1,0)+IF(AND(T69&gt;0,T69&lt;&gt;"",OR(T69&lt;0.5,T69&gt;0.9)),1,0)+IF(AND(T62&gt;0,T62&lt;&gt;"",OR(T62&lt;0.5,T62&gt;0.9)),1,0)</f>
        <v>1</v>
      </c>
      <c r="U55" s="396"/>
      <c r="V55" s="396"/>
      <c r="W55" s="1431">
        <f ca="1">IF(AND(W71&gt;0,W71&lt;&gt;"",OR(W71&lt;0.5,W71&gt;0.9)),1,0)+IF(AND(W69&gt;0,W69&lt;&gt;"",OR(W69&lt;0.5,W69&gt;0.9)),1,0)+IF(AND(W62&gt;0,W62&lt;&gt;"",OR(W62&lt;0.5,W62&gt;0.9)),1,0)</f>
        <v>1</v>
      </c>
      <c r="X55" s="1423"/>
      <c r="AA55" s="36"/>
      <c r="AB55" s="456"/>
      <c r="AC55" s="456"/>
      <c r="AD55" s="456"/>
      <c r="AE55" s="456"/>
      <c r="AF55" s="456"/>
      <c r="AG55" s="456"/>
      <c r="AH55" s="456"/>
      <c r="AI55" s="456"/>
      <c r="AJ55" s="456"/>
      <c r="AK55" s="36"/>
      <c r="AL55" s="36"/>
    </row>
    <row r="56" spans="5:47" ht="19.5" customHeight="1">
      <c r="E56" s="233"/>
      <c r="F56" s="351" t="s">
        <v>371</v>
      </c>
      <c r="G56" s="332"/>
      <c r="H56" s="342"/>
      <c r="I56" s="342"/>
      <c r="J56" s="342"/>
      <c r="K56" s="342"/>
      <c r="L56" s="342"/>
      <c r="M56" s="342"/>
      <c r="N56" s="342"/>
      <c r="O56" s="342"/>
      <c r="P56" s="342"/>
      <c r="Q56" s="342"/>
      <c r="R56" s="343"/>
      <c r="S56" s="342"/>
      <c r="T56" s="342"/>
      <c r="U56" s="342"/>
      <c r="V56" s="342"/>
      <c r="W56" s="342"/>
      <c r="X56" s="1420"/>
      <c r="AA56" s="36"/>
      <c r="AB56" s="456"/>
      <c r="AC56" s="456"/>
      <c r="AD56" s="456"/>
      <c r="AE56" s="456"/>
      <c r="AF56" s="457">
        <f t="shared" ref="AF56:AF68" si="3">$AU$52</f>
        <v>0.5</v>
      </c>
      <c r="AG56" s="457">
        <f t="shared" ref="AG56:AG68" si="4">$AU$50-$AU$52</f>
        <v>0.4</v>
      </c>
      <c r="AH56" s="456"/>
      <c r="AI56" s="456"/>
      <c r="AJ56" s="456"/>
      <c r="AK56" s="36"/>
      <c r="AL56" s="36"/>
    </row>
    <row r="57" spans="5:47" ht="21" customHeight="1">
      <c r="E57" s="233"/>
      <c r="F57" s="368"/>
      <c r="G57" s="194" t="s">
        <v>115</v>
      </c>
      <c r="H57" s="401">
        <f ca="1">IF(INDIRECT("'"&amp;$H$3&amp;"'!$H$20")='List Values'!$B$3, (INDIRECT("'"&amp;$H$3&amp;"'!$H$17")*INDIRECT("'"&amp;$H$3&amp;"'!H$93"))/INDIRECT("'"&amp;$H$3&amp;"'!H$95"), IF(INDIRECT("'"&amp;$H$3&amp;"'!$H$7")&gt;1,(INDIRECT("'"&amp;$H$3&amp;"'!H$93")*(K$57*INDIRECT("'"&amp;$H$3&amp;"'!K$95")/INDIRECT("'"&amp;$H$3&amp;"'!K$93"))*(1+INDIRECT("'"&amp;$H$3&amp;"'!K$94")))/INDIRECT("'"&amp;$H$3&amp;"'!H$95"),IF(INDIRECT("'"&amp;$H$3&amp;"'!$H$7")=1,(INDIRECT("'"&amp;$H$3&amp;"'!$H$17")*INDIRECT("'"&amp;$H$3&amp;"'!H$93"))/INDIRECT("'"&amp;$H$3&amp;"'!H$95"),"")))</f>
        <v>2155.3875000000003</v>
      </c>
      <c r="I57" s="402"/>
      <c r="J57" s="402"/>
      <c r="K57" s="401">
        <f ca="1">IF(INDIRECT("'"&amp;$H$3&amp;"'!$H$7") &lt; 2,"",IF(INDIRECT("'"&amp;$H$3&amp;"'!$H$20")='List Values'!$B$3, ((H$57*INDIRECT("'"&amp;$H$3&amp;"'!H$95")/INDIRECT("'"&amp;$H$3&amp;"'!H$93"))*(1-INDIRECT("'"&amp;$H$3&amp;"'!K$94"))*INDIRECT("'"&amp;$H$3&amp;"'!K$93"))/INDIRECT("'"&amp;$H$3&amp;"'!K$95"), IF(INDIRECT("'"&amp;$H$3&amp;"'!$H$7")&gt;2,(INDIRECT("'"&amp;$H$3&amp;"'!K$93")*(N$57*INDIRECT("'"&amp;$H$3&amp;"'!N$95")/INDIRECT("'"&amp;$H$3&amp;"'!N$93"))*(1+INDIRECT("'"&amp;$H$3&amp;"'!N$94")))/INDIRECT("'"&amp;$H$3&amp;"'!K$95"),IF(INDIRECT("'"&amp;$H$3&amp;"'!$H$7")=2,(INDIRECT("'"&amp;$H$3&amp;"'!$H$17")*INDIRECT("'"&amp;$H$3&amp;"'!K$93"))/INDIRECT("'"&amp;$H$3&amp;"'!K$95"),""))))</f>
        <v>2052.75</v>
      </c>
      <c r="L57" s="402"/>
      <c r="M57" s="402"/>
      <c r="N57" s="401">
        <f ca="1">IF(INDIRECT("'"&amp;$H$3&amp;"'!$H$7") &lt; 3,"",IF(INDIRECT("'"&amp;$H$3&amp;"'!$H$20")='List Values'!$B$3, ((K$57*INDIRECT("'"&amp;$H$3&amp;"'!K$95")/INDIRECT("'"&amp;$H$3&amp;"'!K$93"))*(1-INDIRECT("'"&amp;$H$3&amp;"'!N$94"))*INDIRECT("'"&amp;$H$3&amp;"'!N$93"))/INDIRECT("'"&amp;$H$3&amp;"'!N$95"), IF(INDIRECT("'"&amp;$H$3&amp;"'!$H$7")&gt;3,(INDIRECT("'"&amp;$H$3&amp;"'!N$93")*(Q$57*INDIRECT("'"&amp;$H$3&amp;"'!Q$95")/INDIRECT("'"&amp;$H$3&amp;"'!Q$93"))*(1+INDIRECT("'"&amp;$H$3&amp;"'!Q$94")))/INDIRECT("'"&amp;$H$3&amp;"'!N$95"),IF(INDIRECT("'"&amp;$H$3&amp;"'!$H$7")=3,(INDIRECT("'"&amp;$H$3&amp;"'!$H$17")*INDIRECT("'"&amp;$H$3&amp;"'!N$93"))/INDIRECT("'"&amp;$H$3&amp;"'!N$95"),""))))</f>
        <v>5.666666666666667</v>
      </c>
      <c r="O57" s="402"/>
      <c r="P57" s="402"/>
      <c r="Q57" s="401" t="str">
        <f ca="1">IF(INDIRECT("'"&amp;$H$3&amp;"'!$H$7") &lt; 4,"",IF(INDIRECT("'"&amp;$H$3&amp;"'!$H$20")='List Values'!$B$3, ((N$57*INDIRECT("'"&amp;$H$3&amp;"'!N$95")/INDIRECT("'"&amp;$H$3&amp;"'!N$93"))*(1-INDIRECT("'"&amp;$H$3&amp;"'!Q$94"))*INDIRECT("'"&amp;$H$3&amp;"'!Q$93"))/INDIRECT("'"&amp;$H$3&amp;"'!Q$95"), IF(INDIRECT("'"&amp;$H$3&amp;"'!$H$7")&gt;4,(INDIRECT("'"&amp;$H$3&amp;"'!Q$93")*(T$57*INDIRECT("'"&amp;$H$3&amp;"'!T$95")/INDIRECT("'"&amp;$H$3&amp;"'!T$93"))*(1+INDIRECT("'"&amp;$H$3&amp;"'!T$94")))/INDIRECT("'"&amp;$H$3&amp;"'!Q$95"),IF(INDIRECT("'"&amp;$H$3&amp;"'!$H$7")=4,(INDIRECT("'"&amp;$H$3&amp;"'!$H$17")*INDIRECT("'"&amp;$H$3&amp;"'!Q$93"))/INDIRECT("'"&amp;$H$3&amp;"'!Q$95"),""))))</f>
        <v/>
      </c>
      <c r="R57" s="295"/>
      <c r="S57" s="295"/>
      <c r="T57" s="401" t="str">
        <f ca="1">IF(INDIRECT("'"&amp;$H$3&amp;"'!$H$7") &lt; 5,"",IF(INDIRECT("'"&amp;$H$3&amp;"'!$H$20")='List Values'!$B$3, ((Q$57*INDIRECT("'"&amp;$H$3&amp;"'!Q$95")/INDIRECT("'"&amp;$H$3&amp;"'!Q$93"))*(1-INDIRECT("'"&amp;$H$3&amp;"'!T$94"))*INDIRECT("'"&amp;$H$3&amp;"'!T$93"))/INDIRECT("'"&amp;$H$3&amp;"'!T$95"), IF(INDIRECT("'"&amp;$H$3&amp;"'!$H$7")&gt;5,(INDIRECT("'"&amp;$H$3&amp;"'!T$93")*(W$57*INDIRECT("'"&amp;$H$3&amp;"'!W$95")/INDIRECT("'"&amp;$H$3&amp;"'!W$93"))*(1+INDIRECT("'"&amp;$H$3&amp;"'!W$94")))/INDIRECT("'"&amp;$H$3&amp;"'!T$95"),IF(INDIRECT("'"&amp;$H$3&amp;"'!$H$7")=5,(INDIRECT("'"&amp;$H$3&amp;"'!$H$17")*INDIRECT("'"&amp;$H$3&amp;"'!T$93"))/INDIRECT("'"&amp;$H$3&amp;"'!T$95"),""))))</f>
        <v/>
      </c>
      <c r="U57" s="298"/>
      <c r="V57" s="298"/>
      <c r="W57" s="1429" t="str">
        <f ca="1">IF(INDIRECT("'"&amp;$H$3&amp;"'!$H$7")&lt;6,"",IF(INDIRECT("'"&amp;$H$3&amp;"'!$H$20")='List Values'!$B$3, ((T$57*INDIRECT("'"&amp;$H$3&amp;"'!T$95")/INDIRECT("'"&amp;$H$3&amp;"'!T$93"))*(1-INDIRECT("'"&amp;$H$3&amp;"'!W$94"))*INDIRECT("'"&amp;$H$3&amp;"'!W$93"))/INDIRECT("'"&amp;$H$3&amp;"'!W$95"), IF(INDIRECT("'"&amp;$H$3&amp;"'!$H$7")=6,(INDIRECT("'"&amp;$H$3&amp;"'!$H$17")*INDIRECT("'"&amp;$H$3&amp;"'!W$93"))/INDIRECT("'"&amp;$H$3&amp;"'!W$95"),"")))</f>
        <v/>
      </c>
      <c r="X57" s="1421"/>
      <c r="AA57" s="36"/>
      <c r="AB57" s="456" t="str">
        <f>IF(H46="","","Vehicle Time Utilization - Tier 1")</f>
        <v/>
      </c>
      <c r="AC57" s="458" t="str">
        <f>H46</f>
        <v/>
      </c>
      <c r="AD57" s="459">
        <f>IF(AC57="",0,1-AC57)</f>
        <v>0</v>
      </c>
      <c r="AE57" s="456"/>
      <c r="AF57" s="457">
        <f t="shared" si="3"/>
        <v>0.5</v>
      </c>
      <c r="AG57" s="457">
        <f t="shared" si="4"/>
        <v>0.4</v>
      </c>
      <c r="AH57" s="456"/>
      <c r="AI57" s="456"/>
      <c r="AJ57" s="456"/>
      <c r="AK57" s="36"/>
      <c r="AL57" s="36"/>
    </row>
    <row r="58" spans="5:47" ht="15" customHeight="1">
      <c r="F58" s="368"/>
      <c r="G58" s="194" t="s">
        <v>239</v>
      </c>
      <c r="H58" s="290">
        <f ca="1">IFERROR(H$52/INDIRECT("'"&amp;$H$3&amp;"'!H$96"),"")</f>
        <v>538.84687500000007</v>
      </c>
      <c r="I58" s="290"/>
      <c r="J58" s="290"/>
      <c r="K58" s="290">
        <f ca="1">IFERROR(K$52/INDIRECT("'"&amp;$H$3&amp;"'!K$96"),"")</f>
        <v>513.1875</v>
      </c>
      <c r="L58" s="290"/>
      <c r="M58" s="290"/>
      <c r="N58" s="290">
        <f ca="1">IFERROR(N$52/INDIRECT("'"&amp;$H$3&amp;"'!N$96"),"")</f>
        <v>1.4166666666666667</v>
      </c>
      <c r="O58" s="291"/>
      <c r="P58" s="291"/>
      <c r="Q58" s="290" t="str">
        <f ca="1">IFERROR(Q$52/INDIRECT("'"&amp;$H$3&amp;"'!Q$96"),"")</f>
        <v/>
      </c>
      <c r="R58" s="292"/>
      <c r="S58" s="292"/>
      <c r="T58" s="290" t="str">
        <f ca="1">IFERROR(T$52/INDIRECT("'"&amp;$H$3&amp;"'!T$96"),"")</f>
        <v/>
      </c>
      <c r="U58" s="293"/>
      <c r="V58" s="293"/>
      <c r="W58" s="1432" t="str">
        <f ca="1">IFERROR(W$52/INDIRECT("'"&amp;$H$3&amp;"'!W$96"),"")</f>
        <v/>
      </c>
      <c r="X58" s="1424"/>
      <c r="AA58" s="36"/>
      <c r="AB58" s="456" t="str">
        <f ca="1">IF(K46="","","Vehicle Time Utilization - Tier 2")</f>
        <v>Vehicle Time Utilization - Tier 2</v>
      </c>
      <c r="AC58" s="458">
        <f ca="1">K46</f>
        <v>0.60833333333333328</v>
      </c>
      <c r="AD58" s="459">
        <f ca="1">IF(AC58="",0,1-AC58)</f>
        <v>0.39166666666666672</v>
      </c>
      <c r="AE58" s="456"/>
      <c r="AF58" s="457">
        <f t="shared" si="3"/>
        <v>0.5</v>
      </c>
      <c r="AG58" s="457">
        <f t="shared" si="4"/>
        <v>0.4</v>
      </c>
      <c r="AH58" s="456"/>
      <c r="AI58" s="456"/>
      <c r="AJ58" s="456"/>
      <c r="AK58" s="36"/>
      <c r="AL58" s="36"/>
    </row>
    <row r="59" spans="5:47" ht="15" customHeight="1">
      <c r="F59" s="368"/>
      <c r="G59" s="194" t="s">
        <v>53</v>
      </c>
      <c r="H59" s="1388">
        <f ca="1">IFERROR(INDIRECT("'"&amp;$H$3&amp;"'!H$104")*H58*(INDIRECT("'"&amp;$H$3&amp;"'!H$96")/12),"")</f>
        <v>538.84687499999995</v>
      </c>
      <c r="I59" s="294">
        <f t="shared" ref="I59:V59" ca="1" si="5">IFERROR(INDIRECT("'"&amp;$H$3&amp;"'!H$103")*I58*(INDIRECT("'"&amp;$H$3&amp;"'!H$96")/12),"")</f>
        <v>0</v>
      </c>
      <c r="J59" s="294">
        <f t="shared" ca="1" si="5"/>
        <v>0</v>
      </c>
      <c r="K59" s="294">
        <f ca="1">IFERROR(INDIRECT("'"&amp;$H$3&amp;"'!K$104")*K58*(INDIRECT("'"&amp;$H$3&amp;"'!K$96")/12),"")</f>
        <v>513.1875</v>
      </c>
      <c r="L59" s="294">
        <f t="shared" ca="1" si="5"/>
        <v>0</v>
      </c>
      <c r="M59" s="294">
        <f t="shared" ca="1" si="5"/>
        <v>0</v>
      </c>
      <c r="N59" s="294">
        <f ca="1">IFERROR(INDIRECT("'"&amp;$H$3&amp;"'!N$104")*N58*(INDIRECT("'"&amp;$H$3&amp;"'!N$96")/12),"")</f>
        <v>1.4166666666666665</v>
      </c>
      <c r="O59" s="295">
        <f t="shared" ca="1" si="5"/>
        <v>0</v>
      </c>
      <c r="P59" s="295">
        <f t="shared" ca="1" si="5"/>
        <v>0</v>
      </c>
      <c r="Q59" s="294" t="str">
        <f ca="1">IFERROR(INDIRECT("'"&amp;$H$3&amp;"'!Q$104")*Q58*(INDIRECT("'"&amp;$H$3&amp;"'!Q$96")/12),"")</f>
        <v/>
      </c>
      <c r="R59" s="292">
        <f t="shared" ca="1" si="5"/>
        <v>0</v>
      </c>
      <c r="S59" s="292">
        <f t="shared" ca="1" si="5"/>
        <v>0</v>
      </c>
      <c r="T59" s="294" t="str">
        <f ca="1">IFERROR(INDIRECT("'"&amp;$H$3&amp;"'!T$104")*T58*(INDIRECT("'"&amp;$H$3&amp;"'!T$96")/12),"")</f>
        <v/>
      </c>
      <c r="U59" s="293">
        <f t="shared" ca="1" si="5"/>
        <v>0</v>
      </c>
      <c r="V59" s="293">
        <f t="shared" ca="1" si="5"/>
        <v>0</v>
      </c>
      <c r="W59" s="1433" t="str">
        <f ca="1">IFERROR(INDIRECT("'"&amp;$H$3&amp;"'!W$104")*W58*(INDIRECT("'"&amp;$H$3&amp;"'!W$96")/12),"")</f>
        <v/>
      </c>
      <c r="X59" s="1425"/>
      <c r="AA59" s="36"/>
      <c r="AB59" s="456" t="str">
        <f ca="1">IF(N46="","","Vehicle Time Utilization - Tier 3")</f>
        <v>Vehicle Time Utilization - Tier 3</v>
      </c>
      <c r="AC59" s="458">
        <f ca="1">N46</f>
        <v>0.7254166666666666</v>
      </c>
      <c r="AD59" s="459">
        <f ca="1">IF(AC59="",0,1-AC59)</f>
        <v>0.2745833333333334</v>
      </c>
      <c r="AE59" s="456"/>
      <c r="AF59" s="457">
        <f t="shared" si="3"/>
        <v>0.5</v>
      </c>
      <c r="AG59" s="457">
        <f t="shared" si="4"/>
        <v>0.4</v>
      </c>
      <c r="AH59" s="456"/>
      <c r="AI59" s="456"/>
      <c r="AJ59" s="456"/>
      <c r="AK59" s="36"/>
      <c r="AL59" s="36"/>
    </row>
    <row r="60" spans="5:47" ht="15" customHeight="1">
      <c r="F60" s="368"/>
      <c r="G60" s="194" t="s">
        <v>51</v>
      </c>
      <c r="H60" s="290">
        <f ca="1">IFERROR(H59+((H61-H59)/2),"")</f>
        <v>808.27031249999993</v>
      </c>
      <c r="I60" s="290"/>
      <c r="J60" s="290"/>
      <c r="K60" s="290">
        <f ca="1">IFERROR(K59+((K61-K59)/2),"")</f>
        <v>769.78125</v>
      </c>
      <c r="L60" s="290"/>
      <c r="M60" s="290"/>
      <c r="N60" s="290">
        <f ca="1">IFERROR(N59+((N61-N59)/2),"")</f>
        <v>2.125</v>
      </c>
      <c r="O60" s="291"/>
      <c r="P60" s="291"/>
      <c r="Q60" s="290" t="str">
        <f ca="1">IFERROR(Q59+((Q61-Q59)/2),"")</f>
        <v/>
      </c>
      <c r="R60" s="292"/>
      <c r="S60" s="292"/>
      <c r="T60" s="290" t="str">
        <f ca="1">IFERROR(T59+((T61-T59)/2),"")</f>
        <v/>
      </c>
      <c r="U60" s="293"/>
      <c r="V60" s="293"/>
      <c r="W60" s="1432" t="str">
        <f ca="1">IFERROR(W59+((W61-W59)/2),"")</f>
        <v/>
      </c>
      <c r="X60" s="1424"/>
      <c r="AA60" s="36"/>
      <c r="AB60" t="str">
        <f ca="1">IF(Q46="","","Vehicle Time Utilization - Tier 4")</f>
        <v/>
      </c>
      <c r="AC60" s="460" t="str">
        <f ca="1">Q46</f>
        <v/>
      </c>
      <c r="AF60" s="457">
        <f t="shared" si="3"/>
        <v>0.5</v>
      </c>
      <c r="AG60" s="457">
        <f t="shared" si="4"/>
        <v>0.4</v>
      </c>
      <c r="AH60" s="456"/>
      <c r="AI60" s="456"/>
      <c r="AJ60" s="456"/>
      <c r="AK60" s="36"/>
      <c r="AL60" s="36"/>
    </row>
    <row r="61" spans="5:47" ht="15" customHeight="1">
      <c r="F61" s="368"/>
      <c r="G61" s="194" t="s">
        <v>52</v>
      </c>
      <c r="H61" s="294">
        <f ca="1">IFERROR(H59+H58,"")</f>
        <v>1077.6937499999999</v>
      </c>
      <c r="I61" s="294"/>
      <c r="J61" s="294"/>
      <c r="K61" s="294">
        <f ca="1">IFERROR(K59+K58,"")</f>
        <v>1026.375</v>
      </c>
      <c r="L61" s="294"/>
      <c r="M61" s="294"/>
      <c r="N61" s="294">
        <f ca="1">IFERROR(N59+N58,"")</f>
        <v>2.833333333333333</v>
      </c>
      <c r="O61" s="295"/>
      <c r="P61" s="295"/>
      <c r="Q61" s="294" t="str">
        <f ca="1">IFERROR(Q59+Q58,"")</f>
        <v/>
      </c>
      <c r="R61" s="292"/>
      <c r="S61" s="292"/>
      <c r="T61" s="294" t="str">
        <f ca="1">IFERROR(T59+T58,"")</f>
        <v/>
      </c>
      <c r="U61" s="293"/>
      <c r="V61" s="293"/>
      <c r="W61" s="1433" t="str">
        <f ca="1">IFERROR(W59+W58,"")</f>
        <v/>
      </c>
      <c r="X61" s="1425"/>
      <c r="AA61" s="36"/>
      <c r="AB61" t="str">
        <f ca="1">IF(T46="","","Vehicle Time Utilization - Tier 5")</f>
        <v/>
      </c>
      <c r="AC61" s="460" t="str">
        <f ca="1">T46</f>
        <v/>
      </c>
      <c r="AF61" s="457">
        <f t="shared" si="3"/>
        <v>0.5</v>
      </c>
      <c r="AG61" s="457">
        <f t="shared" si="4"/>
        <v>0.4</v>
      </c>
      <c r="AH61" s="456"/>
      <c r="AI61" s="456"/>
      <c r="AJ61" s="456"/>
      <c r="AK61" s="36"/>
      <c r="AL61" s="36"/>
    </row>
    <row r="62" spans="5:47" ht="15" customHeight="1">
      <c r="F62" s="403"/>
      <c r="G62" s="404" t="s">
        <v>240</v>
      </c>
      <c r="H62" s="405">
        <f ca="1">IFERROR(H60/INDIRECT("'"&amp;$H$3&amp;"'!H$108"),"")</f>
        <v>0.8819999999999999</v>
      </c>
      <c r="I62" s="405"/>
      <c r="J62" s="405"/>
      <c r="K62" s="405">
        <f ca="1">IFERROR(K60/INDIRECT("'"&amp;$H$3&amp;"'!K$108"),"")</f>
        <v>0.84</v>
      </c>
      <c r="L62" s="405"/>
      <c r="M62" s="405"/>
      <c r="N62" s="405">
        <f ca="1">IFERROR(N60/INDIRECT("'"&amp;$H$3&amp;"'!N$108"),"")</f>
        <v>0.79887218045112773</v>
      </c>
      <c r="O62" s="405"/>
      <c r="P62" s="405"/>
      <c r="Q62" s="405" t="str">
        <f ca="1">IFERROR(Q60/INDIRECT("'"&amp;$H$3&amp;"'!Q$108"),"")</f>
        <v/>
      </c>
      <c r="R62" s="406"/>
      <c r="S62" s="406"/>
      <c r="T62" s="405" t="str">
        <f ca="1">IFERROR(T60/INDIRECT("'"&amp;$H$3&amp;"'!T$108"),"")</f>
        <v/>
      </c>
      <c r="U62" s="407"/>
      <c r="V62" s="407"/>
      <c r="W62" s="1434" t="str">
        <f ca="1">IFERROR(W60/INDIRECT("'"&amp;$H$3&amp;"'!W$108"),"")</f>
        <v/>
      </c>
      <c r="X62" s="1426"/>
      <c r="AA62" s="36"/>
      <c r="AB62" t="str">
        <f ca="1">IF(W46="","","Vehicle Time Utilization - Tier 6")</f>
        <v/>
      </c>
      <c r="AC62" s="460" t="str">
        <f ca="1">W46</f>
        <v/>
      </c>
      <c r="AF62" s="457">
        <f t="shared" si="3"/>
        <v>0.5</v>
      </c>
      <c r="AG62" s="457">
        <f t="shared" si="4"/>
        <v>0.4</v>
      </c>
      <c r="AH62" s="456"/>
      <c r="AI62" s="456"/>
      <c r="AJ62" s="456"/>
      <c r="AK62" s="36"/>
      <c r="AL62" s="36"/>
    </row>
    <row r="63" spans="5:47" ht="15.75" customHeight="1">
      <c r="F63" s="351" t="s">
        <v>372</v>
      </c>
      <c r="G63" s="332"/>
      <c r="H63" s="342"/>
      <c r="I63" s="342"/>
      <c r="J63" s="342"/>
      <c r="K63" s="342"/>
      <c r="L63" s="342"/>
      <c r="M63" s="342"/>
      <c r="N63" s="342"/>
      <c r="O63" s="342"/>
      <c r="P63" s="342"/>
      <c r="Q63" s="342"/>
      <c r="R63" s="343"/>
      <c r="S63" s="342"/>
      <c r="T63" s="342"/>
      <c r="U63" s="342"/>
      <c r="V63" s="342"/>
      <c r="W63" s="342"/>
      <c r="X63" s="1420"/>
      <c r="AA63" s="36"/>
      <c r="AB63" s="456" t="str">
        <f ca="1">IF(H54="","","Combined Storage - Tier 1")</f>
        <v>Combined Storage - Tier 1</v>
      </c>
      <c r="AC63" s="458">
        <f ca="1">H54</f>
        <v>0.8819999999999999</v>
      </c>
      <c r="AD63" s="459">
        <f t="shared" ref="AD63:AD68" ca="1" si="6">IF(AC63="",0,1-AC63)</f>
        <v>0.1180000000000001</v>
      </c>
      <c r="AE63" s="456">
        <f ca="1">H55</f>
        <v>0</v>
      </c>
      <c r="AF63" s="457">
        <f t="shared" si="3"/>
        <v>0.5</v>
      </c>
      <c r="AG63" s="457">
        <f t="shared" si="4"/>
        <v>0.4</v>
      </c>
      <c r="AH63" s="456"/>
      <c r="AI63" s="456"/>
      <c r="AJ63" s="456"/>
      <c r="AK63" s="36"/>
      <c r="AL63" s="36"/>
    </row>
    <row r="64" spans="5:47" ht="15" customHeight="1">
      <c r="F64" s="368"/>
      <c r="G64" s="194" t="s">
        <v>101</v>
      </c>
      <c r="H64" s="301">
        <f ca="1">IF(INDIRECT("'"&amp;$H$3&amp;"'!$H$20")='List Values'!$B$3, (INDIRECT("'"&amp;$H$3&amp;"'!$H$18")*INDIRECT("'"&amp;$H$3&amp;"'!H$93"))/INDIRECT("'"&amp;$H$3&amp;"'!H$95"), IF(INDIRECT("'"&amp;$H$3&amp;"'!$H$7")&gt;1,(INDIRECT("'"&amp;$H$3&amp;"'!H$93")*(K$64*INDIRECT("'"&amp;$H$3&amp;"'!K$95")/INDIRECT("'"&amp;$H$3&amp;"'!K$93"))*(1+INDIRECT("'"&amp;$H$3&amp;"'!K$94")))/INDIRECT("'"&amp;$H$3&amp;"'!H$95"),IF(INDIRECT("'"&amp;$H$3&amp;"'!$H$7")=1,(INDIRECT("'"&amp;$H$3&amp;"'!$H$18")*INDIRECT("'"&amp;$H$3&amp;"'!H$93"))/INDIRECT("'"&amp;$H$3&amp;"'!H$95"),"")))</f>
        <v>0</v>
      </c>
      <c r="I64" s="290"/>
      <c r="J64" s="290"/>
      <c r="K64" s="301">
        <f ca="1">IF(INDIRECT("'"&amp;$H$3&amp;"'!$H$7") &lt; 2,0,IF(INDIRECT("'"&amp;$H$3&amp;"'!$H$20")='List Values'!$B$3, ((H$64*INDIRECT("'"&amp;$H$3&amp;"'!H$95")/INDIRECT("'"&amp;$H$3&amp;"'!H$93"))*(1-INDIRECT("'"&amp;$H$3&amp;"'!K$94"))*INDIRECT("'"&amp;$H$3&amp;"'!K$93"))/INDIRECT("'"&amp;$H$3&amp;"'!K$95"), IF(INDIRECT("'"&amp;$H$3&amp;"'!$H$7")&gt;2,(INDIRECT("'"&amp;$H$3&amp;"'!K$93")*(N$64*INDIRECT("'"&amp;$H$3&amp;"'!N$95")/INDIRECT("'"&amp;$H$3&amp;"'!N$93"))*(1+INDIRECT("'"&amp;$H$3&amp;"'!N$94")))/INDIRECT("'"&amp;$H$3&amp;"'!K$95"),IF(INDIRECT("'"&amp;$H$3&amp;"'!$H$7")=2,(INDIRECT("'"&amp;$H$3&amp;"'!$H$18")*INDIRECT("'"&amp;$H$3&amp;"'!K$93"))/INDIRECT("'"&amp;$H$3&amp;"'!K$95"),""))))</f>
        <v>0</v>
      </c>
      <c r="L64" s="290"/>
      <c r="M64" s="290"/>
      <c r="N64" s="301">
        <f ca="1">IF(INDIRECT("'"&amp;$H$3&amp;"'!$H$7") &lt; 3,0,IF(INDIRECT("'"&amp;$H$3&amp;"'!$H$20")='List Values'!$B$3, ((K$64*INDIRECT("'"&amp;$H$3&amp;"'!K$95")/INDIRECT("'"&amp;$H$3&amp;"'!K$93"))*(1-INDIRECT("'"&amp;$H$3&amp;"'!N$94"))*INDIRECT("'"&amp;$H$3&amp;"'!N$93"))/INDIRECT("'"&amp;$H$3&amp;"'!N$95"), IF(INDIRECT("'"&amp;$H$3&amp;"'!$H$7")&gt;3,(INDIRECT("'"&amp;$H$3&amp;"'!N$93")*(Q$64*INDIRECT("'"&amp;$H$3&amp;"'!Q$95")/INDIRECT("'"&amp;$H$3&amp;"'!Q$93"))*(1+INDIRECT("'"&amp;$H$3&amp;"'!Q$94")))/INDIRECT("'"&amp;$H$3&amp;"'!N$95"),IF(INDIRECT("'"&amp;$H$3&amp;"'!$H$7")=3,(INDIRECT("'"&amp;$H$3&amp;"'!$H$18")*INDIRECT("'"&amp;$H$3&amp;"'!N$93"))/INDIRECT("'"&amp;$H$3&amp;"'!N$95"),""))))</f>
        <v>0</v>
      </c>
      <c r="O64" s="290"/>
      <c r="P64" s="290"/>
      <c r="Q64" s="301">
        <f ca="1">IF(INDIRECT("'"&amp;$H$3&amp;"'!$H$7") &lt; 4,0,IF(INDIRECT("'"&amp;$H$3&amp;"'!$H$20")='List Values'!$B$3, ((N$64*INDIRECT("'"&amp;$H$3&amp;"'!N$95")/INDIRECT("'"&amp;$H$3&amp;"'!N$93"))*(1-INDIRECT("'"&amp;$H$3&amp;"'!Q$94"))*INDIRECT("'"&amp;$H$3&amp;"'!Q$93"))/INDIRECT("'"&amp;$H$3&amp;"'!Q$95"), IF(INDIRECT("'"&amp;$H$3&amp;"'!$H$7")&gt;4,(INDIRECT("'"&amp;$H$3&amp;"'!Q$93")*(T$64*INDIRECT("'"&amp;$H$3&amp;"'!T$95")/INDIRECT("'"&amp;$H$3&amp;"'!T$93"))*(1+INDIRECT("'"&amp;$H$3&amp;"'!T$94")))/INDIRECT("'"&amp;$H$3&amp;"'!Q$95"),IF(INDIRECT("'"&amp;$H$3&amp;"'!$H$7")=4,(INDIRECT("'"&amp;$H$3&amp;"'!$H$18")*INDIRECT("'"&amp;$H$3&amp;"'!Q$93"))/INDIRECT("'"&amp;$H$3&amp;"'!Q$95"),""))))</f>
        <v>0</v>
      </c>
      <c r="R64" s="299"/>
      <c r="S64" s="299"/>
      <c r="T64" s="301">
        <f ca="1">IF(INDIRECT("'"&amp;$H$3&amp;"'!$H$7") &lt; 5,0,IF(INDIRECT("'"&amp;$H$3&amp;"'!$H$20")='List Values'!$B$3, ((Q$64*INDIRECT("'"&amp;$H$3&amp;"'!Q$95")/INDIRECT("'"&amp;$H$3&amp;"'!Q$93"))*(1-INDIRECT("'"&amp;$H$3&amp;"'!T$94"))*INDIRECT("'"&amp;$H$3&amp;"'!T$93"))/INDIRECT("'"&amp;$H$3&amp;"'!T$95"), IF(INDIRECT("'"&amp;$H$3&amp;"'!$H$7")&gt;5,(INDIRECT("'"&amp;$H$3&amp;"'!T$93")*(W$64*INDIRECT("'"&amp;$H$3&amp;"'!W$95")/INDIRECT("'"&amp;$H$3&amp;"'!W$93"))*(1+INDIRECT("'"&amp;$H$3&amp;"'!W$94")))/INDIRECT("'"&amp;$H$3&amp;"'!T$95"),IF(INDIRECT("'"&amp;$H$3&amp;"'!$H$7")=5,(INDIRECT("'"&amp;$H$3&amp;"'!$H$18")*INDIRECT("'"&amp;$H$3&amp;"'!T$93"))/INDIRECT("'"&amp;$H$3&amp;"'!T$95"),""))))</f>
        <v>0</v>
      </c>
      <c r="U64" s="300"/>
      <c r="V64" s="300"/>
      <c r="W64" s="1435">
        <f ca="1">IF(INDIRECT("'"&amp;$H$3&amp;"'!$H$7")&lt;6,0,IF(INDIRECT("'"&amp;$H$3&amp;"'!$H$20")='List Values'!$B$3, ((T$64*INDIRECT("'"&amp;$H$3&amp;"'!T$95")/INDIRECT("'"&amp;$H$3&amp;"'!T$93"))*(1-INDIRECT("'"&amp;$H$3&amp;"'!W$94"))*INDIRECT("'"&amp;$H$3&amp;"'!W$93"))/INDIRECT("'"&amp;$H$3&amp;"'!W$95"), IF(INDIRECT("'"&amp;$H$3&amp;"'!$H$7")=6,(INDIRECT("'"&amp;$H$3&amp;"'!$H$18")*INDIRECT("'"&amp;$H$3&amp;"'!W$93"))/INDIRECT("'"&amp;$H$3&amp;"'!W$95"),"")))</f>
        <v>0</v>
      </c>
      <c r="X64" s="1421"/>
      <c r="AA64" s="36"/>
      <c r="AB64" s="456" t="str">
        <f ca="1">IF(K54="","","Combined Storage - Tier 2")</f>
        <v>Combined Storage - Tier 2</v>
      </c>
      <c r="AC64" s="458">
        <f ca="1">K54</f>
        <v>0.84</v>
      </c>
      <c r="AD64" s="459">
        <f t="shared" ca="1" si="6"/>
        <v>0.16000000000000003</v>
      </c>
      <c r="AE64" s="456">
        <f ca="1">K55</f>
        <v>0</v>
      </c>
      <c r="AF64" s="457">
        <f t="shared" si="3"/>
        <v>0.5</v>
      </c>
      <c r="AG64" s="457">
        <f t="shared" si="4"/>
        <v>0.4</v>
      </c>
      <c r="AH64" s="456"/>
      <c r="AI64" s="456"/>
      <c r="AJ64" s="456"/>
      <c r="AK64" s="36"/>
      <c r="AL64" s="36"/>
    </row>
    <row r="65" spans="5:38" ht="15" customHeight="1">
      <c r="F65" s="368"/>
      <c r="G65" s="194" t="s">
        <v>239</v>
      </c>
      <c r="H65" s="290">
        <f ca="1">IFERROR(H$64/INDIRECT("'"&amp;$H$3&amp;"'!H$96"),"")</f>
        <v>0</v>
      </c>
      <c r="I65" s="290"/>
      <c r="J65" s="290"/>
      <c r="K65" s="290">
        <f ca="1">IFERROR(K$64/INDIRECT("'"&amp;$H$3&amp;"'!K$96"),"")</f>
        <v>0</v>
      </c>
      <c r="L65" s="290"/>
      <c r="M65" s="290"/>
      <c r="N65" s="290">
        <f ca="1">IFERROR(N$64/INDIRECT("'"&amp;$H$3&amp;"'!N$96"),"")</f>
        <v>0</v>
      </c>
      <c r="O65" s="290"/>
      <c r="P65" s="290"/>
      <c r="Q65" s="290" t="str">
        <f ca="1">IFERROR(Q$64/INDIRECT("'"&amp;$H$3&amp;"'!Q$96"),"")</f>
        <v/>
      </c>
      <c r="R65" s="299"/>
      <c r="S65" s="299"/>
      <c r="T65" s="290" t="str">
        <f ca="1">IFERROR(T$64/INDIRECT("'"&amp;$H$3&amp;"'!T$96"),"")</f>
        <v/>
      </c>
      <c r="U65" s="300"/>
      <c r="V65" s="300"/>
      <c r="W65" s="1432" t="str">
        <f ca="1">IFERROR(W$64/INDIRECT("'"&amp;$H$3&amp;"'!W$96"),"")</f>
        <v/>
      </c>
      <c r="X65" s="1424"/>
      <c r="AA65" s="36"/>
      <c r="AB65" s="456" t="str">
        <f ca="1">IF(N54="","","Combined Storage - Tier 3")</f>
        <v>Combined Storage - Tier 3</v>
      </c>
      <c r="AC65" s="458">
        <f ca="1">N54</f>
        <v>0.79887218045112773</v>
      </c>
      <c r="AD65" s="459">
        <f t="shared" ca="1" si="6"/>
        <v>0.20112781954887227</v>
      </c>
      <c r="AE65" s="456">
        <f ca="1">N55</f>
        <v>0</v>
      </c>
      <c r="AF65" s="457">
        <f t="shared" si="3"/>
        <v>0.5</v>
      </c>
      <c r="AG65" s="457">
        <f t="shared" si="4"/>
        <v>0.4</v>
      </c>
      <c r="AH65" s="456"/>
      <c r="AI65" s="456"/>
      <c r="AJ65" s="456"/>
      <c r="AK65" s="36"/>
      <c r="AL65" s="36"/>
    </row>
    <row r="66" spans="5:38" ht="15" customHeight="1">
      <c r="F66" s="368"/>
      <c r="G66" s="194" t="s">
        <v>53</v>
      </c>
      <c r="H66" s="294">
        <f ca="1">IFERROR(INDIRECT("'"&amp;$H$3&amp;"'!H$104")*H65*(INDIRECT("'"&amp;$H$3&amp;"'!H$96")/12),"")</f>
        <v>0</v>
      </c>
      <c r="I66" s="294"/>
      <c r="J66" s="294"/>
      <c r="K66" s="294">
        <f ca="1">IFERROR(INDIRECT("'"&amp;$H$3&amp;"'!K$104")*K65*(INDIRECT("'"&amp;$H$3&amp;"'!K$96")/12),"")</f>
        <v>0</v>
      </c>
      <c r="L66" s="294"/>
      <c r="M66" s="294"/>
      <c r="N66" s="294">
        <f ca="1">IFERROR(INDIRECT("'"&amp;$H$3&amp;"'!N$104")*N65*(INDIRECT("'"&amp;$H$3&amp;"'!N$96")/12),"")</f>
        <v>0</v>
      </c>
      <c r="O66" s="295"/>
      <c r="P66" s="295"/>
      <c r="Q66" s="294" t="str">
        <f ca="1">IFERROR(INDIRECT("'"&amp;$H$3&amp;"'!Q$104")*Q65*(INDIRECT("'"&amp;$H$3&amp;"'!Q$96")/12),"")</f>
        <v/>
      </c>
      <c r="R66" s="299"/>
      <c r="S66" s="299"/>
      <c r="T66" s="294" t="str">
        <f ca="1">IFERROR(INDIRECT("'"&amp;$H$3&amp;"'!T$104")*T65*(INDIRECT("'"&amp;$H$3&amp;"'!T$96")/12),"")</f>
        <v/>
      </c>
      <c r="U66" s="300"/>
      <c r="V66" s="300"/>
      <c r="W66" s="1433" t="str">
        <f ca="1">IFERROR(INDIRECT("'"&amp;$H$3&amp;"'!W$104")*W65*(INDIRECT("'"&amp;$H$3&amp;"'!W$96")/12),"")</f>
        <v/>
      </c>
      <c r="X66" s="1425"/>
      <c r="AA66" s="36"/>
      <c r="AB66" s="36" t="str">
        <f ca="1">IF(Q54="","","Combined Storage - Tier 4")</f>
        <v>Combined Storage - Tier 4</v>
      </c>
      <c r="AC66" s="458">
        <f ca="1">Q54</f>
        <v>0</v>
      </c>
      <c r="AD66" s="459">
        <f t="shared" ca="1" si="6"/>
        <v>1</v>
      </c>
      <c r="AE66" s="456">
        <f ca="1">Q55</f>
        <v>1</v>
      </c>
      <c r="AF66" s="457">
        <f t="shared" si="3"/>
        <v>0.5</v>
      </c>
      <c r="AG66" s="457">
        <f t="shared" si="4"/>
        <v>0.4</v>
      </c>
      <c r="AH66" s="456"/>
      <c r="AI66" s="456"/>
      <c r="AJ66" s="456"/>
      <c r="AK66" s="36"/>
      <c r="AL66" s="36"/>
    </row>
    <row r="67" spans="5:38" ht="15" customHeight="1">
      <c r="F67" s="368"/>
      <c r="G67" s="194" t="s">
        <v>51</v>
      </c>
      <c r="H67" s="290">
        <f ca="1">IFERROR(H66+((H68-H66)/2),"")</f>
        <v>0</v>
      </c>
      <c r="I67" s="290"/>
      <c r="J67" s="290"/>
      <c r="K67" s="290">
        <f ca="1">IFERROR(K66+((K68-K66)/2),"")</f>
        <v>0</v>
      </c>
      <c r="L67" s="290"/>
      <c r="M67" s="290"/>
      <c r="N67" s="290">
        <f ca="1">IFERROR(N66+((N68-N66)/2),"")</f>
        <v>0</v>
      </c>
      <c r="O67" s="291"/>
      <c r="P67" s="291"/>
      <c r="Q67" s="290" t="str">
        <f ca="1">IFERROR(Q66+((Q68-Q66)/2),"")</f>
        <v/>
      </c>
      <c r="R67" s="299"/>
      <c r="S67" s="299"/>
      <c r="T67" s="290" t="str">
        <f ca="1">IFERROR(T66+((T68-T66)/2),"")</f>
        <v/>
      </c>
      <c r="U67" s="300"/>
      <c r="V67" s="300"/>
      <c r="W67" s="1432" t="str">
        <f ca="1">IFERROR(W66+((W68-W66)/2),"")</f>
        <v/>
      </c>
      <c r="X67" s="1424"/>
      <c r="AA67" s="36"/>
      <c r="AB67" s="36" t="str">
        <f ca="1">IF(T54="","","Combined Storage - Tier 5")</f>
        <v>Combined Storage - Tier 5</v>
      </c>
      <c r="AC67" s="458">
        <f ca="1">T54</f>
        <v>0</v>
      </c>
      <c r="AD67" s="459">
        <f t="shared" ca="1" si="6"/>
        <v>1</v>
      </c>
      <c r="AE67" s="456">
        <f ca="1">T55</f>
        <v>1</v>
      </c>
      <c r="AF67" s="457">
        <f t="shared" si="3"/>
        <v>0.5</v>
      </c>
      <c r="AG67" s="457">
        <f t="shared" si="4"/>
        <v>0.4</v>
      </c>
      <c r="AH67" s="456"/>
      <c r="AI67" s="456"/>
      <c r="AJ67" s="456"/>
      <c r="AK67" s="36"/>
      <c r="AL67" s="36"/>
    </row>
    <row r="68" spans="5:38" ht="15" customHeight="1">
      <c r="F68" s="368"/>
      <c r="G68" s="194" t="s">
        <v>52</v>
      </c>
      <c r="H68" s="294">
        <f ca="1">IFERROR(H66+H65,"")</f>
        <v>0</v>
      </c>
      <c r="I68" s="294"/>
      <c r="J68" s="294"/>
      <c r="K68" s="294">
        <f ca="1">IFERROR(K66+K65,"")</f>
        <v>0</v>
      </c>
      <c r="L68" s="294"/>
      <c r="M68" s="294"/>
      <c r="N68" s="294">
        <f ca="1">IFERROR(N66+N65,"")</f>
        <v>0</v>
      </c>
      <c r="O68" s="295"/>
      <c r="P68" s="295"/>
      <c r="Q68" s="294" t="str">
        <f ca="1">IFERROR(Q66+Q65,"")</f>
        <v/>
      </c>
      <c r="R68" s="299"/>
      <c r="S68" s="299"/>
      <c r="T68" s="294" t="str">
        <f ca="1">IFERROR(T66+T65,"")</f>
        <v/>
      </c>
      <c r="U68" s="300"/>
      <c r="V68" s="300"/>
      <c r="W68" s="1433" t="str">
        <f ca="1">IFERROR(W66+W65,"")</f>
        <v/>
      </c>
      <c r="X68" s="1425"/>
      <c r="AA68" s="36"/>
      <c r="AB68" s="36" t="str">
        <f ca="1">IF(W54="","","Combined Storage - Tier 6")</f>
        <v>Combined Storage - Tier 6</v>
      </c>
      <c r="AC68" s="458">
        <f ca="1">W54</f>
        <v>0</v>
      </c>
      <c r="AD68" s="459">
        <f t="shared" ca="1" si="6"/>
        <v>1</v>
      </c>
      <c r="AE68" s="456">
        <f ca="1">W55</f>
        <v>1</v>
      </c>
      <c r="AF68" s="457">
        <f t="shared" si="3"/>
        <v>0.5</v>
      </c>
      <c r="AG68" s="457">
        <f t="shared" si="4"/>
        <v>0.4</v>
      </c>
      <c r="AH68" s="456"/>
      <c r="AI68" s="456"/>
      <c r="AJ68" s="456"/>
      <c r="AK68" s="36"/>
      <c r="AL68" s="36"/>
    </row>
    <row r="69" spans="5:38" ht="15" customHeight="1">
      <c r="F69" s="403"/>
      <c r="G69" s="404" t="s">
        <v>5844</v>
      </c>
      <c r="H69" s="405" t="str">
        <f ca="1">IFERROR(H68/INDIRECT("'"&amp;$H$3&amp;"'!H$109"),"")</f>
        <v/>
      </c>
      <c r="I69" s="405"/>
      <c r="J69" s="405"/>
      <c r="K69" s="405" t="str">
        <f ca="1">IFERROR(K68/INDIRECT("'"&amp;$H$3&amp;"'!K$109"),"")</f>
        <v/>
      </c>
      <c r="L69" s="405"/>
      <c r="M69" s="405"/>
      <c r="N69" s="405" t="str">
        <f ca="1">IFERROR(N68/INDIRECT("'"&amp;$H$3&amp;"'!N$109"),"")</f>
        <v/>
      </c>
      <c r="O69" s="408"/>
      <c r="P69" s="408"/>
      <c r="Q69" s="408" t="str">
        <f ca="1">IFERROR(Q68/INDIRECT("'"&amp;$H$3&amp;"'!Q$109"),"")</f>
        <v/>
      </c>
      <c r="R69" s="409"/>
      <c r="S69" s="409"/>
      <c r="T69" s="408" t="str">
        <f ca="1">IFERROR(T68/INDIRECT("'"&amp;$H$3&amp;"'!T$109"),"")</f>
        <v/>
      </c>
      <c r="U69" s="410"/>
      <c r="V69" s="410"/>
      <c r="W69" s="1434" t="str">
        <f ca="1">IFERROR(W68/INDIRECT("'"&amp;$H$3&amp;"'!W$109"),"")</f>
        <v/>
      </c>
      <c r="X69" s="1426"/>
      <c r="AA69" s="36"/>
      <c r="AB69" s="456"/>
      <c r="AC69" s="456"/>
      <c r="AD69" s="456"/>
      <c r="AE69" s="456"/>
      <c r="AF69" s="456"/>
      <c r="AG69" s="456"/>
      <c r="AH69" s="456"/>
      <c r="AI69" s="456"/>
      <c r="AJ69" s="456"/>
      <c r="AK69" s="36"/>
      <c r="AL69" s="36"/>
    </row>
    <row r="70" spans="5:38" ht="15.75" customHeight="1">
      <c r="F70" s="351" t="s">
        <v>466</v>
      </c>
      <c r="G70" s="332"/>
      <c r="H70" s="342"/>
      <c r="I70" s="342"/>
      <c r="J70" s="342"/>
      <c r="K70" s="342"/>
      <c r="L70" s="342"/>
      <c r="M70" s="342"/>
      <c r="N70" s="342"/>
      <c r="O70" s="342"/>
      <c r="P70" s="342"/>
      <c r="Q70" s="342"/>
      <c r="R70" s="343"/>
      <c r="S70" s="342"/>
      <c r="T70" s="342"/>
      <c r="U70" s="342"/>
      <c r="V70" s="342"/>
      <c r="W70" s="342"/>
      <c r="X70" s="1420"/>
      <c r="AA70" s="36"/>
      <c r="AB70" s="456"/>
      <c r="AC70" s="456"/>
      <c r="AD70" s="456"/>
      <c r="AE70" s="456"/>
      <c r="AF70" s="456"/>
      <c r="AG70" s="456"/>
      <c r="AH70" s="456"/>
      <c r="AI70" s="456"/>
      <c r="AJ70" s="456"/>
      <c r="AK70" s="36"/>
      <c r="AL70" s="36"/>
    </row>
    <row r="71" spans="5:38" ht="22.5" customHeight="1">
      <c r="F71" s="411"/>
      <c r="G71" s="211" t="s">
        <v>392</v>
      </c>
      <c r="H71" s="2069">
        <f ca="1">IFERROR(IF(AND(INDIRECT("'"&amp;$H$3&amp;"'!H113")&gt;0,INDIRECT("'"&amp;$H$3&amp;"'!H117")="Upstream"),AVERAGE(H151*H152,H189*H190,H227*H228)/(INDIRECT("'"&amp;$H$3&amp;"'!H113")*INDIRECT("'"&amp;$H$3&amp;"'!H114")),
IF(AND(INDIRECT("'"&amp;$H$3&amp;"'!H113")&gt;0,INDIRECT("'"&amp;$H$3&amp;"'!H117")="Downstream"),SUM(K151*K152,K189*K190,K227*K228)/(IF(INDIRECT("'"&amp;$H$3&amp;"'!K117")="Upstream",(INDIRECT("'"&amp;$H$3&amp;"'!K113")*INDIRECT("'"&amp;$H$3&amp;"'!K114")),0)+(INDIRECT("'"&amp;$H$3&amp;"'!H113")*INDIRECT("'"&amp;$H$3&amp;"'!H114"))),
IF(OR(H64=0,INDIRECT("'"&amp;$H$3&amp;"'!H113")=0,INDIRECT("'"&amp;$H$3&amp;"'!H113")=""),"-","Must Select Upstream or Downstream"))),
IF(H64=0,"-","Cannot calculate. Is cold box capacity set to zero for this tier?"))</f>
        <v>0</v>
      </c>
      <c r="I71" s="2069"/>
      <c r="J71" s="2069"/>
      <c r="K71" s="2069">
        <f ca="1">IFERROR(IF(AND(INDIRECT("'"&amp;$H$3&amp;"'!K113")&gt;0,INDIRECT("'"&amp;$H$3&amp;"'!K117")="Upstream"),AVERAGE(K151*K152,K189*K190,K227*K228)/(IF(INDIRECT("'"&amp;$H$3&amp;"'!H117")="Downstream",(INDIRECT("'"&amp;$H$3&amp;"'!H113")*INDIRECT("'"&amp;$H$3&amp;"'!H114")),0)+(INDIRECT("'"&amp;$H$3&amp;"'!K113")*INDIRECT("'"&amp;$H$3&amp;"'!K114"))),
IF(AND(INDIRECT("'"&amp;$H$3&amp;"'!K113")&gt;0,INDIRECT("'"&amp;$H$3&amp;"'!K117")="Downstream"),SUM(N151*N152,N189*N190,N227*N228)/(IF(INDIRECT("'"&amp;$H$3&amp;"'!N117")="Upstream",(INDIRECT("'"&amp;$H$3&amp;"'!N113")*INDIRECT("'"&amp;$H$3&amp;"'!N114")),0)+(INDIRECT("'"&amp;$H$3&amp;"'!K113")*INDIRECT("'"&amp;$H$3&amp;"'!K114"))),
IF(OR(K64=0,INDIRECT("'"&amp;$H$3&amp;"'!K113")=0,INDIRECT("'"&amp;$H$3&amp;"'!K113")=""),"-","Must Select Upstream or Downstream"))),
IF(K64=0,"-","Cannot calculate. Is cold box capacity set to zero for this tier?"))</f>
        <v>0</v>
      </c>
      <c r="L71" s="2069"/>
      <c r="M71" s="2069"/>
      <c r="N71" s="2069">
        <f ca="1">IFERROR(IF(AND(INDIRECT("'"&amp;$H$3&amp;"'!N113")&gt;0,INDIRECT("'"&amp;$H$3&amp;"'!N117")="Upstream"),AVERAGE(N151*N152,N189*N190,N227*N228)/(IF(INDIRECT("'"&amp;$H$3&amp;"'!K117")="Downstream",(INDIRECT("'"&amp;$H$3&amp;"'!K113")*INDIRECT("'"&amp;$H$3&amp;"'!K114")),0)+(INDIRECT("'"&amp;$H$3&amp;"'!N113")*INDIRECT("'"&amp;$H$3&amp;"'!N114"))),
IF(AND(INDIRECT("'"&amp;$H$3&amp;"'!N113")&gt;0,INDIRECT("'"&amp;$H$3&amp;"'!N117")="Downstream"),SUM(Q151*Q152,Q189*Q190,Q227*Q228)/(IF(INDIRECT("'"&amp;$H$3&amp;"'!Q117")="Upstream",(INDIRECT("'"&amp;$H$3&amp;"'!Q113")*INDIRECT("'"&amp;$H$3&amp;"'!Q114")),0)+(INDIRECT("'"&amp;$H$3&amp;"'!N113")*INDIRECT("'"&amp;$H$3&amp;"'!N114"))),
IF(OR(N64=0,INDIRECT("'"&amp;$H$3&amp;"'!N113")=0,INDIRECT("'"&amp;$H$3&amp;"'!N113")=""),"-","Must Select Upstream or Downstream"))),
IF(N64=0,"-","Cannot calculate. Is cold box capacity set to zero for this tier?"))</f>
        <v>0</v>
      </c>
      <c r="O71" s="2069"/>
      <c r="P71" s="2069"/>
      <c r="Q71" s="2069" t="str">
        <f ca="1">IFERROR(IF(AND(INDIRECT("'"&amp;$H$3&amp;"'!Q113")&gt;0,INDIRECT("'"&amp;$H$3&amp;"'!Q117")="Upstream"),AVERAGE(Q151*Q152,Q189*Q190,Q227*Q228)/(IF(INDIRECT("'"&amp;$H$3&amp;"'!N117")="Downstream",(INDIRECT("'"&amp;$H$3&amp;"'!N113")*INDIRECT("'"&amp;$H$3&amp;"'!N114")),0)+(INDIRECT("'"&amp;$H$3&amp;"'!Q113")*INDIRECT("'"&amp;$H$3&amp;"'!Q114"))),
IF(AND(INDIRECT("'"&amp;$H$3&amp;"'!Q113")&gt;0,INDIRECT("'"&amp;$H$3&amp;"'!Q117")="Downstream"),SUM(T151*T152,T189*T190,T227*T228)/(IF(INDIRECT("'"&amp;$H$3&amp;"'!T117")="Upstream",(INDIRECT("'"&amp;$H$3&amp;"'!T113")*INDIRECT("'"&amp;$H$3&amp;"'!T114")),0)+(INDIRECT("'"&amp;$H$3&amp;"'!Q113")*INDIRECT("'"&amp;$H$3&amp;"'!Q114"))),
IF(OR(Q64=0,INDIRECT("'"&amp;$H$3&amp;"'!Q113")=0,INDIRECT("'"&amp;$H$3&amp;"'!Q113")=""),"-","Must Select Upstream or Downstream"))),
IF(OR(Q64=0,Q64=""),"-","Cannot calculate. Is cold box capacity set to zero for this tier?"))</f>
        <v>-</v>
      </c>
      <c r="R71" s="2069"/>
      <c r="S71" s="2069"/>
      <c r="T71" s="2069" t="str">
        <f ca="1">IFERROR(IF(AND(INDIRECT("'"&amp;$H$3&amp;"'!T113")&gt;0,INDIRECT("'"&amp;$H$3&amp;"'!T117")="Upstream"),AVERAGE(T151*T152,T189*T190,T227*T228)/(IF(INDIRECT("'"&amp;$H$3&amp;"'!Q117")="Downstream",(INDIRECT("'"&amp;$H$3&amp;"'!Q113")*INDIRECT("'"&amp;$H$3&amp;"'!Q114")),0)+(INDIRECT("'"&amp;$H$3&amp;"'!T113")*INDIRECT("'"&amp;$H$3&amp;"'!T114"))),
IF(AND(INDIRECT("'"&amp;$H$3&amp;"'!T113")&gt;0,INDIRECT("'"&amp;$H$3&amp;"'!T117")="Downstream"),SUM(W151*W152,W189*W190,W227*W228)/(IF(INDIRECT("'"&amp;$H$3&amp;"'!W117")="Upstream",(INDIRECT("'"&amp;$H$3&amp;"'!W113")*INDIRECT("'"&amp;$H$3&amp;"'!W114")),0)+(INDIRECT("'"&amp;$H$3&amp;"'!T113")*INDIRECT("'"&amp;$H$3&amp;"'!T114"))),
IF(OR(T64=0,INDIRECT("'"&amp;$H$3&amp;"'!T113")=0,INDIRECT("'"&amp;$H$3&amp;"'!T113")=""),"-","Must Select Upstream or Downstream"))),
IF(T64=0,"-","Cannot calculate. Is cold box capacity set to zero for this tier?"))</f>
        <v>-</v>
      </c>
      <c r="U71" s="2069"/>
      <c r="V71" s="2069"/>
      <c r="W71" s="2070" t="str">
        <f ca="1">IFERROR(IF(AND(INDIRECT("'"&amp;$H$3&amp;"'!W113")&gt;0,INDIRECT("'"&amp;$H$3&amp;"'!W117")="Upstream"),AVERAGE(W151*W152,W189*W190,W227*W228)/(IF(INDIRECT("'"&amp;$H$3&amp;"'!T117")="Downstream",(INDIRECT("'"&amp;$H$3&amp;"'!T113")*INDIRECT("'"&amp;$H$3&amp;"'!T114")),0)+(INDIRECT("'"&amp;$H$3&amp;"'!W113")*INDIRECT("'"&amp;$H$3&amp;"'!W114"))),
IF(AND(INDIRECT("'"&amp;$H$3&amp;"'!W113")&gt;0,INDIRECT("'"&amp;$H$3&amp;"'!W117")="Downstream"),0,
IF(OR(W64=0,INDIRECT("'"&amp;$H$3&amp;"'!W113")=0,INDIRECT("'"&amp;$H$3&amp;"'!W113")=""),"-","Must Select Upstream or Downstream"))),
IF(W64=0,"-","Cannot calculate. Is cold box capacity set to zero for this tier?"))</f>
        <v>-</v>
      </c>
      <c r="X71" s="1427"/>
      <c r="AA71" s="36"/>
      <c r="AB71" s="36"/>
      <c r="AC71" s="36"/>
      <c r="AD71" s="36"/>
      <c r="AE71" s="36"/>
      <c r="AF71" s="36"/>
      <c r="AG71" s="36"/>
      <c r="AH71" s="36"/>
      <c r="AI71" s="36"/>
      <c r="AJ71" s="36"/>
      <c r="AK71" s="36"/>
      <c r="AL71" s="36"/>
    </row>
    <row r="72" spans="5:38" ht="65.25" customHeight="1">
      <c r="F72" s="1406" t="s">
        <v>467</v>
      </c>
      <c r="G72" s="1406"/>
      <c r="H72" s="1406"/>
      <c r="I72" s="1406"/>
      <c r="J72" s="1406"/>
      <c r="K72" s="1406"/>
      <c r="L72" s="1406"/>
      <c r="M72" s="1406"/>
      <c r="N72" s="1406"/>
      <c r="O72" s="1406"/>
      <c r="P72" s="245"/>
      <c r="Q72" s="244"/>
      <c r="R72" s="257"/>
      <c r="S72" s="257"/>
      <c r="T72" s="257"/>
      <c r="U72" s="257"/>
      <c r="V72" s="257"/>
      <c r="W72" s="257"/>
      <c r="X72" s="1458"/>
      <c r="Y72" s="257"/>
      <c r="Z72" s="257"/>
      <c r="AA72" s="447"/>
      <c r="AB72" s="447"/>
      <c r="AC72" s="36"/>
      <c r="AD72" s="36"/>
      <c r="AE72" s="36"/>
      <c r="AF72" s="36"/>
      <c r="AG72" s="36"/>
      <c r="AH72" s="36"/>
      <c r="AI72" s="36"/>
      <c r="AJ72" s="36"/>
      <c r="AK72" s="36"/>
      <c r="AL72" s="36"/>
    </row>
    <row r="73" spans="5:38" ht="36.75" customHeight="1"/>
    <row r="74" spans="5:38" ht="16.5" customHeight="1"/>
    <row r="75" spans="5:38" ht="15.9">
      <c r="E75" s="415" t="s">
        <v>475</v>
      </c>
      <c r="F75" s="324"/>
      <c r="G75" s="324"/>
      <c r="H75" s="22"/>
      <c r="I75" s="22"/>
      <c r="J75" s="22"/>
      <c r="K75" s="22"/>
      <c r="L75" s="22"/>
      <c r="M75" s="22"/>
      <c r="N75" s="22"/>
      <c r="O75" s="22"/>
      <c r="P75" s="22"/>
      <c r="Q75" s="22"/>
      <c r="R75" s="22"/>
      <c r="S75" s="22"/>
      <c r="T75" s="22"/>
      <c r="U75" s="22"/>
      <c r="V75" s="22"/>
      <c r="W75" s="22"/>
      <c r="Y75" s="1485"/>
    </row>
    <row r="76" spans="5:38" ht="29.15">
      <c r="F76" s="20"/>
      <c r="G76" s="21"/>
      <c r="H76" s="1579" t="str">
        <f ca="1">IF($H$9&gt;=1,INDIRECT("'"&amp;$H$3&amp;"'!G$91"),"")</f>
        <v>CMS Tier</v>
      </c>
      <c r="I76" s="1579" t="str">
        <f t="shared" ref="I76:V76" ca="1" si="7">IF($H$9&gt;=1,"Tier 1","")</f>
        <v>Tier 1</v>
      </c>
      <c r="J76" s="1579" t="str">
        <f t="shared" ca="1" si="7"/>
        <v>Tier 1</v>
      </c>
      <c r="K76" s="1579" t="str">
        <f ca="1">IF($H$9&gt;=2,INDIRECT("'"&amp;$H$3&amp;"'!J$91"),"")</f>
        <v>Regional WH Tier</v>
      </c>
      <c r="L76" s="1579" t="str">
        <f t="shared" ca="1" si="7"/>
        <v>Tier 1</v>
      </c>
      <c r="M76" s="1579" t="str">
        <f t="shared" ca="1" si="7"/>
        <v>Tier 1</v>
      </c>
      <c r="N76" s="1579" t="str">
        <f ca="1">IF($H$9&gt;=3,INDIRECT("'"&amp;$H$3&amp;"'!M$91"),"")</f>
        <v>Health Facility Tier</v>
      </c>
      <c r="O76" s="1578" t="str">
        <f t="shared" ca="1" si="7"/>
        <v>Tier 1</v>
      </c>
      <c r="P76" s="1578" t="str">
        <f t="shared" ca="1" si="7"/>
        <v>Tier 1</v>
      </c>
      <c r="Q76" s="1578" t="str">
        <f ca="1">IF($H$9&gt;=4,INDIRECT("'"&amp;$H$3&amp;"'!P$91"),"")</f>
        <v/>
      </c>
      <c r="R76" s="1493" t="str">
        <f t="shared" ca="1" si="7"/>
        <v>Tier 1</v>
      </c>
      <c r="S76" s="1580" t="str">
        <f t="shared" ca="1" si="7"/>
        <v>Tier 1</v>
      </c>
      <c r="T76" s="1578" t="str">
        <f ca="1">IF($H$9&gt;=5,INDIRECT("'"&amp;$H$3&amp;"'!S$91"),"")</f>
        <v/>
      </c>
      <c r="U76" s="1580" t="str">
        <f t="shared" ca="1" si="7"/>
        <v>Tier 1</v>
      </c>
      <c r="V76" s="1580" t="str">
        <f t="shared" ca="1" si="7"/>
        <v>Tier 1</v>
      </c>
      <c r="W76" s="1578" t="str">
        <f ca="1">IF($H$9&gt;=6,INDIRECT("'"&amp;$H$3&amp;"'!V$91"),"")</f>
        <v/>
      </c>
      <c r="X76" s="1459"/>
      <c r="Y76" s="380" t="s">
        <v>25</v>
      </c>
    </row>
    <row r="77" spans="5:38">
      <c r="F77" s="351" t="s">
        <v>464</v>
      </c>
      <c r="G77" s="332"/>
      <c r="H77" s="333"/>
      <c r="I77" s="333"/>
      <c r="J77" s="333"/>
      <c r="K77" s="333"/>
      <c r="L77" s="333"/>
      <c r="M77" s="333"/>
      <c r="N77" s="333"/>
      <c r="O77" s="333"/>
      <c r="P77" s="333"/>
      <c r="Q77" s="333"/>
      <c r="R77" s="334"/>
      <c r="S77" s="335"/>
      <c r="T77" s="333"/>
      <c r="U77" s="335"/>
      <c r="V77" s="335"/>
      <c r="W77" s="333"/>
      <c r="X77" s="1459"/>
      <c r="Y77" s="1486"/>
    </row>
    <row r="78" spans="5:38">
      <c r="F78" s="288" t="s">
        <v>28</v>
      </c>
      <c r="G78" s="336"/>
      <c r="H78" s="337">
        <f ca="1">SUM(H$132:H$137)</f>
        <v>356937.61504037399</v>
      </c>
      <c r="I78" s="337"/>
      <c r="J78" s="337"/>
      <c r="K78" s="337">
        <f ca="1">SUM(K$132:K$137)</f>
        <v>281586.00040215149</v>
      </c>
      <c r="L78" s="337"/>
      <c r="M78" s="337"/>
      <c r="N78" s="337">
        <f ca="1">SUM(N$132:N$137)</f>
        <v>244046.7819764734</v>
      </c>
      <c r="O78" s="338"/>
      <c r="P78" s="338"/>
      <c r="Q78" s="337">
        <f ca="1">SUM(Q$132:Q$137)</f>
        <v>0</v>
      </c>
      <c r="R78" s="339"/>
      <c r="S78" s="340"/>
      <c r="T78" s="337">
        <f ca="1">SUM(T$132:T$137)</f>
        <v>0</v>
      </c>
      <c r="U78" s="340"/>
      <c r="V78" s="340"/>
      <c r="W78" s="338">
        <f ca="1">SUM(W$132:W$137)</f>
        <v>0</v>
      </c>
      <c r="X78" s="1420"/>
      <c r="Y78" s="341">
        <f ca="1">SUM(H78:W78)</f>
        <v>882570.39741899888</v>
      </c>
      <c r="Z78" s="1"/>
      <c r="AA78" s="1"/>
      <c r="AL78" s="1"/>
    </row>
    <row r="79" spans="5:38">
      <c r="F79" s="288" t="s">
        <v>29</v>
      </c>
      <c r="G79" s="336"/>
      <c r="H79" s="337">
        <f ca="1">SUM(H99:H127)</f>
        <v>0</v>
      </c>
      <c r="I79" s="337"/>
      <c r="J79" s="337"/>
      <c r="K79" s="337">
        <f ca="1">SUM(K99:K127)</f>
        <v>101011.57136787566</v>
      </c>
      <c r="L79" s="337"/>
      <c r="M79" s="337"/>
      <c r="N79" s="337">
        <f ca="1">SUM(N99:N127)</f>
        <v>314287.72108914063</v>
      </c>
      <c r="O79" s="337"/>
      <c r="P79" s="337"/>
      <c r="Q79" s="337">
        <f ca="1">SUM(Q99:Q127)</f>
        <v>0</v>
      </c>
      <c r="R79" s="339"/>
      <c r="S79" s="340"/>
      <c r="T79" s="337">
        <f ca="1">SUM(T99:T127)</f>
        <v>0</v>
      </c>
      <c r="U79" s="340"/>
      <c r="V79" s="340"/>
      <c r="W79" s="338">
        <f ca="1">SUM(W99:W127)</f>
        <v>0</v>
      </c>
      <c r="X79" s="1420"/>
      <c r="Y79" s="341">
        <f ca="1">SUM(H79:W79)</f>
        <v>415299.2924570163</v>
      </c>
    </row>
    <row r="80" spans="5:38">
      <c r="F80" s="288" t="s">
        <v>84</v>
      </c>
      <c r="G80" s="336"/>
      <c r="H80" s="337">
        <f ca="1">SUM(H139)</f>
        <v>68518.335535384278</v>
      </c>
      <c r="I80" s="337"/>
      <c r="J80" s="337"/>
      <c r="K80" s="337">
        <f ca="1">SUM(K139)</f>
        <v>13104</v>
      </c>
      <c r="L80" s="337"/>
      <c r="M80" s="337"/>
      <c r="N80" s="337">
        <f ca="1">SUM(N139)</f>
        <v>50452.347965689762</v>
      </c>
      <c r="O80" s="338"/>
      <c r="P80" s="338"/>
      <c r="Q80" s="337">
        <f ca="1">SUM(Q139)</f>
        <v>0</v>
      </c>
      <c r="R80" s="339"/>
      <c r="S80" s="340"/>
      <c r="T80" s="337">
        <f ca="1">SUM(T139)</f>
        <v>0</v>
      </c>
      <c r="U80" s="340"/>
      <c r="V80" s="340"/>
      <c r="W80" s="338">
        <f ca="1">SUM(W139)</f>
        <v>0</v>
      </c>
      <c r="X80" s="1420"/>
      <c r="Y80" s="341">
        <f ca="1">SUM(H80:W80)</f>
        <v>132074.68350107403</v>
      </c>
    </row>
    <row r="81" spans="5:38">
      <c r="F81" s="419" t="s">
        <v>33</v>
      </c>
      <c r="G81" s="420"/>
      <c r="H81" s="421">
        <f ca="1">SUM(H78:H80)</f>
        <v>425455.95057575824</v>
      </c>
      <c r="I81" s="421"/>
      <c r="J81" s="421"/>
      <c r="K81" s="421">
        <f ca="1">SUM(K78:K80)</f>
        <v>395701.57177002716</v>
      </c>
      <c r="L81" s="421"/>
      <c r="M81" s="421"/>
      <c r="N81" s="421">
        <f ca="1">SUM(N78:N80)</f>
        <v>608786.85103130376</v>
      </c>
      <c r="O81" s="421"/>
      <c r="P81" s="421"/>
      <c r="Q81" s="421">
        <f t="shared" ref="Q81:W81" ca="1" si="8">SUM(Q78:Q80)</f>
        <v>0</v>
      </c>
      <c r="R81" s="421"/>
      <c r="S81" s="421"/>
      <c r="T81" s="421">
        <f t="shared" ca="1" si="8"/>
        <v>0</v>
      </c>
      <c r="U81" s="421"/>
      <c r="V81" s="421"/>
      <c r="W81" s="422">
        <f t="shared" ca="1" si="8"/>
        <v>0</v>
      </c>
      <c r="X81" s="1460"/>
      <c r="Y81" s="423">
        <f ca="1">SUM(Y78:Y80)</f>
        <v>1429944.3733770894</v>
      </c>
    </row>
    <row r="82" spans="5:38" ht="8.25" customHeight="1">
      <c r="E82" s="348"/>
      <c r="F82" s="348"/>
      <c r="G82" s="348"/>
      <c r="H82" s="349"/>
      <c r="I82" s="349"/>
      <c r="J82" s="349"/>
      <c r="K82" s="349"/>
      <c r="L82" s="349"/>
      <c r="M82" s="349"/>
      <c r="N82" s="349"/>
      <c r="O82" s="349"/>
      <c r="P82" s="349"/>
      <c r="Q82" s="349"/>
      <c r="R82" s="349"/>
      <c r="S82" s="349"/>
      <c r="T82" s="349"/>
      <c r="U82" s="349"/>
      <c r="V82" s="349"/>
      <c r="W82" s="349"/>
      <c r="X82" s="1461"/>
      <c r="Y82" s="350"/>
    </row>
    <row r="83" spans="5:38">
      <c r="F83" s="326" t="s">
        <v>476</v>
      </c>
      <c r="G83" s="332"/>
      <c r="H83" s="342"/>
      <c r="I83" s="342"/>
      <c r="J83" s="342"/>
      <c r="K83" s="342"/>
      <c r="L83" s="342"/>
      <c r="M83" s="342"/>
      <c r="N83" s="342"/>
      <c r="O83" s="342"/>
      <c r="P83" s="342"/>
      <c r="Q83" s="342"/>
      <c r="R83" s="343"/>
      <c r="S83" s="342"/>
      <c r="T83" s="342"/>
      <c r="U83" s="342"/>
      <c r="V83" s="342"/>
      <c r="W83" s="342"/>
      <c r="X83" s="1420"/>
      <c r="Y83" s="344"/>
    </row>
    <row r="84" spans="5:38">
      <c r="F84" s="443" t="s">
        <v>185</v>
      </c>
      <c r="G84" s="336"/>
      <c r="H84" s="337">
        <f ca="1">SUM(H132)</f>
        <v>188138.54967132158</v>
      </c>
      <c r="I84" s="337"/>
      <c r="J84" s="337"/>
      <c r="K84" s="337">
        <f ca="1">SUM(K132)</f>
        <v>177858.49771571273</v>
      </c>
      <c r="L84" s="337"/>
      <c r="M84" s="337"/>
      <c r="N84" s="337">
        <f ca="1">SUM(N132)</f>
        <v>61664.895184020534</v>
      </c>
      <c r="O84" s="337"/>
      <c r="P84" s="337"/>
      <c r="Q84" s="337">
        <f ca="1">SUM(Q132)</f>
        <v>0</v>
      </c>
      <c r="R84" s="337"/>
      <c r="S84" s="337"/>
      <c r="T84" s="337">
        <f ca="1">SUM(T132)</f>
        <v>0</v>
      </c>
      <c r="U84" s="337"/>
      <c r="V84" s="337"/>
      <c r="W84" s="338">
        <f ca="1">SUM(W132)</f>
        <v>0</v>
      </c>
      <c r="X84" s="1420"/>
      <c r="Y84" s="341">
        <f ca="1">SUM(H84:W84)</f>
        <v>427661.94257105479</v>
      </c>
      <c r="AL84" s="4"/>
    </row>
    <row r="85" spans="5:38">
      <c r="F85" s="444" t="s">
        <v>462</v>
      </c>
      <c r="G85" s="336"/>
      <c r="H85" s="337">
        <f ca="1">SUM(H134,H135,H137)</f>
        <v>13329.971374901706</v>
      </c>
      <c r="I85" s="337"/>
      <c r="J85" s="337"/>
      <c r="K85" s="337">
        <f ca="1">SUM(K134,K135,K137)</f>
        <v>26099.093799851336</v>
      </c>
      <c r="L85" s="337"/>
      <c r="M85" s="337"/>
      <c r="N85" s="337">
        <f ca="1">SUM(N134,N135,N137)</f>
        <v>10350</v>
      </c>
      <c r="O85" s="337"/>
      <c r="P85" s="337"/>
      <c r="Q85" s="337">
        <f ca="1">SUM(Q134,Q135,Q137)</f>
        <v>0</v>
      </c>
      <c r="R85" s="337"/>
      <c r="S85" s="337"/>
      <c r="T85" s="337">
        <f ca="1">SUM(T134,T135,T137)</f>
        <v>0</v>
      </c>
      <c r="U85" s="337"/>
      <c r="V85" s="337"/>
      <c r="W85" s="338">
        <f ca="1">SUM(W134,W135,W137)</f>
        <v>0</v>
      </c>
      <c r="X85" s="1420"/>
      <c r="Y85" s="341">
        <f ca="1">SUM(H85:W85)</f>
        <v>49779.065174753043</v>
      </c>
    </row>
    <row r="86" spans="5:38">
      <c r="F86" s="443" t="s">
        <v>478</v>
      </c>
      <c r="G86" s="336"/>
      <c r="H86" s="337">
        <f ca="1">SUM(H133,H136)</f>
        <v>155469.09399415072</v>
      </c>
      <c r="I86" s="337"/>
      <c r="J86" s="337"/>
      <c r="K86" s="337">
        <f ca="1">SUM(K133,K136)</f>
        <v>77628.408886587436</v>
      </c>
      <c r="L86" s="337"/>
      <c r="M86" s="337"/>
      <c r="N86" s="337">
        <f ca="1">SUM(N133,N136)</f>
        <v>172031.88679245286</v>
      </c>
      <c r="O86" s="337"/>
      <c r="P86" s="337"/>
      <c r="Q86" s="337">
        <f ca="1">SUM(Q133,Q136)</f>
        <v>0</v>
      </c>
      <c r="R86" s="337"/>
      <c r="S86" s="337"/>
      <c r="T86" s="337">
        <f ca="1">SUM(T133,T136)</f>
        <v>0</v>
      </c>
      <c r="U86" s="337"/>
      <c r="V86" s="337"/>
      <c r="W86" s="338">
        <f ca="1">SUM(W133,W136)</f>
        <v>0</v>
      </c>
      <c r="X86" s="1420"/>
      <c r="Y86" s="341">
        <f ca="1">SUM(H86:W86)</f>
        <v>405129.38967319101</v>
      </c>
    </row>
    <row r="87" spans="5:38">
      <c r="F87" s="326" t="s">
        <v>477</v>
      </c>
      <c r="G87" s="332"/>
      <c r="H87" s="342"/>
      <c r="I87" s="342"/>
      <c r="J87" s="342"/>
      <c r="K87" s="342"/>
      <c r="L87" s="342"/>
      <c r="M87" s="342"/>
      <c r="N87" s="342"/>
      <c r="O87" s="342"/>
      <c r="P87" s="342"/>
      <c r="Q87" s="342"/>
      <c r="R87" s="343"/>
      <c r="S87" s="342"/>
      <c r="T87" s="342"/>
      <c r="U87" s="342"/>
      <c r="V87" s="342"/>
      <c r="W87" s="342"/>
      <c r="X87" s="1420"/>
      <c r="Y87" s="344"/>
    </row>
    <row r="88" spans="5:38">
      <c r="F88" s="443" t="s">
        <v>185</v>
      </c>
      <c r="G88" s="336"/>
      <c r="H88" s="337">
        <f ca="1">SUM(H101,H111,H121)</f>
        <v>0</v>
      </c>
      <c r="I88" s="337"/>
      <c r="J88" s="337"/>
      <c r="K88" s="337">
        <f ca="1">SUM(K101,K111,K121)</f>
        <v>6902.88</v>
      </c>
      <c r="L88" s="337"/>
      <c r="M88" s="337"/>
      <c r="N88" s="337">
        <f ca="1">SUM(N101,N111,N121)</f>
        <v>55837.680000000008</v>
      </c>
      <c r="O88" s="337"/>
      <c r="P88" s="337"/>
      <c r="Q88" s="337">
        <f ca="1">SUM(Q101,Q111,Q121)</f>
        <v>0</v>
      </c>
      <c r="R88" s="337"/>
      <c r="S88" s="337"/>
      <c r="T88" s="337">
        <f ca="1">SUM(T101,T111,T121)</f>
        <v>0</v>
      </c>
      <c r="U88" s="337"/>
      <c r="V88" s="337"/>
      <c r="W88" s="338">
        <f ca="1">SUM(W101,W111,W121)</f>
        <v>0</v>
      </c>
      <c r="X88" s="1420"/>
      <c r="Y88" s="341">
        <f ca="1">SUM(H88:W88)</f>
        <v>62740.560000000005</v>
      </c>
      <c r="AL88" s="4"/>
    </row>
    <row r="89" spans="5:38">
      <c r="F89" s="444" t="s">
        <v>462</v>
      </c>
      <c r="G89" s="336"/>
      <c r="H89" s="337">
        <f ca="1">SUM(H106,H116,H126)</f>
        <v>0</v>
      </c>
      <c r="I89" s="337"/>
      <c r="J89" s="337"/>
      <c r="K89" s="337">
        <f ca="1">SUM(K106,K116,K126)</f>
        <v>14089.798000000001</v>
      </c>
      <c r="L89" s="337"/>
      <c r="M89" s="337"/>
      <c r="N89" s="337">
        <f ca="1">SUM(N106,N116,N126)</f>
        <v>82074.196795095864</v>
      </c>
      <c r="O89" s="337"/>
      <c r="P89" s="337"/>
      <c r="Q89" s="337">
        <f ca="1">SUM(Q106,Q116,Q126)</f>
        <v>0</v>
      </c>
      <c r="R89" s="337"/>
      <c r="S89" s="337"/>
      <c r="T89" s="337">
        <f ca="1">SUM(T106,T116,T126)</f>
        <v>0</v>
      </c>
      <c r="U89" s="337"/>
      <c r="V89" s="337"/>
      <c r="W89" s="338">
        <f ca="1">SUM(W106,W116,W126)</f>
        <v>0</v>
      </c>
      <c r="X89" s="1420"/>
      <c r="Y89" s="341">
        <f ca="1">SUM(H89:W89)</f>
        <v>96163.994795095859</v>
      </c>
    </row>
    <row r="90" spans="5:38">
      <c r="F90" s="443" t="s">
        <v>471</v>
      </c>
      <c r="G90" s="336"/>
      <c r="H90" s="337">
        <f ca="1">SUM(H102,H112,H122)</f>
        <v>0</v>
      </c>
      <c r="I90" s="337"/>
      <c r="J90" s="337"/>
      <c r="K90" s="337">
        <f ca="1">SUM(K102,K112,K122)</f>
        <v>4380</v>
      </c>
      <c r="L90" s="337"/>
      <c r="M90" s="337"/>
      <c r="N90" s="337">
        <f ca="1">SUM(N102,N112,N122)</f>
        <v>35430</v>
      </c>
      <c r="O90" s="337"/>
      <c r="P90" s="337"/>
      <c r="Q90" s="337">
        <f ca="1">SUM(Q102,Q112,Q122)</f>
        <v>0</v>
      </c>
      <c r="R90" s="337"/>
      <c r="S90" s="337"/>
      <c r="T90" s="337">
        <f ca="1">SUM(T102,T112,T122)</f>
        <v>0</v>
      </c>
      <c r="U90" s="337"/>
      <c r="V90" s="337"/>
      <c r="W90" s="338">
        <f ca="1">SUM(W102,W112,W122)</f>
        <v>0</v>
      </c>
      <c r="X90" s="1420"/>
      <c r="Y90" s="341">
        <f ca="1">SUM(H90:W90)</f>
        <v>39810</v>
      </c>
      <c r="AL90" s="4"/>
    </row>
    <row r="91" spans="5:38">
      <c r="F91" s="445" t="s">
        <v>463</v>
      </c>
      <c r="G91" s="346"/>
      <c r="H91" s="446">
        <f ca="1">SUM(H99:H100,H103:H105,H107,H109:H110,H113:H115,H117,H119:H120,H123:H125,H127)</f>
        <v>0</v>
      </c>
      <c r="I91" s="446"/>
      <c r="J91" s="446"/>
      <c r="K91" s="446">
        <f ca="1">SUM(K99:K100,K103:K105,K107,K109:K110,K113:K115,K117,K119:K120,K123:K125,K127)</f>
        <v>75638.893367875658</v>
      </c>
      <c r="L91" s="446"/>
      <c r="M91" s="446"/>
      <c r="N91" s="446">
        <f ca="1">SUM(N99:N100,N103:N105,N107,N109:N110,N113:N115,N117,N119:N120,N123:N125,N127)</f>
        <v>140945.84429404474</v>
      </c>
      <c r="O91" s="446"/>
      <c r="P91" s="446"/>
      <c r="Q91" s="446">
        <f ca="1">SUM(Q99:Q100,Q103:Q105,Q107,Q109:Q110,Q113:Q115,Q117,Q119:Q120,Q123:Q125,Q127)</f>
        <v>0</v>
      </c>
      <c r="R91" s="446"/>
      <c r="S91" s="446"/>
      <c r="T91" s="446">
        <f ca="1">SUM(T99:T100,T103:T105,T107,T109:T110,T113:T115,T117,T119:T120,T123:T125,T127)</f>
        <v>0</v>
      </c>
      <c r="U91" s="446"/>
      <c r="V91" s="446"/>
      <c r="W91" s="1436">
        <f ca="1">SUM(W99:W100,W103:W105,W107,W109:W110,W113:W115,W117,W119:W120,W123:W125,W127)</f>
        <v>0</v>
      </c>
      <c r="X91" s="1462"/>
      <c r="Y91" s="347">
        <f ca="1">SUM(H91:W91)</f>
        <v>216584.7376619204</v>
      </c>
    </row>
    <row r="92" spans="5:38">
      <c r="F92" s="6"/>
      <c r="G92" s="6"/>
      <c r="S92" s="246"/>
      <c r="T92" s="246"/>
      <c r="U92" s="246"/>
      <c r="V92" s="246"/>
      <c r="W92" s="246"/>
      <c r="X92" s="1420"/>
      <c r="Y92" s="246"/>
      <c r="AL92" s="4"/>
    </row>
    <row r="93" spans="5:38">
      <c r="F93" s="6"/>
      <c r="G93" s="6"/>
      <c r="S93" s="246"/>
      <c r="T93" s="246"/>
      <c r="U93" s="246"/>
      <c r="V93" s="246"/>
      <c r="W93" s="246"/>
      <c r="X93" s="1420"/>
      <c r="Y93" s="246"/>
      <c r="AL93" s="4"/>
    </row>
    <row r="94" spans="5:38">
      <c r="F94" s="6"/>
      <c r="G94" s="6"/>
      <c r="S94" s="246"/>
      <c r="T94" s="246"/>
      <c r="U94" s="246"/>
      <c r="V94" s="246"/>
      <c r="W94" s="246"/>
      <c r="X94" s="1420"/>
      <c r="Y94" s="246"/>
      <c r="AL94" s="4"/>
    </row>
    <row r="95" spans="5:38">
      <c r="F95" s="6"/>
      <c r="G95" s="6"/>
      <c r="S95" s="246"/>
      <c r="T95" s="246"/>
      <c r="U95" s="246"/>
      <c r="V95" s="246"/>
      <c r="W95" s="246"/>
      <c r="X95" s="1420"/>
      <c r="Y95" s="246"/>
      <c r="AL95" s="4"/>
    </row>
    <row r="96" spans="5:38" ht="18.45">
      <c r="E96" s="415" t="s">
        <v>460</v>
      </c>
      <c r="F96" s="324"/>
      <c r="G96" s="995"/>
      <c r="H96" s="996"/>
      <c r="I96" s="996"/>
      <c r="J96" s="996"/>
      <c r="K96" s="996"/>
      <c r="L96" s="996"/>
      <c r="M96" s="996"/>
      <c r="N96" s="996"/>
      <c r="O96" s="996"/>
      <c r="P96" s="996"/>
      <c r="Q96" s="996"/>
      <c r="R96" s="996"/>
      <c r="S96" s="996"/>
      <c r="T96" s="996"/>
      <c r="U96" s="996"/>
      <c r="V96" s="996"/>
      <c r="W96" s="996"/>
      <c r="X96" s="1428"/>
      <c r="Y96" s="1490"/>
      <c r="AL96" s="4"/>
    </row>
    <row r="97" spans="6:38" ht="30" customHeight="1">
      <c r="F97" s="994"/>
      <c r="G97" s="994"/>
      <c r="H97" s="1501"/>
      <c r="I97" s="1501" t="str">
        <f t="shared" ref="I97:V97" ca="1" si="9">IF($H$9&gt;=1,"Tier 1","")</f>
        <v>Tier 1</v>
      </c>
      <c r="J97" s="1501" t="str">
        <f t="shared" ca="1" si="9"/>
        <v>Tier 1</v>
      </c>
      <c r="K97" s="1502" t="str">
        <f ca="1">IF($H$9&gt;=2,INDIRECT("'"&amp;$H$3&amp;"'!J$130"),"")</f>
        <v>CMS  to  Regional WH</v>
      </c>
      <c r="L97" s="1502" t="str">
        <f t="shared" ca="1" si="9"/>
        <v>Tier 1</v>
      </c>
      <c r="M97" s="1502" t="str">
        <f t="shared" ca="1" si="9"/>
        <v>Tier 1</v>
      </c>
      <c r="N97" s="1502" t="str">
        <f ca="1">IF($H$9&gt;=3,INDIRECT("'"&amp;$H$3&amp;"'!M$130"),"")</f>
        <v>Regional WH  to  Health Facility</v>
      </c>
      <c r="O97" s="1502" t="str">
        <f t="shared" ca="1" si="9"/>
        <v>Tier 1</v>
      </c>
      <c r="P97" s="1502" t="str">
        <f t="shared" ca="1" si="9"/>
        <v>Tier 1</v>
      </c>
      <c r="Q97" s="1502" t="str">
        <f ca="1">IF($H$9&gt;=4,INDIRECT("'"&amp;$H$3&amp;"'!P$130"),"")</f>
        <v/>
      </c>
      <c r="R97" s="1503" t="str">
        <f t="shared" ca="1" si="9"/>
        <v>Tier 1</v>
      </c>
      <c r="S97" s="1504" t="str">
        <f t="shared" ca="1" si="9"/>
        <v>Tier 1</v>
      </c>
      <c r="T97" s="1502" t="str">
        <f ca="1">IF($H$9&gt;=5,INDIRECT("'"&amp;$H$3&amp;"'!S$130"),"")</f>
        <v/>
      </c>
      <c r="U97" s="1504" t="str">
        <f t="shared" ca="1" si="9"/>
        <v>Tier 1</v>
      </c>
      <c r="V97" s="1504" t="str">
        <f t="shared" ca="1" si="9"/>
        <v>Tier 1</v>
      </c>
      <c r="W97" s="1505" t="str">
        <f ca="1">IF($H$9&gt;=6,INDIRECT("'"&amp;$H$3&amp;"'!V$130"),"")</f>
        <v/>
      </c>
      <c r="X97" s="1459"/>
      <c r="Y97" s="1488" t="s">
        <v>25</v>
      </c>
    </row>
    <row r="98" spans="6:38">
      <c r="F98" s="352" t="s">
        <v>2442</v>
      </c>
      <c r="G98" s="353"/>
      <c r="H98" s="354"/>
      <c r="I98" s="354"/>
      <c r="J98" s="354"/>
      <c r="K98" s="354"/>
      <c r="L98" s="354"/>
      <c r="M98" s="354"/>
      <c r="N98" s="354"/>
      <c r="O98" s="354"/>
      <c r="P98" s="354"/>
      <c r="Q98" s="354"/>
      <c r="R98" s="354"/>
      <c r="S98" s="355"/>
      <c r="T98" s="354"/>
      <c r="U98" s="355"/>
      <c r="V98" s="355"/>
      <c r="W98" s="383"/>
      <c r="Y98" s="355">
        <f ca="1">SUM(Y99:Y107)</f>
        <v>222108.85711184109</v>
      </c>
    </row>
    <row r="99" spans="6:38">
      <c r="F99" s="288"/>
      <c r="G99" s="356" t="s">
        <v>48</v>
      </c>
      <c r="H99" s="300">
        <f ca="1">IFERROR((1-INDIRECT("'"&amp;$H$3&amp;"'!H$207"))*IF(INDIRECT("'"&amp;$H$3&amp;"'!H$201")='List Values'!$E$5,INDIRECT("'"&amp;$H$3&amp;"'!H$203")*IF(INDIRECT("'"&amp;$H$3&amp;"'!H$202")='List Values'!$F$3,H$280,IF(INDIRECT("'"&amp;$H$3&amp;"'!H$202")='List Values'!$F$4,'1_Outputs'!H$52*INDIRECT("'"&amp;$H$3&amp;"'!H$95")*INDIRECT("'"&amp;$H$3&amp;"'!H$199"),IF(INDIRECT("'"&amp;$H$3&amp;"'!H$202")='List Values'!$F$5,H$281,IF(INDIRECT("'"&amp;$H$3&amp;"'!H$202")='List Values'!$F$6,INDIRECT("'"&amp;$H$3&amp;"'!H$95")*INDIRECT("'"&amp;$H$3&amp;"'!H$199"),IF(INDIRECT("'"&amp;$H$3&amp;"'!H$202")='List Values'!$F$7,1,0))))),0),0)
+IFERROR((1-INDIRECT("'"&amp;$H$3&amp;"'!H$227"))*IF(INDIRECT("'"&amp;$H$3&amp;"'!H$221")='List Values'!$E$5,INDIRECT("'"&amp;$H$3&amp;"'!H$223")*IF(INDIRECT("'"&amp;$H$3&amp;"'!H$222")='List Values'!$F$3,H$309,IF(INDIRECT("'"&amp;$H$3&amp;"'!H$222")='List Values'!$F$4,'1_Outputs'!H$52*INDIRECT("'"&amp;$H$3&amp;"'!H$95")*INDIRECT("'"&amp;$H$3&amp;"'!H$219"),IF(INDIRECT("'"&amp;$H$3&amp;"'!H$222")='List Values'!$F$5,H$310,IF(INDIRECT("'"&amp;$H$3&amp;"'!H$222")='List Values'!$F$6,INDIRECT("'"&amp;$H$3&amp;"'!H$95")*INDIRECT("'"&amp;$H$3&amp;"'!H$219"),IF(INDIRECT("'"&amp;$H$3&amp;"'!H$222")='List Values'!$F$7,1,0))))),0),0)
+IFERROR((1-INDIRECT("'"&amp;$H$3&amp;"'!H$247"))*IF(INDIRECT("'"&amp;$H$3&amp;"'!H$241")='List Values'!$E$5,INDIRECT("'"&amp;$H$3&amp;"'!H$243")*IF(INDIRECT("'"&amp;$H$3&amp;"'!H$242")='List Values'!$F$3,H$338,IF(INDIRECT("'"&amp;$H$3&amp;"'!H$242")='List Values'!$F$4,'1_Outputs'!H$52*INDIRECT("'"&amp;$H$3&amp;"'!H$95")*INDIRECT("'"&amp;$H$3&amp;"'!H$239"),IF(INDIRECT("'"&amp;$H$3&amp;"'!H$242")='List Values'!$F$5,H$339,IF(INDIRECT("'"&amp;$H$3&amp;"'!H$242")='List Values'!$F$6,INDIRECT("'"&amp;$H$3&amp;"'!H$95")*INDIRECT("'"&amp;$H$3&amp;"'!H$239"),IF(INDIRECT("'"&amp;$H$3&amp;"'!H$242")='List Values'!$F$7,1,0))))),0),0)</f>
        <v>0</v>
      </c>
      <c r="I99" s="300"/>
      <c r="J99" s="300"/>
      <c r="K99" s="300">
        <f ca="1">IFERROR((1-INDIRECT("'"&amp;$H$3&amp;"'!K$207"))*IF(INDIRECT("'"&amp;$H$3&amp;"'!K$201")='List Values'!$E$5,INDIRECT("'"&amp;$H$3&amp;"'!K$203")*IF(INDIRECT("'"&amp;$H$3&amp;"'!K$202")='List Values'!$F$3,K$280,IF(INDIRECT("'"&amp;$H$3&amp;"'!K$202")='List Values'!$F$4,'1_Outputs'!K$52*INDIRECT("'"&amp;$H$3&amp;"'!K$95")*INDIRECT("'"&amp;$H$3&amp;"'!K$199"),IF(INDIRECT("'"&amp;$H$3&amp;"'!K$202")='List Values'!$F$5,K$281,IF(INDIRECT("'"&amp;$H$3&amp;"'!K$202")='List Values'!$F$6,INDIRECT("'"&amp;$H$3&amp;"'!K$95")*INDIRECT("'"&amp;$H$3&amp;"'!K$199"),IF(INDIRECT("'"&amp;$H$3&amp;"'!K$202")='List Values'!$F$7,1,0))))),0),0)
+IFERROR((1-INDIRECT("'"&amp;$H$3&amp;"'!K$227"))*IF(INDIRECT("'"&amp;$H$3&amp;"'!K$221")='List Values'!$E$5,INDIRECT("'"&amp;$H$3&amp;"'!K$223")*IF(INDIRECT("'"&amp;$H$3&amp;"'!K$222")='List Values'!$F$3,K$309,IF(INDIRECT("'"&amp;$H$3&amp;"'!K$222")='List Values'!$F$4,'1_Outputs'!K$52*INDIRECT("'"&amp;$H$3&amp;"'!K$95")*INDIRECT("'"&amp;$H$3&amp;"'!K$219"),IF(INDIRECT("'"&amp;$H$3&amp;"'!K$222")='List Values'!$F$5,K$310,IF(INDIRECT("'"&amp;$H$3&amp;"'!K$222")='List Values'!$F$6,INDIRECT("'"&amp;$H$3&amp;"'!K$95")*INDIRECT("'"&amp;$H$3&amp;"'!K$219"),IF(INDIRECT("'"&amp;$H$3&amp;"'!K$222")='List Values'!$F$7,1,0))))),0),0)
+IFERROR((1-INDIRECT("'"&amp;$H$3&amp;"'!K$247"))*IF(INDIRECT("'"&amp;$H$3&amp;"'!K$241")='List Values'!$E$5,INDIRECT("'"&amp;$H$3&amp;"'!K$243")*IF(INDIRECT("'"&amp;$H$3&amp;"'!K$242")='List Values'!$F$3,K$338,IF(INDIRECT("'"&amp;$H$3&amp;"'!K$242")='List Values'!$F$4,'1_Outputs'!K$52*INDIRECT("'"&amp;$H$3&amp;"'!K$95")*INDIRECT("'"&amp;$H$3&amp;"'!K$239"),IF(INDIRECT("'"&amp;$H$3&amp;"'!K$242")='List Values'!$F$5,K$339,IF(INDIRECT("'"&amp;$H$3&amp;"'!K$242")='List Values'!$F$6,INDIRECT("'"&amp;$H$3&amp;"'!K$95")*INDIRECT("'"&amp;$H$3&amp;"'!K$239"),IF(INDIRECT("'"&amp;$H$3&amp;"'!K$242")='List Values'!$F$7,1,0))))),0),0)</f>
        <v>0</v>
      </c>
      <c r="L99" s="300"/>
      <c r="M99" s="300"/>
      <c r="N99" s="300">
        <f ca="1">IFERROR((1-INDIRECT("'"&amp;$H$3&amp;"'!N$207"))*IF(INDIRECT("'"&amp;$H$3&amp;"'!N$201")='List Values'!$E$5,INDIRECT("'"&amp;$H$3&amp;"'!N$203")*IF(INDIRECT("'"&amp;$H$3&amp;"'!N$202")='List Values'!$F$3,N$280,IF(INDIRECT("'"&amp;$H$3&amp;"'!N$202")='List Values'!$F$4,'1_Outputs'!N$52*INDIRECT("'"&amp;$H$3&amp;"'!N$95")*INDIRECT("'"&amp;$H$3&amp;"'!N$199"),IF(INDIRECT("'"&amp;$H$3&amp;"'!N$202")='List Values'!$F$5,N$281,IF(INDIRECT("'"&amp;$H$3&amp;"'!N$202")='List Values'!$F$6,INDIRECT("'"&amp;$H$3&amp;"'!N$95")*INDIRECT("'"&amp;$H$3&amp;"'!N$199"),IF(INDIRECT("'"&amp;$H$3&amp;"'!N$202")='List Values'!$F$7,1,0))))),0),0)
+IFERROR((1-INDIRECT("'"&amp;$H$3&amp;"'!N$227"))*IF(INDIRECT("'"&amp;$H$3&amp;"'!N$221")='List Values'!$E$5,INDIRECT("'"&amp;$H$3&amp;"'!N$223")*IF(INDIRECT("'"&amp;$H$3&amp;"'!N$222")='List Values'!$F$3,N$309,IF(INDIRECT("'"&amp;$H$3&amp;"'!N$222")='List Values'!$F$4,'1_Outputs'!N$52*INDIRECT("'"&amp;$H$3&amp;"'!N$95")*INDIRECT("'"&amp;$H$3&amp;"'!N$219"),IF(INDIRECT("'"&amp;$H$3&amp;"'!N$222")='List Values'!$F$5,N$310,IF(INDIRECT("'"&amp;$H$3&amp;"'!N$222")='List Values'!$F$6,INDIRECT("'"&amp;$H$3&amp;"'!N$95")*INDIRECT("'"&amp;$H$3&amp;"'!N$219"),IF(INDIRECT("'"&amp;$H$3&amp;"'!N$222")='List Values'!$F$7,1,0))))),0),0)
+IFERROR((1-INDIRECT("'"&amp;$H$3&amp;"'!N$247"))*IF(INDIRECT("'"&amp;$H$3&amp;"'!N$241")='List Values'!$E$5,INDIRECT("'"&amp;$H$3&amp;"'!N$243")*IF(INDIRECT("'"&amp;$H$3&amp;"'!N$242")='List Values'!$F$3,N$338,IF(INDIRECT("'"&amp;$H$3&amp;"'!N$242")='List Values'!$F$4,'1_Outputs'!N$52*INDIRECT("'"&amp;$H$3&amp;"'!N$95")*INDIRECT("'"&amp;$H$3&amp;"'!N$239"),IF(INDIRECT("'"&amp;$H$3&amp;"'!N$242")='List Values'!$F$5,N$339,IF(INDIRECT("'"&amp;$H$3&amp;"'!N$242")='List Values'!$F$6,INDIRECT("'"&amp;$H$3&amp;"'!N$95")*INDIRECT("'"&amp;$H$3&amp;"'!N$239"),IF(INDIRECT("'"&amp;$H$3&amp;"'!N$242")='List Values'!$F$7,1,0))))),0),0)</f>
        <v>0</v>
      </c>
      <c r="O99" s="300"/>
      <c r="P99" s="300"/>
      <c r="Q99" s="300">
        <f ca="1">IFERROR((1-INDIRECT("'"&amp;$H$3&amp;"'!Q$207"))*IF(INDIRECT("'"&amp;$H$3&amp;"'!Q$201")='List Values'!$E$5,INDIRECT("'"&amp;$H$3&amp;"'!Q$203")*IF(INDIRECT("'"&amp;$H$3&amp;"'!Q$202")='List Values'!$F$3,Q$280,IF(INDIRECT("'"&amp;$H$3&amp;"'!Q$202")='List Values'!$F$4,'1_Outputs'!Q$52*INDIRECT("'"&amp;$H$3&amp;"'!Q$95")*INDIRECT("'"&amp;$H$3&amp;"'!Q$199"),IF(INDIRECT("'"&amp;$H$3&amp;"'!Q$202")='List Values'!$F$5,Q$281,IF(INDIRECT("'"&amp;$H$3&amp;"'!Q$202")='List Values'!$F$6,INDIRECT("'"&amp;$H$3&amp;"'!Q$95")*INDIRECT("'"&amp;$H$3&amp;"'!Q$199"),IF(INDIRECT("'"&amp;$H$3&amp;"'!Q$202")='List Values'!$F$7,1,0))))),0),0)
+IFERROR((1-INDIRECT("'"&amp;$H$3&amp;"'!Q$227"))*IF(INDIRECT("'"&amp;$H$3&amp;"'!Q$221")='List Values'!$E$5,INDIRECT("'"&amp;$H$3&amp;"'!Q$223")*IF(INDIRECT("'"&amp;$H$3&amp;"'!Q$222")='List Values'!$F$3,Q$309,IF(INDIRECT("'"&amp;$H$3&amp;"'!Q$222")='List Values'!$F$4,'1_Outputs'!Q$52*INDIRECT("'"&amp;$H$3&amp;"'!Q$95")*INDIRECT("'"&amp;$H$3&amp;"'!Q$219"),IF(INDIRECT("'"&amp;$H$3&amp;"'!Q$222")='List Values'!$F$5,Q$310,IF(INDIRECT("'"&amp;$H$3&amp;"'!Q$222")='List Values'!$F$6,INDIRECT("'"&amp;$H$3&amp;"'!Q$95")*INDIRECT("'"&amp;$H$3&amp;"'!Q$219"),IF(INDIRECT("'"&amp;$H$3&amp;"'!Q$222")='List Values'!$F$7,1,0))))),0),0)
+IFERROR((1-INDIRECT("'"&amp;$H$3&amp;"'!Q$247"))*IF(INDIRECT("'"&amp;$H$3&amp;"'!Q$241")='List Values'!$E$5,INDIRECT("'"&amp;$H$3&amp;"'!Q$243")*IF(INDIRECT("'"&amp;$H$3&amp;"'!Q$242")='List Values'!$F$3,Q$338,IF(INDIRECT("'"&amp;$H$3&amp;"'!Q$242")='List Values'!$F$4,'1_Outputs'!Q$52*INDIRECT("'"&amp;$H$3&amp;"'!Q$95")*INDIRECT("'"&amp;$H$3&amp;"'!Q$239"),IF(INDIRECT("'"&amp;$H$3&amp;"'!Q$242")='List Values'!$F$5,Q$339,IF(INDIRECT("'"&amp;$H$3&amp;"'!Q$242")='List Values'!$F$6,INDIRECT("'"&amp;$H$3&amp;"'!Q$95")*INDIRECT("'"&amp;$H$3&amp;"'!Q$239"),IF(INDIRECT("'"&amp;$H$3&amp;"'!Q$242")='List Values'!$F$7,1,0))))),0),0)</f>
        <v>0</v>
      </c>
      <c r="R99" s="300"/>
      <c r="S99" s="337"/>
      <c r="T99" s="300">
        <f ca="1">IFERROR((1-INDIRECT("'"&amp;$H$3&amp;"'!T$207"))*IF(INDIRECT("'"&amp;$H$3&amp;"'!T$201")='List Values'!$E$5,INDIRECT("'"&amp;$H$3&amp;"'!T$203")*IF(INDIRECT("'"&amp;$H$3&amp;"'!T$202")='List Values'!$F$3,T$280,IF(INDIRECT("'"&amp;$H$3&amp;"'!T$202")='List Values'!$F$4,'1_Outputs'!T$52*INDIRECT("'"&amp;$H$3&amp;"'!T$95")*INDIRECT("'"&amp;$H$3&amp;"'!T$199"),IF(INDIRECT("'"&amp;$H$3&amp;"'!T$202")='List Values'!$F$5,T$281,IF(INDIRECT("'"&amp;$H$3&amp;"'!T$202")='List Values'!$F$6,INDIRECT("'"&amp;$H$3&amp;"'!T$95")*INDIRECT("'"&amp;$H$3&amp;"'!T$199"),IF(INDIRECT("'"&amp;$H$3&amp;"'!T$202")='List Values'!$F$7,1,0))))),0),0)
+IFERROR((1-INDIRECT("'"&amp;$H$3&amp;"'!T$227"))*IF(INDIRECT("'"&amp;$H$3&amp;"'!T$221")='List Values'!$E$5,INDIRECT("'"&amp;$H$3&amp;"'!T$223")*IF(INDIRECT("'"&amp;$H$3&amp;"'!T$222")='List Values'!$F$3,T$309,IF(INDIRECT("'"&amp;$H$3&amp;"'!T$222")='List Values'!$F$4,'1_Outputs'!T$52*INDIRECT("'"&amp;$H$3&amp;"'!T$95")*INDIRECT("'"&amp;$H$3&amp;"'!T$219"),IF(INDIRECT("'"&amp;$H$3&amp;"'!T$222")='List Values'!$F$5,T$310,IF(INDIRECT("'"&amp;$H$3&amp;"'!T$222")='List Values'!$F$6,INDIRECT("'"&amp;$H$3&amp;"'!T$95")*INDIRECT("'"&amp;$H$3&amp;"'!T$219"),IF(INDIRECT("'"&amp;$H$3&amp;"'!T$222")='List Values'!$F$7,1,0))))),0),0)
+IFERROR((1-INDIRECT("'"&amp;$H$3&amp;"'!T$247"))*IF(INDIRECT("'"&amp;$H$3&amp;"'!T$241")='List Values'!$E$5,INDIRECT("'"&amp;$H$3&amp;"'!T$243")*IF(INDIRECT("'"&amp;$H$3&amp;"'!T$242")='List Values'!$F$3,T$338,IF(INDIRECT("'"&amp;$H$3&amp;"'!T$242")='List Values'!$F$4,'1_Outputs'!T$52*INDIRECT("'"&amp;$H$3&amp;"'!T$95")*INDIRECT("'"&amp;$H$3&amp;"'!T$239"),IF(INDIRECT("'"&amp;$H$3&amp;"'!T$242")='List Values'!$F$5,T$339,IF(INDIRECT("'"&amp;$H$3&amp;"'!T$242")='List Values'!$F$6,INDIRECT("'"&amp;$H$3&amp;"'!T$95")*INDIRECT("'"&amp;$H$3&amp;"'!T$239"),IF(INDIRECT("'"&amp;$H$3&amp;"'!T$242")='List Values'!$F$7,1,0))))),0),0)</f>
        <v>0</v>
      </c>
      <c r="U99" s="337"/>
      <c r="V99" s="337"/>
      <c r="W99" s="1437">
        <f ca="1">IFERROR((1-INDIRECT("'"&amp;$H$3&amp;"'!W$207"))*IF(INDIRECT("'"&amp;$H$3&amp;"'!W$201")='List Values'!$E$5,INDIRECT("'"&amp;$H$3&amp;"'!W$203")*IF(INDIRECT("'"&amp;$H$3&amp;"'!W$202")='List Values'!$F$3,W$280,IF(INDIRECT("'"&amp;$H$3&amp;"'!W$202")='List Values'!$F$4,'1_Outputs'!W$52*INDIRECT("'"&amp;$H$3&amp;"'!W$95")*INDIRECT("'"&amp;$H$3&amp;"'!W$199"),IF(INDIRECT("'"&amp;$H$3&amp;"'!W$202")='List Values'!$F$5,W$281,IF(INDIRECT("'"&amp;$H$3&amp;"'!W$202")='List Values'!$F$6,INDIRECT("'"&amp;$H$3&amp;"'!W$95")*INDIRECT("'"&amp;$H$3&amp;"'!W$199"),IF(INDIRECT("'"&amp;$H$3&amp;"'!W$202")='List Values'!$F$7,1,0))))),0),0)
+IFERROR((1-INDIRECT("'"&amp;$H$3&amp;"'!W$227"))*IF(INDIRECT("'"&amp;$H$3&amp;"'!W$221")='List Values'!$E$5,INDIRECT("'"&amp;$H$3&amp;"'!W$223")*IF(INDIRECT("'"&amp;$H$3&amp;"'!W$222")='List Values'!$F$3,W$309,IF(INDIRECT("'"&amp;$H$3&amp;"'!W$222")='List Values'!$F$4,'1_Outputs'!W$52*INDIRECT("'"&amp;$H$3&amp;"'!W$95")*INDIRECT("'"&amp;$H$3&amp;"'!W$219"),IF(INDIRECT("'"&amp;$H$3&amp;"'!W$222")='List Values'!$F$5,W$310,IF(INDIRECT("'"&amp;$H$3&amp;"'!W$222")='List Values'!$F$6,INDIRECT("'"&amp;$H$3&amp;"'!W$95")*INDIRECT("'"&amp;$H$3&amp;"'!W$219"),IF(INDIRECT("'"&amp;$H$3&amp;"'!W$222")='List Values'!$F$7,1,0))))),0),0)
+IFERROR((1-INDIRECT("'"&amp;$H$3&amp;"'!W$247"))*IF(INDIRECT("'"&amp;$H$3&amp;"'!W$241")='List Values'!$E$5,INDIRECT("'"&amp;$H$3&amp;"'!W$243")*IF(INDIRECT("'"&amp;$H$3&amp;"'!W$242")='List Values'!$F$3,W$338,IF(INDIRECT("'"&amp;$H$3&amp;"'!W$242")='List Values'!$F$4,'1_Outputs'!W$52*INDIRECT("'"&amp;$H$3&amp;"'!W$95")*INDIRECT("'"&amp;$H$3&amp;"'!W$239"),IF(INDIRECT("'"&amp;$H$3&amp;"'!W$242")='List Values'!$F$5,W$339,IF(INDIRECT("'"&amp;$H$3&amp;"'!W$242")='List Values'!$F$6,INDIRECT("'"&amp;$H$3&amp;"'!W$95")*INDIRECT("'"&amp;$H$3&amp;"'!W$239"),IF(INDIRECT("'"&amp;$H$3&amp;"'!W$242")='List Values'!$F$7,1,0))))),0),0)</f>
        <v>0</v>
      </c>
      <c r="Y99" s="341">
        <f t="shared" ref="Y99:Y107" ca="1" si="10">SUM(H99:W99)</f>
        <v>0</v>
      </c>
    </row>
    <row r="100" spans="6:38">
      <c r="F100" s="298"/>
      <c r="G100" s="298" t="s">
        <v>226</v>
      </c>
      <c r="H100" s="300">
        <f ca="1">IFERROR((1-INDIRECT("'"&amp;$H$3&amp;"'!H$207"))*IF(INDIRECT("'"&amp;$H$3&amp;"'!H$201")='List Values'!$E$4,INDIRECT("'"&amp;$H$3&amp;"'!H$203")*IF(INDIRECT("'"&amp;$H$3&amp;"'!H$202")='List Values'!$F$3,H$280,IF(INDIRECT("'"&amp;$H$3&amp;"'!H$202")='List Values'!$F$4,'1_Outputs'!H$52*INDIRECT("'"&amp;$H$3&amp;"'!H$95")*INDIRECT("'"&amp;$H$3&amp;"'!H$199"),IF(INDIRECT("'"&amp;$H$3&amp;"'!H$202")='List Values'!$F$5,H$281,IF(INDIRECT("'"&amp;$H$3&amp;"'!H$202")='List Values'!$F$6,INDIRECT("'"&amp;$H$3&amp;"'!H$95")*INDIRECT("'"&amp;$H$3&amp;"'!H$199"),IF(INDIRECT("'"&amp;$H$3&amp;"'!H$202")='List Values'!$F$7,1,0))))),0),0)
+IFERROR((1-INDIRECT("'"&amp;$H$3&amp;"'!H$227"))*IF(INDIRECT("'"&amp;$H$3&amp;"'!H$221")='List Values'!$E$4,INDIRECT("'"&amp;$H$3&amp;"'!H$223")*IF(INDIRECT("'"&amp;$H$3&amp;"'!H$222")='List Values'!$F$3,H$309,IF(INDIRECT("'"&amp;$H$3&amp;"'!H$222")='List Values'!$F$4,'1_Outputs'!H$52*INDIRECT("'"&amp;$H$3&amp;"'!H$95")*INDIRECT("'"&amp;$H$3&amp;"'!H$219"),IF(INDIRECT("'"&amp;$H$3&amp;"'!H$222")='List Values'!$F$5,H$310,IF(INDIRECT("'"&amp;$H$3&amp;"'!H$222")='List Values'!$F$6,INDIRECT("'"&amp;$H$3&amp;"'!H$95")*INDIRECT("'"&amp;$H$3&amp;"'!H$219"),IF(INDIRECT("'"&amp;$H$3&amp;"'!H$222")='List Values'!$F$7,1,0))))),0),0)
+IFERROR((1-INDIRECT("'"&amp;$H$3&amp;"'!H$247"))*IF(INDIRECT("'"&amp;$H$3&amp;"'!H$241")='List Values'!$E$4,INDIRECT("'"&amp;$H$3&amp;"'!H$243")*IF(INDIRECT("'"&amp;$H$3&amp;"'!H$242")='List Values'!$F$3,H$338,IF(INDIRECT("'"&amp;$H$3&amp;"'!H$242")='List Values'!$F$4,'1_Outputs'!H$52*INDIRECT("'"&amp;$H$3&amp;"'!H$95")*INDIRECT("'"&amp;$H$3&amp;"'!H$239"),IF(INDIRECT("'"&amp;$H$3&amp;"'!H$242")='List Values'!$F$5,H$339,IF(INDIRECT("'"&amp;$H$3&amp;"'!H$242")='List Values'!$F$6,INDIRECT("'"&amp;$H$3&amp;"'!H$95")*INDIRECT("'"&amp;$H$3&amp;"'!H$239"),IF(INDIRECT("'"&amp;$H$3&amp;"'!H$242")='List Values'!$F$7,1,0))))),0),0)</f>
        <v>0</v>
      </c>
      <c r="I100" s="300"/>
      <c r="J100" s="300"/>
      <c r="K100" s="300">
        <f ca="1">IFERROR((1-INDIRECT("'"&amp;$H$3&amp;"'!K$207"))*IF(INDIRECT("'"&amp;$H$3&amp;"'!K$201")='List Values'!$E$4,INDIRECT("'"&amp;$H$3&amp;"'!K$203")*IF(INDIRECT("'"&amp;$H$3&amp;"'!K$202")='List Values'!$F$3,K$280,IF(INDIRECT("'"&amp;$H$3&amp;"'!K$202")='List Values'!$F$4,'1_Outputs'!K$52*INDIRECT("'"&amp;$H$3&amp;"'!K$95")*INDIRECT("'"&amp;$H$3&amp;"'!K$199"),IF(INDIRECT("'"&amp;$H$3&amp;"'!K$202")='List Values'!$F$5,K$281,IF(INDIRECT("'"&amp;$H$3&amp;"'!K$202")='List Values'!$F$6,INDIRECT("'"&amp;$H$3&amp;"'!K$95")*INDIRECT("'"&amp;$H$3&amp;"'!K$199"),IF(INDIRECT("'"&amp;$H$3&amp;"'!K$202")='List Values'!$F$7,1,0))))),0),0)
+IFERROR((1-INDIRECT("'"&amp;$H$3&amp;"'!K$227"))*IF(INDIRECT("'"&amp;$H$3&amp;"'!K$221")='List Values'!$E$4,INDIRECT("'"&amp;$H$3&amp;"'!K$223")*IF(INDIRECT("'"&amp;$H$3&amp;"'!K$222")='List Values'!$F$3,K$309,IF(INDIRECT("'"&amp;$H$3&amp;"'!K$222")='List Values'!$F$4,'1_Outputs'!K$52*INDIRECT("'"&amp;$H$3&amp;"'!K$95")*INDIRECT("'"&amp;$H$3&amp;"'!K$219"),IF(INDIRECT("'"&amp;$H$3&amp;"'!K$222")='List Values'!$F$5,K$310,IF(INDIRECT("'"&amp;$H$3&amp;"'!K$222")='List Values'!$F$6,INDIRECT("'"&amp;$H$3&amp;"'!K$95")*INDIRECT("'"&amp;$H$3&amp;"'!K$219"),IF(INDIRECT("'"&amp;$H$3&amp;"'!K$222")='List Values'!$F$7,1,0))))),0),0)
+IFERROR((1-INDIRECT("'"&amp;$H$3&amp;"'!K$247"))*IF(INDIRECT("'"&amp;$H$3&amp;"'!K$241")='List Values'!$E$4,INDIRECT("'"&amp;$H$3&amp;"'!K$243")*IF(INDIRECT("'"&amp;$H$3&amp;"'!K$242")='List Values'!$F$3,K$338,IF(INDIRECT("'"&amp;$H$3&amp;"'!K$242")='List Values'!$F$4,'1_Outputs'!K$52*INDIRECT("'"&amp;$H$3&amp;"'!K$95")*INDIRECT("'"&amp;$H$3&amp;"'!K$239"),IF(INDIRECT("'"&amp;$H$3&amp;"'!K$242")='List Values'!$F$5,K$339,IF(INDIRECT("'"&amp;$H$3&amp;"'!K$242")='List Values'!$F$6,INDIRECT("'"&amp;$H$3&amp;"'!K$95")*INDIRECT("'"&amp;$H$3&amp;"'!K$239"),IF(INDIRECT("'"&amp;$H$3&amp;"'!K$242")='List Values'!$F$7,1,0))))),0),0)</f>
        <v>0</v>
      </c>
      <c r="L100" s="300"/>
      <c r="M100" s="300"/>
      <c r="N100" s="300">
        <f ca="1">IFERROR((1-INDIRECT("'"&amp;$H$3&amp;"'!N$207"))*IF(INDIRECT("'"&amp;$H$3&amp;"'!N$201")='List Values'!$E$4,INDIRECT("'"&amp;$H$3&amp;"'!N$203")*IF(INDIRECT("'"&amp;$H$3&amp;"'!N$202")='List Values'!$F$3,N$280,IF(INDIRECT("'"&amp;$H$3&amp;"'!N$202")='List Values'!$F$4,'1_Outputs'!N$52*INDIRECT("'"&amp;$H$3&amp;"'!N$95")*INDIRECT("'"&amp;$H$3&amp;"'!N$199"),IF(INDIRECT("'"&amp;$H$3&amp;"'!N$202")='List Values'!$F$5,N$281,IF(INDIRECT("'"&amp;$H$3&amp;"'!N$202")='List Values'!$F$6,INDIRECT("'"&amp;$H$3&amp;"'!N$95")*INDIRECT("'"&amp;$H$3&amp;"'!N$199"),IF(INDIRECT("'"&amp;$H$3&amp;"'!N$202")='List Values'!$F$7,1,0))))),0),0)
+IFERROR((1-INDIRECT("'"&amp;$H$3&amp;"'!N$227"))*IF(INDIRECT("'"&amp;$H$3&amp;"'!N$221")='List Values'!$E$4,INDIRECT("'"&amp;$H$3&amp;"'!N$223")*IF(INDIRECT("'"&amp;$H$3&amp;"'!N$222")='List Values'!$F$3,N$309,IF(INDIRECT("'"&amp;$H$3&amp;"'!N$222")='List Values'!$F$4,'1_Outputs'!N$52*INDIRECT("'"&amp;$H$3&amp;"'!N$95")*INDIRECT("'"&amp;$H$3&amp;"'!N$219"),IF(INDIRECT("'"&amp;$H$3&amp;"'!N$222")='List Values'!$F$5,N$310,IF(INDIRECT("'"&amp;$H$3&amp;"'!N$222")='List Values'!$F$6,INDIRECT("'"&amp;$H$3&amp;"'!N$95")*INDIRECT("'"&amp;$H$3&amp;"'!N$219"),IF(INDIRECT("'"&amp;$H$3&amp;"'!N$222")='List Values'!$F$7,1,0))))),0),0)
+IFERROR((1-INDIRECT("'"&amp;$H$3&amp;"'!N$247"))*IF(INDIRECT("'"&amp;$H$3&amp;"'!N$241")='List Values'!$E$4,INDIRECT("'"&amp;$H$3&amp;"'!N$243")*IF(INDIRECT("'"&amp;$H$3&amp;"'!N$242")='List Values'!$F$3,N$338,IF(INDIRECT("'"&amp;$H$3&amp;"'!N$242")='List Values'!$F$4,'1_Outputs'!N$52*INDIRECT("'"&amp;$H$3&amp;"'!N$95")*INDIRECT("'"&amp;$H$3&amp;"'!N$239"),IF(INDIRECT("'"&amp;$H$3&amp;"'!N$242")='List Values'!$F$5,N$339,IF(INDIRECT("'"&amp;$H$3&amp;"'!N$242")='List Values'!$F$6,INDIRECT("'"&amp;$H$3&amp;"'!N$95")*INDIRECT("'"&amp;$H$3&amp;"'!N$239"),IF(INDIRECT("'"&amp;$H$3&amp;"'!N$242")='List Values'!$F$7,1,0))))),0),0)</f>
        <v>0</v>
      </c>
      <c r="O100" s="300"/>
      <c r="P100" s="300"/>
      <c r="Q100" s="300">
        <f ca="1">IFERROR((1-INDIRECT("'"&amp;$H$3&amp;"'!Q$207"))*IF(INDIRECT("'"&amp;$H$3&amp;"'!Q$201")='List Values'!$E$4,INDIRECT("'"&amp;$H$3&amp;"'!Q$203")*IF(INDIRECT("'"&amp;$H$3&amp;"'!Q$202")='List Values'!$F$3,Q$280,IF(INDIRECT("'"&amp;$H$3&amp;"'!Q$202")='List Values'!$F$4,'1_Outputs'!Q$52*INDIRECT("'"&amp;$H$3&amp;"'!Q$95")*INDIRECT("'"&amp;$H$3&amp;"'!Q$199"),IF(INDIRECT("'"&amp;$H$3&amp;"'!Q$202")='List Values'!$F$5,Q$281,IF(INDIRECT("'"&amp;$H$3&amp;"'!Q$202")='List Values'!$F$6,INDIRECT("'"&amp;$H$3&amp;"'!Q$95")*INDIRECT("'"&amp;$H$3&amp;"'!Q$199"),IF(INDIRECT("'"&amp;$H$3&amp;"'!Q$202")='List Values'!$F$7,1,0))))),0),0)
+IFERROR((1-INDIRECT("'"&amp;$H$3&amp;"'!Q$227"))*IF(INDIRECT("'"&amp;$H$3&amp;"'!Q$221")='List Values'!$E$4,INDIRECT("'"&amp;$H$3&amp;"'!Q$223")*IF(INDIRECT("'"&amp;$H$3&amp;"'!Q$222")='List Values'!$F$3,Q$309,IF(INDIRECT("'"&amp;$H$3&amp;"'!Q$222")='List Values'!$F$4,'1_Outputs'!Q$52*INDIRECT("'"&amp;$H$3&amp;"'!Q$95")*INDIRECT("'"&amp;$H$3&amp;"'!Q$219"),IF(INDIRECT("'"&amp;$H$3&amp;"'!Q$222")='List Values'!$F$5,Q$310,IF(INDIRECT("'"&amp;$H$3&amp;"'!Q$222")='List Values'!$F$6,INDIRECT("'"&amp;$H$3&amp;"'!Q$95")*INDIRECT("'"&amp;$H$3&amp;"'!Q$219"),IF(INDIRECT("'"&amp;$H$3&amp;"'!Q$222")='List Values'!$F$7,1,0))))),0),0)
+IFERROR((1-INDIRECT("'"&amp;$H$3&amp;"'!Q$247"))*IF(INDIRECT("'"&amp;$H$3&amp;"'!Q$241")='List Values'!$E$4,INDIRECT("'"&amp;$H$3&amp;"'!Q$243")*IF(INDIRECT("'"&amp;$H$3&amp;"'!Q$242")='List Values'!$F$3,Q$338,IF(INDIRECT("'"&amp;$H$3&amp;"'!Q$242")='List Values'!$F$4,'1_Outputs'!Q$52*INDIRECT("'"&amp;$H$3&amp;"'!Q$95")*INDIRECT("'"&amp;$H$3&amp;"'!Q$239"),IF(INDIRECT("'"&amp;$H$3&amp;"'!Q$242")='List Values'!$F$5,Q$339,IF(INDIRECT("'"&amp;$H$3&amp;"'!Q$242")='List Values'!$F$6,INDIRECT("'"&amp;$H$3&amp;"'!Q$95")*INDIRECT("'"&amp;$H$3&amp;"'!Q$239"),IF(INDIRECT("'"&amp;$H$3&amp;"'!Q$242")='List Values'!$F$7,1,0))))),0),0)</f>
        <v>0</v>
      </c>
      <c r="R100" s="300"/>
      <c r="S100" s="337"/>
      <c r="T100" s="300">
        <f ca="1">IFERROR((1-INDIRECT("'"&amp;$H$3&amp;"'!T$207"))*IF(INDIRECT("'"&amp;$H$3&amp;"'!T$201")='List Values'!$E$4,INDIRECT("'"&amp;$H$3&amp;"'!T$203")*IF(INDIRECT("'"&amp;$H$3&amp;"'!T$202")='List Values'!$F$3,T$280,IF(INDIRECT("'"&amp;$H$3&amp;"'!T$202")='List Values'!$F$4,'1_Outputs'!T$52*INDIRECT("'"&amp;$H$3&amp;"'!T$95")*INDIRECT("'"&amp;$H$3&amp;"'!T$199"),IF(INDIRECT("'"&amp;$H$3&amp;"'!T$202")='List Values'!$F$5,T$281,IF(INDIRECT("'"&amp;$H$3&amp;"'!T$202")='List Values'!$F$6,INDIRECT("'"&amp;$H$3&amp;"'!T$95")*INDIRECT("'"&amp;$H$3&amp;"'!T$199"),IF(INDIRECT("'"&amp;$H$3&amp;"'!T$202")='List Values'!$F$7,1,0))))),0),0)
+IFERROR((1-INDIRECT("'"&amp;$H$3&amp;"'!T$227"))*IF(INDIRECT("'"&amp;$H$3&amp;"'!T$221")='List Values'!$E$4,INDIRECT("'"&amp;$H$3&amp;"'!T$223")*IF(INDIRECT("'"&amp;$H$3&amp;"'!T$222")='List Values'!$F$3,T$309,IF(INDIRECT("'"&amp;$H$3&amp;"'!T$222")='List Values'!$F$4,'1_Outputs'!T$52*INDIRECT("'"&amp;$H$3&amp;"'!T$95")*INDIRECT("'"&amp;$H$3&amp;"'!T$219"),IF(INDIRECT("'"&amp;$H$3&amp;"'!T$222")='List Values'!$F$5,T$310,IF(INDIRECT("'"&amp;$H$3&amp;"'!T$222")='List Values'!$F$6,INDIRECT("'"&amp;$H$3&amp;"'!T$95")*INDIRECT("'"&amp;$H$3&amp;"'!T$219"),IF(INDIRECT("'"&amp;$H$3&amp;"'!T$222")='List Values'!$F$7,1,0))))),0),0)
+IFERROR((1-INDIRECT("'"&amp;$H$3&amp;"'!T$247"))*IF(INDIRECT("'"&amp;$H$3&amp;"'!T$241")='List Values'!$E$4,INDIRECT("'"&amp;$H$3&amp;"'!T$243")*IF(INDIRECT("'"&amp;$H$3&amp;"'!T$242")='List Values'!$F$3,T$338,IF(INDIRECT("'"&amp;$H$3&amp;"'!T$242")='List Values'!$F$4,'1_Outputs'!T$52*INDIRECT("'"&amp;$H$3&amp;"'!T$95")*INDIRECT("'"&amp;$H$3&amp;"'!T$239"),IF(INDIRECT("'"&amp;$H$3&amp;"'!T$242")='List Values'!$F$5,T$339,IF(INDIRECT("'"&amp;$H$3&amp;"'!T$242")='List Values'!$F$6,INDIRECT("'"&amp;$H$3&amp;"'!T$95")*INDIRECT("'"&amp;$H$3&amp;"'!T$239"),IF(INDIRECT("'"&amp;$H$3&amp;"'!T$242")='List Values'!$F$7,1,0))))),0),0)</f>
        <v>0</v>
      </c>
      <c r="U100" s="337"/>
      <c r="V100" s="337"/>
      <c r="W100" s="1437">
        <f ca="1">IFERROR((1-INDIRECT("'"&amp;$H$3&amp;"'!W$207"))*IF(INDIRECT("'"&amp;$H$3&amp;"'!W$201")='List Values'!$E$4,INDIRECT("'"&amp;$H$3&amp;"'!W$203")*IF(INDIRECT("'"&amp;$H$3&amp;"'!W$202")='List Values'!$F$3,W$280,IF(INDIRECT("'"&amp;$H$3&amp;"'!W$202")='List Values'!$F$4,'1_Outputs'!W$52*INDIRECT("'"&amp;$H$3&amp;"'!W$95")*INDIRECT("'"&amp;$H$3&amp;"'!W$199"),IF(INDIRECT("'"&amp;$H$3&amp;"'!W$202")='List Values'!$F$5,W$281,IF(INDIRECT("'"&amp;$H$3&amp;"'!W$202")='List Values'!$F$6,INDIRECT("'"&amp;$H$3&amp;"'!W$95")*INDIRECT("'"&amp;$H$3&amp;"'!W$199"),IF(INDIRECT("'"&amp;$H$3&amp;"'!W$202")='List Values'!$F$7,1,0))))),0),0)
+IFERROR((1-INDIRECT("'"&amp;$H$3&amp;"'!W$227"))*IF(INDIRECT("'"&amp;$H$3&amp;"'!W$221")='List Values'!$E$4,INDIRECT("'"&amp;$H$3&amp;"'!W$223")*IF(INDIRECT("'"&amp;$H$3&amp;"'!W$222")='List Values'!$F$3,W$309,IF(INDIRECT("'"&amp;$H$3&amp;"'!W$222")='List Values'!$F$4,'1_Outputs'!W$52*INDIRECT("'"&amp;$H$3&amp;"'!W$95")*INDIRECT("'"&amp;$H$3&amp;"'!W$219"),IF(INDIRECT("'"&amp;$H$3&amp;"'!W$222")='List Values'!$F$5,W$310,IF(INDIRECT("'"&amp;$H$3&amp;"'!W$222")='List Values'!$F$6,INDIRECT("'"&amp;$H$3&amp;"'!W$95")*INDIRECT("'"&amp;$H$3&amp;"'!W$219"),IF(INDIRECT("'"&amp;$H$3&amp;"'!W$222")='List Values'!$F$7,1,0))))),0),0)
+IFERROR((1-INDIRECT("'"&amp;$H$3&amp;"'!W$247"))*IF(INDIRECT("'"&amp;$H$3&amp;"'!W$241")='List Values'!$E$4,INDIRECT("'"&amp;$H$3&amp;"'!W$243")*IF(INDIRECT("'"&amp;$H$3&amp;"'!W$242")='List Values'!$F$3,W$338,IF(INDIRECT("'"&amp;$H$3&amp;"'!W$242")='List Values'!$F$4,'1_Outputs'!W$52*INDIRECT("'"&amp;$H$3&amp;"'!W$95")*INDIRECT("'"&amp;$H$3&amp;"'!W$239"),IF(INDIRECT("'"&amp;$H$3&amp;"'!W$242")='List Values'!$F$5,W$339,IF(INDIRECT("'"&amp;$H$3&amp;"'!W$242")='List Values'!$F$6,INDIRECT("'"&amp;$H$3&amp;"'!W$95")*INDIRECT("'"&amp;$H$3&amp;"'!W$239"),IF(INDIRECT("'"&amp;$H$3&amp;"'!W$242")='List Values'!$F$7,1,0))))),0),0)</f>
        <v>0</v>
      </c>
      <c r="Y100" s="341">
        <f t="shared" ca="1" si="10"/>
        <v>0</v>
      </c>
    </row>
    <row r="101" spans="6:38">
      <c r="F101" s="288"/>
      <c r="G101" s="356" t="s">
        <v>89</v>
      </c>
      <c r="H101" s="300">
        <f ca="1">(IFERROR(1-INDIRECT("'"&amp;$H$3&amp;"'!H$207"),0))*(H$267+H$281)*INDIRECT("'"&amp;$H$3&amp;"'!$H$10")*(IFERROR(INDEX(INDIRECT("'"&amp;$H$3&amp;"'!$H$28:$H$38"),MATCH(INDIRECT("'"&amp;$H$3&amp;"'!H$210"),INDIRECT("'"&amp;$H$3&amp;"'!$B$28:$B$38"),0)),0)+IFERROR(INDIRECT("'"&amp;$H$3&amp;"'!H$211")*INDEX(INDIRECT("'"&amp;$H$3&amp;"'!$H$28:$H$38"),MATCH(INDIRECT("'"&amp;$H$3&amp;"'!H$212"),INDIRECT("'"&amp;$H$3&amp;"'!$B$28:$B$38"),0)),0))
+(IFERROR(1-INDIRECT("'"&amp;$H$3&amp;"'!H$227"),0))*(H$296+H$310)*INDIRECT("'"&amp;$H$3&amp;"'!$H$10")*(IFERROR(INDEX(INDIRECT("'"&amp;$H$3&amp;"'!$H$28:$H$38"),MATCH(INDIRECT("'"&amp;$H$3&amp;"'!H$230"),INDIRECT("'"&amp;$H$3&amp;"'!$B$28:$B$38"),0)),0)+IFERROR(INDIRECT("'"&amp;$H$3&amp;"'!H$231")*INDEX(INDIRECT("'"&amp;$H$3&amp;"'!$H$28:$H$38"),MATCH(INDIRECT("'"&amp;$H$3&amp;"'!H$232"),INDIRECT("'"&amp;$H$3&amp;"'!$B$28:$B$38"),0)),0))
+(IFERROR(1-INDIRECT("'"&amp;$H$3&amp;"'!H$247"),0))*(H$325+H$339)*INDIRECT("'"&amp;$H$3&amp;"'!$H$10")*(IFERROR(INDEX(INDIRECT("'"&amp;$H$3&amp;"'!$H$28:$H$38"),MATCH(INDIRECT("'"&amp;$H$3&amp;"'!H$250"),INDIRECT("'"&amp;$H$3&amp;"'!$B$28:$B$38"),0)),0)+IFERROR(INDIRECT("'"&amp;$H$3&amp;"'!H$251")*INDEX(INDIRECT("'"&amp;$H$3&amp;"'!$H$28:$H$38"),MATCH(INDIRECT("'"&amp;$H$3&amp;"'!H$252"),INDIRECT("'"&amp;$H$3&amp;"'!$B$28:$B$38"),0)),0))</f>
        <v>0</v>
      </c>
      <c r="I101" s="300"/>
      <c r="J101" s="300"/>
      <c r="K101" s="300">
        <f ca="1">(IFERROR(1-INDIRECT("'"&amp;$H$3&amp;"'!K$207"),0))*(K$267+K$281)*INDIRECT("'"&amp;$H$3&amp;"'!$H$10")*(IFERROR(INDEX(INDIRECT("'"&amp;$H$3&amp;"'!$H$28:$H$38"),MATCH(INDIRECT("'"&amp;$H$3&amp;"'!K$210"),INDIRECT("'"&amp;$H$3&amp;"'!$B$28:$B$38"),0)),0)+IFERROR(INDIRECT("'"&amp;$H$3&amp;"'!K$211")*INDEX(INDIRECT("'"&amp;$H$3&amp;"'!$H$28:$H$38"),MATCH(INDIRECT("'"&amp;$H$3&amp;"'!K$212"),INDIRECT("'"&amp;$H$3&amp;"'!$B$28:$B$38"),0)),0))
+(IFERROR(1-INDIRECT("'"&amp;$H$3&amp;"'!K$227"),0))*(K$296+K$310)*INDIRECT("'"&amp;$H$3&amp;"'!$H$10")*(IFERROR(INDEX(INDIRECT("'"&amp;$H$3&amp;"'!$H$28:$H$38"),MATCH(INDIRECT("'"&amp;$H$3&amp;"'!K$230"),INDIRECT("'"&amp;$H$3&amp;"'!$B$28:$B$38"),0)),0)+IFERROR(INDIRECT("'"&amp;$H$3&amp;"'!K$231")*INDEX(INDIRECT("'"&amp;$H$3&amp;"'!$H$28:$H$38"),MATCH(INDIRECT("'"&amp;$H$3&amp;"'!K$232"),INDIRECT("'"&amp;$H$3&amp;"'!$B$28:$B$38"),0)),0))
+(IFERROR(1-INDIRECT("'"&amp;$H$3&amp;"'!K$247"),0))*(K$325+K$339)*INDIRECT("'"&amp;$H$3&amp;"'!$H$10")*(IFERROR(INDEX(INDIRECT("'"&amp;$H$3&amp;"'!$H$28:$H$38"),MATCH(INDIRECT("'"&amp;$H$3&amp;"'!K$250"),INDIRECT("'"&amp;$H$3&amp;"'!$B$28:$B$38"),0)),0)+IFERROR(INDIRECT("'"&amp;$H$3&amp;"'!K$251")*INDEX(INDIRECT("'"&amp;$H$3&amp;"'!$H$28:$H$38"),MATCH(INDIRECT("'"&amp;$H$3&amp;"'!K$252"),INDIRECT("'"&amp;$H$3&amp;"'!$B$28:$B$38"),0)),0))</f>
        <v>0</v>
      </c>
      <c r="L101" s="300"/>
      <c r="M101" s="300"/>
      <c r="N101" s="300">
        <f ca="1">(IFERROR(1-INDIRECT("'"&amp;$H$3&amp;"'!N$207"),0))*(N$267+N$281)*INDIRECT("'"&amp;$H$3&amp;"'!$H$10")*(IFERROR(INDEX(INDIRECT("'"&amp;$H$3&amp;"'!$H$28:$H$38"),MATCH(INDIRECT("'"&amp;$H$3&amp;"'!N$210"),INDIRECT("'"&amp;$H$3&amp;"'!$B$28:$B$38"),0)),0)+IFERROR(INDIRECT("'"&amp;$H$3&amp;"'!N$211")*INDEX(INDIRECT("'"&amp;$H$3&amp;"'!$H$28:$H$38"),MATCH(INDIRECT("'"&amp;$H$3&amp;"'!N$212"),INDIRECT("'"&amp;$H$3&amp;"'!$B$28:$B$38"),0)),0))
+(IFERROR(1-INDIRECT("'"&amp;$H$3&amp;"'!N$227"),0))*(N$296+N$310)*INDIRECT("'"&amp;$H$3&amp;"'!$H$10")*(IFERROR(INDEX(INDIRECT("'"&amp;$H$3&amp;"'!$H$28:$H$38"),MATCH(INDIRECT("'"&amp;$H$3&amp;"'!N$230"),INDIRECT("'"&amp;$H$3&amp;"'!$B$28:$B$38"),0)),0)+IFERROR(INDIRECT("'"&amp;$H$3&amp;"'!N$231")*INDEX(INDIRECT("'"&amp;$H$3&amp;"'!$H$28:$H$38"),MATCH(INDIRECT("'"&amp;$H$3&amp;"'!N$232"),INDIRECT("'"&amp;$H$3&amp;"'!$B$28:$B$38"),0)),0))
+(IFERROR(1-INDIRECT("'"&amp;$H$3&amp;"'!N$247"),0))*(N$325+N$339)*INDIRECT("'"&amp;$H$3&amp;"'!$H$10")*(IFERROR(INDEX(INDIRECT("'"&amp;$H$3&amp;"'!$H$28:$H$38"),MATCH(INDIRECT("'"&amp;$H$3&amp;"'!N$250"),INDIRECT("'"&amp;$H$3&amp;"'!$B$28:$B$38"),0)),0)+IFERROR(INDIRECT("'"&amp;$H$3&amp;"'!N$251")*INDEX(INDIRECT("'"&amp;$H$3&amp;"'!$H$28:$H$38"),MATCH(INDIRECT("'"&amp;$H$3&amp;"'!N$252"),INDIRECT("'"&amp;$H$3&amp;"'!$B$28:$B$38"),0)),0))</f>
        <v>44490.48</v>
      </c>
      <c r="O101" s="300"/>
      <c r="P101" s="300"/>
      <c r="Q101" s="300">
        <f ca="1">(IFERROR(1-INDIRECT("'"&amp;$H$3&amp;"'!Q$207"),0))*(Q$267+Q$281)*INDIRECT("'"&amp;$H$3&amp;"'!$H$10")*(IFERROR(INDEX(INDIRECT("'"&amp;$H$3&amp;"'!$H$28:$H$38"),MATCH(INDIRECT("'"&amp;$H$3&amp;"'!Q$210"),INDIRECT("'"&amp;$H$3&amp;"'!$B$28:$B$38"),0)),0)+IFERROR(INDIRECT("'"&amp;$H$3&amp;"'!Q$211")*INDEX(INDIRECT("'"&amp;$H$3&amp;"'!$H$28:$H$38"),MATCH(INDIRECT("'"&amp;$H$3&amp;"'!Q$212"),INDIRECT("'"&amp;$H$3&amp;"'!$B$28:$B$38"),0)),0))
+(IFERROR(1-INDIRECT("'"&amp;$H$3&amp;"'!Q$227"),0))*(Q$296+Q$310)*INDIRECT("'"&amp;$H$3&amp;"'!$H$10")*(IFERROR(INDEX(INDIRECT("'"&amp;$H$3&amp;"'!$H$28:$H$38"),MATCH(INDIRECT("'"&amp;$H$3&amp;"'!Q$230"),INDIRECT("'"&amp;$H$3&amp;"'!$B$28:$B$38"),0)),0)+IFERROR(INDIRECT("'"&amp;$H$3&amp;"'!Q$231")*INDEX(INDIRECT("'"&amp;$H$3&amp;"'!$H$28:$H$38"),MATCH(INDIRECT("'"&amp;$H$3&amp;"'!Q$232"),INDIRECT("'"&amp;$H$3&amp;"'!$B$28:$B$38"),0)),0))
+(IFERROR(1-INDIRECT("'"&amp;$H$3&amp;"'!Q$247"),0))*(Q$325+Q$339)*INDIRECT("'"&amp;$H$3&amp;"'!$H$10")*(IFERROR(INDEX(INDIRECT("'"&amp;$H$3&amp;"'!$H$28:$H$38"),MATCH(INDIRECT("'"&amp;$H$3&amp;"'!Q$250"),INDIRECT("'"&amp;$H$3&amp;"'!$B$28:$B$38"),0)),0)+IFERROR(INDIRECT("'"&amp;$H$3&amp;"'!Q$251")*INDEX(INDIRECT("'"&amp;$H$3&amp;"'!$H$28:$H$38"),MATCH(INDIRECT("'"&amp;$H$3&amp;"'!Q$252"),INDIRECT("'"&amp;$H$3&amp;"'!$B$28:$B$38"),0)),0))</f>
        <v>0</v>
      </c>
      <c r="R101" s="300"/>
      <c r="S101" s="337"/>
      <c r="T101" s="300">
        <f ca="1">(IFERROR(1-INDIRECT("'"&amp;$H$3&amp;"'!T$207"),0))*(T$267+T$281)*INDIRECT("'"&amp;$H$3&amp;"'!$H$10")*(IFERROR(INDEX(INDIRECT("'"&amp;$H$3&amp;"'!$H$28:$H$38"),MATCH(INDIRECT("'"&amp;$H$3&amp;"'!T$210"),INDIRECT("'"&amp;$H$3&amp;"'!$B$28:$B$38"),0)),0)+IFERROR(INDIRECT("'"&amp;$H$3&amp;"'!T$211")*INDEX(INDIRECT("'"&amp;$H$3&amp;"'!$H$28:$H$38"),MATCH(INDIRECT("'"&amp;$H$3&amp;"'!T$212"),INDIRECT("'"&amp;$H$3&amp;"'!$B$28:$B$38"),0)),0))
+(IFERROR(1-INDIRECT("'"&amp;$H$3&amp;"'!T$227"),0))*(T$296+T$310)*INDIRECT("'"&amp;$H$3&amp;"'!$H$10")*(IFERROR(INDEX(INDIRECT("'"&amp;$H$3&amp;"'!$H$28:$H$38"),MATCH(INDIRECT("'"&amp;$H$3&amp;"'!T$230"),INDIRECT("'"&amp;$H$3&amp;"'!$B$28:$B$38"),0)),0)+IFERROR(INDIRECT("'"&amp;$H$3&amp;"'!T$231")*INDEX(INDIRECT("'"&amp;$H$3&amp;"'!$H$28:$H$38"),MATCH(INDIRECT("'"&amp;$H$3&amp;"'!T$232"),INDIRECT("'"&amp;$H$3&amp;"'!$B$28:$B$38"),0)),0))
+(IFERROR(1-INDIRECT("'"&amp;$H$3&amp;"'!T$247"),0))*(T$325+T$339)*INDIRECT("'"&amp;$H$3&amp;"'!$H$10")*(IFERROR(INDEX(INDIRECT("'"&amp;$H$3&amp;"'!$H$28:$H$38"),MATCH(INDIRECT("'"&amp;$H$3&amp;"'!T$250"),INDIRECT("'"&amp;$H$3&amp;"'!$B$28:$B$38"),0)),0)+IFERROR(INDIRECT("'"&amp;$H$3&amp;"'!T$251")*INDEX(INDIRECT("'"&amp;$H$3&amp;"'!$H$28:$H$38"),MATCH(INDIRECT("'"&amp;$H$3&amp;"'!T$252"),INDIRECT("'"&amp;$H$3&amp;"'!$B$28:$B$38"),0)),0))</f>
        <v>0</v>
      </c>
      <c r="U101" s="337"/>
      <c r="V101" s="337"/>
      <c r="W101" s="1437">
        <f ca="1">(IFERROR(1-INDIRECT("'"&amp;$H$3&amp;"'!W$207"),0))*(W$267+W$281)*INDIRECT("'"&amp;$H$3&amp;"'!$H$10")*(IFERROR(INDEX(INDIRECT("'"&amp;$H$3&amp;"'!$H$28:$H$38"),MATCH(INDIRECT("'"&amp;$H$3&amp;"'!W$210"),INDIRECT("'"&amp;$H$3&amp;"'!$B$28:$B$38"),0)),0)+IFERROR(INDIRECT("'"&amp;$H$3&amp;"'!W$211")*INDEX(INDIRECT("'"&amp;$H$3&amp;"'!$H$28:$H$38"),MATCH(INDIRECT("'"&amp;$H$3&amp;"'!W$212"),INDIRECT("'"&amp;$H$3&amp;"'!$B$28:$B$38"),0)),0))
+(IFERROR(1-INDIRECT("'"&amp;$H$3&amp;"'!W$227"),0))*(W$296+W$310)*INDIRECT("'"&amp;$H$3&amp;"'!$H$10")*(IFERROR(INDEX(INDIRECT("'"&amp;$H$3&amp;"'!$H$28:$H$38"),MATCH(INDIRECT("'"&amp;$H$3&amp;"'!W$230"),INDIRECT("'"&amp;$H$3&amp;"'!$B$28:$B$38"),0)),0)+IFERROR(INDIRECT("'"&amp;$H$3&amp;"'!W$231")*INDEX(INDIRECT("'"&amp;$H$3&amp;"'!$H$28:$H$38"),MATCH(INDIRECT("'"&amp;$H$3&amp;"'!W$232"),INDIRECT("'"&amp;$H$3&amp;"'!$B$28:$B$38"),0)),0))
+(IFERROR(1-INDIRECT("'"&amp;$H$3&amp;"'!W$247"),0))*(W$325+W$339)*INDIRECT("'"&amp;$H$3&amp;"'!$H$10")*(IFERROR(INDEX(INDIRECT("'"&amp;$H$3&amp;"'!$H$28:$H$38"),MATCH(INDIRECT("'"&amp;$H$3&amp;"'!W$250"),INDIRECT("'"&amp;$H$3&amp;"'!$B$28:$B$38"),0)),0)+IFERROR(INDIRECT("'"&amp;$H$3&amp;"'!W$251")*INDEX(INDIRECT("'"&amp;$H$3&amp;"'!$H$28:$H$38"),MATCH(INDIRECT("'"&amp;$H$3&amp;"'!W$252"),INDIRECT("'"&amp;$H$3&amp;"'!$B$28:$B$38"),0)),0))</f>
        <v>0</v>
      </c>
      <c r="Y101" s="341">
        <f t="shared" ca="1" si="10"/>
        <v>44490.48</v>
      </c>
      <c r="AL101" s="4"/>
    </row>
    <row r="102" spans="6:38">
      <c r="F102" s="288"/>
      <c r="G102" s="356" t="s">
        <v>90</v>
      </c>
      <c r="H102" s="300">
        <f ca="1">(IFERROR(1-INDIRECT("'"&amp;$H$3&amp;"'!H$207"),0))*(H$267+H$281)*(IFERROR(INDEX(INDIRECT("'"&amp;$H$3&amp;"'!$K$28:$K$38"),MATCH(INDIRECT("'"&amp;$H$3&amp;"'!H$210"),INDIRECT("'"&amp;$H$3&amp;"'!$B$28:$B$38"),0)),0)+IFERROR(INDIRECT("'"&amp;$H$3&amp;"'!H$211")*INDEX(INDIRECT("'"&amp;$H$3&amp;"'!$K$28:$K$38"),MATCH(INDIRECT("'"&amp;$H$3&amp;"'!H$212"),INDIRECT("'"&amp;$H$3&amp;"'!$B$28:$B$38"),0)),0))
+(IFERROR(1-INDIRECT("'"&amp;$H$3&amp;"'!H$227"),0))*(H$296+H$310)*(IFERROR(INDEX(INDIRECT("'"&amp;$H$3&amp;"'!$K$28:$K$38"),MATCH(INDIRECT("'"&amp;$H$3&amp;"'!H$230"),INDIRECT("'"&amp;$H$3&amp;"'!$B$28:$B$38"),0)),0)+IFERROR(INDIRECT("'"&amp;$H$3&amp;"'!H$231")*INDEX(INDIRECT("'"&amp;$H$3&amp;"'!$K$28:$K$38"),MATCH(INDIRECT("'"&amp;$H$3&amp;"'!H$232"),INDIRECT("'"&amp;$H$3&amp;"'!$B$28:$B$38"),0)),0))
+(IFERROR(1-INDIRECT("'"&amp;$H$3&amp;"'!H$247"),0))*(H$325+H$339)*(IFERROR(INDEX(INDIRECT("'"&amp;$H$3&amp;"'!$K$28:$K$38"),MATCH(INDIRECT("'"&amp;$H$3&amp;"'!H$250"),INDIRECT("'"&amp;$H$3&amp;"'!$B$28:$B$38"),0)),0)+IFERROR(INDIRECT("'"&amp;$H$3&amp;"'!H$251")*INDEX(INDIRECT("'"&amp;$H$3&amp;"'!$K$28:$K$38"),MATCH(INDIRECT("'"&amp;$H$3&amp;"'!H$252"),INDIRECT("'"&amp;$H$3&amp;"'!$B$28:$B$38"),0)),0))</f>
        <v>0</v>
      </c>
      <c r="I102" s="300"/>
      <c r="J102" s="300"/>
      <c r="K102" s="300">
        <f ca="1">(IFERROR(1-INDIRECT("'"&amp;$H$3&amp;"'!K$207"),0))*(K$267+K$281)*(IFERROR(INDEX(INDIRECT("'"&amp;$H$3&amp;"'!$K$28:$K$38"),MATCH(INDIRECT("'"&amp;$H$3&amp;"'!K$210"),INDIRECT("'"&amp;$H$3&amp;"'!$B$28:$B$38"),0)),0)+IFERROR(INDIRECT("'"&amp;$H$3&amp;"'!K$211")*INDEX(INDIRECT("'"&amp;$H$3&amp;"'!$K$28:$K$38"),MATCH(INDIRECT("'"&amp;$H$3&amp;"'!K$212"),INDIRECT("'"&amp;$H$3&amp;"'!$B$28:$B$38"),0)),0))
+(IFERROR(1-INDIRECT("'"&amp;$H$3&amp;"'!K$227"),0))*(K$296+K$310)*(IFERROR(INDEX(INDIRECT("'"&amp;$H$3&amp;"'!$K$28:$K$38"),MATCH(INDIRECT("'"&amp;$H$3&amp;"'!K$230"),INDIRECT("'"&amp;$H$3&amp;"'!$B$28:$B$38"),0)),0)+IFERROR(INDIRECT("'"&amp;$H$3&amp;"'!K$231")*INDEX(INDIRECT("'"&amp;$H$3&amp;"'!$K$28:$K$38"),MATCH(INDIRECT("'"&amp;$H$3&amp;"'!K$232"),INDIRECT("'"&amp;$H$3&amp;"'!$B$28:$B$38"),0)),0))
+(IFERROR(1-INDIRECT("'"&amp;$H$3&amp;"'!K$247"),0))*(K$325+K$339)*(IFERROR(INDEX(INDIRECT("'"&amp;$H$3&amp;"'!$K$28:$K$38"),MATCH(INDIRECT("'"&amp;$H$3&amp;"'!K$250"),INDIRECT("'"&amp;$H$3&amp;"'!$B$28:$B$38"),0)),0)+IFERROR(INDIRECT("'"&amp;$H$3&amp;"'!K$251")*INDEX(INDIRECT("'"&amp;$H$3&amp;"'!$K$28:$K$38"),MATCH(INDIRECT("'"&amp;$H$3&amp;"'!K$252"),INDIRECT("'"&amp;$H$3&amp;"'!$B$28:$B$38"),0)),0))</f>
        <v>0</v>
      </c>
      <c r="L102" s="300"/>
      <c r="M102" s="300"/>
      <c r="N102" s="300">
        <f ca="1">(IFERROR(1-INDIRECT("'"&amp;$H$3&amp;"'!N$207"),0))*(N$267+N$281)*(IFERROR(INDEX(INDIRECT("'"&amp;$H$3&amp;"'!$K$28:$K$38"),MATCH(INDIRECT("'"&amp;$H$3&amp;"'!N$210"),INDIRECT("'"&amp;$H$3&amp;"'!$B$28:$B$38"),0)),0)+IFERROR(INDIRECT("'"&amp;$H$3&amp;"'!N$211")*INDEX(INDIRECT("'"&amp;$H$3&amp;"'!$K$28:$K$38"),MATCH(INDIRECT("'"&amp;$H$3&amp;"'!N$212"),INDIRECT("'"&amp;$H$3&amp;"'!$B$28:$B$38"),0)),0))
+(IFERROR(1-INDIRECT("'"&amp;$H$3&amp;"'!N$227"),0))*(N$296+N$310)*(IFERROR(INDEX(INDIRECT("'"&amp;$H$3&amp;"'!$K$28:$K$38"),MATCH(INDIRECT("'"&amp;$H$3&amp;"'!N$230"),INDIRECT("'"&amp;$H$3&amp;"'!$B$28:$B$38"),0)),0)+IFERROR(INDIRECT("'"&amp;$H$3&amp;"'!N$231")*INDEX(INDIRECT("'"&amp;$H$3&amp;"'!$K$28:$K$38"),MATCH(INDIRECT("'"&amp;$H$3&amp;"'!N$232"),INDIRECT("'"&amp;$H$3&amp;"'!$B$28:$B$38"),0)),0))
+(IFERROR(1-INDIRECT("'"&amp;$H$3&amp;"'!N$247"),0))*(N$325+N$339)*(IFERROR(INDEX(INDIRECT("'"&amp;$H$3&amp;"'!$K$28:$K$38"),MATCH(INDIRECT("'"&amp;$H$3&amp;"'!N$250"),INDIRECT("'"&amp;$H$3&amp;"'!$B$28:$B$38"),0)),0)+IFERROR(INDIRECT("'"&amp;$H$3&amp;"'!N$251")*INDEX(INDIRECT("'"&amp;$H$3&amp;"'!$K$28:$K$38"),MATCH(INDIRECT("'"&amp;$H$3&amp;"'!N$252"),INDIRECT("'"&amp;$H$3&amp;"'!$B$28:$B$38"),0)),0))</f>
        <v>28230</v>
      </c>
      <c r="O102" s="300"/>
      <c r="P102" s="300"/>
      <c r="Q102" s="300">
        <f ca="1">(IFERROR(1-INDIRECT("'"&amp;$H$3&amp;"'!Q$207"),0))*(Q$267+Q$281)*(IFERROR(INDEX(INDIRECT("'"&amp;$H$3&amp;"'!$K$28:$K$38"),MATCH(INDIRECT("'"&amp;$H$3&amp;"'!Q$210"),INDIRECT("'"&amp;$H$3&amp;"'!$B$28:$B$38"),0)),0)+IFERROR(INDIRECT("'"&amp;$H$3&amp;"'!Q$211")*INDEX(INDIRECT("'"&amp;$H$3&amp;"'!$K$28:$K$38"),MATCH(INDIRECT("'"&amp;$H$3&amp;"'!Q$212"),INDIRECT("'"&amp;$H$3&amp;"'!$B$28:$B$38"),0)),0))
+(IFERROR(1-INDIRECT("'"&amp;$H$3&amp;"'!Q$227"),0))*(Q$296+Q$310)*(IFERROR(INDEX(INDIRECT("'"&amp;$H$3&amp;"'!$K$28:$K$38"),MATCH(INDIRECT("'"&amp;$H$3&amp;"'!Q$230"),INDIRECT("'"&amp;$H$3&amp;"'!$B$28:$B$38"),0)),0)+IFERROR(INDIRECT("'"&amp;$H$3&amp;"'!Q$231")*INDEX(INDIRECT("'"&amp;$H$3&amp;"'!$K$28:$K$38"),MATCH(INDIRECT("'"&amp;$H$3&amp;"'!Q$232"),INDIRECT("'"&amp;$H$3&amp;"'!$B$28:$B$38"),0)),0))
+(IFERROR(1-INDIRECT("'"&amp;$H$3&amp;"'!Q$247"),0))*(Q$325+Q$339)*(IFERROR(INDEX(INDIRECT("'"&amp;$H$3&amp;"'!$K$28:$K$38"),MATCH(INDIRECT("'"&amp;$H$3&amp;"'!Q$250"),INDIRECT("'"&amp;$H$3&amp;"'!$B$28:$B$38"),0)),0)+IFERROR(INDIRECT("'"&amp;$H$3&amp;"'!Q$251")*INDEX(INDIRECT("'"&amp;$H$3&amp;"'!$K$28:$K$38"),MATCH(INDIRECT("'"&amp;$H$3&amp;"'!Q$252"),INDIRECT("'"&amp;$H$3&amp;"'!$B$28:$B$38"),0)),0))</f>
        <v>0</v>
      </c>
      <c r="R102" s="300"/>
      <c r="S102" s="337"/>
      <c r="T102" s="300">
        <f ca="1">(IFERROR(1-INDIRECT("'"&amp;$H$3&amp;"'!T$207"),0))*(T$267+T$281)*(IFERROR(INDEX(INDIRECT("'"&amp;$H$3&amp;"'!$K$28:$K$38"),MATCH(INDIRECT("'"&amp;$H$3&amp;"'!T$210"),INDIRECT("'"&amp;$H$3&amp;"'!$B$28:$B$38"),0)),0)+IFERROR(INDIRECT("'"&amp;$H$3&amp;"'!T$211")*INDEX(INDIRECT("'"&amp;$H$3&amp;"'!$K$28:$K$38"),MATCH(INDIRECT("'"&amp;$H$3&amp;"'!T$212"),INDIRECT("'"&amp;$H$3&amp;"'!$B$28:$B$38"),0)),0))
+(IFERROR(1-INDIRECT("'"&amp;$H$3&amp;"'!T$227"),0))*(T$296+T$310)*(IFERROR(INDEX(INDIRECT("'"&amp;$H$3&amp;"'!$K$28:$K$38"),MATCH(INDIRECT("'"&amp;$H$3&amp;"'!T$230"),INDIRECT("'"&amp;$H$3&amp;"'!$B$28:$B$38"),0)),0)+IFERROR(INDIRECT("'"&amp;$H$3&amp;"'!T$231")*INDEX(INDIRECT("'"&amp;$H$3&amp;"'!$K$28:$K$38"),MATCH(INDIRECT("'"&amp;$H$3&amp;"'!T$232"),INDIRECT("'"&amp;$H$3&amp;"'!$B$28:$B$38"),0)),0))
+(IFERROR(1-INDIRECT("'"&amp;$H$3&amp;"'!T$247"),0))*(T$325+T$339)*(IFERROR(INDEX(INDIRECT("'"&amp;$H$3&amp;"'!$K$28:$K$38"),MATCH(INDIRECT("'"&amp;$H$3&amp;"'!T$250"),INDIRECT("'"&amp;$H$3&amp;"'!$B$28:$B$38"),0)),0)+IFERROR(INDIRECT("'"&amp;$H$3&amp;"'!T$251")*INDEX(INDIRECT("'"&amp;$H$3&amp;"'!$K$28:$K$38"),MATCH(INDIRECT("'"&amp;$H$3&amp;"'!T$252"),INDIRECT("'"&amp;$H$3&amp;"'!$B$28:$B$38"),0)),0))</f>
        <v>0</v>
      </c>
      <c r="U102" s="337"/>
      <c r="V102" s="337"/>
      <c r="W102" s="1437">
        <f ca="1">(IFERROR(1-INDIRECT("'"&amp;$H$3&amp;"'!W$207"),0))*(W$267+W$281)*(IFERROR(INDEX(INDIRECT("'"&amp;$H$3&amp;"'!$K$28:$K$38"),MATCH(INDIRECT("'"&amp;$H$3&amp;"'!W$210"),INDIRECT("'"&amp;$H$3&amp;"'!$B$28:$B$38"),0)),0)+IFERROR(INDIRECT("'"&amp;$H$3&amp;"'!W$211")*INDEX(INDIRECT("'"&amp;$H$3&amp;"'!$K$28:$K$38"),MATCH(INDIRECT("'"&amp;$H$3&amp;"'!W$212"),INDIRECT("'"&amp;$H$3&amp;"'!$B$28:$B$38"),0)),0))
+(IFERROR(1-INDIRECT("'"&amp;$H$3&amp;"'!W$227"),0))*(W$296+W$310)*(IFERROR(INDEX(INDIRECT("'"&amp;$H$3&amp;"'!$K$28:$K$38"),MATCH(INDIRECT("'"&amp;$H$3&amp;"'!W$230"),INDIRECT("'"&amp;$H$3&amp;"'!$B$28:$B$38"),0)),0)+IFERROR(INDIRECT("'"&amp;$H$3&amp;"'!W$231")*INDEX(INDIRECT("'"&amp;$H$3&amp;"'!$K$28:$K$38"),MATCH(INDIRECT("'"&amp;$H$3&amp;"'!W$232"),INDIRECT("'"&amp;$H$3&amp;"'!$B$28:$B$38"),0)),0))
+(IFERROR(1-INDIRECT("'"&amp;$H$3&amp;"'!W$247"),0))*(W$325+W$339)*(IFERROR(INDEX(INDIRECT("'"&amp;$H$3&amp;"'!$K$28:$K$38"),MATCH(INDIRECT("'"&amp;$H$3&amp;"'!W$250"),INDIRECT("'"&amp;$H$3&amp;"'!$B$28:$B$38"),0)),0)+IFERROR(INDIRECT("'"&amp;$H$3&amp;"'!W$251")*INDEX(INDIRECT("'"&amp;$H$3&amp;"'!$K$28:$K$38"),MATCH(INDIRECT("'"&amp;$H$3&amp;"'!W$252"),INDIRECT("'"&amp;$H$3&amp;"'!$B$28:$B$38"),0)),0))</f>
        <v>0</v>
      </c>
      <c r="Y102" s="341">
        <f t="shared" ca="1" si="10"/>
        <v>28230</v>
      </c>
    </row>
    <row r="103" spans="6:38">
      <c r="F103" s="357"/>
      <c r="G103" s="298" t="s">
        <v>1</v>
      </c>
      <c r="H103" s="300">
        <f ca="1">INDIRECT("'"&amp;$H$3&amp;"'!$H$8")*(
(IFERROR(1-INDIRECT("'"&amp;$H$3&amp;"'!H$207"),0))*IF(INDIRECT("'"&amp;$H$3&amp;"'!H$201")='List Values'!$E$5,0,(H$280*IFERROR(1/INDEX(INDIRECT("'"&amp;$H$3&amp;"'!$H$49:$H$78"),MATCH(INDIRECT("'"&amp;$H$3&amp;"'!H$200")&amp;"Fuel Efficiency (km/liter)",INDIRECT("'"&amp;$H$3&amp;"'!$F$49:$F$78"),0)),0)))
+(IFERROR(1-INDIRECT("'"&amp;$H$3&amp;"'!H$227"),0))*IF(INDIRECT("'"&amp;$H$3&amp;"'!H$221")='List Values'!$E$5,0,(H$309*IFERROR(1/INDEX(INDIRECT("'"&amp;$H$3&amp;"'!$H$49:$H$78"),MATCH(INDIRECT("'"&amp;$H$3&amp;"'!H$220")&amp;"Fuel Efficiency (km/liter)",INDIRECT("'"&amp;$H$3&amp;"'!$F$49:$F$78"),0)),0)))
+(IFERROR(1-INDIRECT("'"&amp;$H$3&amp;"'!H$247"),0))*IF(INDIRECT("'"&amp;$H$3&amp;"'!H$241")='List Values'!$E$5,0,(H$338*IFERROR(1/INDEX(INDIRECT("'"&amp;$H$3&amp;"'!$H$49:$H$78"),MATCH(INDIRECT("'"&amp;$H$3&amp;"'!H$240")&amp;"Fuel Efficiency (km/liter)",INDIRECT("'"&amp;$H$3&amp;"'!$F$49:$F$78"),0)),0))))</f>
        <v>0</v>
      </c>
      <c r="I103" s="300"/>
      <c r="J103" s="300"/>
      <c r="K103" s="300">
        <f ca="1">INDIRECT("'"&amp;$H$3&amp;"'!$H$8")*(
(IFERROR(1-INDIRECT("'"&amp;$H$3&amp;"'!K$207"),0))*IF(INDIRECT("'"&amp;$H$3&amp;"'!K$201")='List Values'!$E$5,0,(K$280*IFERROR(1/INDEX(INDIRECT("'"&amp;$H$3&amp;"'!$H$49:$H$78"),MATCH(INDIRECT("'"&amp;$H$3&amp;"'!K$200")&amp;"Fuel Efficiency (km/liter)",INDIRECT("'"&amp;$H$3&amp;"'!$F$49:$F$78"),0)),0)))
+(IFERROR(1-INDIRECT("'"&amp;$H$3&amp;"'!K$227"),0))*IF(INDIRECT("'"&amp;$H$3&amp;"'!K$221")='List Values'!$E$5,0,(K$309*IFERROR(1/INDEX(INDIRECT("'"&amp;$H$3&amp;"'!$H$49:$H$78"),MATCH(INDIRECT("'"&amp;$H$3&amp;"'!K$220")&amp;"Fuel Efficiency (km/liter)",INDIRECT("'"&amp;$H$3&amp;"'!$F$49:$F$78"),0)),0)))
+(IFERROR(1-INDIRECT("'"&amp;$H$3&amp;"'!K$247"),0))*IF(INDIRECT("'"&amp;$H$3&amp;"'!K$241")='List Values'!$E$5,0,(K$338*IFERROR(1/INDEX(INDIRECT("'"&amp;$H$3&amp;"'!$H$49:$H$78"),MATCH(INDIRECT("'"&amp;$H$3&amp;"'!K$240")&amp;"Fuel Efficiency (km/liter)",INDIRECT("'"&amp;$H$3&amp;"'!$F$49:$F$78"),0)),0))))</f>
        <v>0</v>
      </c>
      <c r="L103" s="300"/>
      <c r="M103" s="300"/>
      <c r="N103" s="300">
        <f ca="1">INDIRECT("'"&amp;$H$3&amp;"'!$H$8")*(
(IFERROR(1-INDIRECT("'"&amp;$H$3&amp;"'!N$207"),0))*IF(INDIRECT("'"&amp;$H$3&amp;"'!N$201")='List Values'!$E$5,0,(N$280*IFERROR(1/INDEX(INDIRECT("'"&amp;$H$3&amp;"'!$H$49:$H$78"),MATCH(INDIRECT("'"&amp;$H$3&amp;"'!N$200")&amp;"Fuel Efficiency (km/liter)",INDIRECT("'"&amp;$H$3&amp;"'!$F$49:$F$78"),0)),0)))
+(IFERROR(1-INDIRECT("'"&amp;$H$3&amp;"'!N$227"),0))*IF(INDIRECT("'"&amp;$H$3&amp;"'!N$221")='List Values'!$E$5,0,(N$309*IFERROR(1/INDEX(INDIRECT("'"&amp;$H$3&amp;"'!$H$49:$H$78"),MATCH(INDIRECT("'"&amp;$H$3&amp;"'!N$220")&amp;"Fuel Efficiency (km/liter)",INDIRECT("'"&amp;$H$3&amp;"'!$F$49:$F$78"),0)),0)))
+(IFERROR(1-INDIRECT("'"&amp;$H$3&amp;"'!N$247"),0))*IF(INDIRECT("'"&amp;$H$3&amp;"'!N$241")='List Values'!$E$5,0,(N$338*IFERROR(1/INDEX(INDIRECT("'"&amp;$H$3&amp;"'!$H$49:$H$78"),MATCH(INDIRECT("'"&amp;$H$3&amp;"'!N$240")&amp;"Fuel Efficiency (km/liter)",INDIRECT("'"&amp;$H$3&amp;"'!$F$49:$F$78"),0)),0))))</f>
        <v>47887.12667149269</v>
      </c>
      <c r="O103" s="300"/>
      <c r="P103" s="300"/>
      <c r="Q103" s="300">
        <f ca="1">INDIRECT("'"&amp;$H$3&amp;"'!$H$8")*(
(IFERROR(1-INDIRECT("'"&amp;$H$3&amp;"'!Q$207"),0))*IF(INDIRECT("'"&amp;$H$3&amp;"'!Q$201")='List Values'!$E$5,0,(Q$280*IFERROR(1/INDEX(INDIRECT("'"&amp;$H$3&amp;"'!$H$49:$H$78"),MATCH(INDIRECT("'"&amp;$H$3&amp;"'!Q$200")&amp;"Fuel Efficiency (km/liter)",INDIRECT("'"&amp;$H$3&amp;"'!$F$49:$F$78"),0)),0)))
+(IFERROR(1-INDIRECT("'"&amp;$H$3&amp;"'!Q$227"),0))*IF(INDIRECT("'"&amp;$H$3&amp;"'!Q$221")='List Values'!$E$5,0,(Q$309*IFERROR(1/INDEX(INDIRECT("'"&amp;$H$3&amp;"'!$H$49:$H$78"),MATCH(INDIRECT("'"&amp;$H$3&amp;"'!Q$220")&amp;"Fuel Efficiency (km/liter)",INDIRECT("'"&amp;$H$3&amp;"'!$F$49:$F$78"),0)),0)))
+(IFERROR(1-INDIRECT("'"&amp;$H$3&amp;"'!Q$247"),0))*IF(INDIRECT("'"&amp;$H$3&amp;"'!Q$241")='List Values'!$E$5,0,(Q$338*IFERROR(1/INDEX(INDIRECT("'"&amp;$H$3&amp;"'!$H$49:$H$78"),MATCH(INDIRECT("'"&amp;$H$3&amp;"'!Q$240")&amp;"Fuel Efficiency (km/liter)",INDIRECT("'"&amp;$H$3&amp;"'!$F$49:$F$78"),0)),0))))</f>
        <v>0</v>
      </c>
      <c r="R103" s="300"/>
      <c r="S103" s="337"/>
      <c r="T103" s="300">
        <f ca="1">INDIRECT("'"&amp;$H$3&amp;"'!$H$8")*(
(IFERROR(1-INDIRECT("'"&amp;$H$3&amp;"'!T$207"),0))*IF(INDIRECT("'"&amp;$H$3&amp;"'!T$201")='List Values'!$E$5,0,(T$280*IFERROR(1/INDEX(INDIRECT("'"&amp;$H$3&amp;"'!$H$49:$H$78"),MATCH(INDIRECT("'"&amp;$H$3&amp;"'!T$200")&amp;"Fuel Efficiency (km/liter)",INDIRECT("'"&amp;$H$3&amp;"'!$F$49:$F$78"),0)),0)))
+(IFERROR(1-INDIRECT("'"&amp;$H$3&amp;"'!T$227"),0))*IF(INDIRECT("'"&amp;$H$3&amp;"'!T$221")='List Values'!$E$5,0,(T$309*IFERROR(1/INDEX(INDIRECT("'"&amp;$H$3&amp;"'!$H$49:$H$78"),MATCH(INDIRECT("'"&amp;$H$3&amp;"'!T$220")&amp;"Fuel Efficiency (km/liter)",INDIRECT("'"&amp;$H$3&amp;"'!$F$49:$F$78"),0)),0)))
+(IFERROR(1-INDIRECT("'"&amp;$H$3&amp;"'!T$247"),0))*IF(INDIRECT("'"&amp;$H$3&amp;"'!T$241")='List Values'!$E$5,0,(T$338*IFERROR(1/INDEX(INDIRECT("'"&amp;$H$3&amp;"'!$H$49:$H$78"),MATCH(INDIRECT("'"&amp;$H$3&amp;"'!T$240")&amp;"Fuel Efficiency (km/liter)",INDIRECT("'"&amp;$H$3&amp;"'!$F$49:$F$78"),0)),0))))</f>
        <v>0</v>
      </c>
      <c r="U103" s="337"/>
      <c r="V103" s="337"/>
      <c r="W103" s="1437">
        <f ca="1">INDIRECT("'"&amp;$H$3&amp;"'!$H$8")*(
(IFERROR(1-INDIRECT("'"&amp;$H$3&amp;"'!W$207"),0))*IF(INDIRECT("'"&amp;$H$3&amp;"'!W$201")='List Values'!$E$5,0,(W$280*IFERROR(1/INDEX(INDIRECT("'"&amp;$H$3&amp;"'!$H$49:$H$78"),MATCH(INDIRECT("'"&amp;$H$3&amp;"'!W$200")&amp;"Fuel Efficiency (km/liter)",INDIRECT("'"&amp;$H$3&amp;"'!$F$49:$F$78"),0)),0)))
+(IFERROR(1-INDIRECT("'"&amp;$H$3&amp;"'!W$227"),0))*IF(INDIRECT("'"&amp;$H$3&amp;"'!W$221")='List Values'!$E$5,0,(W$309*IFERROR(1/INDEX(INDIRECT("'"&amp;$H$3&amp;"'!$H$49:$H$78"),MATCH(INDIRECT("'"&amp;$H$3&amp;"'!W$220")&amp;"Fuel Efficiency (km/liter)",INDIRECT("'"&amp;$H$3&amp;"'!$F$49:$F$78"),0)),0)))
+(IFERROR(1-INDIRECT("'"&amp;$H$3&amp;"'!W$247"),0))*IF(INDIRECT("'"&amp;$H$3&amp;"'!W$241")='List Values'!$E$5,0,(W$338*IFERROR(1/INDEX(INDIRECT("'"&amp;$H$3&amp;"'!$H$49:$H$78"),MATCH(INDIRECT("'"&amp;$H$3&amp;"'!W$240")&amp;"Fuel Efficiency (km/liter)",INDIRECT("'"&amp;$H$3&amp;"'!$F$49:$F$78"),0)),0))))</f>
        <v>0</v>
      </c>
      <c r="Y103" s="341">
        <f t="shared" ca="1" si="10"/>
        <v>47887.12667149269</v>
      </c>
    </row>
    <row r="104" spans="6:38">
      <c r="F104" s="298"/>
      <c r="G104" s="298" t="s">
        <v>91</v>
      </c>
      <c r="H104" s="300">
        <f ca="1">IFERROR((1-INDIRECT("'"&amp;$H$3&amp;"'!H$206"))*IF(AND(INDIRECT("'"&amp;$H$3&amp;"'!H$205")="No",INDIRECT("'"&amp;$H$3&amp;"'!H$201")='List Values'!$E$3),INDEX(INDIRECT("'"&amp;$H$3&amp;"'!$H$49:$H$78"),MATCH(INDIRECT("'"&amp;$H$3&amp;"'!H$200")&amp;"Insurance cost /yr ($)",INDIRECT("'"&amp;$H$3&amp;"'!$F$49:$F$78"),0))*INDIRECT("'"&amp;$H$3&amp;"'!H$204"),0),0)
+IFERROR((1-INDIRECT("'"&amp;$H$3&amp;"'!H$226"))*IF(AND(INDIRECT("'"&amp;$H$3&amp;"'!H$225")="No",INDIRECT("'"&amp;$H$3&amp;"'!H$221")='List Values'!$E$3),INDEX(INDIRECT("'"&amp;$H$3&amp;"'!$H$49:$H$78"),MATCH(INDIRECT("'"&amp;$H$3&amp;"'!H$220")&amp;"Insurance cost /yr ($)",INDIRECT("'"&amp;$H$3&amp;"'!$F$49:$F$78"),0))*INDIRECT("'"&amp;$H$3&amp;"'!H$224"),0),0)
+IFERROR((1-INDIRECT("'"&amp;$H$3&amp;"'!H$246"))*IF(AND(INDIRECT("'"&amp;$H$3&amp;"'!H$245")="No",INDIRECT("'"&amp;$H$3&amp;"'!H$241")='List Values'!$E$3),INDEX(INDIRECT("'"&amp;$H$3&amp;"'!$H$49:$H$78"),MATCH(INDIRECT("'"&amp;$H$3&amp;"'!H$240")&amp;"Insurance cost /yr ($)",INDIRECT("'"&amp;$H$3&amp;"'!$F$49:$F$78"),0))*INDIRECT("'"&amp;$H$3&amp;"'!H$244"),0),0)</f>
        <v>0</v>
      </c>
      <c r="I104" s="300"/>
      <c r="J104" s="300"/>
      <c r="K104" s="300">
        <f ca="1">IFERROR((1-INDIRECT("'"&amp;$H$3&amp;"'!K$206"))*IF(AND(INDIRECT("'"&amp;$H$3&amp;"'!K$205")="No",INDIRECT("'"&amp;$H$3&amp;"'!K$201")='List Values'!$E$3),INDEX(INDIRECT("'"&amp;$H$3&amp;"'!$H$49:$H$78"),MATCH(INDIRECT("'"&amp;$H$3&amp;"'!K$200")&amp;"Insurance cost /yr ($)",INDIRECT("'"&amp;$H$3&amp;"'!$F$49:$F$78"),0))*INDIRECT("'"&amp;$H$3&amp;"'!K$204"),0),0)
+IFERROR((1-INDIRECT("'"&amp;$H$3&amp;"'!K$226"))*IF(AND(INDIRECT("'"&amp;$H$3&amp;"'!K$225")="No",INDIRECT("'"&amp;$H$3&amp;"'!K$221")='List Values'!$E$3),INDEX(INDIRECT("'"&amp;$H$3&amp;"'!$H$49:$H$78"),MATCH(INDIRECT("'"&amp;$H$3&amp;"'!K$220")&amp;"Insurance cost /yr ($)",INDIRECT("'"&amp;$H$3&amp;"'!$F$49:$F$78"),0))*INDIRECT("'"&amp;$H$3&amp;"'!K$224"),0),0)
+IFERROR((1-INDIRECT("'"&amp;$H$3&amp;"'!K$246"))*IF(AND(INDIRECT("'"&amp;$H$3&amp;"'!K$245")="No",INDIRECT("'"&amp;$H$3&amp;"'!K$241")='List Values'!$E$3),INDEX(INDIRECT("'"&amp;$H$3&amp;"'!$H$49:$H$78"),MATCH(INDIRECT("'"&amp;$H$3&amp;"'!K$240")&amp;"Insurance cost /yr ($)",INDIRECT("'"&amp;$H$3&amp;"'!$F$49:$F$78"),0))*INDIRECT("'"&amp;$H$3&amp;"'!K$244"),0),0)</f>
        <v>0</v>
      </c>
      <c r="L104" s="300"/>
      <c r="M104" s="300"/>
      <c r="N104" s="300">
        <f ca="1">IFERROR((1-INDIRECT("'"&amp;$H$3&amp;"'!N$206"))*IF(AND(INDIRECT("'"&amp;$H$3&amp;"'!N$205")="No",INDIRECT("'"&amp;$H$3&amp;"'!N$201")='List Values'!$E$3),INDEX(INDIRECT("'"&amp;$H$3&amp;"'!$H$49:$H$78"),MATCH(INDIRECT("'"&amp;$H$3&amp;"'!N$200")&amp;"Insurance cost /yr ($)",INDIRECT("'"&amp;$H$3&amp;"'!$F$49:$F$78"),0))*INDIRECT("'"&amp;$H$3&amp;"'!N$204"),0),0)
+IFERROR((1-INDIRECT("'"&amp;$H$3&amp;"'!N$226"))*IF(AND(INDIRECT("'"&amp;$H$3&amp;"'!N$225")="No",INDIRECT("'"&amp;$H$3&amp;"'!N$221")='List Values'!$E$3),INDEX(INDIRECT("'"&amp;$H$3&amp;"'!$H$49:$H$78"),MATCH(INDIRECT("'"&amp;$H$3&amp;"'!N$220")&amp;"Insurance cost /yr ($)",INDIRECT("'"&amp;$H$3&amp;"'!$F$49:$F$78"),0))*INDIRECT("'"&amp;$H$3&amp;"'!N$224"),0),0)
+IFERROR((1-INDIRECT("'"&amp;$H$3&amp;"'!N$246"))*IF(AND(INDIRECT("'"&amp;$H$3&amp;"'!N$245")="No",INDIRECT("'"&amp;$H$3&amp;"'!N$241")='List Values'!$E$3),INDEX(INDIRECT("'"&amp;$H$3&amp;"'!$H$49:$H$78"),MATCH(INDIRECT("'"&amp;$H$3&amp;"'!N$240")&amp;"Insurance cost /yr ($)",INDIRECT("'"&amp;$H$3&amp;"'!$F$49:$F$78"),0))*INDIRECT("'"&amp;$H$3&amp;"'!N$244"),0),0)</f>
        <v>11619.75</v>
      </c>
      <c r="O104" s="300"/>
      <c r="P104" s="300"/>
      <c r="Q104" s="300">
        <f ca="1">IFERROR((1-INDIRECT("'"&amp;$H$3&amp;"'!Q$206"))*IF(AND(INDIRECT("'"&amp;$H$3&amp;"'!Q$205")="No",INDIRECT("'"&amp;$H$3&amp;"'!Q$201")='List Values'!$E$3),INDEX(INDIRECT("'"&amp;$H$3&amp;"'!$H$49:$H$78"),MATCH(INDIRECT("'"&amp;$H$3&amp;"'!Q$200")&amp;"Insurance cost /yr ($)",INDIRECT("'"&amp;$H$3&amp;"'!$F$49:$F$78"),0))*INDIRECT("'"&amp;$H$3&amp;"'!Q$204"),0),0)
+IFERROR((1-INDIRECT("'"&amp;$H$3&amp;"'!Q$226"))*IF(AND(INDIRECT("'"&amp;$H$3&amp;"'!Q$225")="No",INDIRECT("'"&amp;$H$3&amp;"'!Q$221")='List Values'!$E$3),INDEX(INDIRECT("'"&amp;$H$3&amp;"'!$H$49:$H$78"),MATCH(INDIRECT("'"&amp;$H$3&amp;"'!Q$220")&amp;"Insurance cost /yr ($)",INDIRECT("'"&amp;$H$3&amp;"'!$F$49:$F$78"),0))*INDIRECT("'"&amp;$H$3&amp;"'!Q$224"),0),0)
+IFERROR((1-INDIRECT("'"&amp;$H$3&amp;"'!Q$246"))*IF(AND(INDIRECT("'"&amp;$H$3&amp;"'!Q$245")="No",INDIRECT("'"&amp;$H$3&amp;"'!Q$241")='List Values'!$E$3),INDEX(INDIRECT("'"&amp;$H$3&amp;"'!$H$49:$H$78"),MATCH(INDIRECT("'"&amp;$H$3&amp;"'!Q$240")&amp;"Insurance cost /yr ($)",INDIRECT("'"&amp;$H$3&amp;"'!$F$49:$F$78"),0))*INDIRECT("'"&amp;$H$3&amp;"'!Q$244"),0),0)</f>
        <v>0</v>
      </c>
      <c r="R104" s="300"/>
      <c r="S104" s="337"/>
      <c r="T104" s="300">
        <f ca="1">IFERROR((1-INDIRECT("'"&amp;$H$3&amp;"'!T$206"))*IF(AND(INDIRECT("'"&amp;$H$3&amp;"'!T$205")="No",INDIRECT("'"&amp;$H$3&amp;"'!T$201")='List Values'!$E$3),INDEX(INDIRECT("'"&amp;$H$3&amp;"'!$H$49:$H$78"),MATCH(INDIRECT("'"&amp;$H$3&amp;"'!T$200")&amp;"Insurance cost /yr ($)",INDIRECT("'"&amp;$H$3&amp;"'!$F$49:$F$78"),0))*INDIRECT("'"&amp;$H$3&amp;"'!T$204"),0),0)
+IFERROR((1-INDIRECT("'"&amp;$H$3&amp;"'!T$226"))*IF(AND(INDIRECT("'"&amp;$H$3&amp;"'!T$225")="No",INDIRECT("'"&amp;$H$3&amp;"'!T$221")='List Values'!$E$3),INDEX(INDIRECT("'"&amp;$H$3&amp;"'!$H$49:$H$78"),MATCH(INDIRECT("'"&amp;$H$3&amp;"'!T$220")&amp;"Insurance cost /yr ($)",INDIRECT("'"&amp;$H$3&amp;"'!$F$49:$F$78"),0))*INDIRECT("'"&amp;$H$3&amp;"'!T$224"),0),0)
+IFERROR((1-INDIRECT("'"&amp;$H$3&amp;"'!T$246"))*IF(AND(INDIRECT("'"&amp;$H$3&amp;"'!T$245")="No",INDIRECT("'"&amp;$H$3&amp;"'!T$241")='List Values'!$E$3),INDEX(INDIRECT("'"&amp;$H$3&amp;"'!$H$49:$H$78"),MATCH(INDIRECT("'"&amp;$H$3&amp;"'!T$240")&amp;"Insurance cost /yr ($)",INDIRECT("'"&amp;$H$3&amp;"'!$F$49:$F$78"),0))*INDIRECT("'"&amp;$H$3&amp;"'!T$244"),0),0)</f>
        <v>0</v>
      </c>
      <c r="U104" s="337"/>
      <c r="V104" s="337"/>
      <c r="W104" s="1437">
        <f ca="1">IFERROR((1-INDIRECT("'"&amp;$H$3&amp;"'!W$206"))*IF(AND(INDIRECT("'"&amp;$H$3&amp;"'!W$205")="No",INDIRECT("'"&amp;$H$3&amp;"'!W$201")='List Values'!$E$3),INDEX(INDIRECT("'"&amp;$H$3&amp;"'!$H$49:$H$78"),MATCH(INDIRECT("'"&amp;$H$3&amp;"'!W$200")&amp;"Insurance cost /yr ($)",INDIRECT("'"&amp;$H$3&amp;"'!$F$49:$F$78"),0))*INDIRECT("'"&amp;$H$3&amp;"'!W$204"),0),0)
+IFERROR((1-INDIRECT("'"&amp;$H$3&amp;"'!W$226"))*IF(AND(INDIRECT("'"&amp;$H$3&amp;"'!W$225")="No",INDIRECT("'"&amp;$H$3&amp;"'!W$221")='List Values'!$E$3),INDEX(INDIRECT("'"&amp;$H$3&amp;"'!$H$49:$H$78"),MATCH(INDIRECT("'"&amp;$H$3&amp;"'!W$220")&amp;"Insurance cost /yr ($)",INDIRECT("'"&amp;$H$3&amp;"'!$F$49:$F$78"),0))*INDIRECT("'"&amp;$H$3&amp;"'!W$224"),0),0)
+IFERROR((1-INDIRECT("'"&amp;$H$3&amp;"'!W$246"))*IF(AND(INDIRECT("'"&amp;$H$3&amp;"'!W$245")="No",INDIRECT("'"&amp;$H$3&amp;"'!W$241")='List Values'!$E$3),INDEX(INDIRECT("'"&amp;$H$3&amp;"'!$H$49:$H$78"),MATCH(INDIRECT("'"&amp;$H$3&amp;"'!W$240")&amp;"Insurance cost /yr ($)",INDIRECT("'"&amp;$H$3&amp;"'!$F$49:$F$78"),0))*INDIRECT("'"&amp;$H$3&amp;"'!W$244"),0),0)</f>
        <v>0</v>
      </c>
      <c r="Y104" s="341">
        <f t="shared" ca="1" si="10"/>
        <v>11619.75</v>
      </c>
      <c r="AL104" s="4"/>
    </row>
    <row r="105" spans="6:38">
      <c r="F105" s="298"/>
      <c r="G105" s="298" t="s">
        <v>92</v>
      </c>
      <c r="H105" s="300">
        <f ca="1">IFERROR((1-INDIRECT("'"&amp;$H$3&amp;"'!H$207"))*IF(INDIRECT("'"&amp;$H$3&amp;"'!H$201")='List Values'!$E$3,H$280*INDEX(INDIRECT("'"&amp;$H$3&amp;"'!$H$49:$H$78"),MATCH(INDIRECT("'"&amp;$H$3&amp;"'!H$200")&amp;"Maintenance cost/km ($)",INDIRECT("'"&amp;$H$3&amp;"'!$F$49:$F$78"),0)),0),0)
+ IFERROR((1-INDIRECT("'"&amp;$H$3&amp;"'!H$227"))*IF(INDIRECT("'"&amp;$H$3&amp;"'!H$221")='List Values'!$E$3,H$309*INDEX(INDIRECT("'"&amp;$H$3&amp;"'!$H$49:$H$78"),MATCH(INDIRECT("'"&amp;$H$3&amp;"'!H$220")&amp;"Maintenance cost/km ($)",INDIRECT("'"&amp;$H$3&amp;"'!$F$49:$F$78"),0)),0),0)
+ IFERROR((1-INDIRECT("'"&amp;$H$3&amp;"'!H$247"))*IF(INDIRECT("'"&amp;$H$3&amp;"'!H$241")='List Values'!$E$3,H$338*INDEX(INDIRECT("'"&amp;$H$3&amp;"'!$H$49:$H$78"),MATCH(INDIRECT("'"&amp;$H$3&amp;"'!H$240")&amp;"Maintenance cost/km ($)",INDIRECT("'"&amp;$H$3&amp;"'!$F$49:$F$78"),0)),0),0)</f>
        <v>0</v>
      </c>
      <c r="I105" s="358"/>
      <c r="J105" s="358"/>
      <c r="K105" s="300">
        <f ca="1">IFERROR((1-INDIRECT("'"&amp;$H$3&amp;"'!K$207"))*IF(INDIRECT("'"&amp;$H$3&amp;"'!K$201")='List Values'!$E$3,K$280*INDEX(INDIRECT("'"&amp;$H$3&amp;"'!$H$49:$H$78"),MATCH(INDIRECT("'"&amp;$H$3&amp;"'!K$200")&amp;"Maintenance cost/km ($)",INDIRECT("'"&amp;$H$3&amp;"'!$F$49:$F$78"),0)),0),0)
+ IFERROR((1-INDIRECT("'"&amp;$H$3&amp;"'!K$227"))*IF(INDIRECT("'"&amp;$H$3&amp;"'!K$221")='List Values'!$E$3,K$309*INDEX(INDIRECT("'"&amp;$H$3&amp;"'!$H$49:$H$78"),MATCH(INDIRECT("'"&amp;$H$3&amp;"'!K$220")&amp;"Maintenance cost/km ($)",INDIRECT("'"&amp;$H$3&amp;"'!$F$49:$F$78"),0)),0),0)
+ IFERROR((1-INDIRECT("'"&amp;$H$3&amp;"'!K$247"))*IF(INDIRECT("'"&amp;$H$3&amp;"'!K$241")='List Values'!$E$3,K$338*INDEX(INDIRECT("'"&amp;$H$3&amp;"'!$H$49:$H$78"),MATCH(INDIRECT("'"&amp;$H$3&amp;"'!K$240")&amp;"Maintenance cost/km ($)",INDIRECT("'"&amp;$H$3&amp;"'!$F$49:$F$78"),0)),0),0)</f>
        <v>0</v>
      </c>
      <c r="L105" s="300"/>
      <c r="M105" s="300"/>
      <c r="N105" s="300">
        <f ca="1">IFERROR((1-INDIRECT("'"&amp;$H$3&amp;"'!N$207"))*IF(INDIRECT("'"&amp;$H$3&amp;"'!N$201")='List Values'!$E$3,N$280*INDEX(INDIRECT("'"&amp;$H$3&amp;"'!$H$49:$H$78"),MATCH(INDIRECT("'"&amp;$H$3&amp;"'!N$200")&amp;"Maintenance cost/km ($)",INDIRECT("'"&amp;$H$3&amp;"'!$F$49:$F$78"),0)),0),0)
+ IFERROR((1-INDIRECT("'"&amp;$H$3&amp;"'!N$227"))*IF(INDIRECT("'"&amp;$H$3&amp;"'!N$221")='List Values'!$E$3,N$309*INDEX(INDIRECT("'"&amp;$H$3&amp;"'!$H$49:$H$78"),MATCH(INDIRECT("'"&amp;$H$3&amp;"'!N$220")&amp;"Maintenance cost/km ($)",INDIRECT("'"&amp;$H$3&amp;"'!$F$49:$F$78"),0)),0),0)
+ IFERROR((1-INDIRECT("'"&amp;$H$3&amp;"'!N$247"))*IF(INDIRECT("'"&amp;$H$3&amp;"'!N$241")='List Values'!$E$3,N$338*INDEX(INDIRECT("'"&amp;$H$3&amp;"'!$H$49:$H$78"),MATCH(INDIRECT("'"&amp;$H$3&amp;"'!N$240")&amp;"Maintenance cost/km ($)",INDIRECT("'"&amp;$H$3&amp;"'!$F$49:$F$78"),0)),0),0)</f>
        <v>28942.000645252512</v>
      </c>
      <c r="O105" s="300"/>
      <c r="P105" s="300"/>
      <c r="Q105" s="300">
        <f ca="1">IFERROR((1-INDIRECT("'"&amp;$H$3&amp;"'!Q$207"))*IF(INDIRECT("'"&amp;$H$3&amp;"'!Q$201")='List Values'!$E$3,Q$280*INDEX(INDIRECT("'"&amp;$H$3&amp;"'!$H$49:$H$78"),MATCH(INDIRECT("'"&amp;$H$3&amp;"'!Q$200")&amp;"Maintenance cost/km ($)",INDIRECT("'"&amp;$H$3&amp;"'!$F$49:$F$78"),0)),0),0)
+ IFERROR((1-INDIRECT("'"&amp;$H$3&amp;"'!Q$227"))*IF(INDIRECT("'"&amp;$H$3&amp;"'!Q$221")='List Values'!$E$3,Q$309*INDEX(INDIRECT("'"&amp;$H$3&amp;"'!$H$49:$H$78"),MATCH(INDIRECT("'"&amp;$H$3&amp;"'!Q$220")&amp;"Maintenance cost/km ($)",INDIRECT("'"&amp;$H$3&amp;"'!$F$49:$F$78"),0)),0),0)
+ IFERROR((1-INDIRECT("'"&amp;$H$3&amp;"'!Q$247"))*IF(INDIRECT("'"&amp;$H$3&amp;"'!Q$241")='List Values'!$E$3,Q$338*INDEX(INDIRECT("'"&amp;$H$3&amp;"'!$H$49:$H$78"),MATCH(INDIRECT("'"&amp;$H$3&amp;"'!Q$240")&amp;"Maintenance cost/km ($)",INDIRECT("'"&amp;$H$3&amp;"'!$F$49:$F$78"),0)),0),0)</f>
        <v>0</v>
      </c>
      <c r="R105" s="300"/>
      <c r="S105" s="337"/>
      <c r="T105" s="300">
        <f ca="1">IFERROR((1-INDIRECT("'"&amp;$H$3&amp;"'!T$207"))*IF(INDIRECT("'"&amp;$H$3&amp;"'!T$201")='List Values'!$E$3,T$280*INDEX(INDIRECT("'"&amp;$H$3&amp;"'!$H$49:$H$78"),MATCH(INDIRECT("'"&amp;$H$3&amp;"'!T$200")&amp;"Maintenance cost/km ($)",INDIRECT("'"&amp;$H$3&amp;"'!$F$49:$F$78"),0)),0),0)
+ IFERROR((1-INDIRECT("'"&amp;$H$3&amp;"'!T$227"))*IF(INDIRECT("'"&amp;$H$3&amp;"'!T$221")='List Values'!$E$3,T$309*INDEX(INDIRECT("'"&amp;$H$3&amp;"'!$H$49:$H$78"),MATCH(INDIRECT("'"&amp;$H$3&amp;"'!T$220")&amp;"Maintenance cost/km ($)",INDIRECT("'"&amp;$H$3&amp;"'!$F$49:$F$78"),0)),0),0)
+ IFERROR((1-INDIRECT("'"&amp;$H$3&amp;"'!T$247"))*IF(INDIRECT("'"&amp;$H$3&amp;"'!T$241")='List Values'!$E$3,T$338*INDEX(INDIRECT("'"&amp;$H$3&amp;"'!$H$49:$H$78"),MATCH(INDIRECT("'"&amp;$H$3&amp;"'!T$240")&amp;"Maintenance cost/km ($)",INDIRECT("'"&amp;$H$3&amp;"'!$F$49:$F$78"),0)),0),0)</f>
        <v>0</v>
      </c>
      <c r="U105" s="337"/>
      <c r="V105" s="337"/>
      <c r="W105" s="1437">
        <f ca="1">IFERROR((1-INDIRECT("'"&amp;$H$3&amp;"'!W$207"))*IF(INDIRECT("'"&amp;$H$3&amp;"'!W$201")='List Values'!$E$3,W$280*INDEX(INDIRECT("'"&amp;$H$3&amp;"'!$H$49:$H$78"),MATCH(INDIRECT("'"&amp;$H$3&amp;"'!W$200")&amp;"Maintenance cost/km ($)",INDIRECT("'"&amp;$H$3&amp;"'!$F$49:$F$78"),0)),0),0)
+ IFERROR((1-INDIRECT("'"&amp;$H$3&amp;"'!W$227"))*IF(INDIRECT("'"&amp;$H$3&amp;"'!W$221")='List Values'!$E$3,W$309*INDEX(INDIRECT("'"&amp;$H$3&amp;"'!$H$49:$H$78"),MATCH(INDIRECT("'"&amp;$H$3&amp;"'!W$220")&amp;"Maintenance cost/km ($)",INDIRECT("'"&amp;$H$3&amp;"'!$F$49:$F$78"),0)),0),0)
+ IFERROR((1-INDIRECT("'"&amp;$H$3&amp;"'!W$247"))*IF(INDIRECT("'"&amp;$H$3&amp;"'!W$241")='List Values'!$E$3,W$338*INDEX(INDIRECT("'"&amp;$H$3&amp;"'!$H$49:$H$78"),MATCH(INDIRECT("'"&amp;$H$3&amp;"'!W$240")&amp;"Maintenance cost/km ($)",INDIRECT("'"&amp;$H$3&amp;"'!$F$49:$F$78"),0)),0),0)</f>
        <v>0</v>
      </c>
      <c r="Y105" s="341">
        <f t="shared" ca="1" si="10"/>
        <v>28942.000645252512</v>
      </c>
      <c r="AF105" s="34"/>
      <c r="AL105" s="4"/>
    </row>
    <row r="106" spans="6:38">
      <c r="F106" s="298"/>
      <c r="G106" s="298" t="s">
        <v>93</v>
      </c>
      <c r="H106" s="300">
        <f ca="1">IFERROR((1-INDIRECT("'"&amp;$H$3&amp;"'!H$206"))*IF(AND(INDIRECT("'"&amp;$H$3&amp;"'!H$205")="No",INDIRECT("'"&amp;$H$3&amp;"'!H$201")='List Values'!$E$3),INDEX(INDIRECT("'"&amp;$H$3&amp;"'!$H$49:$H$78"),MATCH(INDIRECT("'"&amp;$H$3&amp;"'!H$200")&amp;"Depreciation cost / yr ($)",INDIRECT("'"&amp;$H$3&amp;"'!$F$49:$F$78"),0))*INDIRECT("'"&amp;$H$3&amp;"'!H$204"),0),0)
+IFERROR((1-INDIRECT("'"&amp;$H$3&amp;"'!H$226"))*IF(AND(INDIRECT("'"&amp;$H$3&amp;"'!H$225")="No",INDIRECT("'"&amp;$H$3&amp;"'!H$221")='List Values'!$E$3),INDEX(INDIRECT("'"&amp;$H$3&amp;"'!$H$49:$H$78"),MATCH(INDIRECT("'"&amp;$H$3&amp;"'!H$220")&amp;"Depreciation cost / yr ($)",INDIRECT("'"&amp;$H$3&amp;"'!$F$49:$F$78"),0))*INDIRECT("'"&amp;$H$3&amp;"'!H$224"),0),0)
+IFERROR((1-INDIRECT("'"&amp;$H$3&amp;"'!H$246"))*IF(AND(INDIRECT("'"&amp;$H$3&amp;"'!H$245")="No",INDIRECT("'"&amp;$H$3&amp;"'!H$241")='List Values'!$E$3),INDEX(INDIRECT("'"&amp;$H$3&amp;"'!$H$49:$H$78"),MATCH(INDIRECT("'"&amp;$H$3&amp;"'!H$240")&amp;"Depreciation cost / yr ($)",INDIRECT("'"&amp;$H$3&amp;"'!$F$49:$F$78"),0))*INDIRECT("'"&amp;$H$3&amp;"'!H$244"),0),0)</f>
        <v>0</v>
      </c>
      <c r="I106" s="358"/>
      <c r="J106" s="358"/>
      <c r="K106" s="300">
        <f ca="1">IFERROR((1-INDIRECT("'"&amp;$H$3&amp;"'!K$206"))*IF(AND(INDIRECT("'"&amp;$H$3&amp;"'!K$205")="No",INDIRECT("'"&amp;$H$3&amp;"'!K$201")='List Values'!$E$3),INDEX(INDIRECT("'"&amp;$H$3&amp;"'!$H$49:$H$78"),MATCH(INDIRECT("'"&amp;$H$3&amp;"'!K$200")&amp;"Depreciation cost / yr ($)",INDIRECT("'"&amp;$H$3&amp;"'!$F$49:$F$78"),0))*INDIRECT("'"&amp;$H$3&amp;"'!K$204"),0),0)
+IFERROR((1-INDIRECT("'"&amp;$H$3&amp;"'!K$226"))*IF(AND(INDIRECT("'"&amp;$H$3&amp;"'!K$225")="No",INDIRECT("'"&amp;$H$3&amp;"'!K$221")='List Values'!$E$3),INDEX(INDIRECT("'"&amp;$H$3&amp;"'!$H$49:$H$78"),MATCH(INDIRECT("'"&amp;$H$3&amp;"'!K$220")&amp;"Depreciation cost / yr ($)",INDIRECT("'"&amp;$H$3&amp;"'!$F$49:$F$78"),0))*INDIRECT("'"&amp;$H$3&amp;"'!K$224"),0),0)
+IFERROR((1-INDIRECT("'"&amp;$H$3&amp;"'!K$246"))*IF(AND(INDIRECT("'"&amp;$H$3&amp;"'!K$245")="No",INDIRECT("'"&amp;$H$3&amp;"'!K$241")='List Values'!$E$3),INDEX(INDIRECT("'"&amp;$H$3&amp;"'!$H$49:$H$78"),MATCH(INDIRECT("'"&amp;$H$3&amp;"'!K$240")&amp;"Depreciation cost / yr ($)",INDIRECT("'"&amp;$H$3&amp;"'!$F$49:$F$78"),0))*INDIRECT("'"&amp;$H$3&amp;"'!K$244"),0),0)</f>
        <v>0</v>
      </c>
      <c r="L106" s="300"/>
      <c r="M106" s="300"/>
      <c r="N106" s="300">
        <f ca="1">IFERROR((1-INDIRECT("'"&amp;$H$3&amp;"'!N$206"))*IF(AND(INDIRECT("'"&amp;$H$3&amp;"'!N$205")="No",INDIRECT("'"&amp;$H$3&amp;"'!N$201")='List Values'!$E$3),INDEX(INDIRECT("'"&amp;$H$3&amp;"'!$H$49:$H$78"),MATCH(INDIRECT("'"&amp;$H$3&amp;"'!N$200")&amp;"Depreciation cost / yr ($)",INDIRECT("'"&amp;$H$3&amp;"'!$F$49:$F$78"),0))*INDIRECT("'"&amp;$H$3&amp;"'!N$204"),0),0)
+IFERROR((1-INDIRECT("'"&amp;$H$3&amp;"'!N$226"))*IF(AND(INDIRECT("'"&amp;$H$3&amp;"'!N$225")="No",INDIRECT("'"&amp;$H$3&amp;"'!N$221")='List Values'!$E$3),INDEX(INDIRECT("'"&amp;$H$3&amp;"'!$H$49:$H$78"),MATCH(INDIRECT("'"&amp;$H$3&amp;"'!N$220")&amp;"Depreciation cost / yr ($)",INDIRECT("'"&amp;$H$3&amp;"'!$F$49:$F$78"),0))*INDIRECT("'"&amp;$H$3&amp;"'!N$224"),0),0)
+IFERROR((1-INDIRECT("'"&amp;$H$3&amp;"'!N$246"))*IF(AND(INDIRECT("'"&amp;$H$3&amp;"'!N$245")="No",INDIRECT("'"&amp;$H$3&amp;"'!N$241")='List Values'!$E$3),INDEX(INDIRECT("'"&amp;$H$3&amp;"'!$H$49:$H$78"),MATCH(INDIRECT("'"&amp;$H$3&amp;"'!N$240")&amp;"Depreciation cost / yr ($)",INDIRECT("'"&amp;$H$3&amp;"'!$F$49:$F$78"),0))*INDIRECT("'"&amp;$H$3&amp;"'!N$244"),0),0)</f>
        <v>60939.499795095864</v>
      </c>
      <c r="O106" s="300"/>
      <c r="P106" s="300"/>
      <c r="Q106" s="300">
        <f ca="1">IFERROR((1-INDIRECT("'"&amp;$H$3&amp;"'!Q$206"))*IF(AND(INDIRECT("'"&amp;$H$3&amp;"'!Q$205")="No",INDIRECT("'"&amp;$H$3&amp;"'!Q$201")='List Values'!$E$3),INDEX(INDIRECT("'"&amp;$H$3&amp;"'!$H$49:$H$78"),MATCH(INDIRECT("'"&amp;$H$3&amp;"'!Q$200")&amp;"Depreciation cost / yr ($)",INDIRECT("'"&amp;$H$3&amp;"'!$F$49:$F$78"),0))*INDIRECT("'"&amp;$H$3&amp;"'!Q$204"),0),0)
+IFERROR((1-INDIRECT("'"&amp;$H$3&amp;"'!Q$226"))*IF(AND(INDIRECT("'"&amp;$H$3&amp;"'!Q$225")="No",INDIRECT("'"&amp;$H$3&amp;"'!Q$221")='List Values'!$E$3),INDEX(INDIRECT("'"&amp;$H$3&amp;"'!$H$49:$H$78"),MATCH(INDIRECT("'"&amp;$H$3&amp;"'!Q$220")&amp;"Depreciation cost / yr ($)",INDIRECT("'"&amp;$H$3&amp;"'!$F$49:$F$78"),0))*INDIRECT("'"&amp;$H$3&amp;"'!Q$224"),0),0)
+IFERROR((1-INDIRECT("'"&amp;$H$3&amp;"'!Q$246"))*IF(AND(INDIRECT("'"&amp;$H$3&amp;"'!Q$245")="No",INDIRECT("'"&amp;$H$3&amp;"'!Q$241")='List Values'!$E$3),INDEX(INDIRECT("'"&amp;$H$3&amp;"'!$H$49:$H$78"),MATCH(INDIRECT("'"&amp;$H$3&amp;"'!Q$240")&amp;"Depreciation cost / yr ($)",INDIRECT("'"&amp;$H$3&amp;"'!$F$49:$F$78"),0))*INDIRECT("'"&amp;$H$3&amp;"'!Q$244"),0),0)</f>
        <v>0</v>
      </c>
      <c r="R106" s="300"/>
      <c r="S106" s="337"/>
      <c r="T106" s="300">
        <f ca="1">IFERROR((1-INDIRECT("'"&amp;$H$3&amp;"'!T$206"))*IF(AND(INDIRECT("'"&amp;$H$3&amp;"'!T$205")="No",INDIRECT("'"&amp;$H$3&amp;"'!T$201")='List Values'!$E$3),INDEX(INDIRECT("'"&amp;$H$3&amp;"'!$H$49:$H$78"),MATCH(INDIRECT("'"&amp;$H$3&amp;"'!T$200")&amp;"Depreciation cost / yr ($)",INDIRECT("'"&amp;$H$3&amp;"'!$F$49:$F$78"),0))*INDIRECT("'"&amp;$H$3&amp;"'!T$204"),0),0)
+IFERROR((1-INDIRECT("'"&amp;$H$3&amp;"'!T$226"))*IF(AND(INDIRECT("'"&amp;$H$3&amp;"'!T$225")="No",INDIRECT("'"&amp;$H$3&amp;"'!T$221")='List Values'!$E$3),INDEX(INDIRECT("'"&amp;$H$3&amp;"'!$H$49:$H$78"),MATCH(INDIRECT("'"&amp;$H$3&amp;"'!T$220")&amp;"Depreciation cost / yr ($)",INDIRECT("'"&amp;$H$3&amp;"'!$F$49:$F$78"),0))*INDIRECT("'"&amp;$H$3&amp;"'!T$224"),0),0)
+IFERROR((1-INDIRECT("'"&amp;$H$3&amp;"'!T$246"))*IF(AND(INDIRECT("'"&amp;$H$3&amp;"'!T$245")="No",INDIRECT("'"&amp;$H$3&amp;"'!T$241")='List Values'!$E$3),INDEX(INDIRECT("'"&amp;$H$3&amp;"'!$H$49:$H$78"),MATCH(INDIRECT("'"&amp;$H$3&amp;"'!T$240")&amp;"Depreciation cost / yr ($)",INDIRECT("'"&amp;$H$3&amp;"'!$F$49:$F$78"),0))*INDIRECT("'"&amp;$H$3&amp;"'!T$244"),0),0)</f>
        <v>0</v>
      </c>
      <c r="U106" s="337"/>
      <c r="V106" s="337"/>
      <c r="W106" s="1437">
        <f ca="1">IFERROR((1-INDIRECT("'"&amp;$H$3&amp;"'!W$206"))*IF(AND(INDIRECT("'"&amp;$H$3&amp;"'!W$205")="No",INDIRECT("'"&amp;$H$3&amp;"'!W$201")='List Values'!$E$3),INDEX(INDIRECT("'"&amp;$H$3&amp;"'!$H$49:$H$78"),MATCH(INDIRECT("'"&amp;$H$3&amp;"'!W$200")&amp;"Depreciation cost / yr ($)",INDIRECT("'"&amp;$H$3&amp;"'!$F$49:$F$78"),0))*INDIRECT("'"&amp;$H$3&amp;"'!W$204"),0),0)
+IFERROR((1-INDIRECT("'"&amp;$H$3&amp;"'!W$226"))*IF(AND(INDIRECT("'"&amp;$H$3&amp;"'!W$225")="No",INDIRECT("'"&amp;$H$3&amp;"'!W$221")='List Values'!$E$3),INDEX(INDIRECT("'"&amp;$H$3&amp;"'!$H$49:$H$78"),MATCH(INDIRECT("'"&amp;$H$3&amp;"'!W$220")&amp;"Depreciation cost / yr ($)",INDIRECT("'"&amp;$H$3&amp;"'!$F$49:$F$78"),0))*INDIRECT("'"&amp;$H$3&amp;"'!W$224"),0),0)
+IFERROR((1-INDIRECT("'"&amp;$H$3&amp;"'!W$246"))*IF(AND(INDIRECT("'"&amp;$H$3&amp;"'!W$245")="No",INDIRECT("'"&amp;$H$3&amp;"'!W$241")='List Values'!$E$3),INDEX(INDIRECT("'"&amp;$H$3&amp;"'!$H$49:$H$78"),MATCH(INDIRECT("'"&amp;$H$3&amp;"'!W$240")&amp;"Depreciation cost / yr ($)",INDIRECT("'"&amp;$H$3&amp;"'!$F$49:$F$78"),0))*INDIRECT("'"&amp;$H$3&amp;"'!W$244"),0),0)</f>
        <v>0</v>
      </c>
      <c r="Y106" s="341">
        <f t="shared" ca="1" si="10"/>
        <v>60939.499795095864</v>
      </c>
      <c r="AL106" s="4"/>
    </row>
    <row r="107" spans="6:38">
      <c r="F107" s="359"/>
      <c r="G107" s="220" t="s">
        <v>160</v>
      </c>
      <c r="H107" s="296">
        <f ca="1">IFERROR((1-INDIRECT("'"&amp;$H$3&amp;"'!H$207"))*H$266*INDEX(INDIRECT("'"&amp;$H$3&amp;"'!$H$43:$H$78"),MATCH(INDIRECT("'"&amp;$H$3&amp;"'!H$200")&amp;"Average cost ($) per trip (one-way)",INDIRECT("'"&amp;$H$3&amp;"'!$F$43:$F$78"),0)),0)
+IFERROR((1-INDIRECT("'"&amp;$H$3&amp;"'!H$227"))*H$295*INDEX(INDIRECT("'"&amp;$H$3&amp;"'!$H$43:$H$78"),MATCH(INDIRECT("'"&amp;$H$3&amp;"'!H$220")&amp;"Average cost ($) per trip (one-way)",INDIRECT("'"&amp;$H$3&amp;"'!$F$43:$F$78"),0)),0)
+IFERROR((1-INDIRECT("'"&amp;$H$3&amp;"'!H$247"))*H$324*INDEX(INDIRECT("'"&amp;$H$3&amp;"'!$H$43:$H$78"),MATCH(INDIRECT("'"&amp;$H$3&amp;"'!H$240")&amp;"Average cost ($) per trip (one-way)",INDIRECT("'"&amp;$H$3&amp;"'!$F$43:$F$78"),0)),0)</f>
        <v>0</v>
      </c>
      <c r="I107" s="360"/>
      <c r="J107" s="360"/>
      <c r="K107" s="296">
        <f ca="1">IFERROR((1-INDIRECT("'"&amp;$H$3&amp;"'!K$207"))*K$266*INDEX(INDIRECT("'"&amp;$H$3&amp;"'!$H$43:$H$78"),MATCH(INDIRECT("'"&amp;$H$3&amp;"'!K$200")&amp;"Average cost ($) per trip (one-way)",INDIRECT("'"&amp;$H$3&amp;"'!$F$43:$F$78"),0)),0)
+IFERROR((1-INDIRECT("'"&amp;$H$3&amp;"'!K$227"))*K$295*INDEX(INDIRECT("'"&amp;$H$3&amp;"'!$H$43:$H$78"),MATCH(INDIRECT("'"&amp;$H$3&amp;"'!K$220")&amp;"Average cost ($) per trip (one-way)",INDIRECT("'"&amp;$H$3&amp;"'!$F$43:$F$78"),0)),0)
+IFERROR((1-INDIRECT("'"&amp;$H$3&amp;"'!K$247"))*K$324*INDEX(INDIRECT("'"&amp;$H$3&amp;"'!$H$43:$H$78"),MATCH(INDIRECT("'"&amp;$H$3&amp;"'!K$240")&amp;"Average cost ($) per trip (one-way)",INDIRECT("'"&amp;$H$3&amp;"'!$F$43:$F$78"),0)),0)</f>
        <v>0</v>
      </c>
      <c r="L107" s="296"/>
      <c r="M107" s="296"/>
      <c r="N107" s="296">
        <f ca="1">IFERROR((1-INDIRECT("'"&amp;$H$3&amp;"'!N$207"))*N$266*INDEX(INDIRECT("'"&amp;$H$3&amp;"'!$H$43:$H$78"),MATCH(INDIRECT("'"&amp;$H$3&amp;"'!N$200")&amp;"Average cost ($) per trip (one-way)",INDIRECT("'"&amp;$H$3&amp;"'!$F$43:$F$78"),0)),0)
+IFERROR((1-INDIRECT("'"&amp;$H$3&amp;"'!N$227"))*N$295*INDEX(INDIRECT("'"&amp;$H$3&amp;"'!$H$43:$H$78"),MATCH(INDIRECT("'"&amp;$H$3&amp;"'!N$220")&amp;"Average cost ($) per trip (one-way)",INDIRECT("'"&amp;$H$3&amp;"'!$F$43:$F$78"),0)),0)
+IFERROR((1-INDIRECT("'"&amp;$H$3&amp;"'!N$247"))*N$324*INDEX(INDIRECT("'"&amp;$H$3&amp;"'!$H$43:$H$78"),MATCH(INDIRECT("'"&amp;$H$3&amp;"'!N$240")&amp;"Average cost ($) per trip (one-way)",INDIRECT("'"&amp;$H$3&amp;"'!$F$43:$F$78"),0)),0)</f>
        <v>0</v>
      </c>
      <c r="O107" s="296"/>
      <c r="P107" s="296"/>
      <c r="Q107" s="296">
        <f ca="1">IFERROR((1-INDIRECT("'"&amp;$H$3&amp;"'!Q$207"))*Q$266*INDEX(INDIRECT("'"&amp;$H$3&amp;"'!$H$43:$H$78"),MATCH(INDIRECT("'"&amp;$H$3&amp;"'!Q$200")&amp;"Average cost ($) per trip (one-way)",INDIRECT("'"&amp;$H$3&amp;"'!$F$43:$F$78"),0)),0)
+IFERROR((1-INDIRECT("'"&amp;$H$3&amp;"'!Q$227"))*Q$295*INDEX(INDIRECT("'"&amp;$H$3&amp;"'!$H$43:$H$78"),MATCH(INDIRECT("'"&amp;$H$3&amp;"'!Q$220")&amp;"Average cost ($) per trip (one-way)",INDIRECT("'"&amp;$H$3&amp;"'!$F$43:$F$78"),0)),0)
+IFERROR((1-INDIRECT("'"&amp;$H$3&amp;"'!Q$247"))*Q$324*INDEX(INDIRECT("'"&amp;$H$3&amp;"'!$H$43:$H$78"),MATCH(INDIRECT("'"&amp;$H$3&amp;"'!Q$240")&amp;"Average cost ($) per trip (one-way)",INDIRECT("'"&amp;$H$3&amp;"'!$F$43:$F$78"),0)),0)</f>
        <v>0</v>
      </c>
      <c r="R107" s="296"/>
      <c r="S107" s="361"/>
      <c r="T107" s="296">
        <f ca="1">IFERROR((1-INDIRECT("'"&amp;$H$3&amp;"'!T$207"))*T$266*INDEX(INDIRECT("'"&amp;$H$3&amp;"'!$H$43:$H$78"),MATCH(INDIRECT("'"&amp;$H$3&amp;"'!T$200")&amp;"Average cost ($) per trip (one-way)",INDIRECT("'"&amp;$H$3&amp;"'!$F$43:$F$78"),0)),0)
+IFERROR((1-INDIRECT("'"&amp;$H$3&amp;"'!T$227"))*T$295*INDEX(INDIRECT("'"&amp;$H$3&amp;"'!$H$43:$H$78"),MATCH(INDIRECT("'"&amp;$H$3&amp;"'!T$220")&amp;"Average cost ($) per trip (one-way)",INDIRECT("'"&amp;$H$3&amp;"'!$F$43:$F$78"),0)),0)
+IFERROR((1-INDIRECT("'"&amp;$H$3&amp;"'!T$247"))*T$324*INDEX(INDIRECT("'"&amp;$H$3&amp;"'!$H$43:$H$78"),MATCH(INDIRECT("'"&amp;$H$3&amp;"'!T$240")&amp;"Average cost ($) per trip (one-way)",INDIRECT("'"&amp;$H$3&amp;"'!$F$43:$F$78"),0)),0)</f>
        <v>0</v>
      </c>
      <c r="U107" s="361"/>
      <c r="V107" s="361"/>
      <c r="W107" s="1438">
        <f ca="1">IFERROR((1-INDIRECT("'"&amp;$H$3&amp;"'!W$207"))*W$266*INDEX(INDIRECT("'"&amp;$H$3&amp;"'!$H$43:$H$78"),MATCH(INDIRECT("'"&amp;$H$3&amp;"'!W$200")&amp;"Average cost ($) per trip (one-way)",INDIRECT("'"&amp;$H$3&amp;"'!$F$43:$F$78"),0)),0)
+IFERROR((1-INDIRECT("'"&amp;$H$3&amp;"'!W$227"))*W$295*INDEX(INDIRECT("'"&amp;$H$3&amp;"'!$H$43:$H$78"),MATCH(INDIRECT("'"&amp;$H$3&amp;"'!W$220")&amp;"Average cost ($) per trip (one-way)",INDIRECT("'"&amp;$H$3&amp;"'!$F$43:$F$78"),0)),0)
+IFERROR((1-INDIRECT("'"&amp;$H$3&amp;"'!W$247"))*W$324*INDEX(INDIRECT("'"&amp;$H$3&amp;"'!$H$43:$H$78"),MATCH(INDIRECT("'"&amp;$H$3&amp;"'!W$240")&amp;"Average cost ($) per trip (one-way)",INDIRECT("'"&amp;$H$3&amp;"'!$F$43:$F$78"),0)),0)</f>
        <v>0</v>
      </c>
      <c r="Y107" s="347">
        <f t="shared" ca="1" si="10"/>
        <v>0</v>
      </c>
    </row>
    <row r="108" spans="6:38">
      <c r="F108" s="352" t="s">
        <v>2443</v>
      </c>
      <c r="G108" s="352"/>
      <c r="H108" s="362"/>
      <c r="I108" s="362"/>
      <c r="J108" s="362"/>
      <c r="K108" s="362"/>
      <c r="L108" s="362"/>
      <c r="M108" s="362"/>
      <c r="N108" s="362"/>
      <c r="O108" s="362"/>
      <c r="P108" s="362"/>
      <c r="Q108" s="362"/>
      <c r="R108" s="354"/>
      <c r="S108" s="355"/>
      <c r="T108" s="362"/>
      <c r="U108" s="355"/>
      <c r="V108" s="355"/>
      <c r="W108" s="384"/>
      <c r="X108" s="1463"/>
      <c r="Y108" s="355">
        <f ca="1">SUM(Y109:Y117)</f>
        <v>193190.43534517518</v>
      </c>
    </row>
    <row r="109" spans="6:38">
      <c r="F109" s="298"/>
      <c r="G109" s="298" t="s">
        <v>48</v>
      </c>
      <c r="H109" s="300">
        <f ca="1">IFERROR((1-INDIRECT("'"&amp;$H$3&amp;"'!H$142"))*IF(INDIRECT("'"&amp;$H$3&amp;"'!H$137")='List Values'!$E$5,INDIRECT("'"&amp;$H$3&amp;"'!H$139")*IF(INDIRECT("'"&amp;$H$3&amp;"'!H$138")='List Values'!$F$3,H$169,IF(INDIRECT("'"&amp;$H$3&amp;"'!H$138")='List Values'!$F$4,'1_Outputs'!H$52*INDIRECT("'"&amp;$H$3&amp;"'!H$95")*INDIRECT("'"&amp;$H$3&amp;"'!H$135"),IF(INDIRECT("'"&amp;$H$3&amp;"'!H$138")='List Values'!$F$5,H$171,IF(INDIRECT("'"&amp;$H$3&amp;"'!H$138")='List Values'!$F$6,INDIRECT("'"&amp;$H$3&amp;"'!H$95")*INDIRECT("'"&amp;$H$3&amp;"'!H$135"),IF(INDIRECT("'"&amp;$H$3&amp;"'!H$138")='List Values'!$F$7,1,0))))),0),0)
+IFERROR((1-INDIRECT("'"&amp;$H$3&amp;"'!H$162"))*IF(INDIRECT("'"&amp;$H$3&amp;"'!H$157")='List Values'!$E$5,INDIRECT("'"&amp;$H$3&amp;"'!H$159")*IF(INDIRECT("'"&amp;$H$3&amp;"'!H$158")='List Values'!$F$3,H$207,IF(INDIRECT("'"&amp;$H$3&amp;"'!H$158")='List Values'!$F$4,'1_Outputs'!H$52*INDIRECT("'"&amp;$H$3&amp;"'!H$95")*INDIRECT("'"&amp;$H$3&amp;"'!H$155"),IF(INDIRECT("'"&amp;$H$3&amp;"'!H$158")='List Values'!$F$5,H$209,IF(INDIRECT("'"&amp;$H$3&amp;"'!H$158")='List Values'!$F$6,INDIRECT("'"&amp;$H$3&amp;"'!H$95")*INDIRECT("'"&amp;$H$3&amp;"'!H$155"),IF(INDIRECT("'"&amp;$H$3&amp;"'!H$158")='List Values'!$F$7,1,0))))),0),0)
+IFERROR((1-INDIRECT("'"&amp;$H$3&amp;"'!H$182"))*IF(INDIRECT("'"&amp;$H$3&amp;"'!H$177")='List Values'!$E$5,INDIRECT("'"&amp;$H$3&amp;"'!H$179")*IF(INDIRECT("'"&amp;$H$3&amp;"'!H$178")='List Values'!$F$3,H$245,IF(INDIRECT("'"&amp;$H$3&amp;"'!H$178")='List Values'!$F$4,'1_Outputs'!H$52*INDIRECT("'"&amp;$H$3&amp;"'!H$95")*INDIRECT("'"&amp;$H$3&amp;"'!H$175"),IF(INDIRECT("'"&amp;$H$3&amp;"'!H$178")='List Values'!$F$5,H$247,IF(INDIRECT("'"&amp;$H$3&amp;"'!H$178")='List Values'!$F$6,INDIRECT("'"&amp;$H$3&amp;"'!H$95")*INDIRECT("'"&amp;$H$3&amp;"'!H$175"),IF(INDIRECT("'"&amp;$H$3&amp;"'!H$178")='List Values'!$F$7,1,0))))),0),0)</f>
        <v>0</v>
      </c>
      <c r="I109" s="300"/>
      <c r="J109" s="300"/>
      <c r="K109" s="300">
        <f ca="1">IFERROR((1-INDIRECT("'"&amp;$H$3&amp;"'!K$142"))*IF(INDIRECT("'"&amp;$H$3&amp;"'!K$137")='List Values'!$E$5,INDIRECT("'"&amp;$H$3&amp;"'!K$139")*IF(INDIRECT("'"&amp;$H$3&amp;"'!K$138")='List Values'!$F$3,K$169,IF(INDIRECT("'"&amp;$H$3&amp;"'!K$138")='List Values'!$F$4,'1_Outputs'!K$52*INDIRECT("'"&amp;$H$3&amp;"'!K$95")*INDIRECT("'"&amp;$H$3&amp;"'!K$135"),IF(INDIRECT("'"&amp;$H$3&amp;"'!K$138")='List Values'!$F$5,K$171,IF(INDIRECT("'"&amp;$H$3&amp;"'!K$138")='List Values'!$F$6,INDIRECT("'"&amp;$H$3&amp;"'!K$95")*INDIRECT("'"&amp;$H$3&amp;"'!K$135"),IF(INDIRECT("'"&amp;$H$3&amp;"'!K$138")='List Values'!$F$7,1,0))))),0),0)
+IFERROR((1-INDIRECT("'"&amp;$H$3&amp;"'!K$162"))*IF(INDIRECT("'"&amp;$H$3&amp;"'!K$157")='List Values'!$E$5,INDIRECT("'"&amp;$H$3&amp;"'!K$159")*IF(INDIRECT("'"&amp;$H$3&amp;"'!K$158")='List Values'!$F$3,K$207,IF(INDIRECT("'"&amp;$H$3&amp;"'!K$158")='List Values'!$F$4,'1_Outputs'!K$52*INDIRECT("'"&amp;$H$3&amp;"'!K$95")*INDIRECT("'"&amp;$H$3&amp;"'!K$155"),IF(INDIRECT("'"&amp;$H$3&amp;"'!K$158")='List Values'!$F$5,K$209,IF(INDIRECT("'"&amp;$H$3&amp;"'!K$158")='List Values'!$F$6,INDIRECT("'"&amp;$H$3&amp;"'!K$95")*INDIRECT("'"&amp;$H$3&amp;"'!K$155"),IF(INDIRECT("'"&amp;$H$3&amp;"'!K$158")='List Values'!$F$7,1,0))))),0),0)
+IFERROR((1-INDIRECT("'"&amp;$H$3&amp;"'!K$182"))*IF(INDIRECT("'"&amp;$H$3&amp;"'!K$177")='List Values'!$E$5,INDIRECT("'"&amp;$H$3&amp;"'!K$179")*IF(INDIRECT("'"&amp;$H$3&amp;"'!K$178")='List Values'!$F$3,K$245,IF(INDIRECT("'"&amp;$H$3&amp;"'!K$178")='List Values'!$F$4,'1_Outputs'!K$52*INDIRECT("'"&amp;$H$3&amp;"'!K$95")*INDIRECT("'"&amp;$H$3&amp;"'!K$175"),IF(INDIRECT("'"&amp;$H$3&amp;"'!K$178")='List Values'!$F$5,K$247,IF(INDIRECT("'"&amp;$H$3&amp;"'!K$178")='List Values'!$F$6,INDIRECT("'"&amp;$H$3&amp;"'!K$95")*INDIRECT("'"&amp;$H$3&amp;"'!K$175"),IF(INDIRECT("'"&amp;$H$3&amp;"'!K$178")='List Values'!$F$7,1,0))))),0),0)</f>
        <v>0</v>
      </c>
      <c r="L109" s="300"/>
      <c r="M109" s="300"/>
      <c r="N109" s="300">
        <f ca="1">IFERROR((1-INDIRECT("'"&amp;$H$3&amp;"'!N$142"))*IF(INDIRECT("'"&amp;$H$3&amp;"'!N$137")='List Values'!$E$5,INDIRECT("'"&amp;$H$3&amp;"'!N$139")*IF(INDIRECT("'"&amp;$H$3&amp;"'!N$138")='List Values'!$F$3,N$169,IF(INDIRECT("'"&amp;$H$3&amp;"'!N$138")='List Values'!$F$4,'1_Outputs'!N$52*INDIRECT("'"&amp;$H$3&amp;"'!N$95")*INDIRECT("'"&amp;$H$3&amp;"'!N$135"),IF(INDIRECT("'"&amp;$H$3&amp;"'!N$138")='List Values'!$F$5,N$171,IF(INDIRECT("'"&amp;$H$3&amp;"'!N$138")='List Values'!$F$6,INDIRECT("'"&amp;$H$3&amp;"'!N$95")*INDIRECT("'"&amp;$H$3&amp;"'!N$135"),IF(INDIRECT("'"&amp;$H$3&amp;"'!N$138")='List Values'!$F$7,1,0))))),0),0)
+IFERROR((1-INDIRECT("'"&amp;$H$3&amp;"'!N$162"))*IF(INDIRECT("'"&amp;$H$3&amp;"'!N$157")='List Values'!$E$5,INDIRECT("'"&amp;$H$3&amp;"'!N$159")*IF(INDIRECT("'"&amp;$H$3&amp;"'!N$158")='List Values'!$F$3,N$207,IF(INDIRECT("'"&amp;$H$3&amp;"'!N$158")='List Values'!$F$4,'1_Outputs'!N$52*INDIRECT("'"&amp;$H$3&amp;"'!N$95")*INDIRECT("'"&amp;$H$3&amp;"'!N$155"),IF(INDIRECT("'"&amp;$H$3&amp;"'!N$158")='List Values'!$F$5,N$209,IF(INDIRECT("'"&amp;$H$3&amp;"'!N$158")='List Values'!$F$6,INDIRECT("'"&amp;$H$3&amp;"'!N$95")*INDIRECT("'"&amp;$H$3&amp;"'!N$155"),IF(INDIRECT("'"&amp;$H$3&amp;"'!N$158")='List Values'!$F$7,1,0))))),0),0)
+IFERROR((1-INDIRECT("'"&amp;$H$3&amp;"'!N$182"))*IF(INDIRECT("'"&amp;$H$3&amp;"'!N$177")='List Values'!$E$5,INDIRECT("'"&amp;$H$3&amp;"'!N$179")*IF(INDIRECT("'"&amp;$H$3&amp;"'!N$178")='List Values'!$F$3,N$245,IF(INDIRECT("'"&amp;$H$3&amp;"'!N$178")='List Values'!$F$4,'1_Outputs'!N$52*INDIRECT("'"&amp;$H$3&amp;"'!N$95")*INDIRECT("'"&amp;$H$3&amp;"'!N$175"),IF(INDIRECT("'"&amp;$H$3&amp;"'!N$178")='List Values'!$F$5,N$247,IF(INDIRECT("'"&amp;$H$3&amp;"'!N$178")='List Values'!$F$6,INDIRECT("'"&amp;$H$3&amp;"'!N$95")*INDIRECT("'"&amp;$H$3&amp;"'!N$175"),IF(INDIRECT("'"&amp;$H$3&amp;"'!N$178")='List Values'!$F$7,1,0))))),0),0)</f>
        <v>0</v>
      </c>
      <c r="O109" s="300"/>
      <c r="P109" s="300"/>
      <c r="Q109" s="300">
        <f ca="1">IFERROR((1-INDIRECT("'"&amp;$H$3&amp;"'!Q$142"))*IF(INDIRECT("'"&amp;$H$3&amp;"'!Q$137")='List Values'!$E$5,INDIRECT("'"&amp;$H$3&amp;"'!Q$139")*IF(INDIRECT("'"&amp;$H$3&amp;"'!Q$138")='List Values'!$F$3,Q$169,IF(INDIRECT("'"&amp;$H$3&amp;"'!Q$138")='List Values'!$F$4,'1_Outputs'!Q$52*INDIRECT("'"&amp;$H$3&amp;"'!Q$95")*INDIRECT("'"&amp;$H$3&amp;"'!Q$135"),IF(INDIRECT("'"&amp;$H$3&amp;"'!Q$138")='List Values'!$F$5,Q$171,IF(INDIRECT("'"&amp;$H$3&amp;"'!Q$138")='List Values'!$F$6,INDIRECT("'"&amp;$H$3&amp;"'!Q$95")*INDIRECT("'"&amp;$H$3&amp;"'!Q$135"),IF(INDIRECT("'"&amp;$H$3&amp;"'!Q$138")='List Values'!$F$7,1,0))))),0),0)
+IFERROR((1-INDIRECT("'"&amp;$H$3&amp;"'!Q$162"))*IF(INDIRECT("'"&amp;$H$3&amp;"'!Q$157")='List Values'!$E$5,INDIRECT("'"&amp;$H$3&amp;"'!Q$159")*IF(INDIRECT("'"&amp;$H$3&amp;"'!Q$158")='List Values'!$F$3,Q$207,IF(INDIRECT("'"&amp;$H$3&amp;"'!Q$158")='List Values'!$F$4,'1_Outputs'!Q$52*INDIRECT("'"&amp;$H$3&amp;"'!Q$95")*INDIRECT("'"&amp;$H$3&amp;"'!Q$155"),IF(INDIRECT("'"&amp;$H$3&amp;"'!Q$158")='List Values'!$F$5,Q$209,IF(INDIRECT("'"&amp;$H$3&amp;"'!Q$158")='List Values'!$F$6,INDIRECT("'"&amp;$H$3&amp;"'!Q$95")*INDIRECT("'"&amp;$H$3&amp;"'!Q$155"),IF(INDIRECT("'"&amp;$H$3&amp;"'!Q$158")='List Values'!$F$7,1,0))))),0),0)
+IFERROR((1-INDIRECT("'"&amp;$H$3&amp;"'!Q$182"))*IF(INDIRECT("'"&amp;$H$3&amp;"'!Q$177")='List Values'!$E$5,INDIRECT("'"&amp;$H$3&amp;"'!Q$179")*IF(INDIRECT("'"&amp;$H$3&amp;"'!Q$178")='List Values'!$F$3,Q$245,IF(INDIRECT("'"&amp;$H$3&amp;"'!Q$178")='List Values'!$F$4,'1_Outputs'!Q$52*INDIRECT("'"&amp;$H$3&amp;"'!Q$95")*INDIRECT("'"&amp;$H$3&amp;"'!Q$175"),IF(INDIRECT("'"&amp;$H$3&amp;"'!Q$178")='List Values'!$F$5,Q$247,IF(INDIRECT("'"&amp;$H$3&amp;"'!Q$178")='List Values'!$F$6,INDIRECT("'"&amp;$H$3&amp;"'!Q$95")*INDIRECT("'"&amp;$H$3&amp;"'!Q$175"),IF(INDIRECT("'"&amp;$H$3&amp;"'!Q$178")='List Values'!$F$7,1,0))))),0),0)</f>
        <v>0</v>
      </c>
      <c r="R109" s="300"/>
      <c r="S109" s="337"/>
      <c r="T109" s="300">
        <f ca="1">IFERROR((1-INDIRECT("'"&amp;$H$3&amp;"'!T$142"))*IF(INDIRECT("'"&amp;$H$3&amp;"'!T$137")='List Values'!$E$5,INDIRECT("'"&amp;$H$3&amp;"'!T$139")*IF(INDIRECT("'"&amp;$H$3&amp;"'!T$138")='List Values'!$F$3,T$169,IF(INDIRECT("'"&amp;$H$3&amp;"'!T$138")='List Values'!$F$4,'1_Outputs'!T$52*INDIRECT("'"&amp;$H$3&amp;"'!T$95")*INDIRECT("'"&amp;$H$3&amp;"'!T$135"),IF(INDIRECT("'"&amp;$H$3&amp;"'!T$138")='List Values'!$F$5,T$171,IF(INDIRECT("'"&amp;$H$3&amp;"'!T$138")='List Values'!$F$6,INDIRECT("'"&amp;$H$3&amp;"'!T$95")*INDIRECT("'"&amp;$H$3&amp;"'!T$135"),IF(INDIRECT("'"&amp;$H$3&amp;"'!T$138")='List Values'!$F$7,1,0))))),0),0)
+IFERROR((1-INDIRECT("'"&amp;$H$3&amp;"'!T$162"))*IF(INDIRECT("'"&amp;$H$3&amp;"'!T$157")='List Values'!$E$5,INDIRECT("'"&amp;$H$3&amp;"'!T$159")*IF(INDIRECT("'"&amp;$H$3&amp;"'!T$158")='List Values'!$F$3,T$207,IF(INDIRECT("'"&amp;$H$3&amp;"'!T$158")='List Values'!$F$4,'1_Outputs'!T$52*INDIRECT("'"&amp;$H$3&amp;"'!T$95")*INDIRECT("'"&amp;$H$3&amp;"'!T$155"),IF(INDIRECT("'"&amp;$H$3&amp;"'!T$158")='List Values'!$F$5,T$209,IF(INDIRECT("'"&amp;$H$3&amp;"'!T$158")='List Values'!$F$6,INDIRECT("'"&amp;$H$3&amp;"'!T$95")*INDIRECT("'"&amp;$H$3&amp;"'!T$155"),IF(INDIRECT("'"&amp;$H$3&amp;"'!T$158")='List Values'!$F$7,1,0))))),0),0)
+IFERROR((1-INDIRECT("'"&amp;$H$3&amp;"'!T$182"))*IF(INDIRECT("'"&amp;$H$3&amp;"'!T$177")='List Values'!$E$5,INDIRECT("'"&amp;$H$3&amp;"'!T$179")*IF(INDIRECT("'"&amp;$H$3&amp;"'!T$178")='List Values'!$F$3,T$245,IF(INDIRECT("'"&amp;$H$3&amp;"'!T$178")='List Values'!$F$4,'1_Outputs'!T$52*INDIRECT("'"&amp;$H$3&amp;"'!T$95")*INDIRECT("'"&amp;$H$3&amp;"'!T$175"),IF(INDIRECT("'"&amp;$H$3&amp;"'!T$178")='List Values'!$F$5,T$247,IF(INDIRECT("'"&amp;$H$3&amp;"'!T$178")='List Values'!$F$6,INDIRECT("'"&amp;$H$3&amp;"'!T$95")*INDIRECT("'"&amp;$H$3&amp;"'!T$175"),IF(INDIRECT("'"&amp;$H$3&amp;"'!T$178")='List Values'!$F$7,1,0))))),0),0)</f>
        <v>0</v>
      </c>
      <c r="U109" s="337"/>
      <c r="V109" s="337"/>
      <c r="W109" s="1437">
        <f ca="1">IFERROR((1-INDIRECT("'"&amp;$H$3&amp;"'!W$142"))*IF(INDIRECT("'"&amp;$H$3&amp;"'!W$137")='List Values'!$E$5,INDIRECT("'"&amp;$H$3&amp;"'!W$139")*IF(INDIRECT("'"&amp;$H$3&amp;"'!W$138")='List Values'!$F$3,W$169,IF(INDIRECT("'"&amp;$H$3&amp;"'!W$138")='List Values'!$F$4,'1_Outputs'!W$52*INDIRECT("'"&amp;$H$3&amp;"'!W$95")*INDIRECT("'"&amp;$H$3&amp;"'!W$135"),IF(INDIRECT("'"&amp;$H$3&amp;"'!W$138")='List Values'!$F$5,W$171,IF(INDIRECT("'"&amp;$H$3&amp;"'!W$138")='List Values'!$F$6,INDIRECT("'"&amp;$H$3&amp;"'!W$95")*INDIRECT("'"&amp;$H$3&amp;"'!W$135"),IF(INDIRECT("'"&amp;$H$3&amp;"'!W$138")='List Values'!$F$7,1,0))))),0),0)
+IFERROR((1-INDIRECT("'"&amp;$H$3&amp;"'!W$162"))*IF(INDIRECT("'"&amp;$H$3&amp;"'!W$157")='List Values'!$E$5,INDIRECT("'"&amp;$H$3&amp;"'!W$159")*IF(INDIRECT("'"&amp;$H$3&amp;"'!W$158")='List Values'!$F$3,W$207,IF(INDIRECT("'"&amp;$H$3&amp;"'!W$158")='List Values'!$F$4,'1_Outputs'!W$52*INDIRECT("'"&amp;$H$3&amp;"'!W$95")*INDIRECT("'"&amp;$H$3&amp;"'!W$155"),IF(INDIRECT("'"&amp;$H$3&amp;"'!W$158")='List Values'!$F$5,W$209,IF(INDIRECT("'"&amp;$H$3&amp;"'!W$158")='List Values'!$F$6,INDIRECT("'"&amp;$H$3&amp;"'!W$95")*INDIRECT("'"&amp;$H$3&amp;"'!W$155"),IF(INDIRECT("'"&amp;$H$3&amp;"'!W$158")='List Values'!$F$7,1,0))))),0),0)
+IFERROR((1-INDIRECT("'"&amp;$H$3&amp;"'!W$182"))*IF(INDIRECT("'"&amp;$H$3&amp;"'!W$177")='List Values'!$E$5,INDIRECT("'"&amp;$H$3&amp;"'!W$179")*IF(INDIRECT("'"&amp;$H$3&amp;"'!W$178")='List Values'!$F$3,W$245,IF(INDIRECT("'"&amp;$H$3&amp;"'!W$178")='List Values'!$F$4,'1_Outputs'!W$52*INDIRECT("'"&amp;$H$3&amp;"'!W$95")*INDIRECT("'"&amp;$H$3&amp;"'!W$175"),IF(INDIRECT("'"&amp;$H$3&amp;"'!W$178")='List Values'!$F$5,W$247,IF(INDIRECT("'"&amp;$H$3&amp;"'!W$178")='List Values'!$F$6,INDIRECT("'"&amp;$H$3&amp;"'!W$95")*INDIRECT("'"&amp;$H$3&amp;"'!W$175"),IF(INDIRECT("'"&amp;$H$3&amp;"'!W$178")='List Values'!$F$7,1,0))))),0),0)</f>
        <v>0</v>
      </c>
      <c r="Y109" s="341">
        <f ca="1">SUM(H109:W109)</f>
        <v>0</v>
      </c>
    </row>
    <row r="110" spans="6:38">
      <c r="F110" s="288"/>
      <c r="G110" s="298" t="s">
        <v>226</v>
      </c>
      <c r="H110" s="300">
        <f ca="1">IFERROR((1-INDIRECT("'"&amp;$H$3&amp;"'!H$142"))*IF(INDIRECT("'"&amp;$H$3&amp;"'!H$137")='List Values'!$E$4,INDIRECT("'"&amp;$H$3&amp;"'!H$139")*IF(INDIRECT("'"&amp;$H$3&amp;"'!H$138")='List Values'!$F$3,H$169,IF(INDIRECT("'"&amp;$H$3&amp;"'!H$138")='List Values'!$F$4,'1_Outputs'!H$52*INDIRECT("'"&amp;$H$3&amp;"'!H$95")*INDIRECT("'"&amp;$H$3&amp;"'!H$135"),IF(INDIRECT("'"&amp;$H$3&amp;"'!H$138")='List Values'!$F$5,H$171,IF(INDIRECT("'"&amp;$H$3&amp;"'!H$138")='List Values'!$F$6,INDIRECT("'"&amp;$H$3&amp;"'!H$95")*INDIRECT("'"&amp;$H$3&amp;"'!H$135"),IF(INDIRECT("'"&amp;$H$3&amp;"'!H$138")='List Values'!$F$7,1,0))))),0),0)
+IFERROR((1-INDIRECT("'"&amp;$H$3&amp;"'!H$162"))*IF(INDIRECT("'"&amp;$H$3&amp;"'!H$157")='List Values'!$E$4,INDIRECT("'"&amp;$H$3&amp;"'!H$159")*IF(INDIRECT("'"&amp;$H$3&amp;"'!H$158")='List Values'!$F$3,H$207,IF(INDIRECT("'"&amp;$H$3&amp;"'!H$158")='List Values'!$F$4,'1_Outputs'!H$52*INDIRECT("'"&amp;$H$3&amp;"'!H$95")*INDIRECT("'"&amp;$H$3&amp;"'!H$155"),IF(INDIRECT("'"&amp;$H$3&amp;"'!H$158")='List Values'!$F$5,H$209,IF(INDIRECT("'"&amp;$H$3&amp;"'!H$158")='List Values'!$F$6,INDIRECT("'"&amp;$H$3&amp;"'!H$95")*INDIRECT("'"&amp;$H$3&amp;"'!H$155"),IF(INDIRECT("'"&amp;$H$3&amp;"'!H$158")='List Values'!$F$7,1,0))))),0),0)
+IFERROR((1-INDIRECT("'"&amp;$H$3&amp;"'!H$182"))*IF(INDIRECT("'"&amp;$H$3&amp;"'!H$177")='List Values'!$E$4,INDIRECT("'"&amp;$H$3&amp;"'!H$179")*IF(INDIRECT("'"&amp;$H$3&amp;"'!H$178")='List Values'!$F$3,H$245,IF(INDIRECT("'"&amp;$H$3&amp;"'!H$178")='List Values'!$F$4,'1_Outputs'!H$52*INDIRECT("'"&amp;$H$3&amp;"'!H$95")*INDIRECT("'"&amp;$H$3&amp;"'!H$175"),IF(INDIRECT("'"&amp;$H$3&amp;"'!H$178")='List Values'!$F$5,H$247,IF(INDIRECT("'"&amp;$H$3&amp;"'!H$178")='List Values'!$F$6,INDIRECT("'"&amp;$H$3&amp;"'!H$95")*INDIRECT("'"&amp;$H$3&amp;"'!H$175"),IF(INDIRECT("'"&amp;$H$3&amp;"'!H$178")='List Values'!$F$7,1,0))))),0),0)</f>
        <v>0</v>
      </c>
      <c r="I110" s="300"/>
      <c r="J110" s="300"/>
      <c r="K110" s="300">
        <f ca="1">IFERROR((1-INDIRECT("'"&amp;$H$3&amp;"'!K$142"))*IF(INDIRECT("'"&amp;$H$3&amp;"'!K$137")='List Values'!$E$4,INDIRECT("'"&amp;$H$3&amp;"'!K$139")*IF(INDIRECT("'"&amp;$H$3&amp;"'!K$138")='List Values'!$F$3,K$169,IF(INDIRECT("'"&amp;$H$3&amp;"'!K$138")='List Values'!$F$4,'1_Outputs'!K$52*INDIRECT("'"&amp;$H$3&amp;"'!K$95")*INDIRECT("'"&amp;$H$3&amp;"'!K$135"),IF(INDIRECT("'"&amp;$H$3&amp;"'!K$138")='List Values'!$F$5,K$171,IF(INDIRECT("'"&amp;$H$3&amp;"'!K$138")='List Values'!$F$6,INDIRECT("'"&amp;$H$3&amp;"'!K$95")*INDIRECT("'"&amp;$H$3&amp;"'!K$135"),IF(INDIRECT("'"&amp;$H$3&amp;"'!K$138")='List Values'!$F$7,1,0))))),0),0)
+IFERROR((1-INDIRECT("'"&amp;$H$3&amp;"'!K$162"))*IF(INDIRECT("'"&amp;$H$3&amp;"'!K$157")='List Values'!$E$4,INDIRECT("'"&amp;$H$3&amp;"'!K$159")*IF(INDIRECT("'"&amp;$H$3&amp;"'!K$158")='List Values'!$F$3,K$207,IF(INDIRECT("'"&amp;$H$3&amp;"'!K$158")='List Values'!$F$4,'1_Outputs'!K$52*INDIRECT("'"&amp;$H$3&amp;"'!K$95")*INDIRECT("'"&amp;$H$3&amp;"'!K$155"),IF(INDIRECT("'"&amp;$H$3&amp;"'!K$158")='List Values'!$F$5,K$209,IF(INDIRECT("'"&amp;$H$3&amp;"'!K$158")='List Values'!$F$6,INDIRECT("'"&amp;$H$3&amp;"'!K$95")*INDIRECT("'"&amp;$H$3&amp;"'!K$155"),IF(INDIRECT("'"&amp;$H$3&amp;"'!K$158")='List Values'!$F$7,1,0))))),0),0)
+IFERROR((1-INDIRECT("'"&amp;$H$3&amp;"'!K$182"))*IF(INDIRECT("'"&amp;$H$3&amp;"'!K$177")='List Values'!$E$4,INDIRECT("'"&amp;$H$3&amp;"'!K$179")*IF(INDIRECT("'"&amp;$H$3&amp;"'!K$178")='List Values'!$F$3,K$245,IF(INDIRECT("'"&amp;$H$3&amp;"'!K$178")='List Values'!$F$4,'1_Outputs'!K$52*INDIRECT("'"&amp;$H$3&amp;"'!K$95")*INDIRECT("'"&amp;$H$3&amp;"'!K$175"),IF(INDIRECT("'"&amp;$H$3&amp;"'!K$178")='List Values'!$F$5,K$247,IF(INDIRECT("'"&amp;$H$3&amp;"'!K$178")='List Values'!$F$6,INDIRECT("'"&amp;$H$3&amp;"'!K$95")*INDIRECT("'"&amp;$H$3&amp;"'!K$175"),IF(INDIRECT("'"&amp;$H$3&amp;"'!K$178")='List Values'!$F$7,1,0))))),0),0)</f>
        <v>0</v>
      </c>
      <c r="L110" s="300"/>
      <c r="M110" s="300"/>
      <c r="N110" s="300">
        <f ca="1">IFERROR((1-INDIRECT("'"&amp;$H$3&amp;"'!N$142"))*IF(INDIRECT("'"&amp;$H$3&amp;"'!N$137")='List Values'!$E$4,INDIRECT("'"&amp;$H$3&amp;"'!N$139")*IF(INDIRECT("'"&amp;$H$3&amp;"'!N$138")='List Values'!$F$3,N$169,IF(INDIRECT("'"&amp;$H$3&amp;"'!N$138")='List Values'!$F$4,'1_Outputs'!N$52*INDIRECT("'"&amp;$H$3&amp;"'!N$95")*INDIRECT("'"&amp;$H$3&amp;"'!N$135"),IF(INDIRECT("'"&amp;$H$3&amp;"'!N$138")='List Values'!$F$5,N$171,IF(INDIRECT("'"&amp;$H$3&amp;"'!N$138")='List Values'!$F$6,INDIRECT("'"&amp;$H$3&amp;"'!N$95")*INDIRECT("'"&amp;$H$3&amp;"'!N$135"),IF(INDIRECT("'"&amp;$H$3&amp;"'!N$138")='List Values'!$F$7,1,0))))),0),0)
+IFERROR((1-INDIRECT("'"&amp;$H$3&amp;"'!N$162"))*IF(INDIRECT("'"&amp;$H$3&amp;"'!N$157")='List Values'!$E$4,INDIRECT("'"&amp;$H$3&amp;"'!N$159")*IF(INDIRECT("'"&amp;$H$3&amp;"'!N$158")='List Values'!$F$3,N$207,IF(INDIRECT("'"&amp;$H$3&amp;"'!N$158")='List Values'!$F$4,'1_Outputs'!N$52*INDIRECT("'"&amp;$H$3&amp;"'!N$95")*INDIRECT("'"&amp;$H$3&amp;"'!N$155"),IF(INDIRECT("'"&amp;$H$3&amp;"'!N$158")='List Values'!$F$5,N$209,IF(INDIRECT("'"&amp;$H$3&amp;"'!N$158")='List Values'!$F$6,INDIRECT("'"&amp;$H$3&amp;"'!N$95")*INDIRECT("'"&amp;$H$3&amp;"'!N$155"),IF(INDIRECT("'"&amp;$H$3&amp;"'!N$158")='List Values'!$F$7,1,0))))),0),0)
+IFERROR((1-INDIRECT("'"&amp;$H$3&amp;"'!N$182"))*IF(INDIRECT("'"&amp;$H$3&amp;"'!N$177")='List Values'!$E$4,INDIRECT("'"&amp;$H$3&amp;"'!N$179")*IF(INDIRECT("'"&amp;$H$3&amp;"'!N$178")='List Values'!$F$3,N$245,IF(INDIRECT("'"&amp;$H$3&amp;"'!N$178")='List Values'!$F$4,'1_Outputs'!N$52*INDIRECT("'"&amp;$H$3&amp;"'!N$95")*INDIRECT("'"&amp;$H$3&amp;"'!N$175"),IF(INDIRECT("'"&amp;$H$3&amp;"'!N$178")='List Values'!$F$5,N$247,IF(INDIRECT("'"&amp;$H$3&amp;"'!N$178")='List Values'!$F$6,INDIRECT("'"&amp;$H$3&amp;"'!N$95")*INDIRECT("'"&amp;$H$3&amp;"'!N$175"),IF(INDIRECT("'"&amp;$H$3&amp;"'!N$178")='List Values'!$F$7,1,0))))),0),0)</f>
        <v>0</v>
      </c>
      <c r="O110" s="300"/>
      <c r="P110" s="300"/>
      <c r="Q110" s="300">
        <f ca="1">IFERROR((1-INDIRECT("'"&amp;$H$3&amp;"'!Q$142"))*IF(INDIRECT("'"&amp;$H$3&amp;"'!Q$137")='List Values'!$E$4,INDIRECT("'"&amp;$H$3&amp;"'!Q$139")*IF(INDIRECT("'"&amp;$H$3&amp;"'!Q$138")='List Values'!$F$3,Q$169,IF(INDIRECT("'"&amp;$H$3&amp;"'!Q$138")='List Values'!$F$4,'1_Outputs'!Q$52*INDIRECT("'"&amp;$H$3&amp;"'!Q$95")*INDIRECT("'"&amp;$H$3&amp;"'!Q$135"),IF(INDIRECT("'"&amp;$H$3&amp;"'!Q$138")='List Values'!$F$5,Q$171,IF(INDIRECT("'"&amp;$H$3&amp;"'!Q$138")='List Values'!$F$6,INDIRECT("'"&amp;$H$3&amp;"'!Q$95")*INDIRECT("'"&amp;$H$3&amp;"'!Q$135"),IF(INDIRECT("'"&amp;$H$3&amp;"'!Q$138")='List Values'!$F$7,1,0))))),0),0)
+IFERROR((1-INDIRECT("'"&amp;$H$3&amp;"'!Q$162"))*IF(INDIRECT("'"&amp;$H$3&amp;"'!Q$157")='List Values'!$E$4,INDIRECT("'"&amp;$H$3&amp;"'!Q$159")*IF(INDIRECT("'"&amp;$H$3&amp;"'!Q$158")='List Values'!$F$3,Q$207,IF(INDIRECT("'"&amp;$H$3&amp;"'!Q$158")='List Values'!$F$4,'1_Outputs'!Q$52*INDIRECT("'"&amp;$H$3&amp;"'!Q$95")*INDIRECT("'"&amp;$H$3&amp;"'!Q$155"),IF(INDIRECT("'"&amp;$H$3&amp;"'!Q$158")='List Values'!$F$5,Q$209,IF(INDIRECT("'"&amp;$H$3&amp;"'!Q$158")='List Values'!$F$6,INDIRECT("'"&amp;$H$3&amp;"'!Q$95")*INDIRECT("'"&amp;$H$3&amp;"'!Q$155"),IF(INDIRECT("'"&amp;$H$3&amp;"'!Q$158")='List Values'!$F$7,1,0))))),0),0)
+IFERROR((1-INDIRECT("'"&amp;$H$3&amp;"'!Q$182"))*IF(INDIRECT("'"&amp;$H$3&amp;"'!Q$177")='List Values'!$E$4,INDIRECT("'"&amp;$H$3&amp;"'!Q$179")*IF(INDIRECT("'"&amp;$H$3&amp;"'!Q$178")='List Values'!$F$3,Q$245,IF(INDIRECT("'"&amp;$H$3&amp;"'!Q$178")='List Values'!$F$4,'1_Outputs'!Q$52*INDIRECT("'"&amp;$H$3&amp;"'!Q$95")*INDIRECT("'"&amp;$H$3&amp;"'!Q$175"),IF(INDIRECT("'"&amp;$H$3&amp;"'!Q$178")='List Values'!$F$5,Q$247,IF(INDIRECT("'"&amp;$H$3&amp;"'!Q$178")='List Values'!$F$6,INDIRECT("'"&amp;$H$3&amp;"'!Q$95")*INDIRECT("'"&amp;$H$3&amp;"'!Q$175"),IF(INDIRECT("'"&amp;$H$3&amp;"'!Q$178")='List Values'!$F$7,1,0))))),0),0)</f>
        <v>0</v>
      </c>
      <c r="R110" s="300"/>
      <c r="S110" s="337"/>
      <c r="T110" s="300">
        <f ca="1">IFERROR((1-INDIRECT("'"&amp;$H$3&amp;"'!T$142"))*IF(INDIRECT("'"&amp;$H$3&amp;"'!T$137")='List Values'!$E$4,INDIRECT("'"&amp;$H$3&amp;"'!T$139")*IF(INDIRECT("'"&amp;$H$3&amp;"'!T$138")='List Values'!$F$3,T$169,IF(INDIRECT("'"&amp;$H$3&amp;"'!T$138")='List Values'!$F$4,'1_Outputs'!T$52*INDIRECT("'"&amp;$H$3&amp;"'!T$95")*INDIRECT("'"&amp;$H$3&amp;"'!T$135"),IF(INDIRECT("'"&amp;$H$3&amp;"'!T$138")='List Values'!$F$5,T$171,IF(INDIRECT("'"&amp;$H$3&amp;"'!T$138")='List Values'!$F$6,INDIRECT("'"&amp;$H$3&amp;"'!T$95")*INDIRECT("'"&amp;$H$3&amp;"'!T$135"),IF(INDIRECT("'"&amp;$H$3&amp;"'!T$138")='List Values'!$F$7,1,0))))),0),0)
+IFERROR((1-INDIRECT("'"&amp;$H$3&amp;"'!T$162"))*IF(INDIRECT("'"&amp;$H$3&amp;"'!T$157")='List Values'!$E$4,INDIRECT("'"&amp;$H$3&amp;"'!T$159")*IF(INDIRECT("'"&amp;$H$3&amp;"'!T$158")='List Values'!$F$3,T$207,IF(INDIRECT("'"&amp;$H$3&amp;"'!T$158")='List Values'!$F$4,'1_Outputs'!T$52*INDIRECT("'"&amp;$H$3&amp;"'!T$95")*INDIRECT("'"&amp;$H$3&amp;"'!T$155"),IF(INDIRECT("'"&amp;$H$3&amp;"'!T$158")='List Values'!$F$5,T$209,IF(INDIRECT("'"&amp;$H$3&amp;"'!T$158")='List Values'!$F$6,INDIRECT("'"&amp;$H$3&amp;"'!T$95")*INDIRECT("'"&amp;$H$3&amp;"'!T$155"),IF(INDIRECT("'"&amp;$H$3&amp;"'!T$158")='List Values'!$F$7,1,0))))),0),0)
+IFERROR((1-INDIRECT("'"&amp;$H$3&amp;"'!T$182"))*IF(INDIRECT("'"&amp;$H$3&amp;"'!T$177")='List Values'!$E$4,INDIRECT("'"&amp;$H$3&amp;"'!T$179")*IF(INDIRECT("'"&amp;$H$3&amp;"'!T$178")='List Values'!$F$3,T$245,IF(INDIRECT("'"&amp;$H$3&amp;"'!T$178")='List Values'!$F$4,'1_Outputs'!T$52*INDIRECT("'"&amp;$H$3&amp;"'!T$95")*INDIRECT("'"&amp;$H$3&amp;"'!T$175"),IF(INDIRECT("'"&amp;$H$3&amp;"'!T$178")='List Values'!$F$5,T$247,IF(INDIRECT("'"&amp;$H$3&amp;"'!T$178")='List Values'!$F$6,INDIRECT("'"&amp;$H$3&amp;"'!T$95")*INDIRECT("'"&amp;$H$3&amp;"'!T$175"),IF(INDIRECT("'"&amp;$H$3&amp;"'!T$178")='List Values'!$F$7,1,0))))),0),0)</f>
        <v>0</v>
      </c>
      <c r="U110" s="337"/>
      <c r="V110" s="337"/>
      <c r="W110" s="1437">
        <f ca="1">IFERROR((1-INDIRECT("'"&amp;$H$3&amp;"'!W$142"))*IF(INDIRECT("'"&amp;$H$3&amp;"'!W$137")='List Values'!$E$4,INDIRECT("'"&amp;$H$3&amp;"'!W$139")*IF(INDIRECT("'"&amp;$H$3&amp;"'!W$138")='List Values'!$F$3,W$169,IF(INDIRECT("'"&amp;$H$3&amp;"'!W$138")='List Values'!$F$4,'1_Outputs'!W$52*INDIRECT("'"&amp;$H$3&amp;"'!W$95")*INDIRECT("'"&amp;$H$3&amp;"'!W$135"),IF(INDIRECT("'"&amp;$H$3&amp;"'!W$138")='List Values'!$F$5,W$171,IF(INDIRECT("'"&amp;$H$3&amp;"'!W$138")='List Values'!$F$6,INDIRECT("'"&amp;$H$3&amp;"'!W$95")*INDIRECT("'"&amp;$H$3&amp;"'!W$135"),IF(INDIRECT("'"&amp;$H$3&amp;"'!W$138")='List Values'!$F$7,1,0))))),0),0)
+IFERROR((1-INDIRECT("'"&amp;$H$3&amp;"'!W$162"))*IF(INDIRECT("'"&amp;$H$3&amp;"'!W$157")='List Values'!$E$4,INDIRECT("'"&amp;$H$3&amp;"'!W$159")*IF(INDIRECT("'"&amp;$H$3&amp;"'!W$158")='List Values'!$F$3,W$207,IF(INDIRECT("'"&amp;$H$3&amp;"'!W$158")='List Values'!$F$4,'1_Outputs'!W$52*INDIRECT("'"&amp;$H$3&amp;"'!W$95")*INDIRECT("'"&amp;$H$3&amp;"'!W$155"),IF(INDIRECT("'"&amp;$H$3&amp;"'!W$158")='List Values'!$F$5,W$209,IF(INDIRECT("'"&amp;$H$3&amp;"'!W$158")='List Values'!$F$6,INDIRECT("'"&amp;$H$3&amp;"'!W$95")*INDIRECT("'"&amp;$H$3&amp;"'!W$155"),IF(INDIRECT("'"&amp;$H$3&amp;"'!W$158")='List Values'!$F$7,1,0))))),0),0)
+IFERROR((1-INDIRECT("'"&amp;$H$3&amp;"'!W$182"))*IF(INDIRECT("'"&amp;$H$3&amp;"'!W$177")='List Values'!$E$4,INDIRECT("'"&amp;$H$3&amp;"'!W$179")*IF(INDIRECT("'"&amp;$H$3&amp;"'!W$178")='List Values'!$F$3,W$245,IF(INDIRECT("'"&amp;$H$3&amp;"'!W$178")='List Values'!$F$4,'1_Outputs'!W$52*INDIRECT("'"&amp;$H$3&amp;"'!W$95")*INDIRECT("'"&amp;$H$3&amp;"'!W$175"),IF(INDIRECT("'"&amp;$H$3&amp;"'!W$178")='List Values'!$F$5,W$247,IF(INDIRECT("'"&amp;$H$3&amp;"'!W$178")='List Values'!$F$6,INDIRECT("'"&amp;$H$3&amp;"'!W$95")*INDIRECT("'"&amp;$H$3&amp;"'!W$175"),IF(INDIRECT("'"&amp;$H$3&amp;"'!W$178")='List Values'!$F$7,1,0))))),0),0)</f>
        <v>0</v>
      </c>
      <c r="Y110" s="341">
        <f t="shared" ref="Y110:Y117" ca="1" si="11">SUM(H110:W110)</f>
        <v>0</v>
      </c>
    </row>
    <row r="111" spans="6:38">
      <c r="F111" s="298"/>
      <c r="G111" s="298" t="s">
        <v>89</v>
      </c>
      <c r="H111" s="300">
        <f ca="1">(IFERROR(1-INDIRECT("'"&amp;$H$3&amp;"'!H$142"),0))*(H$155+H$171)*INDIRECT("'"&amp;$H$3&amp;"'!$H$10")*(IFERROR(INDEX(INDIRECT("'"&amp;$H$3&amp;"'!$H$28:$H$38"),MATCH(INDIRECT("'"&amp;$H$3&amp;"'!H$145"),INDIRECT("'"&amp;$H$3&amp;"'!$B$28:$B$38"),0)),0)+IFERROR(INDIRECT("'"&amp;$H$3&amp;"'!H$146")*INDEX(INDIRECT("'"&amp;$H$3&amp;"'!$H$28:$H$38"),MATCH(INDIRECT("'"&amp;$H$3&amp;"'!H$147"),INDIRECT("'"&amp;$H$3&amp;"'!$B$28:$B$38"),0)),0))
+(IFERROR(1-INDIRECT("'"&amp;$H$3&amp;"'!H$162"),0))*(H$193+H$209)*INDIRECT("'"&amp;$H$3&amp;"'!$H$10")*(IFERROR(INDEX(INDIRECT("'"&amp;$H$3&amp;"'!$H$28:$H$38"),MATCH(INDIRECT("'"&amp;$H$3&amp;"'!H$165"),INDIRECT("'"&amp;$H$3&amp;"'!$B$28:$B$38"),0)),0)+IFERROR(INDIRECT("'"&amp;$H$3&amp;"'!H$166")*INDEX(INDIRECT("'"&amp;$H$3&amp;"'!$H$28:$H$38"),MATCH(INDIRECT("'"&amp;$H$3&amp;"'!H$167"),INDIRECT("'"&amp;$H$3&amp;"'!$B$28:$B$38"),0)),0))
+(IFERROR(1-INDIRECT("'"&amp;$H$3&amp;"'!H$182"),0))*(H$231+H$247)*INDIRECT("'"&amp;$H$3&amp;"'!$H$10")*(IFERROR(INDEX(INDIRECT("'"&amp;$H$3&amp;"'!$H$28:$H$38"),MATCH(INDIRECT("'"&amp;$H$3&amp;"'!H$185"),INDIRECT("'"&amp;$H$3&amp;"'!$B$28:$B$38"),0)),0)+IFERROR(INDIRECT("'"&amp;$H$3&amp;"'!H$186")*INDEX(INDIRECT("'"&amp;$H$3&amp;"'!$H$28:$H$38"),MATCH(INDIRECT("'"&amp;$H$3&amp;"'!H$187"),INDIRECT("'"&amp;$H$3&amp;"'!$B$28:$B$38"),0)),0))</f>
        <v>0</v>
      </c>
      <c r="I111" s="300"/>
      <c r="J111" s="300"/>
      <c r="K111" s="300">
        <f ca="1">(IFERROR(1-INDIRECT("'"&amp;$H$3&amp;"'!K$142"),0))*(K$155+K$171)*INDIRECT("'"&amp;$H$3&amp;"'!$H$10")*(IFERROR(INDEX(INDIRECT("'"&amp;$H$3&amp;"'!$H$28:$H$38"),MATCH(INDIRECT("'"&amp;$H$3&amp;"'!K$145"),INDIRECT("'"&amp;$H$3&amp;"'!$B$28:$B$38"),0)),0)+IFERROR(INDIRECT("'"&amp;$H$3&amp;"'!K$146")*INDEX(INDIRECT("'"&amp;$H$3&amp;"'!$H$28:$H$38"),MATCH(INDIRECT("'"&amp;$H$3&amp;"'!K$147"),INDIRECT("'"&amp;$H$3&amp;"'!$B$28:$B$38"),0)),0))
+(IFERROR(1-INDIRECT("'"&amp;$H$3&amp;"'!K$162"),0))*(K$193+K$209)*INDIRECT("'"&amp;$H$3&amp;"'!$H$10")*(IFERROR(INDEX(INDIRECT("'"&amp;$H$3&amp;"'!$H$28:$H$38"),MATCH(INDIRECT("'"&amp;$H$3&amp;"'!K$165"),INDIRECT("'"&amp;$H$3&amp;"'!$B$28:$B$38"),0)),0)+IFERROR(INDIRECT("'"&amp;$H$3&amp;"'!K$166")*INDEX(INDIRECT("'"&amp;$H$3&amp;"'!$H$28:$H$38"),MATCH(INDIRECT("'"&amp;$H$3&amp;"'!K$167"),INDIRECT("'"&amp;$H$3&amp;"'!$B$28:$B$38"),0)),0))
+(IFERROR(1-INDIRECT("'"&amp;$H$3&amp;"'!K$182"),0))*(K$231+K$247)*INDIRECT("'"&amp;$H$3&amp;"'!$H$10")*(IFERROR(INDEX(INDIRECT("'"&amp;$H$3&amp;"'!$H$28:$H$38"),MATCH(INDIRECT("'"&amp;$H$3&amp;"'!K$185"),INDIRECT("'"&amp;$H$3&amp;"'!$B$28:$B$38"),0)),0)+IFERROR(INDIRECT("'"&amp;$H$3&amp;"'!K$186")*INDEX(INDIRECT("'"&amp;$H$3&amp;"'!$H$28:$H$38"),MATCH(INDIRECT("'"&amp;$H$3&amp;"'!K$187"),INDIRECT("'"&amp;$H$3&amp;"'!$B$28:$B$38"),0)),0))</f>
        <v>6902.88</v>
      </c>
      <c r="L111" s="300"/>
      <c r="M111" s="300"/>
      <c r="N111" s="300">
        <f ca="1">(IFERROR(1-INDIRECT("'"&amp;$H$3&amp;"'!N$142"),0))*(N$155+N$171)*INDIRECT("'"&amp;$H$3&amp;"'!$H$10")*(IFERROR(INDEX(INDIRECT("'"&amp;$H$3&amp;"'!$H$28:$H$38"),MATCH(INDIRECT("'"&amp;$H$3&amp;"'!N$145"),INDIRECT("'"&amp;$H$3&amp;"'!$B$28:$B$38"),0)),0)+IFERROR(INDIRECT("'"&amp;$H$3&amp;"'!N$146")*INDEX(INDIRECT("'"&amp;$H$3&amp;"'!$H$28:$H$38"),MATCH(INDIRECT("'"&amp;$H$3&amp;"'!N$147"),INDIRECT("'"&amp;$H$3&amp;"'!$B$28:$B$38"),0)),0))
+(IFERROR(1-INDIRECT("'"&amp;$H$3&amp;"'!N$162"),0))*(N$193+N$209)*INDIRECT("'"&amp;$H$3&amp;"'!$H$10")*(IFERROR(INDEX(INDIRECT("'"&amp;$H$3&amp;"'!$H$28:$H$38"),MATCH(INDIRECT("'"&amp;$H$3&amp;"'!N$165"),INDIRECT("'"&amp;$H$3&amp;"'!$B$28:$B$38"),0)),0)+IFERROR(INDIRECT("'"&amp;$H$3&amp;"'!N$166")*INDEX(INDIRECT("'"&amp;$H$3&amp;"'!$H$28:$H$38"),MATCH(INDIRECT("'"&amp;$H$3&amp;"'!N$167"),INDIRECT("'"&amp;$H$3&amp;"'!$B$28:$B$38"),0)),0))
+(IFERROR(1-INDIRECT("'"&amp;$H$3&amp;"'!N$182"),0))*(N$231+N$247)*INDIRECT("'"&amp;$H$3&amp;"'!$H$10")*(IFERROR(INDEX(INDIRECT("'"&amp;$H$3&amp;"'!$H$28:$H$38"),MATCH(INDIRECT("'"&amp;$H$3&amp;"'!N$185"),INDIRECT("'"&amp;$H$3&amp;"'!$B$28:$B$38"),0)),0)+IFERROR(INDIRECT("'"&amp;$H$3&amp;"'!N$186")*INDEX(INDIRECT("'"&amp;$H$3&amp;"'!$H$28:$H$38"),MATCH(INDIRECT("'"&amp;$H$3&amp;"'!N$187"),INDIRECT("'"&amp;$H$3&amp;"'!$B$28:$B$38"),0)),0))</f>
        <v>11347.2</v>
      </c>
      <c r="O111" s="300"/>
      <c r="P111" s="300"/>
      <c r="Q111" s="300">
        <f ca="1">(IFERROR(1-INDIRECT("'"&amp;$H$3&amp;"'!Q$142"),0))*(Q$155+Q$171)*INDIRECT("'"&amp;$H$3&amp;"'!$H$10")*(IFERROR(INDEX(INDIRECT("'"&amp;$H$3&amp;"'!$H$28:$H$38"),MATCH(INDIRECT("'"&amp;$H$3&amp;"'!Q$145"),INDIRECT("'"&amp;$H$3&amp;"'!$B$28:$B$38"),0)),0)+IFERROR(INDIRECT("'"&amp;$H$3&amp;"'!Q$146")*INDEX(INDIRECT("'"&amp;$H$3&amp;"'!$H$28:$H$38"),MATCH(INDIRECT("'"&amp;$H$3&amp;"'!Q$147"),INDIRECT("'"&amp;$H$3&amp;"'!$B$28:$B$38"),0)),0))
+(IFERROR(1-INDIRECT("'"&amp;$H$3&amp;"'!Q$162"),0))*(Q$193+Q$209)*INDIRECT("'"&amp;$H$3&amp;"'!$H$10")*(IFERROR(INDEX(INDIRECT("'"&amp;$H$3&amp;"'!$H$28:$H$38"),MATCH(INDIRECT("'"&amp;$H$3&amp;"'!Q$165"),INDIRECT("'"&amp;$H$3&amp;"'!$B$28:$B$38"),0)),0)+IFERROR(INDIRECT("'"&amp;$H$3&amp;"'!Q$166")*INDEX(INDIRECT("'"&amp;$H$3&amp;"'!$H$28:$H$38"),MATCH(INDIRECT("'"&amp;$H$3&amp;"'!Q$167"),INDIRECT("'"&amp;$H$3&amp;"'!$B$28:$B$38"),0)),0))
+(IFERROR(1-INDIRECT("'"&amp;$H$3&amp;"'!Q$182"),0))*(Q$231+Q$247)*INDIRECT("'"&amp;$H$3&amp;"'!$H$10")*(IFERROR(INDEX(INDIRECT("'"&amp;$H$3&amp;"'!$H$28:$H$38"),MATCH(INDIRECT("'"&amp;$H$3&amp;"'!Q$185"),INDIRECT("'"&amp;$H$3&amp;"'!$B$28:$B$38"),0)),0)+IFERROR(INDIRECT("'"&amp;$H$3&amp;"'!Q$186")*INDEX(INDIRECT("'"&amp;$H$3&amp;"'!$H$28:$H$38"),MATCH(INDIRECT("'"&amp;$H$3&amp;"'!Q$187"),INDIRECT("'"&amp;$H$3&amp;"'!$B$28:$B$38"),0)),0))</f>
        <v>0</v>
      </c>
      <c r="R111" s="300"/>
      <c r="S111" s="337"/>
      <c r="T111" s="300">
        <f ca="1">(IFERROR(1-INDIRECT("'"&amp;$H$3&amp;"'!T$142"),0))*(T$155+T$171)*INDIRECT("'"&amp;$H$3&amp;"'!$H$10")*(IFERROR(INDEX(INDIRECT("'"&amp;$H$3&amp;"'!$H$28:$H$38"),MATCH(INDIRECT("'"&amp;$H$3&amp;"'!T$145"),INDIRECT("'"&amp;$H$3&amp;"'!$B$28:$B$38"),0)),0)+IFERROR(INDIRECT("'"&amp;$H$3&amp;"'!T$146")*INDEX(INDIRECT("'"&amp;$H$3&amp;"'!$H$28:$H$38"),MATCH(INDIRECT("'"&amp;$H$3&amp;"'!T$147"),INDIRECT("'"&amp;$H$3&amp;"'!$B$28:$B$38"),0)),0))
+(IFERROR(1-INDIRECT("'"&amp;$H$3&amp;"'!T$162"),0))*(T$193+T$209)*INDIRECT("'"&amp;$H$3&amp;"'!$H$10")*(IFERROR(INDEX(INDIRECT("'"&amp;$H$3&amp;"'!$H$28:$H$38"),MATCH(INDIRECT("'"&amp;$H$3&amp;"'!T$165"),INDIRECT("'"&amp;$H$3&amp;"'!$B$28:$B$38"),0)),0)+IFERROR(INDIRECT("'"&amp;$H$3&amp;"'!T$166")*INDEX(INDIRECT("'"&amp;$H$3&amp;"'!$H$28:$H$38"),MATCH(INDIRECT("'"&amp;$H$3&amp;"'!T$167"),INDIRECT("'"&amp;$H$3&amp;"'!$B$28:$B$38"),0)),0))
+(IFERROR(1-INDIRECT("'"&amp;$H$3&amp;"'!T$182"),0))*(T$231+T$247)*INDIRECT("'"&amp;$H$3&amp;"'!$H$10")*(IFERROR(INDEX(INDIRECT("'"&amp;$H$3&amp;"'!$H$28:$H$38"),MATCH(INDIRECT("'"&amp;$H$3&amp;"'!T$185"),INDIRECT("'"&amp;$H$3&amp;"'!$B$28:$B$38"),0)),0)+IFERROR(INDIRECT("'"&amp;$H$3&amp;"'!T$186")*INDEX(INDIRECT("'"&amp;$H$3&amp;"'!$H$28:$H$38"),MATCH(INDIRECT("'"&amp;$H$3&amp;"'!T$187"),INDIRECT("'"&amp;$H$3&amp;"'!$B$28:$B$38"),0)),0))</f>
        <v>0</v>
      </c>
      <c r="U111" s="337"/>
      <c r="V111" s="337"/>
      <c r="W111" s="1437">
        <f ca="1">(IFERROR(1-INDIRECT("'"&amp;$H$3&amp;"'!W$142"),0))*(W$155+W$171)*INDIRECT("'"&amp;$H$3&amp;"'!$H$10")*(IFERROR(INDEX(INDIRECT("'"&amp;$H$3&amp;"'!$H$28:$H$38"),MATCH(INDIRECT("'"&amp;$H$3&amp;"'!W$145"),INDIRECT("'"&amp;$H$3&amp;"'!$B$28:$B$38"),0)),0)+IFERROR(INDIRECT("'"&amp;$H$3&amp;"'!W$146")*INDEX(INDIRECT("'"&amp;$H$3&amp;"'!$H$28:$H$38"),MATCH(INDIRECT("'"&amp;$H$3&amp;"'!W$147"),INDIRECT("'"&amp;$H$3&amp;"'!$B$28:$B$38"),0)),0))
+(IFERROR(1-INDIRECT("'"&amp;$H$3&amp;"'!W$162"),0))*(W$193+W$209)*INDIRECT("'"&amp;$H$3&amp;"'!$H$10")*(IFERROR(INDEX(INDIRECT("'"&amp;$H$3&amp;"'!$H$28:$H$38"),MATCH(INDIRECT("'"&amp;$H$3&amp;"'!W$165"),INDIRECT("'"&amp;$H$3&amp;"'!$B$28:$B$38"),0)),0)+IFERROR(INDIRECT("'"&amp;$H$3&amp;"'!W$166")*INDEX(INDIRECT("'"&amp;$H$3&amp;"'!$H$28:$H$38"),MATCH(INDIRECT("'"&amp;$H$3&amp;"'!W$167"),INDIRECT("'"&amp;$H$3&amp;"'!$B$28:$B$38"),0)),0))
+(IFERROR(1-INDIRECT("'"&amp;$H$3&amp;"'!W$182"),0))*(W$231+W$247)*INDIRECT("'"&amp;$H$3&amp;"'!$H$10")*(IFERROR(INDEX(INDIRECT("'"&amp;$H$3&amp;"'!$H$28:$H$38"),MATCH(INDIRECT("'"&amp;$H$3&amp;"'!W$185"),INDIRECT("'"&amp;$H$3&amp;"'!$B$28:$B$38"),0)),0)+IFERROR(INDIRECT("'"&amp;$H$3&amp;"'!W$186")*INDEX(INDIRECT("'"&amp;$H$3&amp;"'!$H$28:$H$38"),MATCH(INDIRECT("'"&amp;$H$3&amp;"'!W$187"),INDIRECT("'"&amp;$H$3&amp;"'!$B$28:$B$38"),0)),0))</f>
        <v>0</v>
      </c>
      <c r="Y111" s="341">
        <f t="shared" ca="1" si="11"/>
        <v>18250.080000000002</v>
      </c>
      <c r="AL111" s="4"/>
    </row>
    <row r="112" spans="6:38">
      <c r="F112" s="288"/>
      <c r="G112" s="288" t="s">
        <v>90</v>
      </c>
      <c r="H112" s="300">
        <f ca="1">(IFERROR(1-INDIRECT("'"&amp;$H$3&amp;"'!H$142"),0))*(H$155+H$171)*(IFERROR(INDEX(INDIRECT("'"&amp;$H$3&amp;"'!$K$28:$K$38"),MATCH(INDIRECT("'"&amp;$H$3&amp;"'!H$145"),INDIRECT("'"&amp;$H$3&amp;"'!$B$28:$B$38"),0)),0)+IFERROR(INDIRECT("'"&amp;$H$3&amp;"'!H$146")*INDEX(INDIRECT("'"&amp;$H$3&amp;"'!$K$28:$K$38"),MATCH(INDIRECT("'"&amp;$H$3&amp;"'!H$147"),INDIRECT("'"&amp;$H$3&amp;"'!$B$28:$B$38"),0)),0))
+(IFERROR(1-INDIRECT("'"&amp;$H$3&amp;"'!H$162"),0))*(H$193+H$209)*(IFERROR(INDEX(INDIRECT("'"&amp;$H$3&amp;"'!$K$28:$K$38"),MATCH(INDIRECT("'"&amp;$H$3&amp;"'!H$165"),INDIRECT("'"&amp;$H$3&amp;"'!$B$28:$B$38"),0)),0)+IFERROR(INDIRECT("'"&amp;$H$3&amp;"'!H$166")*INDEX(INDIRECT("'"&amp;$H$3&amp;"'!$K$28:$K$38"),MATCH(INDIRECT("'"&amp;$H$3&amp;"'!H$167"),INDIRECT("'"&amp;$H$3&amp;"'!$B$28:$B$38"),0)),0))
+(IFERROR(1-INDIRECT("'"&amp;$H$3&amp;"'!H$182"),0))*(H$231+H$247)*(IFERROR(INDEX(INDIRECT("'"&amp;$H$3&amp;"'!$K$28:$K$38"),MATCH(INDIRECT("'"&amp;$H$3&amp;"'!H$185"),INDIRECT("'"&amp;$H$3&amp;"'!$B$28:$B$38"),0)),0)+IFERROR(INDIRECT("'"&amp;$H$3&amp;"'!H$186")*INDEX(INDIRECT("'"&amp;$H$3&amp;"'!$K$28:$K$38"),MATCH(INDIRECT("'"&amp;$H$3&amp;"'!H$187"),INDIRECT("'"&amp;$H$3&amp;"'!$B$28:$B$38"),0)),0))</f>
        <v>0</v>
      </c>
      <c r="I112" s="300"/>
      <c r="J112" s="300"/>
      <c r="K112" s="300">
        <f ca="1">(IFERROR(1-INDIRECT("'"&amp;$H$3&amp;"'!K$142"),0))*(K$155+K$171)*(IFERROR(INDEX(INDIRECT("'"&amp;$H$3&amp;"'!$K$28:$K$38"),MATCH(INDIRECT("'"&amp;$H$3&amp;"'!K$145"),INDIRECT("'"&amp;$H$3&amp;"'!$B$28:$B$38"),0)),0)+IFERROR(INDIRECT("'"&amp;$H$3&amp;"'!K$146")*INDEX(INDIRECT("'"&amp;$H$3&amp;"'!$K$28:$K$38"),MATCH(INDIRECT("'"&amp;$H$3&amp;"'!K$147"),INDIRECT("'"&amp;$H$3&amp;"'!$B$28:$B$38"),0)),0))
+(IFERROR(1-INDIRECT("'"&amp;$H$3&amp;"'!K$162"),0))*(K$193+K$209)*(IFERROR(INDEX(INDIRECT("'"&amp;$H$3&amp;"'!$K$28:$K$38"),MATCH(INDIRECT("'"&amp;$H$3&amp;"'!K$165"),INDIRECT("'"&amp;$H$3&amp;"'!$B$28:$B$38"),0)),0)+IFERROR(INDIRECT("'"&amp;$H$3&amp;"'!K$166")*INDEX(INDIRECT("'"&amp;$H$3&amp;"'!$K$28:$K$38"),MATCH(INDIRECT("'"&amp;$H$3&amp;"'!K$167"),INDIRECT("'"&amp;$H$3&amp;"'!$B$28:$B$38"),0)),0))
+(IFERROR(1-INDIRECT("'"&amp;$H$3&amp;"'!K$182"),0))*(K$231+K$247)*(IFERROR(INDEX(INDIRECT("'"&amp;$H$3&amp;"'!$K$28:$K$38"),MATCH(INDIRECT("'"&amp;$H$3&amp;"'!K$185"),INDIRECT("'"&amp;$H$3&amp;"'!$B$28:$B$38"),0)),0)+IFERROR(INDIRECT("'"&amp;$H$3&amp;"'!K$186")*INDEX(INDIRECT("'"&amp;$H$3&amp;"'!$K$28:$K$38"),MATCH(INDIRECT("'"&amp;$H$3&amp;"'!K$187"),INDIRECT("'"&amp;$H$3&amp;"'!$B$28:$B$38"),0)),0))</f>
        <v>4380</v>
      </c>
      <c r="L112" s="300"/>
      <c r="M112" s="300"/>
      <c r="N112" s="300">
        <f ca="1">(IFERROR(1-INDIRECT("'"&amp;$H$3&amp;"'!N$142"),0))*(N$155+N$171)*(IFERROR(INDEX(INDIRECT("'"&amp;$H$3&amp;"'!$K$28:$K$38"),MATCH(INDIRECT("'"&amp;$H$3&amp;"'!N$145"),INDIRECT("'"&amp;$H$3&amp;"'!$B$28:$B$38"),0)),0)+IFERROR(INDIRECT("'"&amp;$H$3&amp;"'!N$146")*INDEX(INDIRECT("'"&amp;$H$3&amp;"'!$K$28:$K$38"),MATCH(INDIRECT("'"&amp;$H$3&amp;"'!N$147"),INDIRECT("'"&amp;$H$3&amp;"'!$B$28:$B$38"),0)),0))
+(IFERROR(1-INDIRECT("'"&amp;$H$3&amp;"'!N$162"),0))*(N$193+N$209)*(IFERROR(INDEX(INDIRECT("'"&amp;$H$3&amp;"'!$K$28:$K$38"),MATCH(INDIRECT("'"&amp;$H$3&amp;"'!N$165"),INDIRECT("'"&amp;$H$3&amp;"'!$B$28:$B$38"),0)),0)+IFERROR(INDIRECT("'"&amp;$H$3&amp;"'!N$166")*INDEX(INDIRECT("'"&amp;$H$3&amp;"'!$K$28:$K$38"),MATCH(INDIRECT("'"&amp;$H$3&amp;"'!N$167"),INDIRECT("'"&amp;$H$3&amp;"'!$B$28:$B$38"),0)),0))
+(IFERROR(1-INDIRECT("'"&amp;$H$3&amp;"'!N$182"),0))*(N$231+N$247)*(IFERROR(INDEX(INDIRECT("'"&amp;$H$3&amp;"'!$K$28:$K$38"),MATCH(INDIRECT("'"&amp;$H$3&amp;"'!N$185"),INDIRECT("'"&amp;$H$3&amp;"'!$B$28:$B$38"),0)),0)+IFERROR(INDIRECT("'"&amp;$H$3&amp;"'!N$186")*INDEX(INDIRECT("'"&amp;$H$3&amp;"'!$K$28:$K$38"),MATCH(INDIRECT("'"&amp;$H$3&amp;"'!N$187"),INDIRECT("'"&amp;$H$3&amp;"'!$B$28:$B$38"),0)),0))</f>
        <v>7200</v>
      </c>
      <c r="O112" s="300"/>
      <c r="P112" s="300"/>
      <c r="Q112" s="300">
        <f ca="1">(IFERROR(1-INDIRECT("'"&amp;$H$3&amp;"'!Q$142"),0))*(Q$155+Q$171)*(IFERROR(INDEX(INDIRECT("'"&amp;$H$3&amp;"'!$K$28:$K$38"),MATCH(INDIRECT("'"&amp;$H$3&amp;"'!Q$145"),INDIRECT("'"&amp;$H$3&amp;"'!$B$28:$B$38"),0)),0)+IFERROR(INDIRECT("'"&amp;$H$3&amp;"'!Q$146")*INDEX(INDIRECT("'"&amp;$H$3&amp;"'!$K$28:$K$38"),MATCH(INDIRECT("'"&amp;$H$3&amp;"'!Q$147"),INDIRECT("'"&amp;$H$3&amp;"'!$B$28:$B$38"),0)),0))
+(IFERROR(1-INDIRECT("'"&amp;$H$3&amp;"'!Q$162"),0))*(Q$193+Q$209)*(IFERROR(INDEX(INDIRECT("'"&amp;$H$3&amp;"'!$K$28:$K$38"),MATCH(INDIRECT("'"&amp;$H$3&amp;"'!Q$165"),INDIRECT("'"&amp;$H$3&amp;"'!$B$28:$B$38"),0)),0)+IFERROR(INDIRECT("'"&amp;$H$3&amp;"'!Q$166")*INDEX(INDIRECT("'"&amp;$H$3&amp;"'!$K$28:$K$38"),MATCH(INDIRECT("'"&amp;$H$3&amp;"'!Q$167"),INDIRECT("'"&amp;$H$3&amp;"'!$B$28:$B$38"),0)),0))
+(IFERROR(1-INDIRECT("'"&amp;$H$3&amp;"'!Q$182"),0))*(Q$231+Q$247)*(IFERROR(INDEX(INDIRECT("'"&amp;$H$3&amp;"'!$K$28:$K$38"),MATCH(INDIRECT("'"&amp;$H$3&amp;"'!Q$185"),INDIRECT("'"&amp;$H$3&amp;"'!$B$28:$B$38"),0)),0)+IFERROR(INDIRECT("'"&amp;$H$3&amp;"'!Q$186")*INDEX(INDIRECT("'"&amp;$H$3&amp;"'!$K$28:$K$38"),MATCH(INDIRECT("'"&amp;$H$3&amp;"'!Q$187"),INDIRECT("'"&amp;$H$3&amp;"'!$B$28:$B$38"),0)),0))</f>
        <v>0</v>
      </c>
      <c r="R112" s="300"/>
      <c r="S112" s="337"/>
      <c r="T112" s="300">
        <f ca="1">(IFERROR(1-INDIRECT("'"&amp;$H$3&amp;"'!T$142"),0))*(T$155+T$171)*(IFERROR(INDEX(INDIRECT("'"&amp;$H$3&amp;"'!$K$28:$K$38"),MATCH(INDIRECT("'"&amp;$H$3&amp;"'!T$145"),INDIRECT("'"&amp;$H$3&amp;"'!$B$28:$B$38"),0)),0)+IFERROR(INDIRECT("'"&amp;$H$3&amp;"'!T$146")*INDEX(INDIRECT("'"&amp;$H$3&amp;"'!$K$28:$K$38"),MATCH(INDIRECT("'"&amp;$H$3&amp;"'!T$147"),INDIRECT("'"&amp;$H$3&amp;"'!$B$28:$B$38"),0)),0))
+(IFERROR(1-INDIRECT("'"&amp;$H$3&amp;"'!T$162"),0))*(T$193+T$209)*(IFERROR(INDEX(INDIRECT("'"&amp;$H$3&amp;"'!$K$28:$K$38"),MATCH(INDIRECT("'"&amp;$H$3&amp;"'!T$165"),INDIRECT("'"&amp;$H$3&amp;"'!$B$28:$B$38"),0)),0)+IFERROR(INDIRECT("'"&amp;$H$3&amp;"'!T$166")*INDEX(INDIRECT("'"&amp;$H$3&amp;"'!$K$28:$K$38"),MATCH(INDIRECT("'"&amp;$H$3&amp;"'!T$167"),INDIRECT("'"&amp;$H$3&amp;"'!$B$28:$B$38"),0)),0))
+(IFERROR(1-INDIRECT("'"&amp;$H$3&amp;"'!T$182"),0))*(T$231+T$247)*(IFERROR(INDEX(INDIRECT("'"&amp;$H$3&amp;"'!$K$28:$K$38"),MATCH(INDIRECT("'"&amp;$H$3&amp;"'!T$185"),INDIRECT("'"&amp;$H$3&amp;"'!$B$28:$B$38"),0)),0)+IFERROR(INDIRECT("'"&amp;$H$3&amp;"'!T$186")*INDEX(INDIRECT("'"&amp;$H$3&amp;"'!$K$28:$K$38"),MATCH(INDIRECT("'"&amp;$H$3&amp;"'!T$187"),INDIRECT("'"&amp;$H$3&amp;"'!$B$28:$B$38"),0)),0))</f>
        <v>0</v>
      </c>
      <c r="U112" s="337"/>
      <c r="V112" s="337"/>
      <c r="W112" s="1437">
        <f ca="1">(IFERROR(1-INDIRECT("'"&amp;$H$3&amp;"'!W$142"),0))*(W$155+W$171)*(IFERROR(INDEX(INDIRECT("'"&amp;$H$3&amp;"'!$K$28:$K$38"),MATCH(INDIRECT("'"&amp;$H$3&amp;"'!W$145"),INDIRECT("'"&amp;$H$3&amp;"'!$B$28:$B$38"),0)),0)+IFERROR(INDIRECT("'"&amp;$H$3&amp;"'!W$146")*INDEX(INDIRECT("'"&amp;$H$3&amp;"'!$K$28:$K$38"),MATCH(INDIRECT("'"&amp;$H$3&amp;"'!W$147"),INDIRECT("'"&amp;$H$3&amp;"'!$B$28:$B$38"),0)),0))
+(IFERROR(1-INDIRECT("'"&amp;$H$3&amp;"'!W$162"),0))*(W$193+W$209)*(IFERROR(INDEX(INDIRECT("'"&amp;$H$3&amp;"'!$K$28:$K$38"),MATCH(INDIRECT("'"&amp;$H$3&amp;"'!W$165"),INDIRECT("'"&amp;$H$3&amp;"'!$B$28:$B$38"),0)),0)+IFERROR(INDIRECT("'"&amp;$H$3&amp;"'!W$166")*INDEX(INDIRECT("'"&amp;$H$3&amp;"'!$K$28:$K$38"),MATCH(INDIRECT("'"&amp;$H$3&amp;"'!W$167"),INDIRECT("'"&amp;$H$3&amp;"'!$B$28:$B$38"),0)),0))
+(IFERROR(1-INDIRECT("'"&amp;$H$3&amp;"'!W$182"),0))*(W$231+W$247)*(IFERROR(INDEX(INDIRECT("'"&amp;$H$3&amp;"'!$K$28:$K$38"),MATCH(INDIRECT("'"&amp;$H$3&amp;"'!W$185"),INDIRECT("'"&amp;$H$3&amp;"'!$B$28:$B$38"),0)),0)+IFERROR(INDIRECT("'"&amp;$H$3&amp;"'!W$186")*INDEX(INDIRECT("'"&amp;$H$3&amp;"'!$K$28:$K$38"),MATCH(INDIRECT("'"&amp;$H$3&amp;"'!W$187"),INDIRECT("'"&amp;$H$3&amp;"'!$B$28:$B$38"),0)),0))</f>
        <v>0</v>
      </c>
      <c r="Y112" s="341">
        <f t="shared" ca="1" si="11"/>
        <v>11580</v>
      </c>
    </row>
    <row r="113" spans="6:38">
      <c r="F113" s="288"/>
      <c r="G113" s="288" t="s">
        <v>1</v>
      </c>
      <c r="H113" s="300">
        <f ca="1">INDIRECT("'"&amp;$H$3&amp;"'!$H$8")*(
(IFERROR(1-INDIRECT("'"&amp;$H$3&amp;"'!H$142"),0))*IF(INDIRECT("'"&amp;$H$3&amp;"'!H$137")='List Values'!$E$5,0,(H$169*IFERROR(1/INDEX(INDIRECT("'"&amp;$H$3&amp;"'!$H$49:$H$78"),MATCH(INDIRECT("'"&amp;$H$3&amp;"'!H$136")&amp;"Fuel Efficiency (km/liter)",INDIRECT("'"&amp;$H$3&amp;"'!$F$49:$F$78"),0)),0)))
+(IFERROR(1-INDIRECT("'"&amp;$H$3&amp;"'!H$162"),0))*IF(INDIRECT("'"&amp;$H$3&amp;"'!H$157")='List Values'!$E$5,0,(H$207*IFERROR(1/INDEX(INDIRECT("'"&amp;$H$3&amp;"'!$H$49:$H$78"),MATCH(INDIRECT("'"&amp;$H$3&amp;"'!H$156")&amp;"Fuel Efficiency (km/liter)",INDIRECT("'"&amp;$H$3&amp;"'!$F$49:$F$78"),0)),0)))
+(IFERROR(1-INDIRECT("'"&amp;$H$3&amp;"'!H$182"),0))*IF(INDIRECT("'"&amp;$H$3&amp;"'!H$177")='List Values'!$E$5,0,(H$245*IFERROR(1/INDEX(INDIRECT("'"&amp;$H$3&amp;"'!$H$49:$H$78"),MATCH(INDIRECT("'"&amp;$H$3&amp;"'!H$176")&amp;"Fuel Efficiency (km/liter)",INDIRECT("'"&amp;$H$3&amp;"'!$F$49:$F$78"),0)),0))))</f>
        <v>0</v>
      </c>
      <c r="I113" s="300"/>
      <c r="J113" s="300"/>
      <c r="K113" s="300">
        <f ca="1">INDIRECT("'"&amp;$H$3&amp;"'!$H$8")*(
(IFERROR(1-INDIRECT("'"&amp;$H$3&amp;"'!K$142"),0))*IF(INDIRECT("'"&amp;$H$3&amp;"'!K$137")='List Values'!$E$5,0,(K$169*IFERROR(1/INDEX(INDIRECT("'"&amp;$H$3&amp;"'!$H$49:$H$78"),MATCH(INDIRECT("'"&amp;$H$3&amp;"'!K$136")&amp;"Fuel Efficiency (km/liter)",INDIRECT("'"&amp;$H$3&amp;"'!$F$49:$F$78"),0)),0)))
+(IFERROR(1-INDIRECT("'"&amp;$H$3&amp;"'!K$162"),0))*IF(INDIRECT("'"&amp;$H$3&amp;"'!K$157")='List Values'!$E$5,0,(K$207*IFERROR(1/INDEX(INDIRECT("'"&amp;$H$3&amp;"'!$H$49:$H$78"),MATCH(INDIRECT("'"&amp;$H$3&amp;"'!K$156")&amp;"Fuel Efficiency (km/liter)",INDIRECT("'"&amp;$H$3&amp;"'!$F$49:$F$78"),0)),0)))
+(IFERROR(1-INDIRECT("'"&amp;$H$3&amp;"'!K$182"),0))*IF(INDIRECT("'"&amp;$H$3&amp;"'!K$177")='List Values'!$E$5,0,(K$245*IFERROR(1/INDEX(INDIRECT("'"&amp;$H$3&amp;"'!$H$49:$H$78"),MATCH(INDIRECT("'"&amp;$H$3&amp;"'!K$176")&amp;"Fuel Efficiency (km/liter)",INDIRECT("'"&amp;$H$3&amp;"'!$F$49:$F$78"),0)),0))))</f>
        <v>35284.953367875656</v>
      </c>
      <c r="L113" s="300"/>
      <c r="M113" s="300"/>
      <c r="N113" s="300">
        <f ca="1">INDIRECT("'"&amp;$H$3&amp;"'!$H$8")*(
(IFERROR(1-INDIRECT("'"&amp;$H$3&amp;"'!N$142"),0))*IF(INDIRECT("'"&amp;$H$3&amp;"'!N$137")='List Values'!$E$5,0,(N$169*IFERROR(1/INDEX(INDIRECT("'"&amp;$H$3&amp;"'!$H$49:$H$78"),MATCH(INDIRECT("'"&amp;$H$3&amp;"'!N$136")&amp;"Fuel Efficiency (km/liter)",INDIRECT("'"&amp;$H$3&amp;"'!$F$49:$F$78"),0)),0)))
+(IFERROR(1-INDIRECT("'"&amp;$H$3&amp;"'!N$162"),0))*IF(INDIRECT("'"&amp;$H$3&amp;"'!N$157")='List Values'!$E$5,0,(N$207*IFERROR(1/INDEX(INDIRECT("'"&amp;$H$3&amp;"'!$H$49:$H$78"),MATCH(INDIRECT("'"&amp;$H$3&amp;"'!N$156")&amp;"Fuel Efficiency (km/liter)",INDIRECT("'"&amp;$H$3&amp;"'!$F$49:$F$78"),0)),0)))
+(IFERROR(1-INDIRECT("'"&amp;$H$3&amp;"'!N$182"),0))*IF(INDIRECT("'"&amp;$H$3&amp;"'!N$177")='List Values'!$E$5,0,(N$245*IFERROR(1/INDEX(INDIRECT("'"&amp;$H$3&amp;"'!$H$49:$H$78"),MATCH(INDIRECT("'"&amp;$H$3&amp;"'!N$176")&amp;"Fuel Efficiency (km/liter)",INDIRECT("'"&amp;$H$3&amp;"'!$F$49:$F$78"),0)),0))))</f>
        <v>23486.834623131828</v>
      </c>
      <c r="O113" s="300"/>
      <c r="P113" s="300"/>
      <c r="Q113" s="300">
        <f ca="1">INDIRECT("'"&amp;$H$3&amp;"'!$H$8")*(
(IFERROR(1-INDIRECT("'"&amp;$H$3&amp;"'!Q$142"),0))*IF(INDIRECT("'"&amp;$H$3&amp;"'!Q$137")='List Values'!$E$5,0,(Q$169*IFERROR(1/INDEX(INDIRECT("'"&amp;$H$3&amp;"'!$H$49:$H$78"),MATCH(INDIRECT("'"&amp;$H$3&amp;"'!Q$136")&amp;"Fuel Efficiency (km/liter)",INDIRECT("'"&amp;$H$3&amp;"'!$F$49:$F$78"),0)),0)))
+(IFERROR(1-INDIRECT("'"&amp;$H$3&amp;"'!Q$162"),0))*IF(INDIRECT("'"&amp;$H$3&amp;"'!Q$157")='List Values'!$E$5,0,(Q$207*IFERROR(1/INDEX(INDIRECT("'"&amp;$H$3&amp;"'!$H$49:$H$78"),MATCH(INDIRECT("'"&amp;$H$3&amp;"'!Q$156")&amp;"Fuel Efficiency (km/liter)",INDIRECT("'"&amp;$H$3&amp;"'!$F$49:$F$78"),0)),0)))
+(IFERROR(1-INDIRECT("'"&amp;$H$3&amp;"'!Q$182"),0))*IF(INDIRECT("'"&amp;$H$3&amp;"'!Q$177")='List Values'!$E$5,0,(Q$245*IFERROR(1/INDEX(INDIRECT("'"&amp;$H$3&amp;"'!$H$49:$H$78"),MATCH(INDIRECT("'"&amp;$H$3&amp;"'!Q$176")&amp;"Fuel Efficiency (km/liter)",INDIRECT("'"&amp;$H$3&amp;"'!$F$49:$F$78"),0)),0))))</f>
        <v>0</v>
      </c>
      <c r="R113" s="300"/>
      <c r="S113" s="337"/>
      <c r="T113" s="300">
        <f ca="1">INDIRECT("'"&amp;$H$3&amp;"'!$H$8")*(
(IFERROR(1-INDIRECT("'"&amp;$H$3&amp;"'!T$142"),0))*IF(INDIRECT("'"&amp;$H$3&amp;"'!T$137")='List Values'!$E$5,0,(T$169*IFERROR(1/INDEX(INDIRECT("'"&amp;$H$3&amp;"'!$H$49:$H$78"),MATCH(INDIRECT("'"&amp;$H$3&amp;"'!T$136")&amp;"Fuel Efficiency (km/liter)",INDIRECT("'"&amp;$H$3&amp;"'!$F$49:$F$78"),0)),0)))
+(IFERROR(1-INDIRECT("'"&amp;$H$3&amp;"'!T$162"),0))*IF(INDIRECT("'"&amp;$H$3&amp;"'!T$157")='List Values'!$E$5,0,(T$207*IFERROR(1/INDEX(INDIRECT("'"&amp;$H$3&amp;"'!$H$49:$H$78"),MATCH(INDIRECT("'"&amp;$H$3&amp;"'!T$156")&amp;"Fuel Efficiency (km/liter)",INDIRECT("'"&amp;$H$3&amp;"'!$F$49:$F$78"),0)),0)))
+(IFERROR(1-INDIRECT("'"&amp;$H$3&amp;"'!T$182"),0))*IF(INDIRECT("'"&amp;$H$3&amp;"'!T$177")='List Values'!$E$5,0,(T$245*IFERROR(1/INDEX(INDIRECT("'"&amp;$H$3&amp;"'!$H$49:$H$78"),MATCH(INDIRECT("'"&amp;$H$3&amp;"'!T$176")&amp;"Fuel Efficiency (km/liter)",INDIRECT("'"&amp;$H$3&amp;"'!$F$49:$F$78"),0)),0))))</f>
        <v>0</v>
      </c>
      <c r="U113" s="337"/>
      <c r="V113" s="337"/>
      <c r="W113" s="1437">
        <f ca="1">INDIRECT("'"&amp;$H$3&amp;"'!$H$8")*(
(IFERROR(1-INDIRECT("'"&amp;$H$3&amp;"'!W$142"),0))*IF(INDIRECT("'"&amp;$H$3&amp;"'!W$137")='List Values'!$E$5,0,(W$169*IFERROR(1/INDEX(INDIRECT("'"&amp;$H$3&amp;"'!$H$49:$H$78"),MATCH(INDIRECT("'"&amp;$H$3&amp;"'!W$136")&amp;"Fuel Efficiency (km/liter)",INDIRECT("'"&amp;$H$3&amp;"'!$F$49:$F$78"),0)),0)))
+(IFERROR(1-INDIRECT("'"&amp;$H$3&amp;"'!W$162"),0))*IF(INDIRECT("'"&amp;$H$3&amp;"'!W$157")='List Values'!$E$5,0,(W$207*IFERROR(1/INDEX(INDIRECT("'"&amp;$H$3&amp;"'!$H$49:$H$78"),MATCH(INDIRECT("'"&amp;$H$3&amp;"'!W$156")&amp;"Fuel Efficiency (km/liter)",INDIRECT("'"&amp;$H$3&amp;"'!$F$49:$F$78"),0)),0)))
+(IFERROR(1-INDIRECT("'"&amp;$H$3&amp;"'!W$182"),0))*IF(INDIRECT("'"&amp;$H$3&amp;"'!W$177")='List Values'!$E$5,0,(W$245*IFERROR(1/INDEX(INDIRECT("'"&amp;$H$3&amp;"'!$H$49:$H$78"),MATCH(INDIRECT("'"&amp;$H$3&amp;"'!W$176")&amp;"Fuel Efficiency (km/liter)",INDIRECT("'"&amp;$H$3&amp;"'!$F$49:$F$78"),0)),0))))</f>
        <v>0</v>
      </c>
      <c r="Y113" s="341">
        <f t="shared" ca="1" si="11"/>
        <v>58771.787991007484</v>
      </c>
    </row>
    <row r="114" spans="6:38">
      <c r="F114" s="288"/>
      <c r="G114" s="288" t="s">
        <v>91</v>
      </c>
      <c r="H114" s="300">
        <f ca="1">IFERROR((1-INDIRECT("'"&amp;$H$3&amp;"'!H$141"))*IF(INDIRECT("'"&amp;$H$3&amp;"'!H$137")='List Values'!$E$3,INDEX(INDIRECT("'"&amp;$H$3&amp;"'!$H$49:$H$78"),MATCH(INDIRECT("'"&amp;$H$3&amp;"'!H$136")&amp;"Insurance cost /yr ($)",INDIRECT("'"&amp;$H$3&amp;"'!$F$49:$F$78"),0))*INDIRECT("'"&amp;$H$3&amp;"'!H$140"),0),0)
+IFERROR((1-INDIRECT("'"&amp;$H$3&amp;"'!H$161"))*IF(INDIRECT("'"&amp;$H$3&amp;"'!H$157")='List Values'!$E$3,INDEX(INDIRECT("'"&amp;$H$3&amp;"'!$H$49:$H$78"),MATCH(INDIRECT("'"&amp;$H$3&amp;"'!H$156")&amp;"Insurance cost /yr ($)",INDIRECT("'"&amp;$H$3&amp;"'!$F$49:$F$78"),0))*INDIRECT("'"&amp;$H$3&amp;"'!H$160"),0),0)
+IFERROR((1-INDIRECT("'"&amp;$H$3&amp;"'!H$181"))*IF(INDIRECT("'"&amp;$H$3&amp;"'!H$177")='List Values'!$E$3,INDEX(INDIRECT("'"&amp;$H$3&amp;"'!$H$49:$H$78"),MATCH(INDIRECT("'"&amp;$H$3&amp;"'!H$176")&amp;"Insurance cost /yr ($)",INDIRECT("'"&amp;$H$3&amp;"'!$F$49:$F$78"),0))*INDIRECT("'"&amp;$H$3&amp;"'!H$180"),0),0)</f>
        <v>0</v>
      </c>
      <c r="I114" s="300"/>
      <c r="J114" s="300"/>
      <c r="K114" s="300">
        <f ca="1">IFERROR((1-INDIRECT("'"&amp;$H$3&amp;"'!K$141"))*IF(INDIRECT("'"&amp;$H$3&amp;"'!K$137")='List Values'!$E$3,INDEX(INDIRECT("'"&amp;$H$3&amp;"'!$H$49:$H$78"),MATCH(INDIRECT("'"&amp;$H$3&amp;"'!K$136")&amp;"Insurance cost /yr ($)",INDIRECT("'"&amp;$H$3&amp;"'!$F$49:$F$78"),0))*INDIRECT("'"&amp;$H$3&amp;"'!K$140"),0),0)
+IFERROR((1-INDIRECT("'"&amp;$H$3&amp;"'!K$161"))*IF(INDIRECT("'"&amp;$H$3&amp;"'!K$157")='List Values'!$E$3,INDEX(INDIRECT("'"&amp;$H$3&amp;"'!$H$49:$H$78"),MATCH(INDIRECT("'"&amp;$H$3&amp;"'!K$156")&amp;"Insurance cost /yr ($)",INDIRECT("'"&amp;$H$3&amp;"'!$F$49:$F$78"),0))*INDIRECT("'"&amp;$H$3&amp;"'!K$160"),0),0)
+IFERROR((1-INDIRECT("'"&amp;$H$3&amp;"'!K$181"))*IF(INDIRECT("'"&amp;$H$3&amp;"'!K$177")='List Values'!$E$3,INDEX(INDIRECT("'"&amp;$H$3&amp;"'!$H$49:$H$78"),MATCH(INDIRECT("'"&amp;$H$3&amp;"'!K$176")&amp;"Insurance cost /yr ($)",INDIRECT("'"&amp;$H$3&amp;"'!$F$49:$F$78"),0))*INDIRECT("'"&amp;$H$3&amp;"'!K$180"),0),0)</f>
        <v>2575.86</v>
      </c>
      <c r="L114" s="300"/>
      <c r="M114" s="300"/>
      <c r="N114" s="300">
        <f ca="1">IFERROR((1-INDIRECT("'"&amp;$H$3&amp;"'!N$141"))*IF(INDIRECT("'"&amp;$H$3&amp;"'!N$137")='List Values'!$E$3,INDEX(INDIRECT("'"&amp;$H$3&amp;"'!$H$49:$H$78"),MATCH(INDIRECT("'"&amp;$H$3&amp;"'!N$136")&amp;"Insurance cost /yr ($)",INDIRECT("'"&amp;$H$3&amp;"'!$F$49:$F$78"),0))*INDIRECT("'"&amp;$H$3&amp;"'!N$140"),0),0)
+IFERROR((1-INDIRECT("'"&amp;$H$3&amp;"'!N$161"))*IF(INDIRECT("'"&amp;$H$3&amp;"'!N$157")='List Values'!$E$3,INDEX(INDIRECT("'"&amp;$H$3&amp;"'!$H$49:$H$78"),MATCH(INDIRECT("'"&amp;$H$3&amp;"'!N$156")&amp;"Insurance cost /yr ($)",INDIRECT("'"&amp;$H$3&amp;"'!$F$49:$F$78"),0))*INDIRECT("'"&amp;$H$3&amp;"'!N$160"),0),0)
+IFERROR((1-INDIRECT("'"&amp;$H$3&amp;"'!N$181"))*IF(INDIRECT("'"&amp;$H$3&amp;"'!N$177")='List Values'!$E$3,INDEX(INDIRECT("'"&amp;$H$3&amp;"'!$H$49:$H$78"),MATCH(INDIRECT("'"&amp;$H$3&amp;"'!N$176")&amp;"Insurance cost /yr ($)",INDIRECT("'"&amp;$H$3&amp;"'!$F$49:$F$78"),0))*INDIRECT("'"&amp;$H$3&amp;"'!N$180"),0),0)</f>
        <v>3863.79</v>
      </c>
      <c r="O114" s="300"/>
      <c r="P114" s="300"/>
      <c r="Q114" s="300">
        <f ca="1">IFERROR((1-INDIRECT("'"&amp;$H$3&amp;"'!Q$141"))*IF(INDIRECT("'"&amp;$H$3&amp;"'!Q$137")='List Values'!$E$3,INDEX(INDIRECT("'"&amp;$H$3&amp;"'!$H$49:$H$78"),MATCH(INDIRECT("'"&amp;$H$3&amp;"'!Q$136")&amp;"Insurance cost /yr ($)",INDIRECT("'"&amp;$H$3&amp;"'!$F$49:$F$78"),0))*INDIRECT("'"&amp;$H$3&amp;"'!Q$140"),0),0)
+IFERROR((1-INDIRECT("'"&amp;$H$3&amp;"'!Q$161"))*IF(INDIRECT("'"&amp;$H$3&amp;"'!Q$157")='List Values'!$E$3,INDEX(INDIRECT("'"&amp;$H$3&amp;"'!$H$49:$H$78"),MATCH(INDIRECT("'"&amp;$H$3&amp;"'!Q$156")&amp;"Insurance cost /yr ($)",INDIRECT("'"&amp;$H$3&amp;"'!$F$49:$F$78"),0))*INDIRECT("'"&amp;$H$3&amp;"'!Q$160"),0),0)
+IFERROR((1-INDIRECT("'"&amp;$H$3&amp;"'!Q$181"))*IF(INDIRECT("'"&amp;$H$3&amp;"'!Q$177")='List Values'!$E$3,INDEX(INDIRECT("'"&amp;$H$3&amp;"'!$H$49:$H$78"),MATCH(INDIRECT("'"&amp;$H$3&amp;"'!Q$176")&amp;"Insurance cost /yr ($)",INDIRECT("'"&amp;$H$3&amp;"'!$F$49:$F$78"),0))*INDIRECT("'"&amp;$H$3&amp;"'!Q$180"),0),0)</f>
        <v>0</v>
      </c>
      <c r="R114" s="300"/>
      <c r="S114" s="337"/>
      <c r="T114" s="300">
        <f ca="1">IFERROR((1-INDIRECT("'"&amp;$H$3&amp;"'!T$141"))*IF(INDIRECT("'"&amp;$H$3&amp;"'!T$137")='List Values'!$E$3,INDEX(INDIRECT("'"&amp;$H$3&amp;"'!$H$49:$H$78"),MATCH(INDIRECT("'"&amp;$H$3&amp;"'!T$136")&amp;"Insurance cost /yr ($)",INDIRECT("'"&amp;$H$3&amp;"'!$F$49:$F$78"),0))*INDIRECT("'"&amp;$H$3&amp;"'!T$140"),0),0)
+IFERROR((1-INDIRECT("'"&amp;$H$3&amp;"'!T$161"))*IF(INDIRECT("'"&amp;$H$3&amp;"'!T$157")='List Values'!$E$3,INDEX(INDIRECT("'"&amp;$H$3&amp;"'!$H$49:$H$78"),MATCH(INDIRECT("'"&amp;$H$3&amp;"'!T$156")&amp;"Insurance cost /yr ($)",INDIRECT("'"&amp;$H$3&amp;"'!$F$49:$F$78"),0))*INDIRECT("'"&amp;$H$3&amp;"'!T$160"),0),0)
+IFERROR((1-INDIRECT("'"&amp;$H$3&amp;"'!T$181"))*IF(INDIRECT("'"&amp;$H$3&amp;"'!T$177")='List Values'!$E$3,INDEX(INDIRECT("'"&amp;$H$3&amp;"'!$H$49:$H$78"),MATCH(INDIRECT("'"&amp;$H$3&amp;"'!T$176")&amp;"Insurance cost /yr ($)",INDIRECT("'"&amp;$H$3&amp;"'!$F$49:$F$78"),0))*INDIRECT("'"&amp;$H$3&amp;"'!T$180"),0),0)</f>
        <v>0</v>
      </c>
      <c r="U114" s="337"/>
      <c r="V114" s="337"/>
      <c r="W114" s="1437">
        <f ca="1">IFERROR((1-INDIRECT("'"&amp;$H$3&amp;"'!W$141"))*IF(INDIRECT("'"&amp;$H$3&amp;"'!W$137")='List Values'!$E$3,INDEX(INDIRECT("'"&amp;$H$3&amp;"'!$H$49:$H$78"),MATCH(INDIRECT("'"&amp;$H$3&amp;"'!W$136")&amp;"Insurance cost /yr ($)",INDIRECT("'"&amp;$H$3&amp;"'!$F$49:$F$78"),0))*INDIRECT("'"&amp;$H$3&amp;"'!W$140"),0),0)
+IFERROR((1-INDIRECT("'"&amp;$H$3&amp;"'!W$161"))*IF(INDIRECT("'"&amp;$H$3&amp;"'!W$157")='List Values'!$E$3,INDEX(INDIRECT("'"&amp;$H$3&amp;"'!$H$49:$H$78"),MATCH(INDIRECT("'"&amp;$H$3&amp;"'!W$156")&amp;"Insurance cost /yr ($)",INDIRECT("'"&amp;$H$3&amp;"'!$F$49:$F$78"),0))*INDIRECT("'"&amp;$H$3&amp;"'!W$160"),0),0)
+IFERROR((1-INDIRECT("'"&amp;$H$3&amp;"'!W$181"))*IF(INDIRECT("'"&amp;$H$3&amp;"'!W$177")='List Values'!$E$3,INDEX(INDIRECT("'"&amp;$H$3&amp;"'!$H$49:$H$78"),MATCH(INDIRECT("'"&amp;$H$3&amp;"'!W$176")&amp;"Insurance cost /yr ($)",INDIRECT("'"&amp;$H$3&amp;"'!$F$49:$F$78"),0))*INDIRECT("'"&amp;$H$3&amp;"'!W$180"),0),0)</f>
        <v>0</v>
      </c>
      <c r="Y114" s="341">
        <f t="shared" ca="1" si="11"/>
        <v>6439.65</v>
      </c>
      <c r="AL114" s="4"/>
    </row>
    <row r="115" spans="6:38">
      <c r="F115" s="288"/>
      <c r="G115" s="288" t="s">
        <v>92</v>
      </c>
      <c r="H115" s="300">
        <f ca="1">IFERROR((1-INDIRECT("'"&amp;$H$3&amp;"'!H$142"))*IF(INDIRECT("'"&amp;$H$3&amp;"'!H$137")='List Values'!$E$3,H$169*INDEX(INDIRECT("'"&amp;$H$3&amp;"'!$H$49:$H$78"),MATCH(INDIRECT("'"&amp;$H$3&amp;"'!H$136")&amp;"Maintenance cost/km ($)",INDIRECT("'"&amp;$H$3&amp;"'!$F$49:$F$78"),0)),0),0)
+ IFERROR((1-INDIRECT("'"&amp;$H$3&amp;"'!H$162"))*IF(INDIRECT("'"&amp;$H$3&amp;"'!H$157")='List Values'!$E$3,H$207*INDEX(INDIRECT("'"&amp;$H$3&amp;"'!$H$49:$H$78"),MATCH(INDIRECT("'"&amp;$H$3&amp;"'!H$156")&amp;"Maintenance cost/km ($)",INDIRECT("'"&amp;$H$3&amp;"'!$F$49:$F$78"),0)),0),0)
+ IFERROR((1-INDIRECT("'"&amp;$H$3&amp;"'!H$182"))*IF(INDIRECT("'"&amp;$H$3&amp;"'!H$177")='List Values'!$E$3,H$245*INDEX(INDIRECT("'"&amp;$H$3&amp;"'!$H$49:$H$78"),MATCH(INDIRECT("'"&amp;$H$3&amp;"'!H$176")&amp;"Maintenance cost/km ($)",INDIRECT("'"&amp;$H$3&amp;"'!$F$49:$F$78"),0)),0),0)</f>
        <v>0</v>
      </c>
      <c r="I115" s="300"/>
      <c r="J115" s="300"/>
      <c r="K115" s="300">
        <f ca="1">IFERROR((1-INDIRECT("'"&amp;$H$3&amp;"'!K$142"))*IF(INDIRECT("'"&amp;$H$3&amp;"'!K$137")='List Values'!$E$3,K$169*INDEX(INDIRECT("'"&amp;$H$3&amp;"'!$H$49:$H$78"),MATCH(INDIRECT("'"&amp;$H$3&amp;"'!K$136")&amp;"Maintenance cost/km ($)",INDIRECT("'"&amp;$H$3&amp;"'!$F$49:$F$78"),0)),0),0)
+ IFERROR((1-INDIRECT("'"&amp;$H$3&amp;"'!K$162"))*IF(INDIRECT("'"&amp;$H$3&amp;"'!K$157")='List Values'!$E$3,K$207*INDEX(INDIRECT("'"&amp;$H$3&amp;"'!$H$49:$H$78"),MATCH(INDIRECT("'"&amp;$H$3&amp;"'!K$156")&amp;"Maintenance cost/km ($)",INDIRECT("'"&amp;$H$3&amp;"'!$F$49:$F$78"),0)),0),0)
+ IFERROR((1-INDIRECT("'"&amp;$H$3&amp;"'!K$182"))*IF(INDIRECT("'"&amp;$H$3&amp;"'!K$177")='List Values'!$E$3,K$245*INDEX(INDIRECT("'"&amp;$H$3&amp;"'!$H$49:$H$78"),MATCH(INDIRECT("'"&amp;$H$3&amp;"'!K$176")&amp;"Maintenance cost/km ($)",INDIRECT("'"&amp;$H$3&amp;"'!$F$49:$F$78"),0)),0),0)</f>
        <v>37778.080000000002</v>
      </c>
      <c r="L115" s="300"/>
      <c r="M115" s="300"/>
      <c r="N115" s="300">
        <f ca="1">IFERROR((1-INDIRECT("'"&amp;$H$3&amp;"'!N$142"))*IF(INDIRECT("'"&amp;$H$3&amp;"'!N$137")='List Values'!$E$3,N$169*INDEX(INDIRECT("'"&amp;$H$3&amp;"'!$H$49:$H$78"),MATCH(INDIRECT("'"&amp;$H$3&amp;"'!N$136")&amp;"Maintenance cost/km ($)",INDIRECT("'"&amp;$H$3&amp;"'!$F$49:$F$78"),0)),0),0)
+ IFERROR((1-INDIRECT("'"&amp;$H$3&amp;"'!N$162"))*IF(INDIRECT("'"&amp;$H$3&amp;"'!N$157")='List Values'!$E$3,N$207*INDEX(INDIRECT("'"&amp;$H$3&amp;"'!$H$49:$H$78"),MATCH(INDIRECT("'"&amp;$H$3&amp;"'!N$156")&amp;"Maintenance cost/km ($)",INDIRECT("'"&amp;$H$3&amp;"'!$F$49:$F$78"),0)),0),0)
+ IFERROR((1-INDIRECT("'"&amp;$H$3&amp;"'!N$182"))*IF(INDIRECT("'"&amp;$H$3&amp;"'!N$177")='List Values'!$E$3,N$245*INDEX(INDIRECT("'"&amp;$H$3&amp;"'!$H$49:$H$78"),MATCH(INDIRECT("'"&amp;$H$3&amp;"'!N$176")&amp;"Maintenance cost/km ($)",INDIRECT("'"&amp;$H$3&amp;"'!$F$49:$F$78"),0)),0),0)</f>
        <v>25146.342354167708</v>
      </c>
      <c r="O115" s="300"/>
      <c r="P115" s="300"/>
      <c r="Q115" s="300">
        <f ca="1">IFERROR((1-INDIRECT("'"&amp;$H$3&amp;"'!Q$142"))*IF(INDIRECT("'"&amp;$H$3&amp;"'!Q$137")='List Values'!$E$3,Q$169*INDEX(INDIRECT("'"&amp;$H$3&amp;"'!$H$49:$H$78"),MATCH(INDIRECT("'"&amp;$H$3&amp;"'!Q$136")&amp;"Maintenance cost/km ($)",INDIRECT("'"&amp;$H$3&amp;"'!$F$49:$F$78"),0)),0),0)
+ IFERROR((1-INDIRECT("'"&amp;$H$3&amp;"'!Q$162"))*IF(INDIRECT("'"&amp;$H$3&amp;"'!Q$157")='List Values'!$E$3,Q$207*INDEX(INDIRECT("'"&amp;$H$3&amp;"'!$H$49:$H$78"),MATCH(INDIRECT("'"&amp;$H$3&amp;"'!Q$156")&amp;"Maintenance cost/km ($)",INDIRECT("'"&amp;$H$3&amp;"'!$F$49:$F$78"),0)),0),0)
+ IFERROR((1-INDIRECT("'"&amp;$H$3&amp;"'!Q$182"))*IF(INDIRECT("'"&amp;$H$3&amp;"'!Q$177")='List Values'!$E$3,Q$245*INDEX(INDIRECT("'"&amp;$H$3&amp;"'!$H$49:$H$78"),MATCH(INDIRECT("'"&amp;$H$3&amp;"'!Q$176")&amp;"Maintenance cost/km ($)",INDIRECT("'"&amp;$H$3&amp;"'!$F$49:$F$78"),0)),0),0)</f>
        <v>0</v>
      </c>
      <c r="R115" s="300"/>
      <c r="S115" s="337"/>
      <c r="T115" s="300">
        <f ca="1">IFERROR((1-INDIRECT("'"&amp;$H$3&amp;"'!T$142"))*IF(INDIRECT("'"&amp;$H$3&amp;"'!T$137")='List Values'!$E$3,T$169*INDEX(INDIRECT("'"&amp;$H$3&amp;"'!$H$49:$H$78"),MATCH(INDIRECT("'"&amp;$H$3&amp;"'!T$136")&amp;"Maintenance cost/km ($)",INDIRECT("'"&amp;$H$3&amp;"'!$F$49:$F$78"),0)),0),0)
+ IFERROR((1-INDIRECT("'"&amp;$H$3&amp;"'!T$162"))*IF(INDIRECT("'"&amp;$H$3&amp;"'!T$157")='List Values'!$E$3,T$207*INDEX(INDIRECT("'"&amp;$H$3&amp;"'!$H$49:$H$78"),MATCH(INDIRECT("'"&amp;$H$3&amp;"'!T$156")&amp;"Maintenance cost/km ($)",INDIRECT("'"&amp;$H$3&amp;"'!$F$49:$F$78"),0)),0),0)
+ IFERROR((1-INDIRECT("'"&amp;$H$3&amp;"'!T$182"))*IF(INDIRECT("'"&amp;$H$3&amp;"'!T$177")='List Values'!$E$3,T$245*INDEX(INDIRECT("'"&amp;$H$3&amp;"'!$H$49:$H$78"),MATCH(INDIRECT("'"&amp;$H$3&amp;"'!T$176")&amp;"Maintenance cost/km ($)",INDIRECT("'"&amp;$H$3&amp;"'!$F$49:$F$78"),0)),0),0)</f>
        <v>0</v>
      </c>
      <c r="U115" s="337"/>
      <c r="V115" s="337"/>
      <c r="W115" s="1437">
        <f ca="1">IFERROR((1-INDIRECT("'"&amp;$H$3&amp;"'!W$142"))*IF(INDIRECT("'"&amp;$H$3&amp;"'!W$137")='List Values'!$E$3,W$169*INDEX(INDIRECT("'"&amp;$H$3&amp;"'!$H$49:$H$78"),MATCH(INDIRECT("'"&amp;$H$3&amp;"'!W$136")&amp;"Maintenance cost/km ($)",INDIRECT("'"&amp;$H$3&amp;"'!$F$49:$F$78"),0)),0),0)
+ IFERROR((1-INDIRECT("'"&amp;$H$3&amp;"'!W$162"))*IF(INDIRECT("'"&amp;$H$3&amp;"'!W$157")='List Values'!$E$3,W$207*INDEX(INDIRECT("'"&amp;$H$3&amp;"'!$H$49:$H$78"),MATCH(INDIRECT("'"&amp;$H$3&amp;"'!W$156")&amp;"Maintenance cost/km ($)",INDIRECT("'"&amp;$H$3&amp;"'!$F$49:$F$78"),0)),0),0)
+ IFERROR((1-INDIRECT("'"&amp;$H$3&amp;"'!W$182"))*IF(INDIRECT("'"&amp;$H$3&amp;"'!W$177")='List Values'!$E$3,W$245*INDEX(INDIRECT("'"&amp;$H$3&amp;"'!$H$49:$H$78"),MATCH(INDIRECT("'"&amp;$H$3&amp;"'!W$176")&amp;"Maintenance cost/km ($)",INDIRECT("'"&amp;$H$3&amp;"'!$F$49:$F$78"),0)),0),0)</f>
        <v>0</v>
      </c>
      <c r="Y115" s="341">
        <f t="shared" ca="1" si="11"/>
        <v>62924.422354167706</v>
      </c>
      <c r="AL115" s="4"/>
    </row>
    <row r="116" spans="6:38">
      <c r="F116" s="288"/>
      <c r="G116" s="288" t="s">
        <v>93</v>
      </c>
      <c r="H116" s="300">
        <f ca="1">IFERROR((1-INDIRECT("'"&amp;$H$3&amp;"'!H$141"))*IF(INDIRECT("'"&amp;$H$3&amp;"'!H$137")='List Values'!$E$3,INDEX(INDIRECT("'"&amp;$H$3&amp;"'!$H$49:$H$78"),MATCH(INDIRECT("'"&amp;$H$3&amp;"'!H$136")&amp;"Depreciation cost / yr ($)",INDIRECT("'"&amp;$H$3&amp;"'!$F$49:$F$78"),0))*INDIRECT("'"&amp;$H$3&amp;"'!H$140"),0),0)
+IFERROR((1-INDIRECT("'"&amp;$H$3&amp;"'!H$161"))*IF(INDIRECT("'"&amp;$H$3&amp;"'!H$157")='List Values'!$E$3,INDEX(INDIRECT("'"&amp;$H$3&amp;"'!$H$49:$H$78"),MATCH(INDIRECT("'"&amp;$H$3&amp;"'!H$156")&amp;"Depreciation cost / yr ($)",INDIRECT("'"&amp;$H$3&amp;"'!$F$49:$F$78"),0))*INDIRECT("'"&amp;$H$3&amp;"'!H$160"),0),0)
+IFERROR((1-INDIRECT("'"&amp;$H$3&amp;"'!H$181"))*IF(INDIRECT("'"&amp;$H$3&amp;"'!H$177")='List Values'!$E$3,INDEX(INDIRECT("'"&amp;$H$3&amp;"'!$H$49:$H$78"),MATCH(INDIRECT("'"&amp;$H$3&amp;"'!H$176")&amp;"Depreciation cost / yr ($)",INDIRECT("'"&amp;$H$3&amp;"'!$F$49:$F$78"),0))*INDIRECT("'"&amp;$H$3&amp;"'!H$180"),0),0)</f>
        <v>0</v>
      </c>
      <c r="I116" s="300"/>
      <c r="J116" s="300"/>
      <c r="K116" s="300">
        <f ca="1">IFERROR((1-INDIRECT("'"&amp;$H$3&amp;"'!K$141"))*IF(INDIRECT("'"&amp;$H$3&amp;"'!K$137")='List Values'!$E$3,INDEX(INDIRECT("'"&amp;$H$3&amp;"'!$H$49:$H$78"),MATCH(INDIRECT("'"&amp;$H$3&amp;"'!K$136")&amp;"Depreciation cost / yr ($)",INDIRECT("'"&amp;$H$3&amp;"'!$F$49:$F$78"),0))*INDIRECT("'"&amp;$H$3&amp;"'!K$140"),0),0)
+IFERROR((1-INDIRECT("'"&amp;$H$3&amp;"'!K$161"))*IF(INDIRECT("'"&amp;$H$3&amp;"'!K$157")='List Values'!$E$3,INDEX(INDIRECT("'"&amp;$H$3&amp;"'!$H$49:$H$78"),MATCH(INDIRECT("'"&amp;$H$3&amp;"'!K$156")&amp;"Depreciation cost / yr ($)",INDIRECT("'"&amp;$H$3&amp;"'!$F$49:$F$78"),0))*INDIRECT("'"&amp;$H$3&amp;"'!K$160"),0),0)
+IFERROR((1-INDIRECT("'"&amp;$H$3&amp;"'!K$181"))*IF(INDIRECT("'"&amp;$H$3&amp;"'!K$177")='List Values'!$E$3,INDEX(INDIRECT("'"&amp;$H$3&amp;"'!$H$49:$H$78"),MATCH(INDIRECT("'"&amp;$H$3&amp;"'!K$176")&amp;"Depreciation cost / yr ($)",INDIRECT("'"&amp;$H$3&amp;"'!$F$49:$F$78"),0))*INDIRECT("'"&amp;$H$3&amp;"'!K$180"),0),0)</f>
        <v>14089.798000000001</v>
      </c>
      <c r="L116" s="300"/>
      <c r="M116" s="300"/>
      <c r="N116" s="300">
        <f ca="1">IFERROR((1-INDIRECT("'"&amp;$H$3&amp;"'!N$141"))*IF(INDIRECT("'"&amp;$H$3&amp;"'!N$137")='List Values'!$E$3,INDEX(INDIRECT("'"&amp;$H$3&amp;"'!$H$49:$H$78"),MATCH(INDIRECT("'"&amp;$H$3&amp;"'!N$136")&amp;"Depreciation cost / yr ($)",INDIRECT("'"&amp;$H$3&amp;"'!$F$49:$F$78"),0))*INDIRECT("'"&amp;$H$3&amp;"'!N$140"),0),0)
+IFERROR((1-INDIRECT("'"&amp;$H$3&amp;"'!N$161"))*IF(INDIRECT("'"&amp;$H$3&amp;"'!N$157")='List Values'!$E$3,INDEX(INDIRECT("'"&amp;$H$3&amp;"'!$H$49:$H$78"),MATCH(INDIRECT("'"&amp;$H$3&amp;"'!N$156")&amp;"Depreciation cost / yr ($)",INDIRECT("'"&amp;$H$3&amp;"'!$F$49:$F$78"),0))*INDIRECT("'"&amp;$H$3&amp;"'!N$160"),0),0)
+IFERROR((1-INDIRECT("'"&amp;$H$3&amp;"'!N$181"))*IF(INDIRECT("'"&amp;$H$3&amp;"'!N$177")='List Values'!$E$3,INDEX(INDIRECT("'"&amp;$H$3&amp;"'!$H$49:$H$78"),MATCH(INDIRECT("'"&amp;$H$3&amp;"'!N$176")&amp;"Depreciation cost / yr ($)",INDIRECT("'"&amp;$H$3&amp;"'!$F$49:$F$78"),0))*INDIRECT("'"&amp;$H$3&amp;"'!N$180"),0),0)</f>
        <v>21134.697</v>
      </c>
      <c r="O116" s="300"/>
      <c r="P116" s="300"/>
      <c r="Q116" s="300">
        <f ca="1">IFERROR((1-INDIRECT("'"&amp;$H$3&amp;"'!Q$141"))*IF(INDIRECT("'"&amp;$H$3&amp;"'!Q$137")='List Values'!$E$3,INDEX(INDIRECT("'"&amp;$H$3&amp;"'!$H$49:$H$78"),MATCH(INDIRECT("'"&amp;$H$3&amp;"'!Q$136")&amp;"Depreciation cost / yr ($)",INDIRECT("'"&amp;$H$3&amp;"'!$F$49:$F$78"),0))*INDIRECT("'"&amp;$H$3&amp;"'!Q$140"),0),0)
+IFERROR((1-INDIRECT("'"&amp;$H$3&amp;"'!Q$161"))*IF(INDIRECT("'"&amp;$H$3&amp;"'!Q$157")='List Values'!$E$3,INDEX(INDIRECT("'"&amp;$H$3&amp;"'!$H$49:$H$78"),MATCH(INDIRECT("'"&amp;$H$3&amp;"'!Q$156")&amp;"Depreciation cost / yr ($)",INDIRECT("'"&amp;$H$3&amp;"'!$F$49:$F$78"),0))*INDIRECT("'"&amp;$H$3&amp;"'!Q$160"),0),0)
+IFERROR((1-INDIRECT("'"&amp;$H$3&amp;"'!Q$181"))*IF(INDIRECT("'"&amp;$H$3&amp;"'!Q$177")='List Values'!$E$3,INDEX(INDIRECT("'"&amp;$H$3&amp;"'!$H$49:$H$78"),MATCH(INDIRECT("'"&amp;$H$3&amp;"'!Q$176")&amp;"Depreciation cost / yr ($)",INDIRECT("'"&amp;$H$3&amp;"'!$F$49:$F$78"),0))*INDIRECT("'"&amp;$H$3&amp;"'!Q$180"),0),0)</f>
        <v>0</v>
      </c>
      <c r="R116" s="300"/>
      <c r="S116" s="337"/>
      <c r="T116" s="300">
        <f ca="1">IFERROR((1-INDIRECT("'"&amp;$H$3&amp;"'!T$141"))*IF(INDIRECT("'"&amp;$H$3&amp;"'!T$137")='List Values'!$E$3,INDEX(INDIRECT("'"&amp;$H$3&amp;"'!$H$49:$H$78"),MATCH(INDIRECT("'"&amp;$H$3&amp;"'!T$136")&amp;"Depreciation cost / yr ($)",INDIRECT("'"&amp;$H$3&amp;"'!$F$49:$F$78"),0))*INDIRECT("'"&amp;$H$3&amp;"'!T$140"),0),0)
+IFERROR((1-INDIRECT("'"&amp;$H$3&amp;"'!T$161"))*IF(INDIRECT("'"&amp;$H$3&amp;"'!T$157")='List Values'!$E$3,INDEX(INDIRECT("'"&amp;$H$3&amp;"'!$H$49:$H$78"),MATCH(INDIRECT("'"&amp;$H$3&amp;"'!T$156")&amp;"Depreciation cost / yr ($)",INDIRECT("'"&amp;$H$3&amp;"'!$F$49:$F$78"),0))*INDIRECT("'"&amp;$H$3&amp;"'!T$160"),0),0)
+IFERROR((1-INDIRECT("'"&amp;$H$3&amp;"'!T$181"))*IF(INDIRECT("'"&amp;$H$3&amp;"'!T$177")='List Values'!$E$3,INDEX(INDIRECT("'"&amp;$H$3&amp;"'!$H$49:$H$78"),MATCH(INDIRECT("'"&amp;$H$3&amp;"'!T$176")&amp;"Depreciation cost / yr ($)",INDIRECT("'"&amp;$H$3&amp;"'!$F$49:$F$78"),0))*INDIRECT("'"&amp;$H$3&amp;"'!T$180"),0),0)</f>
        <v>0</v>
      </c>
      <c r="U116" s="337"/>
      <c r="V116" s="337"/>
      <c r="W116" s="1437">
        <f ca="1">IFERROR((1-INDIRECT("'"&amp;$H$3&amp;"'!W$141"))*IF(INDIRECT("'"&amp;$H$3&amp;"'!W$137")='List Values'!$E$3,INDEX(INDIRECT("'"&amp;$H$3&amp;"'!$H$49:$H$78"),MATCH(INDIRECT("'"&amp;$H$3&amp;"'!W$136")&amp;"Depreciation cost / yr ($)",INDIRECT("'"&amp;$H$3&amp;"'!$F$49:$F$78"),0))*INDIRECT("'"&amp;$H$3&amp;"'!W$140"),0),0)
+IFERROR((1-INDIRECT("'"&amp;$H$3&amp;"'!W$161"))*IF(INDIRECT("'"&amp;$H$3&amp;"'!W$157")='List Values'!$E$3,INDEX(INDIRECT("'"&amp;$H$3&amp;"'!$H$49:$H$78"),MATCH(INDIRECT("'"&amp;$H$3&amp;"'!W$156")&amp;"Depreciation cost / yr ($)",INDIRECT("'"&amp;$H$3&amp;"'!$F$49:$F$78"),0))*INDIRECT("'"&amp;$H$3&amp;"'!W$160"),0),0)
+IFERROR((1-INDIRECT("'"&amp;$H$3&amp;"'!W$181"))*IF(INDIRECT("'"&amp;$H$3&amp;"'!W$177")='List Values'!$E$3,INDEX(INDIRECT("'"&amp;$H$3&amp;"'!$H$49:$H$78"),MATCH(INDIRECT("'"&amp;$H$3&amp;"'!W$176")&amp;"Depreciation cost / yr ($)",INDIRECT("'"&amp;$H$3&amp;"'!$F$49:$F$78"),0))*INDIRECT("'"&amp;$H$3&amp;"'!W$180"),0),0)</f>
        <v>0</v>
      </c>
      <c r="Y116" s="341">
        <f t="shared" ca="1" si="11"/>
        <v>35224.495000000003</v>
      </c>
      <c r="AL116" s="4"/>
    </row>
    <row r="117" spans="6:38">
      <c r="F117" s="363"/>
      <c r="G117" s="220" t="s">
        <v>160</v>
      </c>
      <c r="H117" s="296">
        <f ca="1">IFERROR((1-INDIRECT("'"&amp;$H$3&amp;"'!H$142"))*H$154*INDEX(INDIRECT("'"&amp;$H$3&amp;"'!$H$43:$H$78"),MATCH(INDIRECT("'"&amp;$H$3&amp;"'!H$136")&amp;"Average cost ($) per trip (one-way)",INDIRECT("'"&amp;$H$3&amp;"'!$F$43:$F$78"),0)),0)
+IFERROR((1-INDIRECT("'"&amp;$H$3&amp;"'!H$162"))*H$192*INDEX(INDIRECT("'"&amp;$H$3&amp;"'!$H$43:$H$78"),MATCH(INDIRECT("'"&amp;$H$3&amp;"'!H$156")&amp;"Average cost ($) per trip (one-way)",INDIRECT("'"&amp;$H$3&amp;"'!$F$43:$F$78"),0)),0)
+IFERROR((1-INDIRECT("'"&amp;$H$3&amp;"'!H$182"))*H$230*INDEX(INDIRECT("'"&amp;$H$3&amp;"'!$H$43:$H$78"),MATCH(INDIRECT("'"&amp;$H$3&amp;"'!H$176")&amp;"Average cost ($) per trip (one-way)",INDIRECT("'"&amp;$H$3&amp;"'!$F$43:$F$78"),0)),0)</f>
        <v>0</v>
      </c>
      <c r="I117" s="296"/>
      <c r="J117" s="296"/>
      <c r="K117" s="296">
        <f ca="1">IFERROR((1-INDIRECT("'"&amp;$H$3&amp;"'!K$142"))*K$154*INDEX(INDIRECT("'"&amp;$H$3&amp;"'!$H$43:$H$78"),MATCH(INDIRECT("'"&amp;$H$3&amp;"'!K$136")&amp;"Average cost ($) per trip (one-way)",INDIRECT("'"&amp;$H$3&amp;"'!$F$43:$F$78"),0)),0)
+IFERROR((1-INDIRECT("'"&amp;$H$3&amp;"'!K$162"))*K$192*INDEX(INDIRECT("'"&amp;$H$3&amp;"'!$H$43:$H$78"),MATCH(INDIRECT("'"&amp;$H$3&amp;"'!K$156")&amp;"Average cost ($) per trip (one-way)",INDIRECT("'"&amp;$H$3&amp;"'!$F$43:$F$78"),0)),0)
+IFERROR((1-INDIRECT("'"&amp;$H$3&amp;"'!K$182"))*K$230*INDEX(INDIRECT("'"&amp;$H$3&amp;"'!$H$43:$H$78"),MATCH(INDIRECT("'"&amp;$H$3&amp;"'!K$176")&amp;"Average cost ($) per trip (one-way)",INDIRECT("'"&amp;$H$3&amp;"'!$F$43:$F$78"),0)),0)</f>
        <v>0</v>
      </c>
      <c r="L117" s="296"/>
      <c r="M117" s="296"/>
      <c r="N117" s="296">
        <f ca="1">IFERROR((1-INDIRECT("'"&amp;$H$3&amp;"'!N$142"))*N$154*INDEX(INDIRECT("'"&amp;$H$3&amp;"'!$H$43:$H$78"),MATCH(INDIRECT("'"&amp;$H$3&amp;"'!N$136")&amp;"Average cost ($) per trip (one-way)",INDIRECT("'"&amp;$H$3&amp;"'!$F$43:$F$78"),0)),0)
+IFERROR((1-INDIRECT("'"&amp;$H$3&amp;"'!N$162"))*N$192*INDEX(INDIRECT("'"&amp;$H$3&amp;"'!$H$43:$H$78"),MATCH(INDIRECT("'"&amp;$H$3&amp;"'!N$156")&amp;"Average cost ($) per trip (one-way)",INDIRECT("'"&amp;$H$3&amp;"'!$F$43:$F$78"),0)),0)
+IFERROR((1-INDIRECT("'"&amp;$H$3&amp;"'!N$182"))*N$230*INDEX(INDIRECT("'"&amp;$H$3&amp;"'!$H$43:$H$78"),MATCH(INDIRECT("'"&amp;$H$3&amp;"'!N$176")&amp;"Average cost ($) per trip (one-way)",INDIRECT("'"&amp;$H$3&amp;"'!$F$43:$F$78"),0)),0)</f>
        <v>0</v>
      </c>
      <c r="O117" s="296"/>
      <c r="P117" s="296"/>
      <c r="Q117" s="296">
        <f ca="1">IFERROR((1-INDIRECT("'"&amp;$H$3&amp;"'!Q$142"))*Q$154*INDEX(INDIRECT("'"&amp;$H$3&amp;"'!$H$43:$H$78"),MATCH(INDIRECT("'"&amp;$H$3&amp;"'!Q$136")&amp;"Average cost ($) per trip (one-way)",INDIRECT("'"&amp;$H$3&amp;"'!$F$43:$F$78"),0)),0)
+IFERROR((1-INDIRECT("'"&amp;$H$3&amp;"'!Q$162"))*Q$192*INDEX(INDIRECT("'"&amp;$H$3&amp;"'!$H$43:$H$78"),MATCH(INDIRECT("'"&amp;$H$3&amp;"'!Q$156")&amp;"Average cost ($) per trip (one-way)",INDIRECT("'"&amp;$H$3&amp;"'!$F$43:$F$78"),0)),0)
+IFERROR((1-INDIRECT("'"&amp;$H$3&amp;"'!Q$182"))*Q$230*INDEX(INDIRECT("'"&amp;$H$3&amp;"'!$H$43:$H$78"),MATCH(INDIRECT("'"&amp;$H$3&amp;"'!Q$176")&amp;"Average cost ($) per trip (one-way)",INDIRECT("'"&amp;$H$3&amp;"'!$F$43:$F$78"),0)),0)</f>
        <v>0</v>
      </c>
      <c r="R117" s="296"/>
      <c r="S117" s="361"/>
      <c r="T117" s="296">
        <f ca="1">IFERROR((1-INDIRECT("'"&amp;$H$3&amp;"'!T$142"))*T$154*INDEX(INDIRECT("'"&amp;$H$3&amp;"'!$H$43:$H$78"),MATCH(INDIRECT("'"&amp;$H$3&amp;"'!T$136")&amp;"Average cost ($) per trip (one-way)",INDIRECT("'"&amp;$H$3&amp;"'!$F$43:$F$78"),0)),0)
+IFERROR((1-INDIRECT("'"&amp;$H$3&amp;"'!T$162"))*T$192*INDEX(INDIRECT("'"&amp;$H$3&amp;"'!$H$43:$H$78"),MATCH(INDIRECT("'"&amp;$H$3&amp;"'!T$156")&amp;"Average cost ($) per trip (one-way)",INDIRECT("'"&amp;$H$3&amp;"'!$F$43:$F$78"),0)),0)
+IFERROR((1-INDIRECT("'"&amp;$H$3&amp;"'!T$182"))*T$230*INDEX(INDIRECT("'"&amp;$H$3&amp;"'!$H$43:$H$78"),MATCH(INDIRECT("'"&amp;$H$3&amp;"'!T$176")&amp;"Average cost ($) per trip (one-way)",INDIRECT("'"&amp;$H$3&amp;"'!$F$43:$F$78"),0)),0)</f>
        <v>0</v>
      </c>
      <c r="U117" s="361"/>
      <c r="V117" s="361"/>
      <c r="W117" s="1438">
        <f ca="1">IFERROR((1-INDIRECT("'"&amp;$H$3&amp;"'!W$142"))*W$154*INDEX(INDIRECT("'"&amp;$H$3&amp;"'!$H$43:$H$78"),MATCH(INDIRECT("'"&amp;$H$3&amp;"'!W$136")&amp;"Average cost ($) per trip (one-way)",INDIRECT("'"&amp;$H$3&amp;"'!$F$43:$F$78"),0)),0)
+IFERROR((1-INDIRECT("'"&amp;$H$3&amp;"'!W$162"))*W$192*INDEX(INDIRECT("'"&amp;$H$3&amp;"'!$H$43:$H$78"),MATCH(INDIRECT("'"&amp;$H$3&amp;"'!W$156")&amp;"Average cost ($) per trip (one-way)",INDIRECT("'"&amp;$H$3&amp;"'!$F$43:$F$78"),0)),0)
+IFERROR((1-INDIRECT("'"&amp;$H$3&amp;"'!W$182"))*W$230*INDEX(INDIRECT("'"&amp;$H$3&amp;"'!$H$43:$H$78"),MATCH(INDIRECT("'"&amp;$H$3&amp;"'!W$176")&amp;"Average cost ($) per trip (one-way)",INDIRECT("'"&amp;$H$3&amp;"'!$F$43:$F$78"),0)),0)</f>
        <v>0</v>
      </c>
      <c r="Y117" s="347">
        <f t="shared" ca="1" si="11"/>
        <v>0</v>
      </c>
    </row>
    <row r="118" spans="6:38">
      <c r="F118" s="330" t="s">
        <v>2441</v>
      </c>
      <c r="G118" s="330"/>
      <c r="H118" s="327"/>
      <c r="I118" s="327"/>
      <c r="J118" s="327"/>
      <c r="K118" s="327"/>
      <c r="L118" s="327"/>
      <c r="M118" s="327"/>
      <c r="N118" s="327"/>
      <c r="O118" s="327"/>
      <c r="P118" s="327"/>
      <c r="Q118" s="327"/>
      <c r="R118" s="329"/>
      <c r="S118" s="331"/>
      <c r="T118" s="327"/>
      <c r="U118" s="331"/>
      <c r="V118" s="331"/>
      <c r="W118" s="1439"/>
      <c r="X118" s="1463"/>
      <c r="Y118" s="1489">
        <f ca="1">SUM(Y119:Y127)</f>
        <v>0</v>
      </c>
    </row>
    <row r="119" spans="6:38">
      <c r="F119" s="219"/>
      <c r="G119" s="219" t="s">
        <v>48</v>
      </c>
      <c r="H119" s="297">
        <f ca="1">IFERROR((1-INDIRECT("'"&amp;$H$3&amp;"'!H$271"))*IF(INDIRECT("'"&amp;$H$3&amp;"'!H$265")='List Values'!$E$5,INDIRECT("'"&amp;$H$3&amp;"'!H$267")*IF(INDIRECT("'"&amp;$H$3&amp;"'!H$266")='List Values'!$F$3,H$369,IF(INDIRECT("'"&amp;$H$3&amp;"'!H$266")='List Values'!$F$4,'1_Outputs'!H$52*INDIRECT("'"&amp;$H$3&amp;"'!H$95")*INDIRECT("'"&amp;$H$3&amp;"'!H$263"),IF(INDIRECT("'"&amp;$H$3&amp;"'!H$266")='List Values'!$F$5,H$370,IF(INDIRECT("'"&amp;$H$3&amp;"'!H$266")='List Values'!$F$6,INDIRECT("'"&amp;$H$3&amp;"'!H$95")*INDIRECT("'"&amp;$H$3&amp;"'!H$263"),IF(INDIRECT("'"&amp;$H$3&amp;"'!H$266")='List Values'!$F$7,1,0))))),0),0)
+IFERROR((1-INDIRECT("'"&amp;$H$3&amp;"'!H$291"))*IF(INDIRECT("'"&amp;$H$3&amp;"'!H$285")='List Values'!$E$5,INDIRECT("'"&amp;$H$3&amp;"'!H$287")*IF(INDIRECT("'"&amp;$H$3&amp;"'!H$286")='List Values'!$F$3,H$398,IF(INDIRECT("'"&amp;$H$3&amp;"'!H$286")='List Values'!$F$4,'1_Outputs'!H$52*INDIRECT("'"&amp;$H$3&amp;"'!H$95")*INDIRECT("'"&amp;$H$3&amp;"'!H$283"),IF(INDIRECT("'"&amp;$H$3&amp;"'!H$286")='List Values'!$F$5,H$399,IF(INDIRECT("'"&amp;$H$3&amp;"'!H$286")='List Values'!$F$6,INDIRECT("'"&amp;$H$3&amp;"'!H$95")*INDIRECT("'"&amp;$H$3&amp;"'!H$283"),IF(INDIRECT("'"&amp;$H$3&amp;"'!H$286")='List Values'!$F$7,1,0))))),0),0)
+IFERROR((1-INDIRECT("'"&amp;$H$3&amp;"'!H$311"))*IF(INDIRECT("'"&amp;$H$3&amp;"'!H$305")='List Values'!$E$5,INDIRECT("'"&amp;$H$3&amp;"'!H$307")*IF(INDIRECT("'"&amp;$H$3&amp;"'!H$306")='List Values'!$F$3,H$427,IF(INDIRECT("'"&amp;$H$3&amp;"'!H$306")='List Values'!$F$4,'1_Outputs'!H$52*INDIRECT("'"&amp;$H$3&amp;"'!H$95")*INDIRECT("'"&amp;$H$3&amp;"'!H$303"),IF(INDIRECT("'"&amp;$H$3&amp;"'!H$306")='List Values'!$F$5,H$428,IF(INDIRECT("'"&amp;$H$3&amp;"'!H$306")='List Values'!$F$6,INDIRECT("'"&amp;$H$3&amp;"'!H$95")*INDIRECT("'"&amp;$H$3&amp;"'!H$303"),IF(INDIRECT("'"&amp;$H$3&amp;"'!H$306")='List Values'!$F$7,1,0))))),0),0)</f>
        <v>0</v>
      </c>
      <c r="I119" s="297"/>
      <c r="J119" s="297"/>
      <c r="K119" s="297">
        <f ca="1">IFERROR((1-INDIRECT("'"&amp;$H$3&amp;"'!K$271"))*IF(INDIRECT("'"&amp;$H$3&amp;"'!K$265")='List Values'!$E$5,INDIRECT("'"&amp;$H$3&amp;"'!K$267")*IF(INDIRECT("'"&amp;$H$3&amp;"'!K$266")='List Values'!$F$3,K$369,IF(INDIRECT("'"&amp;$H$3&amp;"'!K$266")='List Values'!$F$4,'1_Outputs'!K$52*INDIRECT("'"&amp;$H$3&amp;"'!K$95")*INDIRECT("'"&amp;$H$3&amp;"'!K$263"),IF(INDIRECT("'"&amp;$H$3&amp;"'!K$266")='List Values'!$F$5,K$370,IF(INDIRECT("'"&amp;$H$3&amp;"'!K$266")='List Values'!$F$6,INDIRECT("'"&amp;$H$3&amp;"'!K$95")*INDIRECT("'"&amp;$H$3&amp;"'!K$263"),IF(INDIRECT("'"&amp;$H$3&amp;"'!K$266")='List Values'!$F$7,1,0))))),0),0)
+IFERROR((1-INDIRECT("'"&amp;$H$3&amp;"'!K$291"))*IF(INDIRECT("'"&amp;$H$3&amp;"'!K$285")='List Values'!$E$5,INDIRECT("'"&amp;$H$3&amp;"'!K$287")*IF(INDIRECT("'"&amp;$H$3&amp;"'!K$286")='List Values'!$F$3,K$398,IF(INDIRECT("'"&amp;$H$3&amp;"'!K$286")='List Values'!$F$4,'1_Outputs'!K$52*INDIRECT("'"&amp;$H$3&amp;"'!K$95")*INDIRECT("'"&amp;$H$3&amp;"'!K$283"),IF(INDIRECT("'"&amp;$H$3&amp;"'!K$286")='List Values'!$F$5,K$399,IF(INDIRECT("'"&amp;$H$3&amp;"'!K$286")='List Values'!$F$6,INDIRECT("'"&amp;$H$3&amp;"'!K$95")*INDIRECT("'"&amp;$H$3&amp;"'!K$283"),IF(INDIRECT("'"&amp;$H$3&amp;"'!K$286")='List Values'!$F$7,1,0))))),0),0)
+IFERROR((1-INDIRECT("'"&amp;$H$3&amp;"'!K$311"))*IF(INDIRECT("'"&amp;$H$3&amp;"'!K$305")='List Values'!$E$5,INDIRECT("'"&amp;$H$3&amp;"'!K$307")*IF(INDIRECT("'"&amp;$H$3&amp;"'!K$306")='List Values'!$F$3,K$427,IF(INDIRECT("'"&amp;$H$3&amp;"'!K$306")='List Values'!$F$4,'1_Outputs'!K$52*INDIRECT("'"&amp;$H$3&amp;"'!K$95")*INDIRECT("'"&amp;$H$3&amp;"'!K$303"),IF(INDIRECT("'"&amp;$H$3&amp;"'!K$306")='List Values'!$F$5,K$428,IF(INDIRECT("'"&amp;$H$3&amp;"'!K$306")='List Values'!$F$6,INDIRECT("'"&amp;$H$3&amp;"'!K$95")*INDIRECT("'"&amp;$H$3&amp;"'!K$303"),IF(INDIRECT("'"&amp;$H$3&amp;"'!K$306")='List Values'!$F$7,1,0))))),0),0)</f>
        <v>0</v>
      </c>
      <c r="L119" s="297"/>
      <c r="M119" s="297"/>
      <c r="N119" s="297">
        <f ca="1">IFERROR((1-INDIRECT("'"&amp;$H$3&amp;"'!N$271"))*IF(INDIRECT("'"&amp;$H$3&amp;"'!N$265")='List Values'!$E$5,INDIRECT("'"&amp;$H$3&amp;"'!N$267")*IF(INDIRECT("'"&amp;$H$3&amp;"'!N$266")='List Values'!$F$3,N$369,IF(INDIRECT("'"&amp;$H$3&amp;"'!N$266")='List Values'!$F$4,'1_Outputs'!N$52*INDIRECT("'"&amp;$H$3&amp;"'!N$95")*INDIRECT("'"&amp;$H$3&amp;"'!N$263"),IF(INDIRECT("'"&amp;$H$3&amp;"'!N$266")='List Values'!$F$5,N$370,IF(INDIRECT("'"&amp;$H$3&amp;"'!N$266")='List Values'!$F$6,INDIRECT("'"&amp;$H$3&amp;"'!N$95")*INDIRECT("'"&amp;$H$3&amp;"'!N$263"),IF(INDIRECT("'"&amp;$H$3&amp;"'!N$266")='List Values'!$F$7,1,0))))),0),0)
+IFERROR((1-INDIRECT("'"&amp;$H$3&amp;"'!N$291"))*IF(INDIRECT("'"&amp;$H$3&amp;"'!N$285")='List Values'!$E$5,INDIRECT("'"&amp;$H$3&amp;"'!N$287")*IF(INDIRECT("'"&amp;$H$3&amp;"'!N$286")='List Values'!$F$3,N$398,IF(INDIRECT("'"&amp;$H$3&amp;"'!N$286")='List Values'!$F$4,'1_Outputs'!N$52*INDIRECT("'"&amp;$H$3&amp;"'!N$95")*INDIRECT("'"&amp;$H$3&amp;"'!N$283"),IF(INDIRECT("'"&amp;$H$3&amp;"'!N$286")='List Values'!$F$5,N$399,IF(INDIRECT("'"&amp;$H$3&amp;"'!N$286")='List Values'!$F$6,INDIRECT("'"&amp;$H$3&amp;"'!N$95")*INDIRECT("'"&amp;$H$3&amp;"'!N$283"),IF(INDIRECT("'"&amp;$H$3&amp;"'!N$286")='List Values'!$F$7,1,0))))),0),0)
+IFERROR((1-INDIRECT("'"&amp;$H$3&amp;"'!N$311"))*IF(INDIRECT("'"&amp;$H$3&amp;"'!N$305")='List Values'!$E$5,INDIRECT("'"&amp;$H$3&amp;"'!N$307")*IF(INDIRECT("'"&amp;$H$3&amp;"'!N$306")='List Values'!$F$3,N$427,IF(INDIRECT("'"&amp;$H$3&amp;"'!N$306")='List Values'!$F$4,'1_Outputs'!N$52*INDIRECT("'"&amp;$H$3&amp;"'!N$95")*INDIRECT("'"&amp;$H$3&amp;"'!N$303"),IF(INDIRECT("'"&amp;$H$3&amp;"'!N$306")='List Values'!$F$5,N$428,IF(INDIRECT("'"&amp;$H$3&amp;"'!N$306")='List Values'!$F$6,INDIRECT("'"&amp;$H$3&amp;"'!N$95")*INDIRECT("'"&amp;$H$3&amp;"'!N$303"),IF(INDIRECT("'"&amp;$H$3&amp;"'!N$306")='List Values'!$F$7,1,0))))),0),0)</f>
        <v>0</v>
      </c>
      <c r="O119" s="297"/>
      <c r="P119" s="297"/>
      <c r="Q119" s="297">
        <f ca="1">IFERROR((1-INDIRECT("'"&amp;$H$3&amp;"'!Q$271"))*IF(INDIRECT("'"&amp;$H$3&amp;"'!Q$265")='List Values'!$E$5,INDIRECT("'"&amp;$H$3&amp;"'!Q$267")*IF(INDIRECT("'"&amp;$H$3&amp;"'!Q$266")='List Values'!$F$3,Q$369,IF(INDIRECT("'"&amp;$H$3&amp;"'!Q$266")='List Values'!$F$4,'1_Outputs'!Q$52*INDIRECT("'"&amp;$H$3&amp;"'!Q$95")*INDIRECT("'"&amp;$H$3&amp;"'!Q$263"),IF(INDIRECT("'"&amp;$H$3&amp;"'!Q$266")='List Values'!$F$5,Q$370,IF(INDIRECT("'"&amp;$H$3&amp;"'!Q$266")='List Values'!$F$6,INDIRECT("'"&amp;$H$3&amp;"'!Q$95")*INDIRECT("'"&amp;$H$3&amp;"'!Q$263"),IF(INDIRECT("'"&amp;$H$3&amp;"'!Q$266")='List Values'!$F$7,1,0))))),0),0)
+IFERROR((1-INDIRECT("'"&amp;$H$3&amp;"'!Q$291"))*IF(INDIRECT("'"&amp;$H$3&amp;"'!Q$285")='List Values'!$E$5,INDIRECT("'"&amp;$H$3&amp;"'!Q$287")*IF(INDIRECT("'"&amp;$H$3&amp;"'!Q$286")='List Values'!$F$3,Q$398,IF(INDIRECT("'"&amp;$H$3&amp;"'!Q$286")='List Values'!$F$4,'1_Outputs'!Q$52*INDIRECT("'"&amp;$H$3&amp;"'!Q$95")*INDIRECT("'"&amp;$H$3&amp;"'!Q$283"),IF(INDIRECT("'"&amp;$H$3&amp;"'!Q$286")='List Values'!$F$5,Q$399,IF(INDIRECT("'"&amp;$H$3&amp;"'!Q$286")='List Values'!$F$6,INDIRECT("'"&amp;$H$3&amp;"'!Q$95")*INDIRECT("'"&amp;$H$3&amp;"'!Q$283"),IF(INDIRECT("'"&amp;$H$3&amp;"'!Q$286")='List Values'!$F$7,1,0))))),0),0)
+IFERROR((1-INDIRECT("'"&amp;$H$3&amp;"'!Q$311"))*IF(INDIRECT("'"&amp;$H$3&amp;"'!Q$305")='List Values'!$E$5,INDIRECT("'"&amp;$H$3&amp;"'!Q$307")*IF(INDIRECT("'"&amp;$H$3&amp;"'!Q$306")='List Values'!$F$3,Q$427,IF(INDIRECT("'"&amp;$H$3&amp;"'!Q$306")='List Values'!$F$4,'1_Outputs'!Q$52*INDIRECT("'"&amp;$H$3&amp;"'!Q$95")*INDIRECT("'"&amp;$H$3&amp;"'!Q$303"),IF(INDIRECT("'"&amp;$H$3&amp;"'!Q$306")='List Values'!$F$5,Q$428,IF(INDIRECT("'"&amp;$H$3&amp;"'!Q$306")='List Values'!$F$6,INDIRECT("'"&amp;$H$3&amp;"'!Q$95")*INDIRECT("'"&amp;$H$3&amp;"'!Q$303"),IF(INDIRECT("'"&amp;$H$3&amp;"'!Q$306")='List Values'!$F$7,1,0))))),0),0)</f>
        <v>0</v>
      </c>
      <c r="R119" s="297"/>
      <c r="S119" s="364"/>
      <c r="T119" s="297">
        <f ca="1">IFERROR((1-INDIRECT("'"&amp;$H$3&amp;"'!T$271"))*IF(INDIRECT("'"&amp;$H$3&amp;"'!T$265")='List Values'!$E$5,INDIRECT("'"&amp;$H$3&amp;"'!T$267")*IF(INDIRECT("'"&amp;$H$3&amp;"'!T$266")='List Values'!$F$3,T$369,IF(INDIRECT("'"&amp;$H$3&amp;"'!T$266")='List Values'!$F$4,'1_Outputs'!T$52*INDIRECT("'"&amp;$H$3&amp;"'!T$95")*INDIRECT("'"&amp;$H$3&amp;"'!T$263"),IF(INDIRECT("'"&amp;$H$3&amp;"'!T$266")='List Values'!$F$5,T$370,IF(INDIRECT("'"&amp;$H$3&amp;"'!T$266")='List Values'!$F$6,INDIRECT("'"&amp;$H$3&amp;"'!T$95")*INDIRECT("'"&amp;$H$3&amp;"'!T$263"),IF(INDIRECT("'"&amp;$H$3&amp;"'!T$266")='List Values'!$F$7,1,0))))),0),0)
+IFERROR((1-INDIRECT("'"&amp;$H$3&amp;"'!T$291"))*IF(INDIRECT("'"&amp;$H$3&amp;"'!T$285")='List Values'!$E$5,INDIRECT("'"&amp;$H$3&amp;"'!T$287")*IF(INDIRECT("'"&amp;$H$3&amp;"'!T$286")='List Values'!$F$3,T$398,IF(INDIRECT("'"&amp;$H$3&amp;"'!T$286")='List Values'!$F$4,'1_Outputs'!T$52*INDIRECT("'"&amp;$H$3&amp;"'!T$95")*INDIRECT("'"&amp;$H$3&amp;"'!T$283"),IF(INDIRECT("'"&amp;$H$3&amp;"'!T$286")='List Values'!$F$5,T$399,IF(INDIRECT("'"&amp;$H$3&amp;"'!T$286")='List Values'!$F$6,INDIRECT("'"&amp;$H$3&amp;"'!T$95")*INDIRECT("'"&amp;$H$3&amp;"'!T$283"),IF(INDIRECT("'"&amp;$H$3&amp;"'!T$286")='List Values'!$F$7,1,0))))),0),0)
+IFERROR((1-INDIRECT("'"&amp;$H$3&amp;"'!T$311"))*IF(INDIRECT("'"&amp;$H$3&amp;"'!T$305")='List Values'!$E$5,INDIRECT("'"&amp;$H$3&amp;"'!T$307")*IF(INDIRECT("'"&amp;$H$3&amp;"'!T$306")='List Values'!$F$3,T$427,IF(INDIRECT("'"&amp;$H$3&amp;"'!T$306")='List Values'!$F$4,'1_Outputs'!T$52*INDIRECT("'"&amp;$H$3&amp;"'!T$95")*INDIRECT("'"&amp;$H$3&amp;"'!T$303"),IF(INDIRECT("'"&amp;$H$3&amp;"'!T$306")='List Values'!$F$5,T$428,IF(INDIRECT("'"&amp;$H$3&amp;"'!T$306")='List Values'!$F$6,INDIRECT("'"&amp;$H$3&amp;"'!T$95")*INDIRECT("'"&amp;$H$3&amp;"'!T$303"),IF(INDIRECT("'"&amp;$H$3&amp;"'!T$306")='List Values'!$F$7,1,0))))),0),0)</f>
        <v>0</v>
      </c>
      <c r="U119" s="364"/>
      <c r="V119" s="364"/>
      <c r="W119" s="1440">
        <f ca="1">IFERROR((1-INDIRECT("'"&amp;$H$3&amp;"'!W$271"))*IF(INDIRECT("'"&amp;$H$3&amp;"'!W$265")='List Values'!$E$5,INDIRECT("'"&amp;$H$3&amp;"'!W$267")*IF(INDIRECT("'"&amp;$H$3&amp;"'!W$266")='List Values'!$F$3,W$369,IF(INDIRECT("'"&amp;$H$3&amp;"'!W$266")='List Values'!$F$4,'1_Outputs'!W$52*INDIRECT("'"&amp;$H$3&amp;"'!W$95")*INDIRECT("'"&amp;$H$3&amp;"'!W$263"),IF(INDIRECT("'"&amp;$H$3&amp;"'!W$266")='List Values'!$F$5,W$370,IF(INDIRECT("'"&amp;$H$3&amp;"'!W$266")='List Values'!$F$6,INDIRECT("'"&amp;$H$3&amp;"'!W$95")*INDIRECT("'"&amp;$H$3&amp;"'!W$263"),IF(INDIRECT("'"&amp;$H$3&amp;"'!W$266")='List Values'!$F$7,1,0))))),0),0)
+IFERROR((1-INDIRECT("'"&amp;$H$3&amp;"'!W$291"))*IF(INDIRECT("'"&amp;$H$3&amp;"'!W$285")='List Values'!$E$5,INDIRECT("'"&amp;$H$3&amp;"'!W$287")*IF(INDIRECT("'"&amp;$H$3&amp;"'!W$286")='List Values'!$F$3,W$398,IF(INDIRECT("'"&amp;$H$3&amp;"'!W$286")='List Values'!$F$4,'1_Outputs'!W$52*INDIRECT("'"&amp;$H$3&amp;"'!W$95")*INDIRECT("'"&amp;$H$3&amp;"'!W$283"),IF(INDIRECT("'"&amp;$H$3&amp;"'!W$286")='List Values'!$F$5,W$399,IF(INDIRECT("'"&amp;$H$3&amp;"'!W$286")='List Values'!$F$6,INDIRECT("'"&amp;$H$3&amp;"'!W$95")*INDIRECT("'"&amp;$H$3&amp;"'!W$283"),IF(INDIRECT("'"&amp;$H$3&amp;"'!W$286")='List Values'!$F$7,1,0))))),0),0)
+IFERROR((1-INDIRECT("'"&amp;$H$3&amp;"'!W$311"))*IF(INDIRECT("'"&amp;$H$3&amp;"'!W$305")='List Values'!$E$5,INDIRECT("'"&amp;$H$3&amp;"'!W$307")*IF(INDIRECT("'"&amp;$H$3&amp;"'!W$306")='List Values'!$F$3,W$427,IF(INDIRECT("'"&amp;$H$3&amp;"'!W$306")='List Values'!$F$4,'1_Outputs'!W$52*INDIRECT("'"&amp;$H$3&amp;"'!W$95")*INDIRECT("'"&amp;$H$3&amp;"'!W$303"),IF(INDIRECT("'"&amp;$H$3&amp;"'!W$306")='List Values'!$F$5,W$428,IF(INDIRECT("'"&amp;$H$3&amp;"'!W$306")='List Values'!$F$6,INDIRECT("'"&amp;$H$3&amp;"'!W$95")*INDIRECT("'"&amp;$H$3&amp;"'!W$303"),IF(INDIRECT("'"&amp;$H$3&amp;"'!W$306")='List Values'!$F$7,1,0))))),0),0)</f>
        <v>0</v>
      </c>
      <c r="Y119" s="365">
        <f ca="1">SUM(H119:W119)</f>
        <v>0</v>
      </c>
    </row>
    <row r="120" spans="6:38">
      <c r="F120" s="288"/>
      <c r="G120" s="288" t="s">
        <v>226</v>
      </c>
      <c r="H120" s="300">
        <f ca="1">IFERROR((1-INDIRECT("'"&amp;$H$3&amp;"'!H$271"))*IF(INDIRECT("'"&amp;$H$3&amp;"'!H$265")='List Values'!$E$4,INDIRECT("'"&amp;$H$3&amp;"'!H$267")*IF(INDIRECT("'"&amp;$H$3&amp;"'!H$266")='List Values'!$F$3,H$369,IF(INDIRECT("'"&amp;$H$3&amp;"'!H$266")='List Values'!$F$4,'1_Outputs'!H$52*INDIRECT("'"&amp;$H$3&amp;"'!H$95")*INDIRECT("'"&amp;$H$3&amp;"'!H$263"),IF(INDIRECT("'"&amp;$H$3&amp;"'!H$266")='List Values'!$F$5,H$370,IF(INDIRECT("'"&amp;$H$3&amp;"'!H$266")='List Values'!$F$6,INDIRECT("'"&amp;$H$3&amp;"'!H$95")*INDIRECT("'"&amp;$H$3&amp;"'!H$263"),IF(INDIRECT("'"&amp;$H$3&amp;"'!H$266")='List Values'!$F$7,1,0))))),0),0)
+IFERROR((1-INDIRECT("'"&amp;$H$3&amp;"'!H$291"))*IF(INDIRECT("'"&amp;$H$3&amp;"'!H$285")='List Values'!$E$4,INDIRECT("'"&amp;$H$3&amp;"'!H$287")*IF(INDIRECT("'"&amp;$H$3&amp;"'!H$286")='List Values'!$F$3,H$398,IF(INDIRECT("'"&amp;$H$3&amp;"'!H$286")='List Values'!$F$4,'1_Outputs'!H$52*INDIRECT("'"&amp;$H$3&amp;"'!H$95")*INDIRECT("'"&amp;$H$3&amp;"'!H$283"),IF(INDIRECT("'"&amp;$H$3&amp;"'!H$286")='List Values'!$F$5,H$399,IF(INDIRECT("'"&amp;$H$3&amp;"'!H$286")='List Values'!$F$6,INDIRECT("'"&amp;$H$3&amp;"'!H$95")*INDIRECT("'"&amp;$H$3&amp;"'!H$283"),IF(INDIRECT("'"&amp;$H$3&amp;"'!H$286")='List Values'!$F$7,1,0))))),0),0)
+IFERROR((1-INDIRECT("'"&amp;$H$3&amp;"'!H$311"))*IF(INDIRECT("'"&amp;$H$3&amp;"'!H$305")='List Values'!$E$4,INDIRECT("'"&amp;$H$3&amp;"'!H$307")*IF(INDIRECT("'"&amp;$H$3&amp;"'!H$306")='List Values'!$F$3,H$427,IF(INDIRECT("'"&amp;$H$3&amp;"'!H$306")='List Values'!$F$4,'1_Outputs'!H$52*INDIRECT("'"&amp;$H$3&amp;"'!H$95")*INDIRECT("'"&amp;$H$3&amp;"'!H$303"),IF(INDIRECT("'"&amp;$H$3&amp;"'!H$306")='List Values'!$F$5,H$428,IF(INDIRECT("'"&amp;$H$3&amp;"'!H$306")='List Values'!$F$6,INDIRECT("'"&amp;$H$3&amp;"'!H$95")*INDIRECT("'"&amp;$H$3&amp;"'!H$303"),IF(INDIRECT("'"&amp;$H$3&amp;"'!H$306")='List Values'!$F$7,1,0))))),0),0)</f>
        <v>0</v>
      </c>
      <c r="I120" s="300"/>
      <c r="J120" s="300"/>
      <c r="K120" s="300">
        <f ca="1">IFERROR((1-INDIRECT("'"&amp;$H$3&amp;"'!K$271"))*IF(INDIRECT("'"&amp;$H$3&amp;"'!K$265")='List Values'!$E$4,INDIRECT("'"&amp;$H$3&amp;"'!K$267")*IF(INDIRECT("'"&amp;$H$3&amp;"'!K$266")='List Values'!$F$3,K$369,IF(INDIRECT("'"&amp;$H$3&amp;"'!K$266")='List Values'!$F$4,'1_Outputs'!K$52*INDIRECT("'"&amp;$H$3&amp;"'!K$95")*INDIRECT("'"&amp;$H$3&amp;"'!K$263"),IF(INDIRECT("'"&amp;$H$3&amp;"'!K$266")='List Values'!$F$5,K$370,IF(INDIRECT("'"&amp;$H$3&amp;"'!K$266")='List Values'!$F$6,INDIRECT("'"&amp;$H$3&amp;"'!K$95")*INDIRECT("'"&amp;$H$3&amp;"'!K$263"),IF(INDIRECT("'"&amp;$H$3&amp;"'!K$266")='List Values'!$F$7,1,0))))),0),0)
+IFERROR((1-INDIRECT("'"&amp;$H$3&amp;"'!K$291"))*IF(INDIRECT("'"&amp;$H$3&amp;"'!K$285")='List Values'!$E$4,INDIRECT("'"&amp;$H$3&amp;"'!K$287")*IF(INDIRECT("'"&amp;$H$3&amp;"'!K$286")='List Values'!$F$3,K$398,IF(INDIRECT("'"&amp;$H$3&amp;"'!K$286")='List Values'!$F$4,'1_Outputs'!K$52*INDIRECT("'"&amp;$H$3&amp;"'!K$95")*INDIRECT("'"&amp;$H$3&amp;"'!K$283"),IF(INDIRECT("'"&amp;$H$3&amp;"'!K$286")='List Values'!$F$5,K$399,IF(INDIRECT("'"&amp;$H$3&amp;"'!K$286")='List Values'!$F$6,INDIRECT("'"&amp;$H$3&amp;"'!K$95")*INDIRECT("'"&amp;$H$3&amp;"'!K$283"),IF(INDIRECT("'"&amp;$H$3&amp;"'!K$286")='List Values'!$F$7,1,0))))),0),0)
+IFERROR((1-INDIRECT("'"&amp;$H$3&amp;"'!K$311"))*IF(INDIRECT("'"&amp;$H$3&amp;"'!K$305")='List Values'!$E$4,INDIRECT("'"&amp;$H$3&amp;"'!K$307")*IF(INDIRECT("'"&amp;$H$3&amp;"'!K$306")='List Values'!$F$3,K$427,IF(INDIRECT("'"&amp;$H$3&amp;"'!K$306")='List Values'!$F$4,'1_Outputs'!K$52*INDIRECT("'"&amp;$H$3&amp;"'!K$95")*INDIRECT("'"&amp;$H$3&amp;"'!K$303"),IF(INDIRECT("'"&amp;$H$3&amp;"'!K$306")='List Values'!$F$5,K$428,IF(INDIRECT("'"&amp;$H$3&amp;"'!K$306")='List Values'!$F$6,INDIRECT("'"&amp;$H$3&amp;"'!K$95")*INDIRECT("'"&amp;$H$3&amp;"'!K$303"),IF(INDIRECT("'"&amp;$H$3&amp;"'!K$306")='List Values'!$F$7,1,0))))),0),0)</f>
        <v>0</v>
      </c>
      <c r="L120" s="300"/>
      <c r="M120" s="300"/>
      <c r="N120" s="300">
        <f ca="1">IFERROR((1-INDIRECT("'"&amp;$H$3&amp;"'!N$271"))*IF(INDIRECT("'"&amp;$H$3&amp;"'!N$265")='List Values'!$E$4,INDIRECT("'"&amp;$H$3&amp;"'!N$267")*IF(INDIRECT("'"&amp;$H$3&amp;"'!N$266")='List Values'!$F$3,N$369,IF(INDIRECT("'"&amp;$H$3&amp;"'!N$266")='List Values'!$F$4,'1_Outputs'!N$52*INDIRECT("'"&amp;$H$3&amp;"'!N$95")*INDIRECT("'"&amp;$H$3&amp;"'!N$263"),IF(INDIRECT("'"&amp;$H$3&amp;"'!N$266")='List Values'!$F$5,N$370,IF(INDIRECT("'"&amp;$H$3&amp;"'!N$266")='List Values'!$F$6,INDIRECT("'"&amp;$H$3&amp;"'!N$95")*INDIRECT("'"&amp;$H$3&amp;"'!N$263"),IF(INDIRECT("'"&amp;$H$3&amp;"'!N$266")='List Values'!$F$7,1,0))))),0),0)
+IFERROR((1-INDIRECT("'"&amp;$H$3&amp;"'!N$291"))*IF(INDIRECT("'"&amp;$H$3&amp;"'!N$285")='List Values'!$E$4,INDIRECT("'"&amp;$H$3&amp;"'!N$287")*IF(INDIRECT("'"&amp;$H$3&amp;"'!N$286")='List Values'!$F$3,N$398,IF(INDIRECT("'"&amp;$H$3&amp;"'!N$286")='List Values'!$F$4,'1_Outputs'!N$52*INDIRECT("'"&amp;$H$3&amp;"'!N$95")*INDIRECT("'"&amp;$H$3&amp;"'!N$283"),IF(INDIRECT("'"&amp;$H$3&amp;"'!N$286")='List Values'!$F$5,N$399,IF(INDIRECT("'"&amp;$H$3&amp;"'!N$286")='List Values'!$F$6,INDIRECT("'"&amp;$H$3&amp;"'!N$95")*INDIRECT("'"&amp;$H$3&amp;"'!N$283"),IF(INDIRECT("'"&amp;$H$3&amp;"'!N$286")='List Values'!$F$7,1,0))))),0),0)
+IFERROR((1-INDIRECT("'"&amp;$H$3&amp;"'!N$311"))*IF(INDIRECT("'"&amp;$H$3&amp;"'!N$305")='List Values'!$E$4,INDIRECT("'"&amp;$H$3&amp;"'!N$307")*IF(INDIRECT("'"&amp;$H$3&amp;"'!N$306")='List Values'!$F$3,N$427,IF(INDIRECT("'"&amp;$H$3&amp;"'!N$306")='List Values'!$F$4,'1_Outputs'!N$52*INDIRECT("'"&amp;$H$3&amp;"'!N$95")*INDIRECT("'"&amp;$H$3&amp;"'!N$303"),IF(INDIRECT("'"&amp;$H$3&amp;"'!N$306")='List Values'!$F$5,N$428,IF(INDIRECT("'"&amp;$H$3&amp;"'!N$306")='List Values'!$F$6,INDIRECT("'"&amp;$H$3&amp;"'!N$95")*INDIRECT("'"&amp;$H$3&amp;"'!N$303"),IF(INDIRECT("'"&amp;$H$3&amp;"'!N$306")='List Values'!$F$7,1,0))))),0),0)</f>
        <v>0</v>
      </c>
      <c r="O120" s="300"/>
      <c r="P120" s="300"/>
      <c r="Q120" s="300">
        <f ca="1">IFERROR((1-INDIRECT("'"&amp;$H$3&amp;"'!Q$271"))*IF(INDIRECT("'"&amp;$H$3&amp;"'!Q$265")='List Values'!$E$4,INDIRECT("'"&amp;$H$3&amp;"'!Q$267")*IF(INDIRECT("'"&amp;$H$3&amp;"'!Q$266")='List Values'!$F$3,Q$369,IF(INDIRECT("'"&amp;$H$3&amp;"'!Q$266")='List Values'!$F$4,'1_Outputs'!Q$52*INDIRECT("'"&amp;$H$3&amp;"'!Q$95")*INDIRECT("'"&amp;$H$3&amp;"'!Q$263"),IF(INDIRECT("'"&amp;$H$3&amp;"'!Q$266")='List Values'!$F$5,Q$370,IF(INDIRECT("'"&amp;$H$3&amp;"'!Q$266")='List Values'!$F$6,INDIRECT("'"&amp;$H$3&amp;"'!Q$95")*INDIRECT("'"&amp;$H$3&amp;"'!Q$263"),IF(INDIRECT("'"&amp;$H$3&amp;"'!Q$266")='List Values'!$F$7,1,0))))),0),0)
+IFERROR((1-INDIRECT("'"&amp;$H$3&amp;"'!Q$291"))*IF(INDIRECT("'"&amp;$H$3&amp;"'!Q$285")='List Values'!$E$4,INDIRECT("'"&amp;$H$3&amp;"'!Q$287")*IF(INDIRECT("'"&amp;$H$3&amp;"'!Q$286")='List Values'!$F$3,Q$398,IF(INDIRECT("'"&amp;$H$3&amp;"'!Q$286")='List Values'!$F$4,'1_Outputs'!Q$52*INDIRECT("'"&amp;$H$3&amp;"'!Q$95")*INDIRECT("'"&amp;$H$3&amp;"'!Q$283"),IF(INDIRECT("'"&amp;$H$3&amp;"'!Q$286")='List Values'!$F$5,Q$399,IF(INDIRECT("'"&amp;$H$3&amp;"'!Q$286")='List Values'!$F$6,INDIRECT("'"&amp;$H$3&amp;"'!Q$95")*INDIRECT("'"&amp;$H$3&amp;"'!Q$283"),IF(INDIRECT("'"&amp;$H$3&amp;"'!Q$286")='List Values'!$F$7,1,0))))),0),0)
+IFERROR((1-INDIRECT("'"&amp;$H$3&amp;"'!Q$311"))*IF(INDIRECT("'"&amp;$H$3&amp;"'!Q$305")='List Values'!$E$4,INDIRECT("'"&amp;$H$3&amp;"'!Q$307")*IF(INDIRECT("'"&amp;$H$3&amp;"'!Q$306")='List Values'!$F$3,Q$427,IF(INDIRECT("'"&amp;$H$3&amp;"'!Q$306")='List Values'!$F$4,'1_Outputs'!Q$52*INDIRECT("'"&amp;$H$3&amp;"'!Q$95")*INDIRECT("'"&amp;$H$3&amp;"'!Q$303"),IF(INDIRECT("'"&amp;$H$3&amp;"'!Q$306")='List Values'!$F$5,Q$428,IF(INDIRECT("'"&amp;$H$3&amp;"'!Q$306")='List Values'!$F$6,INDIRECT("'"&amp;$H$3&amp;"'!Q$95")*INDIRECT("'"&amp;$H$3&amp;"'!Q$303"),IF(INDIRECT("'"&amp;$H$3&amp;"'!Q$306")='List Values'!$F$7,1,0))))),0),0)</f>
        <v>0</v>
      </c>
      <c r="R120" s="300"/>
      <c r="S120" s="337"/>
      <c r="T120" s="300">
        <f ca="1">IFERROR((1-INDIRECT("'"&amp;$H$3&amp;"'!T$271"))*IF(INDIRECT("'"&amp;$H$3&amp;"'!T$265")='List Values'!$E$4,INDIRECT("'"&amp;$H$3&amp;"'!T$267")*IF(INDIRECT("'"&amp;$H$3&amp;"'!T$266")='List Values'!$F$3,T$369,IF(INDIRECT("'"&amp;$H$3&amp;"'!T$266")='List Values'!$F$4,'1_Outputs'!T$52*INDIRECT("'"&amp;$H$3&amp;"'!T$95")*INDIRECT("'"&amp;$H$3&amp;"'!T$263"),IF(INDIRECT("'"&amp;$H$3&amp;"'!T$266")='List Values'!$F$5,T$370,IF(INDIRECT("'"&amp;$H$3&amp;"'!T$266")='List Values'!$F$6,INDIRECT("'"&amp;$H$3&amp;"'!T$95")*INDIRECT("'"&amp;$H$3&amp;"'!T$263"),IF(INDIRECT("'"&amp;$H$3&amp;"'!T$266")='List Values'!$F$7,1,0))))),0),0)
+IFERROR((1-INDIRECT("'"&amp;$H$3&amp;"'!T$291"))*IF(INDIRECT("'"&amp;$H$3&amp;"'!T$285")='List Values'!$E$4,INDIRECT("'"&amp;$H$3&amp;"'!T$287")*IF(INDIRECT("'"&amp;$H$3&amp;"'!T$286")='List Values'!$F$3,T$398,IF(INDIRECT("'"&amp;$H$3&amp;"'!T$286")='List Values'!$F$4,'1_Outputs'!T$52*INDIRECT("'"&amp;$H$3&amp;"'!T$95")*INDIRECT("'"&amp;$H$3&amp;"'!T$283"),IF(INDIRECT("'"&amp;$H$3&amp;"'!T$286")='List Values'!$F$5,T$399,IF(INDIRECT("'"&amp;$H$3&amp;"'!T$286")='List Values'!$F$6,INDIRECT("'"&amp;$H$3&amp;"'!T$95")*INDIRECT("'"&amp;$H$3&amp;"'!T$283"),IF(INDIRECT("'"&amp;$H$3&amp;"'!T$286")='List Values'!$F$7,1,0))))),0),0)
+IFERROR((1-INDIRECT("'"&amp;$H$3&amp;"'!T$311"))*IF(INDIRECT("'"&amp;$H$3&amp;"'!T$305")='List Values'!$E$4,INDIRECT("'"&amp;$H$3&amp;"'!T$307")*IF(INDIRECT("'"&amp;$H$3&amp;"'!T$306")='List Values'!$F$3,T$427,IF(INDIRECT("'"&amp;$H$3&amp;"'!T$306")='List Values'!$F$4,'1_Outputs'!T$52*INDIRECT("'"&amp;$H$3&amp;"'!T$95")*INDIRECT("'"&amp;$H$3&amp;"'!T$303"),IF(INDIRECT("'"&amp;$H$3&amp;"'!T$306")='List Values'!$F$5,T$428,IF(INDIRECT("'"&amp;$H$3&amp;"'!T$306")='List Values'!$F$6,INDIRECT("'"&amp;$H$3&amp;"'!T$95")*INDIRECT("'"&amp;$H$3&amp;"'!T$303"),IF(INDIRECT("'"&amp;$H$3&amp;"'!T$306")='List Values'!$F$7,1,0))))),0),0)</f>
        <v>0</v>
      </c>
      <c r="U120" s="337"/>
      <c r="V120" s="337"/>
      <c r="W120" s="1437">
        <f ca="1">IFERROR((1-INDIRECT("'"&amp;$H$3&amp;"'!W$271"))*IF(INDIRECT("'"&amp;$H$3&amp;"'!W$265")='List Values'!$E$4,INDIRECT("'"&amp;$H$3&amp;"'!W$267")*IF(INDIRECT("'"&amp;$H$3&amp;"'!W$266")='List Values'!$F$3,W$369,IF(INDIRECT("'"&amp;$H$3&amp;"'!W$266")='List Values'!$F$4,'1_Outputs'!W$52*INDIRECT("'"&amp;$H$3&amp;"'!W$95")*INDIRECT("'"&amp;$H$3&amp;"'!W$263"),IF(INDIRECT("'"&amp;$H$3&amp;"'!W$266")='List Values'!$F$5,W$370,IF(INDIRECT("'"&amp;$H$3&amp;"'!W$266")='List Values'!$F$6,INDIRECT("'"&amp;$H$3&amp;"'!W$95")*INDIRECT("'"&amp;$H$3&amp;"'!W$263"),IF(INDIRECT("'"&amp;$H$3&amp;"'!W$266")='List Values'!$F$7,1,0))))),0),0)
+IFERROR((1-INDIRECT("'"&amp;$H$3&amp;"'!W$291"))*IF(INDIRECT("'"&amp;$H$3&amp;"'!W$285")='List Values'!$E$4,INDIRECT("'"&amp;$H$3&amp;"'!W$287")*IF(INDIRECT("'"&amp;$H$3&amp;"'!W$286")='List Values'!$F$3,W$398,IF(INDIRECT("'"&amp;$H$3&amp;"'!W$286")='List Values'!$F$4,'1_Outputs'!W$52*INDIRECT("'"&amp;$H$3&amp;"'!W$95")*INDIRECT("'"&amp;$H$3&amp;"'!W$283"),IF(INDIRECT("'"&amp;$H$3&amp;"'!W$286")='List Values'!$F$5,W$399,IF(INDIRECT("'"&amp;$H$3&amp;"'!W$286")='List Values'!$F$6,INDIRECT("'"&amp;$H$3&amp;"'!W$95")*INDIRECT("'"&amp;$H$3&amp;"'!W$283"),IF(INDIRECT("'"&amp;$H$3&amp;"'!W$286")='List Values'!$F$7,1,0))))),0),0)
+IFERROR((1-INDIRECT("'"&amp;$H$3&amp;"'!W$311"))*IF(INDIRECT("'"&amp;$H$3&amp;"'!W$305")='List Values'!$E$4,INDIRECT("'"&amp;$H$3&amp;"'!W$307")*IF(INDIRECT("'"&amp;$H$3&amp;"'!W$306")='List Values'!$F$3,W$427,IF(INDIRECT("'"&amp;$H$3&amp;"'!W$306")='List Values'!$F$4,'1_Outputs'!W$52*INDIRECT("'"&amp;$H$3&amp;"'!W$95")*INDIRECT("'"&amp;$H$3&amp;"'!W$303"),IF(INDIRECT("'"&amp;$H$3&amp;"'!W$306")='List Values'!$F$5,W$428,IF(INDIRECT("'"&amp;$H$3&amp;"'!W$306")='List Values'!$F$6,INDIRECT("'"&amp;$H$3&amp;"'!W$95")*INDIRECT("'"&amp;$H$3&amp;"'!W$303"),IF(INDIRECT("'"&amp;$H$3&amp;"'!W$306")='List Values'!$F$7,1,0))))),0),0)</f>
        <v>0</v>
      </c>
      <c r="Y120" s="341">
        <f t="shared" ref="Y120:Y127" ca="1" si="12">SUM(H120:W120)</f>
        <v>0</v>
      </c>
      <c r="AL120" s="4"/>
    </row>
    <row r="121" spans="6:38">
      <c r="F121" s="298"/>
      <c r="G121" s="298" t="s">
        <v>89</v>
      </c>
      <c r="H121" s="300">
        <f ca="1">(IFERROR(1-INDIRECT("'"&amp;$H$3&amp;"'!H$271"),0))*(H$356+H$370)*INDIRECT("'"&amp;$H$3&amp;"'!$H$10")*(IFERROR(INDEX(INDIRECT("'"&amp;$H$3&amp;"'!$H$28:$H$38"),MATCH(INDIRECT("'"&amp;$H$3&amp;"'!H$274"),INDIRECT("'"&amp;$H$3&amp;"'!$B$28:$B$38"),0)),0)+IFERROR(INDIRECT("'"&amp;$H$3&amp;"'!H$275")*INDEX(INDIRECT("'"&amp;$H$3&amp;"'!$H$28:$H$38"),MATCH(INDIRECT("'"&amp;$H$3&amp;"'!H$276"),INDIRECT("'"&amp;$H$3&amp;"'!$B$28:$B$38"),0)),0))
+(IFERROR(1-INDIRECT("'"&amp;$H$3&amp;"'!H$291"),0))*(H$385+H$399)*INDIRECT("'"&amp;$H$3&amp;"'!$H$10")*(IFERROR(INDEX(INDIRECT("'"&amp;$H$3&amp;"'!$H$28:$H$38"),MATCH(INDIRECT("'"&amp;$H$3&amp;"'!H$294"),INDIRECT("'"&amp;$H$3&amp;"'!$B$28:$B$38"),0)),0)+IFERROR(INDIRECT("'"&amp;$H$3&amp;"'!H$295")*INDEX(INDIRECT("'"&amp;$H$3&amp;"'!$H$28:$H$38"),MATCH(INDIRECT("'"&amp;$H$3&amp;"'!H$296"),INDIRECT("'"&amp;$H$3&amp;"'!$B$28:$B$38"),0)),0))
+(IFERROR(1-INDIRECT("'"&amp;$H$3&amp;"'!H$311"),0))*(H$414+H$428)*INDIRECT("'"&amp;$H$3&amp;"'!$H$10")*(IFERROR(INDEX(INDIRECT("'"&amp;$H$3&amp;"'!$H$28:$H$38"),MATCH(INDIRECT("'"&amp;$H$3&amp;"'!H$314"),INDIRECT("'"&amp;$H$3&amp;"'!$B$28:$B$38"),0)),0)+IFERROR(INDIRECT("'"&amp;$H$3&amp;"'!H$315")*INDEX(INDIRECT("'"&amp;$H$3&amp;"'!$H$28:$H$38"),MATCH(INDIRECT("'"&amp;$H$3&amp;"'!H$316"),INDIRECT("'"&amp;$H$3&amp;"'!$B$28:$B$38"),0)),0))</f>
        <v>0</v>
      </c>
      <c r="I121" s="300"/>
      <c r="J121" s="300"/>
      <c r="K121" s="300">
        <f ca="1">(IFERROR(1-INDIRECT("'"&amp;$H$3&amp;"'!K$271"),0))*(K$356+K$370)*INDIRECT("'"&amp;$H$3&amp;"'!$H$10")*(IFERROR(INDEX(INDIRECT("'"&amp;$H$3&amp;"'!$H$28:$H$38"),MATCH(INDIRECT("'"&amp;$H$3&amp;"'!K$274"),INDIRECT("'"&amp;$H$3&amp;"'!$B$28:$B$38"),0)),0)+IFERROR(INDIRECT("'"&amp;$H$3&amp;"'!K$275")*INDEX(INDIRECT("'"&amp;$H$3&amp;"'!$H$28:$H$38"),MATCH(INDIRECT("'"&amp;$H$3&amp;"'!K$276"),INDIRECT("'"&amp;$H$3&amp;"'!$B$28:$B$38"),0)),0))
+(IFERROR(1-INDIRECT("'"&amp;$H$3&amp;"'!K$291"),0))*(K$385+K$399)*INDIRECT("'"&amp;$H$3&amp;"'!$H$10")*(IFERROR(INDEX(INDIRECT("'"&amp;$H$3&amp;"'!$H$28:$H$38"),MATCH(INDIRECT("'"&amp;$H$3&amp;"'!K$294"),INDIRECT("'"&amp;$H$3&amp;"'!$B$28:$B$38"),0)),0)+IFERROR(INDIRECT("'"&amp;$H$3&amp;"'!K$295")*INDEX(INDIRECT("'"&amp;$H$3&amp;"'!$H$28:$H$38"),MATCH(INDIRECT("'"&amp;$H$3&amp;"'!K$296"),INDIRECT("'"&amp;$H$3&amp;"'!$B$28:$B$38"),0)),0))
+(IFERROR(1-INDIRECT("'"&amp;$H$3&amp;"'!K$311"),0))*(K$414+K$428)*INDIRECT("'"&amp;$H$3&amp;"'!$H$10")*(IFERROR(INDEX(INDIRECT("'"&amp;$H$3&amp;"'!$H$28:$H$38"),MATCH(INDIRECT("'"&amp;$H$3&amp;"'!K$314"),INDIRECT("'"&amp;$H$3&amp;"'!$B$28:$B$38"),0)),0)+IFERROR(INDIRECT("'"&amp;$H$3&amp;"'!K$315")*INDEX(INDIRECT("'"&amp;$H$3&amp;"'!$H$28:$H$38"),MATCH(INDIRECT("'"&amp;$H$3&amp;"'!K$316"),INDIRECT("'"&amp;$H$3&amp;"'!$B$28:$B$38"),0)),0))</f>
        <v>0</v>
      </c>
      <c r="L121" s="300"/>
      <c r="M121" s="300"/>
      <c r="N121" s="300">
        <f ca="1">(IFERROR(1-INDIRECT("'"&amp;$H$3&amp;"'!N$271"),0))*(N$356+N$370)*INDIRECT("'"&amp;$H$3&amp;"'!$H$10")*(IFERROR(INDEX(INDIRECT("'"&amp;$H$3&amp;"'!$H$28:$H$38"),MATCH(INDIRECT("'"&amp;$H$3&amp;"'!N$274"),INDIRECT("'"&amp;$H$3&amp;"'!$B$28:$B$38"),0)),0)+IFERROR(INDIRECT("'"&amp;$H$3&amp;"'!N$275")*INDEX(INDIRECT("'"&amp;$H$3&amp;"'!$H$28:$H$38"),MATCH(INDIRECT("'"&amp;$H$3&amp;"'!N$276"),INDIRECT("'"&amp;$H$3&amp;"'!$B$28:$B$38"),0)),0))
+(IFERROR(1-INDIRECT("'"&amp;$H$3&amp;"'!N$291"),0))*(N$385+N$399)*INDIRECT("'"&amp;$H$3&amp;"'!$H$10")*(IFERROR(INDEX(INDIRECT("'"&amp;$H$3&amp;"'!$H$28:$H$38"),MATCH(INDIRECT("'"&amp;$H$3&amp;"'!N$294"),INDIRECT("'"&amp;$H$3&amp;"'!$B$28:$B$38"),0)),0)+IFERROR(INDIRECT("'"&amp;$H$3&amp;"'!N$295")*INDEX(INDIRECT("'"&amp;$H$3&amp;"'!$H$28:$H$38"),MATCH(INDIRECT("'"&amp;$H$3&amp;"'!N$296"),INDIRECT("'"&amp;$H$3&amp;"'!$B$28:$B$38"),0)),0))
+(IFERROR(1-INDIRECT("'"&amp;$H$3&amp;"'!N$311"),0))*(N$414+N$428)*INDIRECT("'"&amp;$H$3&amp;"'!$H$10")*(IFERROR(INDEX(INDIRECT("'"&amp;$H$3&amp;"'!$H$28:$H$38"),MATCH(INDIRECT("'"&amp;$H$3&amp;"'!N$314"),INDIRECT("'"&amp;$H$3&amp;"'!$B$28:$B$38"),0)),0)+IFERROR(INDIRECT("'"&amp;$H$3&amp;"'!N$315")*INDEX(INDIRECT("'"&amp;$H$3&amp;"'!$H$28:$H$38"),MATCH(INDIRECT("'"&amp;$H$3&amp;"'!N$316"),INDIRECT("'"&amp;$H$3&amp;"'!$B$28:$B$38"),0)),0))</f>
        <v>0</v>
      </c>
      <c r="O121" s="300"/>
      <c r="P121" s="300"/>
      <c r="Q121" s="300">
        <f ca="1">(IFERROR(1-INDIRECT("'"&amp;$H$3&amp;"'!Q$271"),0))*(Q$356+Q$370)*INDIRECT("'"&amp;$H$3&amp;"'!$H$10")*(IFERROR(INDEX(INDIRECT("'"&amp;$H$3&amp;"'!$H$28:$H$38"),MATCH(INDIRECT("'"&amp;$H$3&amp;"'!Q$274"),INDIRECT("'"&amp;$H$3&amp;"'!$B$28:$B$38"),0)),0)+IFERROR(INDIRECT("'"&amp;$H$3&amp;"'!Q$275")*INDEX(INDIRECT("'"&amp;$H$3&amp;"'!$H$28:$H$38"),MATCH(INDIRECT("'"&amp;$H$3&amp;"'!Q$276"),INDIRECT("'"&amp;$H$3&amp;"'!$B$28:$B$38"),0)),0))
+(IFERROR(1-INDIRECT("'"&amp;$H$3&amp;"'!Q$291"),0))*(Q$385+Q$399)*INDIRECT("'"&amp;$H$3&amp;"'!$H$10")*(IFERROR(INDEX(INDIRECT("'"&amp;$H$3&amp;"'!$H$28:$H$38"),MATCH(INDIRECT("'"&amp;$H$3&amp;"'!Q$294"),INDIRECT("'"&amp;$H$3&amp;"'!$B$28:$B$38"),0)),0)+IFERROR(INDIRECT("'"&amp;$H$3&amp;"'!Q$295")*INDEX(INDIRECT("'"&amp;$H$3&amp;"'!$H$28:$H$38"),MATCH(INDIRECT("'"&amp;$H$3&amp;"'!Q$296"),INDIRECT("'"&amp;$H$3&amp;"'!$B$28:$B$38"),0)),0))
+(IFERROR(1-INDIRECT("'"&amp;$H$3&amp;"'!Q$311"),0))*(Q$414+Q$428)*INDIRECT("'"&amp;$H$3&amp;"'!$H$10")*(IFERROR(INDEX(INDIRECT("'"&amp;$H$3&amp;"'!$H$28:$H$38"),MATCH(INDIRECT("'"&amp;$H$3&amp;"'!Q$314"),INDIRECT("'"&amp;$H$3&amp;"'!$B$28:$B$38"),0)),0)+IFERROR(INDIRECT("'"&amp;$H$3&amp;"'!Q$315")*INDEX(INDIRECT("'"&amp;$H$3&amp;"'!$H$28:$H$38"),MATCH(INDIRECT("'"&amp;$H$3&amp;"'!Q$316"),INDIRECT("'"&amp;$H$3&amp;"'!$B$28:$B$38"),0)),0))</f>
        <v>0</v>
      </c>
      <c r="R121" s="300"/>
      <c r="S121" s="337"/>
      <c r="T121" s="300">
        <f ca="1">(IFERROR(1-INDIRECT("'"&amp;$H$3&amp;"'!T$271"),0))*(T$356+T$370)*INDIRECT("'"&amp;$H$3&amp;"'!$H$10")*(IFERROR(INDEX(INDIRECT("'"&amp;$H$3&amp;"'!$H$28:$H$38"),MATCH(INDIRECT("'"&amp;$H$3&amp;"'!T$274"),INDIRECT("'"&amp;$H$3&amp;"'!$B$28:$B$38"),0)),0)+IFERROR(INDIRECT("'"&amp;$H$3&amp;"'!T$275")*INDEX(INDIRECT("'"&amp;$H$3&amp;"'!$H$28:$H$38"),MATCH(INDIRECT("'"&amp;$H$3&amp;"'!T$276"),INDIRECT("'"&amp;$H$3&amp;"'!$B$28:$B$38"),0)),0))
+(IFERROR(1-INDIRECT("'"&amp;$H$3&amp;"'!T$291"),0))*(T$385+T$399)*INDIRECT("'"&amp;$H$3&amp;"'!$H$10")*(IFERROR(INDEX(INDIRECT("'"&amp;$H$3&amp;"'!$H$28:$H$38"),MATCH(INDIRECT("'"&amp;$H$3&amp;"'!T$294"),INDIRECT("'"&amp;$H$3&amp;"'!$B$28:$B$38"),0)),0)+IFERROR(INDIRECT("'"&amp;$H$3&amp;"'!T$295")*INDEX(INDIRECT("'"&amp;$H$3&amp;"'!$H$28:$H$38"),MATCH(INDIRECT("'"&amp;$H$3&amp;"'!T$296"),INDIRECT("'"&amp;$H$3&amp;"'!$B$28:$B$38"),0)),0))
+(IFERROR(1-INDIRECT("'"&amp;$H$3&amp;"'!T$311"),0))*(T$414+T$428)*INDIRECT("'"&amp;$H$3&amp;"'!$H$10")*(IFERROR(INDEX(INDIRECT("'"&amp;$H$3&amp;"'!$H$28:$H$38"),MATCH(INDIRECT("'"&amp;$H$3&amp;"'!T$314"),INDIRECT("'"&amp;$H$3&amp;"'!$B$28:$B$38"),0)),0)+IFERROR(INDIRECT("'"&amp;$H$3&amp;"'!T$315")*INDEX(INDIRECT("'"&amp;$H$3&amp;"'!$H$28:$H$38"),MATCH(INDIRECT("'"&amp;$H$3&amp;"'!T$316"),INDIRECT("'"&amp;$H$3&amp;"'!$B$28:$B$38"),0)),0))</f>
        <v>0</v>
      </c>
      <c r="U121" s="337"/>
      <c r="V121" s="337"/>
      <c r="W121" s="1437">
        <f ca="1">(IFERROR(1-INDIRECT("'"&amp;$H$3&amp;"'!W$271"),0))*(W$356+W$370)*INDIRECT("'"&amp;$H$3&amp;"'!$H$10")*(IFERROR(INDEX(INDIRECT("'"&amp;$H$3&amp;"'!$H$28:$H$38"),MATCH(INDIRECT("'"&amp;$H$3&amp;"'!W$274"),INDIRECT("'"&amp;$H$3&amp;"'!$B$28:$B$38"),0)),0)+IFERROR(INDIRECT("'"&amp;$H$3&amp;"'!W$275")*INDEX(INDIRECT("'"&amp;$H$3&amp;"'!$H$28:$H$38"),MATCH(INDIRECT("'"&amp;$H$3&amp;"'!W$276"),INDIRECT("'"&amp;$H$3&amp;"'!$B$28:$B$38"),0)),0))
+(IFERROR(1-INDIRECT("'"&amp;$H$3&amp;"'!W$291"),0))*(W$385+W$399)*INDIRECT("'"&amp;$H$3&amp;"'!$H$10")*(IFERROR(INDEX(INDIRECT("'"&amp;$H$3&amp;"'!$H$28:$H$38"),MATCH(INDIRECT("'"&amp;$H$3&amp;"'!W$294"),INDIRECT("'"&amp;$H$3&amp;"'!$B$28:$B$38"),0)),0)+IFERROR(INDIRECT("'"&amp;$H$3&amp;"'!W$295")*INDEX(INDIRECT("'"&amp;$H$3&amp;"'!$H$28:$H$38"),MATCH(INDIRECT("'"&amp;$H$3&amp;"'!W$296"),INDIRECT("'"&amp;$H$3&amp;"'!$B$28:$B$38"),0)),0))
+(IFERROR(1-INDIRECT("'"&amp;$H$3&amp;"'!W$311"),0))*(W$414+W$428)*INDIRECT("'"&amp;$H$3&amp;"'!$H$10")*(IFERROR(INDEX(INDIRECT("'"&amp;$H$3&amp;"'!$H$28:$H$38"),MATCH(INDIRECT("'"&amp;$H$3&amp;"'!W$314"),INDIRECT("'"&amp;$H$3&amp;"'!$B$28:$B$38"),0)),0)+IFERROR(INDIRECT("'"&amp;$H$3&amp;"'!W$315")*INDEX(INDIRECT("'"&amp;$H$3&amp;"'!$H$28:$H$38"),MATCH(INDIRECT("'"&amp;$H$3&amp;"'!W$316"),INDIRECT("'"&amp;$H$3&amp;"'!$B$28:$B$38"),0)),0))</f>
        <v>0</v>
      </c>
      <c r="Y121" s="341">
        <f t="shared" ca="1" si="12"/>
        <v>0</v>
      </c>
      <c r="AL121" s="4"/>
    </row>
    <row r="122" spans="6:38">
      <c r="F122" s="288"/>
      <c r="G122" s="288" t="s">
        <v>90</v>
      </c>
      <c r="H122" s="300">
        <f ca="1">(IFERROR(1-INDIRECT("'"&amp;$H$3&amp;"'!H$271"),0))*(H$356+H$370)*(IFERROR(INDEX(INDIRECT("'"&amp;$H$3&amp;"'!$K$28:$K$38"),MATCH(INDIRECT("'"&amp;$H$3&amp;"'!H$274"),INDIRECT("'"&amp;$H$3&amp;"'!$B$28:$B$38"),0)),0)+IFERROR(INDIRECT("'"&amp;$H$3&amp;"'!H$275")*INDEX(INDIRECT("'"&amp;$H$3&amp;"'!$K$28:$K$38"),MATCH(INDIRECT("'"&amp;$H$3&amp;"'!H$276"),INDIRECT("'"&amp;$H$3&amp;"'!$B$28:$B$38"),0)),0))
+(IFERROR(1-INDIRECT("'"&amp;$H$3&amp;"'!H$291"),0))*(H$385+H$399)*(IFERROR(INDEX(INDIRECT("'"&amp;$H$3&amp;"'!$K$28:$K$38"),MATCH(INDIRECT("'"&amp;$H$3&amp;"'!H$294"),INDIRECT("'"&amp;$H$3&amp;"'!$B$28:$B$38"),0)),0)+IFERROR(INDIRECT("'"&amp;$H$3&amp;"'!H$295")*INDEX(INDIRECT("'"&amp;$H$3&amp;"'!$K$28:$K$38"),MATCH(INDIRECT("'"&amp;$H$3&amp;"'!H$296"),INDIRECT("'"&amp;$H$3&amp;"'!$B$28:$B$38"),0)),0))
+(IFERROR(1-INDIRECT("'"&amp;$H$3&amp;"'!H$311"),0))*(H$414+H$428)*(IFERROR(INDEX(INDIRECT("'"&amp;$H$3&amp;"'!$K$28:$K$38"),MATCH(INDIRECT("'"&amp;$H$3&amp;"'!H$314"),INDIRECT("'"&amp;$H$3&amp;"'!$B$28:$B$38"),0)),0)+IFERROR(INDIRECT("'"&amp;$H$3&amp;"'!H$315")*INDEX(INDIRECT("'"&amp;$H$3&amp;"'!$K$28:$K$38"),MATCH(INDIRECT("'"&amp;$H$3&amp;"'!H$316"),INDIRECT("'"&amp;$H$3&amp;"'!$B$28:$B$38"),0)),0))</f>
        <v>0</v>
      </c>
      <c r="I122" s="300"/>
      <c r="J122" s="300"/>
      <c r="K122" s="300">
        <f ca="1">(IFERROR(1-INDIRECT("'"&amp;$H$3&amp;"'!K$271"),0))*(K$356+K$370)*(IFERROR(INDEX(INDIRECT("'"&amp;$H$3&amp;"'!$K$28:$K$38"),MATCH(INDIRECT("'"&amp;$H$3&amp;"'!K$274"),INDIRECT("'"&amp;$H$3&amp;"'!$B$28:$B$38"),0)),0)+IFERROR(INDIRECT("'"&amp;$H$3&amp;"'!K$275")*INDEX(INDIRECT("'"&amp;$H$3&amp;"'!$K$28:$K$38"),MATCH(INDIRECT("'"&amp;$H$3&amp;"'!K$276"),INDIRECT("'"&amp;$H$3&amp;"'!$B$28:$B$38"),0)),0))
+(IFERROR(1-INDIRECT("'"&amp;$H$3&amp;"'!K$291"),0))*(K$385+K$399)*(IFERROR(INDEX(INDIRECT("'"&amp;$H$3&amp;"'!$K$28:$K$38"),MATCH(INDIRECT("'"&amp;$H$3&amp;"'!K$294"),INDIRECT("'"&amp;$H$3&amp;"'!$B$28:$B$38"),0)),0)+IFERROR(INDIRECT("'"&amp;$H$3&amp;"'!K$295")*INDEX(INDIRECT("'"&amp;$H$3&amp;"'!$K$28:$K$38"),MATCH(INDIRECT("'"&amp;$H$3&amp;"'!K$296"),INDIRECT("'"&amp;$H$3&amp;"'!$B$28:$B$38"),0)),0))
+(IFERROR(1-INDIRECT("'"&amp;$H$3&amp;"'!K$311"),0))*(K$414+K$428)*(IFERROR(INDEX(INDIRECT("'"&amp;$H$3&amp;"'!$K$28:$K$38"),MATCH(INDIRECT("'"&amp;$H$3&amp;"'!K$314"),INDIRECT("'"&amp;$H$3&amp;"'!$B$28:$B$38"),0)),0)+IFERROR(INDIRECT("'"&amp;$H$3&amp;"'!K$315")*INDEX(INDIRECT("'"&amp;$H$3&amp;"'!$K$28:$K$38"),MATCH(INDIRECT("'"&amp;$H$3&amp;"'!K$316"),INDIRECT("'"&amp;$H$3&amp;"'!$B$28:$B$38"),0)),0))</f>
        <v>0</v>
      </c>
      <c r="L122" s="300"/>
      <c r="M122" s="300"/>
      <c r="N122" s="300">
        <f ca="1">(IFERROR(1-INDIRECT("'"&amp;$H$3&amp;"'!N$271"),0))*(N$356+N$370)*(IFERROR(INDEX(INDIRECT("'"&amp;$H$3&amp;"'!$K$28:$K$38"),MATCH(INDIRECT("'"&amp;$H$3&amp;"'!N$274"),INDIRECT("'"&amp;$H$3&amp;"'!$B$28:$B$38"),0)),0)+IFERROR(INDIRECT("'"&amp;$H$3&amp;"'!N$275")*INDEX(INDIRECT("'"&amp;$H$3&amp;"'!$K$28:$K$38"),MATCH(INDIRECT("'"&amp;$H$3&amp;"'!N$276"),INDIRECT("'"&amp;$H$3&amp;"'!$B$28:$B$38"),0)),0))
+(IFERROR(1-INDIRECT("'"&amp;$H$3&amp;"'!N$291"),0))*(N$385+N$399)*(IFERROR(INDEX(INDIRECT("'"&amp;$H$3&amp;"'!$K$28:$K$38"),MATCH(INDIRECT("'"&amp;$H$3&amp;"'!N$294"),INDIRECT("'"&amp;$H$3&amp;"'!$B$28:$B$38"),0)),0)+IFERROR(INDIRECT("'"&amp;$H$3&amp;"'!N$295")*INDEX(INDIRECT("'"&amp;$H$3&amp;"'!$K$28:$K$38"),MATCH(INDIRECT("'"&amp;$H$3&amp;"'!N$296"),INDIRECT("'"&amp;$H$3&amp;"'!$B$28:$B$38"),0)),0))
+(IFERROR(1-INDIRECT("'"&amp;$H$3&amp;"'!N$311"),0))*(N$414+N$428)*(IFERROR(INDEX(INDIRECT("'"&amp;$H$3&amp;"'!$K$28:$K$38"),MATCH(INDIRECT("'"&amp;$H$3&amp;"'!N$314"),INDIRECT("'"&amp;$H$3&amp;"'!$B$28:$B$38"),0)),0)+IFERROR(INDIRECT("'"&amp;$H$3&amp;"'!N$315")*INDEX(INDIRECT("'"&amp;$H$3&amp;"'!$K$28:$K$38"),MATCH(INDIRECT("'"&amp;$H$3&amp;"'!N$316"),INDIRECT("'"&amp;$H$3&amp;"'!$B$28:$B$38"),0)),0))</f>
        <v>0</v>
      </c>
      <c r="O122" s="300"/>
      <c r="P122" s="300"/>
      <c r="Q122" s="300">
        <f ca="1">(IFERROR(1-INDIRECT("'"&amp;$H$3&amp;"'!Q$271"),0))*(Q$356+Q$370)*(IFERROR(INDEX(INDIRECT("'"&amp;$H$3&amp;"'!$K$28:$K$38"),MATCH(INDIRECT("'"&amp;$H$3&amp;"'!Q$274"),INDIRECT("'"&amp;$H$3&amp;"'!$B$28:$B$38"),0)),0)+IFERROR(INDIRECT("'"&amp;$H$3&amp;"'!Q$275")*INDEX(INDIRECT("'"&amp;$H$3&amp;"'!$K$28:$K$38"),MATCH(INDIRECT("'"&amp;$H$3&amp;"'!Q$276"),INDIRECT("'"&amp;$H$3&amp;"'!$B$28:$B$38"),0)),0))
+(IFERROR(1-INDIRECT("'"&amp;$H$3&amp;"'!Q$291"),0))*(Q$385+Q$399)*(IFERROR(INDEX(INDIRECT("'"&amp;$H$3&amp;"'!$K$28:$K$38"),MATCH(INDIRECT("'"&amp;$H$3&amp;"'!Q$294"),INDIRECT("'"&amp;$H$3&amp;"'!$B$28:$B$38"),0)),0)+IFERROR(INDIRECT("'"&amp;$H$3&amp;"'!Q$295")*INDEX(INDIRECT("'"&amp;$H$3&amp;"'!$K$28:$K$38"),MATCH(INDIRECT("'"&amp;$H$3&amp;"'!Q$296"),INDIRECT("'"&amp;$H$3&amp;"'!$B$28:$B$38"),0)),0))
+(IFERROR(1-INDIRECT("'"&amp;$H$3&amp;"'!Q$311"),0))*(Q$414+Q$428)*(IFERROR(INDEX(INDIRECT("'"&amp;$H$3&amp;"'!$K$28:$K$38"),MATCH(INDIRECT("'"&amp;$H$3&amp;"'!Q$314"),INDIRECT("'"&amp;$H$3&amp;"'!$B$28:$B$38"),0)),0)+IFERROR(INDIRECT("'"&amp;$H$3&amp;"'!Q$315")*INDEX(INDIRECT("'"&amp;$H$3&amp;"'!$K$28:$K$38"),MATCH(INDIRECT("'"&amp;$H$3&amp;"'!Q$316"),INDIRECT("'"&amp;$H$3&amp;"'!$B$28:$B$38"),0)),0))</f>
        <v>0</v>
      </c>
      <c r="R122" s="300"/>
      <c r="S122" s="337"/>
      <c r="T122" s="300">
        <f ca="1">(IFERROR(1-INDIRECT("'"&amp;$H$3&amp;"'!T$271"),0))*(T$356+T$370)*(IFERROR(INDEX(INDIRECT("'"&amp;$H$3&amp;"'!$K$28:$K$38"),MATCH(INDIRECT("'"&amp;$H$3&amp;"'!T$274"),INDIRECT("'"&amp;$H$3&amp;"'!$B$28:$B$38"),0)),0)+IFERROR(INDIRECT("'"&amp;$H$3&amp;"'!T$275")*INDEX(INDIRECT("'"&amp;$H$3&amp;"'!$K$28:$K$38"),MATCH(INDIRECT("'"&amp;$H$3&amp;"'!T$276"),INDIRECT("'"&amp;$H$3&amp;"'!$B$28:$B$38"),0)),0))
+(IFERROR(1-INDIRECT("'"&amp;$H$3&amp;"'!T$291"),0))*(T$385+T$399)*(IFERROR(INDEX(INDIRECT("'"&amp;$H$3&amp;"'!$K$28:$K$38"),MATCH(INDIRECT("'"&amp;$H$3&amp;"'!T$294"),INDIRECT("'"&amp;$H$3&amp;"'!$B$28:$B$38"),0)),0)+IFERROR(INDIRECT("'"&amp;$H$3&amp;"'!T$295")*INDEX(INDIRECT("'"&amp;$H$3&amp;"'!$K$28:$K$38"),MATCH(INDIRECT("'"&amp;$H$3&amp;"'!T$296"),INDIRECT("'"&amp;$H$3&amp;"'!$B$28:$B$38"),0)),0))
+(IFERROR(1-INDIRECT("'"&amp;$H$3&amp;"'!T$311"),0))*(T$414+T$428)*(IFERROR(INDEX(INDIRECT("'"&amp;$H$3&amp;"'!$K$28:$K$38"),MATCH(INDIRECT("'"&amp;$H$3&amp;"'!T$314"),INDIRECT("'"&amp;$H$3&amp;"'!$B$28:$B$38"),0)),0)+IFERROR(INDIRECT("'"&amp;$H$3&amp;"'!T$315")*INDEX(INDIRECT("'"&amp;$H$3&amp;"'!$K$28:$K$38"),MATCH(INDIRECT("'"&amp;$H$3&amp;"'!T$316"),INDIRECT("'"&amp;$H$3&amp;"'!$B$28:$B$38"),0)),0))</f>
        <v>0</v>
      </c>
      <c r="U122" s="337"/>
      <c r="V122" s="337"/>
      <c r="W122" s="1437">
        <f ca="1">(IFERROR(1-INDIRECT("'"&amp;$H$3&amp;"'!W$271"),0))*(W$356+W$370)*(IFERROR(INDEX(INDIRECT("'"&amp;$H$3&amp;"'!$K$28:$K$38"),MATCH(INDIRECT("'"&amp;$H$3&amp;"'!W$274"),INDIRECT("'"&amp;$H$3&amp;"'!$B$28:$B$38"),0)),0)+IFERROR(INDIRECT("'"&amp;$H$3&amp;"'!W$275")*INDEX(INDIRECT("'"&amp;$H$3&amp;"'!$K$28:$K$38"),MATCH(INDIRECT("'"&amp;$H$3&amp;"'!W$276"),INDIRECT("'"&amp;$H$3&amp;"'!$B$28:$B$38"),0)),0))
+(IFERROR(1-INDIRECT("'"&amp;$H$3&amp;"'!W$291"),0))*(W$385+W$399)*(IFERROR(INDEX(INDIRECT("'"&amp;$H$3&amp;"'!$K$28:$K$38"),MATCH(INDIRECT("'"&amp;$H$3&amp;"'!W$294"),INDIRECT("'"&amp;$H$3&amp;"'!$B$28:$B$38"),0)),0)+IFERROR(INDIRECT("'"&amp;$H$3&amp;"'!W$295")*INDEX(INDIRECT("'"&amp;$H$3&amp;"'!$K$28:$K$38"),MATCH(INDIRECT("'"&amp;$H$3&amp;"'!W$296"),INDIRECT("'"&amp;$H$3&amp;"'!$B$28:$B$38"),0)),0))
+(IFERROR(1-INDIRECT("'"&amp;$H$3&amp;"'!W$311"),0))*(W$414+W$428)*(IFERROR(INDEX(INDIRECT("'"&amp;$H$3&amp;"'!$K$28:$K$38"),MATCH(INDIRECT("'"&amp;$H$3&amp;"'!W$314"),INDIRECT("'"&amp;$H$3&amp;"'!$B$28:$B$38"),0)),0)+IFERROR(INDIRECT("'"&amp;$H$3&amp;"'!W$315")*INDEX(INDIRECT("'"&amp;$H$3&amp;"'!$K$28:$K$38"),MATCH(INDIRECT("'"&amp;$H$3&amp;"'!W$316"),INDIRECT("'"&amp;$H$3&amp;"'!$B$28:$B$38"),0)),0))</f>
        <v>0</v>
      </c>
      <c r="Y122" s="341">
        <f t="shared" ca="1" si="12"/>
        <v>0</v>
      </c>
    </row>
    <row r="123" spans="6:38">
      <c r="F123" s="288"/>
      <c r="G123" s="288" t="s">
        <v>1</v>
      </c>
      <c r="H123" s="300">
        <f ca="1">INDIRECT("'"&amp;$H$3&amp;"'!$H$8")*(
(IFERROR(1-INDIRECT("'"&amp;$H$3&amp;"'!H$271"),0))*IF(INDIRECT("'"&amp;$H$3&amp;"'!H$265")='List Values'!$E$5,0,(H$369*IFERROR(1/INDEX(INDIRECT("'"&amp;$H$3&amp;"'!$H$49:$H$78"),MATCH(INDIRECT("'"&amp;$H$3&amp;"'!H$264")&amp;"Fuel Efficiency (km/liter)",INDIRECT("'"&amp;$H$3&amp;"'!$F$49:$F$78"),0)),0)))
+(IFERROR(1-INDIRECT("'"&amp;$H$3&amp;"'!H$291"),0))*IF(INDIRECT("'"&amp;$H$3&amp;"'!H$285")='List Values'!$E$5,0,(H$398*IFERROR(1/INDEX(INDIRECT("'"&amp;$H$3&amp;"'!$H$49:$H$78"),MATCH(INDIRECT("'"&amp;$H$3&amp;"'!H$284")&amp;"Fuel Efficiency (km/liter)",INDIRECT("'"&amp;$H$3&amp;"'!$F$49:$F$78"),0)),0)))
+(IFERROR(1-INDIRECT("'"&amp;$H$3&amp;"'!H$311"),0))*IF(INDIRECT("'"&amp;$H$3&amp;"'!H$305")='List Values'!$E$5,0,(H$427*IFERROR(1/INDEX(INDIRECT("'"&amp;$H$3&amp;"'!$H$49:$H$78"),MATCH(INDIRECT("'"&amp;$H$3&amp;"'!H$304")&amp;"Fuel Efficiency (km/liter)",INDIRECT("'"&amp;$H$3&amp;"'!$F$49:$F$78"),0)),0))))</f>
        <v>0</v>
      </c>
      <c r="I123" s="300"/>
      <c r="J123" s="300"/>
      <c r="K123" s="300">
        <f ca="1">INDIRECT("'"&amp;$H$3&amp;"'!$H$8")*(
(IFERROR(1-INDIRECT("'"&amp;$H$3&amp;"'!K$271"),0))*IF(INDIRECT("'"&amp;$H$3&amp;"'!K$265")='List Values'!$E$5,0,(K$369*IFERROR(1/INDEX(INDIRECT("'"&amp;$H$3&amp;"'!$H$49:$H$78"),MATCH(INDIRECT("'"&amp;$H$3&amp;"'!K$264")&amp;"Fuel Efficiency (km/liter)",INDIRECT("'"&amp;$H$3&amp;"'!$F$49:$F$78"),0)),0)))
+(IFERROR(1-INDIRECT("'"&amp;$H$3&amp;"'!K$291"),0))*IF(INDIRECT("'"&amp;$H$3&amp;"'!K$285")='List Values'!$E$5,0,(K$398*IFERROR(1/INDEX(INDIRECT("'"&amp;$H$3&amp;"'!$H$49:$H$78"),MATCH(INDIRECT("'"&amp;$H$3&amp;"'!K$284")&amp;"Fuel Efficiency (km/liter)",INDIRECT("'"&amp;$H$3&amp;"'!$F$49:$F$78"),0)),0)))
+(IFERROR(1-INDIRECT("'"&amp;$H$3&amp;"'!K$311"),0))*IF(INDIRECT("'"&amp;$H$3&amp;"'!K$305")='List Values'!$E$5,0,(K$427*IFERROR(1/INDEX(INDIRECT("'"&amp;$H$3&amp;"'!$H$49:$H$78"),MATCH(INDIRECT("'"&amp;$H$3&amp;"'!K$304")&amp;"Fuel Efficiency (km/liter)",INDIRECT("'"&amp;$H$3&amp;"'!$F$49:$F$78"),0)),0))))</f>
        <v>0</v>
      </c>
      <c r="L123" s="300"/>
      <c r="M123" s="300"/>
      <c r="N123" s="300">
        <f ca="1">INDIRECT("'"&amp;$H$3&amp;"'!$H$8")*(
(IFERROR(1-INDIRECT("'"&amp;$H$3&amp;"'!N$271"),0))*IF(INDIRECT("'"&amp;$H$3&amp;"'!N$265")='List Values'!$E$5,0,(N$369*IFERROR(1/INDEX(INDIRECT("'"&amp;$H$3&amp;"'!$H$49:$H$78"),MATCH(INDIRECT("'"&amp;$H$3&amp;"'!N$264")&amp;"Fuel Efficiency (km/liter)",INDIRECT("'"&amp;$H$3&amp;"'!$F$49:$F$78"),0)),0)))
+(IFERROR(1-INDIRECT("'"&amp;$H$3&amp;"'!N$291"),0))*IF(INDIRECT("'"&amp;$H$3&amp;"'!N$285")='List Values'!$E$5,0,(N$398*IFERROR(1/INDEX(INDIRECT("'"&amp;$H$3&amp;"'!$H$49:$H$78"),MATCH(INDIRECT("'"&amp;$H$3&amp;"'!N$284")&amp;"Fuel Efficiency (km/liter)",INDIRECT("'"&amp;$H$3&amp;"'!$F$49:$F$78"),0)),0)))
+(IFERROR(1-INDIRECT("'"&amp;$H$3&amp;"'!N$311"),0))*IF(INDIRECT("'"&amp;$H$3&amp;"'!N$305")='List Values'!$E$5,0,(N$427*IFERROR(1/INDEX(INDIRECT("'"&amp;$H$3&amp;"'!$H$49:$H$78"),MATCH(INDIRECT("'"&amp;$H$3&amp;"'!N$304")&amp;"Fuel Efficiency (km/liter)",INDIRECT("'"&amp;$H$3&amp;"'!$F$49:$F$78"),0)),0))))</f>
        <v>0</v>
      </c>
      <c r="O123" s="300"/>
      <c r="P123" s="300"/>
      <c r="Q123" s="300">
        <f ca="1">INDIRECT("'"&amp;$H$3&amp;"'!$H$8")*(
(IFERROR(1-INDIRECT("'"&amp;$H$3&amp;"'!Q$271"),0))*IF(INDIRECT("'"&amp;$H$3&amp;"'!Q$265")='List Values'!$E$5,0,(Q$369*IFERROR(1/INDEX(INDIRECT("'"&amp;$H$3&amp;"'!$H$49:$H$78"),MATCH(INDIRECT("'"&amp;$H$3&amp;"'!Q$264")&amp;"Fuel Efficiency (km/liter)",INDIRECT("'"&amp;$H$3&amp;"'!$F$49:$F$78"),0)),0)))
+(IFERROR(1-INDIRECT("'"&amp;$H$3&amp;"'!Q$291"),0))*IF(INDIRECT("'"&amp;$H$3&amp;"'!Q$285")='List Values'!$E$5,0,(Q$398*IFERROR(1/INDEX(INDIRECT("'"&amp;$H$3&amp;"'!$H$49:$H$78"),MATCH(INDIRECT("'"&amp;$H$3&amp;"'!Q$284")&amp;"Fuel Efficiency (km/liter)",INDIRECT("'"&amp;$H$3&amp;"'!$F$49:$F$78"),0)),0)))
+(IFERROR(1-INDIRECT("'"&amp;$H$3&amp;"'!Q$311"),0))*IF(INDIRECT("'"&amp;$H$3&amp;"'!Q$305")='List Values'!$E$5,0,(Q$427*IFERROR(1/INDEX(INDIRECT("'"&amp;$H$3&amp;"'!$H$49:$H$78"),MATCH(INDIRECT("'"&amp;$H$3&amp;"'!Q$304")&amp;"Fuel Efficiency (km/liter)",INDIRECT("'"&amp;$H$3&amp;"'!$F$49:$F$78"),0)),0))))</f>
        <v>0</v>
      </c>
      <c r="R123" s="300"/>
      <c r="S123" s="337"/>
      <c r="T123" s="300">
        <f ca="1">INDIRECT("'"&amp;$H$3&amp;"'!$H$8")*(
(IFERROR(1-INDIRECT("'"&amp;$H$3&amp;"'!T$271"),0))*IF(INDIRECT("'"&amp;$H$3&amp;"'!T$265")='List Values'!$E$5,0,(T$369*IFERROR(1/INDEX(INDIRECT("'"&amp;$H$3&amp;"'!$H$49:$H$78"),MATCH(INDIRECT("'"&amp;$H$3&amp;"'!T$264")&amp;"Fuel Efficiency (km/liter)",INDIRECT("'"&amp;$H$3&amp;"'!$F$49:$F$78"),0)),0)))
+(IFERROR(1-INDIRECT("'"&amp;$H$3&amp;"'!T$291"),0))*IF(INDIRECT("'"&amp;$H$3&amp;"'!T$285")='List Values'!$E$5,0,(T$398*IFERROR(1/INDEX(INDIRECT("'"&amp;$H$3&amp;"'!$H$49:$H$78"),MATCH(INDIRECT("'"&amp;$H$3&amp;"'!T$284")&amp;"Fuel Efficiency (km/liter)",INDIRECT("'"&amp;$H$3&amp;"'!$F$49:$F$78"),0)),0)))
+(IFERROR(1-INDIRECT("'"&amp;$H$3&amp;"'!T$311"),0))*IF(INDIRECT("'"&amp;$H$3&amp;"'!T$305")='List Values'!$E$5,0,(T$427*IFERROR(1/INDEX(INDIRECT("'"&amp;$H$3&amp;"'!$H$49:$H$78"),MATCH(INDIRECT("'"&amp;$H$3&amp;"'!T$304")&amp;"Fuel Efficiency (km/liter)",INDIRECT("'"&amp;$H$3&amp;"'!$F$49:$F$78"),0)),0))))</f>
        <v>0</v>
      </c>
      <c r="U123" s="337"/>
      <c r="V123" s="337"/>
      <c r="W123" s="1437">
        <f ca="1">INDIRECT("'"&amp;$H$3&amp;"'!$H$8")*(
(IFERROR(1-INDIRECT("'"&amp;$H$3&amp;"'!W$271"),0))*IF(INDIRECT("'"&amp;$H$3&amp;"'!W$265")='List Values'!$E$5,0,(W$369*IFERROR(1/INDEX(INDIRECT("'"&amp;$H$3&amp;"'!$H$49:$H$78"),MATCH(INDIRECT("'"&amp;$H$3&amp;"'!W$264")&amp;"Fuel Efficiency (km/liter)",INDIRECT("'"&amp;$H$3&amp;"'!$F$49:$F$78"),0)),0)))
+(IFERROR(1-INDIRECT("'"&amp;$H$3&amp;"'!W$291"),0))*IF(INDIRECT("'"&amp;$H$3&amp;"'!W$285")='List Values'!$E$5,0,(W$398*IFERROR(1/INDEX(INDIRECT("'"&amp;$H$3&amp;"'!$H$49:$H$78"),MATCH(INDIRECT("'"&amp;$H$3&amp;"'!W$284")&amp;"Fuel Efficiency (km/liter)",INDIRECT("'"&amp;$H$3&amp;"'!$F$49:$F$78"),0)),0)))
+(IFERROR(1-INDIRECT("'"&amp;$H$3&amp;"'!W$311"),0))*IF(INDIRECT("'"&amp;$H$3&amp;"'!W$305")='List Values'!$E$5,0,(W$427*IFERROR(1/INDEX(INDIRECT("'"&amp;$H$3&amp;"'!$H$49:$H$78"),MATCH(INDIRECT("'"&amp;$H$3&amp;"'!W$304")&amp;"Fuel Efficiency (km/liter)",INDIRECT("'"&amp;$H$3&amp;"'!$F$49:$F$78"),0)),0))))</f>
        <v>0</v>
      </c>
      <c r="Y123" s="341">
        <f t="shared" ca="1" si="12"/>
        <v>0</v>
      </c>
    </row>
    <row r="124" spans="6:38">
      <c r="F124" s="288"/>
      <c r="G124" s="288" t="s">
        <v>91</v>
      </c>
      <c r="H124" s="300">
        <f ca="1">IFERROR((1-INDIRECT("'"&amp;$H$3&amp;"'!H$270"))*IF(AND(INDIRECT("'"&amp;$H$3&amp;"'!H$269")="No",INDIRECT("'"&amp;$H$3&amp;"'!H$265")='List Values'!$E$3),INDEX(INDIRECT("'"&amp;$H$3&amp;"'!$H$49:$H$78"),MATCH(INDIRECT("'"&amp;$H$3&amp;"'!H$264")&amp;"Insurance cost /yr ($)",INDIRECT("'"&amp;$H$3&amp;"'!$F$49:$F$78"),0))*INDIRECT("'"&amp;$H$3&amp;"'!H$268"),0),0)
+IFERROR((1-INDIRECT("'"&amp;$H$3&amp;"'!H$290"))*IF(AND(INDIRECT("'"&amp;$H$3&amp;"'!H$289")="No",INDIRECT("'"&amp;$H$3&amp;"'!H$285")='List Values'!$E$3),INDEX(INDIRECT("'"&amp;$H$3&amp;"'!$H$49:$H$78"),MATCH(INDIRECT("'"&amp;$H$3&amp;"'!H$284")&amp;"Insurance cost /yr ($)",INDIRECT("'"&amp;$H$3&amp;"'!$F$49:$F$78"),0))*INDIRECT("'"&amp;$H$3&amp;"'!H$288"),0),0)
+IFERROR((1-INDIRECT("'"&amp;$H$3&amp;"'!H$310"))*IF(AND(INDIRECT("'"&amp;$H$3&amp;"'!H$309")="No",INDIRECT("'"&amp;$H$3&amp;"'!H$305")='List Values'!$E$3),INDEX(INDIRECT("'"&amp;$H$3&amp;"'!$H$49:$H$78"),MATCH(INDIRECT("'"&amp;$H$3&amp;"'!H$304")&amp;"Insurance cost /yr ($)",INDIRECT("'"&amp;$H$3&amp;"'!$F$49:$F$78"),0))*INDIRECT("'"&amp;$H$3&amp;"'!H$308"),0),0)</f>
        <v>0</v>
      </c>
      <c r="I124" s="300"/>
      <c r="J124" s="300"/>
      <c r="K124" s="300">
        <f ca="1">IFERROR((1-INDIRECT("'"&amp;$H$3&amp;"'!K$270"))*IF(AND(INDIRECT("'"&amp;$H$3&amp;"'!K$269")="No",INDIRECT("'"&amp;$H$3&amp;"'!K$265")='List Values'!$E$3),INDEX(INDIRECT("'"&amp;$H$3&amp;"'!$H$49:$H$78"),MATCH(INDIRECT("'"&amp;$H$3&amp;"'!K$264")&amp;"Insurance cost /yr ($)",INDIRECT("'"&amp;$H$3&amp;"'!$F$49:$F$78"),0))*INDIRECT("'"&amp;$H$3&amp;"'!K$268"),0),0)
+IFERROR((1-INDIRECT("'"&amp;$H$3&amp;"'!K$290"))*IF(AND(INDIRECT("'"&amp;$H$3&amp;"'!K$289")="No",INDIRECT("'"&amp;$H$3&amp;"'!K$285")='List Values'!$E$3),INDEX(INDIRECT("'"&amp;$H$3&amp;"'!$H$49:$H$78"),MATCH(INDIRECT("'"&amp;$H$3&amp;"'!K$284")&amp;"Insurance cost /yr ($)",INDIRECT("'"&amp;$H$3&amp;"'!$F$49:$F$78"),0))*INDIRECT("'"&amp;$H$3&amp;"'!K$288"),0),0)
+IFERROR((1-INDIRECT("'"&amp;$H$3&amp;"'!K$310"))*IF(AND(INDIRECT("'"&amp;$H$3&amp;"'!K$309")="No",INDIRECT("'"&amp;$H$3&amp;"'!K$305")='List Values'!$E$3),INDEX(INDIRECT("'"&amp;$H$3&amp;"'!$H$49:$H$78"),MATCH(INDIRECT("'"&amp;$H$3&amp;"'!K$304")&amp;"Insurance cost /yr ($)",INDIRECT("'"&amp;$H$3&amp;"'!$F$49:$F$78"),0))*INDIRECT("'"&amp;$H$3&amp;"'!K$308"),0),0)</f>
        <v>0</v>
      </c>
      <c r="L124" s="300"/>
      <c r="M124" s="300"/>
      <c r="N124" s="300">
        <f ca="1">IFERROR((1-INDIRECT("'"&amp;$H$3&amp;"'!N$270"))*IF(AND(INDIRECT("'"&amp;$H$3&amp;"'!N$269")="No",INDIRECT("'"&amp;$H$3&amp;"'!N$265")='List Values'!$E$3),INDEX(INDIRECT("'"&amp;$H$3&amp;"'!$H$49:$H$78"),MATCH(INDIRECT("'"&amp;$H$3&amp;"'!N$264")&amp;"Insurance cost /yr ($)",INDIRECT("'"&amp;$H$3&amp;"'!$F$49:$F$78"),0))*INDIRECT("'"&amp;$H$3&amp;"'!N$268"),0),0)
+IFERROR((1-INDIRECT("'"&amp;$H$3&amp;"'!N$290"))*IF(AND(INDIRECT("'"&amp;$H$3&amp;"'!N$289")="No",INDIRECT("'"&amp;$H$3&amp;"'!N$285")='List Values'!$E$3),INDEX(INDIRECT("'"&amp;$H$3&amp;"'!$H$49:$H$78"),MATCH(INDIRECT("'"&amp;$H$3&amp;"'!N$284")&amp;"Insurance cost /yr ($)",INDIRECT("'"&amp;$H$3&amp;"'!$F$49:$F$78"),0))*INDIRECT("'"&amp;$H$3&amp;"'!N$288"),0),0)
+IFERROR((1-INDIRECT("'"&amp;$H$3&amp;"'!N$310"))*IF(AND(INDIRECT("'"&amp;$H$3&amp;"'!N$309")="No",INDIRECT("'"&amp;$H$3&amp;"'!N$305")='List Values'!$E$3),INDEX(INDIRECT("'"&amp;$H$3&amp;"'!$H$49:$H$78"),MATCH(INDIRECT("'"&amp;$H$3&amp;"'!N$304")&amp;"Insurance cost /yr ($)",INDIRECT("'"&amp;$H$3&amp;"'!$F$49:$F$78"),0))*INDIRECT("'"&amp;$H$3&amp;"'!N$308"),0),0)</f>
        <v>0</v>
      </c>
      <c r="O124" s="300"/>
      <c r="P124" s="300"/>
      <c r="Q124" s="300">
        <f ca="1">IFERROR((1-INDIRECT("'"&amp;$H$3&amp;"'!Q$270"))*IF(AND(INDIRECT("'"&amp;$H$3&amp;"'!Q$269")="No",INDIRECT("'"&amp;$H$3&amp;"'!Q$265")='List Values'!$E$3),INDEX(INDIRECT("'"&amp;$H$3&amp;"'!$H$49:$H$78"),MATCH(INDIRECT("'"&amp;$H$3&amp;"'!Q$264")&amp;"Insurance cost /yr ($)",INDIRECT("'"&amp;$H$3&amp;"'!$F$49:$F$78"),0))*INDIRECT("'"&amp;$H$3&amp;"'!Q$268"),0),0)
+IFERROR((1-INDIRECT("'"&amp;$H$3&amp;"'!Q$290"))*IF(AND(INDIRECT("'"&amp;$H$3&amp;"'!Q$289")="No",INDIRECT("'"&amp;$H$3&amp;"'!Q$285")='List Values'!$E$3),INDEX(INDIRECT("'"&amp;$H$3&amp;"'!$H$49:$H$78"),MATCH(INDIRECT("'"&amp;$H$3&amp;"'!Q$284")&amp;"Insurance cost /yr ($)",INDIRECT("'"&amp;$H$3&amp;"'!$F$49:$F$78"),0))*INDIRECT("'"&amp;$H$3&amp;"'!Q$288"),0),0)
+IFERROR((1-INDIRECT("'"&amp;$H$3&amp;"'!Q$310"))*IF(AND(INDIRECT("'"&amp;$H$3&amp;"'!Q$309")="No",INDIRECT("'"&amp;$H$3&amp;"'!Q$305")='List Values'!$E$3),INDEX(INDIRECT("'"&amp;$H$3&amp;"'!$H$49:$H$78"),MATCH(INDIRECT("'"&amp;$H$3&amp;"'!Q$304")&amp;"Insurance cost /yr ($)",INDIRECT("'"&amp;$H$3&amp;"'!$F$49:$F$78"),0))*INDIRECT("'"&amp;$H$3&amp;"'!Q$308"),0),0)</f>
        <v>0</v>
      </c>
      <c r="R124" s="300"/>
      <c r="S124" s="337"/>
      <c r="T124" s="300">
        <f ca="1">IFERROR((1-INDIRECT("'"&amp;$H$3&amp;"'!T$270"))*IF(AND(INDIRECT("'"&amp;$H$3&amp;"'!T$269")="No",INDIRECT("'"&amp;$H$3&amp;"'!T$265")='List Values'!$E$3),INDEX(INDIRECT("'"&amp;$H$3&amp;"'!$H$49:$H$78"),MATCH(INDIRECT("'"&amp;$H$3&amp;"'!T$264")&amp;"Insurance cost /yr ($)",INDIRECT("'"&amp;$H$3&amp;"'!$F$49:$F$78"),0))*INDIRECT("'"&amp;$H$3&amp;"'!T$268"),0),0)
+IFERROR((1-INDIRECT("'"&amp;$H$3&amp;"'!T$290"))*IF(AND(INDIRECT("'"&amp;$H$3&amp;"'!T$289")="No",INDIRECT("'"&amp;$H$3&amp;"'!T$285")='List Values'!$E$3),INDEX(INDIRECT("'"&amp;$H$3&amp;"'!$H$49:$H$78"),MATCH(INDIRECT("'"&amp;$H$3&amp;"'!T$284")&amp;"Insurance cost /yr ($)",INDIRECT("'"&amp;$H$3&amp;"'!$F$49:$F$78"),0))*INDIRECT("'"&amp;$H$3&amp;"'!T$288"),0),0)
+IFERROR((1-INDIRECT("'"&amp;$H$3&amp;"'!T$310"))*IF(AND(INDIRECT("'"&amp;$H$3&amp;"'!T$309")="No",INDIRECT("'"&amp;$H$3&amp;"'!T$305")='List Values'!$E$3),INDEX(INDIRECT("'"&amp;$H$3&amp;"'!$H$49:$H$78"),MATCH(INDIRECT("'"&amp;$H$3&amp;"'!T$304")&amp;"Insurance cost /yr ($)",INDIRECT("'"&amp;$H$3&amp;"'!$F$49:$F$78"),0))*INDIRECT("'"&amp;$H$3&amp;"'!T$308"),0),0)</f>
        <v>0</v>
      </c>
      <c r="U124" s="337"/>
      <c r="V124" s="337"/>
      <c r="W124" s="1437">
        <f ca="1">IFERROR((1-INDIRECT("'"&amp;$H$3&amp;"'!W$270"))*IF(AND(INDIRECT("'"&amp;$H$3&amp;"'!W$269")="No",INDIRECT("'"&amp;$H$3&amp;"'!W$265")='List Values'!$E$3),INDEX(INDIRECT("'"&amp;$H$3&amp;"'!$H$49:$H$78"),MATCH(INDIRECT("'"&amp;$H$3&amp;"'!W$264")&amp;"Insurance cost /yr ($)",INDIRECT("'"&amp;$H$3&amp;"'!$F$49:$F$78"),0))*INDIRECT("'"&amp;$H$3&amp;"'!W$268"),0),0)
+IFERROR((1-INDIRECT("'"&amp;$H$3&amp;"'!W$290"))*IF(AND(INDIRECT("'"&amp;$H$3&amp;"'!W$289")="No",INDIRECT("'"&amp;$H$3&amp;"'!W$285")='List Values'!$E$3),INDEX(INDIRECT("'"&amp;$H$3&amp;"'!$H$49:$H$78"),MATCH(INDIRECT("'"&amp;$H$3&amp;"'!W$284")&amp;"Insurance cost /yr ($)",INDIRECT("'"&amp;$H$3&amp;"'!$F$49:$F$78"),0))*INDIRECT("'"&amp;$H$3&amp;"'!W$288"),0),0)
+IFERROR((1-INDIRECT("'"&amp;$H$3&amp;"'!W$310"))*IF(AND(INDIRECT("'"&amp;$H$3&amp;"'!W$309")="No",INDIRECT("'"&amp;$H$3&amp;"'!W$305")='List Values'!$E$3),INDEX(INDIRECT("'"&amp;$H$3&amp;"'!$H$49:$H$78"),MATCH(INDIRECT("'"&amp;$H$3&amp;"'!W$304")&amp;"Insurance cost /yr ($)",INDIRECT("'"&amp;$H$3&amp;"'!$F$49:$F$78"),0))*INDIRECT("'"&amp;$H$3&amp;"'!W$308"),0),0)</f>
        <v>0</v>
      </c>
      <c r="Y124" s="341">
        <f t="shared" ca="1" si="12"/>
        <v>0</v>
      </c>
      <c r="Z124" s="7"/>
      <c r="AA124" s="7"/>
    </row>
    <row r="125" spans="6:38">
      <c r="F125" s="288"/>
      <c r="G125" s="288" t="s">
        <v>92</v>
      </c>
      <c r="H125" s="300">
        <f ca="1">IFERROR((1-INDIRECT("'"&amp;$H$3&amp;"'!H$271"))*IF(INDIRECT("'"&amp;$H$3&amp;"'!H$265")='List Values'!$E$3,H$369*INDEX(INDIRECT("'"&amp;$H$3&amp;"'!$H$49:$H$78"),MATCH(INDIRECT("'"&amp;$H$3&amp;"'!H$264")&amp;"Maintenance cost/km ($)",INDIRECT("'"&amp;$H$3&amp;"'!$F$49:$F$78"),0)),0),0)
+ IFERROR((1-INDIRECT("'"&amp;$H$3&amp;"'!H$291"))*IF(INDIRECT("'"&amp;$H$3&amp;"'!H$285")='List Values'!$E$3,H$398*INDEX(INDIRECT("'"&amp;$H$3&amp;"'!$H$49:$H$78"),MATCH(INDIRECT("'"&amp;$H$3&amp;"'!H$284")&amp;"Maintenance cost/km ($)",INDIRECT("'"&amp;$H$3&amp;"'!$F$49:$F$78"),0)),0),0)
+ IFERROR((1-INDIRECT("'"&amp;$H$3&amp;"'!H$311"))*IF(INDIRECT("'"&amp;$H$3&amp;"'!H$305")='List Values'!$E$3,H$427*INDEX(INDIRECT("'"&amp;$H$3&amp;"'!$H$49:$H$78"),MATCH(INDIRECT("'"&amp;$H$3&amp;"'!H$304")&amp;"Maintenance cost/km ($)",INDIRECT("'"&amp;$H$3&amp;"'!$F$49:$F$78"),0)),0),0)</f>
        <v>0</v>
      </c>
      <c r="I125" s="300"/>
      <c r="J125" s="300"/>
      <c r="K125" s="300">
        <f ca="1">IFERROR((1-INDIRECT("'"&amp;$H$3&amp;"'!K$271"))*IF(INDIRECT("'"&amp;$H$3&amp;"'!K$265")='List Values'!$E$3,K$369*INDEX(INDIRECT("'"&amp;$H$3&amp;"'!$H$49:$H$78"),MATCH(INDIRECT("'"&amp;$H$3&amp;"'!K$264")&amp;"Maintenance cost/km ($)",INDIRECT("'"&amp;$H$3&amp;"'!$F$49:$F$78"),0)),0),0)
+ IFERROR((1-INDIRECT("'"&amp;$H$3&amp;"'!K$291"))*IF(INDIRECT("'"&amp;$H$3&amp;"'!K$285")='List Values'!$E$3,K$398*INDEX(INDIRECT("'"&amp;$H$3&amp;"'!$H$49:$H$78"),MATCH(INDIRECT("'"&amp;$H$3&amp;"'!K$284")&amp;"Maintenance cost/km ($)",INDIRECT("'"&amp;$H$3&amp;"'!$F$49:$F$78"),0)),0),0)
+ IFERROR((1-INDIRECT("'"&amp;$H$3&amp;"'!K$311"))*IF(INDIRECT("'"&amp;$H$3&amp;"'!K$305")='List Values'!$E$3,K$427*INDEX(INDIRECT("'"&amp;$H$3&amp;"'!$H$49:$H$78"),MATCH(INDIRECT("'"&amp;$H$3&amp;"'!K$304")&amp;"Maintenance cost/km ($)",INDIRECT("'"&amp;$H$3&amp;"'!$F$49:$F$78"),0)),0),0)</f>
        <v>0</v>
      </c>
      <c r="L125" s="300"/>
      <c r="M125" s="300"/>
      <c r="N125" s="300">
        <f ca="1">IFERROR((1-INDIRECT("'"&amp;$H$3&amp;"'!N$271"))*IF(INDIRECT("'"&amp;$H$3&amp;"'!N$265")='List Values'!$E$3,N$369*INDEX(INDIRECT("'"&amp;$H$3&amp;"'!$H$49:$H$78"),MATCH(INDIRECT("'"&amp;$H$3&amp;"'!N$264")&amp;"Maintenance cost/km ($)",INDIRECT("'"&amp;$H$3&amp;"'!$F$49:$F$78"),0)),0),0)
+ IFERROR((1-INDIRECT("'"&amp;$H$3&amp;"'!N$291"))*IF(INDIRECT("'"&amp;$H$3&amp;"'!N$285")='List Values'!$E$3,N$398*INDEX(INDIRECT("'"&amp;$H$3&amp;"'!$H$49:$H$78"),MATCH(INDIRECT("'"&amp;$H$3&amp;"'!N$284")&amp;"Maintenance cost/km ($)",INDIRECT("'"&amp;$H$3&amp;"'!$F$49:$F$78"),0)),0),0)
+ IFERROR((1-INDIRECT("'"&amp;$H$3&amp;"'!N$311"))*IF(INDIRECT("'"&amp;$H$3&amp;"'!N$305")='List Values'!$E$3,N$427*INDEX(INDIRECT("'"&amp;$H$3&amp;"'!$H$49:$H$78"),MATCH(INDIRECT("'"&amp;$H$3&amp;"'!N$304")&amp;"Maintenance cost/km ($)",INDIRECT("'"&amp;$H$3&amp;"'!$F$49:$F$78"),0)),0),0)</f>
        <v>0</v>
      </c>
      <c r="O125" s="300"/>
      <c r="P125" s="300"/>
      <c r="Q125" s="300">
        <f ca="1">IFERROR((1-INDIRECT("'"&amp;$H$3&amp;"'!Q$271"))*IF(INDIRECT("'"&amp;$H$3&amp;"'!Q$265")='List Values'!$E$3,Q$369*INDEX(INDIRECT("'"&amp;$H$3&amp;"'!$H$49:$H$78"),MATCH(INDIRECT("'"&amp;$H$3&amp;"'!Q$264")&amp;"Maintenance cost/km ($)",INDIRECT("'"&amp;$H$3&amp;"'!$F$49:$F$78"),0)),0),0)
+ IFERROR((1-INDIRECT("'"&amp;$H$3&amp;"'!Q$291"))*IF(INDIRECT("'"&amp;$H$3&amp;"'!Q$285")='List Values'!$E$3,Q$398*INDEX(INDIRECT("'"&amp;$H$3&amp;"'!$H$49:$H$78"),MATCH(INDIRECT("'"&amp;$H$3&amp;"'!Q$284")&amp;"Maintenance cost/km ($)",INDIRECT("'"&amp;$H$3&amp;"'!$F$49:$F$78"),0)),0),0)
+ IFERROR((1-INDIRECT("'"&amp;$H$3&amp;"'!Q$311"))*IF(INDIRECT("'"&amp;$H$3&amp;"'!Q$305")='List Values'!$E$3,Q$427*INDEX(INDIRECT("'"&amp;$H$3&amp;"'!$H$49:$H$78"),MATCH(INDIRECT("'"&amp;$H$3&amp;"'!Q$304")&amp;"Maintenance cost/km ($)",INDIRECT("'"&amp;$H$3&amp;"'!$F$49:$F$78"),0)),0),0)</f>
        <v>0</v>
      </c>
      <c r="R125" s="300"/>
      <c r="S125" s="337"/>
      <c r="T125" s="300">
        <f ca="1">IFERROR((1-INDIRECT("'"&amp;$H$3&amp;"'!T$271"))*IF(INDIRECT("'"&amp;$H$3&amp;"'!T$265")='List Values'!$E$3,T$369*INDEX(INDIRECT("'"&amp;$H$3&amp;"'!$H$49:$H$78"),MATCH(INDIRECT("'"&amp;$H$3&amp;"'!T$264")&amp;"Maintenance cost/km ($)",INDIRECT("'"&amp;$H$3&amp;"'!$F$49:$F$78"),0)),0),0)
+ IFERROR((1-INDIRECT("'"&amp;$H$3&amp;"'!T$291"))*IF(INDIRECT("'"&amp;$H$3&amp;"'!T$285")='List Values'!$E$3,T$398*INDEX(INDIRECT("'"&amp;$H$3&amp;"'!$H$49:$H$78"),MATCH(INDIRECT("'"&amp;$H$3&amp;"'!T$284")&amp;"Maintenance cost/km ($)",INDIRECT("'"&amp;$H$3&amp;"'!$F$49:$F$78"),0)),0),0)
+ IFERROR((1-INDIRECT("'"&amp;$H$3&amp;"'!T$311"))*IF(INDIRECT("'"&amp;$H$3&amp;"'!T$305")='List Values'!$E$3,T$427*INDEX(INDIRECT("'"&amp;$H$3&amp;"'!$H$49:$H$78"),MATCH(INDIRECT("'"&amp;$H$3&amp;"'!T$304")&amp;"Maintenance cost/km ($)",INDIRECT("'"&amp;$H$3&amp;"'!$F$49:$F$78"),0)),0),0)</f>
        <v>0</v>
      </c>
      <c r="U125" s="337"/>
      <c r="V125" s="337"/>
      <c r="W125" s="1437">
        <f ca="1">IFERROR((1-INDIRECT("'"&amp;$H$3&amp;"'!W$271"))*IF(INDIRECT("'"&amp;$H$3&amp;"'!W$265")='List Values'!$E$3,W$369*INDEX(INDIRECT("'"&amp;$H$3&amp;"'!$H$49:$H$78"),MATCH(INDIRECT("'"&amp;$H$3&amp;"'!W$264")&amp;"Maintenance cost/km ($)",INDIRECT("'"&amp;$H$3&amp;"'!$F$49:$F$78"),0)),0),0)
+ IFERROR((1-INDIRECT("'"&amp;$H$3&amp;"'!W$291"))*IF(INDIRECT("'"&amp;$H$3&amp;"'!W$285")='List Values'!$E$3,W$398*INDEX(INDIRECT("'"&amp;$H$3&amp;"'!$H$49:$H$78"),MATCH(INDIRECT("'"&amp;$H$3&amp;"'!W$284")&amp;"Maintenance cost/km ($)",INDIRECT("'"&amp;$H$3&amp;"'!$F$49:$F$78"),0)),0),0)
+ IFERROR((1-INDIRECT("'"&amp;$H$3&amp;"'!W$311"))*IF(INDIRECT("'"&amp;$H$3&amp;"'!W$305")='List Values'!$E$3,W$427*INDEX(INDIRECT("'"&amp;$H$3&amp;"'!$H$49:$H$78"),MATCH(INDIRECT("'"&amp;$H$3&amp;"'!W$304")&amp;"Maintenance cost/km ($)",INDIRECT("'"&amp;$H$3&amp;"'!$F$49:$F$78"),0)),0),0)</f>
        <v>0</v>
      </c>
      <c r="Y125" s="341">
        <f t="shared" ca="1" si="12"/>
        <v>0</v>
      </c>
      <c r="Z125" s="7"/>
      <c r="AA125" s="7"/>
    </row>
    <row r="126" spans="6:38">
      <c r="F126" s="288"/>
      <c r="G126" s="288" t="s">
        <v>93</v>
      </c>
      <c r="H126" s="300">
        <f ca="1">IFERROR((1-INDIRECT("'"&amp;$H$3&amp;"'!H$270"))*IF(AND(INDIRECT("'"&amp;$H$3&amp;"'!H$269")="No",INDIRECT("'"&amp;$H$3&amp;"'!H$265")='List Values'!$E$3),INDEX(INDIRECT("'"&amp;$H$3&amp;"'!$H$49:$H$78"),MATCH(INDIRECT("'"&amp;$H$3&amp;"'!H$264")&amp;"Depreciation cost / yr ($)",INDIRECT("'"&amp;$H$3&amp;"'!$F$49:$F$78"),0))*INDIRECT("'"&amp;$H$3&amp;"'!H$268"),0),0)
+IFERROR((1-INDIRECT("'"&amp;$H$3&amp;"'!H$290"))*IF(AND(INDIRECT("'"&amp;$H$3&amp;"'!H$289")="No",INDIRECT("'"&amp;$H$3&amp;"'!H$285")='List Values'!$E$3),INDEX(INDIRECT("'"&amp;$H$3&amp;"'!$H$49:$H$78"),MATCH(INDIRECT("'"&amp;$H$3&amp;"'!H$284")&amp;"Depreciation cost / yr ($)",INDIRECT("'"&amp;$H$3&amp;"'!$F$49:$F$78"),0))*INDIRECT("'"&amp;$H$3&amp;"'!H$288"),0),0)
+IFERROR((1-INDIRECT("'"&amp;$H$3&amp;"'!H$310"))*IF(AND(INDIRECT("'"&amp;$H$3&amp;"'!H$309")="No",INDIRECT("'"&amp;$H$3&amp;"'!H$305")='List Values'!$E$3),INDEX(INDIRECT("'"&amp;$H$3&amp;"'!$H$49:$H$78"),MATCH(INDIRECT("'"&amp;$H$3&amp;"'!H$304")&amp;"Depreciation cost / yr ($)",INDIRECT("'"&amp;$H$3&amp;"'!$F$49:$F$78"),0))*INDIRECT("'"&amp;$H$3&amp;"'!H$308"),0),0)</f>
        <v>0</v>
      </c>
      <c r="I126" s="300"/>
      <c r="J126" s="300"/>
      <c r="K126" s="300">
        <f ca="1">IFERROR((1-INDIRECT("'"&amp;$H$3&amp;"'!K$270"))*IF(AND(INDIRECT("'"&amp;$H$3&amp;"'!K$269")="No",INDIRECT("'"&amp;$H$3&amp;"'!K$265")='List Values'!$E$3),INDEX(INDIRECT("'"&amp;$H$3&amp;"'!$H$49:$H$78"),MATCH(INDIRECT("'"&amp;$H$3&amp;"'!K$264")&amp;"Depreciation cost / yr ($)",INDIRECT("'"&amp;$H$3&amp;"'!$F$49:$F$78"),0))*INDIRECT("'"&amp;$H$3&amp;"'!K$268"),0),0)
+IFERROR((1-INDIRECT("'"&amp;$H$3&amp;"'!K$290"))*IF(AND(INDIRECT("'"&amp;$H$3&amp;"'!K$289")="No",INDIRECT("'"&amp;$H$3&amp;"'!K$285")='List Values'!$E$3),INDEX(INDIRECT("'"&amp;$H$3&amp;"'!$H$49:$H$78"),MATCH(INDIRECT("'"&amp;$H$3&amp;"'!K$284")&amp;"Depreciation cost / yr ($)",INDIRECT("'"&amp;$H$3&amp;"'!$F$49:$F$78"),0))*INDIRECT("'"&amp;$H$3&amp;"'!K$288"),0),0)
+IFERROR((1-INDIRECT("'"&amp;$H$3&amp;"'!K$310"))*IF(AND(INDIRECT("'"&amp;$H$3&amp;"'!K$309")="No",INDIRECT("'"&amp;$H$3&amp;"'!K$305")='List Values'!$E$3),INDEX(INDIRECT("'"&amp;$H$3&amp;"'!$H$49:$H$78"),MATCH(INDIRECT("'"&amp;$H$3&amp;"'!K$304")&amp;"Depreciation cost / yr ($)",INDIRECT("'"&amp;$H$3&amp;"'!$F$49:$F$78"),0))*INDIRECT("'"&amp;$H$3&amp;"'!K$308"),0),0)</f>
        <v>0</v>
      </c>
      <c r="L126" s="300"/>
      <c r="M126" s="300"/>
      <c r="N126" s="300">
        <f ca="1">IFERROR((1-INDIRECT("'"&amp;$H$3&amp;"'!N$270"))*IF(AND(INDIRECT("'"&amp;$H$3&amp;"'!N$269")="No",INDIRECT("'"&amp;$H$3&amp;"'!N$265")='List Values'!$E$3),INDEX(INDIRECT("'"&amp;$H$3&amp;"'!$H$49:$H$78"),MATCH(INDIRECT("'"&amp;$H$3&amp;"'!N$264")&amp;"Depreciation cost / yr ($)",INDIRECT("'"&amp;$H$3&amp;"'!$F$49:$F$78"),0))*INDIRECT("'"&amp;$H$3&amp;"'!N$268"),0),0)
+IFERROR((1-INDIRECT("'"&amp;$H$3&amp;"'!N$290"))*IF(AND(INDIRECT("'"&amp;$H$3&amp;"'!N$289")="No",INDIRECT("'"&amp;$H$3&amp;"'!N$285")='List Values'!$E$3),INDEX(INDIRECT("'"&amp;$H$3&amp;"'!$H$49:$H$78"),MATCH(INDIRECT("'"&amp;$H$3&amp;"'!N$284")&amp;"Depreciation cost / yr ($)",INDIRECT("'"&amp;$H$3&amp;"'!$F$49:$F$78"),0))*INDIRECT("'"&amp;$H$3&amp;"'!N$288"),0),0)
+IFERROR((1-INDIRECT("'"&amp;$H$3&amp;"'!N$310"))*IF(AND(INDIRECT("'"&amp;$H$3&amp;"'!N$309")="No",INDIRECT("'"&amp;$H$3&amp;"'!N$305")='List Values'!$E$3),INDEX(INDIRECT("'"&amp;$H$3&amp;"'!$H$49:$H$78"),MATCH(INDIRECT("'"&amp;$H$3&amp;"'!N$304")&amp;"Depreciation cost / yr ($)",INDIRECT("'"&amp;$H$3&amp;"'!$F$49:$F$78"),0))*INDIRECT("'"&amp;$H$3&amp;"'!N$308"),0),0)</f>
        <v>0</v>
      </c>
      <c r="O126" s="300"/>
      <c r="P126" s="300"/>
      <c r="Q126" s="300">
        <f ca="1">IFERROR((1-INDIRECT("'"&amp;$H$3&amp;"'!Q$270"))*IF(AND(INDIRECT("'"&amp;$H$3&amp;"'!Q$269")="No",INDIRECT("'"&amp;$H$3&amp;"'!Q$265")='List Values'!$E$3),INDEX(INDIRECT("'"&amp;$H$3&amp;"'!$H$49:$H$78"),MATCH(INDIRECT("'"&amp;$H$3&amp;"'!Q$264")&amp;"Depreciation cost / yr ($)",INDIRECT("'"&amp;$H$3&amp;"'!$F$49:$F$78"),0))*INDIRECT("'"&amp;$H$3&amp;"'!Q$268"),0),0)
+IFERROR((1-INDIRECT("'"&amp;$H$3&amp;"'!Q$290"))*IF(AND(INDIRECT("'"&amp;$H$3&amp;"'!Q$289")="No",INDIRECT("'"&amp;$H$3&amp;"'!Q$285")='List Values'!$E$3),INDEX(INDIRECT("'"&amp;$H$3&amp;"'!$H$49:$H$78"),MATCH(INDIRECT("'"&amp;$H$3&amp;"'!Q$284")&amp;"Depreciation cost / yr ($)",INDIRECT("'"&amp;$H$3&amp;"'!$F$49:$F$78"),0))*INDIRECT("'"&amp;$H$3&amp;"'!Q$288"),0),0)
+IFERROR((1-INDIRECT("'"&amp;$H$3&amp;"'!Q$310"))*IF(AND(INDIRECT("'"&amp;$H$3&amp;"'!Q$309")="No",INDIRECT("'"&amp;$H$3&amp;"'!Q$305")='List Values'!$E$3),INDEX(INDIRECT("'"&amp;$H$3&amp;"'!$H$49:$H$78"),MATCH(INDIRECT("'"&amp;$H$3&amp;"'!Q$304")&amp;"Depreciation cost / yr ($)",INDIRECT("'"&amp;$H$3&amp;"'!$F$49:$F$78"),0))*INDIRECT("'"&amp;$H$3&amp;"'!Q$308"),0),0)</f>
        <v>0</v>
      </c>
      <c r="R126" s="300"/>
      <c r="S126" s="337"/>
      <c r="T126" s="300">
        <f ca="1">IFERROR((1-INDIRECT("'"&amp;$H$3&amp;"'!T$270"))*IF(AND(INDIRECT("'"&amp;$H$3&amp;"'!T$269")="No",INDIRECT("'"&amp;$H$3&amp;"'!T$265")='List Values'!$E$3),INDEX(INDIRECT("'"&amp;$H$3&amp;"'!$H$49:$H$78"),MATCH(INDIRECT("'"&amp;$H$3&amp;"'!T$264")&amp;"Depreciation cost / yr ($)",INDIRECT("'"&amp;$H$3&amp;"'!$F$49:$F$78"),0))*INDIRECT("'"&amp;$H$3&amp;"'!T$268"),0),0)
+IFERROR((1-INDIRECT("'"&amp;$H$3&amp;"'!T$290"))*IF(AND(INDIRECT("'"&amp;$H$3&amp;"'!T$289")="No",INDIRECT("'"&amp;$H$3&amp;"'!T$285")='List Values'!$E$3),INDEX(INDIRECT("'"&amp;$H$3&amp;"'!$H$49:$H$78"),MATCH(INDIRECT("'"&amp;$H$3&amp;"'!T$284")&amp;"Depreciation cost / yr ($)",INDIRECT("'"&amp;$H$3&amp;"'!$F$49:$F$78"),0))*INDIRECT("'"&amp;$H$3&amp;"'!T$288"),0),0)
+IFERROR((1-INDIRECT("'"&amp;$H$3&amp;"'!T$310"))*IF(AND(INDIRECT("'"&amp;$H$3&amp;"'!T$309")="No",INDIRECT("'"&amp;$H$3&amp;"'!T$305")='List Values'!$E$3),INDEX(INDIRECT("'"&amp;$H$3&amp;"'!$H$49:$H$78"),MATCH(INDIRECT("'"&amp;$H$3&amp;"'!T$304")&amp;"Depreciation cost / yr ($)",INDIRECT("'"&amp;$H$3&amp;"'!$F$49:$F$78"),0))*INDIRECT("'"&amp;$H$3&amp;"'!T$308"),0),0)</f>
        <v>0</v>
      </c>
      <c r="U126" s="337"/>
      <c r="V126" s="337"/>
      <c r="W126" s="1437">
        <f ca="1">IFERROR((1-INDIRECT("'"&amp;$H$3&amp;"'!W$270"))*IF(AND(INDIRECT("'"&amp;$H$3&amp;"'!W$269")="No",INDIRECT("'"&amp;$H$3&amp;"'!W$265")='List Values'!$E$3),INDEX(INDIRECT("'"&amp;$H$3&amp;"'!$H$49:$H$78"),MATCH(INDIRECT("'"&amp;$H$3&amp;"'!W$264")&amp;"Depreciation cost / yr ($)",INDIRECT("'"&amp;$H$3&amp;"'!$F$49:$F$78"),0))*INDIRECT("'"&amp;$H$3&amp;"'!W$268"),0),0)
+IFERROR((1-INDIRECT("'"&amp;$H$3&amp;"'!W$290"))*IF(AND(INDIRECT("'"&amp;$H$3&amp;"'!W$289")="No",INDIRECT("'"&amp;$H$3&amp;"'!W$285")='List Values'!$E$3),INDEX(INDIRECT("'"&amp;$H$3&amp;"'!$H$49:$H$78"),MATCH(INDIRECT("'"&amp;$H$3&amp;"'!W$284")&amp;"Depreciation cost / yr ($)",INDIRECT("'"&amp;$H$3&amp;"'!$F$49:$F$78"),0))*INDIRECT("'"&amp;$H$3&amp;"'!W$288"),0),0)
+IFERROR((1-INDIRECT("'"&amp;$H$3&amp;"'!W$310"))*IF(AND(INDIRECT("'"&amp;$H$3&amp;"'!W$309")="No",INDIRECT("'"&amp;$H$3&amp;"'!W$305")='List Values'!$E$3),INDEX(INDIRECT("'"&amp;$H$3&amp;"'!$H$49:$H$78"),MATCH(INDIRECT("'"&amp;$H$3&amp;"'!W$304")&amp;"Depreciation cost / yr ($)",INDIRECT("'"&amp;$H$3&amp;"'!$F$49:$F$78"),0))*INDIRECT("'"&amp;$H$3&amp;"'!W$308"),0),0)</f>
        <v>0</v>
      </c>
      <c r="Y126" s="341">
        <f t="shared" ca="1" si="12"/>
        <v>0</v>
      </c>
      <c r="Z126" s="7"/>
      <c r="AA126" s="7"/>
    </row>
    <row r="127" spans="6:38">
      <c r="F127" s="984"/>
      <c r="G127" s="985" t="s">
        <v>160</v>
      </c>
      <c r="H127" s="986">
        <f ca="1">IFERROR((1-INDIRECT("'"&amp;$H$3&amp;"'!H$271"))*H$355*INDEX(INDIRECT("'"&amp;$H$3&amp;"'!$H$43:$H$78"),MATCH(INDIRECT("'"&amp;$H$3&amp;"'!H$264")&amp;"Average cost ($) per trip (one-way)",INDIRECT("'"&amp;$H$3&amp;"'!$F$43:$F$78"),0)),0)
+IFERROR((1-INDIRECT("'"&amp;$H$3&amp;"'!H$291"))*H$384*INDEX(INDIRECT("'"&amp;$H$3&amp;"'!$H$43:$H$78"),MATCH(INDIRECT("'"&amp;$H$3&amp;"'!H$284")&amp;"Average cost ($) per trip (one-way)",INDIRECT("'"&amp;$H$3&amp;"'!$F$43:$F$78"),0)),0)
+IFERROR((1-INDIRECT("'"&amp;$H$3&amp;"'!H$311"))*H$413*INDEX(INDIRECT("'"&amp;$H$3&amp;"'!$H$43:$H$78"),MATCH(INDIRECT("'"&amp;$H$3&amp;"'!H$304")&amp;"Average cost ($) per trip (one-way)",INDIRECT("'"&amp;$H$3&amp;"'!$F$43:$F$78"),0)),0)</f>
        <v>0</v>
      </c>
      <c r="I127" s="986"/>
      <c r="J127" s="986"/>
      <c r="K127" s="986">
        <f ca="1">IFERROR((1-INDIRECT("'"&amp;$H$3&amp;"'!K$271"))*K$355*INDEX(INDIRECT("'"&amp;$H$3&amp;"'!$H$43:$H$78"),MATCH(INDIRECT("'"&amp;$H$3&amp;"'!K$264")&amp;"Average cost ($) per trip (one-way)",INDIRECT("'"&amp;$H$3&amp;"'!$F$43:$F$78"),0)),0)
+IFERROR((1-INDIRECT("'"&amp;$H$3&amp;"'!K$291"))*K$384*INDEX(INDIRECT("'"&amp;$H$3&amp;"'!$H$43:$H$78"),MATCH(INDIRECT("'"&amp;$H$3&amp;"'!K$284")&amp;"Average cost ($) per trip (one-way)",INDIRECT("'"&amp;$H$3&amp;"'!$F$43:$F$78"),0)),0)
+IFERROR((1-INDIRECT("'"&amp;$H$3&amp;"'!K$311"))*K$413*INDEX(INDIRECT("'"&amp;$H$3&amp;"'!$H$43:$H$78"),MATCH(INDIRECT("'"&amp;$H$3&amp;"'!K$304")&amp;"Average cost ($) per trip (one-way)",INDIRECT("'"&amp;$H$3&amp;"'!$F$43:$F$78"),0)),0)</f>
        <v>0</v>
      </c>
      <c r="L127" s="986"/>
      <c r="M127" s="986"/>
      <c r="N127" s="986">
        <f ca="1">IFERROR((1-INDIRECT("'"&amp;$H$3&amp;"'!N$271"))*N$355*INDEX(INDIRECT("'"&amp;$H$3&amp;"'!$H$43:$H$78"),MATCH(INDIRECT("'"&amp;$H$3&amp;"'!N$264")&amp;"Average cost ($) per trip (one-way)",INDIRECT("'"&amp;$H$3&amp;"'!$F$43:$F$78"),0)),0)
+IFERROR((1-INDIRECT("'"&amp;$H$3&amp;"'!N$291"))*N$384*INDEX(INDIRECT("'"&amp;$H$3&amp;"'!$H$43:$H$78"),MATCH(INDIRECT("'"&amp;$H$3&amp;"'!N$284")&amp;"Average cost ($) per trip (one-way)",INDIRECT("'"&amp;$H$3&amp;"'!$F$43:$F$78"),0)),0)
+IFERROR((1-INDIRECT("'"&amp;$H$3&amp;"'!N$311"))*N$413*INDEX(INDIRECT("'"&amp;$H$3&amp;"'!$H$43:$H$78"),MATCH(INDIRECT("'"&amp;$H$3&amp;"'!N$304")&amp;"Average cost ($) per trip (one-way)",INDIRECT("'"&amp;$H$3&amp;"'!$F$43:$F$78"),0)),0)</f>
        <v>0</v>
      </c>
      <c r="O127" s="986"/>
      <c r="P127" s="986"/>
      <c r="Q127" s="986">
        <f ca="1">IFERROR((1-INDIRECT("'"&amp;$H$3&amp;"'!Q$271"))*Q$355*INDEX(INDIRECT("'"&amp;$H$3&amp;"'!$H$43:$H$78"),MATCH(INDIRECT("'"&amp;$H$3&amp;"'!Q$264")&amp;"Average cost ($) per trip (one-way)",INDIRECT("'"&amp;$H$3&amp;"'!$F$43:$F$78"),0)),0)
+IFERROR((1-INDIRECT("'"&amp;$H$3&amp;"'!Q$291"))*Q$384*INDEX(INDIRECT("'"&amp;$H$3&amp;"'!$H$43:$H$78"),MATCH(INDIRECT("'"&amp;$H$3&amp;"'!Q$284")&amp;"Average cost ($) per trip (one-way)",INDIRECT("'"&amp;$H$3&amp;"'!$F$43:$F$78"),0)),0)
+IFERROR((1-INDIRECT("'"&amp;$H$3&amp;"'!Q$311"))*Q$413*INDEX(INDIRECT("'"&amp;$H$3&amp;"'!$H$43:$H$78"),MATCH(INDIRECT("'"&amp;$H$3&amp;"'!Q$304")&amp;"Average cost ($) per trip (one-way)",INDIRECT("'"&amp;$H$3&amp;"'!$F$43:$F$78"),0)),0)</f>
        <v>0</v>
      </c>
      <c r="R127" s="986"/>
      <c r="S127" s="987"/>
      <c r="T127" s="986">
        <f ca="1">IFERROR((1-INDIRECT("'"&amp;$H$3&amp;"'!T$271"))*T$355*INDEX(INDIRECT("'"&amp;$H$3&amp;"'!$H$43:$H$78"),MATCH(INDIRECT("'"&amp;$H$3&amp;"'!T$264")&amp;"Average cost ($) per trip (one-way)",INDIRECT("'"&amp;$H$3&amp;"'!$F$43:$F$78"),0)),0)
+IFERROR((1-INDIRECT("'"&amp;$H$3&amp;"'!T$291"))*T$384*INDEX(INDIRECT("'"&amp;$H$3&amp;"'!$H$43:$H$78"),MATCH(INDIRECT("'"&amp;$H$3&amp;"'!T$284")&amp;"Average cost ($) per trip (one-way)",INDIRECT("'"&amp;$H$3&amp;"'!$F$43:$F$78"),0)),0)
+IFERROR((1-INDIRECT("'"&amp;$H$3&amp;"'!T$311"))*T$413*INDEX(INDIRECT("'"&amp;$H$3&amp;"'!$H$43:$H$78"),MATCH(INDIRECT("'"&amp;$H$3&amp;"'!T$304")&amp;"Average cost ($) per trip (one-way)",INDIRECT("'"&amp;$H$3&amp;"'!$F$43:$F$78"),0)),0)</f>
        <v>0</v>
      </c>
      <c r="U127" s="987"/>
      <c r="V127" s="987"/>
      <c r="W127" s="1441">
        <f ca="1">IFERROR((1-INDIRECT("'"&amp;$H$3&amp;"'!W$271"))*W$355*INDEX(INDIRECT("'"&amp;$H$3&amp;"'!$H$43:$H$78"),MATCH(INDIRECT("'"&amp;$H$3&amp;"'!W$264")&amp;"Average cost ($) per trip (one-way)",INDIRECT("'"&amp;$H$3&amp;"'!$F$43:$F$78"),0)),0)
+IFERROR((1-INDIRECT("'"&amp;$H$3&amp;"'!W$291"))*W$384*INDEX(INDIRECT("'"&amp;$H$3&amp;"'!$H$43:$H$78"),MATCH(INDIRECT("'"&amp;$H$3&amp;"'!W$284")&amp;"Average cost ($) per trip (one-way)",INDIRECT("'"&amp;$H$3&amp;"'!$F$43:$F$78"),0)),0)
+IFERROR((1-INDIRECT("'"&amp;$H$3&amp;"'!W$311"))*W$413*INDEX(INDIRECT("'"&amp;$H$3&amp;"'!$H$43:$H$78"),MATCH(INDIRECT("'"&amp;$H$3&amp;"'!W$304")&amp;"Average cost ($) per trip (one-way)",INDIRECT("'"&amp;$H$3&amp;"'!$F$43:$F$78"),0)),0)</f>
        <v>0</v>
      </c>
      <c r="Y127" s="347">
        <f t="shared" ca="1" si="12"/>
        <v>0</v>
      </c>
      <c r="Z127" s="7"/>
      <c r="AA127" s="7"/>
    </row>
    <row r="128" spans="6:38" ht="6.75" customHeight="1">
      <c r="F128" s="991"/>
      <c r="G128" s="27"/>
      <c r="H128" s="992"/>
      <c r="I128" s="992"/>
      <c r="J128" s="992"/>
      <c r="K128" s="992"/>
      <c r="L128" s="992"/>
      <c r="M128" s="992"/>
      <c r="N128" s="992"/>
      <c r="O128" s="992"/>
      <c r="P128" s="992"/>
      <c r="Q128" s="992"/>
      <c r="R128" s="992"/>
      <c r="S128" s="993"/>
      <c r="T128" s="992"/>
      <c r="U128" s="993"/>
      <c r="V128" s="993"/>
      <c r="W128" s="992"/>
      <c r="Y128" s="993"/>
      <c r="Z128" s="7"/>
      <c r="AA128" s="7"/>
    </row>
    <row r="129" spans="6:38" ht="29.15">
      <c r="F129" s="887"/>
      <c r="G129" s="888"/>
      <c r="H129" s="1502" t="str">
        <f ca="1">IF($H$9&gt;=1,INDIRECT("'"&amp;$H$3&amp;"'!G$91"),"")</f>
        <v>CMS Tier</v>
      </c>
      <c r="I129" s="1502" t="str">
        <f t="shared" ref="I129:V129" ca="1" si="13">IF($H$9&gt;=1,"Tier 1","")</f>
        <v>Tier 1</v>
      </c>
      <c r="J129" s="1502" t="str">
        <f t="shared" ca="1" si="13"/>
        <v>Tier 1</v>
      </c>
      <c r="K129" s="1502" t="str">
        <f ca="1">IF($H$9&gt;=2,INDIRECT("'"&amp;$H$3&amp;"'!J$91"),"")</f>
        <v>Regional WH Tier</v>
      </c>
      <c r="L129" s="1502" t="str">
        <f t="shared" ca="1" si="13"/>
        <v>Tier 1</v>
      </c>
      <c r="M129" s="1502" t="str">
        <f t="shared" ca="1" si="13"/>
        <v>Tier 1</v>
      </c>
      <c r="N129" s="1502" t="str">
        <f ca="1">IF($H$9&gt;=3,INDIRECT("'"&amp;$H$3&amp;"'!M$91"),"")</f>
        <v>Health Facility Tier</v>
      </c>
      <c r="O129" s="1502" t="str">
        <f t="shared" ca="1" si="13"/>
        <v>Tier 1</v>
      </c>
      <c r="P129" s="1502" t="str">
        <f t="shared" ca="1" si="13"/>
        <v>Tier 1</v>
      </c>
      <c r="Q129" s="1502" t="str">
        <f ca="1">IF($H$9&gt;=4,INDIRECT("'"&amp;$H$3&amp;"'!P$91"),"")</f>
        <v/>
      </c>
      <c r="R129" s="1503" t="str">
        <f t="shared" ca="1" si="13"/>
        <v>Tier 1</v>
      </c>
      <c r="S129" s="1504" t="str">
        <f t="shared" ca="1" si="13"/>
        <v>Tier 1</v>
      </c>
      <c r="T129" s="1502" t="str">
        <f ca="1">IF($H$9&gt;=5,INDIRECT("'"&amp;$H$3&amp;"'!S$91"),"")</f>
        <v/>
      </c>
      <c r="U129" s="1504" t="str">
        <f t="shared" ca="1" si="13"/>
        <v>Tier 1</v>
      </c>
      <c r="V129" s="1504" t="str">
        <f t="shared" ca="1" si="13"/>
        <v>Tier 1</v>
      </c>
      <c r="W129" s="1505" t="str">
        <f ca="1">IF($H$9&gt;=6,INDIRECT("'"&amp;$H$3&amp;"'!V$91"),"")</f>
        <v/>
      </c>
      <c r="X129" s="1459"/>
      <c r="Y129" s="1487"/>
      <c r="Z129" s="7"/>
      <c r="AA129" s="7"/>
    </row>
    <row r="130" spans="6:38">
      <c r="F130" s="352" t="s">
        <v>97</v>
      </c>
      <c r="G130" s="353"/>
      <c r="H130" s="354"/>
      <c r="I130" s="354"/>
      <c r="J130" s="354"/>
      <c r="K130" s="354"/>
      <c r="L130" s="354"/>
      <c r="M130" s="354"/>
      <c r="N130" s="354"/>
      <c r="O130" s="354"/>
      <c r="P130" s="354"/>
      <c r="Q130" s="354"/>
      <c r="R130" s="354"/>
      <c r="S130" s="355"/>
      <c r="T130" s="354"/>
      <c r="U130" s="355"/>
      <c r="V130" s="355"/>
      <c r="W130" s="383"/>
      <c r="Y130" s="355">
        <f ca="1">SUM(Y131:Y134)</f>
        <v>871320.39741899888</v>
      </c>
      <c r="Z130" s="7"/>
      <c r="AA130" s="7"/>
    </row>
    <row r="131" spans="6:38" hidden="1">
      <c r="F131" s="288"/>
      <c r="G131" s="366" t="s">
        <v>48</v>
      </c>
      <c r="H131" s="300"/>
      <c r="I131" s="300"/>
      <c r="J131" s="300"/>
      <c r="K131" s="300">
        <v>0</v>
      </c>
      <c r="L131" s="300"/>
      <c r="M131" s="300"/>
      <c r="N131" s="300">
        <v>0</v>
      </c>
      <c r="O131" s="300"/>
      <c r="P131" s="300"/>
      <c r="Q131" s="300"/>
      <c r="R131" s="300"/>
      <c r="S131" s="337"/>
      <c r="T131" s="300"/>
      <c r="U131" s="337"/>
      <c r="V131" s="337"/>
      <c r="W131" s="1437"/>
      <c r="Y131" s="341">
        <f>SUM(H131:Q131)</f>
        <v>0</v>
      </c>
    </row>
    <row r="132" spans="6:38">
      <c r="F132" s="288"/>
      <c r="G132" s="288" t="s">
        <v>94</v>
      </c>
      <c r="H132" s="300">
        <f ca="1">IFERROR(INDIRECT("'"&amp;$H$3&amp;"'!H$106")*INDIRECT("'"&amp;$H$3&amp;"'!H$95")*INDIRECT("'"&amp;$H$3&amp;"'!$H$10")*INDIRECT("'"&amp;$H$3&amp;"'!$H$9")*IFERROR(INDEX(INDIRECT("'"&amp;$H$3&amp;"'!$H$28:$H$38"),MATCH(INDIRECT("'"&amp;$H$3&amp;"'!H$105"),INDIRECT("'"&amp;$H$3&amp;"'!$B$28:$B$38"),0)),0),0)</f>
        <v>188138.54967132158</v>
      </c>
      <c r="I132" s="300"/>
      <c r="J132" s="300"/>
      <c r="K132" s="300">
        <f ca="1">IFERROR(INDIRECT("'"&amp;$H$3&amp;"'!K$106")*INDIRECT("'"&amp;$H$3&amp;"'!K$95")*INDIRECT("'"&amp;$H$3&amp;"'!$H$10")*INDIRECT("'"&amp;$H$3&amp;"'!$H$9")*IFERROR(INDEX(INDIRECT("'"&amp;$H$3&amp;"'!$H$28:$H$38"),MATCH(INDIRECT("'"&amp;$H$3&amp;"'!K$105"),INDIRECT("'"&amp;$H$3&amp;"'!$B$28:$B$38"),0)),0),0)</f>
        <v>177858.49771571273</v>
      </c>
      <c r="L132" s="300"/>
      <c r="M132" s="300"/>
      <c r="N132" s="300">
        <f ca="1">IFERROR(INDIRECT("'"&amp;$H$3&amp;"'!N$106")*INDIRECT("'"&amp;$H$3&amp;"'!N$95")*INDIRECT("'"&amp;$H$3&amp;"'!$H$10")*INDIRECT("'"&amp;$H$3&amp;"'!$H$9")*IFERROR(INDEX(INDIRECT("'"&amp;$H$3&amp;"'!$H$28:$H$38"),MATCH(INDIRECT("'"&amp;$H$3&amp;"'!N$105"),INDIRECT("'"&amp;$H$3&amp;"'!$B$28:$B$38"),0)),0),0)</f>
        <v>61664.895184020534</v>
      </c>
      <c r="O132" s="300"/>
      <c r="P132" s="300"/>
      <c r="Q132" s="300">
        <f ca="1">IFERROR(INDIRECT("'"&amp;$H$3&amp;"'!Q$106")*INDIRECT("'"&amp;$H$3&amp;"'!Q$95")*INDIRECT("'"&amp;$H$3&amp;"'!$H$10")*INDIRECT("'"&amp;$H$3&amp;"'!$H$9")*IFERROR(INDEX(INDIRECT("'"&amp;$H$3&amp;"'!$H$28:$H$38"),MATCH(INDIRECT("'"&amp;$H$3&amp;"'!Q$105"),INDIRECT("'"&amp;$H$3&amp;"'!$B$28:$B$38"),0)),0),0)</f>
        <v>0</v>
      </c>
      <c r="R132" s="300"/>
      <c r="S132" s="337"/>
      <c r="T132" s="300">
        <f ca="1">IFERROR(INDIRECT("'"&amp;$H$3&amp;"'!T$106")*INDIRECT("'"&amp;$H$3&amp;"'!T$95")*INDIRECT("'"&amp;$H$3&amp;"'!$H$10")*INDIRECT("'"&amp;$H$3&amp;"'!$H$9")*IFERROR(INDEX(INDIRECT("'"&amp;$H$3&amp;"'!$H$28:$H$38"),MATCH(INDIRECT("'"&amp;$H$3&amp;"'!T$105"),INDIRECT("'"&amp;$H$3&amp;"'!$B$28:$B$38"),0)),0),0)</f>
        <v>0</v>
      </c>
      <c r="U132" s="337"/>
      <c r="V132" s="337"/>
      <c r="W132" s="1437">
        <f ca="1">IFERROR(INDIRECT("'"&amp;$H$3&amp;"'!W$106")*INDIRECT("'"&amp;$H$3&amp;"'!W$95")*INDIRECT("'"&amp;$H$3&amp;"'!$H$10")*INDIRECT("'"&amp;$H$3&amp;"'!$H$9")*IFERROR(INDEX(INDIRECT("'"&amp;$H$3&amp;"'!$H$28:$H$38"),MATCH(INDIRECT("'"&amp;$H$3&amp;"'!W$105"),INDIRECT("'"&amp;$H$3&amp;"'!$B$28:$B$38"),0)),0),0)</f>
        <v>0</v>
      </c>
      <c r="Y132" s="341">
        <f t="shared" ref="Y132:Y137" ca="1" si="14">SUM(H132:W132)</f>
        <v>427661.94257105479</v>
      </c>
    </row>
    <row r="133" spans="6:38">
      <c r="F133" s="288"/>
      <c r="G133" s="288" t="s">
        <v>485</v>
      </c>
      <c r="H133" s="300">
        <f ca="1">IFERROR(SUM(INDIRECT("'"&amp;$H$3&amp;"'!H$108"),INDIRECT("'"&amp;$H$3&amp;"'!H$109"))*INDIRECT("'"&amp;$H$3&amp;"'!H$110")*INDIRECT("'"&amp;$H$3&amp;"'!H$95"),0)</f>
        <v>155469.09399415072</v>
      </c>
      <c r="I133" s="300"/>
      <c r="J133" s="300"/>
      <c r="K133" s="300">
        <f ca="1">IFERROR(SUM(INDIRECT("'"&amp;$H$3&amp;"'!K$108"),INDIRECT("'"&amp;$H$3&amp;"'!K$109"))*INDIRECT("'"&amp;$H$3&amp;"'!K$110")*INDIRECT("'"&amp;$H$3&amp;"'!K$95"),0)</f>
        <v>77628.408886587436</v>
      </c>
      <c r="L133" s="300"/>
      <c r="M133" s="300"/>
      <c r="N133" s="300">
        <f ca="1">IFERROR(SUM(INDIRECT("'"&amp;$H$3&amp;"'!N$108"),INDIRECT("'"&amp;$H$3&amp;"'!N$109"))*INDIRECT("'"&amp;$H$3&amp;"'!N$110")*INDIRECT("'"&amp;$H$3&amp;"'!N$95"),0)</f>
        <v>172031.88679245286</v>
      </c>
      <c r="O133" s="300"/>
      <c r="P133" s="300"/>
      <c r="Q133" s="300">
        <f ca="1">IFERROR(SUM(INDIRECT("'"&amp;$H$3&amp;"'!Q$108"),INDIRECT("'"&amp;$H$3&amp;"'!Q$109"))*INDIRECT("'"&amp;$H$3&amp;"'!Q$110")*INDIRECT("'"&amp;$H$3&amp;"'!Q$95"),0)</f>
        <v>0</v>
      </c>
      <c r="R133" s="300"/>
      <c r="S133" s="337"/>
      <c r="T133" s="300">
        <f ca="1">IFERROR(SUM(INDIRECT("'"&amp;$H$3&amp;"'!T$108"),INDIRECT("'"&amp;$H$3&amp;"'!T$109"))*INDIRECT("'"&amp;$H$3&amp;"'!T$110")*INDIRECT("'"&amp;$H$3&amp;"'!T$95"),0)</f>
        <v>0</v>
      </c>
      <c r="U133" s="337"/>
      <c r="V133" s="337"/>
      <c r="W133" s="1437">
        <f ca="1">IFERROR(SUM(INDIRECT("'"&amp;$H$3&amp;"'!W$108"),INDIRECT("'"&amp;$H$3&amp;"'!W$109"))*INDIRECT("'"&amp;$H$3&amp;"'!W$110")*INDIRECT("'"&amp;$H$3&amp;"'!W$95"),0)</f>
        <v>0</v>
      </c>
      <c r="Y133" s="341">
        <f t="shared" ca="1" si="14"/>
        <v>405129.38967319101</v>
      </c>
    </row>
    <row r="134" spans="6:38">
      <c r="F134" s="288"/>
      <c r="G134" s="288" t="s">
        <v>383</v>
      </c>
      <c r="H134" s="300">
        <f ca="1">IFERROR(INDIRECT("'"&amp;$H$3&amp;"'!H$108")*INDIRECT("'"&amp;$H$3&amp;"'!H$111")*INDIRECT("'"&amp;$H$3&amp;"'!H$95"),0)</f>
        <v>12729.971374901706</v>
      </c>
      <c r="I134" s="300"/>
      <c r="J134" s="300"/>
      <c r="K134" s="300">
        <f ca="1">IFERROR(INDIRECT("'"&amp;$H$3&amp;"'!K$108")*INDIRECT("'"&amp;$H$3&amp;"'!K$111")*INDIRECT("'"&amp;$H$3&amp;"'!K$95"),0)</f>
        <v>25799.093799851336</v>
      </c>
      <c r="L134" s="300"/>
      <c r="M134" s="300"/>
      <c r="N134" s="300">
        <f ca="1">IFERROR(INDIRECT("'"&amp;$H$3&amp;"'!N$108")*INDIRECT("'"&amp;$H$3&amp;"'!N$111")*INDIRECT("'"&amp;$H$3&amp;"'!N$95"),0)</f>
        <v>0</v>
      </c>
      <c r="O134" s="300"/>
      <c r="P134" s="300"/>
      <c r="Q134" s="300">
        <f ca="1">IFERROR(INDIRECT("'"&amp;$H$3&amp;"'!Q$108")*INDIRECT("'"&amp;$H$3&amp;"'!Q$111")*INDIRECT("'"&amp;$H$3&amp;"'!Q$95"),0)</f>
        <v>0</v>
      </c>
      <c r="R134" s="300"/>
      <c r="S134" s="337"/>
      <c r="T134" s="300">
        <f ca="1">IFERROR(INDIRECT("'"&amp;$H$3&amp;"'!T$108")*INDIRECT("'"&amp;$H$3&amp;"'!T$111")*INDIRECT("'"&amp;$H$3&amp;"'!T$95"),0)</f>
        <v>0</v>
      </c>
      <c r="U134" s="337"/>
      <c r="V134" s="337"/>
      <c r="W134" s="1437">
        <f ca="1">IFERROR(INDIRECT("'"&amp;$H$3&amp;"'!W$108")*INDIRECT("'"&amp;$H$3&amp;"'!W$111")*INDIRECT("'"&amp;$H$3&amp;"'!W$95"),0)</f>
        <v>0</v>
      </c>
      <c r="Y134" s="341">
        <f t="shared" ca="1" si="14"/>
        <v>38529.065174753043</v>
      </c>
    </row>
    <row r="135" spans="6:38">
      <c r="F135" s="288"/>
      <c r="G135" s="298" t="s">
        <v>384</v>
      </c>
      <c r="H135" s="300">
        <f ca="1">IFERROR(INDIRECT("'"&amp;$H$3&amp;"'!H$109")*INDIRECT("'"&amp;$H$3&amp;"'!H$112")*INDIRECT("'"&amp;$H$3&amp;"'!H$95"),0)</f>
        <v>0</v>
      </c>
      <c r="I135" s="300"/>
      <c r="J135" s="300"/>
      <c r="K135" s="300">
        <f ca="1">IFERROR(INDIRECT("'"&amp;$H$3&amp;"'!K$109")*INDIRECT("'"&amp;$H$3&amp;"'!K$112")*INDIRECT("'"&amp;$H$3&amp;"'!K$95"),0)</f>
        <v>0</v>
      </c>
      <c r="L135" s="300"/>
      <c r="M135" s="300"/>
      <c r="N135" s="300">
        <f ca="1">IFERROR(INDIRECT("'"&amp;$H$3&amp;"'!N$109")*INDIRECT("'"&amp;$H$3&amp;"'!N$112")*INDIRECT("'"&amp;$H$3&amp;"'!N$95"),0)</f>
        <v>0</v>
      </c>
      <c r="O135" s="300"/>
      <c r="P135" s="300"/>
      <c r="Q135" s="300">
        <f ca="1">IFERROR(INDIRECT("'"&amp;$H$3&amp;"'!Q$109")*INDIRECT("'"&amp;$H$3&amp;"'!Q$112")*INDIRECT("'"&amp;$H$3&amp;"'!Q$95"),0)</f>
        <v>0</v>
      </c>
      <c r="R135" s="300"/>
      <c r="S135" s="337"/>
      <c r="T135" s="300">
        <f ca="1">IFERROR(INDIRECT("'"&amp;$H$3&amp;"'!T$109")*INDIRECT("'"&amp;$H$3&amp;"'!T$112")*INDIRECT("'"&amp;$H$3&amp;"'!T$95"),0)</f>
        <v>0</v>
      </c>
      <c r="U135" s="337"/>
      <c r="V135" s="337"/>
      <c r="W135" s="1437">
        <f ca="1">IFERROR(INDIRECT("'"&amp;$H$3&amp;"'!W$109")*INDIRECT("'"&amp;$H$3&amp;"'!W$112")*INDIRECT("'"&amp;$H$3&amp;"'!W$95"),0)</f>
        <v>0</v>
      </c>
      <c r="Y135" s="341">
        <f t="shared" ca="1" si="14"/>
        <v>0</v>
      </c>
    </row>
    <row r="136" spans="6:38">
      <c r="F136" s="288"/>
      <c r="G136" s="298" t="s">
        <v>385</v>
      </c>
      <c r="H136" s="300">
        <f ca="1">IFERROR(INDIRECT("'"&amp;$H$3&amp;"'!H$113")*INDIRECT("'"&amp;$H$3&amp;"'!H$116")*INDIRECT("'"&amp;$H$3&amp;"'!H$95"),0)</f>
        <v>0</v>
      </c>
      <c r="I136" s="300"/>
      <c r="J136" s="300"/>
      <c r="K136" s="300">
        <f ca="1">IFERROR(INDIRECT("'"&amp;$H$3&amp;"'!K$113")*INDIRECT("'"&amp;$H$3&amp;"'!K$116")*INDIRECT("'"&amp;$H$3&amp;"'!K$95"),0)</f>
        <v>0</v>
      </c>
      <c r="L136" s="300"/>
      <c r="M136" s="300"/>
      <c r="N136" s="300">
        <f ca="1">IFERROR(INDIRECT("'"&amp;$H$3&amp;"'!N$113")*INDIRECT("'"&amp;$H$3&amp;"'!N$116")*INDIRECT("'"&amp;$H$3&amp;"'!N$95"),0)</f>
        <v>0</v>
      </c>
      <c r="O136" s="300"/>
      <c r="P136" s="300"/>
      <c r="Q136" s="300">
        <f ca="1">IFERROR(INDIRECT("'"&amp;$H$3&amp;"'!Q$113")*INDIRECT("'"&amp;$H$3&amp;"'!Q$116")*INDIRECT("'"&amp;$H$3&amp;"'!Q$95"),0)</f>
        <v>0</v>
      </c>
      <c r="R136" s="300"/>
      <c r="S136" s="337"/>
      <c r="T136" s="300">
        <f ca="1">IFERROR(INDIRECT("'"&amp;$H$3&amp;"'!T$113")*INDIRECT("'"&amp;$H$3&amp;"'!T$116")*INDIRECT("'"&amp;$H$3&amp;"'!T$95"),0)</f>
        <v>0</v>
      </c>
      <c r="U136" s="337"/>
      <c r="V136" s="337"/>
      <c r="W136" s="1437">
        <f ca="1">IFERROR(INDIRECT("'"&amp;$H$3&amp;"'!W$113")*INDIRECT("'"&amp;$H$3&amp;"'!W$116")*INDIRECT("'"&amp;$H$3&amp;"'!W$95"),0)</f>
        <v>0</v>
      </c>
      <c r="Y136" s="341">
        <f t="shared" ca="1" si="14"/>
        <v>0</v>
      </c>
    </row>
    <row r="137" spans="6:38">
      <c r="F137" s="363"/>
      <c r="G137" s="220" t="s">
        <v>386</v>
      </c>
      <c r="H137" s="296">
        <f ca="1">IFERROR((1/INDIRECT("'"&amp;$H$3&amp;"'!$H$12"))*INDIRECT("'"&amp;$H$3&amp;"'!H$113")*INDIRECT("'"&amp;$H$3&amp;"'!H$115")*INDIRECT("'"&amp;$H$3&amp;"'!H$95"),0)</f>
        <v>600</v>
      </c>
      <c r="I137" s="296"/>
      <c r="J137" s="296"/>
      <c r="K137" s="296">
        <f ca="1">IFERROR((1/INDIRECT("'"&amp;$H$3&amp;"'!$H$12"))*INDIRECT("'"&amp;$H$3&amp;"'!K$113")*INDIRECT("'"&amp;$H$3&amp;"'!K$115")*INDIRECT("'"&amp;$H$3&amp;"'!K$95"),0)</f>
        <v>300</v>
      </c>
      <c r="L137" s="296"/>
      <c r="M137" s="296"/>
      <c r="N137" s="296">
        <f ca="1">IFERROR((1/INDIRECT("'"&amp;$H$3&amp;"'!$H$12"))*INDIRECT("'"&amp;$H$3&amp;"'!N$113")*INDIRECT("'"&amp;$H$3&amp;"'!N$115")*INDIRECT("'"&amp;$H$3&amp;"'!N$95"),0)</f>
        <v>10350</v>
      </c>
      <c r="O137" s="296"/>
      <c r="P137" s="296"/>
      <c r="Q137" s="296">
        <f ca="1">IFERROR((1/INDIRECT("'"&amp;$H$3&amp;"'!$H$12"))*INDIRECT("'"&amp;$H$3&amp;"'!Q$113")*INDIRECT("'"&amp;$H$3&amp;"'!Q$115")*INDIRECT("'"&amp;$H$3&amp;"'!Q$95"),0)</f>
        <v>0</v>
      </c>
      <c r="R137" s="296"/>
      <c r="S137" s="361"/>
      <c r="T137" s="296">
        <f ca="1">IFERROR((1/INDIRECT("'"&amp;$H$3&amp;"'!$H$12"))*INDIRECT("'"&amp;$H$3&amp;"'!T$113")*INDIRECT("'"&amp;$H$3&amp;"'!T$115")*INDIRECT("'"&amp;$H$3&amp;"'!T$95"),0)</f>
        <v>0</v>
      </c>
      <c r="U137" s="361"/>
      <c r="V137" s="361"/>
      <c r="W137" s="1438">
        <f ca="1">IFERROR((1/INDIRECT("'"&amp;$H$3&amp;"'!$H$12"))*INDIRECT("'"&amp;$H$3&amp;"'!W$113")*INDIRECT("'"&amp;$H$3&amp;"'!W$115")*INDIRECT("'"&amp;$H$3&amp;"'!W$95"),0)</f>
        <v>0</v>
      </c>
      <c r="Y137" s="347">
        <f t="shared" ca="1" si="14"/>
        <v>11250</v>
      </c>
    </row>
    <row r="138" spans="6:38" ht="15" customHeight="1">
      <c r="F138" s="352" t="s">
        <v>83</v>
      </c>
      <c r="G138" s="353"/>
      <c r="H138" s="354"/>
      <c r="I138" s="354"/>
      <c r="J138" s="354"/>
      <c r="K138" s="354"/>
      <c r="L138" s="354"/>
      <c r="M138" s="354"/>
      <c r="N138" s="354"/>
      <c r="O138" s="354"/>
      <c r="P138" s="354"/>
      <c r="Q138" s="354"/>
      <c r="R138" s="354"/>
      <c r="S138" s="355"/>
      <c r="T138" s="354"/>
      <c r="U138" s="355"/>
      <c r="V138" s="355"/>
      <c r="W138" s="383"/>
      <c r="Y138" s="355">
        <f ca="1">SUM(Y139)</f>
        <v>132074.68350107403</v>
      </c>
      <c r="Z138" s="1"/>
      <c r="AA138" s="1"/>
      <c r="AL138" s="1"/>
    </row>
    <row r="139" spans="6:38" ht="15" customHeight="1">
      <c r="F139" s="363"/>
      <c r="G139" s="363" t="s">
        <v>95</v>
      </c>
      <c r="H139" s="296">
        <f ca="1">IF($H$9&lt;1,0,IF(INDIRECT("'"&amp;$H$3&amp;"'!H121")="Cost per facility",IFERROR(INDIRECT("'"&amp;$H$3&amp;"'!H$122")*INDIRECT("'"&amp;$H$3&amp;"'!H$95"),0), IF(INDIRECT("'"&amp;$H$3&amp;"'!H121")="Cost as % commodity value",IFERROR(INDIRECT("'"&amp;$H$3&amp;"'!H$123")*$H$13,0),0)))</f>
        <v>68518.335535384278</v>
      </c>
      <c r="I139" s="296"/>
      <c r="J139" s="296"/>
      <c r="K139" s="296">
        <f ca="1">IF($H$9&lt;2,0,IF(INDIRECT("'"&amp;$H$3&amp;"'!K121")="Cost per facility",IFERROR(INDIRECT("'"&amp;$H$3&amp;"'!K$122")*INDIRECT("'"&amp;$H$3&amp;"'!K$95"),0), IF(INDIRECT("'"&amp;$H$3&amp;"'!K121")="Cost as % commodity value",IFERROR(INDIRECT("'"&amp;$H$3&amp;"'!K$123")*$H$13,0),0)))</f>
        <v>13104</v>
      </c>
      <c r="L139" s="296"/>
      <c r="M139" s="296"/>
      <c r="N139" s="296">
        <f ca="1">IF($H$9&lt;3,0,IF(INDIRECT("'"&amp;$H$3&amp;"'!N121")="Cost per facility",IFERROR(INDIRECT("'"&amp;$H$3&amp;"'!N$122")*INDIRECT("'"&amp;$H$3&amp;"'!N$95"),0), IF(INDIRECT("'"&amp;$H$3&amp;"'!N121")="Cost as % commodity value",IFERROR(INDIRECT("'"&amp;$H$3&amp;"'!N$123")*$H$13,0),0)))</f>
        <v>50452.347965689762</v>
      </c>
      <c r="O139" s="296"/>
      <c r="P139" s="296"/>
      <c r="Q139" s="296">
        <f ca="1">IF($H$9&lt;4,0,IF(INDIRECT("'"&amp;$H$3&amp;"'!Q121")="Cost per facility",IFERROR(INDIRECT("'"&amp;$H$3&amp;"'!Q$122")*INDIRECT("'"&amp;$H$3&amp;"'!Q$95"),0), IF(INDIRECT("'"&amp;$H$3&amp;"'!Q121")="Cost as % commodity value",IFERROR(INDIRECT("'"&amp;$H$3&amp;"'!Q$123")*$H$13,0),0)))</f>
        <v>0</v>
      </c>
      <c r="R139" s="296"/>
      <c r="S139" s="361"/>
      <c r="T139" s="296">
        <f ca="1">IF($H$9&lt;5,0,IF(INDIRECT("'"&amp;$H$3&amp;"'!T121")="Cost per facility",IFERROR(INDIRECT("'"&amp;$H$3&amp;"'!T$122")*INDIRECT("'"&amp;$H$3&amp;"'!T$95"),0), IF(INDIRECT("'"&amp;$H$3&amp;"'!T121")="Cost as % commodity value",IFERROR(INDIRECT("'"&amp;$H$3&amp;"'!T$123")*$H$13,0),0)))</f>
        <v>0</v>
      </c>
      <c r="U139" s="361"/>
      <c r="V139" s="361"/>
      <c r="W139" s="1438">
        <f ca="1">IF($H$9&lt;6,0,IF(INDIRECT("'"&amp;$H$3&amp;"'!W121")="Cost per facility",IFERROR(INDIRECT("'"&amp;$H$3&amp;"'!W$122")*INDIRECT("'"&amp;$H$3&amp;"'!W$95"),0), IF(INDIRECT("'"&amp;$H$3&amp;"'!W121")="Cost as % commodity value",IFERROR(INDIRECT("'"&amp;$H$3&amp;"'!W$123")*$H$13,0),0)))</f>
        <v>0</v>
      </c>
      <c r="Y139" s="347">
        <f ca="1">SUM(H139:W139)</f>
        <v>132074.68350107403</v>
      </c>
      <c r="Z139" s="1"/>
      <c r="AA139" s="1"/>
      <c r="AL139" s="1"/>
    </row>
    <row r="140" spans="6:38" ht="15" customHeight="1">
      <c r="F140" s="109"/>
      <c r="G140" s="109"/>
      <c r="R140" s="246"/>
      <c r="S140" s="246"/>
      <c r="T140" s="246"/>
      <c r="U140" s="246"/>
      <c r="V140" s="246"/>
      <c r="W140" s="246"/>
      <c r="X140" s="1420"/>
      <c r="AL140" s="1"/>
    </row>
    <row r="141" spans="6:38" ht="15" customHeight="1">
      <c r="F141" s="109"/>
      <c r="G141" s="109"/>
      <c r="R141" s="246"/>
      <c r="S141" s="246"/>
      <c r="T141" s="246"/>
      <c r="U141" s="246"/>
      <c r="V141" s="246"/>
      <c r="W141" s="246"/>
      <c r="X141" s="1420"/>
      <c r="AL141" s="1"/>
    </row>
    <row r="142" spans="6:38" ht="15" customHeight="1">
      <c r="F142" s="109"/>
      <c r="G142" s="109"/>
      <c r="R142" s="246"/>
      <c r="S142" s="246"/>
      <c r="T142" s="246"/>
      <c r="U142" s="246"/>
      <c r="V142" s="246"/>
      <c r="W142" s="246"/>
      <c r="X142" s="1420"/>
      <c r="AL142" s="4"/>
    </row>
    <row r="143" spans="6:38" ht="15" customHeight="1">
      <c r="F143" s="109"/>
      <c r="G143" s="109"/>
      <c r="R143" s="246"/>
      <c r="S143" s="246"/>
      <c r="T143" s="246"/>
      <c r="U143" s="246"/>
      <c r="V143" s="246"/>
      <c r="W143" s="246"/>
      <c r="X143" s="1420"/>
    </row>
    <row r="144" spans="6:38" ht="15" customHeight="1">
      <c r="R144" s="246"/>
      <c r="S144" s="246"/>
      <c r="T144" s="246"/>
      <c r="U144" s="246"/>
      <c r="V144" s="246"/>
      <c r="W144" s="246"/>
      <c r="X144" s="1420"/>
    </row>
    <row r="145" spans="6:40" ht="15" customHeight="1">
      <c r="R145" s="246"/>
      <c r="S145" s="246"/>
      <c r="T145" s="246"/>
      <c r="U145" s="246"/>
      <c r="V145" s="246"/>
      <c r="W145" s="246"/>
      <c r="X145" s="1420"/>
    </row>
    <row r="146" spans="6:40" ht="15" customHeight="1">
      <c r="F146" s="2715" t="s">
        <v>461</v>
      </c>
      <c r="G146" s="2716"/>
      <c r="H146" s="140"/>
      <c r="I146" s="140"/>
      <c r="J146" s="140"/>
      <c r="K146" s="140"/>
      <c r="L146" s="140"/>
      <c r="M146" s="140"/>
      <c r="N146" s="140"/>
      <c r="O146" s="140"/>
      <c r="P146" s="140"/>
      <c r="Q146" s="140"/>
      <c r="R146" s="140"/>
      <c r="S146" s="140"/>
      <c r="T146" s="140"/>
      <c r="U146" s="140"/>
      <c r="V146" s="140"/>
      <c r="W146" s="1442"/>
      <c r="X146" s="1428"/>
      <c r="Y146" s="36"/>
      <c r="Z146" s="36"/>
      <c r="AA146" s="36"/>
      <c r="AB146" s="36"/>
      <c r="AC146" s="36"/>
      <c r="AD146" s="36"/>
      <c r="AE146" s="36"/>
      <c r="AF146" s="36"/>
      <c r="AG146" s="36"/>
      <c r="AH146" s="36"/>
      <c r="AI146" s="36"/>
      <c r="AJ146" s="36"/>
      <c r="AK146" s="36"/>
      <c r="AL146" s="36"/>
      <c r="AM146" s="36"/>
      <c r="AN146" s="36"/>
    </row>
    <row r="147" spans="6:40" ht="15" customHeight="1">
      <c r="F147" s="860"/>
      <c r="G147" s="861"/>
      <c r="H147" s="265"/>
      <c r="I147" s="265"/>
      <c r="J147" s="265"/>
      <c r="K147" s="265"/>
      <c r="L147" s="265"/>
      <c r="M147" s="265"/>
      <c r="N147" s="265"/>
      <c r="O147" s="265"/>
      <c r="P147" s="265"/>
      <c r="Q147" s="265"/>
      <c r="R147" s="265"/>
      <c r="S147" s="265"/>
      <c r="T147" s="265"/>
      <c r="U147" s="265"/>
      <c r="V147" s="265"/>
      <c r="W147" s="1417"/>
      <c r="X147" s="1428"/>
      <c r="Y147" s="36"/>
      <c r="Z147" s="36"/>
      <c r="AA147" s="36"/>
      <c r="AB147" s="36"/>
      <c r="AC147" s="36"/>
      <c r="AD147" s="36"/>
      <c r="AE147" s="36"/>
      <c r="AF147" s="36"/>
      <c r="AG147" s="36"/>
      <c r="AH147" s="36"/>
      <c r="AI147" s="36"/>
      <c r="AJ147" s="36"/>
      <c r="AK147" s="36"/>
      <c r="AL147" s="36"/>
      <c r="AM147" s="36"/>
      <c r="AN147" s="36"/>
    </row>
    <row r="148" spans="6:40" ht="48" customHeight="1">
      <c r="F148" s="1638" t="s">
        <v>2500</v>
      </c>
      <c r="G148" s="1639"/>
      <c r="H148" s="1640"/>
      <c r="I148" s="1640"/>
      <c r="J148" s="1640"/>
      <c r="K148" s="1506" t="str">
        <f ca="1">IF($H$9&gt;=2,INDIRECT("'"&amp;$H$3&amp;"'!J$130"),"")</f>
        <v>CMS  to  Regional WH</v>
      </c>
      <c r="L148" s="1506" t="str">
        <f t="shared" ref="L148:V148" ca="1" si="15">IF($H$9&gt;=1,"Tier 1","")</f>
        <v>Tier 1</v>
      </c>
      <c r="M148" s="1506" t="str">
        <f t="shared" ca="1" si="15"/>
        <v>Tier 1</v>
      </c>
      <c r="N148" s="1506" t="str">
        <f ca="1">IF($H$9&gt;=3,INDIRECT("'"&amp;$H$3&amp;"'!M$130"),"")</f>
        <v>Regional WH  to  Health Facility</v>
      </c>
      <c r="O148" s="1506" t="str">
        <f t="shared" ca="1" si="15"/>
        <v>Tier 1</v>
      </c>
      <c r="P148" s="1506" t="str">
        <f t="shared" ca="1" si="15"/>
        <v>Tier 1</v>
      </c>
      <c r="Q148" s="1507" t="str">
        <f ca="1">IF($H$9&gt;=4,INDIRECT("'"&amp;$H$3&amp;"'!P$130"),"")</f>
        <v/>
      </c>
      <c r="R148" s="1508" t="str">
        <f t="shared" ca="1" si="15"/>
        <v>Tier 1</v>
      </c>
      <c r="S148" s="1508" t="str">
        <f t="shared" ca="1" si="15"/>
        <v>Tier 1</v>
      </c>
      <c r="T148" s="1507" t="str">
        <f ca="1">IF($H$9&gt;=5,INDIRECT("'"&amp;$H$3&amp;"'!S$130"),"")</f>
        <v/>
      </c>
      <c r="U148" s="1508" t="str">
        <f t="shared" ca="1" si="15"/>
        <v>Tier 1</v>
      </c>
      <c r="V148" s="1508" t="str">
        <f t="shared" ca="1" si="15"/>
        <v>Tier 1</v>
      </c>
      <c r="W148" s="1507" t="str">
        <f ca="1">IF($H$9&gt;=6,INDIRECT("'"&amp;$H$3&amp;"'!V$130"),"")</f>
        <v/>
      </c>
      <c r="X148" s="1464"/>
    </row>
    <row r="149" spans="6:40" ht="15" customHeight="1" outlineLevel="1">
      <c r="F149" s="1641"/>
      <c r="G149" s="51" t="s">
        <v>414</v>
      </c>
      <c r="H149" s="836"/>
      <c r="I149" s="836"/>
      <c r="J149" s="836"/>
      <c r="K149" s="836">
        <f ca="1">IFERROR(IF(INDIRECT("'"&amp;$H$3&amp;"'!K133")=0,0,IF(INDIRECT("'"&amp;$H$3&amp;"'!K153")="Yes",'1_Outputs'!K64,IF(OR(AND(INDIRECT("'"&amp;$H$3&amp;"'!K133")&gt;1,INDIRECT("'"&amp;$H$3&amp;"'!K173")="Yes"),AND(INDIRECT("'"&amp;$H$3&amp;"'!K133")&gt;2,INDIRECT("'"&amp;$H$3&amp;"'!K193")="Yes")),'1_Outputs'!K57,'1_Outputs'!K52))),0)</f>
        <v>2052.75</v>
      </c>
      <c r="L149" s="836"/>
      <c r="M149" s="836"/>
      <c r="N149" s="836">
        <f ca="1">IFERROR(IF(INDIRECT("'"&amp;$H$3&amp;"'!N133")=0,0,IF(INDIRECT("'"&amp;$H$3&amp;"'!N153")="Yes",'1_Outputs'!N64,IF(OR(AND(INDIRECT("'"&amp;$H$3&amp;"'!N133")&gt;1,INDIRECT("'"&amp;$H$3&amp;"'!N173")="Yes"),AND(INDIRECT("'"&amp;$H$3&amp;"'!N133")&gt;2,INDIRECT("'"&amp;$H$3&amp;"'!N193")="Yes")),'1_Outputs'!N57,'1_Outputs'!N52))),0)</f>
        <v>5.666666666666667</v>
      </c>
      <c r="O149" s="836"/>
      <c r="P149" s="836"/>
      <c r="Q149" s="836">
        <f ca="1">IFERROR(IF(INDIRECT("'"&amp;$H$3&amp;"'!Q133")=0,0,IF(INDIRECT("'"&amp;$H$3&amp;"'!Q153")="Yes",'1_Outputs'!Q64,IF(OR(AND(INDIRECT("'"&amp;$H$3&amp;"'!Q133")&gt;1,INDIRECT("'"&amp;$H$3&amp;"'!Q173")="Yes"),AND(INDIRECT("'"&amp;$H$3&amp;"'!Q133")&gt;2,INDIRECT("'"&amp;$H$3&amp;"'!Q193")="Yes")),'1_Outputs'!Q57,'1_Outputs'!Q52))),0)</f>
        <v>0</v>
      </c>
      <c r="R149" s="836"/>
      <c r="S149" s="836"/>
      <c r="T149" s="836">
        <f ca="1">IFERROR(IF(INDIRECT("'"&amp;$H$3&amp;"'!T133")=0,0,IF(INDIRECT("'"&amp;$H$3&amp;"'!T153")="Yes",'1_Outputs'!T64,IF(OR(AND(INDIRECT("'"&amp;$H$3&amp;"'!T133")&gt;1,INDIRECT("'"&amp;$H$3&amp;"'!T173")="Yes"),AND(INDIRECT("'"&amp;$H$3&amp;"'!T133")&gt;2,INDIRECT("'"&amp;$H$3&amp;"'!T193")="Yes")),'1_Outputs'!T57,'1_Outputs'!T52))),0)</f>
        <v>0</v>
      </c>
      <c r="U149" s="836"/>
      <c r="V149" s="836"/>
      <c r="W149" s="836">
        <f ca="1">IFERROR(IF(INDIRECT("'"&amp;$H$3&amp;"'!W133")=0,0,IF(INDIRECT("'"&amp;$H$3&amp;"'!W153")="Yes",'1_Outputs'!W64,IF(OR(AND(INDIRECT("'"&amp;$H$3&amp;"'!W133")&gt;1,INDIRECT("'"&amp;$H$3&amp;"'!W173")="Yes"),AND(INDIRECT("'"&amp;$H$3&amp;"'!W133")&gt;2,INDIRECT("'"&amp;$H$3&amp;"'!W193")="Yes")),'1_Outputs'!W57,'1_Outputs'!W52))),0)</f>
        <v>0</v>
      </c>
      <c r="X149" s="1465"/>
      <c r="AK149" s="1"/>
    </row>
    <row r="150" spans="6:40" ht="15" customHeight="1" outlineLevel="1">
      <c r="F150" s="1642" t="s">
        <v>387</v>
      </c>
      <c r="G150" s="1614"/>
      <c r="H150" s="848"/>
      <c r="I150" s="848"/>
      <c r="J150" s="848"/>
      <c r="K150" s="848"/>
      <c r="L150" s="848"/>
      <c r="M150" s="848"/>
      <c r="N150" s="848"/>
      <c r="O150" s="848"/>
      <c r="P150" s="848"/>
      <c r="Q150" s="1643"/>
      <c r="R150" s="1644"/>
      <c r="S150" s="1644"/>
      <c r="T150" s="1643"/>
      <c r="U150" s="1644"/>
      <c r="V150" s="1644"/>
      <c r="W150" s="1643"/>
      <c r="X150" s="1466"/>
      <c r="AK150" s="1"/>
    </row>
    <row r="151" spans="6:40" ht="15" customHeight="1" outlineLevel="1">
      <c r="F151" s="1645"/>
      <c r="G151" s="51" t="s">
        <v>390</v>
      </c>
      <c r="H151" s="836"/>
      <c r="I151" s="836"/>
      <c r="J151" s="836"/>
      <c r="K151" s="836">
        <f ca="1">IFERROR(((K$64*INDIRECT("'"&amp;$H$3&amp;"'!K$95"))*(IF(COUNTIF(INDIRECT("'"&amp;$H$3&amp;"'!K136"),"Public Transport*")=1,K156,K168)/INDIRECT("'"&amp;$H$3&amp;"'!K$95")))/IF(COUNTIF(INDIRECT("'"&amp;$H$3&amp;"'!K136"),"Public Transport*")=1,K154,K170),0)</f>
        <v>0</v>
      </c>
      <c r="L151" s="836"/>
      <c r="M151" s="836"/>
      <c r="N151" s="836">
        <f ca="1">IFERROR(((N$64*INDIRECT("'"&amp;$H$3&amp;"'!N$95"))*(IF(COUNTIF(INDIRECT("'"&amp;$H$3&amp;"'!N136"),"Public Transport*")=1,N156,N168)/INDIRECT("'"&amp;$H$3&amp;"'!N$95")))/IF(COUNTIF(INDIRECT("'"&amp;$H$3&amp;"'!N136"),"Public Transport*")=1,N154,N170),0)</f>
        <v>0</v>
      </c>
      <c r="O151" s="836"/>
      <c r="P151" s="836"/>
      <c r="Q151" s="836">
        <f ca="1">IFERROR(((Q$64*INDIRECT("'"&amp;$H$3&amp;"'!Q$95"))*(IF(COUNTIF(INDIRECT("'"&amp;$H$3&amp;"'!Q136"),"Public Transport*")=1,Q156,Q168)/INDIRECT("'"&amp;$H$3&amp;"'!Q$95")))/IF(COUNTIF(INDIRECT("'"&amp;$H$3&amp;"'!Q136"),"Public Transport*")=1,Q154,Q170),0)</f>
        <v>0</v>
      </c>
      <c r="R151" s="1646"/>
      <c r="S151" s="1646"/>
      <c r="T151" s="836">
        <f ca="1">IFERROR(((T$64*INDIRECT("'"&amp;$H$3&amp;"'!T$95"))*(IF(COUNTIF(INDIRECT("'"&amp;$H$3&amp;"'!T136"),"Public Transport*")=1,T156,T168)/INDIRECT("'"&amp;$H$3&amp;"'!T$95")))/IF(COUNTIF(INDIRECT("'"&amp;$H$3&amp;"'!T136"),"Public Transport*")=1,T154,T170),0)</f>
        <v>0</v>
      </c>
      <c r="U151" s="1646"/>
      <c r="V151" s="1646"/>
      <c r="W151" s="836">
        <f ca="1">IFERROR(((W$64*INDIRECT("'"&amp;$H$3&amp;"'!W$95"))*(IF(COUNTIF(INDIRECT("'"&amp;$H$3&amp;"'!W136"),"Public Transport*")=1,W156,W168)/INDIRECT("'"&amp;$H$3&amp;"'!W$95")))/IF(COUNTIF(INDIRECT("'"&amp;$H$3&amp;"'!W136"),"Public Transport*")=1,W154,W170),0)</f>
        <v>0</v>
      </c>
      <c r="X151" s="1465"/>
      <c r="AK151" s="1"/>
    </row>
    <row r="152" spans="6:40" ht="15" customHeight="1" outlineLevel="1">
      <c r="F152" s="1645"/>
      <c r="G152" s="51" t="s">
        <v>391</v>
      </c>
      <c r="H152" s="836"/>
      <c r="I152" s="836"/>
      <c r="J152" s="836"/>
      <c r="K152" s="836">
        <f ca="1">IFERROR(IF(COUNTIF(INDIRECT("'"&amp;$H$3&amp;"'!K136"),"Public Transport*")=1,(K155/INDIRECT("'"&amp;$H$3&amp;"'!$H$9")),(K171/INDIRECT("'"&amp;$H$3&amp;"'!$H$9"))),0)</f>
        <v>0.60833333333333328</v>
      </c>
      <c r="L152" s="836"/>
      <c r="M152" s="836"/>
      <c r="N152" s="836">
        <f ca="1">IFERROR(IF(COUNTIF(INDIRECT("'"&amp;$H$3&amp;"'!N136"),"Public Transport*")=1,(N155/INDIRECT("'"&amp;$H$3&amp;"'!$H$9")),(N171/INDIRECT("'"&amp;$H$3&amp;"'!$H$9"))),0)</f>
        <v>1</v>
      </c>
      <c r="O152" s="836"/>
      <c r="P152" s="836"/>
      <c r="Q152" s="836">
        <f ca="1">IFERROR(IF(COUNTIF(INDIRECT("'"&amp;$H$3&amp;"'!Q136"),"Public Transport*")=1,(Q155/INDIRECT("'"&amp;$H$3&amp;"'!$H$9")),(Q171/INDIRECT("'"&amp;$H$3&amp;"'!$H$9"))),0)</f>
        <v>0</v>
      </c>
      <c r="R152" s="1646"/>
      <c r="S152" s="1646"/>
      <c r="T152" s="836">
        <f ca="1">IFERROR(IF(COUNTIF(INDIRECT("'"&amp;$H$3&amp;"'!T136"),"Public Transport*")=1,(T155/INDIRECT("'"&amp;$H$3&amp;"'!$H$9")),(T171/INDIRECT("'"&amp;$H$3&amp;"'!$H$9"))),0)</f>
        <v>0</v>
      </c>
      <c r="U152" s="1646"/>
      <c r="V152" s="1646"/>
      <c r="W152" s="836">
        <f ca="1">IFERROR(IF(COUNTIF(INDIRECT("'"&amp;$H$3&amp;"'!W136"),"Public Transport*")=1,(W155/INDIRECT("'"&amp;$H$3&amp;"'!$H$9")),(W171/INDIRECT("'"&amp;$H$3&amp;"'!$H$9"))),0)</f>
        <v>0</v>
      </c>
      <c r="X152" s="1465"/>
      <c r="AK152" s="1"/>
    </row>
    <row r="153" spans="6:40" ht="15" customHeight="1" outlineLevel="1">
      <c r="F153" s="1647" t="s">
        <v>149</v>
      </c>
      <c r="G153" s="1614"/>
      <c r="H153" s="848"/>
      <c r="I153" s="848"/>
      <c r="J153" s="848"/>
      <c r="K153" s="848"/>
      <c r="L153" s="848"/>
      <c r="M153" s="848"/>
      <c r="N153" s="848"/>
      <c r="O153" s="1644"/>
      <c r="P153" s="1644"/>
      <c r="Q153" s="1648"/>
      <c r="R153" s="1646"/>
      <c r="S153" s="1646"/>
      <c r="T153" s="1648"/>
      <c r="U153" s="1646"/>
      <c r="V153" s="1646"/>
      <c r="W153" s="1648"/>
      <c r="X153" s="1467"/>
      <c r="AK153" s="1"/>
    </row>
    <row r="154" spans="6:40" ht="15" customHeight="1" outlineLevel="1">
      <c r="F154" s="1649"/>
      <c r="G154" s="51" t="s">
        <v>146</v>
      </c>
      <c r="H154" s="837"/>
      <c r="I154" s="837"/>
      <c r="J154" s="837"/>
      <c r="K154" s="837">
        <f ca="1">IFERROR(IF(COUNTIF(INDIRECT("'"&amp;$H$3&amp;"'!K136"),"Public Transport*")=1,IF(INDIRECT("'"&amp;$H$3&amp;"'!K143")="Route-based",K162*INDIRECT("'"&amp;$H$3&amp;"'!K$96"),IF(INDIRECT("'"&amp;$H$3&amp;"'!K143")="Point-to-point",K165*INDIRECT("'"&amp;$H$3&amp;"'!K$96"),0)),0),0)</f>
        <v>0</v>
      </c>
      <c r="L154" s="837"/>
      <c r="M154" s="837"/>
      <c r="N154" s="837">
        <f ca="1">IFERROR(IF(COUNTIF(INDIRECT("'"&amp;$H$3&amp;"'!N136"),"Public Transport*")=1,IF(INDIRECT("'"&amp;$H$3&amp;"'!N143")="Route-based",N162*INDIRECT("'"&amp;$H$3&amp;"'!N$96"),IF(INDIRECT("'"&amp;$H$3&amp;"'!N143")="Point-to-point",N165*INDIRECT("'"&amp;$H$3&amp;"'!N$96"),0)),0),0)</f>
        <v>0</v>
      </c>
      <c r="O154" s="837"/>
      <c r="P154" s="837"/>
      <c r="Q154" s="837">
        <f ca="1">IFERROR(IF(COUNTIF(INDIRECT("'"&amp;$H$3&amp;"'!Q136"),"Public Transport*")=1,IF(INDIRECT("'"&amp;$H$3&amp;"'!Q143")="Route-based",Q162*INDIRECT("'"&amp;$H$3&amp;"'!Q$96"),IF(INDIRECT("'"&amp;$H$3&amp;"'!Q143")="Point-to-point",Q165*INDIRECT("'"&amp;$H$3&amp;"'!Q$96"),0)),0),0)</f>
        <v>0</v>
      </c>
      <c r="R154" s="1650"/>
      <c r="S154" s="1650"/>
      <c r="T154" s="837">
        <f ca="1">IFERROR(IF(COUNTIF(INDIRECT("'"&amp;$H$3&amp;"'!T136"),"Public Transport*")=1,IF(INDIRECT("'"&amp;$H$3&amp;"'!T143")="Route-based",T162*INDIRECT("'"&amp;$H$3&amp;"'!T$96"),IF(INDIRECT("'"&amp;$H$3&amp;"'!T143")="Point-to-point",T165*INDIRECT("'"&amp;$H$3&amp;"'!T$96"),0)),0),0)</f>
        <v>0</v>
      </c>
      <c r="U154" s="1650"/>
      <c r="V154" s="1650"/>
      <c r="W154" s="837">
        <f ca="1">IFERROR(IF(COUNTIF(INDIRECT("'"&amp;$H$3&amp;"'!W136"),"Public Transport*")=1,IF(INDIRECT("'"&amp;$H$3&amp;"'!W143")="Route-based",W162*INDIRECT("'"&amp;$H$3&amp;"'!W$96"),IF(INDIRECT("'"&amp;$H$3&amp;"'!W143")="Point-to-point",W165*INDIRECT("'"&amp;$H$3&amp;"'!W$96"),0)),0),0)</f>
        <v>0</v>
      </c>
      <c r="X154" s="1468"/>
      <c r="Y154" s="36"/>
      <c r="Z154" s="36"/>
      <c r="AA154" s="36"/>
      <c r="AB154" s="36"/>
      <c r="AC154" s="36"/>
      <c r="AD154" s="36"/>
      <c r="AE154" s="36"/>
      <c r="AF154" s="36"/>
      <c r="AG154" s="36"/>
      <c r="AH154" s="36"/>
      <c r="AI154" s="36"/>
      <c r="AJ154" s="36"/>
      <c r="AK154" s="242"/>
      <c r="AL154" s="36"/>
      <c r="AM154" s="36"/>
      <c r="AN154" s="36"/>
    </row>
    <row r="155" spans="6:40" ht="15" customHeight="1" outlineLevel="1">
      <c r="F155" s="1649"/>
      <c r="G155" s="51" t="s">
        <v>147</v>
      </c>
      <c r="H155" s="837"/>
      <c r="I155" s="837"/>
      <c r="J155" s="837"/>
      <c r="K155" s="837">
        <f ca="1">IFERROR(IF(INDIRECT("'"&amp;$H$3&amp;"'!K143")="Route-based",K163*INDIRECT("'"&amp;$H$3&amp;"'!K$96"),IF(INDIRECT("'"&amp;$H$3&amp;"'!K143")="Point-to-point",K166*INDIRECT("'"&amp;$H$3&amp;"'!K$96"),0)),0)</f>
        <v>0</v>
      </c>
      <c r="L155" s="837"/>
      <c r="M155" s="837"/>
      <c r="N155" s="837">
        <f ca="1">IFERROR(IF(INDIRECT("'"&amp;$H$3&amp;"'!N143")="Route-based",N163*INDIRECT("'"&amp;$H$3&amp;"'!N$96"),IF(INDIRECT("'"&amp;$H$3&amp;"'!N143")="Point-to-point",N166*INDIRECT("'"&amp;$H$3&amp;"'!N$96"),0)),0)</f>
        <v>0</v>
      </c>
      <c r="O155" s="837"/>
      <c r="P155" s="837"/>
      <c r="Q155" s="837">
        <f ca="1">IFERROR(IF(INDIRECT("'"&amp;$H$3&amp;"'!Q143")="Route-based",Q163*INDIRECT("'"&amp;$H$3&amp;"'!Q$96"),IF(INDIRECT("'"&amp;$H$3&amp;"'!Q143")="Point-to-point",Q166*INDIRECT("'"&amp;$H$3&amp;"'!Q$96"),0)),0)</f>
        <v>0</v>
      </c>
      <c r="R155" s="1650"/>
      <c r="S155" s="1650"/>
      <c r="T155" s="837">
        <f ca="1">IFERROR(IF(INDIRECT("'"&amp;$H$3&amp;"'!T143")="Route-based",T163*INDIRECT("'"&amp;$H$3&amp;"'!T$96"),IF(INDIRECT("'"&amp;$H$3&amp;"'!T143")="Point-to-point",T166*INDIRECT("'"&amp;$H$3&amp;"'!T$96"),0)),0)</f>
        <v>0</v>
      </c>
      <c r="U155" s="1650"/>
      <c r="V155" s="1650"/>
      <c r="W155" s="837">
        <f ca="1">IFERROR(IF(INDIRECT("'"&amp;$H$3&amp;"'!W143")="Route-based",W163*INDIRECT("'"&amp;$H$3&amp;"'!W$96"),IF(INDIRECT("'"&amp;$H$3&amp;"'!W143")="Point-to-point",W166*INDIRECT("'"&amp;$H$3&amp;"'!W$96"),0)),0)</f>
        <v>0</v>
      </c>
      <c r="X155" s="1468"/>
      <c r="Y155" s="36"/>
      <c r="Z155" s="36"/>
      <c r="AA155" s="36"/>
      <c r="AB155" s="36"/>
      <c r="AC155" s="36"/>
      <c r="AD155" s="36"/>
      <c r="AE155" s="36"/>
      <c r="AF155" s="36"/>
      <c r="AG155" s="36"/>
      <c r="AH155" s="36"/>
      <c r="AI155" s="36"/>
      <c r="AJ155" s="36"/>
      <c r="AK155" s="242"/>
      <c r="AL155" s="36"/>
      <c r="AM155" s="36"/>
      <c r="AN155" s="36"/>
    </row>
    <row r="156" spans="6:40" ht="15" customHeight="1" outlineLevel="1">
      <c r="F156" s="1649"/>
      <c r="G156" s="51" t="s">
        <v>142</v>
      </c>
      <c r="H156" s="1651"/>
      <c r="I156" s="1651"/>
      <c r="J156" s="1651"/>
      <c r="K156" s="1651">
        <f ca="1">IFERROR(IF(COUNTIF(INDIRECT("'"&amp;$H$3&amp;"'!K136"),"Public Transport*")=1,ROUND(INDIRECT("'"&amp;$H$3&amp;"'!K$95")*INDIRECT("'"&amp;$H$3&amp;"'!K135"),0),0),0)</f>
        <v>0</v>
      </c>
      <c r="L156" s="1651"/>
      <c r="M156" s="1651"/>
      <c r="N156" s="1651">
        <f ca="1">IFERROR(IF(COUNTIF(INDIRECT("'"&amp;$H$3&amp;"'!N136"),"Public Transport*")=1,ROUND(INDIRECT("'"&amp;$H$3&amp;"'!N$95")*INDIRECT("'"&amp;$H$3&amp;"'!N135"),0),0),0)</f>
        <v>0</v>
      </c>
      <c r="O156" s="1651"/>
      <c r="P156" s="1651"/>
      <c r="Q156" s="1651">
        <f ca="1">IFERROR(IF(COUNTIF(INDIRECT("'"&amp;$H$3&amp;"'!Q136"),"Public Transport*")=1,ROUND(INDIRECT("'"&amp;$H$3&amp;"'!Q$95")*INDIRECT("'"&amp;$H$3&amp;"'!Q135"),0),0),0)</f>
        <v>0</v>
      </c>
      <c r="R156" s="1652"/>
      <c r="S156" s="1652"/>
      <c r="T156" s="1651">
        <f ca="1">IFERROR(IF(COUNTIF(INDIRECT("'"&amp;$H$3&amp;"'!T136"),"Public Transport*")=1,ROUND(INDIRECT("'"&amp;$H$3&amp;"'!T$95")*INDIRECT("'"&amp;$H$3&amp;"'!T135"),0),0),0)</f>
        <v>0</v>
      </c>
      <c r="U156" s="1652"/>
      <c r="V156" s="1652"/>
      <c r="W156" s="1651">
        <f ca="1">IFERROR(IF(COUNTIF(INDIRECT("'"&amp;$H$3&amp;"'!W136"),"Public Transport*")=1,ROUND(INDIRECT("'"&amp;$H$3&amp;"'!W$95")*INDIRECT("'"&amp;$H$3&amp;"'!W135"),0),0),0)</f>
        <v>0</v>
      </c>
      <c r="X156" s="1466"/>
      <c r="Y156" s="36"/>
      <c r="Z156" s="36"/>
      <c r="AA156" s="36"/>
      <c r="AB156" s="36"/>
      <c r="AC156" s="36"/>
      <c r="AD156" s="36"/>
      <c r="AE156" s="36"/>
      <c r="AF156" s="36"/>
      <c r="AG156" s="36"/>
      <c r="AH156" s="36"/>
      <c r="AI156" s="36"/>
      <c r="AJ156" s="36"/>
      <c r="AK156" s="36"/>
      <c r="AL156" s="36"/>
      <c r="AM156" s="36"/>
      <c r="AN156" s="36" t="s">
        <v>190</v>
      </c>
    </row>
    <row r="157" spans="6:40" ht="15" customHeight="1" outlineLevel="1">
      <c r="F157" s="1649"/>
      <c r="G157" s="51" t="s">
        <v>163</v>
      </c>
      <c r="H157" s="836"/>
      <c r="I157" s="836"/>
      <c r="J157" s="836"/>
      <c r="K157" s="836">
        <f ca="1">IFERROR(INDEX(INDIRECT("'"&amp;$H$3&amp;"'!$H$43:$H$78"),MATCH(INDIRECT("'"&amp;$H$3&amp;"'!K136")&amp;"Maximum delivery capacity (m^3)", INDIRECT("'"&amp;$H$3&amp;"'!$F$43:$F$78"),0))/('1_Outputs'!K$149/INDIRECT("'"&amp;$H$3&amp;"'!K$96")),0)</f>
        <v>0</v>
      </c>
      <c r="L157" s="836"/>
      <c r="M157" s="836"/>
      <c r="N157" s="836">
        <f ca="1">IFERROR(INDEX(INDIRECT("'"&amp;$H$3&amp;"'!$H$43:$H$78"),MATCH(INDIRECT("'"&amp;$H$3&amp;"'!N136")&amp;"Maximum delivery capacity (m^3)", INDIRECT("'"&amp;$H$3&amp;"'!$F$43:$F$78"),0))/('1_Outputs'!N$149/INDIRECT("'"&amp;$H$3&amp;"'!N$96")),0)</f>
        <v>0</v>
      </c>
      <c r="O157" s="836"/>
      <c r="P157" s="836"/>
      <c r="Q157" s="836">
        <f ca="1">IFERROR(INDEX(INDIRECT("'"&amp;$H$3&amp;"'!$H$43:$H$78"),MATCH(INDIRECT("'"&amp;$H$3&amp;"'!Q136")&amp;"Maximum delivery capacity (m^3)", INDIRECT("'"&amp;$H$3&amp;"'!$F$43:$F$78"),0))/('1_Outputs'!Q$149/INDIRECT("'"&amp;$H$3&amp;"'!Q$96")),0)</f>
        <v>0</v>
      </c>
      <c r="R157" s="836"/>
      <c r="S157" s="836"/>
      <c r="T157" s="836">
        <f ca="1">IFERROR(INDEX(INDIRECT("'"&amp;$H$3&amp;"'!$H$43:$H$78"),MATCH(INDIRECT("'"&amp;$H$3&amp;"'!T136")&amp;"Maximum delivery capacity (m^3)", INDIRECT("'"&amp;$H$3&amp;"'!$F$43:$F$78"),0))/('1_Outputs'!T$149/INDIRECT("'"&amp;$H$3&amp;"'!T$96")),0)</f>
        <v>0</v>
      </c>
      <c r="U157" s="836"/>
      <c r="V157" s="836"/>
      <c r="W157" s="836">
        <f ca="1">IFERROR(INDEX(INDIRECT("'"&amp;$H$3&amp;"'!$H$43:$H$78"),MATCH(INDIRECT("'"&amp;$H$3&amp;"'!W136")&amp;"Maximum delivery capacity (m^3)", INDIRECT("'"&amp;$H$3&amp;"'!$F$43:$F$78"),0))/('1_Outputs'!W$149/INDIRECT("'"&amp;$H$3&amp;"'!W$96")),0)</f>
        <v>0</v>
      </c>
      <c r="X157" s="1469"/>
      <c r="Y157" s="36"/>
      <c r="Z157" s="36"/>
      <c r="AA157" s="36"/>
      <c r="AB157" s="36"/>
      <c r="AC157" s="36"/>
      <c r="AD157" s="36"/>
      <c r="AE157" s="36"/>
      <c r="AF157" s="36"/>
      <c r="AG157" s="36"/>
      <c r="AH157" s="36"/>
      <c r="AI157" s="36"/>
      <c r="AJ157" s="36"/>
      <c r="AK157" s="36"/>
      <c r="AL157" s="36"/>
      <c r="AM157" s="36"/>
      <c r="AN157" s="36"/>
    </row>
    <row r="158" spans="6:40" ht="15" customHeight="1" outlineLevel="1">
      <c r="F158" s="1649"/>
      <c r="G158" s="1613" t="s">
        <v>150</v>
      </c>
      <c r="H158" s="842"/>
      <c r="I158" s="842"/>
      <c r="J158" s="842"/>
      <c r="K158" s="842"/>
      <c r="L158" s="842"/>
      <c r="M158" s="842"/>
      <c r="N158" s="842"/>
      <c r="O158" s="842"/>
      <c r="P158" s="842"/>
      <c r="Q158" s="842"/>
      <c r="R158" s="1650"/>
      <c r="S158" s="1650"/>
      <c r="T158" s="842"/>
      <c r="U158" s="1650"/>
      <c r="V158" s="1650"/>
      <c r="W158" s="842"/>
      <c r="X158" s="1470"/>
      <c r="Y158" s="36"/>
      <c r="Z158" s="36"/>
      <c r="AA158" s="36"/>
      <c r="AB158" s="36"/>
      <c r="AC158" s="36"/>
      <c r="AD158" s="36"/>
      <c r="AE158" s="36"/>
      <c r="AF158" s="36"/>
      <c r="AG158" s="36"/>
      <c r="AH158" s="36"/>
      <c r="AI158" s="36"/>
      <c r="AJ158" s="36"/>
      <c r="AK158" s="36"/>
      <c r="AL158" s="36"/>
      <c r="AM158" s="36"/>
      <c r="AN158" s="36"/>
    </row>
    <row r="159" spans="6:40" ht="15" customHeight="1" outlineLevel="1">
      <c r="F159" s="1649"/>
      <c r="G159" s="51" t="s">
        <v>140</v>
      </c>
      <c r="H159" s="836"/>
      <c r="I159" s="836"/>
      <c r="J159" s="836"/>
      <c r="K159" s="836">
        <f ca="1">IFERROR(ROUND(INDIRECT("'"&amp;$H$3&amp;"'!$H$10")/(((1/60)*(INDIRECT("'"&amp;$H$3&amp;"'!K148")+INDIRECT("'"&amp;$H$3&amp;"'!$H$19")*(INDIRECT("'"&amp;$H$3&amp;"'!K149")+(INDIRECT("'"&amp;$H$3&amp;"'!K150")*('1_Outputs'!K$149/INDIRECT("'"&amp;$H$3&amp;"'!K$96")/INDIRECT("'"&amp;$H$3&amp;"'!$H$19"))))))+INDEX(INDIRECT("'"&amp;$H$3&amp;"'!$H$43:$H$78"),MATCH(INDIRECT("'"&amp;$H$3&amp;"'!K136")&amp;"Average duration (hrs) per trip",INDIRECT("'"&amp;$H$3&amp;"'!$F$43:$F$78"),0))),1),0)</f>
        <v>0</v>
      </c>
      <c r="L159" s="836"/>
      <c r="M159" s="836"/>
      <c r="N159" s="836">
        <f ca="1">IFERROR(ROUND(INDIRECT("'"&amp;$H$3&amp;"'!$H$10")/(((1/60)*(INDIRECT("'"&amp;$H$3&amp;"'!N148")+INDIRECT("'"&amp;$H$3&amp;"'!$H$19")*(INDIRECT("'"&amp;$H$3&amp;"'!N149")+(INDIRECT("'"&amp;$H$3&amp;"'!N150")*('1_Outputs'!N$149/INDIRECT("'"&amp;$H$3&amp;"'!N$96")/INDIRECT("'"&amp;$H$3&amp;"'!$H$19"))))))+INDEX(INDIRECT("'"&amp;$H$3&amp;"'!$H$43:$H$78"),MATCH(INDIRECT("'"&amp;$H$3&amp;"'!N136")&amp;"Average duration (hrs) per trip",INDIRECT("'"&amp;$H$3&amp;"'!$F$43:$F$78"),0))),1),0)</f>
        <v>0</v>
      </c>
      <c r="O159" s="836"/>
      <c r="P159" s="836"/>
      <c r="Q159" s="836">
        <f ca="1">IFERROR(ROUND(INDIRECT("'"&amp;$H$3&amp;"'!$H$10")/(((1/60)*(INDIRECT("'"&amp;$H$3&amp;"'!Q148")+INDIRECT("'"&amp;$H$3&amp;"'!$H$19")*(INDIRECT("'"&amp;$H$3&amp;"'!Q149")+(INDIRECT("'"&amp;$H$3&amp;"'!Q150")*('1_Outputs'!Q$149/INDIRECT("'"&amp;$H$3&amp;"'!Q$96")/INDIRECT("'"&amp;$H$3&amp;"'!$H$19"))))))+INDEX(INDIRECT("'"&amp;$H$3&amp;"'!$H$43:$H$78"),MATCH(INDIRECT("'"&amp;$H$3&amp;"'!Q136")&amp;"Average duration (hrs) per trip",INDIRECT("'"&amp;$H$3&amp;"'!$F$43:$F$78"),0))),1),0)</f>
        <v>0</v>
      </c>
      <c r="R159" s="836"/>
      <c r="S159" s="836"/>
      <c r="T159" s="836">
        <f ca="1">IFERROR(ROUND(INDIRECT("'"&amp;$H$3&amp;"'!$H$10")/(((1/60)*(INDIRECT("'"&amp;$H$3&amp;"'!T148")+INDIRECT("'"&amp;$H$3&amp;"'!$H$19")*(INDIRECT("'"&amp;$H$3&amp;"'!T149")+(INDIRECT("'"&amp;$H$3&amp;"'!T150")*('1_Outputs'!T$149/INDIRECT("'"&amp;$H$3&amp;"'!T$96")/INDIRECT("'"&amp;$H$3&amp;"'!$H$19"))))))+INDEX(INDIRECT("'"&amp;$H$3&amp;"'!$H$43:$H$78"),MATCH(INDIRECT("'"&amp;$H$3&amp;"'!T136")&amp;"Average duration (hrs) per trip",INDIRECT("'"&amp;$H$3&amp;"'!$F$43:$F$78"),0))),1),0)</f>
        <v>0</v>
      </c>
      <c r="U159" s="836"/>
      <c r="V159" s="836"/>
      <c r="W159" s="836">
        <f ca="1">IFERROR(ROUND(INDIRECT("'"&amp;$H$3&amp;"'!$H$10")/(((1/60)*(INDIRECT("'"&amp;$H$3&amp;"'!W148")+INDIRECT("'"&amp;$H$3&amp;"'!$H$19")*(INDIRECT("'"&amp;$H$3&amp;"'!W149")+(INDIRECT("'"&amp;$H$3&amp;"'!W150")*('1_Outputs'!W$149/INDIRECT("'"&amp;$H$3&amp;"'!W$96")/INDIRECT("'"&amp;$H$3&amp;"'!$H$19"))))))+INDEX(INDIRECT("'"&amp;$H$3&amp;"'!$H$43:$H$78"),MATCH(INDIRECT("'"&amp;$H$3&amp;"'!W136")&amp;"Average duration (hrs) per trip",INDIRECT("'"&amp;$H$3&amp;"'!$F$43:$F$78"),0))),1),0)</f>
        <v>0</v>
      </c>
      <c r="X159" s="1469"/>
      <c r="Y159" s="36"/>
      <c r="Z159" s="36"/>
      <c r="AA159" s="36"/>
      <c r="AB159" s="36"/>
      <c r="AC159" s="36"/>
      <c r="AD159" s="36"/>
      <c r="AE159" s="36"/>
      <c r="AF159" s="36"/>
      <c r="AG159" s="36"/>
      <c r="AH159" s="36"/>
      <c r="AI159" s="36"/>
      <c r="AJ159" s="36"/>
      <c r="AK159" s="36"/>
      <c r="AL159" s="36"/>
      <c r="AM159" s="36"/>
      <c r="AN159" s="36"/>
    </row>
    <row r="160" spans="6:40" ht="15" customHeight="1" outlineLevel="1">
      <c r="F160" s="1649"/>
      <c r="G160" s="51" t="s">
        <v>141</v>
      </c>
      <c r="H160" s="836"/>
      <c r="I160" s="836"/>
      <c r="J160" s="836"/>
      <c r="K160" s="836">
        <f ca="1">IFERROR(MIN(ROUND(K159*INDIRECT("'"&amp;$H$3&amp;"'!K144"),0),K157),0)</f>
        <v>0</v>
      </c>
      <c r="L160" s="836"/>
      <c r="M160" s="836"/>
      <c r="N160" s="836">
        <f ca="1">IFERROR(MIN(ROUND(N159*INDIRECT("'"&amp;$H$3&amp;"'!N144"),0),N157),0)</f>
        <v>0</v>
      </c>
      <c r="O160" s="836"/>
      <c r="P160" s="836"/>
      <c r="Q160" s="836">
        <f ca="1">IFERROR(MIN(ROUND(Q159*INDIRECT("'"&amp;$H$3&amp;"'!Q144"),0),Q157),0)</f>
        <v>0</v>
      </c>
      <c r="R160" s="836"/>
      <c r="S160" s="836"/>
      <c r="T160" s="836">
        <f ca="1">IFERROR(MIN(ROUND(T159*INDIRECT("'"&amp;$H$3&amp;"'!T144"),0),T157),0)</f>
        <v>0</v>
      </c>
      <c r="U160" s="836"/>
      <c r="V160" s="836"/>
      <c r="W160" s="836">
        <f ca="1">IFERROR(MIN(ROUND(W159*INDIRECT("'"&amp;$H$3&amp;"'!W144"),0),W157),0)</f>
        <v>0</v>
      </c>
      <c r="X160" s="1469"/>
      <c r="Y160" s="36"/>
      <c r="Z160" s="36"/>
      <c r="AA160" s="36"/>
      <c r="AB160" s="36"/>
      <c r="AC160" s="36"/>
      <c r="AD160" s="36"/>
      <c r="AE160" s="36"/>
      <c r="AF160" s="36"/>
      <c r="AG160" s="36"/>
      <c r="AH160" s="36"/>
      <c r="AI160" s="36"/>
      <c r="AJ160" s="36"/>
      <c r="AK160" s="36"/>
      <c r="AL160" s="36"/>
      <c r="AM160" s="36"/>
      <c r="AN160" s="36"/>
    </row>
    <row r="161" spans="6:40" ht="15" customHeight="1" outlineLevel="1">
      <c r="F161" s="1649"/>
      <c r="G161" s="51" t="s">
        <v>143</v>
      </c>
      <c r="H161" s="836"/>
      <c r="I161" s="836"/>
      <c r="J161" s="836"/>
      <c r="K161" s="836">
        <f ca="1">IFERROR(ROUNDUP(K156/K160,0),0)</f>
        <v>0</v>
      </c>
      <c r="L161" s="836"/>
      <c r="M161" s="836"/>
      <c r="N161" s="836">
        <f ca="1">IFERROR(ROUNDUP(N156/N160,0),0)</f>
        <v>0</v>
      </c>
      <c r="O161" s="836"/>
      <c r="P161" s="836"/>
      <c r="Q161" s="836">
        <f ca="1">IFERROR(ROUNDUP(Q156/Q160,0),0)</f>
        <v>0</v>
      </c>
      <c r="R161" s="836"/>
      <c r="S161" s="836"/>
      <c r="T161" s="836">
        <f ca="1">IFERROR(ROUNDUP(T156/T160,0),0)</f>
        <v>0</v>
      </c>
      <c r="U161" s="836"/>
      <c r="V161" s="836"/>
      <c r="W161" s="836">
        <f ca="1">IFERROR(ROUNDUP(W156/W160,0),0)</f>
        <v>0</v>
      </c>
      <c r="X161" s="1469"/>
      <c r="Y161" s="36"/>
      <c r="Z161" s="36"/>
      <c r="AA161" s="36"/>
      <c r="AB161" s="36"/>
      <c r="AC161" s="36"/>
      <c r="AD161" s="36"/>
      <c r="AE161" s="36"/>
      <c r="AF161" s="36"/>
      <c r="AG161" s="36"/>
      <c r="AH161" s="36"/>
      <c r="AI161" s="36"/>
      <c r="AJ161" s="36"/>
      <c r="AK161" s="36"/>
      <c r="AL161" s="36"/>
      <c r="AM161" s="36"/>
      <c r="AN161" s="36"/>
    </row>
    <row r="162" spans="6:40" ht="15" customHeight="1" outlineLevel="1">
      <c r="F162" s="1649"/>
      <c r="G162" s="51" t="s">
        <v>144</v>
      </c>
      <c r="H162" s="836"/>
      <c r="I162" s="836"/>
      <c r="J162" s="836"/>
      <c r="K162" s="836">
        <f ca="1">IFERROR((K161*(MAX(K160,1)+1)),0)</f>
        <v>0</v>
      </c>
      <c r="L162" s="836"/>
      <c r="M162" s="836"/>
      <c r="N162" s="836">
        <f ca="1">IFERROR((N161*(MAX(N160,1)+1)),0)</f>
        <v>0</v>
      </c>
      <c r="O162" s="836"/>
      <c r="P162" s="836"/>
      <c r="Q162" s="836">
        <f ca="1">IFERROR((Q161*(MAX(Q160,1)+1)),0)</f>
        <v>0</v>
      </c>
      <c r="R162" s="836"/>
      <c r="S162" s="836"/>
      <c r="T162" s="836">
        <f ca="1">IFERROR((T161*(MAX(T160,1)+1)),0)</f>
        <v>0</v>
      </c>
      <c r="U162" s="836"/>
      <c r="V162" s="836"/>
      <c r="W162" s="836">
        <f ca="1">IFERROR((W161*(MAX(W160,1)+1)),0)</f>
        <v>0</v>
      </c>
      <c r="X162" s="1469"/>
      <c r="Y162" s="36"/>
      <c r="Z162" s="36"/>
      <c r="AA162" s="36"/>
      <c r="AB162" s="36"/>
      <c r="AC162" s="36"/>
      <c r="AD162" s="36"/>
      <c r="AE162" s="36"/>
      <c r="AF162" s="36"/>
      <c r="AG162" s="36"/>
      <c r="AH162" s="36"/>
      <c r="AI162" s="36"/>
      <c r="AJ162" s="36"/>
      <c r="AK162" s="242"/>
      <c r="AL162" s="36"/>
      <c r="AM162" s="36"/>
      <c r="AN162" s="36"/>
    </row>
    <row r="163" spans="6:40" ht="15" customHeight="1" outlineLevel="1">
      <c r="F163" s="1649"/>
      <c r="G163" s="51" t="s">
        <v>145</v>
      </c>
      <c r="H163" s="836"/>
      <c r="I163" s="836"/>
      <c r="J163" s="836"/>
      <c r="K163" s="836">
        <f ca="1">IFERROR(ROUNDUP(((K162*INDEX(INDIRECT("'"&amp;$H$3&amp;"'!$H$43:$H$78"),MATCH(INDIRECT("'"&amp;$H$3&amp;"'!K136")&amp;"Average duration (hrs) per trip",INDIRECT("'"&amp;$H$3&amp;"'!$F$43:$F$78"),0)))+(K156*((1/60)*(INDIRECT("'"&amp;$H$3&amp;"'!K148")+INDIRECT("'"&amp;$H$3&amp;"'!$H$19")*(INDIRECT("'"&amp;$H$3&amp;"'!K149")+(INDIRECT("'"&amp;$H$3&amp;"'!K150")*('1_Outputs'!K$149/INDIRECT("'"&amp;$H$3&amp;"'!K$96")/INDIRECT("'"&amp;$H$3&amp;"'!$H$19"))))))))/INDIRECT("'"&amp;$H$3&amp;"'!$H$10"),0),0)</f>
        <v>0</v>
      </c>
      <c r="L163" s="836"/>
      <c r="M163" s="836"/>
      <c r="N163" s="836">
        <f ca="1">IFERROR(ROUNDUP(((N162*INDEX(INDIRECT("'"&amp;$H$3&amp;"'!$H$43:$H$78"),MATCH(INDIRECT("'"&amp;$H$3&amp;"'!N136")&amp;"Average duration (hrs) per trip",INDIRECT("'"&amp;$H$3&amp;"'!$F$43:$F$78"),0)))+(N156*((1/60)*(INDIRECT("'"&amp;$H$3&amp;"'!N148")+INDIRECT("'"&amp;$H$3&amp;"'!$H$19")*(INDIRECT("'"&amp;$H$3&amp;"'!N149")+(INDIRECT("'"&amp;$H$3&amp;"'!N150")*('1_Outputs'!N$149/INDIRECT("'"&amp;$H$3&amp;"'!N$96")/INDIRECT("'"&amp;$H$3&amp;"'!$H$19"))))))))/INDIRECT("'"&amp;$H$3&amp;"'!$H$10"),0),0)</f>
        <v>0</v>
      </c>
      <c r="O163" s="836"/>
      <c r="P163" s="836"/>
      <c r="Q163" s="836">
        <f ca="1">IFERROR(ROUNDUP(((Q162*INDEX(INDIRECT("'"&amp;$H$3&amp;"'!$H$43:$H$78"),MATCH(INDIRECT("'"&amp;$H$3&amp;"'!Q136")&amp;"Average duration (hrs) per trip",INDIRECT("'"&amp;$H$3&amp;"'!$F$43:$F$78"),0)))+(Q156*((1/60)*(INDIRECT("'"&amp;$H$3&amp;"'!Q148")+INDIRECT("'"&amp;$H$3&amp;"'!$H$19")*(INDIRECT("'"&amp;$H$3&amp;"'!Q149")+(INDIRECT("'"&amp;$H$3&amp;"'!Q150")*('1_Outputs'!Q$149/INDIRECT("'"&amp;$H$3&amp;"'!Q$96")/INDIRECT("'"&amp;$H$3&amp;"'!$H$19"))))))))/INDIRECT("'"&amp;$H$3&amp;"'!$H$10"),0),0)</f>
        <v>0</v>
      </c>
      <c r="R163" s="836"/>
      <c r="S163" s="836"/>
      <c r="T163" s="836">
        <f ca="1">IFERROR(ROUNDUP(((T162*INDEX(INDIRECT("'"&amp;$H$3&amp;"'!$H$43:$H$78"),MATCH(INDIRECT("'"&amp;$H$3&amp;"'!T136")&amp;"Average duration (hrs) per trip",INDIRECT("'"&amp;$H$3&amp;"'!$F$43:$F$78"),0)))+(T156*((1/60)*(INDIRECT("'"&amp;$H$3&amp;"'!T148")+INDIRECT("'"&amp;$H$3&amp;"'!$H$19")*(INDIRECT("'"&amp;$H$3&amp;"'!T149")+(INDIRECT("'"&amp;$H$3&amp;"'!T150")*('1_Outputs'!T$149/INDIRECT("'"&amp;$H$3&amp;"'!T$96")/INDIRECT("'"&amp;$H$3&amp;"'!$H$19"))))))))/INDIRECT("'"&amp;$H$3&amp;"'!$H$10"),0),0)</f>
        <v>0</v>
      </c>
      <c r="U163" s="836"/>
      <c r="V163" s="836"/>
      <c r="W163" s="836">
        <f ca="1">IFERROR(ROUNDUP(((W162*INDEX(INDIRECT("'"&amp;$H$3&amp;"'!$H$43:$H$78"),MATCH(INDIRECT("'"&amp;$H$3&amp;"'!W136")&amp;"Average duration (hrs) per trip",INDIRECT("'"&amp;$H$3&amp;"'!$F$43:$F$78"),0)))+(W156*((1/60)*(INDIRECT("'"&amp;$H$3&amp;"'!W148")+INDIRECT("'"&amp;$H$3&amp;"'!$H$19")*(INDIRECT("'"&amp;$H$3&amp;"'!W149")+(INDIRECT("'"&amp;$H$3&amp;"'!W150")*('1_Outputs'!W$149/INDIRECT("'"&amp;$H$3&amp;"'!W$96")/INDIRECT("'"&amp;$H$3&amp;"'!$H$19"))))))))/INDIRECT("'"&amp;$H$3&amp;"'!$H$10"),0),0)</f>
        <v>0</v>
      </c>
      <c r="X163" s="1469"/>
      <c r="Y163" s="36"/>
      <c r="Z163" s="36"/>
      <c r="AA163" s="36"/>
      <c r="AB163" s="36"/>
      <c r="AC163" s="36"/>
      <c r="AD163" s="36"/>
      <c r="AE163" s="36"/>
      <c r="AF163" s="36"/>
      <c r="AG163" s="36"/>
      <c r="AH163" s="36"/>
      <c r="AI163" s="36"/>
      <c r="AJ163" s="36"/>
      <c r="AK163" s="242"/>
      <c r="AL163" s="36"/>
      <c r="AM163" s="36"/>
      <c r="AN163" s="36"/>
    </row>
    <row r="164" spans="6:40" ht="15" customHeight="1" outlineLevel="1">
      <c r="F164" s="1649"/>
      <c r="G164" s="1613" t="s">
        <v>841</v>
      </c>
      <c r="H164" s="842"/>
      <c r="I164" s="842"/>
      <c r="J164" s="842"/>
      <c r="K164" s="842"/>
      <c r="L164" s="842"/>
      <c r="M164" s="842"/>
      <c r="N164" s="842"/>
      <c r="O164" s="842"/>
      <c r="P164" s="842"/>
      <c r="Q164" s="842"/>
      <c r="R164" s="1650"/>
      <c r="S164" s="1650"/>
      <c r="T164" s="842"/>
      <c r="U164" s="1650"/>
      <c r="V164" s="1650"/>
      <c r="W164" s="842"/>
      <c r="X164" s="1470"/>
      <c r="Y164" s="36"/>
      <c r="Z164" s="36"/>
      <c r="AA164" s="36"/>
      <c r="AB164" s="36"/>
      <c r="AC164" s="36"/>
      <c r="AD164" s="36"/>
      <c r="AE164" s="36"/>
      <c r="AF164" s="36"/>
      <c r="AG164" s="36"/>
      <c r="AH164" s="36"/>
      <c r="AI164" s="36"/>
      <c r="AJ164" s="36"/>
      <c r="AK164" s="242"/>
      <c r="AL164" s="36"/>
      <c r="AM164" s="36"/>
      <c r="AN164" s="36"/>
    </row>
    <row r="165" spans="6:40" ht="15" customHeight="1" outlineLevel="1">
      <c r="F165" s="1649"/>
      <c r="G165" s="51" t="s">
        <v>144</v>
      </c>
      <c r="H165" s="836"/>
      <c r="I165" s="836"/>
      <c r="J165" s="836"/>
      <c r="K165" s="836">
        <f ca="1">IFERROR((K156/MIN(K157,1))*2,0)</f>
        <v>0</v>
      </c>
      <c r="L165" s="836"/>
      <c r="M165" s="836"/>
      <c r="N165" s="836">
        <f ca="1">IFERROR((N156/MIN(N157,1))*2,0)</f>
        <v>0</v>
      </c>
      <c r="O165" s="836"/>
      <c r="P165" s="836"/>
      <c r="Q165" s="836">
        <f ca="1">IFERROR((Q156/MIN(Q157,1))*2,0)</f>
        <v>0</v>
      </c>
      <c r="R165" s="836"/>
      <c r="S165" s="836"/>
      <c r="T165" s="836">
        <f ca="1">IFERROR((T156/MIN(T157,1))*2,0)</f>
        <v>0</v>
      </c>
      <c r="U165" s="836"/>
      <c r="V165" s="836"/>
      <c r="W165" s="836">
        <f ca="1">IFERROR((W156/MIN(W157,1))*2,0)</f>
        <v>0</v>
      </c>
      <c r="X165" s="1469"/>
      <c r="Y165" s="36"/>
      <c r="Z165" s="36"/>
      <c r="AA165" s="36"/>
      <c r="AB165" s="36"/>
      <c r="AC165" s="36"/>
      <c r="AD165" s="36"/>
      <c r="AE165" s="36"/>
      <c r="AF165" s="36"/>
      <c r="AG165" s="36"/>
      <c r="AH165" s="36"/>
      <c r="AI165" s="36"/>
      <c r="AJ165" s="36"/>
      <c r="AK165" s="36"/>
      <c r="AL165" s="36"/>
      <c r="AM165" s="36"/>
      <c r="AN165" s="36"/>
    </row>
    <row r="166" spans="6:40" ht="15" customHeight="1" outlineLevel="1">
      <c r="F166" s="1649"/>
      <c r="G166" s="51" t="s">
        <v>145</v>
      </c>
      <c r="H166" s="837"/>
      <c r="I166" s="837"/>
      <c r="J166" s="837"/>
      <c r="K166" s="837">
        <f ca="1">IFERROR(MAX(K156,ROUNDUP(((K165*INDEX(INDIRECT("'"&amp;$H$3&amp;"'!$H$43:$H$78"),MATCH(INDIRECT("'"&amp;$H$3&amp;"'!K136")&amp;"Average duration (hrs) per trip",INDIRECT("'"&amp;$H$3&amp;"'!$F$43:$F$78"),0)))+(K156*((1/60)*(INDIRECT("'"&amp;$H$3&amp;"'!K148")+INDIRECT("'"&amp;$H$3&amp;"'!$H$19")*(INDIRECT("'"&amp;$H$3&amp;"'!K149")+(INDIRECT("'"&amp;$H$3&amp;"'!K150")*('1_Outputs'!K$149/INDIRECT("'"&amp;$H$3&amp;"'!K$96")/INDIRECT("'"&amp;$H$3&amp;"'!$H$19"))))))))/INDIRECT("'"&amp;$H$3&amp;"'!$H$10"),0)),0)</f>
        <v>0</v>
      </c>
      <c r="L166" s="837"/>
      <c r="M166" s="837"/>
      <c r="N166" s="837">
        <f ca="1">IFERROR(MAX(N156,ROUNDUP(((N165*INDEX(INDIRECT("'"&amp;$H$3&amp;"'!$H$43:$H$78"),MATCH(INDIRECT("'"&amp;$H$3&amp;"'!N136")&amp;"Average duration (hrs) per trip",INDIRECT("'"&amp;$H$3&amp;"'!$F$43:$F$78"),0)))+(N156*((1/60)*(INDIRECT("'"&amp;$H$3&amp;"'!N148")+INDIRECT("'"&amp;$H$3&amp;"'!$H$19")*(INDIRECT("'"&amp;$H$3&amp;"'!N149")+(INDIRECT("'"&amp;$H$3&amp;"'!N150")*('1_Outputs'!N$149/INDIRECT("'"&amp;$H$3&amp;"'!N$96")/INDIRECT("'"&amp;$H$3&amp;"'!$H$19"))))))))/INDIRECT("'"&amp;$H$3&amp;"'!$H$10"),0)),0)</f>
        <v>0</v>
      </c>
      <c r="O166" s="837"/>
      <c r="P166" s="837"/>
      <c r="Q166" s="837">
        <f ca="1">IFERROR(MAX(Q156,ROUNDUP(((Q165*INDEX(INDIRECT("'"&amp;$H$3&amp;"'!$H$43:$H$78"),MATCH(INDIRECT("'"&amp;$H$3&amp;"'!Q136")&amp;"Average duration (hrs) per trip",INDIRECT("'"&amp;$H$3&amp;"'!$F$43:$F$78"),0)))+(Q156*((1/60)*(INDIRECT("'"&amp;$H$3&amp;"'!Q148")+INDIRECT("'"&amp;$H$3&amp;"'!$H$19")*(INDIRECT("'"&amp;$H$3&amp;"'!Q149")+(INDIRECT("'"&amp;$H$3&amp;"'!Q150")*('1_Outputs'!Q$149/INDIRECT("'"&amp;$H$3&amp;"'!Q$96")/INDIRECT("'"&amp;$H$3&amp;"'!$H$19"))))))))/INDIRECT("'"&amp;$H$3&amp;"'!$H$10"),0)),0)</f>
        <v>0</v>
      </c>
      <c r="R166" s="837"/>
      <c r="S166" s="837"/>
      <c r="T166" s="837">
        <f ca="1">IFERROR(MAX(T156,ROUNDUP(((T165*INDEX(INDIRECT("'"&amp;$H$3&amp;"'!$H$43:$H$78"),MATCH(INDIRECT("'"&amp;$H$3&amp;"'!T136")&amp;"Average duration (hrs) per trip",INDIRECT("'"&amp;$H$3&amp;"'!$F$43:$F$78"),0)))+(T156*((1/60)*(INDIRECT("'"&amp;$H$3&amp;"'!T148")+INDIRECT("'"&amp;$H$3&amp;"'!$H$19")*(INDIRECT("'"&amp;$H$3&amp;"'!T149")+(INDIRECT("'"&amp;$H$3&amp;"'!T150")*('1_Outputs'!T$149/INDIRECT("'"&amp;$H$3&amp;"'!T$96")/INDIRECT("'"&amp;$H$3&amp;"'!$H$19"))))))))/INDIRECT("'"&amp;$H$3&amp;"'!$H$10"),0)),0)</f>
        <v>0</v>
      </c>
      <c r="U166" s="837"/>
      <c r="V166" s="837"/>
      <c r="W166" s="837">
        <f ca="1">IFERROR(MAX(W156,ROUNDUP(((W165*INDEX(INDIRECT("'"&amp;$H$3&amp;"'!$H$43:$H$78"),MATCH(INDIRECT("'"&amp;$H$3&amp;"'!W136")&amp;"Average duration (hrs) per trip",INDIRECT("'"&amp;$H$3&amp;"'!$F$43:$F$78"),0)))+(W156*((1/60)*(INDIRECT("'"&amp;$H$3&amp;"'!W148")+INDIRECT("'"&amp;$H$3&amp;"'!$H$19")*(INDIRECT("'"&amp;$H$3&amp;"'!W149")+(INDIRECT("'"&amp;$H$3&amp;"'!W150")*('1_Outputs'!W$149/INDIRECT("'"&amp;$H$3&amp;"'!W$96")/INDIRECT("'"&amp;$H$3&amp;"'!$H$19"))))))))/INDIRECT("'"&amp;$H$3&amp;"'!$H$10"),0)),0)</f>
        <v>0</v>
      </c>
      <c r="X166" s="1468"/>
      <c r="Y166" s="36"/>
      <c r="Z166" s="36"/>
      <c r="AA166" s="36"/>
      <c r="AB166" s="36"/>
      <c r="AC166" s="36"/>
      <c r="AD166" s="36"/>
      <c r="AE166" s="36"/>
      <c r="AF166" s="36"/>
      <c r="AG166" s="36"/>
      <c r="AH166" s="36"/>
      <c r="AI166" s="36"/>
      <c r="AJ166" s="36"/>
      <c r="AK166" s="36"/>
      <c r="AL166" s="36"/>
      <c r="AM166" s="36"/>
      <c r="AN166" s="36"/>
    </row>
    <row r="167" spans="6:40" ht="15" customHeight="1" outlineLevel="1">
      <c r="F167" s="1647" t="s">
        <v>148</v>
      </c>
      <c r="G167" s="1614"/>
      <c r="H167" s="848"/>
      <c r="I167" s="848"/>
      <c r="J167" s="848"/>
      <c r="K167" s="848"/>
      <c r="L167" s="848"/>
      <c r="M167" s="848"/>
      <c r="N167" s="848"/>
      <c r="O167" s="848"/>
      <c r="P167" s="848"/>
      <c r="Q167" s="848"/>
      <c r="R167" s="1646"/>
      <c r="S167" s="1646"/>
      <c r="T167" s="848"/>
      <c r="U167" s="1646"/>
      <c r="V167" s="1646"/>
      <c r="W167" s="848"/>
      <c r="X167" s="1471"/>
      <c r="Y167" s="36"/>
      <c r="Z167" s="36"/>
      <c r="AA167" s="36"/>
      <c r="AB167" s="36"/>
      <c r="AC167" s="36"/>
      <c r="AD167" s="36"/>
      <c r="AE167" s="36"/>
      <c r="AF167" s="36"/>
      <c r="AG167" s="36"/>
      <c r="AH167" s="36"/>
      <c r="AI167" s="36"/>
      <c r="AJ167" s="36"/>
      <c r="AK167" s="242"/>
      <c r="AL167" s="36"/>
      <c r="AM167" s="36"/>
      <c r="AN167" s="36"/>
    </row>
    <row r="168" spans="6:40" ht="15" customHeight="1" outlineLevel="1">
      <c r="F168" s="1653"/>
      <c r="G168" s="51" t="s">
        <v>151</v>
      </c>
      <c r="H168" s="836"/>
      <c r="I168" s="836"/>
      <c r="J168" s="836"/>
      <c r="K168" s="836">
        <f ca="1">IFERROR(IF(COUNTIF(INDIRECT("'"&amp;$H$3&amp;"'!K136"),"Public Transport*")&lt;1,ROUND(INDIRECT("'"&amp;$H$3&amp;"'!K$95")*INDIRECT("'"&amp;$H$3&amp;"'!K135"),0),0),0)</f>
        <v>1</v>
      </c>
      <c r="L168" s="836"/>
      <c r="M168" s="836"/>
      <c r="N168" s="836">
        <f ca="1">IFERROR(IF(COUNTIF(INDIRECT("'"&amp;$H$3&amp;"'!N136"),"Public Transport*")&lt;1,ROUND(INDIRECT("'"&amp;$H$3&amp;"'!N$95")*INDIRECT("'"&amp;$H$3&amp;"'!N135"),0),0),0)</f>
        <v>345</v>
      </c>
      <c r="O168" s="836"/>
      <c r="P168" s="836"/>
      <c r="Q168" s="836">
        <f ca="1">IFERROR(IF(COUNTIF(INDIRECT("'"&amp;$H$3&amp;"'!Q136"),"Public Transport*")&lt;1,ROUND(INDIRECT("'"&amp;$H$3&amp;"'!Q$95")*INDIRECT("'"&amp;$H$3&amp;"'!Q135"),0),0),0)</f>
        <v>0</v>
      </c>
      <c r="R168" s="1646"/>
      <c r="S168" s="1646"/>
      <c r="T168" s="836">
        <f ca="1">IFERROR(IF(COUNTIF(INDIRECT("'"&amp;$H$3&amp;"'!T136"),"Public Transport*")&lt;1,ROUND(INDIRECT("'"&amp;$H$3&amp;"'!T$95")*INDIRECT("'"&amp;$H$3&amp;"'!T135"),0),0),0)</f>
        <v>0</v>
      </c>
      <c r="U168" s="1646"/>
      <c r="V168" s="1646"/>
      <c r="W168" s="836">
        <f ca="1">IFERROR(IF(COUNTIF(INDIRECT("'"&amp;$H$3&amp;"'!W136"),"Public Transport*")&lt;1,ROUND(INDIRECT("'"&amp;$H$3&amp;"'!W$95")*INDIRECT("'"&amp;$H$3&amp;"'!W135"),0),0),0)</f>
        <v>0</v>
      </c>
      <c r="X168" s="1469"/>
      <c r="Y168" s="36"/>
      <c r="Z168" s="36"/>
      <c r="AA168" s="36"/>
      <c r="AB168" s="36"/>
      <c r="AC168" s="36"/>
      <c r="AD168" s="36"/>
      <c r="AE168" s="36"/>
      <c r="AF168" s="36"/>
      <c r="AG168" s="36"/>
      <c r="AH168" s="36"/>
      <c r="AI168" s="36"/>
      <c r="AJ168" s="36"/>
      <c r="AK168" s="242"/>
      <c r="AL168" s="36"/>
      <c r="AM168" s="36"/>
      <c r="AN168" s="36"/>
    </row>
    <row r="169" spans="6:40" ht="15" customHeight="1" outlineLevel="1">
      <c r="F169" s="52"/>
      <c r="G169" s="51" t="s">
        <v>58</v>
      </c>
      <c r="H169" s="837"/>
      <c r="I169" s="837"/>
      <c r="J169" s="837"/>
      <c r="K169" s="837">
        <f ca="1">IFERROR(IF(INDIRECT("'"&amp;$H$3&amp;"'!K143")="Route-based",K178*K179,IF(INDIRECT("'"&amp;$H$3&amp;"'!K143")="Point-to-point",K183*K184,0)),0)</f>
        <v>99416</v>
      </c>
      <c r="L169" s="837"/>
      <c r="M169" s="837"/>
      <c r="N169" s="837">
        <f ca="1">IFERROR(IF(INDIRECT("'"&amp;$H$3&amp;"'!N143")="Route-based",N178*N179,IF(INDIRECT("'"&amp;$H$3&amp;"'!N143")="Point-to-point",N183*N184,0)),0)</f>
        <v>66174.585142546595</v>
      </c>
      <c r="O169" s="837"/>
      <c r="P169" s="837"/>
      <c r="Q169" s="837">
        <f ca="1">IFERROR(IF(INDIRECT("'"&amp;$H$3&amp;"'!Q143")="Route-based",Q178*Q179,IF(INDIRECT("'"&amp;$H$3&amp;"'!Q143")="Point-to-point",Q183*Q184,0)),0)</f>
        <v>0</v>
      </c>
      <c r="R169" s="1650"/>
      <c r="S169" s="1650"/>
      <c r="T169" s="837">
        <f ca="1">IFERROR(IF(INDIRECT("'"&amp;$H$3&amp;"'!T143")="Route-based",T178*T179,IF(INDIRECT("'"&amp;$H$3&amp;"'!T143")="Point-to-point",T183*T184,0)),0)</f>
        <v>0</v>
      </c>
      <c r="U169" s="1650"/>
      <c r="V169" s="1650"/>
      <c r="W169" s="837">
        <f ca="1">IFERROR(IF(INDIRECT("'"&amp;$H$3&amp;"'!W143")="Route-based",W178*W179,IF(INDIRECT("'"&amp;$H$3&amp;"'!W143")="Point-to-point",W183*W184,0)),0)</f>
        <v>0</v>
      </c>
      <c r="X169" s="1472"/>
      <c r="Y169" s="36"/>
      <c r="Z169" s="36"/>
      <c r="AA169" s="36"/>
      <c r="AB169" s="36"/>
      <c r="AC169" s="36"/>
      <c r="AD169" s="36"/>
      <c r="AE169" s="36"/>
      <c r="AF169" s="36"/>
      <c r="AG169" s="36"/>
      <c r="AH169" s="36"/>
      <c r="AI169" s="36"/>
      <c r="AJ169" s="36"/>
      <c r="AK169" s="36"/>
      <c r="AL169" s="36"/>
      <c r="AM169" s="36"/>
      <c r="AN169" s="36"/>
    </row>
    <row r="170" spans="6:40" ht="15" customHeight="1" outlineLevel="1">
      <c r="F170" s="52"/>
      <c r="G170" s="51" t="s">
        <v>389</v>
      </c>
      <c r="H170" s="837"/>
      <c r="I170" s="837"/>
      <c r="J170" s="837"/>
      <c r="K170" s="837">
        <f ca="1">IFERROR(IF(INDIRECT("'"&amp;$H$3&amp;"'!K143")="Route-based",K178,IF(INDIRECT("'"&amp;$H$3&amp;"'!K143")="Point-to-point",K183,0)),"")</f>
        <v>172</v>
      </c>
      <c r="L170" s="837"/>
      <c r="M170" s="837"/>
      <c r="N170" s="837">
        <f ca="1">IFERROR(IF(INDIRECT("'"&amp;$H$3&amp;"'!N143")="Route-based",N178,IF(INDIRECT("'"&amp;$H$3&amp;"'!N143")="Point-to-point",N183,0)),"")</f>
        <v>163</v>
      </c>
      <c r="O170" s="837"/>
      <c r="P170" s="837"/>
      <c r="Q170" s="837">
        <f ca="1">IFERROR(IF(INDIRECT("'"&amp;$H$3&amp;"'!Q143")="Route-based",Q178,IF(INDIRECT("'"&amp;$H$3&amp;"'!Q143")="Point-to-point",Q183,0)),"")</f>
        <v>0</v>
      </c>
      <c r="R170" s="1650"/>
      <c r="S170" s="1650"/>
      <c r="T170" s="837">
        <f ca="1">IFERROR(IF(INDIRECT("'"&amp;$H$3&amp;"'!T143")="Route-based",T178,IF(INDIRECT("'"&amp;$H$3&amp;"'!T143")="Point-to-point",T183,0)),"")</f>
        <v>0</v>
      </c>
      <c r="U170" s="1650"/>
      <c r="V170" s="1650"/>
      <c r="W170" s="837">
        <f ca="1">IFERROR(IF(INDIRECT("'"&amp;$H$3&amp;"'!W143")="Route-based",W178,IF(INDIRECT("'"&amp;$H$3&amp;"'!W143")="Point-to-point",W183,0)),"")</f>
        <v>0</v>
      </c>
      <c r="X170" s="1472"/>
      <c r="Y170" s="36"/>
      <c r="Z170" s="36"/>
      <c r="AA170" s="36"/>
      <c r="AB170" s="36"/>
      <c r="AC170" s="36"/>
      <c r="AD170" s="36"/>
      <c r="AE170" s="36"/>
      <c r="AF170" s="36"/>
      <c r="AG170" s="36"/>
      <c r="AH170" s="36"/>
      <c r="AI170" s="36"/>
      <c r="AJ170" s="36"/>
      <c r="AK170" s="36"/>
      <c r="AL170" s="36"/>
      <c r="AM170" s="36"/>
      <c r="AN170" s="36"/>
    </row>
    <row r="171" spans="6:40" ht="15" customHeight="1" outlineLevel="1">
      <c r="F171" s="52"/>
      <c r="G171" s="51" t="s">
        <v>49</v>
      </c>
      <c r="H171" s="837"/>
      <c r="I171" s="837"/>
      <c r="J171" s="837"/>
      <c r="K171" s="837">
        <f ca="1">IFERROR(IF(INDIRECT("'"&amp;$H$3&amp;"'!K143")="Route-based",ROUND(K180*K178/INDIRECT("'"&amp;$H$3&amp;"'!$H$10"),0),IF(INDIRECT("'"&amp;$H$3&amp;"'!K143")="Point-to-point",ROUND(((K183*((1/60)*(INDIRECT("'"&amp;$H$3&amp;"'!K148")+INDIRECT("'"&amp;$H$3&amp;"'!$H$19")*(INDIRECT("'"&amp;$H$3&amp;"'!K149")+(INDIRECT("'"&amp;$H$3&amp;"'!K150")*(MIN(('1_Outputs'!K$149/INDIRECT("'"&amp;$H$3&amp;"'!K$96")),INDEX(INDIRECT("'"&amp;$H$3&amp;"'!$H$49:$H$78"),MATCH(INDIRECT("'"&amp;$H$3&amp;"'!K136")&amp;"Delivery Capacity (m^3)",INDIRECT("'"&amp;$H$3&amp;"'!$F$49:$F$78"),0)))/INDIRECT("'"&amp;$H$3&amp;"'!$H$19")))))))+(K169/INDIRECT("'"&amp;$H$3&amp;"'!K152")))/INDIRECT("'"&amp;$H$3&amp;"'!$H$10"),0),0)),0)</f>
        <v>146</v>
      </c>
      <c r="L171" s="837"/>
      <c r="M171" s="837"/>
      <c r="N171" s="837">
        <f ca="1">IFERROR(IF(INDIRECT("'"&amp;$H$3&amp;"'!N143")="Route-based",ROUND(N180*N178/INDIRECT("'"&amp;$H$3&amp;"'!$H$10"),0),IF(INDIRECT("'"&amp;$H$3&amp;"'!N143")="Point-to-point",ROUND(((N183*((1/60)*(INDIRECT("'"&amp;$H$3&amp;"'!N148")+INDIRECT("'"&amp;$H$3&amp;"'!$H$19")*(INDIRECT("'"&amp;$H$3&amp;"'!N149")+(INDIRECT("'"&amp;$H$3&amp;"'!N150")*(MIN(('1_Outputs'!N$149/INDIRECT("'"&amp;$H$3&amp;"'!N$96")),INDEX(INDIRECT("'"&amp;$H$3&amp;"'!$H$49:$H$78"),MATCH(INDIRECT("'"&amp;$H$3&amp;"'!N136")&amp;"Delivery Capacity (m^3)",INDIRECT("'"&amp;$H$3&amp;"'!$F$49:$F$78"),0)))/INDIRECT("'"&amp;$H$3&amp;"'!$H$19")))))))+(N169/INDIRECT("'"&amp;$H$3&amp;"'!N152")))/INDIRECT("'"&amp;$H$3&amp;"'!$H$10"),0),0)),0)</f>
        <v>240</v>
      </c>
      <c r="O171" s="837"/>
      <c r="P171" s="837"/>
      <c r="Q171" s="837">
        <f ca="1">IFERROR(IF(INDIRECT("'"&amp;$H$3&amp;"'!Q143")="Route-based",ROUND(Q180*Q178/INDIRECT("'"&amp;$H$3&amp;"'!$H$10"),0),IF(INDIRECT("'"&amp;$H$3&amp;"'!Q143")="Point-to-point",ROUND(((Q183*((1/60)*(INDIRECT("'"&amp;$H$3&amp;"'!Q148")+INDIRECT("'"&amp;$H$3&amp;"'!$H$19")*(INDIRECT("'"&amp;$H$3&amp;"'!Q149")+(INDIRECT("'"&amp;$H$3&amp;"'!Q150")*(MIN(('1_Outputs'!Q$149/INDIRECT("'"&amp;$H$3&amp;"'!Q$96")),INDEX(INDIRECT("'"&amp;$H$3&amp;"'!$H$49:$H$78"),MATCH(INDIRECT("'"&amp;$H$3&amp;"'!Q136")&amp;"Delivery Capacity (m^3)",INDIRECT("'"&amp;$H$3&amp;"'!$F$49:$F$78"),0)))/INDIRECT("'"&amp;$H$3&amp;"'!$H$19")))))))+(Q169/INDIRECT("'"&amp;$H$3&amp;"'!Q152")))/INDIRECT("'"&amp;$H$3&amp;"'!$H$10"),0),0)),0)</f>
        <v>0</v>
      </c>
      <c r="R171" s="837"/>
      <c r="S171" s="837"/>
      <c r="T171" s="837">
        <f ca="1">IFERROR(IF(INDIRECT("'"&amp;$H$3&amp;"'!T143")="Route-based",ROUND(T180*T178/INDIRECT("'"&amp;$H$3&amp;"'!$H$10"),0),IF(INDIRECT("'"&amp;$H$3&amp;"'!T143")="Point-to-point",ROUND(((T183*((1/60)*(INDIRECT("'"&amp;$H$3&amp;"'!T148")+INDIRECT("'"&amp;$H$3&amp;"'!$H$19")*(INDIRECT("'"&amp;$H$3&amp;"'!T149")+(INDIRECT("'"&amp;$H$3&amp;"'!T150")*(MIN(('1_Outputs'!T$149/INDIRECT("'"&amp;$H$3&amp;"'!T$96")),INDEX(INDIRECT("'"&amp;$H$3&amp;"'!$H$49:$H$78"),MATCH(INDIRECT("'"&amp;$H$3&amp;"'!T136")&amp;"Delivery Capacity (m^3)",INDIRECT("'"&amp;$H$3&amp;"'!$F$49:$F$78"),0)))/INDIRECT("'"&amp;$H$3&amp;"'!$H$19")))))))+(T169/INDIRECT("'"&amp;$H$3&amp;"'!T152")))/INDIRECT("'"&amp;$H$3&amp;"'!$H$10"),0),0)),0)</f>
        <v>0</v>
      </c>
      <c r="U171" s="837"/>
      <c r="V171" s="837"/>
      <c r="W171" s="837">
        <f ca="1">IFERROR(IF(INDIRECT("'"&amp;$H$3&amp;"'!W143")="Route-based",ROUND(W180*W178/INDIRECT("'"&amp;$H$3&amp;"'!$H$10"),0),IF(INDIRECT("'"&amp;$H$3&amp;"'!W143")="Point-to-point",ROUND(((W183*((1/60)*(INDIRECT("'"&amp;$H$3&amp;"'!W148")+INDIRECT("'"&amp;$H$3&amp;"'!$H$19")*(INDIRECT("'"&amp;$H$3&amp;"'!W149")+(INDIRECT("'"&amp;$H$3&amp;"'!W150")*(MIN(('1_Outputs'!W$149/INDIRECT("'"&amp;$H$3&amp;"'!W$96")),INDEX(INDIRECT("'"&amp;$H$3&amp;"'!$H$49:$H$78"),MATCH(INDIRECT("'"&amp;$H$3&amp;"'!W136")&amp;"Delivery Capacity (m^3)",INDIRECT("'"&amp;$H$3&amp;"'!$F$49:$F$78"),0)))/INDIRECT("'"&amp;$H$3&amp;"'!$H$19")))))))+(W169/INDIRECT("'"&amp;$H$3&amp;"'!W152")))/INDIRECT("'"&amp;$H$3&amp;"'!$H$10"),0),0)),0)</f>
        <v>0</v>
      </c>
      <c r="X171" s="1472"/>
      <c r="Y171" s="36"/>
      <c r="Z171" s="36"/>
      <c r="AA171" s="36"/>
      <c r="AB171" s="36"/>
      <c r="AC171" s="36"/>
      <c r="AD171" s="36"/>
      <c r="AE171" s="36"/>
      <c r="AF171" s="36"/>
      <c r="AG171" s="36"/>
      <c r="AH171" s="36"/>
      <c r="AI171" s="36"/>
      <c r="AJ171" s="36"/>
      <c r="AK171" s="36"/>
      <c r="AL171" s="36"/>
      <c r="AM171" s="36"/>
      <c r="AN171" s="36"/>
    </row>
    <row r="172" spans="6:40" ht="15" customHeight="1" outlineLevel="1">
      <c r="F172" s="52"/>
      <c r="G172" s="51" t="s">
        <v>189</v>
      </c>
      <c r="H172" s="839"/>
      <c r="I172" s="839"/>
      <c r="J172" s="839"/>
      <c r="K172" s="839">
        <f ca="1">IFERROR(IF(INDIRECT("'"&amp;$H$3&amp;"'!K143")="Route-based",('1_Outputs'!K$149*K168)/(K178*INDEX(INDIRECT("'"&amp;$H$3&amp;"'!$H$49:$H$78"),MATCH(INDIRECT("'"&amp;$H$3&amp;"'!K136")&amp;"Delivery Capacity (m^3)",INDIRECT("'"&amp;$H$3&amp;"'!$F$49:$F$78"),0))),IF(INDIRECT("'"&amp;$H$3&amp;"'!K143")="Point-to-point",('1_Outputs'!K$149*K168)/(K183*INDEX(INDIRECT("'"&amp;$H$3&amp;"'!$H$49:$H$78"),MATCH(INDIRECT("'"&amp;$H$3&amp;"'!K136")&amp;"Delivery Capacity (m^3)",INDIRECT("'"&amp;$H$3&amp;"'!$F$49:$F$78"),0))),0)),0)</f>
        <v>0.99454941860465118</v>
      </c>
      <c r="L172" s="839"/>
      <c r="M172" s="839"/>
      <c r="N172" s="839">
        <f ca="1">IFERROR(IF(INDIRECT("'"&amp;$H$3&amp;"'!N143")="Route-based",('1_Outputs'!N$149*N168)/(N178*INDEX(INDIRECT("'"&amp;$H$3&amp;"'!$H$49:$H$78"),MATCH(INDIRECT("'"&amp;$H$3&amp;"'!N136")&amp;"Delivery Capacity (m^3)",INDIRECT("'"&amp;$H$3&amp;"'!$F$49:$F$78"),0))),IF(INDIRECT("'"&amp;$H$3&amp;"'!N143")="Point-to-point",('1_Outputs'!N$149*N168)/(N183*INDEX(INDIRECT("'"&amp;$H$3&amp;"'!$H$49:$H$78"),MATCH(INDIRECT("'"&amp;$H$3&amp;"'!N136")&amp;"Delivery Capacity (m^3)",INDIRECT("'"&amp;$H$3&amp;"'!$F$49:$F$78"),0))),0)),0)</f>
        <v>0.99948875255623726</v>
      </c>
      <c r="O172" s="839"/>
      <c r="P172" s="839"/>
      <c r="Q172" s="839">
        <f ca="1">IFERROR(IF(INDIRECT("'"&amp;$H$3&amp;"'!Q143")="Route-based",('1_Outputs'!Q$149*Q168)/(Q178*INDEX(INDIRECT("'"&amp;$H$3&amp;"'!$H$49:$H$78"),MATCH(INDIRECT("'"&amp;$H$3&amp;"'!Q136")&amp;"Delivery Capacity (m^3)",INDIRECT("'"&amp;$H$3&amp;"'!$F$49:$F$78"),0))),IF(INDIRECT("'"&amp;$H$3&amp;"'!Q143")="Point-to-point",('1_Outputs'!Q$149*Q168)/(Q183*INDEX(INDIRECT("'"&amp;$H$3&amp;"'!$H$49:$H$78"),MATCH(INDIRECT("'"&amp;$H$3&amp;"'!Q136")&amp;"Delivery Capacity (m^3)",INDIRECT("'"&amp;$H$3&amp;"'!$F$49:$F$78"),0))),0)),0)</f>
        <v>0</v>
      </c>
      <c r="R172" s="839"/>
      <c r="S172" s="839"/>
      <c r="T172" s="839">
        <f ca="1">IFERROR(IF(INDIRECT("'"&amp;$H$3&amp;"'!T143")="Route-based",('1_Outputs'!T$149*T168)/(T178*INDEX(INDIRECT("'"&amp;$H$3&amp;"'!$H$49:$H$78"),MATCH(INDIRECT("'"&amp;$H$3&amp;"'!T136")&amp;"Delivery Capacity (m^3)",INDIRECT("'"&amp;$H$3&amp;"'!$F$49:$F$78"),0))),IF(INDIRECT("'"&amp;$H$3&amp;"'!T143")="Point-to-point",('1_Outputs'!T$149*T168)/(T183*INDEX(INDIRECT("'"&amp;$H$3&amp;"'!$H$49:$H$78"),MATCH(INDIRECT("'"&amp;$H$3&amp;"'!T136")&amp;"Delivery Capacity (m^3)",INDIRECT("'"&amp;$H$3&amp;"'!$F$49:$F$78"),0))),0)),0)</f>
        <v>0</v>
      </c>
      <c r="U172" s="839"/>
      <c r="V172" s="839"/>
      <c r="W172" s="839">
        <f ca="1">IFERROR(IF(INDIRECT("'"&amp;$H$3&amp;"'!W143")="Route-based",('1_Outputs'!W$149*W168)/(W178*INDEX(INDIRECT("'"&amp;$H$3&amp;"'!$H$49:$H$78"),MATCH(INDIRECT("'"&amp;$H$3&amp;"'!W136")&amp;"Delivery Capacity (m^3)",INDIRECT("'"&amp;$H$3&amp;"'!$F$49:$F$78"),0))),IF(INDIRECT("'"&amp;$H$3&amp;"'!W143")="Point-to-point",('1_Outputs'!W$149*W168)/(W183*INDEX(INDIRECT("'"&amp;$H$3&amp;"'!$H$49:$H$78"),MATCH(INDIRECT("'"&amp;$H$3&amp;"'!W136")&amp;"Delivery Capacity (m^3)",INDIRECT("'"&amp;$H$3&amp;"'!$F$49:$F$78"),0))),0)),0)</f>
        <v>0</v>
      </c>
      <c r="X172" s="1473"/>
      <c r="Y172" s="36"/>
      <c r="Z172" s="36"/>
      <c r="AA172" s="36"/>
      <c r="AB172" s="36"/>
      <c r="AC172" s="36"/>
      <c r="AD172" s="36"/>
      <c r="AE172" s="36"/>
      <c r="AF172" s="36"/>
      <c r="AG172" s="36"/>
      <c r="AH172" s="36"/>
      <c r="AI172" s="36"/>
      <c r="AJ172" s="36"/>
      <c r="AK172" s="36" t="s">
        <v>198</v>
      </c>
      <c r="AL172" s="36"/>
      <c r="AM172" s="36"/>
      <c r="AN172" s="36"/>
    </row>
    <row r="173" spans="6:40" ht="15" customHeight="1" outlineLevel="1">
      <c r="F173" s="52"/>
      <c r="G173" s="51" t="s">
        <v>201</v>
      </c>
      <c r="H173" s="839"/>
      <c r="I173" s="839"/>
      <c r="J173" s="839"/>
      <c r="K173" s="839">
        <f ca="1">IFERROR((K171+IF(INDIRECT("'"&amp;$H$3&amp;"'!K205")="Yes",K281,0)+IF(INDIRECT("'"&amp;$H$3&amp;"'!K269")="Yes",K370,0))/(INDIRECT("'"&amp;$H$3&amp;"'!K140")*INDIRECT("'"&amp;$H$3&amp;"'!$H$9")),0)</f>
        <v>0.60833333333333328</v>
      </c>
      <c r="L173" s="839"/>
      <c r="M173" s="839"/>
      <c r="N173" s="1821">
        <f ca="1">IFERROR((N171+IF(INDIRECT("'"&amp;$H$3&amp;"'!N205")="Yes",N281,0)+IF(INDIRECT("'"&amp;$H$3&amp;"'!N269")="Yes",N370,0))/(INDIRECT("'"&amp;$H$3&amp;"'!N140")*INDIRECT("'"&amp;$H$3&amp;"'!$H$9")),0)</f>
        <v>0.66666666666666663</v>
      </c>
      <c r="O173" s="839"/>
      <c r="P173" s="839"/>
      <c r="Q173" s="839">
        <f ca="1">IFERROR((Q171+IF(INDIRECT("'"&amp;$H$3&amp;"'!Q205")="Yes",Q281,0)+IF(INDIRECT("'"&amp;$H$3&amp;"'!Q269")="Yes",Q370,0))/(INDIRECT("'"&amp;$H$3&amp;"'!Q140")*INDIRECT("'"&amp;$H$3&amp;"'!$H$9")),0)</f>
        <v>0</v>
      </c>
      <c r="R173" s="839"/>
      <c r="S173" s="839"/>
      <c r="T173" s="839">
        <f ca="1">IFERROR((T171+IF(INDIRECT("'"&amp;$H$3&amp;"'!T205")="Yes",T281,0)+IF(INDIRECT("'"&amp;$H$3&amp;"'!T269")="Yes",T370,0))/(INDIRECT("'"&amp;$H$3&amp;"'!T140")*INDIRECT("'"&amp;$H$3&amp;"'!$H$9")),0)</f>
        <v>0</v>
      </c>
      <c r="U173" s="839"/>
      <c r="V173" s="839"/>
      <c r="W173" s="839">
        <f ca="1">IFERROR((W171+IF(INDIRECT("'"&amp;$H$3&amp;"'!W205")="Yes",W281,0)+IF(INDIRECT("'"&amp;$H$3&amp;"'!W269")="Yes",W370,0))/(INDIRECT("'"&amp;$H$3&amp;"'!W140")*INDIRECT("'"&amp;$H$3&amp;"'!$H$9")),0)</f>
        <v>0</v>
      </c>
      <c r="X173" s="1473"/>
      <c r="Y173" s="36"/>
      <c r="Z173" s="36"/>
      <c r="AA173" s="36"/>
      <c r="AB173" s="36"/>
      <c r="AC173" s="36"/>
      <c r="AD173" s="36"/>
      <c r="AE173" s="36"/>
      <c r="AF173" s="36"/>
      <c r="AG173" s="36"/>
      <c r="AH173" s="36"/>
      <c r="AI173" s="36"/>
      <c r="AJ173" s="36"/>
      <c r="AK173" s="36"/>
      <c r="AL173" s="36"/>
      <c r="AM173" s="36"/>
      <c r="AN173" s="36"/>
    </row>
    <row r="174" spans="6:40" ht="15" customHeight="1" outlineLevel="1">
      <c r="F174" s="52"/>
      <c r="G174" s="1613" t="s">
        <v>133</v>
      </c>
      <c r="H174" s="842"/>
      <c r="I174" s="842"/>
      <c r="J174" s="842"/>
      <c r="K174" s="842"/>
      <c r="L174" s="842"/>
      <c r="M174" s="842"/>
      <c r="N174" s="842"/>
      <c r="O174" s="842"/>
      <c r="P174" s="842"/>
      <c r="Q174" s="842"/>
      <c r="R174" s="1650"/>
      <c r="S174" s="1650"/>
      <c r="T174" s="842"/>
      <c r="U174" s="1650"/>
      <c r="V174" s="1650"/>
      <c r="W174" s="842"/>
      <c r="X174" s="1470"/>
      <c r="Y174" s="36"/>
      <c r="Z174" s="36"/>
      <c r="AA174" s="36"/>
      <c r="AB174" s="36"/>
      <c r="AC174" s="36"/>
      <c r="AD174" s="36"/>
      <c r="AE174" s="36"/>
      <c r="AF174" s="36"/>
      <c r="AG174" s="36"/>
      <c r="AH174" s="36"/>
      <c r="AI174" s="36"/>
      <c r="AJ174" s="36"/>
      <c r="AK174" s="36"/>
      <c r="AL174" s="36"/>
      <c r="AM174" s="36"/>
      <c r="AN174" s="36"/>
    </row>
    <row r="175" spans="6:40" ht="15" customHeight="1" outlineLevel="1">
      <c r="F175" s="52"/>
      <c r="G175" s="51" t="s">
        <v>127</v>
      </c>
      <c r="H175" s="836"/>
      <c r="I175" s="836"/>
      <c r="J175" s="836"/>
      <c r="K175" s="836">
        <f ca="1">IFERROR(INDEX(INDIRECT("'"&amp;$H$3&amp;"'!$H$49:$H$78"),MATCH(INDIRECT("'"&amp;$H$3&amp;"'!K136")&amp;"Delivery Capacity (m^3)",INDIRECT("'"&amp;$H$3&amp;"'!$F$49:$F$78"),0))/('1_Outputs'!K$149/INDIRECT("'"&amp;$H$3&amp;"'!K$96")),0)</f>
        <v>2.3383266350018268E-2</v>
      </c>
      <c r="L175" s="836"/>
      <c r="M175" s="836"/>
      <c r="N175" s="836">
        <f ca="1">IFERROR(INDEX(INDIRECT("'"&amp;$H$3&amp;"'!$H$49:$H$78"),MATCH(INDIRECT("'"&amp;$H$3&amp;"'!N136")&amp;"Delivery Capacity (m^3)",INDIRECT("'"&amp;$H$3&amp;"'!$F$49:$F$78"),0))/(N$149/INDIRECT("'"&amp;$H$3&amp;"'!N$96")),0)</f>
        <v>8.4705882352941178</v>
      </c>
      <c r="O175" s="836"/>
      <c r="P175" s="836"/>
      <c r="Q175" s="836">
        <f ca="1">IFERROR(INDEX(INDIRECT("'"&amp;$H$3&amp;"'!$H$49:$H$78"),MATCH(INDIRECT("'"&amp;$H$3&amp;"'!Q136")&amp;"Delivery Capacity (m^3)",INDIRECT("'"&amp;$H$3&amp;"'!$F$49:$F$78"),0))/('1_Outputs'!Q$149/INDIRECT("'"&amp;$H$3&amp;"'!Q$96")),0)</f>
        <v>0</v>
      </c>
      <c r="R175" s="836"/>
      <c r="S175" s="836"/>
      <c r="T175" s="836">
        <f ca="1">IFERROR(INDEX(INDIRECT("'"&amp;$H$3&amp;"'!$H$49:$H$78"),MATCH(INDIRECT("'"&amp;$H$3&amp;"'!T136")&amp;"Delivery Capacity (m^3)",INDIRECT("'"&amp;$H$3&amp;"'!$F$49:$F$78"),0))/('1_Outputs'!T$149/INDIRECT("'"&amp;$H$3&amp;"'!T$96")),0)</f>
        <v>0</v>
      </c>
      <c r="U175" s="836"/>
      <c r="V175" s="836"/>
      <c r="W175" s="836">
        <f ca="1">IFERROR(INDEX(INDIRECT("'"&amp;$H$3&amp;"'!$H$49:$H$78"),MATCH(INDIRECT("'"&amp;$H$3&amp;"'!W136")&amp;"Delivery Capacity (m^3)",INDIRECT("'"&amp;$H$3&amp;"'!$F$49:$F$78"),0))/('1_Outputs'!W$149/INDIRECT("'"&amp;$H$3&amp;"'!W$96")),0)</f>
        <v>0</v>
      </c>
      <c r="X175" s="1465"/>
      <c r="Y175" s="36"/>
      <c r="Z175" s="36">
        <f ca="1">INDEX(INDIRECT("'"&amp;$H$3&amp;"'!$H$49:$H$78"),MATCH(INDIRECT("'"&amp;$H$3&amp;"'!N136")&amp;"Delivery Capacity (m^3)",INDIRECT("'"&amp;$H$3&amp;"'!$F$49:$F$78"),0))</f>
        <v>12</v>
      </c>
      <c r="AA175" s="36"/>
      <c r="AB175" s="36"/>
      <c r="AC175" s="36"/>
      <c r="AD175" s="36"/>
      <c r="AE175" s="36"/>
      <c r="AF175" s="36"/>
      <c r="AG175" s="36"/>
      <c r="AH175" s="36"/>
      <c r="AI175" s="36"/>
      <c r="AJ175" s="36"/>
      <c r="AK175" s="36"/>
      <c r="AL175" s="36"/>
      <c r="AM175" s="36"/>
      <c r="AN175" s="36"/>
    </row>
    <row r="176" spans="6:40" ht="15" customHeight="1" outlineLevel="1" collapsed="1">
      <c r="F176" s="52"/>
      <c r="G176" s="51" t="s">
        <v>128</v>
      </c>
      <c r="H176" s="836"/>
      <c r="I176" s="836"/>
      <c r="J176" s="836"/>
      <c r="K176" s="836">
        <f ca="1">IFERROR(((INDIRECT("'"&amp;$H$3&amp;"'!K144")*INDIRECT("'"&amp;$H$3&amp;"'!$H$10"))-(2*INDIRECT("'"&amp;$H$3&amp;"'!K$98")/INDIRECT("'"&amp;$H$3&amp;"'!K152"))+(INDIRECT("'"&amp;$H$3&amp;"'!K$99")/INDIRECT("'"&amp;$H$3&amp;"'!K151")))/(((1/60)*(INDIRECT("'"&amp;$H$3&amp;"'!K148")+INDIRECT("'"&amp;$H$3&amp;"'!$H$19")*(INDIRECT("'"&amp;$H$3&amp;"'!K149")+(INDIRECT("'"&amp;$H$3&amp;"'!K150")*('1_Outputs'!K$149/INDIRECT("'"&amp;$H$3&amp;"'!K$96")/INDIRECT("'"&amp;$H$3&amp;"'!$H$19"))))))+(INDIRECT("'"&amp;$H$3&amp;"'!K$99")/INDIRECT("'"&amp;$H$3&amp;"'!K151"))),0)</f>
        <v>10.219999999999999</v>
      </c>
      <c r="L176" s="836"/>
      <c r="M176" s="836"/>
      <c r="N176" s="836">
        <f ca="1">IFERROR(((INDIRECT("'"&amp;$H$3&amp;"'!N144")*INDIRECT("'"&amp;$H$3&amp;"'!$H$10"))-(2*INDIRECT("'"&amp;$H$3&amp;"'!N$98")/INDIRECT("'"&amp;$H$3&amp;"'!N152"))+(INDIRECT("'"&amp;$H$3&amp;"'!N$99")/INDIRECT("'"&amp;$H$3&amp;"'!N151")))/(((1/60)*(INDIRECT("'"&amp;$H$3&amp;"'!N148")+INDIRECT("'"&amp;$H$3&amp;"'!$H$19")*(INDIRECT("'"&amp;$H$3&amp;"'!N149")+(INDIRECT("'"&amp;$H$3&amp;"'!N150")*('1_Outputs'!N$149/INDIRECT("'"&amp;$H$3&amp;"'!N$96")/INDIRECT("'"&amp;$H$3&amp;"'!$H$19"))))))+(INDIRECT("'"&amp;$H$3&amp;"'!N$99")/INDIRECT("'"&amp;$H$3&amp;"'!N151"))),0)</f>
        <v>12.198946602420028</v>
      </c>
      <c r="O176" s="836"/>
      <c r="P176" s="836"/>
      <c r="Q176" s="836">
        <f ca="1">IFERROR(((INDIRECT("'"&amp;$H$3&amp;"'!Q144")*INDIRECT("'"&amp;$H$3&amp;"'!$H$10"))-(2*INDIRECT("'"&amp;$H$3&amp;"'!Q$98")/INDIRECT("'"&amp;$H$3&amp;"'!Q152"))+(INDIRECT("'"&amp;$H$3&amp;"'!Q$99")/INDIRECT("'"&amp;$H$3&amp;"'!Q151")))/(((1/60)*(INDIRECT("'"&amp;$H$3&amp;"'!Q148")+INDIRECT("'"&amp;$H$3&amp;"'!$H$19")*(INDIRECT("'"&amp;$H$3&amp;"'!Q149")+(INDIRECT("'"&amp;$H$3&amp;"'!Q150")*('1_Outputs'!Q$149/INDIRECT("'"&amp;$H$3&amp;"'!Q$96")/INDIRECT("'"&amp;$H$3&amp;"'!$H$19"))))))+(INDIRECT("'"&amp;$H$3&amp;"'!Q$99")/INDIRECT("'"&amp;$H$3&amp;"'!Q151"))),0)</f>
        <v>0</v>
      </c>
      <c r="R176" s="836"/>
      <c r="S176" s="836"/>
      <c r="T176" s="836">
        <f ca="1">IFERROR(((INDIRECT("'"&amp;$H$3&amp;"'!T144")*INDIRECT("'"&amp;$H$3&amp;"'!$H$10"))-(2*INDIRECT("'"&amp;$H$3&amp;"'!T$98")/INDIRECT("'"&amp;$H$3&amp;"'!T152"))+(INDIRECT("'"&amp;$H$3&amp;"'!T$99")/INDIRECT("'"&amp;$H$3&amp;"'!T151")))/(((1/60)*(INDIRECT("'"&amp;$H$3&amp;"'!T148")+INDIRECT("'"&amp;$H$3&amp;"'!$H$19")*(INDIRECT("'"&amp;$H$3&amp;"'!T149")+(INDIRECT("'"&amp;$H$3&amp;"'!T150")*('1_Outputs'!T$149/INDIRECT("'"&amp;$H$3&amp;"'!T$96")/INDIRECT("'"&amp;$H$3&amp;"'!$H$19"))))))+(INDIRECT("'"&amp;$H$3&amp;"'!T$99")/INDIRECT("'"&amp;$H$3&amp;"'!T151"))),0)</f>
        <v>0</v>
      </c>
      <c r="U176" s="836"/>
      <c r="V176" s="836"/>
      <c r="W176" s="836">
        <f ca="1">IFERROR(((INDIRECT("'"&amp;$H$3&amp;"'!W144")*INDIRECT("'"&amp;$H$3&amp;"'!$H$10"))-(2*INDIRECT("'"&amp;$H$3&amp;"'!W$98")/INDIRECT("'"&amp;$H$3&amp;"'!W152"))+(INDIRECT("'"&amp;$H$3&amp;"'!W$99")/INDIRECT("'"&amp;$H$3&amp;"'!W151")))/(((1/60)*(INDIRECT("'"&amp;$H$3&amp;"'!W148")+INDIRECT("'"&amp;$H$3&amp;"'!$H$19")*(INDIRECT("'"&amp;$H$3&amp;"'!W149")+(INDIRECT("'"&amp;$H$3&amp;"'!W150")*('1_Outputs'!W$149/INDIRECT("'"&amp;$H$3&amp;"'!W$96")/INDIRECT("'"&amp;$H$3&amp;"'!$H$19"))))))+(INDIRECT("'"&amp;$H$3&amp;"'!W$99")/INDIRECT("'"&amp;$H$3&amp;"'!W151"))),0)</f>
        <v>0</v>
      </c>
      <c r="X176" s="1465"/>
      <c r="Y176" s="36"/>
      <c r="Z176" s="36"/>
      <c r="AA176" s="36"/>
      <c r="AB176" s="36"/>
      <c r="AC176" s="36"/>
      <c r="AD176" s="36"/>
      <c r="AE176" s="36"/>
      <c r="AF176" s="36"/>
      <c r="AG176" s="36"/>
      <c r="AH176" s="36"/>
      <c r="AI176" s="36"/>
      <c r="AJ176" s="36"/>
      <c r="AK176" s="36"/>
      <c r="AL176" s="36"/>
      <c r="AM176" s="36"/>
      <c r="AN176" s="36"/>
    </row>
    <row r="177" spans="6:40" ht="15" customHeight="1" outlineLevel="1">
      <c r="F177" s="52"/>
      <c r="G177" s="51" t="s">
        <v>129</v>
      </c>
      <c r="H177" s="836"/>
      <c r="I177" s="836"/>
      <c r="J177" s="836"/>
      <c r="K177" s="836">
        <f ca="1">IFERROR(MIN(K176,K175),0)</f>
        <v>2.3383266350018268E-2</v>
      </c>
      <c r="L177" s="836"/>
      <c r="M177" s="836"/>
      <c r="N177" s="836">
        <f ca="1">IFERROR(MIN(N176,N175),0)</f>
        <v>8.4705882352941178</v>
      </c>
      <c r="O177" s="836"/>
      <c r="P177" s="836"/>
      <c r="Q177" s="836">
        <f ca="1">IFERROR(MIN(Q176,Q175),0)</f>
        <v>0</v>
      </c>
      <c r="R177" s="836"/>
      <c r="S177" s="836"/>
      <c r="T177" s="836">
        <f ca="1">IFERROR(MIN(T176,T175),0)</f>
        <v>0</v>
      </c>
      <c r="U177" s="836"/>
      <c r="V177" s="836"/>
      <c r="W177" s="836">
        <f ca="1">IFERROR(MIN(W176,W175),0)</f>
        <v>0</v>
      </c>
      <c r="X177" s="1465"/>
      <c r="Y177" s="36"/>
      <c r="Z177" s="36"/>
      <c r="AA177" s="36"/>
      <c r="AB177" s="36"/>
      <c r="AC177" s="36"/>
      <c r="AD177" s="36"/>
      <c r="AE177" s="36"/>
      <c r="AF177" s="36"/>
      <c r="AG177" s="36"/>
      <c r="AH177" s="36"/>
      <c r="AI177" s="36"/>
      <c r="AJ177" s="36"/>
      <c r="AK177" s="36"/>
      <c r="AL177" s="36"/>
      <c r="AM177" s="36"/>
      <c r="AN177" s="36"/>
    </row>
    <row r="178" spans="6:40" ht="15" customHeight="1" outlineLevel="1">
      <c r="F178" s="52"/>
      <c r="G178" s="51" t="s">
        <v>188</v>
      </c>
      <c r="H178" s="836"/>
      <c r="I178" s="836"/>
      <c r="J178" s="836"/>
      <c r="K178" s="836">
        <f ca="1">IFERROR(ROUND(K168*INDIRECT("'"&amp;$H$3&amp;"'!K$96")/K177,0),0)</f>
        <v>171</v>
      </c>
      <c r="L178" s="836"/>
      <c r="M178" s="836"/>
      <c r="N178" s="836">
        <f ca="1">IFERROR(ROUND(N168*INDIRECT("'"&amp;$H$3&amp;"'!N$96")/N177,0),0)</f>
        <v>163</v>
      </c>
      <c r="O178" s="836"/>
      <c r="P178" s="836"/>
      <c r="Q178" s="836">
        <f ca="1">IFERROR(ROUND(Q168*INDIRECT("'"&amp;$H$3&amp;"'!Q$96")/Q177,0),0)</f>
        <v>0</v>
      </c>
      <c r="R178" s="836"/>
      <c r="S178" s="836"/>
      <c r="T178" s="836">
        <f ca="1">IFERROR(ROUND(T168*INDIRECT("'"&amp;$H$3&amp;"'!T$96")/T177,0),0)</f>
        <v>0</v>
      </c>
      <c r="U178" s="836"/>
      <c r="V178" s="836"/>
      <c r="W178" s="836">
        <f ca="1">IFERROR(ROUND(W168*INDIRECT("'"&amp;$H$3&amp;"'!W$96")/W177,0),0)</f>
        <v>0</v>
      </c>
      <c r="X178" s="1465"/>
      <c r="Y178" s="36"/>
      <c r="Z178" s="36"/>
      <c r="AA178" s="36"/>
      <c r="AB178" s="36"/>
      <c r="AC178" s="36"/>
      <c r="AD178" s="36"/>
      <c r="AE178" s="36"/>
      <c r="AF178" s="36"/>
      <c r="AG178" s="36"/>
      <c r="AH178" s="36"/>
      <c r="AI178" s="36"/>
      <c r="AJ178" s="36"/>
      <c r="AK178" s="36"/>
      <c r="AL178" s="36"/>
      <c r="AM178" s="36"/>
      <c r="AN178" s="36"/>
    </row>
    <row r="179" spans="6:40" ht="15" customHeight="1" outlineLevel="1">
      <c r="F179" s="52"/>
      <c r="G179" s="51" t="s">
        <v>88</v>
      </c>
      <c r="H179" s="836"/>
      <c r="I179" s="836"/>
      <c r="J179" s="836"/>
      <c r="K179" s="836">
        <f ca="1">IFERROR(IF(K168=0,0,(2*INDIRECT("'"&amp;$H$3&amp;"'!K$98"))+((MAX(K177,1)-1)*INDIRECT("'"&amp;$H$3&amp;"'!K$99"))),0)</f>
        <v>578</v>
      </c>
      <c r="L179" s="836"/>
      <c r="M179" s="836"/>
      <c r="N179" s="836">
        <f ca="1">IFERROR(IF(N168=0,0,(2*INDIRECT("'"&amp;$H$3&amp;"'!N$98"))+((MAX(N177,1)-1)*INDIRECT("'"&amp;$H$3&amp;"'!N$99"))),0)</f>
        <v>405.97904995427359</v>
      </c>
      <c r="O179" s="836"/>
      <c r="P179" s="836"/>
      <c r="Q179" s="836">
        <f ca="1">IFERROR(IF(Q168=0,0,(2*INDIRECT("'"&amp;$H$3&amp;"'!Q$98"))+((MAX(Q177,1)-1)*INDIRECT("'"&amp;$H$3&amp;"'!Q$99"))),0)</f>
        <v>0</v>
      </c>
      <c r="R179" s="836"/>
      <c r="S179" s="836"/>
      <c r="T179" s="836">
        <f ca="1">IFERROR(IF(T168=0,0,(2*INDIRECT("'"&amp;$H$3&amp;"'!T$98"))+((MAX(T177,1)-1)*INDIRECT("'"&amp;$H$3&amp;"'!T$99"))),0)</f>
        <v>0</v>
      </c>
      <c r="U179" s="836"/>
      <c r="V179" s="836"/>
      <c r="W179" s="836">
        <f ca="1">IFERROR(IF(W168=0,0,(2*INDIRECT("'"&amp;$H$3&amp;"'!W$98"))+((MAX(W177,1)-1)*INDIRECT("'"&amp;$H$3&amp;"'!W$99"))),0)</f>
        <v>0</v>
      </c>
      <c r="X179" s="1465"/>
      <c r="Y179" s="36"/>
      <c r="Z179" s="36"/>
      <c r="AA179" s="36"/>
      <c r="AB179" s="36"/>
      <c r="AC179" s="36"/>
      <c r="AD179" s="36"/>
      <c r="AE179" s="36"/>
      <c r="AF179" s="36"/>
      <c r="AG179" s="36"/>
      <c r="AH179" s="36"/>
      <c r="AI179" s="36"/>
      <c r="AJ179" s="36"/>
      <c r="AK179" s="36"/>
      <c r="AL179" s="36"/>
      <c r="AM179" s="36"/>
      <c r="AN179" s="36"/>
    </row>
    <row r="180" spans="6:40" ht="15" customHeight="1" outlineLevel="1">
      <c r="F180" s="52"/>
      <c r="G180" s="51" t="s">
        <v>199</v>
      </c>
      <c r="H180" s="836"/>
      <c r="I180" s="836"/>
      <c r="J180" s="836"/>
      <c r="K180" s="836">
        <f ca="1">IFERROR((ROUNDUP(K177,0)*(1/60)*INDIRECT("'"&amp;$H$3&amp;"'!K148"))+(K177*((1/60)*(INDIRECT("'"&amp;$H$3&amp;"'!$H$19")*(INDIRECT("'"&amp;$H$3&amp;"'!K149")+(INDIRECT("'"&amp;$H$3&amp;"'!K150")*('1_Outputs'!K$149/INDIRECT("'"&amp;$H$3&amp;"'!K$96")/INDIRECT("'"&amp;$H$3&amp;"'!$H$19")))))))+((2*INDIRECT("'"&amp;$H$3&amp;"'!K$98"))/INDIRECT("'"&amp;$H$3&amp;"'!K152"))+(((MAX(K177,1)-1)*INDIRECT("'"&amp;$H$3&amp;"'!K$99"))/INDIRECT("'"&amp;$H$3&amp;"'!K151")),0)</f>
        <v>6.78</v>
      </c>
      <c r="L180" s="836"/>
      <c r="M180" s="836"/>
      <c r="N180" s="836">
        <f ca="1">IFERROR((ROUNDUP(N177,0)*(1/60)*INDIRECT("'"&amp;$H$3&amp;"'!N148"))+(N177*((1/60)*(INDIRECT("'"&amp;$H$3&amp;"'!$H$19")*(INDIRECT("'"&amp;$H$3&amp;"'!N149")+(INDIRECT("'"&amp;$H$3&amp;"'!N150")*('1_Outputs'!N$149/INDIRECT("'"&amp;$H$3&amp;"'!N$96")/INDIRECT("'"&amp;$H$3&amp;"'!$H$19")))))))+((2*INDIRECT("'"&amp;$H$3&amp;"'!N$98"))/INDIRECT("'"&amp;$H$3&amp;"'!N152"))+(((MAX(N177,1)-1)*INDIRECT("'"&amp;$H$3&amp;"'!N$99"))/INDIRECT("'"&amp;$H$3&amp;"'!N151")),0)</f>
        <v>11.787638375063679</v>
      </c>
      <c r="O180" s="836"/>
      <c r="P180" s="836"/>
      <c r="Q180" s="836">
        <f ca="1">IFERROR((ROUNDUP(Q177,0)*(1/60)*INDIRECT("'"&amp;$H$3&amp;"'!Q148"))+(Q177*((1/60)*(INDIRECT("'"&amp;$H$3&amp;"'!$H$19")*(INDIRECT("'"&amp;$H$3&amp;"'!Q149")+(INDIRECT("'"&amp;$H$3&amp;"'!Q150")*('1_Outputs'!Q$149/INDIRECT("'"&amp;$H$3&amp;"'!Q$96")/INDIRECT("'"&amp;$H$3&amp;"'!$H$19")))))))+((2*INDIRECT("'"&amp;$H$3&amp;"'!Q$98"))/INDIRECT("'"&amp;$H$3&amp;"'!Q152"))+(((MAX(Q177,1)-1)*INDIRECT("'"&amp;$H$3&amp;"'!Q$99"))/INDIRECT("'"&amp;$H$3&amp;"'!Q151")),0)</f>
        <v>0</v>
      </c>
      <c r="R180" s="836"/>
      <c r="S180" s="836"/>
      <c r="T180" s="836">
        <f ca="1">IFERROR((ROUNDUP(T177,0)*(1/60)*INDIRECT("'"&amp;$H$3&amp;"'!T148"))+(T177*((1/60)*(INDIRECT("'"&amp;$H$3&amp;"'!$H$19")*(INDIRECT("'"&amp;$H$3&amp;"'!T149")+(INDIRECT("'"&amp;$H$3&amp;"'!T150")*('1_Outputs'!T$149/INDIRECT("'"&amp;$H$3&amp;"'!T$96")/INDIRECT("'"&amp;$H$3&amp;"'!$H$19")))))))+((2*INDIRECT("'"&amp;$H$3&amp;"'!T$98"))/INDIRECT("'"&amp;$H$3&amp;"'!T152"))+(((MAX(T177,1)-1)*INDIRECT("'"&amp;$H$3&amp;"'!T$99"))/INDIRECT("'"&amp;$H$3&amp;"'!T151")),0)</f>
        <v>0</v>
      </c>
      <c r="U180" s="836"/>
      <c r="V180" s="836"/>
      <c r="W180" s="836">
        <f ca="1">IFERROR((ROUNDUP(W177,0)*(1/60)*INDIRECT("'"&amp;$H$3&amp;"'!W148"))+(W177*((1/60)*(INDIRECT("'"&amp;$H$3&amp;"'!$H$19")*(INDIRECT("'"&amp;$H$3&amp;"'!W149")+(INDIRECT("'"&amp;$H$3&amp;"'!W150")*('1_Outputs'!W$149/INDIRECT("'"&amp;$H$3&amp;"'!W$96")/INDIRECT("'"&amp;$H$3&amp;"'!$H$19")))))))+((2*INDIRECT("'"&amp;$H$3&amp;"'!W$98"))/INDIRECT("'"&amp;$H$3&amp;"'!W152"))+(((MAX(W177,1)-1)*INDIRECT("'"&amp;$H$3&amp;"'!W$99"))/INDIRECT("'"&amp;$H$3&amp;"'!W151")),0)</f>
        <v>0</v>
      </c>
      <c r="X180" s="1465"/>
      <c r="Y180" s="36"/>
      <c r="Z180" s="36"/>
      <c r="AA180" s="36"/>
      <c r="AB180" s="36"/>
      <c r="AC180" s="36"/>
      <c r="AD180" s="36"/>
      <c r="AE180" s="36"/>
      <c r="AF180" s="36"/>
      <c r="AG180" s="36"/>
      <c r="AH180" s="36"/>
      <c r="AI180" s="36"/>
      <c r="AJ180" s="36"/>
      <c r="AK180" s="36" t="s">
        <v>205</v>
      </c>
      <c r="AL180" s="36"/>
      <c r="AM180" s="36"/>
      <c r="AN180" s="36"/>
    </row>
    <row r="181" spans="6:40" ht="15" customHeight="1" outlineLevel="1">
      <c r="F181" s="52"/>
      <c r="G181" s="51" t="s">
        <v>200</v>
      </c>
      <c r="H181" s="836"/>
      <c r="I181" s="836"/>
      <c r="J181" s="836"/>
      <c r="K181" s="836">
        <f ca="1">IFERROR((INDIRECT("'"&amp;$H$3&amp;"'!$H$10")*INDIRECT("'"&amp;$H$3&amp;"'!$H$9")*INDIRECT("'"&amp;$H$3&amp;"'!K140"))/K180,0)</f>
        <v>283.18584070796459</v>
      </c>
      <c r="L181" s="836"/>
      <c r="M181" s="836"/>
      <c r="N181" s="836">
        <f ca="1">IFERROR((INDIRECT("'"&amp;$H$3&amp;"'!$H$10")*INDIRECT("'"&amp;$H$3&amp;"'!$H$9")*INDIRECT("'"&amp;$H$3&amp;"'!N140"))/N180,0)</f>
        <v>244.3237490295372</v>
      </c>
      <c r="O181" s="836"/>
      <c r="P181" s="836"/>
      <c r="Q181" s="836">
        <f ca="1">IFERROR((INDIRECT("'"&amp;$H$3&amp;"'!$H$10")*INDIRECT("'"&amp;$H$3&amp;"'!$H$9")*INDIRECT("'"&amp;$H$3&amp;"'!Q140"))/Q180,0)</f>
        <v>0</v>
      </c>
      <c r="R181" s="836"/>
      <c r="S181" s="836"/>
      <c r="T181" s="836">
        <f ca="1">IFERROR((INDIRECT("'"&amp;$H$3&amp;"'!$H$10")*INDIRECT("'"&amp;$H$3&amp;"'!$H$9")*INDIRECT("'"&amp;$H$3&amp;"'!T140"))/T180,0)</f>
        <v>0</v>
      </c>
      <c r="U181" s="836"/>
      <c r="V181" s="836"/>
      <c r="W181" s="836">
        <f ca="1">IFERROR((INDIRECT("'"&amp;$H$3&amp;"'!$H$10")*INDIRECT("'"&amp;$H$3&amp;"'!$H$9")*INDIRECT("'"&amp;$H$3&amp;"'!W140"))/W180,0)</f>
        <v>0</v>
      </c>
      <c r="X181" s="1465"/>
      <c r="Y181" s="36"/>
      <c r="Z181" s="36"/>
      <c r="AA181" s="36"/>
      <c r="AB181" s="36"/>
      <c r="AC181" s="36"/>
      <c r="AD181" s="36"/>
      <c r="AE181" s="36"/>
      <c r="AF181" s="36"/>
      <c r="AG181" s="36"/>
      <c r="AH181" s="36"/>
      <c r="AI181" s="36"/>
      <c r="AJ181" s="36"/>
      <c r="AK181" s="36"/>
      <c r="AL181" s="36"/>
      <c r="AM181" s="36"/>
      <c r="AN181" s="36"/>
    </row>
    <row r="182" spans="6:40" ht="15" customHeight="1" outlineLevel="1">
      <c r="F182" s="52"/>
      <c r="G182" s="1613" t="s">
        <v>134</v>
      </c>
      <c r="H182" s="842"/>
      <c r="I182" s="842"/>
      <c r="J182" s="842"/>
      <c r="K182" s="842"/>
      <c r="L182" s="842"/>
      <c r="M182" s="842"/>
      <c r="N182" s="842"/>
      <c r="O182" s="842"/>
      <c r="P182" s="842"/>
      <c r="Q182" s="842"/>
      <c r="R182" s="1650"/>
      <c r="S182" s="1650"/>
      <c r="T182" s="842"/>
      <c r="U182" s="1650"/>
      <c r="V182" s="1650"/>
      <c r="W182" s="842"/>
      <c r="X182" s="1470"/>
      <c r="Y182" s="36"/>
      <c r="Z182" s="36"/>
      <c r="AA182" s="4"/>
      <c r="AB182" s="36"/>
      <c r="AC182" s="36"/>
      <c r="AD182" s="36"/>
      <c r="AE182" s="36"/>
      <c r="AF182" s="36"/>
      <c r="AG182" s="36"/>
      <c r="AH182" s="36"/>
      <c r="AI182" s="36"/>
      <c r="AJ182" s="36"/>
      <c r="AK182" s="36"/>
      <c r="AL182" s="36"/>
      <c r="AM182" s="36"/>
      <c r="AN182" s="36"/>
    </row>
    <row r="183" spans="6:40" ht="15" customHeight="1" outlineLevel="1">
      <c r="F183" s="52"/>
      <c r="G183" s="51" t="s">
        <v>188</v>
      </c>
      <c r="H183" s="836"/>
      <c r="I183" s="836"/>
      <c r="J183" s="836"/>
      <c r="K183" s="836">
        <f ca="1">IFERROR(K168*INDIRECT("'"&amp;$H$3&amp;"'!K$96")*MAX(1,ROUND(('1_Outputs'!K$149/INDIRECT("'"&amp;$H$3&amp;"'!K$96"))/INDEX(INDIRECT("'"&amp;$H$3&amp;"'!$H$49:$H$78"),MATCH(INDIRECT("'"&amp;$H$3&amp;"'!K136")&amp;"Delivery Capacity (m^3)",INDIRECT("'"&amp;$H$3&amp;"'!$F$49:$F$78"),0)),0)),0)</f>
        <v>172</v>
      </c>
      <c r="L183" s="836"/>
      <c r="M183" s="836"/>
      <c r="N183" s="836">
        <f ca="1">IFERROR(N168*INDIRECT("'"&amp;$H$3&amp;"'!N$96")*MAX(1,ROUND(('1_Outputs'!N$149/INDIRECT("'"&amp;$H$3&amp;"'!N$96"))/INDEX(INDIRECT("'"&amp;$H$3&amp;"'!$H$49:$H$78"),MATCH(INDIRECT("'"&amp;$H$3&amp;"'!N136")&amp;"Delivery Capacity (m^3)",INDIRECT("'"&amp;$H$3&amp;"'!$F$49:$F$78"),0)),0)),0)</f>
        <v>1380</v>
      </c>
      <c r="O183" s="836"/>
      <c r="P183" s="836"/>
      <c r="Q183" s="836">
        <f ca="1">IFERROR(Q168*INDIRECT("'"&amp;$H$3&amp;"'!Q$96")*MAX(1,ROUND(('1_Outputs'!Q$149/INDIRECT("'"&amp;$H$3&amp;"'!Q$96"))/INDEX(INDIRECT("'"&amp;$H$3&amp;"'!$H$49:$H$78"),MATCH(INDIRECT("'"&amp;$H$3&amp;"'!Q136")&amp;"Delivery Capacity (m^3)",INDIRECT("'"&amp;$H$3&amp;"'!$F$49:$F$78"),0)),0)),0)</f>
        <v>0</v>
      </c>
      <c r="R183" s="836"/>
      <c r="S183" s="836"/>
      <c r="T183" s="836">
        <f ca="1">IFERROR(T168*INDIRECT("'"&amp;$H$3&amp;"'!T$96")*MAX(1,ROUND(('1_Outputs'!T$149/INDIRECT("'"&amp;$H$3&amp;"'!T$96"))/INDEX(INDIRECT("'"&amp;$H$3&amp;"'!$H$49:$H$78"),MATCH(INDIRECT("'"&amp;$H$3&amp;"'!T136")&amp;"Delivery Capacity (m^3)",INDIRECT("'"&amp;$H$3&amp;"'!$F$49:$F$78"),0)),0)),0)</f>
        <v>0</v>
      </c>
      <c r="U183" s="836"/>
      <c r="V183" s="836"/>
      <c r="W183" s="836">
        <f ca="1">IFERROR(W168*INDIRECT("'"&amp;$H$3&amp;"'!W$96")*MAX(1,ROUND(('1_Outputs'!W$149/INDIRECT("'"&amp;$H$3&amp;"'!W$96"))/INDEX(INDIRECT("'"&amp;$H$3&amp;"'!$H$49:$H$78"),MATCH(INDIRECT("'"&amp;$H$3&amp;"'!W136")&amp;"Delivery Capacity (m^3)",INDIRECT("'"&amp;$H$3&amp;"'!$F$49:$F$78"),0)),0)),0)</f>
        <v>0</v>
      </c>
      <c r="X183" s="1465"/>
      <c r="Y183" s="36"/>
      <c r="Z183" s="36"/>
      <c r="AA183" s="36"/>
      <c r="AB183" s="36"/>
      <c r="AC183" s="36"/>
      <c r="AD183" s="36"/>
      <c r="AE183" s="36"/>
      <c r="AF183" s="36"/>
      <c r="AG183" s="36"/>
      <c r="AH183" s="36"/>
      <c r="AI183" s="36"/>
      <c r="AJ183" s="36"/>
      <c r="AK183" s="36"/>
      <c r="AL183" s="36"/>
      <c r="AM183" s="36"/>
      <c r="AN183" s="36"/>
    </row>
    <row r="184" spans="6:40" ht="15" customHeight="1" outlineLevel="1">
      <c r="F184" s="52"/>
      <c r="G184" s="51" t="s">
        <v>88</v>
      </c>
      <c r="H184" s="836"/>
      <c r="I184" s="836"/>
      <c r="J184" s="836"/>
      <c r="K184" s="836">
        <f ca="1">IFERROR(IF(K168=0,0,2*INDIRECT("'"&amp;$H$3&amp;"'!K$98")),0)</f>
        <v>578</v>
      </c>
      <c r="L184" s="836"/>
      <c r="M184" s="836"/>
      <c r="N184" s="1654">
        <f ca="1">IFERROR(IF(N168=0,0,2*INDIRECT("'"&amp;$H$3&amp;"'!N$98")),0)</f>
        <v>248.38412077024208</v>
      </c>
      <c r="O184" s="836"/>
      <c r="P184" s="836"/>
      <c r="Q184" s="836">
        <f ca="1">IFERROR(IF(Q168=0,0,2*INDIRECT("'"&amp;$H$3&amp;"'!Q$98")),0)</f>
        <v>0</v>
      </c>
      <c r="R184" s="836"/>
      <c r="S184" s="836"/>
      <c r="T184" s="836">
        <f ca="1">IFERROR(IF(T168=0,0,2*INDIRECT("'"&amp;$H$3&amp;"'!T$98")),0)</f>
        <v>0</v>
      </c>
      <c r="U184" s="836"/>
      <c r="V184" s="836"/>
      <c r="W184" s="836">
        <f ca="1">IFERROR(IF(W168=0,0,2*INDIRECT("'"&amp;$H$3&amp;"'!W$98")),0)</f>
        <v>0</v>
      </c>
      <c r="X184" s="1465"/>
      <c r="Y184" s="36"/>
      <c r="Z184" s="36"/>
      <c r="AA184" s="36"/>
      <c r="AB184" s="36"/>
      <c r="AC184" s="36"/>
      <c r="AD184" s="36"/>
      <c r="AE184" s="36"/>
      <c r="AF184" s="36"/>
      <c r="AG184" s="36"/>
      <c r="AH184" s="36"/>
      <c r="AI184" s="36"/>
      <c r="AJ184" s="36"/>
      <c r="AK184" s="36"/>
      <c r="AL184" s="36"/>
      <c r="AM184" s="36"/>
      <c r="AN184" s="36"/>
    </row>
    <row r="185" spans="6:40" ht="15" customHeight="1" outlineLevel="1">
      <c r="F185" s="52"/>
      <c r="G185" s="51" t="s">
        <v>200</v>
      </c>
      <c r="H185" s="839"/>
      <c r="I185" s="839"/>
      <c r="J185" s="839"/>
      <c r="K185" s="839">
        <f ca="1">(INDIRECT("'"&amp;$H$3&amp;"'!$H$10")*INDIRECT("'"&amp;$H$3&amp;"'!$H$9")*INDIRECT("'"&amp;$H$3&amp;"'!K140"))/((K184/INDIRECT("'"&amp;$H$3&amp;"'!K152"))+((1/60)*(INDIRECT("'"&amp;$H$3&amp;"'!K148")+INDIRECT("'"&amp;$H$3&amp;"'!$H$19")*(INDIRECT("'"&amp;$H$3&amp;"'!K149")+(INDIRECT("'"&amp;$H$3&amp;"'!K150")*(MIN(('1_Outputs'!K$149/INDIRECT("'"&amp;$H$3&amp;"'!K$96")),INDEX(INDIRECT("'"&amp;$H$3&amp;"'!$H$49:$H$78"),MATCH(INDIRECT("'"&amp;$H$3&amp;"'!K136")&amp;"Delivery Capacity (m^3)",INDIRECT("'"&amp;$H$3&amp;"'!$F$49:$F$78"),0)))/INDIRECT("'"&amp;$H$3&amp;"'!$H$19")))))))</f>
        <v>283.18584070796459</v>
      </c>
      <c r="L185" s="839"/>
      <c r="M185" s="839"/>
      <c r="N185" s="839">
        <f ca="1">IFERROR((INDIRECT("'"&amp;$H$3&amp;"'!$H$10")*INDIRECT("'"&amp;$H$3&amp;"'!$H$9")*INDIRECT("'"&amp;$H$3&amp;"'!N140"))/((N184/INDIRECT("'"&amp;$H$3&amp;"'!N152"))+((1/60)*(INDIRECT("'"&amp;$H$3&amp;"'!N148")+INDIRECT("'"&amp;$H$3&amp;"'!$H$19")*(INDIRECT("'"&amp;$H$3&amp;"'!N149")+(INDIRECT("'"&amp;$H$3&amp;"'!N150")*(MIN(('1_Outputs'!N$149/INDIRECT("'"&amp;$H$3&amp;"'!N$96")),INDEX(INDIRECT("'"&amp;$H$3&amp;"'!$H$49:$H$78"),MATCH(INDIRECT("'"&amp;$H$3&amp;"'!N136")&amp;"Delivery Capacity (m^3)",INDIRECT("'"&amp;$H$3&amp;"'!$F$49:$F$78"),0)))/INDIRECT("'"&amp;$H$3&amp;"'!$H$19"))))))),0)</f>
        <v>1022.3008755932984</v>
      </c>
      <c r="O185" s="839"/>
      <c r="P185" s="839"/>
      <c r="Q185" s="839">
        <f ca="1">IFERROR((INDIRECT("'"&amp;$H$3&amp;"'!$H$10")*INDIRECT("'"&amp;$H$3&amp;"'!$H$9")*INDIRECT("'"&amp;$H$3&amp;"'!Q140"))/((Q184/INDIRECT("'"&amp;$H$3&amp;"'!Q152"))+((1/60)*(INDIRECT("'"&amp;$H$3&amp;"'!Q148")+INDIRECT("'"&amp;$H$3&amp;"'!$H$19")*(INDIRECT("'"&amp;$H$3&amp;"'!Q149")+(INDIRECT("'"&amp;$H$3&amp;"'!Q150")*(MIN(('1_Outputs'!Q$149/INDIRECT("'"&amp;$H$3&amp;"'!Q$96")),INDEX(INDIRECT("'"&amp;$H$3&amp;"'!$H$49:$H$78"),MATCH(INDIRECT("'"&amp;$H$3&amp;"'!Q136")&amp;"Delivery Capacity (m^3)",INDIRECT("'"&amp;$H$3&amp;"'!$F$49:$F$78"),0)))/INDIRECT("'"&amp;$H$3&amp;"'!$H$19"))))))),0)</f>
        <v>0</v>
      </c>
      <c r="R185" s="839"/>
      <c r="S185" s="839"/>
      <c r="T185" s="839">
        <f ca="1">IFERROR((INDIRECT("'"&amp;$H$3&amp;"'!$H$10")*INDIRECT("'"&amp;$H$3&amp;"'!$H$9")*INDIRECT("'"&amp;$H$3&amp;"'!T140"))/((T184/INDIRECT("'"&amp;$H$3&amp;"'!T152"))+((1/60)*(INDIRECT("'"&amp;$H$3&amp;"'!T148")+INDIRECT("'"&amp;$H$3&amp;"'!$H$19")*(INDIRECT("'"&amp;$H$3&amp;"'!T149")+(INDIRECT("'"&amp;$H$3&amp;"'!T150")*(MIN(('1_Outputs'!T$149/INDIRECT("'"&amp;$H$3&amp;"'!T$96")),INDEX(INDIRECT("'"&amp;$H$3&amp;"'!$H$49:$H$78"),MATCH(INDIRECT("'"&amp;$H$3&amp;"'!T136")&amp;"Delivery Capacity (m^3)",INDIRECT("'"&amp;$H$3&amp;"'!$F$49:$F$78"),0)))/INDIRECT("'"&amp;$H$3&amp;"'!$H$19"))))))),0)</f>
        <v>0</v>
      </c>
      <c r="U185" s="839"/>
      <c r="V185" s="839"/>
      <c r="W185" s="839">
        <f ca="1">IFERROR((INDIRECT("'"&amp;$H$3&amp;"'!$H$10")*INDIRECT("'"&amp;$H$3&amp;"'!$H$9")*INDIRECT("'"&amp;$H$3&amp;"'!W140"))/((W184/INDIRECT("'"&amp;$H$3&amp;"'!W152"))+((1/60)*(INDIRECT("'"&amp;$H$3&amp;"'!W148")+INDIRECT("'"&amp;$H$3&amp;"'!$H$19")*(INDIRECT("'"&amp;$H$3&amp;"'!W149")+(INDIRECT("'"&amp;$H$3&amp;"'!W150")*(MIN(('1_Outputs'!W$149/INDIRECT("'"&amp;$H$3&amp;"'!W$96")),INDEX(INDIRECT("'"&amp;$H$3&amp;"'!$H$49:$H$78"),MATCH(INDIRECT("'"&amp;$H$3&amp;"'!W136")&amp;"Delivery Capacity (m^3)",INDIRECT("'"&amp;$H$3&amp;"'!$F$49:$F$78"),0)))/INDIRECT("'"&amp;$H$3&amp;"'!$H$19"))))))),0)</f>
        <v>0</v>
      </c>
      <c r="X185" s="1473"/>
      <c r="Y185" s="36"/>
      <c r="Z185" s="4"/>
      <c r="AA185" s="36"/>
      <c r="AB185" s="36"/>
      <c r="AC185" s="36"/>
      <c r="AD185" s="36"/>
      <c r="AE185" s="36"/>
      <c r="AF185" s="36"/>
      <c r="AG185" s="36"/>
      <c r="AH185" s="36"/>
      <c r="AI185" s="36"/>
      <c r="AJ185" s="36"/>
      <c r="AK185" s="36"/>
      <c r="AL185" s="36"/>
      <c r="AM185" s="36"/>
      <c r="AN185" s="36"/>
    </row>
    <row r="186" spans="6:40" ht="48" customHeight="1">
      <c r="F186" s="1638" t="s">
        <v>2501</v>
      </c>
      <c r="G186" s="1639"/>
      <c r="H186" s="1655"/>
      <c r="I186" s="1655"/>
      <c r="J186" s="1655"/>
      <c r="K186" s="1522" t="str">
        <f ca="1">IF($H$9&gt;=2,INDIRECT("'"&amp;$H$3&amp;"'!J$130"),"")</f>
        <v>CMS  to  Regional WH</v>
      </c>
      <c r="L186" s="1522" t="str">
        <f t="shared" ref="L186:V186" ca="1" si="16">IF($H$9&gt;=1,"Tier 1","")</f>
        <v>Tier 1</v>
      </c>
      <c r="M186" s="1522" t="str">
        <f t="shared" ca="1" si="16"/>
        <v>Tier 1</v>
      </c>
      <c r="N186" s="1522" t="str">
        <f ca="1">IF($H$9&gt;=3,INDIRECT("'"&amp;$H$3&amp;"'!M$130"),"")</f>
        <v>Regional WH  to  Health Facility</v>
      </c>
      <c r="O186" s="1522" t="str">
        <f t="shared" ca="1" si="16"/>
        <v>Tier 1</v>
      </c>
      <c r="P186" s="1522" t="str">
        <f t="shared" ca="1" si="16"/>
        <v>Tier 1</v>
      </c>
      <c r="Q186" s="1523" t="str">
        <f ca="1">IF($H$9&gt;=4,INDIRECT("'"&amp;$H$3&amp;"'!P$130"),"")</f>
        <v/>
      </c>
      <c r="R186" s="1512" t="str">
        <f t="shared" ca="1" si="16"/>
        <v>Tier 1</v>
      </c>
      <c r="S186" s="1512" t="str">
        <f t="shared" ca="1" si="16"/>
        <v>Tier 1</v>
      </c>
      <c r="T186" s="1523" t="str">
        <f ca="1">IF($H$9&gt;=5,INDIRECT("'"&amp;$H$3&amp;"'!S$130"),"")</f>
        <v/>
      </c>
      <c r="U186" s="1524" t="str">
        <f t="shared" ca="1" si="16"/>
        <v>Tier 1</v>
      </c>
      <c r="V186" s="1524" t="str">
        <f t="shared" ca="1" si="16"/>
        <v>Tier 1</v>
      </c>
      <c r="W186" s="1523" t="str">
        <f ca="1">IF($H$9&gt;=6,INDIRECT("'"&amp;$H$3&amp;"'!V$130"),"")</f>
        <v/>
      </c>
      <c r="X186" s="1474"/>
      <c r="Y186" s="36"/>
      <c r="Z186" s="36"/>
      <c r="AA186" s="36"/>
      <c r="AB186" s="36"/>
      <c r="AC186" s="36"/>
      <c r="AD186" s="36"/>
      <c r="AE186" s="36"/>
      <c r="AF186" s="36"/>
      <c r="AG186" s="36"/>
      <c r="AH186" s="36"/>
      <c r="AI186" s="36"/>
      <c r="AJ186" s="36"/>
      <c r="AK186" s="242"/>
      <c r="AL186" s="36"/>
      <c r="AM186" s="36"/>
      <c r="AN186" s="36"/>
    </row>
    <row r="187" spans="6:40" ht="15" customHeight="1" outlineLevel="1">
      <c r="F187" s="1641"/>
      <c r="G187" s="51" t="s">
        <v>414</v>
      </c>
      <c r="H187" s="836"/>
      <c r="I187" s="836"/>
      <c r="J187" s="836"/>
      <c r="K187" s="836">
        <f ca="1">IFERROR(IF(INDIRECT("'"&amp;$H$3&amp;"'!K133")=0,0,IF(INDIRECT("'"&amp;$H$3&amp;"'!K173")="Yes",'1_Outputs'!K64,IF(OR(AND(INDIRECT("'"&amp;$H$3&amp;"'!K133")&gt;0,INDIRECT("'"&amp;$H$3&amp;"'!K153")="Yes"),AND(INDIRECT("'"&amp;$H$3&amp;"'!K133")&gt;2,INDIRECT("'"&amp;$H$3&amp;"'!K193")="Yes")),'1_Outputs'!K57,'1_Outputs'!K52))),0)</f>
        <v>2052.75</v>
      </c>
      <c r="L187" s="836"/>
      <c r="M187" s="836"/>
      <c r="N187" s="836">
        <f ca="1">IFERROR(IF(INDIRECT("'"&amp;$H$3&amp;"'!N133")=0,0,IF(INDIRECT("'"&amp;$H$3&amp;"'!N173")="Yes",'1_Outputs'!N64,IF(OR(AND(INDIRECT("'"&amp;$H$3&amp;"'!N133")&gt;0,INDIRECT("'"&amp;$H$3&amp;"'!N153")="Yes"),AND(INDIRECT("'"&amp;$H$3&amp;"'!N133")&gt;2,INDIRECT("'"&amp;$H$3&amp;"'!N193")="Yes")),'1_Outputs'!N57,'1_Outputs'!N52))),0)</f>
        <v>5.666666666666667</v>
      </c>
      <c r="O187" s="836"/>
      <c r="P187" s="836"/>
      <c r="Q187" s="836">
        <f ca="1">IFERROR(IF(INDIRECT("'"&amp;$H$3&amp;"'!Q133")=0,0,IF(INDIRECT("'"&amp;$H$3&amp;"'!Q173")="Yes",'1_Outputs'!Q64,IF(OR(AND(INDIRECT("'"&amp;$H$3&amp;"'!Q133")&gt;0,INDIRECT("'"&amp;$H$3&amp;"'!Q153")="Yes"),AND(INDIRECT("'"&amp;$H$3&amp;"'!Q133")&gt;2,INDIRECT("'"&amp;$H$3&amp;"'!Q193")="Yes")),'1_Outputs'!Q57,'1_Outputs'!Q52))),0)</f>
        <v>0</v>
      </c>
      <c r="R187" s="836"/>
      <c r="S187" s="836"/>
      <c r="T187" s="836">
        <f ca="1">IFERROR(IF(INDIRECT("'"&amp;$H$3&amp;"'!T133")=0,0,IF(INDIRECT("'"&amp;$H$3&amp;"'!T173")="Yes",'1_Outputs'!T64,IF(OR(AND(INDIRECT("'"&amp;$H$3&amp;"'!T133")&gt;0,INDIRECT("'"&amp;$H$3&amp;"'!T153")="Yes"),AND(INDIRECT("'"&amp;$H$3&amp;"'!T133")&gt;2,INDIRECT("'"&amp;$H$3&amp;"'!T193")="Yes")),'1_Outputs'!T57,'1_Outputs'!T52))),0)</f>
        <v>0</v>
      </c>
      <c r="U187" s="836"/>
      <c r="V187" s="836"/>
      <c r="W187" s="836">
        <f ca="1">IFERROR(IF(INDIRECT("'"&amp;$H$3&amp;"'!W133")=0,0,IF(INDIRECT("'"&amp;$H$3&amp;"'!W173")="Yes",'1_Outputs'!W64,IF(OR(AND(INDIRECT("'"&amp;$H$3&amp;"'!W133")&gt;0,INDIRECT("'"&amp;$H$3&amp;"'!W153")="Yes"),AND(INDIRECT("'"&amp;$H$3&amp;"'!W133")&gt;2,INDIRECT("'"&amp;$H$3&amp;"'!W193")="Yes")),'1_Outputs'!W57,'1_Outputs'!W52))),0)</f>
        <v>0</v>
      </c>
      <c r="X187" s="1465"/>
      <c r="AK187" s="1"/>
    </row>
    <row r="188" spans="6:40" ht="15" customHeight="1" outlineLevel="1">
      <c r="F188" s="1642" t="s">
        <v>387</v>
      </c>
      <c r="G188" s="1614"/>
      <c r="H188" s="848"/>
      <c r="I188" s="848"/>
      <c r="J188" s="848"/>
      <c r="K188" s="848"/>
      <c r="L188" s="848"/>
      <c r="M188" s="848"/>
      <c r="N188" s="848"/>
      <c r="O188" s="848"/>
      <c r="P188" s="848"/>
      <c r="Q188" s="1643"/>
      <c r="R188" s="1644"/>
      <c r="S188" s="1644"/>
      <c r="T188" s="1643"/>
      <c r="U188" s="1644"/>
      <c r="V188" s="1644"/>
      <c r="W188" s="1643"/>
      <c r="X188" s="1466"/>
      <c r="AK188" s="1"/>
    </row>
    <row r="189" spans="6:40" ht="15" customHeight="1" outlineLevel="1">
      <c r="F189" s="1649"/>
      <c r="G189" s="51" t="s">
        <v>390</v>
      </c>
      <c r="H189" s="836"/>
      <c r="I189" s="836"/>
      <c r="J189" s="836"/>
      <c r="K189" s="836">
        <f ca="1">IFERROR(((K$64*INDIRECT("'"&amp;$H$3&amp;"'!K$95"))*(IF(COUNTIF(INDIRECT("'"&amp;$H$3&amp;"'!K156"),"Public Transport*")=1,K194,K206)/INDIRECT("'"&amp;$H$3&amp;"'!K$95")))/IF(COUNTIF(INDIRECT("'"&amp;$H$3&amp;"'!K156"),"Public Transport*")=1,K192,K208),0)</f>
        <v>0</v>
      </c>
      <c r="L189" s="836"/>
      <c r="M189" s="836"/>
      <c r="N189" s="836">
        <f ca="1">IFERROR(((N$64*INDIRECT("'"&amp;$H$3&amp;"'!N$95"))*(IF(COUNTIF(INDIRECT("'"&amp;$H$3&amp;"'!N156"),"Public Transport*")=1,N194,N206)/INDIRECT("'"&amp;$H$3&amp;"'!N$95")))/IF(COUNTIF(INDIRECT("'"&amp;$H$3&amp;"'!N156"),"Public Transport*")=1,N192,N208),0)</f>
        <v>0</v>
      </c>
      <c r="O189" s="836"/>
      <c r="P189" s="836"/>
      <c r="Q189" s="836">
        <f ca="1">IFERROR(((Q$64*INDIRECT("'"&amp;$H$3&amp;"'!Q$95"))*(IF(COUNTIF(INDIRECT("'"&amp;$H$3&amp;"'!Q156"),"Public Transport*")=1,Q194,Q206)/INDIRECT("'"&amp;$H$3&amp;"'!Q$95")))/IF(COUNTIF(INDIRECT("'"&amp;$H$3&amp;"'!Q156"),"Public Transport*")=1,Q192,Q208),0)</f>
        <v>0</v>
      </c>
      <c r="R189" s="1646"/>
      <c r="S189" s="1646"/>
      <c r="T189" s="836">
        <f ca="1">IFERROR(((T$64*INDIRECT("'"&amp;$H$3&amp;"'!T$95"))*(IF(COUNTIF(INDIRECT("'"&amp;$H$3&amp;"'!T156"),"Public Transport*")=1,T194,T206)/INDIRECT("'"&amp;$H$3&amp;"'!T$95")))/IF(COUNTIF(INDIRECT("'"&amp;$H$3&amp;"'!T156"),"Public Transport*")=1,T192,T208),0)</f>
        <v>0</v>
      </c>
      <c r="U189" s="1646"/>
      <c r="V189" s="1646"/>
      <c r="W189" s="836">
        <f ca="1">IFERROR(((W$64*INDIRECT("'"&amp;$H$3&amp;"'!W$95"))*(IF(COUNTIF(INDIRECT("'"&amp;$H$3&amp;"'!W156"),"Public Transport*")=1,W194,W206)/INDIRECT("'"&amp;$H$3&amp;"'!W$95")))/IF(COUNTIF(INDIRECT("'"&amp;$H$3&amp;"'!W156"),"Public Transport*")=1,W192,W208),0)</f>
        <v>0</v>
      </c>
      <c r="X189" s="1465"/>
      <c r="Y189" s="36"/>
      <c r="Z189" s="36"/>
      <c r="AA189" s="36"/>
      <c r="AB189" s="36"/>
      <c r="AC189" s="36"/>
      <c r="AD189" s="36"/>
      <c r="AE189" s="36"/>
      <c r="AF189" s="36"/>
      <c r="AG189" s="36"/>
      <c r="AH189" s="36"/>
      <c r="AI189" s="36"/>
      <c r="AJ189" s="36"/>
      <c r="AK189" s="242"/>
      <c r="AL189" s="36"/>
      <c r="AM189" s="36"/>
      <c r="AN189" s="36"/>
    </row>
    <row r="190" spans="6:40" ht="15" customHeight="1" outlineLevel="1">
      <c r="F190" s="1649"/>
      <c r="G190" s="51" t="s">
        <v>391</v>
      </c>
      <c r="H190" s="836"/>
      <c r="I190" s="836"/>
      <c r="J190" s="836"/>
      <c r="K190" s="836">
        <f ca="1">IFERROR(IF(COUNTIF(INDIRECT("'"&amp;$H$3&amp;"'!K156"),"Public Transport*")=1,(K193/INDIRECT("'"&amp;$H$3&amp;"'!$H$9")),(K209/INDIRECT("'"&amp;$H$3&amp;"'!$H$9"))),0)</f>
        <v>0</v>
      </c>
      <c r="L190" s="836"/>
      <c r="M190" s="836"/>
      <c r="N190" s="836">
        <f ca="1">IFERROR(IF(COUNTIF(INDIRECT("'"&amp;$H$3&amp;"'!N156"),"Public Transport*")=1,(N193/INDIRECT("'"&amp;$H$3&amp;"'!$H$9")),(N209/INDIRECT("'"&amp;$H$3&amp;"'!$H$9"))),0)</f>
        <v>0</v>
      </c>
      <c r="O190" s="836"/>
      <c r="P190" s="836"/>
      <c r="Q190" s="836">
        <f ca="1">IFERROR(IF(COUNTIF(INDIRECT("'"&amp;$H$3&amp;"'!Q156"),"Public Transport*")=1,(Q193/INDIRECT("'"&amp;$H$3&amp;"'!$H$9")),(Q209/INDIRECT("'"&amp;$H$3&amp;"'!$H$9"))),0)</f>
        <v>0</v>
      </c>
      <c r="R190" s="1646"/>
      <c r="S190" s="1646"/>
      <c r="T190" s="836">
        <f ca="1">IFERROR(IF(COUNTIF(INDIRECT("'"&amp;$H$3&amp;"'!T156"),"Public Transport*")=1,(T193/INDIRECT("'"&amp;$H$3&amp;"'!$H$9")),(T209/INDIRECT("'"&amp;$H$3&amp;"'!$H$9"))),0)</f>
        <v>0</v>
      </c>
      <c r="U190" s="1646"/>
      <c r="V190" s="1646"/>
      <c r="W190" s="836">
        <f ca="1">IFERROR(IF(COUNTIF(INDIRECT("'"&amp;$H$3&amp;"'!W156"),"Public Transport*")=1,(W193/INDIRECT("'"&amp;$H$3&amp;"'!$H$9")),(W209/INDIRECT("'"&amp;$H$3&amp;"'!$H$9"))),0)</f>
        <v>0</v>
      </c>
      <c r="X190" s="1465"/>
      <c r="Y190" s="36"/>
      <c r="Z190" s="36"/>
      <c r="AA190" s="36"/>
      <c r="AB190" s="36"/>
      <c r="AC190" s="36"/>
      <c r="AD190" s="36"/>
      <c r="AE190" s="36"/>
      <c r="AF190" s="36"/>
      <c r="AG190" s="36"/>
      <c r="AH190" s="36"/>
      <c r="AI190" s="36"/>
      <c r="AJ190" s="36"/>
      <c r="AK190" s="242"/>
      <c r="AL190" s="36"/>
      <c r="AM190" s="36"/>
      <c r="AN190" s="36"/>
    </row>
    <row r="191" spans="6:40" ht="15" customHeight="1" outlineLevel="1">
      <c r="F191" s="1647" t="s">
        <v>149</v>
      </c>
      <c r="G191" s="1614"/>
      <c r="H191" s="848"/>
      <c r="I191" s="848"/>
      <c r="J191" s="848"/>
      <c r="K191" s="848"/>
      <c r="L191" s="848"/>
      <c r="M191" s="848"/>
      <c r="N191" s="848"/>
      <c r="O191" s="1644"/>
      <c r="P191" s="1644"/>
      <c r="Q191" s="1648"/>
      <c r="R191" s="1650"/>
      <c r="S191" s="1650"/>
      <c r="T191" s="1648"/>
      <c r="U191" s="1650"/>
      <c r="V191" s="1650"/>
      <c r="W191" s="1648"/>
      <c r="X191" s="1467"/>
      <c r="Y191" s="36"/>
      <c r="Z191" s="36"/>
      <c r="AA191" s="36"/>
      <c r="AB191" s="36"/>
      <c r="AC191" s="36"/>
      <c r="AD191" s="36"/>
      <c r="AE191" s="36"/>
      <c r="AF191" s="36"/>
      <c r="AG191" s="36"/>
      <c r="AH191" s="36"/>
      <c r="AI191" s="36"/>
      <c r="AJ191" s="36"/>
      <c r="AK191" s="242"/>
      <c r="AL191" s="36"/>
      <c r="AM191" s="36"/>
      <c r="AN191" s="36"/>
    </row>
    <row r="192" spans="6:40" ht="15" customHeight="1" outlineLevel="1">
      <c r="F192" s="1649"/>
      <c r="G192" s="51" t="s">
        <v>146</v>
      </c>
      <c r="H192" s="837"/>
      <c r="I192" s="837"/>
      <c r="J192" s="837"/>
      <c r="K192" s="837">
        <f ca="1">IFERROR(IF(COUNTIF(INDIRECT("'"&amp;$H$3&amp;"'!K156"),"Public Transport*")=1,IF(INDIRECT("'"&amp;$H$3&amp;"'!K163")="Route-based",K200*INDIRECT("'"&amp;$H$3&amp;"'!K$96"),IF(INDIRECT("'"&amp;$H$3&amp;"'!K163")="Point-to-point",K203*INDIRECT("'"&amp;$H$3&amp;"'!K$96"),0)),0),0)</f>
        <v>0</v>
      </c>
      <c r="L192" s="837"/>
      <c r="M192" s="837"/>
      <c r="N192" s="837">
        <f ca="1">IFERROR(IF(COUNTIF(INDIRECT("'"&amp;$H$3&amp;"'!N156"),"Public Transport*")=1,IF(INDIRECT("'"&amp;$H$3&amp;"'!N163")="Route-based",N200*INDIRECT("'"&amp;$H$3&amp;"'!N$96"),IF(INDIRECT("'"&amp;$H$3&amp;"'!N163")="Point-to-point",N203*INDIRECT("'"&amp;$H$3&amp;"'!N$96"),0)),0),0)</f>
        <v>0</v>
      </c>
      <c r="O192" s="837"/>
      <c r="P192" s="837"/>
      <c r="Q192" s="837">
        <f ca="1">IFERROR(IF(COUNTIF(INDIRECT("'"&amp;$H$3&amp;"'!Q156"),"Public Transport*")=1,IF(INDIRECT("'"&amp;$H$3&amp;"'!Q163")="Route-based",Q200*INDIRECT("'"&amp;$H$3&amp;"'!Q$96"),IF(INDIRECT("'"&amp;$H$3&amp;"'!Q163")="Point-to-point",Q203*INDIRECT("'"&amp;$H$3&amp;"'!Q$96"),0)),0),0)</f>
        <v>0</v>
      </c>
      <c r="R192" s="1650"/>
      <c r="S192" s="1650"/>
      <c r="T192" s="837">
        <f ca="1">IFERROR(IF(COUNTIF(INDIRECT("'"&amp;$H$3&amp;"'!T156"),"Public Transport*")=1,IF(INDIRECT("'"&amp;$H$3&amp;"'!T163")="Route-based",T200*INDIRECT("'"&amp;$H$3&amp;"'!T$96"),IF(INDIRECT("'"&amp;$H$3&amp;"'!T163")="Point-to-point",T203*INDIRECT("'"&amp;$H$3&amp;"'!T$96"),0)),0),0)</f>
        <v>0</v>
      </c>
      <c r="U192" s="1650"/>
      <c r="V192" s="1650"/>
      <c r="W192" s="837">
        <f ca="1">IFERROR(IF(COUNTIF(INDIRECT("'"&amp;$H$3&amp;"'!W156"),"Public Transport*")=1,IF(INDIRECT("'"&amp;$H$3&amp;"'!W163")="Route-based",W200*INDIRECT("'"&amp;$H$3&amp;"'!W$96"),IF(INDIRECT("'"&amp;$H$3&amp;"'!W163")="Point-to-point",W203*INDIRECT("'"&amp;$H$3&amp;"'!W$96"),0)),0),0)</f>
        <v>0</v>
      </c>
      <c r="X192" s="1468"/>
      <c r="Y192" s="36"/>
      <c r="Z192" s="36"/>
      <c r="AA192" s="36"/>
      <c r="AB192" s="36"/>
      <c r="AC192" s="36"/>
      <c r="AD192" s="36"/>
      <c r="AE192" s="36"/>
      <c r="AF192" s="36"/>
      <c r="AG192" s="36"/>
      <c r="AH192" s="36"/>
      <c r="AI192" s="36"/>
      <c r="AJ192" s="36"/>
      <c r="AK192" s="242"/>
      <c r="AL192" s="36"/>
      <c r="AM192" s="36"/>
      <c r="AN192" s="36"/>
    </row>
    <row r="193" spans="6:40" ht="15" customHeight="1" outlineLevel="1">
      <c r="F193" s="1649"/>
      <c r="G193" s="51" t="s">
        <v>147</v>
      </c>
      <c r="H193" s="837"/>
      <c r="I193" s="837"/>
      <c r="J193" s="837"/>
      <c r="K193" s="837">
        <f ca="1">IFERROR(IF(INDIRECT("'"&amp;$H$3&amp;"'!K163")="Route-based",K201*INDIRECT("'"&amp;$H$3&amp;"'!K$96"),IF(INDIRECT("'"&amp;$H$3&amp;"'!K163")="Point-to-point",K204*INDIRECT("'"&amp;$H$3&amp;"'!K$96"),0)),0)</f>
        <v>0</v>
      </c>
      <c r="L193" s="837"/>
      <c r="M193" s="837"/>
      <c r="N193" s="837">
        <f ca="1">IFERROR(IF(INDIRECT("'"&amp;$H$3&amp;"'!N163")="Route-based",N201*INDIRECT("'"&amp;$H$3&amp;"'!N$96"),IF(INDIRECT("'"&amp;$H$3&amp;"'!N163")="Point-to-point",N204*INDIRECT("'"&amp;$H$3&amp;"'!N$96"),0)),0)</f>
        <v>0</v>
      </c>
      <c r="O193" s="837"/>
      <c r="P193" s="837"/>
      <c r="Q193" s="837">
        <f ca="1">IFERROR(IF(INDIRECT("'"&amp;$H$3&amp;"'!Q163")="Route-based",Q201*INDIRECT("'"&amp;$H$3&amp;"'!Q$96"),IF(INDIRECT("'"&amp;$H$3&amp;"'!Q163")="Point-to-point",Q204*INDIRECT("'"&amp;$H$3&amp;"'!Q$96"),0)),0)</f>
        <v>0</v>
      </c>
      <c r="R193" s="1650"/>
      <c r="S193" s="1650"/>
      <c r="T193" s="837">
        <f ca="1">IFERROR(IF(INDIRECT("'"&amp;$H$3&amp;"'!T163")="Route-based",T201*INDIRECT("'"&amp;$H$3&amp;"'!T$96"),IF(INDIRECT("'"&amp;$H$3&amp;"'!T163")="Point-to-point",T204*INDIRECT("'"&amp;$H$3&amp;"'!T$96"),0)),0)</f>
        <v>0</v>
      </c>
      <c r="U193" s="1650"/>
      <c r="V193" s="1650"/>
      <c r="W193" s="837">
        <f ca="1">IFERROR(IF(INDIRECT("'"&amp;$H$3&amp;"'!W163")="Route-based",W201*INDIRECT("'"&amp;$H$3&amp;"'!W$96"),IF(INDIRECT("'"&amp;$H$3&amp;"'!W163")="Point-to-point",W204*INDIRECT("'"&amp;$H$3&amp;"'!W$96"),0)),0)</f>
        <v>0</v>
      </c>
      <c r="X193" s="1468"/>
      <c r="Y193" s="36"/>
      <c r="Z193" s="36"/>
      <c r="AA193" s="36"/>
      <c r="AB193" s="36"/>
      <c r="AC193" s="36"/>
      <c r="AD193" s="36"/>
      <c r="AE193" s="36"/>
      <c r="AF193" s="36"/>
      <c r="AG193" s="36"/>
      <c r="AH193" s="36"/>
      <c r="AI193" s="36"/>
      <c r="AJ193" s="36"/>
      <c r="AK193" s="36"/>
      <c r="AL193" s="36"/>
      <c r="AM193" s="36"/>
      <c r="AN193" s="36"/>
    </row>
    <row r="194" spans="6:40" ht="15" customHeight="1" outlineLevel="1">
      <c r="F194" s="1649"/>
      <c r="G194" s="51" t="s">
        <v>142</v>
      </c>
      <c r="H194" s="1651"/>
      <c r="I194" s="1651"/>
      <c r="J194" s="1651"/>
      <c r="K194" s="1651">
        <f ca="1">IFERROR(IF(COUNTIF(INDIRECT("'"&amp;$H$3&amp;"'!K156"),"Public Transport*")=1,ROUND(INDIRECT("'"&amp;$H$3&amp;"'!K$95")*INDIRECT("'"&amp;$H$3&amp;"'!K155"),0),0),0)</f>
        <v>0</v>
      </c>
      <c r="L194" s="1651"/>
      <c r="M194" s="1651"/>
      <c r="N194" s="1651">
        <f ca="1">IFERROR(IF(COUNTIF(INDIRECT("'"&amp;$H$3&amp;"'!N156"),"Public Transport*")=1,ROUND(INDIRECT("'"&amp;$H$3&amp;"'!N$95")*INDIRECT("'"&amp;$H$3&amp;"'!N155"),0),0),0)</f>
        <v>0</v>
      </c>
      <c r="O194" s="1651"/>
      <c r="P194" s="1651"/>
      <c r="Q194" s="1651">
        <f ca="1">IFERROR(IF(COUNTIF(INDIRECT("'"&amp;$H$3&amp;"'!Q156"),"Public Transport*")=1,ROUND(INDIRECT("'"&amp;$H$3&amp;"'!Q$95")*INDIRECT("'"&amp;$H$3&amp;"'!Q155"),0),0),0)</f>
        <v>0</v>
      </c>
      <c r="R194" s="1652"/>
      <c r="S194" s="1652"/>
      <c r="T194" s="1651">
        <f ca="1">IFERROR(IF(COUNTIF(INDIRECT("'"&amp;$H$3&amp;"'!T156"),"Public Transport*")=1,ROUND(INDIRECT("'"&amp;$H$3&amp;"'!T$95")*INDIRECT("'"&amp;$H$3&amp;"'!T155"),0),0),0)</f>
        <v>0</v>
      </c>
      <c r="U194" s="1652"/>
      <c r="V194" s="1652"/>
      <c r="W194" s="1651">
        <f ca="1">IFERROR(IF(COUNTIF(INDIRECT("'"&amp;$H$3&amp;"'!W156"),"Public Transport*")=1,ROUND(INDIRECT("'"&amp;$H$3&amp;"'!W$95")*INDIRECT("'"&amp;$H$3&amp;"'!W155"),0),0),0)</f>
        <v>0</v>
      </c>
      <c r="X194" s="1466"/>
      <c r="Y194" s="36"/>
      <c r="Z194" s="36"/>
      <c r="AA194" s="36"/>
      <c r="AB194" s="36"/>
      <c r="AC194" s="36"/>
      <c r="AD194" s="36"/>
      <c r="AE194" s="36"/>
      <c r="AF194" s="36"/>
      <c r="AG194" s="36"/>
      <c r="AH194" s="36"/>
      <c r="AI194" s="36"/>
      <c r="AJ194" s="36"/>
      <c r="AK194" s="36"/>
      <c r="AL194" s="36"/>
      <c r="AM194" s="36"/>
      <c r="AN194" s="36" t="s">
        <v>190</v>
      </c>
    </row>
    <row r="195" spans="6:40" ht="15" customHeight="1" outlineLevel="1">
      <c r="F195" s="1649"/>
      <c r="G195" s="51" t="s">
        <v>158</v>
      </c>
      <c r="H195" s="836"/>
      <c r="I195" s="836"/>
      <c r="J195" s="836"/>
      <c r="K195" s="836">
        <f ca="1">IFERROR(INDEX(INDIRECT("'"&amp;$H$3&amp;"'!$H$43:$H$78"),MATCH(INDIRECT("'"&amp;$H$3&amp;"'!K156")&amp;"Maximum delivery capacity (m^3)", INDIRECT("'"&amp;$H$3&amp;"'!$F$43:$F$78"),0))/('1_Outputs'!K$187/INDIRECT("'"&amp;$H$3&amp;"'!K$96")),0)</f>
        <v>0</v>
      </c>
      <c r="L195" s="836"/>
      <c r="M195" s="836"/>
      <c r="N195" s="836">
        <f ca="1">IFERROR(INDEX(INDIRECT("'"&amp;$H$3&amp;"'!$H$43:$H$78"),MATCH(INDIRECT("'"&amp;$H$3&amp;"'!N156")&amp;"Maximum delivery capacity (m^3)", INDIRECT("'"&amp;$H$3&amp;"'!$F$43:$F$78"),0))/('1_Outputs'!N$187/INDIRECT("'"&amp;$H$3&amp;"'!N$96")),0)</f>
        <v>0</v>
      </c>
      <c r="O195" s="836"/>
      <c r="P195" s="836"/>
      <c r="Q195" s="836">
        <f ca="1">IFERROR(INDEX(INDIRECT("'"&amp;$H$3&amp;"'!$H$43:$H$78"),MATCH(INDIRECT("'"&amp;$H$3&amp;"'!Q156")&amp;"Maximum delivery capacity (m^3)", INDIRECT("'"&amp;$H$3&amp;"'!$F$43:$F$78"),0))/('1_Outputs'!Q$187/INDIRECT("'"&amp;$H$3&amp;"'!Q$96")),0)</f>
        <v>0</v>
      </c>
      <c r="R195" s="836"/>
      <c r="S195" s="836"/>
      <c r="T195" s="836">
        <f ca="1">IFERROR(INDEX(INDIRECT("'"&amp;$H$3&amp;"'!$H$43:$H$78"),MATCH(INDIRECT("'"&amp;$H$3&amp;"'!T156")&amp;"Maximum delivery capacity (m^3)", INDIRECT("'"&amp;$H$3&amp;"'!$F$43:$F$78"),0))/('1_Outputs'!T$187/INDIRECT("'"&amp;$H$3&amp;"'!T$96")),0)</f>
        <v>0</v>
      </c>
      <c r="U195" s="836"/>
      <c r="V195" s="836"/>
      <c r="W195" s="836">
        <f ca="1">IFERROR(INDEX(INDIRECT("'"&amp;$H$3&amp;"'!$H$43:$H$78"),MATCH(INDIRECT("'"&amp;$H$3&amp;"'!W156")&amp;"Maximum delivery capacity (m^3)", INDIRECT("'"&amp;$H$3&amp;"'!$F$43:$F$78"),0))/('1_Outputs'!W$187/INDIRECT("'"&amp;$H$3&amp;"'!W$96")),0)</f>
        <v>0</v>
      </c>
      <c r="X195" s="1469"/>
      <c r="Y195" s="36"/>
      <c r="Z195" s="36"/>
      <c r="AA195" s="36"/>
      <c r="AB195" s="36"/>
      <c r="AC195" s="36"/>
      <c r="AD195" s="36"/>
      <c r="AE195" s="36"/>
      <c r="AF195" s="36"/>
      <c r="AG195" s="36"/>
      <c r="AH195" s="36"/>
      <c r="AI195" s="36"/>
      <c r="AJ195" s="36"/>
      <c r="AK195" s="36"/>
      <c r="AL195" s="36"/>
      <c r="AM195" s="36"/>
      <c r="AN195" s="36"/>
    </row>
    <row r="196" spans="6:40" ht="15" customHeight="1" outlineLevel="1">
      <c r="F196" s="1649"/>
      <c r="G196" s="1613" t="s">
        <v>150</v>
      </c>
      <c r="H196" s="842"/>
      <c r="I196" s="842"/>
      <c r="J196" s="842"/>
      <c r="K196" s="842"/>
      <c r="L196" s="842"/>
      <c r="M196" s="842"/>
      <c r="N196" s="842"/>
      <c r="O196" s="842"/>
      <c r="P196" s="842"/>
      <c r="Q196" s="842"/>
      <c r="R196" s="1650"/>
      <c r="S196" s="1650"/>
      <c r="T196" s="842"/>
      <c r="U196" s="1650"/>
      <c r="V196" s="1650"/>
      <c r="W196" s="842"/>
      <c r="X196" s="1470"/>
      <c r="Y196" s="36"/>
      <c r="Z196" s="36"/>
      <c r="AA196" s="36"/>
      <c r="AB196" s="36"/>
      <c r="AC196" s="36"/>
      <c r="AD196" s="36"/>
      <c r="AE196" s="36"/>
      <c r="AF196" s="36"/>
      <c r="AG196" s="36"/>
      <c r="AH196" s="36"/>
      <c r="AI196" s="36"/>
      <c r="AJ196" s="36"/>
      <c r="AK196" s="36"/>
      <c r="AL196" s="36"/>
      <c r="AM196" s="36"/>
      <c r="AN196" s="36"/>
    </row>
    <row r="197" spans="6:40" ht="15" customHeight="1" outlineLevel="1">
      <c r="F197" s="1649"/>
      <c r="G197" s="51" t="s">
        <v>140</v>
      </c>
      <c r="H197" s="836"/>
      <c r="I197" s="836"/>
      <c r="J197" s="836"/>
      <c r="K197" s="836">
        <f ca="1">IFERROR(ROUND(INDIRECT("'"&amp;$H$3&amp;"'!$H$10")/(((1/60)*(INDIRECT("'"&amp;$H$3&amp;"'!K168")+INDIRECT("'"&amp;$H$3&amp;"'!$H$19")*(INDIRECT("'"&amp;$H$3&amp;"'!K169")+(INDIRECT("'"&amp;$H$3&amp;"'!K170")*('1_Outputs'!K$187/INDIRECT("'"&amp;$H$3&amp;"'!K$96")/INDIRECT("'"&amp;$H$3&amp;"'!$H$19"))))))+INDEX(INDIRECT("'"&amp;$H$3&amp;"'!$H$43:$H$78"),MATCH(INDIRECT("'"&amp;$H$3&amp;"'!K156")&amp;"Average duration (hrs) per trip",INDIRECT("'"&amp;$H$3&amp;"'!$F$43:$F$78"),0))),1),0)</f>
        <v>0</v>
      </c>
      <c r="L197" s="836"/>
      <c r="M197" s="836"/>
      <c r="N197" s="836">
        <f ca="1">IFERROR(ROUND(INDIRECT("'"&amp;$H$3&amp;"'!$H$10")/(((1/60)*(INDIRECT("'"&amp;$H$3&amp;"'!N168")+INDIRECT("'"&amp;$H$3&amp;"'!$H$19")*(INDIRECT("'"&amp;$H$3&amp;"'!N169")+(INDIRECT("'"&amp;$H$3&amp;"'!N170")*('1_Outputs'!N$187/INDIRECT("'"&amp;$H$3&amp;"'!N$96")/INDIRECT("'"&amp;$H$3&amp;"'!$H$19"))))))+INDEX(INDIRECT("'"&amp;$H$3&amp;"'!$H$43:$H$78"),MATCH(INDIRECT("'"&amp;$H$3&amp;"'!N156")&amp;"Average duration (hrs) per trip",INDIRECT("'"&amp;$H$3&amp;"'!$F$43:$F$78"),0))),1),0)</f>
        <v>0</v>
      </c>
      <c r="O197" s="836"/>
      <c r="P197" s="836"/>
      <c r="Q197" s="836">
        <f ca="1">IFERROR(ROUND(INDIRECT("'"&amp;$H$3&amp;"'!$H$10")/(((1/60)*(INDIRECT("'"&amp;$H$3&amp;"'!Q168")+INDIRECT("'"&amp;$H$3&amp;"'!$H$19")*(INDIRECT("'"&amp;$H$3&amp;"'!Q169")+(INDIRECT("'"&amp;$H$3&amp;"'!Q170")*('1_Outputs'!Q$187/INDIRECT("'"&amp;$H$3&amp;"'!Q$96")/INDIRECT("'"&amp;$H$3&amp;"'!$H$19"))))))+INDEX(INDIRECT("'"&amp;$H$3&amp;"'!$H$43:$H$78"),MATCH(INDIRECT("'"&amp;$H$3&amp;"'!Q156")&amp;"Average duration (hrs) per trip",INDIRECT("'"&amp;$H$3&amp;"'!$F$43:$F$78"),0))),1),0)</f>
        <v>0</v>
      </c>
      <c r="R197" s="836"/>
      <c r="S197" s="836"/>
      <c r="T197" s="836">
        <f ca="1">IFERROR(ROUND(INDIRECT("'"&amp;$H$3&amp;"'!$H$10")/(((1/60)*(INDIRECT("'"&amp;$H$3&amp;"'!T168")+INDIRECT("'"&amp;$H$3&amp;"'!$H$19")*(INDIRECT("'"&amp;$H$3&amp;"'!T169")+(INDIRECT("'"&amp;$H$3&amp;"'!T170")*('1_Outputs'!T$187/INDIRECT("'"&amp;$H$3&amp;"'!T$96")/INDIRECT("'"&amp;$H$3&amp;"'!$H$19"))))))+INDEX(INDIRECT("'"&amp;$H$3&amp;"'!$H$43:$H$78"),MATCH(INDIRECT("'"&amp;$H$3&amp;"'!T156")&amp;"Average duration (hrs) per trip",INDIRECT("'"&amp;$H$3&amp;"'!$F$43:$F$78"),0))),1),0)</f>
        <v>0</v>
      </c>
      <c r="U197" s="836"/>
      <c r="V197" s="836"/>
      <c r="W197" s="836">
        <f ca="1">IFERROR(ROUND(INDIRECT("'"&amp;$H$3&amp;"'!$H$10")/(((1/60)*(INDIRECT("'"&amp;$H$3&amp;"'!W168")+INDIRECT("'"&amp;$H$3&amp;"'!$H$19")*(INDIRECT("'"&amp;$H$3&amp;"'!W169")+(INDIRECT("'"&amp;$H$3&amp;"'!W170")*('1_Outputs'!W$187/INDIRECT("'"&amp;$H$3&amp;"'!W$96")/INDIRECT("'"&amp;$H$3&amp;"'!$H$19"))))))+INDEX(INDIRECT("'"&amp;$H$3&amp;"'!$H$43:$H$78"),MATCH(INDIRECT("'"&amp;$H$3&amp;"'!W156")&amp;"Average duration (hrs) per trip",INDIRECT("'"&amp;$H$3&amp;"'!$F$43:$F$78"),0))),1),0)</f>
        <v>0</v>
      </c>
      <c r="X197" s="1469"/>
      <c r="Y197" s="36"/>
      <c r="Z197" s="36"/>
      <c r="AA197" s="36"/>
      <c r="AB197" s="36"/>
      <c r="AC197" s="36"/>
      <c r="AD197" s="36"/>
      <c r="AE197" s="36"/>
      <c r="AF197" s="36"/>
      <c r="AG197" s="36"/>
      <c r="AH197" s="36"/>
      <c r="AI197" s="36"/>
      <c r="AJ197" s="36"/>
      <c r="AK197" s="36"/>
      <c r="AL197" s="36"/>
      <c r="AM197" s="36"/>
      <c r="AN197" s="36"/>
    </row>
    <row r="198" spans="6:40" ht="15" customHeight="1" outlineLevel="1">
      <c r="F198" s="1649"/>
      <c r="G198" s="51" t="s">
        <v>141</v>
      </c>
      <c r="H198" s="836"/>
      <c r="I198" s="836"/>
      <c r="J198" s="836"/>
      <c r="K198" s="836">
        <f ca="1">IFERROR(MIN(ROUND(K197*INDIRECT("'"&amp;$H$3&amp;"'!K164"),0),K195),0)</f>
        <v>0</v>
      </c>
      <c r="L198" s="836"/>
      <c r="M198" s="836"/>
      <c r="N198" s="836">
        <f ca="1">IFERROR(MIN(ROUND(N197*INDIRECT("'"&amp;$H$3&amp;"'!N164"),0),N195),0)</f>
        <v>0</v>
      </c>
      <c r="O198" s="836"/>
      <c r="P198" s="836"/>
      <c r="Q198" s="836">
        <f ca="1">IFERROR(MIN(ROUND(Q197*INDIRECT("'"&amp;$H$3&amp;"'!Q164"),0),Q195),0)</f>
        <v>0</v>
      </c>
      <c r="R198" s="836"/>
      <c r="S198" s="836"/>
      <c r="T198" s="836">
        <f ca="1">IFERROR(MIN(ROUND(T197*INDIRECT("'"&amp;$H$3&amp;"'!T164"),0),T195),0)</f>
        <v>0</v>
      </c>
      <c r="U198" s="836"/>
      <c r="V198" s="836"/>
      <c r="W198" s="836">
        <f ca="1">IFERROR(MIN(ROUND(W197*INDIRECT("'"&amp;$H$3&amp;"'!W164"),0),W195),0)</f>
        <v>0</v>
      </c>
      <c r="X198" s="1469"/>
      <c r="Y198" s="36"/>
      <c r="Z198" s="36"/>
      <c r="AA198" s="36"/>
      <c r="AB198" s="36"/>
      <c r="AC198" s="36"/>
      <c r="AD198" s="36"/>
      <c r="AE198" s="36"/>
      <c r="AF198" s="36"/>
      <c r="AG198" s="36"/>
      <c r="AH198" s="36"/>
      <c r="AI198" s="36"/>
      <c r="AJ198" s="36"/>
      <c r="AK198" s="36"/>
      <c r="AL198" s="36"/>
      <c r="AM198" s="36"/>
      <c r="AN198" s="36"/>
    </row>
    <row r="199" spans="6:40" ht="15" customHeight="1" outlineLevel="1">
      <c r="F199" s="1649"/>
      <c r="G199" s="51" t="s">
        <v>143</v>
      </c>
      <c r="H199" s="836"/>
      <c r="I199" s="836"/>
      <c r="J199" s="836"/>
      <c r="K199" s="836">
        <f ca="1">IFERROR(ROUNDUP(K194/K198,0),0)</f>
        <v>0</v>
      </c>
      <c r="L199" s="836"/>
      <c r="M199" s="836"/>
      <c r="N199" s="836">
        <f ca="1">IFERROR(ROUNDUP(N194/N198,0),0)</f>
        <v>0</v>
      </c>
      <c r="O199" s="836"/>
      <c r="P199" s="836"/>
      <c r="Q199" s="836">
        <f ca="1">IFERROR(ROUNDUP(Q194/Q198,0),0)</f>
        <v>0</v>
      </c>
      <c r="R199" s="836"/>
      <c r="S199" s="836"/>
      <c r="T199" s="836">
        <f ca="1">IFERROR(ROUNDUP(T194/T198,0),0)</f>
        <v>0</v>
      </c>
      <c r="U199" s="836"/>
      <c r="V199" s="836"/>
      <c r="W199" s="836">
        <f ca="1">IFERROR(ROUNDUP(W194/W198,0),0)</f>
        <v>0</v>
      </c>
      <c r="X199" s="1469"/>
      <c r="Y199" s="36"/>
      <c r="Z199" s="36"/>
      <c r="AA199" s="36"/>
      <c r="AB199" s="36"/>
      <c r="AC199" s="36"/>
      <c r="AD199" s="36"/>
      <c r="AE199" s="36"/>
      <c r="AF199" s="36"/>
      <c r="AG199" s="36"/>
      <c r="AH199" s="36"/>
      <c r="AI199" s="36"/>
      <c r="AJ199" s="36"/>
      <c r="AK199" s="242"/>
      <c r="AL199" s="36"/>
      <c r="AM199" s="36"/>
      <c r="AN199" s="36"/>
    </row>
    <row r="200" spans="6:40" ht="15" customHeight="1" outlineLevel="1">
      <c r="F200" s="1649"/>
      <c r="G200" s="51" t="s">
        <v>144</v>
      </c>
      <c r="H200" s="836"/>
      <c r="I200" s="836"/>
      <c r="J200" s="836"/>
      <c r="K200" s="836">
        <f ca="1">IFERROR((K199*(MAX(K198,1)+1)),0)</f>
        <v>0</v>
      </c>
      <c r="L200" s="836"/>
      <c r="M200" s="836"/>
      <c r="N200" s="836">
        <f ca="1">IFERROR((N199*(MAX(N198,1)+1)),0)</f>
        <v>0</v>
      </c>
      <c r="O200" s="836"/>
      <c r="P200" s="836"/>
      <c r="Q200" s="836">
        <f ca="1">IFERROR((Q199*(MAX(Q198,1)+1)),0)</f>
        <v>0</v>
      </c>
      <c r="R200" s="836"/>
      <c r="S200" s="836"/>
      <c r="T200" s="836">
        <f ca="1">IFERROR((T199*(MAX(T198,1)+1)),0)</f>
        <v>0</v>
      </c>
      <c r="U200" s="836"/>
      <c r="V200" s="836"/>
      <c r="W200" s="836">
        <f ca="1">IFERROR((W199*(MAX(W198,1)+1)),0)</f>
        <v>0</v>
      </c>
      <c r="X200" s="1469"/>
      <c r="Y200" s="36"/>
      <c r="Z200" s="36"/>
      <c r="AA200" s="36"/>
      <c r="AB200" s="36"/>
      <c r="AC200" s="36"/>
      <c r="AD200" s="36"/>
      <c r="AE200" s="36"/>
      <c r="AF200" s="36"/>
      <c r="AG200" s="36"/>
      <c r="AH200" s="36"/>
      <c r="AI200" s="36"/>
      <c r="AJ200" s="36"/>
      <c r="AK200" s="242"/>
      <c r="AL200" s="36"/>
      <c r="AM200" s="36"/>
      <c r="AN200" s="36"/>
    </row>
    <row r="201" spans="6:40" ht="15" customHeight="1" outlineLevel="1">
      <c r="F201" s="1649"/>
      <c r="G201" s="51" t="s">
        <v>145</v>
      </c>
      <c r="H201" s="836"/>
      <c r="I201" s="836"/>
      <c r="J201" s="836"/>
      <c r="K201" s="836">
        <f ca="1">IFERROR(ROUNDUP(((K200*INDEX(INDIRECT("'"&amp;$H$3&amp;"'!$H$43:$H$78"),MATCH(INDIRECT("'"&amp;$H$3&amp;"'!K156")&amp;"Average duration (hrs) per trip",INDIRECT("'"&amp;$H$3&amp;"'!$F$43:$F$78"),0)))+(K194*((1/60)*(INDIRECT("'"&amp;$H$3&amp;"'!K168")+INDIRECT("'"&amp;$H$3&amp;"'!$H$19")*(INDIRECT("'"&amp;$H$3&amp;"'!K169")+(INDIRECT("'"&amp;$H$3&amp;"'!K170")*('1_Outputs'!K$187/INDIRECT("'"&amp;$H$3&amp;"'!K$96")/INDIRECT("'"&amp;$H$3&amp;"'!$H$19"))))))))/INDIRECT("'"&amp;$H$3&amp;"'!$H$10"),0),0)</f>
        <v>0</v>
      </c>
      <c r="L201" s="836"/>
      <c r="M201" s="836"/>
      <c r="N201" s="836">
        <f ca="1">IFERROR(ROUNDUP(((N200*INDEX(INDIRECT("'"&amp;$H$3&amp;"'!$H$43:$H$78"),MATCH(INDIRECT("'"&amp;$H$3&amp;"'!N156")&amp;"Average duration (hrs) per trip",INDIRECT("'"&amp;$H$3&amp;"'!$F$43:$F$78"),0)))+(N194*((1/60)*(INDIRECT("'"&amp;$H$3&amp;"'!N168")+INDIRECT("'"&amp;$H$3&amp;"'!$H$19")*(INDIRECT("'"&amp;$H$3&amp;"'!N169")+(INDIRECT("'"&amp;$H$3&amp;"'!N170")*('1_Outputs'!N$187/INDIRECT("'"&amp;$H$3&amp;"'!N$96")/INDIRECT("'"&amp;$H$3&amp;"'!$H$19"))))))))/INDIRECT("'"&amp;$H$3&amp;"'!$H$10"),0),0)</f>
        <v>0</v>
      </c>
      <c r="O201" s="836"/>
      <c r="P201" s="836"/>
      <c r="Q201" s="836">
        <f ca="1">IFERROR(ROUNDUP(((Q200*INDEX(INDIRECT("'"&amp;$H$3&amp;"'!$H$43:$H$78"),MATCH(INDIRECT("'"&amp;$H$3&amp;"'!Q156")&amp;"Average duration (hrs) per trip",INDIRECT("'"&amp;$H$3&amp;"'!$F$43:$F$78"),0)))+(Q194*((1/60)*(INDIRECT("'"&amp;$H$3&amp;"'!Q168")+INDIRECT("'"&amp;$H$3&amp;"'!$H$19")*(INDIRECT("'"&amp;$H$3&amp;"'!Q169")+(INDIRECT("'"&amp;$H$3&amp;"'!Q170")*('1_Outputs'!Q$187/INDIRECT("'"&amp;$H$3&amp;"'!Q$96")/INDIRECT("'"&amp;$H$3&amp;"'!$H$19"))))))))/INDIRECT("'"&amp;$H$3&amp;"'!$H$10"),0),0)</f>
        <v>0</v>
      </c>
      <c r="R201" s="836"/>
      <c r="S201" s="836"/>
      <c r="T201" s="836">
        <f ca="1">IFERROR(ROUNDUP(((T200*INDEX(INDIRECT("'"&amp;$H$3&amp;"'!$H$43:$H$78"),MATCH(INDIRECT("'"&amp;$H$3&amp;"'!T156")&amp;"Average duration (hrs) per trip",INDIRECT("'"&amp;$H$3&amp;"'!$F$43:$F$78"),0)))+(T194*((1/60)*(INDIRECT("'"&amp;$H$3&amp;"'!T168")+INDIRECT("'"&amp;$H$3&amp;"'!$H$19")*(INDIRECT("'"&amp;$H$3&amp;"'!T169")+(INDIRECT("'"&amp;$H$3&amp;"'!T170")*('1_Outputs'!T$187/INDIRECT("'"&amp;$H$3&amp;"'!T$96")/INDIRECT("'"&amp;$H$3&amp;"'!$H$19"))))))))/INDIRECT("'"&amp;$H$3&amp;"'!$H$10"),0),0)</f>
        <v>0</v>
      </c>
      <c r="U201" s="836"/>
      <c r="V201" s="836"/>
      <c r="W201" s="836">
        <f ca="1">IFERROR(ROUNDUP(((W200*INDEX(INDIRECT("'"&amp;$H$3&amp;"'!$H$43:$H$78"),MATCH(INDIRECT("'"&amp;$H$3&amp;"'!W156")&amp;"Average duration (hrs) per trip",INDIRECT("'"&amp;$H$3&amp;"'!$F$43:$F$78"),0)))+(W194*((1/60)*(INDIRECT("'"&amp;$H$3&amp;"'!W168")+INDIRECT("'"&amp;$H$3&amp;"'!$H$19")*(INDIRECT("'"&amp;$H$3&amp;"'!W169")+(INDIRECT("'"&amp;$H$3&amp;"'!W170")*('1_Outputs'!W$187/INDIRECT("'"&amp;$H$3&amp;"'!W$96")/INDIRECT("'"&amp;$H$3&amp;"'!$H$19"))))))))/INDIRECT("'"&amp;$H$3&amp;"'!$H$10"),0),0)</f>
        <v>0</v>
      </c>
      <c r="X201" s="1469"/>
      <c r="Y201" s="36"/>
      <c r="Z201" s="36"/>
      <c r="AA201" s="36"/>
      <c r="AB201" s="36"/>
      <c r="AC201" s="36"/>
      <c r="AD201" s="36"/>
      <c r="AE201" s="36"/>
      <c r="AF201" s="36"/>
      <c r="AG201" s="36"/>
      <c r="AH201" s="36"/>
      <c r="AI201" s="36"/>
      <c r="AJ201" s="36"/>
      <c r="AK201" s="242"/>
      <c r="AL201" s="36"/>
      <c r="AM201" s="36"/>
      <c r="AN201" s="36"/>
    </row>
    <row r="202" spans="6:40" ht="15" customHeight="1" outlineLevel="1">
      <c r="F202" s="1649"/>
      <c r="G202" s="1613" t="s">
        <v>841</v>
      </c>
      <c r="H202" s="842"/>
      <c r="I202" s="842"/>
      <c r="J202" s="842"/>
      <c r="K202" s="842"/>
      <c r="L202" s="842"/>
      <c r="M202" s="842"/>
      <c r="N202" s="842"/>
      <c r="O202" s="842"/>
      <c r="P202" s="842"/>
      <c r="Q202" s="842"/>
      <c r="R202" s="1650"/>
      <c r="S202" s="1650"/>
      <c r="T202" s="842"/>
      <c r="U202" s="1650"/>
      <c r="V202" s="1650"/>
      <c r="W202" s="842"/>
      <c r="X202" s="1470"/>
      <c r="Y202" s="36"/>
      <c r="Z202" s="36"/>
      <c r="AA202" s="36"/>
      <c r="AB202" s="36"/>
      <c r="AC202" s="36"/>
      <c r="AD202" s="36"/>
      <c r="AE202" s="36"/>
      <c r="AF202" s="36"/>
      <c r="AG202" s="36"/>
      <c r="AH202" s="36"/>
      <c r="AI202" s="36"/>
      <c r="AJ202" s="36"/>
      <c r="AK202" s="36"/>
      <c r="AL202" s="36"/>
      <c r="AM202" s="36"/>
      <c r="AN202" s="36"/>
    </row>
    <row r="203" spans="6:40" ht="15" customHeight="1" outlineLevel="1">
      <c r="F203" s="1649"/>
      <c r="G203" s="51" t="s">
        <v>144</v>
      </c>
      <c r="H203" s="836"/>
      <c r="I203" s="836"/>
      <c r="J203" s="836"/>
      <c r="K203" s="836">
        <f ca="1">IFERROR((K194/MIN(K195,1))*2,0)</f>
        <v>0</v>
      </c>
      <c r="L203" s="836"/>
      <c r="M203" s="836"/>
      <c r="N203" s="836">
        <f ca="1">IFERROR((N194/MIN(N195,1))*2,0)</f>
        <v>0</v>
      </c>
      <c r="O203" s="836"/>
      <c r="P203" s="836"/>
      <c r="Q203" s="836">
        <f ca="1">IFERROR((Q194/MIN(Q195,1))*2,0)</f>
        <v>0</v>
      </c>
      <c r="R203" s="836"/>
      <c r="S203" s="836"/>
      <c r="T203" s="836">
        <f ca="1">IFERROR((T194/MIN(T195,1))*2,0)</f>
        <v>0</v>
      </c>
      <c r="U203" s="836"/>
      <c r="V203" s="836"/>
      <c r="W203" s="836">
        <f ca="1">IFERROR((W194/MIN(W195,1))*2,0)</f>
        <v>0</v>
      </c>
      <c r="X203" s="1469"/>
      <c r="Y203" s="36"/>
      <c r="Z203" s="36"/>
      <c r="AA203" s="36"/>
      <c r="AB203" s="36"/>
      <c r="AC203" s="36"/>
      <c r="AD203" s="36"/>
      <c r="AE203" s="36"/>
      <c r="AF203" s="36"/>
      <c r="AG203" s="36"/>
      <c r="AH203" s="36"/>
      <c r="AI203" s="36"/>
      <c r="AJ203" s="36"/>
      <c r="AK203" s="36"/>
      <c r="AL203" s="36"/>
      <c r="AM203" s="36"/>
      <c r="AN203" s="36"/>
    </row>
    <row r="204" spans="6:40" ht="15" customHeight="1" outlineLevel="1">
      <c r="F204" s="1649"/>
      <c r="G204" s="51" t="s">
        <v>145</v>
      </c>
      <c r="H204" s="837"/>
      <c r="I204" s="837"/>
      <c r="J204" s="837"/>
      <c r="K204" s="837">
        <f ca="1">IFERROR(MAX(K194,ROUNDUP(((K203*INDEX(INDIRECT("'"&amp;$H$3&amp;"'!$H$43:$H$78"),MATCH(INDIRECT("'"&amp;$H$3&amp;"'!K156")&amp;"Average duration (hrs) per trip",INDIRECT("'"&amp;$H$3&amp;"'!$F$43:$F$78"),0)))+(K194*((1/60)*(INDIRECT("'"&amp;$H$3&amp;"'!K168")+INDIRECT("'"&amp;$H$3&amp;"'!$H$19")*(INDIRECT("'"&amp;$H$3&amp;"'!K169")+(INDIRECT("'"&amp;$H$3&amp;"'!K170")*('1_Outputs'!K$187/INDIRECT("'"&amp;$H$3&amp;"'!K$96")/INDIRECT("'"&amp;$H$3&amp;"'!$H$19"))))))))/INDIRECT("'"&amp;$H$3&amp;"'!$H$10"),0)),0)</f>
        <v>0</v>
      </c>
      <c r="L204" s="837"/>
      <c r="M204" s="837"/>
      <c r="N204" s="837">
        <f ca="1">IFERROR(MAX(N194,ROUNDUP(((N203*INDEX(INDIRECT("'"&amp;$H$3&amp;"'!$H$43:$H$78"),MATCH(INDIRECT("'"&amp;$H$3&amp;"'!N156")&amp;"Average duration (hrs) per trip",INDIRECT("'"&amp;$H$3&amp;"'!$F$43:$F$78"),0)))+(N194*((1/60)*(INDIRECT("'"&amp;$H$3&amp;"'!N168")+INDIRECT("'"&amp;$H$3&amp;"'!$H$19")*(INDIRECT("'"&amp;$H$3&amp;"'!N169")+(INDIRECT("'"&amp;$H$3&amp;"'!N170")*('1_Outputs'!N$187/INDIRECT("'"&amp;$H$3&amp;"'!N$96")/INDIRECT("'"&amp;$H$3&amp;"'!$H$19"))))))))/INDIRECT("'"&amp;$H$3&amp;"'!$H$10"),0)),0)</f>
        <v>0</v>
      </c>
      <c r="O204" s="837"/>
      <c r="P204" s="837"/>
      <c r="Q204" s="837">
        <f ca="1">IFERROR(MAX(Q194,ROUNDUP(((Q203*INDEX(INDIRECT("'"&amp;$H$3&amp;"'!$H$43:$H$78"),MATCH(INDIRECT("'"&amp;$H$3&amp;"'!Q156")&amp;"Average duration (hrs) per trip",INDIRECT("'"&amp;$H$3&amp;"'!$F$43:$F$78"),0)))+(Q194*((1/60)*(INDIRECT("'"&amp;$H$3&amp;"'!Q168")+INDIRECT("'"&amp;$H$3&amp;"'!$H$19")*(INDIRECT("'"&amp;$H$3&amp;"'!Q169")+(INDIRECT("'"&amp;$H$3&amp;"'!Q170")*('1_Outputs'!Q$187/INDIRECT("'"&amp;$H$3&amp;"'!Q$96")/INDIRECT("'"&amp;$H$3&amp;"'!$H$19"))))))))/INDIRECT("'"&amp;$H$3&amp;"'!$H$10"),0)),0)</f>
        <v>0</v>
      </c>
      <c r="R204" s="837"/>
      <c r="S204" s="837"/>
      <c r="T204" s="837">
        <f ca="1">IFERROR(MAX(T194,ROUNDUP(((T203*INDEX(INDIRECT("'"&amp;$H$3&amp;"'!$H$43:$H$78"),MATCH(INDIRECT("'"&amp;$H$3&amp;"'!T156")&amp;"Average duration (hrs) per trip",INDIRECT("'"&amp;$H$3&amp;"'!$F$43:$F$78"),0)))+(T194*((1/60)*(INDIRECT("'"&amp;$H$3&amp;"'!T168")+INDIRECT("'"&amp;$H$3&amp;"'!$H$19")*(INDIRECT("'"&amp;$H$3&amp;"'!T169")+(INDIRECT("'"&amp;$H$3&amp;"'!T170")*('1_Outputs'!T$187/INDIRECT("'"&amp;$H$3&amp;"'!T$96")/INDIRECT("'"&amp;$H$3&amp;"'!$H$19"))))))))/INDIRECT("'"&amp;$H$3&amp;"'!$H$10"),0)),0)</f>
        <v>0</v>
      </c>
      <c r="U204" s="837"/>
      <c r="V204" s="837"/>
      <c r="W204" s="837">
        <f ca="1">IFERROR(MAX(W194,ROUNDUP(((W203*INDEX(INDIRECT("'"&amp;$H$3&amp;"'!$H$43:$H$78"),MATCH(INDIRECT("'"&amp;$H$3&amp;"'!W156")&amp;"Average duration (hrs) per trip",INDIRECT("'"&amp;$H$3&amp;"'!$F$43:$F$78"),0)))+(W194*((1/60)*(INDIRECT("'"&amp;$H$3&amp;"'!W168")+INDIRECT("'"&amp;$H$3&amp;"'!$H$19")*(INDIRECT("'"&amp;$H$3&amp;"'!W169")+(INDIRECT("'"&amp;$H$3&amp;"'!W170")*('1_Outputs'!W$187/INDIRECT("'"&amp;$H$3&amp;"'!W$96")/INDIRECT("'"&amp;$H$3&amp;"'!$H$19"))))))))/INDIRECT("'"&amp;$H$3&amp;"'!$H$10"),0)),0)</f>
        <v>0</v>
      </c>
      <c r="X204" s="1468"/>
      <c r="Y204" s="36"/>
      <c r="Z204" s="36"/>
      <c r="AA204" s="36"/>
      <c r="AB204" s="36"/>
      <c r="AC204" s="36"/>
      <c r="AD204" s="36"/>
      <c r="AE204" s="36"/>
      <c r="AF204" s="36"/>
      <c r="AG204" s="36"/>
      <c r="AH204" s="36"/>
      <c r="AI204" s="36"/>
      <c r="AJ204" s="36"/>
      <c r="AK204" s="242"/>
      <c r="AL204" s="36"/>
      <c r="AM204" s="36"/>
      <c r="AN204" s="36"/>
    </row>
    <row r="205" spans="6:40" ht="15" customHeight="1" outlineLevel="1">
      <c r="F205" s="1647" t="s">
        <v>148</v>
      </c>
      <c r="G205" s="1614"/>
      <c r="H205" s="848"/>
      <c r="I205" s="848"/>
      <c r="J205" s="848"/>
      <c r="K205" s="848"/>
      <c r="L205" s="848"/>
      <c r="M205" s="848"/>
      <c r="N205" s="848"/>
      <c r="O205" s="848"/>
      <c r="P205" s="848"/>
      <c r="Q205" s="848"/>
      <c r="R205" s="1646"/>
      <c r="S205" s="1646"/>
      <c r="T205" s="848"/>
      <c r="U205" s="1646"/>
      <c r="V205" s="1646"/>
      <c r="W205" s="848"/>
      <c r="X205" s="1471"/>
      <c r="Y205" s="36"/>
      <c r="Z205" s="36"/>
      <c r="AA205" s="36"/>
      <c r="AB205" s="36"/>
      <c r="AC205" s="36"/>
      <c r="AD205" s="36"/>
      <c r="AE205" s="36"/>
      <c r="AF205" s="36"/>
      <c r="AG205" s="36"/>
      <c r="AH205" s="36"/>
      <c r="AI205" s="36"/>
      <c r="AJ205" s="36"/>
      <c r="AK205" s="242"/>
      <c r="AL205" s="36"/>
      <c r="AM205" s="36"/>
      <c r="AN205" s="36"/>
    </row>
    <row r="206" spans="6:40" ht="15" customHeight="1" outlineLevel="1">
      <c r="F206" s="86"/>
      <c r="G206" s="51" t="s">
        <v>151</v>
      </c>
      <c r="H206" s="836"/>
      <c r="I206" s="836"/>
      <c r="J206" s="836"/>
      <c r="K206" s="836">
        <f ca="1">IFERROR(IF(COUNTIF(INDIRECT("'"&amp;$H$3&amp;"'!K156"),"Public Transport*")&lt;1,ROUND(INDIRECT("'"&amp;$H$3&amp;"'!K$95")*INDIRECT("'"&amp;$H$3&amp;"'!K155"),0),0),0)</f>
        <v>0</v>
      </c>
      <c r="L206" s="836"/>
      <c r="M206" s="836"/>
      <c r="N206" s="836">
        <f ca="1">IFERROR(IF(COUNTIF(INDIRECT("'"&amp;$H$3&amp;"'!N156"),"Public Transport*")&lt;1,ROUND(INDIRECT("'"&amp;$H$3&amp;"'!N$95")*INDIRECT("'"&amp;$H$3&amp;"'!N155"),0),0),0)</f>
        <v>0</v>
      </c>
      <c r="O206" s="836"/>
      <c r="P206" s="836"/>
      <c r="Q206" s="836">
        <f ca="1">IFERROR(IF(COUNTIF(INDIRECT("'"&amp;$H$3&amp;"'!Q156"),"Public Transport*")&lt;1,ROUND(INDIRECT("'"&amp;$H$3&amp;"'!Q$95")*INDIRECT("'"&amp;$H$3&amp;"'!Q155"),0),0),0)</f>
        <v>0</v>
      </c>
      <c r="R206" s="1652"/>
      <c r="S206" s="1652"/>
      <c r="T206" s="836">
        <f ca="1">IFERROR(IF(COUNTIF(INDIRECT("'"&amp;$H$3&amp;"'!T156"),"Public Transport*")&lt;1,ROUND(INDIRECT("'"&amp;$H$3&amp;"'!T$95")*INDIRECT("'"&amp;$H$3&amp;"'!T155"),0),0),0)</f>
        <v>0</v>
      </c>
      <c r="U206" s="1652"/>
      <c r="V206" s="1652"/>
      <c r="W206" s="836">
        <f ca="1">IFERROR(IF(COUNTIF(INDIRECT("'"&amp;$H$3&amp;"'!W156"),"Public Transport*")&lt;1,ROUND(INDIRECT("'"&amp;$H$3&amp;"'!W$95")*INDIRECT("'"&amp;$H$3&amp;"'!W155"),0),0),0)</f>
        <v>0</v>
      </c>
      <c r="X206" s="1469"/>
      <c r="Y206" s="36"/>
      <c r="Z206" s="36"/>
      <c r="AA206" s="36"/>
      <c r="AB206" s="36"/>
      <c r="AC206" s="36"/>
      <c r="AD206" s="36"/>
      <c r="AE206" s="36"/>
      <c r="AF206" s="36"/>
      <c r="AG206" s="36"/>
      <c r="AH206" s="36"/>
      <c r="AI206" s="36"/>
      <c r="AJ206" s="36"/>
      <c r="AK206" s="242"/>
      <c r="AL206" s="36"/>
      <c r="AM206" s="36"/>
      <c r="AN206" s="36"/>
    </row>
    <row r="207" spans="6:40" ht="15" customHeight="1" outlineLevel="1">
      <c r="F207" s="52"/>
      <c r="G207" s="51" t="s">
        <v>58</v>
      </c>
      <c r="H207" s="837"/>
      <c r="I207" s="837"/>
      <c r="J207" s="837"/>
      <c r="K207" s="837">
        <f ca="1">IFERROR(IF(INDIRECT("'"&amp;$H$3&amp;"'!K163")="Route-based",K216*K217,IF(INDIRECT("'"&amp;$H$3&amp;"'!K163")="Point-to-point",K221*K222,0)),0)</f>
        <v>0</v>
      </c>
      <c r="L207" s="837"/>
      <c r="M207" s="837"/>
      <c r="N207" s="837">
        <f ca="1">IFERROR(IF(INDIRECT("'"&amp;$H$3&amp;"'!N163")="Route-based",N216*N217,IF(INDIRECT("'"&amp;$H$3&amp;"'!N163")="Point-to-point",N221*N222,0)),0)</f>
        <v>0</v>
      </c>
      <c r="O207" s="837"/>
      <c r="P207" s="837"/>
      <c r="Q207" s="837">
        <f ca="1">IFERROR(IF(INDIRECT("'"&amp;$H$3&amp;"'!Q163")="Route-based",Q216*Q217,IF(INDIRECT("'"&amp;$H$3&amp;"'!Q163")="Point-to-point",Q221*Q222,0)),0)</f>
        <v>0</v>
      </c>
      <c r="R207" s="1650"/>
      <c r="S207" s="1650"/>
      <c r="T207" s="837">
        <f ca="1">IFERROR(IF(INDIRECT("'"&amp;$H$3&amp;"'!T163")="Route-based",T216*T217,IF(INDIRECT("'"&amp;$H$3&amp;"'!T163")="Point-to-point",T221*T222,0)),0)</f>
        <v>0</v>
      </c>
      <c r="U207" s="1650"/>
      <c r="V207" s="1650"/>
      <c r="W207" s="837">
        <f ca="1">IFERROR(IF(INDIRECT("'"&amp;$H$3&amp;"'!W163")="Route-based",W216*W217,IF(INDIRECT("'"&amp;$H$3&amp;"'!W163")="Point-to-point",W221*W222,0)),0)</f>
        <v>0</v>
      </c>
      <c r="X207" s="1472"/>
      <c r="Y207" s="36"/>
      <c r="Z207" s="36"/>
      <c r="AA207" s="36"/>
      <c r="AB207" s="36"/>
      <c r="AC207" s="36"/>
      <c r="AD207" s="36"/>
      <c r="AE207" s="36"/>
      <c r="AF207" s="36"/>
      <c r="AG207" s="36"/>
      <c r="AH207" s="36"/>
      <c r="AI207" s="36"/>
      <c r="AJ207" s="36"/>
      <c r="AK207" s="242"/>
      <c r="AL207" s="36"/>
      <c r="AM207" s="36"/>
      <c r="AN207" s="36"/>
    </row>
    <row r="208" spans="6:40" ht="15" customHeight="1" outlineLevel="1">
      <c r="F208" s="52"/>
      <c r="G208" s="51" t="s">
        <v>389</v>
      </c>
      <c r="H208" s="837"/>
      <c r="I208" s="837"/>
      <c r="J208" s="837"/>
      <c r="K208" s="837">
        <f ca="1">IFERROR(IF(INDIRECT("'"&amp;$H$3&amp;"'!K183")="Route-based",K216,IF(INDIRECT("'"&amp;$H$3&amp;"'!K183")="Point-to-point",K221,0)),"")</f>
        <v>0</v>
      </c>
      <c r="L208" s="837"/>
      <c r="M208" s="837"/>
      <c r="N208" s="837">
        <f ca="1">IFERROR(IF(INDIRECT("'"&amp;$H$3&amp;"'!N183")="Route-based",N216,IF(INDIRECT("'"&amp;$H$3&amp;"'!N183")="Point-to-point",N221,0)),"")</f>
        <v>0</v>
      </c>
      <c r="O208" s="837"/>
      <c r="P208" s="837"/>
      <c r="Q208" s="837">
        <f ca="1">IFERROR(IF(INDIRECT("'"&amp;$H$3&amp;"'!Q183")="Route-based",Q216,IF(INDIRECT("'"&amp;$H$3&amp;"'!Q183")="Point-to-point",Q221,0)),"")</f>
        <v>0</v>
      </c>
      <c r="R208" s="1650"/>
      <c r="S208" s="1650"/>
      <c r="T208" s="837">
        <f ca="1">IFERROR(IF(INDIRECT("'"&amp;$H$3&amp;"'!T183")="Route-based",T216,IF(INDIRECT("'"&amp;$H$3&amp;"'!T183")="Point-to-point",T221,0)),"")</f>
        <v>0</v>
      </c>
      <c r="U208" s="1650"/>
      <c r="V208" s="1650"/>
      <c r="W208" s="837">
        <f ca="1">IFERROR(IF(INDIRECT("'"&amp;$H$3&amp;"'!W183")="Route-based",W216,IF(INDIRECT("'"&amp;$H$3&amp;"'!W183")="Point-to-point",W221,0)),"")</f>
        <v>0</v>
      </c>
      <c r="X208" s="1472"/>
      <c r="Y208" s="36"/>
      <c r="Z208" s="36"/>
      <c r="AA208" s="36"/>
      <c r="AB208" s="36"/>
      <c r="AC208" s="36"/>
      <c r="AD208" s="36"/>
      <c r="AE208" s="36"/>
      <c r="AF208" s="36"/>
      <c r="AG208" s="36"/>
      <c r="AH208" s="36"/>
      <c r="AI208" s="36"/>
      <c r="AJ208" s="36"/>
      <c r="AK208" s="242"/>
      <c r="AL208" s="36"/>
      <c r="AM208" s="36"/>
      <c r="AN208" s="36"/>
    </row>
    <row r="209" spans="6:40" ht="15" customHeight="1" outlineLevel="1">
      <c r="F209" s="52"/>
      <c r="G209" s="51" t="s">
        <v>49</v>
      </c>
      <c r="H209" s="837"/>
      <c r="I209" s="837"/>
      <c r="J209" s="837"/>
      <c r="K209" s="837">
        <f ca="1">IFERROR(IF(INDIRECT("'"&amp;$H$3&amp;"'!K163")="Route-based",ROUND(K218*K216/INDIRECT("'"&amp;$H$3&amp;"'!$H$10"),0),IF(INDIRECT("'"&amp;$H$3&amp;"'!K163")="Point-to-point",ROUND(((K221*((1/60)*(INDIRECT("'"&amp;$H$3&amp;"'!K168")+INDIRECT("'"&amp;$H$3&amp;"'!$H$19")*(INDIRECT("'"&amp;$H$3&amp;"'!K169")+(INDIRECT("'"&amp;$H$3&amp;"'!K170")*(MIN(('1_Outputs'!K$187/INDIRECT("'"&amp;$H$3&amp;"'!K$96")),INDEX(INDIRECT("'"&amp;$H$3&amp;"'!$H$49:$H$78"),MATCH(INDIRECT("'"&amp;$H$3&amp;"'!K156")&amp;"Delivery Capacity (m^3)",INDIRECT("'"&amp;$H$3&amp;"'!$F$49:$F$78"),0)))/INDIRECT("'"&amp;$H$3&amp;"'!$H$19")))))))+(K207/INDIRECT("'"&amp;$H$3&amp;"'!K172")))/INDIRECT("'"&amp;$H$3&amp;"'!$H$10"),0),0)),0)</f>
        <v>0</v>
      </c>
      <c r="L209" s="837"/>
      <c r="M209" s="837"/>
      <c r="N209" s="837">
        <f ca="1">IFERROR(IF(INDIRECT("'"&amp;$H$3&amp;"'!N163")="Route-based",ROUND(N218*N216/INDIRECT("'"&amp;$H$3&amp;"'!$H$10"),0),IF(INDIRECT("'"&amp;$H$3&amp;"'!N163")="Point-to-point",ROUND(((N221*((1/60)*(INDIRECT("'"&amp;$H$3&amp;"'!N168")+INDIRECT("'"&amp;$H$3&amp;"'!$H$19")*(INDIRECT("'"&amp;$H$3&amp;"'!N169")+(INDIRECT("'"&amp;$H$3&amp;"'!N170")*(MIN(('1_Outputs'!N$187/INDIRECT("'"&amp;$H$3&amp;"'!N$96")),INDEX(INDIRECT("'"&amp;$H$3&amp;"'!$H$49:$H$78"),MATCH(INDIRECT("'"&amp;$H$3&amp;"'!N156")&amp;"Delivery Capacity (m^3)",INDIRECT("'"&amp;$H$3&amp;"'!$F$49:$F$78"),0)))/INDIRECT("'"&amp;$H$3&amp;"'!$H$19")))))))+(N207/INDIRECT("'"&amp;$H$3&amp;"'!N172")))/INDIRECT("'"&amp;$H$3&amp;"'!$H$10"),0),0)),0)</f>
        <v>0</v>
      </c>
      <c r="O209" s="837"/>
      <c r="P209" s="837"/>
      <c r="Q209" s="837">
        <f ca="1">IFERROR(IF(INDIRECT("'"&amp;$H$3&amp;"'!Q163")="Route-based",ROUND(Q218*Q216/INDIRECT("'"&amp;$H$3&amp;"'!$H$10"),0),IF(INDIRECT("'"&amp;$H$3&amp;"'!Q163")="Point-to-point",ROUND(((Q221*((1/60)*(INDIRECT("'"&amp;$H$3&amp;"'!Q168")+INDIRECT("'"&amp;$H$3&amp;"'!$H$19")*(INDIRECT("'"&amp;$H$3&amp;"'!Q169")+(INDIRECT("'"&amp;$H$3&amp;"'!Q170")*(MIN(('1_Outputs'!Q$187/INDIRECT("'"&amp;$H$3&amp;"'!Q$96")),INDEX(INDIRECT("'"&amp;$H$3&amp;"'!$H$49:$H$78"),MATCH(INDIRECT("'"&amp;$H$3&amp;"'!Q156")&amp;"Delivery Capacity (m^3)",INDIRECT("'"&amp;$H$3&amp;"'!$F$49:$F$78"),0)))/INDIRECT("'"&amp;$H$3&amp;"'!$H$19")))))))+(Q207/INDIRECT("'"&amp;$H$3&amp;"'!Q172")))/INDIRECT("'"&amp;$H$3&amp;"'!$H$10"),0),0)),0)</f>
        <v>0</v>
      </c>
      <c r="R209" s="837"/>
      <c r="S209" s="837"/>
      <c r="T209" s="837">
        <f ca="1">IFERROR(IF(INDIRECT("'"&amp;$H$3&amp;"'!T163")="Route-based",ROUND(T218*T216/INDIRECT("'"&amp;$H$3&amp;"'!$H$10"),0),IF(INDIRECT("'"&amp;$H$3&amp;"'!T163")="Point-to-point",ROUND(((T221*((1/60)*(INDIRECT("'"&amp;$H$3&amp;"'!T168")+INDIRECT("'"&amp;$H$3&amp;"'!$H$19")*(INDIRECT("'"&amp;$H$3&amp;"'!T169")+(INDIRECT("'"&amp;$H$3&amp;"'!T170")*(MIN(('1_Outputs'!T$187/INDIRECT("'"&amp;$H$3&amp;"'!T$96")),INDEX(INDIRECT("'"&amp;$H$3&amp;"'!$H$49:$H$78"),MATCH(INDIRECT("'"&amp;$H$3&amp;"'!T156")&amp;"Delivery Capacity (m^3)",INDIRECT("'"&amp;$H$3&amp;"'!$F$49:$F$78"),0)))/INDIRECT("'"&amp;$H$3&amp;"'!$H$19")))))))+(T207/INDIRECT("'"&amp;$H$3&amp;"'!T172")))/INDIRECT("'"&amp;$H$3&amp;"'!$H$10"),0),0)),0)</f>
        <v>0</v>
      </c>
      <c r="U209" s="837"/>
      <c r="V209" s="837"/>
      <c r="W209" s="837">
        <f ca="1">IFERROR(IF(INDIRECT("'"&amp;$H$3&amp;"'!W163")="Route-based",ROUND(W218*W216/INDIRECT("'"&amp;$H$3&amp;"'!$H$10"),0),IF(INDIRECT("'"&amp;$H$3&amp;"'!W163")="Point-to-point",ROUND(((W221*((1/60)*(INDIRECT("'"&amp;$H$3&amp;"'!W168")+INDIRECT("'"&amp;$H$3&amp;"'!$H$19")*(INDIRECT("'"&amp;$H$3&amp;"'!W169")+(INDIRECT("'"&amp;$H$3&amp;"'!W170")*(MIN(('1_Outputs'!W$187/INDIRECT("'"&amp;$H$3&amp;"'!W$96")),INDEX(INDIRECT("'"&amp;$H$3&amp;"'!$H$49:$H$78"),MATCH(INDIRECT("'"&amp;$H$3&amp;"'!W156")&amp;"Delivery Capacity (m^3)",INDIRECT("'"&amp;$H$3&amp;"'!$F$49:$F$78"),0)))/INDIRECT("'"&amp;$H$3&amp;"'!$H$19")))))))+(W207/INDIRECT("'"&amp;$H$3&amp;"'!W172")))/INDIRECT("'"&amp;$H$3&amp;"'!$H$10"),0),0)),0)</f>
        <v>0</v>
      </c>
      <c r="X209" s="1472"/>
      <c r="Y209" s="36"/>
      <c r="Z209" s="36"/>
      <c r="AA209" s="36"/>
      <c r="AB209" s="36"/>
      <c r="AC209" s="36"/>
      <c r="AD209" s="36"/>
      <c r="AE209" s="36"/>
      <c r="AF209" s="36"/>
      <c r="AG209" s="36"/>
      <c r="AH209" s="36"/>
      <c r="AI209" s="36"/>
      <c r="AJ209" s="36"/>
      <c r="AK209" s="36"/>
      <c r="AL209" s="36"/>
      <c r="AM209" s="36"/>
      <c r="AN209" s="36"/>
    </row>
    <row r="210" spans="6:40" ht="15" customHeight="1" outlineLevel="1">
      <c r="F210" s="52"/>
      <c r="G210" s="51" t="s">
        <v>189</v>
      </c>
      <c r="H210" s="839"/>
      <c r="I210" s="839"/>
      <c r="J210" s="839"/>
      <c r="K210" s="839">
        <f ca="1">IFERROR(IF(INDIRECT("'"&amp;$H$3&amp;"'!K163")="Route-based",('1_Outputs'!K$187*K206)/(K216*INDEX(INDIRECT("'"&amp;$H$3&amp;"'!$H$49:$H$78"),MATCH(INDIRECT("'"&amp;$H$3&amp;"'!K156")&amp;"Delivery Capacity (m^3)",INDIRECT("'"&amp;$H$3&amp;"'!$F$49:$F$78"),0))),IF(INDIRECT("'"&amp;$H$3&amp;"'!K163")="Point-to-point",('1_Outputs'!K$187*K206)/(K221*INDEX(INDIRECT("'"&amp;$H$3&amp;"'!$H$49:$H$78"),MATCH(INDIRECT("'"&amp;$H$3&amp;"'!K156")&amp;"Delivery Capacity (m^3)",INDIRECT("'"&amp;$H$3&amp;"'!$F$49:$F$78"),0))),0)),0)</f>
        <v>0</v>
      </c>
      <c r="L210" s="839"/>
      <c r="M210" s="839"/>
      <c r="N210" s="839">
        <f ca="1">IFERROR(IF(INDIRECT("'"&amp;$H$3&amp;"'!N163")="Route-based",('1_Outputs'!N$187*N206)/(N216*INDEX(INDIRECT("'"&amp;$H$3&amp;"'!$H$49:$H$78"),MATCH(INDIRECT("'"&amp;$H$3&amp;"'!N156")&amp;"Delivery Capacity (m^3)",INDIRECT("'"&amp;$H$3&amp;"'!$F$49:$F$78"),0))),IF(INDIRECT("'"&amp;$H$3&amp;"'!N163")="Point-to-point",('1_Outputs'!N$187*N206)/(N221*INDEX(INDIRECT("'"&amp;$H$3&amp;"'!$H$49:$H$78"),MATCH(INDIRECT("'"&amp;$H$3&amp;"'!N156")&amp;"Delivery Capacity (m^3)",INDIRECT("'"&amp;$H$3&amp;"'!$F$49:$F$78"),0))),0)),0)</f>
        <v>0</v>
      </c>
      <c r="O210" s="839"/>
      <c r="P210" s="839"/>
      <c r="Q210" s="839">
        <f ca="1">IFERROR(IF(INDIRECT("'"&amp;$H$3&amp;"'!Q163")="Route-based",('1_Outputs'!Q$187*Q206)/(Q216*INDEX(INDIRECT("'"&amp;$H$3&amp;"'!$H$49:$H$78"),MATCH(INDIRECT("'"&amp;$H$3&amp;"'!Q156")&amp;"Delivery Capacity (m^3)",INDIRECT("'"&amp;$H$3&amp;"'!$F$49:$F$78"),0))),IF(INDIRECT("'"&amp;$H$3&amp;"'!Q163")="Point-to-point",('1_Outputs'!Q$187*Q206)/(Q221*INDEX(INDIRECT("'"&amp;$H$3&amp;"'!$H$49:$H$78"),MATCH(INDIRECT("'"&amp;$H$3&amp;"'!Q156")&amp;"Delivery Capacity (m^3)",INDIRECT("'"&amp;$H$3&amp;"'!$F$49:$F$78"),0))),0)),0)</f>
        <v>0</v>
      </c>
      <c r="R210" s="839"/>
      <c r="S210" s="839"/>
      <c r="T210" s="839">
        <f ca="1">IFERROR(IF(INDIRECT("'"&amp;$H$3&amp;"'!T163")="Route-based",('1_Outputs'!T$187*T206)/(T216*INDEX(INDIRECT("'"&amp;$H$3&amp;"'!$H$49:$H$78"),MATCH(INDIRECT("'"&amp;$H$3&amp;"'!T156")&amp;"Delivery Capacity (m^3)",INDIRECT("'"&amp;$H$3&amp;"'!$F$49:$F$78"),0))),IF(INDIRECT("'"&amp;$H$3&amp;"'!T163")="Point-to-point",('1_Outputs'!T$187*T206)/(T221*INDEX(INDIRECT("'"&amp;$H$3&amp;"'!$H$49:$H$78"),MATCH(INDIRECT("'"&amp;$H$3&amp;"'!T156")&amp;"Delivery Capacity (m^3)",INDIRECT("'"&amp;$H$3&amp;"'!$F$49:$F$78"),0))),0)),0)</f>
        <v>0</v>
      </c>
      <c r="U210" s="839"/>
      <c r="V210" s="839"/>
      <c r="W210" s="839">
        <f ca="1">IFERROR(IF(INDIRECT("'"&amp;$H$3&amp;"'!W163")="Route-based",('1_Outputs'!W$187*W206)/(W216*INDEX(INDIRECT("'"&amp;$H$3&amp;"'!$H$49:$H$78"),MATCH(INDIRECT("'"&amp;$H$3&amp;"'!W156")&amp;"Delivery Capacity (m^3)",INDIRECT("'"&amp;$H$3&amp;"'!$F$49:$F$78"),0))),IF(INDIRECT("'"&amp;$H$3&amp;"'!W163")="Point-to-point",('1_Outputs'!W$187*W206)/(W221*INDEX(INDIRECT("'"&amp;$H$3&amp;"'!$H$49:$H$78"),MATCH(INDIRECT("'"&amp;$H$3&amp;"'!W156")&amp;"Delivery Capacity (m^3)",INDIRECT("'"&amp;$H$3&amp;"'!$F$49:$F$78"),0))),0)),0)</f>
        <v>0</v>
      </c>
      <c r="X210" s="1473"/>
      <c r="Y210" s="36"/>
      <c r="Z210" s="36"/>
      <c r="AA210" s="36"/>
      <c r="AB210" s="36"/>
      <c r="AC210" s="36"/>
      <c r="AD210" s="36"/>
      <c r="AE210" s="36"/>
      <c r="AF210" s="36"/>
      <c r="AG210" s="36"/>
      <c r="AH210" s="36"/>
      <c r="AI210" s="36"/>
      <c r="AJ210" s="36"/>
      <c r="AK210" s="36" t="s">
        <v>191</v>
      </c>
      <c r="AL210" s="36"/>
      <c r="AM210" s="36"/>
      <c r="AN210" s="36"/>
    </row>
    <row r="211" spans="6:40" ht="15" customHeight="1" outlineLevel="1">
      <c r="F211" s="52"/>
      <c r="G211" s="51" t="s">
        <v>201</v>
      </c>
      <c r="H211" s="839"/>
      <c r="I211" s="839"/>
      <c r="J211" s="839"/>
      <c r="K211" s="839">
        <f ca="1">IFERROR((K209+IF(INDIRECT("'"&amp;$H$3&amp;"'!K225")="Yes",K310,0)+IF(INDIRECT("'"&amp;$H$3&amp;"'!K289")="Yes",K399,0))/(INDIRECT("'"&amp;$H$3&amp;"'!K160")*INDIRECT("'"&amp;$H$3&amp;"'!$H$9")),0)</f>
        <v>0</v>
      </c>
      <c r="L211" s="839"/>
      <c r="M211" s="839"/>
      <c r="N211" s="839">
        <f ca="1">IFERROR((N209+IF(INDIRECT("'"&amp;$H$3&amp;"'!N225")="Yes",N310,0)+IF(INDIRECT("'"&amp;$H$3&amp;"'!N289")="Yes",N399,0))/(INDIRECT("'"&amp;$H$3&amp;"'!N160")*INDIRECT("'"&amp;$H$3&amp;"'!$H$9")),0)</f>
        <v>0</v>
      </c>
      <c r="O211" s="839"/>
      <c r="P211" s="839"/>
      <c r="Q211" s="839">
        <f ca="1">IFERROR((Q209+IF(INDIRECT("'"&amp;$H$3&amp;"'!Q225")="Yes",Q310,0)+IF(INDIRECT("'"&amp;$H$3&amp;"'!Q289")="Yes",Q399,0))/(INDIRECT("'"&amp;$H$3&amp;"'!Q160")*INDIRECT("'"&amp;$H$3&amp;"'!$H$9")),0)</f>
        <v>0</v>
      </c>
      <c r="R211" s="839"/>
      <c r="S211" s="839"/>
      <c r="T211" s="839">
        <f ca="1">IFERROR((T209+IF(INDIRECT("'"&amp;$H$3&amp;"'!T225")="Yes",T310,0)+IF(INDIRECT("'"&amp;$H$3&amp;"'!T289")="Yes",T399,0))/(INDIRECT("'"&amp;$H$3&amp;"'!T160")*INDIRECT("'"&amp;$H$3&amp;"'!$H$9")),0)</f>
        <v>0</v>
      </c>
      <c r="U211" s="839"/>
      <c r="V211" s="839"/>
      <c r="W211" s="839">
        <f ca="1">IFERROR((W209+IF(INDIRECT("'"&amp;$H$3&amp;"'!W225")="Yes",W310,0)+IF(INDIRECT("'"&amp;$H$3&amp;"'!W289")="Yes",W399,0))/(INDIRECT("'"&amp;$H$3&amp;"'!W160")*INDIRECT("'"&amp;$H$3&amp;"'!$H$9")),0)</f>
        <v>0</v>
      </c>
      <c r="X211" s="1473"/>
      <c r="Y211" s="36"/>
      <c r="Z211" s="36"/>
      <c r="AA211" s="36"/>
      <c r="AB211" s="36"/>
      <c r="AC211" s="36"/>
      <c r="AD211" s="36"/>
      <c r="AE211" s="36"/>
      <c r="AF211" s="36"/>
      <c r="AG211" s="36"/>
      <c r="AH211" s="36"/>
      <c r="AI211" s="36"/>
      <c r="AJ211" s="36"/>
      <c r="AK211" s="36"/>
      <c r="AL211" s="36"/>
      <c r="AM211" s="36"/>
      <c r="AN211" s="36"/>
    </row>
    <row r="212" spans="6:40" ht="15" customHeight="1" outlineLevel="1">
      <c r="F212" s="52"/>
      <c r="G212" s="1613" t="s">
        <v>133</v>
      </c>
      <c r="H212" s="842"/>
      <c r="I212" s="842"/>
      <c r="J212" s="842"/>
      <c r="K212" s="842"/>
      <c r="L212" s="842"/>
      <c r="M212" s="842"/>
      <c r="N212" s="842"/>
      <c r="O212" s="842"/>
      <c r="P212" s="842"/>
      <c r="Q212" s="842"/>
      <c r="R212" s="1650"/>
      <c r="S212" s="1650"/>
      <c r="T212" s="842"/>
      <c r="U212" s="1650"/>
      <c r="V212" s="1650"/>
      <c r="W212" s="842"/>
      <c r="X212" s="1470"/>
      <c r="Y212" s="36"/>
      <c r="Z212" s="36"/>
      <c r="AA212" s="36"/>
      <c r="AB212" s="36"/>
      <c r="AC212" s="36"/>
      <c r="AD212" s="36"/>
      <c r="AE212" s="36"/>
      <c r="AF212" s="36"/>
      <c r="AG212" s="36"/>
      <c r="AH212" s="36"/>
      <c r="AI212" s="36"/>
      <c r="AJ212" s="36"/>
      <c r="AK212" s="36"/>
      <c r="AL212" s="36"/>
      <c r="AM212" s="36"/>
      <c r="AN212" s="36"/>
    </row>
    <row r="213" spans="6:40" ht="15" customHeight="1" outlineLevel="1">
      <c r="F213" s="52"/>
      <c r="G213" s="51" t="s">
        <v>127</v>
      </c>
      <c r="H213" s="836"/>
      <c r="I213" s="836"/>
      <c r="J213" s="836"/>
      <c r="K213" s="836">
        <f ca="1">IFERROR(INDEX(INDIRECT("'"&amp;$H$3&amp;"'!$H$49:$H$78"),MATCH(INDIRECT("'"&amp;$H$3&amp;"'!K156")&amp;"Delivery Capacity (m^3)",INDIRECT("'"&amp;$H$3&amp;"'!$F$49:$F$78"),0))/('1_Outputs'!K$187/INDIRECT("'"&amp;$H$3&amp;"'!K$96")),0)</f>
        <v>0</v>
      </c>
      <c r="L213" s="836"/>
      <c r="M213" s="836"/>
      <c r="N213" s="836">
        <f ca="1">IFERROR(INDEX(INDIRECT("'"&amp;$H$3&amp;"'!$H$49:$H$78"),MATCH(INDIRECT("'"&amp;$H$3&amp;"'!N156")&amp;"Delivery Capacity (m^3)",INDIRECT("'"&amp;$H$3&amp;"'!$F$49:$F$78"),0))/('1_Outputs'!N$187/INDIRECT("'"&amp;$H$3&amp;"'!N$96")),0)</f>
        <v>0</v>
      </c>
      <c r="O213" s="836"/>
      <c r="P213" s="836"/>
      <c r="Q213" s="836">
        <f ca="1">IFERROR(INDEX(INDIRECT("'"&amp;$H$3&amp;"'!$H$49:$H$78"),MATCH(INDIRECT("'"&amp;$H$3&amp;"'!Q156")&amp;"Delivery Capacity (m^3)",INDIRECT("'"&amp;$H$3&amp;"'!$F$49:$F$78"),0))/('1_Outputs'!Q$187/INDIRECT("'"&amp;$H$3&amp;"'!Q$96")),0)</f>
        <v>0</v>
      </c>
      <c r="R213" s="836"/>
      <c r="S213" s="836"/>
      <c r="T213" s="836">
        <f ca="1">IFERROR(INDEX(INDIRECT("'"&amp;$H$3&amp;"'!$H$49:$H$78"),MATCH(INDIRECT("'"&amp;$H$3&amp;"'!T156")&amp;"Delivery Capacity (m^3)",INDIRECT("'"&amp;$H$3&amp;"'!$F$49:$F$78"),0))/('1_Outputs'!T$187/INDIRECT("'"&amp;$H$3&amp;"'!T$96")),0)</f>
        <v>0</v>
      </c>
      <c r="U213" s="836"/>
      <c r="V213" s="836"/>
      <c r="W213" s="836">
        <f ca="1">IFERROR(INDEX(INDIRECT("'"&amp;$H$3&amp;"'!$H$49:$H$78"),MATCH(INDIRECT("'"&amp;$H$3&amp;"'!W156")&amp;"Delivery Capacity (m^3)",INDIRECT("'"&amp;$H$3&amp;"'!$F$49:$F$78"),0))/('1_Outputs'!W$187/INDIRECT("'"&amp;$H$3&amp;"'!W$96")),0)</f>
        <v>0</v>
      </c>
      <c r="X213" s="1465"/>
      <c r="Y213" s="36"/>
      <c r="Z213" s="36"/>
      <c r="AA213" s="36"/>
      <c r="AB213" s="36"/>
      <c r="AC213" s="36"/>
      <c r="AD213" s="36"/>
      <c r="AE213" s="36"/>
      <c r="AF213" s="36"/>
      <c r="AG213" s="36"/>
      <c r="AH213" s="36"/>
      <c r="AI213" s="36"/>
      <c r="AJ213" s="36"/>
      <c r="AK213" s="36"/>
      <c r="AL213" s="36"/>
      <c r="AM213" s="36"/>
      <c r="AN213" s="36"/>
    </row>
    <row r="214" spans="6:40" ht="15" customHeight="1" outlineLevel="1" collapsed="1">
      <c r="F214" s="52"/>
      <c r="G214" s="51" t="s">
        <v>128</v>
      </c>
      <c r="H214" s="836"/>
      <c r="I214" s="836"/>
      <c r="J214" s="836"/>
      <c r="K214" s="836">
        <f ca="1">IFERROR(((INDIRECT("'"&amp;$H$3&amp;"'!K164")*INDIRECT("'"&amp;$H$3&amp;"'!$H$10"))-(2*INDIRECT("'"&amp;$H$3&amp;"'!K$98")/INDIRECT("'"&amp;$H$3&amp;"'!K172"))+(INDIRECT("'"&amp;$H$3&amp;"'!K$99")/INDIRECT("'"&amp;$H$3&amp;"'!K171")))/(((1/60)*(INDIRECT("'"&amp;$H$3&amp;"'!K168")+INDIRECT("'"&amp;$H$3&amp;"'!$H$19")*(INDIRECT("'"&amp;$H$3&amp;"'!K169")+(INDIRECT("'"&amp;$H$3&amp;"'!K170")*('1_Outputs'!K$187/INDIRECT("'"&amp;$H$3&amp;"'!K$96")/INDIRECT("'"&amp;$H$3&amp;"'!$H$19"))))))+(INDIRECT("'"&amp;$H$3&amp;"'!K$99")/INDIRECT("'"&amp;$H$3&amp;"'!K171"))),0)</f>
        <v>0</v>
      </c>
      <c r="L214" s="836"/>
      <c r="M214" s="836"/>
      <c r="N214" s="836">
        <f ca="1">IFERROR(((INDIRECT("'"&amp;$H$3&amp;"'!N164")*INDIRECT("'"&amp;$H$3&amp;"'!$H$10"))-(2*INDIRECT("'"&amp;$H$3&amp;"'!N$98")/INDIRECT("'"&amp;$H$3&amp;"'!N172"))+(INDIRECT("'"&amp;$H$3&amp;"'!N$99")/INDIRECT("'"&amp;$H$3&amp;"'!N171")))/(((1/60)*(INDIRECT("'"&amp;$H$3&amp;"'!N168")+INDIRECT("'"&amp;$H$3&amp;"'!$H$19")*(INDIRECT("'"&amp;$H$3&amp;"'!N169")+(INDIRECT("'"&amp;$H$3&amp;"'!N170")*('1_Outputs'!N$187/INDIRECT("'"&amp;$H$3&amp;"'!N$96")/INDIRECT("'"&amp;$H$3&amp;"'!$H$19"))))))+(INDIRECT("'"&amp;$H$3&amp;"'!N$99")/INDIRECT("'"&amp;$H$3&amp;"'!N171"))),0)</f>
        <v>0</v>
      </c>
      <c r="O214" s="836"/>
      <c r="P214" s="836"/>
      <c r="Q214" s="836">
        <f ca="1">IFERROR(((INDIRECT("'"&amp;$H$3&amp;"'!Q164")*INDIRECT("'"&amp;$H$3&amp;"'!$H$10"))-(2*INDIRECT("'"&amp;$H$3&amp;"'!Q$98")/INDIRECT("'"&amp;$H$3&amp;"'!Q172"))+(INDIRECT("'"&amp;$H$3&amp;"'!Q$99")/INDIRECT("'"&amp;$H$3&amp;"'!Q171")))/(((1/60)*(INDIRECT("'"&amp;$H$3&amp;"'!Q168")+INDIRECT("'"&amp;$H$3&amp;"'!$H$19")*(INDIRECT("'"&amp;$H$3&amp;"'!Q169")+(INDIRECT("'"&amp;$H$3&amp;"'!Q170")*('1_Outputs'!Q$187/INDIRECT("'"&amp;$H$3&amp;"'!Q$96")/INDIRECT("'"&amp;$H$3&amp;"'!$H$19"))))))+(INDIRECT("'"&amp;$H$3&amp;"'!Q$99")/INDIRECT("'"&amp;$H$3&amp;"'!Q171"))),0)</f>
        <v>0</v>
      </c>
      <c r="R214" s="836"/>
      <c r="S214" s="836"/>
      <c r="T214" s="836">
        <f ca="1">IFERROR(((INDIRECT("'"&amp;$H$3&amp;"'!T164")*INDIRECT("'"&amp;$H$3&amp;"'!$H$10"))-(2*INDIRECT("'"&amp;$H$3&amp;"'!T$98")/INDIRECT("'"&amp;$H$3&amp;"'!T172"))+(INDIRECT("'"&amp;$H$3&amp;"'!T$99")/INDIRECT("'"&amp;$H$3&amp;"'!T171")))/(((1/60)*(INDIRECT("'"&amp;$H$3&amp;"'!T168")+INDIRECT("'"&amp;$H$3&amp;"'!$H$19")*(INDIRECT("'"&amp;$H$3&amp;"'!T169")+(INDIRECT("'"&amp;$H$3&amp;"'!T170")*('1_Outputs'!T$187/INDIRECT("'"&amp;$H$3&amp;"'!T$96")/INDIRECT("'"&amp;$H$3&amp;"'!$H$19"))))))+(INDIRECT("'"&amp;$H$3&amp;"'!T$99")/INDIRECT("'"&amp;$H$3&amp;"'!T171"))),0)</f>
        <v>0</v>
      </c>
      <c r="U214" s="836"/>
      <c r="V214" s="836"/>
      <c r="W214" s="836">
        <f ca="1">IFERROR(((INDIRECT("'"&amp;$H$3&amp;"'!W164")*INDIRECT("'"&amp;$H$3&amp;"'!$H$10"))-(2*INDIRECT("'"&amp;$H$3&amp;"'!W$98")/INDIRECT("'"&amp;$H$3&amp;"'!W172"))+(INDIRECT("'"&amp;$H$3&amp;"'!W$99")/INDIRECT("'"&amp;$H$3&amp;"'!W171")))/(((1/60)*(INDIRECT("'"&amp;$H$3&amp;"'!W168")+INDIRECT("'"&amp;$H$3&amp;"'!$H$19")*(INDIRECT("'"&amp;$H$3&amp;"'!W169")+(INDIRECT("'"&amp;$H$3&amp;"'!W170")*('1_Outputs'!W$187/INDIRECT("'"&amp;$H$3&amp;"'!W$96")/INDIRECT("'"&amp;$H$3&amp;"'!$H$19"))))))+(INDIRECT("'"&amp;$H$3&amp;"'!W$99")/INDIRECT("'"&amp;$H$3&amp;"'!W171"))),0)</f>
        <v>0</v>
      </c>
      <c r="X214" s="1465"/>
      <c r="Y214" s="36"/>
      <c r="Z214" s="36"/>
      <c r="AA214" s="36"/>
      <c r="AB214" s="36"/>
      <c r="AC214" s="36"/>
      <c r="AD214" s="36"/>
      <c r="AE214" s="36"/>
      <c r="AF214" s="36"/>
      <c r="AG214" s="36"/>
      <c r="AH214" s="36"/>
      <c r="AI214" s="36"/>
      <c r="AJ214" s="36"/>
      <c r="AK214" s="242"/>
      <c r="AL214" s="36"/>
      <c r="AM214" s="36"/>
      <c r="AN214" s="36"/>
    </row>
    <row r="215" spans="6:40" ht="15" customHeight="1" outlineLevel="1">
      <c r="F215" s="52"/>
      <c r="G215" s="51" t="s">
        <v>129</v>
      </c>
      <c r="H215" s="836"/>
      <c r="I215" s="836"/>
      <c r="J215" s="836"/>
      <c r="K215" s="836">
        <f ca="1">IFERROR(MIN(K214,K213),0)</f>
        <v>0</v>
      </c>
      <c r="L215" s="836"/>
      <c r="M215" s="836"/>
      <c r="N215" s="836">
        <f ca="1">IFERROR(MIN(N214,N213),0)</f>
        <v>0</v>
      </c>
      <c r="O215" s="836"/>
      <c r="P215" s="836"/>
      <c r="Q215" s="836">
        <f ca="1">IFERROR(MIN(Q214,Q213),0)</f>
        <v>0</v>
      </c>
      <c r="R215" s="836"/>
      <c r="S215" s="836"/>
      <c r="T215" s="836">
        <f ca="1">IFERROR(MIN(T214,T213),0)</f>
        <v>0</v>
      </c>
      <c r="U215" s="836"/>
      <c r="V215" s="836"/>
      <c r="W215" s="836">
        <f ca="1">IFERROR(MIN(W214,W213),0)</f>
        <v>0</v>
      </c>
      <c r="X215" s="1465"/>
      <c r="Y215" s="36"/>
      <c r="Z215" s="36"/>
      <c r="AA215" s="36"/>
      <c r="AB215" s="36"/>
      <c r="AC215" s="36"/>
      <c r="AD215" s="36"/>
      <c r="AE215" s="36"/>
      <c r="AF215" s="36"/>
      <c r="AG215" s="36"/>
      <c r="AH215" s="36"/>
      <c r="AI215" s="36"/>
      <c r="AJ215" s="36"/>
      <c r="AK215" s="242"/>
      <c r="AL215" s="36"/>
      <c r="AM215" s="36"/>
      <c r="AN215" s="36"/>
    </row>
    <row r="216" spans="6:40" ht="15" customHeight="1" outlineLevel="1">
      <c r="F216" s="52"/>
      <c r="G216" s="51" t="s">
        <v>188</v>
      </c>
      <c r="H216" s="836"/>
      <c r="I216" s="836"/>
      <c r="J216" s="836"/>
      <c r="K216" s="836">
        <f ca="1">IFERROR(ROUND(K206*INDIRECT("'"&amp;$H$3&amp;"'!K$96")/K215,0),0)</f>
        <v>0</v>
      </c>
      <c r="L216" s="836"/>
      <c r="M216" s="836"/>
      <c r="N216" s="836">
        <f ca="1">IFERROR(ROUND(N206*INDIRECT("'"&amp;$H$3&amp;"'!N$96")/N215,0),0)</f>
        <v>0</v>
      </c>
      <c r="O216" s="836"/>
      <c r="P216" s="836"/>
      <c r="Q216" s="836">
        <f ca="1">IFERROR(ROUND(Q206*INDIRECT("'"&amp;$H$3&amp;"'!Q$96")/Q215,0),0)</f>
        <v>0</v>
      </c>
      <c r="R216" s="836"/>
      <c r="S216" s="836"/>
      <c r="T216" s="836">
        <f ca="1">IFERROR(ROUND(T206*INDIRECT("'"&amp;$H$3&amp;"'!T$96")/T215,0),0)</f>
        <v>0</v>
      </c>
      <c r="U216" s="836"/>
      <c r="V216" s="836"/>
      <c r="W216" s="836">
        <f ca="1">IFERROR(ROUND(W206*INDIRECT("'"&amp;$H$3&amp;"'!W$96")/W215,0),0)</f>
        <v>0</v>
      </c>
      <c r="X216" s="1465"/>
      <c r="Y216" s="36"/>
      <c r="Z216" s="36"/>
      <c r="AA216" s="36"/>
      <c r="AB216" s="36"/>
      <c r="AC216" s="36"/>
      <c r="AD216" s="36"/>
      <c r="AE216" s="36"/>
      <c r="AF216" s="36"/>
      <c r="AG216" s="36"/>
      <c r="AH216" s="36"/>
      <c r="AI216" s="36"/>
      <c r="AJ216" s="36"/>
      <c r="AK216" s="242"/>
      <c r="AL216" s="36"/>
      <c r="AM216" s="36"/>
      <c r="AN216" s="36"/>
    </row>
    <row r="217" spans="6:40" ht="15" customHeight="1" outlineLevel="1">
      <c r="F217" s="52"/>
      <c r="G217" s="51" t="s">
        <v>88</v>
      </c>
      <c r="H217" s="836"/>
      <c r="I217" s="836"/>
      <c r="J217" s="836"/>
      <c r="K217" s="836">
        <f ca="1">IFERROR(IF(K206=0,0,(2*INDIRECT("'"&amp;$H$3&amp;"'!K$98"))+((MAX(K215,1)-1)*INDIRECT("'"&amp;$H$3&amp;"'!K$99"))),0)</f>
        <v>0</v>
      </c>
      <c r="L217" s="836"/>
      <c r="M217" s="836"/>
      <c r="N217" s="836">
        <f ca="1">IFERROR(IF(N206=0,0,(2*INDIRECT("'"&amp;$H$3&amp;"'!N$98"))+((MAX(N215,1)-1)*INDIRECT("'"&amp;$H$3&amp;"'!N$99"))),0)</f>
        <v>0</v>
      </c>
      <c r="O217" s="836"/>
      <c r="P217" s="836"/>
      <c r="Q217" s="836">
        <f ca="1">IFERROR(IF(Q206=0,0,(2*INDIRECT("'"&amp;$H$3&amp;"'!Q$98"))+((MAX(Q215,1)-1)*INDIRECT("'"&amp;$H$3&amp;"'!Q$99"))),0)</f>
        <v>0</v>
      </c>
      <c r="R217" s="836"/>
      <c r="S217" s="836"/>
      <c r="T217" s="836">
        <f ca="1">IFERROR(IF(T206=0,0,(2*INDIRECT("'"&amp;$H$3&amp;"'!T$98"))+((MAX(T215,1)-1)*INDIRECT("'"&amp;$H$3&amp;"'!T$99"))),0)</f>
        <v>0</v>
      </c>
      <c r="U217" s="836"/>
      <c r="V217" s="836"/>
      <c r="W217" s="836">
        <f ca="1">IFERROR(IF(W206=0,0,(2*INDIRECT("'"&amp;$H$3&amp;"'!W$98"))+((MAX(W215,1)-1)*INDIRECT("'"&amp;$H$3&amp;"'!W$99"))),0)</f>
        <v>0</v>
      </c>
      <c r="X217" s="1465"/>
      <c r="Y217" s="36"/>
      <c r="Z217" s="36"/>
      <c r="AA217" s="36"/>
      <c r="AB217" s="36"/>
      <c r="AC217" s="36"/>
      <c r="AD217" s="36"/>
      <c r="AE217" s="36"/>
      <c r="AF217" s="36"/>
      <c r="AG217" s="36"/>
      <c r="AH217" s="36"/>
      <c r="AI217" s="36"/>
      <c r="AJ217" s="36"/>
      <c r="AK217" s="242"/>
      <c r="AL217" s="36"/>
      <c r="AM217" s="36"/>
      <c r="AN217" s="36"/>
    </row>
    <row r="218" spans="6:40" ht="15" customHeight="1" outlineLevel="1">
      <c r="F218" s="52"/>
      <c r="G218" s="51" t="s">
        <v>199</v>
      </c>
      <c r="H218" s="836"/>
      <c r="I218" s="836"/>
      <c r="J218" s="836"/>
      <c r="K218" s="836">
        <f ca="1">IFERROR((ROUNDUP(K215,0)*(1/60)*INDIRECT("'"&amp;$H$3&amp;"'!K168"))+(K215*((1/60)*(INDIRECT("'"&amp;$H$3&amp;"'!$H$19")*(INDIRECT("'"&amp;$H$3&amp;"'!K169")+(INDIRECT("'"&amp;$H$3&amp;"'!K170")*('1_Outputs'!K$187/INDIRECT("'"&amp;$H$3&amp;"'!K$96")/INDIRECT("'"&amp;$H$3&amp;"'!$H$19")))))))+((2*INDIRECT("'"&amp;$H$3&amp;"'!K$98"))/INDIRECT("'"&amp;$H$3&amp;"'!K172"))+(((MAX(K215,1)-1)*INDIRECT("'"&amp;$H$3&amp;"'!K$99"))/INDIRECT("'"&amp;$H$3&amp;"'!K171")),0)</f>
        <v>0</v>
      </c>
      <c r="L218" s="836"/>
      <c r="M218" s="836"/>
      <c r="N218" s="836">
        <f ca="1">IFERROR((ROUNDUP(N215,0)*(1/60)*INDIRECT("'"&amp;$H$3&amp;"'!N168"))+(N215*((1/60)*(INDIRECT("'"&amp;$H$3&amp;"'!$H$19")*(INDIRECT("'"&amp;$H$3&amp;"'!N169")+(INDIRECT("'"&amp;$H$3&amp;"'!N170")*('1_Outputs'!N$187/INDIRECT("'"&amp;$H$3&amp;"'!N$96")/INDIRECT("'"&amp;$H$3&amp;"'!$H$19")))))))+((2*INDIRECT("'"&amp;$H$3&amp;"'!N$98"))/INDIRECT("'"&amp;$H$3&amp;"'!N172"))+(((MAX(N215,1)-1)*INDIRECT("'"&amp;$H$3&amp;"'!N$99"))/INDIRECT("'"&amp;$H$3&amp;"'!N171")),0)</f>
        <v>0</v>
      </c>
      <c r="O218" s="836"/>
      <c r="P218" s="836"/>
      <c r="Q218" s="836">
        <f ca="1">IFERROR((ROUNDUP(Q215,0)*(1/60)*INDIRECT("'"&amp;$H$3&amp;"'!Q168"))+(Q215*((1/60)*(INDIRECT("'"&amp;$H$3&amp;"'!$H$19")*(INDIRECT("'"&amp;$H$3&amp;"'!Q169")+(INDIRECT("'"&amp;$H$3&amp;"'!Q170")*('1_Outputs'!Q$187/INDIRECT("'"&amp;$H$3&amp;"'!Q$96")/INDIRECT("'"&amp;$H$3&amp;"'!$H$19")))))))+((2*INDIRECT("'"&amp;$H$3&amp;"'!Q$98"))/INDIRECT("'"&amp;$H$3&amp;"'!Q172"))+(((MAX(Q215,1)-1)*INDIRECT("'"&amp;$H$3&amp;"'!Q$99"))/INDIRECT("'"&amp;$H$3&amp;"'!Q171")),0)</f>
        <v>0</v>
      </c>
      <c r="R218" s="836"/>
      <c r="S218" s="836"/>
      <c r="T218" s="836">
        <f ca="1">IFERROR((ROUNDUP(T215,0)*(1/60)*INDIRECT("'"&amp;$H$3&amp;"'!T168"))+(T215*((1/60)*(INDIRECT("'"&amp;$H$3&amp;"'!$H$19")*(INDIRECT("'"&amp;$H$3&amp;"'!T169")+(INDIRECT("'"&amp;$H$3&amp;"'!T170")*('1_Outputs'!T$187/INDIRECT("'"&amp;$H$3&amp;"'!T$96")/INDIRECT("'"&amp;$H$3&amp;"'!$H$19")))))))+((2*INDIRECT("'"&amp;$H$3&amp;"'!T$98"))/INDIRECT("'"&amp;$H$3&amp;"'!T172"))+(((MAX(T215,1)-1)*INDIRECT("'"&amp;$H$3&amp;"'!T$99"))/INDIRECT("'"&amp;$H$3&amp;"'!T171")),0)</f>
        <v>0</v>
      </c>
      <c r="U218" s="836"/>
      <c r="V218" s="836"/>
      <c r="W218" s="836">
        <f ca="1">IFERROR((ROUNDUP(W215,0)*(1/60)*INDIRECT("'"&amp;$H$3&amp;"'!W168"))+(W215*((1/60)*(INDIRECT("'"&amp;$H$3&amp;"'!$H$19")*(INDIRECT("'"&amp;$H$3&amp;"'!W169")+(INDIRECT("'"&amp;$H$3&amp;"'!W170")*('1_Outputs'!W$187/INDIRECT("'"&amp;$H$3&amp;"'!W$96")/INDIRECT("'"&amp;$H$3&amp;"'!$H$19")))))))+((2*INDIRECT("'"&amp;$H$3&amp;"'!W$98"))/INDIRECT("'"&amp;$H$3&amp;"'!W172"))+(((MAX(W215,1)-1)*INDIRECT("'"&amp;$H$3&amp;"'!W$99"))/INDIRECT("'"&amp;$H$3&amp;"'!W171")),0)</f>
        <v>0</v>
      </c>
      <c r="X218" s="1465"/>
      <c r="Y218" s="36"/>
      <c r="Z218" s="36"/>
      <c r="AA218" s="36"/>
      <c r="AB218" s="36"/>
      <c r="AC218" s="36"/>
      <c r="AD218" s="36"/>
      <c r="AE218" s="36"/>
      <c r="AF218" s="36"/>
      <c r="AG218" s="36"/>
      <c r="AH218" s="36"/>
      <c r="AI218" s="36"/>
      <c r="AJ218" s="36"/>
      <c r="AK218" s="242"/>
      <c r="AL218" s="36"/>
      <c r="AM218" s="36"/>
      <c r="AN218" s="36"/>
    </row>
    <row r="219" spans="6:40" ht="15" customHeight="1" outlineLevel="1">
      <c r="F219" s="52"/>
      <c r="G219" s="51" t="s">
        <v>200</v>
      </c>
      <c r="H219" s="836"/>
      <c r="I219" s="836"/>
      <c r="J219" s="836"/>
      <c r="K219" s="836">
        <f ca="1">IFERROR((INDIRECT("'"&amp;$H$3&amp;"'!$H$10")*INDIRECT("'"&amp;$H$3&amp;"'!$H$9")*INDIRECT("'"&amp;$H$3&amp;"'!K160"))/K218,0)</f>
        <v>0</v>
      </c>
      <c r="L219" s="836"/>
      <c r="M219" s="836"/>
      <c r="N219" s="836">
        <f ca="1">IFERROR((INDIRECT("'"&amp;$H$3&amp;"'!$H$10")*INDIRECT("'"&amp;$H$3&amp;"'!$H$9")*INDIRECT("'"&amp;$H$3&amp;"'!N160"))/N218,0)</f>
        <v>0</v>
      </c>
      <c r="O219" s="836"/>
      <c r="P219" s="836"/>
      <c r="Q219" s="836">
        <f ca="1">IFERROR((INDIRECT("'"&amp;$H$3&amp;"'!$H$10")*INDIRECT("'"&amp;$H$3&amp;"'!$H$9")*INDIRECT("'"&amp;$H$3&amp;"'!Q160"))/Q218,0)</f>
        <v>0</v>
      </c>
      <c r="R219" s="836"/>
      <c r="S219" s="836"/>
      <c r="T219" s="836">
        <f ca="1">IFERROR((INDIRECT("'"&amp;$H$3&amp;"'!$H$10")*INDIRECT("'"&amp;$H$3&amp;"'!$H$9")*INDIRECT("'"&amp;$H$3&amp;"'!T160"))/T218,0)</f>
        <v>0</v>
      </c>
      <c r="U219" s="836"/>
      <c r="V219" s="836"/>
      <c r="W219" s="836">
        <f ca="1">IFERROR((INDIRECT("'"&amp;$H$3&amp;"'!$H$10")*INDIRECT("'"&amp;$H$3&amp;"'!$H$9")*INDIRECT("'"&amp;$H$3&amp;"'!W160"))/W218,0)</f>
        <v>0</v>
      </c>
      <c r="X219" s="1465"/>
      <c r="Y219" s="36"/>
      <c r="Z219" s="36"/>
      <c r="AA219" s="36"/>
      <c r="AB219" s="36"/>
      <c r="AC219" s="36"/>
      <c r="AD219" s="36"/>
      <c r="AE219" s="36"/>
      <c r="AF219" s="36"/>
      <c r="AG219" s="36"/>
      <c r="AH219" s="36"/>
      <c r="AI219" s="36"/>
      <c r="AJ219" s="36"/>
      <c r="AK219" s="242"/>
      <c r="AL219" s="36"/>
      <c r="AM219" s="36"/>
      <c r="AN219" s="36"/>
    </row>
    <row r="220" spans="6:40" ht="15" customHeight="1" outlineLevel="1">
      <c r="F220" s="52"/>
      <c r="G220" s="1613" t="s">
        <v>134</v>
      </c>
      <c r="H220" s="842"/>
      <c r="I220" s="842"/>
      <c r="J220" s="842"/>
      <c r="K220" s="842"/>
      <c r="L220" s="842"/>
      <c r="M220" s="842"/>
      <c r="N220" s="842"/>
      <c r="O220" s="842"/>
      <c r="P220" s="842"/>
      <c r="Q220" s="842"/>
      <c r="R220" s="1650"/>
      <c r="S220" s="1650"/>
      <c r="T220" s="842"/>
      <c r="U220" s="1650"/>
      <c r="V220" s="1650"/>
      <c r="W220" s="842"/>
      <c r="X220" s="1470"/>
      <c r="Y220" s="36"/>
      <c r="Z220" s="36"/>
      <c r="AA220" s="36"/>
      <c r="AB220" s="36"/>
      <c r="AC220" s="36"/>
      <c r="AD220" s="36"/>
      <c r="AE220" s="36"/>
      <c r="AF220" s="36"/>
      <c r="AG220" s="36"/>
      <c r="AH220" s="36"/>
      <c r="AI220" s="36"/>
      <c r="AJ220" s="36"/>
      <c r="AK220" s="36"/>
      <c r="AL220" s="36"/>
      <c r="AM220" s="36"/>
      <c r="AN220" s="36"/>
    </row>
    <row r="221" spans="6:40" ht="15" customHeight="1" outlineLevel="1">
      <c r="F221" s="52"/>
      <c r="G221" s="51" t="s">
        <v>188</v>
      </c>
      <c r="H221" s="836"/>
      <c r="I221" s="836"/>
      <c r="J221" s="836"/>
      <c r="K221" s="1656">
        <f ca="1">IFERROR(ROUND(K206*INDIRECT("'"&amp;$H$3&amp;"'!K$96")*MAX(1,('1_Outputs'!K$187/INDIRECT("'"&amp;$H$3&amp;"'!K$96"))/INDEX(INDIRECT("'"&amp;$H$3&amp;"'!$H$49:$H$78"),MATCH(INDIRECT("'"&amp;$H$3&amp;"'!K156")&amp;"Delivery Capacity (m^3)",INDIRECT("'"&amp;$H$3&amp;"'!$F$49:$F$78"),0))),0),0)</f>
        <v>0</v>
      </c>
      <c r="L221" s="1656"/>
      <c r="M221" s="1656"/>
      <c r="N221" s="1656">
        <f ca="1">IFERROR(ROUND(N206*INDIRECT("'"&amp;$H$3&amp;"'!N$96")*MAX(1,('1_Outputs'!N$187/INDIRECT("'"&amp;$H$3&amp;"'!N$96"))/INDEX(INDIRECT("'"&amp;$H$3&amp;"'!$H$49:$H$78"),MATCH(INDIRECT("'"&amp;$H$3&amp;"'!N156")&amp;"Delivery Capacity (m^3)",INDIRECT("'"&amp;$H$3&amp;"'!$F$49:$F$78"),0))),0),0)</f>
        <v>0</v>
      </c>
      <c r="O221" s="836"/>
      <c r="P221" s="836"/>
      <c r="Q221" s="836">
        <f ca="1">IFERROR(ROUND(Q206*INDIRECT("'"&amp;$H$3&amp;"'!Q$96")*MAX(1,('1_Outputs'!Q$187/INDIRECT("'"&amp;$H$3&amp;"'!Q$96"))/INDEX(INDIRECT("'"&amp;$H$3&amp;"'!$H$49:$H$78"),MATCH(INDIRECT("'"&amp;$H$3&amp;"'!Q156")&amp;"Delivery Capacity (m^3)",INDIRECT("'"&amp;$H$3&amp;"'!$F$49:$F$78"),0))),0),0)</f>
        <v>0</v>
      </c>
      <c r="R221" s="836"/>
      <c r="S221" s="836"/>
      <c r="T221" s="836">
        <f ca="1">IFERROR(ROUND(T206*INDIRECT("'"&amp;$H$3&amp;"'!T$96")*MAX(1,('1_Outputs'!T$187/INDIRECT("'"&amp;$H$3&amp;"'!T$96"))/INDEX(INDIRECT("'"&amp;$H$3&amp;"'!$H$49:$H$78"),MATCH(INDIRECT("'"&amp;$H$3&amp;"'!T156")&amp;"Delivery Capacity (m^3)",INDIRECT("'"&amp;$H$3&amp;"'!$F$49:$F$78"),0))),0),0)</f>
        <v>0</v>
      </c>
      <c r="U221" s="836"/>
      <c r="V221" s="836"/>
      <c r="W221" s="836">
        <f ca="1">IFERROR(ROUND(W206*INDIRECT("'"&amp;$H$3&amp;"'!W$96")*MAX(1,('1_Outputs'!W$187/INDIRECT("'"&amp;$H$3&amp;"'!W$96"))/INDEX(INDIRECT("'"&amp;$H$3&amp;"'!$H$49:$H$78"),MATCH(INDIRECT("'"&amp;$H$3&amp;"'!W156")&amp;"Delivery Capacity (m^3)",INDIRECT("'"&amp;$H$3&amp;"'!$F$49:$F$78"),0))),0),0)</f>
        <v>0</v>
      </c>
      <c r="X221" s="1465"/>
      <c r="Y221" s="36"/>
      <c r="Z221" s="36"/>
      <c r="AA221" s="36"/>
      <c r="AB221" s="36" t="s">
        <v>192</v>
      </c>
      <c r="AC221" s="36"/>
      <c r="AD221" s="36" t="s">
        <v>193</v>
      </c>
      <c r="AE221" s="36"/>
      <c r="AF221" s="36"/>
      <c r="AG221" s="36"/>
      <c r="AH221" s="36"/>
      <c r="AI221" s="36"/>
      <c r="AJ221" s="36"/>
      <c r="AK221" s="36"/>
      <c r="AL221" s="36"/>
      <c r="AM221" s="36"/>
      <c r="AN221" s="36"/>
    </row>
    <row r="222" spans="6:40" ht="15" customHeight="1" outlineLevel="1">
      <c r="F222" s="52"/>
      <c r="G222" s="51" t="s">
        <v>88</v>
      </c>
      <c r="H222" s="836"/>
      <c r="I222" s="836"/>
      <c r="J222" s="836"/>
      <c r="K222" s="1656">
        <f ca="1">IFERROR(IF(K206=0,0,2*INDIRECT("'"&amp;$H$3&amp;"'!K$98")),0)</f>
        <v>0</v>
      </c>
      <c r="L222" s="1656"/>
      <c r="M222" s="1656"/>
      <c r="N222" s="1656">
        <f ca="1">IFERROR(IF(N206=0,0,2*INDIRECT("'"&amp;$H$3&amp;"'!N$98")),0)</f>
        <v>0</v>
      </c>
      <c r="O222" s="836"/>
      <c r="P222" s="836"/>
      <c r="Q222" s="836">
        <f ca="1">IFERROR(IF(Q206=0,0,2*INDIRECT("'"&amp;$H$3&amp;"'!Q$98")),0)</f>
        <v>0</v>
      </c>
      <c r="R222" s="836"/>
      <c r="S222" s="836"/>
      <c r="T222" s="836">
        <f ca="1">IFERROR(IF(T206=0,0,2*INDIRECT("'"&amp;$H$3&amp;"'!T$98")),0)</f>
        <v>0</v>
      </c>
      <c r="U222" s="836"/>
      <c r="V222" s="836"/>
      <c r="W222" s="836">
        <f ca="1">IFERROR(IF(W206=0,0,2*INDIRECT("'"&amp;$H$3&amp;"'!W$98")),0)</f>
        <v>0</v>
      </c>
      <c r="X222" s="1465"/>
      <c r="Y222" s="36"/>
      <c r="Z222" s="36"/>
      <c r="AA222" s="36"/>
      <c r="AB222" s="36" t="s">
        <v>194</v>
      </c>
      <c r="AC222" s="36"/>
      <c r="AD222" s="36" t="s">
        <v>195</v>
      </c>
      <c r="AE222" s="36"/>
      <c r="AF222" s="36"/>
      <c r="AG222" s="36"/>
      <c r="AH222" s="36"/>
      <c r="AI222" s="36"/>
      <c r="AJ222" s="36"/>
      <c r="AK222" s="36"/>
      <c r="AL222" s="36"/>
      <c r="AM222" s="36"/>
      <c r="AN222" s="36"/>
    </row>
    <row r="223" spans="6:40" ht="15" customHeight="1" outlineLevel="1">
      <c r="F223" s="52"/>
      <c r="G223" s="51" t="s">
        <v>200</v>
      </c>
      <c r="H223" s="839"/>
      <c r="I223" s="839"/>
      <c r="J223" s="839"/>
      <c r="K223" s="1657">
        <f ca="1">IFERROR((INDIRECT("'"&amp;$H$3&amp;"'!$H$10")*INDIRECT("'"&amp;$H$3&amp;"'!$H$9")*INDIRECT("'"&amp;$H$3&amp;"'!K160"))/((K222/INDIRECT("'"&amp;$H$3&amp;"'!K172"))+((1/60)*(INDIRECT("'"&amp;$H$3&amp;"'!K168")+INDIRECT("'"&amp;$H$3&amp;"'!$H$19")*(INDIRECT("'"&amp;$H$3&amp;"'!K169")+(INDIRECT("'"&amp;$H$3&amp;"'!K170")*(MIN(('1_Outputs'!K$187/INDIRECT("'"&amp;$H$3&amp;"'!K$96")),INDEX(INDIRECT("'"&amp;$H$3&amp;"'!$H$49:$H$78"),MATCH(INDIRECT("'"&amp;$H$3&amp;"'!K156")&amp;"Delivery Capacity (m^3)",INDIRECT("'"&amp;$H$3&amp;"'!$F$49:$F$78"),0)))/INDIRECT("'"&amp;$H$3&amp;"'!$H$19"))))))),0)</f>
        <v>0</v>
      </c>
      <c r="L223" s="1657"/>
      <c r="M223" s="1657"/>
      <c r="N223" s="1657">
        <f ca="1">IFERROR((INDIRECT("'"&amp;$H$3&amp;"'!$H$10")*INDIRECT("'"&amp;$H$3&amp;"'!$H$9")*INDIRECT("'"&amp;$H$3&amp;"'!N160"))/((N222/INDIRECT("'"&amp;$H$3&amp;"'!N172"))+((1/60)*(INDIRECT("'"&amp;$H$3&amp;"'!N168")+INDIRECT("'"&amp;$H$3&amp;"'!$H$19")*(INDIRECT("'"&amp;$H$3&amp;"'!N169")+(INDIRECT("'"&amp;$H$3&amp;"'!N170")*(MIN(('1_Outputs'!N$187/INDIRECT("'"&amp;$H$3&amp;"'!N$96")),INDEX(INDIRECT("'"&amp;$H$3&amp;"'!$H$49:$H$78"),MATCH(INDIRECT("'"&amp;$H$3&amp;"'!N156")&amp;"Delivery Capacity (m^3)",INDIRECT("'"&amp;$H$3&amp;"'!$F$49:$F$78"),0)))/INDIRECT("'"&amp;$H$3&amp;"'!$H$19"))))))),0)</f>
        <v>0</v>
      </c>
      <c r="O223" s="839"/>
      <c r="P223" s="839"/>
      <c r="Q223" s="839">
        <f ca="1">IFERROR((INDIRECT("'"&amp;$H$3&amp;"'!$H$10")*INDIRECT("'"&amp;$H$3&amp;"'!$H$9")*INDIRECT("'"&amp;$H$3&amp;"'!Q160"))/((Q222/INDIRECT("'"&amp;$H$3&amp;"'!Q172"))+((1/60)*(INDIRECT("'"&amp;$H$3&amp;"'!Q168")+INDIRECT("'"&amp;$H$3&amp;"'!$H$19")*(INDIRECT("'"&amp;$H$3&amp;"'!Q169")+(INDIRECT("'"&amp;$H$3&amp;"'!Q170")*(MIN(('1_Outputs'!Q$187/INDIRECT("'"&amp;$H$3&amp;"'!Q$96")),INDEX(INDIRECT("'"&amp;$H$3&amp;"'!$H$49:$H$78"),MATCH(INDIRECT("'"&amp;$H$3&amp;"'!Q156")&amp;"Delivery Capacity (m^3)",INDIRECT("'"&amp;$H$3&amp;"'!$F$49:$F$78"),0)))/INDIRECT("'"&amp;$H$3&amp;"'!$H$19"))))))),0)</f>
        <v>0</v>
      </c>
      <c r="R223" s="839"/>
      <c r="S223" s="839"/>
      <c r="T223" s="839">
        <f ca="1">IFERROR((INDIRECT("'"&amp;$H$3&amp;"'!$H$10")*INDIRECT("'"&amp;$H$3&amp;"'!$H$9")*INDIRECT("'"&amp;$H$3&amp;"'!T160"))/((T222/INDIRECT("'"&amp;$H$3&amp;"'!T172"))+((1/60)*(INDIRECT("'"&amp;$H$3&amp;"'!T168")+INDIRECT("'"&amp;$H$3&amp;"'!$H$19")*(INDIRECT("'"&amp;$H$3&amp;"'!T169")+(INDIRECT("'"&amp;$H$3&amp;"'!T170")*(MIN(('1_Outputs'!T$187/INDIRECT("'"&amp;$H$3&amp;"'!T$96")),INDEX(INDIRECT("'"&amp;$H$3&amp;"'!$H$49:$H$78"),MATCH(INDIRECT("'"&amp;$H$3&amp;"'!T156")&amp;"Delivery Capacity (m^3)",INDIRECT("'"&amp;$H$3&amp;"'!$F$49:$F$78"),0)))/INDIRECT("'"&amp;$H$3&amp;"'!$H$19"))))))),0)</f>
        <v>0</v>
      </c>
      <c r="U223" s="839"/>
      <c r="V223" s="839"/>
      <c r="W223" s="839">
        <f ca="1">IFERROR((INDIRECT("'"&amp;$H$3&amp;"'!$H$10")*INDIRECT("'"&amp;$H$3&amp;"'!$H$9")*INDIRECT("'"&amp;$H$3&amp;"'!W160"))/((W222/INDIRECT("'"&amp;$H$3&amp;"'!W172"))+((1/60)*(INDIRECT("'"&amp;$H$3&amp;"'!W168")+INDIRECT("'"&amp;$H$3&amp;"'!$H$19")*(INDIRECT("'"&amp;$H$3&amp;"'!W169")+(INDIRECT("'"&amp;$H$3&amp;"'!W170")*(MIN(('1_Outputs'!W$187/INDIRECT("'"&amp;$H$3&amp;"'!W$96")),INDEX(INDIRECT("'"&amp;$H$3&amp;"'!$H$49:$H$78"),MATCH(INDIRECT("'"&amp;$H$3&amp;"'!W156")&amp;"Delivery Capacity (m^3)",INDIRECT("'"&amp;$H$3&amp;"'!$F$49:$F$78"),0)))/INDIRECT("'"&amp;$H$3&amp;"'!$H$19"))))))),0)</f>
        <v>0</v>
      </c>
      <c r="X223" s="1473"/>
      <c r="Y223" s="36"/>
      <c r="Z223" s="36"/>
      <c r="AA223" s="36"/>
      <c r="AB223" s="36"/>
      <c r="AC223" s="36"/>
      <c r="AD223" s="36"/>
      <c r="AE223" s="36"/>
      <c r="AF223" s="36"/>
      <c r="AG223" s="36"/>
      <c r="AH223" s="36"/>
      <c r="AI223" s="36"/>
      <c r="AJ223" s="36"/>
      <c r="AK223" s="36"/>
      <c r="AL223" s="36"/>
      <c r="AM223" s="36"/>
      <c r="AN223" s="36"/>
    </row>
    <row r="224" spans="6:40" ht="48" customHeight="1">
      <c r="F224" s="1638" t="s">
        <v>2502</v>
      </c>
      <c r="G224" s="1639"/>
      <c r="H224" s="1655"/>
      <c r="I224" s="1655"/>
      <c r="J224" s="1655"/>
      <c r="K224" s="1522" t="str">
        <f ca="1">IF($H$9&gt;=2,INDIRECT("'"&amp;$H$3&amp;"'!J$130"),"")</f>
        <v>CMS  to  Regional WH</v>
      </c>
      <c r="L224" s="1522" t="str">
        <f t="shared" ref="L224:V224" ca="1" si="17">IF($H$9&gt;=1,"Tier 1","")</f>
        <v>Tier 1</v>
      </c>
      <c r="M224" s="1522" t="str">
        <f t="shared" ca="1" si="17"/>
        <v>Tier 1</v>
      </c>
      <c r="N224" s="1522" t="str">
        <f ca="1">IF($H$9&gt;=3,INDIRECT("'"&amp;$H$3&amp;"'!M$130"),"")</f>
        <v>Regional WH  to  Health Facility</v>
      </c>
      <c r="O224" s="1522" t="str">
        <f t="shared" ca="1" si="17"/>
        <v>Tier 1</v>
      </c>
      <c r="P224" s="1522" t="str">
        <f t="shared" ca="1" si="17"/>
        <v>Tier 1</v>
      </c>
      <c r="Q224" s="1523" t="str">
        <f ca="1">IF($H$9&gt;=4,INDIRECT("'"&amp;$H$3&amp;"'!P$130"),"")</f>
        <v/>
      </c>
      <c r="R224" s="1512" t="str">
        <f t="shared" ca="1" si="17"/>
        <v>Tier 1</v>
      </c>
      <c r="S224" s="1512" t="str">
        <f t="shared" ca="1" si="17"/>
        <v>Tier 1</v>
      </c>
      <c r="T224" s="1523" t="str">
        <f ca="1">IF($H$9&gt;=5,INDIRECT("'"&amp;$H$3&amp;"'!S$130"),"")</f>
        <v/>
      </c>
      <c r="U224" s="1524" t="str">
        <f t="shared" ca="1" si="17"/>
        <v>Tier 1</v>
      </c>
      <c r="V224" s="1524" t="str">
        <f t="shared" ca="1" si="17"/>
        <v>Tier 1</v>
      </c>
      <c r="W224" s="1523" t="str">
        <f ca="1">IF($H$9&gt;=6,INDIRECT("'"&amp;$H$3&amp;"'!V$130"),"")</f>
        <v/>
      </c>
      <c r="X224" s="1474"/>
      <c r="Y224" s="36"/>
      <c r="Z224" s="36"/>
      <c r="AA224" s="36"/>
      <c r="AB224" s="36"/>
      <c r="AC224" s="36"/>
      <c r="AD224" s="36"/>
      <c r="AE224" s="36"/>
      <c r="AF224" s="36"/>
      <c r="AG224" s="36"/>
      <c r="AH224" s="36"/>
      <c r="AI224" s="36"/>
      <c r="AJ224" s="36"/>
      <c r="AK224" s="242"/>
      <c r="AL224" s="36"/>
      <c r="AM224" s="36"/>
      <c r="AN224" s="36"/>
    </row>
    <row r="225" spans="6:40" ht="15" customHeight="1" outlineLevel="1">
      <c r="F225" s="1641"/>
      <c r="G225" s="51" t="s">
        <v>414</v>
      </c>
      <c r="H225" s="836"/>
      <c r="I225" s="836"/>
      <c r="J225" s="836"/>
      <c r="K225" s="836">
        <f ca="1">IFERROR(IF(INDIRECT("'"&amp;$H$3&amp;"'!K133")=0,0,IF(INDIRECT("'"&amp;$H$3&amp;"'!K193")="Yes",'1_Outputs'!K64,IF(OR(AND(INDIRECT("'"&amp;$H$3&amp;"'!K133")&gt;0,INDIRECT("'"&amp;$H$3&amp;"'!K153")="Yes"),AND(INDIRECT("'"&amp;$H$3&amp;"'!K133")&gt;1,INDIRECT("'"&amp;$H$3&amp;"'!K173")="Yes")),'1_Outputs'!K57,'1_Outputs'!K52))),0)</f>
        <v>2052.75</v>
      </c>
      <c r="L225" s="836"/>
      <c r="M225" s="836"/>
      <c r="N225" s="1658">
        <f ca="1">IFERROR(IF(INDIRECT("'"&amp;$H$3&amp;"'!N133")=0,0,IF(INDIRECT("'"&amp;$H$3&amp;"'!N193")="Yes",'1_Outputs'!N64,IF(OR(AND(INDIRECT("'"&amp;$H$3&amp;"'!N133")&gt;0,INDIRECT("'"&amp;$H$3&amp;"'!N153")="Yes"),AND(INDIRECT("'"&amp;$H$3&amp;"'!N133")&gt;1,INDIRECT("'"&amp;$H$3&amp;"'!N173")="Yes")),'1_Outputs'!N57,'1_Outputs'!N52))),0)</f>
        <v>5.666666666666667</v>
      </c>
      <c r="O225" s="836"/>
      <c r="P225" s="836"/>
      <c r="Q225" s="836">
        <f ca="1">IFERROR(IF(INDIRECT("'"&amp;$H$3&amp;"'!Q133")=0,0,IF(INDIRECT("'"&amp;$H$3&amp;"'!Q193")="Yes",'1_Outputs'!Q64,IF(OR(AND(INDIRECT("'"&amp;$H$3&amp;"'!Q133")&gt;0,INDIRECT("'"&amp;$H$3&amp;"'!Q153")="Yes"),AND(INDIRECT("'"&amp;$H$3&amp;"'!Q133")&gt;1,INDIRECT("'"&amp;$H$3&amp;"'!Q173")="Yes")),'1_Outputs'!Q57,'1_Outputs'!Q52))),0)</f>
        <v>0</v>
      </c>
      <c r="R225" s="836"/>
      <c r="S225" s="836"/>
      <c r="T225" s="836">
        <f ca="1">IFERROR(IF(INDIRECT("'"&amp;$H$3&amp;"'!T133")=0,0,IF(INDIRECT("'"&amp;$H$3&amp;"'!T193")="Yes",'1_Outputs'!T64,IF(OR(AND(INDIRECT("'"&amp;$H$3&amp;"'!T133")&gt;0,INDIRECT("'"&amp;$H$3&amp;"'!T153")="Yes"),AND(INDIRECT("'"&amp;$H$3&amp;"'!T133")&gt;1,INDIRECT("'"&amp;$H$3&amp;"'!T173")="Yes")),'1_Outputs'!T57,'1_Outputs'!T52))),0)</f>
        <v>0</v>
      </c>
      <c r="U225" s="836"/>
      <c r="V225" s="836"/>
      <c r="W225" s="836">
        <f ca="1">IFERROR(IF(INDIRECT("'"&amp;$H$3&amp;"'!W133")=0,0,IF(INDIRECT("'"&amp;$H$3&amp;"'!W193")="Yes",'1_Outputs'!W64,IF(OR(AND(INDIRECT("'"&amp;$H$3&amp;"'!W133")&gt;0,INDIRECT("'"&amp;$H$3&amp;"'!W153")="Yes"),AND(INDIRECT("'"&amp;$H$3&amp;"'!W133")&gt;1,INDIRECT("'"&amp;$H$3&amp;"'!W173")="Yes")),'1_Outputs'!W57,'1_Outputs'!W52))),0)</f>
        <v>0</v>
      </c>
      <c r="X225" s="1465"/>
      <c r="AK225" s="1"/>
    </row>
    <row r="226" spans="6:40" ht="15" customHeight="1" outlineLevel="1">
      <c r="F226" s="1614" t="s">
        <v>387</v>
      </c>
      <c r="G226" s="1614"/>
      <c r="H226" s="848"/>
      <c r="I226" s="848"/>
      <c r="J226" s="848"/>
      <c r="K226" s="848"/>
      <c r="L226" s="848"/>
      <c r="M226" s="848"/>
      <c r="N226" s="848"/>
      <c r="O226" s="848"/>
      <c r="P226" s="848"/>
      <c r="Q226" s="1643"/>
      <c r="R226" s="1644"/>
      <c r="S226" s="1644"/>
      <c r="T226" s="1643"/>
      <c r="U226" s="1644"/>
      <c r="V226" s="1644"/>
      <c r="W226" s="1643"/>
      <c r="X226" s="1466"/>
      <c r="AK226" s="1"/>
    </row>
    <row r="227" spans="6:40" ht="15" customHeight="1" outlineLevel="1">
      <c r="F227" s="52"/>
      <c r="G227" s="51" t="s">
        <v>390</v>
      </c>
      <c r="H227" s="836"/>
      <c r="I227" s="836"/>
      <c r="J227" s="836"/>
      <c r="K227" s="836">
        <f ca="1">IFERROR(((K$64*INDIRECT("'"&amp;$H$3&amp;"'!K$95"))*(IF(COUNTIF(INDIRECT("'"&amp;$H$3&amp;"'!K176"),"Public Transport*")=1,K232,K244)/INDIRECT("'"&amp;$H$3&amp;"'!K$95")))/IF(COUNTIF(INDIRECT("'"&amp;$H$3&amp;"'!K176"),"Public Transport*")=1,K230,K246),0)</f>
        <v>0</v>
      </c>
      <c r="L227" s="836"/>
      <c r="M227" s="836"/>
      <c r="N227" s="836">
        <f ca="1">IFERROR(((N$64*INDIRECT("'"&amp;$H$3&amp;"'!N$95"))*(IF(COUNTIF(INDIRECT("'"&amp;$H$3&amp;"'!N176"),"Public Transport*")=1,N232,N244)/INDIRECT("'"&amp;$H$3&amp;"'!N$95")))/IF(COUNTIF(INDIRECT("'"&amp;$H$3&amp;"'!N176"),"Public Transport*")=1,N230,N246),0)</f>
        <v>0</v>
      </c>
      <c r="O227" s="836"/>
      <c r="P227" s="836"/>
      <c r="Q227" s="836">
        <f ca="1">IFERROR(((Q$64*INDIRECT("'"&amp;$H$3&amp;"'!Q$95"))*(IF(COUNTIF(INDIRECT("'"&amp;$H$3&amp;"'!Q176"),"Public Transport*")=1,Q232,Q244)/INDIRECT("'"&amp;$H$3&amp;"'!Q$95")))/IF(COUNTIF(INDIRECT("'"&amp;$H$3&amp;"'!Q176"),"Public Transport*")=1,Q230,Q246),0)</f>
        <v>0</v>
      </c>
      <c r="R227" s="1646"/>
      <c r="S227" s="1646"/>
      <c r="T227" s="836">
        <f ca="1">IFERROR(((T$64*INDIRECT("'"&amp;$H$3&amp;"'!T$95"))*(IF(COUNTIF(INDIRECT("'"&amp;$H$3&amp;"'!T176"),"Public Transport*")=1,T232,T244)/INDIRECT("'"&amp;$H$3&amp;"'!T$95")))/IF(COUNTIF(INDIRECT("'"&amp;$H$3&amp;"'!T176"),"Public Transport*")=1,T230,T246),0)</f>
        <v>0</v>
      </c>
      <c r="U227" s="1646"/>
      <c r="V227" s="1646"/>
      <c r="W227" s="836">
        <f ca="1">IFERROR(((W$64*INDIRECT("'"&amp;$H$3&amp;"'!W$95"))*(IF(COUNTIF(INDIRECT("'"&amp;$H$3&amp;"'!W176"),"Public Transport*")=1,W232,W244)/INDIRECT("'"&amp;$H$3&amp;"'!W$95")))/IF(COUNTIF(INDIRECT("'"&amp;$H$3&amp;"'!W176"),"Public Transport*")=1,W230,W246),0)</f>
        <v>0</v>
      </c>
      <c r="X227" s="1465"/>
      <c r="Y227" s="36"/>
      <c r="Z227" s="36"/>
      <c r="AA227" s="36"/>
      <c r="AB227" s="36"/>
      <c r="AC227" s="36"/>
      <c r="AD227" s="36"/>
      <c r="AE227" s="36"/>
      <c r="AF227" s="36"/>
      <c r="AG227" s="36"/>
      <c r="AH227" s="36"/>
      <c r="AI227" s="36"/>
      <c r="AJ227" s="36"/>
      <c r="AK227" s="242"/>
      <c r="AL227" s="36"/>
      <c r="AM227" s="36"/>
      <c r="AN227" s="36"/>
    </row>
    <row r="228" spans="6:40" ht="15" customHeight="1" outlineLevel="1">
      <c r="F228" s="52"/>
      <c r="G228" s="51" t="s">
        <v>391</v>
      </c>
      <c r="H228" s="836"/>
      <c r="I228" s="836"/>
      <c r="J228" s="836"/>
      <c r="K228" s="836">
        <f ca="1">IFERROR(IF(COUNTIF(INDIRECT("'"&amp;$H$3&amp;"'!K176"),"Public Transport*")=1,(K231/INDIRECT("'"&amp;$H$3&amp;"'!$H$9")),(K247/INDIRECT("'"&amp;$H$3&amp;"'!$H$9"))),0)</f>
        <v>0</v>
      </c>
      <c r="L228" s="836"/>
      <c r="M228" s="836"/>
      <c r="N228" s="836">
        <f ca="1">IFERROR(IF(COUNTIF(INDIRECT("'"&amp;$H$3&amp;"'!N176"),"Public Transport*")=1,(N231/INDIRECT("'"&amp;$H$3&amp;"'!$H$9")),(N247/INDIRECT("'"&amp;$H$3&amp;"'!$H$9"))),0)</f>
        <v>0</v>
      </c>
      <c r="O228" s="836"/>
      <c r="P228" s="836"/>
      <c r="Q228" s="836">
        <f ca="1">IFERROR(IF(COUNTIF(INDIRECT("'"&amp;$H$3&amp;"'!Q176"),"Public Transport*")=1,(Q231/INDIRECT("'"&amp;$H$3&amp;"'!$H$9")),(Q247/INDIRECT("'"&amp;$H$3&amp;"'!$H$9"))),0)</f>
        <v>0</v>
      </c>
      <c r="R228" s="1646"/>
      <c r="S228" s="1646"/>
      <c r="T228" s="836">
        <f ca="1">IFERROR(IF(COUNTIF(INDIRECT("'"&amp;$H$3&amp;"'!T176"),"Public Transport*")=1,(T231/INDIRECT("'"&amp;$H$3&amp;"'!$H$9")),(T247/INDIRECT("'"&amp;$H$3&amp;"'!$H$9"))),0)</f>
        <v>0</v>
      </c>
      <c r="U228" s="1646"/>
      <c r="V228" s="1646"/>
      <c r="W228" s="836">
        <f ca="1">IFERROR(IF(COUNTIF(INDIRECT("'"&amp;$H$3&amp;"'!W176"),"Public Transport*")=1,(W231/INDIRECT("'"&amp;$H$3&amp;"'!$H$9")),(W247/INDIRECT("'"&amp;$H$3&amp;"'!$H$9"))),0)</f>
        <v>0</v>
      </c>
      <c r="X228" s="1465"/>
      <c r="Y228" s="36"/>
      <c r="Z228" s="36"/>
      <c r="AA228" s="36"/>
      <c r="AB228" s="36"/>
      <c r="AC228" s="36"/>
      <c r="AD228" s="36"/>
      <c r="AE228" s="36"/>
      <c r="AF228" s="36"/>
      <c r="AG228" s="36"/>
      <c r="AH228" s="36"/>
      <c r="AI228" s="36"/>
      <c r="AJ228" s="36"/>
      <c r="AK228" s="242"/>
      <c r="AL228" s="36"/>
      <c r="AM228" s="36"/>
      <c r="AN228" s="36"/>
    </row>
    <row r="229" spans="6:40" ht="15" customHeight="1" outlineLevel="1">
      <c r="F229" s="1659" t="s">
        <v>149</v>
      </c>
      <c r="G229" s="1614"/>
      <c r="H229" s="848"/>
      <c r="I229" s="848"/>
      <c r="J229" s="848"/>
      <c r="K229" s="848"/>
      <c r="L229" s="848"/>
      <c r="M229" s="848"/>
      <c r="N229" s="848"/>
      <c r="O229" s="1644"/>
      <c r="P229" s="1644"/>
      <c r="Q229" s="1648"/>
      <c r="R229" s="1650"/>
      <c r="S229" s="1650"/>
      <c r="T229" s="1648"/>
      <c r="U229" s="1650"/>
      <c r="V229" s="1650"/>
      <c r="W229" s="1648"/>
      <c r="X229" s="1467"/>
      <c r="Y229" s="36"/>
      <c r="Z229" s="36"/>
      <c r="AA229" s="36"/>
      <c r="AB229" s="36"/>
      <c r="AC229" s="36"/>
      <c r="AD229" s="36"/>
      <c r="AE229" s="36"/>
      <c r="AF229" s="36"/>
      <c r="AG229" s="36"/>
      <c r="AH229" s="36"/>
      <c r="AI229" s="36"/>
      <c r="AJ229" s="36"/>
      <c r="AK229" s="242"/>
      <c r="AL229" s="36"/>
      <c r="AM229" s="36"/>
      <c r="AN229" s="36"/>
    </row>
    <row r="230" spans="6:40" ht="15" customHeight="1" outlineLevel="1">
      <c r="F230" s="52"/>
      <c r="G230" s="51" t="s">
        <v>146</v>
      </c>
      <c r="H230" s="837"/>
      <c r="I230" s="837"/>
      <c r="J230" s="837"/>
      <c r="K230" s="837">
        <f ca="1">IFERROR(IF(COUNTIF(INDIRECT("'"&amp;$H$3&amp;"'!K176"),"Public Transport*")=1,IF(INDIRECT("'"&amp;$H$3&amp;"'!K183")="Route-based",K238*INDIRECT("'"&amp;$H$3&amp;"'!K$96"),IF(INDIRECT("'"&amp;$H$3&amp;"'!K183")="Point-to-point",K241*INDIRECT("'"&amp;$H$3&amp;"'!K$96"),0)),0),0)</f>
        <v>0</v>
      </c>
      <c r="L230" s="837"/>
      <c r="M230" s="837"/>
      <c r="N230" s="837">
        <f ca="1">IFERROR(IF(COUNTIF(INDIRECT("'"&amp;$H$3&amp;"'!N176"),"Public Transport*")=1,IF(INDIRECT("'"&amp;$H$3&amp;"'!N183")="Route-based",N238*INDIRECT("'"&amp;$H$3&amp;"'!N$96"),IF(INDIRECT("'"&amp;$H$3&amp;"'!N183")="Point-to-point",N241*INDIRECT("'"&amp;$H$3&amp;"'!N$96"),0)),0),0)</f>
        <v>0</v>
      </c>
      <c r="O230" s="837"/>
      <c r="P230" s="837"/>
      <c r="Q230" s="837">
        <f ca="1">IFERROR(IF(COUNTIF(INDIRECT("'"&amp;$H$3&amp;"'!Q176"),"Public Transport*")=1,IF(INDIRECT("'"&amp;$H$3&amp;"'!Q183")="Route-based",Q238*INDIRECT("'"&amp;$H$3&amp;"'!Q$96"),IF(INDIRECT("'"&amp;$H$3&amp;"'!Q183")="Point-to-point",Q241*INDIRECT("'"&amp;$H$3&amp;"'!Q$96"),0)),0),0)</f>
        <v>0</v>
      </c>
      <c r="R230" s="1650"/>
      <c r="S230" s="1650"/>
      <c r="T230" s="837">
        <f ca="1">IFERROR(IF(COUNTIF(INDIRECT("'"&amp;$H$3&amp;"'!T176"),"Public Transport*")=1,IF(INDIRECT("'"&amp;$H$3&amp;"'!T183")="Route-based",T238*INDIRECT("'"&amp;$H$3&amp;"'!T$96"),IF(INDIRECT("'"&amp;$H$3&amp;"'!T183")="Point-to-point",T241*INDIRECT("'"&amp;$H$3&amp;"'!T$96"),0)),0),0)</f>
        <v>0</v>
      </c>
      <c r="U230" s="1650"/>
      <c r="V230" s="1650"/>
      <c r="W230" s="837">
        <f ca="1">IFERROR(IF(COUNTIF(INDIRECT("'"&amp;$H$3&amp;"'!W176"),"Public Transport*")=1,IF(INDIRECT("'"&amp;$H$3&amp;"'!W183")="Route-based",W238*INDIRECT("'"&amp;$H$3&amp;"'!W$96"),IF(INDIRECT("'"&amp;$H$3&amp;"'!W183")="Point-to-point",W241*INDIRECT("'"&amp;$H$3&amp;"'!W$96"),0)),0),0)</f>
        <v>0</v>
      </c>
      <c r="X230" s="1468"/>
      <c r="Y230" s="36"/>
      <c r="Z230" s="36"/>
      <c r="AA230" s="36"/>
      <c r="AB230" s="36"/>
      <c r="AC230" s="36"/>
      <c r="AD230" s="36"/>
      <c r="AE230" s="36"/>
      <c r="AF230" s="36"/>
      <c r="AG230" s="36"/>
      <c r="AH230" s="36"/>
      <c r="AI230" s="36"/>
      <c r="AJ230" s="36"/>
      <c r="AK230" s="242"/>
      <c r="AL230" s="36"/>
      <c r="AM230" s="36"/>
      <c r="AN230" s="36"/>
    </row>
    <row r="231" spans="6:40" ht="15" customHeight="1" outlineLevel="1">
      <c r="F231" s="52"/>
      <c r="G231" s="51" t="s">
        <v>147</v>
      </c>
      <c r="H231" s="837"/>
      <c r="I231" s="837"/>
      <c r="J231" s="837"/>
      <c r="K231" s="837">
        <f ca="1">IFERROR(IF(INDIRECT("'"&amp;$H$3&amp;"'!K183")="Route-based",K239*INDIRECT("'"&amp;$H$3&amp;"'!K$96"),IF(INDIRECT("'"&amp;$H$3&amp;"'!K183")="Point-to-point",K242*INDIRECT("'"&amp;$H$3&amp;"'!K$96"),0)),0)</f>
        <v>0</v>
      </c>
      <c r="L231" s="837"/>
      <c r="M231" s="837"/>
      <c r="N231" s="837">
        <f ca="1">IFERROR(IF(INDIRECT("'"&amp;$H$3&amp;"'!N183")="Route-based",N239*INDIRECT("'"&amp;$H$3&amp;"'!N$96"),IF(INDIRECT("'"&amp;$H$3&amp;"'!N183")="Point-to-point",N242*INDIRECT("'"&amp;$H$3&amp;"'!N$96"),0)),0)</f>
        <v>0</v>
      </c>
      <c r="O231" s="837"/>
      <c r="P231" s="837"/>
      <c r="Q231" s="837">
        <f ca="1">IFERROR(IF(INDIRECT("'"&amp;$H$3&amp;"'!Q183")="Route-based",Q239*INDIRECT("'"&amp;$H$3&amp;"'!Q$96"),IF(INDIRECT("'"&amp;$H$3&amp;"'!Q183")="Point-to-point",Q242*INDIRECT("'"&amp;$H$3&amp;"'!Q$96"),0)),0)</f>
        <v>0</v>
      </c>
      <c r="R231" s="1650"/>
      <c r="S231" s="1650"/>
      <c r="T231" s="837">
        <f ca="1">IFERROR(IF(INDIRECT("'"&amp;$H$3&amp;"'!T183")="Route-based",T239*INDIRECT("'"&amp;$H$3&amp;"'!T$96"),IF(INDIRECT("'"&amp;$H$3&amp;"'!T183")="Point-to-point",T242*INDIRECT("'"&amp;$H$3&amp;"'!T$96"),0)),0)</f>
        <v>0</v>
      </c>
      <c r="U231" s="1650"/>
      <c r="V231" s="1650"/>
      <c r="W231" s="837">
        <f ca="1">IFERROR(IF(INDIRECT("'"&amp;$H$3&amp;"'!W183")="Route-based",W239*INDIRECT("'"&amp;$H$3&amp;"'!W$96"),IF(INDIRECT("'"&amp;$H$3&amp;"'!W183")="Point-to-point",W242*INDIRECT("'"&amp;$H$3&amp;"'!W$96"),0)),0)</f>
        <v>0</v>
      </c>
      <c r="X231" s="1468"/>
      <c r="Y231" s="36"/>
      <c r="Z231" s="36"/>
      <c r="AA231" s="36"/>
      <c r="AB231" s="36"/>
      <c r="AC231" s="36"/>
      <c r="AD231" s="36"/>
      <c r="AE231" s="36"/>
      <c r="AF231" s="36"/>
      <c r="AG231" s="36"/>
      <c r="AH231" s="36"/>
      <c r="AI231" s="36"/>
      <c r="AJ231" s="36"/>
      <c r="AK231" s="36"/>
      <c r="AL231" s="36"/>
      <c r="AM231" s="36"/>
      <c r="AN231" s="36"/>
    </row>
    <row r="232" spans="6:40" ht="15" customHeight="1" outlineLevel="1">
      <c r="F232" s="52"/>
      <c r="G232" s="51" t="s">
        <v>142</v>
      </c>
      <c r="H232" s="1651"/>
      <c r="I232" s="1651"/>
      <c r="J232" s="1651"/>
      <c r="K232" s="1651">
        <f ca="1">IFERROR(IF(COUNTIF(INDIRECT("'"&amp;$H$3&amp;"'!K176"),"Public Transport*")=1,ROUND(INDIRECT("'"&amp;$H$3&amp;"'!K$95")*INDIRECT("'"&amp;$H$3&amp;"'!K175"),0),0),0)</f>
        <v>0</v>
      </c>
      <c r="L232" s="1651"/>
      <c r="M232" s="1651"/>
      <c r="N232" s="1651">
        <f ca="1">IFERROR(IF(COUNTIF(INDIRECT("'"&amp;$H$3&amp;"'!N176"),"Public Transport*")=1,ROUND(INDIRECT("'"&amp;$H$3&amp;"'!N$95")*INDIRECT("'"&amp;$H$3&amp;"'!N175"),0),0),0)</f>
        <v>0</v>
      </c>
      <c r="O232" s="1651"/>
      <c r="P232" s="1651"/>
      <c r="Q232" s="1651">
        <f ca="1">IFERROR(IF(COUNTIF(INDIRECT("'"&amp;$H$3&amp;"'!Q176"),"Public Transport*")=1,ROUND(INDIRECT("'"&amp;$H$3&amp;"'!Q$95")*INDIRECT("'"&amp;$H$3&amp;"'!Q175"),0),0),0)</f>
        <v>0</v>
      </c>
      <c r="R232" s="1652"/>
      <c r="S232" s="1652"/>
      <c r="T232" s="1651">
        <f ca="1">IFERROR(IF(COUNTIF(INDIRECT("'"&amp;$H$3&amp;"'!T176"),"Public Transport*")=1,ROUND(INDIRECT("'"&amp;$H$3&amp;"'!T$95")*INDIRECT("'"&amp;$H$3&amp;"'!T175"),0),0),0)</f>
        <v>0</v>
      </c>
      <c r="U232" s="1652"/>
      <c r="V232" s="1652"/>
      <c r="W232" s="1651">
        <f ca="1">IFERROR(IF(COUNTIF(INDIRECT("'"&amp;$H$3&amp;"'!W176"),"Public Transport*")=1,ROUND(INDIRECT("'"&amp;$H$3&amp;"'!W$95")*INDIRECT("'"&amp;$H$3&amp;"'!W175"),0),0),0)</f>
        <v>0</v>
      </c>
      <c r="X232" s="1466"/>
      <c r="Y232" s="36"/>
      <c r="Z232" s="36"/>
      <c r="AA232" s="36"/>
      <c r="AB232" s="36"/>
      <c r="AC232" s="36"/>
      <c r="AD232" s="36"/>
      <c r="AE232" s="36"/>
      <c r="AF232" s="36"/>
      <c r="AG232" s="36"/>
      <c r="AH232" s="36"/>
      <c r="AI232" s="36"/>
      <c r="AJ232" s="36"/>
      <c r="AK232" s="36"/>
      <c r="AL232" s="36"/>
      <c r="AM232" s="36"/>
      <c r="AN232" s="36" t="s">
        <v>190</v>
      </c>
    </row>
    <row r="233" spans="6:40" ht="15" customHeight="1" outlineLevel="1">
      <c r="F233" s="52"/>
      <c r="G233" s="51" t="s">
        <v>158</v>
      </c>
      <c r="H233" s="836"/>
      <c r="I233" s="836"/>
      <c r="J233" s="836"/>
      <c r="K233" s="836">
        <f ca="1">IFERROR(INDEX(INDIRECT("'"&amp;$H$3&amp;"'!$H$43:$H$78"),MATCH(INDIRECT("'"&amp;$H$3&amp;"'!K176")&amp;"Maximum delivery capacity (m^3)", INDIRECT("'"&amp;$H$3&amp;"'!$F$43:$F$78"),0))/('1_Outputs'!K$225/INDIRECT("'"&amp;$H$3&amp;"'!K$96")),0)</f>
        <v>0</v>
      </c>
      <c r="L233" s="836"/>
      <c r="M233" s="836"/>
      <c r="N233" s="836">
        <f ca="1">IFERROR(INDEX(INDIRECT("'"&amp;$H$3&amp;"'!$H$43:$H$78"),MATCH(INDIRECT("'"&amp;$H$3&amp;"'!N176")&amp;"Maximum delivery capacity (m^3)", INDIRECT("'"&amp;$H$3&amp;"'!$F$43:$F$78"),0))/('1_Outputs'!N$225/INDIRECT("'"&amp;$H$3&amp;"'!N$96")),0)</f>
        <v>0</v>
      </c>
      <c r="O233" s="836"/>
      <c r="P233" s="836"/>
      <c r="Q233" s="836">
        <f ca="1">IFERROR(INDEX(INDIRECT("'"&amp;$H$3&amp;"'!$H$43:$H$78"),MATCH(INDIRECT("'"&amp;$H$3&amp;"'!Q176")&amp;"Maximum delivery capacity (m^3)", INDIRECT("'"&amp;$H$3&amp;"'!$F$43:$F$78"),0))/('1_Outputs'!Q$225/INDIRECT("'"&amp;$H$3&amp;"'!Q$96")),0)</f>
        <v>0</v>
      </c>
      <c r="R233" s="836"/>
      <c r="S233" s="836"/>
      <c r="T233" s="836">
        <f ca="1">IFERROR(INDEX(INDIRECT("'"&amp;$H$3&amp;"'!$H$43:$H$78"),MATCH(INDIRECT("'"&amp;$H$3&amp;"'!T176")&amp;"Maximum delivery capacity (m^3)", INDIRECT("'"&amp;$H$3&amp;"'!$F$43:$F$78"),0))/('1_Outputs'!T$225/INDIRECT("'"&amp;$H$3&amp;"'!T$96")),0)</f>
        <v>0</v>
      </c>
      <c r="U233" s="836"/>
      <c r="V233" s="836"/>
      <c r="W233" s="836">
        <f ca="1">IFERROR(INDEX(INDIRECT("'"&amp;$H$3&amp;"'!$H$43:$H$78"),MATCH(INDIRECT("'"&amp;$H$3&amp;"'!W176")&amp;"Maximum delivery capacity (m^3)", INDIRECT("'"&amp;$H$3&amp;"'!$F$43:$F$78"),0))/('1_Outputs'!W$225/INDIRECT("'"&amp;$H$3&amp;"'!W$96")),0)</f>
        <v>0</v>
      </c>
      <c r="X233" s="1469"/>
      <c r="Y233" s="36"/>
      <c r="Z233" s="36"/>
      <c r="AA233" s="36"/>
      <c r="AB233" s="36"/>
      <c r="AC233" s="36"/>
      <c r="AD233" s="36"/>
      <c r="AE233" s="36"/>
      <c r="AF233" s="36"/>
      <c r="AG233" s="36"/>
      <c r="AH233" s="36"/>
      <c r="AI233" s="36"/>
      <c r="AJ233" s="36"/>
      <c r="AK233" s="36"/>
      <c r="AL233" s="36"/>
      <c r="AM233" s="36"/>
      <c r="AN233" s="36"/>
    </row>
    <row r="234" spans="6:40" ht="15" customHeight="1" outlineLevel="1">
      <c r="F234" s="52"/>
      <c r="G234" s="1613" t="s">
        <v>150</v>
      </c>
      <c r="H234" s="842"/>
      <c r="I234" s="842"/>
      <c r="J234" s="842"/>
      <c r="K234" s="842"/>
      <c r="L234" s="842"/>
      <c r="M234" s="842"/>
      <c r="N234" s="842"/>
      <c r="O234" s="842"/>
      <c r="P234" s="842"/>
      <c r="Q234" s="842"/>
      <c r="R234" s="1650"/>
      <c r="S234" s="1650"/>
      <c r="T234" s="842"/>
      <c r="U234" s="1650"/>
      <c r="V234" s="1650"/>
      <c r="W234" s="842"/>
      <c r="X234" s="1470"/>
      <c r="Y234" s="36"/>
      <c r="Z234" s="36"/>
      <c r="AA234" s="36"/>
      <c r="AB234" s="36"/>
      <c r="AC234" s="36"/>
      <c r="AD234" s="36"/>
      <c r="AE234" s="36"/>
      <c r="AF234" s="36"/>
      <c r="AG234" s="36"/>
      <c r="AH234" s="36"/>
      <c r="AI234" s="36"/>
      <c r="AJ234" s="36"/>
      <c r="AK234" s="36"/>
      <c r="AL234" s="36"/>
      <c r="AM234" s="36"/>
      <c r="AN234" s="36"/>
    </row>
    <row r="235" spans="6:40" ht="15" customHeight="1" outlineLevel="1">
      <c r="F235" s="52"/>
      <c r="G235" s="51" t="s">
        <v>140</v>
      </c>
      <c r="H235" s="836"/>
      <c r="I235" s="836"/>
      <c r="J235" s="836"/>
      <c r="K235" s="836">
        <f ca="1">IFERROR(ROUND(INDIRECT("'"&amp;$H$3&amp;"'!$H$10")/(((1/60)*(INDIRECT("'"&amp;$H$3&amp;"'!K188")+INDIRECT("'"&amp;$H$3&amp;"'!$H$19")*(INDIRECT("'"&amp;$H$3&amp;"'!K189")+(INDIRECT("'"&amp;$H$3&amp;"'!K190")*('1_Outputs'!K$225/INDIRECT("'"&amp;$H$3&amp;"'!K$96")/INDIRECT("'"&amp;$H$3&amp;"'!$H$19"))))))+INDEX(INDIRECT("'"&amp;$H$3&amp;"'!$H$43:$H$78"),MATCH(INDIRECT("'"&amp;$H$3&amp;"'!K176")&amp;"Average duration (hrs) per trip",INDIRECT("'"&amp;$H$3&amp;"'!$F$43:$F$78"),0))),1),0)</f>
        <v>0</v>
      </c>
      <c r="L235" s="836"/>
      <c r="M235" s="836"/>
      <c r="N235" s="836">
        <f ca="1">IFERROR(ROUND(INDIRECT("'"&amp;$H$3&amp;"'!$H$10")/(((1/60)*(INDIRECT("'"&amp;$H$3&amp;"'!N188")+INDIRECT("'"&amp;$H$3&amp;"'!$H$19")*(INDIRECT("'"&amp;$H$3&amp;"'!N189")+(INDIRECT("'"&amp;$H$3&amp;"'!N190")*('1_Outputs'!N$225/INDIRECT("'"&amp;$H$3&amp;"'!N$96")/INDIRECT("'"&amp;$H$3&amp;"'!$H$19"))))))+INDEX(INDIRECT("'"&amp;$H$3&amp;"'!$H$43:$H$78"),MATCH(INDIRECT("'"&amp;$H$3&amp;"'!N176")&amp;"Average duration (hrs) per trip",INDIRECT("'"&amp;$H$3&amp;"'!$F$43:$F$78"),0))),1),0)</f>
        <v>0</v>
      </c>
      <c r="O235" s="836"/>
      <c r="P235" s="836"/>
      <c r="Q235" s="836">
        <f ca="1">IFERROR(ROUND(INDIRECT("'"&amp;$H$3&amp;"'!$H$10")/(((1/60)*(INDIRECT("'"&amp;$H$3&amp;"'!Q188")+INDIRECT("'"&amp;$H$3&amp;"'!$H$19")*(INDIRECT("'"&amp;$H$3&amp;"'!Q189")+(INDIRECT("'"&amp;$H$3&amp;"'!Q190")*('1_Outputs'!Q$225/INDIRECT("'"&amp;$H$3&amp;"'!Q$96")/INDIRECT("'"&amp;$H$3&amp;"'!$H$19"))))))+INDEX(INDIRECT("'"&amp;$H$3&amp;"'!$H$43:$H$78"),MATCH(INDIRECT("'"&amp;$H$3&amp;"'!Q176")&amp;"Average duration (hrs) per trip",INDIRECT("'"&amp;$H$3&amp;"'!$F$43:$F$78"),0))),1),0)</f>
        <v>0</v>
      </c>
      <c r="R235" s="836"/>
      <c r="S235" s="836"/>
      <c r="T235" s="836">
        <f ca="1">IFERROR(ROUND(INDIRECT("'"&amp;$H$3&amp;"'!$H$10")/(((1/60)*(INDIRECT("'"&amp;$H$3&amp;"'!T188")+INDIRECT("'"&amp;$H$3&amp;"'!$H$19")*(INDIRECT("'"&amp;$H$3&amp;"'!T189")+(INDIRECT("'"&amp;$H$3&amp;"'!T190")*('1_Outputs'!T$225/INDIRECT("'"&amp;$H$3&amp;"'!T$96")/INDIRECT("'"&amp;$H$3&amp;"'!$H$19"))))))+INDEX(INDIRECT("'"&amp;$H$3&amp;"'!$H$43:$H$78"),MATCH(INDIRECT("'"&amp;$H$3&amp;"'!T176")&amp;"Average duration (hrs) per trip",INDIRECT("'"&amp;$H$3&amp;"'!$F$43:$F$78"),0))),1),0)</f>
        <v>0</v>
      </c>
      <c r="U235" s="836"/>
      <c r="V235" s="836"/>
      <c r="W235" s="836">
        <f ca="1">IFERROR(ROUND(INDIRECT("'"&amp;$H$3&amp;"'!$H$10")/(((1/60)*(INDIRECT("'"&amp;$H$3&amp;"'!W188")+INDIRECT("'"&amp;$H$3&amp;"'!$H$19")*(INDIRECT("'"&amp;$H$3&amp;"'!W189")+(INDIRECT("'"&amp;$H$3&amp;"'!W190")*('1_Outputs'!W$225/INDIRECT("'"&amp;$H$3&amp;"'!W$96")/INDIRECT("'"&amp;$H$3&amp;"'!$H$19"))))))+INDEX(INDIRECT("'"&amp;$H$3&amp;"'!$H$43:$H$78"),MATCH(INDIRECT("'"&amp;$H$3&amp;"'!W176")&amp;"Average duration (hrs) per trip",INDIRECT("'"&amp;$H$3&amp;"'!$F$43:$F$78"),0))),1),0)</f>
        <v>0</v>
      </c>
      <c r="X235" s="1469"/>
      <c r="Y235" s="36"/>
      <c r="Z235" s="36"/>
      <c r="AA235" s="36"/>
      <c r="AB235" s="36"/>
      <c r="AC235" s="36"/>
      <c r="AD235" s="36"/>
      <c r="AE235" s="36"/>
      <c r="AF235" s="36"/>
      <c r="AG235" s="36"/>
      <c r="AH235" s="36"/>
      <c r="AI235" s="36"/>
      <c r="AJ235" s="36"/>
      <c r="AK235" s="36"/>
      <c r="AL235" s="36"/>
      <c r="AM235" s="36"/>
      <c r="AN235" s="36"/>
    </row>
    <row r="236" spans="6:40" ht="15" customHeight="1" outlineLevel="1">
      <c r="F236" s="52"/>
      <c r="G236" s="51" t="s">
        <v>141</v>
      </c>
      <c r="H236" s="836"/>
      <c r="I236" s="836"/>
      <c r="J236" s="836"/>
      <c r="K236" s="836">
        <f ca="1">IFERROR(MIN(ROUND(K235*INDIRECT("'"&amp;$H$3&amp;"'!K184"),0),K233),0)</f>
        <v>0</v>
      </c>
      <c r="L236" s="836"/>
      <c r="M236" s="836"/>
      <c r="N236" s="836">
        <f ca="1">IFERROR(MIN(ROUND(N235*INDIRECT("'"&amp;$H$3&amp;"'!N184"),0),N233),0)</f>
        <v>0</v>
      </c>
      <c r="O236" s="836"/>
      <c r="P236" s="836"/>
      <c r="Q236" s="836">
        <f ca="1">IFERROR(MIN(ROUND(Q235*INDIRECT("'"&amp;$H$3&amp;"'!Q184"),0),Q233),0)</f>
        <v>0</v>
      </c>
      <c r="R236" s="836"/>
      <c r="S236" s="836"/>
      <c r="T236" s="836">
        <f ca="1">IFERROR(MIN(ROUND(T235*INDIRECT("'"&amp;$H$3&amp;"'!T184"),0),T233),0)</f>
        <v>0</v>
      </c>
      <c r="U236" s="836"/>
      <c r="V236" s="836"/>
      <c r="W236" s="836">
        <f ca="1">IFERROR(MIN(ROUND(W235*INDIRECT("'"&amp;$H$3&amp;"'!W184"),0),W233),0)</f>
        <v>0</v>
      </c>
      <c r="X236" s="1469"/>
      <c r="Y236" s="36"/>
      <c r="Z236" s="36"/>
      <c r="AA236" s="36"/>
      <c r="AB236" s="36"/>
      <c r="AC236" s="36"/>
      <c r="AD236" s="36"/>
      <c r="AE236" s="36"/>
      <c r="AF236" s="36"/>
      <c r="AG236" s="36"/>
      <c r="AH236" s="36"/>
      <c r="AI236" s="36"/>
      <c r="AJ236" s="36"/>
      <c r="AK236" s="36"/>
      <c r="AL236" s="36"/>
      <c r="AM236" s="36"/>
      <c r="AN236" s="36"/>
    </row>
    <row r="237" spans="6:40" ht="15" customHeight="1" outlineLevel="1">
      <c r="F237" s="52"/>
      <c r="G237" s="51" t="s">
        <v>143</v>
      </c>
      <c r="H237" s="836"/>
      <c r="I237" s="836"/>
      <c r="J237" s="836"/>
      <c r="K237" s="836">
        <f ca="1">IFERROR(ROUNDUP(K232/K236,0),0)</f>
        <v>0</v>
      </c>
      <c r="L237" s="836"/>
      <c r="M237" s="836"/>
      <c r="N237" s="836">
        <f ca="1">IFERROR(ROUNDUP(N232/N236,0),0)</f>
        <v>0</v>
      </c>
      <c r="O237" s="836"/>
      <c r="P237" s="836"/>
      <c r="Q237" s="836">
        <f ca="1">IFERROR(ROUNDUP(Q232/Q236,0),0)</f>
        <v>0</v>
      </c>
      <c r="R237" s="836"/>
      <c r="S237" s="836"/>
      <c r="T237" s="836">
        <f ca="1">IFERROR(ROUNDUP(T232/T236,0),0)</f>
        <v>0</v>
      </c>
      <c r="U237" s="836"/>
      <c r="V237" s="836"/>
      <c r="W237" s="836">
        <f ca="1">IFERROR(ROUNDUP(W232/W236,0),0)</f>
        <v>0</v>
      </c>
      <c r="X237" s="1469"/>
      <c r="Y237" s="36"/>
      <c r="Z237" s="36"/>
      <c r="AA237" s="36"/>
      <c r="AB237" s="36"/>
      <c r="AC237" s="36"/>
      <c r="AD237" s="36"/>
      <c r="AE237" s="36"/>
      <c r="AF237" s="36"/>
      <c r="AG237" s="36"/>
      <c r="AH237" s="36"/>
      <c r="AI237" s="36"/>
      <c r="AJ237" s="36"/>
      <c r="AK237" s="242"/>
      <c r="AL237" s="36"/>
      <c r="AM237" s="36"/>
      <c r="AN237" s="36"/>
    </row>
    <row r="238" spans="6:40" ht="15" customHeight="1" outlineLevel="1">
      <c r="F238" s="52"/>
      <c r="G238" s="51" t="s">
        <v>144</v>
      </c>
      <c r="H238" s="836"/>
      <c r="I238" s="836"/>
      <c r="J238" s="836"/>
      <c r="K238" s="836">
        <f ca="1">IFERROR((K237*(MAX(K236,1)+1)),0)</f>
        <v>0</v>
      </c>
      <c r="L238" s="836"/>
      <c r="M238" s="836"/>
      <c r="N238" s="836">
        <f ca="1">IFERROR((N237*(MAX(N236,1)+1)),0)</f>
        <v>0</v>
      </c>
      <c r="O238" s="836"/>
      <c r="P238" s="836"/>
      <c r="Q238" s="836">
        <f ca="1">IFERROR((Q237*(MAX(Q236,1)+1)),0)</f>
        <v>0</v>
      </c>
      <c r="R238" s="836"/>
      <c r="S238" s="836"/>
      <c r="T238" s="836">
        <f ca="1">IFERROR((T237*(MAX(T236,1)+1)),0)</f>
        <v>0</v>
      </c>
      <c r="U238" s="836"/>
      <c r="V238" s="836"/>
      <c r="W238" s="836">
        <f ca="1">IFERROR((W237*(MAX(W236,1)+1)),0)</f>
        <v>0</v>
      </c>
      <c r="X238" s="1469"/>
      <c r="Y238" s="36"/>
      <c r="Z238" s="36"/>
      <c r="AA238" s="36"/>
      <c r="AB238" s="36"/>
      <c r="AC238" s="36"/>
      <c r="AD238" s="36"/>
      <c r="AE238" s="36"/>
      <c r="AF238" s="36"/>
      <c r="AG238" s="36"/>
      <c r="AH238" s="36"/>
      <c r="AI238" s="36"/>
      <c r="AJ238" s="36"/>
      <c r="AK238" s="242"/>
      <c r="AL238" s="36"/>
      <c r="AM238" s="36"/>
      <c r="AN238" s="36"/>
    </row>
    <row r="239" spans="6:40" ht="15" customHeight="1" outlineLevel="1">
      <c r="F239" s="52"/>
      <c r="G239" s="51" t="s">
        <v>145</v>
      </c>
      <c r="H239" s="836"/>
      <c r="I239" s="836"/>
      <c r="J239" s="836"/>
      <c r="K239" s="836">
        <f ca="1">IFERROR(ROUNDUP(((K238*INDEX(INDIRECT("'"&amp;$H$3&amp;"'!$H$43:$H$78"),MATCH(INDIRECT("'"&amp;$H$3&amp;"'!K176")&amp;"Average duration (hrs) per trip",INDIRECT("'"&amp;$H$3&amp;"'!$F$43:$F$78"),0)))+(K232*((1/60)*(INDIRECT("'"&amp;$H$3&amp;"'!K188")+INDIRECT("'"&amp;$H$3&amp;"'!$H$19")*(INDIRECT("'"&amp;$H$3&amp;"'!K189")+(INDIRECT("'"&amp;$H$3&amp;"'!K190")*('1_Outputs'!K$225/INDIRECT("'"&amp;$H$3&amp;"'!K$96")/INDIRECT("'"&amp;$H$3&amp;"'!$H$19"))))))))/INDIRECT("'"&amp;$H$3&amp;"'!$H$10"),0),0)</f>
        <v>0</v>
      </c>
      <c r="L239" s="836"/>
      <c r="M239" s="836"/>
      <c r="N239" s="836">
        <f ca="1">IFERROR(ROUNDUP(((N238*INDEX(INDIRECT("'"&amp;$H$3&amp;"'!$H$43:$H$78"),MATCH(INDIRECT("'"&amp;$H$3&amp;"'!N176")&amp;"Average duration (hrs) per trip",INDIRECT("'"&amp;$H$3&amp;"'!$F$43:$F$78"),0)))+(N232*((1/60)*(INDIRECT("'"&amp;$H$3&amp;"'!N188")+INDIRECT("'"&amp;$H$3&amp;"'!$H$19")*(INDIRECT("'"&amp;$H$3&amp;"'!N189")+(INDIRECT("'"&amp;$H$3&amp;"'!N190")*('1_Outputs'!N$225/INDIRECT("'"&amp;$H$3&amp;"'!N$96")/INDIRECT("'"&amp;$H$3&amp;"'!$H$19"))))))))/INDIRECT("'"&amp;$H$3&amp;"'!$H$10"),0),0)</f>
        <v>0</v>
      </c>
      <c r="O239" s="836"/>
      <c r="P239" s="836"/>
      <c r="Q239" s="836">
        <f ca="1">IFERROR(ROUNDUP(((Q238*INDEX(INDIRECT("'"&amp;$H$3&amp;"'!$H$43:$H$78"),MATCH(INDIRECT("'"&amp;$H$3&amp;"'!Q176")&amp;"Average duration (hrs) per trip",INDIRECT("'"&amp;$H$3&amp;"'!$F$43:$F$78"),0)))+(Q232*((1/60)*(INDIRECT("'"&amp;$H$3&amp;"'!Q188")+INDIRECT("'"&amp;$H$3&amp;"'!$H$19")*(INDIRECT("'"&amp;$H$3&amp;"'!Q189")+(INDIRECT("'"&amp;$H$3&amp;"'!Q190")*('1_Outputs'!Q$225/INDIRECT("'"&amp;$H$3&amp;"'!Q$96")/INDIRECT("'"&amp;$H$3&amp;"'!$H$19"))))))))/INDIRECT("'"&amp;$H$3&amp;"'!$H$10"),0),0)</f>
        <v>0</v>
      </c>
      <c r="R239" s="836"/>
      <c r="S239" s="836"/>
      <c r="T239" s="836">
        <f ca="1">IFERROR(ROUNDUP(((T238*INDEX(INDIRECT("'"&amp;$H$3&amp;"'!$H$43:$H$78"),MATCH(INDIRECT("'"&amp;$H$3&amp;"'!T176")&amp;"Average duration (hrs) per trip",INDIRECT("'"&amp;$H$3&amp;"'!$F$43:$F$78"),0)))+(T232*((1/60)*(INDIRECT("'"&amp;$H$3&amp;"'!T188")+INDIRECT("'"&amp;$H$3&amp;"'!$H$19")*(INDIRECT("'"&amp;$H$3&amp;"'!T189")+(INDIRECT("'"&amp;$H$3&amp;"'!T190")*('1_Outputs'!T$225/INDIRECT("'"&amp;$H$3&amp;"'!T$96")/INDIRECT("'"&amp;$H$3&amp;"'!$H$19"))))))))/INDIRECT("'"&amp;$H$3&amp;"'!$H$10"),0),0)</f>
        <v>0</v>
      </c>
      <c r="U239" s="836"/>
      <c r="V239" s="836"/>
      <c r="W239" s="836">
        <f ca="1">IFERROR(ROUNDUP(((W238*INDEX(INDIRECT("'"&amp;$H$3&amp;"'!$H$43:$H$78"),MATCH(INDIRECT("'"&amp;$H$3&amp;"'!W176")&amp;"Average duration (hrs) per trip",INDIRECT("'"&amp;$H$3&amp;"'!$F$43:$F$78"),0)))+(W232*((1/60)*(INDIRECT("'"&amp;$H$3&amp;"'!W188")+INDIRECT("'"&amp;$H$3&amp;"'!$H$19")*(INDIRECT("'"&amp;$H$3&amp;"'!W189")+(INDIRECT("'"&amp;$H$3&amp;"'!W190")*('1_Outputs'!W$225/INDIRECT("'"&amp;$H$3&amp;"'!W$96")/INDIRECT("'"&amp;$H$3&amp;"'!$H$19"))))))))/INDIRECT("'"&amp;$H$3&amp;"'!$H$10"),0),0)</f>
        <v>0</v>
      </c>
      <c r="X239" s="1469"/>
      <c r="Y239" s="36"/>
      <c r="Z239" s="36"/>
      <c r="AA239" s="36"/>
      <c r="AB239" s="36"/>
      <c r="AC239" s="36"/>
      <c r="AD239" s="36"/>
      <c r="AE239" s="36"/>
      <c r="AF239" s="36"/>
      <c r="AG239" s="36"/>
      <c r="AH239" s="36"/>
      <c r="AI239" s="36"/>
      <c r="AJ239" s="36"/>
      <c r="AK239" s="242"/>
      <c r="AL239" s="36"/>
      <c r="AM239" s="36"/>
      <c r="AN239" s="36"/>
    </row>
    <row r="240" spans="6:40" ht="15" customHeight="1" outlineLevel="1">
      <c r="F240" s="52"/>
      <c r="G240" s="1613" t="s">
        <v>841</v>
      </c>
      <c r="H240" s="842"/>
      <c r="I240" s="842"/>
      <c r="J240" s="842"/>
      <c r="K240" s="842"/>
      <c r="L240" s="842"/>
      <c r="M240" s="842"/>
      <c r="N240" s="842"/>
      <c r="O240" s="842"/>
      <c r="P240" s="842"/>
      <c r="Q240" s="842"/>
      <c r="R240" s="1650"/>
      <c r="S240" s="1650"/>
      <c r="T240" s="842"/>
      <c r="U240" s="1650"/>
      <c r="V240" s="1650"/>
      <c r="W240" s="842"/>
      <c r="X240" s="1470"/>
      <c r="Y240" s="36"/>
      <c r="Z240" s="36"/>
      <c r="AA240" s="36"/>
      <c r="AB240" s="36"/>
      <c r="AC240" s="36"/>
      <c r="AD240" s="36"/>
      <c r="AE240" s="36"/>
      <c r="AF240" s="36"/>
      <c r="AG240" s="36"/>
      <c r="AH240" s="36"/>
      <c r="AI240" s="36"/>
      <c r="AJ240" s="36"/>
      <c r="AK240" s="36"/>
      <c r="AL240" s="36"/>
      <c r="AM240" s="36"/>
      <c r="AN240" s="36"/>
    </row>
    <row r="241" spans="6:40" ht="15" customHeight="1" outlineLevel="1">
      <c r="F241" s="52"/>
      <c r="G241" s="51" t="s">
        <v>144</v>
      </c>
      <c r="H241" s="836"/>
      <c r="I241" s="836"/>
      <c r="J241" s="836"/>
      <c r="K241" s="836">
        <f ca="1">IFERROR((K232/MIN(K233,1))*2,0)</f>
        <v>0</v>
      </c>
      <c r="L241" s="836"/>
      <c r="M241" s="836"/>
      <c r="N241" s="836">
        <f ca="1">IFERROR((N232/MIN(N233,1))*2,0)</f>
        <v>0</v>
      </c>
      <c r="O241" s="836"/>
      <c r="P241" s="836"/>
      <c r="Q241" s="836">
        <f ca="1">IFERROR((Q232/MIN(Q233,1))*2,0)</f>
        <v>0</v>
      </c>
      <c r="R241" s="836"/>
      <c r="S241" s="836"/>
      <c r="T241" s="836">
        <f ca="1">IFERROR((T232/MIN(T233,1))*2,0)</f>
        <v>0</v>
      </c>
      <c r="U241" s="836"/>
      <c r="V241" s="836"/>
      <c r="W241" s="836">
        <f ca="1">IFERROR((W232/MIN(W233,1))*2,0)</f>
        <v>0</v>
      </c>
      <c r="X241" s="1469"/>
      <c r="Y241" s="36"/>
      <c r="Z241" s="36"/>
      <c r="AA241" s="36"/>
      <c r="AB241" s="36"/>
      <c r="AC241" s="36"/>
      <c r="AD241" s="36"/>
      <c r="AE241" s="36"/>
      <c r="AF241" s="36"/>
      <c r="AG241" s="36"/>
      <c r="AH241" s="36"/>
      <c r="AI241" s="36"/>
      <c r="AJ241" s="36"/>
      <c r="AK241" s="36"/>
      <c r="AL241" s="36"/>
      <c r="AM241" s="36"/>
      <c r="AN241" s="36"/>
    </row>
    <row r="242" spans="6:40" ht="15" customHeight="1" outlineLevel="1">
      <c r="F242" s="52"/>
      <c r="G242" s="51" t="s">
        <v>145</v>
      </c>
      <c r="H242" s="837"/>
      <c r="I242" s="837"/>
      <c r="J242" s="837"/>
      <c r="K242" s="837">
        <f ca="1">IFERROR(MAX(K232,ROUNDUP(((K241*INDEX(INDIRECT("'"&amp;$H$3&amp;"'!$H$43:$H$78"),MATCH(INDIRECT("'"&amp;$H$3&amp;"'!K176")&amp;"Average duration (hrs) per trip",INDIRECT("'"&amp;$H$3&amp;"'!$F$43:$F$78"),0)))+(K232*((1/60)*(INDIRECT("'"&amp;$H$3&amp;"'!K188")+INDIRECT("'"&amp;$H$3&amp;"'!$H$19")*(INDIRECT("'"&amp;$H$3&amp;"'!K189")+(INDIRECT("'"&amp;$H$3&amp;"'!K190")*('1_Outputs'!K$225/INDIRECT("'"&amp;$H$3&amp;"'!K$96")/INDIRECT("'"&amp;$H$3&amp;"'!$H$19"))))))))/INDIRECT("'"&amp;$H$3&amp;"'!$H$10"),0)),0)</f>
        <v>0</v>
      </c>
      <c r="L242" s="837"/>
      <c r="M242" s="837"/>
      <c r="N242" s="837">
        <f ca="1">IFERROR(MAX(N232,ROUNDUP(((N241*INDEX(INDIRECT("'"&amp;$H$3&amp;"'!$H$43:$H$78"),MATCH(INDIRECT("'"&amp;$H$3&amp;"'!N176")&amp;"Average duration (hrs) per trip",INDIRECT("'"&amp;$H$3&amp;"'!$F$43:$F$78"),0)))+(N232*((1/60)*(INDIRECT("'"&amp;$H$3&amp;"'!N188")+INDIRECT("'"&amp;$H$3&amp;"'!$H$19")*(INDIRECT("'"&amp;$H$3&amp;"'!N189")+(INDIRECT("'"&amp;$H$3&amp;"'!N190")*('1_Outputs'!N$225/INDIRECT("'"&amp;$H$3&amp;"'!N$96")/INDIRECT("'"&amp;$H$3&amp;"'!$H$19"))))))))/INDIRECT("'"&amp;$H$3&amp;"'!$H$10"),0)),0)</f>
        <v>0</v>
      </c>
      <c r="O242" s="837"/>
      <c r="P242" s="837"/>
      <c r="Q242" s="837">
        <f ca="1">IFERROR(MAX(Q232,ROUNDUP(((Q241*INDEX(INDIRECT("'"&amp;$H$3&amp;"'!$H$43:$H$78"),MATCH(INDIRECT("'"&amp;$H$3&amp;"'!Q176")&amp;"Average duration (hrs) per trip",INDIRECT("'"&amp;$H$3&amp;"'!$F$43:$F$78"),0)))+(Q232*((1/60)*(INDIRECT("'"&amp;$H$3&amp;"'!Q188")+INDIRECT("'"&amp;$H$3&amp;"'!$H$19")*(INDIRECT("'"&amp;$H$3&amp;"'!Q189")+(INDIRECT("'"&amp;$H$3&amp;"'!Q190")*('1_Outputs'!Q$225/INDIRECT("'"&amp;$H$3&amp;"'!Q$96")/INDIRECT("'"&amp;$H$3&amp;"'!$H$19"))))))))/INDIRECT("'"&amp;$H$3&amp;"'!$H$10"),0)),0)</f>
        <v>0</v>
      </c>
      <c r="R242" s="837"/>
      <c r="S242" s="837"/>
      <c r="T242" s="837">
        <f ca="1">IFERROR(MAX(T232,ROUNDUP(((T241*INDEX(INDIRECT("'"&amp;$H$3&amp;"'!$H$43:$H$78"),MATCH(INDIRECT("'"&amp;$H$3&amp;"'!T176")&amp;"Average duration (hrs) per trip",INDIRECT("'"&amp;$H$3&amp;"'!$F$43:$F$78"),0)))+(T232*((1/60)*(INDIRECT("'"&amp;$H$3&amp;"'!T188")+INDIRECT("'"&amp;$H$3&amp;"'!$H$19")*(INDIRECT("'"&amp;$H$3&amp;"'!T189")+(INDIRECT("'"&amp;$H$3&amp;"'!T190")*('1_Outputs'!T$225/INDIRECT("'"&amp;$H$3&amp;"'!T$96")/INDIRECT("'"&amp;$H$3&amp;"'!$H$19"))))))))/INDIRECT("'"&amp;$H$3&amp;"'!$H$10"),0)),0)</f>
        <v>0</v>
      </c>
      <c r="U242" s="837"/>
      <c r="V242" s="837"/>
      <c r="W242" s="837">
        <f ca="1">IFERROR(MAX(W232,ROUNDUP(((W241*INDEX(INDIRECT("'"&amp;$H$3&amp;"'!$H$43:$H$78"),MATCH(INDIRECT("'"&amp;$H$3&amp;"'!W176")&amp;"Average duration (hrs) per trip",INDIRECT("'"&amp;$H$3&amp;"'!$F$43:$F$78"),0)))+(W232*((1/60)*(INDIRECT("'"&amp;$H$3&amp;"'!W188")+INDIRECT("'"&amp;$H$3&amp;"'!$H$19")*(INDIRECT("'"&amp;$H$3&amp;"'!W189")+(INDIRECT("'"&amp;$H$3&amp;"'!W190")*('1_Outputs'!W$225/INDIRECT("'"&amp;$H$3&amp;"'!W$96")/INDIRECT("'"&amp;$H$3&amp;"'!$H$19"))))))))/INDIRECT("'"&amp;$H$3&amp;"'!$H$10"),0)),0)</f>
        <v>0</v>
      </c>
      <c r="X242" s="1468"/>
      <c r="Y242" s="36"/>
      <c r="Z242" s="36"/>
      <c r="AA242" s="36"/>
      <c r="AB242" s="36"/>
      <c r="AC242" s="36"/>
      <c r="AD242" s="36"/>
      <c r="AE242" s="36"/>
      <c r="AF242" s="36"/>
      <c r="AG242" s="36"/>
      <c r="AH242" s="36"/>
      <c r="AI242" s="36"/>
      <c r="AJ242" s="36"/>
      <c r="AK242" s="242"/>
      <c r="AL242" s="36"/>
      <c r="AM242" s="36"/>
      <c r="AN242" s="36"/>
    </row>
    <row r="243" spans="6:40" ht="15" customHeight="1" outlineLevel="1">
      <c r="F243" s="1659" t="s">
        <v>148</v>
      </c>
      <c r="G243" s="1614"/>
      <c r="H243" s="848"/>
      <c r="I243" s="848"/>
      <c r="J243" s="848"/>
      <c r="K243" s="848"/>
      <c r="L243" s="848"/>
      <c r="M243" s="848"/>
      <c r="N243" s="848"/>
      <c r="O243" s="848"/>
      <c r="P243" s="848"/>
      <c r="Q243" s="848"/>
      <c r="R243" s="1646"/>
      <c r="S243" s="1646"/>
      <c r="T243" s="848"/>
      <c r="U243" s="1646"/>
      <c r="V243" s="1646"/>
      <c r="W243" s="848"/>
      <c r="X243" s="1471"/>
      <c r="Y243" s="36"/>
      <c r="Z243" s="36"/>
      <c r="AA243" s="36"/>
      <c r="AB243" s="36"/>
      <c r="AC243" s="36"/>
      <c r="AD243" s="36"/>
      <c r="AE243" s="36"/>
      <c r="AF243" s="36"/>
      <c r="AG243" s="36"/>
      <c r="AH243" s="36"/>
      <c r="AI243" s="36"/>
      <c r="AJ243" s="36"/>
      <c r="AK243" s="242"/>
      <c r="AL243" s="36"/>
      <c r="AM243" s="36"/>
      <c r="AN243" s="36"/>
    </row>
    <row r="244" spans="6:40" ht="15" customHeight="1" outlineLevel="1">
      <c r="F244" s="86"/>
      <c r="G244" s="51" t="s">
        <v>151</v>
      </c>
      <c r="H244" s="836"/>
      <c r="I244" s="836"/>
      <c r="J244" s="836"/>
      <c r="K244" s="836">
        <f ca="1">IFERROR(IF(COUNTIF(INDIRECT("'"&amp;$H$3&amp;"'!K176"),"Public Transport*")&lt;1,ROUND(INDIRECT("'"&amp;$H$3&amp;"'!K$95")*INDIRECT("'"&amp;$H$3&amp;"'!K175"),0),0),0)</f>
        <v>0</v>
      </c>
      <c r="L244" s="836"/>
      <c r="M244" s="836"/>
      <c r="N244" s="836">
        <f ca="1">IFERROR(IF(COUNTIF(INDIRECT("'"&amp;$H$3&amp;"'!N176"),"Public Transport*")&lt;1,ROUND(INDIRECT("'"&amp;$H$3&amp;"'!N$95")*INDIRECT("'"&amp;$H$3&amp;"'!N175"),0),0),0)</f>
        <v>0</v>
      </c>
      <c r="O244" s="836"/>
      <c r="P244" s="836"/>
      <c r="Q244" s="836">
        <f ca="1">IFERROR(IF(COUNTIF(INDIRECT("'"&amp;$H$3&amp;"'!Q176"),"Public Transport*")&lt;1,ROUND(INDIRECT("'"&amp;$H$3&amp;"'!Q$95")*INDIRECT("'"&amp;$H$3&amp;"'!Q175"),0),0),0)</f>
        <v>0</v>
      </c>
      <c r="R244" s="1652"/>
      <c r="S244" s="1652"/>
      <c r="T244" s="836">
        <f ca="1">IFERROR(IF(COUNTIF(INDIRECT("'"&amp;$H$3&amp;"'!T176"),"Public Transport*")&lt;1,ROUND(INDIRECT("'"&amp;$H$3&amp;"'!T$95")*INDIRECT("'"&amp;$H$3&amp;"'!T175"),0),0),0)</f>
        <v>0</v>
      </c>
      <c r="U244" s="1652"/>
      <c r="V244" s="1652"/>
      <c r="W244" s="836">
        <f ca="1">IFERROR(IF(COUNTIF(INDIRECT("'"&amp;$H$3&amp;"'!W176"),"Public Transport*")&lt;1,ROUND(INDIRECT("'"&amp;$H$3&amp;"'!W$95")*INDIRECT("'"&amp;$H$3&amp;"'!W175"),0),0),0)</f>
        <v>0</v>
      </c>
      <c r="X244" s="1469"/>
      <c r="Y244" s="36"/>
      <c r="Z244" s="36"/>
      <c r="AA244" s="36"/>
      <c r="AB244" s="36"/>
      <c r="AC244" s="36"/>
      <c r="AD244" s="36"/>
      <c r="AE244" s="36"/>
      <c r="AF244" s="36"/>
      <c r="AG244" s="36"/>
      <c r="AH244" s="36"/>
      <c r="AI244" s="36"/>
      <c r="AJ244" s="36"/>
      <c r="AK244" s="242"/>
      <c r="AL244" s="36"/>
      <c r="AM244" s="36"/>
      <c r="AN244" s="36"/>
    </row>
    <row r="245" spans="6:40" ht="15" customHeight="1" outlineLevel="1">
      <c r="F245" s="52"/>
      <c r="G245" s="51" t="s">
        <v>58</v>
      </c>
      <c r="H245" s="837"/>
      <c r="I245" s="837"/>
      <c r="J245" s="837"/>
      <c r="K245" s="837">
        <f ca="1">IFERROR(IF(INDIRECT("'"&amp;$H$3&amp;"'!K183")="Route-based",K254*K255,IF(INDIRECT("'"&amp;$H$3&amp;"'!K183")="Point-to-point",K259*K260,0)),0)</f>
        <v>0</v>
      </c>
      <c r="L245" s="837"/>
      <c r="M245" s="837"/>
      <c r="N245" s="837">
        <f ca="1">IFERROR(IF(INDIRECT("'"&amp;$H$3&amp;"'!N183")="Route-based",N254*N255,IF(INDIRECT("'"&amp;$H$3&amp;"'!N183")="Point-to-point",N259*N260,0)),0)</f>
        <v>0</v>
      </c>
      <c r="O245" s="837"/>
      <c r="P245" s="837"/>
      <c r="Q245" s="837">
        <f ca="1">IFERROR(IF(INDIRECT("'"&amp;$H$3&amp;"'!Q183")="Route-based",Q254*Q255,IF(INDIRECT("'"&amp;$H$3&amp;"'!Q183")="Point-to-point",Q259*Q260,0)),0)</f>
        <v>0</v>
      </c>
      <c r="R245" s="1650"/>
      <c r="S245" s="1650"/>
      <c r="T245" s="837">
        <f ca="1">IFERROR(IF(INDIRECT("'"&amp;$H$3&amp;"'!T183")="Route-based",T254*T255,IF(INDIRECT("'"&amp;$H$3&amp;"'!T183")="Point-to-point",T259*T260,0)),0)</f>
        <v>0</v>
      </c>
      <c r="U245" s="1650"/>
      <c r="V245" s="1650"/>
      <c r="W245" s="837">
        <f ca="1">IFERROR(IF(INDIRECT("'"&amp;$H$3&amp;"'!W183")="Route-based",W254*W255,IF(INDIRECT("'"&amp;$H$3&amp;"'!W183")="Point-to-point",W259*W260,0)),0)</f>
        <v>0</v>
      </c>
      <c r="X245" s="1472"/>
      <c r="Y245" s="36"/>
      <c r="Z245" s="36"/>
      <c r="AA245" s="36"/>
      <c r="AB245" s="36"/>
      <c r="AC245" s="36"/>
      <c r="AD245" s="36"/>
      <c r="AE245" s="36"/>
      <c r="AF245" s="36"/>
      <c r="AG245" s="36"/>
      <c r="AH245" s="36"/>
      <c r="AI245" s="36"/>
      <c r="AJ245" s="36"/>
      <c r="AK245" s="242"/>
      <c r="AL245" s="36"/>
      <c r="AM245" s="36"/>
      <c r="AN245" s="36"/>
    </row>
    <row r="246" spans="6:40" ht="15" customHeight="1" outlineLevel="1">
      <c r="F246" s="52"/>
      <c r="G246" s="51" t="s">
        <v>389</v>
      </c>
      <c r="H246" s="837"/>
      <c r="I246" s="837"/>
      <c r="J246" s="837"/>
      <c r="K246" s="837">
        <f ca="1">IFERROR(IF(INDIRECT("'"&amp;$H$3&amp;"'!K223")="Route-based",K254,IF(INDIRECT("'"&amp;$H$3&amp;"'!K223")="Point-to-point",K259,0)),"")</f>
        <v>0</v>
      </c>
      <c r="L246" s="837"/>
      <c r="M246" s="837"/>
      <c r="N246" s="837">
        <f ca="1">IFERROR(IF(INDIRECT("'"&amp;$H$3&amp;"'!N223")="Route-based",N254,IF(INDIRECT("'"&amp;$H$3&amp;"'!N223")="Point-to-point",N259,0)),"")</f>
        <v>0</v>
      </c>
      <c r="O246" s="837"/>
      <c r="P246" s="837"/>
      <c r="Q246" s="837">
        <f ca="1">IFERROR(IF(INDIRECT("'"&amp;$H$3&amp;"'!Q223")="Route-based",Q254,IF(INDIRECT("'"&amp;$H$3&amp;"'!Q223")="Point-to-point",Q259,0)),"")</f>
        <v>0</v>
      </c>
      <c r="R246" s="1650"/>
      <c r="S246" s="1650"/>
      <c r="T246" s="837">
        <f ca="1">IFERROR(IF(INDIRECT("'"&amp;$H$3&amp;"'!T223")="Route-based",T254,IF(INDIRECT("'"&amp;$H$3&amp;"'!T223")="Point-to-point",T259,0)),"")</f>
        <v>0</v>
      </c>
      <c r="U246" s="1650"/>
      <c r="V246" s="1650"/>
      <c r="W246" s="837">
        <f ca="1">IFERROR(IF(INDIRECT("'"&amp;$H$3&amp;"'!W223")="Route-based",W254,IF(INDIRECT("'"&amp;$H$3&amp;"'!W223")="Point-to-point",W259,0)),"")</f>
        <v>0</v>
      </c>
      <c r="X246" s="1472"/>
      <c r="Y246" s="36"/>
      <c r="Z246" s="36"/>
      <c r="AA246" s="36"/>
      <c r="AB246" s="36"/>
      <c r="AC246" s="36"/>
      <c r="AD246" s="36"/>
      <c r="AE246" s="36"/>
      <c r="AF246" s="36"/>
      <c r="AG246" s="36"/>
      <c r="AH246" s="36"/>
      <c r="AI246" s="36"/>
      <c r="AJ246" s="36"/>
      <c r="AK246" s="242"/>
      <c r="AL246" s="36"/>
      <c r="AM246" s="36"/>
      <c r="AN246" s="36"/>
    </row>
    <row r="247" spans="6:40" ht="15" customHeight="1" outlineLevel="1">
      <c r="F247" s="52"/>
      <c r="G247" s="51" t="s">
        <v>49</v>
      </c>
      <c r="H247" s="837"/>
      <c r="I247" s="837"/>
      <c r="J247" s="837"/>
      <c r="K247" s="837">
        <f ca="1">IFERROR(IF(INDIRECT("'"&amp;$H$3&amp;"'!K183")="Route-based",ROUND(K256*K254/INDIRECT("'"&amp;$H$3&amp;"'!$H$10"),0),IF(INDIRECT("'"&amp;$H$3&amp;"'!K183")="Point-to-point",ROUND(((K259*((1/60)*(INDIRECT("'"&amp;$H$3&amp;"'!K188")+INDIRECT("'"&amp;$H$3&amp;"'!$H$19")*(INDIRECT("'"&amp;$H$3&amp;"'!K189")+(INDIRECT("'"&amp;$H$3&amp;"'!K190")*(MIN(('1_Outputs'!K$225/INDIRECT("'"&amp;$H$3&amp;"'!K$96")),INDEX(INDIRECT("'"&amp;$H$3&amp;"'!$H$49:$H$78"),MATCH(INDIRECT("'"&amp;$H$3&amp;"'!K176")&amp;"Delivery Capacity (m^3)",INDIRECT("'"&amp;$H$3&amp;"'!$F$49:$F$78"),0)))/INDIRECT("'"&amp;$H$3&amp;"'!$H$19")))))))+(K245/INDIRECT("'"&amp;$H$3&amp;"'!K192")))/INDIRECT("'"&amp;$H$3&amp;"'!$H$10"),0),0)),0)</f>
        <v>0</v>
      </c>
      <c r="L247" s="837"/>
      <c r="M247" s="837"/>
      <c r="N247" s="837">
        <f ca="1">IFERROR(IF(INDIRECT("'"&amp;$H$3&amp;"'!N183")="Route-based",ROUND(N256*N254/INDIRECT("'"&amp;$H$3&amp;"'!$H$10"),0),IF(INDIRECT("'"&amp;$H$3&amp;"'!N183")="Point-to-point",ROUND(((N259*((1/60)*(INDIRECT("'"&amp;$H$3&amp;"'!N188")+INDIRECT("'"&amp;$H$3&amp;"'!$H$19")*(INDIRECT("'"&amp;$H$3&amp;"'!N189")+(INDIRECT("'"&amp;$H$3&amp;"'!N190")*(MIN(('1_Outputs'!N$225/INDIRECT("'"&amp;$H$3&amp;"'!N$96")),INDEX(INDIRECT("'"&amp;$H$3&amp;"'!$H$49:$H$78"),MATCH(INDIRECT("'"&amp;$H$3&amp;"'!N176")&amp;"Delivery Capacity (m^3)",INDIRECT("'"&amp;$H$3&amp;"'!$F$49:$F$78"),0)))/INDIRECT("'"&amp;$H$3&amp;"'!$H$19")))))))+(N245/INDIRECT("'"&amp;$H$3&amp;"'!N192")))/INDIRECT("'"&amp;$H$3&amp;"'!$H$10"),0),0)),0)</f>
        <v>0</v>
      </c>
      <c r="O247" s="837"/>
      <c r="P247" s="837"/>
      <c r="Q247" s="837">
        <f ca="1">IFERROR(IF(INDIRECT("'"&amp;$H$3&amp;"'!Q183")="Route-based",ROUND(Q256*Q254/INDIRECT("'"&amp;$H$3&amp;"'!$H$10"),0),IF(INDIRECT("'"&amp;$H$3&amp;"'!Q183")="Point-to-point",ROUND(((Q259*((1/60)*(INDIRECT("'"&amp;$H$3&amp;"'!Q188")+INDIRECT("'"&amp;$H$3&amp;"'!$H$19")*(INDIRECT("'"&amp;$H$3&amp;"'!Q189")+(INDIRECT("'"&amp;$H$3&amp;"'!Q190")*(MIN(('1_Outputs'!Q$225/INDIRECT("'"&amp;$H$3&amp;"'!Q$96")),INDEX(INDIRECT("'"&amp;$H$3&amp;"'!$H$49:$H$78"),MATCH(INDIRECT("'"&amp;$H$3&amp;"'!Q176")&amp;"Delivery Capacity (m^3)",INDIRECT("'"&amp;$H$3&amp;"'!$F$49:$F$78"),0)))/INDIRECT("'"&amp;$H$3&amp;"'!$H$19")))))))+(Q245/INDIRECT("'"&amp;$H$3&amp;"'!Q192")))/INDIRECT("'"&amp;$H$3&amp;"'!$H$10"),0),0)),0)</f>
        <v>0</v>
      </c>
      <c r="R247" s="837"/>
      <c r="S247" s="837"/>
      <c r="T247" s="837">
        <f ca="1">IFERROR(IF(INDIRECT("'"&amp;$H$3&amp;"'!T183")="Route-based",ROUND(T256*T254/INDIRECT("'"&amp;$H$3&amp;"'!$H$10"),0),IF(INDIRECT("'"&amp;$H$3&amp;"'!T183")="Point-to-point",ROUND(((T259*((1/60)*(INDIRECT("'"&amp;$H$3&amp;"'!T188")+INDIRECT("'"&amp;$H$3&amp;"'!$H$19")*(INDIRECT("'"&amp;$H$3&amp;"'!T189")+(INDIRECT("'"&amp;$H$3&amp;"'!T190")*(MIN(('1_Outputs'!T$225/INDIRECT("'"&amp;$H$3&amp;"'!T$96")),INDEX(INDIRECT("'"&amp;$H$3&amp;"'!$H$49:$H$78"),MATCH(INDIRECT("'"&amp;$H$3&amp;"'!T176")&amp;"Delivery Capacity (m^3)",INDIRECT("'"&amp;$H$3&amp;"'!$F$49:$F$78"),0)))/INDIRECT("'"&amp;$H$3&amp;"'!$H$19")))))))+(T245/INDIRECT("'"&amp;$H$3&amp;"'!T192")))/INDIRECT("'"&amp;$H$3&amp;"'!$H$10"),0),0)),0)</f>
        <v>0</v>
      </c>
      <c r="U247" s="837"/>
      <c r="V247" s="837"/>
      <c r="W247" s="837">
        <f ca="1">IFERROR(IF(INDIRECT("'"&amp;$H$3&amp;"'!W183")="Route-based",ROUND(W256*W254/INDIRECT("'"&amp;$H$3&amp;"'!$H$10"),0),IF(INDIRECT("'"&amp;$H$3&amp;"'!W183")="Point-to-point",ROUND(((W259*((1/60)*(INDIRECT("'"&amp;$H$3&amp;"'!W188")+INDIRECT("'"&amp;$H$3&amp;"'!$H$19")*(INDIRECT("'"&amp;$H$3&amp;"'!W189")+(INDIRECT("'"&amp;$H$3&amp;"'!W190")*(MIN(('1_Outputs'!W$225/INDIRECT("'"&amp;$H$3&amp;"'!W$96")),INDEX(INDIRECT("'"&amp;$H$3&amp;"'!$H$49:$H$78"),MATCH(INDIRECT("'"&amp;$H$3&amp;"'!W176")&amp;"Delivery Capacity (m^3)",INDIRECT("'"&amp;$H$3&amp;"'!$F$49:$F$78"),0)))/INDIRECT("'"&amp;$H$3&amp;"'!$H$19")))))))+(W245/INDIRECT("'"&amp;$H$3&amp;"'!W192")))/INDIRECT("'"&amp;$H$3&amp;"'!$H$10"),0),0)),0)</f>
        <v>0</v>
      </c>
      <c r="X247" s="1472"/>
      <c r="Y247" s="36"/>
      <c r="Z247" s="36"/>
      <c r="AA247" s="36"/>
      <c r="AB247" s="36"/>
      <c r="AC247" s="36"/>
      <c r="AD247" s="36"/>
      <c r="AE247" s="36"/>
      <c r="AF247" s="36"/>
      <c r="AG247" s="36"/>
      <c r="AH247" s="36"/>
      <c r="AI247" s="36"/>
      <c r="AJ247" s="36"/>
      <c r="AK247" s="36"/>
      <c r="AL247" s="36"/>
      <c r="AM247" s="36"/>
      <c r="AN247" s="36"/>
    </row>
    <row r="248" spans="6:40" ht="15" customHeight="1" outlineLevel="1">
      <c r="F248" s="52"/>
      <c r="G248" s="51" t="s">
        <v>189</v>
      </c>
      <c r="H248" s="839"/>
      <c r="I248" s="839"/>
      <c r="J248" s="839"/>
      <c r="K248" s="839">
        <f ca="1">IFERROR(IF(INDIRECT("'"&amp;$H$3&amp;"'!K183")="Route-based",('1_Outputs'!K$225*K244)/(K254*INDEX(INDIRECT("'"&amp;$H$3&amp;"'!$H$49:$H$78"),MATCH(INDIRECT("'"&amp;$H$3&amp;"'!K176")&amp;"Delivery Capacity (m^3)",INDIRECT("'"&amp;$H$3&amp;"'!$F$49:$F$78"),0))),IF(INDIRECT("'"&amp;$H$3&amp;"'!K183")="Point-to-point",('1_Outputs'!K$225*K244)/(K259*INDEX(INDIRECT("'"&amp;$H$3&amp;"'!$H$49:$H$78"),MATCH(INDIRECT("'"&amp;$H$3&amp;"'!K176")&amp;"Delivery Capacity (m^3)",INDIRECT("'"&amp;$H$3&amp;"'!$F$49:$F$78"),0))),0)),0)</f>
        <v>0</v>
      </c>
      <c r="L248" s="839"/>
      <c r="M248" s="839"/>
      <c r="N248" s="839">
        <f ca="1">IFERROR(IF(INDIRECT("'"&amp;$H$3&amp;"'!N183")="Route-based",('1_Outputs'!N$225*N244)/(N254*INDEX(INDIRECT("'"&amp;$H$3&amp;"'!$H$49:$H$78"),MATCH(INDIRECT("'"&amp;$H$3&amp;"'!N176")&amp;"Delivery Capacity (m^3)",INDIRECT("'"&amp;$H$3&amp;"'!$F$49:$F$78"),0))),IF(INDIRECT("'"&amp;$H$3&amp;"'!N183")="Point-to-point",('1_Outputs'!N$225*N244)/(N259*INDEX(INDIRECT("'"&amp;$H$3&amp;"'!$H$49:$H$78"),MATCH(INDIRECT("'"&amp;$H$3&amp;"'!N176")&amp;"Delivery Capacity (m^3)",INDIRECT("'"&amp;$H$3&amp;"'!$F$49:$F$78"),0))),0)),0)</f>
        <v>0</v>
      </c>
      <c r="O248" s="839"/>
      <c r="P248" s="839"/>
      <c r="Q248" s="839">
        <f ca="1">IFERROR(IF(INDIRECT("'"&amp;$H$3&amp;"'!Q183")="Route-based",('1_Outputs'!Q$225*Q244)/(Q254*INDEX(INDIRECT("'"&amp;$H$3&amp;"'!$H$49:$H$78"),MATCH(INDIRECT("'"&amp;$H$3&amp;"'!Q176")&amp;"Delivery Capacity (m^3)",INDIRECT("'"&amp;$H$3&amp;"'!$F$49:$F$78"),0))),IF(INDIRECT("'"&amp;$H$3&amp;"'!Q183")="Point-to-point",('1_Outputs'!Q$225*Q244)/(Q259*INDEX(INDIRECT("'"&amp;$H$3&amp;"'!$H$49:$H$78"),MATCH(INDIRECT("'"&amp;$H$3&amp;"'!Q176")&amp;"Delivery Capacity (m^3)",INDIRECT("'"&amp;$H$3&amp;"'!$F$49:$F$78"),0))),0)),0)</f>
        <v>0</v>
      </c>
      <c r="R248" s="839"/>
      <c r="S248" s="839"/>
      <c r="T248" s="839">
        <f ca="1">IFERROR(IF(INDIRECT("'"&amp;$H$3&amp;"'!T183")="Route-based",('1_Outputs'!T$225*T244)/(T254*INDEX(INDIRECT("'"&amp;$H$3&amp;"'!$H$49:$H$78"),MATCH(INDIRECT("'"&amp;$H$3&amp;"'!T176")&amp;"Delivery Capacity (m^3)",INDIRECT("'"&amp;$H$3&amp;"'!$F$49:$F$78"),0))),IF(INDIRECT("'"&amp;$H$3&amp;"'!T183")="Point-to-point",('1_Outputs'!T$225*T244)/(T259*INDEX(INDIRECT("'"&amp;$H$3&amp;"'!$H$49:$H$78"),MATCH(INDIRECT("'"&amp;$H$3&amp;"'!T176")&amp;"Delivery Capacity (m^3)",INDIRECT("'"&amp;$H$3&amp;"'!$F$49:$F$78"),0))),0)),0)</f>
        <v>0</v>
      </c>
      <c r="U248" s="839"/>
      <c r="V248" s="839"/>
      <c r="W248" s="839">
        <f ca="1">IFERROR(IF(INDIRECT("'"&amp;$H$3&amp;"'!W183")="Route-based",('1_Outputs'!W$225*W244)/(W254*INDEX(INDIRECT("'"&amp;$H$3&amp;"'!$H$49:$H$78"),MATCH(INDIRECT("'"&amp;$H$3&amp;"'!W176")&amp;"Delivery Capacity (m^3)",INDIRECT("'"&amp;$H$3&amp;"'!$F$49:$F$78"),0))),IF(INDIRECT("'"&amp;$H$3&amp;"'!W183")="Point-to-point",('1_Outputs'!W$225*W244)/(W259*INDEX(INDIRECT("'"&amp;$H$3&amp;"'!$H$49:$H$78"),MATCH(INDIRECT("'"&amp;$H$3&amp;"'!W176")&amp;"Delivery Capacity (m^3)",INDIRECT("'"&amp;$H$3&amp;"'!$F$49:$F$78"),0))),0)),0)</f>
        <v>0</v>
      </c>
      <c r="X248" s="1473"/>
      <c r="Y248" s="36"/>
      <c r="Z248" s="36"/>
      <c r="AA248" s="36"/>
      <c r="AB248" s="36"/>
      <c r="AC248" s="36"/>
      <c r="AD248" s="36"/>
      <c r="AE248" s="36"/>
      <c r="AF248" s="36"/>
      <c r="AG248" s="36"/>
      <c r="AH248" s="36"/>
      <c r="AI248" s="36"/>
      <c r="AJ248" s="36"/>
      <c r="AK248" s="36" t="s">
        <v>191</v>
      </c>
      <c r="AL248" s="36"/>
      <c r="AM248" s="36"/>
      <c r="AN248" s="36"/>
    </row>
    <row r="249" spans="6:40" ht="15" customHeight="1" outlineLevel="1">
      <c r="F249" s="52"/>
      <c r="G249" s="51" t="s">
        <v>201</v>
      </c>
      <c r="H249" s="839"/>
      <c r="I249" s="839"/>
      <c r="J249" s="839"/>
      <c r="K249" s="839">
        <f ca="1">IFERROR((K247+IF(INDIRECT("'"&amp;$H$3&amp;"'!K245")="Yes",K339,0)+IF(INDIRECT("'"&amp;$H$3&amp;"'!K309")="Yes",K428,0))/(INDIRECT("'"&amp;$H$3&amp;"'!K180")*INDIRECT("'"&amp;$H$3&amp;"'!$H$9")),0)</f>
        <v>0</v>
      </c>
      <c r="L249" s="839"/>
      <c r="M249" s="839"/>
      <c r="N249" s="839">
        <f ca="1">IFERROR((N247+IF(INDIRECT("'"&amp;$H$3&amp;"'!N245")="Yes",N339,0)+IF(INDIRECT("'"&amp;$H$3&amp;"'!N309")="Yes",N428,0))/(INDIRECT("'"&amp;$H$3&amp;"'!N180")*INDIRECT("'"&amp;$H$3&amp;"'!$H$9")),0)</f>
        <v>0</v>
      </c>
      <c r="O249" s="839"/>
      <c r="P249" s="839"/>
      <c r="Q249" s="839">
        <f ca="1">IFERROR((Q247+IF(INDIRECT("'"&amp;$H$3&amp;"'!Q245")="Yes",Q339,0)+IF(INDIRECT("'"&amp;$H$3&amp;"'!Q309")="Yes",Q428,0))/(INDIRECT("'"&amp;$H$3&amp;"'!Q180")*INDIRECT("'"&amp;$H$3&amp;"'!$H$9")),0)</f>
        <v>0</v>
      </c>
      <c r="R249" s="839"/>
      <c r="S249" s="839"/>
      <c r="T249" s="839">
        <f ca="1">IFERROR((T247+IF(INDIRECT("'"&amp;$H$3&amp;"'!T245")="Yes",T339,0)+IF(INDIRECT("'"&amp;$H$3&amp;"'!T309")="Yes",T428,0))/(INDIRECT("'"&amp;$H$3&amp;"'!T180")*INDIRECT("'"&amp;$H$3&amp;"'!$H$9")),0)</f>
        <v>0</v>
      </c>
      <c r="U249" s="839"/>
      <c r="V249" s="839"/>
      <c r="W249" s="839">
        <f ca="1">IFERROR((W247+IF(INDIRECT("'"&amp;$H$3&amp;"'!W245")="Yes",W339,0)+IF(INDIRECT("'"&amp;$H$3&amp;"'!W309")="Yes",W428,0))/(INDIRECT("'"&amp;$H$3&amp;"'!W180")*INDIRECT("'"&amp;$H$3&amp;"'!$H$9")),0)</f>
        <v>0</v>
      </c>
      <c r="X249" s="1473"/>
      <c r="Y249" s="36"/>
      <c r="Z249" s="36"/>
      <c r="AA249" s="36"/>
      <c r="AB249" s="36"/>
      <c r="AC249" s="36"/>
      <c r="AD249" s="36"/>
      <c r="AE249" s="36"/>
      <c r="AF249" s="36"/>
      <c r="AG249" s="36"/>
      <c r="AH249" s="36"/>
      <c r="AI249" s="36"/>
      <c r="AJ249" s="36"/>
      <c r="AK249" s="36"/>
      <c r="AL249" s="36"/>
      <c r="AM249" s="36"/>
      <c r="AN249" s="36"/>
    </row>
    <row r="250" spans="6:40" ht="15" customHeight="1" outlineLevel="1">
      <c r="F250" s="52"/>
      <c r="G250" s="1613" t="s">
        <v>133</v>
      </c>
      <c r="H250" s="842"/>
      <c r="I250" s="842"/>
      <c r="J250" s="842"/>
      <c r="K250" s="842"/>
      <c r="L250" s="842"/>
      <c r="M250" s="842"/>
      <c r="N250" s="842"/>
      <c r="O250" s="842"/>
      <c r="P250" s="842"/>
      <c r="Q250" s="842"/>
      <c r="R250" s="1650"/>
      <c r="S250" s="1650"/>
      <c r="T250" s="842"/>
      <c r="U250" s="1650"/>
      <c r="V250" s="1650"/>
      <c r="W250" s="842"/>
      <c r="X250" s="1470"/>
      <c r="Y250" s="36"/>
      <c r="Z250" s="36"/>
      <c r="AA250" s="36"/>
      <c r="AB250" s="36"/>
      <c r="AC250" s="36"/>
      <c r="AD250" s="36"/>
      <c r="AE250" s="36"/>
      <c r="AF250" s="36"/>
      <c r="AG250" s="36"/>
      <c r="AH250" s="36"/>
      <c r="AI250" s="36"/>
      <c r="AJ250" s="36"/>
      <c r="AK250" s="36"/>
      <c r="AL250" s="36"/>
      <c r="AM250" s="36"/>
      <c r="AN250" s="36"/>
    </row>
    <row r="251" spans="6:40" ht="15" customHeight="1" outlineLevel="1">
      <c r="F251" s="52"/>
      <c r="G251" s="51" t="s">
        <v>127</v>
      </c>
      <c r="H251" s="836"/>
      <c r="I251" s="836"/>
      <c r="J251" s="836"/>
      <c r="K251" s="836">
        <f ca="1">IFERROR(INDEX(INDIRECT("'"&amp;$H$3&amp;"'!$H$49:$H$78"),MATCH(INDIRECT("'"&amp;$H$3&amp;"'!K176")&amp;"Delivery Capacity (m^3)",INDIRECT("'"&amp;$H$3&amp;"'!$F$49:$F$78"),0))/('1_Outputs'!K$225/INDIRECT("'"&amp;$H$3&amp;"'!K$96")),0)</f>
        <v>0</v>
      </c>
      <c r="L251" s="836"/>
      <c r="M251" s="836"/>
      <c r="N251" s="836">
        <f ca="1">IFERROR(INDEX(INDIRECT("'"&amp;$H$3&amp;"'!$H$49:$H$78"),MATCH(INDIRECT("'"&amp;$H$3&amp;"'!N176")&amp;"Delivery Capacity (m^3)",INDIRECT("'"&amp;$H$3&amp;"'!$F$49:$F$78"),0))/('1_Outputs'!N$225/INDIRECT("'"&amp;$H$3&amp;"'!N$96")),0)</f>
        <v>0</v>
      </c>
      <c r="O251" s="836"/>
      <c r="P251" s="836"/>
      <c r="Q251" s="836">
        <f ca="1">IFERROR(INDEX(INDIRECT("'"&amp;$H$3&amp;"'!$H$49:$H$78"),MATCH(INDIRECT("'"&amp;$H$3&amp;"'!Q176")&amp;"Delivery Capacity (m^3)",INDIRECT("'"&amp;$H$3&amp;"'!$F$49:$F$78"),0))/('1_Outputs'!Q$225/INDIRECT("'"&amp;$H$3&amp;"'!Q$96")),0)</f>
        <v>0</v>
      </c>
      <c r="R251" s="836"/>
      <c r="S251" s="836"/>
      <c r="T251" s="836">
        <f ca="1">IFERROR(INDEX(INDIRECT("'"&amp;$H$3&amp;"'!$H$49:$H$78"),MATCH(INDIRECT("'"&amp;$H$3&amp;"'!T176")&amp;"Delivery Capacity (m^3)",INDIRECT("'"&amp;$H$3&amp;"'!$F$49:$F$78"),0))/('1_Outputs'!T$225/INDIRECT("'"&amp;$H$3&amp;"'!T$96")),0)</f>
        <v>0</v>
      </c>
      <c r="U251" s="836"/>
      <c r="V251" s="836"/>
      <c r="W251" s="836">
        <f ca="1">IFERROR(INDEX(INDIRECT("'"&amp;$H$3&amp;"'!$H$49:$H$78"),MATCH(INDIRECT("'"&amp;$H$3&amp;"'!W176")&amp;"Delivery Capacity (m^3)",INDIRECT("'"&amp;$H$3&amp;"'!$F$49:$F$78"),0))/('1_Outputs'!W$225/INDIRECT("'"&amp;$H$3&amp;"'!W$96")),0)</f>
        <v>0</v>
      </c>
      <c r="X251" s="1465"/>
      <c r="Y251" s="36"/>
      <c r="Z251" s="36"/>
      <c r="AA251" s="36"/>
      <c r="AB251" s="36"/>
      <c r="AC251" s="36"/>
      <c r="AD251" s="36"/>
      <c r="AE251" s="36"/>
      <c r="AF251" s="36"/>
      <c r="AG251" s="36"/>
      <c r="AH251" s="36"/>
      <c r="AI251" s="36"/>
      <c r="AJ251" s="36"/>
      <c r="AK251" s="36"/>
      <c r="AL251" s="36"/>
      <c r="AM251" s="36"/>
      <c r="AN251" s="36"/>
    </row>
    <row r="252" spans="6:40" ht="15" customHeight="1" outlineLevel="1" collapsed="1">
      <c r="F252" s="52"/>
      <c r="G252" s="51" t="s">
        <v>128</v>
      </c>
      <c r="H252" s="836"/>
      <c r="I252" s="836"/>
      <c r="J252" s="836"/>
      <c r="K252" s="836">
        <f ca="1">IFERROR(((INDIRECT("'"&amp;$H$3&amp;"'!K184")*INDIRECT("'"&amp;$H$3&amp;"'!$H$10"))-(2*INDIRECT("'"&amp;$H$3&amp;"'!K$98")/INDIRECT("'"&amp;$H$3&amp;"'!K192"))+(INDIRECT("'"&amp;$H$3&amp;"'!K$99")/INDIRECT("'"&amp;$H$3&amp;"'!K191")))/(((1/60)*(INDIRECT("'"&amp;$H$3&amp;"'!K188")+INDIRECT("'"&amp;$H$3&amp;"'!$H$19")*(INDIRECT("'"&amp;$H$3&amp;"'!K189")+(INDIRECT("'"&amp;$H$3&amp;"'!K190")*('1_Outputs'!K$225/INDIRECT("'"&amp;$H$3&amp;"'!K$96")/INDIRECT("'"&amp;$H$3&amp;"'!$H$19"))))))+(INDIRECT("'"&amp;$H$3&amp;"'!K$99")/INDIRECT("'"&amp;$H$3&amp;"'!K191"))),0)</f>
        <v>0</v>
      </c>
      <c r="L252" s="836"/>
      <c r="M252" s="836"/>
      <c r="N252" s="836">
        <f ca="1">IFERROR(((INDIRECT("'"&amp;$H$3&amp;"'!N184")*INDIRECT("'"&amp;$H$3&amp;"'!$H$10"))-(2*INDIRECT("'"&amp;$H$3&amp;"'!N$98")/INDIRECT("'"&amp;$H$3&amp;"'!N192"))+(INDIRECT("'"&amp;$H$3&amp;"'!N$99")/INDIRECT("'"&amp;$H$3&amp;"'!N191")))/(((1/60)*(INDIRECT("'"&amp;$H$3&amp;"'!N188")+INDIRECT("'"&amp;$H$3&amp;"'!$H$19")*(INDIRECT("'"&amp;$H$3&amp;"'!N189")+(INDIRECT("'"&amp;$H$3&amp;"'!N190")*('1_Outputs'!N$225/INDIRECT("'"&amp;$H$3&amp;"'!N$96")/INDIRECT("'"&amp;$H$3&amp;"'!$H$19"))))))+(INDIRECT("'"&amp;$H$3&amp;"'!N$99")/INDIRECT("'"&amp;$H$3&amp;"'!N191"))),0)</f>
        <v>0</v>
      </c>
      <c r="O252" s="836"/>
      <c r="P252" s="836"/>
      <c r="Q252" s="836">
        <f ca="1">IFERROR(((INDIRECT("'"&amp;$H$3&amp;"'!Q184")*INDIRECT("'"&amp;$H$3&amp;"'!$H$10"))-(2*INDIRECT("'"&amp;$H$3&amp;"'!Q$98")/INDIRECT("'"&amp;$H$3&amp;"'!Q192"))+(INDIRECT("'"&amp;$H$3&amp;"'!Q$99")/INDIRECT("'"&amp;$H$3&amp;"'!Q191")))/(((1/60)*(INDIRECT("'"&amp;$H$3&amp;"'!Q188")+INDIRECT("'"&amp;$H$3&amp;"'!$H$19")*(INDIRECT("'"&amp;$H$3&amp;"'!Q189")+(INDIRECT("'"&amp;$H$3&amp;"'!Q190")*('1_Outputs'!Q$225/INDIRECT("'"&amp;$H$3&amp;"'!Q$96")/INDIRECT("'"&amp;$H$3&amp;"'!$H$19"))))))+(INDIRECT("'"&amp;$H$3&amp;"'!Q$99")/INDIRECT("'"&amp;$H$3&amp;"'!Q191"))),0)</f>
        <v>0</v>
      </c>
      <c r="R252" s="836"/>
      <c r="S252" s="836"/>
      <c r="T252" s="836">
        <f ca="1">IFERROR(((INDIRECT("'"&amp;$H$3&amp;"'!T184")*INDIRECT("'"&amp;$H$3&amp;"'!$H$10"))-(2*INDIRECT("'"&amp;$H$3&amp;"'!T$98")/INDIRECT("'"&amp;$H$3&amp;"'!T192"))+(INDIRECT("'"&amp;$H$3&amp;"'!T$99")/INDIRECT("'"&amp;$H$3&amp;"'!T191")))/(((1/60)*(INDIRECT("'"&amp;$H$3&amp;"'!T188")+INDIRECT("'"&amp;$H$3&amp;"'!$H$19")*(INDIRECT("'"&amp;$H$3&amp;"'!T189")+(INDIRECT("'"&amp;$H$3&amp;"'!T190")*('1_Outputs'!T$225/INDIRECT("'"&amp;$H$3&amp;"'!T$96")/INDIRECT("'"&amp;$H$3&amp;"'!$H$19"))))))+(INDIRECT("'"&amp;$H$3&amp;"'!T$99")/INDIRECT("'"&amp;$H$3&amp;"'!T191"))),0)</f>
        <v>0</v>
      </c>
      <c r="U252" s="836"/>
      <c r="V252" s="836"/>
      <c r="W252" s="836">
        <f ca="1">IFERROR(((INDIRECT("'"&amp;$H$3&amp;"'!W184")*INDIRECT("'"&amp;$H$3&amp;"'!$H$10"))-(2*INDIRECT("'"&amp;$H$3&amp;"'!W$98")/INDIRECT("'"&amp;$H$3&amp;"'!W192"))+(INDIRECT("'"&amp;$H$3&amp;"'!W$99")/INDIRECT("'"&amp;$H$3&amp;"'!W191")))/(((1/60)*(INDIRECT("'"&amp;$H$3&amp;"'!W188")+INDIRECT("'"&amp;$H$3&amp;"'!$H$19")*(INDIRECT("'"&amp;$H$3&amp;"'!W189")+(INDIRECT("'"&amp;$H$3&amp;"'!W190")*('1_Outputs'!W$225/INDIRECT("'"&amp;$H$3&amp;"'!W$96")/INDIRECT("'"&amp;$H$3&amp;"'!$H$19"))))))+(INDIRECT("'"&amp;$H$3&amp;"'!W$99")/INDIRECT("'"&amp;$H$3&amp;"'!W191"))),0)</f>
        <v>0</v>
      </c>
      <c r="X252" s="1465"/>
      <c r="Y252" s="36"/>
      <c r="Z252" s="36"/>
      <c r="AA252" s="36"/>
      <c r="AB252" s="36"/>
      <c r="AC252" s="36"/>
      <c r="AD252" s="36"/>
      <c r="AE252" s="36"/>
      <c r="AF252" s="36"/>
      <c r="AG252" s="36"/>
      <c r="AH252" s="36"/>
      <c r="AI252" s="36"/>
      <c r="AJ252" s="36"/>
      <c r="AK252" s="242"/>
      <c r="AL252" s="36"/>
      <c r="AM252" s="36"/>
      <c r="AN252" s="36"/>
    </row>
    <row r="253" spans="6:40" ht="15" customHeight="1" outlineLevel="1">
      <c r="F253" s="52"/>
      <c r="G253" s="51" t="s">
        <v>129</v>
      </c>
      <c r="H253" s="836"/>
      <c r="I253" s="836"/>
      <c r="J253" s="836"/>
      <c r="K253" s="836">
        <f ca="1">IFERROR(MIN(K252,K251),0)</f>
        <v>0</v>
      </c>
      <c r="L253" s="836"/>
      <c r="M253" s="836"/>
      <c r="N253" s="836">
        <f ca="1">IFERROR(MIN(N252,N251),0)</f>
        <v>0</v>
      </c>
      <c r="O253" s="836"/>
      <c r="P253" s="836"/>
      <c r="Q253" s="836">
        <f ca="1">IFERROR(MIN(Q252,Q251),0)</f>
        <v>0</v>
      </c>
      <c r="R253" s="836"/>
      <c r="S253" s="836"/>
      <c r="T253" s="836">
        <f ca="1">IFERROR(MIN(T252,T251),0)</f>
        <v>0</v>
      </c>
      <c r="U253" s="836"/>
      <c r="V253" s="836"/>
      <c r="W253" s="836">
        <f ca="1">IFERROR(MIN(W252,W251),0)</f>
        <v>0</v>
      </c>
      <c r="X253" s="1465"/>
      <c r="Y253" s="36"/>
      <c r="Z253" s="36"/>
      <c r="AA253" s="36"/>
      <c r="AB253" s="36"/>
      <c r="AC253" s="36"/>
      <c r="AD253" s="36"/>
      <c r="AE253" s="36"/>
      <c r="AF253" s="36"/>
      <c r="AG253" s="36"/>
      <c r="AH253" s="36"/>
      <c r="AI253" s="36"/>
      <c r="AJ253" s="36"/>
      <c r="AK253" s="242"/>
      <c r="AL253" s="36"/>
      <c r="AM253" s="36"/>
      <c r="AN253" s="36"/>
    </row>
    <row r="254" spans="6:40" ht="15" customHeight="1" outlineLevel="1">
      <c r="F254" s="52"/>
      <c r="G254" s="51" t="s">
        <v>188</v>
      </c>
      <c r="H254" s="836"/>
      <c r="I254" s="836"/>
      <c r="J254" s="836"/>
      <c r="K254" s="836">
        <f ca="1">IFERROR(ROUND(K244*INDIRECT("'"&amp;$H$3&amp;"'!K$96")/K253,0),0)</f>
        <v>0</v>
      </c>
      <c r="L254" s="836"/>
      <c r="M254" s="836"/>
      <c r="N254" s="836">
        <f ca="1">IFERROR(ROUND(N244*INDIRECT("'"&amp;$H$3&amp;"'!N$96")/N253,0),0)</f>
        <v>0</v>
      </c>
      <c r="O254" s="836"/>
      <c r="P254" s="836"/>
      <c r="Q254" s="836">
        <f ca="1">IFERROR(ROUND(Q244*INDIRECT("'"&amp;$H$3&amp;"'!Q$96")/Q253,0),0)</f>
        <v>0</v>
      </c>
      <c r="R254" s="836"/>
      <c r="S254" s="836"/>
      <c r="T254" s="836">
        <f ca="1">IFERROR(ROUND(T244*INDIRECT("'"&amp;$H$3&amp;"'!T$96")/T253,0),0)</f>
        <v>0</v>
      </c>
      <c r="U254" s="836"/>
      <c r="V254" s="836"/>
      <c r="W254" s="836">
        <f ca="1">IFERROR(ROUND(W244*INDIRECT("'"&amp;$H$3&amp;"'!W$96")/W253,0),0)</f>
        <v>0</v>
      </c>
      <c r="X254" s="1465"/>
      <c r="Y254" s="36"/>
      <c r="Z254" s="36"/>
      <c r="AA254" s="36"/>
      <c r="AB254" s="36"/>
      <c r="AC254" s="36"/>
      <c r="AD254" s="36"/>
      <c r="AE254" s="36"/>
      <c r="AF254" s="36"/>
      <c r="AG254" s="36"/>
      <c r="AH254" s="36"/>
      <c r="AI254" s="36"/>
      <c r="AJ254" s="36"/>
      <c r="AK254" s="242"/>
      <c r="AL254" s="36"/>
      <c r="AM254" s="36"/>
      <c r="AN254" s="36"/>
    </row>
    <row r="255" spans="6:40" ht="15" customHeight="1" outlineLevel="1">
      <c r="F255" s="52"/>
      <c r="G255" s="51" t="s">
        <v>88</v>
      </c>
      <c r="H255" s="836"/>
      <c r="I255" s="836"/>
      <c r="J255" s="836"/>
      <c r="K255" s="836">
        <f ca="1">IFERROR(IF(K244=0,0,(2*INDIRECT("'"&amp;$H$3&amp;"'!K$98"))+((MAX(K253,1)-1)*INDIRECT("'"&amp;$H$3&amp;"'!K$99"))),0)</f>
        <v>0</v>
      </c>
      <c r="L255" s="836"/>
      <c r="M255" s="836"/>
      <c r="N255" s="836">
        <f ca="1">IFERROR(IF(N244=0,0,(2*INDIRECT("'"&amp;$H$3&amp;"'!N$98"))+((MAX(N253,1)-1)*INDIRECT("'"&amp;$H$3&amp;"'!N$99"))),0)</f>
        <v>0</v>
      </c>
      <c r="O255" s="836"/>
      <c r="P255" s="836"/>
      <c r="Q255" s="836">
        <f ca="1">IFERROR(IF(Q244=0,0,(2*INDIRECT("'"&amp;$H$3&amp;"'!Q$98"))+((MAX(Q253,1)-1)*INDIRECT("'"&amp;$H$3&amp;"'!Q$99"))),0)</f>
        <v>0</v>
      </c>
      <c r="R255" s="836"/>
      <c r="S255" s="836"/>
      <c r="T255" s="836">
        <f ca="1">IFERROR(IF(T244=0,0,(2*INDIRECT("'"&amp;$H$3&amp;"'!T$98"))+((MAX(T253,1)-1)*INDIRECT("'"&amp;$H$3&amp;"'!T$99"))),0)</f>
        <v>0</v>
      </c>
      <c r="U255" s="836"/>
      <c r="V255" s="836"/>
      <c r="W255" s="836">
        <f ca="1">IFERROR(IF(W244=0,0,(2*INDIRECT("'"&amp;$H$3&amp;"'!W$98"))+((MAX(W253,1)-1)*INDIRECT("'"&amp;$H$3&amp;"'!W$99"))),0)</f>
        <v>0</v>
      </c>
      <c r="X255" s="1465"/>
      <c r="Y255" s="36"/>
      <c r="Z255" s="36"/>
      <c r="AA255" s="36"/>
      <c r="AB255" s="36"/>
      <c r="AC255" s="36"/>
      <c r="AD255" s="36"/>
      <c r="AE255" s="36"/>
      <c r="AF255" s="36"/>
      <c r="AG255" s="36"/>
      <c r="AH255" s="36"/>
      <c r="AI255" s="36"/>
      <c r="AJ255" s="36"/>
      <c r="AK255" s="242"/>
      <c r="AL255" s="36"/>
      <c r="AM255" s="36"/>
      <c r="AN255" s="36"/>
    </row>
    <row r="256" spans="6:40" ht="15" customHeight="1" outlineLevel="1">
      <c r="F256" s="52"/>
      <c r="G256" s="51" t="s">
        <v>199</v>
      </c>
      <c r="H256" s="836"/>
      <c r="I256" s="836"/>
      <c r="J256" s="836"/>
      <c r="K256" s="836">
        <f ca="1">IFERROR((ROUNDUP(K253,0)*(1/60)*INDIRECT("'"&amp;$H$3&amp;"'!K188"))+(K253*((1/60)*(INDIRECT("'"&amp;$H$3&amp;"'!$H$19")*(INDIRECT("'"&amp;$H$3&amp;"'!K189")+(INDIRECT("'"&amp;$H$3&amp;"'!K190")*('1_Outputs'!K$225/INDIRECT("'"&amp;$H$3&amp;"'!K$96")/INDIRECT("'"&amp;$H$3&amp;"'!$H$19")))))))+((2*INDIRECT("'"&amp;$H$3&amp;"'!K$98"))/INDIRECT("'"&amp;$H$3&amp;"'!K192"))+(((MAX(K253,1)-1)*INDIRECT("'"&amp;$H$3&amp;"'!K$99"))/INDIRECT("'"&amp;$H$3&amp;"'!K191")),0)</f>
        <v>0</v>
      </c>
      <c r="L256" s="836"/>
      <c r="M256" s="836"/>
      <c r="N256" s="836">
        <f ca="1">IFERROR((ROUNDUP(N253,0)*(1/60)*INDIRECT("'"&amp;$H$3&amp;"'!N188"))+(N253*((1/60)*(INDIRECT("'"&amp;$H$3&amp;"'!$H$19")*(INDIRECT("'"&amp;$H$3&amp;"'!N189")+(INDIRECT("'"&amp;$H$3&amp;"'!N190")*('1_Outputs'!N$225/INDIRECT("'"&amp;$H$3&amp;"'!N$96")/INDIRECT("'"&amp;$H$3&amp;"'!$H$19")))))))+((2*INDIRECT("'"&amp;$H$3&amp;"'!N$98"))/INDIRECT("'"&amp;$H$3&amp;"'!N192"))+(((MAX(N253,1)-1)*INDIRECT("'"&amp;$H$3&amp;"'!N$99"))/INDIRECT("'"&amp;$H$3&amp;"'!N191")),0)</f>
        <v>0</v>
      </c>
      <c r="O256" s="836"/>
      <c r="P256" s="836"/>
      <c r="Q256" s="836">
        <f ca="1">IFERROR((ROUNDUP(Q253,0)*(1/60)*INDIRECT("'"&amp;$H$3&amp;"'!Q188"))+(Q253*((1/60)*(INDIRECT("'"&amp;$H$3&amp;"'!$H$19")*(INDIRECT("'"&amp;$H$3&amp;"'!Q189")+(INDIRECT("'"&amp;$H$3&amp;"'!Q190")*('1_Outputs'!Q$225/INDIRECT("'"&amp;$H$3&amp;"'!Q$96")/INDIRECT("'"&amp;$H$3&amp;"'!$H$19")))))))+((2*INDIRECT("'"&amp;$H$3&amp;"'!Q$98"))/INDIRECT("'"&amp;$H$3&amp;"'!Q192"))+(((MAX(Q253,1)-1)*INDIRECT("'"&amp;$H$3&amp;"'!Q$99"))/INDIRECT("'"&amp;$H$3&amp;"'!Q191")),0)</f>
        <v>0</v>
      </c>
      <c r="R256" s="836"/>
      <c r="S256" s="836"/>
      <c r="T256" s="836">
        <f ca="1">IFERROR((ROUNDUP(T253,0)*(1/60)*INDIRECT("'"&amp;$H$3&amp;"'!T188"))+(T253*((1/60)*(INDIRECT("'"&amp;$H$3&amp;"'!$H$19")*(INDIRECT("'"&amp;$H$3&amp;"'!T189")+(INDIRECT("'"&amp;$H$3&amp;"'!T190")*('1_Outputs'!T$225/INDIRECT("'"&amp;$H$3&amp;"'!T$96")/INDIRECT("'"&amp;$H$3&amp;"'!$H$19")))))))+((2*INDIRECT("'"&amp;$H$3&amp;"'!T$98"))/INDIRECT("'"&amp;$H$3&amp;"'!T192"))+(((MAX(T253,1)-1)*INDIRECT("'"&amp;$H$3&amp;"'!T$99"))/INDIRECT("'"&amp;$H$3&amp;"'!T191")),0)</f>
        <v>0</v>
      </c>
      <c r="U256" s="836"/>
      <c r="V256" s="836"/>
      <c r="W256" s="836">
        <f ca="1">IFERROR((ROUNDUP(W253,0)*(1/60)*INDIRECT("'"&amp;$H$3&amp;"'!W188"))+(W253*((1/60)*(INDIRECT("'"&amp;$H$3&amp;"'!$H$19")*(INDIRECT("'"&amp;$H$3&amp;"'!W189")+(INDIRECT("'"&amp;$H$3&amp;"'!W190")*('1_Outputs'!W$225/INDIRECT("'"&amp;$H$3&amp;"'!W$96")/INDIRECT("'"&amp;$H$3&amp;"'!$H$19")))))))+((2*INDIRECT("'"&amp;$H$3&amp;"'!W$98"))/INDIRECT("'"&amp;$H$3&amp;"'!W192"))+(((MAX(W253,1)-1)*INDIRECT("'"&amp;$H$3&amp;"'!W$99"))/INDIRECT("'"&amp;$H$3&amp;"'!W191")),0)</f>
        <v>0</v>
      </c>
      <c r="X256" s="1465"/>
      <c r="Y256" s="36"/>
      <c r="Z256" s="36"/>
      <c r="AA256" s="36"/>
      <c r="AB256" s="36"/>
      <c r="AC256" s="36"/>
      <c r="AD256" s="36"/>
      <c r="AE256" s="36"/>
      <c r="AF256" s="36"/>
      <c r="AG256" s="36"/>
      <c r="AH256" s="36"/>
      <c r="AI256" s="36"/>
      <c r="AJ256" s="36"/>
      <c r="AK256" s="242"/>
      <c r="AL256" s="36"/>
      <c r="AM256" s="36"/>
      <c r="AN256" s="36"/>
    </row>
    <row r="257" spans="6:40" ht="15" customHeight="1" outlineLevel="1">
      <c r="F257" s="52"/>
      <c r="G257" s="51" t="s">
        <v>200</v>
      </c>
      <c r="H257" s="836"/>
      <c r="I257" s="836"/>
      <c r="J257" s="836"/>
      <c r="K257" s="836">
        <f ca="1">IFERROR((INDIRECT("'"&amp;$H$3&amp;"'!$H$10")*INDIRECT("'"&amp;$H$3&amp;"'!$H$9")*INDIRECT("'"&amp;$H$3&amp;"'!K180"))/K256,0)</f>
        <v>0</v>
      </c>
      <c r="L257" s="836"/>
      <c r="M257" s="836"/>
      <c r="N257" s="836">
        <f ca="1">IFERROR((INDIRECT("'"&amp;$H$3&amp;"'!$H$10")*INDIRECT("'"&amp;$H$3&amp;"'!$H$9")*INDIRECT("'"&amp;$H$3&amp;"'!N180"))/N256,0)</f>
        <v>0</v>
      </c>
      <c r="O257" s="836"/>
      <c r="P257" s="836"/>
      <c r="Q257" s="836">
        <f ca="1">IFERROR((INDIRECT("'"&amp;$H$3&amp;"'!$H$10")*INDIRECT("'"&amp;$H$3&amp;"'!$H$9")*INDIRECT("'"&amp;$H$3&amp;"'!Q180"))/Q256,0)</f>
        <v>0</v>
      </c>
      <c r="R257" s="836"/>
      <c r="S257" s="836"/>
      <c r="T257" s="836">
        <f ca="1">IFERROR((INDIRECT("'"&amp;$H$3&amp;"'!$H$10")*INDIRECT("'"&amp;$H$3&amp;"'!$H$9")*INDIRECT("'"&amp;$H$3&amp;"'!T180"))/T256,0)</f>
        <v>0</v>
      </c>
      <c r="U257" s="836"/>
      <c r="V257" s="836"/>
      <c r="W257" s="836">
        <f ca="1">IFERROR((INDIRECT("'"&amp;$H$3&amp;"'!$H$10")*INDIRECT("'"&amp;$H$3&amp;"'!$H$9")*INDIRECT("'"&amp;$H$3&amp;"'!W180"))/W256,0)</f>
        <v>0</v>
      </c>
      <c r="X257" s="1465"/>
      <c r="Y257" s="36"/>
      <c r="Z257" s="36"/>
      <c r="AA257" s="36"/>
      <c r="AB257" s="36"/>
      <c r="AC257" s="36"/>
      <c r="AD257" s="36"/>
      <c r="AE257" s="36"/>
      <c r="AF257" s="36"/>
      <c r="AG257" s="36"/>
      <c r="AH257" s="36"/>
      <c r="AI257" s="36"/>
      <c r="AJ257" s="36"/>
      <c r="AK257" s="242"/>
      <c r="AL257" s="36"/>
      <c r="AM257" s="36"/>
      <c r="AN257" s="36"/>
    </row>
    <row r="258" spans="6:40" ht="15" customHeight="1" outlineLevel="1">
      <c r="F258" s="52"/>
      <c r="G258" s="1613" t="s">
        <v>134</v>
      </c>
      <c r="H258" s="842"/>
      <c r="I258" s="842"/>
      <c r="J258" s="842"/>
      <c r="K258" s="842"/>
      <c r="L258" s="842"/>
      <c r="M258" s="842"/>
      <c r="N258" s="842"/>
      <c r="O258" s="842"/>
      <c r="P258" s="842"/>
      <c r="Q258" s="842"/>
      <c r="R258" s="1650"/>
      <c r="S258" s="1650"/>
      <c r="T258" s="842"/>
      <c r="U258" s="1650"/>
      <c r="V258" s="1650"/>
      <c r="W258" s="842"/>
      <c r="X258" s="1470"/>
      <c r="Y258" s="36"/>
      <c r="Z258" s="36"/>
      <c r="AA258" s="36"/>
      <c r="AB258" s="36"/>
      <c r="AC258" s="36"/>
      <c r="AD258" s="36"/>
      <c r="AE258" s="36"/>
      <c r="AF258" s="36"/>
      <c r="AG258" s="36"/>
      <c r="AH258" s="36"/>
      <c r="AI258" s="36"/>
      <c r="AJ258" s="36"/>
      <c r="AK258" s="36"/>
      <c r="AL258" s="36"/>
      <c r="AM258" s="36"/>
      <c r="AN258" s="36"/>
    </row>
    <row r="259" spans="6:40" ht="15" customHeight="1" outlineLevel="1">
      <c r="F259" s="52"/>
      <c r="G259" s="51" t="s">
        <v>188</v>
      </c>
      <c r="H259" s="836"/>
      <c r="I259" s="836"/>
      <c r="J259" s="836"/>
      <c r="K259" s="836">
        <f ca="1">IFERROR(K244*INDIRECT("'"&amp;$H$3&amp;"'!K$96")*MAX(1,ROUND(('1_Outputs'!K$225/INDIRECT("'"&amp;$H$3&amp;"'!K$96"))/INDEX(INDIRECT("'"&amp;$H$3&amp;"'!$H$49:$H$78"),MATCH(INDIRECT("'"&amp;$H$3&amp;"'!K176")&amp;"Delivery Capacity (m^3)",INDIRECT("'"&amp;$H$3&amp;"'!$F$49:$F$78"),0)),0)),0)</f>
        <v>0</v>
      </c>
      <c r="L259" s="836"/>
      <c r="M259" s="836"/>
      <c r="N259" s="836">
        <f ca="1">IFERROR(N244*INDIRECT("'"&amp;$H$3&amp;"'!N$96")*MAX(1,ROUND(('1_Outputs'!N$225/INDIRECT("'"&amp;$H$3&amp;"'!N$96"))/INDEX(INDIRECT("'"&amp;$H$3&amp;"'!$H$49:$H$78"),MATCH(INDIRECT("'"&amp;$H$3&amp;"'!N176")&amp;"Delivery Capacity (m^3)",INDIRECT("'"&amp;$H$3&amp;"'!$F$49:$F$78"),0)),0)),0)</f>
        <v>0</v>
      </c>
      <c r="O259" s="836"/>
      <c r="P259" s="836"/>
      <c r="Q259" s="836">
        <f ca="1">IFERROR(Q244*INDIRECT("'"&amp;$H$3&amp;"'!Q$96")*MAX(1,ROUND(('1_Outputs'!Q$225/INDIRECT("'"&amp;$H$3&amp;"'!Q$96"))/INDEX(INDIRECT("'"&amp;$H$3&amp;"'!$H$49:$H$78"),MATCH(INDIRECT("'"&amp;$H$3&amp;"'!Q176")&amp;"Delivery Capacity (m^3)",INDIRECT("'"&amp;$H$3&amp;"'!$F$49:$F$78"),0)),0)),0)</f>
        <v>0</v>
      </c>
      <c r="R259" s="836"/>
      <c r="S259" s="836"/>
      <c r="T259" s="836">
        <f ca="1">IFERROR(T244*INDIRECT("'"&amp;$H$3&amp;"'!T$96")*MAX(1,ROUND(('1_Outputs'!T$225/INDIRECT("'"&amp;$H$3&amp;"'!T$96"))/INDEX(INDIRECT("'"&amp;$H$3&amp;"'!$H$49:$H$78"),MATCH(INDIRECT("'"&amp;$H$3&amp;"'!T176")&amp;"Delivery Capacity (m^3)",INDIRECT("'"&amp;$H$3&amp;"'!$F$49:$F$78"),0)),0)),0)</f>
        <v>0</v>
      </c>
      <c r="U259" s="836"/>
      <c r="V259" s="836"/>
      <c r="W259" s="836">
        <f ca="1">IFERROR(W244*INDIRECT("'"&amp;$H$3&amp;"'!W$96")*MAX(1,ROUND(('1_Outputs'!W$225/INDIRECT("'"&amp;$H$3&amp;"'!W$96"))/INDEX(INDIRECT("'"&amp;$H$3&amp;"'!$H$49:$H$78"),MATCH(INDIRECT("'"&amp;$H$3&amp;"'!W176")&amp;"Delivery Capacity (m^3)",INDIRECT("'"&amp;$H$3&amp;"'!$F$49:$F$78"),0)),0)),0)</f>
        <v>0</v>
      </c>
      <c r="X259" s="1465"/>
      <c r="Y259" s="36"/>
      <c r="Z259" s="36"/>
      <c r="AA259" s="36"/>
      <c r="AB259" s="36" t="s">
        <v>192</v>
      </c>
      <c r="AC259" s="36"/>
      <c r="AD259" s="36" t="s">
        <v>193</v>
      </c>
      <c r="AE259" s="36"/>
      <c r="AF259" s="36"/>
      <c r="AG259" s="36"/>
      <c r="AH259" s="36"/>
      <c r="AI259" s="36"/>
      <c r="AJ259" s="36"/>
      <c r="AK259" s="36"/>
      <c r="AL259" s="36"/>
      <c r="AM259" s="36"/>
      <c r="AN259" s="36"/>
    </row>
    <row r="260" spans="6:40" ht="15" customHeight="1" outlineLevel="1">
      <c r="F260" s="52"/>
      <c r="G260" s="51" t="s">
        <v>88</v>
      </c>
      <c r="H260" s="836"/>
      <c r="I260" s="836"/>
      <c r="J260" s="836"/>
      <c r="K260" s="836">
        <f ca="1">IFERROR(IF(K244=0,0,2*INDIRECT("'"&amp;$H$3&amp;"'!K$98")),0)</f>
        <v>0</v>
      </c>
      <c r="L260" s="836"/>
      <c r="M260" s="836"/>
      <c r="N260" s="836">
        <f ca="1">IFERROR(IF(N244=0,0,2*INDIRECT("'"&amp;$H$3&amp;"'!N$98")),0)</f>
        <v>0</v>
      </c>
      <c r="O260" s="836"/>
      <c r="P260" s="836"/>
      <c r="Q260" s="836">
        <f ca="1">IFERROR(IF(Q244=0,0,2*INDIRECT("'"&amp;$H$3&amp;"'!Q$98")),0)</f>
        <v>0</v>
      </c>
      <c r="R260" s="836"/>
      <c r="S260" s="836"/>
      <c r="T260" s="836">
        <f ca="1">IFERROR(IF(T244=0,0,2*INDIRECT("'"&amp;$H$3&amp;"'!T$98")),0)</f>
        <v>0</v>
      </c>
      <c r="U260" s="836"/>
      <c r="V260" s="836"/>
      <c r="W260" s="836">
        <f ca="1">IFERROR(IF(W244=0,0,2*INDIRECT("'"&amp;$H$3&amp;"'!W$98")),0)</f>
        <v>0</v>
      </c>
      <c r="X260" s="1465"/>
      <c r="Y260" s="36"/>
      <c r="Z260" s="36"/>
      <c r="AA260" s="36"/>
      <c r="AB260" s="36" t="s">
        <v>194</v>
      </c>
      <c r="AC260" s="36"/>
      <c r="AD260" s="36" t="s">
        <v>195</v>
      </c>
      <c r="AE260" s="36"/>
      <c r="AF260" s="36"/>
      <c r="AG260" s="36"/>
      <c r="AH260" s="36"/>
      <c r="AI260" s="36"/>
      <c r="AJ260" s="36"/>
      <c r="AK260" s="36"/>
      <c r="AL260" s="36"/>
      <c r="AM260" s="36"/>
      <c r="AN260" s="36"/>
    </row>
    <row r="261" spans="6:40" ht="15" customHeight="1" outlineLevel="1">
      <c r="F261" s="52"/>
      <c r="G261" s="51" t="s">
        <v>200</v>
      </c>
      <c r="H261" s="839"/>
      <c r="I261" s="839"/>
      <c r="J261" s="839"/>
      <c r="K261" s="839">
        <f ca="1">IFERROR((INDIRECT("'"&amp;$H$3&amp;"'!$H$10")*INDIRECT("'"&amp;$H$3&amp;"'!$H$9")*INDIRECT("'"&amp;$H$3&amp;"'!K180"))/((K260/INDIRECT("'"&amp;$H$3&amp;"'!K192"))+((1/60)*(INDIRECT("'"&amp;$H$3&amp;"'!K188")+INDIRECT("'"&amp;$H$3&amp;"'!$H$19")*(INDIRECT("'"&amp;$H$3&amp;"'!K189")+(INDIRECT("'"&amp;$H$3&amp;"'!K190")*(MIN(('1_Outputs'!K$225/INDIRECT("'"&amp;$H$3&amp;"'!K$96")),INDEX(INDIRECT("'"&amp;$H$3&amp;"'!$H$49:$H$78"),MATCH(INDIRECT("'"&amp;$H$3&amp;"'!K176")&amp;"Delivery Capacity (m^3)",INDIRECT("'"&amp;$H$3&amp;"'!$F$49:$F$78"),0)))/INDIRECT("'"&amp;$H$3&amp;"'!$H$19"))))))),0)</f>
        <v>0</v>
      </c>
      <c r="L261" s="839"/>
      <c r="M261" s="839"/>
      <c r="N261" s="839">
        <f ca="1">IFERROR((INDIRECT("'"&amp;$H$3&amp;"'!$H$10")*INDIRECT("'"&amp;$H$3&amp;"'!$H$9")*INDIRECT("'"&amp;$H$3&amp;"'!N180"))/((N260/INDIRECT("'"&amp;$H$3&amp;"'!N192"))+((1/60)*(INDIRECT("'"&amp;$H$3&amp;"'!N188")+INDIRECT("'"&amp;$H$3&amp;"'!$H$19")*(INDIRECT("'"&amp;$H$3&amp;"'!N189")+(INDIRECT("'"&amp;$H$3&amp;"'!N190")*(MIN(('1_Outputs'!N$225/INDIRECT("'"&amp;$H$3&amp;"'!N$96")),INDEX(INDIRECT("'"&amp;$H$3&amp;"'!$H$49:$H$78"),MATCH(INDIRECT("'"&amp;$H$3&amp;"'!N176")&amp;"Delivery Capacity (m^3)",INDIRECT("'"&amp;$H$3&amp;"'!$F$49:$F$78"),0)))/INDIRECT("'"&amp;$H$3&amp;"'!$H$19"))))))),0)</f>
        <v>0</v>
      </c>
      <c r="O261" s="839"/>
      <c r="P261" s="839"/>
      <c r="Q261" s="839">
        <f ca="1">IFERROR((INDIRECT("'"&amp;$H$3&amp;"'!$H$10")*INDIRECT("'"&amp;$H$3&amp;"'!$H$9")*INDIRECT("'"&amp;$H$3&amp;"'!Q180"))/((Q260/INDIRECT("'"&amp;$H$3&amp;"'!Q192"))+((1/60)*(INDIRECT("'"&amp;$H$3&amp;"'!Q188")+INDIRECT("'"&amp;$H$3&amp;"'!$H$19")*(INDIRECT("'"&amp;$H$3&amp;"'!Q189")+(INDIRECT("'"&amp;$H$3&amp;"'!Q190")*(MIN(('1_Outputs'!Q$225/INDIRECT("'"&amp;$H$3&amp;"'!Q$96")),INDEX(INDIRECT("'"&amp;$H$3&amp;"'!$H$49:$H$78"),MATCH(INDIRECT("'"&amp;$H$3&amp;"'!Q176")&amp;"Delivery Capacity (m^3)",INDIRECT("'"&amp;$H$3&amp;"'!$F$49:$F$78"),0)))/INDIRECT("'"&amp;$H$3&amp;"'!$H$19"))))))),0)</f>
        <v>0</v>
      </c>
      <c r="R261" s="839"/>
      <c r="S261" s="839"/>
      <c r="T261" s="839">
        <f ca="1">IFERROR((INDIRECT("'"&amp;$H$3&amp;"'!$H$10")*INDIRECT("'"&amp;$H$3&amp;"'!$H$9")*INDIRECT("'"&amp;$H$3&amp;"'!T180"))/((T260/INDIRECT("'"&amp;$H$3&amp;"'!T192"))+((1/60)*(INDIRECT("'"&amp;$H$3&amp;"'!T188")+INDIRECT("'"&amp;$H$3&amp;"'!$H$19")*(INDIRECT("'"&amp;$H$3&amp;"'!T189")+(INDIRECT("'"&amp;$H$3&amp;"'!T190")*(MIN(('1_Outputs'!T$225/INDIRECT("'"&amp;$H$3&amp;"'!T$96")),INDEX(INDIRECT("'"&amp;$H$3&amp;"'!$H$49:$H$78"),MATCH(INDIRECT("'"&amp;$H$3&amp;"'!T176")&amp;"Delivery Capacity (m^3)",INDIRECT("'"&amp;$H$3&amp;"'!$F$49:$F$78"),0)))/INDIRECT("'"&amp;$H$3&amp;"'!$H$19"))))))),0)</f>
        <v>0</v>
      </c>
      <c r="U261" s="839"/>
      <c r="V261" s="839"/>
      <c r="W261" s="839">
        <f ca="1">IFERROR((INDIRECT("'"&amp;$H$3&amp;"'!$H$10")*INDIRECT("'"&amp;$H$3&amp;"'!$H$9")*INDIRECT("'"&amp;$H$3&amp;"'!W180"))/((W260/INDIRECT("'"&amp;$H$3&amp;"'!W192"))+((1/60)*(INDIRECT("'"&amp;$H$3&amp;"'!W188")+INDIRECT("'"&amp;$H$3&amp;"'!$H$19")*(INDIRECT("'"&amp;$H$3&amp;"'!W189")+(INDIRECT("'"&amp;$H$3&amp;"'!W190")*(MIN(('1_Outputs'!W$225/INDIRECT("'"&amp;$H$3&amp;"'!W$96")),INDEX(INDIRECT("'"&amp;$H$3&amp;"'!$H$49:$H$78"),MATCH(INDIRECT("'"&amp;$H$3&amp;"'!W176")&amp;"Delivery Capacity (m^3)",INDIRECT("'"&amp;$H$3&amp;"'!$F$49:$F$78"),0)))/INDIRECT("'"&amp;$H$3&amp;"'!$H$19"))))))),0)</f>
        <v>0</v>
      </c>
      <c r="X261" s="1473"/>
      <c r="Y261" s="36"/>
      <c r="Z261" s="36"/>
      <c r="AA261" s="36"/>
      <c r="AB261" s="36"/>
      <c r="AC261" s="36"/>
      <c r="AD261" s="36"/>
      <c r="AE261" s="36"/>
      <c r="AF261" s="36"/>
      <c r="AG261" s="36"/>
      <c r="AH261" s="36"/>
      <c r="AI261" s="36"/>
      <c r="AJ261" s="36"/>
      <c r="AK261" s="36"/>
      <c r="AL261" s="36"/>
      <c r="AM261" s="36"/>
      <c r="AN261" s="36"/>
    </row>
    <row r="262" spans="6:40" ht="15" customHeight="1">
      <c r="F262" s="52"/>
      <c r="G262" s="52"/>
      <c r="H262" s="1660"/>
      <c r="I262" s="1660"/>
      <c r="J262" s="1660"/>
      <c r="K262" s="1660"/>
      <c r="L262" s="1660"/>
      <c r="M262" s="1660"/>
      <c r="N262" s="1660"/>
      <c r="O262" s="1660"/>
      <c r="P262" s="1660"/>
      <c r="Q262" s="1660"/>
      <c r="R262" s="1641"/>
      <c r="S262" s="1641"/>
      <c r="T262" s="1641"/>
      <c r="U262" s="1641"/>
      <c r="V262" s="1641"/>
      <c r="W262" s="1641"/>
      <c r="X262" s="1397"/>
      <c r="Y262" s="36"/>
      <c r="Z262" s="36"/>
      <c r="AA262" s="36"/>
      <c r="AB262" s="36"/>
      <c r="AC262" s="36"/>
      <c r="AD262" s="36"/>
      <c r="AE262" s="36"/>
      <c r="AF262" s="36"/>
      <c r="AG262" s="36"/>
      <c r="AH262" s="36"/>
      <c r="AI262" s="36"/>
      <c r="AJ262" s="36"/>
      <c r="AK262" s="36"/>
      <c r="AL262" s="36"/>
      <c r="AM262" s="36"/>
      <c r="AN262" s="36"/>
    </row>
    <row r="263" spans="6:40" ht="15" customHeight="1">
      <c r="F263" s="52"/>
      <c r="G263" s="52"/>
      <c r="H263" s="1660"/>
      <c r="I263" s="1660"/>
      <c r="J263" s="1660"/>
      <c r="K263" s="1660"/>
      <c r="L263" s="1660"/>
      <c r="M263" s="1660"/>
      <c r="N263" s="1660"/>
      <c r="O263" s="1660"/>
      <c r="P263" s="1660"/>
      <c r="Q263" s="1660"/>
      <c r="R263" s="1641"/>
      <c r="S263" s="1641"/>
      <c r="T263" s="1641"/>
      <c r="U263" s="1641"/>
      <c r="V263" s="1641"/>
      <c r="W263" s="1641"/>
      <c r="X263" s="1397"/>
      <c r="Y263" s="36"/>
      <c r="Z263" s="36"/>
      <c r="AA263" s="36"/>
      <c r="AB263" s="36"/>
      <c r="AC263" s="36"/>
      <c r="AD263" s="36"/>
      <c r="AE263" s="36"/>
      <c r="AF263" s="36"/>
      <c r="AG263" s="36"/>
      <c r="AH263" s="36"/>
      <c r="AI263" s="36"/>
      <c r="AJ263" s="36"/>
      <c r="AK263" s="36"/>
      <c r="AL263" s="36"/>
      <c r="AM263" s="36"/>
      <c r="AN263" s="36"/>
    </row>
    <row r="264" spans="6:40" ht="48" customHeight="1">
      <c r="F264" s="1661" t="s">
        <v>2503</v>
      </c>
      <c r="G264" s="1662"/>
      <c r="H264" s="1663"/>
      <c r="I264" s="1663"/>
      <c r="J264" s="1663"/>
      <c r="K264" s="1519" t="str">
        <f ca="1">IF($H$9&gt;=2,INDIRECT("'"&amp;$H$3&amp;"'!J$130"),"")</f>
        <v>CMS  to  Regional WH</v>
      </c>
      <c r="L264" s="1519" t="str">
        <f t="shared" ref="L264:V264" ca="1" si="18">IF($H$9&gt;=1,"Tier 1","")</f>
        <v>Tier 1</v>
      </c>
      <c r="M264" s="1519" t="str">
        <f t="shared" ca="1" si="18"/>
        <v>Tier 1</v>
      </c>
      <c r="N264" s="1519" t="str">
        <f ca="1">IF($H$9&gt;=3,INDIRECT("'"&amp;$H$3&amp;"'!M$130"),"")</f>
        <v>Regional WH  to  Health Facility</v>
      </c>
      <c r="O264" s="1519" t="str">
        <f t="shared" ca="1" si="18"/>
        <v>Tier 1</v>
      </c>
      <c r="P264" s="1519" t="str">
        <f t="shared" ca="1" si="18"/>
        <v>Tier 1</v>
      </c>
      <c r="Q264" s="1520" t="str">
        <f ca="1">IF($H$9&gt;=4,INDIRECT("'"&amp;$H$3&amp;"'!P$130"),"")</f>
        <v/>
      </c>
      <c r="R264" s="1519" t="str">
        <f t="shared" ca="1" si="18"/>
        <v>Tier 1</v>
      </c>
      <c r="S264" s="1521" t="str">
        <f t="shared" ca="1" si="18"/>
        <v>Tier 1</v>
      </c>
      <c r="T264" s="1520" t="str">
        <f ca="1">IF($H$9&gt;=5,INDIRECT("'"&amp;$H$3&amp;"'!S$130"),"")</f>
        <v/>
      </c>
      <c r="U264" s="1521" t="str">
        <f t="shared" ca="1" si="18"/>
        <v>Tier 1</v>
      </c>
      <c r="V264" s="1521" t="str">
        <f t="shared" ca="1" si="18"/>
        <v>Tier 1</v>
      </c>
      <c r="W264" s="1520" t="str">
        <f ca="1">IF($H$9&gt;=6,INDIRECT("'"&amp;$H$3&amp;"'!V$130"),"")</f>
        <v/>
      </c>
      <c r="X264" s="1464"/>
      <c r="Y264" s="264"/>
      <c r="Z264" s="264"/>
      <c r="AA264" s="264"/>
      <c r="AB264" s="36"/>
      <c r="AC264" s="36"/>
      <c r="AD264" s="36"/>
      <c r="AE264" s="36"/>
      <c r="AF264" s="36"/>
      <c r="AG264" s="36"/>
      <c r="AH264" s="36"/>
      <c r="AI264" s="36"/>
      <c r="AJ264" s="36"/>
      <c r="AK264" s="36"/>
      <c r="AL264" s="36"/>
      <c r="AM264" s="36"/>
      <c r="AN264" s="36"/>
    </row>
    <row r="265" spans="6:40" ht="15" customHeight="1" outlineLevel="1">
      <c r="F265" s="1664" t="s">
        <v>149</v>
      </c>
      <c r="G265" s="1664"/>
      <c r="H265" s="862"/>
      <c r="I265" s="862"/>
      <c r="J265" s="862"/>
      <c r="K265" s="862"/>
      <c r="L265" s="862"/>
      <c r="M265" s="862"/>
      <c r="N265" s="862"/>
      <c r="O265" s="1664"/>
      <c r="P265" s="1664"/>
      <c r="Q265" s="1665"/>
      <c r="R265" s="1666"/>
      <c r="S265" s="1666"/>
      <c r="T265" s="1665"/>
      <c r="U265" s="1666"/>
      <c r="V265" s="1666"/>
      <c r="W265" s="1665"/>
      <c r="Y265" s="36"/>
      <c r="Z265" s="36"/>
      <c r="AA265" s="36"/>
      <c r="AB265" s="36"/>
      <c r="AC265" s="36"/>
      <c r="AD265" s="36"/>
      <c r="AE265" s="36"/>
      <c r="AF265" s="36"/>
      <c r="AG265" s="36"/>
      <c r="AH265" s="36"/>
      <c r="AI265" s="36"/>
      <c r="AJ265" s="36"/>
      <c r="AK265" s="36"/>
      <c r="AL265" s="36"/>
      <c r="AM265" s="36"/>
      <c r="AN265" s="36"/>
    </row>
    <row r="266" spans="6:40" ht="15" customHeight="1" outlineLevel="1">
      <c r="F266" s="52"/>
      <c r="G266" s="52" t="s">
        <v>146</v>
      </c>
      <c r="H266" s="822"/>
      <c r="I266" s="822"/>
      <c r="J266" s="822"/>
      <c r="K266" s="822">
        <f ca="1">IFERROR(IF(COUNTIF(INDIRECT("'"&amp;$H$3&amp;"'!K200"),"Public Transport*")=1,IF(INDIRECT("'"&amp;$H$3&amp;"'!K208")="Route-based",K273*INDIRECT("'"&amp;$H$3&amp;"'!K$96"),IF(INDIRECT("'"&amp;$H$3&amp;"'!K208")="Point-to-point",K276*INDIRECT("'"&amp;$H$3&amp;"'!K$96"),0)),0),0)</f>
        <v>0</v>
      </c>
      <c r="L266" s="822"/>
      <c r="M266" s="822"/>
      <c r="N266" s="822">
        <f ca="1">IFERROR(IF(COUNTIF(INDIRECT("'"&amp;$H$3&amp;"'!N200"),"Public Transport*")=1,IF(INDIRECT("'"&amp;$H$3&amp;"'!N208")="Route-based",N273*INDIRECT("'"&amp;$H$3&amp;"'!N$96"),IF(INDIRECT("'"&amp;$H$3&amp;"'!N208")="Point-to-point",N276*INDIRECT("'"&amp;$H$3&amp;"'!N$96"),0)),0),0)</f>
        <v>0</v>
      </c>
      <c r="O266" s="822"/>
      <c r="P266" s="822"/>
      <c r="Q266" s="822">
        <f ca="1">IFERROR(IF(COUNTIF(INDIRECT("'"&amp;$H$3&amp;"'!Q200"),"Public Transport*")=1,IF(INDIRECT("'"&amp;$H$3&amp;"'!Q208")="Route-based",Q273*INDIRECT("'"&amp;$H$3&amp;"'!Q$96"),IF(INDIRECT("'"&amp;$H$3&amp;"'!Q208")="Point-to-point",Q276*INDIRECT("'"&amp;$H$3&amp;"'!Q$96"),0)),0),0)</f>
        <v>0</v>
      </c>
      <c r="R266" s="1667"/>
      <c r="S266" s="1667"/>
      <c r="T266" s="822">
        <f ca="1">IFERROR(IF(COUNTIF(INDIRECT("'"&amp;$H$3&amp;"'!T200"),"Public Transport*")=1,IF(INDIRECT("'"&amp;$H$3&amp;"'!T208")="Route-based",T273*INDIRECT("'"&amp;$H$3&amp;"'!T$96"),IF(INDIRECT("'"&amp;$H$3&amp;"'!T208")="Point-to-point",T276*INDIRECT("'"&amp;$H$3&amp;"'!T$96"),0)),0),0)</f>
        <v>0</v>
      </c>
      <c r="U266" s="1667"/>
      <c r="V266" s="1667"/>
      <c r="W266" s="822">
        <f ca="1">IFERROR(IF(COUNTIF(INDIRECT("'"&amp;$H$3&amp;"'!W200"),"Public Transport*")=1,IF(INDIRECT("'"&amp;$H$3&amp;"'!W208")="Route-based",W273*INDIRECT("'"&amp;$H$3&amp;"'!W$96"),IF(INDIRECT("'"&amp;$H$3&amp;"'!W208")="Point-to-point",W276*INDIRECT("'"&amp;$H$3&amp;"'!W$96"),0)),0),0)</f>
        <v>0</v>
      </c>
      <c r="X266" s="1475"/>
      <c r="Y266" s="36"/>
      <c r="Z266" s="36"/>
      <c r="AA266" s="36"/>
      <c r="AB266" s="36"/>
      <c r="AC266" s="36"/>
      <c r="AD266" s="36"/>
      <c r="AE266" s="36"/>
      <c r="AF266" s="36"/>
      <c r="AG266" s="36"/>
      <c r="AH266" s="36"/>
      <c r="AI266" s="36"/>
      <c r="AJ266" s="36"/>
      <c r="AK266" s="36"/>
      <c r="AL266" s="36"/>
      <c r="AM266" s="36"/>
      <c r="AN266" s="36"/>
    </row>
    <row r="267" spans="6:40" ht="15" customHeight="1" outlineLevel="1">
      <c r="F267" s="52"/>
      <c r="G267" s="52" t="s">
        <v>147</v>
      </c>
      <c r="H267" s="822"/>
      <c r="I267" s="822"/>
      <c r="J267" s="822"/>
      <c r="K267" s="822">
        <f ca="1">IFERROR(IF(INDIRECT("'"&amp;$H$3&amp;"'!K208")="Route-based",K274*INDIRECT("'"&amp;$H$3&amp;"'!K$96"),IF(INDIRECT("'"&amp;$H$3&amp;"'!K208")="Point-to-point",K277*INDIRECT("'"&amp;$H$3&amp;"'!K$96"),0)),0)</f>
        <v>0</v>
      </c>
      <c r="L267" s="822"/>
      <c r="M267" s="822"/>
      <c r="N267" s="822">
        <f ca="1">IFERROR(IF(INDIRECT("'"&amp;$H$3&amp;"'!N208")="Route-based",N274*INDIRECT("'"&amp;$H$3&amp;"'!N$96"),IF(INDIRECT("'"&amp;$H$3&amp;"'!N208")="Point-to-point",N277*INDIRECT("'"&amp;$H$3&amp;"'!N$96"),0)),0)</f>
        <v>0</v>
      </c>
      <c r="O267" s="822"/>
      <c r="P267" s="822"/>
      <c r="Q267" s="822">
        <f ca="1">IFERROR(IF(INDIRECT("'"&amp;$H$3&amp;"'!Q208")="Route-based",Q274*INDIRECT("'"&amp;$H$3&amp;"'!Q$96"),IF(INDIRECT("'"&amp;$H$3&amp;"'!Q208")="Point-to-point",Q277*INDIRECT("'"&amp;$H$3&amp;"'!Q$96"),0)),0)</f>
        <v>0</v>
      </c>
      <c r="R267" s="1667"/>
      <c r="S267" s="1667"/>
      <c r="T267" s="822">
        <f ca="1">IFERROR(IF(INDIRECT("'"&amp;$H$3&amp;"'!T208")="Route-based",T274*INDIRECT("'"&amp;$H$3&amp;"'!T$96"),IF(INDIRECT("'"&amp;$H$3&amp;"'!T208")="Point-to-point",T277*INDIRECT("'"&amp;$H$3&amp;"'!T$96"),0)),0)</f>
        <v>0</v>
      </c>
      <c r="U267" s="1667"/>
      <c r="V267" s="1667"/>
      <c r="W267" s="822">
        <f ca="1">IFERROR(IF(INDIRECT("'"&amp;$H$3&amp;"'!W208")="Route-based",W274*INDIRECT("'"&amp;$H$3&amp;"'!W$96"),IF(INDIRECT("'"&amp;$H$3&amp;"'!W208")="Point-to-point",W277*INDIRECT("'"&amp;$H$3&amp;"'!W$96"),0)),0)</f>
        <v>0</v>
      </c>
      <c r="X267" s="1475"/>
      <c r="Y267" s="36"/>
      <c r="Z267" s="36"/>
      <c r="AA267" s="36"/>
      <c r="AB267" s="36"/>
      <c r="AC267" s="36"/>
      <c r="AD267" s="36"/>
      <c r="AE267" s="36"/>
      <c r="AF267" s="36"/>
      <c r="AG267" s="36"/>
      <c r="AH267" s="36"/>
      <c r="AI267" s="36"/>
      <c r="AJ267" s="36"/>
      <c r="AK267" s="36"/>
      <c r="AL267" s="36"/>
      <c r="AM267" s="36"/>
      <c r="AN267" s="36"/>
    </row>
    <row r="268" spans="6:40" ht="15" customHeight="1" outlineLevel="1">
      <c r="F268" s="52"/>
      <c r="G268" s="52" t="s">
        <v>142</v>
      </c>
      <c r="H268" s="1668"/>
      <c r="I268" s="1668"/>
      <c r="J268" s="1668"/>
      <c r="K268" s="1668">
        <f ca="1">IFERROR(IF(COUNTIF(INDIRECT("'"&amp;$H$3&amp;"'!K200"),"Public Transport*")&gt;0,ROUND(INDIRECT("'"&amp;$H$3&amp;"'!K$95")*INDIRECT("'"&amp;$H$3&amp;"'!K199"),0),0),0)</f>
        <v>0</v>
      </c>
      <c r="L268" s="1668"/>
      <c r="M268" s="1668"/>
      <c r="N268" s="1668">
        <f ca="1">IFERROR(IF(COUNTIF(INDIRECT("'"&amp;$H$3&amp;"'!N200"),"Public Transport*")&gt;0,ROUND(INDIRECT("'"&amp;$H$3&amp;"'!N$95")*INDIRECT("'"&amp;$H$3&amp;"'!N199"),0),0),0)</f>
        <v>0</v>
      </c>
      <c r="O268" s="1668"/>
      <c r="P268" s="1668"/>
      <c r="Q268" s="1668">
        <f ca="1">IFERROR(IF(COUNTIF(INDIRECT("'"&amp;$H$3&amp;"'!Q200"),"Public Transport*")&gt;0,ROUND(INDIRECT("'"&amp;$H$3&amp;"'!Q$95")*INDIRECT("'"&amp;$H$3&amp;"'!Q199"),0),0),0)</f>
        <v>0</v>
      </c>
      <c r="R268" s="1667"/>
      <c r="S268" s="1667"/>
      <c r="T268" s="1668">
        <f ca="1">IFERROR(IF(COUNTIF(INDIRECT("'"&amp;$H$3&amp;"'!T200"),"Public Transport*")&gt;0,ROUND(INDIRECT("'"&amp;$H$3&amp;"'!T$95")*INDIRECT("'"&amp;$H$3&amp;"'!T199"),0),0),0)</f>
        <v>0</v>
      </c>
      <c r="U268" s="1667"/>
      <c r="V268" s="1667"/>
      <c r="W268" s="1668">
        <f ca="1">IFERROR(IF(COUNTIF(INDIRECT("'"&amp;$H$3&amp;"'!W200"),"Public Transport*")&gt;0,ROUND(INDIRECT("'"&amp;$H$3&amp;"'!W$95")*INDIRECT("'"&amp;$H$3&amp;"'!W199"),0),0),0)</f>
        <v>0</v>
      </c>
      <c r="X268" s="1476"/>
      <c r="Y268" s="36"/>
      <c r="Z268" s="36"/>
      <c r="AA268" s="36"/>
      <c r="AB268" s="36"/>
      <c r="AC268" s="36"/>
      <c r="AD268" s="36"/>
      <c r="AE268" s="36"/>
      <c r="AF268" s="36"/>
      <c r="AG268" s="36"/>
      <c r="AH268" s="36"/>
      <c r="AI268" s="36"/>
      <c r="AJ268" s="36"/>
      <c r="AK268" s="36"/>
      <c r="AL268" s="36"/>
      <c r="AM268" s="36"/>
      <c r="AN268" s="36"/>
    </row>
    <row r="269" spans="6:40" ht="15" customHeight="1" outlineLevel="1">
      <c r="F269" s="52"/>
      <c r="G269" s="1669" t="s">
        <v>150</v>
      </c>
      <c r="H269" s="829"/>
      <c r="I269" s="829"/>
      <c r="J269" s="829"/>
      <c r="K269" s="829"/>
      <c r="L269" s="829"/>
      <c r="M269" s="829"/>
      <c r="N269" s="829"/>
      <c r="O269" s="829"/>
      <c r="P269" s="829"/>
      <c r="Q269" s="829"/>
      <c r="R269" s="1667"/>
      <c r="S269" s="1667"/>
      <c r="T269" s="829"/>
      <c r="U269" s="1667"/>
      <c r="V269" s="1667"/>
      <c r="W269" s="829"/>
      <c r="X269" s="1477"/>
      <c r="Y269" s="36"/>
      <c r="Z269" s="36"/>
      <c r="AA269" s="36"/>
      <c r="AB269" s="36"/>
      <c r="AC269" s="36"/>
      <c r="AD269" s="36"/>
      <c r="AE269" s="36"/>
      <c r="AF269" s="36"/>
      <c r="AG269" s="36"/>
      <c r="AH269" s="36"/>
      <c r="AI269" s="36"/>
      <c r="AJ269" s="36"/>
      <c r="AK269" s="36"/>
      <c r="AL269" s="36"/>
      <c r="AM269" s="36"/>
      <c r="AN269" s="36"/>
    </row>
    <row r="270" spans="6:40" ht="15" customHeight="1" outlineLevel="1">
      <c r="F270" s="52"/>
      <c r="G270" s="52" t="s">
        <v>140</v>
      </c>
      <c r="H270" s="824"/>
      <c r="I270" s="824"/>
      <c r="J270" s="824"/>
      <c r="K270" s="824">
        <f ca="1">IFERROR(ROUND(INDIRECT("'"&amp;$H$3&amp;"'!$H$10")/(((1/60)*(INDIRECT("'"&amp;$H$3&amp;"'!K213")+INDIRECT("'"&amp;$H$3&amp;"'!$H$19")*(INDIRECT("'"&amp;$H$3&amp;"'!K214")+(INDIRECT("'"&amp;$H$3&amp;"'!K215")*('1_Outputs'!K$52/INDIRECT("'"&amp;$H$3&amp;"'!K$96")/INDIRECT("'"&amp;$H$3&amp;"'!$H$19"))))))+INDEX(INDIRECT("'"&amp;$H$3&amp;"'!$H$43:$H$78"),MATCH(INDIRECT("'"&amp;$H$3&amp;"'!K200")&amp;"Average duration (hrs) per trip",INDIRECT("'"&amp;$H$3&amp;"'!$F$43:$F$78"),0))),1),0)</f>
        <v>0</v>
      </c>
      <c r="L270" s="824"/>
      <c r="M270" s="824"/>
      <c r="N270" s="824">
        <f ca="1">IFERROR(ROUND(INDIRECT("'"&amp;$H$3&amp;"'!$H$10")/(((1/60)*(INDIRECT("'"&amp;$H$3&amp;"'!N213")+INDIRECT("'"&amp;$H$3&amp;"'!$H$19")*(INDIRECT("'"&amp;$H$3&amp;"'!N214")+(INDIRECT("'"&amp;$H$3&amp;"'!N215")*('1_Outputs'!N$52/INDIRECT("'"&amp;$H$3&amp;"'!N$96")/INDIRECT("'"&amp;$H$3&amp;"'!$H$19"))))))+INDEX(INDIRECT("'"&amp;$H$3&amp;"'!$H$43:$H$78"),MATCH(INDIRECT("'"&amp;$H$3&amp;"'!N200")&amp;"Average duration (hrs) per trip",INDIRECT("'"&amp;$H$3&amp;"'!$F$43:$F$78"),0))),1),0)</f>
        <v>0</v>
      </c>
      <c r="O270" s="824"/>
      <c r="P270" s="824"/>
      <c r="Q270" s="824">
        <f ca="1">IFERROR(ROUND(INDIRECT("'"&amp;$H$3&amp;"'!$H$10")/(((1/60)*(INDIRECT("'"&amp;$H$3&amp;"'!Q213")+INDIRECT("'"&amp;$H$3&amp;"'!$H$19")*(INDIRECT("'"&amp;$H$3&amp;"'!Q214")+(INDIRECT("'"&amp;$H$3&amp;"'!Q215")*('1_Outputs'!Q$52/INDIRECT("'"&amp;$H$3&amp;"'!Q$96")/INDIRECT("'"&amp;$H$3&amp;"'!$H$19"))))))+INDEX(INDIRECT("'"&amp;$H$3&amp;"'!$H$43:$H$78"),MATCH(INDIRECT("'"&amp;$H$3&amp;"'!Q200")&amp;"Average duration (hrs) per trip",INDIRECT("'"&amp;$H$3&amp;"'!$F$43:$F$78"),0))),1),0)</f>
        <v>0</v>
      </c>
      <c r="R270" s="1667"/>
      <c r="S270" s="1667"/>
      <c r="T270" s="824">
        <f ca="1">IFERROR(ROUND(INDIRECT("'"&amp;$H$3&amp;"'!$H$10")/(((1/60)*(INDIRECT("'"&amp;$H$3&amp;"'!T213")+INDIRECT("'"&amp;$H$3&amp;"'!$H$19")*(INDIRECT("'"&amp;$H$3&amp;"'!T214")+(INDIRECT("'"&amp;$H$3&amp;"'!T215")*('1_Outputs'!T$52/INDIRECT("'"&amp;$H$3&amp;"'!T$96")/INDIRECT("'"&amp;$H$3&amp;"'!$H$19"))))))+INDEX(INDIRECT("'"&amp;$H$3&amp;"'!$H$43:$H$78"),MATCH(INDIRECT("'"&amp;$H$3&amp;"'!T200")&amp;"Average duration (hrs) per trip",INDIRECT("'"&amp;$H$3&amp;"'!$F$43:$F$78"),0))),1),0)</f>
        <v>0</v>
      </c>
      <c r="U270" s="1667"/>
      <c r="V270" s="1667"/>
      <c r="W270" s="824">
        <f ca="1">IFERROR(ROUND(INDIRECT("'"&amp;$H$3&amp;"'!$H$10")/(((1/60)*(INDIRECT("'"&amp;$H$3&amp;"'!W213")+INDIRECT("'"&amp;$H$3&amp;"'!$H$19")*(INDIRECT("'"&amp;$H$3&amp;"'!W214")+(INDIRECT("'"&amp;$H$3&amp;"'!W215")*('1_Outputs'!W$52/INDIRECT("'"&amp;$H$3&amp;"'!W$96")/INDIRECT("'"&amp;$H$3&amp;"'!$H$19"))))))+INDEX(INDIRECT("'"&amp;$H$3&amp;"'!$H$43:$H$78"),MATCH(INDIRECT("'"&amp;$H$3&amp;"'!W200")&amp;"Average duration (hrs) per trip",INDIRECT("'"&amp;$H$3&amp;"'!$F$43:$F$78"),0))),1),0)</f>
        <v>0</v>
      </c>
      <c r="X270" s="1478"/>
      <c r="Y270" s="36"/>
      <c r="Z270" s="36"/>
      <c r="AA270" s="36"/>
      <c r="AB270" s="36"/>
      <c r="AC270" s="36"/>
      <c r="AD270" s="36"/>
      <c r="AE270" s="36"/>
      <c r="AF270" s="36"/>
      <c r="AG270" s="36"/>
      <c r="AH270" s="36"/>
      <c r="AI270" s="36"/>
      <c r="AJ270" s="36"/>
      <c r="AK270" s="36"/>
      <c r="AL270" s="36"/>
      <c r="AM270" s="36"/>
      <c r="AN270" s="36"/>
    </row>
    <row r="271" spans="6:40" ht="15" customHeight="1" outlineLevel="1">
      <c r="F271" s="52"/>
      <c r="G271" s="52" t="s">
        <v>141</v>
      </c>
      <c r="H271" s="824"/>
      <c r="I271" s="824"/>
      <c r="J271" s="824"/>
      <c r="K271" s="824">
        <f ca="1">IFERROR(ROUND(K270*INDIRECT("'"&amp;$H$3&amp;"'!K209"),0),0)</f>
        <v>0</v>
      </c>
      <c r="L271" s="824"/>
      <c r="M271" s="824"/>
      <c r="N271" s="824">
        <f ca="1">IFERROR(ROUND(N270*INDIRECT("'"&amp;$H$3&amp;"'!N209"),0),0)</f>
        <v>0</v>
      </c>
      <c r="O271" s="824"/>
      <c r="P271" s="824"/>
      <c r="Q271" s="824">
        <f ca="1">IFERROR(ROUND(Q270*INDIRECT("'"&amp;$H$3&amp;"'!Q209"),0),0)</f>
        <v>0</v>
      </c>
      <c r="R271" s="1667"/>
      <c r="S271" s="1667"/>
      <c r="T271" s="824">
        <f ca="1">IFERROR(ROUND(T270*INDIRECT("'"&amp;$H$3&amp;"'!T209"),0),0)</f>
        <v>0</v>
      </c>
      <c r="U271" s="1667"/>
      <c r="V271" s="1667"/>
      <c r="W271" s="824">
        <f ca="1">IFERROR(ROUND(W270*INDIRECT("'"&amp;$H$3&amp;"'!W209"),0),0)</f>
        <v>0</v>
      </c>
      <c r="X271" s="1478"/>
      <c r="Y271" s="36"/>
      <c r="Z271" s="36"/>
      <c r="AA271" s="36"/>
      <c r="AB271" s="36"/>
      <c r="AC271" s="36"/>
      <c r="AD271" s="36"/>
      <c r="AE271" s="36"/>
      <c r="AF271" s="36"/>
      <c r="AG271" s="36"/>
      <c r="AH271" s="36"/>
      <c r="AI271" s="36"/>
      <c r="AJ271" s="36"/>
      <c r="AK271" s="36"/>
      <c r="AL271" s="36"/>
      <c r="AM271" s="36"/>
      <c r="AN271" s="36"/>
    </row>
    <row r="272" spans="6:40" ht="15" customHeight="1" outlineLevel="1">
      <c r="F272" s="52"/>
      <c r="G272" s="52" t="s">
        <v>143</v>
      </c>
      <c r="H272" s="824"/>
      <c r="I272" s="824"/>
      <c r="J272" s="824"/>
      <c r="K272" s="824">
        <f ca="1">IFERROR(K268/K271,0)</f>
        <v>0</v>
      </c>
      <c r="L272" s="824"/>
      <c r="M272" s="824"/>
      <c r="N272" s="824">
        <f ca="1">IFERROR(N268/N271,0)</f>
        <v>0</v>
      </c>
      <c r="O272" s="824"/>
      <c r="P272" s="824"/>
      <c r="Q272" s="824">
        <f ca="1">IFERROR(Q268/Q271,0)</f>
        <v>0</v>
      </c>
      <c r="R272" s="1667"/>
      <c r="S272" s="1667"/>
      <c r="T272" s="824">
        <f ca="1">IFERROR(T268/T271,0)</f>
        <v>0</v>
      </c>
      <c r="U272" s="1667"/>
      <c r="V272" s="1667"/>
      <c r="W272" s="824">
        <f ca="1">IFERROR(W268/W271,0)</f>
        <v>0</v>
      </c>
      <c r="X272" s="1478"/>
      <c r="Y272" s="36"/>
      <c r="Z272" s="36"/>
      <c r="AA272" s="36"/>
      <c r="AB272" s="36"/>
      <c r="AC272" s="36"/>
      <c r="AD272" s="36"/>
      <c r="AE272" s="36"/>
      <c r="AF272" s="36"/>
      <c r="AG272" s="36"/>
      <c r="AH272" s="36"/>
      <c r="AI272" s="36"/>
      <c r="AJ272" s="36"/>
      <c r="AK272" s="36"/>
      <c r="AL272" s="36"/>
      <c r="AM272" s="36"/>
      <c r="AN272" s="36"/>
    </row>
    <row r="273" spans="6:40" ht="15" customHeight="1" outlineLevel="1">
      <c r="F273" s="52"/>
      <c r="G273" s="52" t="s">
        <v>144</v>
      </c>
      <c r="H273" s="824"/>
      <c r="I273" s="824"/>
      <c r="J273" s="824"/>
      <c r="K273" s="824">
        <f ca="1">IFERROR((K272*(K271+1)),0)</f>
        <v>0</v>
      </c>
      <c r="L273" s="824"/>
      <c r="M273" s="824"/>
      <c r="N273" s="824">
        <f ca="1">IFERROR((N272*(N271+1)),0)</f>
        <v>0</v>
      </c>
      <c r="O273" s="824"/>
      <c r="P273" s="824"/>
      <c r="Q273" s="824">
        <f ca="1">IFERROR((Q272*(Q271+1)),0)</f>
        <v>0</v>
      </c>
      <c r="R273" s="1667"/>
      <c r="S273" s="1667"/>
      <c r="T273" s="824">
        <f ca="1">IFERROR((T272*(T271+1)),0)</f>
        <v>0</v>
      </c>
      <c r="U273" s="1667"/>
      <c r="V273" s="1667"/>
      <c r="W273" s="824">
        <f ca="1">IFERROR((W272*(W271+1)),0)</f>
        <v>0</v>
      </c>
      <c r="X273" s="1478"/>
      <c r="Y273" s="36"/>
      <c r="Z273" s="36"/>
      <c r="AA273" s="36"/>
      <c r="AB273" s="36"/>
      <c r="AC273" s="36"/>
      <c r="AD273" s="36"/>
      <c r="AE273" s="36"/>
      <c r="AF273" s="36"/>
      <c r="AG273" s="36"/>
      <c r="AH273" s="36"/>
      <c r="AI273" s="36"/>
      <c r="AJ273" s="36"/>
      <c r="AK273" s="36"/>
      <c r="AL273" s="242"/>
      <c r="AM273" s="36"/>
      <c r="AN273" s="36"/>
    </row>
    <row r="274" spans="6:40" ht="15" customHeight="1" outlineLevel="1">
      <c r="F274" s="52"/>
      <c r="G274" s="52" t="s">
        <v>145</v>
      </c>
      <c r="H274" s="824"/>
      <c r="I274" s="824"/>
      <c r="J274" s="824"/>
      <c r="K274" s="824">
        <f ca="1">IFERROR(ROUNDUP(((K273*INDEX(INDIRECT("'"&amp;$H$3&amp;"'!$H$43:$H$78"),MATCH(INDIRECT("'"&amp;$H$3&amp;"'!K200")&amp;"Average duration (hrs) per trip",INDIRECT("'"&amp;$H$3&amp;"'!$F$43:$F$78"),0)))+(K268*((1/60)*(INDIRECT("'"&amp;$H$3&amp;"'!K213")+INDIRECT("'"&amp;$H$3&amp;"'!$H$19")*(INDIRECT("'"&amp;$H$3&amp;"'!K214")+(INDIRECT("'"&amp;$H$3&amp;"'!K215")*('1_Outputs'!K$52/INDIRECT("'"&amp;$H$3&amp;"'!K$96")/INDIRECT("'"&amp;$H$3&amp;"'!$H$19"))))))))/INDIRECT("'"&amp;$H$3&amp;"'!$H$10"),0),0)</f>
        <v>0</v>
      </c>
      <c r="L274" s="824"/>
      <c r="M274" s="824"/>
      <c r="N274" s="824">
        <f ca="1">IFERROR(ROUNDUP(((N273*INDEX(INDIRECT("'"&amp;$H$3&amp;"'!$H$43:$H$78"),MATCH(INDIRECT("'"&amp;$H$3&amp;"'!N200")&amp;"Average duration (hrs) per trip",INDIRECT("'"&amp;$H$3&amp;"'!$F$43:$F$78"),0)))+(N268*((1/60)*(INDIRECT("'"&amp;$H$3&amp;"'!N213")+INDIRECT("'"&amp;$H$3&amp;"'!$H$19")*(INDIRECT("'"&amp;$H$3&amp;"'!N214")+(INDIRECT("'"&amp;$H$3&amp;"'!N215")*('1_Outputs'!N$52/INDIRECT("'"&amp;$H$3&amp;"'!N$96")/INDIRECT("'"&amp;$H$3&amp;"'!$H$19"))))))))/INDIRECT("'"&amp;$H$3&amp;"'!$H$10"),0),0)</f>
        <v>0</v>
      </c>
      <c r="O274" s="824"/>
      <c r="P274" s="824"/>
      <c r="Q274" s="824">
        <f ca="1">IFERROR(ROUNDUP(((Q273*INDEX(INDIRECT("'"&amp;$H$3&amp;"'!$H$43:$H$78"),MATCH(INDIRECT("'"&amp;$H$3&amp;"'!Q200")&amp;"Average duration (hrs) per trip",INDIRECT("'"&amp;$H$3&amp;"'!$F$43:$F$78"),0)))+(Q268*((1/60)*(INDIRECT("'"&amp;$H$3&amp;"'!Q213")+INDIRECT("'"&amp;$H$3&amp;"'!$H$19")*(INDIRECT("'"&amp;$H$3&amp;"'!Q214")+(INDIRECT("'"&amp;$H$3&amp;"'!Q215")*('1_Outputs'!Q$52/INDIRECT("'"&amp;$H$3&amp;"'!Q$96")/INDIRECT("'"&amp;$H$3&amp;"'!$H$19"))))))))/INDIRECT("'"&amp;$H$3&amp;"'!$H$10"),0),0)</f>
        <v>0</v>
      </c>
      <c r="R274" s="1667"/>
      <c r="S274" s="1667"/>
      <c r="T274" s="824">
        <f ca="1">IFERROR(ROUNDUP(((T273*INDEX(INDIRECT("'"&amp;$H$3&amp;"'!$H$43:$H$78"),MATCH(INDIRECT("'"&amp;$H$3&amp;"'!T200")&amp;"Average duration (hrs) per trip",INDIRECT("'"&amp;$H$3&amp;"'!$F$43:$F$78"),0)))+(T268*((1/60)*(INDIRECT("'"&amp;$H$3&amp;"'!T213")+INDIRECT("'"&amp;$H$3&amp;"'!$H$19")*(INDIRECT("'"&amp;$H$3&amp;"'!T214")+(INDIRECT("'"&amp;$H$3&amp;"'!T215")*('1_Outputs'!T$52/INDIRECT("'"&amp;$H$3&amp;"'!T$96")/INDIRECT("'"&amp;$H$3&amp;"'!$H$19"))))))))/INDIRECT("'"&amp;$H$3&amp;"'!$H$10"),0),0)</f>
        <v>0</v>
      </c>
      <c r="U274" s="1667"/>
      <c r="V274" s="1667"/>
      <c r="W274" s="824">
        <f ca="1">IFERROR(ROUNDUP(((W273*INDEX(INDIRECT("'"&amp;$H$3&amp;"'!$H$43:$H$78"),MATCH(INDIRECT("'"&amp;$H$3&amp;"'!W200")&amp;"Average duration (hrs) per trip",INDIRECT("'"&amp;$H$3&amp;"'!$F$43:$F$78"),0)))+(W268*((1/60)*(INDIRECT("'"&amp;$H$3&amp;"'!W213")+INDIRECT("'"&amp;$H$3&amp;"'!$H$19")*(INDIRECT("'"&amp;$H$3&amp;"'!W214")+(INDIRECT("'"&amp;$H$3&amp;"'!W215")*('1_Outputs'!W$52/INDIRECT("'"&amp;$H$3&amp;"'!W$96")/INDIRECT("'"&amp;$H$3&amp;"'!$H$19"))))))))/INDIRECT("'"&amp;$H$3&amp;"'!$H$10"),0),0)</f>
        <v>0</v>
      </c>
      <c r="X274" s="1478"/>
      <c r="Y274" s="36"/>
      <c r="Z274" s="36"/>
      <c r="AA274" s="36"/>
      <c r="AB274" s="36"/>
      <c r="AC274" s="36"/>
      <c r="AD274" s="36"/>
      <c r="AE274" s="36"/>
      <c r="AF274" s="36"/>
      <c r="AG274" s="36"/>
      <c r="AH274" s="36"/>
      <c r="AI274" s="36"/>
      <c r="AJ274" s="36"/>
      <c r="AK274" s="36"/>
      <c r="AL274" s="242"/>
      <c r="AM274" s="36"/>
      <c r="AN274" s="36"/>
    </row>
    <row r="275" spans="6:40" ht="15" customHeight="1" outlineLevel="1">
      <c r="F275" s="52"/>
      <c r="G275" s="1669" t="s">
        <v>840</v>
      </c>
      <c r="H275" s="829"/>
      <c r="I275" s="829"/>
      <c r="J275" s="829"/>
      <c r="K275" s="829"/>
      <c r="L275" s="829"/>
      <c r="M275" s="829"/>
      <c r="N275" s="829"/>
      <c r="O275" s="829"/>
      <c r="P275" s="829"/>
      <c r="Q275" s="829"/>
      <c r="R275" s="1667"/>
      <c r="S275" s="1667"/>
      <c r="T275" s="829"/>
      <c r="U275" s="1667"/>
      <c r="V275" s="1667"/>
      <c r="W275" s="829"/>
      <c r="X275" s="1477"/>
      <c r="Y275" s="36"/>
      <c r="Z275" s="36"/>
      <c r="AA275" s="36"/>
      <c r="AB275" s="36"/>
      <c r="AC275" s="36"/>
      <c r="AD275" s="36"/>
      <c r="AE275" s="36"/>
      <c r="AF275" s="36"/>
      <c r="AG275" s="36"/>
      <c r="AH275" s="36"/>
      <c r="AI275" s="36"/>
      <c r="AJ275" s="36"/>
      <c r="AK275" s="36"/>
      <c r="AL275" s="242"/>
      <c r="AM275" s="36"/>
      <c r="AN275" s="36"/>
    </row>
    <row r="276" spans="6:40" ht="15" customHeight="1" outlineLevel="1">
      <c r="F276" s="52"/>
      <c r="G276" s="52" t="s">
        <v>144</v>
      </c>
      <c r="H276" s="824"/>
      <c r="I276" s="824"/>
      <c r="J276" s="824"/>
      <c r="K276" s="824">
        <f ca="1">K268*2</f>
        <v>0</v>
      </c>
      <c r="L276" s="824"/>
      <c r="M276" s="824"/>
      <c r="N276" s="824">
        <f ca="1">N268*2</f>
        <v>0</v>
      </c>
      <c r="O276" s="824"/>
      <c r="P276" s="824"/>
      <c r="Q276" s="824">
        <f ca="1">Q268*2</f>
        <v>0</v>
      </c>
      <c r="R276" s="1667"/>
      <c r="S276" s="1667"/>
      <c r="T276" s="824">
        <f ca="1">T268*2</f>
        <v>0</v>
      </c>
      <c r="U276" s="1667"/>
      <c r="V276" s="1667"/>
      <c r="W276" s="824">
        <f ca="1">W268*2</f>
        <v>0</v>
      </c>
      <c r="X276" s="1478"/>
      <c r="Y276" s="36"/>
      <c r="Z276" s="36"/>
      <c r="AA276" s="36"/>
      <c r="AB276" s="36"/>
      <c r="AC276" s="36"/>
      <c r="AD276" s="36"/>
      <c r="AE276" s="36"/>
      <c r="AF276" s="36"/>
      <c r="AG276" s="36"/>
      <c r="AH276" s="36"/>
      <c r="AI276" s="36"/>
      <c r="AJ276" s="36"/>
      <c r="AK276" s="36"/>
      <c r="AL276" s="36"/>
      <c r="AM276" s="36"/>
      <c r="AN276" s="36"/>
    </row>
    <row r="277" spans="6:40" ht="15" customHeight="1" outlineLevel="1">
      <c r="F277" s="52"/>
      <c r="G277" s="52" t="s">
        <v>145</v>
      </c>
      <c r="H277" s="822"/>
      <c r="I277" s="822"/>
      <c r="J277" s="822"/>
      <c r="K277" s="822">
        <f ca="1">IFERROR(MAX(K268,ROUNDUP(((K276*INDEX(INDIRECT("'"&amp;$H$3&amp;"'!$H$43:$H$78"),MATCH(INDIRECT("'"&amp;$H$3&amp;"'!K200")&amp;"Average duration (hrs) per trip",INDIRECT("'"&amp;$H$3&amp;"'!$F$43:$F$78"),0)))+(K268*((1/60)*(INDIRECT("'"&amp;$H$3&amp;"'!K213")+INDIRECT("'"&amp;$H$3&amp;"'!$H$19")*(INDIRECT("'"&amp;$H$3&amp;"'!K214")+(INDIRECT("'"&amp;$H$3&amp;"'!K215")*('1_Outputs'!K$52/INDIRECT("'"&amp;$H$3&amp;"'!K$96")/INDIRECT("'"&amp;$H$3&amp;"'!$H$19"))))))))/INDIRECT("'"&amp;$H$3&amp;"'!$H$10"),0)),0)</f>
        <v>0</v>
      </c>
      <c r="L277" s="822"/>
      <c r="M277" s="822"/>
      <c r="N277" s="822">
        <f ca="1">IFERROR(MAX(N268,ROUNDUP(((N276*INDEX(INDIRECT("'"&amp;$H$3&amp;"'!$H$43:$H$78"),MATCH(INDIRECT("'"&amp;$H$3&amp;"'!N200")&amp;"Average duration (hrs) per trip",INDIRECT("'"&amp;$H$3&amp;"'!$F$43:$F$78"),0)))+(N268*((1/60)*(INDIRECT("'"&amp;$H$3&amp;"'!N213")+INDIRECT("'"&amp;$H$3&amp;"'!$H$19")*(INDIRECT("'"&amp;$H$3&amp;"'!N214")+(INDIRECT("'"&amp;$H$3&amp;"'!N215")*('1_Outputs'!N$52/INDIRECT("'"&amp;$H$3&amp;"'!N$96")/INDIRECT("'"&amp;$H$3&amp;"'!$H$19"))))))))/INDIRECT("'"&amp;$H$3&amp;"'!$H$10"),0)),0)</f>
        <v>0</v>
      </c>
      <c r="O277" s="822"/>
      <c r="P277" s="822"/>
      <c r="Q277" s="822">
        <f ca="1">IFERROR(MAX(Q268,ROUNDUP(((Q276*INDEX(INDIRECT("'"&amp;$H$3&amp;"'!$H$43:$H$78"),MATCH(INDIRECT("'"&amp;$H$3&amp;"'!Q200")&amp;"Average duration (hrs) per trip",INDIRECT("'"&amp;$H$3&amp;"'!$F$43:$F$78"),0)))+(Q268*((1/60)*(INDIRECT("'"&amp;$H$3&amp;"'!Q213")+INDIRECT("'"&amp;$H$3&amp;"'!$H$19")*(INDIRECT("'"&amp;$H$3&amp;"'!Q214")+(INDIRECT("'"&amp;$H$3&amp;"'!Q215")*('1_Outputs'!Q$52/INDIRECT("'"&amp;$H$3&amp;"'!Q$96")/INDIRECT("'"&amp;$H$3&amp;"'!$H$19"))))))))/INDIRECT("'"&amp;$H$3&amp;"'!$H$10"),0)),0)</f>
        <v>0</v>
      </c>
      <c r="R277" s="1670"/>
      <c r="S277" s="1670"/>
      <c r="T277" s="822">
        <f ca="1">IFERROR(MAX(T268,ROUNDUP(((T276*INDEX(INDIRECT("'"&amp;$H$3&amp;"'!$H$43:$H$78"),MATCH(INDIRECT("'"&amp;$H$3&amp;"'!T200")&amp;"Average duration (hrs) per trip",INDIRECT("'"&amp;$H$3&amp;"'!$F$43:$F$78"),0)))+(T268*((1/60)*(INDIRECT("'"&amp;$H$3&amp;"'!T213")+INDIRECT("'"&amp;$H$3&amp;"'!$H$19")*(INDIRECT("'"&amp;$H$3&amp;"'!T214")+(INDIRECT("'"&amp;$H$3&amp;"'!T215")*('1_Outputs'!T$52/INDIRECT("'"&amp;$H$3&amp;"'!T$96")/INDIRECT("'"&amp;$H$3&amp;"'!$H$19"))))))))/INDIRECT("'"&amp;$H$3&amp;"'!$H$10"),0)),0)</f>
        <v>0</v>
      </c>
      <c r="U277" s="1670"/>
      <c r="V277" s="1670"/>
      <c r="W277" s="822">
        <f ca="1">IFERROR(MAX(W268,ROUNDUP(((W276*INDEX(INDIRECT("'"&amp;$H$3&amp;"'!$H$43:$H$78"),MATCH(INDIRECT("'"&amp;$H$3&amp;"'!W200")&amp;"Average duration (hrs) per trip",INDIRECT("'"&amp;$H$3&amp;"'!$F$43:$F$78"),0)))+(W268*((1/60)*(INDIRECT("'"&amp;$H$3&amp;"'!W213")+INDIRECT("'"&amp;$H$3&amp;"'!$H$19")*(INDIRECT("'"&amp;$H$3&amp;"'!W214")+(INDIRECT("'"&amp;$H$3&amp;"'!W215")*('1_Outputs'!W$52/INDIRECT("'"&amp;$H$3&amp;"'!W$96")/INDIRECT("'"&amp;$H$3&amp;"'!$H$19"))))))))/INDIRECT("'"&amp;$H$3&amp;"'!$H$10"),0)),0)</f>
        <v>0</v>
      </c>
      <c r="X277" s="1475"/>
      <c r="Y277" s="36"/>
      <c r="Z277" s="36"/>
      <c r="AA277" s="36"/>
      <c r="AB277" s="36"/>
      <c r="AC277" s="36"/>
      <c r="AD277" s="36"/>
      <c r="AE277" s="36"/>
      <c r="AF277" s="36"/>
      <c r="AG277" s="36"/>
      <c r="AH277" s="36"/>
      <c r="AI277" s="36"/>
      <c r="AJ277" s="36"/>
      <c r="AK277" s="36"/>
      <c r="AL277" s="36"/>
      <c r="AM277" s="36"/>
      <c r="AN277" s="36"/>
    </row>
    <row r="278" spans="6:40" ht="15" customHeight="1" outlineLevel="1">
      <c r="F278" s="1664" t="s">
        <v>148</v>
      </c>
      <c r="G278" s="1664"/>
      <c r="H278" s="1671"/>
      <c r="I278" s="1671"/>
      <c r="J278" s="1671"/>
      <c r="K278" s="1671"/>
      <c r="L278" s="1671"/>
      <c r="M278" s="1671"/>
      <c r="N278" s="1671"/>
      <c r="O278" s="1671"/>
      <c r="P278" s="1671"/>
      <c r="Q278" s="1671"/>
      <c r="R278" s="1672"/>
      <c r="S278" s="1672"/>
      <c r="T278" s="1671"/>
      <c r="U278" s="1672"/>
      <c r="V278" s="1672"/>
      <c r="W278" s="1671"/>
      <c r="X278" s="1479"/>
      <c r="Y278" s="36"/>
      <c r="Z278" s="36"/>
      <c r="AA278" s="36"/>
      <c r="AB278" s="36"/>
      <c r="AC278" s="36"/>
      <c r="AD278" s="36"/>
      <c r="AE278" s="36"/>
      <c r="AF278" s="36"/>
      <c r="AG278" s="36"/>
      <c r="AH278" s="36"/>
      <c r="AI278" s="36"/>
      <c r="AJ278" s="36"/>
      <c r="AK278" s="242"/>
      <c r="AL278" s="36"/>
      <c r="AM278" s="36"/>
      <c r="AN278" s="36"/>
    </row>
    <row r="279" spans="6:40" ht="15" customHeight="1" outlineLevel="1">
      <c r="F279" s="86"/>
      <c r="G279" s="51" t="s">
        <v>151</v>
      </c>
      <c r="H279" s="826"/>
      <c r="I279" s="826"/>
      <c r="J279" s="826"/>
      <c r="K279" s="836">
        <f ca="1">IFERROR(IF(COUNTIF(INDIRECT("'"&amp;$H$3&amp;"'!K200"),"Public Transport*")&lt;1,ROUND(INDIRECT("'"&amp;$H$3&amp;"'!K$95")*INDIRECT("'"&amp;$H$3&amp;"'!K199"),0),0),0)</f>
        <v>0</v>
      </c>
      <c r="L279" s="826"/>
      <c r="M279" s="826"/>
      <c r="N279" s="836">
        <f ca="1">IFERROR(IF(COUNTIF(INDIRECT("'"&amp;$H$3&amp;"'!N200"),"Public Transport*")&lt;1,ROUND(INDIRECT("'"&amp;$H$3&amp;"'!N$95")*INDIRECT("'"&amp;$H$3&amp;"'!N199"),0),0),0)</f>
        <v>345</v>
      </c>
      <c r="O279" s="826"/>
      <c r="P279" s="826"/>
      <c r="Q279" s="826">
        <f ca="1">IFERROR(IF(COUNTIF(INDIRECT("'"&amp;$H$3&amp;"'!Q200"),"Public Transport*")&lt;1,ROUND(INDIRECT("'"&amp;$H$3&amp;"'!Q$95")*INDIRECT("'"&amp;$H$3&amp;"'!Q199"),0),0),0)</f>
        <v>0</v>
      </c>
      <c r="R279" s="1672"/>
      <c r="S279" s="1672"/>
      <c r="T279" s="826">
        <f ca="1">IFERROR(IF(COUNTIF(INDIRECT("'"&amp;$H$3&amp;"'!T200"),"Public Transport*")&lt;1,ROUND(INDIRECT("'"&amp;$H$3&amp;"'!T$95")*INDIRECT("'"&amp;$H$3&amp;"'!T199"),0),0),0)</f>
        <v>0</v>
      </c>
      <c r="U279" s="1672"/>
      <c r="V279" s="1672"/>
      <c r="W279" s="826">
        <f ca="1">IFERROR(IF(COUNTIF(INDIRECT("'"&amp;$H$3&amp;"'!W200"),"Public Transport*")&lt;1,ROUND(INDIRECT("'"&amp;$H$3&amp;"'!W$95")*INDIRECT("'"&amp;$H$3&amp;"'!W199"),0),0),0)</f>
        <v>0</v>
      </c>
      <c r="X279" s="1480"/>
      <c r="Y279" s="36"/>
      <c r="Z279" s="36"/>
      <c r="AA279" s="36"/>
      <c r="AB279" s="36"/>
      <c r="AC279" s="36"/>
      <c r="AD279" s="36"/>
      <c r="AE279" s="36"/>
      <c r="AF279" s="36"/>
      <c r="AG279" s="36"/>
      <c r="AH279" s="36"/>
      <c r="AI279" s="36"/>
      <c r="AJ279" s="36"/>
      <c r="AK279" s="242"/>
      <c r="AL279" s="36"/>
      <c r="AM279" s="36"/>
      <c r="AN279" s="36"/>
    </row>
    <row r="280" spans="6:40" ht="15" customHeight="1" outlineLevel="1">
      <c r="F280" s="52"/>
      <c r="G280" s="51" t="s">
        <v>85</v>
      </c>
      <c r="H280" s="827"/>
      <c r="I280" s="827"/>
      <c r="J280" s="827"/>
      <c r="K280" s="837">
        <f ca="1">IFERROR(IF(INDIRECT("'"&amp;$H$3&amp;"'!K208")="Route-based",K285*K286,IF(INDIRECT("'"&amp;$H$3&amp;"'!K208")="Point-to-point",K290*K291,0)),0)</f>
        <v>0</v>
      </c>
      <c r="L280" s="827"/>
      <c r="M280" s="827"/>
      <c r="N280" s="837">
        <f ca="1">IFERROR(IF(INDIRECT("'"&amp;$H$3&amp;"'!N208")="Route-based",N285*N286,IF(INDIRECT("'"&amp;$H$3&amp;"'!N208")="Point-to-point",N290*N291,0)),0)</f>
        <v>241183.33871043762</v>
      </c>
      <c r="O280" s="827"/>
      <c r="P280" s="827"/>
      <c r="Q280" s="827">
        <f ca="1">IFERROR(IF(INDIRECT("'"&amp;$H$3&amp;"'!Q208")="Route-based",Q285*Q286,IF(INDIRECT("'"&amp;$H$3&amp;"'!Q208")="Point-to-point",Q290*Q291,0)),0)</f>
        <v>0</v>
      </c>
      <c r="R280" s="1670"/>
      <c r="S280" s="1670"/>
      <c r="T280" s="827">
        <f ca="1">IFERROR(IF(INDIRECT("'"&amp;$H$3&amp;"'!T208")="Route-based",T285*T286,IF(INDIRECT("'"&amp;$H$3&amp;"'!T208")="Point-to-point",T290*T291,0)),0)</f>
        <v>0</v>
      </c>
      <c r="U280" s="1670"/>
      <c r="V280" s="1670"/>
      <c r="W280" s="827">
        <f ca="1">IFERROR(IF(INDIRECT("'"&amp;$H$3&amp;"'!W208")="Route-based",W285*W286,IF(INDIRECT("'"&amp;$H$3&amp;"'!W208")="Point-to-point",W290*W291,0)),0)</f>
        <v>0</v>
      </c>
      <c r="X280" s="1481"/>
      <c r="Y280" s="36"/>
      <c r="Z280" s="36"/>
      <c r="AA280" s="36"/>
      <c r="AB280" s="36"/>
      <c r="AC280" s="36"/>
      <c r="AD280" s="36"/>
      <c r="AE280" s="36" t="s">
        <v>202</v>
      </c>
      <c r="AF280" s="36"/>
      <c r="AG280" s="36"/>
      <c r="AH280" s="36"/>
      <c r="AI280" s="36"/>
      <c r="AJ280" s="36"/>
      <c r="AK280" s="242"/>
      <c r="AL280" s="36"/>
      <c r="AM280" s="36"/>
      <c r="AN280" s="36"/>
    </row>
    <row r="281" spans="6:40" ht="15" customHeight="1" outlineLevel="1">
      <c r="F281" s="52"/>
      <c r="G281" s="51" t="s">
        <v>59</v>
      </c>
      <c r="H281" s="828"/>
      <c r="I281" s="828"/>
      <c r="J281" s="828"/>
      <c r="K281" s="837">
        <f ca="1">IFERROR(IF(INDIRECT("'"&amp;$H$3&amp;"'!K208")="Route-based",ROUND(K285*K287/INDIRECT("'"&amp;$H$3&amp;"'!$H$10"),0),IF(INDIRECT("'"&amp;$H$3&amp;"'!K208")="Point-to-point",ROUND(((K279*INDIRECT("'"&amp;$H$3&amp;"'!K$96")*((1/60)*(INDIRECT("'"&amp;$H$3&amp;"'!K213")+INDIRECT("'"&amp;$H$3&amp;"'!$H$19")*(INDIRECT("'"&amp;$H$3&amp;"'!K214")+(INDIRECT("'"&amp;$H$3&amp;"'!K215")*('1_Outputs'!K$52/INDIRECT("'"&amp;$H$3&amp;"'!K$96")/INDIRECT("'"&amp;$H$3&amp;"'!$H$19")))))))+(K280/INDIRECT("'"&amp;$H$3&amp;"'!K217")))/INDIRECT("'"&amp;$H$3&amp;"'!$H$10"),0),0)),0)</f>
        <v>0</v>
      </c>
      <c r="L281" s="828"/>
      <c r="M281" s="828"/>
      <c r="N281" s="837">
        <f ca="1">IFERROR(IF(INDIRECT("'"&amp;$H$3&amp;"'!N208")="Route-based",ROUND(N285*N287/INDIRECT("'"&amp;$H$3&amp;"'!$H$10"),0),IF(INDIRECT("'"&amp;$H$3&amp;"'!N208")="Point-to-point",ROUND(((N279*INDIRECT("'"&amp;$H$3&amp;"'!N$96")*((1/60)*(INDIRECT("'"&amp;$H$3&amp;"'!N213")+INDIRECT("'"&amp;$H$3&amp;"'!$H$19")*(INDIRECT("'"&amp;$H$3&amp;"'!N214")+(INDIRECT("'"&amp;$H$3&amp;"'!N215")*('1_Outputs'!N$52/INDIRECT("'"&amp;$H$3&amp;"'!N$96")/INDIRECT("'"&amp;$H$3&amp;"'!$H$19")))))))+(N280/INDIRECT("'"&amp;$H$3&amp;"'!N217")))/INDIRECT("'"&amp;$H$3&amp;"'!$H$10"),0),0)),0)</f>
        <v>941</v>
      </c>
      <c r="O281" s="828"/>
      <c r="P281" s="828"/>
      <c r="Q281" s="828">
        <f ca="1">IFERROR(IF(INDIRECT("'"&amp;$H$3&amp;"'!Q208")="Route-based",ROUND(Q285*Q287/INDIRECT("'"&amp;$H$3&amp;"'!$H$10"),0),IF(INDIRECT("'"&amp;$H$3&amp;"'!Q208")="Point-to-point",ROUND(((Q279*INDIRECT("'"&amp;$H$3&amp;"'!Q$96")*((1/60)*(INDIRECT("'"&amp;$H$3&amp;"'!Q213")+INDIRECT("'"&amp;$H$3&amp;"'!$H$19")*(INDIRECT("'"&amp;$H$3&amp;"'!Q214")+(INDIRECT("'"&amp;$H$3&amp;"'!Q215")*('1_Outputs'!Q$52/INDIRECT("'"&amp;$H$3&amp;"'!Q$96")/INDIRECT("'"&amp;$H$3&amp;"'!$H$19")))))))+(Q280/INDIRECT("'"&amp;$H$3&amp;"'!Q217")))/INDIRECT("'"&amp;$H$3&amp;"'!$H$10"),0),0)),0)</f>
        <v>0</v>
      </c>
      <c r="R281" s="828"/>
      <c r="S281" s="828"/>
      <c r="T281" s="828">
        <f ca="1">IFERROR(IF(INDIRECT("'"&amp;$H$3&amp;"'!T208")="Route-based",ROUND(T285*T287/INDIRECT("'"&amp;$H$3&amp;"'!$H$10"),0),IF(INDIRECT("'"&amp;$H$3&amp;"'!T208")="Point-to-point",ROUND(((T279*INDIRECT("'"&amp;$H$3&amp;"'!T$96")*((1/60)*(INDIRECT("'"&amp;$H$3&amp;"'!T213")+INDIRECT("'"&amp;$H$3&amp;"'!$H$19")*(INDIRECT("'"&amp;$H$3&amp;"'!T214")+(INDIRECT("'"&amp;$H$3&amp;"'!T215")*('1_Outputs'!T$52/INDIRECT("'"&amp;$H$3&amp;"'!T$96")/INDIRECT("'"&amp;$H$3&amp;"'!$H$19")))))))+(T280/INDIRECT("'"&amp;$H$3&amp;"'!T217")))/INDIRECT("'"&amp;$H$3&amp;"'!$H$10"),0),0)),0)</f>
        <v>0</v>
      </c>
      <c r="U281" s="828"/>
      <c r="V281" s="828"/>
      <c r="W281" s="828">
        <f ca="1">IFERROR(IF(INDIRECT("'"&amp;$H$3&amp;"'!W208")="Route-based",ROUND(W285*W287/INDIRECT("'"&amp;$H$3&amp;"'!$H$10"),0),IF(INDIRECT("'"&amp;$H$3&amp;"'!W208")="Point-to-point",ROUND(((W279*INDIRECT("'"&amp;$H$3&amp;"'!W$96")*((1/60)*(INDIRECT("'"&amp;$H$3&amp;"'!W213")+INDIRECT("'"&amp;$H$3&amp;"'!$H$19")*(INDIRECT("'"&amp;$H$3&amp;"'!W214")+(INDIRECT("'"&amp;$H$3&amp;"'!W215")*('1_Outputs'!W$52/INDIRECT("'"&amp;$H$3&amp;"'!W$96")/INDIRECT("'"&amp;$H$3&amp;"'!$H$19")))))))+(W280/INDIRECT("'"&amp;$H$3&amp;"'!W217")))/INDIRECT("'"&amp;$H$3&amp;"'!$H$10"),0),0)),0)</f>
        <v>0</v>
      </c>
      <c r="X281" s="1482"/>
      <c r="Y281" s="36"/>
      <c r="Z281" s="36"/>
      <c r="AA281" s="36"/>
      <c r="AB281" s="36"/>
      <c r="AC281" s="36"/>
      <c r="AD281" s="36"/>
      <c r="AE281" s="36" t="s">
        <v>202</v>
      </c>
      <c r="AF281" s="36"/>
      <c r="AG281" s="36"/>
      <c r="AH281" s="36"/>
      <c r="AI281" s="36"/>
      <c r="AJ281" s="36"/>
      <c r="AK281" s="242"/>
      <c r="AL281" s="36"/>
      <c r="AM281" s="36"/>
      <c r="AN281" s="36"/>
    </row>
    <row r="282" spans="6:40" ht="15" customHeight="1" outlineLevel="1">
      <c r="F282" s="52"/>
      <c r="G282" s="51" t="s">
        <v>86</v>
      </c>
      <c r="H282" s="830"/>
      <c r="I282" s="830"/>
      <c r="J282" s="830"/>
      <c r="K282" s="839">
        <f ca="1">IFERROR(IF(INDIRECT("'"&amp;$H$3&amp;"'!K208")="Route-based",IF(INDIRECT("'"&amp;$H$3&amp;"'!K205")="Yes",K173, IF(INDIRECT("'"&amp;$H$3&amp;"'!K205")="No",K281/(INDIRECT("'"&amp;$H$3&amp;"'!$H$9")*INDIRECT("'"&amp;$H$3&amp;"'!K204")))),
IF(INDIRECT("'"&amp;$H$3&amp;"'!K208")="Point-to-point",IF(INDIRECT("'"&amp;$H$3&amp;"'!K205")="Yes",K173,IF(INDIRECT("'"&amp;$H$3&amp;"'!K205")="No",K281/(INDIRECT("'"&amp;$H$3&amp;"'!$H$9")*INDIRECT("'"&amp;$H$3&amp;"'!K204")))),0)),0)</f>
        <v>0</v>
      </c>
      <c r="L282" s="830"/>
      <c r="M282" s="830"/>
      <c r="N282" s="839">
        <f ca="1">IFERROR(IF(INDIRECT("'"&amp;$H$3&amp;"'!N208")="Route-based",IF(INDIRECT("'"&amp;$H$3&amp;"'!N205")="Yes",N173, IF(INDIRECT("'"&amp;$H$3&amp;"'!N205")="No",N281/(INDIRECT("'"&amp;$H$3&amp;"'!$H$9")*INDIRECT("'"&amp;$H$3&amp;"'!N204")))),
IF(INDIRECT("'"&amp;$H$3&amp;"'!N208")="Point-to-point",IF(INDIRECT("'"&amp;$H$3&amp;"'!N205")="Yes",N173,IF(INDIRECT("'"&amp;$H$3&amp;"'!N205")="No",N281/(INDIRECT("'"&amp;$H$3&amp;"'!$H$9")*INDIRECT("'"&amp;$H$3&amp;"'!N204")))),0)),0)</f>
        <v>0.78416666666666668</v>
      </c>
      <c r="O282" s="830"/>
      <c r="P282" s="830"/>
      <c r="Q282" s="830">
        <f ca="1">IFERROR(IF(INDIRECT("'"&amp;$H$3&amp;"'!Q208")="Route-based",IF(INDIRECT("'"&amp;$H$3&amp;"'!Q205")="Yes",Q173, IF(INDIRECT("'"&amp;$H$3&amp;"'!Q205")="No",Q281/(INDIRECT("'"&amp;$H$3&amp;"'!$H$9")*INDIRECT("'"&amp;$H$3&amp;"'!Q204")))),
IF(INDIRECT("'"&amp;$H$3&amp;"'!Q208")="Point-to-point",IF(INDIRECT("'"&amp;$H$3&amp;"'!Q205")="Yes",Q173,IF(INDIRECT("'"&amp;$H$3&amp;"'!Q205")="No",Q281/(INDIRECT("'"&amp;$H$3&amp;"'!$H$9")*INDIRECT("'"&amp;$H$3&amp;"'!Q204")))),0)),0)</f>
        <v>0</v>
      </c>
      <c r="R282" s="830"/>
      <c r="S282" s="830"/>
      <c r="T282" s="830">
        <f ca="1">IFERROR(IF(INDIRECT("'"&amp;$H$3&amp;"'!T208")="Route-based",IF(INDIRECT("'"&amp;$H$3&amp;"'!T205")="Yes",T173, IF(INDIRECT("'"&amp;$H$3&amp;"'!T205")="No",T281/(INDIRECT("'"&amp;$H$3&amp;"'!$H$9")*INDIRECT("'"&amp;$H$3&amp;"'!T204")))),
IF(INDIRECT("'"&amp;$H$3&amp;"'!T208")="Point-to-point",IF(INDIRECT("'"&amp;$H$3&amp;"'!T205")="Yes",T173,IF(INDIRECT("'"&amp;$H$3&amp;"'!T205")="No",T281/(INDIRECT("'"&amp;$H$3&amp;"'!$H$9")*INDIRECT("'"&amp;$H$3&amp;"'!T204")))),0)),0)</f>
        <v>0</v>
      </c>
      <c r="U282" s="830"/>
      <c r="V282" s="830"/>
      <c r="W282" s="830">
        <f ca="1">IFERROR(IF(INDIRECT("'"&amp;$H$3&amp;"'!W208")="Route-based",IF(INDIRECT("'"&amp;$H$3&amp;"'!W205")="Yes",W173, IF(INDIRECT("'"&amp;$H$3&amp;"'!W205")="No",W281/(INDIRECT("'"&amp;$H$3&amp;"'!$H$9")*INDIRECT("'"&amp;$H$3&amp;"'!W204")))),
IF(INDIRECT("'"&amp;$H$3&amp;"'!W208")="Point-to-point",IF(INDIRECT("'"&amp;$H$3&amp;"'!W205")="Yes",W173,IF(INDIRECT("'"&amp;$H$3&amp;"'!W205")="No",W281/(INDIRECT("'"&amp;$H$3&amp;"'!$H$9")*INDIRECT("'"&amp;$H$3&amp;"'!W204")))),0)),0)</f>
        <v>0</v>
      </c>
      <c r="X282" s="1477"/>
      <c r="Y282" s="36"/>
      <c r="Z282" s="36"/>
      <c r="AA282" s="36"/>
      <c r="AB282" s="36"/>
      <c r="AC282" s="36"/>
      <c r="AD282" s="36"/>
      <c r="AE282" s="36" t="s">
        <v>202</v>
      </c>
      <c r="AF282" s="36"/>
      <c r="AG282" s="36"/>
      <c r="AH282" s="36"/>
      <c r="AI282" s="36"/>
      <c r="AJ282" s="36"/>
      <c r="AK282" s="36" t="s">
        <v>191</v>
      </c>
      <c r="AL282" s="36"/>
      <c r="AM282" s="36"/>
      <c r="AN282" s="36"/>
    </row>
    <row r="283" spans="6:40" ht="15" customHeight="1" outlineLevel="1" collapsed="1">
      <c r="F283" s="52"/>
      <c r="G283" s="1669" t="s">
        <v>133</v>
      </c>
      <c r="H283" s="829"/>
      <c r="I283" s="829"/>
      <c r="J283" s="829"/>
      <c r="K283" s="842"/>
      <c r="L283" s="829"/>
      <c r="M283" s="829"/>
      <c r="N283" s="842"/>
      <c r="O283" s="829"/>
      <c r="P283" s="829"/>
      <c r="Q283" s="829"/>
      <c r="R283" s="1670"/>
      <c r="S283" s="1670"/>
      <c r="T283" s="829"/>
      <c r="U283" s="1670"/>
      <c r="V283" s="1670"/>
      <c r="W283" s="829"/>
      <c r="X283" s="1477"/>
      <c r="Y283" s="36"/>
      <c r="Z283" s="36"/>
      <c r="AA283" s="36"/>
      <c r="AB283" s="36"/>
      <c r="AC283" s="36"/>
      <c r="AD283" s="36"/>
      <c r="AE283" s="36"/>
      <c r="AF283" s="36"/>
      <c r="AG283" s="36"/>
      <c r="AH283" s="36"/>
      <c r="AI283" s="36"/>
      <c r="AJ283" s="36"/>
      <c r="AK283" s="36"/>
      <c r="AL283" s="36"/>
      <c r="AM283" s="36"/>
      <c r="AN283" s="36"/>
    </row>
    <row r="284" spans="6:40" ht="15" customHeight="1" outlineLevel="1">
      <c r="F284" s="52"/>
      <c r="G284" s="52" t="s">
        <v>129</v>
      </c>
      <c r="H284" s="826"/>
      <c r="I284" s="826"/>
      <c r="J284" s="826"/>
      <c r="K284" s="836">
        <f ca="1">IFERROR(((INDIRECT("'"&amp;$H$3&amp;"'!K209")*INDIRECT("'"&amp;$H$3&amp;"'!$H$10"))-(2*INDIRECT("'"&amp;$H$3&amp;"'!K$98")/INDIRECT("'"&amp;$H$3&amp;"'!K217"))+(INDIRECT("'"&amp;$H$3&amp;"'!K$99")/INDIRECT("'"&amp;$H$3&amp;"'!K216")))/(((1/60)*(INDIRECT("'"&amp;$H$3&amp;"'!K213")+INDIRECT("'"&amp;$H$3&amp;"'!$H$19")*(INDIRECT("'"&amp;$H$3&amp;"'!K214")+(INDIRECT("'"&amp;$H$3&amp;"'!K215")*('1_Outputs'!K$52/INDIRECT("'"&amp;$H$3&amp;"'!K$96")/INDIRECT("'"&amp;$H$3&amp;"'!$H$19"))))))+(INDIRECT("'"&amp;$H$3&amp;"'!K$99")/INDIRECT("'"&amp;$H$3&amp;"'!K216"))),0)</f>
        <v>0</v>
      </c>
      <c r="L284" s="826"/>
      <c r="M284" s="826"/>
      <c r="N284" s="836">
        <f ca="1">IFERROR(((INDIRECT("'"&amp;$H$3&amp;"'!N209")*INDIRECT("'"&amp;$H$3&amp;"'!$H$10"))-(2*INDIRECT("'"&amp;$H$3&amp;"'!N$98")/INDIRECT("'"&amp;$H$3&amp;"'!N217"))+(INDIRECT("'"&amp;$H$3&amp;"'!N$99")/INDIRECT("'"&amp;$H$3&amp;"'!N216")))/(((1/60)*(INDIRECT("'"&amp;$H$3&amp;"'!N213")+INDIRECT("'"&amp;$H$3&amp;"'!$H$19")*(INDIRECT("'"&amp;$H$3&amp;"'!N214")+(INDIRECT("'"&amp;$H$3&amp;"'!N215")*('1_Outputs'!N$52/INDIRECT("'"&amp;$H$3&amp;"'!N$96")/INDIRECT("'"&amp;$H$3&amp;"'!$H$19"))))))+(INDIRECT("'"&amp;$H$3&amp;"'!N$99")/INDIRECT("'"&amp;$H$3&amp;"'!N216"))),0)</f>
        <v>1.4796746854959169</v>
      </c>
      <c r="O284" s="826"/>
      <c r="P284" s="826"/>
      <c r="Q284" s="826">
        <f ca="1">IFERROR(((INDIRECT("'"&amp;$H$3&amp;"'!Q209")*INDIRECT("'"&amp;$H$3&amp;"'!$H$10"))-(2*INDIRECT("'"&amp;$H$3&amp;"'!Q$98")/INDIRECT("'"&amp;$H$3&amp;"'!Q217"))+(INDIRECT("'"&amp;$H$3&amp;"'!Q$99")/INDIRECT("'"&amp;$H$3&amp;"'!Q216")))/(((1/60)*(INDIRECT("'"&amp;$H$3&amp;"'!Q213")+INDIRECT("'"&amp;$H$3&amp;"'!$H$19")*(INDIRECT("'"&amp;$H$3&amp;"'!Q214")+(INDIRECT("'"&amp;$H$3&amp;"'!Q215")*('1_Outputs'!Q$52/INDIRECT("'"&amp;$H$3&amp;"'!Q$96")/INDIRECT("'"&amp;$H$3&amp;"'!$H$19"))))))+(INDIRECT("'"&amp;$H$3&amp;"'!Q$99")/INDIRECT("'"&amp;$H$3&amp;"'!Q216"))),0)</f>
        <v>0</v>
      </c>
      <c r="R284" s="826"/>
      <c r="S284" s="826"/>
      <c r="T284" s="826">
        <f ca="1">IFERROR(((INDIRECT("'"&amp;$H$3&amp;"'!T209")*INDIRECT("'"&amp;$H$3&amp;"'!$H$10"))-(2*INDIRECT("'"&amp;$H$3&amp;"'!T$98")/INDIRECT("'"&amp;$H$3&amp;"'!T217"))+(INDIRECT("'"&amp;$H$3&amp;"'!T$99")/INDIRECT("'"&amp;$H$3&amp;"'!T216")))/(((1/60)*(INDIRECT("'"&amp;$H$3&amp;"'!T213")+INDIRECT("'"&amp;$H$3&amp;"'!$H$19")*(INDIRECT("'"&amp;$H$3&amp;"'!T214")+(INDIRECT("'"&amp;$H$3&amp;"'!T215")*('1_Outputs'!T$52/INDIRECT("'"&amp;$H$3&amp;"'!T$96")/INDIRECT("'"&amp;$H$3&amp;"'!$H$19"))))))+(INDIRECT("'"&amp;$H$3&amp;"'!T$99")/INDIRECT("'"&amp;$H$3&amp;"'!T216"))),0)</f>
        <v>0</v>
      </c>
      <c r="U284" s="826"/>
      <c r="V284" s="826"/>
      <c r="W284" s="826">
        <f ca="1">IFERROR(((INDIRECT("'"&amp;$H$3&amp;"'!W209")*INDIRECT("'"&amp;$H$3&amp;"'!$H$10"))-(2*INDIRECT("'"&amp;$H$3&amp;"'!W$98")/INDIRECT("'"&amp;$H$3&amp;"'!W217"))+(INDIRECT("'"&amp;$H$3&amp;"'!W$99")/INDIRECT("'"&amp;$H$3&amp;"'!W216")))/(((1/60)*(INDIRECT("'"&amp;$H$3&amp;"'!W213")+INDIRECT("'"&amp;$H$3&amp;"'!$H$19")*(INDIRECT("'"&amp;$H$3&amp;"'!W214")+(INDIRECT("'"&amp;$H$3&amp;"'!W215")*('1_Outputs'!W$52/INDIRECT("'"&amp;$H$3&amp;"'!W$96")/INDIRECT("'"&amp;$H$3&amp;"'!$H$19"))))))+(INDIRECT("'"&amp;$H$3&amp;"'!W$99")/INDIRECT("'"&amp;$H$3&amp;"'!W216"))),0)</f>
        <v>0</v>
      </c>
      <c r="X284" s="1480"/>
      <c r="Y284" s="36"/>
      <c r="Z284" s="36"/>
      <c r="AA284" s="36"/>
      <c r="AB284" s="36"/>
      <c r="AC284" s="36"/>
      <c r="AD284" s="36"/>
      <c r="AE284" s="36"/>
      <c r="AF284" s="36"/>
      <c r="AG284" s="36"/>
      <c r="AH284" s="36"/>
      <c r="AI284" s="36"/>
      <c r="AJ284" s="36"/>
      <c r="AK284" s="36"/>
      <c r="AL284" s="36"/>
      <c r="AM284" s="36"/>
      <c r="AN284" s="36"/>
    </row>
    <row r="285" spans="6:40" ht="15" customHeight="1" outlineLevel="1">
      <c r="F285" s="52"/>
      <c r="G285" s="52" t="s">
        <v>206</v>
      </c>
      <c r="H285" s="826"/>
      <c r="I285" s="826"/>
      <c r="J285" s="826"/>
      <c r="K285" s="836">
        <f ca="1">IFERROR(ROUND(K279*INDIRECT("'"&amp;$H$3&amp;"'!K$96")/K284,0),0)</f>
        <v>0</v>
      </c>
      <c r="L285" s="826"/>
      <c r="M285" s="826"/>
      <c r="N285" s="836">
        <f ca="1">IFERROR(ROUND(N279*INDIRECT("'"&amp;$H$3&amp;"'!N$96")/N284,0),0)</f>
        <v>933</v>
      </c>
      <c r="O285" s="826"/>
      <c r="P285" s="826"/>
      <c r="Q285" s="826">
        <f ca="1">IFERROR(ROUND(Q279*INDIRECT("'"&amp;$H$3&amp;"'!Q$96")/Q284,0),0)</f>
        <v>0</v>
      </c>
      <c r="R285" s="826"/>
      <c r="S285" s="826"/>
      <c r="T285" s="826">
        <f ca="1">IFERROR(ROUND(T279*INDIRECT("'"&amp;$H$3&amp;"'!T$96")/T284,0),0)</f>
        <v>0</v>
      </c>
      <c r="U285" s="826"/>
      <c r="V285" s="826"/>
      <c r="W285" s="826">
        <f ca="1">IFERROR(ROUND(W279*INDIRECT("'"&amp;$H$3&amp;"'!W$96")/W284,0),0)</f>
        <v>0</v>
      </c>
      <c r="X285" s="1480"/>
      <c r="Y285" s="36"/>
      <c r="Z285" s="36"/>
      <c r="AA285" s="36"/>
      <c r="AB285" s="36"/>
      <c r="AC285" s="36"/>
      <c r="AD285" s="36"/>
      <c r="AE285" s="36"/>
      <c r="AF285" s="36"/>
      <c r="AG285" s="36"/>
      <c r="AH285" s="36"/>
      <c r="AI285" s="36"/>
      <c r="AJ285" s="36"/>
      <c r="AK285" s="242"/>
      <c r="AL285" s="36"/>
      <c r="AM285" s="36"/>
      <c r="AN285" s="36"/>
    </row>
    <row r="286" spans="6:40" ht="15" customHeight="1" outlineLevel="1">
      <c r="F286" s="52"/>
      <c r="G286" s="52" t="s">
        <v>87</v>
      </c>
      <c r="H286" s="826"/>
      <c r="I286" s="826"/>
      <c r="J286" s="826"/>
      <c r="K286" s="836">
        <f ca="1">IFERROR(IF(K279=0,0,(2*INDIRECT("'"&amp;$H$3&amp;"'!K$98"))+((MAX(K284, 1)-1)*INDIRECT("'"&amp;$H$3&amp;"'!K$99"))),0)</f>
        <v>0</v>
      </c>
      <c r="L286" s="826"/>
      <c r="M286" s="826"/>
      <c r="N286" s="836">
        <f ca="1">IFERROR(IF(N279=0,0,(2*INDIRECT("'"&amp;$H$3&amp;"'!N$98"))+((MAX(N284, 1)-1)*INDIRECT("'"&amp;$H$3&amp;"'!N$99"))),0)</f>
        <v>258.50304256209819</v>
      </c>
      <c r="O286" s="826"/>
      <c r="P286" s="826"/>
      <c r="Q286" s="826">
        <f ca="1">IFERROR(IF(Q279=0,0,(2*INDIRECT("'"&amp;$H$3&amp;"'!Q$98"))+((MAX(Q284, 1)-1)*INDIRECT("'"&amp;$H$3&amp;"'!Q$99"))),0)</f>
        <v>0</v>
      </c>
      <c r="R286" s="826"/>
      <c r="S286" s="826"/>
      <c r="T286" s="826">
        <f ca="1">IFERROR(IF(T279=0,0,(2*INDIRECT("'"&amp;$H$3&amp;"'!T$98"))+((MAX(T284, 1)-1)*INDIRECT("'"&amp;$H$3&amp;"'!T$99"))),0)</f>
        <v>0</v>
      </c>
      <c r="U286" s="826"/>
      <c r="V286" s="826"/>
      <c r="W286" s="826">
        <f ca="1">IFERROR(IF(W279=0,0,(2*INDIRECT("'"&amp;$H$3&amp;"'!W$98"))+((MAX(W284, 1)-1)*INDIRECT("'"&amp;$H$3&amp;"'!W$99"))),0)</f>
        <v>0</v>
      </c>
      <c r="X286" s="1480"/>
      <c r="Y286" s="36"/>
      <c r="Z286" s="36"/>
      <c r="AA286" s="36"/>
      <c r="AB286" s="36"/>
      <c r="AC286" s="36"/>
      <c r="AD286" s="36"/>
      <c r="AE286" s="36"/>
      <c r="AF286" s="36"/>
      <c r="AG286" s="36"/>
      <c r="AH286" s="36"/>
      <c r="AI286" s="36"/>
      <c r="AJ286" s="36"/>
      <c r="AK286" s="242"/>
      <c r="AL286" s="36"/>
      <c r="AM286" s="36"/>
      <c r="AN286" s="36"/>
    </row>
    <row r="287" spans="6:40" ht="15" customHeight="1" outlineLevel="1">
      <c r="F287" s="52"/>
      <c r="G287" s="51" t="s">
        <v>203</v>
      </c>
      <c r="H287" s="826"/>
      <c r="I287" s="826"/>
      <c r="J287" s="826"/>
      <c r="K287" s="836">
        <f ca="1">IFERROR((ROUNDUP(K284,1)*((1/60)*(INDIRECT("'"&amp;$H$3&amp;"'!K213")+INDIRECT("'"&amp;$H$3&amp;"'!$H$19")*(INDIRECT("'"&amp;$H$3&amp;"'!K214")+(INDIRECT("'"&amp;$H$3&amp;"'!K215")*('1_Outputs'!K$52/INDIRECT("'"&amp;$H$3&amp;"'!K$96")/INDIRECT("'"&amp;$H$3&amp;"'!$H$19")))))))+((2*INDIRECT("'"&amp;$H$3&amp;"'!K$98"))/INDIRECT("'"&amp;$H$3&amp;"'!K217"))+(((MAX(K284,1)-1)*INDIRECT("'"&amp;$H$3&amp;"'!K$99"))/INDIRECT("'"&amp;$H$3&amp;"'!K216")),0)</f>
        <v>0</v>
      </c>
      <c r="L287" s="826"/>
      <c r="M287" s="826"/>
      <c r="N287" s="836">
        <f ca="1">IFERROR((ROUNDUP(N284,1)*((1/60)*(INDIRECT("'"&amp;$H$3&amp;"'!N213")+INDIRECT("'"&amp;$H$3&amp;"'!$H$19")*(INDIRECT("'"&amp;$H$3&amp;"'!N214")+(INDIRECT("'"&amp;$H$3&amp;"'!N215")*('1_Outputs'!N$52/INDIRECT("'"&amp;$H$3&amp;"'!N$96")/INDIRECT("'"&amp;$H$3&amp;"'!$H$19")))))))+((2*INDIRECT("'"&amp;$H$3&amp;"'!N$98"))/INDIRECT("'"&amp;$H$3&amp;"'!N217"))+(((MAX(N284,1)-1)*INDIRECT("'"&amp;$H$3&amp;"'!N$99"))/INDIRECT("'"&amp;$H$3&amp;"'!N216")),0)</f>
        <v>8.0711386007642911</v>
      </c>
      <c r="O287" s="826"/>
      <c r="P287" s="826"/>
      <c r="Q287" s="826">
        <f ca="1">IFERROR((ROUNDUP(Q284,1)*((1/60)*(INDIRECT("'"&amp;$H$3&amp;"'!Q213")+INDIRECT("'"&amp;$H$3&amp;"'!$H$19")*(INDIRECT("'"&amp;$H$3&amp;"'!Q214")+(INDIRECT("'"&amp;$H$3&amp;"'!Q215")*('1_Outputs'!Q$52/INDIRECT("'"&amp;$H$3&amp;"'!Q$96")/INDIRECT("'"&amp;$H$3&amp;"'!$H$19")))))))+((2*INDIRECT("'"&amp;$H$3&amp;"'!Q$98"))/INDIRECT("'"&amp;$H$3&amp;"'!Q217"))+(((MAX(Q284,1)-1)*INDIRECT("'"&amp;$H$3&amp;"'!Q$99"))/INDIRECT("'"&amp;$H$3&amp;"'!Q216")),0)</f>
        <v>0</v>
      </c>
      <c r="R287" s="826"/>
      <c r="S287" s="826"/>
      <c r="T287" s="826">
        <f ca="1">IFERROR((ROUNDUP(T284,1)*((1/60)*(INDIRECT("'"&amp;$H$3&amp;"'!T213")+INDIRECT("'"&amp;$H$3&amp;"'!$H$19")*(INDIRECT("'"&amp;$H$3&amp;"'!T214")+(INDIRECT("'"&amp;$H$3&amp;"'!T215")*('1_Outputs'!T$52/INDIRECT("'"&amp;$H$3&amp;"'!T$96")/INDIRECT("'"&amp;$H$3&amp;"'!$H$19")))))))+((2*INDIRECT("'"&amp;$H$3&amp;"'!T$98"))/INDIRECT("'"&amp;$H$3&amp;"'!T217"))+(((MAX(T284,1)-1)*INDIRECT("'"&amp;$H$3&amp;"'!T$99"))/INDIRECT("'"&amp;$H$3&amp;"'!T216")),0)</f>
        <v>0</v>
      </c>
      <c r="U287" s="826"/>
      <c r="V287" s="826"/>
      <c r="W287" s="826">
        <f ca="1">IFERROR((ROUNDUP(W284,1)*((1/60)*(INDIRECT("'"&amp;$H$3&amp;"'!W213")+INDIRECT("'"&amp;$H$3&amp;"'!$H$19")*(INDIRECT("'"&amp;$H$3&amp;"'!W214")+(INDIRECT("'"&amp;$H$3&amp;"'!W215")*('1_Outputs'!W$52/INDIRECT("'"&amp;$H$3&amp;"'!W$96")/INDIRECT("'"&amp;$H$3&amp;"'!$H$19")))))))+((2*INDIRECT("'"&amp;$H$3&amp;"'!W$98"))/INDIRECT("'"&amp;$H$3&amp;"'!W217"))+(((MAX(W284,1)-1)*INDIRECT("'"&amp;$H$3&amp;"'!W$99"))/INDIRECT("'"&amp;$H$3&amp;"'!W216")),0)</f>
        <v>0</v>
      </c>
      <c r="X287" s="1483"/>
      <c r="Y287" s="36"/>
      <c r="Z287" s="36"/>
      <c r="AA287" s="36"/>
      <c r="AB287" s="36"/>
      <c r="AC287" s="36"/>
      <c r="AD287" s="36"/>
      <c r="AE287" s="36" t="s">
        <v>205</v>
      </c>
      <c r="AF287" s="36"/>
      <c r="AG287" s="36"/>
      <c r="AH287" s="36"/>
      <c r="AI287" s="36"/>
      <c r="AJ287" s="36"/>
      <c r="AK287" s="242"/>
      <c r="AL287" s="36"/>
      <c r="AM287" s="36"/>
      <c r="AN287" s="36"/>
    </row>
    <row r="288" spans="6:40" ht="15" customHeight="1" outlineLevel="1">
      <c r="F288" s="52"/>
      <c r="G288" s="51" t="s">
        <v>204</v>
      </c>
      <c r="H288" s="826"/>
      <c r="I288" s="826"/>
      <c r="J288" s="826"/>
      <c r="K288" s="836">
        <f ca="1">IFERROR((INDIRECT("'"&amp;$H$3&amp;"'!$H$10")*INDIRECT("'"&amp;$H$3&amp;"'!$H$9")*INDIRECT("'"&amp;$H$3&amp;"'!K204"))/K287,0)</f>
        <v>0</v>
      </c>
      <c r="L288" s="826"/>
      <c r="M288" s="826"/>
      <c r="N288" s="836">
        <f ca="1">IFERROR((INDIRECT("'"&amp;$H$3&amp;"'!$H$10")*INDIRECT("'"&amp;$H$3&amp;"'!$H$9")*INDIRECT("'"&amp;$H$3&amp;"'!N204"))/N287,0)</f>
        <v>1189.4232616809397</v>
      </c>
      <c r="O288" s="826"/>
      <c r="P288" s="826"/>
      <c r="Q288" s="826">
        <f ca="1">IFERROR((INDIRECT("'"&amp;$H$3&amp;"'!$H$10")*INDIRECT("'"&amp;$H$3&amp;"'!$H$9")*INDIRECT("'"&amp;$H$3&amp;"'!Q204"))/Q287,0)</f>
        <v>0</v>
      </c>
      <c r="R288" s="826"/>
      <c r="S288" s="826"/>
      <c r="T288" s="826">
        <f ca="1">IFERROR((INDIRECT("'"&amp;$H$3&amp;"'!$H$10")*INDIRECT("'"&amp;$H$3&amp;"'!$H$9")*INDIRECT("'"&amp;$H$3&amp;"'!T204"))/T287,0)</f>
        <v>0</v>
      </c>
      <c r="U288" s="826"/>
      <c r="V288" s="826"/>
      <c r="W288" s="826">
        <f ca="1">IFERROR((INDIRECT("'"&amp;$H$3&amp;"'!$H$10")*INDIRECT("'"&amp;$H$3&amp;"'!$H$9")*INDIRECT("'"&amp;$H$3&amp;"'!W204"))/W287,0)</f>
        <v>0</v>
      </c>
      <c r="X288" s="1483"/>
      <c r="Y288" s="36"/>
      <c r="Z288" s="36"/>
      <c r="AA288" s="36"/>
      <c r="AB288" s="36"/>
      <c r="AC288" s="36"/>
      <c r="AD288" s="36"/>
      <c r="AE288" s="36"/>
      <c r="AF288" s="36"/>
      <c r="AG288" s="36"/>
      <c r="AH288" s="36"/>
      <c r="AI288" s="36"/>
      <c r="AJ288" s="36"/>
      <c r="AK288" s="242"/>
      <c r="AL288" s="36"/>
      <c r="AM288" s="36"/>
      <c r="AN288" s="36"/>
    </row>
    <row r="289" spans="6:40" ht="15" customHeight="1" outlineLevel="1">
      <c r="F289" s="52"/>
      <c r="G289" s="1669" t="s">
        <v>134</v>
      </c>
      <c r="H289" s="829"/>
      <c r="I289" s="829"/>
      <c r="J289" s="829"/>
      <c r="K289" s="842"/>
      <c r="L289" s="829"/>
      <c r="M289" s="829"/>
      <c r="N289" s="842"/>
      <c r="O289" s="829"/>
      <c r="P289" s="829"/>
      <c r="Q289" s="829"/>
      <c r="R289" s="1670"/>
      <c r="S289" s="1670"/>
      <c r="T289" s="829"/>
      <c r="U289" s="1670"/>
      <c r="V289" s="1670"/>
      <c r="W289" s="829"/>
      <c r="X289" s="1477"/>
      <c r="Y289" s="36"/>
      <c r="Z289" s="36"/>
      <c r="AA289" s="36"/>
      <c r="AB289" s="36"/>
      <c r="AC289" s="36"/>
      <c r="AD289" s="36"/>
      <c r="AE289" s="36"/>
      <c r="AF289" s="36"/>
      <c r="AG289" s="36"/>
      <c r="AH289" s="36"/>
      <c r="AI289" s="36"/>
      <c r="AJ289" s="36"/>
      <c r="AK289" s="242"/>
      <c r="AL289" s="36"/>
      <c r="AM289" s="36"/>
      <c r="AN289" s="36"/>
    </row>
    <row r="290" spans="6:40" ht="15" customHeight="1" outlineLevel="1">
      <c r="F290" s="52"/>
      <c r="G290" s="52" t="s">
        <v>206</v>
      </c>
      <c r="H290" s="826"/>
      <c r="I290" s="826"/>
      <c r="J290" s="826"/>
      <c r="K290" s="836">
        <f ca="1">IFERROR(K279*INDIRECT("'"&amp;$H$3&amp;"'!K$96"),0)</f>
        <v>0</v>
      </c>
      <c r="L290" s="826"/>
      <c r="M290" s="826"/>
      <c r="N290" s="836">
        <f ca="1">IFERROR(N279*INDIRECT("'"&amp;$H$3&amp;"'!N$96"),0)</f>
        <v>1380</v>
      </c>
      <c r="O290" s="826"/>
      <c r="P290" s="826"/>
      <c r="Q290" s="826">
        <f ca="1">IFERROR(Q279*INDIRECT("'"&amp;$H$3&amp;"'!Q$96"),0)</f>
        <v>0</v>
      </c>
      <c r="R290" s="1670"/>
      <c r="S290" s="1670"/>
      <c r="T290" s="826">
        <f ca="1">IFERROR(T279*INDIRECT("'"&amp;$H$3&amp;"'!T$96"),0)</f>
        <v>0</v>
      </c>
      <c r="U290" s="1670"/>
      <c r="V290" s="1670"/>
      <c r="W290" s="826">
        <f ca="1">IFERROR(W279*INDIRECT("'"&amp;$H$3&amp;"'!W$96"),0)</f>
        <v>0</v>
      </c>
      <c r="X290" s="1480"/>
      <c r="Y290" s="36"/>
      <c r="Z290" s="36"/>
      <c r="AA290" s="36"/>
      <c r="AB290" s="36" t="s">
        <v>192</v>
      </c>
      <c r="AC290" s="36"/>
      <c r="AD290" s="36" t="s">
        <v>193</v>
      </c>
      <c r="AE290" s="36"/>
      <c r="AF290" s="36"/>
      <c r="AG290" s="36"/>
      <c r="AH290" s="36"/>
      <c r="AI290" s="36"/>
      <c r="AJ290" s="36"/>
      <c r="AK290" s="36"/>
      <c r="AL290" s="36"/>
      <c r="AM290" s="36"/>
      <c r="AN290" s="36"/>
    </row>
    <row r="291" spans="6:40" ht="15" customHeight="1" outlineLevel="1">
      <c r="F291" s="52"/>
      <c r="G291" s="52" t="s">
        <v>87</v>
      </c>
      <c r="H291" s="826"/>
      <c r="I291" s="826"/>
      <c r="J291" s="826"/>
      <c r="K291" s="836">
        <f ca="1">IFERROR(IF(K279=0,0,2*INDIRECT("'"&amp;$H$3&amp;"'!K$98")),0)</f>
        <v>0</v>
      </c>
      <c r="L291" s="826"/>
      <c r="M291" s="826"/>
      <c r="N291" s="836">
        <f ca="1">IFERROR(IF(N279=0,0,2*INDIRECT("'"&amp;$H$3&amp;"'!N$98")),0)</f>
        <v>248.38412077024208</v>
      </c>
      <c r="O291" s="826"/>
      <c r="P291" s="826"/>
      <c r="Q291" s="826">
        <f ca="1">IFERROR(IF(Q279=0,0,2*INDIRECT("'"&amp;$H$3&amp;"'!Q$98")),0)</f>
        <v>0</v>
      </c>
      <c r="R291" s="826"/>
      <c r="S291" s="826"/>
      <c r="T291" s="826">
        <f ca="1">IFERROR(IF(T279=0,0,2*INDIRECT("'"&amp;$H$3&amp;"'!T$98")),0)</f>
        <v>0</v>
      </c>
      <c r="U291" s="826"/>
      <c r="V291" s="826"/>
      <c r="W291" s="826">
        <f ca="1">IFERROR(IF(W279=0,0,2*INDIRECT("'"&amp;$H$3&amp;"'!W$98")),0)</f>
        <v>0</v>
      </c>
      <c r="X291" s="1480"/>
      <c r="Y291" s="36"/>
      <c r="Z291" s="36"/>
      <c r="AA291" s="36"/>
      <c r="AB291" s="36" t="s">
        <v>194</v>
      </c>
      <c r="AC291" s="36"/>
      <c r="AD291" s="36" t="s">
        <v>195</v>
      </c>
      <c r="AE291" s="36"/>
      <c r="AF291" s="36"/>
      <c r="AG291" s="36"/>
      <c r="AH291" s="36"/>
      <c r="AI291" s="36"/>
      <c r="AJ291" s="36"/>
      <c r="AK291" s="36"/>
      <c r="AL291" s="36"/>
      <c r="AM291" s="36"/>
      <c r="AN291" s="36"/>
    </row>
    <row r="292" spans="6:40" ht="15" customHeight="1" outlineLevel="1">
      <c r="F292" s="52"/>
      <c r="G292" s="51" t="s">
        <v>204</v>
      </c>
      <c r="H292" s="828"/>
      <c r="I292" s="828"/>
      <c r="J292" s="828"/>
      <c r="K292" s="837">
        <f ca="1">IFERROR((INDIRECT("'"&amp;$H$3&amp;"'!$H$10")*INDIRECT("'"&amp;$H$3&amp;"'!$H$9")*INDIRECT("'"&amp;$H$3&amp;"'!K204"))/((K291/INDIRECT("'"&amp;$H$3&amp;"'!K217"))+((1/60)*(INDIRECT("'"&amp;$H$3&amp;"'!K213")+INDIRECT("'"&amp;$H$3&amp;"'!$H$19")*(INDIRECT("'"&amp;$H$3&amp;"'!K214")+(INDIRECT("'"&amp;$H$3&amp;"'!K215")*('1_Outputs'!K$52/INDIRECT("'"&amp;$H$3&amp;"'!K$96")/INDIRECT("'"&amp;$H$3&amp;"'!$H$19"))))))),0)</f>
        <v>0</v>
      </c>
      <c r="L292" s="828"/>
      <c r="M292" s="828"/>
      <c r="N292" s="837">
        <f ca="1">IFERROR((INDIRECT("'"&amp;$H$3&amp;"'!$H$10")*INDIRECT("'"&amp;$H$3&amp;"'!$H$9")*INDIRECT("'"&amp;$H$3&amp;"'!N204"))/((N291/INDIRECT("'"&amp;$H$3&amp;"'!N217"))+((1/60)*(INDIRECT("'"&amp;$H$3&amp;"'!N213")+INDIRECT("'"&amp;$H$3&amp;"'!$H$19")*(INDIRECT("'"&amp;$H$3&amp;"'!N214")+(INDIRECT("'"&amp;$H$3&amp;"'!N215")*('1_Outputs'!N$52/INDIRECT("'"&amp;$H$3&amp;"'!N$96")/INDIRECT("'"&amp;$H$3&amp;"'!$H$19"))))))),0)</f>
        <v>1604.3206473532164</v>
      </c>
      <c r="O292" s="828"/>
      <c r="P292" s="828"/>
      <c r="Q292" s="828">
        <f ca="1">IFERROR((INDIRECT("'"&amp;$H$3&amp;"'!$H$10")*INDIRECT("'"&amp;$H$3&amp;"'!$H$9")*INDIRECT("'"&amp;$H$3&amp;"'!Q204"))/((Q291/INDIRECT("'"&amp;$H$3&amp;"'!Q217"))+((1/60)*(INDIRECT("'"&amp;$H$3&amp;"'!Q213")+INDIRECT("'"&amp;$H$3&amp;"'!$H$19")*(INDIRECT("'"&amp;$H$3&amp;"'!Q214")+(INDIRECT("'"&amp;$H$3&amp;"'!Q215")*('1_Outputs'!Q$52/INDIRECT("'"&amp;$H$3&amp;"'!Q$96")/INDIRECT("'"&amp;$H$3&amp;"'!$H$19"))))))),0)</f>
        <v>0</v>
      </c>
      <c r="R292" s="1670"/>
      <c r="S292" s="1670"/>
      <c r="T292" s="828">
        <f ca="1">IFERROR((INDIRECT("'"&amp;$H$3&amp;"'!$H$10")*INDIRECT("'"&amp;$H$3&amp;"'!$H$9")*INDIRECT("'"&amp;$H$3&amp;"'!T204"))/((T291/INDIRECT("'"&amp;$H$3&amp;"'!T217"))+((1/60)*(INDIRECT("'"&amp;$H$3&amp;"'!T213")+INDIRECT("'"&amp;$H$3&amp;"'!$H$19")*(INDIRECT("'"&amp;$H$3&amp;"'!T214")+(INDIRECT("'"&amp;$H$3&amp;"'!T215")*('1_Outputs'!T$52/INDIRECT("'"&amp;$H$3&amp;"'!T$96")/INDIRECT("'"&amp;$H$3&amp;"'!$H$19"))))))),0)</f>
        <v>0</v>
      </c>
      <c r="U292" s="1670"/>
      <c r="V292" s="1670"/>
      <c r="W292" s="828">
        <f ca="1">IFERROR((INDIRECT("'"&amp;$H$3&amp;"'!$H$10")*INDIRECT("'"&amp;$H$3&amp;"'!$H$9")*INDIRECT("'"&amp;$H$3&amp;"'!W204"))/((W291/INDIRECT("'"&amp;$H$3&amp;"'!W217"))+((1/60)*(INDIRECT("'"&amp;$H$3&amp;"'!W213")+INDIRECT("'"&amp;$H$3&amp;"'!$H$19")*(INDIRECT("'"&amp;$H$3&amp;"'!W214")+(INDIRECT("'"&amp;$H$3&amp;"'!W215")*('1_Outputs'!W$52/INDIRECT("'"&amp;$H$3&amp;"'!W$96")/INDIRECT("'"&amp;$H$3&amp;"'!$H$19"))))))),0)</f>
        <v>0</v>
      </c>
      <c r="X292" s="1482"/>
      <c r="Y292" s="36"/>
      <c r="Z292" s="36"/>
      <c r="AA292" s="36"/>
      <c r="AB292" s="36" t="s">
        <v>196</v>
      </c>
      <c r="AC292" s="36"/>
      <c r="AD292" s="36" t="s">
        <v>197</v>
      </c>
      <c r="AE292" s="36"/>
      <c r="AF292" s="36"/>
      <c r="AG292" s="36"/>
      <c r="AH292" s="36"/>
      <c r="AI292" s="36"/>
      <c r="AJ292" s="36"/>
      <c r="AK292" s="36"/>
      <c r="AL292" s="36"/>
      <c r="AM292" s="36"/>
      <c r="AN292" s="36"/>
    </row>
    <row r="293" spans="6:40" ht="48" customHeight="1">
      <c r="F293" s="1661" t="s">
        <v>2504</v>
      </c>
      <c r="G293" s="1662"/>
      <c r="H293" s="1673"/>
      <c r="I293" s="1673"/>
      <c r="J293" s="1673"/>
      <c r="K293" s="1516" t="str">
        <f ca="1">IF($H$9&gt;=2,INDIRECT("'"&amp;$H$3&amp;"'!J$130"),"")</f>
        <v>CMS  to  Regional WH</v>
      </c>
      <c r="L293" s="1516" t="str">
        <f t="shared" ref="L293:V293" ca="1" si="19">IF($H$9&gt;=1,"Tier 1","")</f>
        <v>Tier 1</v>
      </c>
      <c r="M293" s="1516" t="str">
        <f t="shared" ca="1" si="19"/>
        <v>Tier 1</v>
      </c>
      <c r="N293" s="1516" t="str">
        <f ca="1">IF($H$9&gt;=3,INDIRECT("'"&amp;$H$3&amp;"'!M$130"),"")</f>
        <v>Regional WH  to  Health Facility</v>
      </c>
      <c r="O293" s="1516" t="str">
        <f t="shared" ca="1" si="19"/>
        <v>Tier 1</v>
      </c>
      <c r="P293" s="1516" t="str">
        <f t="shared" ca="1" si="19"/>
        <v>Tier 1</v>
      </c>
      <c r="Q293" s="1517" t="str">
        <f ca="1">IF($H$9&gt;=4,INDIRECT("'"&amp;$H$3&amp;"'!P$130"),"")</f>
        <v/>
      </c>
      <c r="R293" s="1511" t="str">
        <f t="shared" ca="1" si="19"/>
        <v>Tier 1</v>
      </c>
      <c r="S293" s="1511" t="str">
        <f t="shared" ca="1" si="19"/>
        <v>Tier 1</v>
      </c>
      <c r="T293" s="1517" t="str">
        <f ca="1">IF($H$9&gt;=5,INDIRECT("'"&amp;$H$3&amp;"'!S$130"),"")</f>
        <v/>
      </c>
      <c r="U293" s="1518" t="str">
        <f t="shared" ca="1" si="19"/>
        <v>Tier 1</v>
      </c>
      <c r="V293" s="1518" t="str">
        <f t="shared" ca="1" si="19"/>
        <v>Tier 1</v>
      </c>
      <c r="W293" s="1517" t="str">
        <f ca="1">IF($H$9&gt;=6,INDIRECT("'"&amp;$H$3&amp;"'!V$130"),"")</f>
        <v/>
      </c>
      <c r="X293" s="1474"/>
      <c r="Y293" s="36"/>
      <c r="Z293" s="36"/>
      <c r="AA293" s="36"/>
      <c r="AB293" s="36" t="s">
        <v>230</v>
      </c>
      <c r="AC293" s="36"/>
      <c r="AD293" s="36" t="s">
        <v>229</v>
      </c>
      <c r="AE293" s="36"/>
      <c r="AF293" s="36"/>
      <c r="AG293" s="36"/>
      <c r="AH293" s="36"/>
      <c r="AI293" s="36"/>
      <c r="AJ293" s="36"/>
      <c r="AK293" s="36"/>
      <c r="AL293" s="36"/>
      <c r="AM293" s="36"/>
      <c r="AN293" s="36"/>
    </row>
    <row r="294" spans="6:40" ht="15" customHeight="1" outlineLevel="1">
      <c r="F294" s="1664" t="s">
        <v>149</v>
      </c>
      <c r="G294" s="1664"/>
      <c r="H294" s="865"/>
      <c r="I294" s="865"/>
      <c r="J294" s="865"/>
      <c r="K294" s="865"/>
      <c r="L294" s="865"/>
      <c r="M294" s="865"/>
      <c r="N294" s="865"/>
      <c r="O294" s="1674"/>
      <c r="P294" s="1674"/>
      <c r="Q294" s="1671"/>
      <c r="R294" s="1672"/>
      <c r="S294" s="1672"/>
      <c r="T294" s="1671"/>
      <c r="U294" s="1672"/>
      <c r="V294" s="1672"/>
      <c r="W294" s="1671"/>
      <c r="X294" s="1479"/>
      <c r="Y294" s="36"/>
      <c r="Z294" s="36"/>
      <c r="AA294" s="36"/>
      <c r="AB294" s="36"/>
      <c r="AC294" s="36"/>
      <c r="AD294" s="36"/>
      <c r="AE294" s="36"/>
      <c r="AF294" s="36"/>
      <c r="AG294" s="36"/>
      <c r="AH294" s="36"/>
      <c r="AI294" s="36"/>
      <c r="AJ294" s="36"/>
      <c r="AK294" s="242"/>
      <c r="AL294" s="36"/>
      <c r="AM294" s="36"/>
      <c r="AN294" s="36"/>
    </row>
    <row r="295" spans="6:40" ht="15" customHeight="1" outlineLevel="1">
      <c r="F295" s="52"/>
      <c r="G295" s="51" t="s">
        <v>146</v>
      </c>
      <c r="H295" s="837"/>
      <c r="I295" s="837"/>
      <c r="J295" s="837"/>
      <c r="K295" s="837">
        <f ca="1">IFERROR(IF(COUNTIF(INDIRECT("'"&amp;$H$3&amp;"'!K220"),"Public Transport*")=1,IF(INDIRECT("'"&amp;$H$3&amp;"'!K228")="Route-based",K302*INDIRECT("'"&amp;$H$3&amp;"'!K$96"),IF(INDIRECT("'"&amp;$H$3&amp;"'!K228")="Point-to-point",K305*INDIRECT("'"&amp;$H$3&amp;"'!K$96"),0)),0),0)</f>
        <v>0</v>
      </c>
      <c r="L295" s="837"/>
      <c r="M295" s="837"/>
      <c r="N295" s="837">
        <f ca="1">IFERROR(IF(COUNTIF(INDIRECT("'"&amp;$H$3&amp;"'!N220"),"Public Transport*")=1,IF(INDIRECT("'"&amp;$H$3&amp;"'!N228")="Route-based",N302*INDIRECT("'"&amp;$H$3&amp;"'!N$96"),IF(INDIRECT("'"&amp;$H$3&amp;"'!N228")="Point-to-point",N305*INDIRECT("'"&amp;$H$3&amp;"'!N$96"),0)),0),0)</f>
        <v>0</v>
      </c>
      <c r="O295" s="837"/>
      <c r="P295" s="837"/>
      <c r="Q295" s="837">
        <f ca="1">IFERROR(IF(COUNTIF(INDIRECT("'"&amp;$H$3&amp;"'!Q220"),"Public Transport*")=1,IF(INDIRECT("'"&amp;$H$3&amp;"'!Q228")="Route-based",Q302*INDIRECT("'"&amp;$H$3&amp;"'!Q$96"),IF(INDIRECT("'"&amp;$H$3&amp;"'!Q228")="Point-to-point",Q305*INDIRECT("'"&amp;$H$3&amp;"'!Q$96"),0)),0),0)</f>
        <v>0</v>
      </c>
      <c r="R295" s="1650"/>
      <c r="S295" s="1650"/>
      <c r="T295" s="837">
        <f ca="1">IFERROR(IF(COUNTIF(INDIRECT("'"&amp;$H$3&amp;"'!T220"),"Public Transport*")=1,IF(INDIRECT("'"&amp;$H$3&amp;"'!T228")="Route-based",T302*INDIRECT("'"&amp;$H$3&amp;"'!T$96"),IF(INDIRECT("'"&amp;$H$3&amp;"'!T228")="Point-to-point",T305*INDIRECT("'"&amp;$H$3&amp;"'!T$96"),0)),0),0)</f>
        <v>0</v>
      </c>
      <c r="U295" s="1650"/>
      <c r="V295" s="1650"/>
      <c r="W295" s="837">
        <f ca="1">IFERROR(IF(COUNTIF(INDIRECT("'"&amp;$H$3&amp;"'!W220"),"Public Transport*")=1,IF(INDIRECT("'"&amp;$H$3&amp;"'!W228")="Route-based",W302*INDIRECT("'"&amp;$H$3&amp;"'!W$96"),IF(INDIRECT("'"&amp;$H$3&amp;"'!W228")="Point-to-point",W305*INDIRECT("'"&amp;$H$3&amp;"'!W$96"),0)),0),0)</f>
        <v>0</v>
      </c>
      <c r="X295" s="1468"/>
      <c r="Y295" s="36"/>
      <c r="Z295" s="36"/>
      <c r="AA295" s="36"/>
      <c r="AB295" s="36"/>
      <c r="AC295" s="36"/>
      <c r="AD295" s="36"/>
      <c r="AE295" s="36"/>
      <c r="AF295" s="36"/>
      <c r="AG295" s="36"/>
      <c r="AH295" s="36"/>
      <c r="AI295" s="36"/>
      <c r="AJ295" s="36"/>
      <c r="AK295" s="242"/>
      <c r="AL295" s="36"/>
      <c r="AM295" s="36"/>
      <c r="AN295" s="36"/>
    </row>
    <row r="296" spans="6:40" ht="15" customHeight="1" outlineLevel="1">
      <c r="F296" s="52"/>
      <c r="G296" s="51" t="s">
        <v>147</v>
      </c>
      <c r="H296" s="837"/>
      <c r="I296" s="837"/>
      <c r="J296" s="837"/>
      <c r="K296" s="837">
        <f ca="1">IFERROR(IF(INDIRECT("'"&amp;$H$3&amp;"'!K228")="Route-based",K303*INDIRECT("'"&amp;$H$3&amp;"'!K$96"),IF(INDIRECT("'"&amp;$H$3&amp;"'!K228")="Point-to-point",K306*INDIRECT("'"&amp;$H$3&amp;"'!K$96"),0)),0)</f>
        <v>0</v>
      </c>
      <c r="L296" s="837"/>
      <c r="M296" s="837"/>
      <c r="N296" s="837">
        <f ca="1">IFERROR(IF(INDIRECT("'"&amp;$H$3&amp;"'!N228")="Route-based",N303*INDIRECT("'"&amp;$H$3&amp;"'!N$96"),IF(INDIRECT("'"&amp;$H$3&amp;"'!N228")="Point-to-point",N306*INDIRECT("'"&amp;$H$3&amp;"'!N$96"),0)),0)</f>
        <v>0</v>
      </c>
      <c r="O296" s="837"/>
      <c r="P296" s="837"/>
      <c r="Q296" s="837">
        <f ca="1">IFERROR(IF(INDIRECT("'"&amp;$H$3&amp;"'!Q228")="Route-based",Q303*INDIRECT("'"&amp;$H$3&amp;"'!Q$96"),IF(INDIRECT("'"&amp;$H$3&amp;"'!Q228")="Point-to-point",Q306*INDIRECT("'"&amp;$H$3&amp;"'!Q$96"),0)),0)</f>
        <v>0</v>
      </c>
      <c r="R296" s="1650"/>
      <c r="S296" s="1650"/>
      <c r="T296" s="837">
        <f ca="1">IFERROR(IF(INDIRECT("'"&amp;$H$3&amp;"'!T228")="Route-based",T303*INDIRECT("'"&amp;$H$3&amp;"'!T$96"),IF(INDIRECT("'"&amp;$H$3&amp;"'!T228")="Point-to-point",T306*INDIRECT("'"&amp;$H$3&amp;"'!T$96"),0)),0)</f>
        <v>0</v>
      </c>
      <c r="U296" s="1650"/>
      <c r="V296" s="1650"/>
      <c r="W296" s="837">
        <f ca="1">IFERROR(IF(INDIRECT("'"&amp;$H$3&amp;"'!W228")="Route-based",W303*INDIRECT("'"&amp;$H$3&amp;"'!W$96"),IF(INDIRECT("'"&amp;$H$3&amp;"'!W228")="Point-to-point",W306*INDIRECT("'"&amp;$H$3&amp;"'!W$96"),0)),0)</f>
        <v>0</v>
      </c>
      <c r="X296" s="1468"/>
      <c r="Y296" s="36"/>
      <c r="Z296" s="36"/>
      <c r="AA296" s="36"/>
      <c r="AB296" s="36"/>
      <c r="AC296" s="36"/>
      <c r="AD296" s="36"/>
      <c r="AE296" s="36"/>
      <c r="AF296" s="36"/>
      <c r="AG296" s="36"/>
      <c r="AH296" s="36"/>
      <c r="AI296" s="36"/>
      <c r="AJ296" s="36"/>
      <c r="AK296" s="242"/>
      <c r="AL296" s="36"/>
      <c r="AM296" s="36"/>
      <c r="AN296" s="36"/>
    </row>
    <row r="297" spans="6:40" ht="15" customHeight="1" outlineLevel="1">
      <c r="F297" s="52"/>
      <c r="G297" s="51" t="s">
        <v>142</v>
      </c>
      <c r="H297" s="1651"/>
      <c r="I297" s="1651"/>
      <c r="J297" s="1651"/>
      <c r="K297" s="1651">
        <f ca="1">IFERROR(IF(COUNTIF(INDIRECT("'"&amp;$H$3&amp;"'!K220"),"Public Transport*")&gt;0,ROUND(INDIRECT("'"&amp;$H$3&amp;"'!K$95")*INDIRECT("'"&amp;$H$3&amp;"'!K219"),0),0),0)</f>
        <v>0</v>
      </c>
      <c r="L297" s="1651"/>
      <c r="M297" s="1651"/>
      <c r="N297" s="1651">
        <f ca="1">IFERROR(IF(COUNTIF(INDIRECT("'"&amp;$H$3&amp;"'!N220"),"Public Transport*")&gt;0,ROUND(INDIRECT("'"&amp;$H$3&amp;"'!N$95")*INDIRECT("'"&amp;$H$3&amp;"'!N219"),0),0),0)</f>
        <v>0</v>
      </c>
      <c r="O297" s="1651"/>
      <c r="P297" s="1651"/>
      <c r="Q297" s="1651">
        <f ca="1">IFERROR(IF(COUNTIF(INDIRECT("'"&amp;$H$3&amp;"'!Q220"),"Public Transport*")&gt;0,ROUND(INDIRECT("'"&amp;$H$3&amp;"'!Q$95")*INDIRECT("'"&amp;$H$3&amp;"'!Q219"),0),0),0)</f>
        <v>0</v>
      </c>
      <c r="R297" s="1650"/>
      <c r="S297" s="1650"/>
      <c r="T297" s="1651">
        <f ca="1">IFERROR(IF(COUNTIF(INDIRECT("'"&amp;$H$3&amp;"'!T220"),"Public Transport*")&gt;0,ROUND(INDIRECT("'"&amp;$H$3&amp;"'!T$95")*INDIRECT("'"&amp;$H$3&amp;"'!T219"),0),0),0)</f>
        <v>0</v>
      </c>
      <c r="U297" s="1650"/>
      <c r="V297" s="1650"/>
      <c r="W297" s="1651">
        <f ca="1">IFERROR(IF(COUNTIF(INDIRECT("'"&amp;$H$3&amp;"'!W220"),"Public Transport*")&gt;0,ROUND(INDIRECT("'"&amp;$H$3&amp;"'!W$95")*INDIRECT("'"&amp;$H$3&amp;"'!W219"),0),0),0)</f>
        <v>0</v>
      </c>
      <c r="X297" s="1466"/>
      <c r="Y297" s="36"/>
      <c r="Z297" s="36"/>
      <c r="AA297" s="36"/>
      <c r="AB297" s="36"/>
      <c r="AC297" s="36"/>
      <c r="AD297" s="36"/>
      <c r="AE297" s="36"/>
      <c r="AF297" s="36"/>
      <c r="AG297" s="36"/>
      <c r="AH297" s="36"/>
      <c r="AI297" s="36"/>
      <c r="AJ297" s="36"/>
      <c r="AK297" s="36"/>
      <c r="AL297" s="36"/>
      <c r="AM297" s="36"/>
      <c r="AN297" s="36"/>
    </row>
    <row r="298" spans="6:40" ht="15" customHeight="1" outlineLevel="1">
      <c r="F298" s="52"/>
      <c r="G298" s="1613" t="s">
        <v>150</v>
      </c>
      <c r="H298" s="842"/>
      <c r="I298" s="842"/>
      <c r="J298" s="842"/>
      <c r="K298" s="842"/>
      <c r="L298" s="842"/>
      <c r="M298" s="842"/>
      <c r="N298" s="842"/>
      <c r="O298" s="842"/>
      <c r="P298" s="842"/>
      <c r="Q298" s="842"/>
      <c r="R298" s="1650"/>
      <c r="S298" s="1650"/>
      <c r="T298" s="842"/>
      <c r="U298" s="1650"/>
      <c r="V298" s="1650"/>
      <c r="W298" s="842"/>
      <c r="X298" s="1470"/>
      <c r="Y298" s="36"/>
      <c r="Z298" s="36"/>
      <c r="AA298" s="36"/>
      <c r="AB298" s="36"/>
      <c r="AC298" s="36"/>
      <c r="AD298" s="36"/>
      <c r="AE298" s="36"/>
      <c r="AF298" s="36"/>
      <c r="AG298" s="36"/>
      <c r="AH298" s="36"/>
      <c r="AI298" s="36"/>
      <c r="AJ298" s="36"/>
      <c r="AK298" s="36"/>
      <c r="AL298" s="36"/>
      <c r="AM298" s="36"/>
      <c r="AN298" s="36"/>
    </row>
    <row r="299" spans="6:40" ht="15" customHeight="1" outlineLevel="1">
      <c r="F299" s="52"/>
      <c r="G299" s="51" t="s">
        <v>140</v>
      </c>
      <c r="H299" s="836"/>
      <c r="I299" s="836"/>
      <c r="J299" s="836"/>
      <c r="K299" s="836">
        <f ca="1">IFERROR(ROUND(INDIRECT("'"&amp;$H$3&amp;"'!$H$10")/(((1/60)*(INDIRECT("'"&amp;$H$3&amp;"'!K233")+INDIRECT("'"&amp;$H$3&amp;"'!$H$19")*(INDIRECT("'"&amp;$H$3&amp;"'!K234")+(INDIRECT("'"&amp;$H$3&amp;"'!K235")*('1_Outputs'!K$52/INDIRECT("'"&amp;$H$3&amp;"'!K$96")/INDIRECT("'"&amp;$H$3&amp;"'!$H$19"))))))+INDEX(INDIRECT("'"&amp;$H$3&amp;"'!$H$43:$H$78"),MATCH(INDIRECT("'"&amp;$H$3&amp;"'!K220")&amp;"Average duration (hrs) per trip",INDIRECT("'"&amp;$H$3&amp;"'!$F$43:$F$78"),0))),1),0)</f>
        <v>0</v>
      </c>
      <c r="L299" s="836"/>
      <c r="M299" s="836"/>
      <c r="N299" s="836">
        <f ca="1">IFERROR(ROUND(INDIRECT("'"&amp;$H$3&amp;"'!$H$10")/(((1/60)*(INDIRECT("'"&amp;$H$3&amp;"'!N233")+INDIRECT("'"&amp;$H$3&amp;"'!$H$19")*(INDIRECT("'"&amp;$H$3&amp;"'!N234")+(INDIRECT("'"&amp;$H$3&amp;"'!N235")*('1_Outputs'!N$52/INDIRECT("'"&amp;$H$3&amp;"'!N$96")/INDIRECT("'"&amp;$H$3&amp;"'!$H$19"))))))+INDEX(INDIRECT("'"&amp;$H$3&amp;"'!$H$43:$H$78"),MATCH(INDIRECT("'"&amp;$H$3&amp;"'!N220")&amp;"Average duration (hrs) per trip",INDIRECT("'"&amp;$H$3&amp;"'!$F$43:$F$78"),0))),1),0)</f>
        <v>0</v>
      </c>
      <c r="O299" s="836"/>
      <c r="P299" s="836"/>
      <c r="Q299" s="836">
        <f ca="1">IFERROR(ROUND(INDIRECT("'"&amp;$H$3&amp;"'!$H$10")/(((1/60)*(INDIRECT("'"&amp;$H$3&amp;"'!Q233")+INDIRECT("'"&amp;$H$3&amp;"'!$H$19")*(INDIRECT("'"&amp;$H$3&amp;"'!Q234")+(INDIRECT("'"&amp;$H$3&amp;"'!Q235")*('1_Outputs'!Q$52/INDIRECT("'"&amp;$H$3&amp;"'!Q$96")/INDIRECT("'"&amp;$H$3&amp;"'!$H$19"))))))+INDEX(INDIRECT("'"&amp;$H$3&amp;"'!$H$43:$H$78"),MATCH(INDIRECT("'"&amp;$H$3&amp;"'!Q220")&amp;"Average duration (hrs) per trip",INDIRECT("'"&amp;$H$3&amp;"'!$F$43:$F$78"),0))),1),0)</f>
        <v>0</v>
      </c>
      <c r="R299" s="836"/>
      <c r="S299" s="836"/>
      <c r="T299" s="836">
        <f ca="1">IFERROR(ROUND(INDIRECT("'"&amp;$H$3&amp;"'!$H$10")/(((1/60)*(INDIRECT("'"&amp;$H$3&amp;"'!T233")+INDIRECT("'"&amp;$H$3&amp;"'!$H$19")*(INDIRECT("'"&amp;$H$3&amp;"'!T234")+(INDIRECT("'"&amp;$H$3&amp;"'!T235")*('1_Outputs'!T$52/INDIRECT("'"&amp;$H$3&amp;"'!T$96")/INDIRECT("'"&amp;$H$3&amp;"'!$H$19"))))))+INDEX(INDIRECT("'"&amp;$H$3&amp;"'!$H$43:$H$78"),MATCH(INDIRECT("'"&amp;$H$3&amp;"'!T220")&amp;"Average duration (hrs) per trip",INDIRECT("'"&amp;$H$3&amp;"'!$F$43:$F$78"),0))),1),0)</f>
        <v>0</v>
      </c>
      <c r="U299" s="836"/>
      <c r="V299" s="836"/>
      <c r="W299" s="836">
        <f ca="1">IFERROR(ROUND(INDIRECT("'"&amp;$H$3&amp;"'!$H$10")/(((1/60)*(INDIRECT("'"&amp;$H$3&amp;"'!W233")+INDIRECT("'"&amp;$H$3&amp;"'!$H$19")*(INDIRECT("'"&amp;$H$3&amp;"'!W234")+(INDIRECT("'"&amp;$H$3&amp;"'!W235")*('1_Outputs'!W$52/INDIRECT("'"&amp;$H$3&amp;"'!W$96")/INDIRECT("'"&amp;$H$3&amp;"'!$H$19"))))))+INDEX(INDIRECT("'"&amp;$H$3&amp;"'!$H$43:$H$78"),MATCH(INDIRECT("'"&amp;$H$3&amp;"'!W220")&amp;"Average duration (hrs) per trip",INDIRECT("'"&amp;$H$3&amp;"'!$F$43:$F$78"),0))),1),0)</f>
        <v>0</v>
      </c>
      <c r="X299" s="1469"/>
      <c r="Y299" s="36"/>
      <c r="Z299" s="36"/>
      <c r="AA299" s="36"/>
      <c r="AB299" s="36"/>
      <c r="AC299" s="36"/>
      <c r="AD299" s="36"/>
      <c r="AE299" s="36"/>
      <c r="AF299" s="36"/>
      <c r="AG299" s="36"/>
      <c r="AH299" s="36"/>
      <c r="AI299" s="36"/>
      <c r="AJ299" s="36"/>
      <c r="AK299" s="36"/>
      <c r="AL299" s="36"/>
      <c r="AM299" s="36"/>
      <c r="AN299" s="36"/>
    </row>
    <row r="300" spans="6:40" ht="15" customHeight="1" outlineLevel="1">
      <c r="F300" s="52"/>
      <c r="G300" s="51" t="s">
        <v>141</v>
      </c>
      <c r="H300" s="836"/>
      <c r="I300" s="836"/>
      <c r="J300" s="836"/>
      <c r="K300" s="836">
        <f ca="1">IFERROR(ROUND(K299*INDIRECT("'"&amp;$H$3&amp;"'!K229"),0),0)</f>
        <v>0</v>
      </c>
      <c r="L300" s="836"/>
      <c r="M300" s="836"/>
      <c r="N300" s="836">
        <f ca="1">IFERROR(ROUND(N299*INDIRECT("'"&amp;$H$3&amp;"'!N229"),0),0)</f>
        <v>0</v>
      </c>
      <c r="O300" s="836"/>
      <c r="P300" s="836"/>
      <c r="Q300" s="836">
        <f ca="1">IFERROR(ROUND(Q299*INDIRECT("'"&amp;$H$3&amp;"'!Q229"),0),0)</f>
        <v>0</v>
      </c>
      <c r="R300" s="836"/>
      <c r="S300" s="836"/>
      <c r="T300" s="836">
        <f ca="1">IFERROR(ROUND(T299*INDIRECT("'"&amp;$H$3&amp;"'!T229"),0),0)</f>
        <v>0</v>
      </c>
      <c r="U300" s="836"/>
      <c r="V300" s="836"/>
      <c r="W300" s="836">
        <f ca="1">IFERROR(ROUND(W299*INDIRECT("'"&amp;$H$3&amp;"'!W229"),0),0)</f>
        <v>0</v>
      </c>
      <c r="X300" s="1469"/>
      <c r="Y300" s="36"/>
      <c r="Z300" s="36"/>
      <c r="AA300" s="36"/>
      <c r="AB300" s="36"/>
      <c r="AC300" s="36"/>
      <c r="AD300" s="36"/>
      <c r="AE300" s="36"/>
      <c r="AF300" s="36"/>
      <c r="AG300" s="36"/>
      <c r="AH300" s="36"/>
      <c r="AI300" s="36"/>
      <c r="AJ300" s="36"/>
      <c r="AK300" s="36"/>
      <c r="AL300" s="36"/>
      <c r="AM300" s="36"/>
      <c r="AN300" s="36"/>
    </row>
    <row r="301" spans="6:40" ht="15" customHeight="1" outlineLevel="1">
      <c r="F301" s="52"/>
      <c r="G301" s="51" t="s">
        <v>143</v>
      </c>
      <c r="H301" s="836"/>
      <c r="I301" s="836"/>
      <c r="J301" s="836"/>
      <c r="K301" s="836">
        <f ca="1">IFERROR(K297/K300,0)</f>
        <v>0</v>
      </c>
      <c r="L301" s="836"/>
      <c r="M301" s="836"/>
      <c r="N301" s="836">
        <f ca="1">IFERROR(N297/N300,0)</f>
        <v>0</v>
      </c>
      <c r="O301" s="836"/>
      <c r="P301" s="836"/>
      <c r="Q301" s="836">
        <f ca="1">IFERROR(Q297/Q300,0)</f>
        <v>0</v>
      </c>
      <c r="R301" s="836"/>
      <c r="S301" s="836"/>
      <c r="T301" s="836">
        <f ca="1">IFERROR(T297/T300,0)</f>
        <v>0</v>
      </c>
      <c r="U301" s="836"/>
      <c r="V301" s="836"/>
      <c r="W301" s="836">
        <f ca="1">IFERROR(W297/W300,0)</f>
        <v>0</v>
      </c>
      <c r="X301" s="1469"/>
      <c r="Y301" s="36"/>
      <c r="Z301" s="36"/>
      <c r="AA301" s="36"/>
      <c r="AB301" s="36"/>
      <c r="AC301" s="36"/>
      <c r="AD301" s="36"/>
      <c r="AE301" s="36"/>
      <c r="AF301" s="36"/>
      <c r="AG301" s="36"/>
      <c r="AH301" s="36"/>
      <c r="AI301" s="36"/>
      <c r="AJ301" s="36"/>
      <c r="AK301" s="36"/>
      <c r="AL301" s="36"/>
      <c r="AM301" s="36"/>
      <c r="AN301" s="36"/>
    </row>
    <row r="302" spans="6:40" ht="15" customHeight="1" outlineLevel="1">
      <c r="F302" s="52"/>
      <c r="G302" s="51" t="s">
        <v>144</v>
      </c>
      <c r="H302" s="836"/>
      <c r="I302" s="836"/>
      <c r="J302" s="836"/>
      <c r="K302" s="836">
        <f ca="1">IFERROR((K301*(K300+1)),0)</f>
        <v>0</v>
      </c>
      <c r="L302" s="836"/>
      <c r="M302" s="836"/>
      <c r="N302" s="836">
        <f ca="1">IFERROR((N301*(N300+1)),0)</f>
        <v>0</v>
      </c>
      <c r="O302" s="836"/>
      <c r="P302" s="836"/>
      <c r="Q302" s="836">
        <f ca="1">IFERROR((Q301*(Q300+1)),0)</f>
        <v>0</v>
      </c>
      <c r="R302" s="836"/>
      <c r="S302" s="836"/>
      <c r="T302" s="836">
        <f ca="1">IFERROR((T301*(T300+1)),0)</f>
        <v>0</v>
      </c>
      <c r="U302" s="836"/>
      <c r="V302" s="836"/>
      <c r="W302" s="836">
        <f ca="1">IFERROR((W301*(W300+1)),0)</f>
        <v>0</v>
      </c>
      <c r="X302" s="1469"/>
      <c r="Y302" s="36"/>
      <c r="Z302" s="36"/>
      <c r="AA302" s="36"/>
      <c r="AB302" s="36"/>
      <c r="AC302" s="36"/>
      <c r="AD302" s="36"/>
      <c r="AE302" s="36"/>
      <c r="AF302" s="36"/>
      <c r="AG302" s="36"/>
      <c r="AH302" s="36"/>
      <c r="AI302" s="36"/>
      <c r="AJ302" s="36"/>
      <c r="AK302" s="242"/>
      <c r="AL302" s="36"/>
      <c r="AM302" s="36"/>
      <c r="AN302" s="36"/>
    </row>
    <row r="303" spans="6:40" ht="15" customHeight="1" outlineLevel="1">
      <c r="F303" s="52"/>
      <c r="G303" s="51" t="s">
        <v>145</v>
      </c>
      <c r="H303" s="836"/>
      <c r="I303" s="836"/>
      <c r="J303" s="836"/>
      <c r="K303" s="836">
        <f ca="1">IFERROR(ROUNDUP(((K302*INDEX(INDIRECT("'"&amp;$H$3&amp;"'!$H$43:$H$78"),MATCH(INDIRECT("'"&amp;$H$3&amp;"'!K220")&amp;"Average duration (hrs) per trip",INDIRECT("'"&amp;$H$3&amp;"'!$F$43:$F$78"),0)))+(K297*((1/60)*(INDIRECT("'"&amp;$H$3&amp;"'!K233")+INDIRECT("'"&amp;$H$3&amp;"'!$H$19")*(INDIRECT("'"&amp;$H$3&amp;"'!K234")+(INDIRECT("'"&amp;$H$3&amp;"'!K235")*('1_Outputs'!K$52/INDIRECT("'"&amp;$H$3&amp;"'!K$96")/INDIRECT("'"&amp;$H$3&amp;"'!$H$19"))))))))/INDIRECT("'"&amp;$H$3&amp;"'!$H$10"),0),0)</f>
        <v>0</v>
      </c>
      <c r="L303" s="836"/>
      <c r="M303" s="836"/>
      <c r="N303" s="836">
        <f ca="1">IFERROR(ROUNDUP(((N302*INDEX(INDIRECT("'"&amp;$H$3&amp;"'!$H$43:$H$78"),MATCH(INDIRECT("'"&amp;$H$3&amp;"'!N220")&amp;"Average duration (hrs) per trip",INDIRECT("'"&amp;$H$3&amp;"'!$F$43:$F$78"),0)))+(N297*((1/60)*(INDIRECT("'"&amp;$H$3&amp;"'!N233")+INDIRECT("'"&amp;$H$3&amp;"'!$H$19")*(INDIRECT("'"&amp;$H$3&amp;"'!N234")+(INDIRECT("'"&amp;$H$3&amp;"'!N235")*('1_Outputs'!N$52/INDIRECT("'"&amp;$H$3&amp;"'!N$96")/INDIRECT("'"&amp;$H$3&amp;"'!$H$19"))))))))/INDIRECT("'"&amp;$H$3&amp;"'!$H$10"),0),0)</f>
        <v>0</v>
      </c>
      <c r="O303" s="836"/>
      <c r="P303" s="836"/>
      <c r="Q303" s="836">
        <f ca="1">IFERROR(ROUNDUP(((Q302*INDEX(INDIRECT("'"&amp;$H$3&amp;"'!$H$43:$H$78"),MATCH(INDIRECT("'"&amp;$H$3&amp;"'!Q220")&amp;"Average duration (hrs) per trip",INDIRECT("'"&amp;$H$3&amp;"'!$F$43:$F$78"),0)))+(Q297*((1/60)*(INDIRECT("'"&amp;$H$3&amp;"'!Q233")+INDIRECT("'"&amp;$H$3&amp;"'!$H$19")*(INDIRECT("'"&amp;$H$3&amp;"'!Q234")+(INDIRECT("'"&amp;$H$3&amp;"'!Q235")*('1_Outputs'!Q$52/INDIRECT("'"&amp;$H$3&amp;"'!Q$96")/INDIRECT("'"&amp;$H$3&amp;"'!$H$19"))))))))/INDIRECT("'"&amp;$H$3&amp;"'!$H$10"),0),0)</f>
        <v>0</v>
      </c>
      <c r="R303" s="836"/>
      <c r="S303" s="836"/>
      <c r="T303" s="836">
        <f ca="1">IFERROR(ROUNDUP(((T302*INDEX(INDIRECT("'"&amp;$H$3&amp;"'!$H$43:$H$78"),MATCH(INDIRECT("'"&amp;$H$3&amp;"'!T220")&amp;"Average duration (hrs) per trip",INDIRECT("'"&amp;$H$3&amp;"'!$F$43:$F$78"),0)))+(T297*((1/60)*(INDIRECT("'"&amp;$H$3&amp;"'!T233")+INDIRECT("'"&amp;$H$3&amp;"'!$H$19")*(INDIRECT("'"&amp;$H$3&amp;"'!T234")+(INDIRECT("'"&amp;$H$3&amp;"'!T235")*('1_Outputs'!T$52/INDIRECT("'"&amp;$H$3&amp;"'!T$96")/INDIRECT("'"&amp;$H$3&amp;"'!$H$19"))))))))/INDIRECT("'"&amp;$H$3&amp;"'!$H$10"),0),0)</f>
        <v>0</v>
      </c>
      <c r="U303" s="836"/>
      <c r="V303" s="836"/>
      <c r="W303" s="836">
        <f ca="1">IFERROR(ROUNDUP(((W302*INDEX(INDIRECT("'"&amp;$H$3&amp;"'!$H$43:$H$78"),MATCH(INDIRECT("'"&amp;$H$3&amp;"'!W220")&amp;"Average duration (hrs) per trip",INDIRECT("'"&amp;$H$3&amp;"'!$F$43:$F$78"),0)))+(W297*((1/60)*(INDIRECT("'"&amp;$H$3&amp;"'!W233")+INDIRECT("'"&amp;$H$3&amp;"'!$H$19")*(INDIRECT("'"&amp;$H$3&amp;"'!W234")+(INDIRECT("'"&amp;$H$3&amp;"'!W235")*('1_Outputs'!W$52/INDIRECT("'"&amp;$H$3&amp;"'!W$96")/INDIRECT("'"&amp;$H$3&amp;"'!$H$19"))))))))/INDIRECT("'"&amp;$H$3&amp;"'!$H$10"),0),0)</f>
        <v>0</v>
      </c>
      <c r="X303" s="1469"/>
      <c r="Y303" s="36"/>
      <c r="Z303" s="36"/>
      <c r="AA303" s="36"/>
      <c r="AB303" s="36"/>
      <c r="AC303" s="36"/>
      <c r="AD303" s="36"/>
      <c r="AE303" s="36"/>
      <c r="AF303" s="36"/>
      <c r="AG303" s="36"/>
      <c r="AH303" s="36"/>
      <c r="AI303" s="36"/>
      <c r="AJ303" s="36"/>
      <c r="AK303" s="242"/>
      <c r="AL303" s="36"/>
      <c r="AM303" s="36"/>
      <c r="AN303" s="36"/>
    </row>
    <row r="304" spans="6:40" ht="15" customHeight="1" outlineLevel="1">
      <c r="F304" s="52"/>
      <c r="G304" s="1613" t="s">
        <v>841</v>
      </c>
      <c r="H304" s="842"/>
      <c r="I304" s="842"/>
      <c r="J304" s="842"/>
      <c r="K304" s="842"/>
      <c r="L304" s="842"/>
      <c r="M304" s="842"/>
      <c r="N304" s="842"/>
      <c r="O304" s="842"/>
      <c r="P304" s="842"/>
      <c r="Q304" s="842"/>
      <c r="R304" s="1650"/>
      <c r="S304" s="1650"/>
      <c r="T304" s="842"/>
      <c r="U304" s="1650"/>
      <c r="V304" s="1650"/>
      <c r="W304" s="842"/>
      <c r="X304" s="1470"/>
      <c r="Y304" s="36"/>
      <c r="Z304" s="36"/>
      <c r="AA304" s="36"/>
      <c r="AB304" s="36"/>
      <c r="AC304" s="36"/>
      <c r="AD304" s="36"/>
      <c r="AE304" s="36"/>
      <c r="AF304" s="36"/>
      <c r="AG304" s="36"/>
      <c r="AH304" s="36"/>
      <c r="AI304" s="36"/>
      <c r="AJ304" s="36"/>
      <c r="AK304" s="242"/>
      <c r="AL304" s="36"/>
      <c r="AM304" s="36"/>
      <c r="AN304" s="36"/>
    </row>
    <row r="305" spans="6:40" ht="15" customHeight="1" outlineLevel="1">
      <c r="F305" s="52"/>
      <c r="G305" s="51" t="s">
        <v>144</v>
      </c>
      <c r="H305" s="836"/>
      <c r="I305" s="836"/>
      <c r="J305" s="836"/>
      <c r="K305" s="836">
        <f ca="1">IFERROR(K297*2,0)</f>
        <v>0</v>
      </c>
      <c r="L305" s="836"/>
      <c r="M305" s="836"/>
      <c r="N305" s="836">
        <f ca="1">IFERROR(N297*2,0)</f>
        <v>0</v>
      </c>
      <c r="O305" s="836"/>
      <c r="P305" s="836"/>
      <c r="Q305" s="836">
        <f ca="1">IFERROR(Q297*2,0)</f>
        <v>0</v>
      </c>
      <c r="R305" s="836"/>
      <c r="S305" s="836"/>
      <c r="T305" s="836">
        <f ca="1">IFERROR(T297*2,0)</f>
        <v>0</v>
      </c>
      <c r="U305" s="836"/>
      <c r="V305" s="836"/>
      <c r="W305" s="836">
        <f ca="1">IFERROR(W297*2,0)</f>
        <v>0</v>
      </c>
      <c r="X305" s="1469"/>
      <c r="Y305" s="36"/>
      <c r="Z305" s="36"/>
      <c r="AA305" s="36"/>
      <c r="AB305" s="36"/>
      <c r="AC305" s="36"/>
      <c r="AD305" s="36"/>
      <c r="AE305" s="36"/>
      <c r="AF305" s="36"/>
      <c r="AG305" s="36"/>
      <c r="AH305" s="36"/>
      <c r="AI305" s="36"/>
      <c r="AJ305" s="36"/>
      <c r="AK305" s="36"/>
      <c r="AL305" s="36"/>
      <c r="AM305" s="36"/>
      <c r="AN305" s="36"/>
    </row>
    <row r="306" spans="6:40" ht="15" customHeight="1" outlineLevel="1">
      <c r="F306" s="52"/>
      <c r="G306" s="51" t="s">
        <v>145</v>
      </c>
      <c r="H306" s="837"/>
      <c r="I306" s="837"/>
      <c r="J306" s="837"/>
      <c r="K306" s="837">
        <f ca="1">IFERROR(MAX(K297,ROUNDUP(((K305*INDEX(INDIRECT("'"&amp;$H$3&amp;"'!$H$43:$H$78"),MATCH(INDIRECT("'"&amp;$H$3&amp;"'!K220")&amp;"Average duration (hrs) per trip",INDIRECT("'"&amp;$H$3&amp;"'!$F$43:$F$78"),0)))+(K297*((1/60)*(INDIRECT("'"&amp;$H$3&amp;"'!K233")+INDIRECT("'"&amp;$H$3&amp;"'!$H$19")*(INDIRECT("'"&amp;$H$3&amp;"'!K234")+(INDIRECT("'"&amp;$H$3&amp;"'!K235")*('1_Outputs'!K$52/INDIRECT("'"&amp;$H$3&amp;"'!K$96")/INDIRECT("'"&amp;$H$3&amp;"'!$H$19"))))))))/INDIRECT("'"&amp;$H$3&amp;"'!$H$10"),0)),0)</f>
        <v>0</v>
      </c>
      <c r="L306" s="837"/>
      <c r="M306" s="837"/>
      <c r="N306" s="837">
        <f ca="1">IFERROR(MAX(N297,ROUNDUP(((N305*INDEX(INDIRECT("'"&amp;$H$3&amp;"'!$H$43:$H$78"),MATCH(INDIRECT("'"&amp;$H$3&amp;"'!N220")&amp;"Average duration (hrs) per trip",INDIRECT("'"&amp;$H$3&amp;"'!$F$43:$F$78"),0)))+(N297*((1/60)*(INDIRECT("'"&amp;$H$3&amp;"'!N233")+INDIRECT("'"&amp;$H$3&amp;"'!$H$19")*(INDIRECT("'"&amp;$H$3&amp;"'!N234")+(INDIRECT("'"&amp;$H$3&amp;"'!N235")*('1_Outputs'!N$52/INDIRECT("'"&amp;$H$3&amp;"'!N$96")/INDIRECT("'"&amp;$H$3&amp;"'!$H$19"))))))))/INDIRECT("'"&amp;$H$3&amp;"'!$H$10"),0)),0)</f>
        <v>0</v>
      </c>
      <c r="O306" s="837"/>
      <c r="P306" s="837"/>
      <c r="Q306" s="837">
        <f ca="1">IFERROR(MAX(Q297,ROUNDUP(((Q305*INDEX(INDIRECT("'"&amp;$H$3&amp;"'!$H$43:$H$78"),MATCH(INDIRECT("'"&amp;$H$3&amp;"'!Q220")&amp;"Average duration (hrs) per trip",INDIRECT("'"&amp;$H$3&amp;"'!$F$43:$F$78"),0)))+(Q297*((1/60)*(INDIRECT("'"&amp;$H$3&amp;"'!Q233")+INDIRECT("'"&amp;$H$3&amp;"'!$H$19")*(INDIRECT("'"&amp;$H$3&amp;"'!Q234")+(INDIRECT("'"&amp;$H$3&amp;"'!Q235")*('1_Outputs'!Q$52/INDIRECT("'"&amp;$H$3&amp;"'!Q$96")/INDIRECT("'"&amp;$H$3&amp;"'!$H$19"))))))))/INDIRECT("'"&amp;$H$3&amp;"'!$H$10"),0)),0)</f>
        <v>0</v>
      </c>
      <c r="R306" s="837"/>
      <c r="S306" s="837"/>
      <c r="T306" s="837">
        <f ca="1">IFERROR(MAX(T297,ROUNDUP(((T305*INDEX(INDIRECT("'"&amp;$H$3&amp;"'!$H$43:$H$78"),MATCH(INDIRECT("'"&amp;$H$3&amp;"'!T220")&amp;"Average duration (hrs) per trip",INDIRECT("'"&amp;$H$3&amp;"'!$F$43:$F$78"),0)))+(T297*((1/60)*(INDIRECT("'"&amp;$H$3&amp;"'!T233")+INDIRECT("'"&amp;$H$3&amp;"'!$H$19")*(INDIRECT("'"&amp;$H$3&amp;"'!T234")+(INDIRECT("'"&amp;$H$3&amp;"'!T235")*('1_Outputs'!T$52/INDIRECT("'"&amp;$H$3&amp;"'!T$96")/INDIRECT("'"&amp;$H$3&amp;"'!$H$19"))))))))/INDIRECT("'"&amp;$H$3&amp;"'!$H$10"),0)),0)</f>
        <v>0</v>
      </c>
      <c r="U306" s="837"/>
      <c r="V306" s="837"/>
      <c r="W306" s="837">
        <f ca="1">IFERROR(MAX(W297,ROUNDUP(((W305*INDEX(INDIRECT("'"&amp;$H$3&amp;"'!$H$43:$H$78"),MATCH(INDIRECT("'"&amp;$H$3&amp;"'!W220")&amp;"Average duration (hrs) per trip",INDIRECT("'"&amp;$H$3&amp;"'!$F$43:$F$78"),0)))+(W297*((1/60)*(INDIRECT("'"&amp;$H$3&amp;"'!W233")+INDIRECT("'"&amp;$H$3&amp;"'!$H$19")*(INDIRECT("'"&amp;$H$3&amp;"'!W234")+(INDIRECT("'"&amp;$H$3&amp;"'!W235")*('1_Outputs'!W$52/INDIRECT("'"&amp;$H$3&amp;"'!W$96")/INDIRECT("'"&amp;$H$3&amp;"'!$H$19"))))))))/INDIRECT("'"&amp;$H$3&amp;"'!$H$10"),0)),0)</f>
        <v>0</v>
      </c>
      <c r="X306" s="1468"/>
      <c r="Y306" s="36"/>
      <c r="Z306" s="36"/>
      <c r="AA306" s="36"/>
      <c r="AB306" s="36"/>
      <c r="AC306" s="36"/>
      <c r="AD306" s="36"/>
      <c r="AE306" s="36"/>
      <c r="AF306" s="36"/>
      <c r="AG306" s="36"/>
      <c r="AH306" s="36"/>
      <c r="AI306" s="36"/>
      <c r="AJ306" s="36"/>
      <c r="AK306" s="36"/>
      <c r="AL306" s="36"/>
      <c r="AM306" s="36"/>
      <c r="AN306" s="36"/>
    </row>
    <row r="307" spans="6:40" ht="15" customHeight="1" outlineLevel="1">
      <c r="F307" s="1664" t="s">
        <v>148</v>
      </c>
      <c r="G307" s="1675"/>
      <c r="H307" s="1676"/>
      <c r="I307" s="1676"/>
      <c r="J307" s="1676"/>
      <c r="K307" s="1676"/>
      <c r="L307" s="1676"/>
      <c r="M307" s="1676"/>
      <c r="N307" s="1676"/>
      <c r="O307" s="1676"/>
      <c r="P307" s="1676"/>
      <c r="Q307" s="1676"/>
      <c r="R307" s="1646"/>
      <c r="S307" s="1646"/>
      <c r="T307" s="1676"/>
      <c r="U307" s="1646"/>
      <c r="V307" s="1646"/>
      <c r="W307" s="1676"/>
      <c r="X307" s="1467"/>
      <c r="Y307" s="36"/>
      <c r="Z307" s="36"/>
      <c r="AA307" s="36"/>
      <c r="AB307" s="36"/>
      <c r="AC307" s="36"/>
      <c r="AD307" s="36"/>
      <c r="AE307" s="36"/>
      <c r="AF307" s="36"/>
      <c r="AG307" s="36"/>
      <c r="AH307" s="36"/>
      <c r="AI307" s="36"/>
      <c r="AJ307" s="36"/>
      <c r="AK307" s="242"/>
      <c r="AL307" s="36"/>
      <c r="AM307" s="36"/>
      <c r="AN307" s="36"/>
    </row>
    <row r="308" spans="6:40" ht="15" customHeight="1" outlineLevel="1">
      <c r="F308" s="86"/>
      <c r="G308" s="51" t="s">
        <v>151</v>
      </c>
      <c r="H308" s="836"/>
      <c r="I308" s="836"/>
      <c r="J308" s="836"/>
      <c r="K308" s="836">
        <f ca="1">IFERROR(IF(COUNTIF(INDIRECT("'"&amp;$H$3&amp;"'!K220"),"Public Transport*")&lt;1,ROUND(INDIRECT("'"&amp;$H$3&amp;"'!K$95")*INDIRECT("'"&amp;$H$3&amp;"'!K219"),0),0),0)</f>
        <v>0</v>
      </c>
      <c r="L308" s="836"/>
      <c r="M308" s="836"/>
      <c r="N308" s="836">
        <f ca="1">IFERROR(IF(COUNTIF(INDIRECT("'"&amp;$H$3&amp;"'!N220"),"Public Transport*")&lt;1,ROUND(INDIRECT("'"&amp;$H$3&amp;"'!N$95")*INDIRECT("'"&amp;$H$3&amp;"'!N219"),0),0),0)</f>
        <v>0</v>
      </c>
      <c r="O308" s="836"/>
      <c r="P308" s="836"/>
      <c r="Q308" s="836">
        <f ca="1">IFERROR(IF(COUNTIF(INDIRECT("'"&amp;$H$3&amp;"'!Q220"),"Public Transport*")&lt;1,ROUND(INDIRECT("'"&amp;$H$3&amp;"'!Q$95")*INDIRECT("'"&amp;$H$3&amp;"'!Q219"),0),0),0)</f>
        <v>0</v>
      </c>
      <c r="R308" s="1646"/>
      <c r="S308" s="1646"/>
      <c r="T308" s="836">
        <f ca="1">IFERROR(IF(COUNTIF(INDIRECT("'"&amp;$H$3&amp;"'!T220"),"Public Transport*")&lt;1,ROUND(INDIRECT("'"&amp;$H$3&amp;"'!T$95")*INDIRECT("'"&amp;$H$3&amp;"'!T219"),0),0),0)</f>
        <v>0</v>
      </c>
      <c r="U308" s="1646"/>
      <c r="V308" s="1646"/>
      <c r="W308" s="836">
        <f ca="1">IFERROR(IF(COUNTIF(INDIRECT("'"&amp;$H$3&amp;"'!W220"),"Public Transport*")&lt;1,ROUND(INDIRECT("'"&amp;$H$3&amp;"'!W$95")*INDIRECT("'"&amp;$H$3&amp;"'!W219"),0),0),0)</f>
        <v>0</v>
      </c>
      <c r="X308" s="1469"/>
      <c r="Y308" s="36"/>
      <c r="Z308" s="36"/>
      <c r="AA308" s="36"/>
      <c r="AB308" s="36"/>
      <c r="AC308" s="36"/>
      <c r="AD308" s="36"/>
      <c r="AE308" s="36"/>
      <c r="AF308" s="36"/>
      <c r="AG308" s="36"/>
      <c r="AH308" s="36"/>
      <c r="AI308" s="36"/>
      <c r="AJ308" s="36"/>
      <c r="AK308" s="242"/>
      <c r="AL308" s="36"/>
      <c r="AM308" s="36"/>
      <c r="AN308" s="36"/>
    </row>
    <row r="309" spans="6:40" ht="15" customHeight="1" outlineLevel="1">
      <c r="F309" s="52"/>
      <c r="G309" s="51" t="s">
        <v>85</v>
      </c>
      <c r="H309" s="837"/>
      <c r="I309" s="837"/>
      <c r="J309" s="837"/>
      <c r="K309" s="837">
        <f ca="1">IFERROR(IF(INDIRECT("'"&amp;$H$3&amp;"'!K228")="Route-based",K314*K315,IF(INDIRECT("'"&amp;$H$3&amp;"'!K228")="Point-to-point",K319*K320,0)),0)</f>
        <v>0</v>
      </c>
      <c r="L309" s="837"/>
      <c r="M309" s="837"/>
      <c r="N309" s="837">
        <f ca="1">IFERROR(IF(INDIRECT("'"&amp;$H$3&amp;"'!N228")="Route-based",N314*N315,IF(INDIRECT("'"&amp;$H$3&amp;"'!N228")="Point-to-point",N319*N320,0)),0)</f>
        <v>0</v>
      </c>
      <c r="O309" s="837"/>
      <c r="P309" s="837"/>
      <c r="Q309" s="837">
        <f ca="1">IFERROR(IF(INDIRECT("'"&amp;$H$3&amp;"'!Q228")="Route-based",Q314*Q315,IF(INDIRECT("'"&amp;$H$3&amp;"'!Q228")="Point-to-point",Q319*Q320,0)),0)</f>
        <v>0</v>
      </c>
      <c r="R309" s="1650"/>
      <c r="S309" s="1650"/>
      <c r="T309" s="837">
        <f ca="1">IFERROR(IF(INDIRECT("'"&amp;$H$3&amp;"'!T228")="Route-based",T314*T315,IF(INDIRECT("'"&amp;$H$3&amp;"'!T228")="Point-to-point",T319*T320,0)),0)</f>
        <v>0</v>
      </c>
      <c r="U309" s="1650"/>
      <c r="V309" s="1650"/>
      <c r="W309" s="837">
        <f ca="1">IFERROR(IF(INDIRECT("'"&amp;$H$3&amp;"'!W228")="Route-based",W314*W315,IF(INDIRECT("'"&amp;$H$3&amp;"'!W228")="Point-to-point",W319*W320,0)),0)</f>
        <v>0</v>
      </c>
      <c r="X309" s="1468"/>
      <c r="Y309" s="36"/>
      <c r="Z309" s="36"/>
      <c r="AA309" s="36"/>
      <c r="AB309" s="36"/>
      <c r="AC309" s="36"/>
      <c r="AD309" s="36"/>
      <c r="AE309" s="36"/>
      <c r="AF309" s="36"/>
      <c r="AG309" s="36"/>
      <c r="AH309" s="36"/>
      <c r="AI309" s="36"/>
      <c r="AJ309" s="36"/>
      <c r="AK309" s="242"/>
      <c r="AL309" s="36"/>
      <c r="AM309" s="36"/>
      <c r="AN309" s="36"/>
    </row>
    <row r="310" spans="6:40" ht="15" customHeight="1" outlineLevel="1">
      <c r="F310" s="52"/>
      <c r="G310" s="51" t="s">
        <v>59</v>
      </c>
      <c r="H310" s="837"/>
      <c r="I310" s="837"/>
      <c r="J310" s="837"/>
      <c r="K310" s="837">
        <f ca="1">IFERROR(IF(INDIRECT("'"&amp;$H$3&amp;"'!K228")="Route-based",ROUND(K314*K316/INDIRECT("'"&amp;$H$3&amp;"'!$H$10"),0),IF(INDIRECT("'"&amp;$H$3&amp;"'!K228")="Point-to-point",ROUND(((K308*INDIRECT("'"&amp;$H$3&amp;"'!K$96")*((1/60)*(INDIRECT("'"&amp;$H$3&amp;"'!K233")+INDIRECT("'"&amp;$H$3&amp;"'!$H$19")*(INDIRECT("'"&amp;$H$3&amp;"'!K234")+(INDIRECT("'"&amp;$H$3&amp;"'!K235")*('1_Outputs'!K$52/INDIRECT("'"&amp;$H$3&amp;"'!K$96")/INDIRECT("'"&amp;$H$3&amp;"'!$H$19")))))))+(K309/INDIRECT("'"&amp;$H$3&amp;"'!K237")))/INDIRECT("'"&amp;$H$3&amp;"'!$H$10"),0),0)),0)</f>
        <v>0</v>
      </c>
      <c r="L310" s="837"/>
      <c r="M310" s="837"/>
      <c r="N310" s="837">
        <f ca="1">IFERROR(IF(INDIRECT("'"&amp;$H$3&amp;"'!N228")="Route-based",ROUND(N314*N316/INDIRECT("'"&amp;$H$3&amp;"'!$H$10"),0),IF(INDIRECT("'"&amp;$H$3&amp;"'!N228")="Point-to-point",ROUND(((N308*INDIRECT("'"&amp;$H$3&amp;"'!N$96")*((1/60)*(INDIRECT("'"&amp;$H$3&amp;"'!N233")+INDIRECT("'"&amp;$H$3&amp;"'!$H$19")*(INDIRECT("'"&amp;$H$3&amp;"'!N234")+(INDIRECT("'"&amp;$H$3&amp;"'!N235")*('1_Outputs'!N$52/INDIRECT("'"&amp;$H$3&amp;"'!N$96")/INDIRECT("'"&amp;$H$3&amp;"'!$H$19")))))))+(N309/INDIRECT("'"&amp;$H$3&amp;"'!N237")))/INDIRECT("'"&amp;$H$3&amp;"'!$H$10"),0),0)),0)</f>
        <v>0</v>
      </c>
      <c r="O310" s="837"/>
      <c r="P310" s="837"/>
      <c r="Q310" s="837">
        <f ca="1">IFERROR(IF(INDIRECT("'"&amp;$H$3&amp;"'!Q228")="Route-based",ROUND(Q314*Q316/INDIRECT("'"&amp;$H$3&amp;"'!$H$10"),0),IF(INDIRECT("'"&amp;$H$3&amp;"'!Q228")="Point-to-point",ROUND(((Q308*INDIRECT("'"&amp;$H$3&amp;"'!Q$96")*((1/60)*(INDIRECT("'"&amp;$H$3&amp;"'!Q233")+INDIRECT("'"&amp;$H$3&amp;"'!$H$19")*(INDIRECT("'"&amp;$H$3&amp;"'!Q234")+(INDIRECT("'"&amp;$H$3&amp;"'!Q235")*('1_Outputs'!Q$52/INDIRECT("'"&amp;$H$3&amp;"'!Q$96")/INDIRECT("'"&amp;$H$3&amp;"'!$H$19")))))))+(Q309/INDIRECT("'"&amp;$H$3&amp;"'!Q237")))/INDIRECT("'"&amp;$H$3&amp;"'!$H$10"),0),0)),0)</f>
        <v>0</v>
      </c>
      <c r="R310" s="837"/>
      <c r="S310" s="837"/>
      <c r="T310" s="837">
        <f ca="1">IFERROR(IF(INDIRECT("'"&amp;$H$3&amp;"'!T228")="Route-based",ROUND(T314*T316/INDIRECT("'"&amp;$H$3&amp;"'!$H$10"),0),IF(INDIRECT("'"&amp;$H$3&amp;"'!T228")="Point-to-point",ROUND(((T308*INDIRECT("'"&amp;$H$3&amp;"'!T$96")*((1/60)*(INDIRECT("'"&amp;$H$3&amp;"'!T233")+INDIRECT("'"&amp;$H$3&amp;"'!$H$19")*(INDIRECT("'"&amp;$H$3&amp;"'!T234")+(INDIRECT("'"&amp;$H$3&amp;"'!T235")*('1_Outputs'!T$52/INDIRECT("'"&amp;$H$3&amp;"'!T$96")/INDIRECT("'"&amp;$H$3&amp;"'!$H$19")))))))+(T309/INDIRECT("'"&amp;$H$3&amp;"'!T237")))/INDIRECT("'"&amp;$H$3&amp;"'!$H$10"),0),0)),0)</f>
        <v>0</v>
      </c>
      <c r="U310" s="837"/>
      <c r="V310" s="837"/>
      <c r="W310" s="837">
        <f ca="1">IFERROR(IF(INDIRECT("'"&amp;$H$3&amp;"'!W228")="Route-based",ROUND(W314*W316/INDIRECT("'"&amp;$H$3&amp;"'!$H$10"),0),IF(INDIRECT("'"&amp;$H$3&amp;"'!W228")="Point-to-point",ROUND(((W308*INDIRECT("'"&amp;$H$3&amp;"'!W$96")*((1/60)*(INDIRECT("'"&amp;$H$3&amp;"'!W233")+INDIRECT("'"&amp;$H$3&amp;"'!$H$19")*(INDIRECT("'"&amp;$H$3&amp;"'!W234")+(INDIRECT("'"&amp;$H$3&amp;"'!W235")*('1_Outputs'!W$52/INDIRECT("'"&amp;$H$3&amp;"'!W$96")/INDIRECT("'"&amp;$H$3&amp;"'!$H$19")))))))+(W309/INDIRECT("'"&amp;$H$3&amp;"'!W237")))/INDIRECT("'"&amp;$H$3&amp;"'!$H$10"),0),0)),0)</f>
        <v>0</v>
      </c>
      <c r="X310" s="1468"/>
      <c r="Y310" s="36"/>
      <c r="Z310" s="36"/>
      <c r="AA310" s="36"/>
      <c r="AB310" s="36"/>
      <c r="AC310" s="36"/>
      <c r="AD310" s="36"/>
      <c r="AE310" s="36"/>
      <c r="AF310" s="36"/>
      <c r="AG310" s="36"/>
      <c r="AH310" s="36"/>
      <c r="AI310" s="36"/>
      <c r="AJ310" s="36"/>
      <c r="AK310" s="242"/>
      <c r="AL310" s="36"/>
      <c r="AM310" s="36"/>
      <c r="AN310" s="36"/>
    </row>
    <row r="311" spans="6:40" ht="15" customHeight="1" outlineLevel="1">
      <c r="F311" s="52"/>
      <c r="G311" s="51" t="s">
        <v>86</v>
      </c>
      <c r="H311" s="839"/>
      <c r="I311" s="839"/>
      <c r="J311" s="839"/>
      <c r="K311" s="839">
        <f ca="1">IFERROR(IF(INDIRECT("'"&amp;$H$3&amp;"'!K228")="Route-based",IF(INDIRECT("'"&amp;$H$3&amp;"'!K225")="Yes",K211, IF(INDIRECT("'"&amp;$H$3&amp;"'!K225")="No",K310/(INDIRECT("'"&amp;$H$3&amp;"'!$H$9")*INDIRECT("'"&amp;$H$3&amp;"'!K224")))),
IF(INDIRECT("'"&amp;$H$3&amp;"'!K228")="Point-to-point",IF(INDIRECT("'"&amp;$H$3&amp;"'!K225")="Yes",K211,IF(INDIRECT("'"&amp;$H$3&amp;"'!K225")="No",K310/(INDIRECT("'"&amp;$H$3&amp;"'!$H$9")*INDIRECT("'"&amp;$H$3&amp;"'!K224")))),0)),0)</f>
        <v>0</v>
      </c>
      <c r="L311" s="839"/>
      <c r="M311" s="839"/>
      <c r="N311" s="839">
        <f ca="1">IFERROR(IF(INDIRECT("'"&amp;$H$3&amp;"'!N228")="Route-based",IF(INDIRECT("'"&amp;$H$3&amp;"'!N225")="Yes",N211, IF(INDIRECT("'"&amp;$H$3&amp;"'!N225")="No",N310/(INDIRECT("'"&amp;$H$3&amp;"'!$H$9")*INDIRECT("'"&amp;$H$3&amp;"'!N224")))),
IF(INDIRECT("'"&amp;$H$3&amp;"'!N228")="Point-to-point",IF(INDIRECT("'"&amp;$H$3&amp;"'!N225")="Yes",N211,IF(INDIRECT("'"&amp;$H$3&amp;"'!N225")="No",N310/(INDIRECT("'"&amp;$H$3&amp;"'!$H$9")*INDIRECT("'"&amp;$H$3&amp;"'!N224")))),0)),0)</f>
        <v>0</v>
      </c>
      <c r="O311" s="839"/>
      <c r="P311" s="839"/>
      <c r="Q311" s="839">
        <f ca="1">IFERROR(IF(INDIRECT("'"&amp;$H$3&amp;"'!Q228")="Route-based",IF(INDIRECT("'"&amp;$H$3&amp;"'!Q225")="Yes",Q211, IF(INDIRECT("'"&amp;$H$3&amp;"'!Q225")="No",Q310/(INDIRECT("'"&amp;$H$3&amp;"'!$H$9")*INDIRECT("'"&amp;$H$3&amp;"'!Q224")))),
IF(INDIRECT("'"&amp;$H$3&amp;"'!Q228")="Point-to-point",IF(INDIRECT("'"&amp;$H$3&amp;"'!Q225")="Yes",Q211,IF(INDIRECT("'"&amp;$H$3&amp;"'!Q225")="No",Q310/(INDIRECT("'"&amp;$H$3&amp;"'!$H$9")*INDIRECT("'"&amp;$H$3&amp;"'!Q224")))),0)),0)</f>
        <v>0</v>
      </c>
      <c r="R311" s="839"/>
      <c r="S311" s="839"/>
      <c r="T311" s="839">
        <f ca="1">IFERROR(IF(INDIRECT("'"&amp;$H$3&amp;"'!T228")="Route-based",IF(INDIRECT("'"&amp;$H$3&amp;"'!T225")="Yes",T211, IF(INDIRECT("'"&amp;$H$3&amp;"'!T225")="No",T310/(INDIRECT("'"&amp;$H$3&amp;"'!$H$9")*INDIRECT("'"&amp;$H$3&amp;"'!T224")))),
IF(INDIRECT("'"&amp;$H$3&amp;"'!T228")="Point-to-point",IF(INDIRECT("'"&amp;$H$3&amp;"'!T225")="Yes",T211,IF(INDIRECT("'"&amp;$H$3&amp;"'!T225")="No",T310/(INDIRECT("'"&amp;$H$3&amp;"'!$H$9")*INDIRECT("'"&amp;$H$3&amp;"'!T224")))),0)),0)</f>
        <v>0</v>
      </c>
      <c r="U311" s="839"/>
      <c r="V311" s="839"/>
      <c r="W311" s="839">
        <f ca="1">IFERROR(IF(INDIRECT("'"&amp;$H$3&amp;"'!W228")="Route-based",IF(INDIRECT("'"&amp;$H$3&amp;"'!W225")="Yes",W211, IF(INDIRECT("'"&amp;$H$3&amp;"'!W225")="No",W310/(INDIRECT("'"&amp;$H$3&amp;"'!$H$9")*INDIRECT("'"&amp;$H$3&amp;"'!W224")))),
IF(INDIRECT("'"&amp;$H$3&amp;"'!W228")="Point-to-point",IF(INDIRECT("'"&amp;$H$3&amp;"'!W225")="Yes",W211,IF(INDIRECT("'"&amp;$H$3&amp;"'!W225")="No",W310/(INDIRECT("'"&amp;$H$3&amp;"'!$H$9")*INDIRECT("'"&amp;$H$3&amp;"'!W224")))),0)),0)</f>
        <v>0</v>
      </c>
      <c r="X311" s="1470"/>
      <c r="Y311" s="36"/>
      <c r="Z311" s="36"/>
      <c r="AA311" s="36"/>
      <c r="AB311" s="36"/>
      <c r="AC311" s="36"/>
      <c r="AD311" s="36"/>
      <c r="AE311" s="36"/>
      <c r="AF311" s="36"/>
      <c r="AG311" s="36"/>
      <c r="AH311" s="36"/>
      <c r="AI311" s="36"/>
      <c r="AJ311" s="36"/>
      <c r="AK311" s="36" t="s">
        <v>191</v>
      </c>
      <c r="AL311" s="36"/>
      <c r="AM311" s="36"/>
      <c r="AN311" s="36"/>
    </row>
    <row r="312" spans="6:40" ht="15" customHeight="1" outlineLevel="1" collapsed="1">
      <c r="F312" s="52"/>
      <c r="G312" s="1613" t="s">
        <v>133</v>
      </c>
      <c r="H312" s="842"/>
      <c r="I312" s="842"/>
      <c r="J312" s="842"/>
      <c r="K312" s="842"/>
      <c r="L312" s="842"/>
      <c r="M312" s="842"/>
      <c r="N312" s="842"/>
      <c r="O312" s="842"/>
      <c r="P312" s="842"/>
      <c r="Q312" s="842"/>
      <c r="R312" s="1650"/>
      <c r="S312" s="1650"/>
      <c r="T312" s="842"/>
      <c r="U312" s="1650"/>
      <c r="V312" s="1650"/>
      <c r="W312" s="842"/>
      <c r="X312" s="1470"/>
      <c r="Y312" s="36"/>
      <c r="Z312" s="36"/>
      <c r="AA312" s="36"/>
      <c r="AB312" s="36"/>
      <c r="AC312" s="36"/>
      <c r="AD312" s="36"/>
      <c r="AE312" s="36"/>
      <c r="AF312" s="36"/>
      <c r="AG312" s="36"/>
      <c r="AH312" s="36"/>
      <c r="AI312" s="36"/>
      <c r="AJ312" s="36"/>
      <c r="AK312" s="36"/>
      <c r="AL312" s="36"/>
      <c r="AM312" s="36"/>
      <c r="AN312" s="36"/>
    </row>
    <row r="313" spans="6:40" ht="15" customHeight="1" outlineLevel="1">
      <c r="F313" s="52"/>
      <c r="G313" s="51" t="s">
        <v>129</v>
      </c>
      <c r="H313" s="836"/>
      <c r="I313" s="836"/>
      <c r="J313" s="836"/>
      <c r="K313" s="836">
        <f ca="1">IFERROR(((INDIRECT("'"&amp;$H$3&amp;"'!K229")*INDIRECT("'"&amp;$H$3&amp;"'!$H$10"))-(2*INDIRECT("'"&amp;$H$3&amp;"'!K$98")/INDIRECT("'"&amp;$H$3&amp;"'!K237"))+(INDIRECT("'"&amp;$H$3&amp;"'!K$99")/INDIRECT("'"&amp;$H$3&amp;"'!K236")))/(((1/60)*(INDIRECT("'"&amp;$H$3&amp;"'!K233")+INDIRECT("'"&amp;$H$3&amp;"'!$H$19")*(INDIRECT("'"&amp;$H$3&amp;"'!K234")+(INDIRECT("'"&amp;$H$3&amp;"'!K235")*('1_Outputs'!K$52/INDIRECT("'"&amp;$H$3&amp;"'!K$96")/INDIRECT("'"&amp;$H$3&amp;"'!$H$19"))))))+(INDIRECT("'"&amp;$H$3&amp;"'!K$99")/INDIRECT("'"&amp;$H$3&amp;"'!K236"))),0)</f>
        <v>0</v>
      </c>
      <c r="L313" s="836"/>
      <c r="M313" s="836"/>
      <c r="N313" s="836">
        <f ca="1">IFERROR(((INDIRECT("'"&amp;$H$3&amp;"'!N229")*INDIRECT("'"&amp;$H$3&amp;"'!$H$10"))-(2*INDIRECT("'"&amp;$H$3&amp;"'!N$98")/INDIRECT("'"&amp;$H$3&amp;"'!N237"))+(INDIRECT("'"&amp;$H$3&amp;"'!N$99")/INDIRECT("'"&amp;$H$3&amp;"'!N236")))/(((1/60)*(INDIRECT("'"&amp;$H$3&amp;"'!N233")+INDIRECT("'"&amp;$H$3&amp;"'!$H$19")*(INDIRECT("'"&amp;$H$3&amp;"'!N234")+(INDIRECT("'"&amp;$H$3&amp;"'!N235")*('1_Outputs'!N$52/INDIRECT("'"&amp;$H$3&amp;"'!N$96")/INDIRECT("'"&amp;$H$3&amp;"'!$H$19"))))))+(INDIRECT("'"&amp;$H$3&amp;"'!N$99")/INDIRECT("'"&amp;$H$3&amp;"'!N236"))),0)</f>
        <v>0</v>
      </c>
      <c r="O313" s="836"/>
      <c r="P313" s="836"/>
      <c r="Q313" s="836">
        <f ca="1">IFERROR(((INDIRECT("'"&amp;$H$3&amp;"'!Q229")*INDIRECT("'"&amp;$H$3&amp;"'!$H$10"))-(2*INDIRECT("'"&amp;$H$3&amp;"'!Q$98")/INDIRECT("'"&amp;$H$3&amp;"'!Q237"))+(INDIRECT("'"&amp;$H$3&amp;"'!Q$99")/INDIRECT("'"&amp;$H$3&amp;"'!Q236")))/(((1/60)*(INDIRECT("'"&amp;$H$3&amp;"'!Q233")+INDIRECT("'"&amp;$H$3&amp;"'!$H$19")*(INDIRECT("'"&amp;$H$3&amp;"'!Q234")+(INDIRECT("'"&amp;$H$3&amp;"'!Q235")*('1_Outputs'!Q$52/INDIRECT("'"&amp;$H$3&amp;"'!Q$96")/INDIRECT("'"&amp;$H$3&amp;"'!$H$19"))))))+(INDIRECT("'"&amp;$H$3&amp;"'!Q$99")/INDIRECT("'"&amp;$H$3&amp;"'!Q236"))),0)</f>
        <v>0</v>
      </c>
      <c r="R313" s="836"/>
      <c r="S313" s="836"/>
      <c r="T313" s="836">
        <f ca="1">IFERROR(((INDIRECT("'"&amp;$H$3&amp;"'!T229")*INDIRECT("'"&amp;$H$3&amp;"'!$H$10"))-(2*INDIRECT("'"&amp;$H$3&amp;"'!T$98")/INDIRECT("'"&amp;$H$3&amp;"'!T237"))+(INDIRECT("'"&amp;$H$3&amp;"'!T$99")/INDIRECT("'"&amp;$H$3&amp;"'!T236")))/(((1/60)*(INDIRECT("'"&amp;$H$3&amp;"'!T233")+INDIRECT("'"&amp;$H$3&amp;"'!$H$19")*(INDIRECT("'"&amp;$H$3&amp;"'!T234")+(INDIRECT("'"&amp;$H$3&amp;"'!T235")*('1_Outputs'!T$52/INDIRECT("'"&amp;$H$3&amp;"'!T$96")/INDIRECT("'"&amp;$H$3&amp;"'!$H$19"))))))+(INDIRECT("'"&amp;$H$3&amp;"'!T$99")/INDIRECT("'"&amp;$H$3&amp;"'!T236"))),0)</f>
        <v>0</v>
      </c>
      <c r="U313" s="836"/>
      <c r="V313" s="836"/>
      <c r="W313" s="836">
        <f ca="1">IFERROR(((INDIRECT("'"&amp;$H$3&amp;"'!W229")*INDIRECT("'"&amp;$H$3&amp;"'!$H$10"))-(2*INDIRECT("'"&amp;$H$3&amp;"'!W$98")/INDIRECT("'"&amp;$H$3&amp;"'!W237"))+(INDIRECT("'"&amp;$H$3&amp;"'!W$99")/INDIRECT("'"&amp;$H$3&amp;"'!W236")))/(((1/60)*(INDIRECT("'"&amp;$H$3&amp;"'!W233")+INDIRECT("'"&amp;$H$3&amp;"'!$H$19")*(INDIRECT("'"&amp;$H$3&amp;"'!W234")+(INDIRECT("'"&amp;$H$3&amp;"'!W235")*('1_Outputs'!W$52/INDIRECT("'"&amp;$H$3&amp;"'!W$96")/INDIRECT("'"&amp;$H$3&amp;"'!$H$19"))))))+(INDIRECT("'"&amp;$H$3&amp;"'!W$99")/INDIRECT("'"&amp;$H$3&amp;"'!W236"))),0)</f>
        <v>0</v>
      </c>
      <c r="X313" s="1469"/>
      <c r="Y313" s="36"/>
      <c r="Z313" s="36"/>
      <c r="AA313" s="36"/>
      <c r="AB313" s="36"/>
      <c r="AC313" s="36"/>
      <c r="AD313" s="36"/>
      <c r="AE313" s="36"/>
      <c r="AF313" s="36"/>
      <c r="AG313" s="36"/>
      <c r="AH313" s="36"/>
      <c r="AI313" s="36"/>
      <c r="AJ313" s="36"/>
      <c r="AK313" s="36"/>
      <c r="AL313" s="36"/>
      <c r="AM313" s="36"/>
      <c r="AN313" s="36"/>
    </row>
    <row r="314" spans="6:40" ht="15" customHeight="1" outlineLevel="1">
      <c r="F314" s="52"/>
      <c r="G314" s="51" t="s">
        <v>206</v>
      </c>
      <c r="H314" s="836"/>
      <c r="I314" s="836"/>
      <c r="J314" s="836"/>
      <c r="K314" s="836">
        <f ca="1">IFERROR(ROUND(K308*INDIRECT("'"&amp;$H$3&amp;"'!K$96")/K313,0),0)</f>
        <v>0</v>
      </c>
      <c r="L314" s="836"/>
      <c r="M314" s="836"/>
      <c r="N314" s="836">
        <f ca="1">IFERROR(ROUND(N308*INDIRECT("'"&amp;$H$3&amp;"'!N$96")/N313,0),0)</f>
        <v>0</v>
      </c>
      <c r="O314" s="836"/>
      <c r="P314" s="836"/>
      <c r="Q314" s="836">
        <f ca="1">IFERROR(ROUND(Q308*INDIRECT("'"&amp;$H$3&amp;"'!Q$96")/Q313,0),0)</f>
        <v>0</v>
      </c>
      <c r="R314" s="836"/>
      <c r="S314" s="836"/>
      <c r="T314" s="836">
        <f ca="1">IFERROR(ROUND(T308*INDIRECT("'"&amp;$H$3&amp;"'!T$96")/T313,0),0)</f>
        <v>0</v>
      </c>
      <c r="U314" s="836"/>
      <c r="V314" s="836"/>
      <c r="W314" s="836">
        <f ca="1">IFERROR(ROUND(W308*INDIRECT("'"&amp;$H$3&amp;"'!W$96")/W313,0),0)</f>
        <v>0</v>
      </c>
      <c r="X314" s="1469"/>
      <c r="Y314" s="36"/>
      <c r="Z314" s="36"/>
      <c r="AA314" s="36"/>
      <c r="AB314" s="36"/>
      <c r="AC314" s="36"/>
      <c r="AD314" s="36"/>
      <c r="AE314" s="36"/>
      <c r="AF314" s="36"/>
      <c r="AG314" s="36"/>
      <c r="AH314" s="36"/>
      <c r="AI314" s="36"/>
      <c r="AJ314" s="36"/>
      <c r="AK314" s="36"/>
      <c r="AL314" s="36"/>
      <c r="AM314" s="36"/>
      <c r="AN314" s="36"/>
    </row>
    <row r="315" spans="6:40" ht="15" customHeight="1" outlineLevel="1">
      <c r="F315" s="52"/>
      <c r="G315" s="51" t="s">
        <v>87</v>
      </c>
      <c r="H315" s="836"/>
      <c r="I315" s="836"/>
      <c r="J315" s="836"/>
      <c r="K315" s="836">
        <f ca="1">IFERROR(IF(K308=0,0,(2*INDIRECT("'"&amp;$H$3&amp;"'!K$98"))+((MAX(K313, 1)-1)*INDIRECT("'"&amp;$H$3&amp;"'!K$99"))),0)</f>
        <v>0</v>
      </c>
      <c r="L315" s="836"/>
      <c r="M315" s="836"/>
      <c r="N315" s="836">
        <f ca="1">IFERROR(IF(N308=0,0,(2*INDIRECT("'"&amp;$H$3&amp;"'!N$98"))+((MAX(N313, 1)-1)*INDIRECT("'"&amp;$H$3&amp;"'!N$99"))),0)</f>
        <v>0</v>
      </c>
      <c r="O315" s="836"/>
      <c r="P315" s="836"/>
      <c r="Q315" s="836">
        <f ca="1">IFERROR(IF(Q308=0,0,(2*INDIRECT("'"&amp;$H$3&amp;"'!Q$98"))+((MAX(Q313, 1)-1)*INDIRECT("'"&amp;$H$3&amp;"'!Q$99"))),0)</f>
        <v>0</v>
      </c>
      <c r="R315" s="836"/>
      <c r="S315" s="836"/>
      <c r="T315" s="836">
        <f ca="1">IFERROR(IF(T308=0,0,(2*INDIRECT("'"&amp;$H$3&amp;"'!T$98"))+((MAX(T313, 1)-1)*INDIRECT("'"&amp;$H$3&amp;"'!T$99"))),0)</f>
        <v>0</v>
      </c>
      <c r="U315" s="836"/>
      <c r="V315" s="836"/>
      <c r="W315" s="836">
        <f ca="1">IFERROR(IF(W308=0,0,(2*INDIRECT("'"&amp;$H$3&amp;"'!W$98"))+((MAX(W313, 1)-1)*INDIRECT("'"&amp;$H$3&amp;"'!W$99"))),0)</f>
        <v>0</v>
      </c>
      <c r="X315" s="1469"/>
      <c r="Y315" s="36"/>
      <c r="Z315" s="36"/>
      <c r="AA315" s="36"/>
      <c r="AB315" s="36"/>
      <c r="AC315" s="36"/>
      <c r="AD315" s="36"/>
      <c r="AE315" s="36"/>
      <c r="AF315" s="36"/>
      <c r="AG315" s="36"/>
      <c r="AH315" s="36"/>
      <c r="AI315" s="36"/>
      <c r="AJ315" s="36"/>
      <c r="AK315" s="36"/>
      <c r="AL315" s="36"/>
      <c r="AM315" s="36"/>
      <c r="AN315" s="36"/>
    </row>
    <row r="316" spans="6:40" ht="15" customHeight="1" outlineLevel="1">
      <c r="F316" s="52"/>
      <c r="G316" s="51" t="s">
        <v>203</v>
      </c>
      <c r="H316" s="836"/>
      <c r="I316" s="836"/>
      <c r="J316" s="836"/>
      <c r="K316" s="836">
        <f ca="1">IFERROR((ROUNDUP(K313,1)*((1/60)*(INDIRECT("'"&amp;$H$3&amp;"'!K233")+INDIRECT("'"&amp;$H$3&amp;"'!$H$19")*(INDIRECT("'"&amp;$H$3&amp;"'!K234")+(INDIRECT("'"&amp;$H$3&amp;"'!K235")*('1_Outputs'!K$52/INDIRECT("'"&amp;$H$3&amp;"'!K$96")/INDIRECT("'"&amp;$H$3&amp;"'!$H$19")))))))+((2*INDIRECT("'"&amp;$H$3&amp;"'!K$98"))/INDIRECT("'"&amp;$H$3&amp;"'!K237"))+(((MAX(K313,1)-1)*INDIRECT("'"&amp;$H$3&amp;"'!K$99"))/INDIRECT("'"&amp;$H$3&amp;"'!K236")),0)</f>
        <v>0</v>
      </c>
      <c r="L316" s="836"/>
      <c r="M316" s="836"/>
      <c r="N316" s="836">
        <f ca="1">IFERROR((ROUNDUP(N313,1)*((1/60)*(INDIRECT("'"&amp;$H$3&amp;"'!N233")+INDIRECT("'"&amp;$H$3&amp;"'!$H$19")*(INDIRECT("'"&amp;$H$3&amp;"'!N234")+(INDIRECT("'"&amp;$H$3&amp;"'!N235")*('1_Outputs'!N$52/INDIRECT("'"&amp;$H$3&amp;"'!N$96")/INDIRECT("'"&amp;$H$3&amp;"'!$H$19")))))))+((2*INDIRECT("'"&amp;$H$3&amp;"'!N$98"))/INDIRECT("'"&amp;$H$3&amp;"'!N237"))+(((MAX(N313,1)-1)*INDIRECT("'"&amp;$H$3&amp;"'!N$99"))/INDIRECT("'"&amp;$H$3&amp;"'!N236")),0)</f>
        <v>0</v>
      </c>
      <c r="O316" s="836"/>
      <c r="P316" s="836"/>
      <c r="Q316" s="836">
        <f ca="1">IFERROR((ROUNDUP(Q313,1)*((1/60)*(INDIRECT("'"&amp;$H$3&amp;"'!Q233")+INDIRECT("'"&amp;$H$3&amp;"'!$H$19")*(INDIRECT("'"&amp;$H$3&amp;"'!Q234")+(INDIRECT("'"&amp;$H$3&amp;"'!Q235")*('1_Outputs'!Q$52/INDIRECT("'"&amp;$H$3&amp;"'!Q$96")/INDIRECT("'"&amp;$H$3&amp;"'!$H$19")))))))+((2*INDIRECT("'"&amp;$H$3&amp;"'!Q$98"))/INDIRECT("'"&amp;$H$3&amp;"'!Q237"))+(((MAX(Q313,1)-1)*INDIRECT("'"&amp;$H$3&amp;"'!Q$99"))/INDIRECT("'"&amp;$H$3&amp;"'!Q236")),0)</f>
        <v>0</v>
      </c>
      <c r="R316" s="836"/>
      <c r="S316" s="836"/>
      <c r="T316" s="836">
        <f ca="1">IFERROR((ROUNDUP(T313,1)*((1/60)*(INDIRECT("'"&amp;$H$3&amp;"'!T233")+INDIRECT("'"&amp;$H$3&amp;"'!$H$19")*(INDIRECT("'"&amp;$H$3&amp;"'!T234")+(INDIRECT("'"&amp;$H$3&amp;"'!T235")*('1_Outputs'!T$52/INDIRECT("'"&amp;$H$3&amp;"'!T$96")/INDIRECT("'"&amp;$H$3&amp;"'!$H$19")))))))+((2*INDIRECT("'"&amp;$H$3&amp;"'!T$98"))/INDIRECT("'"&amp;$H$3&amp;"'!T237"))+(((MAX(T313,1)-1)*INDIRECT("'"&amp;$H$3&amp;"'!T$99"))/INDIRECT("'"&amp;$H$3&amp;"'!T236")),0)</f>
        <v>0</v>
      </c>
      <c r="U316" s="836"/>
      <c r="V316" s="836"/>
      <c r="W316" s="836">
        <f ca="1">IFERROR((ROUNDUP(W313,1)*((1/60)*(INDIRECT("'"&amp;$H$3&amp;"'!W233")+INDIRECT("'"&amp;$H$3&amp;"'!$H$19")*(INDIRECT("'"&amp;$H$3&amp;"'!W234")+(INDIRECT("'"&amp;$H$3&amp;"'!W235")*('1_Outputs'!W$52/INDIRECT("'"&amp;$H$3&amp;"'!W$96")/INDIRECT("'"&amp;$H$3&amp;"'!$H$19")))))))+((2*INDIRECT("'"&amp;$H$3&amp;"'!W$98"))/INDIRECT("'"&amp;$H$3&amp;"'!W237"))+(((MAX(W313,1)-1)*INDIRECT("'"&amp;$H$3&amp;"'!W$99"))/INDIRECT("'"&amp;$H$3&amp;"'!W236")),0)</f>
        <v>0</v>
      </c>
      <c r="X316" s="1465"/>
      <c r="Y316" s="36"/>
      <c r="Z316" s="36"/>
      <c r="AA316" s="36"/>
      <c r="AB316" s="36"/>
      <c r="AC316" s="36"/>
      <c r="AD316" s="36"/>
      <c r="AE316" s="36"/>
      <c r="AF316" s="36"/>
      <c r="AG316" s="36"/>
      <c r="AH316" s="36"/>
      <c r="AI316" s="36"/>
      <c r="AJ316" s="36"/>
      <c r="AK316" s="36"/>
      <c r="AL316" s="36"/>
      <c r="AM316" s="36"/>
      <c r="AN316" s="36"/>
    </row>
    <row r="317" spans="6:40" ht="15" customHeight="1" outlineLevel="1">
      <c r="F317" s="52"/>
      <c r="G317" s="51" t="s">
        <v>204</v>
      </c>
      <c r="H317" s="836"/>
      <c r="I317" s="836"/>
      <c r="J317" s="836"/>
      <c r="K317" s="836">
        <f ca="1">IFERROR((INDIRECT("'"&amp;$H$3&amp;"'!$H$10")*INDIRECT("'"&amp;$H$3&amp;"'!$H$9")*INDIRECT("'"&amp;$H$3&amp;"'!K224"))/K316,0)</f>
        <v>0</v>
      </c>
      <c r="L317" s="836"/>
      <c r="M317" s="836"/>
      <c r="N317" s="836">
        <f ca="1">IFERROR((INDIRECT("'"&amp;$H$3&amp;"'!$H$10")*INDIRECT("'"&amp;$H$3&amp;"'!$H$9")*INDIRECT("'"&amp;$H$3&amp;"'!N224"))/N316,0)</f>
        <v>0</v>
      </c>
      <c r="O317" s="836"/>
      <c r="P317" s="836"/>
      <c r="Q317" s="836">
        <f ca="1">IFERROR((INDIRECT("'"&amp;$H$3&amp;"'!$H$10")*INDIRECT("'"&amp;$H$3&amp;"'!$H$9")*INDIRECT("'"&amp;$H$3&amp;"'!Q224"))/Q316,0)</f>
        <v>0</v>
      </c>
      <c r="R317" s="836"/>
      <c r="S317" s="836"/>
      <c r="T317" s="836">
        <f ca="1">IFERROR((INDIRECT("'"&amp;$H$3&amp;"'!$H$10")*INDIRECT("'"&amp;$H$3&amp;"'!$H$9")*INDIRECT("'"&amp;$H$3&amp;"'!T224"))/T316,0)</f>
        <v>0</v>
      </c>
      <c r="U317" s="836"/>
      <c r="V317" s="836"/>
      <c r="W317" s="836">
        <f ca="1">IFERROR((INDIRECT("'"&amp;$H$3&amp;"'!$H$10")*INDIRECT("'"&amp;$H$3&amp;"'!$H$9")*INDIRECT("'"&amp;$H$3&amp;"'!W224"))/W316,0)</f>
        <v>0</v>
      </c>
      <c r="X317" s="1465"/>
      <c r="Y317" s="36"/>
      <c r="Z317" s="36"/>
      <c r="AA317" s="36"/>
      <c r="AB317" s="36"/>
      <c r="AC317" s="36"/>
      <c r="AD317" s="36"/>
      <c r="AE317" s="36"/>
      <c r="AF317" s="36"/>
      <c r="AG317" s="36"/>
      <c r="AH317" s="36"/>
      <c r="AI317" s="36"/>
      <c r="AJ317" s="36"/>
      <c r="AK317" s="242"/>
      <c r="AL317" s="36"/>
      <c r="AM317" s="36"/>
      <c r="AN317" s="36"/>
    </row>
    <row r="318" spans="6:40" ht="15" customHeight="1" outlineLevel="1">
      <c r="F318" s="52"/>
      <c r="G318" s="1613" t="s">
        <v>134</v>
      </c>
      <c r="H318" s="842"/>
      <c r="I318" s="842"/>
      <c r="J318" s="842"/>
      <c r="K318" s="842"/>
      <c r="L318" s="842"/>
      <c r="M318" s="842"/>
      <c r="N318" s="842"/>
      <c r="O318" s="842"/>
      <c r="P318" s="842"/>
      <c r="Q318" s="842"/>
      <c r="R318" s="1650"/>
      <c r="S318" s="1650"/>
      <c r="T318" s="842"/>
      <c r="U318" s="1650"/>
      <c r="V318" s="1650"/>
      <c r="W318" s="842"/>
      <c r="X318" s="1470"/>
      <c r="Y318" s="36"/>
      <c r="Z318" s="36"/>
      <c r="AA318" s="36"/>
      <c r="AB318" s="36"/>
      <c r="AC318" s="36"/>
      <c r="AD318" s="36"/>
      <c r="AE318" s="36"/>
      <c r="AF318" s="36"/>
      <c r="AG318" s="36"/>
      <c r="AH318" s="36"/>
      <c r="AI318" s="36"/>
      <c r="AJ318" s="36"/>
      <c r="AK318" s="242"/>
      <c r="AL318" s="36"/>
      <c r="AM318" s="36"/>
      <c r="AN318" s="36"/>
    </row>
    <row r="319" spans="6:40" ht="15" customHeight="1" outlineLevel="1">
      <c r="F319" s="52"/>
      <c r="G319" s="51" t="s">
        <v>206</v>
      </c>
      <c r="H319" s="836"/>
      <c r="I319" s="836"/>
      <c r="J319" s="836"/>
      <c r="K319" s="836">
        <f ca="1">IFERROR(K308*INDIRECT("'"&amp;$H$3&amp;"'!K$96"),0)</f>
        <v>0</v>
      </c>
      <c r="L319" s="836"/>
      <c r="M319" s="836"/>
      <c r="N319" s="836">
        <f ca="1">IFERROR(N308*INDIRECT("'"&amp;$H$3&amp;"'!N$96"),0)</f>
        <v>0</v>
      </c>
      <c r="O319" s="836"/>
      <c r="P319" s="836"/>
      <c r="Q319" s="836">
        <f ca="1">IFERROR(Q308*INDIRECT("'"&amp;$H$3&amp;"'!Q$96"),0)</f>
        <v>0</v>
      </c>
      <c r="R319" s="836"/>
      <c r="S319" s="836"/>
      <c r="T319" s="836">
        <f ca="1">IFERROR(T308*INDIRECT("'"&amp;$H$3&amp;"'!T$96"),0)</f>
        <v>0</v>
      </c>
      <c r="U319" s="836"/>
      <c r="V319" s="836"/>
      <c r="W319" s="836">
        <f ca="1">IFERROR(W308*INDIRECT("'"&amp;$H$3&amp;"'!W$96"),0)</f>
        <v>0</v>
      </c>
      <c r="X319" s="1469"/>
      <c r="Y319" s="36"/>
      <c r="Z319" s="36"/>
      <c r="AA319" s="36"/>
      <c r="AB319" s="36" t="s">
        <v>192</v>
      </c>
      <c r="AC319" s="36"/>
      <c r="AD319" s="36" t="s">
        <v>193</v>
      </c>
      <c r="AE319" s="36"/>
      <c r="AF319" s="36"/>
      <c r="AG319" s="36"/>
      <c r="AH319" s="36"/>
      <c r="AI319" s="36"/>
      <c r="AJ319" s="36"/>
      <c r="AK319" s="36"/>
      <c r="AL319" s="36"/>
      <c r="AM319" s="36"/>
      <c r="AN319" s="36"/>
    </row>
    <row r="320" spans="6:40" ht="15" customHeight="1" outlineLevel="1">
      <c r="F320" s="52"/>
      <c r="G320" s="51" t="s">
        <v>87</v>
      </c>
      <c r="H320" s="836"/>
      <c r="I320" s="836"/>
      <c r="J320" s="836"/>
      <c r="K320" s="836">
        <f ca="1">IFERROR(IF(K308=0,0,2*INDIRECT("'"&amp;$H$3&amp;"'!K$98")),0)</f>
        <v>0</v>
      </c>
      <c r="L320" s="836"/>
      <c r="M320" s="836"/>
      <c r="N320" s="836">
        <f ca="1">IFERROR(IF(N308=0,0,2*INDIRECT("'"&amp;$H$3&amp;"'!N$98")),0)</f>
        <v>0</v>
      </c>
      <c r="O320" s="836"/>
      <c r="P320" s="836"/>
      <c r="Q320" s="836">
        <f ca="1">IFERROR(IF(Q308=0,0,2*INDIRECT("'"&amp;$H$3&amp;"'!Q$98")),0)</f>
        <v>0</v>
      </c>
      <c r="R320" s="836"/>
      <c r="S320" s="836"/>
      <c r="T320" s="836">
        <f ca="1">IFERROR(IF(T308=0,0,2*INDIRECT("'"&amp;$H$3&amp;"'!T$98")),0)</f>
        <v>0</v>
      </c>
      <c r="U320" s="836"/>
      <c r="V320" s="836"/>
      <c r="W320" s="836">
        <f ca="1">IFERROR(IF(W308=0,0,2*INDIRECT("'"&amp;$H$3&amp;"'!W$98")),0)</f>
        <v>0</v>
      </c>
      <c r="X320" s="1469"/>
      <c r="Y320" s="36"/>
      <c r="Z320" s="36"/>
      <c r="AA320" s="36"/>
      <c r="AB320" s="36" t="s">
        <v>194</v>
      </c>
      <c r="AC320" s="36"/>
      <c r="AD320" s="36" t="s">
        <v>195</v>
      </c>
      <c r="AE320" s="36"/>
      <c r="AF320" s="36"/>
      <c r="AG320" s="36"/>
      <c r="AH320" s="36"/>
      <c r="AI320" s="36"/>
      <c r="AJ320" s="36"/>
      <c r="AK320" s="36"/>
      <c r="AL320" s="36"/>
      <c r="AM320" s="36"/>
      <c r="AN320" s="36"/>
    </row>
    <row r="321" spans="6:40" ht="15" customHeight="1" outlineLevel="1">
      <c r="F321" s="52"/>
      <c r="G321" s="51" t="s">
        <v>204</v>
      </c>
      <c r="H321" s="837"/>
      <c r="I321" s="837"/>
      <c r="J321" s="837"/>
      <c r="K321" s="837">
        <f ca="1">IFERROR((INDIRECT("'"&amp;$H$3&amp;"'!$H$10")*INDIRECT("'"&amp;$H$3&amp;"'!$H$9")*INDIRECT("'"&amp;$H$3&amp;"'!K224"))/((K320/INDIRECT("'"&amp;$H$3&amp;"'!K237"))+((1/60)*(INDIRECT("'"&amp;$H$3&amp;"'!K233")+INDIRECT("'"&amp;$H$3&amp;"'!$H$19")*(INDIRECT("'"&amp;$H$3&amp;"'!K234")+(INDIRECT("'"&amp;$H$3&amp;"'!K235")*('1_Outputs'!K$52/INDIRECT("'"&amp;$H$3&amp;"'!K$96")/INDIRECT("'"&amp;$H$3&amp;"'!$H$19"))))))),0)</f>
        <v>0</v>
      </c>
      <c r="L321" s="837"/>
      <c r="M321" s="837"/>
      <c r="N321" s="837">
        <f ca="1">IFERROR((INDIRECT("'"&amp;$H$3&amp;"'!$H$10")*INDIRECT("'"&amp;$H$3&amp;"'!$H$9")*INDIRECT("'"&amp;$H$3&amp;"'!N224"))/((N320/INDIRECT("'"&amp;$H$3&amp;"'!N237"))+((1/60)*(INDIRECT("'"&amp;$H$3&amp;"'!N233")+INDIRECT("'"&amp;$H$3&amp;"'!$H$19")*(INDIRECT("'"&amp;$H$3&amp;"'!N234")+(INDIRECT("'"&amp;$H$3&amp;"'!N235")*('1_Outputs'!N$52/INDIRECT("'"&amp;$H$3&amp;"'!N$96")/INDIRECT("'"&amp;$H$3&amp;"'!$H$19"))))))),0)</f>
        <v>0</v>
      </c>
      <c r="O321" s="837"/>
      <c r="P321" s="837"/>
      <c r="Q321" s="837">
        <f ca="1">IFERROR((INDIRECT("'"&amp;$H$3&amp;"'!$H$10")*INDIRECT("'"&amp;$H$3&amp;"'!$H$9")*INDIRECT("'"&amp;$H$3&amp;"'!Q224"))/((Q320/INDIRECT("'"&amp;$H$3&amp;"'!Q237"))+((1/60)*(INDIRECT("'"&amp;$H$3&amp;"'!Q233")+INDIRECT("'"&amp;$H$3&amp;"'!$H$19")*(INDIRECT("'"&amp;$H$3&amp;"'!Q234")+(INDIRECT("'"&amp;$H$3&amp;"'!Q235")*('1_Outputs'!Q$52/INDIRECT("'"&amp;$H$3&amp;"'!Q$96")/INDIRECT("'"&amp;$H$3&amp;"'!$H$19"))))))),0)</f>
        <v>0</v>
      </c>
      <c r="R321" s="837"/>
      <c r="S321" s="837"/>
      <c r="T321" s="837">
        <f ca="1">IFERROR((INDIRECT("'"&amp;$H$3&amp;"'!$H$10")*INDIRECT("'"&amp;$H$3&amp;"'!$H$9")*INDIRECT("'"&amp;$H$3&amp;"'!T224"))/((T320/INDIRECT("'"&amp;$H$3&amp;"'!T237"))+((1/60)*(INDIRECT("'"&amp;$H$3&amp;"'!T233")+INDIRECT("'"&amp;$H$3&amp;"'!$H$19")*(INDIRECT("'"&amp;$H$3&amp;"'!T234")+(INDIRECT("'"&amp;$H$3&amp;"'!T235")*('1_Outputs'!T$52/INDIRECT("'"&amp;$H$3&amp;"'!T$96")/INDIRECT("'"&amp;$H$3&amp;"'!$H$19"))))))),0)</f>
        <v>0</v>
      </c>
      <c r="U321" s="837"/>
      <c r="V321" s="837"/>
      <c r="W321" s="837">
        <f ca="1">IFERROR((INDIRECT("'"&amp;$H$3&amp;"'!$H$10")*INDIRECT("'"&amp;$H$3&amp;"'!$H$9")*INDIRECT("'"&amp;$H$3&amp;"'!W224"))/((W320/INDIRECT("'"&amp;$H$3&amp;"'!W237"))+((1/60)*(INDIRECT("'"&amp;$H$3&amp;"'!W233")+INDIRECT("'"&amp;$H$3&amp;"'!$H$19")*(INDIRECT("'"&amp;$H$3&amp;"'!W234")+(INDIRECT("'"&amp;$H$3&amp;"'!W235")*('1_Outputs'!W$52/INDIRECT("'"&amp;$H$3&amp;"'!W$96")/INDIRECT("'"&amp;$H$3&amp;"'!$H$19"))))))),0)</f>
        <v>0</v>
      </c>
      <c r="X321" s="1468"/>
      <c r="Y321" s="36"/>
      <c r="Z321" s="36"/>
      <c r="AA321" s="36"/>
      <c r="AB321" s="36" t="s">
        <v>196</v>
      </c>
      <c r="AC321" s="36"/>
      <c r="AD321" s="36" t="s">
        <v>197</v>
      </c>
      <c r="AE321" s="36"/>
      <c r="AF321" s="36"/>
      <c r="AG321" s="36"/>
      <c r="AH321" s="36"/>
      <c r="AI321" s="36"/>
      <c r="AJ321" s="36"/>
      <c r="AK321" s="36"/>
      <c r="AL321" s="36"/>
      <c r="AM321" s="36"/>
      <c r="AN321" s="36"/>
    </row>
    <row r="322" spans="6:40" ht="48" customHeight="1">
      <c r="F322" s="1661" t="s">
        <v>2505</v>
      </c>
      <c r="G322" s="1662"/>
      <c r="H322" s="1673"/>
      <c r="I322" s="1673"/>
      <c r="J322" s="1673"/>
      <c r="K322" s="1516" t="str">
        <f ca="1">IF($H$9&gt;=2,INDIRECT("'"&amp;$H$3&amp;"'!J$130"),"")</f>
        <v>CMS  to  Regional WH</v>
      </c>
      <c r="L322" s="1516" t="str">
        <f t="shared" ref="L322:V322" ca="1" si="20">IF($H$9&gt;=1,"Tier 1","")</f>
        <v>Tier 1</v>
      </c>
      <c r="M322" s="1516" t="str">
        <f t="shared" ca="1" si="20"/>
        <v>Tier 1</v>
      </c>
      <c r="N322" s="1516" t="str">
        <f ca="1">IF($H$9&gt;=3,INDIRECT("'"&amp;$H$3&amp;"'!M$130"),"")</f>
        <v>Regional WH  to  Health Facility</v>
      </c>
      <c r="O322" s="1516" t="str">
        <f t="shared" ca="1" si="20"/>
        <v>Tier 1</v>
      </c>
      <c r="P322" s="1516" t="str">
        <f t="shared" ca="1" si="20"/>
        <v>Tier 1</v>
      </c>
      <c r="Q322" s="1517" t="str">
        <f ca="1">IF($H$9&gt;=4,INDIRECT("'"&amp;$H$3&amp;"'!P$130"),"")</f>
        <v/>
      </c>
      <c r="R322" s="1511" t="str">
        <f t="shared" ca="1" si="20"/>
        <v>Tier 1</v>
      </c>
      <c r="S322" s="1511" t="str">
        <f t="shared" ca="1" si="20"/>
        <v>Tier 1</v>
      </c>
      <c r="T322" s="1517" t="str">
        <f ca="1">IF($H$9&gt;=5,INDIRECT("'"&amp;$H$3&amp;"'!S$130"),"")</f>
        <v/>
      </c>
      <c r="U322" s="1518" t="str">
        <f t="shared" ca="1" si="20"/>
        <v>Tier 1</v>
      </c>
      <c r="V322" s="1518" t="str">
        <f t="shared" ca="1" si="20"/>
        <v>Tier 1</v>
      </c>
      <c r="W322" s="1517" t="str">
        <f ca="1">IF($H$9&gt;=6,INDIRECT("'"&amp;$H$3&amp;"'!V$130"),"")</f>
        <v/>
      </c>
      <c r="X322" s="1474"/>
      <c r="Y322" s="36"/>
      <c r="Z322" s="36"/>
      <c r="AA322" s="36"/>
      <c r="AB322" s="36"/>
      <c r="AC322" s="36"/>
      <c r="AD322" s="36"/>
      <c r="AE322" s="36"/>
      <c r="AF322" s="36"/>
      <c r="AG322" s="36"/>
      <c r="AH322" s="36"/>
      <c r="AI322" s="36"/>
      <c r="AJ322" s="36"/>
      <c r="AK322" s="36"/>
      <c r="AL322" s="36"/>
      <c r="AM322" s="36"/>
      <c r="AN322" s="36"/>
    </row>
    <row r="323" spans="6:40" ht="15" customHeight="1" outlineLevel="1">
      <c r="F323" s="1664" t="s">
        <v>149</v>
      </c>
      <c r="G323" s="1664"/>
      <c r="H323" s="865"/>
      <c r="I323" s="865"/>
      <c r="J323" s="865"/>
      <c r="K323" s="865"/>
      <c r="L323" s="865"/>
      <c r="M323" s="865"/>
      <c r="N323" s="865"/>
      <c r="O323" s="1674"/>
      <c r="P323" s="1674"/>
      <c r="Q323" s="1671"/>
      <c r="R323" s="1672"/>
      <c r="S323" s="1672"/>
      <c r="T323" s="1671"/>
      <c r="U323" s="1672"/>
      <c r="V323" s="1672"/>
      <c r="W323" s="1671"/>
      <c r="X323" s="1479"/>
      <c r="Y323" s="36"/>
      <c r="Z323" s="36"/>
      <c r="AA323" s="36"/>
      <c r="AB323" s="36"/>
      <c r="AC323" s="36"/>
      <c r="AD323" s="36"/>
      <c r="AE323" s="36"/>
      <c r="AF323" s="36"/>
      <c r="AG323" s="36"/>
      <c r="AH323" s="36"/>
      <c r="AI323" s="36"/>
      <c r="AJ323" s="36"/>
      <c r="AK323" s="242"/>
      <c r="AL323" s="36"/>
      <c r="AM323" s="36"/>
      <c r="AN323" s="36"/>
    </row>
    <row r="324" spans="6:40" ht="15" customHeight="1" outlineLevel="1">
      <c r="F324" s="52"/>
      <c r="G324" s="51" t="s">
        <v>146</v>
      </c>
      <c r="H324" s="837"/>
      <c r="I324" s="837"/>
      <c r="J324" s="837"/>
      <c r="K324" s="837">
        <f ca="1">IFERROR(IF(COUNTIF(INDIRECT("'"&amp;$H$3&amp;"'!K240"),"Public Transport*")=1,IF(INDIRECT("'"&amp;$H$3&amp;"'!K248")="Route-based",K331*INDIRECT("'"&amp;$H$3&amp;"'!K$96"),IF(INDIRECT("'"&amp;$H$3&amp;"'!K248")="Point-to-point",K334*INDIRECT("'"&amp;$H$3&amp;"'!K$96"),0)),0),0)</f>
        <v>0</v>
      </c>
      <c r="L324" s="837"/>
      <c r="M324" s="837"/>
      <c r="N324" s="837">
        <f ca="1">IFERROR(IF(COUNTIF(INDIRECT("'"&amp;$H$3&amp;"'!N240"),"Public Transport*")=1,IF(INDIRECT("'"&amp;$H$3&amp;"'!N248")="Route-based",N331*INDIRECT("'"&amp;$H$3&amp;"'!N$96"),IF(INDIRECT("'"&amp;$H$3&amp;"'!N248")="Point-to-point",N334*INDIRECT("'"&amp;$H$3&amp;"'!N$96"),0)),0),0)</f>
        <v>0</v>
      </c>
      <c r="O324" s="837"/>
      <c r="P324" s="837"/>
      <c r="Q324" s="837">
        <f ca="1">IFERROR(IF(COUNTIF(INDIRECT("'"&amp;$H$3&amp;"'!Q240"),"Public Transport*")=1,IF(INDIRECT("'"&amp;$H$3&amp;"'!Q248")="Route-based",Q331*INDIRECT("'"&amp;$H$3&amp;"'!Q$96"),IF(INDIRECT("'"&amp;$H$3&amp;"'!Q248")="Point-to-point",Q334*INDIRECT("'"&amp;$H$3&amp;"'!Q$96"),0)),0),0)</f>
        <v>0</v>
      </c>
      <c r="R324" s="1650"/>
      <c r="S324" s="1650"/>
      <c r="T324" s="837">
        <f ca="1">IFERROR(IF(COUNTIF(INDIRECT("'"&amp;$H$3&amp;"'!T240"),"Public Transport*")=1,IF(INDIRECT("'"&amp;$H$3&amp;"'!T248")="Route-based",T331*INDIRECT("'"&amp;$H$3&amp;"'!T$96"),IF(INDIRECT("'"&amp;$H$3&amp;"'!T248")="Point-to-point",T334*INDIRECT("'"&amp;$H$3&amp;"'!T$96"),0)),0),0)</f>
        <v>0</v>
      </c>
      <c r="U324" s="1650"/>
      <c r="V324" s="1650"/>
      <c r="W324" s="837">
        <f ca="1">IFERROR(IF(COUNTIF(INDIRECT("'"&amp;$H$3&amp;"'!W240"),"Public Transport*")=1,IF(INDIRECT("'"&amp;$H$3&amp;"'!W248")="Route-based",W331*INDIRECT("'"&amp;$H$3&amp;"'!W$96"),IF(INDIRECT("'"&amp;$H$3&amp;"'!W248")="Point-to-point",W334*INDIRECT("'"&amp;$H$3&amp;"'!W$96"),0)),0),0)</f>
        <v>0</v>
      </c>
      <c r="X324" s="1468"/>
      <c r="Y324" s="36"/>
      <c r="Z324" s="36"/>
      <c r="AA324" s="36"/>
      <c r="AB324" s="36"/>
      <c r="AC324" s="36"/>
      <c r="AD324" s="36"/>
      <c r="AE324" s="36"/>
      <c r="AF324" s="36"/>
      <c r="AG324" s="36"/>
      <c r="AH324" s="36"/>
      <c r="AI324" s="36"/>
      <c r="AJ324" s="36"/>
      <c r="AK324" s="242"/>
      <c r="AL324" s="36"/>
      <c r="AM324" s="36"/>
      <c r="AN324" s="36"/>
    </row>
    <row r="325" spans="6:40" ht="15" customHeight="1" outlineLevel="1">
      <c r="F325" s="52"/>
      <c r="G325" s="51" t="s">
        <v>147</v>
      </c>
      <c r="H325" s="837"/>
      <c r="I325" s="837"/>
      <c r="J325" s="837"/>
      <c r="K325" s="837">
        <f ca="1">IFERROR(IF(INDIRECT("'"&amp;$H$3&amp;"'!K248")="Route-based",K332*INDIRECT("'"&amp;$H$3&amp;"'!K$96"),IF(INDIRECT("'"&amp;$H$3&amp;"'!K248")="Point-to-point",K335*INDIRECT("'"&amp;$H$3&amp;"'!K$96"),0)),0)</f>
        <v>0</v>
      </c>
      <c r="L325" s="837"/>
      <c r="M325" s="837"/>
      <c r="N325" s="837">
        <f ca="1">IFERROR(IF(INDIRECT("'"&amp;$H$3&amp;"'!N248")="Route-based",N332*INDIRECT("'"&amp;$H$3&amp;"'!N$96"),IF(INDIRECT("'"&amp;$H$3&amp;"'!N248")="Point-to-point",N335*INDIRECT("'"&amp;$H$3&amp;"'!N$96"),0)),0)</f>
        <v>0</v>
      </c>
      <c r="O325" s="837"/>
      <c r="P325" s="837"/>
      <c r="Q325" s="837">
        <f ca="1">IFERROR(IF(INDIRECT("'"&amp;$H$3&amp;"'!Q248")="Route-based",Q332*INDIRECT("'"&amp;$H$3&amp;"'!Q$96"),IF(INDIRECT("'"&amp;$H$3&amp;"'!Q248")="Point-to-point",Q335*INDIRECT("'"&amp;$H$3&amp;"'!Q$96"),0)),0)</f>
        <v>0</v>
      </c>
      <c r="R325" s="1650"/>
      <c r="S325" s="1650"/>
      <c r="T325" s="837">
        <f ca="1">IFERROR(IF(INDIRECT("'"&amp;$H$3&amp;"'!T248")="Route-based",T332*INDIRECT("'"&amp;$H$3&amp;"'!T$96"),IF(INDIRECT("'"&amp;$H$3&amp;"'!T248")="Point-to-point",T335*INDIRECT("'"&amp;$H$3&amp;"'!T$96"),0)),0)</f>
        <v>0</v>
      </c>
      <c r="U325" s="1650"/>
      <c r="V325" s="1650"/>
      <c r="W325" s="837">
        <f ca="1">IFERROR(IF(INDIRECT("'"&amp;$H$3&amp;"'!W248")="Route-based",W332*INDIRECT("'"&amp;$H$3&amp;"'!W$96"),IF(INDIRECT("'"&amp;$H$3&amp;"'!W248")="Point-to-point",W335*INDIRECT("'"&amp;$H$3&amp;"'!W$96"),0)),0)</f>
        <v>0</v>
      </c>
      <c r="X325" s="1468"/>
      <c r="Y325" s="36"/>
      <c r="Z325" s="36"/>
      <c r="AA325" s="36"/>
      <c r="AB325" s="36"/>
      <c r="AC325" s="36"/>
      <c r="AD325" s="36"/>
      <c r="AE325" s="36"/>
      <c r="AF325" s="36"/>
      <c r="AG325" s="36"/>
      <c r="AH325" s="36"/>
      <c r="AI325" s="36"/>
      <c r="AJ325" s="36"/>
      <c r="AK325" s="242"/>
      <c r="AL325" s="36"/>
      <c r="AM325" s="36"/>
      <c r="AN325" s="36"/>
    </row>
    <row r="326" spans="6:40" ht="15" customHeight="1" outlineLevel="1">
      <c r="F326" s="52"/>
      <c r="G326" s="51" t="s">
        <v>142</v>
      </c>
      <c r="H326" s="1651"/>
      <c r="I326" s="1651"/>
      <c r="J326" s="1651"/>
      <c r="K326" s="1651">
        <f ca="1">IFERROR(IF(COUNTIF(INDIRECT("'"&amp;$H$3&amp;"'!K240"),"Public Transport*")&gt;0,ROUND(INDIRECT("'"&amp;$H$3&amp;"'!K$95")*INDIRECT("'"&amp;$H$3&amp;"'!K239"),0),0),0)</f>
        <v>0</v>
      </c>
      <c r="L326" s="1651"/>
      <c r="M326" s="1651"/>
      <c r="N326" s="1651">
        <f ca="1">IFERROR(IF(COUNTIF(INDIRECT("'"&amp;$H$3&amp;"'!N240"),"Public Transport*")&gt;0,ROUND(INDIRECT("'"&amp;$H$3&amp;"'!N$95")*INDIRECT("'"&amp;$H$3&amp;"'!N239"),0),0),0)</f>
        <v>0</v>
      </c>
      <c r="O326" s="1651"/>
      <c r="P326" s="1651"/>
      <c r="Q326" s="1651">
        <f ca="1">IFERROR(IF(COUNTIF(INDIRECT("'"&amp;$H$3&amp;"'!Q240"),"Public Transport*")&gt;0,ROUND(INDIRECT("'"&amp;$H$3&amp;"'!Q$95")*INDIRECT("'"&amp;$H$3&amp;"'!Q239"),0),0),0)</f>
        <v>0</v>
      </c>
      <c r="R326" s="1650"/>
      <c r="S326" s="1650"/>
      <c r="T326" s="1651">
        <f ca="1">IFERROR(IF(COUNTIF(INDIRECT("'"&amp;$H$3&amp;"'!T240"),"Public Transport*")&gt;0,ROUND(INDIRECT("'"&amp;$H$3&amp;"'!T$95")*INDIRECT("'"&amp;$H$3&amp;"'!T239"),0),0),0)</f>
        <v>0</v>
      </c>
      <c r="U326" s="1650"/>
      <c r="V326" s="1650"/>
      <c r="W326" s="1651">
        <f ca="1">IFERROR(IF(COUNTIF(INDIRECT("'"&amp;$H$3&amp;"'!W240"),"Public Transport*")&gt;0,ROUND(INDIRECT("'"&amp;$H$3&amp;"'!W$95")*INDIRECT("'"&amp;$H$3&amp;"'!W239"),0),0),0)</f>
        <v>0</v>
      </c>
      <c r="X326" s="1466"/>
      <c r="Y326" s="36"/>
      <c r="Z326" s="36"/>
      <c r="AA326" s="36"/>
      <c r="AB326" s="36"/>
      <c r="AC326" s="36"/>
      <c r="AD326" s="36"/>
      <c r="AE326" s="36"/>
      <c r="AF326" s="36"/>
      <c r="AG326" s="36"/>
      <c r="AH326" s="36"/>
      <c r="AI326" s="36"/>
      <c r="AJ326" s="36"/>
      <c r="AK326" s="36"/>
      <c r="AL326" s="36"/>
      <c r="AM326" s="36"/>
      <c r="AN326" s="36"/>
    </row>
    <row r="327" spans="6:40" ht="15" customHeight="1" outlineLevel="1">
      <c r="F327" s="52"/>
      <c r="G327" s="1613" t="s">
        <v>150</v>
      </c>
      <c r="H327" s="842"/>
      <c r="I327" s="842"/>
      <c r="J327" s="842"/>
      <c r="K327" s="842"/>
      <c r="L327" s="842"/>
      <c r="M327" s="842"/>
      <c r="N327" s="842"/>
      <c r="O327" s="842"/>
      <c r="P327" s="842"/>
      <c r="Q327" s="842"/>
      <c r="R327" s="1650"/>
      <c r="S327" s="1650"/>
      <c r="T327" s="842"/>
      <c r="U327" s="1650"/>
      <c r="V327" s="1650"/>
      <c r="W327" s="842"/>
      <c r="X327" s="1470"/>
      <c r="Y327" s="36"/>
      <c r="Z327" s="36"/>
      <c r="AA327" s="36"/>
      <c r="AB327" s="36"/>
      <c r="AC327" s="36"/>
      <c r="AD327" s="36"/>
      <c r="AE327" s="36"/>
      <c r="AF327" s="36"/>
      <c r="AG327" s="36"/>
      <c r="AH327" s="36"/>
      <c r="AI327" s="36"/>
      <c r="AJ327" s="36"/>
      <c r="AK327" s="36"/>
      <c r="AL327" s="36"/>
      <c r="AM327" s="36"/>
      <c r="AN327" s="36"/>
    </row>
    <row r="328" spans="6:40" ht="15" customHeight="1" outlineLevel="1">
      <c r="F328" s="52"/>
      <c r="G328" s="51" t="s">
        <v>140</v>
      </c>
      <c r="H328" s="836"/>
      <c r="I328" s="836"/>
      <c r="J328" s="836"/>
      <c r="K328" s="836">
        <f ca="1">IFERROR(ROUND(INDIRECT("'"&amp;$H$3&amp;"'!$H$10")/(((1/60)*(INDIRECT("'"&amp;$H$3&amp;"'!K253")+INDIRECT("'"&amp;$H$3&amp;"'!$H$19")*(INDIRECT("'"&amp;$H$3&amp;"'!K254")+(INDIRECT("'"&amp;$H$3&amp;"'!K255")*('1_Outputs'!K$52/INDIRECT("'"&amp;$H$3&amp;"'!K$96")/INDIRECT("'"&amp;$H$3&amp;"'!$H$19"))))))+INDEX(INDIRECT("'"&amp;$H$3&amp;"'!$H$43:$H$78"),MATCH(INDIRECT("'"&amp;$H$3&amp;"'!K240")&amp;"Average duration (hrs) per trip",INDIRECT("'"&amp;$H$3&amp;"'!$F$43:$F$78"),0))),1),0)</f>
        <v>0</v>
      </c>
      <c r="L328" s="836"/>
      <c r="M328" s="836"/>
      <c r="N328" s="836">
        <f ca="1">IFERROR(ROUND(INDIRECT("'"&amp;$H$3&amp;"'!$H$10")/(((1/60)*(INDIRECT("'"&amp;$H$3&amp;"'!N253")+INDIRECT("'"&amp;$H$3&amp;"'!$H$19")*(INDIRECT("'"&amp;$H$3&amp;"'!N254")+(INDIRECT("'"&amp;$H$3&amp;"'!N255")*('1_Outputs'!N$52/INDIRECT("'"&amp;$H$3&amp;"'!N$96")/INDIRECT("'"&amp;$H$3&amp;"'!$H$19"))))))+INDEX(INDIRECT("'"&amp;$H$3&amp;"'!$H$43:$H$78"),MATCH(INDIRECT("'"&amp;$H$3&amp;"'!N240")&amp;"Average duration (hrs) per trip",INDIRECT("'"&amp;$H$3&amp;"'!$F$43:$F$78"),0))),1),0)</f>
        <v>0</v>
      </c>
      <c r="O328" s="836"/>
      <c r="P328" s="836"/>
      <c r="Q328" s="836">
        <f ca="1">IFERROR(ROUND(INDIRECT("'"&amp;$H$3&amp;"'!$H$10")/(((1/60)*(INDIRECT("'"&amp;$H$3&amp;"'!Q253")+INDIRECT("'"&amp;$H$3&amp;"'!$H$19")*(INDIRECT("'"&amp;$H$3&amp;"'!Q254")+(INDIRECT("'"&amp;$H$3&amp;"'!Q255")*('1_Outputs'!Q$52/INDIRECT("'"&amp;$H$3&amp;"'!Q$96")/INDIRECT("'"&amp;$H$3&amp;"'!$H$19"))))))+INDEX(INDIRECT("'"&amp;$H$3&amp;"'!$H$43:$H$78"),MATCH(INDIRECT("'"&amp;$H$3&amp;"'!Q240")&amp;"Average duration (hrs) per trip",INDIRECT("'"&amp;$H$3&amp;"'!$F$43:$F$78"),0))),1),0)</f>
        <v>0</v>
      </c>
      <c r="R328" s="836"/>
      <c r="S328" s="836"/>
      <c r="T328" s="836">
        <f ca="1">IFERROR(ROUND(INDIRECT("'"&amp;$H$3&amp;"'!$H$10")/(((1/60)*(INDIRECT("'"&amp;$H$3&amp;"'!T253")+INDIRECT("'"&amp;$H$3&amp;"'!$H$19")*(INDIRECT("'"&amp;$H$3&amp;"'!T254")+(INDIRECT("'"&amp;$H$3&amp;"'!T255")*('1_Outputs'!T$52/INDIRECT("'"&amp;$H$3&amp;"'!T$96")/INDIRECT("'"&amp;$H$3&amp;"'!$H$19"))))))+INDEX(INDIRECT("'"&amp;$H$3&amp;"'!$H$43:$H$78"),MATCH(INDIRECT("'"&amp;$H$3&amp;"'!T240")&amp;"Average duration (hrs) per trip",INDIRECT("'"&amp;$H$3&amp;"'!$F$43:$F$78"),0))),1),0)</f>
        <v>0</v>
      </c>
      <c r="U328" s="836"/>
      <c r="V328" s="836"/>
      <c r="W328" s="836">
        <f ca="1">IFERROR(ROUND(INDIRECT("'"&amp;$H$3&amp;"'!$H$10")/(((1/60)*(INDIRECT("'"&amp;$H$3&amp;"'!W253")+INDIRECT("'"&amp;$H$3&amp;"'!$H$19")*(INDIRECT("'"&amp;$H$3&amp;"'!W254")+(INDIRECT("'"&amp;$H$3&amp;"'!W255")*('1_Outputs'!W$52/INDIRECT("'"&amp;$H$3&amp;"'!W$96")/INDIRECT("'"&amp;$H$3&amp;"'!$H$19"))))))+INDEX(INDIRECT("'"&amp;$H$3&amp;"'!$H$43:$H$78"),MATCH(INDIRECT("'"&amp;$H$3&amp;"'!W240")&amp;"Average duration (hrs) per trip",INDIRECT("'"&amp;$H$3&amp;"'!$F$43:$F$78"),0))),1),0)</f>
        <v>0</v>
      </c>
      <c r="X328" s="1469"/>
      <c r="Y328" s="36"/>
      <c r="Z328" s="36"/>
      <c r="AA328" s="36"/>
      <c r="AB328" s="36"/>
      <c r="AC328" s="36"/>
      <c r="AD328" s="36"/>
      <c r="AE328" s="36"/>
      <c r="AF328" s="36"/>
      <c r="AG328" s="36"/>
      <c r="AH328" s="36"/>
      <c r="AI328" s="36"/>
      <c r="AJ328" s="36"/>
      <c r="AK328" s="36"/>
      <c r="AL328" s="36"/>
      <c r="AM328" s="36"/>
      <c r="AN328" s="36"/>
    </row>
    <row r="329" spans="6:40" ht="15" customHeight="1" outlineLevel="1">
      <c r="F329" s="52"/>
      <c r="G329" s="51" t="s">
        <v>141</v>
      </c>
      <c r="H329" s="836"/>
      <c r="I329" s="836"/>
      <c r="J329" s="836"/>
      <c r="K329" s="836">
        <f ca="1">IFERROR(ROUND(K328*INDIRECT("'"&amp;$H$3&amp;"'!K249"),0),0)</f>
        <v>0</v>
      </c>
      <c r="L329" s="836"/>
      <c r="M329" s="836"/>
      <c r="N329" s="836">
        <f ca="1">IFERROR(ROUND(N328*INDIRECT("'"&amp;$H$3&amp;"'!N249"),0),0)</f>
        <v>0</v>
      </c>
      <c r="O329" s="836"/>
      <c r="P329" s="836"/>
      <c r="Q329" s="836">
        <f ca="1">IFERROR(ROUND(Q328*INDIRECT("'"&amp;$H$3&amp;"'!Q249"),0),0)</f>
        <v>0</v>
      </c>
      <c r="R329" s="836"/>
      <c r="S329" s="836"/>
      <c r="T329" s="836">
        <f ca="1">IFERROR(ROUND(T328*INDIRECT("'"&amp;$H$3&amp;"'!T249"),0),0)</f>
        <v>0</v>
      </c>
      <c r="U329" s="836"/>
      <c r="V329" s="836"/>
      <c r="W329" s="836">
        <f ca="1">IFERROR(ROUND(W328*INDIRECT("'"&amp;$H$3&amp;"'!W249"),0),0)</f>
        <v>0</v>
      </c>
      <c r="X329" s="1469"/>
      <c r="Y329" s="36"/>
      <c r="Z329" s="36"/>
      <c r="AA329" s="36"/>
      <c r="AB329" s="36"/>
      <c r="AC329" s="36"/>
      <c r="AD329" s="36"/>
      <c r="AE329" s="36"/>
      <c r="AF329" s="36"/>
      <c r="AG329" s="36"/>
      <c r="AH329" s="36"/>
      <c r="AI329" s="36"/>
      <c r="AJ329" s="36"/>
      <c r="AK329" s="36"/>
      <c r="AL329" s="36"/>
      <c r="AM329" s="36"/>
      <c r="AN329" s="36"/>
    </row>
    <row r="330" spans="6:40" ht="15" customHeight="1" outlineLevel="1">
      <c r="F330" s="52"/>
      <c r="G330" s="51" t="s">
        <v>143</v>
      </c>
      <c r="H330" s="836"/>
      <c r="I330" s="836"/>
      <c r="J330" s="836"/>
      <c r="K330" s="836">
        <f ca="1">IFERROR(K326/K329,0)</f>
        <v>0</v>
      </c>
      <c r="L330" s="836"/>
      <c r="M330" s="836"/>
      <c r="N330" s="836">
        <f ca="1">IFERROR(N326/N329,0)</f>
        <v>0</v>
      </c>
      <c r="O330" s="836"/>
      <c r="P330" s="836"/>
      <c r="Q330" s="836">
        <f ca="1">IFERROR(Q326/Q329,0)</f>
        <v>0</v>
      </c>
      <c r="R330" s="836"/>
      <c r="S330" s="836"/>
      <c r="T330" s="836">
        <f ca="1">IFERROR(T326/T329,0)</f>
        <v>0</v>
      </c>
      <c r="U330" s="836"/>
      <c r="V330" s="836"/>
      <c r="W330" s="836">
        <f ca="1">IFERROR(W326/W329,0)</f>
        <v>0</v>
      </c>
      <c r="X330" s="1469"/>
      <c r="Y330" s="36"/>
      <c r="Z330" s="36"/>
      <c r="AA330" s="36"/>
      <c r="AB330" s="36"/>
      <c r="AC330" s="36"/>
      <c r="AD330" s="36"/>
      <c r="AE330" s="36"/>
      <c r="AF330" s="36"/>
      <c r="AG330" s="36"/>
      <c r="AH330" s="36"/>
      <c r="AI330" s="36"/>
      <c r="AJ330" s="36"/>
      <c r="AK330" s="36"/>
      <c r="AL330" s="36"/>
      <c r="AM330" s="36"/>
      <c r="AN330" s="36"/>
    </row>
    <row r="331" spans="6:40" ht="15" customHeight="1" outlineLevel="1">
      <c r="F331" s="52"/>
      <c r="G331" s="51" t="s">
        <v>144</v>
      </c>
      <c r="H331" s="836"/>
      <c r="I331" s="836"/>
      <c r="J331" s="836"/>
      <c r="K331" s="836">
        <f ca="1">IFERROR((K330*(K329+1)),0)</f>
        <v>0</v>
      </c>
      <c r="L331" s="836"/>
      <c r="M331" s="836"/>
      <c r="N331" s="836">
        <f ca="1">IFERROR((N330*(N329+1)),0)</f>
        <v>0</v>
      </c>
      <c r="O331" s="836"/>
      <c r="P331" s="836"/>
      <c r="Q331" s="836">
        <f ca="1">IFERROR((Q330*(Q329+1)),0)</f>
        <v>0</v>
      </c>
      <c r="R331" s="836"/>
      <c r="S331" s="836"/>
      <c r="T331" s="836">
        <f ca="1">IFERROR((T330*(T329+1)),0)</f>
        <v>0</v>
      </c>
      <c r="U331" s="836"/>
      <c r="V331" s="836"/>
      <c r="W331" s="836">
        <f ca="1">IFERROR((W330*(W329+1)),0)</f>
        <v>0</v>
      </c>
      <c r="X331" s="1469"/>
      <c r="Y331" s="36"/>
      <c r="Z331" s="36"/>
      <c r="AA331" s="36"/>
      <c r="AB331" s="36"/>
      <c r="AC331" s="36"/>
      <c r="AD331" s="36"/>
      <c r="AE331" s="36"/>
      <c r="AF331" s="36"/>
      <c r="AG331" s="36"/>
      <c r="AH331" s="36"/>
      <c r="AI331" s="36"/>
      <c r="AJ331" s="36"/>
      <c r="AK331" s="242"/>
      <c r="AL331" s="36"/>
      <c r="AM331" s="36"/>
      <c r="AN331" s="36"/>
    </row>
    <row r="332" spans="6:40" ht="15" customHeight="1" outlineLevel="1">
      <c r="F332" s="52"/>
      <c r="G332" s="51" t="s">
        <v>145</v>
      </c>
      <c r="H332" s="836"/>
      <c r="I332" s="836"/>
      <c r="J332" s="836"/>
      <c r="K332" s="836">
        <f ca="1">IFERROR(ROUNDUP(((K331*INDEX(INDIRECT("'"&amp;$H$3&amp;"'!$H$43:$H$78"),MATCH(INDIRECT("'"&amp;$H$3&amp;"'!K240")&amp;"Average duration (hrs) per trip",INDIRECT("'"&amp;$H$3&amp;"'!$F$43:$F$78"),0)))+(K326*((1/60)*(INDIRECT("'"&amp;$H$3&amp;"'!K253")+INDIRECT("'"&amp;$H$3&amp;"'!$H$19")*(INDIRECT("'"&amp;$H$3&amp;"'!K254")+(INDIRECT("'"&amp;$H$3&amp;"'!K255")*('1_Outputs'!K$52/INDIRECT("'"&amp;$H$3&amp;"'!K$96")/INDIRECT("'"&amp;$H$3&amp;"'!$H$19"))))))))/INDIRECT("'"&amp;$H$3&amp;"'!$H$10"),0),0)</f>
        <v>0</v>
      </c>
      <c r="L332" s="836"/>
      <c r="M332" s="836"/>
      <c r="N332" s="836">
        <f ca="1">IFERROR(ROUNDUP(((N331*INDEX(INDIRECT("'"&amp;$H$3&amp;"'!$H$43:$H$78"),MATCH(INDIRECT("'"&amp;$H$3&amp;"'!N240")&amp;"Average duration (hrs) per trip",INDIRECT("'"&amp;$H$3&amp;"'!$F$43:$F$78"),0)))+(N326*((1/60)*(INDIRECT("'"&amp;$H$3&amp;"'!N253")+INDIRECT("'"&amp;$H$3&amp;"'!$H$19")*(INDIRECT("'"&amp;$H$3&amp;"'!N254")+(INDIRECT("'"&amp;$H$3&amp;"'!N255")*('1_Outputs'!N$52/INDIRECT("'"&amp;$H$3&amp;"'!N$96")/INDIRECT("'"&amp;$H$3&amp;"'!$H$19"))))))))/INDIRECT("'"&amp;$H$3&amp;"'!$H$10"),0),0)</f>
        <v>0</v>
      </c>
      <c r="O332" s="836"/>
      <c r="P332" s="836"/>
      <c r="Q332" s="836">
        <f ca="1">IFERROR(ROUNDUP(((Q331*INDEX(INDIRECT("'"&amp;$H$3&amp;"'!$H$43:$H$78"),MATCH(INDIRECT("'"&amp;$H$3&amp;"'!Q240")&amp;"Average duration (hrs) per trip",INDIRECT("'"&amp;$H$3&amp;"'!$F$43:$F$78"),0)))+(Q326*((1/60)*(INDIRECT("'"&amp;$H$3&amp;"'!Q253")+INDIRECT("'"&amp;$H$3&amp;"'!$H$19")*(INDIRECT("'"&amp;$H$3&amp;"'!Q254")+(INDIRECT("'"&amp;$H$3&amp;"'!Q255")*('1_Outputs'!Q$52/INDIRECT("'"&amp;$H$3&amp;"'!Q$96")/INDIRECT("'"&amp;$H$3&amp;"'!$H$19"))))))))/INDIRECT("'"&amp;$H$3&amp;"'!$H$10"),0),0)</f>
        <v>0</v>
      </c>
      <c r="R332" s="836"/>
      <c r="S332" s="836"/>
      <c r="T332" s="836">
        <f ca="1">IFERROR(ROUNDUP(((T331*INDEX(INDIRECT("'"&amp;$H$3&amp;"'!$H$43:$H$78"),MATCH(INDIRECT("'"&amp;$H$3&amp;"'!T240")&amp;"Average duration (hrs) per trip",INDIRECT("'"&amp;$H$3&amp;"'!$F$43:$F$78"),0)))+(T326*((1/60)*(INDIRECT("'"&amp;$H$3&amp;"'!T253")+INDIRECT("'"&amp;$H$3&amp;"'!$H$19")*(INDIRECT("'"&amp;$H$3&amp;"'!T254")+(INDIRECT("'"&amp;$H$3&amp;"'!T255")*('1_Outputs'!T$52/INDIRECT("'"&amp;$H$3&amp;"'!T$96")/INDIRECT("'"&amp;$H$3&amp;"'!$H$19"))))))))/INDIRECT("'"&amp;$H$3&amp;"'!$H$10"),0),0)</f>
        <v>0</v>
      </c>
      <c r="U332" s="836"/>
      <c r="V332" s="836"/>
      <c r="W332" s="836">
        <f ca="1">IFERROR(ROUNDUP(((W331*INDEX(INDIRECT("'"&amp;$H$3&amp;"'!$H$43:$H$78"),MATCH(INDIRECT("'"&amp;$H$3&amp;"'!W240")&amp;"Average duration (hrs) per trip",INDIRECT("'"&amp;$H$3&amp;"'!$F$43:$F$78"),0)))+(W326*((1/60)*(INDIRECT("'"&amp;$H$3&amp;"'!W253")+INDIRECT("'"&amp;$H$3&amp;"'!$H$19")*(INDIRECT("'"&amp;$H$3&amp;"'!W254")+(INDIRECT("'"&amp;$H$3&amp;"'!W255")*('1_Outputs'!W$52/INDIRECT("'"&amp;$H$3&amp;"'!W$96")/INDIRECT("'"&amp;$H$3&amp;"'!$H$19"))))))))/INDIRECT("'"&amp;$H$3&amp;"'!$H$10"),0),0)</f>
        <v>0</v>
      </c>
      <c r="X332" s="1469"/>
      <c r="Y332" s="36"/>
      <c r="Z332" s="36"/>
      <c r="AA332" s="36"/>
      <c r="AB332" s="36"/>
      <c r="AC332" s="36"/>
      <c r="AD332" s="36"/>
      <c r="AE332" s="36"/>
      <c r="AF332" s="36"/>
      <c r="AG332" s="36"/>
      <c r="AH332" s="36"/>
      <c r="AI332" s="36"/>
      <c r="AJ332" s="36"/>
      <c r="AK332" s="242"/>
      <c r="AL332" s="36"/>
      <c r="AM332" s="36"/>
      <c r="AN332" s="36"/>
    </row>
    <row r="333" spans="6:40" ht="15" customHeight="1" outlineLevel="1">
      <c r="F333" s="52"/>
      <c r="G333" s="1613" t="s">
        <v>841</v>
      </c>
      <c r="H333" s="842"/>
      <c r="I333" s="842"/>
      <c r="J333" s="842"/>
      <c r="K333" s="842"/>
      <c r="L333" s="842"/>
      <c r="M333" s="842"/>
      <c r="N333" s="842"/>
      <c r="O333" s="842"/>
      <c r="P333" s="842"/>
      <c r="Q333" s="842"/>
      <c r="R333" s="1650"/>
      <c r="S333" s="1650"/>
      <c r="T333" s="842"/>
      <c r="U333" s="1650"/>
      <c r="V333" s="1650"/>
      <c r="W333" s="842"/>
      <c r="X333" s="1470"/>
      <c r="Y333" s="36"/>
      <c r="Z333" s="36"/>
      <c r="AA333" s="36"/>
      <c r="AB333" s="36"/>
      <c r="AC333" s="36"/>
      <c r="AD333" s="36"/>
      <c r="AE333" s="36"/>
      <c r="AF333" s="36"/>
      <c r="AG333" s="36"/>
      <c r="AH333" s="36"/>
      <c r="AI333" s="36"/>
      <c r="AJ333" s="36"/>
      <c r="AK333" s="242"/>
      <c r="AL333" s="36"/>
      <c r="AM333" s="36"/>
      <c r="AN333" s="36"/>
    </row>
    <row r="334" spans="6:40" ht="15" customHeight="1" outlineLevel="1">
      <c r="F334" s="52"/>
      <c r="G334" s="51" t="s">
        <v>144</v>
      </c>
      <c r="H334" s="836"/>
      <c r="I334" s="836"/>
      <c r="J334" s="836"/>
      <c r="K334" s="836">
        <f ca="1">IFERROR(K326*2,0)</f>
        <v>0</v>
      </c>
      <c r="L334" s="836"/>
      <c r="M334" s="836"/>
      <c r="N334" s="836">
        <f ca="1">IFERROR(N326*2,0)</f>
        <v>0</v>
      </c>
      <c r="O334" s="836"/>
      <c r="P334" s="836"/>
      <c r="Q334" s="836">
        <f ca="1">IFERROR(Q326*2,0)</f>
        <v>0</v>
      </c>
      <c r="R334" s="836"/>
      <c r="S334" s="836"/>
      <c r="T334" s="836">
        <f ca="1">IFERROR(T326*2,0)</f>
        <v>0</v>
      </c>
      <c r="U334" s="836"/>
      <c r="V334" s="836"/>
      <c r="W334" s="836">
        <f ca="1">IFERROR(W326*2,0)</f>
        <v>0</v>
      </c>
      <c r="X334" s="1469"/>
      <c r="Y334" s="36"/>
      <c r="Z334" s="36"/>
      <c r="AA334" s="36"/>
      <c r="AB334" s="36"/>
      <c r="AC334" s="36"/>
      <c r="AD334" s="36"/>
      <c r="AE334" s="36"/>
      <c r="AF334" s="36"/>
      <c r="AG334" s="36"/>
      <c r="AH334" s="36"/>
      <c r="AI334" s="36"/>
      <c r="AJ334" s="36"/>
      <c r="AK334" s="36"/>
      <c r="AL334" s="36"/>
      <c r="AM334" s="36"/>
      <c r="AN334" s="36"/>
    </row>
    <row r="335" spans="6:40" ht="15" customHeight="1" outlineLevel="1">
      <c r="F335" s="52"/>
      <c r="G335" s="51" t="s">
        <v>145</v>
      </c>
      <c r="H335" s="837"/>
      <c r="I335" s="837"/>
      <c r="J335" s="837"/>
      <c r="K335" s="837">
        <f ca="1">IFERROR(MAX(K326,ROUNDUP(((K334*INDEX(INDIRECT("'"&amp;$H$3&amp;"'!$H$43:$H$78"),MATCH(INDIRECT("'"&amp;$H$3&amp;"'!K240")&amp;"Average duration (hrs) per trip",INDIRECT("'"&amp;$H$3&amp;"'!$F$43:$F$78"),0)))+(K326*((1/60)*(INDIRECT("'"&amp;$H$3&amp;"'!K253")+INDIRECT("'"&amp;$H$3&amp;"'!$H$19")*(INDIRECT("'"&amp;$H$3&amp;"'!K254")+(INDIRECT("'"&amp;$H$3&amp;"'!K255")*('1_Outputs'!K$52/INDIRECT("'"&amp;$H$3&amp;"'!K$96")/INDIRECT("'"&amp;$H$3&amp;"'!$H$19"))))))))/INDIRECT("'"&amp;$H$3&amp;"'!$H$10"),0)),0)</f>
        <v>0</v>
      </c>
      <c r="L335" s="837"/>
      <c r="M335" s="837"/>
      <c r="N335" s="837">
        <f ca="1">IFERROR(MAX(N326,ROUNDUP(((N334*INDEX(INDIRECT("'"&amp;$H$3&amp;"'!$H$43:$H$78"),MATCH(INDIRECT("'"&amp;$H$3&amp;"'!N240")&amp;"Average duration (hrs) per trip",INDIRECT("'"&amp;$H$3&amp;"'!$F$43:$F$78"),0)))+(N326*((1/60)*(INDIRECT("'"&amp;$H$3&amp;"'!N253")+INDIRECT("'"&amp;$H$3&amp;"'!$H$19")*(INDIRECT("'"&amp;$H$3&amp;"'!N254")+(INDIRECT("'"&amp;$H$3&amp;"'!N255")*('1_Outputs'!N$52/INDIRECT("'"&amp;$H$3&amp;"'!N$96")/INDIRECT("'"&amp;$H$3&amp;"'!$H$19"))))))))/INDIRECT("'"&amp;$H$3&amp;"'!$H$10"),0)),0)</f>
        <v>0</v>
      </c>
      <c r="O335" s="837"/>
      <c r="P335" s="837"/>
      <c r="Q335" s="837">
        <f ca="1">IFERROR(MAX(Q326,ROUNDUP(((Q334*INDEX(INDIRECT("'"&amp;$H$3&amp;"'!$H$43:$H$78"),MATCH(INDIRECT("'"&amp;$H$3&amp;"'!Q240")&amp;"Average duration (hrs) per trip",INDIRECT("'"&amp;$H$3&amp;"'!$F$43:$F$78"),0)))+(Q326*((1/60)*(INDIRECT("'"&amp;$H$3&amp;"'!Q253")+INDIRECT("'"&amp;$H$3&amp;"'!$H$19")*(INDIRECT("'"&amp;$H$3&amp;"'!Q254")+(INDIRECT("'"&amp;$H$3&amp;"'!Q255")*('1_Outputs'!Q$52/INDIRECT("'"&amp;$H$3&amp;"'!Q$96")/INDIRECT("'"&amp;$H$3&amp;"'!$H$19"))))))))/INDIRECT("'"&amp;$H$3&amp;"'!$H$10"),0)),0)</f>
        <v>0</v>
      </c>
      <c r="R335" s="837"/>
      <c r="S335" s="837"/>
      <c r="T335" s="837">
        <f ca="1">IFERROR(MAX(T326,ROUNDUP(((T334*INDEX(INDIRECT("'"&amp;$H$3&amp;"'!$H$43:$H$78"),MATCH(INDIRECT("'"&amp;$H$3&amp;"'!T240")&amp;"Average duration (hrs) per trip",INDIRECT("'"&amp;$H$3&amp;"'!$F$43:$F$78"),0)))+(T326*((1/60)*(INDIRECT("'"&amp;$H$3&amp;"'!T253")+INDIRECT("'"&amp;$H$3&amp;"'!$H$19")*(INDIRECT("'"&amp;$H$3&amp;"'!T254")+(INDIRECT("'"&amp;$H$3&amp;"'!T255")*('1_Outputs'!T$52/INDIRECT("'"&amp;$H$3&amp;"'!T$96")/INDIRECT("'"&amp;$H$3&amp;"'!$H$19"))))))))/INDIRECT("'"&amp;$H$3&amp;"'!$H$10"),0)),0)</f>
        <v>0</v>
      </c>
      <c r="U335" s="837"/>
      <c r="V335" s="837"/>
      <c r="W335" s="837">
        <f ca="1">IFERROR(MAX(W326,ROUNDUP(((W334*INDEX(INDIRECT("'"&amp;$H$3&amp;"'!$H$43:$H$78"),MATCH(INDIRECT("'"&amp;$H$3&amp;"'!W240")&amp;"Average duration (hrs) per trip",INDIRECT("'"&amp;$H$3&amp;"'!$F$43:$F$78"),0)))+(W326*((1/60)*(INDIRECT("'"&amp;$H$3&amp;"'!W253")+INDIRECT("'"&amp;$H$3&amp;"'!$H$19")*(INDIRECT("'"&amp;$H$3&amp;"'!W254")+(INDIRECT("'"&amp;$H$3&amp;"'!W255")*('1_Outputs'!W$52/INDIRECT("'"&amp;$H$3&amp;"'!W$96")/INDIRECT("'"&amp;$H$3&amp;"'!$H$19"))))))))/INDIRECT("'"&amp;$H$3&amp;"'!$H$10"),0)),0)</f>
        <v>0</v>
      </c>
      <c r="X335" s="1468"/>
      <c r="Y335" s="36"/>
      <c r="Z335" s="36"/>
      <c r="AA335" s="36"/>
      <c r="AB335" s="36"/>
      <c r="AC335" s="36"/>
      <c r="AD335" s="36"/>
      <c r="AE335" s="36"/>
      <c r="AF335" s="36"/>
      <c r="AG335" s="36"/>
      <c r="AH335" s="36"/>
      <c r="AI335" s="36"/>
      <c r="AJ335" s="36"/>
      <c r="AK335" s="36"/>
      <c r="AL335" s="36"/>
      <c r="AM335" s="36"/>
      <c r="AN335" s="36"/>
    </row>
    <row r="336" spans="6:40" ht="15" customHeight="1" outlineLevel="1">
      <c r="F336" s="1664" t="s">
        <v>148</v>
      </c>
      <c r="G336" s="1675"/>
      <c r="H336" s="1676"/>
      <c r="I336" s="1676"/>
      <c r="J336" s="1676"/>
      <c r="K336" s="1676"/>
      <c r="L336" s="1676"/>
      <c r="M336" s="1676"/>
      <c r="N336" s="1676"/>
      <c r="O336" s="1676"/>
      <c r="P336" s="1676"/>
      <c r="Q336" s="1676"/>
      <c r="R336" s="1646"/>
      <c r="S336" s="1646"/>
      <c r="T336" s="1676"/>
      <c r="U336" s="1646"/>
      <c r="V336" s="1646"/>
      <c r="W336" s="1676"/>
      <c r="X336" s="1467"/>
      <c r="Y336" s="36"/>
      <c r="Z336" s="36"/>
      <c r="AA336" s="36"/>
      <c r="AB336" s="36"/>
      <c r="AC336" s="36"/>
      <c r="AD336" s="36"/>
      <c r="AE336" s="36"/>
      <c r="AF336" s="36"/>
      <c r="AG336" s="36"/>
      <c r="AH336" s="36"/>
      <c r="AI336" s="36"/>
      <c r="AJ336" s="36"/>
      <c r="AK336" s="242"/>
      <c r="AL336" s="36"/>
      <c r="AM336" s="36"/>
      <c r="AN336" s="36"/>
    </row>
    <row r="337" spans="6:40" ht="15" customHeight="1" outlineLevel="1">
      <c r="F337" s="86"/>
      <c r="G337" s="51" t="s">
        <v>151</v>
      </c>
      <c r="H337" s="836"/>
      <c r="I337" s="836"/>
      <c r="J337" s="836"/>
      <c r="K337" s="836">
        <f ca="1">IFERROR(IF(COUNTIF(INDIRECT("'"&amp;$H$3&amp;"'!K240"),"Public Transport*")&lt;1,ROUND(INDIRECT("'"&amp;$H$3&amp;"'!K$95")*INDIRECT("'"&amp;$H$3&amp;"'!K239"),0),0),0)</f>
        <v>0</v>
      </c>
      <c r="L337" s="836"/>
      <c r="M337" s="836"/>
      <c r="N337" s="836">
        <f ca="1">IFERROR(IF(COUNTIF(INDIRECT("'"&amp;$H$3&amp;"'!N240"),"Public Transport*")&lt;1,ROUND(INDIRECT("'"&amp;$H$3&amp;"'!N$95")*INDIRECT("'"&amp;$H$3&amp;"'!N239"),0),0),0)</f>
        <v>0</v>
      </c>
      <c r="O337" s="836"/>
      <c r="P337" s="836"/>
      <c r="Q337" s="836">
        <f ca="1">IFERROR(IF(COUNTIF(INDIRECT("'"&amp;$H$3&amp;"'!Q240"),"Public Transport*")&lt;1,ROUND(INDIRECT("'"&amp;$H$3&amp;"'!Q$95")*INDIRECT("'"&amp;$H$3&amp;"'!Q239"),0),0),0)</f>
        <v>0</v>
      </c>
      <c r="R337" s="1646"/>
      <c r="S337" s="1646"/>
      <c r="T337" s="836">
        <f ca="1">IFERROR(IF(COUNTIF(INDIRECT("'"&amp;$H$3&amp;"'!T240"),"Public Transport*")&lt;1,ROUND(INDIRECT("'"&amp;$H$3&amp;"'!T$95")*INDIRECT("'"&amp;$H$3&amp;"'!T239"),0),0),0)</f>
        <v>0</v>
      </c>
      <c r="U337" s="1646"/>
      <c r="V337" s="1646"/>
      <c r="W337" s="836">
        <f ca="1">IFERROR(IF(COUNTIF(INDIRECT("'"&amp;$H$3&amp;"'!W240"),"Public Transport*")&lt;1,ROUND(INDIRECT("'"&amp;$H$3&amp;"'!W$95")*INDIRECT("'"&amp;$H$3&amp;"'!W239"),0),0),0)</f>
        <v>0</v>
      </c>
      <c r="X337" s="1469"/>
      <c r="Y337" s="36"/>
      <c r="Z337" s="36"/>
      <c r="AA337" s="36"/>
      <c r="AB337" s="36"/>
      <c r="AC337" s="36"/>
      <c r="AD337" s="36"/>
      <c r="AE337" s="36"/>
      <c r="AF337" s="36"/>
      <c r="AG337" s="36"/>
      <c r="AH337" s="36"/>
      <c r="AI337" s="36"/>
      <c r="AJ337" s="36"/>
      <c r="AK337" s="242"/>
      <c r="AL337" s="36"/>
      <c r="AM337" s="36"/>
      <c r="AN337" s="36"/>
    </row>
    <row r="338" spans="6:40" ht="15" customHeight="1" outlineLevel="1">
      <c r="F338" s="52"/>
      <c r="G338" s="51" t="s">
        <v>85</v>
      </c>
      <c r="H338" s="837"/>
      <c r="I338" s="837"/>
      <c r="J338" s="837"/>
      <c r="K338" s="837">
        <f ca="1">IFERROR(IF(INDIRECT("'"&amp;$H$3&amp;"'!K248")="Route-based",K343*K344,IF(INDIRECT("'"&amp;$H$3&amp;"'!K248")="Point-to-point",K348*K349,0)),0)</f>
        <v>0</v>
      </c>
      <c r="L338" s="837"/>
      <c r="M338" s="837"/>
      <c r="N338" s="837">
        <f ca="1">IFERROR(IF(INDIRECT("'"&amp;$H$3&amp;"'!N248")="Route-based",N343*N344,IF(INDIRECT("'"&amp;$H$3&amp;"'!N248")="Point-to-point",N348*N349,0)),0)</f>
        <v>0</v>
      </c>
      <c r="O338" s="837"/>
      <c r="P338" s="837"/>
      <c r="Q338" s="837">
        <f ca="1">IFERROR(IF(INDIRECT("'"&amp;$H$3&amp;"'!Q248")="Route-based",Q343*Q344,IF(INDIRECT("'"&amp;$H$3&amp;"'!Q248")="Point-to-point",Q348*Q349,0)),0)</f>
        <v>0</v>
      </c>
      <c r="R338" s="1650"/>
      <c r="S338" s="1650"/>
      <c r="T338" s="837">
        <f ca="1">IFERROR(IF(INDIRECT("'"&amp;$H$3&amp;"'!T248")="Route-based",T343*T344,IF(INDIRECT("'"&amp;$H$3&amp;"'!T248")="Point-to-point",T348*T349,0)),0)</f>
        <v>0</v>
      </c>
      <c r="U338" s="1650"/>
      <c r="V338" s="1650"/>
      <c r="W338" s="837">
        <f ca="1">IFERROR(IF(INDIRECT("'"&amp;$H$3&amp;"'!W248")="Route-based",W343*W344,IF(INDIRECT("'"&amp;$H$3&amp;"'!W248")="Point-to-point",W348*W349,0)),0)</f>
        <v>0</v>
      </c>
      <c r="X338" s="1468"/>
      <c r="Y338" s="36"/>
      <c r="Z338" s="36"/>
      <c r="AA338" s="36"/>
      <c r="AB338" s="36"/>
      <c r="AC338" s="36"/>
      <c r="AD338" s="36"/>
      <c r="AE338" s="36"/>
      <c r="AF338" s="36"/>
      <c r="AG338" s="36"/>
      <c r="AH338" s="36"/>
      <c r="AI338" s="36"/>
      <c r="AJ338" s="36"/>
      <c r="AK338" s="242"/>
      <c r="AL338" s="36"/>
      <c r="AM338" s="36"/>
      <c r="AN338" s="36"/>
    </row>
    <row r="339" spans="6:40" ht="15" customHeight="1" outlineLevel="1">
      <c r="F339" s="52"/>
      <c r="G339" s="51" t="s">
        <v>59</v>
      </c>
      <c r="H339" s="837"/>
      <c r="I339" s="837"/>
      <c r="J339" s="837"/>
      <c r="K339" s="837">
        <f ca="1">IFERROR(IF(INDIRECT("'"&amp;$H$3&amp;"'!K248")="Route-based",ROUND(K343*K345/INDIRECT("'"&amp;$H$3&amp;"'!$H$10"),0),IF(INDIRECT("'"&amp;$H$3&amp;"'!K248")="Point-to-point",ROUND(((K337*INDIRECT("'"&amp;$H$3&amp;"'!K$96")*((1/60)*(INDIRECT("'"&amp;$H$3&amp;"'!K253")+INDIRECT("'"&amp;$H$3&amp;"'!$H$19")*(INDIRECT("'"&amp;$H$3&amp;"'!K254")+(INDIRECT("'"&amp;$H$3&amp;"'!K255")*('1_Outputs'!K$52/INDIRECT("'"&amp;$H$3&amp;"'!K$96")/INDIRECT("'"&amp;$H$3&amp;"'!$H$19")))))))+(K338/INDIRECT("'"&amp;$H$3&amp;"'!K257")))/INDIRECT("'"&amp;$H$3&amp;"'!$H$10"),0),0)),0)</f>
        <v>0</v>
      </c>
      <c r="L339" s="837"/>
      <c r="M339" s="837"/>
      <c r="N339" s="837">
        <f ca="1">IFERROR(IF(INDIRECT("'"&amp;$H$3&amp;"'!N248")="Route-based",ROUND(N343*N345/INDIRECT("'"&amp;$H$3&amp;"'!$H$10"),0),IF(INDIRECT("'"&amp;$H$3&amp;"'!N248")="Point-to-point",ROUND(((N337*INDIRECT("'"&amp;$H$3&amp;"'!N$96")*((1/60)*(INDIRECT("'"&amp;$H$3&amp;"'!N253")+INDIRECT("'"&amp;$H$3&amp;"'!$H$19")*(INDIRECT("'"&amp;$H$3&amp;"'!N254")+(INDIRECT("'"&amp;$H$3&amp;"'!N255")*('1_Outputs'!N$52/INDIRECT("'"&amp;$H$3&amp;"'!N$96")/INDIRECT("'"&amp;$H$3&amp;"'!$H$19")))))))+(N338/INDIRECT("'"&amp;$H$3&amp;"'!N257")))/INDIRECT("'"&amp;$H$3&amp;"'!$H$10"),0),0)),0)</f>
        <v>0</v>
      </c>
      <c r="O339" s="837"/>
      <c r="P339" s="837"/>
      <c r="Q339" s="837">
        <f ca="1">IFERROR(IF(INDIRECT("'"&amp;$H$3&amp;"'!Q248")="Route-based",ROUND(Q343*Q345/INDIRECT("'"&amp;$H$3&amp;"'!$H$10"),0),IF(INDIRECT("'"&amp;$H$3&amp;"'!Q248")="Point-to-point",ROUND(((Q337*INDIRECT("'"&amp;$H$3&amp;"'!Q$96")*((1/60)*(INDIRECT("'"&amp;$H$3&amp;"'!Q253")+INDIRECT("'"&amp;$H$3&amp;"'!$H$19")*(INDIRECT("'"&amp;$H$3&amp;"'!Q254")+(INDIRECT("'"&amp;$H$3&amp;"'!Q255")*('1_Outputs'!Q$52/INDIRECT("'"&amp;$H$3&amp;"'!Q$96")/INDIRECT("'"&amp;$H$3&amp;"'!$H$19")))))))+(Q338/INDIRECT("'"&amp;$H$3&amp;"'!Q257")))/INDIRECT("'"&amp;$H$3&amp;"'!$H$10"),0),0)),0)</f>
        <v>0</v>
      </c>
      <c r="R339" s="837"/>
      <c r="S339" s="837"/>
      <c r="T339" s="837">
        <f ca="1">IFERROR(IF(INDIRECT("'"&amp;$H$3&amp;"'!T248")="Route-based",ROUND(T343*T345/INDIRECT("'"&amp;$H$3&amp;"'!$H$10"),0),IF(INDIRECT("'"&amp;$H$3&amp;"'!T248")="Point-to-point",ROUND(((T337*INDIRECT("'"&amp;$H$3&amp;"'!T$96")*((1/60)*(INDIRECT("'"&amp;$H$3&amp;"'!T253")+INDIRECT("'"&amp;$H$3&amp;"'!$H$19")*(INDIRECT("'"&amp;$H$3&amp;"'!T254")+(INDIRECT("'"&amp;$H$3&amp;"'!T255")*('1_Outputs'!T$52/INDIRECT("'"&amp;$H$3&amp;"'!T$96")/INDIRECT("'"&amp;$H$3&amp;"'!$H$19")))))))+(T338/INDIRECT("'"&amp;$H$3&amp;"'!T257")))/INDIRECT("'"&amp;$H$3&amp;"'!$H$10"),0),0)),0)</f>
        <v>0</v>
      </c>
      <c r="U339" s="837"/>
      <c r="V339" s="837"/>
      <c r="W339" s="837">
        <f ca="1">IFERROR(IF(INDIRECT("'"&amp;$H$3&amp;"'!W248")="Route-based",ROUND(W343*W345/INDIRECT("'"&amp;$H$3&amp;"'!$H$10"),0),IF(INDIRECT("'"&amp;$H$3&amp;"'!W248")="Point-to-point",ROUND(((W337*INDIRECT("'"&amp;$H$3&amp;"'!W$96")*((1/60)*(INDIRECT("'"&amp;$H$3&amp;"'!W253")+INDIRECT("'"&amp;$H$3&amp;"'!$H$19")*(INDIRECT("'"&amp;$H$3&amp;"'!W254")+(INDIRECT("'"&amp;$H$3&amp;"'!W255")*('1_Outputs'!W$52/INDIRECT("'"&amp;$H$3&amp;"'!W$96")/INDIRECT("'"&amp;$H$3&amp;"'!$H$19")))))))+(W338/INDIRECT("'"&amp;$H$3&amp;"'!W257")))/INDIRECT("'"&amp;$H$3&amp;"'!$H$10"),0),0)),0)</f>
        <v>0</v>
      </c>
      <c r="X339" s="1468"/>
      <c r="Y339" s="36"/>
      <c r="Z339" s="36"/>
      <c r="AA339" s="36"/>
      <c r="AB339" s="36"/>
      <c r="AC339" s="36"/>
      <c r="AD339" s="36"/>
      <c r="AE339" s="36"/>
      <c r="AF339" s="36"/>
      <c r="AG339" s="36"/>
      <c r="AH339" s="36"/>
      <c r="AI339" s="36"/>
      <c r="AJ339" s="36"/>
      <c r="AK339" s="242"/>
      <c r="AL339" s="36"/>
      <c r="AM339" s="36"/>
      <c r="AN339" s="36"/>
    </row>
    <row r="340" spans="6:40" ht="15" customHeight="1" outlineLevel="1">
      <c r="F340" s="52"/>
      <c r="G340" s="51" t="s">
        <v>86</v>
      </c>
      <c r="H340" s="839"/>
      <c r="I340" s="839"/>
      <c r="J340" s="839"/>
      <c r="K340" s="839">
        <f ca="1">IFERROR(IF(INDIRECT("'"&amp;$H$3&amp;"'!K248")="Route-based",IF(INDIRECT("'"&amp;$H$3&amp;"'!K245")="Yes",K249, IF(INDIRECT("'"&amp;$H$3&amp;"'!K245")="No",K339/(INDIRECT("'"&amp;$H$3&amp;"'!$H$9")*INDIRECT("'"&amp;$H$3&amp;"'!K244")))),
IF(INDIRECT("'"&amp;$H$3&amp;"'!K248")="Point-to-point",IF(INDIRECT("'"&amp;$H$3&amp;"'!K245")="Yes",K249,IF(INDIRECT("'"&amp;$H$3&amp;"'!K245")="No",K339/(INDIRECT("'"&amp;$H$3&amp;"'!$H$9")*INDIRECT("'"&amp;$H$3&amp;"'!K244")))),0)),0)</f>
        <v>0</v>
      </c>
      <c r="L340" s="839"/>
      <c r="M340" s="839"/>
      <c r="N340" s="839">
        <f ca="1">IFERROR(IF(INDIRECT("'"&amp;$H$3&amp;"'!N248")="Route-based",IF(INDIRECT("'"&amp;$H$3&amp;"'!N245")="Yes",N249, IF(INDIRECT("'"&amp;$H$3&amp;"'!N245")="No",N339/(INDIRECT("'"&amp;$H$3&amp;"'!$H$9")*INDIRECT("'"&amp;$H$3&amp;"'!N244")))),
IF(INDIRECT("'"&amp;$H$3&amp;"'!N248")="Point-to-point",IF(INDIRECT("'"&amp;$H$3&amp;"'!N245")="Yes",N249,IF(INDIRECT("'"&amp;$H$3&amp;"'!N245")="No",N339/(INDIRECT("'"&amp;$H$3&amp;"'!$H$9")*INDIRECT("'"&amp;$H$3&amp;"'!N244")))),0)),0)</f>
        <v>0</v>
      </c>
      <c r="O340" s="839"/>
      <c r="P340" s="839"/>
      <c r="Q340" s="839">
        <f ca="1">IFERROR(IF(INDIRECT("'"&amp;$H$3&amp;"'!Q248")="Route-based",IF(INDIRECT("'"&amp;$H$3&amp;"'!Q245")="Yes",Q249, IF(INDIRECT("'"&amp;$H$3&amp;"'!Q245")="No",Q339/(INDIRECT("'"&amp;$H$3&amp;"'!$H$9")*INDIRECT("'"&amp;$H$3&amp;"'!Q244")))),
IF(INDIRECT("'"&amp;$H$3&amp;"'!Q248")="Point-to-point",IF(INDIRECT("'"&amp;$H$3&amp;"'!Q245")="Yes",Q249,IF(INDIRECT("'"&amp;$H$3&amp;"'!Q245")="No",Q339/(INDIRECT("'"&amp;$H$3&amp;"'!$H$9")*INDIRECT("'"&amp;$H$3&amp;"'!Q244")))),0)),0)</f>
        <v>0</v>
      </c>
      <c r="R340" s="839"/>
      <c r="S340" s="839"/>
      <c r="T340" s="839">
        <f ca="1">IFERROR(IF(INDIRECT("'"&amp;$H$3&amp;"'!T248")="Route-based",IF(INDIRECT("'"&amp;$H$3&amp;"'!T245")="Yes",T249, IF(INDIRECT("'"&amp;$H$3&amp;"'!T245")="No",T339/(INDIRECT("'"&amp;$H$3&amp;"'!$H$9")*INDIRECT("'"&amp;$H$3&amp;"'!T244")))),
IF(INDIRECT("'"&amp;$H$3&amp;"'!T248")="Point-to-point",IF(INDIRECT("'"&amp;$H$3&amp;"'!T245")="Yes",T249,IF(INDIRECT("'"&amp;$H$3&amp;"'!T245")="No",T339/(INDIRECT("'"&amp;$H$3&amp;"'!$H$9")*INDIRECT("'"&amp;$H$3&amp;"'!T244")))),0)),0)</f>
        <v>0</v>
      </c>
      <c r="U340" s="839"/>
      <c r="V340" s="839"/>
      <c r="W340" s="839">
        <f ca="1">IFERROR(IF(INDIRECT("'"&amp;$H$3&amp;"'!W248")="Route-based",IF(INDIRECT("'"&amp;$H$3&amp;"'!W245")="Yes",W249, IF(INDIRECT("'"&amp;$H$3&amp;"'!W245")="No",W339/(INDIRECT("'"&amp;$H$3&amp;"'!$H$9")*INDIRECT("'"&amp;$H$3&amp;"'!W244")))),
IF(INDIRECT("'"&amp;$H$3&amp;"'!W248")="Point-to-point",IF(INDIRECT("'"&amp;$H$3&amp;"'!W245")="Yes",W249,IF(INDIRECT("'"&amp;$H$3&amp;"'!W245")="No",W339/(INDIRECT("'"&amp;$H$3&amp;"'!$H$9")*INDIRECT("'"&amp;$H$3&amp;"'!W244")))),0)),0)</f>
        <v>0</v>
      </c>
      <c r="X340" s="1470"/>
      <c r="Y340" s="36"/>
      <c r="Z340" s="36"/>
      <c r="AA340" s="36"/>
      <c r="AB340" s="36"/>
      <c r="AC340" s="36"/>
      <c r="AD340" s="36"/>
      <c r="AE340" s="36"/>
      <c r="AF340" s="36"/>
      <c r="AG340" s="36"/>
      <c r="AH340" s="36"/>
      <c r="AI340" s="36"/>
      <c r="AJ340" s="36"/>
      <c r="AK340" s="36" t="s">
        <v>191</v>
      </c>
      <c r="AL340" s="36"/>
      <c r="AM340" s="36"/>
      <c r="AN340" s="36"/>
    </row>
    <row r="341" spans="6:40" ht="15" customHeight="1" outlineLevel="1" collapsed="1">
      <c r="F341" s="52"/>
      <c r="G341" s="1613" t="s">
        <v>133</v>
      </c>
      <c r="H341" s="842"/>
      <c r="I341" s="842"/>
      <c r="J341" s="842"/>
      <c r="K341" s="842"/>
      <c r="L341" s="842"/>
      <c r="M341" s="842"/>
      <c r="N341" s="842"/>
      <c r="O341" s="842"/>
      <c r="P341" s="842"/>
      <c r="Q341" s="842"/>
      <c r="R341" s="1650"/>
      <c r="S341" s="1650"/>
      <c r="T341" s="842"/>
      <c r="U341" s="1650"/>
      <c r="V341" s="1650"/>
      <c r="W341" s="842"/>
      <c r="X341" s="1470"/>
      <c r="Y341" s="36"/>
      <c r="Z341" s="36"/>
      <c r="AA341" s="36"/>
      <c r="AB341" s="36"/>
      <c r="AC341" s="36"/>
      <c r="AD341" s="36"/>
      <c r="AE341" s="36"/>
      <c r="AF341" s="36"/>
      <c r="AG341" s="36"/>
      <c r="AH341" s="36"/>
      <c r="AI341" s="36"/>
      <c r="AJ341" s="36"/>
      <c r="AK341" s="36"/>
      <c r="AL341" s="36"/>
      <c r="AM341" s="36"/>
      <c r="AN341" s="36"/>
    </row>
    <row r="342" spans="6:40" ht="15" customHeight="1" outlineLevel="1">
      <c r="F342" s="52"/>
      <c r="G342" s="51" t="s">
        <v>129</v>
      </c>
      <c r="H342" s="836"/>
      <c r="I342" s="836"/>
      <c r="J342" s="836"/>
      <c r="K342" s="836">
        <f ca="1">IFERROR(((INDIRECT("'"&amp;$H$3&amp;"'!K249")*INDIRECT("'"&amp;$H$3&amp;"'!$H$10"))-(2*INDIRECT("'"&amp;$H$3&amp;"'!K$98")/INDIRECT("'"&amp;$H$3&amp;"'!K257"))+(INDIRECT("'"&amp;$H$3&amp;"'!K$99")/INDIRECT("'"&amp;$H$3&amp;"'!K256")))/(((1/60)*(INDIRECT("'"&amp;$H$3&amp;"'!K253")+INDIRECT("'"&amp;$H$3&amp;"'!$H$19")*(INDIRECT("'"&amp;$H$3&amp;"'!K254")+(INDIRECT("'"&amp;$H$3&amp;"'!K255")*('1_Outputs'!K$52/INDIRECT("'"&amp;$H$3&amp;"'!K$96")/INDIRECT("'"&amp;$H$3&amp;"'!$H$19"))))))+(INDIRECT("'"&amp;$H$3&amp;"'!K$99")/INDIRECT("'"&amp;$H$3&amp;"'!K256"))),0)</f>
        <v>0</v>
      </c>
      <c r="L342" s="836"/>
      <c r="M342" s="836"/>
      <c r="N342" s="836">
        <f ca="1">IFERROR(((INDIRECT("'"&amp;$H$3&amp;"'!N249")*INDIRECT("'"&amp;$H$3&amp;"'!$H$10"))-(2*INDIRECT("'"&amp;$H$3&amp;"'!N$98")/INDIRECT("'"&amp;$H$3&amp;"'!N257"))+(INDIRECT("'"&amp;$H$3&amp;"'!N$99")/INDIRECT("'"&amp;$H$3&amp;"'!N256")))/(((1/60)*(INDIRECT("'"&amp;$H$3&amp;"'!N253")+INDIRECT("'"&amp;$H$3&amp;"'!$H$19")*(INDIRECT("'"&amp;$H$3&amp;"'!N254")+(INDIRECT("'"&amp;$H$3&amp;"'!N255")*('1_Outputs'!N$52/INDIRECT("'"&amp;$H$3&amp;"'!N$96")/INDIRECT("'"&amp;$H$3&amp;"'!$H$19"))))))+(INDIRECT("'"&amp;$H$3&amp;"'!N$99")/INDIRECT("'"&amp;$H$3&amp;"'!N256"))),0)</f>
        <v>0</v>
      </c>
      <c r="O342" s="836"/>
      <c r="P342" s="836"/>
      <c r="Q342" s="836">
        <f ca="1">IFERROR(((INDIRECT("'"&amp;$H$3&amp;"'!Q249")*INDIRECT("'"&amp;$H$3&amp;"'!$H$10"))-(2*INDIRECT("'"&amp;$H$3&amp;"'!Q$98")/INDIRECT("'"&amp;$H$3&amp;"'!Q257"))+(INDIRECT("'"&amp;$H$3&amp;"'!Q$99")/INDIRECT("'"&amp;$H$3&amp;"'!Q256")))/(((1/60)*(INDIRECT("'"&amp;$H$3&amp;"'!Q253")+INDIRECT("'"&amp;$H$3&amp;"'!$H$19")*(INDIRECT("'"&amp;$H$3&amp;"'!Q254")+(INDIRECT("'"&amp;$H$3&amp;"'!Q255")*('1_Outputs'!Q$52/INDIRECT("'"&amp;$H$3&amp;"'!Q$96")/INDIRECT("'"&amp;$H$3&amp;"'!$H$19"))))))+(INDIRECT("'"&amp;$H$3&amp;"'!Q$99")/INDIRECT("'"&amp;$H$3&amp;"'!Q256"))),0)</f>
        <v>0</v>
      </c>
      <c r="R342" s="836"/>
      <c r="S342" s="836"/>
      <c r="T342" s="836">
        <f ca="1">IFERROR(((INDIRECT("'"&amp;$H$3&amp;"'!T249")*INDIRECT("'"&amp;$H$3&amp;"'!$H$10"))-(2*INDIRECT("'"&amp;$H$3&amp;"'!T$98")/INDIRECT("'"&amp;$H$3&amp;"'!T257"))+(INDIRECT("'"&amp;$H$3&amp;"'!T$99")/INDIRECT("'"&amp;$H$3&amp;"'!T256")))/(((1/60)*(INDIRECT("'"&amp;$H$3&amp;"'!T253")+INDIRECT("'"&amp;$H$3&amp;"'!$H$19")*(INDIRECT("'"&amp;$H$3&amp;"'!T254")+(INDIRECT("'"&amp;$H$3&amp;"'!T255")*('1_Outputs'!T$52/INDIRECT("'"&amp;$H$3&amp;"'!T$96")/INDIRECT("'"&amp;$H$3&amp;"'!$H$19"))))))+(INDIRECT("'"&amp;$H$3&amp;"'!T$99")/INDIRECT("'"&amp;$H$3&amp;"'!T256"))),0)</f>
        <v>0</v>
      </c>
      <c r="U342" s="836"/>
      <c r="V342" s="836"/>
      <c r="W342" s="836">
        <f ca="1">IFERROR(((INDIRECT("'"&amp;$H$3&amp;"'!W249")*INDIRECT("'"&amp;$H$3&amp;"'!$H$10"))-(2*INDIRECT("'"&amp;$H$3&amp;"'!W$98")/INDIRECT("'"&amp;$H$3&amp;"'!W257"))+(INDIRECT("'"&amp;$H$3&amp;"'!W$99")/INDIRECT("'"&amp;$H$3&amp;"'!W256")))/(((1/60)*(INDIRECT("'"&amp;$H$3&amp;"'!W253")+INDIRECT("'"&amp;$H$3&amp;"'!$H$19")*(INDIRECT("'"&amp;$H$3&amp;"'!W254")+(INDIRECT("'"&amp;$H$3&amp;"'!W255")*('1_Outputs'!W$52/INDIRECT("'"&amp;$H$3&amp;"'!W$96")/INDIRECT("'"&amp;$H$3&amp;"'!$H$19"))))))+(INDIRECT("'"&amp;$H$3&amp;"'!W$99")/INDIRECT("'"&amp;$H$3&amp;"'!W256"))),0)</f>
        <v>0</v>
      </c>
      <c r="X342" s="1469"/>
      <c r="Y342" s="36"/>
      <c r="Z342" s="36"/>
      <c r="AA342" s="36"/>
      <c r="AB342" s="36"/>
      <c r="AC342" s="36"/>
      <c r="AD342" s="36"/>
      <c r="AE342" s="36"/>
      <c r="AF342" s="36"/>
      <c r="AG342" s="36"/>
      <c r="AH342" s="36"/>
      <c r="AI342" s="36"/>
      <c r="AJ342" s="36"/>
      <c r="AK342" s="36"/>
      <c r="AL342" s="36"/>
      <c r="AM342" s="36"/>
      <c r="AN342" s="36"/>
    </row>
    <row r="343" spans="6:40" ht="15" customHeight="1" outlineLevel="1">
      <c r="F343" s="52"/>
      <c r="G343" s="51" t="s">
        <v>206</v>
      </c>
      <c r="H343" s="836"/>
      <c r="I343" s="836"/>
      <c r="J343" s="836"/>
      <c r="K343" s="836">
        <f ca="1">IFERROR(ROUND(K337*INDIRECT("'"&amp;$H$3&amp;"'!K$96")/K342,0),0)</f>
        <v>0</v>
      </c>
      <c r="L343" s="836"/>
      <c r="M343" s="836"/>
      <c r="N343" s="836">
        <f ca="1">IFERROR(ROUND(N337*INDIRECT("'"&amp;$H$3&amp;"'!N$96")/N342,0),0)</f>
        <v>0</v>
      </c>
      <c r="O343" s="836"/>
      <c r="P343" s="836"/>
      <c r="Q343" s="836">
        <f ca="1">IFERROR(ROUND(Q337*INDIRECT("'"&amp;$H$3&amp;"'!Q$96")/Q342,0),0)</f>
        <v>0</v>
      </c>
      <c r="R343" s="836"/>
      <c r="S343" s="836"/>
      <c r="T343" s="836">
        <f ca="1">IFERROR(ROUND(T337*INDIRECT("'"&amp;$H$3&amp;"'!T$96")/T342,0),0)</f>
        <v>0</v>
      </c>
      <c r="U343" s="836"/>
      <c r="V343" s="836"/>
      <c r="W343" s="836">
        <f ca="1">IFERROR(ROUND(W337*INDIRECT("'"&amp;$H$3&amp;"'!W$96")/W342,0),0)</f>
        <v>0</v>
      </c>
      <c r="X343" s="1469"/>
      <c r="Y343" s="36"/>
      <c r="Z343" s="36"/>
      <c r="AA343" s="36"/>
      <c r="AB343" s="36"/>
      <c r="AC343" s="36"/>
      <c r="AD343" s="36"/>
      <c r="AE343" s="36"/>
      <c r="AF343" s="36"/>
      <c r="AG343" s="36"/>
      <c r="AH343" s="36"/>
      <c r="AI343" s="36"/>
      <c r="AJ343" s="36"/>
      <c r="AK343" s="36"/>
      <c r="AL343" s="36"/>
      <c r="AM343" s="36"/>
      <c r="AN343" s="36"/>
    </row>
    <row r="344" spans="6:40" ht="15" customHeight="1" outlineLevel="1">
      <c r="F344" s="52"/>
      <c r="G344" s="51" t="s">
        <v>87</v>
      </c>
      <c r="H344" s="836"/>
      <c r="I344" s="836"/>
      <c r="J344" s="836"/>
      <c r="K344" s="836">
        <f ca="1">IFERROR(IF(K337=0,0,(2*INDIRECT("'"&amp;$H$3&amp;"'!K$98"))+((MAX(K342, 1)-1)*INDIRECT("'"&amp;$H$3&amp;"'!K$99"))),0)</f>
        <v>0</v>
      </c>
      <c r="L344" s="836"/>
      <c r="M344" s="836"/>
      <c r="N344" s="836">
        <f ca="1">IFERROR(IF(N337=0,0,(2*INDIRECT("'"&amp;$H$3&amp;"'!N$98"))+((MAX(N342, 1)-1)*INDIRECT("'"&amp;$H$3&amp;"'!N$99"))),0)</f>
        <v>0</v>
      </c>
      <c r="O344" s="836"/>
      <c r="P344" s="836"/>
      <c r="Q344" s="836">
        <f ca="1">IFERROR(IF(Q337=0,0,(2*INDIRECT("'"&amp;$H$3&amp;"'!Q$98"))+((MAX(Q342, 1)-1)*INDIRECT("'"&amp;$H$3&amp;"'!Q$99"))),0)</f>
        <v>0</v>
      </c>
      <c r="R344" s="836"/>
      <c r="S344" s="836"/>
      <c r="T344" s="836">
        <f ca="1">IFERROR(IF(T337=0,0,(2*INDIRECT("'"&amp;$H$3&amp;"'!T$98"))+((MAX(T342, 1)-1)*INDIRECT("'"&amp;$H$3&amp;"'!T$99"))),0)</f>
        <v>0</v>
      </c>
      <c r="U344" s="836"/>
      <c r="V344" s="836"/>
      <c r="W344" s="836">
        <f ca="1">IFERROR(IF(W337=0,0,(2*INDIRECT("'"&amp;$H$3&amp;"'!W$98"))+((MAX(W342, 1)-1)*INDIRECT("'"&amp;$H$3&amp;"'!W$99"))),0)</f>
        <v>0</v>
      </c>
      <c r="X344" s="1469"/>
      <c r="Y344" s="36"/>
      <c r="Z344" s="36"/>
      <c r="AA344" s="36"/>
      <c r="AB344" s="36"/>
      <c r="AC344" s="36"/>
      <c r="AD344" s="36"/>
      <c r="AE344" s="36"/>
      <c r="AF344" s="36"/>
      <c r="AG344" s="36"/>
      <c r="AH344" s="36"/>
      <c r="AI344" s="36"/>
      <c r="AJ344" s="36"/>
      <c r="AK344" s="36"/>
      <c r="AL344" s="36"/>
      <c r="AM344" s="36"/>
      <c r="AN344" s="36"/>
    </row>
    <row r="345" spans="6:40" ht="15" customHeight="1" outlineLevel="1">
      <c r="F345" s="52"/>
      <c r="G345" s="51" t="s">
        <v>203</v>
      </c>
      <c r="H345" s="836"/>
      <c r="I345" s="836"/>
      <c r="J345" s="836"/>
      <c r="K345" s="836">
        <f ca="1">IFERROR((ROUNDUP(K342,1)*((1/60)*(INDIRECT("'"&amp;$H$3&amp;"'!K253")+INDIRECT("'"&amp;$H$3&amp;"'!$H$19")*(INDIRECT("'"&amp;$H$3&amp;"'!K254")+(INDIRECT("'"&amp;$H$3&amp;"'!K255")*('1_Outputs'!K$52/INDIRECT("'"&amp;$H$3&amp;"'!K$96")/INDIRECT("'"&amp;$H$3&amp;"'!$H$19")))))))+((2*INDIRECT("'"&amp;$H$3&amp;"'!K$98"))/INDIRECT("'"&amp;$H$3&amp;"'!K257"))+(((MAX(K342,1)-1)*INDIRECT("'"&amp;$H$3&amp;"'!K$99"))/INDIRECT("'"&amp;$H$3&amp;"'!K256")),0)</f>
        <v>0</v>
      </c>
      <c r="L345" s="836"/>
      <c r="M345" s="836"/>
      <c r="N345" s="836">
        <f ca="1">IFERROR((ROUNDUP(N342,1)*((1/60)*(INDIRECT("'"&amp;$H$3&amp;"'!N253")+INDIRECT("'"&amp;$H$3&amp;"'!$H$19")*(INDIRECT("'"&amp;$H$3&amp;"'!N254")+(INDIRECT("'"&amp;$H$3&amp;"'!N255")*('1_Outputs'!N$52/INDIRECT("'"&amp;$H$3&amp;"'!N$96")/INDIRECT("'"&amp;$H$3&amp;"'!$H$19")))))))+((2*INDIRECT("'"&amp;$H$3&amp;"'!N$98"))/INDIRECT("'"&amp;$H$3&amp;"'!N257"))+(((MAX(N342,1)-1)*INDIRECT("'"&amp;$H$3&amp;"'!N$99"))/INDIRECT("'"&amp;$H$3&amp;"'!N256")),0)</f>
        <v>0</v>
      </c>
      <c r="O345" s="836"/>
      <c r="P345" s="836"/>
      <c r="Q345" s="836">
        <f ca="1">IFERROR((ROUNDUP(Q342,1)*((1/60)*(INDIRECT("'"&amp;$H$3&amp;"'!Q253")+INDIRECT("'"&amp;$H$3&amp;"'!$H$19")*(INDIRECT("'"&amp;$H$3&amp;"'!Q254")+(INDIRECT("'"&amp;$H$3&amp;"'!Q255")*('1_Outputs'!Q$52/INDIRECT("'"&amp;$H$3&amp;"'!Q$96")/INDIRECT("'"&amp;$H$3&amp;"'!$H$19")))))))+((2*INDIRECT("'"&amp;$H$3&amp;"'!Q$98"))/INDIRECT("'"&amp;$H$3&amp;"'!Q257"))+(((MAX(Q342,1)-1)*INDIRECT("'"&amp;$H$3&amp;"'!Q$99"))/INDIRECT("'"&amp;$H$3&amp;"'!Q256")),0)</f>
        <v>0</v>
      </c>
      <c r="R345" s="836"/>
      <c r="S345" s="836"/>
      <c r="T345" s="836">
        <f ca="1">IFERROR((ROUNDUP(T342,1)*((1/60)*(INDIRECT("'"&amp;$H$3&amp;"'!T253")+INDIRECT("'"&amp;$H$3&amp;"'!$H$19")*(INDIRECT("'"&amp;$H$3&amp;"'!T254")+(INDIRECT("'"&amp;$H$3&amp;"'!T255")*('1_Outputs'!T$52/INDIRECT("'"&amp;$H$3&amp;"'!T$96")/INDIRECT("'"&amp;$H$3&amp;"'!$H$19")))))))+((2*INDIRECT("'"&amp;$H$3&amp;"'!T$98"))/INDIRECT("'"&amp;$H$3&amp;"'!T257"))+(((MAX(T342,1)-1)*INDIRECT("'"&amp;$H$3&amp;"'!T$99"))/INDIRECT("'"&amp;$H$3&amp;"'!T256")),0)</f>
        <v>0</v>
      </c>
      <c r="U345" s="836"/>
      <c r="V345" s="836"/>
      <c r="W345" s="836">
        <f ca="1">IFERROR((ROUNDUP(W342,1)*((1/60)*(INDIRECT("'"&amp;$H$3&amp;"'!W253")+INDIRECT("'"&amp;$H$3&amp;"'!$H$19")*(INDIRECT("'"&amp;$H$3&amp;"'!W254")+(INDIRECT("'"&amp;$H$3&amp;"'!W255")*('1_Outputs'!W$52/INDIRECT("'"&amp;$H$3&amp;"'!W$96")/INDIRECT("'"&amp;$H$3&amp;"'!$H$19")))))))+((2*INDIRECT("'"&amp;$H$3&amp;"'!W$98"))/INDIRECT("'"&amp;$H$3&amp;"'!W257"))+(((MAX(W342,1)-1)*INDIRECT("'"&amp;$H$3&amp;"'!W$99"))/INDIRECT("'"&amp;$H$3&amp;"'!W256")),0)</f>
        <v>0</v>
      </c>
      <c r="X345" s="1465"/>
      <c r="Y345" s="36"/>
      <c r="Z345" s="36"/>
      <c r="AA345" s="36"/>
      <c r="AB345" s="36"/>
      <c r="AC345" s="36"/>
      <c r="AD345" s="36"/>
      <c r="AE345" s="36"/>
      <c r="AF345" s="36"/>
      <c r="AG345" s="36"/>
      <c r="AH345" s="36"/>
      <c r="AI345" s="36"/>
      <c r="AJ345" s="36"/>
      <c r="AK345" s="36"/>
      <c r="AL345" s="36"/>
      <c r="AM345" s="36"/>
      <c r="AN345" s="36"/>
    </row>
    <row r="346" spans="6:40" ht="15" customHeight="1" outlineLevel="1">
      <c r="F346" s="52"/>
      <c r="G346" s="51" t="s">
        <v>204</v>
      </c>
      <c r="H346" s="836"/>
      <c r="I346" s="836"/>
      <c r="J346" s="836"/>
      <c r="K346" s="836">
        <f ca="1">IFERROR((INDIRECT("'"&amp;$H$3&amp;"'!$H$10")*INDIRECT("'"&amp;$H$3&amp;"'!$H$9")*INDIRECT("'"&amp;$H$3&amp;"'!K244"))/K345,0)</f>
        <v>0</v>
      </c>
      <c r="L346" s="836"/>
      <c r="M346" s="836"/>
      <c r="N346" s="836">
        <f ca="1">IFERROR((INDIRECT("'"&amp;$H$3&amp;"'!$H$10")*INDIRECT("'"&amp;$H$3&amp;"'!$H$9")*INDIRECT("'"&amp;$H$3&amp;"'!N244"))/N345,0)</f>
        <v>0</v>
      </c>
      <c r="O346" s="836"/>
      <c r="P346" s="836"/>
      <c r="Q346" s="836">
        <f ca="1">IFERROR((INDIRECT("'"&amp;$H$3&amp;"'!$H$10")*INDIRECT("'"&amp;$H$3&amp;"'!$H$9")*INDIRECT("'"&amp;$H$3&amp;"'!Q244"))/Q345,0)</f>
        <v>0</v>
      </c>
      <c r="R346" s="836"/>
      <c r="S346" s="836"/>
      <c r="T346" s="836">
        <f ca="1">IFERROR((INDIRECT("'"&amp;$H$3&amp;"'!$H$10")*INDIRECT("'"&amp;$H$3&amp;"'!$H$9")*INDIRECT("'"&amp;$H$3&amp;"'!T244"))/T345,0)</f>
        <v>0</v>
      </c>
      <c r="U346" s="836"/>
      <c r="V346" s="836"/>
      <c r="W346" s="836">
        <f ca="1">IFERROR((INDIRECT("'"&amp;$H$3&amp;"'!$H$10")*INDIRECT("'"&amp;$H$3&amp;"'!$H$9")*INDIRECT("'"&amp;$H$3&amp;"'!W244"))/W345,0)</f>
        <v>0</v>
      </c>
      <c r="X346" s="1465"/>
      <c r="Y346" s="36"/>
      <c r="Z346" s="36"/>
      <c r="AA346" s="36"/>
      <c r="AB346" s="36"/>
      <c r="AC346" s="36"/>
      <c r="AD346" s="36"/>
      <c r="AE346" s="36"/>
      <c r="AF346" s="36"/>
      <c r="AG346" s="36"/>
      <c r="AH346" s="36"/>
      <c r="AI346" s="36"/>
      <c r="AJ346" s="36"/>
      <c r="AK346" s="242"/>
      <c r="AL346" s="36"/>
      <c r="AM346" s="36"/>
      <c r="AN346" s="36"/>
    </row>
    <row r="347" spans="6:40" ht="15" customHeight="1" outlineLevel="1">
      <c r="F347" s="52"/>
      <c r="G347" s="1613" t="s">
        <v>134</v>
      </c>
      <c r="H347" s="842"/>
      <c r="I347" s="842"/>
      <c r="J347" s="842"/>
      <c r="K347" s="842"/>
      <c r="L347" s="842"/>
      <c r="M347" s="842"/>
      <c r="N347" s="842"/>
      <c r="O347" s="842"/>
      <c r="P347" s="842"/>
      <c r="Q347" s="842"/>
      <c r="R347" s="1650"/>
      <c r="S347" s="1650"/>
      <c r="T347" s="842"/>
      <c r="U347" s="1650"/>
      <c r="V347" s="1650"/>
      <c r="W347" s="842"/>
      <c r="X347" s="1470"/>
      <c r="Y347" s="36"/>
      <c r="Z347" s="36"/>
      <c r="AA347" s="36"/>
      <c r="AB347" s="36"/>
      <c r="AC347" s="36"/>
      <c r="AD347" s="36"/>
      <c r="AE347" s="36"/>
      <c r="AF347" s="36"/>
      <c r="AG347" s="36"/>
      <c r="AH347" s="36"/>
      <c r="AI347" s="36"/>
      <c r="AJ347" s="36"/>
      <c r="AK347" s="242"/>
      <c r="AL347" s="36"/>
      <c r="AM347" s="36"/>
      <c r="AN347" s="36"/>
    </row>
    <row r="348" spans="6:40" ht="15" customHeight="1" outlineLevel="1">
      <c r="F348" s="52"/>
      <c r="G348" s="51" t="s">
        <v>206</v>
      </c>
      <c r="H348" s="836"/>
      <c r="I348" s="836"/>
      <c r="J348" s="836"/>
      <c r="K348" s="836">
        <f ca="1">IFERROR(K337*INDIRECT("'"&amp;$H$3&amp;"'!K$96"),0)</f>
        <v>0</v>
      </c>
      <c r="L348" s="836"/>
      <c r="M348" s="836"/>
      <c r="N348" s="836">
        <f ca="1">IFERROR(N337*INDIRECT("'"&amp;$H$3&amp;"'!N$96"),0)</f>
        <v>0</v>
      </c>
      <c r="O348" s="836"/>
      <c r="P348" s="836"/>
      <c r="Q348" s="836">
        <f ca="1">IFERROR(Q337*INDIRECT("'"&amp;$H$3&amp;"'!Q$96"),0)</f>
        <v>0</v>
      </c>
      <c r="R348" s="836"/>
      <c r="S348" s="836"/>
      <c r="T348" s="836">
        <f ca="1">IFERROR(T337*INDIRECT("'"&amp;$H$3&amp;"'!T$96"),0)</f>
        <v>0</v>
      </c>
      <c r="U348" s="836"/>
      <c r="V348" s="836"/>
      <c r="W348" s="836">
        <f ca="1">IFERROR(W337*INDIRECT("'"&amp;$H$3&amp;"'!W$96"),0)</f>
        <v>0</v>
      </c>
      <c r="X348" s="1469"/>
      <c r="Y348" s="36"/>
      <c r="Z348" s="36"/>
      <c r="AA348" s="36"/>
      <c r="AB348" s="36" t="s">
        <v>192</v>
      </c>
      <c r="AC348" s="36"/>
      <c r="AD348" s="36" t="s">
        <v>193</v>
      </c>
      <c r="AE348" s="36"/>
      <c r="AF348" s="36"/>
      <c r="AG348" s="36"/>
      <c r="AH348" s="36"/>
      <c r="AI348" s="36"/>
      <c r="AJ348" s="36"/>
      <c r="AK348" s="36"/>
      <c r="AL348" s="36"/>
      <c r="AM348" s="36"/>
      <c r="AN348" s="36"/>
    </row>
    <row r="349" spans="6:40" ht="15" customHeight="1" outlineLevel="1">
      <c r="F349" s="52"/>
      <c r="G349" s="51" t="s">
        <v>87</v>
      </c>
      <c r="H349" s="836"/>
      <c r="I349" s="836"/>
      <c r="J349" s="836"/>
      <c r="K349" s="836">
        <f ca="1">IFERROR(IF(K337=0,0,2*INDIRECT("'"&amp;$H$3&amp;"'!K$98")),0)</f>
        <v>0</v>
      </c>
      <c r="L349" s="836"/>
      <c r="M349" s="836"/>
      <c r="N349" s="836">
        <f ca="1">IFERROR(IF(N337=0,0,2*INDIRECT("'"&amp;$H$3&amp;"'!N$98")),0)</f>
        <v>0</v>
      </c>
      <c r="O349" s="836"/>
      <c r="P349" s="836"/>
      <c r="Q349" s="836">
        <f ca="1">IFERROR(IF(Q337=0,0,2*INDIRECT("'"&amp;$H$3&amp;"'!Q$98")),0)</f>
        <v>0</v>
      </c>
      <c r="R349" s="836"/>
      <c r="S349" s="836"/>
      <c r="T349" s="836">
        <f ca="1">IFERROR(IF(T337=0,0,2*INDIRECT("'"&amp;$H$3&amp;"'!T$98")),0)</f>
        <v>0</v>
      </c>
      <c r="U349" s="836"/>
      <c r="V349" s="836"/>
      <c r="W349" s="836">
        <f ca="1">IFERROR(IF(W337=0,0,2*INDIRECT("'"&amp;$H$3&amp;"'!W$98")),0)</f>
        <v>0</v>
      </c>
      <c r="X349" s="1469"/>
      <c r="Y349" s="36"/>
      <c r="Z349" s="36"/>
      <c r="AA349" s="36"/>
      <c r="AB349" s="36" t="s">
        <v>194</v>
      </c>
      <c r="AC349" s="36"/>
      <c r="AD349" s="36" t="s">
        <v>195</v>
      </c>
      <c r="AE349" s="36"/>
      <c r="AF349" s="36"/>
      <c r="AG349" s="36"/>
      <c r="AH349" s="36"/>
      <c r="AI349" s="36"/>
      <c r="AJ349" s="36"/>
      <c r="AK349" s="36"/>
      <c r="AL349" s="36"/>
      <c r="AM349" s="36"/>
      <c r="AN349" s="36"/>
    </row>
    <row r="350" spans="6:40" ht="15" customHeight="1" outlineLevel="1">
      <c r="F350" s="52"/>
      <c r="G350" s="51" t="s">
        <v>204</v>
      </c>
      <c r="H350" s="837"/>
      <c r="I350" s="837"/>
      <c r="J350" s="837"/>
      <c r="K350" s="837">
        <f ca="1">IFERROR((INDIRECT("'"&amp;$H$3&amp;"'!$H$10")*INDIRECT("'"&amp;$H$3&amp;"'!$H$9")*INDIRECT("'"&amp;$H$3&amp;"'!K244"))/((K349/INDIRECT("'"&amp;$H$3&amp;"'!K257"))+((1/60)*(INDIRECT("'"&amp;$H$3&amp;"'!K253")+INDIRECT("'"&amp;$H$3&amp;"'!$H$19")*(INDIRECT("'"&amp;$H$3&amp;"'!K254")+(INDIRECT("'"&amp;$H$3&amp;"'!K255")*('1_Outputs'!K$52/INDIRECT("'"&amp;$H$3&amp;"'!K$96")/INDIRECT("'"&amp;$H$3&amp;"'!$H$19"))))))),0)</f>
        <v>0</v>
      </c>
      <c r="L350" s="837"/>
      <c r="M350" s="837"/>
      <c r="N350" s="837">
        <f ca="1">IFERROR((INDIRECT("'"&amp;$H$3&amp;"'!$H$10")*INDIRECT("'"&amp;$H$3&amp;"'!$H$9")*INDIRECT("'"&amp;$H$3&amp;"'!N244"))/((N349/INDIRECT("'"&amp;$H$3&amp;"'!N257"))+((1/60)*(INDIRECT("'"&amp;$H$3&amp;"'!N253")+INDIRECT("'"&amp;$H$3&amp;"'!$H$19")*(INDIRECT("'"&amp;$H$3&amp;"'!N254")+(INDIRECT("'"&amp;$H$3&amp;"'!N255")*('1_Outputs'!N$52/INDIRECT("'"&amp;$H$3&amp;"'!N$96")/INDIRECT("'"&amp;$H$3&amp;"'!$H$19"))))))),0)</f>
        <v>0</v>
      </c>
      <c r="O350" s="837"/>
      <c r="P350" s="837"/>
      <c r="Q350" s="837">
        <f ca="1">IFERROR((INDIRECT("'"&amp;$H$3&amp;"'!$H$10")*INDIRECT("'"&amp;$H$3&amp;"'!$H$9")*INDIRECT("'"&amp;$H$3&amp;"'!Q244"))/((Q349/INDIRECT("'"&amp;$H$3&amp;"'!Q257"))+((1/60)*(INDIRECT("'"&amp;$H$3&amp;"'!Q253")+INDIRECT("'"&amp;$H$3&amp;"'!$H$19")*(INDIRECT("'"&amp;$H$3&amp;"'!Q254")+(INDIRECT("'"&amp;$H$3&amp;"'!Q255")*('1_Outputs'!Q$52/INDIRECT("'"&amp;$H$3&amp;"'!Q$96")/INDIRECT("'"&amp;$H$3&amp;"'!$H$19"))))))),0)</f>
        <v>0</v>
      </c>
      <c r="R350" s="837"/>
      <c r="S350" s="837"/>
      <c r="T350" s="837">
        <f ca="1">IFERROR((INDIRECT("'"&amp;$H$3&amp;"'!$H$10")*INDIRECT("'"&amp;$H$3&amp;"'!$H$9")*INDIRECT("'"&amp;$H$3&amp;"'!T244"))/((T349/INDIRECT("'"&amp;$H$3&amp;"'!T257"))+((1/60)*(INDIRECT("'"&amp;$H$3&amp;"'!T253")+INDIRECT("'"&amp;$H$3&amp;"'!$H$19")*(INDIRECT("'"&amp;$H$3&amp;"'!T254")+(INDIRECT("'"&amp;$H$3&amp;"'!T255")*('1_Outputs'!T$52/INDIRECT("'"&amp;$H$3&amp;"'!T$96")/INDIRECT("'"&amp;$H$3&amp;"'!$H$19"))))))),0)</f>
        <v>0</v>
      </c>
      <c r="U350" s="837"/>
      <c r="V350" s="837"/>
      <c r="W350" s="837">
        <f ca="1">IFERROR((INDIRECT("'"&amp;$H$3&amp;"'!$H$10")*INDIRECT("'"&amp;$H$3&amp;"'!$H$9")*INDIRECT("'"&amp;$H$3&amp;"'!W244"))/((W349/INDIRECT("'"&amp;$H$3&amp;"'!W257"))+((1/60)*(INDIRECT("'"&amp;$H$3&amp;"'!W253")+INDIRECT("'"&amp;$H$3&amp;"'!$H$19")*(INDIRECT("'"&amp;$H$3&amp;"'!W254")+(INDIRECT("'"&amp;$H$3&amp;"'!W255")*('1_Outputs'!W$52/INDIRECT("'"&amp;$H$3&amp;"'!W$96")/INDIRECT("'"&amp;$H$3&amp;"'!$H$19"))))))),0)</f>
        <v>0</v>
      </c>
      <c r="X350" s="1468"/>
      <c r="Y350" s="36"/>
      <c r="Z350" s="36"/>
      <c r="AA350" s="36"/>
      <c r="AB350" s="36" t="s">
        <v>196</v>
      </c>
      <c r="AC350" s="36"/>
      <c r="AD350" s="36" t="s">
        <v>197</v>
      </c>
      <c r="AE350" s="36"/>
      <c r="AF350" s="36"/>
      <c r="AG350" s="36"/>
      <c r="AH350" s="36"/>
      <c r="AI350" s="36"/>
      <c r="AJ350" s="36"/>
      <c r="AK350" s="36"/>
      <c r="AL350" s="36"/>
      <c r="AM350" s="36"/>
      <c r="AN350" s="36"/>
    </row>
    <row r="351" spans="6:40" ht="15" customHeight="1">
      <c r="F351" s="52"/>
      <c r="G351" s="52"/>
      <c r="H351" s="1660"/>
      <c r="I351" s="1660"/>
      <c r="J351" s="1660"/>
      <c r="K351" s="1660"/>
      <c r="L351" s="1660"/>
      <c r="M351" s="1660"/>
      <c r="N351" s="1660"/>
      <c r="O351" s="1660"/>
      <c r="P351" s="1660"/>
      <c r="Q351" s="1660"/>
      <c r="R351" s="1677"/>
      <c r="S351" s="1677"/>
      <c r="T351" s="1677"/>
      <c r="U351" s="1677"/>
      <c r="V351" s="1677"/>
      <c r="W351" s="1677"/>
      <c r="X351" s="1484"/>
      <c r="Y351" s="36"/>
      <c r="Z351" s="36"/>
      <c r="AA351" s="36"/>
      <c r="AB351" s="36"/>
      <c r="AC351" s="36"/>
      <c r="AD351" s="36"/>
      <c r="AE351" s="36"/>
      <c r="AF351" s="36"/>
      <c r="AG351" s="36"/>
      <c r="AH351" s="36"/>
      <c r="AI351" s="36"/>
      <c r="AJ351" s="36"/>
      <c r="AK351" s="36"/>
      <c r="AL351" s="36"/>
      <c r="AM351" s="36"/>
      <c r="AN351" s="36"/>
    </row>
    <row r="352" spans="6:40" ht="15" customHeight="1">
      <c r="F352" s="52"/>
      <c r="G352" s="52"/>
      <c r="H352" s="1660"/>
      <c r="I352" s="1660"/>
      <c r="J352" s="1660"/>
      <c r="K352" s="1660"/>
      <c r="L352" s="1660"/>
      <c r="M352" s="1660"/>
      <c r="N352" s="1660"/>
      <c r="O352" s="1660"/>
      <c r="P352" s="1660"/>
      <c r="Q352" s="1660"/>
      <c r="R352" s="1641"/>
      <c r="S352" s="1641"/>
      <c r="T352" s="1641"/>
      <c r="U352" s="1641"/>
      <c r="V352" s="1641"/>
      <c r="W352" s="1641"/>
      <c r="X352" s="1397"/>
      <c r="Y352" s="36"/>
      <c r="Z352" s="36"/>
      <c r="AA352" s="36"/>
      <c r="AB352" s="36"/>
      <c r="AC352" s="36"/>
      <c r="AD352" s="36"/>
      <c r="AE352" s="36"/>
      <c r="AF352" s="36"/>
      <c r="AG352" s="36"/>
      <c r="AH352" s="36"/>
      <c r="AI352" s="36"/>
      <c r="AJ352" s="36"/>
      <c r="AK352" s="36"/>
      <c r="AL352" s="36"/>
      <c r="AM352" s="36"/>
      <c r="AN352" s="36"/>
    </row>
    <row r="353" spans="6:40" ht="48" customHeight="1">
      <c r="F353" s="1678" t="s">
        <v>156</v>
      </c>
      <c r="G353" s="1679"/>
      <c r="H353" s="1680"/>
      <c r="I353" s="1680"/>
      <c r="J353" s="1680"/>
      <c r="K353" s="1513" t="str">
        <f ca="1">IF($H$9&gt;=2,INDIRECT("'"&amp;$H$3&amp;"'!J$130"),"")</f>
        <v>CMS  to  Regional WH</v>
      </c>
      <c r="L353" s="1513" t="str">
        <f t="shared" ref="L353:V353" ca="1" si="21">IF($H$9&gt;=1,"Tier 1","")</f>
        <v>Tier 1</v>
      </c>
      <c r="M353" s="1513" t="str">
        <f t="shared" ca="1" si="21"/>
        <v>Tier 1</v>
      </c>
      <c r="N353" s="1513" t="str">
        <f ca="1">IF($H$9&gt;=3,INDIRECT("'"&amp;$H$3&amp;"'!M$130"),"")</f>
        <v>Regional WH  to  Health Facility</v>
      </c>
      <c r="O353" s="1513" t="str">
        <f t="shared" ca="1" si="21"/>
        <v>Tier 1</v>
      </c>
      <c r="P353" s="1513" t="str">
        <f t="shared" ca="1" si="21"/>
        <v>Tier 1</v>
      </c>
      <c r="Q353" s="1514" t="str">
        <f ca="1">IF($H$9&gt;=4,INDIRECT("'"&amp;$H$3&amp;"'!P$130"),"")</f>
        <v/>
      </c>
      <c r="R353" s="1515" t="str">
        <f t="shared" ca="1" si="21"/>
        <v>Tier 1</v>
      </c>
      <c r="S353" s="1515" t="str">
        <f t="shared" ca="1" si="21"/>
        <v>Tier 1</v>
      </c>
      <c r="T353" s="1514" t="str">
        <f ca="1">IF($H$9&gt;=5,INDIRECT("'"&amp;$H$3&amp;"'!S$130"),"")</f>
        <v/>
      </c>
      <c r="U353" s="1515" t="str">
        <f t="shared" ca="1" si="21"/>
        <v>Tier 1</v>
      </c>
      <c r="V353" s="1515" t="str">
        <f t="shared" ca="1" si="21"/>
        <v>Tier 1</v>
      </c>
      <c r="W353" s="1514" t="str">
        <f ca="1">IF($H$9&gt;=6,INDIRECT("'"&amp;$H$3&amp;"'!V$130"),"")</f>
        <v/>
      </c>
      <c r="X353" s="1464"/>
      <c r="Y353" s="36"/>
      <c r="Z353" s="36"/>
      <c r="AA353" s="36"/>
      <c r="AB353" s="36"/>
      <c r="AC353" s="36"/>
      <c r="AD353" s="36"/>
      <c r="AE353" s="36"/>
      <c r="AF353" s="36"/>
      <c r="AG353" s="36"/>
      <c r="AH353" s="36"/>
      <c r="AI353" s="36"/>
      <c r="AJ353" s="36"/>
      <c r="AK353" s="242"/>
      <c r="AL353" s="36"/>
      <c r="AM353" s="36"/>
      <c r="AN353" s="36"/>
    </row>
    <row r="354" spans="6:40" ht="15" customHeight="1" outlineLevel="1">
      <c r="F354" s="1681" t="s">
        <v>149</v>
      </c>
      <c r="G354" s="1681"/>
      <c r="H354" s="78"/>
      <c r="I354" s="78"/>
      <c r="J354" s="78"/>
      <c r="K354" s="78"/>
      <c r="L354" s="78"/>
      <c r="M354" s="78"/>
      <c r="N354" s="78"/>
      <c r="O354" s="1681"/>
      <c r="P354" s="1681"/>
      <c r="Q354" s="1682"/>
      <c r="R354" s="1641"/>
      <c r="S354" s="1641"/>
      <c r="T354" s="1682"/>
      <c r="U354" s="1641"/>
      <c r="V354" s="1641"/>
      <c r="W354" s="1682"/>
      <c r="Y354" s="36"/>
      <c r="Z354" s="36"/>
      <c r="AA354" s="36"/>
      <c r="AB354" s="36"/>
      <c r="AC354" s="36"/>
      <c r="AD354" s="36"/>
      <c r="AE354" s="36"/>
      <c r="AF354" s="36"/>
      <c r="AG354" s="36"/>
      <c r="AH354" s="36"/>
      <c r="AI354" s="36"/>
      <c r="AJ354" s="36"/>
      <c r="AK354" s="242"/>
      <c r="AL354" s="36"/>
      <c r="AM354" s="36"/>
      <c r="AN354" s="36"/>
    </row>
    <row r="355" spans="6:40" ht="15" customHeight="1" outlineLevel="1">
      <c r="F355" s="52"/>
      <c r="G355" s="51" t="s">
        <v>146</v>
      </c>
      <c r="H355" s="837"/>
      <c r="I355" s="837"/>
      <c r="J355" s="837"/>
      <c r="K355" s="837">
        <f ca="1">IFERROR(IF(COUNTIF(INDIRECT("'"&amp;$H$3&amp;"'!K264"),"Public Transport*")=1,IF(INDIRECT("'"&amp;$H$3&amp;"'!K272")="Route-based",K362*INDIRECT("'"&amp;$H$3&amp;"'!K$261"),IF(INDIRECT("'"&amp;$H$3&amp;"'!K272")="Point-to-point",K365*INDIRECT("'"&amp;$H$3&amp;"'!K$261"),0)),0),0)</f>
        <v>0</v>
      </c>
      <c r="L355" s="837"/>
      <c r="M355" s="837"/>
      <c r="N355" s="837">
        <f ca="1">IFERROR(IF(COUNTIF(INDIRECT("'"&amp;$H$3&amp;"'!N264"),"Public Transport*")=1,IF(INDIRECT("'"&amp;$H$3&amp;"'!N272")="Route-based",N362*INDIRECT("'"&amp;$H$3&amp;"'!N$261"),IF(INDIRECT("'"&amp;$H$3&amp;"'!N272")="Point-to-point",N365*INDIRECT("'"&amp;$H$3&amp;"'!N$261"),0)),0),0)</f>
        <v>0</v>
      </c>
      <c r="O355" s="837"/>
      <c r="P355" s="837"/>
      <c r="Q355" s="837">
        <f ca="1">IFERROR(IF(COUNTIF(INDIRECT("'"&amp;$H$3&amp;"'!Q264"),"Public Transport*")=1,IF(INDIRECT("'"&amp;$H$3&amp;"'!Q272")="Route-based",Q362*INDIRECT("'"&amp;$H$3&amp;"'!Q$261"),IF(INDIRECT("'"&amp;$H$3&amp;"'!Q272")="Point-to-point",Q365*INDIRECT("'"&amp;$H$3&amp;"'!Q$261"),0)),0),0)</f>
        <v>0</v>
      </c>
      <c r="R355" s="1650"/>
      <c r="S355" s="1650"/>
      <c r="T355" s="837">
        <f ca="1">IFERROR(IF(COUNTIF(INDIRECT("'"&amp;$H$3&amp;"'!T264"),"Public Transport*")=1,IF(INDIRECT("'"&amp;$H$3&amp;"'!T272")="Route-based",T362*INDIRECT("'"&amp;$H$3&amp;"'!T$261"),IF(INDIRECT("'"&amp;$H$3&amp;"'!T272")="Point-to-point",T365*INDIRECT("'"&amp;$H$3&amp;"'!T$261"),0)),0),0)</f>
        <v>0</v>
      </c>
      <c r="U355" s="1650"/>
      <c r="V355" s="1650"/>
      <c r="W355" s="837">
        <f ca="1">IFERROR(IF(COUNTIF(INDIRECT("'"&amp;$H$3&amp;"'!W264"),"Public Transport*")=1,IF(INDIRECT("'"&amp;$H$3&amp;"'!W272")="Route-based",W362*INDIRECT("'"&amp;$H$3&amp;"'!W$261"),IF(INDIRECT("'"&amp;$H$3&amp;"'!W272")="Point-to-point",W365*INDIRECT("'"&amp;$H$3&amp;"'!W$261"),0)),0),0)</f>
        <v>0</v>
      </c>
      <c r="X355" s="1468"/>
      <c r="Y355" s="36"/>
      <c r="Z355" s="36"/>
      <c r="AA355" s="36"/>
      <c r="AB355" s="36"/>
      <c r="AC355" s="36"/>
      <c r="AD355" s="36"/>
      <c r="AE355" s="36"/>
      <c r="AF355" s="36"/>
      <c r="AG355" s="36"/>
      <c r="AH355" s="36"/>
      <c r="AI355" s="36"/>
      <c r="AJ355" s="36"/>
      <c r="AK355" s="242"/>
      <c r="AL355" s="36"/>
      <c r="AM355" s="36"/>
      <c r="AN355" s="36"/>
    </row>
    <row r="356" spans="6:40" ht="15" customHeight="1" outlineLevel="1">
      <c r="F356" s="52"/>
      <c r="G356" s="51" t="s">
        <v>147</v>
      </c>
      <c r="H356" s="837"/>
      <c r="I356" s="837"/>
      <c r="J356" s="837"/>
      <c r="K356" s="837">
        <f ca="1">IFERROR(IF(INDIRECT("'"&amp;$H$3&amp;"'!K272")="Route-based",K363*INDIRECT("'"&amp;$H$3&amp;"'!K$261"),IF(INDIRECT("'"&amp;$H$3&amp;"'!K272")="Point-to-point",K366*INDIRECT("'"&amp;$H$3&amp;"'!K$261"),0)),0)</f>
        <v>0</v>
      </c>
      <c r="L356" s="837"/>
      <c r="M356" s="837"/>
      <c r="N356" s="837">
        <f ca="1">IFERROR(IF(INDIRECT("'"&amp;$H$3&amp;"'!N272")="Route-based",N363*INDIRECT("'"&amp;$H$3&amp;"'!N$261"),IF(INDIRECT("'"&amp;$H$3&amp;"'!N272")="Point-to-point",N366*INDIRECT("'"&amp;$H$3&amp;"'!N$261"),0)),0)</f>
        <v>0</v>
      </c>
      <c r="O356" s="837"/>
      <c r="P356" s="837"/>
      <c r="Q356" s="837">
        <f ca="1">IFERROR(IF(INDIRECT("'"&amp;$H$3&amp;"'!Q272")="Route-based",Q363*INDIRECT("'"&amp;$H$3&amp;"'!Q$261"),IF(INDIRECT("'"&amp;$H$3&amp;"'!Q272")="Point-to-point",Q366*INDIRECT("'"&amp;$H$3&amp;"'!Q$261"),0)),0)</f>
        <v>0</v>
      </c>
      <c r="R356" s="1650"/>
      <c r="S356" s="1650"/>
      <c r="T356" s="837">
        <f ca="1">IFERROR(IF(INDIRECT("'"&amp;$H$3&amp;"'!T272")="Route-based",T363*INDIRECT("'"&amp;$H$3&amp;"'!T$261"),IF(INDIRECT("'"&amp;$H$3&amp;"'!T272")="Point-to-point",T366*INDIRECT("'"&amp;$H$3&amp;"'!T$261"),0)),0)</f>
        <v>0</v>
      </c>
      <c r="U356" s="1650"/>
      <c r="V356" s="1650"/>
      <c r="W356" s="837">
        <f ca="1">IFERROR(IF(INDIRECT("'"&amp;$H$3&amp;"'!W272")="Route-based",W363*INDIRECT("'"&amp;$H$3&amp;"'!W$261"),IF(INDIRECT("'"&amp;$H$3&amp;"'!W272")="Point-to-point",W366*INDIRECT("'"&amp;$H$3&amp;"'!W$261"),0)),0)</f>
        <v>0</v>
      </c>
      <c r="X356" s="1468"/>
      <c r="Y356" s="36"/>
      <c r="Z356" s="36"/>
      <c r="AA356" s="36"/>
      <c r="AB356" s="36"/>
      <c r="AC356" s="36"/>
      <c r="AD356" s="36"/>
      <c r="AE356" s="36"/>
      <c r="AF356" s="36"/>
      <c r="AG356" s="36"/>
      <c r="AH356" s="36"/>
      <c r="AI356" s="36"/>
      <c r="AJ356" s="36"/>
      <c r="AK356" s="36"/>
      <c r="AL356" s="36"/>
      <c r="AM356" s="36"/>
      <c r="AN356" s="36"/>
    </row>
    <row r="357" spans="6:40" ht="15" customHeight="1" outlineLevel="1">
      <c r="F357" s="52"/>
      <c r="G357" s="51" t="s">
        <v>142</v>
      </c>
      <c r="H357" s="1651"/>
      <c r="I357" s="1651"/>
      <c r="J357" s="1651"/>
      <c r="K357" s="1651">
        <f ca="1">IFERROR(IF(COUNTIF(INDIRECT("'"&amp;$H$3&amp;"'!K264"),"Public Transport*")&gt;0,ROUND(INDIRECT("'"&amp;$H$3&amp;"'!K$95")*INDIRECT("'"&amp;$H$3&amp;"'!K263"),0),0),0)</f>
        <v>0</v>
      </c>
      <c r="L357" s="1651"/>
      <c r="M357" s="1651"/>
      <c r="N357" s="1651">
        <f ca="1">IFERROR(IF(COUNTIF(INDIRECT("'"&amp;$H$3&amp;"'!N264"),"Public Transport*")&gt;0,ROUND(INDIRECT("'"&amp;$H$3&amp;"'!N$95")*INDIRECT("'"&amp;$H$3&amp;"'!N263"),0),0),0)</f>
        <v>0</v>
      </c>
      <c r="O357" s="1651"/>
      <c r="P357" s="1651"/>
      <c r="Q357" s="1651">
        <f ca="1">IFERROR(IF(COUNTIF(INDIRECT("'"&amp;$H$3&amp;"'!Q264"),"Public Transport*")&gt;0,ROUND(INDIRECT("'"&amp;$H$3&amp;"'!Q$95")*INDIRECT("'"&amp;$H$3&amp;"'!Q263"),0),0),0)</f>
        <v>0</v>
      </c>
      <c r="R357" s="1650"/>
      <c r="S357" s="1650"/>
      <c r="T357" s="1651">
        <f ca="1">IFERROR(IF(COUNTIF(INDIRECT("'"&amp;$H$3&amp;"'!T264"),"Public Transport*")&gt;0,ROUND(INDIRECT("'"&amp;$H$3&amp;"'!T$95")*INDIRECT("'"&amp;$H$3&amp;"'!T263"),0),0),0)</f>
        <v>0</v>
      </c>
      <c r="U357" s="1650"/>
      <c r="V357" s="1650"/>
      <c r="W357" s="1651">
        <f ca="1">IFERROR(IF(COUNTIF(INDIRECT("'"&amp;$H$3&amp;"'!W264"),"Public Transport*")&gt;0,ROUND(INDIRECT("'"&amp;$H$3&amp;"'!W$95")*INDIRECT("'"&amp;$H$3&amp;"'!W263"),0),0),0)</f>
        <v>0</v>
      </c>
      <c r="X357" s="1466"/>
      <c r="Y357" s="36"/>
      <c r="Z357" s="36"/>
      <c r="AA357" s="36"/>
      <c r="AB357" s="36"/>
      <c r="AC357" s="36"/>
      <c r="AD357" s="36"/>
      <c r="AE357" s="36"/>
      <c r="AF357" s="36"/>
      <c r="AG357" s="36"/>
      <c r="AH357" s="36"/>
      <c r="AI357" s="36"/>
      <c r="AJ357" s="36"/>
      <c r="AK357" s="36"/>
      <c r="AL357" s="36"/>
      <c r="AM357" s="36"/>
      <c r="AN357" s="36"/>
    </row>
    <row r="358" spans="6:40" ht="15" customHeight="1" outlineLevel="1">
      <c r="F358" s="52"/>
      <c r="G358" s="1613" t="s">
        <v>150</v>
      </c>
      <c r="H358" s="842"/>
      <c r="I358" s="842"/>
      <c r="J358" s="842"/>
      <c r="K358" s="842"/>
      <c r="L358" s="842"/>
      <c r="M358" s="842"/>
      <c r="N358" s="842"/>
      <c r="O358" s="842"/>
      <c r="P358" s="842"/>
      <c r="Q358" s="842"/>
      <c r="R358" s="1650"/>
      <c r="S358" s="1650"/>
      <c r="T358" s="842"/>
      <c r="U358" s="1650"/>
      <c r="V358" s="1650"/>
      <c r="W358" s="842"/>
      <c r="X358" s="1470"/>
      <c r="Y358" s="36"/>
      <c r="Z358" s="36"/>
      <c r="AA358" s="36"/>
      <c r="AB358" s="36"/>
      <c r="AC358" s="36"/>
      <c r="AD358" s="36"/>
      <c r="AE358" s="36"/>
      <c r="AF358" s="36"/>
      <c r="AG358" s="36"/>
      <c r="AH358" s="36"/>
      <c r="AI358" s="36"/>
      <c r="AJ358" s="36"/>
      <c r="AK358" s="36"/>
      <c r="AL358" s="36"/>
      <c r="AM358" s="36"/>
      <c r="AN358" s="36"/>
    </row>
    <row r="359" spans="6:40" ht="15" customHeight="1" outlineLevel="1">
      <c r="F359" s="52"/>
      <c r="G359" s="51" t="s">
        <v>140</v>
      </c>
      <c r="H359" s="836"/>
      <c r="I359" s="836"/>
      <c r="J359" s="836"/>
      <c r="K359" s="836">
        <f ca="1">IFERROR(ROUND(INDIRECT("'"&amp;$H$3&amp;"'!$H$10")/(((1/60)*(INDIRECT("'"&amp;$H$3&amp;"'!K277")+INDIRECT("'"&amp;$H$3&amp;"'!$H$19")*(INDIRECT("'"&amp;$H$3&amp;"'!K278")+(INDIRECT("'"&amp;$H$3&amp;"'!K279")*('1_Outputs'!K$52/INDIRECT("'"&amp;$H$3&amp;"'!K$96")/INDIRECT("'"&amp;$H$3&amp;"'!$H$19"))))))+INDEX(INDIRECT("'"&amp;$H$3&amp;"'!$H$43:$H$78"),MATCH(INDIRECT("'"&amp;$H$3&amp;"'!K264")&amp;"Average duration (hrs) per trip",INDIRECT("'"&amp;$H$3&amp;"'!$F$43:$F$78"),0))),1),0)</f>
        <v>0</v>
      </c>
      <c r="L359" s="836"/>
      <c r="M359" s="836"/>
      <c r="N359" s="836">
        <f ca="1">IFERROR(ROUND(INDIRECT("'"&amp;$H$3&amp;"'!$H$10")/(((1/60)*(INDIRECT("'"&amp;$H$3&amp;"'!N277")+INDIRECT("'"&amp;$H$3&amp;"'!$H$19")*(INDIRECT("'"&amp;$H$3&amp;"'!N278")+(INDIRECT("'"&amp;$H$3&amp;"'!N279")*('1_Outputs'!N$52/INDIRECT("'"&amp;$H$3&amp;"'!N$261")/INDIRECT("'"&amp;$H$3&amp;"'!$H$19"))))))+INDEX(INDIRECT("'"&amp;$H$3&amp;"'!$H$43:$H$78"),MATCH(INDIRECT("'"&amp;$H$3&amp;"'!N264")&amp;"Average duration (hrs) per trip",INDIRECT("'"&amp;$H$3&amp;"'!$F$43:$F$78"),0))),1),0)</f>
        <v>0</v>
      </c>
      <c r="O359" s="836"/>
      <c r="P359" s="836"/>
      <c r="Q359" s="836">
        <f ca="1">IFERROR(ROUND(INDIRECT("'"&amp;$H$3&amp;"'!$H$10")/(((1/60)*(INDIRECT("'"&amp;$H$3&amp;"'!Q277")+INDIRECT("'"&amp;$H$3&amp;"'!$H$19")*(INDIRECT("'"&amp;$H$3&amp;"'!Q278")+(INDIRECT("'"&amp;$H$3&amp;"'!Q279")*('1_Outputs'!Q$52/INDIRECT("'"&amp;$H$3&amp;"'!Q$261")/INDIRECT("'"&amp;$H$3&amp;"'!$H$19"))))))+INDEX(INDIRECT("'"&amp;$H$3&amp;"'!$H$43:$H$78"),MATCH(INDIRECT("'"&amp;$H$3&amp;"'!Q264")&amp;"Average duration (hrs) per trip",INDIRECT("'"&amp;$H$3&amp;"'!$F$43:$F$78"),0))),1),0)</f>
        <v>0</v>
      </c>
      <c r="R359" s="836"/>
      <c r="S359" s="836"/>
      <c r="T359" s="836">
        <f ca="1">IFERROR(ROUND(INDIRECT("'"&amp;$H$3&amp;"'!$H$10")/(((1/60)*(INDIRECT("'"&amp;$H$3&amp;"'!T277")+INDIRECT("'"&amp;$H$3&amp;"'!$H$19")*(INDIRECT("'"&amp;$H$3&amp;"'!T278")+(INDIRECT("'"&amp;$H$3&amp;"'!T279")*('1_Outputs'!T$52/INDIRECT("'"&amp;$H$3&amp;"'!T$261")/INDIRECT("'"&amp;$H$3&amp;"'!$H$19"))))))+INDEX(INDIRECT("'"&amp;$H$3&amp;"'!$H$43:$H$78"),MATCH(INDIRECT("'"&amp;$H$3&amp;"'!T264")&amp;"Average duration (hrs) per trip",INDIRECT("'"&amp;$H$3&amp;"'!$F$43:$F$78"),0))),1),0)</f>
        <v>0</v>
      </c>
      <c r="U359" s="836"/>
      <c r="V359" s="836"/>
      <c r="W359" s="836">
        <f ca="1">IFERROR(ROUND(INDIRECT("'"&amp;$H$3&amp;"'!$H$10")/(((1/60)*(INDIRECT("'"&amp;$H$3&amp;"'!W277")+INDIRECT("'"&amp;$H$3&amp;"'!$H$19")*(INDIRECT("'"&amp;$H$3&amp;"'!W278")+(INDIRECT("'"&amp;$H$3&amp;"'!W279")*('1_Outputs'!W$52/INDIRECT("'"&amp;$H$3&amp;"'!W$261")/INDIRECT("'"&amp;$H$3&amp;"'!$H$19"))))))+INDEX(INDIRECT("'"&amp;$H$3&amp;"'!$H$43:$H$78"),MATCH(INDIRECT("'"&amp;$H$3&amp;"'!W264")&amp;"Average duration (hrs) per trip",INDIRECT("'"&amp;$H$3&amp;"'!$F$43:$F$78"),0))),1),0)</f>
        <v>0</v>
      </c>
      <c r="X359" s="1469"/>
      <c r="Y359" s="36"/>
      <c r="Z359" s="36"/>
      <c r="AA359" s="36"/>
      <c r="AB359" s="36"/>
      <c r="AC359" s="36"/>
      <c r="AD359" s="36"/>
      <c r="AE359" s="36"/>
      <c r="AF359" s="36"/>
      <c r="AG359" s="36"/>
      <c r="AH359" s="36"/>
      <c r="AI359" s="36"/>
      <c r="AJ359" s="36"/>
      <c r="AK359" s="36"/>
      <c r="AL359" s="36"/>
      <c r="AM359" s="36"/>
      <c r="AN359" s="36"/>
    </row>
    <row r="360" spans="6:40" ht="15" customHeight="1" outlineLevel="1">
      <c r="F360" s="52"/>
      <c r="G360" s="51" t="s">
        <v>141</v>
      </c>
      <c r="H360" s="836"/>
      <c r="I360" s="836"/>
      <c r="J360" s="836"/>
      <c r="K360" s="836">
        <f ca="1">IFERROR(ROUND(K359*INDIRECT("'"&amp;$H$3&amp;"'!K273"),0),0)</f>
        <v>0</v>
      </c>
      <c r="L360" s="836"/>
      <c r="M360" s="836"/>
      <c r="N360" s="836">
        <f ca="1">IFERROR(ROUND(N359*INDIRECT("'"&amp;$H$3&amp;"'!N273"),0),0)</f>
        <v>0</v>
      </c>
      <c r="O360" s="836"/>
      <c r="P360" s="836"/>
      <c r="Q360" s="836">
        <f ca="1">IFERROR(ROUND(Q359*INDIRECT("'"&amp;$H$3&amp;"'!Q273"),0),0)</f>
        <v>0</v>
      </c>
      <c r="R360" s="836"/>
      <c r="S360" s="836"/>
      <c r="T360" s="836">
        <f ca="1">IFERROR(ROUND(T359*INDIRECT("'"&amp;$H$3&amp;"'!T273"),0),0)</f>
        <v>0</v>
      </c>
      <c r="U360" s="836"/>
      <c r="V360" s="836"/>
      <c r="W360" s="836">
        <f ca="1">IFERROR(ROUND(W359*INDIRECT("'"&amp;$H$3&amp;"'!W273"),0),0)</f>
        <v>0</v>
      </c>
      <c r="X360" s="1469"/>
      <c r="Y360" s="36"/>
      <c r="Z360" s="36"/>
      <c r="AA360" s="36"/>
      <c r="AB360" s="36"/>
      <c r="AC360" s="36"/>
      <c r="AD360" s="36"/>
      <c r="AE360" s="36"/>
      <c r="AF360" s="36"/>
      <c r="AG360" s="36"/>
      <c r="AH360" s="36"/>
      <c r="AI360" s="36"/>
      <c r="AJ360" s="36"/>
      <c r="AK360" s="36"/>
      <c r="AL360" s="36"/>
      <c r="AM360" s="36"/>
      <c r="AN360" s="36"/>
    </row>
    <row r="361" spans="6:40" ht="15" customHeight="1" outlineLevel="1">
      <c r="F361" s="52"/>
      <c r="G361" s="51" t="s">
        <v>143</v>
      </c>
      <c r="H361" s="836"/>
      <c r="I361" s="836"/>
      <c r="J361" s="836"/>
      <c r="K361" s="836">
        <f ca="1">IFERROR(ROUNDUP(K357/K360,0),0)</f>
        <v>0</v>
      </c>
      <c r="L361" s="836"/>
      <c r="M361" s="836"/>
      <c r="N361" s="836">
        <f ca="1">IFERROR(ROUNDUP(N357/N360,0),0)</f>
        <v>0</v>
      </c>
      <c r="O361" s="836"/>
      <c r="P361" s="836"/>
      <c r="Q361" s="836">
        <f ca="1">IFERROR(ROUNDUP(Q357/Q360,0),0)</f>
        <v>0</v>
      </c>
      <c r="R361" s="836"/>
      <c r="S361" s="836"/>
      <c r="T361" s="836">
        <f ca="1">IFERROR(ROUNDUP(T357/T360,0),0)</f>
        <v>0</v>
      </c>
      <c r="U361" s="836"/>
      <c r="V361" s="836"/>
      <c r="W361" s="836">
        <f ca="1">IFERROR(ROUNDUP(W357/W360,0),0)</f>
        <v>0</v>
      </c>
      <c r="X361" s="1469"/>
      <c r="Y361" s="36"/>
      <c r="Z361" s="36"/>
      <c r="AA361" s="36"/>
      <c r="AB361" s="36"/>
      <c r="AC361" s="36"/>
      <c r="AD361" s="36"/>
      <c r="AE361" s="36"/>
      <c r="AF361" s="36"/>
      <c r="AG361" s="36"/>
      <c r="AH361" s="36"/>
      <c r="AI361" s="36"/>
      <c r="AJ361" s="36"/>
      <c r="AK361" s="242"/>
      <c r="AL361" s="36"/>
      <c r="AM361" s="36"/>
      <c r="AN361" s="36"/>
    </row>
    <row r="362" spans="6:40" ht="15" customHeight="1" outlineLevel="1">
      <c r="F362" s="52"/>
      <c r="G362" s="51" t="s">
        <v>144</v>
      </c>
      <c r="H362" s="836"/>
      <c r="I362" s="836"/>
      <c r="J362" s="836"/>
      <c r="K362" s="836">
        <f ca="1">IFERROR((K361*(K360+1)),0)</f>
        <v>0</v>
      </c>
      <c r="L362" s="836"/>
      <c r="M362" s="836"/>
      <c r="N362" s="836">
        <f ca="1">IFERROR((N361*(N360+1)),0)</f>
        <v>0</v>
      </c>
      <c r="O362" s="836"/>
      <c r="P362" s="836"/>
      <c r="Q362" s="836">
        <f ca="1">IFERROR((Q361*(Q360+1)),0)</f>
        <v>0</v>
      </c>
      <c r="R362" s="836"/>
      <c r="S362" s="836"/>
      <c r="T362" s="836">
        <f ca="1">IFERROR((T361*(T360+1)),0)</f>
        <v>0</v>
      </c>
      <c r="U362" s="836"/>
      <c r="V362" s="836"/>
      <c r="W362" s="836">
        <f ca="1">IFERROR((W361*(W360+1)),0)</f>
        <v>0</v>
      </c>
      <c r="X362" s="1469"/>
      <c r="Y362" s="36"/>
      <c r="Z362" s="36"/>
      <c r="AA362" s="36"/>
      <c r="AB362" s="36"/>
      <c r="AC362" s="36"/>
      <c r="AD362" s="36"/>
      <c r="AE362" s="36"/>
      <c r="AF362" s="36"/>
      <c r="AG362" s="36"/>
      <c r="AH362" s="36"/>
      <c r="AI362" s="36"/>
      <c r="AJ362" s="36"/>
      <c r="AK362" s="242"/>
      <c r="AL362" s="36"/>
      <c r="AM362" s="36"/>
      <c r="AN362" s="36"/>
    </row>
    <row r="363" spans="6:40" ht="15" customHeight="1" outlineLevel="1">
      <c r="F363" s="52"/>
      <c r="G363" s="51" t="s">
        <v>145</v>
      </c>
      <c r="H363" s="836"/>
      <c r="I363" s="836"/>
      <c r="J363" s="836"/>
      <c r="K363" s="836">
        <f ca="1">IFERROR(ROUNDUP(((K362*INDEX(INDIRECT("'"&amp;$H$3&amp;"'!$H$43:$H$78"),MATCH(INDIRECT("'"&amp;$H$3&amp;"'!K264")&amp;"Average duration (hrs) per trip",INDIRECT("'"&amp;$H$3&amp;"'!$F$43:$F$78"),0)))+(K357*((1/60)*(INDIRECT("'"&amp;$H$3&amp;"'!K277")+INDIRECT("'"&amp;$H$3&amp;"'!$H$19")*(INDIRECT("'"&amp;$H$3&amp;"'!K278")+(INDIRECT("'"&amp;$H$3&amp;"'!K279")*('1_Outputs'!K$52/INDIRECT("'"&amp;$H$3&amp;"'!K$261")/INDIRECT("'"&amp;$H$3&amp;"'!$H$19"))))))))/INDIRECT("'"&amp;$H$3&amp;"'!$H$10"),0),0)</f>
        <v>0</v>
      </c>
      <c r="L363" s="836"/>
      <c r="M363" s="836"/>
      <c r="N363" s="836">
        <f ca="1">IFERROR(ROUNDUP(((N362*INDEX(INDIRECT("'"&amp;$H$3&amp;"'!$H$43:$H$78"),MATCH(INDIRECT("'"&amp;$H$3&amp;"'!N264")&amp;"Average duration (hrs) per trip",INDIRECT("'"&amp;$H$3&amp;"'!$F$43:$F$78"),0)))+(N357*((1/60)*(INDIRECT("'"&amp;$H$3&amp;"'!N277")+INDIRECT("'"&amp;$H$3&amp;"'!$H$19")*(INDIRECT("'"&amp;$H$3&amp;"'!N278")+(INDIRECT("'"&amp;$H$3&amp;"'!N279")*('1_Outputs'!N$52/INDIRECT("'"&amp;$H$3&amp;"'!N$261")/INDIRECT("'"&amp;$H$3&amp;"'!$H$19"))))))))/INDIRECT("'"&amp;$H$3&amp;"'!$H$10"),0),0)</f>
        <v>0</v>
      </c>
      <c r="O363" s="836"/>
      <c r="P363" s="836"/>
      <c r="Q363" s="836">
        <f ca="1">IFERROR(ROUNDUP(((Q362*INDEX(INDIRECT("'"&amp;$H$3&amp;"'!$H$43:$H$78"),MATCH(INDIRECT("'"&amp;$H$3&amp;"'!Q264")&amp;"Average duration (hrs) per trip",INDIRECT("'"&amp;$H$3&amp;"'!$F$43:$F$78"),0)))+(Q357*((1/60)*(INDIRECT("'"&amp;$H$3&amp;"'!Q277")+INDIRECT("'"&amp;$H$3&amp;"'!$H$19")*(INDIRECT("'"&amp;$H$3&amp;"'!Q278")+(INDIRECT("'"&amp;$H$3&amp;"'!Q279")*('1_Outputs'!Q$52/INDIRECT("'"&amp;$H$3&amp;"'!Q$261")/INDIRECT("'"&amp;$H$3&amp;"'!$H$19"))))))))/INDIRECT("'"&amp;$H$3&amp;"'!$H$10"),0),0)</f>
        <v>0</v>
      </c>
      <c r="R363" s="836"/>
      <c r="S363" s="836"/>
      <c r="T363" s="836">
        <f ca="1">IFERROR(ROUNDUP(((T362*INDEX(INDIRECT("'"&amp;$H$3&amp;"'!$H$43:$H$78"),MATCH(INDIRECT("'"&amp;$H$3&amp;"'!T264")&amp;"Average duration (hrs) per trip",INDIRECT("'"&amp;$H$3&amp;"'!$F$43:$F$78"),0)))+(T357*((1/60)*(INDIRECT("'"&amp;$H$3&amp;"'!T277")+INDIRECT("'"&amp;$H$3&amp;"'!$H$19")*(INDIRECT("'"&amp;$H$3&amp;"'!T278")+(INDIRECT("'"&amp;$H$3&amp;"'!T279")*('1_Outputs'!T$52/INDIRECT("'"&amp;$H$3&amp;"'!T$261")/INDIRECT("'"&amp;$H$3&amp;"'!$H$19"))))))))/INDIRECT("'"&amp;$H$3&amp;"'!$H$10"),0),0)</f>
        <v>0</v>
      </c>
      <c r="U363" s="836"/>
      <c r="V363" s="836"/>
      <c r="W363" s="836">
        <f ca="1">IFERROR(ROUNDUP(((W362*INDEX(INDIRECT("'"&amp;$H$3&amp;"'!$H$43:$H$78"),MATCH(INDIRECT("'"&amp;$H$3&amp;"'!W264")&amp;"Average duration (hrs) per trip",INDIRECT("'"&amp;$H$3&amp;"'!$F$43:$F$78"),0)))+(W357*((1/60)*(INDIRECT("'"&amp;$H$3&amp;"'!W277")+INDIRECT("'"&amp;$H$3&amp;"'!$H$19")*(INDIRECT("'"&amp;$H$3&amp;"'!W278")+(INDIRECT("'"&amp;$H$3&amp;"'!W279")*('1_Outputs'!W$52/INDIRECT("'"&amp;$H$3&amp;"'!W$261")/INDIRECT("'"&amp;$H$3&amp;"'!$H$19"))))))))/INDIRECT("'"&amp;$H$3&amp;"'!$H$10"),0),0)</f>
        <v>0</v>
      </c>
      <c r="X363" s="1469"/>
      <c r="Y363" s="36"/>
      <c r="Z363" s="36"/>
      <c r="AA363" s="36"/>
      <c r="AB363" s="36"/>
      <c r="AC363" s="36"/>
      <c r="AD363" s="36"/>
      <c r="AE363" s="36"/>
      <c r="AF363" s="36"/>
      <c r="AG363" s="36"/>
      <c r="AH363" s="36"/>
      <c r="AI363" s="36"/>
      <c r="AJ363" s="36"/>
      <c r="AK363" s="242"/>
      <c r="AL363" s="36"/>
      <c r="AM363" s="36"/>
      <c r="AN363" s="36"/>
    </row>
    <row r="364" spans="6:40" ht="15" customHeight="1" outlineLevel="1">
      <c r="F364" s="52"/>
      <c r="G364" s="1613" t="s">
        <v>841</v>
      </c>
      <c r="H364" s="842"/>
      <c r="I364" s="842"/>
      <c r="J364" s="842"/>
      <c r="K364" s="842"/>
      <c r="L364" s="842"/>
      <c r="M364" s="842"/>
      <c r="N364" s="842"/>
      <c r="O364" s="842"/>
      <c r="P364" s="842"/>
      <c r="Q364" s="842"/>
      <c r="R364" s="1650"/>
      <c r="S364" s="1650"/>
      <c r="T364" s="842"/>
      <c r="U364" s="1650"/>
      <c r="V364" s="1650"/>
      <c r="W364" s="842"/>
      <c r="X364" s="1470"/>
      <c r="Y364" s="36"/>
      <c r="Z364" s="36"/>
      <c r="AA364" s="36"/>
      <c r="AB364" s="36"/>
      <c r="AC364" s="36"/>
      <c r="AD364" s="36"/>
      <c r="AE364" s="36"/>
      <c r="AF364" s="36"/>
      <c r="AG364" s="36"/>
      <c r="AH364" s="36"/>
      <c r="AI364" s="36"/>
      <c r="AJ364" s="36"/>
      <c r="AK364" s="36"/>
      <c r="AL364" s="36"/>
      <c r="AM364" s="36"/>
      <c r="AN364" s="36"/>
    </row>
    <row r="365" spans="6:40" ht="15" customHeight="1" outlineLevel="1">
      <c r="F365" s="52"/>
      <c r="G365" s="51" t="s">
        <v>144</v>
      </c>
      <c r="H365" s="836"/>
      <c r="I365" s="836"/>
      <c r="J365" s="836"/>
      <c r="K365" s="836">
        <f ca="1">IFERROR(K357*2,0)</f>
        <v>0</v>
      </c>
      <c r="L365" s="836"/>
      <c r="M365" s="836"/>
      <c r="N365" s="836">
        <f ca="1">IFERROR(N357*2,0)</f>
        <v>0</v>
      </c>
      <c r="O365" s="836"/>
      <c r="P365" s="836"/>
      <c r="Q365" s="836">
        <f ca="1">IFERROR(Q357*2,0)</f>
        <v>0</v>
      </c>
      <c r="R365" s="836"/>
      <c r="S365" s="836"/>
      <c r="T365" s="836">
        <f ca="1">IFERROR(T357*2,0)</f>
        <v>0</v>
      </c>
      <c r="U365" s="836"/>
      <c r="V365" s="836"/>
      <c r="W365" s="836">
        <f ca="1">IFERROR(W357*2,0)</f>
        <v>0</v>
      </c>
      <c r="X365" s="1469"/>
      <c r="Y365" s="36"/>
      <c r="Z365" s="36"/>
      <c r="AA365" s="36"/>
      <c r="AB365" s="36"/>
      <c r="AC365" s="36"/>
      <c r="AD365" s="36"/>
      <c r="AE365" s="36"/>
      <c r="AF365" s="36"/>
      <c r="AG365" s="36"/>
      <c r="AH365" s="36"/>
      <c r="AI365" s="36"/>
      <c r="AJ365" s="36"/>
      <c r="AK365" s="36"/>
      <c r="AL365" s="36"/>
      <c r="AM365" s="36"/>
      <c r="AN365" s="36"/>
    </row>
    <row r="366" spans="6:40" ht="15" customHeight="1" outlineLevel="1">
      <c r="F366" s="52"/>
      <c r="G366" s="51" t="s">
        <v>145</v>
      </c>
      <c r="H366" s="837"/>
      <c r="I366" s="837"/>
      <c r="J366" s="837"/>
      <c r="K366" s="837">
        <f ca="1">IFERROR(MAX(K357,ROUNDUP(((K365*INDEX(INDIRECT("'"&amp;$H$3&amp;"'!$H$43:$H$78"),MATCH(INDIRECT("'"&amp;$H$3&amp;"'!K264")&amp;"Average duration (hrs) per trip",INDIRECT("'"&amp;$H$3&amp;"'!$F$43:$F$78"),0)))+(K357*((1/60)*(INDIRECT("'"&amp;$H$3&amp;"'!K277")+INDIRECT("'"&amp;$H$3&amp;"'!$H$19")*(INDIRECT("'"&amp;$H$3&amp;"'!K278")+(INDIRECT("'"&amp;$H$3&amp;"'!K279")*('1_Outputs'!K$52/INDIRECT("'"&amp;$H$3&amp;"'!K$261")/INDIRECT("'"&amp;$H$3&amp;"'!$H$19"))))))))/INDIRECT("'"&amp;$H$3&amp;"'!$H$10"),0)),0)</f>
        <v>0</v>
      </c>
      <c r="L366" s="837"/>
      <c r="M366" s="837"/>
      <c r="N366" s="837">
        <f ca="1">IFERROR(MAX(N357,ROUNDUP(((N365*INDEX(INDIRECT("'"&amp;$H$3&amp;"'!$H$43:$H$78"),MATCH(INDIRECT("'"&amp;$H$3&amp;"'!N264")&amp;"Average duration (hrs) per trip",INDIRECT("'"&amp;$H$3&amp;"'!$F$43:$F$78"),0)))+(N357*((1/60)*(INDIRECT("'"&amp;$H$3&amp;"'!N277")+INDIRECT("'"&amp;$H$3&amp;"'!$H$19")*(INDIRECT("'"&amp;$H$3&amp;"'!N278")+(INDIRECT("'"&amp;$H$3&amp;"'!N279")*('1_Outputs'!N$52/INDIRECT("'"&amp;$H$3&amp;"'!N$261")/INDIRECT("'"&amp;$H$3&amp;"'!$H$19"))))))))/INDIRECT("'"&amp;$H$3&amp;"'!$H$10"),0)),0)</f>
        <v>0</v>
      </c>
      <c r="O366" s="837"/>
      <c r="P366" s="837"/>
      <c r="Q366" s="837">
        <f ca="1">IFERROR(MAX(Q357,ROUNDUP(((Q365*INDEX(INDIRECT("'"&amp;$H$3&amp;"'!$H$43:$H$78"),MATCH(INDIRECT("'"&amp;$H$3&amp;"'!Q264")&amp;"Average duration (hrs) per trip",INDIRECT("'"&amp;$H$3&amp;"'!$F$43:$F$78"),0)))+(Q357*((1/60)*(INDIRECT("'"&amp;$H$3&amp;"'!Q277")+INDIRECT("'"&amp;$H$3&amp;"'!$H$19")*(INDIRECT("'"&amp;$H$3&amp;"'!Q278")+(INDIRECT("'"&amp;$H$3&amp;"'!Q279")*('1_Outputs'!Q$52/INDIRECT("'"&amp;$H$3&amp;"'!Q$261")/INDIRECT("'"&amp;$H$3&amp;"'!$H$19"))))))))/INDIRECT("'"&amp;$H$3&amp;"'!$H$10"),0)),0)</f>
        <v>0</v>
      </c>
      <c r="R366" s="837"/>
      <c r="S366" s="837"/>
      <c r="T366" s="837">
        <f ca="1">IFERROR(MAX(T357,ROUNDUP(((T365*INDEX(INDIRECT("'"&amp;$H$3&amp;"'!$H$43:$H$78"),MATCH(INDIRECT("'"&amp;$H$3&amp;"'!T264")&amp;"Average duration (hrs) per trip",INDIRECT("'"&amp;$H$3&amp;"'!$F$43:$F$78"),0)))+(T357*((1/60)*(INDIRECT("'"&amp;$H$3&amp;"'!T277")+INDIRECT("'"&amp;$H$3&amp;"'!$H$19")*(INDIRECT("'"&amp;$H$3&amp;"'!T278")+(INDIRECT("'"&amp;$H$3&amp;"'!T279")*('1_Outputs'!T$52/INDIRECT("'"&amp;$H$3&amp;"'!T$261")/INDIRECT("'"&amp;$H$3&amp;"'!$H$19"))))))))/INDIRECT("'"&amp;$H$3&amp;"'!$H$10"),0)),0)</f>
        <v>0</v>
      </c>
      <c r="U366" s="837"/>
      <c r="V366" s="837"/>
      <c r="W366" s="837">
        <f ca="1">IFERROR(MAX(W357,ROUNDUP(((W365*INDEX(INDIRECT("'"&amp;$H$3&amp;"'!$H$43:$H$78"),MATCH(INDIRECT("'"&amp;$H$3&amp;"'!W264")&amp;"Average duration (hrs) per trip",INDIRECT("'"&amp;$H$3&amp;"'!$F$43:$F$78"),0)))+(W357*((1/60)*(INDIRECT("'"&amp;$H$3&amp;"'!W277")+INDIRECT("'"&amp;$H$3&amp;"'!$H$19")*(INDIRECT("'"&amp;$H$3&amp;"'!W278")+(INDIRECT("'"&amp;$H$3&amp;"'!W279")*('1_Outputs'!W$52/INDIRECT("'"&amp;$H$3&amp;"'!W$261")/INDIRECT("'"&amp;$H$3&amp;"'!$H$19"))))))))/INDIRECT("'"&amp;$H$3&amp;"'!$H$10"),0)),0)</f>
        <v>0</v>
      </c>
      <c r="X366" s="1468"/>
      <c r="Y366" s="36"/>
      <c r="Z366" s="36"/>
      <c r="AA366" s="36"/>
      <c r="AB366" s="36"/>
      <c r="AC366" s="36"/>
      <c r="AD366" s="36"/>
      <c r="AE366" s="36"/>
      <c r="AF366" s="36"/>
      <c r="AG366" s="36"/>
      <c r="AH366" s="36"/>
      <c r="AI366" s="36"/>
      <c r="AJ366" s="36"/>
      <c r="AK366" s="36"/>
      <c r="AL366" s="36"/>
      <c r="AM366" s="36"/>
      <c r="AN366" s="36"/>
    </row>
    <row r="367" spans="6:40" ht="15" customHeight="1" outlineLevel="1">
      <c r="F367" s="1681" t="s">
        <v>148</v>
      </c>
      <c r="G367" s="1683"/>
      <c r="H367" s="851"/>
      <c r="I367" s="851"/>
      <c r="J367" s="851"/>
      <c r="K367" s="851"/>
      <c r="L367" s="851"/>
      <c r="M367" s="851"/>
      <c r="N367" s="851"/>
      <c r="O367" s="851"/>
      <c r="P367" s="851"/>
      <c r="Q367" s="851"/>
      <c r="R367" s="1646"/>
      <c r="S367" s="1646"/>
      <c r="T367" s="851"/>
      <c r="U367" s="1646"/>
      <c r="V367" s="1646"/>
      <c r="W367" s="851"/>
      <c r="X367" s="1471"/>
      <c r="Y367" s="36"/>
      <c r="Z367" s="36"/>
      <c r="AA367" s="36"/>
      <c r="AB367" s="36"/>
      <c r="AC367" s="36"/>
      <c r="AD367" s="36"/>
      <c r="AE367" s="36"/>
      <c r="AF367" s="36"/>
      <c r="AG367" s="36"/>
      <c r="AH367" s="36"/>
      <c r="AI367" s="36"/>
      <c r="AJ367" s="36"/>
      <c r="AK367" s="242"/>
      <c r="AL367" s="36"/>
      <c r="AM367" s="36"/>
      <c r="AN367" s="36"/>
    </row>
    <row r="368" spans="6:40" ht="15" customHeight="1" outlineLevel="1">
      <c r="F368" s="86"/>
      <c r="G368" s="51" t="s">
        <v>151</v>
      </c>
      <c r="H368" s="836"/>
      <c r="I368" s="836"/>
      <c r="J368" s="836"/>
      <c r="K368" s="836">
        <f ca="1">IFERROR(IF(COUNTIF(INDIRECT("'"&amp;$H$3&amp;"'!K264"),"Public Transport*")&lt;1,ROUND(INDIRECT("'"&amp;$H$3&amp;"'!K$95")*INDIRECT("'"&amp;$H$3&amp;"'!K263"),0),0),0)</f>
        <v>0</v>
      </c>
      <c r="L368" s="836"/>
      <c r="M368" s="836"/>
      <c r="N368" s="836">
        <f ca="1">IFERROR(IF(COUNTIF(INDIRECT("'"&amp;$H$3&amp;"'!N264"),"Public Transport*")&lt;1,ROUND(INDIRECT("'"&amp;$H$3&amp;"'!N$95")*INDIRECT("'"&amp;$H$3&amp;"'!N263"),0),0),0)</f>
        <v>0</v>
      </c>
      <c r="O368" s="836"/>
      <c r="P368" s="836"/>
      <c r="Q368" s="836">
        <f ca="1">IFERROR(IF(COUNTIF(INDIRECT("'"&amp;$H$3&amp;"'!Q264"),"Public Transport*")&lt;1,ROUND(INDIRECT("'"&amp;$H$3&amp;"'!Q$95")*INDIRECT("'"&amp;$H$3&amp;"'!Q263"),0),0),0)</f>
        <v>0</v>
      </c>
      <c r="R368" s="1646"/>
      <c r="S368" s="1646"/>
      <c r="T368" s="836">
        <f ca="1">IFERROR(IF(COUNTIF(INDIRECT("'"&amp;$H$3&amp;"'!T264"),"Public Transport*")&lt;1,ROUND(INDIRECT("'"&amp;$H$3&amp;"'!T$95")*INDIRECT("'"&amp;$H$3&amp;"'!T263"),0),0),0)</f>
        <v>0</v>
      </c>
      <c r="U368" s="1646"/>
      <c r="V368" s="1646"/>
      <c r="W368" s="836">
        <f ca="1">IFERROR(IF(COUNTIF(INDIRECT("'"&amp;$H$3&amp;"'!W264"),"Public Transport*")&lt;1,ROUND(INDIRECT("'"&amp;$H$3&amp;"'!W$95")*INDIRECT("'"&amp;$H$3&amp;"'!W263"),0),0),0)</f>
        <v>0</v>
      </c>
      <c r="X368" s="1469"/>
      <c r="Y368" s="36"/>
      <c r="Z368" s="36"/>
      <c r="AA368" s="36"/>
      <c r="AB368" s="36"/>
      <c r="AC368" s="36"/>
      <c r="AD368" s="36"/>
      <c r="AE368" s="36"/>
      <c r="AF368" s="36"/>
      <c r="AG368" s="36"/>
      <c r="AH368" s="36"/>
      <c r="AI368" s="36"/>
      <c r="AJ368" s="36"/>
      <c r="AK368" s="242"/>
      <c r="AL368" s="36"/>
      <c r="AM368" s="36"/>
      <c r="AN368" s="36"/>
    </row>
    <row r="369" spans="6:40" ht="15" customHeight="1" outlineLevel="1">
      <c r="F369" s="52"/>
      <c r="G369" s="51" t="s">
        <v>85</v>
      </c>
      <c r="H369" s="837"/>
      <c r="I369" s="837"/>
      <c r="J369" s="837"/>
      <c r="K369" s="837">
        <f ca="1">IFERROR(IF(INDIRECT("'"&amp;$H$3&amp;"'!K272")="Route-based",K374*K375,IF(INDIRECT("'"&amp;$H$3&amp;"'!K272")="Point-to-point",K379*K380,0)),0)</f>
        <v>0</v>
      </c>
      <c r="L369" s="837"/>
      <c r="M369" s="837"/>
      <c r="N369" s="837">
        <f ca="1">IFERROR(IF(INDIRECT("'"&amp;$H$3&amp;"'!N272")="Route-based",N374*N375,IF(INDIRECT("'"&amp;$H$3&amp;"'!N272")="Point-to-point",N379*N380,0)),0)</f>
        <v>0</v>
      </c>
      <c r="O369" s="837"/>
      <c r="P369" s="837"/>
      <c r="Q369" s="837">
        <f ca="1">IFERROR(IF(INDIRECT("'"&amp;$H$3&amp;"'!Q272")="Route-based",Q374*Q375,IF(INDIRECT("'"&amp;$H$3&amp;"'!Q272")="Point-to-point",Q379*Q380,0)),0)</f>
        <v>0</v>
      </c>
      <c r="R369" s="1650"/>
      <c r="S369" s="1650"/>
      <c r="T369" s="837">
        <f ca="1">IFERROR(IF(INDIRECT("'"&amp;$H$3&amp;"'!T272")="Route-based",T374*T375,IF(INDIRECT("'"&amp;$H$3&amp;"'!T272")="Point-to-point",T379*T380,0)),0)</f>
        <v>0</v>
      </c>
      <c r="U369" s="1650"/>
      <c r="V369" s="1650"/>
      <c r="W369" s="837">
        <f ca="1">IFERROR(IF(INDIRECT("'"&amp;$H$3&amp;"'!W272")="Route-based",W374*W375,IF(INDIRECT("'"&amp;$H$3&amp;"'!W272")="Point-to-point",W379*W380,0)),0)</f>
        <v>0</v>
      </c>
      <c r="X369" s="1468"/>
      <c r="Y369" s="36"/>
      <c r="Z369" s="36"/>
      <c r="AA369" s="36"/>
      <c r="AB369" s="36"/>
      <c r="AC369" s="36"/>
      <c r="AD369" s="36"/>
      <c r="AE369" s="36"/>
      <c r="AF369" s="36"/>
      <c r="AG369" s="36"/>
      <c r="AH369" s="36"/>
      <c r="AI369" s="36"/>
      <c r="AJ369" s="36"/>
      <c r="AK369" s="242"/>
      <c r="AL369" s="36"/>
      <c r="AM369" s="36"/>
      <c r="AN369" s="36"/>
    </row>
    <row r="370" spans="6:40" ht="15" customHeight="1" outlineLevel="1">
      <c r="F370" s="52"/>
      <c r="G370" s="51" t="s">
        <v>59</v>
      </c>
      <c r="H370" s="837"/>
      <c r="I370" s="837"/>
      <c r="J370" s="837"/>
      <c r="K370" s="837">
        <f ca="1">IFERROR(IF(INDIRECT("'"&amp;$H$3&amp;"'!K272")="Route-based",ROUND(K374*K376/INDIRECT("'"&amp;$H$3&amp;"'!$H$10"),0),IF(INDIRECT("'"&amp;$H$3&amp;"'!K272")="Point-to-point",ROUND(((K368*INDIRECT("'"&amp;$H$3&amp;"'!K$261")*((1/60)*(INDIRECT("'"&amp;$H$3&amp;"'!K277")+INDIRECT("'"&amp;$H$3&amp;"'!$H$19")*(INDIRECT("'"&amp;$H$3&amp;"'!K278")+(INDIRECT("'"&amp;$H$3&amp;"'!K279")*('1_Outputs'!K$52/INDIRECT("'"&amp;$H$3&amp;"'!K$261")/INDIRECT("'"&amp;$H$3&amp;"'!$H$19")))))))+(K369/INDIRECT("'"&amp;$H$3&amp;"'!K281")))/INDIRECT("'"&amp;$H$3&amp;"'!$H$10"),0),0)),0)</f>
        <v>0</v>
      </c>
      <c r="L370" s="837"/>
      <c r="M370" s="837"/>
      <c r="N370" s="837">
        <f ca="1">IFERROR(IF(INDIRECT("'"&amp;$H$3&amp;"'!N272")="Route-based",ROUND(N374*N376/INDIRECT("'"&amp;$H$3&amp;"'!$H$10"),0),IF(INDIRECT("'"&amp;$H$3&amp;"'!N272")="Point-to-point",ROUND(((N368*INDIRECT("'"&amp;$H$3&amp;"'!N$261")*((1/60)*(INDIRECT("'"&amp;$H$3&amp;"'!N277")+INDIRECT("'"&amp;$H$3&amp;"'!$H$19")*(INDIRECT("'"&amp;$H$3&amp;"'!N278")+(INDIRECT("'"&amp;$H$3&amp;"'!N279")*('1_Outputs'!N$52/INDIRECT("'"&amp;$H$3&amp;"'!N$261")/INDIRECT("'"&amp;$H$3&amp;"'!$H$19")))))))+(N369/INDIRECT("'"&amp;$H$3&amp;"'!N281")))/INDIRECT("'"&amp;$H$3&amp;"'!$H$10"),0),0)),0)</f>
        <v>0</v>
      </c>
      <c r="O370" s="837"/>
      <c r="P370" s="837"/>
      <c r="Q370" s="837">
        <f ca="1">IFERROR(IF(INDIRECT("'"&amp;$H$3&amp;"'!Q272")="Route-based",ROUND(Q374*Q376/INDIRECT("'"&amp;$H$3&amp;"'!$H$10"),0),IF(INDIRECT("'"&amp;$H$3&amp;"'!Q272")="Point-to-point",ROUND(((Q368*INDIRECT("'"&amp;$H$3&amp;"'!Q$261")*((1/60)*(INDIRECT("'"&amp;$H$3&amp;"'!Q277")+INDIRECT("'"&amp;$H$3&amp;"'!$H$19")*(INDIRECT("'"&amp;$H$3&amp;"'!Q278")+(INDIRECT("'"&amp;$H$3&amp;"'!Q279")*('1_Outputs'!Q$52/INDIRECT("'"&amp;$H$3&amp;"'!Q$261")/INDIRECT("'"&amp;$H$3&amp;"'!$H$19")))))))+(Q369/INDIRECT("'"&amp;$H$3&amp;"'!Q281")))/INDIRECT("'"&amp;$H$3&amp;"'!$H$10"),0),0)),0)</f>
        <v>0</v>
      </c>
      <c r="R370" s="837"/>
      <c r="S370" s="837"/>
      <c r="T370" s="837">
        <f ca="1">IFERROR(IF(INDIRECT("'"&amp;$H$3&amp;"'!T272")="Route-based",ROUND(T374*T376/INDIRECT("'"&amp;$H$3&amp;"'!$H$10"),0),IF(INDIRECT("'"&amp;$H$3&amp;"'!T272")="Point-to-point",ROUND(((T368*INDIRECT("'"&amp;$H$3&amp;"'!T$261")*((1/60)*(INDIRECT("'"&amp;$H$3&amp;"'!T277")+INDIRECT("'"&amp;$H$3&amp;"'!$H$19")*(INDIRECT("'"&amp;$H$3&amp;"'!T278")+(INDIRECT("'"&amp;$H$3&amp;"'!T279")*('1_Outputs'!T$52/INDIRECT("'"&amp;$H$3&amp;"'!T$261")/INDIRECT("'"&amp;$H$3&amp;"'!$H$19")))))))+(T369/INDIRECT("'"&amp;$H$3&amp;"'!T281")))/INDIRECT("'"&amp;$H$3&amp;"'!$H$10"),0),0)),0)</f>
        <v>0</v>
      </c>
      <c r="U370" s="837"/>
      <c r="V370" s="837"/>
      <c r="W370" s="837">
        <f ca="1">IFERROR(IF(INDIRECT("'"&amp;$H$3&amp;"'!W272")="Route-based",ROUND(W374*W376/INDIRECT("'"&amp;$H$3&amp;"'!$H$10"),0),IF(INDIRECT("'"&amp;$H$3&amp;"'!W272")="Point-to-point",ROUND(((W368*INDIRECT("'"&amp;$H$3&amp;"'!W$261")*((1/60)*(INDIRECT("'"&amp;$H$3&amp;"'!W277")+INDIRECT("'"&amp;$H$3&amp;"'!$H$19")*(INDIRECT("'"&amp;$H$3&amp;"'!W278")+(INDIRECT("'"&amp;$H$3&amp;"'!W279")*('1_Outputs'!W$52/INDIRECT("'"&amp;$H$3&amp;"'!W$261")/INDIRECT("'"&amp;$H$3&amp;"'!$H$19")))))))+(W369/INDIRECT("'"&amp;$H$3&amp;"'!W281")))/INDIRECT("'"&amp;$H$3&amp;"'!$H$10"),0),0)),0)</f>
        <v>0</v>
      </c>
      <c r="X370" s="1468"/>
      <c r="Y370" s="36"/>
      <c r="Z370" s="36"/>
      <c r="AA370" s="36"/>
      <c r="AB370" s="36"/>
      <c r="AC370" s="36"/>
      <c r="AD370" s="36"/>
      <c r="AE370" s="36"/>
      <c r="AF370" s="36"/>
      <c r="AG370" s="36"/>
      <c r="AH370" s="36"/>
      <c r="AI370" s="36"/>
      <c r="AJ370" s="36"/>
      <c r="AK370" s="242"/>
      <c r="AL370" s="36"/>
      <c r="AM370" s="36"/>
      <c r="AN370" s="36"/>
    </row>
    <row r="371" spans="6:40" ht="15" customHeight="1" outlineLevel="1">
      <c r="F371" s="52"/>
      <c r="G371" s="51" t="s">
        <v>86</v>
      </c>
      <c r="H371" s="839"/>
      <c r="I371" s="839"/>
      <c r="J371" s="839"/>
      <c r="K371" s="839">
        <f ca="1">IFERROR(IF(INDIRECT("'"&amp;$H$3&amp;"'!K272")="Route-based",IF(INDIRECT("'"&amp;$H$3&amp;"'!K269")="Yes",K173, IF(INDIRECT("'"&amp;$H$3&amp;"'!K269")="No",K370/(INDIRECT("'"&amp;$H$3&amp;"'!$H$9")*INDIRECT("'"&amp;$H$3&amp;"'!K268")))),
IF(INDIRECT("'"&amp;$H$3&amp;"'!K272")="Point-to-point",IF(INDIRECT("'"&amp;$H$3&amp;"'!K269")="Yes",K173,IF(INDIRECT("'"&amp;$H$3&amp;"'!K269")="No",K370/(INDIRECT("'"&amp;$H$3&amp;"'!$H$9")*INDIRECT("'"&amp;$H$3&amp;"'!K268")))),0)),0)</f>
        <v>0</v>
      </c>
      <c r="L371" s="839"/>
      <c r="M371" s="839"/>
      <c r="N371" s="839">
        <f ca="1">IFERROR(IF(INDIRECT("'"&amp;$H$3&amp;"'!N272")="Route-based",IF(INDIRECT("'"&amp;$H$3&amp;"'!N269")="Yes",N173, IF(INDIRECT("'"&amp;$H$3&amp;"'!N269")="No",N370/(INDIRECT("'"&amp;$H$3&amp;"'!$H$9")*INDIRECT("'"&amp;$H$3&amp;"'!N268")))),
IF(INDIRECT("'"&amp;$H$3&amp;"'!N272")="Point-to-point",IF(INDIRECT("'"&amp;$H$3&amp;"'!N269")="Yes",N173,IF(INDIRECT("'"&amp;$H$3&amp;"'!N269")="No",N370/(INDIRECT("'"&amp;$H$3&amp;"'!$H$9")*INDIRECT("'"&amp;$H$3&amp;"'!N268")))),0)),0)</f>
        <v>0</v>
      </c>
      <c r="O371" s="839"/>
      <c r="P371" s="839"/>
      <c r="Q371" s="839">
        <f ca="1">IFERROR(IF(INDIRECT("'"&amp;$H$3&amp;"'!Q272")="Route-based",IF(INDIRECT("'"&amp;$H$3&amp;"'!Q269")="Yes",Q173, IF(INDIRECT("'"&amp;$H$3&amp;"'!Q269")="No",Q370/(INDIRECT("'"&amp;$H$3&amp;"'!$H$9")*INDIRECT("'"&amp;$H$3&amp;"'!Q268")))),
IF(INDIRECT("'"&amp;$H$3&amp;"'!Q272")="Point-to-point",IF(INDIRECT("'"&amp;$H$3&amp;"'!Q269")="Yes",Q173,IF(INDIRECT("'"&amp;$H$3&amp;"'!Q269")="No",Q370/(INDIRECT("'"&amp;$H$3&amp;"'!$H$9")*INDIRECT("'"&amp;$H$3&amp;"'!Q268")))),0)),0)</f>
        <v>0</v>
      </c>
      <c r="R371" s="839"/>
      <c r="S371" s="839"/>
      <c r="T371" s="839">
        <f ca="1">IFERROR(IF(INDIRECT("'"&amp;$H$3&amp;"'!T272")="Route-based",IF(INDIRECT("'"&amp;$H$3&amp;"'!T269")="Yes",T173, IF(INDIRECT("'"&amp;$H$3&amp;"'!T269")="No",T370/(INDIRECT("'"&amp;$H$3&amp;"'!$H$9")*INDIRECT("'"&amp;$H$3&amp;"'!T268")))),
IF(INDIRECT("'"&amp;$H$3&amp;"'!T272")="Point-to-point",IF(INDIRECT("'"&amp;$H$3&amp;"'!T269")="Yes",T173,IF(INDIRECT("'"&amp;$H$3&amp;"'!T269")="No",T370/(INDIRECT("'"&amp;$H$3&amp;"'!$H$9")*INDIRECT("'"&amp;$H$3&amp;"'!T268")))),0)),0)</f>
        <v>0</v>
      </c>
      <c r="U371" s="839"/>
      <c r="V371" s="839"/>
      <c r="W371" s="839">
        <f ca="1">IFERROR(IF(INDIRECT("'"&amp;$H$3&amp;"'!W272")="Route-based",IF(INDIRECT("'"&amp;$H$3&amp;"'!W269")="Yes",W173, IF(INDIRECT("'"&amp;$H$3&amp;"'!W269")="No",W370/(INDIRECT("'"&amp;$H$3&amp;"'!$H$9")*INDIRECT("'"&amp;$H$3&amp;"'!W268")))),
IF(INDIRECT("'"&amp;$H$3&amp;"'!W272")="Point-to-point",IF(INDIRECT("'"&amp;$H$3&amp;"'!W269")="Yes",W173,IF(INDIRECT("'"&amp;$H$3&amp;"'!W269")="No",W370/(INDIRECT("'"&amp;$H$3&amp;"'!$H$9")*INDIRECT("'"&amp;$H$3&amp;"'!W268")))),0)),0)</f>
        <v>0</v>
      </c>
      <c r="X371" s="1470"/>
      <c r="Y371" s="36"/>
      <c r="Z371" s="36"/>
      <c r="AA371" s="36"/>
      <c r="AB371" s="36"/>
      <c r="AC371" s="36"/>
      <c r="AD371" s="36"/>
      <c r="AE371" s="36"/>
      <c r="AF371" s="36"/>
      <c r="AG371" s="36"/>
      <c r="AH371" s="36"/>
      <c r="AI371" s="36"/>
      <c r="AJ371" s="36"/>
      <c r="AK371" s="36" t="s">
        <v>191</v>
      </c>
      <c r="AL371" s="36"/>
      <c r="AM371" s="36"/>
      <c r="AN371" s="36"/>
    </row>
    <row r="372" spans="6:40" ht="15" customHeight="1" outlineLevel="1" collapsed="1">
      <c r="F372" s="52"/>
      <c r="G372" s="1613" t="s">
        <v>133</v>
      </c>
      <c r="H372" s="842"/>
      <c r="I372" s="842"/>
      <c r="J372" s="842"/>
      <c r="K372" s="842"/>
      <c r="L372" s="842"/>
      <c r="M372" s="842"/>
      <c r="N372" s="842"/>
      <c r="O372" s="842"/>
      <c r="P372" s="842"/>
      <c r="Q372" s="842"/>
      <c r="R372" s="1650"/>
      <c r="S372" s="1650"/>
      <c r="T372" s="842"/>
      <c r="U372" s="1650"/>
      <c r="V372" s="1650"/>
      <c r="W372" s="842"/>
      <c r="X372" s="1470"/>
      <c r="Y372" s="36"/>
      <c r="Z372" s="36"/>
      <c r="AA372" s="36"/>
      <c r="AB372" s="36"/>
      <c r="AC372" s="36"/>
      <c r="AD372" s="36"/>
      <c r="AE372" s="36"/>
      <c r="AF372" s="36"/>
      <c r="AG372" s="36"/>
      <c r="AH372" s="36"/>
      <c r="AI372" s="36"/>
      <c r="AJ372" s="36"/>
      <c r="AK372" s="36"/>
      <c r="AL372" s="36"/>
      <c r="AM372" s="36"/>
      <c r="AN372" s="36"/>
    </row>
    <row r="373" spans="6:40" ht="15" customHeight="1" outlineLevel="1">
      <c r="F373" s="52"/>
      <c r="G373" s="51" t="s">
        <v>129</v>
      </c>
      <c r="H373" s="836"/>
      <c r="I373" s="836"/>
      <c r="J373" s="836"/>
      <c r="K373" s="836">
        <f ca="1">IFERROR(((INDIRECT("'"&amp;$H$3&amp;"'!K273")*INDIRECT("'"&amp;$H$3&amp;"'!$H$10"))-(2*INDIRECT("'"&amp;$H$3&amp;"'!K$98")/INDIRECT("'"&amp;$H$3&amp;"'!K281"))+(INDIRECT("'"&amp;$H$3&amp;"'!K$99")/INDIRECT("'"&amp;$H$3&amp;"'!K280")))/(((1/60)*(INDIRECT("'"&amp;$H$3&amp;"'!K277")+INDIRECT("'"&amp;$H$3&amp;"'!$H$19")*(INDIRECT("'"&amp;$H$3&amp;"'!K278")+(INDIRECT("'"&amp;$H$3&amp;"'!K279")*('1_Outputs'!K$52/INDIRECT("'"&amp;$H$3&amp;"'!K$261")/INDIRECT("'"&amp;$H$3&amp;"'!$H$19"))))))+(INDIRECT("'"&amp;$H$3&amp;"'!K$99")/INDIRECT("'"&amp;$H$3&amp;"'!K280"))),0)</f>
        <v>0</v>
      </c>
      <c r="L373" s="836"/>
      <c r="M373" s="836"/>
      <c r="N373" s="836">
        <f ca="1">IFERROR(((INDIRECT("'"&amp;$H$3&amp;"'!N273")*INDIRECT("'"&amp;$H$3&amp;"'!$H$10"))-(2*INDIRECT("'"&amp;$H$3&amp;"'!N$98")/INDIRECT("'"&amp;$H$3&amp;"'!N281"))+(INDIRECT("'"&amp;$H$3&amp;"'!N$99")/INDIRECT("'"&amp;$H$3&amp;"'!N280")))/(((1/60)*(INDIRECT("'"&amp;$H$3&amp;"'!N277")+INDIRECT("'"&amp;$H$3&amp;"'!$H$19")*(INDIRECT("'"&amp;$H$3&amp;"'!N278")+(INDIRECT("'"&amp;$H$3&amp;"'!N279")*('1_Outputs'!N$52/INDIRECT("'"&amp;$H$3&amp;"'!N$261")/INDIRECT("'"&amp;$H$3&amp;"'!$H$19"))))))+(INDIRECT("'"&amp;$H$3&amp;"'!N$99")/INDIRECT("'"&amp;$H$3&amp;"'!N280"))),0)</f>
        <v>0</v>
      </c>
      <c r="O373" s="836"/>
      <c r="P373" s="836"/>
      <c r="Q373" s="836">
        <f ca="1">IFERROR(((INDIRECT("'"&amp;$H$3&amp;"'!Q273")*INDIRECT("'"&amp;$H$3&amp;"'!$H$10"))-(2*INDIRECT("'"&amp;$H$3&amp;"'!Q$98")/INDIRECT("'"&amp;$H$3&amp;"'!Q281"))+(INDIRECT("'"&amp;$H$3&amp;"'!Q$99")/INDIRECT("'"&amp;$H$3&amp;"'!Q280")))/(((1/60)*(INDIRECT("'"&amp;$H$3&amp;"'!Q277")+INDIRECT("'"&amp;$H$3&amp;"'!$H$19")*(INDIRECT("'"&amp;$H$3&amp;"'!Q278")+(INDIRECT("'"&amp;$H$3&amp;"'!Q279")*('1_Outputs'!Q$52/INDIRECT("'"&amp;$H$3&amp;"'!Q$261")/INDIRECT("'"&amp;$H$3&amp;"'!$H$19"))))))+(INDIRECT("'"&amp;$H$3&amp;"'!Q$99")/INDIRECT("'"&amp;$H$3&amp;"'!Q280"))),0)</f>
        <v>0</v>
      </c>
      <c r="R373" s="836"/>
      <c r="S373" s="836"/>
      <c r="T373" s="836">
        <f ca="1">IFERROR(((INDIRECT("'"&amp;$H$3&amp;"'!T273")*INDIRECT("'"&amp;$H$3&amp;"'!$H$10"))-(2*INDIRECT("'"&amp;$H$3&amp;"'!T$98")/INDIRECT("'"&amp;$H$3&amp;"'!T281"))+(INDIRECT("'"&amp;$H$3&amp;"'!T$99")/INDIRECT("'"&amp;$H$3&amp;"'!T280")))/(((1/60)*(INDIRECT("'"&amp;$H$3&amp;"'!T277")+INDIRECT("'"&amp;$H$3&amp;"'!$H$19")*(INDIRECT("'"&amp;$H$3&amp;"'!T278")+(INDIRECT("'"&amp;$H$3&amp;"'!T279")*('1_Outputs'!T$52/INDIRECT("'"&amp;$H$3&amp;"'!T$261")/INDIRECT("'"&amp;$H$3&amp;"'!$H$19"))))))+(INDIRECT("'"&amp;$H$3&amp;"'!T$99")/INDIRECT("'"&amp;$H$3&amp;"'!T280"))),0)</f>
        <v>0</v>
      </c>
      <c r="U373" s="836"/>
      <c r="V373" s="836"/>
      <c r="W373" s="836">
        <f ca="1">IFERROR(((INDIRECT("'"&amp;$H$3&amp;"'!W273")*INDIRECT("'"&amp;$H$3&amp;"'!$H$10"))-(2*INDIRECT("'"&amp;$H$3&amp;"'!W$98")/INDIRECT("'"&amp;$H$3&amp;"'!W281"))+(INDIRECT("'"&amp;$H$3&amp;"'!W$99")/INDIRECT("'"&amp;$H$3&amp;"'!W280")))/(((1/60)*(INDIRECT("'"&amp;$H$3&amp;"'!W277")+INDIRECT("'"&amp;$H$3&amp;"'!$H$19")*(INDIRECT("'"&amp;$H$3&amp;"'!W278")+(INDIRECT("'"&amp;$H$3&amp;"'!W279")*('1_Outputs'!W$52/INDIRECT("'"&amp;$H$3&amp;"'!W$261")/INDIRECT("'"&amp;$H$3&amp;"'!$H$19"))))))+(INDIRECT("'"&amp;$H$3&amp;"'!W$99")/INDIRECT("'"&amp;$H$3&amp;"'!W280"))),0)</f>
        <v>0</v>
      </c>
      <c r="X373" s="1469"/>
      <c r="Y373" s="36"/>
      <c r="Z373" s="36"/>
      <c r="AA373" s="36"/>
      <c r="AB373" s="36"/>
      <c r="AC373" s="36"/>
      <c r="AD373" s="36"/>
      <c r="AE373" s="36"/>
      <c r="AF373" s="36"/>
      <c r="AG373" s="36"/>
      <c r="AH373" s="36"/>
      <c r="AI373" s="36"/>
      <c r="AJ373" s="36"/>
      <c r="AK373" s="36"/>
      <c r="AL373" s="36"/>
      <c r="AM373" s="36"/>
      <c r="AN373" s="36"/>
    </row>
    <row r="374" spans="6:40" ht="15" customHeight="1" outlineLevel="1">
      <c r="F374" s="52"/>
      <c r="G374" s="51" t="s">
        <v>206</v>
      </c>
      <c r="H374" s="836"/>
      <c r="I374" s="836"/>
      <c r="J374" s="836"/>
      <c r="K374" s="836">
        <f ca="1">IFERROR(ROUND(K368*INDIRECT("'"&amp;$H$3&amp;"'!K$261")/K373,0),0)</f>
        <v>0</v>
      </c>
      <c r="L374" s="836"/>
      <c r="M374" s="836"/>
      <c r="N374" s="836">
        <f ca="1">IFERROR(ROUND(N368*INDIRECT("'"&amp;$H$3&amp;"'!N$261")/N373,0),0)</f>
        <v>0</v>
      </c>
      <c r="O374" s="836"/>
      <c r="P374" s="836"/>
      <c r="Q374" s="836">
        <f ca="1">IFERROR(ROUND(Q368*INDIRECT("'"&amp;$H$3&amp;"'!Q$261")/Q373,0),0)</f>
        <v>0</v>
      </c>
      <c r="R374" s="836"/>
      <c r="S374" s="836"/>
      <c r="T374" s="836">
        <f ca="1">IFERROR(ROUND(T368*INDIRECT("'"&amp;$H$3&amp;"'!T$261")/T373,0),0)</f>
        <v>0</v>
      </c>
      <c r="U374" s="836"/>
      <c r="V374" s="836"/>
      <c r="W374" s="836">
        <f ca="1">IFERROR(ROUND(W368*INDIRECT("'"&amp;$H$3&amp;"'!W$261")/W373,0),0)</f>
        <v>0</v>
      </c>
      <c r="X374" s="1469"/>
      <c r="Y374" s="36"/>
      <c r="Z374" s="36"/>
      <c r="AA374" s="36"/>
      <c r="AB374" s="36"/>
      <c r="AC374" s="36"/>
      <c r="AD374" s="36"/>
      <c r="AE374" s="36"/>
      <c r="AF374" s="36"/>
      <c r="AG374" s="36"/>
      <c r="AH374" s="36"/>
      <c r="AI374" s="36"/>
      <c r="AJ374" s="36"/>
      <c r="AK374" s="36"/>
      <c r="AL374" s="36"/>
      <c r="AM374" s="36"/>
      <c r="AN374" s="36"/>
    </row>
    <row r="375" spans="6:40" ht="15" customHeight="1" outlineLevel="1">
      <c r="F375" s="52"/>
      <c r="G375" s="51" t="s">
        <v>87</v>
      </c>
      <c r="H375" s="836"/>
      <c r="I375" s="836"/>
      <c r="J375" s="836"/>
      <c r="K375" s="836">
        <f ca="1">IFERROR(IF(K368=0,0,(2*INDIRECT("'"&amp;$H$3&amp;"'!K$98"))+((MAX(K373, 1)-1)*INDIRECT("'"&amp;$H$3&amp;"'!K$99"))),0)</f>
        <v>0</v>
      </c>
      <c r="L375" s="836"/>
      <c r="M375" s="836"/>
      <c r="N375" s="836">
        <f ca="1">IFERROR(IF(N368=0,0,(2*INDIRECT("'"&amp;$H$3&amp;"'!N$98"))+((MAX(N373, 1)-1)*INDIRECT("'"&amp;$H$3&amp;"'!N$99"))),0)</f>
        <v>0</v>
      </c>
      <c r="O375" s="836"/>
      <c r="P375" s="836"/>
      <c r="Q375" s="836">
        <f ca="1">IFERROR(IF(Q368=0,0,(2*INDIRECT("'"&amp;$H$3&amp;"'!Q$98"))+((MAX(Q373, 1)-1)*INDIRECT("'"&amp;$H$3&amp;"'!Q$99"))),0)</f>
        <v>0</v>
      </c>
      <c r="R375" s="836"/>
      <c r="S375" s="836"/>
      <c r="T375" s="836">
        <f ca="1">IFERROR(IF(T368=0,0,(2*INDIRECT("'"&amp;$H$3&amp;"'!T$98"))+((MAX(T373, 1)-1)*INDIRECT("'"&amp;$H$3&amp;"'!T$99"))),0)</f>
        <v>0</v>
      </c>
      <c r="U375" s="836"/>
      <c r="V375" s="836"/>
      <c r="W375" s="836">
        <f ca="1">IFERROR(IF(W368=0,0,(2*INDIRECT("'"&amp;$H$3&amp;"'!W$98"))+((MAX(W373, 1)-1)*INDIRECT("'"&amp;$H$3&amp;"'!W$99"))),0)</f>
        <v>0</v>
      </c>
      <c r="X375" s="1469"/>
      <c r="Y375" s="36"/>
      <c r="Z375" s="36"/>
      <c r="AA375" s="36"/>
      <c r="AB375" s="36"/>
      <c r="AC375" s="36"/>
      <c r="AD375" s="36"/>
      <c r="AE375" s="36"/>
      <c r="AF375" s="36"/>
      <c r="AG375" s="36"/>
      <c r="AH375" s="36"/>
      <c r="AI375" s="36"/>
      <c r="AJ375" s="36"/>
      <c r="AK375" s="36"/>
      <c r="AL375" s="36"/>
      <c r="AM375" s="36"/>
      <c r="AN375" s="36"/>
    </row>
    <row r="376" spans="6:40" ht="15" customHeight="1" outlineLevel="1">
      <c r="F376" s="52"/>
      <c r="G376" s="51" t="s">
        <v>203</v>
      </c>
      <c r="H376" s="836"/>
      <c r="I376" s="836"/>
      <c r="J376" s="836"/>
      <c r="K376" s="836">
        <f ca="1">IFERROR((ROUNDUP(K373,1)*((1/60)*(INDIRECT("'"&amp;$H$3&amp;"'!K277")+INDIRECT("'"&amp;$H$3&amp;"'!$H$19")*(INDIRECT("'"&amp;$H$3&amp;"'!K278")+(INDIRECT("'"&amp;$H$3&amp;"'!K279")*('1_Outputs'!K$52/INDIRECT("'"&amp;$H$3&amp;"'!K$261")/INDIRECT("'"&amp;$H$3&amp;"'!$H$19")))))))+((2*INDIRECT("'"&amp;$H$3&amp;"'!K$98"))/INDIRECT("'"&amp;$H$3&amp;"'!K281"))+(((MAX(K373,1)-1)*INDIRECT("'"&amp;$H$3&amp;"'!K$99"))/INDIRECT("'"&amp;$H$3&amp;"'!K280")),0)</f>
        <v>0</v>
      </c>
      <c r="L376" s="836"/>
      <c r="M376" s="836"/>
      <c r="N376" s="836">
        <f ca="1">IFERROR((ROUNDUP(N373,1)*((1/60)*(INDIRECT("'"&amp;$H$3&amp;"'!N277")+INDIRECT("'"&amp;$H$3&amp;"'!$H$19")*(INDIRECT("'"&amp;$H$3&amp;"'!N278")+(INDIRECT("'"&amp;$H$3&amp;"'!N279")*('1_Outputs'!N$52/INDIRECT("'"&amp;$H$3&amp;"'!N$261")/INDIRECT("'"&amp;$H$3&amp;"'!$H$19")))))))+((2*INDIRECT("'"&amp;$H$3&amp;"'!N$98"))/INDIRECT("'"&amp;$H$3&amp;"'!N281"))+(((MAX(N373,1)-1)*INDIRECT("'"&amp;$H$3&amp;"'!N$99"))/INDIRECT("'"&amp;$H$3&amp;"'!N280")),0)</f>
        <v>0</v>
      </c>
      <c r="O376" s="836"/>
      <c r="P376" s="836"/>
      <c r="Q376" s="836">
        <f ca="1">IFERROR((ROUNDUP(Q373,1)*((1/60)*(INDIRECT("'"&amp;$H$3&amp;"'!Q277")+INDIRECT("'"&amp;$H$3&amp;"'!$H$19")*(INDIRECT("'"&amp;$H$3&amp;"'!Q278")+(INDIRECT("'"&amp;$H$3&amp;"'!Q279")*('1_Outputs'!Q$52/INDIRECT("'"&amp;$H$3&amp;"'!Q$261")/INDIRECT("'"&amp;$H$3&amp;"'!$H$19")))))))+((2*INDIRECT("'"&amp;$H$3&amp;"'!Q$98"))/INDIRECT("'"&amp;$H$3&amp;"'!Q281"))+(((MAX(Q373,1)-1)*INDIRECT("'"&amp;$H$3&amp;"'!Q$99"))/INDIRECT("'"&amp;$H$3&amp;"'!Q280")),0)</f>
        <v>0</v>
      </c>
      <c r="R376" s="836"/>
      <c r="S376" s="836"/>
      <c r="T376" s="836">
        <f ca="1">IFERROR((ROUNDUP(T373,1)*((1/60)*(INDIRECT("'"&amp;$H$3&amp;"'!T277")+INDIRECT("'"&amp;$H$3&amp;"'!$H$19")*(INDIRECT("'"&amp;$H$3&amp;"'!T278")+(INDIRECT("'"&amp;$H$3&amp;"'!T279")*('1_Outputs'!T$52/INDIRECT("'"&amp;$H$3&amp;"'!T$261")/INDIRECT("'"&amp;$H$3&amp;"'!$H$19")))))))+((2*INDIRECT("'"&amp;$H$3&amp;"'!T$98"))/INDIRECT("'"&amp;$H$3&amp;"'!T281"))+(((MAX(T373,1)-1)*INDIRECT("'"&amp;$H$3&amp;"'!T$99"))/INDIRECT("'"&amp;$H$3&amp;"'!T280")),0)</f>
        <v>0</v>
      </c>
      <c r="U376" s="836"/>
      <c r="V376" s="836"/>
      <c r="W376" s="836">
        <f ca="1">IFERROR((ROUNDUP(W373,1)*((1/60)*(INDIRECT("'"&amp;$H$3&amp;"'!W277")+INDIRECT("'"&amp;$H$3&amp;"'!$H$19")*(INDIRECT("'"&amp;$H$3&amp;"'!W278")+(INDIRECT("'"&amp;$H$3&amp;"'!W279")*('1_Outputs'!W$52/INDIRECT("'"&amp;$H$3&amp;"'!W$261")/INDIRECT("'"&amp;$H$3&amp;"'!$H$19")))))))+((2*INDIRECT("'"&amp;$H$3&amp;"'!W$98"))/INDIRECT("'"&amp;$H$3&amp;"'!W281"))+(((MAX(W373,1)-1)*INDIRECT("'"&amp;$H$3&amp;"'!W$99"))/INDIRECT("'"&amp;$H$3&amp;"'!W280")),0)</f>
        <v>0</v>
      </c>
      <c r="X376" s="1465"/>
      <c r="Y376" s="36"/>
      <c r="Z376" s="36"/>
      <c r="AA376" s="36"/>
      <c r="AB376" s="36"/>
      <c r="AC376" s="36"/>
      <c r="AD376" s="36"/>
      <c r="AE376" s="36"/>
      <c r="AF376" s="36"/>
      <c r="AG376" s="36"/>
      <c r="AH376" s="36"/>
      <c r="AI376" s="36"/>
      <c r="AJ376" s="36"/>
      <c r="AK376" s="36"/>
      <c r="AL376" s="36"/>
      <c r="AM376" s="36"/>
      <c r="AN376" s="36"/>
    </row>
    <row r="377" spans="6:40" ht="15" customHeight="1" outlineLevel="1">
      <c r="F377" s="52"/>
      <c r="G377" s="51" t="s">
        <v>204</v>
      </c>
      <c r="H377" s="836"/>
      <c r="I377" s="836"/>
      <c r="J377" s="836"/>
      <c r="K377" s="836">
        <f ca="1">IFERROR((INDIRECT("'"&amp;$H$3&amp;"'!$H$10")*INDIRECT("'"&amp;$H$3&amp;"'!$H$9")*INDIRECT("'"&amp;$H$3&amp;"'!K268"))/K376,0)</f>
        <v>0</v>
      </c>
      <c r="L377" s="836"/>
      <c r="M377" s="836"/>
      <c r="N377" s="836">
        <f ca="1">IFERROR((INDIRECT("'"&amp;$H$3&amp;"'!$H$10")*INDIRECT("'"&amp;$H$3&amp;"'!$H$9")*INDIRECT("'"&amp;$H$3&amp;"'!N268"))/N376,0)</f>
        <v>0</v>
      </c>
      <c r="O377" s="836"/>
      <c r="P377" s="836"/>
      <c r="Q377" s="836">
        <f ca="1">IFERROR((INDIRECT("'"&amp;$H$3&amp;"'!$H$10")*INDIRECT("'"&amp;$H$3&amp;"'!$H$9")*INDIRECT("'"&amp;$H$3&amp;"'!Q268"))/Q376,0)</f>
        <v>0</v>
      </c>
      <c r="R377" s="836"/>
      <c r="S377" s="836"/>
      <c r="T377" s="836">
        <f ca="1">IFERROR((INDIRECT("'"&amp;$H$3&amp;"'!$H$10")*INDIRECT("'"&amp;$H$3&amp;"'!$H$9")*INDIRECT("'"&amp;$H$3&amp;"'!T268"))/T376,0)</f>
        <v>0</v>
      </c>
      <c r="U377" s="836"/>
      <c r="V377" s="836"/>
      <c r="W377" s="836">
        <f ca="1">IFERROR((INDIRECT("'"&amp;$H$3&amp;"'!$H$10")*INDIRECT("'"&amp;$H$3&amp;"'!$H$9")*INDIRECT("'"&amp;$H$3&amp;"'!W268"))/W376,0)</f>
        <v>0</v>
      </c>
      <c r="X377" s="1465"/>
      <c r="Y377" s="36"/>
      <c r="Z377" s="36"/>
      <c r="AA377" s="36"/>
      <c r="AB377" s="36"/>
      <c r="AC377" s="36"/>
      <c r="AD377" s="36"/>
      <c r="AE377" s="36"/>
      <c r="AF377" s="36"/>
      <c r="AG377" s="36"/>
      <c r="AH377" s="36"/>
      <c r="AI377" s="36"/>
      <c r="AJ377" s="36"/>
      <c r="AK377" s="242"/>
      <c r="AL377" s="36"/>
      <c r="AM377" s="36"/>
      <c r="AN377" s="36"/>
    </row>
    <row r="378" spans="6:40" ht="15" customHeight="1" outlineLevel="1">
      <c r="F378" s="52"/>
      <c r="G378" s="1613" t="s">
        <v>134</v>
      </c>
      <c r="H378" s="842"/>
      <c r="I378" s="842"/>
      <c r="J378" s="842"/>
      <c r="K378" s="842"/>
      <c r="L378" s="842"/>
      <c r="M378" s="842"/>
      <c r="N378" s="842"/>
      <c r="O378" s="842"/>
      <c r="P378" s="842"/>
      <c r="Q378" s="842"/>
      <c r="R378" s="1650"/>
      <c r="S378" s="1650"/>
      <c r="T378" s="842"/>
      <c r="U378" s="1650"/>
      <c r="V378" s="1650"/>
      <c r="W378" s="842"/>
      <c r="X378" s="1470"/>
      <c r="Y378" s="36"/>
      <c r="Z378" s="36"/>
      <c r="AA378" s="36"/>
      <c r="AB378" s="36"/>
      <c r="AC378" s="36"/>
      <c r="AD378" s="36"/>
      <c r="AE378" s="36"/>
      <c r="AF378" s="36"/>
      <c r="AG378" s="36"/>
      <c r="AH378" s="36"/>
      <c r="AI378" s="36"/>
      <c r="AJ378" s="36"/>
      <c r="AK378" s="242"/>
      <c r="AL378" s="36"/>
      <c r="AM378" s="36"/>
      <c r="AN378" s="36"/>
    </row>
    <row r="379" spans="6:40" ht="15" customHeight="1" outlineLevel="1">
      <c r="F379" s="52"/>
      <c r="G379" s="51" t="s">
        <v>206</v>
      </c>
      <c r="H379" s="836"/>
      <c r="I379" s="836"/>
      <c r="J379" s="836"/>
      <c r="K379" s="836">
        <f ca="1">IFERROR(K368*INDIRECT("'"&amp;$H$3&amp;"'!K$261"),0)</f>
        <v>0</v>
      </c>
      <c r="L379" s="836"/>
      <c r="M379" s="836"/>
      <c r="N379" s="836">
        <f ca="1">IFERROR(N368*INDIRECT("'"&amp;$H$3&amp;"'!N$261"),0)</f>
        <v>0</v>
      </c>
      <c r="O379" s="836"/>
      <c r="P379" s="836"/>
      <c r="Q379" s="836">
        <f ca="1">IFERROR(Q368*INDIRECT("'"&amp;$H$3&amp;"'!Q$261"),0)</f>
        <v>0</v>
      </c>
      <c r="R379" s="836"/>
      <c r="S379" s="836"/>
      <c r="T379" s="836">
        <f ca="1">IFERROR(T368*INDIRECT("'"&amp;$H$3&amp;"'!T$261"),0)</f>
        <v>0</v>
      </c>
      <c r="U379" s="836"/>
      <c r="V379" s="836"/>
      <c r="W379" s="836">
        <f ca="1">IFERROR(W368*INDIRECT("'"&amp;$H$3&amp;"'!W$261"),0)</f>
        <v>0</v>
      </c>
      <c r="X379" s="1469"/>
      <c r="Y379" s="36"/>
      <c r="Z379" s="36"/>
      <c r="AA379" s="36"/>
      <c r="AB379" s="36" t="s">
        <v>192</v>
      </c>
      <c r="AC379" s="36"/>
      <c r="AD379" s="36" t="s">
        <v>193</v>
      </c>
      <c r="AE379" s="36"/>
      <c r="AF379" s="36"/>
      <c r="AG379" s="36"/>
      <c r="AH379" s="36"/>
      <c r="AI379" s="36"/>
      <c r="AJ379" s="36"/>
      <c r="AK379" s="36"/>
      <c r="AL379" s="36"/>
      <c r="AM379" s="36"/>
      <c r="AN379" s="36"/>
    </row>
    <row r="380" spans="6:40" ht="15" customHeight="1" outlineLevel="1">
      <c r="F380" s="52"/>
      <c r="G380" s="51" t="s">
        <v>87</v>
      </c>
      <c r="H380" s="836"/>
      <c r="I380" s="836"/>
      <c r="J380" s="836"/>
      <c r="K380" s="836">
        <f ca="1">IFERROR(IF(K368=0,0,2*INDIRECT("'"&amp;$H$3&amp;"'!K$98")),0)</f>
        <v>0</v>
      </c>
      <c r="L380" s="836"/>
      <c r="M380" s="836"/>
      <c r="N380" s="836">
        <f ca="1">IFERROR(IF(N368=0,0,2*INDIRECT("'"&amp;$H$3&amp;"'!N$98")),0)</f>
        <v>0</v>
      </c>
      <c r="O380" s="836"/>
      <c r="P380" s="836"/>
      <c r="Q380" s="836">
        <f ca="1">IFERROR(IF(Q368=0,0,2*INDIRECT("'"&amp;$H$3&amp;"'!Q$98")),0)</f>
        <v>0</v>
      </c>
      <c r="R380" s="836"/>
      <c r="S380" s="836"/>
      <c r="T380" s="836">
        <f ca="1">IFERROR(IF(T368=0,0,2*INDIRECT("'"&amp;$H$3&amp;"'!T$98")),0)</f>
        <v>0</v>
      </c>
      <c r="U380" s="836"/>
      <c r="V380" s="836"/>
      <c r="W380" s="836">
        <f ca="1">IFERROR(IF(W368=0,0,2*INDIRECT("'"&amp;$H$3&amp;"'!W$98")),0)</f>
        <v>0</v>
      </c>
      <c r="X380" s="1469"/>
      <c r="Y380" s="36"/>
      <c r="Z380" s="36"/>
      <c r="AA380" s="36"/>
      <c r="AB380" s="36" t="s">
        <v>194</v>
      </c>
      <c r="AC380" s="36"/>
      <c r="AD380" s="36" t="s">
        <v>195</v>
      </c>
      <c r="AE380" s="36"/>
      <c r="AF380" s="36"/>
      <c r="AG380" s="36"/>
      <c r="AH380" s="36"/>
      <c r="AI380" s="36"/>
      <c r="AJ380" s="36"/>
      <c r="AK380" s="36"/>
      <c r="AL380" s="36"/>
      <c r="AM380" s="36"/>
      <c r="AN380" s="36"/>
    </row>
    <row r="381" spans="6:40" ht="15" customHeight="1" outlineLevel="1">
      <c r="F381" s="52"/>
      <c r="G381" s="51" t="s">
        <v>204</v>
      </c>
      <c r="H381" s="837"/>
      <c r="I381" s="837"/>
      <c r="J381" s="837"/>
      <c r="K381" s="837">
        <f ca="1">IFERROR((INDIRECT("'"&amp;$H$3&amp;"'!$H$10")*INDIRECT("'"&amp;$H$3&amp;"'!$H$9")*INDIRECT("'"&amp;$H$3&amp;"'!K268"))/((K380/INDIRECT("'"&amp;$H$3&amp;"'!K281"))+((1/60)*(INDIRECT("'"&amp;$H$3&amp;"'!K277")+INDIRECT("'"&amp;$H$3&amp;"'!$H$19")*(INDIRECT("'"&amp;$H$3&amp;"'!K278")+(INDIRECT("'"&amp;$H$3&amp;"'!K279")*('1_Outputs'!K$52/INDIRECT("'"&amp;$H$3&amp;"'!K$261")/INDIRECT("'"&amp;$H$3&amp;"'!$H$19"))))))),0)</f>
        <v>0</v>
      </c>
      <c r="L381" s="837"/>
      <c r="M381" s="837"/>
      <c r="N381" s="837">
        <f ca="1">IFERROR((INDIRECT("'"&amp;$H$3&amp;"'!$H$10")*INDIRECT("'"&amp;$H$3&amp;"'!$H$9")*INDIRECT("'"&amp;$H$3&amp;"'!N268"))/((N380/INDIRECT("'"&amp;$H$3&amp;"'!N281"))+((1/60)*(INDIRECT("'"&amp;$H$3&amp;"'!N277")+INDIRECT("'"&amp;$H$3&amp;"'!$H$19")*(INDIRECT("'"&amp;$H$3&amp;"'!N278")+(INDIRECT("'"&amp;$H$3&amp;"'!N279")*('1_Outputs'!N$52/INDIRECT("'"&amp;$H$3&amp;"'!N$261")/INDIRECT("'"&amp;$H$3&amp;"'!$H$19"))))))),0)</f>
        <v>0</v>
      </c>
      <c r="O381" s="837"/>
      <c r="P381" s="837"/>
      <c r="Q381" s="837">
        <f ca="1">IFERROR((INDIRECT("'"&amp;$H$3&amp;"'!$H$10")*INDIRECT("'"&amp;$H$3&amp;"'!$H$9")*INDIRECT("'"&amp;$H$3&amp;"'!Q268"))/((Q380/INDIRECT("'"&amp;$H$3&amp;"'!Q281"))+((1/60)*(INDIRECT("'"&amp;$H$3&amp;"'!Q277")+INDIRECT("'"&amp;$H$3&amp;"'!$H$19")*(INDIRECT("'"&amp;$H$3&amp;"'!Q278")+(INDIRECT("'"&amp;$H$3&amp;"'!Q279")*('1_Outputs'!Q$52/INDIRECT("'"&amp;$H$3&amp;"'!Q$261")/INDIRECT("'"&amp;$H$3&amp;"'!$H$19"))))))),0)</f>
        <v>0</v>
      </c>
      <c r="R381" s="837"/>
      <c r="S381" s="837"/>
      <c r="T381" s="837">
        <f ca="1">IFERROR((INDIRECT("'"&amp;$H$3&amp;"'!$H$10")*INDIRECT("'"&amp;$H$3&amp;"'!$H$9")*INDIRECT("'"&amp;$H$3&amp;"'!T268"))/((T380/INDIRECT("'"&amp;$H$3&amp;"'!T281"))+((1/60)*(INDIRECT("'"&amp;$H$3&amp;"'!T277")+INDIRECT("'"&amp;$H$3&amp;"'!$H$19")*(INDIRECT("'"&amp;$H$3&amp;"'!T278")+(INDIRECT("'"&amp;$H$3&amp;"'!T279")*('1_Outputs'!T$52/INDIRECT("'"&amp;$H$3&amp;"'!T$261")/INDIRECT("'"&amp;$H$3&amp;"'!$H$19"))))))),0)</f>
        <v>0</v>
      </c>
      <c r="U381" s="837"/>
      <c r="V381" s="837"/>
      <c r="W381" s="837">
        <f ca="1">IFERROR((INDIRECT("'"&amp;$H$3&amp;"'!$H$10")*INDIRECT("'"&amp;$H$3&amp;"'!$H$9")*INDIRECT("'"&amp;$H$3&amp;"'!W268"))/((W380/INDIRECT("'"&amp;$H$3&amp;"'!W281"))+((1/60)*(INDIRECT("'"&amp;$H$3&amp;"'!W277")+INDIRECT("'"&amp;$H$3&amp;"'!$H$19")*(INDIRECT("'"&amp;$H$3&amp;"'!W278")+(INDIRECT("'"&amp;$H$3&amp;"'!W279")*('1_Outputs'!W$52/INDIRECT("'"&amp;$H$3&amp;"'!W$261")/INDIRECT("'"&amp;$H$3&amp;"'!$H$19"))))))),0)</f>
        <v>0</v>
      </c>
      <c r="X381" s="1468"/>
      <c r="Y381" s="36"/>
      <c r="Z381" s="36"/>
      <c r="AA381" s="36"/>
      <c r="AB381" s="36" t="s">
        <v>196</v>
      </c>
      <c r="AC381" s="36"/>
      <c r="AD381" s="36" t="s">
        <v>197</v>
      </c>
      <c r="AE381" s="36"/>
      <c r="AF381" s="36"/>
      <c r="AG381" s="36"/>
      <c r="AH381" s="36"/>
      <c r="AI381" s="36"/>
      <c r="AJ381" s="36"/>
      <c r="AK381" s="36"/>
      <c r="AL381" s="36"/>
      <c r="AM381" s="36"/>
      <c r="AN381" s="36"/>
    </row>
    <row r="382" spans="6:40" ht="48" customHeight="1">
      <c r="F382" s="1678" t="s">
        <v>157</v>
      </c>
      <c r="G382" s="1679"/>
      <c r="H382" s="1684"/>
      <c r="I382" s="1684"/>
      <c r="J382" s="1684"/>
      <c r="K382" s="1509" t="str">
        <f ca="1">IF($H$9&gt;=2,INDIRECT("'"&amp;$H$3&amp;"'!J$130"),"")</f>
        <v>CMS  to  Regional WH</v>
      </c>
      <c r="L382" s="1509" t="str">
        <f t="shared" ref="L382:V382" ca="1" si="22">IF($H$9&gt;=1,"Tier 1","")</f>
        <v>Tier 1</v>
      </c>
      <c r="M382" s="1509" t="str">
        <f t="shared" ca="1" si="22"/>
        <v>Tier 1</v>
      </c>
      <c r="N382" s="1509" t="str">
        <f ca="1">IF($H$9&gt;=3,INDIRECT("'"&amp;$H$3&amp;"'!M$130"),"")</f>
        <v>Regional WH  to  Health Facility</v>
      </c>
      <c r="O382" s="1509" t="str">
        <f t="shared" ca="1" si="22"/>
        <v>Tier 1</v>
      </c>
      <c r="P382" s="1509" t="str">
        <f t="shared" ca="1" si="22"/>
        <v>Tier 1</v>
      </c>
      <c r="Q382" s="1510" t="str">
        <f ca="1">IF($H$9&gt;=4,INDIRECT("'"&amp;$H$3&amp;"'!P$130"),"")</f>
        <v/>
      </c>
      <c r="R382" s="1511" t="str">
        <f t="shared" ca="1" si="22"/>
        <v>Tier 1</v>
      </c>
      <c r="S382" s="1511" t="str">
        <f t="shared" ca="1" si="22"/>
        <v>Tier 1</v>
      </c>
      <c r="T382" s="1510" t="str">
        <f ca="1">IF($H$9&gt;=5,INDIRECT("'"&amp;$H$3&amp;"'!S$130"),"")</f>
        <v/>
      </c>
      <c r="U382" s="1512" t="str">
        <f t="shared" ca="1" si="22"/>
        <v>Tier 1</v>
      </c>
      <c r="V382" s="1512" t="str">
        <f t="shared" ca="1" si="22"/>
        <v>Tier 1</v>
      </c>
      <c r="W382" s="1510" t="str">
        <f ca="1">IF($H$9&gt;=6,INDIRECT("'"&amp;$H$3&amp;"'!V$130"),"")</f>
        <v/>
      </c>
      <c r="X382" s="1474"/>
      <c r="Y382" s="36"/>
      <c r="Z382" s="36"/>
      <c r="AA382" s="36"/>
      <c r="AB382" s="36"/>
      <c r="AC382" s="36"/>
      <c r="AD382" s="36"/>
      <c r="AE382" s="36"/>
      <c r="AF382" s="36"/>
      <c r="AG382" s="36"/>
      <c r="AH382" s="36"/>
      <c r="AI382" s="36"/>
      <c r="AJ382" s="36"/>
      <c r="AK382" s="36"/>
      <c r="AL382" s="36"/>
      <c r="AM382" s="36"/>
      <c r="AN382" s="36"/>
    </row>
    <row r="383" spans="6:40" ht="15" customHeight="1" outlineLevel="1">
      <c r="F383" s="1681" t="s">
        <v>149</v>
      </c>
      <c r="G383" s="1681"/>
      <c r="H383" s="877"/>
      <c r="I383" s="877"/>
      <c r="J383" s="877"/>
      <c r="K383" s="877"/>
      <c r="L383" s="877"/>
      <c r="M383" s="877"/>
      <c r="N383" s="877"/>
      <c r="O383" s="1685"/>
      <c r="P383" s="1685"/>
      <c r="Q383" s="1686"/>
      <c r="R383" s="1672"/>
      <c r="S383" s="1672"/>
      <c r="T383" s="1686"/>
      <c r="U383" s="1672"/>
      <c r="V383" s="1672"/>
      <c r="W383" s="1686"/>
      <c r="X383" s="1479"/>
      <c r="Y383" s="36"/>
      <c r="Z383" s="36"/>
      <c r="AA383" s="36"/>
      <c r="AB383" s="36"/>
      <c r="AC383" s="36"/>
      <c r="AD383" s="36"/>
      <c r="AE383" s="36"/>
      <c r="AF383" s="36"/>
      <c r="AG383" s="36"/>
      <c r="AH383" s="36"/>
      <c r="AI383" s="36"/>
      <c r="AJ383" s="36"/>
      <c r="AK383" s="242"/>
      <c r="AL383" s="36"/>
      <c r="AM383" s="36"/>
      <c r="AN383" s="36"/>
    </row>
    <row r="384" spans="6:40" ht="15" customHeight="1" outlineLevel="1">
      <c r="F384" s="52"/>
      <c r="G384" s="51" t="s">
        <v>146</v>
      </c>
      <c r="H384" s="837"/>
      <c r="I384" s="837"/>
      <c r="J384" s="837"/>
      <c r="K384" s="837">
        <f ca="1">IFERROR(IF(COUNTIF(INDIRECT("'"&amp;$H$3&amp;"'!K284"),"Public Transport*")=1,IF(INDIRECT("'"&amp;$H$3&amp;"'!K292")="Route-based",K391*INDIRECT("'"&amp;$H$3&amp;"'!K$261"),IF(INDIRECT("'"&amp;$H$3&amp;"'!K292")="Point-to-point",K394*INDIRECT("'"&amp;$H$3&amp;"'!K$261"),0)),0),0)</f>
        <v>0</v>
      </c>
      <c r="L384" s="837"/>
      <c r="M384" s="837"/>
      <c r="N384" s="837">
        <f ca="1">IFERROR(IF(COUNTIF(INDIRECT("'"&amp;$H$3&amp;"'!N284"),"Public Transport*")=1,IF(INDIRECT("'"&amp;$H$3&amp;"'!N292")="Route-based",N391*INDIRECT("'"&amp;$H$3&amp;"'!N$261"),IF(INDIRECT("'"&amp;$H$3&amp;"'!N292")="Point-to-point",N394*INDIRECT("'"&amp;$H$3&amp;"'!N$261"),0)),0),0)</f>
        <v>0</v>
      </c>
      <c r="O384" s="837"/>
      <c r="P384" s="837"/>
      <c r="Q384" s="837">
        <f ca="1">IFERROR(IF(COUNTIF(INDIRECT("'"&amp;$H$3&amp;"'!Q284"),"Public Transport*")=1,IF(INDIRECT("'"&amp;$H$3&amp;"'!Q292")="Route-based",Q391*INDIRECT("'"&amp;$H$3&amp;"'!Q$261"),IF(INDIRECT("'"&amp;$H$3&amp;"'!Q292")="Point-to-point",Q394*INDIRECT("'"&amp;$H$3&amp;"'!Q$261"),0)),0),0)</f>
        <v>0</v>
      </c>
      <c r="R384" s="1650"/>
      <c r="S384" s="1650"/>
      <c r="T384" s="837">
        <f ca="1">IFERROR(IF(COUNTIF(INDIRECT("'"&amp;$H$3&amp;"'!T284"),"Public Transport*")=1,IF(INDIRECT("'"&amp;$H$3&amp;"'!T292")="Route-based",T391*INDIRECT("'"&amp;$H$3&amp;"'!T$261"),IF(INDIRECT("'"&amp;$H$3&amp;"'!T292")="Point-to-point",T394*INDIRECT("'"&amp;$H$3&amp;"'!T$261"),0)),0),0)</f>
        <v>0</v>
      </c>
      <c r="U384" s="1650"/>
      <c r="V384" s="1650"/>
      <c r="W384" s="837">
        <f ca="1">IFERROR(IF(COUNTIF(INDIRECT("'"&amp;$H$3&amp;"'!W284"),"Public Transport*")=1,IF(INDIRECT("'"&amp;$H$3&amp;"'!W292")="Route-based",W391*INDIRECT("'"&amp;$H$3&amp;"'!W$261"),IF(INDIRECT("'"&amp;$H$3&amp;"'!W292")="Point-to-point",W394*INDIRECT("'"&amp;$H$3&amp;"'!W$261"),0)),0),0)</f>
        <v>0</v>
      </c>
      <c r="X384" s="1468"/>
      <c r="Y384" s="36"/>
      <c r="Z384" s="36"/>
      <c r="AA384" s="36"/>
      <c r="AB384" s="36"/>
      <c r="AC384" s="36"/>
      <c r="AD384" s="36"/>
      <c r="AE384" s="36"/>
      <c r="AF384" s="36"/>
      <c r="AG384" s="36"/>
      <c r="AH384" s="36"/>
      <c r="AI384" s="36"/>
      <c r="AJ384" s="36"/>
      <c r="AK384" s="242"/>
      <c r="AL384" s="36"/>
      <c r="AM384" s="36"/>
      <c r="AN384" s="36"/>
    </row>
    <row r="385" spans="6:40" ht="15" customHeight="1" outlineLevel="1">
      <c r="F385" s="52"/>
      <c r="G385" s="51" t="s">
        <v>147</v>
      </c>
      <c r="H385" s="837"/>
      <c r="I385" s="837"/>
      <c r="J385" s="837"/>
      <c r="K385" s="837">
        <f ca="1">IFERROR(IF(INDIRECT("'"&amp;$H$3&amp;"'!K292")="Route-based",K392*INDIRECT("'"&amp;$H$3&amp;"'!K$261"),IF(INDIRECT("'"&amp;$H$3&amp;"'!K292")="Point-to-point",K395*INDIRECT("'"&amp;$H$3&amp;"'!K$261"),0)),0)</f>
        <v>0</v>
      </c>
      <c r="L385" s="837"/>
      <c r="M385" s="837"/>
      <c r="N385" s="837">
        <f ca="1">IFERROR(IF(INDIRECT("'"&amp;$H$3&amp;"'!N292")="Route-based",N392*INDIRECT("'"&amp;$H$3&amp;"'!N$261"),IF(INDIRECT("'"&amp;$H$3&amp;"'!N292")="Point-to-point",N395*INDIRECT("'"&amp;$H$3&amp;"'!N$261"),0)),0)</f>
        <v>0</v>
      </c>
      <c r="O385" s="837"/>
      <c r="P385" s="837"/>
      <c r="Q385" s="837">
        <f ca="1">IFERROR(IF(INDIRECT("'"&amp;$H$3&amp;"'!Q292")="Route-based",Q392*INDIRECT("'"&amp;$H$3&amp;"'!Q$261"),IF(INDIRECT("'"&amp;$H$3&amp;"'!Q292")="Point-to-point",Q395*INDIRECT("'"&amp;$H$3&amp;"'!Q$261"),0)),0)</f>
        <v>0</v>
      </c>
      <c r="R385" s="1650"/>
      <c r="S385" s="1650"/>
      <c r="T385" s="837">
        <f ca="1">IFERROR(IF(INDIRECT("'"&amp;$H$3&amp;"'!T292")="Route-based",T392*INDIRECT("'"&amp;$H$3&amp;"'!T$261"),IF(INDIRECT("'"&amp;$H$3&amp;"'!T292")="Point-to-point",T395*INDIRECT("'"&amp;$H$3&amp;"'!T$261"),0)),0)</f>
        <v>0</v>
      </c>
      <c r="U385" s="1650"/>
      <c r="V385" s="1650"/>
      <c r="W385" s="837">
        <f ca="1">IFERROR(IF(INDIRECT("'"&amp;$H$3&amp;"'!W292")="Route-based",W392*INDIRECT("'"&amp;$H$3&amp;"'!W$261"),IF(INDIRECT("'"&amp;$H$3&amp;"'!W292")="Point-to-point",W395*INDIRECT("'"&amp;$H$3&amp;"'!W$261"),0)),0)</f>
        <v>0</v>
      </c>
      <c r="X385" s="1468"/>
      <c r="Y385" s="36"/>
      <c r="Z385" s="36"/>
      <c r="AA385" s="36"/>
      <c r="AB385" s="36"/>
      <c r="AC385" s="36"/>
      <c r="AD385" s="36"/>
      <c r="AE385" s="36"/>
      <c r="AF385" s="36"/>
      <c r="AG385" s="36"/>
      <c r="AH385" s="36"/>
      <c r="AI385" s="36"/>
      <c r="AJ385" s="36"/>
      <c r="AK385" s="242"/>
      <c r="AL385" s="36"/>
      <c r="AM385" s="36"/>
      <c r="AN385" s="36"/>
    </row>
    <row r="386" spans="6:40" ht="15" customHeight="1" outlineLevel="1">
      <c r="F386" s="52"/>
      <c r="G386" s="51" t="s">
        <v>142</v>
      </c>
      <c r="H386" s="1651"/>
      <c r="I386" s="1651"/>
      <c r="J386" s="1651"/>
      <c r="K386" s="1651">
        <f ca="1">IFERROR(IF(COUNTIF(INDIRECT("'"&amp;$H$3&amp;"'!K284"),"Public Transport*")&gt;0,ROUND(INDIRECT("'"&amp;$H$3&amp;"'!K$95")*INDIRECT("'"&amp;$H$3&amp;"'!K283"),0),0),0)</f>
        <v>0</v>
      </c>
      <c r="L386" s="1651"/>
      <c r="M386" s="1651"/>
      <c r="N386" s="1651">
        <f ca="1">IFERROR(IF(COUNTIF(INDIRECT("'"&amp;$H$3&amp;"'!N284"),"Public Transport*")&gt;0,ROUND(INDIRECT("'"&amp;$H$3&amp;"'!N$95")*INDIRECT("'"&amp;$H$3&amp;"'!N283"),0),0),0)</f>
        <v>0</v>
      </c>
      <c r="O386" s="1651"/>
      <c r="P386" s="1651"/>
      <c r="Q386" s="1651">
        <f ca="1">IFERROR(IF(COUNTIF(INDIRECT("'"&amp;$H$3&amp;"'!Q284"),"Public Transport*")&gt;0,ROUND(INDIRECT("'"&amp;$H$3&amp;"'!Q$95")*INDIRECT("'"&amp;$H$3&amp;"'!Q283"),0),0),0)</f>
        <v>0</v>
      </c>
      <c r="R386" s="1650"/>
      <c r="S386" s="1650"/>
      <c r="T386" s="1651">
        <f ca="1">IFERROR(IF(COUNTIF(INDIRECT("'"&amp;$H$3&amp;"'!T284"),"Public Transport*")&gt;0,ROUND(INDIRECT("'"&amp;$H$3&amp;"'!T$95")*INDIRECT("'"&amp;$H$3&amp;"'!T283"),0),0),0)</f>
        <v>0</v>
      </c>
      <c r="U386" s="1650"/>
      <c r="V386" s="1650"/>
      <c r="W386" s="1651">
        <f ca="1">IFERROR(IF(COUNTIF(INDIRECT("'"&amp;$H$3&amp;"'!W284"),"Public Transport*")&gt;0,ROUND(INDIRECT("'"&amp;$H$3&amp;"'!W$95")*INDIRECT("'"&amp;$H$3&amp;"'!W283"),0),0),0)</f>
        <v>0</v>
      </c>
      <c r="X386" s="1466"/>
      <c r="Y386" s="36"/>
      <c r="Z386" s="36"/>
      <c r="AA386" s="36"/>
      <c r="AB386" s="36"/>
      <c r="AC386" s="36"/>
      <c r="AD386" s="36"/>
      <c r="AE386" s="36"/>
      <c r="AF386" s="36"/>
      <c r="AG386" s="36"/>
      <c r="AH386" s="36"/>
      <c r="AI386" s="36"/>
      <c r="AJ386" s="36"/>
      <c r="AK386" s="36"/>
      <c r="AL386" s="36"/>
      <c r="AM386" s="36"/>
      <c r="AN386" s="36"/>
    </row>
    <row r="387" spans="6:40" ht="15" customHeight="1" outlineLevel="1">
      <c r="F387" s="52"/>
      <c r="G387" s="1613" t="s">
        <v>150</v>
      </c>
      <c r="H387" s="842"/>
      <c r="I387" s="842"/>
      <c r="J387" s="842"/>
      <c r="K387" s="842"/>
      <c r="L387" s="842"/>
      <c r="M387" s="842"/>
      <c r="N387" s="842"/>
      <c r="O387" s="842"/>
      <c r="P387" s="842"/>
      <c r="Q387" s="842"/>
      <c r="R387" s="1650"/>
      <c r="S387" s="1650"/>
      <c r="T387" s="842"/>
      <c r="U387" s="1650"/>
      <c r="V387" s="1650"/>
      <c r="W387" s="842"/>
      <c r="X387" s="1470"/>
      <c r="Y387" s="36"/>
      <c r="Z387" s="36"/>
      <c r="AA387" s="36"/>
      <c r="AB387" s="36"/>
      <c r="AC387" s="36"/>
      <c r="AD387" s="36"/>
      <c r="AE387" s="36"/>
      <c r="AF387" s="36"/>
      <c r="AG387" s="36"/>
      <c r="AH387" s="36"/>
      <c r="AI387" s="36"/>
      <c r="AJ387" s="36"/>
      <c r="AK387" s="36"/>
      <c r="AL387" s="36"/>
      <c r="AM387" s="36"/>
      <c r="AN387" s="36"/>
    </row>
    <row r="388" spans="6:40" ht="15" customHeight="1" outlineLevel="1">
      <c r="F388" s="52"/>
      <c r="G388" s="51" t="s">
        <v>140</v>
      </c>
      <c r="H388" s="836"/>
      <c r="I388" s="836"/>
      <c r="J388" s="836"/>
      <c r="K388" s="836">
        <f ca="1">IFERROR(ROUND(INDIRECT("'"&amp;$H$3&amp;"'!$H$10")/(((1/60)*(INDIRECT("'"&amp;$H$3&amp;"'!K297")+INDIRECT("'"&amp;$H$3&amp;"'!$H$19")*(INDIRECT("'"&amp;$H$3&amp;"'!K298")+(INDIRECT("'"&amp;$H$3&amp;"'!K299")*('1_Outputs'!K$52/INDIRECT("'"&amp;$H$3&amp;"'!K$261")/INDIRECT("'"&amp;$H$3&amp;"'!$H$19"))))))+INDEX(INDIRECT("'"&amp;$H$3&amp;"'!$H$43:$H$78"),MATCH(INDIRECT("'"&amp;$H$3&amp;"'!K284")&amp;"Average duration (hrs) per trip",INDIRECT("'"&amp;$H$3&amp;"'!$F$43:$F$78"),0))),1),0)</f>
        <v>0</v>
      </c>
      <c r="L388" s="836"/>
      <c r="M388" s="836"/>
      <c r="N388" s="836">
        <f ca="1">IFERROR(ROUND(INDIRECT("'"&amp;$H$3&amp;"'!$H$10")/(((1/60)*(INDIRECT("'"&amp;$H$3&amp;"'!N297")+INDIRECT("'"&amp;$H$3&amp;"'!$H$19")*(INDIRECT("'"&amp;$H$3&amp;"'!N298")+(INDIRECT("'"&amp;$H$3&amp;"'!N299")*('1_Outputs'!N$52/INDIRECT("'"&amp;$H$3&amp;"'!N$261")/INDIRECT("'"&amp;$H$3&amp;"'!$H$19"))))))+INDEX(INDIRECT("'"&amp;$H$3&amp;"'!$H$43:$H$78"),MATCH(INDIRECT("'"&amp;$H$3&amp;"'!N284")&amp;"Average duration (hrs) per trip",INDIRECT("'"&amp;$H$3&amp;"'!$F$43:$F$78"),0))),1),0)</f>
        <v>0</v>
      </c>
      <c r="O388" s="836"/>
      <c r="P388" s="836"/>
      <c r="Q388" s="836">
        <f ca="1">IFERROR(ROUND(INDIRECT("'"&amp;$H$3&amp;"'!$H$10")/(((1/60)*(INDIRECT("'"&amp;$H$3&amp;"'!Q297")+INDIRECT("'"&amp;$H$3&amp;"'!$H$19")*(INDIRECT("'"&amp;$H$3&amp;"'!Q298")+(INDIRECT("'"&amp;$H$3&amp;"'!Q299")*('1_Outputs'!Q$52/INDIRECT("'"&amp;$H$3&amp;"'!Q$261")/INDIRECT("'"&amp;$H$3&amp;"'!$H$19"))))))+INDEX(INDIRECT("'"&amp;$H$3&amp;"'!$H$43:$H$78"),MATCH(INDIRECT("'"&amp;$H$3&amp;"'!Q284")&amp;"Average duration (hrs) per trip",INDIRECT("'"&amp;$H$3&amp;"'!$F$43:$F$78"),0))),1),0)</f>
        <v>0</v>
      </c>
      <c r="R388" s="836"/>
      <c r="S388" s="836"/>
      <c r="T388" s="836">
        <f ca="1">IFERROR(ROUND(INDIRECT("'"&amp;$H$3&amp;"'!$H$10")/(((1/60)*(INDIRECT("'"&amp;$H$3&amp;"'!T297")+INDIRECT("'"&amp;$H$3&amp;"'!$H$19")*(INDIRECT("'"&amp;$H$3&amp;"'!T298")+(INDIRECT("'"&amp;$H$3&amp;"'!T299")*('1_Outputs'!T$52/INDIRECT("'"&amp;$H$3&amp;"'!T$261")/INDIRECT("'"&amp;$H$3&amp;"'!$H$19"))))))+INDEX(INDIRECT("'"&amp;$H$3&amp;"'!$H$43:$H$78"),MATCH(INDIRECT("'"&amp;$H$3&amp;"'!T284")&amp;"Average duration (hrs) per trip",INDIRECT("'"&amp;$H$3&amp;"'!$F$43:$F$78"),0))),1),0)</f>
        <v>0</v>
      </c>
      <c r="U388" s="836"/>
      <c r="V388" s="836"/>
      <c r="W388" s="836">
        <f ca="1">IFERROR(ROUND(INDIRECT("'"&amp;$H$3&amp;"'!$H$10")/(((1/60)*(INDIRECT("'"&amp;$H$3&amp;"'!W297")+INDIRECT("'"&amp;$H$3&amp;"'!$H$19")*(INDIRECT("'"&amp;$H$3&amp;"'!W298")+(INDIRECT("'"&amp;$H$3&amp;"'!W299")*('1_Outputs'!W$52/INDIRECT("'"&amp;$H$3&amp;"'!W$261")/INDIRECT("'"&amp;$H$3&amp;"'!$H$19"))))))+INDEX(INDIRECT("'"&amp;$H$3&amp;"'!$H$43:$H$78"),MATCH(INDIRECT("'"&amp;$H$3&amp;"'!W284")&amp;"Average duration (hrs) per trip",INDIRECT("'"&amp;$H$3&amp;"'!$F$43:$F$78"),0))),1),0)</f>
        <v>0</v>
      </c>
      <c r="X388" s="1469"/>
      <c r="Y388" s="36"/>
      <c r="Z388" s="36"/>
      <c r="AA388" s="36"/>
      <c r="AB388" s="36"/>
      <c r="AC388" s="36"/>
      <c r="AD388" s="36"/>
      <c r="AE388" s="36"/>
      <c r="AF388" s="36"/>
      <c r="AG388" s="36"/>
      <c r="AH388" s="36"/>
      <c r="AI388" s="36"/>
      <c r="AJ388" s="36"/>
      <c r="AK388" s="36"/>
      <c r="AL388" s="36"/>
      <c r="AM388" s="36"/>
      <c r="AN388" s="36"/>
    </row>
    <row r="389" spans="6:40" ht="15" customHeight="1" outlineLevel="1">
      <c r="F389" s="52"/>
      <c r="G389" s="51" t="s">
        <v>141</v>
      </c>
      <c r="H389" s="836"/>
      <c r="I389" s="836"/>
      <c r="J389" s="836"/>
      <c r="K389" s="836">
        <f ca="1">IFERROR(ROUND(K388*INDIRECT("'"&amp;$H$3&amp;"'!K293"),0),0)</f>
        <v>0</v>
      </c>
      <c r="L389" s="836"/>
      <c r="M389" s="836"/>
      <c r="N389" s="836">
        <f ca="1">IFERROR(ROUND(N388*INDIRECT("'"&amp;$H$3&amp;"'!N293"),0),0)</f>
        <v>0</v>
      </c>
      <c r="O389" s="836"/>
      <c r="P389" s="836"/>
      <c r="Q389" s="836">
        <f ca="1">IFERROR(ROUND(Q388*INDIRECT("'"&amp;$H$3&amp;"'!Q293"),0),0)</f>
        <v>0</v>
      </c>
      <c r="R389" s="836"/>
      <c r="S389" s="836"/>
      <c r="T389" s="836">
        <f ca="1">IFERROR(ROUND(T388*INDIRECT("'"&amp;$H$3&amp;"'!T293"),0),0)</f>
        <v>0</v>
      </c>
      <c r="U389" s="836"/>
      <c r="V389" s="836"/>
      <c r="W389" s="836">
        <f ca="1">IFERROR(ROUND(W388*INDIRECT("'"&amp;$H$3&amp;"'!W293"),0),0)</f>
        <v>0</v>
      </c>
      <c r="X389" s="1469"/>
      <c r="Y389" s="36"/>
      <c r="Z389" s="36"/>
      <c r="AA389" s="36"/>
      <c r="AB389" s="36"/>
      <c r="AC389" s="36"/>
      <c r="AD389" s="36"/>
      <c r="AE389" s="36"/>
      <c r="AF389" s="36"/>
      <c r="AG389" s="36"/>
      <c r="AH389" s="36"/>
      <c r="AI389" s="36"/>
      <c r="AJ389" s="36"/>
      <c r="AK389" s="36"/>
      <c r="AL389" s="36"/>
      <c r="AM389" s="36"/>
      <c r="AN389" s="36"/>
    </row>
    <row r="390" spans="6:40" ht="15" customHeight="1" outlineLevel="1">
      <c r="F390" s="52"/>
      <c r="G390" s="51" t="s">
        <v>143</v>
      </c>
      <c r="H390" s="836"/>
      <c r="I390" s="836"/>
      <c r="J390" s="836"/>
      <c r="K390" s="836">
        <f ca="1">IFERROR(ROUNDUP(K386/K389,0),0)</f>
        <v>0</v>
      </c>
      <c r="L390" s="836"/>
      <c r="M390" s="836"/>
      <c r="N390" s="836">
        <f ca="1">IFERROR(ROUNDUP(N386/N389,0),0)</f>
        <v>0</v>
      </c>
      <c r="O390" s="836"/>
      <c r="P390" s="836"/>
      <c r="Q390" s="836">
        <f ca="1">IFERROR(ROUNDUP(Q386/Q389,0),0)</f>
        <v>0</v>
      </c>
      <c r="R390" s="836"/>
      <c r="S390" s="836"/>
      <c r="T390" s="836">
        <f ca="1">IFERROR(ROUNDUP(T386/T389,0),0)</f>
        <v>0</v>
      </c>
      <c r="U390" s="836"/>
      <c r="V390" s="836"/>
      <c r="W390" s="836">
        <f ca="1">IFERROR(ROUNDUP(W386/W389,0),0)</f>
        <v>0</v>
      </c>
      <c r="X390" s="1469"/>
      <c r="Y390" s="36"/>
      <c r="Z390" s="36"/>
      <c r="AA390" s="36"/>
      <c r="AB390" s="36"/>
      <c r="AC390" s="36"/>
      <c r="AD390" s="36"/>
      <c r="AE390" s="36"/>
      <c r="AF390" s="36"/>
      <c r="AG390" s="36"/>
      <c r="AH390" s="36"/>
      <c r="AI390" s="36"/>
      <c r="AJ390" s="36"/>
      <c r="AK390" s="36"/>
      <c r="AL390" s="36"/>
      <c r="AM390" s="36"/>
      <c r="AN390" s="36"/>
    </row>
    <row r="391" spans="6:40" ht="15" customHeight="1" outlineLevel="1">
      <c r="F391" s="52"/>
      <c r="G391" s="51" t="s">
        <v>144</v>
      </c>
      <c r="H391" s="836"/>
      <c r="I391" s="836"/>
      <c r="J391" s="836"/>
      <c r="K391" s="836">
        <f ca="1">IFERROR((K390*(K389+1)),0)</f>
        <v>0</v>
      </c>
      <c r="L391" s="836"/>
      <c r="M391" s="836"/>
      <c r="N391" s="836">
        <f ca="1">IFERROR((N390*(N389+1)),0)</f>
        <v>0</v>
      </c>
      <c r="O391" s="836"/>
      <c r="P391" s="836"/>
      <c r="Q391" s="836">
        <f ca="1">IFERROR((Q390*(Q389+1)),0)</f>
        <v>0</v>
      </c>
      <c r="R391" s="836"/>
      <c r="S391" s="836"/>
      <c r="T391" s="836">
        <f ca="1">IFERROR((T390*(T389+1)),0)</f>
        <v>0</v>
      </c>
      <c r="U391" s="836"/>
      <c r="V391" s="836"/>
      <c r="W391" s="836">
        <f ca="1">IFERROR((W390*(W389+1)),0)</f>
        <v>0</v>
      </c>
      <c r="X391" s="1469"/>
      <c r="Y391" s="36"/>
      <c r="Z391" s="36"/>
      <c r="AA391" s="36"/>
      <c r="AB391" s="36"/>
      <c r="AC391" s="36"/>
      <c r="AD391" s="36"/>
      <c r="AE391" s="36"/>
      <c r="AF391" s="36"/>
      <c r="AG391" s="36"/>
      <c r="AH391" s="36"/>
      <c r="AI391" s="36"/>
      <c r="AJ391" s="36"/>
      <c r="AK391" s="242"/>
      <c r="AL391" s="36"/>
      <c r="AM391" s="36"/>
      <c r="AN391" s="36"/>
    </row>
    <row r="392" spans="6:40" ht="15" customHeight="1" outlineLevel="1">
      <c r="F392" s="52"/>
      <c r="G392" s="51" t="s">
        <v>145</v>
      </c>
      <c r="H392" s="836"/>
      <c r="I392" s="836"/>
      <c r="J392" s="836"/>
      <c r="K392" s="836">
        <f ca="1">IFERROR(ROUNDUP(((K391*INDEX(INDIRECT("'"&amp;$H$3&amp;"'!$H$43:$H$78"),MATCH(INDIRECT("'"&amp;$H$3&amp;"'!K284")&amp;"Average duration (hrs) per trip",INDIRECT("'"&amp;$H$3&amp;"'!$F$43:$F$78"),0)))+(K386*((1/60)*(INDIRECT("'"&amp;$H$3&amp;"'!K297")+INDIRECT("'"&amp;$H$3&amp;"'!$H$19")*(INDIRECT("'"&amp;$H$3&amp;"'!K298")+(INDIRECT("'"&amp;$H$3&amp;"'!K299")*('1_Outputs'!K$52/INDIRECT("'"&amp;$H$3&amp;"'!K$261")/INDIRECT("'"&amp;$H$3&amp;"'!$H$19"))))))))/INDIRECT("'"&amp;$H$3&amp;"'!$H$10"),0),0)</f>
        <v>0</v>
      </c>
      <c r="L392" s="836"/>
      <c r="M392" s="836"/>
      <c r="N392" s="836">
        <f ca="1">IFERROR(ROUNDUP(((N391*INDEX(INDIRECT("'"&amp;$H$3&amp;"'!$H$43:$H$78"),MATCH(INDIRECT("'"&amp;$H$3&amp;"'!N284")&amp;"Average duration (hrs) per trip",INDIRECT("'"&amp;$H$3&amp;"'!$F$43:$F$78"),0)))+(N386*((1/60)*(INDIRECT("'"&amp;$H$3&amp;"'!N297")+INDIRECT("'"&amp;$H$3&amp;"'!$H$19")*(INDIRECT("'"&amp;$H$3&amp;"'!N298")+(INDIRECT("'"&amp;$H$3&amp;"'!N299")*('1_Outputs'!N$52/INDIRECT("'"&amp;$H$3&amp;"'!N$261")/INDIRECT("'"&amp;$H$3&amp;"'!$H$19"))))))))/INDIRECT("'"&amp;$H$3&amp;"'!$H$10"),0),0)</f>
        <v>0</v>
      </c>
      <c r="O392" s="836"/>
      <c r="P392" s="836"/>
      <c r="Q392" s="836">
        <f ca="1">IFERROR(ROUNDUP(((Q391*INDEX(INDIRECT("'"&amp;$H$3&amp;"'!$H$43:$H$78"),MATCH(INDIRECT("'"&amp;$H$3&amp;"'!Q284")&amp;"Average duration (hrs) per trip",INDIRECT("'"&amp;$H$3&amp;"'!$F$43:$F$78"),0)))+(Q386*((1/60)*(INDIRECT("'"&amp;$H$3&amp;"'!Q297")+INDIRECT("'"&amp;$H$3&amp;"'!$H$19")*(INDIRECT("'"&amp;$H$3&amp;"'!Q298")+(INDIRECT("'"&amp;$H$3&amp;"'!Q299")*('1_Outputs'!Q$52/INDIRECT("'"&amp;$H$3&amp;"'!Q$261")/INDIRECT("'"&amp;$H$3&amp;"'!$H$19"))))))))/INDIRECT("'"&amp;$H$3&amp;"'!$H$10"),0),0)</f>
        <v>0</v>
      </c>
      <c r="R392" s="836"/>
      <c r="S392" s="836"/>
      <c r="T392" s="836">
        <f ca="1">IFERROR(ROUNDUP(((T391*INDEX(INDIRECT("'"&amp;$H$3&amp;"'!$H$43:$H$78"),MATCH(INDIRECT("'"&amp;$H$3&amp;"'!T284")&amp;"Average duration (hrs) per trip",INDIRECT("'"&amp;$H$3&amp;"'!$F$43:$F$78"),0)))+(T386*((1/60)*(INDIRECT("'"&amp;$H$3&amp;"'!T297")+INDIRECT("'"&amp;$H$3&amp;"'!$H$19")*(INDIRECT("'"&amp;$H$3&amp;"'!T298")+(INDIRECT("'"&amp;$H$3&amp;"'!T299")*('1_Outputs'!T$52/INDIRECT("'"&amp;$H$3&amp;"'!T$261")/INDIRECT("'"&amp;$H$3&amp;"'!$H$19"))))))))/INDIRECT("'"&amp;$H$3&amp;"'!$H$10"),0),0)</f>
        <v>0</v>
      </c>
      <c r="U392" s="836"/>
      <c r="V392" s="836"/>
      <c r="W392" s="836">
        <f ca="1">IFERROR(ROUNDUP(((W391*INDEX(INDIRECT("'"&amp;$H$3&amp;"'!$H$43:$H$78"),MATCH(INDIRECT("'"&amp;$H$3&amp;"'!W284")&amp;"Average duration (hrs) per trip",INDIRECT("'"&amp;$H$3&amp;"'!$F$43:$F$78"),0)))+(W386*((1/60)*(INDIRECT("'"&amp;$H$3&amp;"'!W297")+INDIRECT("'"&amp;$H$3&amp;"'!$H$19")*(INDIRECT("'"&amp;$H$3&amp;"'!W298")+(INDIRECT("'"&amp;$H$3&amp;"'!W299")*('1_Outputs'!W$52/INDIRECT("'"&amp;$H$3&amp;"'!W$261")/INDIRECT("'"&amp;$H$3&amp;"'!$H$19"))))))))/INDIRECT("'"&amp;$H$3&amp;"'!$H$10"),0),0)</f>
        <v>0</v>
      </c>
      <c r="X392" s="1469"/>
      <c r="Y392" s="36"/>
      <c r="Z392" s="36"/>
      <c r="AA392" s="36"/>
      <c r="AB392" s="36"/>
      <c r="AC392" s="36"/>
      <c r="AD392" s="36"/>
      <c r="AE392" s="36"/>
      <c r="AF392" s="36"/>
      <c r="AG392" s="36"/>
      <c r="AH392" s="36"/>
      <c r="AI392" s="36"/>
      <c r="AJ392" s="36"/>
      <c r="AK392" s="242"/>
      <c r="AL392" s="36"/>
      <c r="AM392" s="36"/>
      <c r="AN392" s="36"/>
    </row>
    <row r="393" spans="6:40" ht="15" customHeight="1" outlineLevel="1">
      <c r="F393" s="52"/>
      <c r="G393" s="1613" t="s">
        <v>841</v>
      </c>
      <c r="H393" s="842"/>
      <c r="I393" s="842"/>
      <c r="J393" s="842"/>
      <c r="K393" s="842"/>
      <c r="L393" s="842"/>
      <c r="M393" s="842"/>
      <c r="N393" s="842"/>
      <c r="O393" s="842"/>
      <c r="P393" s="842"/>
      <c r="Q393" s="842"/>
      <c r="R393" s="1650"/>
      <c r="S393" s="1650"/>
      <c r="T393" s="842"/>
      <c r="U393" s="1650"/>
      <c r="V393" s="1650"/>
      <c r="W393" s="842"/>
      <c r="X393" s="1470"/>
      <c r="Y393" s="36"/>
      <c r="Z393" s="36"/>
      <c r="AA393" s="36"/>
      <c r="AB393" s="36"/>
      <c r="AC393" s="36"/>
      <c r="AD393" s="36"/>
      <c r="AE393" s="36"/>
      <c r="AF393" s="36"/>
      <c r="AG393" s="36"/>
      <c r="AH393" s="36"/>
      <c r="AI393" s="36"/>
      <c r="AJ393" s="36"/>
      <c r="AK393" s="242"/>
      <c r="AL393" s="36"/>
      <c r="AM393" s="36"/>
      <c r="AN393" s="36"/>
    </row>
    <row r="394" spans="6:40" ht="15" customHeight="1" outlineLevel="1">
      <c r="F394" s="52"/>
      <c r="G394" s="51" t="s">
        <v>144</v>
      </c>
      <c r="H394" s="836"/>
      <c r="I394" s="836"/>
      <c r="J394" s="836"/>
      <c r="K394" s="836">
        <f ca="1">IFERROR(K386*2,0)</f>
        <v>0</v>
      </c>
      <c r="L394" s="836"/>
      <c r="M394" s="836"/>
      <c r="N394" s="836">
        <f ca="1">IFERROR(N386*2,0)</f>
        <v>0</v>
      </c>
      <c r="O394" s="836"/>
      <c r="P394" s="836"/>
      <c r="Q394" s="836">
        <f ca="1">IFERROR(Q386*2,0)</f>
        <v>0</v>
      </c>
      <c r="R394" s="836"/>
      <c r="S394" s="836"/>
      <c r="T394" s="836">
        <f ca="1">IFERROR(T386*2,0)</f>
        <v>0</v>
      </c>
      <c r="U394" s="836"/>
      <c r="V394" s="836"/>
      <c r="W394" s="836">
        <f ca="1">IFERROR(W386*2,0)</f>
        <v>0</v>
      </c>
      <c r="X394" s="1469"/>
      <c r="Y394" s="36"/>
      <c r="Z394" s="36"/>
      <c r="AA394" s="36"/>
      <c r="AB394" s="36"/>
      <c r="AC394" s="36"/>
      <c r="AD394" s="36"/>
      <c r="AE394" s="36"/>
      <c r="AF394" s="36"/>
      <c r="AG394" s="36"/>
      <c r="AH394" s="36"/>
      <c r="AI394" s="36"/>
      <c r="AJ394" s="36"/>
      <c r="AK394" s="36"/>
      <c r="AL394" s="36"/>
      <c r="AM394" s="36"/>
      <c r="AN394" s="36"/>
    </row>
    <row r="395" spans="6:40" ht="15" customHeight="1" outlineLevel="1">
      <c r="F395" s="52"/>
      <c r="G395" s="51" t="s">
        <v>145</v>
      </c>
      <c r="H395" s="837"/>
      <c r="I395" s="837"/>
      <c r="J395" s="837"/>
      <c r="K395" s="837">
        <f ca="1">IFERROR(MAX(K386,ROUNDUP(((K394*INDEX(INDIRECT("'"&amp;$H$3&amp;"'!$H$43:$H$78"),MATCH(INDIRECT("'"&amp;$H$3&amp;"'!K284")&amp;"Average duration (hrs) per trip",INDIRECT("'"&amp;$H$3&amp;"'!$F$43:$F$78"),0)))+(K386*((1/60)*(INDIRECT("'"&amp;$H$3&amp;"'!K297")+INDIRECT("'"&amp;$H$3&amp;"'!$H$19")*(INDIRECT("'"&amp;$H$3&amp;"'!K298")+(INDIRECT("'"&amp;$H$3&amp;"'!K299")*('1_Outputs'!K$52/INDIRECT("'"&amp;$H$3&amp;"'!K$261")/INDIRECT("'"&amp;$H$3&amp;"'!$H$19"))))))))/INDIRECT("'"&amp;$H$3&amp;"'!$H$10"),0)),0)</f>
        <v>0</v>
      </c>
      <c r="L395" s="837"/>
      <c r="M395" s="837"/>
      <c r="N395" s="837">
        <f ca="1">IFERROR(MAX(N386,ROUNDUP(((N394*INDEX(INDIRECT("'"&amp;$H$3&amp;"'!$H$43:$H$78"),MATCH(INDIRECT("'"&amp;$H$3&amp;"'!N284")&amp;"Average duration (hrs) per trip",INDIRECT("'"&amp;$H$3&amp;"'!$F$43:$F$78"),0)))+(N386*((1/60)*(INDIRECT("'"&amp;$H$3&amp;"'!N297")+INDIRECT("'"&amp;$H$3&amp;"'!$H$19")*(INDIRECT("'"&amp;$H$3&amp;"'!N298")+(INDIRECT("'"&amp;$H$3&amp;"'!N299")*('1_Outputs'!N$52/INDIRECT("'"&amp;$H$3&amp;"'!N$261")/INDIRECT("'"&amp;$H$3&amp;"'!$H$19"))))))))/INDIRECT("'"&amp;$H$3&amp;"'!$H$10"),0)),0)</f>
        <v>0</v>
      </c>
      <c r="O395" s="837"/>
      <c r="P395" s="837"/>
      <c r="Q395" s="837">
        <f ca="1">IFERROR(MAX(Q386,ROUNDUP(((Q394*INDEX(INDIRECT("'"&amp;$H$3&amp;"'!$H$43:$H$78"),MATCH(INDIRECT("'"&amp;$H$3&amp;"'!Q284")&amp;"Average duration (hrs) per trip",INDIRECT("'"&amp;$H$3&amp;"'!$F$43:$F$78"),0)))+(Q386*((1/60)*(INDIRECT("'"&amp;$H$3&amp;"'!Q297")+INDIRECT("'"&amp;$H$3&amp;"'!$H$19")*(INDIRECT("'"&amp;$H$3&amp;"'!Q298")+(INDIRECT("'"&amp;$H$3&amp;"'!Q299")*('1_Outputs'!Q$52/INDIRECT("'"&amp;$H$3&amp;"'!Q$261")/INDIRECT("'"&amp;$H$3&amp;"'!$H$19"))))))))/INDIRECT("'"&amp;$H$3&amp;"'!$H$10"),0)),0)</f>
        <v>0</v>
      </c>
      <c r="R395" s="837"/>
      <c r="S395" s="837"/>
      <c r="T395" s="837">
        <f ca="1">IFERROR(MAX(T386,ROUNDUP(((T394*INDEX(INDIRECT("'"&amp;$H$3&amp;"'!$H$43:$H$78"),MATCH(INDIRECT("'"&amp;$H$3&amp;"'!T284")&amp;"Average duration (hrs) per trip",INDIRECT("'"&amp;$H$3&amp;"'!$F$43:$F$78"),0)))+(T386*((1/60)*(INDIRECT("'"&amp;$H$3&amp;"'!T297")+INDIRECT("'"&amp;$H$3&amp;"'!$H$19")*(INDIRECT("'"&amp;$H$3&amp;"'!T298")+(INDIRECT("'"&amp;$H$3&amp;"'!T299")*('1_Outputs'!T$52/INDIRECT("'"&amp;$H$3&amp;"'!T$261")/INDIRECT("'"&amp;$H$3&amp;"'!$H$19"))))))))/INDIRECT("'"&amp;$H$3&amp;"'!$H$10"),0)),0)</f>
        <v>0</v>
      </c>
      <c r="U395" s="837"/>
      <c r="V395" s="837"/>
      <c r="W395" s="837">
        <f ca="1">IFERROR(MAX(W386,ROUNDUP(((W394*INDEX(INDIRECT("'"&amp;$H$3&amp;"'!$H$43:$H$78"),MATCH(INDIRECT("'"&amp;$H$3&amp;"'!W284")&amp;"Average duration (hrs) per trip",INDIRECT("'"&amp;$H$3&amp;"'!$F$43:$F$78"),0)))+(W386*((1/60)*(INDIRECT("'"&amp;$H$3&amp;"'!W297")+INDIRECT("'"&amp;$H$3&amp;"'!$H$19")*(INDIRECT("'"&amp;$H$3&amp;"'!W298")+(INDIRECT("'"&amp;$H$3&amp;"'!W299")*('1_Outputs'!W$52/INDIRECT("'"&amp;$H$3&amp;"'!W$261")/INDIRECT("'"&amp;$H$3&amp;"'!$H$19"))))))))/INDIRECT("'"&amp;$H$3&amp;"'!$H$10"),0)),0)</f>
        <v>0</v>
      </c>
      <c r="X395" s="1468"/>
      <c r="Y395" s="36"/>
      <c r="Z395" s="36"/>
      <c r="AA395" s="36"/>
      <c r="AB395" s="36"/>
      <c r="AC395" s="36"/>
      <c r="AD395" s="36"/>
      <c r="AE395" s="36"/>
      <c r="AF395" s="36"/>
      <c r="AG395" s="36"/>
      <c r="AH395" s="36"/>
      <c r="AI395" s="36"/>
      <c r="AJ395" s="36"/>
      <c r="AK395" s="36"/>
      <c r="AL395" s="36"/>
      <c r="AM395" s="36"/>
      <c r="AN395" s="36"/>
    </row>
    <row r="396" spans="6:40" ht="15" customHeight="1" outlineLevel="1">
      <c r="F396" s="1681" t="s">
        <v>148</v>
      </c>
      <c r="G396" s="1683"/>
      <c r="H396" s="851"/>
      <c r="I396" s="851"/>
      <c r="J396" s="851"/>
      <c r="K396" s="851"/>
      <c r="L396" s="851"/>
      <c r="M396" s="851"/>
      <c r="N396" s="851"/>
      <c r="O396" s="851"/>
      <c r="P396" s="851"/>
      <c r="Q396" s="851"/>
      <c r="R396" s="1646"/>
      <c r="S396" s="1646"/>
      <c r="T396" s="851"/>
      <c r="U396" s="1646"/>
      <c r="V396" s="1646"/>
      <c r="W396" s="851"/>
      <c r="X396" s="1471"/>
      <c r="Y396" s="36"/>
      <c r="Z396" s="36"/>
      <c r="AA396" s="36"/>
      <c r="AB396" s="36"/>
      <c r="AC396" s="36"/>
      <c r="AD396" s="36"/>
      <c r="AE396" s="36"/>
      <c r="AF396" s="36"/>
      <c r="AG396" s="36"/>
      <c r="AH396" s="36"/>
      <c r="AI396" s="36"/>
      <c r="AJ396" s="36"/>
      <c r="AK396" s="242"/>
      <c r="AL396" s="36"/>
      <c r="AM396" s="36"/>
      <c r="AN396" s="36"/>
    </row>
    <row r="397" spans="6:40" ht="15" customHeight="1" outlineLevel="1">
      <c r="F397" s="86"/>
      <c r="G397" s="51" t="s">
        <v>151</v>
      </c>
      <c r="H397" s="836"/>
      <c r="I397" s="836"/>
      <c r="J397" s="836"/>
      <c r="K397" s="836">
        <f ca="1">IFERROR(IF(COUNTIF(INDIRECT("'"&amp;$H$3&amp;"'!K284"),"Public Transport*")&lt;1,ROUND(INDIRECT("'"&amp;$H$3&amp;"'!K$95")*INDIRECT("'"&amp;$H$3&amp;"'!K283"),0),0),0)</f>
        <v>0</v>
      </c>
      <c r="L397" s="836"/>
      <c r="M397" s="836"/>
      <c r="N397" s="836">
        <f ca="1">IFERROR(IF(COUNTIF(INDIRECT("'"&amp;$H$3&amp;"'!N284"),"Public Transport*")&lt;1,ROUND(INDIRECT("'"&amp;$H$3&amp;"'!N$95")*INDIRECT("'"&amp;$H$3&amp;"'!N283"),0),0),0)</f>
        <v>0</v>
      </c>
      <c r="O397" s="836"/>
      <c r="P397" s="836"/>
      <c r="Q397" s="836">
        <f ca="1">IFERROR(IF(COUNTIF(INDIRECT("'"&amp;$H$3&amp;"'!Q284"),"Public Transport*")&lt;1,ROUND(INDIRECT("'"&amp;$H$3&amp;"'!Q$95")*INDIRECT("'"&amp;$H$3&amp;"'!Q283"),0),0),0)</f>
        <v>0</v>
      </c>
      <c r="R397" s="836"/>
      <c r="S397" s="836"/>
      <c r="T397" s="836">
        <f ca="1">IFERROR(IF(COUNTIF(INDIRECT("'"&amp;$H$3&amp;"'!T284"),"Public Transport*")&lt;1,ROUND(INDIRECT("'"&amp;$H$3&amp;"'!T$95")*INDIRECT("'"&amp;$H$3&amp;"'!T283"),0),0),0)</f>
        <v>0</v>
      </c>
      <c r="U397" s="836"/>
      <c r="V397" s="836"/>
      <c r="W397" s="836">
        <f ca="1">IFERROR(IF(COUNTIF(INDIRECT("'"&amp;$H$3&amp;"'!W284"),"Public Transport*")&lt;1,ROUND(INDIRECT("'"&amp;$H$3&amp;"'!W$95")*INDIRECT("'"&amp;$H$3&amp;"'!W283"),0),0),0)</f>
        <v>0</v>
      </c>
      <c r="X397" s="1469"/>
      <c r="Y397" s="36"/>
      <c r="Z397" s="36"/>
      <c r="AA397" s="36"/>
      <c r="AB397" s="36"/>
      <c r="AC397" s="36"/>
      <c r="AD397" s="36"/>
      <c r="AE397" s="36"/>
      <c r="AF397" s="36"/>
      <c r="AG397" s="36"/>
      <c r="AH397" s="36"/>
      <c r="AI397" s="36"/>
      <c r="AJ397" s="36"/>
      <c r="AK397" s="242"/>
      <c r="AL397" s="36"/>
      <c r="AM397" s="36"/>
      <c r="AN397" s="36"/>
    </row>
    <row r="398" spans="6:40" ht="15" customHeight="1" outlineLevel="1">
      <c r="F398" s="52"/>
      <c r="G398" s="51" t="s">
        <v>85</v>
      </c>
      <c r="H398" s="837"/>
      <c r="I398" s="837"/>
      <c r="J398" s="837"/>
      <c r="K398" s="837">
        <f ca="1">IFERROR(IF(INDIRECT("'"&amp;$H$3&amp;"'!K292")="Route-based",K403*K404,IF(INDIRECT("'"&amp;$H$3&amp;"'!K292")="Point-to-point",K408*K409,0)),0)</f>
        <v>0</v>
      </c>
      <c r="L398" s="837"/>
      <c r="M398" s="837"/>
      <c r="N398" s="837">
        <f ca="1">IFERROR(IF(INDIRECT("'"&amp;$H$3&amp;"'!N292")="Route-based",N403*N404,IF(INDIRECT("'"&amp;$H$3&amp;"'!N292")="Point-to-point",N408*N409,0)),0)</f>
        <v>0</v>
      </c>
      <c r="O398" s="837"/>
      <c r="P398" s="837"/>
      <c r="Q398" s="837">
        <f ca="1">IFERROR(IF(INDIRECT("'"&amp;$H$3&amp;"'!Q292")="Route-based",Q403*Q404,IF(INDIRECT("'"&amp;$H$3&amp;"'!Q292")="Point-to-point",Q408*Q409,0)),0)</f>
        <v>0</v>
      </c>
      <c r="R398" s="837"/>
      <c r="S398" s="837"/>
      <c r="T398" s="837">
        <f ca="1">IFERROR(IF(INDIRECT("'"&amp;$H$3&amp;"'!T292")="Route-based",T403*T404,IF(INDIRECT("'"&amp;$H$3&amp;"'!T292")="Point-to-point",T408*T409,0)),0)</f>
        <v>0</v>
      </c>
      <c r="U398" s="837"/>
      <c r="V398" s="837"/>
      <c r="W398" s="837">
        <f ca="1">IFERROR(IF(INDIRECT("'"&amp;$H$3&amp;"'!W292")="Route-based",W403*W404,IF(INDIRECT("'"&amp;$H$3&amp;"'!W292")="Point-to-point",W408*W409,0)),0)</f>
        <v>0</v>
      </c>
      <c r="X398" s="1468"/>
      <c r="Y398" s="36"/>
      <c r="Z398" s="36"/>
      <c r="AA398" s="36"/>
      <c r="AB398" s="36"/>
      <c r="AC398" s="36"/>
      <c r="AD398" s="36"/>
      <c r="AE398" s="36"/>
      <c r="AF398" s="36"/>
      <c r="AG398" s="36"/>
      <c r="AH398" s="36"/>
      <c r="AI398" s="36"/>
      <c r="AJ398" s="36"/>
      <c r="AK398" s="242"/>
      <c r="AL398" s="36"/>
      <c r="AM398" s="36"/>
      <c r="AN398" s="36"/>
    </row>
    <row r="399" spans="6:40" ht="15" customHeight="1" outlineLevel="1">
      <c r="F399" s="52"/>
      <c r="G399" s="51" t="s">
        <v>59</v>
      </c>
      <c r="H399" s="837"/>
      <c r="I399" s="837"/>
      <c r="J399" s="837"/>
      <c r="K399" s="837">
        <f ca="1">IFERROR(IF(INDIRECT("'"&amp;$H$3&amp;"'!K292")="Route-based",ROUND(K403*K405/INDIRECT("'"&amp;$H$3&amp;"'!$H$10"),0),IF(INDIRECT("'"&amp;$H$3&amp;"'!K292")="Point-to-point",ROUND(((K397*INDIRECT("'"&amp;$H$3&amp;"'!K$261")*((1/60)*(INDIRECT("'"&amp;$H$3&amp;"'!K297")+INDIRECT("'"&amp;$H$3&amp;"'!$H$19")*(INDIRECT("'"&amp;$H$3&amp;"'!K298")+(INDIRECT("'"&amp;$H$3&amp;"'!K299")*('1_Outputs'!K$52/INDIRECT("'"&amp;$H$3&amp;"'!K$261")/INDIRECT("'"&amp;$H$3&amp;"'!$H$19")))))))+(K398/INDIRECT("'"&amp;$H$3&amp;"'!K301")))/INDIRECT("'"&amp;$H$3&amp;"'!$H$10"),0),0)),0)</f>
        <v>0</v>
      </c>
      <c r="L399" s="837"/>
      <c r="M399" s="837"/>
      <c r="N399" s="837">
        <f ca="1">IFERROR(IF(INDIRECT("'"&amp;$H$3&amp;"'!N292")="Route-based",ROUND(N403*N405/INDIRECT("'"&amp;$H$3&amp;"'!$H$10"),0),IF(INDIRECT("'"&amp;$H$3&amp;"'!N292")="Point-to-point",ROUND(((N397*INDIRECT("'"&amp;$H$3&amp;"'!N$261")*((1/60)*(INDIRECT("'"&amp;$H$3&amp;"'!N297")+INDIRECT("'"&amp;$H$3&amp;"'!$H$19")*(INDIRECT("'"&amp;$H$3&amp;"'!N298")+(INDIRECT("'"&amp;$H$3&amp;"'!N299")*('1_Outputs'!N$52/INDIRECT("'"&amp;$H$3&amp;"'!N$261")/INDIRECT("'"&amp;$H$3&amp;"'!$H$19")))))))+(N398/INDIRECT("'"&amp;$H$3&amp;"'!N301")))/INDIRECT("'"&amp;$H$3&amp;"'!$H$10"),0),0)),0)</f>
        <v>0</v>
      </c>
      <c r="O399" s="837"/>
      <c r="P399" s="837"/>
      <c r="Q399" s="837">
        <f ca="1">IFERROR(IF(INDIRECT("'"&amp;$H$3&amp;"'!Q292")="Route-based",ROUND(Q403*Q405/INDIRECT("'"&amp;$H$3&amp;"'!$H$10"),0),IF(INDIRECT("'"&amp;$H$3&amp;"'!Q292")="Point-to-point",ROUND(((Q397*INDIRECT("'"&amp;$H$3&amp;"'!Q$261")*((1/60)*(INDIRECT("'"&amp;$H$3&amp;"'!Q297")+INDIRECT("'"&amp;$H$3&amp;"'!$H$19")*(INDIRECT("'"&amp;$H$3&amp;"'!Q298")+(INDIRECT("'"&amp;$H$3&amp;"'!Q299")*('1_Outputs'!Q$52/INDIRECT("'"&amp;$H$3&amp;"'!Q$261")/INDIRECT("'"&amp;$H$3&amp;"'!$H$19")))))))+(Q398/INDIRECT("'"&amp;$H$3&amp;"'!Q301")))/INDIRECT("'"&amp;$H$3&amp;"'!$H$10"),0),0)),0)</f>
        <v>0</v>
      </c>
      <c r="R399" s="837"/>
      <c r="S399" s="837"/>
      <c r="T399" s="837">
        <f ca="1">IFERROR(IF(INDIRECT("'"&amp;$H$3&amp;"'!T292")="Route-based",ROUND(T403*T405/INDIRECT("'"&amp;$H$3&amp;"'!$H$10"),0),IF(INDIRECT("'"&amp;$H$3&amp;"'!T292")="Point-to-point",ROUND(((T397*INDIRECT("'"&amp;$H$3&amp;"'!T$261")*((1/60)*(INDIRECT("'"&amp;$H$3&amp;"'!T297")+INDIRECT("'"&amp;$H$3&amp;"'!$H$19")*(INDIRECT("'"&amp;$H$3&amp;"'!T298")+(INDIRECT("'"&amp;$H$3&amp;"'!T299")*('1_Outputs'!T$52/INDIRECT("'"&amp;$H$3&amp;"'!T$261")/INDIRECT("'"&amp;$H$3&amp;"'!$H$19")))))))+(T398/INDIRECT("'"&amp;$H$3&amp;"'!T301")))/INDIRECT("'"&amp;$H$3&amp;"'!$H$10"),0),0)),0)</f>
        <v>0</v>
      </c>
      <c r="U399" s="837"/>
      <c r="V399" s="837"/>
      <c r="W399" s="837">
        <f ca="1">IFERROR(IF(INDIRECT("'"&amp;$H$3&amp;"'!W292")="Route-based",ROUND(W403*W405/INDIRECT("'"&amp;$H$3&amp;"'!$H$10"),0),IF(INDIRECT("'"&amp;$H$3&amp;"'!W292")="Point-to-point",ROUND(((W397*INDIRECT("'"&amp;$H$3&amp;"'!W$261")*((1/60)*(INDIRECT("'"&amp;$H$3&amp;"'!W297")+INDIRECT("'"&amp;$H$3&amp;"'!$H$19")*(INDIRECT("'"&amp;$H$3&amp;"'!W298")+(INDIRECT("'"&amp;$H$3&amp;"'!W299")*('1_Outputs'!W$52/INDIRECT("'"&amp;$H$3&amp;"'!W$261")/INDIRECT("'"&amp;$H$3&amp;"'!$H$19")))))))+(W398/INDIRECT("'"&amp;$H$3&amp;"'!W301")))/INDIRECT("'"&amp;$H$3&amp;"'!$H$10"),0),0)),0)</f>
        <v>0</v>
      </c>
      <c r="X399" s="1468"/>
      <c r="Y399" s="36"/>
      <c r="Z399" s="36"/>
      <c r="AA399" s="36"/>
      <c r="AB399" s="36"/>
      <c r="AC399" s="36"/>
      <c r="AD399" s="36"/>
      <c r="AE399" s="36"/>
      <c r="AF399" s="36"/>
      <c r="AG399" s="36"/>
      <c r="AH399" s="36"/>
      <c r="AI399" s="36"/>
      <c r="AJ399" s="36"/>
      <c r="AK399" s="242"/>
      <c r="AL399" s="36"/>
      <c r="AM399" s="36"/>
      <c r="AN399" s="36"/>
    </row>
    <row r="400" spans="6:40" ht="15" customHeight="1" outlineLevel="1">
      <c r="F400" s="52"/>
      <c r="G400" s="51" t="s">
        <v>86</v>
      </c>
      <c r="H400" s="839"/>
      <c r="I400" s="839"/>
      <c r="J400" s="839"/>
      <c r="K400" s="839">
        <f ca="1">IFERROR(IF(INDIRECT("'"&amp;$H$3&amp;"'!K292")="Route-based",IF(INDIRECT("'"&amp;$H$3&amp;"'!K289")="Yes",K211, IF(INDIRECT("'"&amp;$H$3&amp;"'!K289")="No",K399/(INDIRECT("'"&amp;$H$3&amp;"'!$H$9")*INDIRECT("'"&amp;$H$3&amp;"'!K288")))),
IF(INDIRECT("'"&amp;$H$3&amp;"'!K292")="Point-to-point",IF(INDIRECT("'"&amp;$H$3&amp;"'!K289")="Yes",K211,IF(INDIRECT("'"&amp;$H$3&amp;"'!K289")="No",K399/(INDIRECT("'"&amp;$H$3&amp;"'!$H$9")*INDIRECT("'"&amp;$H$3&amp;"'!K288")))),0)),0)</f>
        <v>0</v>
      </c>
      <c r="L400" s="839"/>
      <c r="M400" s="839"/>
      <c r="N400" s="839">
        <f ca="1">IFERROR(IF(INDIRECT("'"&amp;$H$3&amp;"'!N292")="Route-based",IF(INDIRECT("'"&amp;$H$3&amp;"'!N289")="Yes",N211, IF(INDIRECT("'"&amp;$H$3&amp;"'!N289")="No",N399/(INDIRECT("'"&amp;$H$3&amp;"'!$H$9")*INDIRECT("'"&amp;$H$3&amp;"'!N288")))),
IF(INDIRECT("'"&amp;$H$3&amp;"'!N292")="Point-to-point",IF(INDIRECT("'"&amp;$H$3&amp;"'!N289")="Yes",N211,IF(INDIRECT("'"&amp;$H$3&amp;"'!N289")="No",N399/(INDIRECT("'"&amp;$H$3&amp;"'!$H$9")*INDIRECT("'"&amp;$H$3&amp;"'!N288")))),0)),0)</f>
        <v>0</v>
      </c>
      <c r="O400" s="839"/>
      <c r="P400" s="839"/>
      <c r="Q400" s="839">
        <f ca="1">IFERROR(IF(INDIRECT("'"&amp;$H$3&amp;"'!Q292")="Route-based",IF(INDIRECT("'"&amp;$H$3&amp;"'!Q289")="Yes",Q211, IF(INDIRECT("'"&amp;$H$3&amp;"'!Q289")="No",Q399/(INDIRECT("'"&amp;$H$3&amp;"'!$H$9")*INDIRECT("'"&amp;$H$3&amp;"'!Q288")))),
IF(INDIRECT("'"&amp;$H$3&amp;"'!Q292")="Point-to-point",IF(INDIRECT("'"&amp;$H$3&amp;"'!Q289")="Yes",Q211,IF(INDIRECT("'"&amp;$H$3&amp;"'!Q289")="No",Q399/(INDIRECT("'"&amp;$H$3&amp;"'!$H$9")*INDIRECT("'"&amp;$H$3&amp;"'!Q288")))),0)),0)</f>
        <v>0</v>
      </c>
      <c r="R400" s="839"/>
      <c r="S400" s="839"/>
      <c r="T400" s="839">
        <f ca="1">IFERROR(IF(INDIRECT("'"&amp;$H$3&amp;"'!T292")="Route-based",IF(INDIRECT("'"&amp;$H$3&amp;"'!T289")="Yes",T211, IF(INDIRECT("'"&amp;$H$3&amp;"'!T289")="No",T399/(INDIRECT("'"&amp;$H$3&amp;"'!$H$9")*INDIRECT("'"&amp;$H$3&amp;"'!T288")))),
IF(INDIRECT("'"&amp;$H$3&amp;"'!T292")="Point-to-point",IF(INDIRECT("'"&amp;$H$3&amp;"'!T289")="Yes",T211,IF(INDIRECT("'"&amp;$H$3&amp;"'!T289")="No",T399/(INDIRECT("'"&amp;$H$3&amp;"'!$H$9")*INDIRECT("'"&amp;$H$3&amp;"'!T288")))),0)),0)</f>
        <v>0</v>
      </c>
      <c r="U400" s="839"/>
      <c r="V400" s="839"/>
      <c r="W400" s="839">
        <f ca="1">IFERROR(IF(INDIRECT("'"&amp;$H$3&amp;"'!W292")="Route-based",IF(INDIRECT("'"&amp;$H$3&amp;"'!W289")="Yes",W211, IF(INDIRECT("'"&amp;$H$3&amp;"'!W289")="No",W399/(INDIRECT("'"&amp;$H$3&amp;"'!$H$9")*INDIRECT("'"&amp;$H$3&amp;"'!W288")))),
IF(INDIRECT("'"&amp;$H$3&amp;"'!W292")="Point-to-point",IF(INDIRECT("'"&amp;$H$3&amp;"'!W289")="Yes",W211,IF(INDIRECT("'"&amp;$H$3&amp;"'!W289")="No",W399/(INDIRECT("'"&amp;$H$3&amp;"'!$H$9")*INDIRECT("'"&amp;$H$3&amp;"'!W288")))),0)),0)</f>
        <v>0</v>
      </c>
      <c r="X400" s="1470"/>
      <c r="Y400" s="36"/>
      <c r="Z400" s="36"/>
      <c r="AA400" s="36"/>
      <c r="AB400" s="36"/>
      <c r="AC400" s="36"/>
      <c r="AD400" s="36"/>
      <c r="AE400" s="36"/>
      <c r="AF400" s="36"/>
      <c r="AG400" s="36"/>
      <c r="AH400" s="36"/>
      <c r="AI400" s="36"/>
      <c r="AJ400" s="36"/>
      <c r="AK400" s="36" t="s">
        <v>191</v>
      </c>
      <c r="AL400" s="36"/>
      <c r="AM400" s="36"/>
      <c r="AN400" s="36"/>
    </row>
    <row r="401" spans="6:40" ht="15" customHeight="1" outlineLevel="1" collapsed="1">
      <c r="F401" s="52"/>
      <c r="G401" s="1613" t="s">
        <v>133</v>
      </c>
      <c r="H401" s="842"/>
      <c r="I401" s="842"/>
      <c r="J401" s="842"/>
      <c r="K401" s="842"/>
      <c r="L401" s="842"/>
      <c r="M401" s="842"/>
      <c r="N401" s="842"/>
      <c r="O401" s="842"/>
      <c r="P401" s="842"/>
      <c r="Q401" s="842"/>
      <c r="R401" s="1650"/>
      <c r="S401" s="1650"/>
      <c r="T401" s="842"/>
      <c r="U401" s="1650"/>
      <c r="V401" s="1650"/>
      <c r="W401" s="842"/>
      <c r="X401" s="1470"/>
      <c r="Y401" s="36"/>
      <c r="Z401" s="36"/>
      <c r="AA401" s="36"/>
      <c r="AB401" s="36"/>
      <c r="AC401" s="36"/>
      <c r="AD401" s="36"/>
      <c r="AE401" s="36"/>
      <c r="AF401" s="36"/>
      <c r="AG401" s="36"/>
      <c r="AH401" s="36"/>
      <c r="AI401" s="36"/>
      <c r="AJ401" s="36"/>
      <c r="AK401" s="36"/>
      <c r="AL401" s="36"/>
      <c r="AM401" s="36"/>
      <c r="AN401" s="36"/>
    </row>
    <row r="402" spans="6:40" ht="15" customHeight="1" outlineLevel="1">
      <c r="F402" s="52"/>
      <c r="G402" s="51" t="s">
        <v>129</v>
      </c>
      <c r="H402" s="836"/>
      <c r="I402" s="836"/>
      <c r="J402" s="836"/>
      <c r="K402" s="836">
        <f ca="1">IFERROR(((INDIRECT("'"&amp;$H$3&amp;"'!K293")*INDIRECT("'"&amp;$H$3&amp;"'!$H$10"))-(2*INDIRECT("'"&amp;$H$3&amp;"'!K$98")/INDIRECT("'"&amp;$H$3&amp;"'!K301"))+(INDIRECT("'"&amp;$H$3&amp;"'!K$99")/INDIRECT("'"&amp;$H$3&amp;"'!K300")))/(((1/60)*(INDIRECT("'"&amp;$H$3&amp;"'!K297")+INDIRECT("'"&amp;$H$3&amp;"'!$H$19")*(INDIRECT("'"&amp;$H$3&amp;"'!K298")+(INDIRECT("'"&amp;$H$3&amp;"'!K299")*('1_Outputs'!K$52/INDIRECT("'"&amp;$H$3&amp;"'!K$261")/INDIRECT("'"&amp;$H$3&amp;"'!$H$19"))))))+(INDIRECT("'"&amp;$H$3&amp;"'!K$99")/INDIRECT("'"&amp;$H$3&amp;"'!K300"))),0)</f>
        <v>0</v>
      </c>
      <c r="L402" s="836"/>
      <c r="M402" s="836"/>
      <c r="N402" s="836">
        <f ca="1">IFERROR(((INDIRECT("'"&amp;$H$3&amp;"'!N293")*INDIRECT("'"&amp;$H$3&amp;"'!$H$10"))-(2*INDIRECT("'"&amp;$H$3&amp;"'!N$98")/INDIRECT("'"&amp;$H$3&amp;"'!N301"))+(INDIRECT("'"&amp;$H$3&amp;"'!N$99")/INDIRECT("'"&amp;$H$3&amp;"'!N300")))/(((1/60)*(INDIRECT("'"&amp;$H$3&amp;"'!N297")+INDIRECT("'"&amp;$H$3&amp;"'!$H$19")*(INDIRECT("'"&amp;$H$3&amp;"'!N298")+(INDIRECT("'"&amp;$H$3&amp;"'!N299")*('1_Outputs'!N$52/INDIRECT("'"&amp;$H$3&amp;"'!N$261")/INDIRECT("'"&amp;$H$3&amp;"'!$H$19"))))))+(INDIRECT("'"&amp;$H$3&amp;"'!N$99")/INDIRECT("'"&amp;$H$3&amp;"'!N300"))),0)</f>
        <v>0</v>
      </c>
      <c r="O402" s="836"/>
      <c r="P402" s="836"/>
      <c r="Q402" s="836">
        <f ca="1">IFERROR(((INDIRECT("'"&amp;$H$3&amp;"'!Q293")*INDIRECT("'"&amp;$H$3&amp;"'!$H$10"))-(2*INDIRECT("'"&amp;$H$3&amp;"'!Q$98")/INDIRECT("'"&amp;$H$3&amp;"'!Q301"))+(INDIRECT("'"&amp;$H$3&amp;"'!Q$99")/INDIRECT("'"&amp;$H$3&amp;"'!Q300")))/(((1/60)*(INDIRECT("'"&amp;$H$3&amp;"'!Q297")+INDIRECT("'"&amp;$H$3&amp;"'!$H$19")*(INDIRECT("'"&amp;$H$3&amp;"'!Q298")+(INDIRECT("'"&amp;$H$3&amp;"'!Q299")*('1_Outputs'!Q$52/INDIRECT("'"&amp;$H$3&amp;"'!Q$261")/INDIRECT("'"&amp;$H$3&amp;"'!$H$19"))))))+(INDIRECT("'"&amp;$H$3&amp;"'!Q$99")/INDIRECT("'"&amp;$H$3&amp;"'!Q300"))),0)</f>
        <v>0</v>
      </c>
      <c r="R402" s="836"/>
      <c r="S402" s="836"/>
      <c r="T402" s="836">
        <f ca="1">IFERROR(((INDIRECT("'"&amp;$H$3&amp;"'!T293")*INDIRECT("'"&amp;$H$3&amp;"'!$H$10"))-(2*INDIRECT("'"&amp;$H$3&amp;"'!T$98")/INDIRECT("'"&amp;$H$3&amp;"'!T301"))+(INDIRECT("'"&amp;$H$3&amp;"'!T$99")/INDIRECT("'"&amp;$H$3&amp;"'!T300")))/(((1/60)*(INDIRECT("'"&amp;$H$3&amp;"'!T297")+INDIRECT("'"&amp;$H$3&amp;"'!$H$19")*(INDIRECT("'"&amp;$H$3&amp;"'!T298")+(INDIRECT("'"&amp;$H$3&amp;"'!T299")*('1_Outputs'!T$52/INDIRECT("'"&amp;$H$3&amp;"'!T$261")/INDIRECT("'"&amp;$H$3&amp;"'!$H$19"))))))+(INDIRECT("'"&amp;$H$3&amp;"'!T$99")/INDIRECT("'"&amp;$H$3&amp;"'!T300"))),0)</f>
        <v>0</v>
      </c>
      <c r="U402" s="836"/>
      <c r="V402" s="836"/>
      <c r="W402" s="836">
        <f ca="1">IFERROR(((INDIRECT("'"&amp;$H$3&amp;"'!W293")*INDIRECT("'"&amp;$H$3&amp;"'!$H$10"))-(2*INDIRECT("'"&amp;$H$3&amp;"'!W$98")/INDIRECT("'"&amp;$H$3&amp;"'!W301"))+(INDIRECT("'"&amp;$H$3&amp;"'!W$99")/INDIRECT("'"&amp;$H$3&amp;"'!W300")))/(((1/60)*(INDIRECT("'"&amp;$H$3&amp;"'!W297")+INDIRECT("'"&amp;$H$3&amp;"'!$H$19")*(INDIRECT("'"&amp;$H$3&amp;"'!W298")+(INDIRECT("'"&amp;$H$3&amp;"'!W299")*('1_Outputs'!W$52/INDIRECT("'"&amp;$H$3&amp;"'!W$261")/INDIRECT("'"&amp;$H$3&amp;"'!$H$19"))))))+(INDIRECT("'"&amp;$H$3&amp;"'!W$99")/INDIRECT("'"&amp;$H$3&amp;"'!W300"))),0)</f>
        <v>0</v>
      </c>
      <c r="X402" s="1469"/>
      <c r="Y402" s="36"/>
      <c r="Z402" s="36"/>
      <c r="AA402" s="36"/>
      <c r="AB402" s="36"/>
      <c r="AC402" s="36"/>
      <c r="AD402" s="36"/>
      <c r="AE402" s="36"/>
      <c r="AF402" s="36"/>
      <c r="AG402" s="36"/>
      <c r="AH402" s="36"/>
      <c r="AI402" s="36"/>
      <c r="AJ402" s="36"/>
      <c r="AK402" s="36"/>
      <c r="AL402" s="36"/>
      <c r="AM402" s="36"/>
      <c r="AN402" s="36"/>
    </row>
    <row r="403" spans="6:40" ht="15" customHeight="1" outlineLevel="1">
      <c r="F403" s="52"/>
      <c r="G403" s="51" t="s">
        <v>206</v>
      </c>
      <c r="H403" s="836"/>
      <c r="I403" s="836"/>
      <c r="J403" s="836"/>
      <c r="K403" s="836">
        <f ca="1">IFERROR(ROUND(K397*INDIRECT("'"&amp;$H$3&amp;"'!K$261")/K402,0),0)</f>
        <v>0</v>
      </c>
      <c r="L403" s="836"/>
      <c r="M403" s="836"/>
      <c r="N403" s="836">
        <f ca="1">IFERROR(ROUND(N397*INDIRECT("'"&amp;$H$3&amp;"'!N$261")/N402,0),0)</f>
        <v>0</v>
      </c>
      <c r="O403" s="836"/>
      <c r="P403" s="836"/>
      <c r="Q403" s="836">
        <f ca="1">IFERROR(ROUND(Q397*INDIRECT("'"&amp;$H$3&amp;"'!Q$261")/Q402,0),0)</f>
        <v>0</v>
      </c>
      <c r="R403" s="836"/>
      <c r="S403" s="836"/>
      <c r="T403" s="836">
        <f ca="1">IFERROR(ROUND(T397*INDIRECT("'"&amp;$H$3&amp;"'!T$261")/T402,0),0)</f>
        <v>0</v>
      </c>
      <c r="U403" s="836"/>
      <c r="V403" s="836"/>
      <c r="W403" s="836">
        <f ca="1">IFERROR(ROUND(W397*INDIRECT("'"&amp;$H$3&amp;"'!W$261")/W402,0),0)</f>
        <v>0</v>
      </c>
      <c r="X403" s="1469"/>
      <c r="Y403" s="36"/>
      <c r="Z403" s="36"/>
      <c r="AA403" s="36"/>
      <c r="AB403" s="36"/>
      <c r="AC403" s="36"/>
      <c r="AD403" s="36"/>
      <c r="AE403" s="36"/>
      <c r="AF403" s="36"/>
      <c r="AG403" s="36"/>
      <c r="AH403" s="36"/>
      <c r="AI403" s="36"/>
      <c r="AJ403" s="36"/>
      <c r="AK403" s="36"/>
      <c r="AL403" s="36"/>
      <c r="AM403" s="36"/>
      <c r="AN403" s="36"/>
    </row>
    <row r="404" spans="6:40" ht="15" customHeight="1" outlineLevel="1">
      <c r="F404" s="52"/>
      <c r="G404" s="51" t="s">
        <v>87</v>
      </c>
      <c r="H404" s="836"/>
      <c r="I404" s="836"/>
      <c r="J404" s="836"/>
      <c r="K404" s="836">
        <f ca="1">IFERROR(IF(K397=0,0,(2*INDIRECT("'"&amp;$H$3&amp;"'!K$98"))+((MAX(K402, 1)-1)*INDIRECT("'"&amp;$H$3&amp;"'!K$99"))),0)</f>
        <v>0</v>
      </c>
      <c r="L404" s="836"/>
      <c r="M404" s="836"/>
      <c r="N404" s="836">
        <f ca="1">IFERROR(IF(N397=0,0,(2*INDIRECT("'"&amp;$H$3&amp;"'!N$98"))+((MAX(N402, 1)-1)*INDIRECT("'"&amp;$H$3&amp;"'!N$99"))),0)</f>
        <v>0</v>
      </c>
      <c r="O404" s="836"/>
      <c r="P404" s="836"/>
      <c r="Q404" s="836">
        <f ca="1">IFERROR(IF(Q397=0,0,(2*INDIRECT("'"&amp;$H$3&amp;"'!Q$98"))+((MAX(Q402, 1)-1)*INDIRECT("'"&amp;$H$3&amp;"'!Q$99"))),0)</f>
        <v>0</v>
      </c>
      <c r="R404" s="836"/>
      <c r="S404" s="836"/>
      <c r="T404" s="836">
        <f ca="1">IFERROR(IF(T397=0,0,(2*INDIRECT("'"&amp;$H$3&amp;"'!T$98"))+((MAX(T402, 1)-1)*INDIRECT("'"&amp;$H$3&amp;"'!T$99"))),0)</f>
        <v>0</v>
      </c>
      <c r="U404" s="836"/>
      <c r="V404" s="836"/>
      <c r="W404" s="836">
        <f ca="1">IFERROR(IF(W397=0,0,(2*INDIRECT("'"&amp;$H$3&amp;"'!W$98"))+((MAX(W402, 1)-1)*INDIRECT("'"&amp;$H$3&amp;"'!W$99"))),0)</f>
        <v>0</v>
      </c>
      <c r="X404" s="1469"/>
      <c r="Y404" s="36"/>
      <c r="Z404" s="36"/>
      <c r="AA404" s="36"/>
      <c r="AB404" s="36"/>
      <c r="AC404" s="36"/>
      <c r="AD404" s="36"/>
      <c r="AE404" s="36"/>
      <c r="AF404" s="36"/>
      <c r="AG404" s="36"/>
      <c r="AH404" s="36"/>
      <c r="AI404" s="36"/>
      <c r="AJ404" s="36"/>
      <c r="AK404" s="36"/>
      <c r="AL404" s="36"/>
      <c r="AM404" s="36"/>
      <c r="AN404" s="36"/>
    </row>
    <row r="405" spans="6:40" ht="15" customHeight="1" outlineLevel="1">
      <c r="F405" s="52"/>
      <c r="G405" s="51" t="s">
        <v>203</v>
      </c>
      <c r="H405" s="836"/>
      <c r="I405" s="836"/>
      <c r="J405" s="836"/>
      <c r="K405" s="836">
        <f ca="1">IFERROR((ROUNDUP(K402,1)*((1/60)*(INDIRECT("'"&amp;$H$3&amp;"'!K297")+INDIRECT("'"&amp;$H$3&amp;"'!$H$19")*(INDIRECT("'"&amp;$H$3&amp;"'!K298")+(INDIRECT("'"&amp;$H$3&amp;"'!K299")*('1_Outputs'!K$52/INDIRECT("'"&amp;$H$3&amp;"'!K$261")/INDIRECT("'"&amp;$H$3&amp;"'!$H$19")))))))+((2*INDIRECT("'"&amp;$H$3&amp;"'!K$98"))/INDIRECT("'"&amp;$H$3&amp;"'!K301"))+(((MAX(K402,1)-1)*INDIRECT("'"&amp;$H$3&amp;"'!K$99"))/INDIRECT("'"&amp;$H$3&amp;"'!K300")),0)</f>
        <v>0</v>
      </c>
      <c r="L405" s="836"/>
      <c r="M405" s="836"/>
      <c r="N405" s="836">
        <f ca="1">IFERROR((ROUNDUP(N402,1)*((1/60)*(INDIRECT("'"&amp;$H$3&amp;"'!N297")+INDIRECT("'"&amp;$H$3&amp;"'!$H$19")*(INDIRECT("'"&amp;$H$3&amp;"'!N298")+(INDIRECT("'"&amp;$H$3&amp;"'!N299")*('1_Outputs'!N$52/INDIRECT("'"&amp;$H$3&amp;"'!N$261")/INDIRECT("'"&amp;$H$3&amp;"'!$H$19")))))))+((2*INDIRECT("'"&amp;$H$3&amp;"'!N$98"))/INDIRECT("'"&amp;$H$3&amp;"'!N301"))+(((MAX(N402,1)-1)*INDIRECT("'"&amp;$H$3&amp;"'!N$99"))/INDIRECT("'"&amp;$H$3&amp;"'!N300")),0)</f>
        <v>0</v>
      </c>
      <c r="O405" s="836"/>
      <c r="P405" s="836"/>
      <c r="Q405" s="836">
        <f ca="1">IFERROR((ROUNDUP(Q402,1)*((1/60)*(INDIRECT("'"&amp;$H$3&amp;"'!Q297")+INDIRECT("'"&amp;$H$3&amp;"'!$H$19")*(INDIRECT("'"&amp;$H$3&amp;"'!Q298")+(INDIRECT("'"&amp;$H$3&amp;"'!Q299")*('1_Outputs'!Q$52/INDIRECT("'"&amp;$H$3&amp;"'!Q$261")/INDIRECT("'"&amp;$H$3&amp;"'!$H$19")))))))+((2*INDIRECT("'"&amp;$H$3&amp;"'!Q$98"))/INDIRECT("'"&amp;$H$3&amp;"'!Q301"))+(((MAX(Q402,1)-1)*INDIRECT("'"&amp;$H$3&amp;"'!Q$99"))/INDIRECT("'"&amp;$H$3&amp;"'!Q300")),0)</f>
        <v>0</v>
      </c>
      <c r="R405" s="836"/>
      <c r="S405" s="836"/>
      <c r="T405" s="836">
        <f ca="1">IFERROR((ROUNDUP(T402,1)*((1/60)*(INDIRECT("'"&amp;$H$3&amp;"'!T297")+INDIRECT("'"&amp;$H$3&amp;"'!$H$19")*(INDIRECT("'"&amp;$H$3&amp;"'!T298")+(INDIRECT("'"&amp;$H$3&amp;"'!T299")*('1_Outputs'!T$52/INDIRECT("'"&amp;$H$3&amp;"'!T$261")/INDIRECT("'"&amp;$H$3&amp;"'!$H$19")))))))+((2*INDIRECT("'"&amp;$H$3&amp;"'!T$98"))/INDIRECT("'"&amp;$H$3&amp;"'!T301"))+(((MAX(T402,1)-1)*INDIRECT("'"&amp;$H$3&amp;"'!T$99"))/INDIRECT("'"&amp;$H$3&amp;"'!T300")),0)</f>
        <v>0</v>
      </c>
      <c r="U405" s="836"/>
      <c r="V405" s="836"/>
      <c r="W405" s="836">
        <f ca="1">IFERROR((ROUNDUP(W402,1)*((1/60)*(INDIRECT("'"&amp;$H$3&amp;"'!W297")+INDIRECT("'"&amp;$H$3&amp;"'!$H$19")*(INDIRECT("'"&amp;$H$3&amp;"'!W298")+(INDIRECT("'"&amp;$H$3&amp;"'!W299")*('1_Outputs'!W$52/INDIRECT("'"&amp;$H$3&amp;"'!W$261")/INDIRECT("'"&amp;$H$3&amp;"'!$H$19")))))))+((2*INDIRECT("'"&amp;$H$3&amp;"'!W$98"))/INDIRECT("'"&amp;$H$3&amp;"'!W301"))+(((MAX(W402,1)-1)*INDIRECT("'"&amp;$H$3&amp;"'!W$99"))/INDIRECT("'"&amp;$H$3&amp;"'!W300")),0)</f>
        <v>0</v>
      </c>
      <c r="X405" s="1465"/>
      <c r="Y405" s="36"/>
      <c r="Z405" s="36"/>
      <c r="AA405" s="36"/>
      <c r="AB405" s="36"/>
      <c r="AC405" s="36"/>
      <c r="AD405" s="36"/>
      <c r="AE405" s="36"/>
      <c r="AF405" s="36"/>
      <c r="AG405" s="36"/>
      <c r="AH405" s="36"/>
      <c r="AI405" s="36"/>
      <c r="AJ405" s="36"/>
      <c r="AK405" s="36"/>
      <c r="AL405" s="36"/>
      <c r="AM405" s="36"/>
      <c r="AN405" s="36"/>
    </row>
    <row r="406" spans="6:40" ht="15" customHeight="1" outlineLevel="1">
      <c r="F406" s="52"/>
      <c r="G406" s="51" t="s">
        <v>204</v>
      </c>
      <c r="H406" s="836"/>
      <c r="I406" s="836"/>
      <c r="J406" s="836"/>
      <c r="K406" s="836">
        <f ca="1">IFERROR((INDIRECT("'"&amp;$H$3&amp;"'!$H$10")*INDIRECT("'"&amp;$H$3&amp;"'!$H$9")*INDIRECT("'"&amp;$H$3&amp;"'!K288"))/K405,0)</f>
        <v>0</v>
      </c>
      <c r="L406" s="836"/>
      <c r="M406" s="836"/>
      <c r="N406" s="836">
        <f ca="1">IFERROR((INDIRECT("'"&amp;$H$3&amp;"'!$H$10")*INDIRECT("'"&amp;$H$3&amp;"'!$H$9")*INDIRECT("'"&amp;$H$3&amp;"'!N288"))/N405,0)</f>
        <v>0</v>
      </c>
      <c r="O406" s="836"/>
      <c r="P406" s="836"/>
      <c r="Q406" s="836">
        <f ca="1">IFERROR((INDIRECT("'"&amp;$H$3&amp;"'!$H$10")*INDIRECT("'"&amp;$H$3&amp;"'!$H$9")*INDIRECT("'"&amp;$H$3&amp;"'!Q288"))/Q405,0)</f>
        <v>0</v>
      </c>
      <c r="R406" s="836"/>
      <c r="S406" s="836"/>
      <c r="T406" s="836">
        <f ca="1">IFERROR((INDIRECT("'"&amp;$H$3&amp;"'!$H$10")*INDIRECT("'"&amp;$H$3&amp;"'!$H$9")*INDIRECT("'"&amp;$H$3&amp;"'!T288"))/T405,0)</f>
        <v>0</v>
      </c>
      <c r="U406" s="836"/>
      <c r="V406" s="836"/>
      <c r="W406" s="836">
        <f ca="1">IFERROR((INDIRECT("'"&amp;$H$3&amp;"'!$H$10")*INDIRECT("'"&amp;$H$3&amp;"'!$H$9")*INDIRECT("'"&amp;$H$3&amp;"'!W288"))/W405,0)</f>
        <v>0</v>
      </c>
      <c r="X406" s="1465"/>
      <c r="Y406" s="36"/>
      <c r="Z406" s="36"/>
      <c r="AA406" s="36"/>
      <c r="AB406" s="36"/>
      <c r="AC406" s="36"/>
      <c r="AD406" s="36"/>
      <c r="AE406" s="36"/>
      <c r="AF406" s="36"/>
      <c r="AG406" s="36"/>
      <c r="AH406" s="36"/>
      <c r="AI406" s="36"/>
      <c r="AJ406" s="36"/>
      <c r="AK406" s="242"/>
      <c r="AL406" s="36"/>
      <c r="AM406" s="36"/>
      <c r="AN406" s="36"/>
    </row>
    <row r="407" spans="6:40" ht="15" customHeight="1" outlineLevel="1">
      <c r="F407" s="52"/>
      <c r="G407" s="1613" t="s">
        <v>134</v>
      </c>
      <c r="H407" s="842"/>
      <c r="I407" s="842"/>
      <c r="J407" s="842"/>
      <c r="K407" s="842"/>
      <c r="L407" s="842"/>
      <c r="M407" s="842"/>
      <c r="N407" s="842"/>
      <c r="O407" s="842"/>
      <c r="P407" s="842"/>
      <c r="Q407" s="842"/>
      <c r="R407" s="1650"/>
      <c r="S407" s="1650"/>
      <c r="T407" s="842"/>
      <c r="U407" s="1650"/>
      <c r="V407" s="1650"/>
      <c r="W407" s="842"/>
      <c r="X407" s="1470"/>
      <c r="Y407" s="36"/>
      <c r="Z407" s="36"/>
      <c r="AA407" s="36"/>
      <c r="AB407" s="36"/>
      <c r="AC407" s="36"/>
      <c r="AD407" s="36"/>
      <c r="AE407" s="36"/>
      <c r="AF407" s="36"/>
      <c r="AG407" s="36"/>
      <c r="AH407" s="36"/>
      <c r="AI407" s="36"/>
      <c r="AJ407" s="36"/>
      <c r="AK407" s="242"/>
      <c r="AL407" s="36"/>
      <c r="AM407" s="36"/>
      <c r="AN407" s="36"/>
    </row>
    <row r="408" spans="6:40" ht="15" customHeight="1" outlineLevel="1">
      <c r="F408" s="52"/>
      <c r="G408" s="51" t="s">
        <v>206</v>
      </c>
      <c r="H408" s="836"/>
      <c r="I408" s="836"/>
      <c r="J408" s="836"/>
      <c r="K408" s="836">
        <f ca="1">IFERROR(K397*INDIRECT("'"&amp;$H$3&amp;"'!K$261"),0)</f>
        <v>0</v>
      </c>
      <c r="L408" s="836"/>
      <c r="M408" s="836"/>
      <c r="N408" s="836">
        <f ca="1">IFERROR(N397*INDIRECT("'"&amp;$H$3&amp;"'!N$261"),0)</f>
        <v>0</v>
      </c>
      <c r="O408" s="836"/>
      <c r="P408" s="836"/>
      <c r="Q408" s="836">
        <f ca="1">IFERROR(Q397*INDIRECT("'"&amp;$H$3&amp;"'!Q$261"),0)</f>
        <v>0</v>
      </c>
      <c r="R408" s="836"/>
      <c r="S408" s="836"/>
      <c r="T408" s="836">
        <f ca="1">IFERROR(T397*INDIRECT("'"&amp;$H$3&amp;"'!T$261"),0)</f>
        <v>0</v>
      </c>
      <c r="U408" s="836"/>
      <c r="V408" s="836"/>
      <c r="W408" s="836">
        <f ca="1">IFERROR(W397*INDIRECT("'"&amp;$H$3&amp;"'!W$261"),0)</f>
        <v>0</v>
      </c>
      <c r="X408" s="1469"/>
      <c r="Y408" s="36"/>
      <c r="Z408" s="36"/>
      <c r="AA408" s="36"/>
      <c r="AB408" s="36" t="s">
        <v>192</v>
      </c>
      <c r="AC408" s="36"/>
      <c r="AD408" s="36" t="s">
        <v>193</v>
      </c>
      <c r="AE408" s="36"/>
      <c r="AF408" s="36"/>
      <c r="AG408" s="36"/>
      <c r="AH408" s="36"/>
      <c r="AI408" s="36"/>
      <c r="AJ408" s="36"/>
      <c r="AK408" s="36"/>
      <c r="AL408" s="36"/>
      <c r="AM408" s="36"/>
      <c r="AN408" s="36"/>
    </row>
    <row r="409" spans="6:40" ht="15" customHeight="1" outlineLevel="1">
      <c r="F409" s="52"/>
      <c r="G409" s="51" t="s">
        <v>87</v>
      </c>
      <c r="H409" s="836"/>
      <c r="I409" s="836"/>
      <c r="J409" s="836"/>
      <c r="K409" s="836">
        <f ca="1">IFERROR(IF(K397=0,0,2*INDIRECT("'"&amp;$H$3&amp;"'!K$98")),0)</f>
        <v>0</v>
      </c>
      <c r="L409" s="836"/>
      <c r="M409" s="836"/>
      <c r="N409" s="836">
        <f ca="1">IFERROR(IF(N397=0,0,2*INDIRECT("'"&amp;$H$3&amp;"'!N$98")),0)</f>
        <v>0</v>
      </c>
      <c r="O409" s="836"/>
      <c r="P409" s="836"/>
      <c r="Q409" s="836">
        <f ca="1">IFERROR(IF(Q397=0,0,2*INDIRECT("'"&amp;$H$3&amp;"'!Q$98")),0)</f>
        <v>0</v>
      </c>
      <c r="R409" s="836"/>
      <c r="S409" s="836"/>
      <c r="T409" s="836">
        <f ca="1">IFERROR(IF(T397=0,0,2*INDIRECT("'"&amp;$H$3&amp;"'!T$98")),0)</f>
        <v>0</v>
      </c>
      <c r="U409" s="836"/>
      <c r="V409" s="836"/>
      <c r="W409" s="836">
        <f ca="1">IFERROR(IF(W397=0,0,2*INDIRECT("'"&amp;$H$3&amp;"'!W$98")),0)</f>
        <v>0</v>
      </c>
      <c r="X409" s="1469"/>
      <c r="Y409" s="36"/>
      <c r="Z409" s="36"/>
      <c r="AA409" s="36"/>
      <c r="AB409" s="36" t="s">
        <v>194</v>
      </c>
      <c r="AC409" s="36"/>
      <c r="AD409" s="36" t="s">
        <v>195</v>
      </c>
      <c r="AE409" s="36"/>
      <c r="AF409" s="36"/>
      <c r="AG409" s="36"/>
      <c r="AH409" s="36"/>
      <c r="AI409" s="36"/>
      <c r="AJ409" s="36"/>
      <c r="AK409" s="36"/>
      <c r="AL409" s="36"/>
      <c r="AM409" s="36"/>
      <c r="AN409" s="36"/>
    </row>
    <row r="410" spans="6:40" ht="15" customHeight="1" outlineLevel="1">
      <c r="F410" s="52"/>
      <c r="G410" s="51" t="s">
        <v>204</v>
      </c>
      <c r="H410" s="837"/>
      <c r="I410" s="837"/>
      <c r="J410" s="837"/>
      <c r="K410" s="837">
        <f ca="1">IFERROR((INDIRECT("'"&amp;$H$3&amp;"'!$H$10")*INDIRECT("'"&amp;$H$3&amp;"'!$H$9")*INDIRECT("'"&amp;$H$3&amp;"'!K288"))/((K409/INDIRECT("'"&amp;$H$3&amp;"'!K301"))+((1/60)*(INDIRECT("'"&amp;$H$3&amp;"'!K297")+INDIRECT("'"&amp;$H$3&amp;"'!$H$19")*(INDIRECT("'"&amp;$H$3&amp;"'!K298")+(INDIRECT("'"&amp;$H$3&amp;"'!K299")*('1_Outputs'!K$52/INDIRECT("'"&amp;$H$3&amp;"'!K$261")/INDIRECT("'"&amp;$H$3&amp;"'!$H$19"))))))),0)</f>
        <v>0</v>
      </c>
      <c r="L410" s="837"/>
      <c r="M410" s="837"/>
      <c r="N410" s="837">
        <f ca="1">IFERROR((INDIRECT("'"&amp;$H$3&amp;"'!$H$10")*INDIRECT("'"&amp;$H$3&amp;"'!$H$9")*INDIRECT("'"&amp;$H$3&amp;"'!N288"))/((N409/INDIRECT("'"&amp;$H$3&amp;"'!N301"))+((1/60)*(INDIRECT("'"&amp;$H$3&amp;"'!N297")+INDIRECT("'"&amp;$H$3&amp;"'!$H$19")*(INDIRECT("'"&amp;$H$3&amp;"'!N298")+(INDIRECT("'"&amp;$H$3&amp;"'!N299")*('1_Outputs'!N$52/INDIRECT("'"&amp;$H$3&amp;"'!N$261")/INDIRECT("'"&amp;$H$3&amp;"'!$H$19"))))))),0)</f>
        <v>0</v>
      </c>
      <c r="O410" s="837"/>
      <c r="P410" s="837"/>
      <c r="Q410" s="837">
        <f ca="1">IFERROR((INDIRECT("'"&amp;$H$3&amp;"'!$H$10")*INDIRECT("'"&amp;$H$3&amp;"'!$H$9")*INDIRECT("'"&amp;$H$3&amp;"'!Q288"))/((Q409/INDIRECT("'"&amp;$H$3&amp;"'!Q301"))+((1/60)*(INDIRECT("'"&amp;$H$3&amp;"'!Q297")+INDIRECT("'"&amp;$H$3&amp;"'!$H$19")*(INDIRECT("'"&amp;$H$3&amp;"'!Q298")+(INDIRECT("'"&amp;$H$3&amp;"'!Q299")*('1_Outputs'!Q$52/INDIRECT("'"&amp;$H$3&amp;"'!Q$261")/INDIRECT("'"&amp;$H$3&amp;"'!$H$19"))))))),0)</f>
        <v>0</v>
      </c>
      <c r="R410" s="837"/>
      <c r="S410" s="837"/>
      <c r="T410" s="837">
        <f ca="1">IFERROR((INDIRECT("'"&amp;$H$3&amp;"'!$H$10")*INDIRECT("'"&amp;$H$3&amp;"'!$H$9")*INDIRECT("'"&amp;$H$3&amp;"'!T288"))/((T409/INDIRECT("'"&amp;$H$3&amp;"'!T301"))+((1/60)*(INDIRECT("'"&amp;$H$3&amp;"'!T297")+INDIRECT("'"&amp;$H$3&amp;"'!$H$19")*(INDIRECT("'"&amp;$H$3&amp;"'!T298")+(INDIRECT("'"&amp;$H$3&amp;"'!T299")*('1_Outputs'!T$52/INDIRECT("'"&amp;$H$3&amp;"'!T$261")/INDIRECT("'"&amp;$H$3&amp;"'!$H$19"))))))),0)</f>
        <v>0</v>
      </c>
      <c r="U410" s="837"/>
      <c r="V410" s="837"/>
      <c r="W410" s="837">
        <f ca="1">IFERROR((INDIRECT("'"&amp;$H$3&amp;"'!$H$10")*INDIRECT("'"&amp;$H$3&amp;"'!$H$9")*INDIRECT("'"&amp;$H$3&amp;"'!W288"))/((W409/INDIRECT("'"&amp;$H$3&amp;"'!W301"))+((1/60)*(INDIRECT("'"&amp;$H$3&amp;"'!W297")+INDIRECT("'"&amp;$H$3&amp;"'!$H$19")*(INDIRECT("'"&amp;$H$3&amp;"'!W298")+(INDIRECT("'"&amp;$H$3&amp;"'!W299")*('1_Outputs'!W$52/INDIRECT("'"&amp;$H$3&amp;"'!W$261")/INDIRECT("'"&amp;$H$3&amp;"'!$H$19"))))))),0)</f>
        <v>0</v>
      </c>
      <c r="X410" s="1468"/>
      <c r="Y410" s="36"/>
      <c r="Z410" s="36"/>
      <c r="AA410" s="36"/>
      <c r="AB410" s="36" t="s">
        <v>196</v>
      </c>
      <c r="AC410" s="36"/>
      <c r="AD410" s="36" t="s">
        <v>197</v>
      </c>
      <c r="AE410" s="36"/>
      <c r="AF410" s="36"/>
      <c r="AG410" s="36"/>
      <c r="AH410" s="36"/>
      <c r="AI410" s="36"/>
      <c r="AJ410" s="36"/>
      <c r="AK410" s="36"/>
      <c r="AL410" s="36"/>
      <c r="AM410" s="36"/>
      <c r="AN410" s="36"/>
    </row>
    <row r="411" spans="6:40" ht="48" customHeight="1">
      <c r="F411" s="1678" t="s">
        <v>214</v>
      </c>
      <c r="G411" s="1679"/>
      <c r="H411" s="1684"/>
      <c r="I411" s="1684"/>
      <c r="J411" s="1684"/>
      <c r="K411" s="1509" t="str">
        <f ca="1">IF($H$9&gt;=2,INDIRECT("'"&amp;$H$3&amp;"'!J$130"),"")</f>
        <v>CMS  to  Regional WH</v>
      </c>
      <c r="L411" s="1509" t="str">
        <f t="shared" ref="L411:V411" ca="1" si="23">IF($H$9&gt;=1,"Tier 1","")</f>
        <v>Tier 1</v>
      </c>
      <c r="M411" s="1509" t="str">
        <f t="shared" ca="1" si="23"/>
        <v>Tier 1</v>
      </c>
      <c r="N411" s="1509" t="str">
        <f ca="1">IF($H$9&gt;=3,INDIRECT("'"&amp;$H$3&amp;"'!M$130"),"")</f>
        <v>Regional WH  to  Health Facility</v>
      </c>
      <c r="O411" s="1509" t="str">
        <f t="shared" ca="1" si="23"/>
        <v>Tier 1</v>
      </c>
      <c r="P411" s="1509" t="str">
        <f t="shared" ca="1" si="23"/>
        <v>Tier 1</v>
      </c>
      <c r="Q411" s="1510" t="str">
        <f ca="1">IF($H$9&gt;=4,INDIRECT("'"&amp;$H$3&amp;"'!P$130"),"")</f>
        <v/>
      </c>
      <c r="R411" s="1511" t="str">
        <f t="shared" ca="1" si="23"/>
        <v>Tier 1</v>
      </c>
      <c r="S411" s="1511" t="str">
        <f t="shared" ca="1" si="23"/>
        <v>Tier 1</v>
      </c>
      <c r="T411" s="1510" t="str">
        <f ca="1">IF($H$9&gt;=5,INDIRECT("'"&amp;$H$3&amp;"'!S$130"),"")</f>
        <v/>
      </c>
      <c r="U411" s="1512" t="str">
        <f t="shared" ca="1" si="23"/>
        <v>Tier 1</v>
      </c>
      <c r="V411" s="1512" t="str">
        <f t="shared" ca="1" si="23"/>
        <v>Tier 1</v>
      </c>
      <c r="W411" s="1510" t="str">
        <f ca="1">IF($H$9&gt;=6,INDIRECT("'"&amp;$H$3&amp;"'!V$130"),"")</f>
        <v/>
      </c>
      <c r="X411" s="1474"/>
      <c r="Y411" s="36"/>
      <c r="Z411" s="36"/>
      <c r="AA411" s="36"/>
      <c r="AB411" s="36"/>
      <c r="AC411" s="36"/>
      <c r="AD411" s="36"/>
      <c r="AE411" s="36"/>
      <c r="AF411" s="36"/>
      <c r="AG411" s="36"/>
      <c r="AH411" s="36"/>
      <c r="AI411" s="36"/>
      <c r="AJ411" s="36"/>
      <c r="AK411" s="36"/>
      <c r="AL411" s="36"/>
      <c r="AM411" s="36"/>
      <c r="AN411" s="36"/>
    </row>
    <row r="412" spans="6:40" ht="15" customHeight="1" outlineLevel="1">
      <c r="F412" s="77" t="s">
        <v>149</v>
      </c>
      <c r="G412" s="77"/>
      <c r="H412" s="877"/>
      <c r="I412" s="877"/>
      <c r="J412" s="877"/>
      <c r="K412" s="877"/>
      <c r="L412" s="877"/>
      <c r="M412" s="877"/>
      <c r="N412" s="877"/>
      <c r="O412" s="878"/>
      <c r="P412" s="878"/>
      <c r="Q412" s="879"/>
      <c r="R412" s="835"/>
      <c r="S412" s="835"/>
      <c r="T412" s="879"/>
      <c r="U412" s="835"/>
      <c r="V412" s="835"/>
      <c r="W412" s="879"/>
      <c r="X412" s="1479"/>
      <c r="Y412" s="36"/>
      <c r="Z412" s="36"/>
      <c r="AA412" s="36"/>
      <c r="AB412" s="36"/>
      <c r="AC412" s="36"/>
      <c r="AD412" s="36"/>
      <c r="AE412" s="36"/>
      <c r="AF412" s="36"/>
      <c r="AG412" s="36"/>
      <c r="AH412" s="36"/>
      <c r="AI412" s="36"/>
      <c r="AJ412" s="36"/>
      <c r="AK412" s="242"/>
      <c r="AL412" s="36"/>
      <c r="AM412" s="36"/>
      <c r="AN412" s="36"/>
    </row>
    <row r="413" spans="6:40" ht="15" customHeight="1" outlineLevel="1">
      <c r="G413" s="6" t="s">
        <v>146</v>
      </c>
      <c r="H413" s="837"/>
      <c r="I413" s="837"/>
      <c r="J413" s="837"/>
      <c r="K413" s="837">
        <f ca="1">IFERROR(IF(COUNTIF(INDIRECT("'"&amp;$H$3&amp;"'!K304"),"Public Transport*")=1,IF(INDIRECT("'"&amp;$H$3&amp;"'!K312")="Route-based",K420*INDIRECT("'"&amp;$H$3&amp;"'!K$261"),IF(INDIRECT("'"&amp;$H$3&amp;"'!K312")="Point-to-point",K423*INDIRECT("'"&amp;$H$3&amp;"'!K$261"),0)),0),0)</f>
        <v>0</v>
      </c>
      <c r="L413" s="837"/>
      <c r="M413" s="837"/>
      <c r="N413" s="837">
        <f ca="1">IFERROR(IF(COUNTIF(INDIRECT("'"&amp;$H$3&amp;"'!N304"),"Public Transport*")=1,IF(INDIRECT("'"&amp;$H$3&amp;"'!N312")="Route-based",N420*INDIRECT("'"&amp;$H$3&amp;"'!N$261"),IF(INDIRECT("'"&amp;$H$3&amp;"'!N312")="Point-to-point",N423*INDIRECT("'"&amp;$H$3&amp;"'!N$261"),0)),0),0)</f>
        <v>0</v>
      </c>
      <c r="O413" s="837"/>
      <c r="P413" s="837"/>
      <c r="Q413" s="837">
        <f ca="1">IFERROR(IF(COUNTIF(INDIRECT("'"&amp;$H$3&amp;"'!Q304"),"Public Transport*")=1,IF(INDIRECT("'"&amp;$H$3&amp;"'!Q312")="Route-based",Q420*INDIRECT("'"&amp;$H$3&amp;"'!Q$261"),IF(INDIRECT("'"&amp;$H$3&amp;"'!Q312")="Point-to-point",Q423*INDIRECT("'"&amp;$H$3&amp;"'!Q$261"),0)),0),0)</f>
        <v>0</v>
      </c>
      <c r="R413" s="837"/>
      <c r="S413" s="837"/>
      <c r="T413" s="837">
        <f ca="1">IFERROR(IF(COUNTIF(INDIRECT("'"&amp;$H$3&amp;"'!T304"),"Public Transport*")=1,IF(INDIRECT("'"&amp;$H$3&amp;"'!T312")="Route-based",T420*INDIRECT("'"&amp;$H$3&amp;"'!T$261"),IF(INDIRECT("'"&amp;$H$3&amp;"'!T312")="Point-to-point",T423*INDIRECT("'"&amp;$H$3&amp;"'!T$261"),0)),0),0)</f>
        <v>0</v>
      </c>
      <c r="U413" s="837"/>
      <c r="V413" s="837"/>
      <c r="W413" s="837">
        <f ca="1">IFERROR(IF(COUNTIF(INDIRECT("'"&amp;$H$3&amp;"'!W304"),"Public Transport*")=1,IF(INDIRECT("'"&amp;$H$3&amp;"'!W312")="Route-based",W420*INDIRECT("'"&amp;$H$3&amp;"'!W$261"),IF(INDIRECT("'"&amp;$H$3&amp;"'!W312")="Point-to-point",W423*INDIRECT("'"&amp;$H$3&amp;"'!W$261"),0)),0),0)</f>
        <v>0</v>
      </c>
      <c r="X413" s="1468"/>
      <c r="Y413" s="36"/>
      <c r="Z413" s="36"/>
      <c r="AA413" s="36"/>
      <c r="AB413" s="36"/>
      <c r="AC413" s="36"/>
      <c r="AD413" s="36"/>
      <c r="AE413" s="36"/>
      <c r="AF413" s="36"/>
      <c r="AG413" s="36"/>
      <c r="AH413" s="36"/>
      <c r="AI413" s="36"/>
      <c r="AJ413" s="36"/>
      <c r="AK413" s="242"/>
      <c r="AL413" s="36"/>
      <c r="AM413" s="36"/>
      <c r="AN413" s="36"/>
    </row>
    <row r="414" spans="6:40" ht="15" customHeight="1" outlineLevel="1">
      <c r="G414" s="6" t="s">
        <v>147</v>
      </c>
      <c r="H414" s="837"/>
      <c r="I414" s="837"/>
      <c r="J414" s="837"/>
      <c r="K414" s="837">
        <f ca="1">IFERROR(IF(INDIRECT("'"&amp;$H$3&amp;"'!K312")="Route-based",K421*INDIRECT("'"&amp;$H$3&amp;"'!K$261"),IF(INDIRECT("'"&amp;$H$3&amp;"'!K312")="Point-to-point",K424*INDIRECT("'"&amp;$H$3&amp;"'!K$261"),0)),0)</f>
        <v>0</v>
      </c>
      <c r="L414" s="837"/>
      <c r="M414" s="837"/>
      <c r="N414" s="837">
        <f ca="1">IFERROR(IF(INDIRECT("'"&amp;$H$3&amp;"'!N312")="Route-based",N421*INDIRECT("'"&amp;$H$3&amp;"'!N$261"),IF(INDIRECT("'"&amp;$H$3&amp;"'!N312")="Point-to-point",N424*INDIRECT("'"&amp;$H$3&amp;"'!N$261"),0)),0)</f>
        <v>0</v>
      </c>
      <c r="O414" s="837"/>
      <c r="P414" s="837"/>
      <c r="Q414" s="837">
        <f ca="1">IFERROR(IF(INDIRECT("'"&amp;$H$3&amp;"'!Q312")="Route-based",Q421*INDIRECT("'"&amp;$H$3&amp;"'!Q$261"),IF(INDIRECT("'"&amp;$H$3&amp;"'!Q312")="Point-to-point",Q424*INDIRECT("'"&amp;$H$3&amp;"'!Q$261"),0)),0)</f>
        <v>0</v>
      </c>
      <c r="R414" s="837"/>
      <c r="S414" s="837"/>
      <c r="T414" s="837">
        <f ca="1">IFERROR(IF(INDIRECT("'"&amp;$H$3&amp;"'!T312")="Route-based",T421*INDIRECT("'"&amp;$H$3&amp;"'!T$261"),IF(INDIRECT("'"&amp;$H$3&amp;"'!T312")="Point-to-point",T424*INDIRECT("'"&amp;$H$3&amp;"'!T$261"),0)),0)</f>
        <v>0</v>
      </c>
      <c r="U414" s="837"/>
      <c r="V414" s="837"/>
      <c r="W414" s="837">
        <f ca="1">IFERROR(IF(INDIRECT("'"&amp;$H$3&amp;"'!W312")="Route-based",W421*INDIRECT("'"&amp;$H$3&amp;"'!W$261"),IF(INDIRECT("'"&amp;$H$3&amp;"'!W312")="Point-to-point",W424*INDIRECT("'"&amp;$H$3&amp;"'!W$261"),0)),0)</f>
        <v>0</v>
      </c>
      <c r="X414" s="1468"/>
      <c r="Y414" s="36"/>
      <c r="Z414" s="36"/>
      <c r="AA414" s="36"/>
      <c r="AB414" s="36"/>
      <c r="AC414" s="36"/>
      <c r="AD414" s="36"/>
      <c r="AE414" s="36"/>
      <c r="AF414" s="36"/>
      <c r="AG414" s="36"/>
      <c r="AH414" s="36"/>
      <c r="AI414" s="36"/>
      <c r="AJ414" s="36"/>
      <c r="AK414" s="242"/>
      <c r="AL414" s="36"/>
      <c r="AM414" s="36"/>
      <c r="AN414" s="36"/>
    </row>
    <row r="415" spans="6:40" ht="15" customHeight="1" outlineLevel="1">
      <c r="G415" s="6" t="s">
        <v>142</v>
      </c>
      <c r="H415" s="841"/>
      <c r="I415" s="841"/>
      <c r="J415" s="841"/>
      <c r="K415" s="841">
        <f ca="1">IFERROR(IF(COUNTIF(INDIRECT("'"&amp;$H$3&amp;"'!K304"),"Public Transport*")&gt;0,ROUND(INDIRECT("'"&amp;$H$3&amp;"'!K$95")*INDIRECT("'"&amp;$H$3&amp;"'!K303"),0),0),0)</f>
        <v>0</v>
      </c>
      <c r="L415" s="841"/>
      <c r="M415" s="841"/>
      <c r="N415" s="841">
        <f ca="1">IFERROR(IF(COUNTIF(INDIRECT("'"&amp;$H$3&amp;"'!N304"),"Public Transport*")&gt;0,ROUND(INDIRECT("'"&amp;$H$3&amp;"'!N$95")*INDIRECT("'"&amp;$H$3&amp;"'!N303"),0),0),0)</f>
        <v>0</v>
      </c>
      <c r="O415" s="841"/>
      <c r="P415" s="841"/>
      <c r="Q415" s="841">
        <f ca="1">IFERROR(IF(COUNTIF(INDIRECT("'"&amp;$H$3&amp;"'!Q304"),"Public Transport*")&gt;0,ROUND(INDIRECT("'"&amp;$H$3&amp;"'!Q$95")*INDIRECT("'"&amp;$H$3&amp;"'!Q303"),0),0),0)</f>
        <v>0</v>
      </c>
      <c r="R415" s="841"/>
      <c r="S415" s="841"/>
      <c r="T415" s="841">
        <f ca="1">IFERROR(IF(COUNTIF(INDIRECT("'"&amp;$H$3&amp;"'!T304"),"Public Transport*")&gt;0,ROUND(INDIRECT("'"&amp;$H$3&amp;"'!T$95")*INDIRECT("'"&amp;$H$3&amp;"'!T303"),0),0),0)</f>
        <v>0</v>
      </c>
      <c r="U415" s="841"/>
      <c r="V415" s="841"/>
      <c r="W415" s="841">
        <f ca="1">IFERROR(IF(COUNTIF(INDIRECT("'"&amp;$H$3&amp;"'!W304"),"Public Transport*")&gt;0,ROUND(INDIRECT("'"&amp;$H$3&amp;"'!W$95")*INDIRECT("'"&amp;$H$3&amp;"'!W303"),0),0),0)</f>
        <v>0</v>
      </c>
      <c r="X415" s="1466"/>
      <c r="Y415" s="36"/>
      <c r="Z415" s="36"/>
      <c r="AA415" s="36"/>
      <c r="AB415" s="36"/>
      <c r="AC415" s="36"/>
      <c r="AD415" s="36"/>
      <c r="AE415" s="36"/>
      <c r="AF415" s="36"/>
      <c r="AG415" s="36"/>
      <c r="AH415" s="36"/>
      <c r="AI415" s="36"/>
      <c r="AJ415" s="36"/>
      <c r="AK415" s="36"/>
      <c r="AL415" s="36"/>
      <c r="AM415" s="36"/>
      <c r="AN415" s="36"/>
    </row>
    <row r="416" spans="6:40" ht="15" customHeight="1" outlineLevel="1">
      <c r="G416" s="241" t="s">
        <v>150</v>
      </c>
      <c r="H416" s="842"/>
      <c r="I416" s="842"/>
      <c r="J416" s="842"/>
      <c r="K416" s="842"/>
      <c r="L416" s="842"/>
      <c r="M416" s="842"/>
      <c r="N416" s="842"/>
      <c r="O416" s="842"/>
      <c r="P416" s="842"/>
      <c r="Q416" s="842"/>
      <c r="R416" s="853"/>
      <c r="S416" s="853"/>
      <c r="T416" s="842"/>
      <c r="U416" s="853"/>
      <c r="V416" s="853"/>
      <c r="W416" s="842"/>
      <c r="X416" s="1470"/>
      <c r="Y416" s="36"/>
      <c r="Z416" s="36"/>
      <c r="AA416" s="36"/>
      <c r="AB416" s="36"/>
      <c r="AC416" s="36"/>
      <c r="AD416" s="36"/>
      <c r="AE416" s="36"/>
      <c r="AF416" s="36"/>
      <c r="AG416" s="36"/>
      <c r="AH416" s="36"/>
      <c r="AI416" s="36"/>
      <c r="AJ416" s="36"/>
      <c r="AK416" s="36"/>
      <c r="AL416" s="36"/>
      <c r="AM416" s="36"/>
      <c r="AN416" s="36"/>
    </row>
    <row r="417" spans="6:40" ht="15" customHeight="1" outlineLevel="1">
      <c r="G417" s="6" t="s">
        <v>140</v>
      </c>
      <c r="H417" s="836"/>
      <c r="I417" s="836"/>
      <c r="J417" s="836"/>
      <c r="K417" s="836">
        <f ca="1">IFERROR(ROUND(INDIRECT("'"&amp;$H$3&amp;"'!$H$10")/(((1/60)*(INDIRECT("'"&amp;$H$3&amp;"'!K317")+INDIRECT("'"&amp;$H$3&amp;"'!$H$19")*(INDIRECT("'"&amp;$H$3&amp;"'!K318")+(INDIRECT("'"&amp;$H$3&amp;"'!K319")*('1_Outputs'!K$52/INDIRECT("'"&amp;$H$3&amp;"'!K$261")/INDIRECT("'"&amp;$H$3&amp;"'!$H$19"))))))+INDEX(INDIRECT("'"&amp;$H$3&amp;"'!$H$43:$H$78"),MATCH(INDIRECT("'"&amp;$H$3&amp;"'!K304")&amp;"Average duration (hrs) per trip",INDIRECT("'"&amp;$H$3&amp;"'!$F$43:$F$78"),0))),1),0)</f>
        <v>0</v>
      </c>
      <c r="L417" s="836"/>
      <c r="M417" s="836"/>
      <c r="N417" s="836">
        <f ca="1">IFERROR(ROUND(INDIRECT("'"&amp;$H$3&amp;"'!$H$10")/(((1/60)*(INDIRECT("'"&amp;$H$3&amp;"'!N317")+INDIRECT("'"&amp;$H$3&amp;"'!$H$19")*(INDIRECT("'"&amp;$H$3&amp;"'!N318")+(INDIRECT("'"&amp;$H$3&amp;"'!N319")*('1_Outputs'!N$52/INDIRECT("'"&amp;$H$3&amp;"'!N$261")/INDIRECT("'"&amp;$H$3&amp;"'!$H$19"))))))+INDEX(INDIRECT("'"&amp;$H$3&amp;"'!$H$43:$H$78"),MATCH(INDIRECT("'"&amp;$H$3&amp;"'!N304")&amp;"Average duration (hrs) per trip",INDIRECT("'"&amp;$H$3&amp;"'!$F$43:$F$78"),0))),1),0)</f>
        <v>0</v>
      </c>
      <c r="O417" s="836"/>
      <c r="P417" s="836"/>
      <c r="Q417" s="836">
        <f ca="1">IFERROR(ROUND(INDIRECT("'"&amp;$H$3&amp;"'!$H$10")/(((1/60)*(INDIRECT("'"&amp;$H$3&amp;"'!Q317")+INDIRECT("'"&amp;$H$3&amp;"'!$H$19")*(INDIRECT("'"&amp;$H$3&amp;"'!Q318")+(INDIRECT("'"&amp;$H$3&amp;"'!Q319")*('1_Outputs'!Q$52/INDIRECT("'"&amp;$H$3&amp;"'!Q$261")/INDIRECT("'"&amp;$H$3&amp;"'!$H$19"))))))+INDEX(INDIRECT("'"&amp;$H$3&amp;"'!$H$43:$H$78"),MATCH(INDIRECT("'"&amp;$H$3&amp;"'!Q304")&amp;"Average duration (hrs) per trip",INDIRECT("'"&amp;$H$3&amp;"'!$F$43:$F$78"),0))),1),0)</f>
        <v>0</v>
      </c>
      <c r="R417" s="836"/>
      <c r="S417" s="836"/>
      <c r="T417" s="836">
        <f ca="1">IFERROR(ROUND(INDIRECT("'"&amp;$H$3&amp;"'!$H$10")/(((1/60)*(INDIRECT("'"&amp;$H$3&amp;"'!T317")+INDIRECT("'"&amp;$H$3&amp;"'!$H$19")*(INDIRECT("'"&amp;$H$3&amp;"'!T318")+(INDIRECT("'"&amp;$H$3&amp;"'!T319")*('1_Outputs'!T$52/INDIRECT("'"&amp;$H$3&amp;"'!T$261")/INDIRECT("'"&amp;$H$3&amp;"'!$H$19"))))))+INDEX(INDIRECT("'"&amp;$H$3&amp;"'!$H$43:$H$78"),MATCH(INDIRECT("'"&amp;$H$3&amp;"'!T304")&amp;"Average duration (hrs) per trip",INDIRECT("'"&amp;$H$3&amp;"'!$F$43:$F$78"),0))),1),0)</f>
        <v>0</v>
      </c>
      <c r="U417" s="836"/>
      <c r="V417" s="836"/>
      <c r="W417" s="836">
        <f ca="1">IFERROR(ROUND(INDIRECT("'"&amp;$H$3&amp;"'!$H$10")/(((1/60)*(INDIRECT("'"&amp;$H$3&amp;"'!W317")+INDIRECT("'"&amp;$H$3&amp;"'!$H$19")*(INDIRECT("'"&amp;$H$3&amp;"'!W318")+(INDIRECT("'"&amp;$H$3&amp;"'!W319")*('1_Outputs'!W$52/INDIRECT("'"&amp;$H$3&amp;"'!W$261")/INDIRECT("'"&amp;$H$3&amp;"'!$H$19"))))))+INDEX(INDIRECT("'"&amp;$H$3&amp;"'!$H$43:$H$78"),MATCH(INDIRECT("'"&amp;$H$3&amp;"'!W304")&amp;"Average duration (hrs) per trip",INDIRECT("'"&amp;$H$3&amp;"'!$F$43:$F$78"),0))),1),0)</f>
        <v>0</v>
      </c>
      <c r="X417" s="1469"/>
      <c r="Y417" s="36"/>
      <c r="Z417" s="36"/>
      <c r="AA417" s="36"/>
      <c r="AB417" s="36"/>
      <c r="AC417" s="36"/>
      <c r="AD417" s="36"/>
      <c r="AE417" s="36"/>
      <c r="AF417" s="36"/>
      <c r="AG417" s="36"/>
      <c r="AH417" s="36"/>
      <c r="AI417" s="36"/>
      <c r="AJ417" s="36"/>
      <c r="AK417" s="36"/>
      <c r="AL417" s="36"/>
      <c r="AM417" s="36"/>
      <c r="AN417" s="36"/>
    </row>
    <row r="418" spans="6:40" ht="15" customHeight="1" outlineLevel="1">
      <c r="G418" s="6" t="s">
        <v>141</v>
      </c>
      <c r="H418" s="836"/>
      <c r="I418" s="836"/>
      <c r="J418" s="836"/>
      <c r="K418" s="836">
        <f ca="1">IFERROR(ROUND(K417*INDIRECT("'"&amp;$H$3&amp;"'!K313"),0),0)</f>
        <v>0</v>
      </c>
      <c r="L418" s="836"/>
      <c r="M418" s="836"/>
      <c r="N418" s="836">
        <f ca="1">IFERROR(ROUND(N417*INDIRECT("'"&amp;$H$3&amp;"'!N313"),0),0)</f>
        <v>0</v>
      </c>
      <c r="O418" s="836"/>
      <c r="P418" s="836"/>
      <c r="Q418" s="836">
        <f ca="1">IFERROR(ROUND(Q417*INDIRECT("'"&amp;$H$3&amp;"'!Q313"),0),0)</f>
        <v>0</v>
      </c>
      <c r="R418" s="836"/>
      <c r="S418" s="836"/>
      <c r="T418" s="836">
        <f ca="1">IFERROR(ROUND(T417*INDIRECT("'"&amp;$H$3&amp;"'!T313"),0),0)</f>
        <v>0</v>
      </c>
      <c r="U418" s="836"/>
      <c r="V418" s="836"/>
      <c r="W418" s="836">
        <f ca="1">IFERROR(ROUND(W417*INDIRECT("'"&amp;$H$3&amp;"'!W313"),0),0)</f>
        <v>0</v>
      </c>
      <c r="X418" s="1469"/>
      <c r="Y418" s="36"/>
      <c r="Z418" s="36"/>
      <c r="AA418" s="36"/>
      <c r="AB418" s="36"/>
      <c r="AC418" s="36"/>
      <c r="AD418" s="36"/>
      <c r="AE418" s="36"/>
      <c r="AF418" s="36"/>
      <c r="AG418" s="36"/>
      <c r="AH418" s="36"/>
      <c r="AI418" s="36"/>
      <c r="AJ418" s="36"/>
      <c r="AK418" s="36"/>
      <c r="AL418" s="36"/>
      <c r="AM418" s="36"/>
      <c r="AN418" s="36"/>
    </row>
    <row r="419" spans="6:40" ht="15" customHeight="1" outlineLevel="1">
      <c r="G419" s="6" t="s">
        <v>143</v>
      </c>
      <c r="H419" s="836"/>
      <c r="I419" s="836"/>
      <c r="J419" s="836"/>
      <c r="K419" s="836">
        <f ca="1">IFERROR(ROUNDUP(K415/K418,0),0)</f>
        <v>0</v>
      </c>
      <c r="L419" s="836"/>
      <c r="M419" s="836"/>
      <c r="N419" s="836">
        <f ca="1">IFERROR(ROUNDUP(N415/N418,0),0)</f>
        <v>0</v>
      </c>
      <c r="O419" s="836"/>
      <c r="P419" s="836"/>
      <c r="Q419" s="836">
        <f ca="1">IFERROR(ROUNDUP(Q415/Q418,0),0)</f>
        <v>0</v>
      </c>
      <c r="R419" s="836"/>
      <c r="S419" s="836"/>
      <c r="T419" s="836">
        <f ca="1">IFERROR(ROUNDUP(T415/T418,0),0)</f>
        <v>0</v>
      </c>
      <c r="U419" s="836"/>
      <c r="V419" s="836"/>
      <c r="W419" s="836">
        <f ca="1">IFERROR(ROUNDUP(W415/W418,0),0)</f>
        <v>0</v>
      </c>
      <c r="X419" s="1469"/>
      <c r="Y419" s="36"/>
      <c r="Z419" s="36"/>
      <c r="AA419" s="36"/>
      <c r="AB419" s="36"/>
      <c r="AC419" s="36"/>
      <c r="AD419" s="36"/>
      <c r="AE419" s="36"/>
      <c r="AF419" s="36"/>
      <c r="AG419" s="36"/>
      <c r="AH419" s="36"/>
      <c r="AI419" s="36"/>
      <c r="AJ419" s="36"/>
      <c r="AK419" s="36"/>
      <c r="AL419" s="36"/>
      <c r="AM419" s="36"/>
      <c r="AN419" s="36"/>
    </row>
    <row r="420" spans="6:40" ht="15" customHeight="1" outlineLevel="1">
      <c r="G420" s="6" t="s">
        <v>144</v>
      </c>
      <c r="H420" s="836"/>
      <c r="I420" s="836"/>
      <c r="J420" s="836"/>
      <c r="K420" s="836">
        <f ca="1">IFERROR((K419*(K418+1)),0)</f>
        <v>0</v>
      </c>
      <c r="L420" s="836"/>
      <c r="M420" s="836"/>
      <c r="N420" s="836">
        <f ca="1">IFERROR((N419*(N418+1)),0)</f>
        <v>0</v>
      </c>
      <c r="O420" s="836"/>
      <c r="P420" s="836"/>
      <c r="Q420" s="836">
        <f ca="1">IFERROR((Q419*(Q418+1)),0)</f>
        <v>0</v>
      </c>
      <c r="R420" s="836"/>
      <c r="S420" s="836"/>
      <c r="T420" s="836">
        <f ca="1">IFERROR((T419*(T418+1)),0)</f>
        <v>0</v>
      </c>
      <c r="U420" s="836"/>
      <c r="V420" s="836"/>
      <c r="W420" s="836">
        <f ca="1">IFERROR((W419*(W418+1)),0)</f>
        <v>0</v>
      </c>
      <c r="X420" s="1469"/>
      <c r="Y420" s="36"/>
      <c r="Z420" s="36"/>
      <c r="AA420" s="36"/>
      <c r="AB420" s="36"/>
      <c r="AC420" s="36"/>
      <c r="AD420" s="36"/>
      <c r="AE420" s="36"/>
      <c r="AF420" s="36"/>
      <c r="AG420" s="36"/>
      <c r="AH420" s="36"/>
      <c r="AI420" s="36"/>
      <c r="AJ420" s="36"/>
      <c r="AK420" s="242"/>
      <c r="AL420" s="36"/>
      <c r="AM420" s="36"/>
      <c r="AN420" s="36"/>
    </row>
    <row r="421" spans="6:40" ht="15" customHeight="1" outlineLevel="1">
      <c r="G421" s="6" t="s">
        <v>145</v>
      </c>
      <c r="H421" s="836"/>
      <c r="I421" s="836"/>
      <c r="J421" s="836"/>
      <c r="K421" s="836">
        <f ca="1">IFERROR(ROUNDUP(((K420*INDEX(INDIRECT("'"&amp;$H$3&amp;"'!$H$43:$H$78"),MATCH(INDIRECT("'"&amp;$H$3&amp;"'!K304")&amp;"Average duration (hrs) per trip",INDIRECT("'"&amp;$H$3&amp;"'!$F$43:$F$78"),0)))+(K415*((1/60)*(INDIRECT("'"&amp;$H$3&amp;"'!K317")+INDIRECT("'"&amp;$H$3&amp;"'!$H$19")*(INDIRECT("'"&amp;$H$3&amp;"'!K318")+(INDIRECT("'"&amp;$H$3&amp;"'!K319")*('1_Outputs'!K$52/INDIRECT("'"&amp;$H$3&amp;"'!K$261")/INDIRECT("'"&amp;$H$3&amp;"'!$H$19"))))))))/INDIRECT("'"&amp;$H$3&amp;"'!$H$10"),0),0)</f>
        <v>0</v>
      </c>
      <c r="L421" s="836"/>
      <c r="M421" s="836"/>
      <c r="N421" s="836">
        <f ca="1">IFERROR(ROUNDUP(((N420*INDEX(INDIRECT("'"&amp;$H$3&amp;"'!$H$43:$H$78"),MATCH(INDIRECT("'"&amp;$H$3&amp;"'!N304")&amp;"Average duration (hrs) per trip",INDIRECT("'"&amp;$H$3&amp;"'!$F$43:$F$78"),0)))+(N415*((1/60)*(INDIRECT("'"&amp;$H$3&amp;"'!N317")+INDIRECT("'"&amp;$H$3&amp;"'!$H$19")*(INDIRECT("'"&amp;$H$3&amp;"'!N318")+(INDIRECT("'"&amp;$H$3&amp;"'!N319")*('1_Outputs'!N$52/INDIRECT("'"&amp;$H$3&amp;"'!N$261")/INDIRECT("'"&amp;$H$3&amp;"'!$H$19"))))))))/INDIRECT("'"&amp;$H$3&amp;"'!$H$10"),0),0)</f>
        <v>0</v>
      </c>
      <c r="O421" s="836"/>
      <c r="P421" s="836"/>
      <c r="Q421" s="836">
        <f ca="1">IFERROR(ROUNDUP(((Q420*INDEX(INDIRECT("'"&amp;$H$3&amp;"'!$H$43:$H$78"),MATCH(INDIRECT("'"&amp;$H$3&amp;"'!Q304")&amp;"Average duration (hrs) per trip",INDIRECT("'"&amp;$H$3&amp;"'!$F$43:$F$78"),0)))+(Q415*((1/60)*(INDIRECT("'"&amp;$H$3&amp;"'!Q317")+INDIRECT("'"&amp;$H$3&amp;"'!$H$19")*(INDIRECT("'"&amp;$H$3&amp;"'!Q318")+(INDIRECT("'"&amp;$H$3&amp;"'!Q319")*('1_Outputs'!Q$52/INDIRECT("'"&amp;$H$3&amp;"'!Q$261")/INDIRECT("'"&amp;$H$3&amp;"'!$H$19"))))))))/INDIRECT("'"&amp;$H$3&amp;"'!$H$10"),0),0)</f>
        <v>0</v>
      </c>
      <c r="R421" s="836"/>
      <c r="S421" s="836"/>
      <c r="T421" s="836">
        <f ca="1">IFERROR(ROUNDUP(((T420*INDEX(INDIRECT("'"&amp;$H$3&amp;"'!$H$43:$H$78"),MATCH(INDIRECT("'"&amp;$H$3&amp;"'!T304")&amp;"Average duration (hrs) per trip",INDIRECT("'"&amp;$H$3&amp;"'!$F$43:$F$78"),0)))+(T415*((1/60)*(INDIRECT("'"&amp;$H$3&amp;"'!T317")+INDIRECT("'"&amp;$H$3&amp;"'!$H$19")*(INDIRECT("'"&amp;$H$3&amp;"'!T318")+(INDIRECT("'"&amp;$H$3&amp;"'!T319")*('1_Outputs'!T$52/INDIRECT("'"&amp;$H$3&amp;"'!T$261")/INDIRECT("'"&amp;$H$3&amp;"'!$H$19"))))))))/INDIRECT("'"&amp;$H$3&amp;"'!$H$10"),0),0)</f>
        <v>0</v>
      </c>
      <c r="U421" s="836"/>
      <c r="V421" s="836"/>
      <c r="W421" s="836">
        <f ca="1">IFERROR(ROUNDUP(((W420*INDEX(INDIRECT("'"&amp;$H$3&amp;"'!$H$43:$H$78"),MATCH(INDIRECT("'"&amp;$H$3&amp;"'!W304")&amp;"Average duration (hrs) per trip",INDIRECT("'"&amp;$H$3&amp;"'!$F$43:$F$78"),0)))+(W415*((1/60)*(INDIRECT("'"&amp;$H$3&amp;"'!W317")+INDIRECT("'"&amp;$H$3&amp;"'!$H$19")*(INDIRECT("'"&amp;$H$3&amp;"'!W318")+(INDIRECT("'"&amp;$H$3&amp;"'!W319")*('1_Outputs'!W$52/INDIRECT("'"&amp;$H$3&amp;"'!W$261")/INDIRECT("'"&amp;$H$3&amp;"'!$H$19"))))))))/INDIRECT("'"&amp;$H$3&amp;"'!$H$10"),0),0)</f>
        <v>0</v>
      </c>
      <c r="X421" s="1469"/>
      <c r="Y421" s="36"/>
      <c r="Z421" s="36"/>
      <c r="AA421" s="36"/>
      <c r="AB421" s="36"/>
      <c r="AC421" s="36"/>
      <c r="AD421" s="36"/>
      <c r="AE421" s="36"/>
      <c r="AF421" s="36"/>
      <c r="AG421" s="36"/>
      <c r="AH421" s="36"/>
      <c r="AI421" s="36"/>
      <c r="AJ421" s="36"/>
      <c r="AK421" s="242"/>
      <c r="AL421" s="36"/>
      <c r="AM421" s="36"/>
      <c r="AN421" s="36"/>
    </row>
    <row r="422" spans="6:40" ht="15" customHeight="1" outlineLevel="1">
      <c r="G422" s="241" t="s">
        <v>841</v>
      </c>
      <c r="H422" s="842"/>
      <c r="I422" s="842"/>
      <c r="J422" s="842"/>
      <c r="K422" s="842"/>
      <c r="L422" s="842"/>
      <c r="M422" s="842"/>
      <c r="N422" s="842"/>
      <c r="O422" s="842"/>
      <c r="P422" s="842"/>
      <c r="Q422" s="842"/>
      <c r="R422" s="853"/>
      <c r="S422" s="853"/>
      <c r="T422" s="842"/>
      <c r="U422" s="853"/>
      <c r="V422" s="853"/>
      <c r="W422" s="842"/>
      <c r="X422" s="1470"/>
      <c r="Y422" s="36"/>
      <c r="Z422" s="36"/>
      <c r="AA422" s="36"/>
      <c r="AB422" s="36"/>
      <c r="AC422" s="36"/>
      <c r="AD422" s="36"/>
      <c r="AE422" s="36"/>
      <c r="AF422" s="36"/>
      <c r="AG422" s="36"/>
      <c r="AH422" s="36"/>
      <c r="AI422" s="36"/>
      <c r="AJ422" s="36"/>
      <c r="AK422" s="242"/>
      <c r="AL422" s="36"/>
      <c r="AM422" s="36"/>
      <c r="AN422" s="36"/>
    </row>
    <row r="423" spans="6:40" ht="15" customHeight="1" outlineLevel="1">
      <c r="G423" s="6" t="s">
        <v>144</v>
      </c>
      <c r="H423" s="836"/>
      <c r="I423" s="836"/>
      <c r="J423" s="836"/>
      <c r="K423" s="836">
        <f ca="1">IFERROR(K415*2,0)</f>
        <v>0</v>
      </c>
      <c r="L423" s="836"/>
      <c r="M423" s="836"/>
      <c r="N423" s="836">
        <f ca="1">IFERROR(N415*2,0)</f>
        <v>0</v>
      </c>
      <c r="O423" s="836"/>
      <c r="P423" s="836"/>
      <c r="Q423" s="836">
        <f ca="1">IFERROR(Q415*2,0)</f>
        <v>0</v>
      </c>
      <c r="R423" s="836"/>
      <c r="S423" s="836"/>
      <c r="T423" s="836">
        <f ca="1">IFERROR(T415*2,0)</f>
        <v>0</v>
      </c>
      <c r="U423" s="836"/>
      <c r="V423" s="836"/>
      <c r="W423" s="836">
        <f ca="1">IFERROR(W415*2,0)</f>
        <v>0</v>
      </c>
      <c r="X423" s="1469"/>
      <c r="Y423" s="36"/>
      <c r="Z423" s="36"/>
      <c r="AA423" s="36"/>
      <c r="AB423" s="36"/>
      <c r="AC423" s="36"/>
      <c r="AD423" s="36"/>
      <c r="AE423" s="36"/>
      <c r="AF423" s="36"/>
      <c r="AG423" s="36"/>
      <c r="AH423" s="36"/>
      <c r="AI423" s="36"/>
      <c r="AJ423" s="36"/>
      <c r="AK423" s="36"/>
      <c r="AL423" s="36"/>
      <c r="AM423" s="36"/>
      <c r="AN423" s="36"/>
    </row>
    <row r="424" spans="6:40" ht="15" customHeight="1" outlineLevel="1">
      <c r="G424" s="6" t="s">
        <v>145</v>
      </c>
      <c r="H424" s="837"/>
      <c r="I424" s="837"/>
      <c r="J424" s="837"/>
      <c r="K424" s="837">
        <f ca="1">IFERROR(MAX(K415,ROUNDUP(((K423*INDEX(INDIRECT("'"&amp;$H$3&amp;"'!$H$43:$H$78"),MATCH(INDIRECT("'"&amp;$H$3&amp;"'!K304")&amp;"Average duration (hrs) per trip",INDIRECT("'"&amp;$H$3&amp;"'!$F$43:$F$78"),0)))+(K415*((1/60)*(INDIRECT("'"&amp;$H$3&amp;"'!K317")+INDIRECT("'"&amp;$H$3&amp;"'!$H$19")*(INDIRECT("'"&amp;$H$3&amp;"'!K318")+(INDIRECT("'"&amp;$H$3&amp;"'!K319")*('1_Outputs'!K$52/INDIRECT("'"&amp;$H$3&amp;"'!K$261")/INDIRECT("'"&amp;$H$3&amp;"'!$H$19"))))))))/INDIRECT("'"&amp;$H$3&amp;"'!$H$10"),0)),0)</f>
        <v>0</v>
      </c>
      <c r="L424" s="837"/>
      <c r="M424" s="837"/>
      <c r="N424" s="837">
        <f ca="1">IFERROR(MAX(N415,ROUNDUP(((N423*INDEX(INDIRECT("'"&amp;$H$3&amp;"'!$H$43:$H$78"),MATCH(INDIRECT("'"&amp;$H$3&amp;"'!N304")&amp;"Average duration (hrs) per trip",INDIRECT("'"&amp;$H$3&amp;"'!$F$43:$F$78"),0)))+(N415*((1/60)*(INDIRECT("'"&amp;$H$3&amp;"'!N317")+INDIRECT("'"&amp;$H$3&amp;"'!$H$19")*(INDIRECT("'"&amp;$H$3&amp;"'!N318")+(INDIRECT("'"&amp;$H$3&amp;"'!N319")*('1_Outputs'!N$52/INDIRECT("'"&amp;$H$3&amp;"'!N$261")/INDIRECT("'"&amp;$H$3&amp;"'!$H$19"))))))))/INDIRECT("'"&amp;$H$3&amp;"'!$H$10"),0)),0)</f>
        <v>0</v>
      </c>
      <c r="O424" s="837"/>
      <c r="P424" s="837"/>
      <c r="Q424" s="837">
        <f ca="1">IFERROR(MAX(Q415,ROUNDUP(((Q423*INDEX(INDIRECT("'"&amp;$H$3&amp;"'!$H$43:$H$78"),MATCH(INDIRECT("'"&amp;$H$3&amp;"'!Q304")&amp;"Average duration (hrs) per trip",INDIRECT("'"&amp;$H$3&amp;"'!$F$43:$F$78"),0)))+(Q415*((1/60)*(INDIRECT("'"&amp;$H$3&amp;"'!Q317")+INDIRECT("'"&amp;$H$3&amp;"'!$H$19")*(INDIRECT("'"&amp;$H$3&amp;"'!Q318")+(INDIRECT("'"&amp;$H$3&amp;"'!Q319")*('1_Outputs'!Q$52/INDIRECT("'"&amp;$H$3&amp;"'!Q$261")/INDIRECT("'"&amp;$H$3&amp;"'!$H$19"))))))))/INDIRECT("'"&amp;$H$3&amp;"'!$H$10"),0)),0)</f>
        <v>0</v>
      </c>
      <c r="R424" s="837"/>
      <c r="S424" s="837"/>
      <c r="T424" s="837">
        <f ca="1">IFERROR(MAX(T415,ROUNDUP(((T423*INDEX(INDIRECT("'"&amp;$H$3&amp;"'!$H$43:$H$78"),MATCH(INDIRECT("'"&amp;$H$3&amp;"'!T304")&amp;"Average duration (hrs) per trip",INDIRECT("'"&amp;$H$3&amp;"'!$F$43:$F$78"),0)))+(T415*((1/60)*(INDIRECT("'"&amp;$H$3&amp;"'!T317")+INDIRECT("'"&amp;$H$3&amp;"'!$H$19")*(INDIRECT("'"&amp;$H$3&amp;"'!T318")+(INDIRECT("'"&amp;$H$3&amp;"'!T319")*('1_Outputs'!T$52/INDIRECT("'"&amp;$H$3&amp;"'!T$261")/INDIRECT("'"&amp;$H$3&amp;"'!$H$19"))))))))/INDIRECT("'"&amp;$H$3&amp;"'!$H$10"),0)),0)</f>
        <v>0</v>
      </c>
      <c r="U424" s="837"/>
      <c r="V424" s="837"/>
      <c r="W424" s="837">
        <f ca="1">IFERROR(MAX(W415,ROUNDUP(((W423*INDEX(INDIRECT("'"&amp;$H$3&amp;"'!$H$43:$H$78"),MATCH(INDIRECT("'"&amp;$H$3&amp;"'!W304")&amp;"Average duration (hrs) per trip",INDIRECT("'"&amp;$H$3&amp;"'!$F$43:$F$78"),0)))+(W415*((1/60)*(INDIRECT("'"&amp;$H$3&amp;"'!W317")+INDIRECT("'"&amp;$H$3&amp;"'!$H$19")*(INDIRECT("'"&amp;$H$3&amp;"'!W318")+(INDIRECT("'"&amp;$H$3&amp;"'!W319")*('1_Outputs'!W$52/INDIRECT("'"&amp;$H$3&amp;"'!W$261")/INDIRECT("'"&amp;$H$3&amp;"'!$H$19"))))))))/INDIRECT("'"&amp;$H$3&amp;"'!$H$10"),0)),0)</f>
        <v>0</v>
      </c>
      <c r="X424" s="1468"/>
      <c r="Y424" s="36"/>
      <c r="Z424" s="36"/>
      <c r="AA424" s="36"/>
      <c r="AB424" s="36"/>
      <c r="AC424" s="36"/>
      <c r="AD424" s="36"/>
      <c r="AE424" s="36"/>
      <c r="AF424" s="36"/>
      <c r="AG424" s="36"/>
      <c r="AH424" s="36"/>
      <c r="AI424" s="36"/>
      <c r="AJ424" s="36"/>
      <c r="AK424" s="36"/>
      <c r="AL424" s="36"/>
      <c r="AM424" s="36"/>
      <c r="AN424" s="36"/>
    </row>
    <row r="425" spans="6:40" ht="15" customHeight="1" outlineLevel="1">
      <c r="F425" s="77" t="s">
        <v>148</v>
      </c>
      <c r="G425" s="845"/>
      <c r="H425" s="851"/>
      <c r="I425" s="851"/>
      <c r="J425" s="851"/>
      <c r="K425" s="851"/>
      <c r="L425" s="851"/>
      <c r="M425" s="851"/>
      <c r="N425" s="851"/>
      <c r="O425" s="851"/>
      <c r="P425" s="851"/>
      <c r="Q425" s="851"/>
      <c r="R425" s="846"/>
      <c r="S425" s="846"/>
      <c r="T425" s="851"/>
      <c r="U425" s="846"/>
      <c r="V425" s="846"/>
      <c r="W425" s="851"/>
      <c r="X425" s="1471"/>
      <c r="Y425" s="36"/>
      <c r="Z425" s="36"/>
      <c r="AA425" s="36"/>
      <c r="AB425" s="36"/>
      <c r="AC425" s="36"/>
      <c r="AD425" s="36"/>
      <c r="AE425" s="36"/>
      <c r="AF425" s="36"/>
      <c r="AG425" s="36"/>
      <c r="AH425" s="36"/>
      <c r="AI425" s="36"/>
      <c r="AJ425" s="36"/>
      <c r="AK425" s="242"/>
      <c r="AL425" s="36"/>
      <c r="AM425" s="36"/>
      <c r="AN425" s="36"/>
    </row>
    <row r="426" spans="6:40" ht="15" customHeight="1" outlineLevel="1">
      <c r="F426" s="1"/>
      <c r="G426" s="6" t="s">
        <v>151</v>
      </c>
      <c r="H426" s="836"/>
      <c r="I426" s="836"/>
      <c r="J426" s="836"/>
      <c r="K426" s="836">
        <f ca="1">IFERROR(IF(COUNTIF(INDIRECT("'"&amp;$H$3&amp;"'!K304"),"Public Transport*")&lt;1,ROUND(INDIRECT("'"&amp;$H$3&amp;"'!K$95")*INDIRECT("'"&amp;$H$3&amp;"'!K303"),0),0),0)</f>
        <v>0</v>
      </c>
      <c r="L426" s="836"/>
      <c r="M426" s="836"/>
      <c r="N426" s="836">
        <f ca="1">IFERROR(IF(COUNTIF(INDIRECT("'"&amp;$H$3&amp;"'!N304"),"Public Transport*")&lt;1,ROUND(INDIRECT("'"&amp;$H$3&amp;"'!N$95")*INDIRECT("'"&amp;$H$3&amp;"'!N303"),0),0),0)</f>
        <v>0</v>
      </c>
      <c r="O426" s="836"/>
      <c r="P426" s="836"/>
      <c r="Q426" s="836">
        <f ca="1">IFERROR(IF(COUNTIF(INDIRECT("'"&amp;$H$3&amp;"'!Q304"),"Public Transport*")&lt;1,ROUND(INDIRECT("'"&amp;$H$3&amp;"'!Q$95")*INDIRECT("'"&amp;$H$3&amp;"'!Q303"),0),0),0)</f>
        <v>0</v>
      </c>
      <c r="R426" s="836"/>
      <c r="S426" s="836"/>
      <c r="T426" s="836">
        <f ca="1">IFERROR(IF(COUNTIF(INDIRECT("'"&amp;$H$3&amp;"'!T304"),"Public Transport*")&lt;1,ROUND(INDIRECT("'"&amp;$H$3&amp;"'!T$95")*INDIRECT("'"&amp;$H$3&amp;"'!T303"),0),0),0)</f>
        <v>0</v>
      </c>
      <c r="U426" s="836"/>
      <c r="V426" s="836"/>
      <c r="W426" s="836">
        <f ca="1">IFERROR(IF(COUNTIF(INDIRECT("'"&amp;$H$3&amp;"'!W304"),"Public Transport*")&lt;1,ROUND(INDIRECT("'"&amp;$H$3&amp;"'!W$95")*INDIRECT("'"&amp;$H$3&amp;"'!W303"),0),0),0)</f>
        <v>0</v>
      </c>
      <c r="X426" s="1469"/>
      <c r="Y426" s="36"/>
      <c r="Z426" s="36"/>
      <c r="AA426" s="36"/>
      <c r="AB426" s="36"/>
      <c r="AC426" s="36"/>
      <c r="AD426" s="36"/>
      <c r="AE426" s="36"/>
      <c r="AF426" s="36"/>
      <c r="AG426" s="36"/>
      <c r="AH426" s="36"/>
      <c r="AI426" s="36"/>
      <c r="AJ426" s="36"/>
      <c r="AK426" s="242"/>
      <c r="AL426" s="36"/>
      <c r="AM426" s="36"/>
      <c r="AN426" s="36"/>
    </row>
    <row r="427" spans="6:40" ht="15" customHeight="1" outlineLevel="1">
      <c r="G427" s="6" t="s">
        <v>85</v>
      </c>
      <c r="H427" s="837"/>
      <c r="I427" s="837"/>
      <c r="J427" s="837"/>
      <c r="K427" s="837">
        <f ca="1">IFERROR(IF(INDIRECT("'"&amp;$H$3&amp;"'!K312")="Route-based",K432*K433,IF(INDIRECT("'"&amp;$H$3&amp;"'!K312")="Point-to-point",K437*K438,0)),0)</f>
        <v>0</v>
      </c>
      <c r="L427" s="837"/>
      <c r="M427" s="837"/>
      <c r="N427" s="837">
        <f ca="1">IFERROR(IF(INDIRECT("'"&amp;$H$3&amp;"'!N312")="Route-based",N432*N433,IF(INDIRECT("'"&amp;$H$3&amp;"'!N312")="Point-to-point",N437*N438,0)),0)</f>
        <v>0</v>
      </c>
      <c r="O427" s="837"/>
      <c r="P427" s="837"/>
      <c r="Q427" s="837">
        <f ca="1">IFERROR(IF(INDIRECT("'"&amp;$H$3&amp;"'!Q312")="Route-based",Q432*Q433,IF(INDIRECT("'"&amp;$H$3&amp;"'!Q312")="Point-to-point",Q437*Q438,0)),0)</f>
        <v>0</v>
      </c>
      <c r="R427" s="837"/>
      <c r="S427" s="837"/>
      <c r="T427" s="837">
        <f ca="1">IFERROR(IF(INDIRECT("'"&amp;$H$3&amp;"'!T312")="Route-based",T432*T433,IF(INDIRECT("'"&amp;$H$3&amp;"'!T312")="Point-to-point",T437*T438,0)),0)</f>
        <v>0</v>
      </c>
      <c r="U427" s="837"/>
      <c r="V427" s="837"/>
      <c r="W427" s="837">
        <f ca="1">IFERROR(IF(INDIRECT("'"&amp;$H$3&amp;"'!W312")="Route-based",W432*W433,IF(INDIRECT("'"&amp;$H$3&amp;"'!W312")="Point-to-point",W437*W438,0)),0)</f>
        <v>0</v>
      </c>
      <c r="X427" s="1468"/>
      <c r="Y427" s="36"/>
      <c r="Z427" s="36"/>
      <c r="AA427" s="36"/>
      <c r="AB427" s="36"/>
      <c r="AC427" s="36"/>
      <c r="AD427" s="36"/>
      <c r="AE427" s="36"/>
      <c r="AF427" s="36"/>
      <c r="AG427" s="36"/>
      <c r="AH427" s="36"/>
      <c r="AI427" s="36"/>
      <c r="AJ427" s="36"/>
      <c r="AK427" s="242"/>
      <c r="AL427" s="36"/>
      <c r="AM427" s="36"/>
      <c r="AN427" s="36"/>
    </row>
    <row r="428" spans="6:40" ht="15" customHeight="1" outlineLevel="1">
      <c r="G428" s="6" t="s">
        <v>59</v>
      </c>
      <c r="H428" s="837"/>
      <c r="I428" s="837"/>
      <c r="J428" s="837"/>
      <c r="K428" s="837">
        <f ca="1">IFERROR(IF(INDIRECT("'"&amp;$H$3&amp;"'!K312")="Route-based",ROUND(K432*K434/INDIRECT("'"&amp;$H$3&amp;"'!$H$10"),0),IF(INDIRECT("'"&amp;$H$3&amp;"'!K312")="Point-to-point",ROUND(((K426*INDIRECT("'"&amp;$H$3&amp;"'!K$261")*((1/60)*(INDIRECT("'"&amp;$H$3&amp;"'!K317")+INDIRECT("'"&amp;$H$3&amp;"'!$H$19")*(INDIRECT("'"&amp;$H$3&amp;"'!K318")+(INDIRECT("'"&amp;$H$3&amp;"'!K319")*('1_Outputs'!K$52/INDIRECT("'"&amp;$H$3&amp;"'!K$261")/INDIRECT("'"&amp;$H$3&amp;"'!$H$19")))))))+(K427/INDIRECT("'"&amp;$H$3&amp;"'!K321")))/INDIRECT("'"&amp;$H$3&amp;"'!$H$10"),0),0)),0)</f>
        <v>0</v>
      </c>
      <c r="L428" s="837"/>
      <c r="M428" s="837"/>
      <c r="N428" s="837">
        <f ca="1">IFERROR(IF(INDIRECT("'"&amp;$H$3&amp;"'!N312")="Route-based",ROUND(N432*N434/INDIRECT("'"&amp;$H$3&amp;"'!$H$10"),0),IF(INDIRECT("'"&amp;$H$3&amp;"'!N312")="Point-to-point",ROUND(((N426*INDIRECT("'"&amp;$H$3&amp;"'!N$261")*((1/60)*(INDIRECT("'"&amp;$H$3&amp;"'!N317")+INDIRECT("'"&amp;$H$3&amp;"'!$H$19")*(INDIRECT("'"&amp;$H$3&amp;"'!N318")+(INDIRECT("'"&amp;$H$3&amp;"'!N319")*('1_Outputs'!N$52/INDIRECT("'"&amp;$H$3&amp;"'!N$261")/INDIRECT("'"&amp;$H$3&amp;"'!$H$19")))))))+(N427/INDIRECT("'"&amp;$H$3&amp;"'!N321")))/INDIRECT("'"&amp;$H$3&amp;"'!$H$10"),0),0)),0)</f>
        <v>0</v>
      </c>
      <c r="O428" s="837"/>
      <c r="P428" s="837"/>
      <c r="Q428" s="837">
        <f ca="1">IFERROR(IF(INDIRECT("'"&amp;$H$3&amp;"'!Q312")="Route-based",ROUND(Q432*Q434/INDIRECT("'"&amp;$H$3&amp;"'!$H$10"),0),IF(INDIRECT("'"&amp;$H$3&amp;"'!Q312")="Point-to-point",ROUND(((Q426*INDIRECT("'"&amp;$H$3&amp;"'!Q$261")*((1/60)*(INDIRECT("'"&amp;$H$3&amp;"'!Q317")+INDIRECT("'"&amp;$H$3&amp;"'!$H$19")*(INDIRECT("'"&amp;$H$3&amp;"'!Q318")+(INDIRECT("'"&amp;$H$3&amp;"'!Q319")*('1_Outputs'!Q$52/INDIRECT("'"&amp;$H$3&amp;"'!Q$261")/INDIRECT("'"&amp;$H$3&amp;"'!$H$19")))))))+(Q427/INDIRECT("'"&amp;$H$3&amp;"'!Q321")))/INDIRECT("'"&amp;$H$3&amp;"'!$H$10"),0),0)),0)</f>
        <v>0</v>
      </c>
      <c r="R428" s="837"/>
      <c r="S428" s="837"/>
      <c r="T428" s="837">
        <f ca="1">IFERROR(IF(INDIRECT("'"&amp;$H$3&amp;"'!T312")="Route-based",ROUND(T432*T434/INDIRECT("'"&amp;$H$3&amp;"'!$H$10"),0),IF(INDIRECT("'"&amp;$H$3&amp;"'!T312")="Point-to-point",ROUND(((T426*INDIRECT("'"&amp;$H$3&amp;"'!T$261")*((1/60)*(INDIRECT("'"&amp;$H$3&amp;"'!T317")+INDIRECT("'"&amp;$H$3&amp;"'!$H$19")*(INDIRECT("'"&amp;$H$3&amp;"'!T318")+(INDIRECT("'"&amp;$H$3&amp;"'!T319")*('1_Outputs'!T$52/INDIRECT("'"&amp;$H$3&amp;"'!T$261")/INDIRECT("'"&amp;$H$3&amp;"'!$H$19")))))))+(T427/INDIRECT("'"&amp;$H$3&amp;"'!T321")))/INDIRECT("'"&amp;$H$3&amp;"'!$H$10"),0),0)),0)</f>
        <v>0</v>
      </c>
      <c r="U428" s="837"/>
      <c r="V428" s="837"/>
      <c r="W428" s="837">
        <f ca="1">IFERROR(IF(INDIRECT("'"&amp;$H$3&amp;"'!W312")="Route-based",ROUND(W432*W434/INDIRECT("'"&amp;$H$3&amp;"'!$H$10"),0),IF(INDIRECT("'"&amp;$H$3&amp;"'!W312")="Point-to-point",ROUND(((W426*INDIRECT("'"&amp;$H$3&amp;"'!W$261")*((1/60)*(INDIRECT("'"&amp;$H$3&amp;"'!W317")+INDIRECT("'"&amp;$H$3&amp;"'!$H$19")*(INDIRECT("'"&amp;$H$3&amp;"'!W318")+(INDIRECT("'"&amp;$H$3&amp;"'!W319")*('1_Outputs'!W$52/INDIRECT("'"&amp;$H$3&amp;"'!W$261")/INDIRECT("'"&amp;$H$3&amp;"'!$H$19")))))))+(W427/INDIRECT("'"&amp;$H$3&amp;"'!W321")))/INDIRECT("'"&amp;$H$3&amp;"'!$H$10"),0),0)),0)</f>
        <v>0</v>
      </c>
      <c r="X428" s="1468"/>
      <c r="Y428" s="36"/>
      <c r="Z428" s="36"/>
      <c r="AA428" s="36"/>
      <c r="AB428" s="36"/>
      <c r="AC428" s="36"/>
      <c r="AD428" s="36"/>
      <c r="AE428" s="36"/>
      <c r="AF428" s="36"/>
      <c r="AG428" s="36"/>
      <c r="AH428" s="36"/>
      <c r="AI428" s="36"/>
      <c r="AJ428" s="36"/>
      <c r="AK428" s="242"/>
      <c r="AL428" s="36"/>
      <c r="AM428" s="36"/>
      <c r="AN428" s="36"/>
    </row>
    <row r="429" spans="6:40" ht="15" customHeight="1" outlineLevel="1">
      <c r="G429" s="6" t="s">
        <v>86</v>
      </c>
      <c r="H429" s="839"/>
      <c r="I429" s="839"/>
      <c r="J429" s="839"/>
      <c r="K429" s="839">
        <f ca="1">IFERROR(IF(INDIRECT("'"&amp;$H$3&amp;"'!K312")="Route-based",IF(INDIRECT("'"&amp;$H$3&amp;"'!K309")="Yes",K249, IF(INDIRECT("'"&amp;$H$3&amp;"'!K309")="No",K428/(INDIRECT("'"&amp;$H$3&amp;"'!$H$9")*INDIRECT("'"&amp;$H$3&amp;"'!K308")))),
IF(INDIRECT("'"&amp;$H$3&amp;"'!K312")="Point-to-point",IF(INDIRECT("'"&amp;$H$3&amp;"'!K309")="Yes",K249,IF(INDIRECT("'"&amp;$H$3&amp;"'!K309")="No",K428/(INDIRECT("'"&amp;$H$3&amp;"'!$H$9")*INDIRECT("'"&amp;$H$3&amp;"'!K308")))),0)),0)</f>
        <v>0</v>
      </c>
      <c r="L429" s="839"/>
      <c r="M429" s="839"/>
      <c r="N429" s="839">
        <f ca="1">IFERROR(IF(INDIRECT("'"&amp;$H$3&amp;"'!N312")="Route-based",IF(INDIRECT("'"&amp;$H$3&amp;"'!N309")="Yes",N249, IF(INDIRECT("'"&amp;$H$3&amp;"'!N309")="No",N428/(INDIRECT("'"&amp;$H$3&amp;"'!$H$9")*INDIRECT("'"&amp;$H$3&amp;"'!N308")))),
IF(INDIRECT("'"&amp;$H$3&amp;"'!N312")="Point-to-point",IF(INDIRECT("'"&amp;$H$3&amp;"'!N309")="Yes",N249,IF(INDIRECT("'"&amp;$H$3&amp;"'!N309")="No",N428/(INDIRECT("'"&amp;$H$3&amp;"'!$H$9")*INDIRECT("'"&amp;$H$3&amp;"'!N308")))),0)),0)</f>
        <v>0</v>
      </c>
      <c r="O429" s="839"/>
      <c r="P429" s="839"/>
      <c r="Q429" s="839">
        <f ca="1">IFERROR(IF(INDIRECT("'"&amp;$H$3&amp;"'!Q312")="Route-based",IF(INDIRECT("'"&amp;$H$3&amp;"'!Q309")="Yes",Q249, IF(INDIRECT("'"&amp;$H$3&amp;"'!Q309")="No",Q428/(INDIRECT("'"&amp;$H$3&amp;"'!$H$9")*INDIRECT("'"&amp;$H$3&amp;"'!Q308")))),
IF(INDIRECT("'"&amp;$H$3&amp;"'!Q312")="Point-to-point",IF(INDIRECT("'"&amp;$H$3&amp;"'!Q309")="Yes",Q249,IF(INDIRECT("'"&amp;$H$3&amp;"'!Q309")="No",Q428/(INDIRECT("'"&amp;$H$3&amp;"'!$H$9")*INDIRECT("'"&amp;$H$3&amp;"'!Q308")))),0)),0)</f>
        <v>0</v>
      </c>
      <c r="R429" s="839"/>
      <c r="S429" s="839"/>
      <c r="T429" s="839">
        <f ca="1">IFERROR(IF(INDIRECT("'"&amp;$H$3&amp;"'!T312")="Route-based",IF(INDIRECT("'"&amp;$H$3&amp;"'!T309")="Yes",T249, IF(INDIRECT("'"&amp;$H$3&amp;"'!T309")="No",T428/(INDIRECT("'"&amp;$H$3&amp;"'!$H$9")*INDIRECT("'"&amp;$H$3&amp;"'!T308")))),
IF(INDIRECT("'"&amp;$H$3&amp;"'!T312")="Point-to-point",IF(INDIRECT("'"&amp;$H$3&amp;"'!T309")="Yes",T249,IF(INDIRECT("'"&amp;$H$3&amp;"'!T309")="No",T428/(INDIRECT("'"&amp;$H$3&amp;"'!$H$9")*INDIRECT("'"&amp;$H$3&amp;"'!T308")))),0)),0)</f>
        <v>0</v>
      </c>
      <c r="U429" s="839"/>
      <c r="V429" s="839"/>
      <c r="W429" s="839">
        <f ca="1">IFERROR(IF(INDIRECT("'"&amp;$H$3&amp;"'!W312")="Route-based",IF(INDIRECT("'"&amp;$H$3&amp;"'!W309")="Yes",W249, IF(INDIRECT("'"&amp;$H$3&amp;"'!W309")="No",W428/(INDIRECT("'"&amp;$H$3&amp;"'!$H$9")*INDIRECT("'"&amp;$H$3&amp;"'!W308")))),
IF(INDIRECT("'"&amp;$H$3&amp;"'!W312")="Point-to-point",IF(INDIRECT("'"&amp;$H$3&amp;"'!W309")="Yes",W249,IF(INDIRECT("'"&amp;$H$3&amp;"'!W309")="No",W428/(INDIRECT("'"&amp;$H$3&amp;"'!$H$9")*INDIRECT("'"&amp;$H$3&amp;"'!W308")))),0)),0)</f>
        <v>0</v>
      </c>
      <c r="X429" s="1470"/>
      <c r="Y429" s="36"/>
      <c r="Z429" s="36"/>
      <c r="AA429" s="36"/>
      <c r="AB429" s="36"/>
      <c r="AC429" s="36"/>
      <c r="AD429" s="36"/>
      <c r="AE429" s="36"/>
      <c r="AF429" s="36"/>
      <c r="AG429" s="36"/>
      <c r="AH429" s="36"/>
      <c r="AI429" s="36"/>
      <c r="AJ429" s="36"/>
      <c r="AK429" s="36" t="s">
        <v>191</v>
      </c>
      <c r="AL429" s="36"/>
      <c r="AM429" s="36"/>
      <c r="AN429" s="36"/>
    </row>
    <row r="430" spans="6:40" ht="15" customHeight="1" outlineLevel="1" collapsed="1">
      <c r="G430" s="241" t="s">
        <v>133</v>
      </c>
      <c r="H430" s="842"/>
      <c r="I430" s="842"/>
      <c r="J430" s="842"/>
      <c r="K430" s="842"/>
      <c r="L430" s="842"/>
      <c r="M430" s="842"/>
      <c r="N430" s="842"/>
      <c r="O430" s="842"/>
      <c r="P430" s="842"/>
      <c r="Q430" s="842"/>
      <c r="R430" s="853"/>
      <c r="S430" s="853"/>
      <c r="T430" s="842"/>
      <c r="U430" s="853"/>
      <c r="V430" s="853"/>
      <c r="W430" s="842"/>
      <c r="X430" s="1470"/>
      <c r="Y430" s="36"/>
      <c r="Z430" s="36"/>
      <c r="AA430" s="36"/>
      <c r="AB430" s="36"/>
      <c r="AC430" s="36"/>
      <c r="AD430" s="36"/>
      <c r="AE430" s="36"/>
      <c r="AF430" s="36"/>
      <c r="AG430" s="36"/>
      <c r="AH430" s="36"/>
      <c r="AI430" s="36"/>
      <c r="AJ430" s="36"/>
      <c r="AK430" s="36"/>
      <c r="AL430" s="36"/>
      <c r="AM430" s="36"/>
      <c r="AN430" s="36"/>
    </row>
    <row r="431" spans="6:40" outlineLevel="1">
      <c r="G431" s="6" t="s">
        <v>129</v>
      </c>
      <c r="H431" s="836"/>
      <c r="I431" s="836"/>
      <c r="J431" s="836"/>
      <c r="K431" s="836">
        <f ca="1">IFERROR(((INDIRECT("'"&amp;$H$3&amp;"'!K313")*INDIRECT("'"&amp;$H$3&amp;"'!$H$10"))-(2*INDIRECT("'"&amp;$H$3&amp;"'!K$98")/INDIRECT("'"&amp;$H$3&amp;"'!K321"))+(INDIRECT("'"&amp;$H$3&amp;"'!K$99")/INDIRECT("'"&amp;$H$3&amp;"'!K320")))/(((1/60)*(INDIRECT("'"&amp;$H$3&amp;"'!K317")+INDIRECT("'"&amp;$H$3&amp;"'!$H$19")*(INDIRECT("'"&amp;$H$3&amp;"'!K318")+(INDIRECT("'"&amp;$H$3&amp;"'!K319")*('1_Outputs'!K$52/INDIRECT("'"&amp;$H$3&amp;"'!K$261")/INDIRECT("'"&amp;$H$3&amp;"'!$H$19"))))))+(INDIRECT("'"&amp;$H$3&amp;"'!K$99")/INDIRECT("'"&amp;$H$3&amp;"'!K320"))),0)</f>
        <v>0</v>
      </c>
      <c r="L431" s="836"/>
      <c r="M431" s="836"/>
      <c r="N431" s="836">
        <f ca="1">IFERROR(((INDIRECT("'"&amp;$H$3&amp;"'!N313")*INDIRECT("'"&amp;$H$3&amp;"'!$H$10"))-(2*INDIRECT("'"&amp;$H$3&amp;"'!N$98")/INDIRECT("'"&amp;$H$3&amp;"'!N321"))+(INDIRECT("'"&amp;$H$3&amp;"'!N$99")/INDIRECT("'"&amp;$H$3&amp;"'!N320")))/(((1/60)*(INDIRECT("'"&amp;$H$3&amp;"'!N317")+INDIRECT("'"&amp;$H$3&amp;"'!$H$19")*(INDIRECT("'"&amp;$H$3&amp;"'!N318")+(INDIRECT("'"&amp;$H$3&amp;"'!N319")*('1_Outputs'!N$52/INDIRECT("'"&amp;$H$3&amp;"'!N$261")/INDIRECT("'"&amp;$H$3&amp;"'!$H$19"))))))+(INDIRECT("'"&amp;$H$3&amp;"'!N$99")/INDIRECT("'"&amp;$H$3&amp;"'!N320"))),0)</f>
        <v>0</v>
      </c>
      <c r="O431" s="836"/>
      <c r="P431" s="836"/>
      <c r="Q431" s="836">
        <f ca="1">IFERROR(((INDIRECT("'"&amp;$H$3&amp;"'!Q313")*INDIRECT("'"&amp;$H$3&amp;"'!$H$10"))-(2*INDIRECT("'"&amp;$H$3&amp;"'!Q$98")/INDIRECT("'"&amp;$H$3&amp;"'!Q321"))+(INDIRECT("'"&amp;$H$3&amp;"'!Q$99")/INDIRECT("'"&amp;$H$3&amp;"'!Q320")))/(((1/60)*(INDIRECT("'"&amp;$H$3&amp;"'!Q317")+INDIRECT("'"&amp;$H$3&amp;"'!$H$19")*(INDIRECT("'"&amp;$H$3&amp;"'!Q318")+(INDIRECT("'"&amp;$H$3&amp;"'!Q319")*('1_Outputs'!Q$52/INDIRECT("'"&amp;$H$3&amp;"'!Q$261")/INDIRECT("'"&amp;$H$3&amp;"'!$H$19"))))))+(INDIRECT("'"&amp;$H$3&amp;"'!Q$99")/INDIRECT("'"&amp;$H$3&amp;"'!Q320"))),0)</f>
        <v>0</v>
      </c>
      <c r="R431" s="836"/>
      <c r="S431" s="836"/>
      <c r="T431" s="836">
        <f ca="1">IFERROR(((INDIRECT("'"&amp;$H$3&amp;"'!T313")*INDIRECT("'"&amp;$H$3&amp;"'!$H$10"))-(2*INDIRECT("'"&amp;$H$3&amp;"'!T$98")/INDIRECT("'"&amp;$H$3&amp;"'!T321"))+(INDIRECT("'"&amp;$H$3&amp;"'!T$99")/INDIRECT("'"&amp;$H$3&amp;"'!T320")))/(((1/60)*(INDIRECT("'"&amp;$H$3&amp;"'!T317")+INDIRECT("'"&amp;$H$3&amp;"'!$H$19")*(INDIRECT("'"&amp;$H$3&amp;"'!T318")+(INDIRECT("'"&amp;$H$3&amp;"'!T319")*('1_Outputs'!T$52/INDIRECT("'"&amp;$H$3&amp;"'!T$261")/INDIRECT("'"&amp;$H$3&amp;"'!$H$19"))))))+(INDIRECT("'"&amp;$H$3&amp;"'!T$99")/INDIRECT("'"&amp;$H$3&amp;"'!T320"))),0)</f>
        <v>0</v>
      </c>
      <c r="U431" s="836"/>
      <c r="V431" s="836"/>
      <c r="W431" s="836">
        <f ca="1">IFERROR(((INDIRECT("'"&amp;$H$3&amp;"'!W313")*INDIRECT("'"&amp;$H$3&amp;"'!$H$10"))-(2*INDIRECT("'"&amp;$H$3&amp;"'!W$98")/INDIRECT("'"&amp;$H$3&amp;"'!W321"))+(INDIRECT("'"&amp;$H$3&amp;"'!W$99")/INDIRECT("'"&amp;$H$3&amp;"'!W320")))/(((1/60)*(INDIRECT("'"&amp;$H$3&amp;"'!W317")+INDIRECT("'"&amp;$H$3&amp;"'!$H$19")*(INDIRECT("'"&amp;$H$3&amp;"'!W318")+(INDIRECT("'"&amp;$H$3&amp;"'!W319")*('1_Outputs'!W$52/INDIRECT("'"&amp;$H$3&amp;"'!W$261")/INDIRECT("'"&amp;$H$3&amp;"'!$H$19"))))))+(INDIRECT("'"&amp;$H$3&amp;"'!W$99")/INDIRECT("'"&amp;$H$3&amp;"'!W320"))),0)</f>
        <v>0</v>
      </c>
      <c r="X431" s="1469"/>
      <c r="Y431" s="36"/>
      <c r="Z431" s="36"/>
      <c r="AA431" s="36"/>
      <c r="AB431" s="36"/>
      <c r="AC431" s="36"/>
      <c r="AD431" s="36"/>
      <c r="AE431" s="36"/>
      <c r="AF431" s="36"/>
      <c r="AG431" s="36"/>
      <c r="AH431" s="36"/>
      <c r="AI431" s="36"/>
      <c r="AJ431" s="36"/>
      <c r="AK431" s="36"/>
      <c r="AL431" s="36"/>
      <c r="AM431" s="36"/>
      <c r="AN431" s="36"/>
    </row>
    <row r="432" spans="6:40" outlineLevel="1">
      <c r="G432" s="6" t="s">
        <v>206</v>
      </c>
      <c r="H432" s="836"/>
      <c r="I432" s="836"/>
      <c r="J432" s="836"/>
      <c r="K432" s="836">
        <f ca="1">IFERROR(ROUND(K426*INDIRECT("'"&amp;$H$3&amp;"'!K$261")/K431,0),0)</f>
        <v>0</v>
      </c>
      <c r="L432" s="836"/>
      <c r="M432" s="836"/>
      <c r="N432" s="836">
        <f ca="1">IFERROR(ROUND(N426*INDIRECT("'"&amp;$H$3&amp;"'!N$261")/N431,0),0)</f>
        <v>0</v>
      </c>
      <c r="O432" s="836"/>
      <c r="P432" s="836"/>
      <c r="Q432" s="836">
        <f ca="1">IFERROR(ROUND(Q426*INDIRECT("'"&amp;$H$3&amp;"'!Q$261")/Q431,0),0)</f>
        <v>0</v>
      </c>
      <c r="R432" s="836"/>
      <c r="S432" s="836"/>
      <c r="T432" s="836">
        <f ca="1">IFERROR(ROUND(T426*INDIRECT("'"&amp;$H$3&amp;"'!T$261")/T431,0),0)</f>
        <v>0</v>
      </c>
      <c r="U432" s="836"/>
      <c r="V432" s="836"/>
      <c r="W432" s="836">
        <f ca="1">IFERROR(ROUND(W426*INDIRECT("'"&amp;$H$3&amp;"'!W$261")/W431,0),0)</f>
        <v>0</v>
      </c>
      <c r="X432" s="1469"/>
      <c r="Y432" s="36"/>
      <c r="Z432" s="36"/>
      <c r="AA432" s="36"/>
      <c r="AB432" s="36"/>
      <c r="AC432" s="36"/>
      <c r="AD432" s="36"/>
      <c r="AE432" s="36"/>
      <c r="AF432" s="36"/>
      <c r="AG432" s="36"/>
      <c r="AH432" s="36"/>
      <c r="AI432" s="36"/>
      <c r="AJ432" s="36"/>
      <c r="AK432" s="36"/>
      <c r="AL432" s="36"/>
      <c r="AM432" s="36"/>
      <c r="AN432" s="36"/>
    </row>
    <row r="433" spans="7:40" outlineLevel="1">
      <c r="G433" s="6" t="s">
        <v>87</v>
      </c>
      <c r="H433" s="836"/>
      <c r="I433" s="836"/>
      <c r="J433" s="836"/>
      <c r="K433" s="836">
        <f ca="1">IFERROR(IF(K426=0,0,(2*INDIRECT("'"&amp;$H$3&amp;"'!K$98"))+((MAX(K431, 1)-1)*INDIRECT("'"&amp;$H$3&amp;"'!K$99"))),0)</f>
        <v>0</v>
      </c>
      <c r="L433" s="836"/>
      <c r="M433" s="836"/>
      <c r="N433" s="836">
        <f ca="1">IFERROR(IF(N426=0,0,(2*INDIRECT("'"&amp;$H$3&amp;"'!N$98"))+((MAX(N431, 1)-1)*INDIRECT("'"&amp;$H$3&amp;"'!N$99"))),0)</f>
        <v>0</v>
      </c>
      <c r="O433" s="836"/>
      <c r="P433" s="836"/>
      <c r="Q433" s="836">
        <f ca="1">IFERROR(IF(Q426=0,0,(2*INDIRECT("'"&amp;$H$3&amp;"'!Q$98"))+((MAX(Q431, 1)-1)*INDIRECT("'"&amp;$H$3&amp;"'!Q$99"))),0)</f>
        <v>0</v>
      </c>
      <c r="R433" s="836"/>
      <c r="S433" s="836"/>
      <c r="T433" s="836">
        <f ca="1">IFERROR(IF(T426=0,0,(2*INDIRECT("'"&amp;$H$3&amp;"'!T$98"))+((MAX(T431, 1)-1)*INDIRECT("'"&amp;$H$3&amp;"'!T$99"))),0)</f>
        <v>0</v>
      </c>
      <c r="U433" s="836"/>
      <c r="V433" s="836"/>
      <c r="W433" s="836">
        <f ca="1">IFERROR(IF(W426=0,0,(2*INDIRECT("'"&amp;$H$3&amp;"'!W$98"))+((MAX(W431, 1)-1)*INDIRECT("'"&amp;$H$3&amp;"'!W$99"))),0)</f>
        <v>0</v>
      </c>
      <c r="X433" s="1469"/>
      <c r="Y433" s="36"/>
      <c r="Z433" s="36"/>
      <c r="AA433" s="36"/>
      <c r="AB433" s="36"/>
      <c r="AC433" s="36"/>
      <c r="AD433" s="36"/>
      <c r="AE433" s="36"/>
      <c r="AF433" s="36"/>
      <c r="AG433" s="36"/>
      <c r="AH433" s="36"/>
      <c r="AI433" s="36"/>
      <c r="AJ433" s="36"/>
      <c r="AK433" s="36"/>
      <c r="AL433" s="36"/>
      <c r="AM433" s="36"/>
      <c r="AN433" s="36"/>
    </row>
    <row r="434" spans="7:40" outlineLevel="1">
      <c r="G434" s="6" t="s">
        <v>203</v>
      </c>
      <c r="H434" s="838"/>
      <c r="I434" s="838"/>
      <c r="J434" s="838"/>
      <c r="K434" s="838">
        <f ca="1">IFERROR((ROUNDUP(K431,1)*((1/60)*(INDIRECT("'"&amp;$H$3&amp;"'!K317")+INDIRECT("'"&amp;$H$3&amp;"'!$H$19")*(INDIRECT("'"&amp;$H$3&amp;"'!K318")+(INDIRECT("'"&amp;$H$3&amp;"'!K319")*('1_Outputs'!K$52/INDIRECT("'"&amp;$H$3&amp;"'!K$261")/INDIRECT("'"&amp;$H$3&amp;"'!$H$19")))))))+((2*INDIRECT("'"&amp;$H$3&amp;"'!K$98"))/INDIRECT("'"&amp;$H$3&amp;"'!K321"))+(((MAX(K431,1)-1)*INDIRECT("'"&amp;$H$3&amp;"'!K$99"))/INDIRECT("'"&amp;$H$3&amp;"'!K320")),0)</f>
        <v>0</v>
      </c>
      <c r="L434" s="838"/>
      <c r="M434" s="838"/>
      <c r="N434" s="838">
        <f ca="1">IFERROR((ROUNDUP(N431,1)*((1/60)*(INDIRECT("'"&amp;$H$3&amp;"'!N317")+INDIRECT("'"&amp;$H$3&amp;"'!$H$19")*(INDIRECT("'"&amp;$H$3&amp;"'!N318")+(INDIRECT("'"&amp;$H$3&amp;"'!N319")*('1_Outputs'!N$52/INDIRECT("'"&amp;$H$3&amp;"'!N$261")/INDIRECT("'"&amp;$H$3&amp;"'!$H$19")))))))+((2*INDIRECT("'"&amp;$H$3&amp;"'!N$98"))/INDIRECT("'"&amp;$H$3&amp;"'!N321"))+(((MAX(N431,1)-1)*INDIRECT("'"&amp;$H$3&amp;"'!N$99"))/INDIRECT("'"&amp;$H$3&amp;"'!N320")),0)</f>
        <v>0</v>
      </c>
      <c r="O434" s="838"/>
      <c r="P434" s="838"/>
      <c r="Q434" s="838">
        <f ca="1">IFERROR((ROUNDUP(Q431,1)*((1/60)*(INDIRECT("'"&amp;$H$3&amp;"'!Q317")+INDIRECT("'"&amp;$H$3&amp;"'!$H$19")*(INDIRECT("'"&amp;$H$3&amp;"'!Q318")+(INDIRECT("'"&amp;$H$3&amp;"'!Q319")*('1_Outputs'!Q$52/INDIRECT("'"&amp;$H$3&amp;"'!Q$261")/INDIRECT("'"&amp;$H$3&amp;"'!$H$19")))))))+((2*INDIRECT("'"&amp;$H$3&amp;"'!Q$98"))/INDIRECT("'"&amp;$H$3&amp;"'!Q321"))+(((MAX(Q431,1)-1)*INDIRECT("'"&amp;$H$3&amp;"'!Q$99"))/INDIRECT("'"&amp;$H$3&amp;"'!Q320")),0)</f>
        <v>0</v>
      </c>
      <c r="R434" s="838"/>
      <c r="S434" s="838"/>
      <c r="T434" s="838">
        <f ca="1">IFERROR((ROUNDUP(T431,1)*((1/60)*(INDIRECT("'"&amp;$H$3&amp;"'!T317")+INDIRECT("'"&amp;$H$3&amp;"'!$H$19")*(INDIRECT("'"&amp;$H$3&amp;"'!T318")+(INDIRECT("'"&amp;$H$3&amp;"'!T319")*('1_Outputs'!T$52/INDIRECT("'"&amp;$H$3&amp;"'!T$261")/INDIRECT("'"&amp;$H$3&amp;"'!$H$19")))))))+((2*INDIRECT("'"&amp;$H$3&amp;"'!T$98"))/INDIRECT("'"&amp;$H$3&amp;"'!T321"))+(((MAX(T431,1)-1)*INDIRECT("'"&amp;$H$3&amp;"'!T$99"))/INDIRECT("'"&amp;$H$3&amp;"'!T320")),0)</f>
        <v>0</v>
      </c>
      <c r="U434" s="838"/>
      <c r="V434" s="838"/>
      <c r="W434" s="838">
        <f ca="1">IFERROR((ROUNDUP(W431,1)*((1/60)*(INDIRECT("'"&amp;$H$3&amp;"'!W317")+INDIRECT("'"&amp;$H$3&amp;"'!$H$19")*(INDIRECT("'"&amp;$H$3&amp;"'!W318")+(INDIRECT("'"&amp;$H$3&amp;"'!W319")*('1_Outputs'!W$52/INDIRECT("'"&amp;$H$3&amp;"'!W$261")/INDIRECT("'"&amp;$H$3&amp;"'!$H$19")))))))+((2*INDIRECT("'"&amp;$H$3&amp;"'!W$98"))/INDIRECT("'"&amp;$H$3&amp;"'!W321"))+(((MAX(W431,1)-1)*INDIRECT("'"&amp;$H$3&amp;"'!W$99"))/INDIRECT("'"&amp;$H$3&amp;"'!W320")),0)</f>
        <v>0</v>
      </c>
      <c r="X434" s="1465"/>
      <c r="Y434" s="36"/>
      <c r="Z434" s="36"/>
      <c r="AA434" s="36"/>
      <c r="AB434" s="36"/>
      <c r="AC434" s="36"/>
      <c r="AD434" s="36"/>
      <c r="AE434" s="36"/>
      <c r="AF434" s="36"/>
      <c r="AG434" s="36"/>
      <c r="AH434" s="36"/>
      <c r="AI434" s="36"/>
      <c r="AJ434" s="36"/>
      <c r="AK434" s="36"/>
      <c r="AL434" s="36"/>
      <c r="AM434" s="36"/>
      <c r="AN434" s="36"/>
    </row>
    <row r="435" spans="7:40" outlineLevel="1">
      <c r="G435" s="6" t="s">
        <v>204</v>
      </c>
      <c r="H435" s="838"/>
      <c r="I435" s="838"/>
      <c r="J435" s="838"/>
      <c r="K435" s="838">
        <f ca="1">IFERROR((INDIRECT("'"&amp;$H$3&amp;"'!$H$10")*INDIRECT("'"&amp;$H$3&amp;"'!$H$9")*INDIRECT("'"&amp;$H$3&amp;"'!K308"))/K434,0)</f>
        <v>0</v>
      </c>
      <c r="L435" s="838"/>
      <c r="M435" s="838"/>
      <c r="N435" s="838">
        <f ca="1">IFERROR((INDIRECT("'"&amp;$H$3&amp;"'!$H$10")*INDIRECT("'"&amp;$H$3&amp;"'!$H$9")*INDIRECT("'"&amp;$H$3&amp;"'!N308"))/N434,0)</f>
        <v>0</v>
      </c>
      <c r="O435" s="838"/>
      <c r="P435" s="838"/>
      <c r="Q435" s="838">
        <f ca="1">IFERROR((INDIRECT("'"&amp;$H$3&amp;"'!$H$10")*INDIRECT("'"&amp;$H$3&amp;"'!$H$9")*INDIRECT("'"&amp;$H$3&amp;"'!Q308"))/Q434,0)</f>
        <v>0</v>
      </c>
      <c r="R435" s="838"/>
      <c r="S435" s="838"/>
      <c r="T435" s="838">
        <f ca="1">IFERROR((INDIRECT("'"&amp;$H$3&amp;"'!$H$10")*INDIRECT("'"&amp;$H$3&amp;"'!$H$9")*INDIRECT("'"&amp;$H$3&amp;"'!T308"))/T434,0)</f>
        <v>0</v>
      </c>
      <c r="U435" s="838"/>
      <c r="V435" s="838"/>
      <c r="W435" s="838">
        <f ca="1">IFERROR((INDIRECT("'"&amp;$H$3&amp;"'!$H$10")*INDIRECT("'"&amp;$H$3&amp;"'!$H$9")*INDIRECT("'"&amp;$H$3&amp;"'!W308"))/W434,0)</f>
        <v>0</v>
      </c>
      <c r="X435" s="1465"/>
      <c r="Y435" s="36"/>
      <c r="Z435" s="36"/>
      <c r="AA435" s="36"/>
      <c r="AB435" s="36"/>
      <c r="AC435" s="36"/>
      <c r="AD435" s="36"/>
      <c r="AE435" s="36"/>
      <c r="AF435" s="36"/>
      <c r="AG435" s="36"/>
      <c r="AH435" s="36"/>
      <c r="AI435" s="36"/>
      <c r="AJ435" s="36"/>
      <c r="AK435" s="242"/>
      <c r="AL435" s="36"/>
      <c r="AM435" s="36"/>
      <c r="AN435" s="36"/>
    </row>
    <row r="436" spans="7:40" outlineLevel="1">
      <c r="G436" s="241" t="s">
        <v>134</v>
      </c>
      <c r="H436" s="842"/>
      <c r="I436" s="842"/>
      <c r="J436" s="842"/>
      <c r="K436" s="842"/>
      <c r="L436" s="842"/>
      <c r="M436" s="842"/>
      <c r="N436" s="842"/>
      <c r="O436" s="842"/>
      <c r="P436" s="842"/>
      <c r="Q436" s="842"/>
      <c r="R436" s="853"/>
      <c r="S436" s="853"/>
      <c r="T436" s="842"/>
      <c r="U436" s="853"/>
      <c r="V436" s="853"/>
      <c r="W436" s="842"/>
      <c r="X436" s="1470"/>
      <c r="Y436" s="36"/>
      <c r="Z436" s="36"/>
      <c r="AA436" s="36"/>
      <c r="AB436" s="36"/>
      <c r="AC436" s="36"/>
      <c r="AD436" s="36"/>
      <c r="AE436" s="36"/>
      <c r="AF436" s="36"/>
      <c r="AG436" s="36"/>
      <c r="AH436" s="36"/>
      <c r="AI436" s="36"/>
      <c r="AJ436" s="36"/>
      <c r="AK436" s="242"/>
      <c r="AL436" s="36"/>
      <c r="AM436" s="36"/>
      <c r="AN436" s="36"/>
    </row>
    <row r="437" spans="7:40" outlineLevel="1">
      <c r="G437" s="6" t="s">
        <v>206</v>
      </c>
      <c r="H437" s="836"/>
      <c r="I437" s="836"/>
      <c r="J437" s="836"/>
      <c r="K437" s="836">
        <f ca="1">IFERROR(K426*INDIRECT("'"&amp;$H$3&amp;"'!K$261"),0)</f>
        <v>0</v>
      </c>
      <c r="L437" s="836"/>
      <c r="M437" s="836"/>
      <c r="N437" s="836">
        <f ca="1">IFERROR(N426*INDIRECT("'"&amp;$H$3&amp;"'!N$261"),0)</f>
        <v>0</v>
      </c>
      <c r="O437" s="836"/>
      <c r="P437" s="836"/>
      <c r="Q437" s="836">
        <f ca="1">IFERROR(Q426*INDIRECT("'"&amp;$H$3&amp;"'!Q$261"),0)</f>
        <v>0</v>
      </c>
      <c r="R437" s="836"/>
      <c r="S437" s="836"/>
      <c r="T437" s="836">
        <f ca="1">IFERROR(T426*INDIRECT("'"&amp;$H$3&amp;"'!T$261"),0)</f>
        <v>0</v>
      </c>
      <c r="U437" s="836"/>
      <c r="V437" s="836"/>
      <c r="W437" s="836">
        <f ca="1">IFERROR(W426*INDIRECT("'"&amp;$H$3&amp;"'!W$261"),0)</f>
        <v>0</v>
      </c>
      <c r="X437" s="1469"/>
      <c r="Y437" s="36"/>
      <c r="Z437" s="36"/>
      <c r="AA437" s="36"/>
      <c r="AB437" s="36" t="s">
        <v>192</v>
      </c>
      <c r="AC437" s="36"/>
      <c r="AD437" s="36" t="s">
        <v>193</v>
      </c>
      <c r="AE437" s="36"/>
      <c r="AF437" s="36"/>
      <c r="AG437" s="36"/>
      <c r="AH437" s="36"/>
      <c r="AI437" s="36"/>
      <c r="AJ437" s="36"/>
      <c r="AK437" s="36"/>
      <c r="AL437" s="36"/>
      <c r="AM437" s="36"/>
      <c r="AN437" s="36"/>
    </row>
    <row r="438" spans="7:40" outlineLevel="1">
      <c r="G438" s="6" t="s">
        <v>87</v>
      </c>
      <c r="H438" s="836"/>
      <c r="I438" s="836"/>
      <c r="J438" s="836"/>
      <c r="K438" s="836">
        <f ca="1">IFERROR(IF(K426=0,0,2*INDIRECT("'"&amp;$H$3&amp;"'!K$98")),0)</f>
        <v>0</v>
      </c>
      <c r="L438" s="836"/>
      <c r="M438" s="836"/>
      <c r="N438" s="836">
        <f ca="1">IFERROR(IF(N426=0,0,2*INDIRECT("'"&amp;$H$3&amp;"'!N$98")),0)</f>
        <v>0</v>
      </c>
      <c r="O438" s="836"/>
      <c r="P438" s="836"/>
      <c r="Q438" s="836">
        <f ca="1">IFERROR(IF(Q426=0,0,2*INDIRECT("'"&amp;$H$3&amp;"'!Q$98")),0)</f>
        <v>0</v>
      </c>
      <c r="R438" s="836"/>
      <c r="S438" s="836"/>
      <c r="T438" s="836">
        <f ca="1">IFERROR(IF(T426=0,0,2*INDIRECT("'"&amp;$H$3&amp;"'!T$98")),0)</f>
        <v>0</v>
      </c>
      <c r="U438" s="836"/>
      <c r="V438" s="836"/>
      <c r="W438" s="836">
        <f ca="1">IFERROR(IF(W426=0,0,2*INDIRECT("'"&amp;$H$3&amp;"'!W$98")),0)</f>
        <v>0</v>
      </c>
      <c r="X438" s="1469"/>
      <c r="Y438" s="36"/>
      <c r="Z438" s="36"/>
      <c r="AA438" s="36"/>
      <c r="AB438" s="36" t="s">
        <v>194</v>
      </c>
      <c r="AC438" s="36"/>
      <c r="AD438" s="36" t="s">
        <v>195</v>
      </c>
      <c r="AE438" s="36"/>
      <c r="AF438" s="36"/>
      <c r="AG438" s="36"/>
      <c r="AH438" s="36"/>
      <c r="AI438" s="36"/>
      <c r="AJ438" s="36"/>
      <c r="AK438" s="36"/>
      <c r="AL438" s="36"/>
      <c r="AM438" s="36"/>
      <c r="AN438" s="36"/>
    </row>
    <row r="439" spans="7:40" outlineLevel="1">
      <c r="G439" s="6" t="s">
        <v>204</v>
      </c>
      <c r="H439" s="837"/>
      <c r="I439" s="837"/>
      <c r="J439" s="837"/>
      <c r="K439" s="837">
        <f ca="1">IFERROR((INDIRECT("'"&amp;$H$3&amp;"'!$H$10")*INDIRECT("'"&amp;$H$3&amp;"'!$H$9")*INDIRECT("'"&amp;$H$3&amp;"'!K308"))/((K438/INDIRECT("'"&amp;$H$3&amp;"'!K321"))+((1/60)*(INDIRECT("'"&amp;$H$3&amp;"'!K317")+INDIRECT("'"&amp;$H$3&amp;"'!$H$19")*(INDIRECT("'"&amp;$H$3&amp;"'!K318")+(INDIRECT("'"&amp;$H$3&amp;"'!K319")*('1_Outputs'!K$52/INDIRECT("'"&amp;$H$3&amp;"'!K$261")/INDIRECT("'"&amp;$H$3&amp;"'!$H$19"))))))),0)</f>
        <v>0</v>
      </c>
      <c r="L439" s="837"/>
      <c r="M439" s="837"/>
      <c r="N439" s="837">
        <f ca="1">IFERROR((INDIRECT("'"&amp;$H$3&amp;"'!$H$10")*INDIRECT("'"&amp;$H$3&amp;"'!$H$9")*INDIRECT("'"&amp;$H$3&amp;"'!N308"))/((N438/INDIRECT("'"&amp;$H$3&amp;"'!N321"))+((1/60)*(INDIRECT("'"&amp;$H$3&amp;"'!N317")+INDIRECT("'"&amp;$H$3&amp;"'!$H$19")*(INDIRECT("'"&amp;$H$3&amp;"'!N318")+(INDIRECT("'"&amp;$H$3&amp;"'!N319")*('1_Outputs'!N$52/INDIRECT("'"&amp;$H$3&amp;"'!N$261")/INDIRECT("'"&amp;$H$3&amp;"'!$H$19"))))))),0)</f>
        <v>0</v>
      </c>
      <c r="O439" s="837"/>
      <c r="P439" s="837"/>
      <c r="Q439" s="837">
        <f ca="1">IFERROR((INDIRECT("'"&amp;$H$3&amp;"'!$H$10")*INDIRECT("'"&amp;$H$3&amp;"'!$H$9")*INDIRECT("'"&amp;$H$3&amp;"'!Q308"))/((Q438/INDIRECT("'"&amp;$H$3&amp;"'!Q321"))+((1/60)*(INDIRECT("'"&amp;$H$3&amp;"'!Q317")+INDIRECT("'"&amp;$H$3&amp;"'!$H$19")*(INDIRECT("'"&amp;$H$3&amp;"'!Q318")+(INDIRECT("'"&amp;$H$3&amp;"'!Q319")*('1_Outputs'!Q$52/INDIRECT("'"&amp;$H$3&amp;"'!Q$261")/INDIRECT("'"&amp;$H$3&amp;"'!$H$19"))))))),0)</f>
        <v>0</v>
      </c>
      <c r="R439" s="837"/>
      <c r="S439" s="837"/>
      <c r="T439" s="837">
        <f ca="1">IFERROR((INDIRECT("'"&amp;$H$3&amp;"'!$H$10")*INDIRECT("'"&amp;$H$3&amp;"'!$H$9")*INDIRECT("'"&amp;$H$3&amp;"'!T308"))/((T438/INDIRECT("'"&amp;$H$3&amp;"'!T321"))+((1/60)*(INDIRECT("'"&amp;$H$3&amp;"'!T317")+INDIRECT("'"&amp;$H$3&amp;"'!$H$19")*(INDIRECT("'"&amp;$H$3&amp;"'!T318")+(INDIRECT("'"&amp;$H$3&amp;"'!T319")*('1_Outputs'!T$52/INDIRECT("'"&amp;$H$3&amp;"'!T$261")/INDIRECT("'"&amp;$H$3&amp;"'!$H$19"))))))),0)</f>
        <v>0</v>
      </c>
      <c r="U439" s="837"/>
      <c r="V439" s="837"/>
      <c r="W439" s="837">
        <f ca="1">IFERROR((INDIRECT("'"&amp;$H$3&amp;"'!$H$10")*INDIRECT("'"&amp;$H$3&amp;"'!$H$9")*INDIRECT("'"&amp;$H$3&amp;"'!W308"))/((W438/INDIRECT("'"&amp;$H$3&amp;"'!W321"))+((1/60)*(INDIRECT("'"&amp;$H$3&amp;"'!W317")+INDIRECT("'"&amp;$H$3&amp;"'!$H$19")*(INDIRECT("'"&amp;$H$3&amp;"'!W318")+(INDIRECT("'"&amp;$H$3&amp;"'!W319")*('1_Outputs'!W$52/INDIRECT("'"&amp;$H$3&amp;"'!W$261")/INDIRECT("'"&amp;$H$3&amp;"'!$H$19"))))))),0)</f>
        <v>0</v>
      </c>
      <c r="X439" s="1468"/>
      <c r="Y439" s="36"/>
      <c r="Z439" s="36"/>
      <c r="AA439" s="36"/>
      <c r="AB439" s="36" t="s">
        <v>196</v>
      </c>
      <c r="AC439" s="36"/>
      <c r="AD439" s="36" t="s">
        <v>197</v>
      </c>
      <c r="AE439" s="36"/>
      <c r="AF439" s="36"/>
      <c r="AG439" s="36"/>
      <c r="AH439" s="36"/>
      <c r="AI439" s="36"/>
      <c r="AJ439" s="36"/>
      <c r="AK439" s="36"/>
      <c r="AL439" s="36"/>
      <c r="AM439" s="36"/>
      <c r="AN439" s="36"/>
    </row>
    <row r="440" spans="7:40" outlineLevel="1">
      <c r="R440" s="36"/>
      <c r="S440" s="36"/>
      <c r="T440" s="36"/>
      <c r="U440" s="36"/>
      <c r="V440" s="36"/>
      <c r="W440" s="36"/>
      <c r="X440" s="1397"/>
      <c r="Y440" s="36"/>
      <c r="Z440" s="36"/>
      <c r="AA440" s="36"/>
      <c r="AB440" s="36"/>
      <c r="AC440" s="36"/>
      <c r="AD440" s="36"/>
      <c r="AE440" s="36"/>
      <c r="AF440" s="36"/>
      <c r="AG440" s="36"/>
      <c r="AH440" s="36"/>
      <c r="AI440" s="36"/>
      <c r="AJ440" s="36"/>
      <c r="AK440" s="36"/>
      <c r="AL440" s="36"/>
      <c r="AM440" s="36"/>
      <c r="AN440" s="36"/>
    </row>
    <row r="441" spans="7:40" outlineLevel="1">
      <c r="R441" s="36"/>
      <c r="S441" s="36"/>
      <c r="T441" s="36"/>
      <c r="U441" s="36"/>
      <c r="V441" s="36"/>
      <c r="W441" s="36"/>
      <c r="X441" s="1397"/>
      <c r="Y441" s="36"/>
      <c r="Z441" s="36"/>
      <c r="AA441" s="36"/>
      <c r="AB441" s="36"/>
      <c r="AC441" s="36"/>
      <c r="AD441" s="36"/>
      <c r="AE441" s="36"/>
      <c r="AF441" s="36"/>
      <c r="AG441" s="36"/>
      <c r="AH441" s="36"/>
      <c r="AI441" s="36"/>
      <c r="AJ441" s="36"/>
      <c r="AK441" s="36"/>
      <c r="AL441" s="36"/>
      <c r="AM441" s="36"/>
      <c r="AN441" s="36"/>
    </row>
    <row r="442" spans="7:40">
      <c r="H442" s="67"/>
      <c r="I442" s="67"/>
      <c r="J442" s="67"/>
      <c r="K442" s="67"/>
      <c r="L442" s="67"/>
      <c r="M442" s="67"/>
      <c r="N442" s="67"/>
      <c r="O442" s="67"/>
      <c r="P442" s="67"/>
      <c r="R442" s="243"/>
      <c r="S442" s="243"/>
      <c r="T442" s="243"/>
      <c r="U442" s="243"/>
      <c r="V442" s="243"/>
      <c r="W442" s="243"/>
      <c r="X442" s="1457"/>
      <c r="Y442" s="36"/>
      <c r="Z442" s="36"/>
      <c r="AA442" s="36"/>
      <c r="AB442" s="36"/>
      <c r="AC442" s="36"/>
      <c r="AD442" s="36"/>
      <c r="AE442" s="36"/>
      <c r="AF442" s="36"/>
      <c r="AG442" s="36"/>
      <c r="AH442" s="36"/>
      <c r="AI442" s="36"/>
      <c r="AJ442" s="36"/>
      <c r="AK442" s="36"/>
      <c r="AL442" s="36"/>
      <c r="AM442" s="36"/>
      <c r="AN442" s="36"/>
    </row>
    <row r="443" spans="7:40">
      <c r="H443" s="67"/>
      <c r="I443" s="67"/>
      <c r="J443" s="67"/>
      <c r="K443" s="67"/>
      <c r="L443" s="67"/>
      <c r="M443" s="67"/>
      <c r="N443" s="67"/>
      <c r="O443" s="67"/>
      <c r="P443" s="67"/>
      <c r="R443" s="243"/>
      <c r="S443" s="243"/>
      <c r="T443" s="243"/>
      <c r="U443" s="243"/>
      <c r="V443" s="243"/>
      <c r="W443" s="243"/>
      <c r="X443" s="1457"/>
      <c r="Y443" s="36"/>
      <c r="Z443" s="36"/>
      <c r="AA443" s="36"/>
      <c r="AB443" s="36"/>
      <c r="AC443" s="36"/>
      <c r="AD443" s="36"/>
      <c r="AE443" s="36"/>
      <c r="AF443" s="36"/>
      <c r="AG443" s="36"/>
      <c r="AH443" s="36"/>
      <c r="AI443" s="36"/>
      <c r="AJ443" s="36"/>
      <c r="AK443" s="242"/>
      <c r="AL443" s="36"/>
      <c r="AM443" s="36"/>
      <c r="AN443" s="36"/>
    </row>
    <row r="444" spans="7:40">
      <c r="R444" s="243"/>
      <c r="S444" s="243"/>
      <c r="T444" s="243"/>
      <c r="U444" s="243"/>
      <c r="V444" s="243"/>
      <c r="W444" s="243"/>
      <c r="X444" s="1457"/>
      <c r="Y444" s="36"/>
      <c r="Z444" s="36"/>
      <c r="AA444" s="36"/>
      <c r="AB444" s="36"/>
      <c r="AC444" s="36"/>
      <c r="AD444" s="36"/>
      <c r="AE444" s="36"/>
      <c r="AF444" s="36"/>
      <c r="AG444" s="36"/>
      <c r="AH444" s="36"/>
      <c r="AI444" s="36"/>
      <c r="AJ444" s="36"/>
      <c r="AK444" s="36"/>
      <c r="AL444" s="36"/>
      <c r="AM444" s="36"/>
      <c r="AN444" s="36"/>
    </row>
    <row r="445" spans="7:40">
      <c r="R445" s="243"/>
      <c r="S445" s="243"/>
      <c r="T445" s="243"/>
      <c r="U445" s="243"/>
      <c r="V445" s="243"/>
      <c r="W445" s="243"/>
      <c r="X445" s="1457"/>
      <c r="Y445" s="36"/>
      <c r="Z445" s="36"/>
      <c r="AA445" s="36"/>
      <c r="AB445" s="36"/>
      <c r="AC445" s="36"/>
      <c r="AD445" s="36"/>
      <c r="AE445" s="36"/>
      <c r="AF445" s="36"/>
      <c r="AG445" s="36"/>
      <c r="AH445" s="36"/>
      <c r="AI445" s="36"/>
      <c r="AJ445" s="36"/>
      <c r="AK445" s="36"/>
      <c r="AL445" s="36"/>
      <c r="AM445" s="36"/>
      <c r="AN445" s="36"/>
    </row>
    <row r="446" spans="7:40">
      <c r="R446" s="243"/>
      <c r="S446" s="243"/>
      <c r="T446" s="243"/>
      <c r="U446" s="243"/>
      <c r="V446" s="243"/>
      <c r="W446" s="243"/>
      <c r="X446" s="1457"/>
      <c r="Y446" s="36"/>
      <c r="Z446" s="36"/>
      <c r="AA446" s="36"/>
      <c r="AB446" s="36"/>
      <c r="AC446" s="36"/>
      <c r="AD446" s="36"/>
      <c r="AE446" s="36"/>
      <c r="AF446" s="36"/>
      <c r="AG446" s="36"/>
      <c r="AH446" s="36"/>
      <c r="AI446" s="36"/>
      <c r="AJ446" s="36"/>
      <c r="AK446" s="36"/>
      <c r="AL446" s="36"/>
      <c r="AM446" s="36"/>
      <c r="AN446" s="36"/>
    </row>
    <row r="447" spans="7:40">
      <c r="R447" s="243"/>
      <c r="S447" s="243"/>
      <c r="T447" s="243"/>
      <c r="U447" s="243"/>
      <c r="V447" s="243"/>
      <c r="W447" s="243"/>
      <c r="X447" s="1457"/>
      <c r="Y447" s="36"/>
      <c r="Z447" s="36"/>
      <c r="AA447" s="36"/>
      <c r="AB447" s="36"/>
      <c r="AC447" s="36"/>
      <c r="AD447" s="36"/>
      <c r="AE447" s="36"/>
      <c r="AF447" s="36"/>
      <c r="AG447" s="36"/>
      <c r="AH447" s="36"/>
      <c r="AI447" s="36"/>
      <c r="AJ447" s="36"/>
      <c r="AK447" s="36"/>
      <c r="AL447" s="36"/>
      <c r="AM447" s="36"/>
      <c r="AN447" s="36"/>
    </row>
  </sheetData>
  <sheetProtection algorithmName="SHA-512" hashValue="fnLZZrokSPoJSZ0gOkW4kbjTo9+9DZmw7zshM+Iic6I75UfctB/FqqMyYvjAiBGSmYuPCn3h/RNk/aUaTXwToA==" saltValue="2kqm4Bh6ISdUlr6x4WeXoA==" spinCount="100000" sheet="1" formatColumns="0" formatRows="0"/>
  <protectedRanges>
    <protectedRange sqref="H3:K3" name="Range1"/>
  </protectedRanges>
  <mergeCells count="33">
    <mergeCell ref="F146:G146"/>
    <mergeCell ref="A1:T1"/>
    <mergeCell ref="AP48:AU48"/>
    <mergeCell ref="AP50:AS51"/>
    <mergeCell ref="AT50:AT51"/>
    <mergeCell ref="AU50:AU51"/>
    <mergeCell ref="AP52:AS53"/>
    <mergeCell ref="AT52:AT53"/>
    <mergeCell ref="AU52:AU53"/>
    <mergeCell ref="F38:F41"/>
    <mergeCell ref="Y38:Y41"/>
    <mergeCell ref="Z38:Z41"/>
    <mergeCell ref="F42:F45"/>
    <mergeCell ref="Y42:Y45"/>
    <mergeCell ref="Z42:Z45"/>
    <mergeCell ref="Y31:Y33"/>
    <mergeCell ref="Z31:Z33"/>
    <mergeCell ref="F34:F37"/>
    <mergeCell ref="Y34:Y37"/>
    <mergeCell ref="Z34:Z37"/>
    <mergeCell ref="F14:G14"/>
    <mergeCell ref="H14:K14"/>
    <mergeCell ref="H15:K15"/>
    <mergeCell ref="H16:K16"/>
    <mergeCell ref="F31:F33"/>
    <mergeCell ref="H18:K18"/>
    <mergeCell ref="H12:K12"/>
    <mergeCell ref="H13:K13"/>
    <mergeCell ref="H3:K3"/>
    <mergeCell ref="H4:K4"/>
    <mergeCell ref="H9:K9"/>
    <mergeCell ref="H10:K10"/>
    <mergeCell ref="H11:K11"/>
  </mergeCells>
  <conditionalFormatting sqref="H265:N265 H293:J294 I279:J292 I266:J277 H382:J383 L266:P277 L279:P292 I355:J367 O355:P367 H191:J191 R157:X157 R171:X173 R165:X166 R159:X163 R175:X181 R183:X185 H351:N352 H148:J186 H262:N263 O149:X149 O154:Q185 H353:J354">
    <cfRule type="expression" dxfId="1053" priority="112">
      <formula>ISERROR(H148)</formula>
    </cfRule>
  </conditionalFormatting>
  <conditionalFormatting sqref="I368:J381 O368:P381">
    <cfRule type="expression" dxfId="1052" priority="111">
      <formula>ISERROR(I368)</formula>
    </cfRule>
  </conditionalFormatting>
  <conditionalFormatting sqref="H224:J224 H229:N229">
    <cfRule type="expression" dxfId="1051" priority="110">
      <formula>ISERROR(H224)</formula>
    </cfRule>
  </conditionalFormatting>
  <conditionalFormatting sqref="H323:N323 H322:J322">
    <cfRule type="expression" dxfId="1050" priority="109">
      <formula>ISERROR(H322)</formula>
    </cfRule>
  </conditionalFormatting>
  <conditionalFormatting sqref="H412:N412 H411:J411">
    <cfRule type="expression" dxfId="1049" priority="108">
      <formula>ISERROR(H411)</formula>
    </cfRule>
  </conditionalFormatting>
  <conditionalFormatting sqref="Q279:Q292 Q266:Q277">
    <cfRule type="expression" dxfId="1048" priority="107">
      <formula>ISERROR(Q266)</formula>
    </cfRule>
  </conditionalFormatting>
  <conditionalFormatting sqref="K266:K277 K279:K292">
    <cfRule type="expression" dxfId="1047" priority="106">
      <formula>ISERROR(K266)</formula>
    </cfRule>
  </conditionalFormatting>
  <conditionalFormatting sqref="H266:H277 H279:H292 I281:X282 I284:X288 I291:X291">
    <cfRule type="expression" dxfId="1046" priority="105">
      <formula>ISERROR(H266)</formula>
    </cfRule>
  </conditionalFormatting>
  <conditionalFormatting sqref="I308:J321 I295:J306 O295:P306 O308:P321">
    <cfRule type="expression" dxfId="1045" priority="104">
      <formula>ISERROR(I295)</formula>
    </cfRule>
  </conditionalFormatting>
  <conditionalFormatting sqref="Q308:Q321 Q295:Q306">
    <cfRule type="expression" dxfId="1044" priority="103">
      <formula>ISERROR(Q295)</formula>
    </cfRule>
  </conditionalFormatting>
  <conditionalFormatting sqref="H295:H306 H308:H321 I310:J311 I305:J306 I299:J303 I313:J317 I319:J321 O319:X321 O313:X317 O299:X303 O305:X306 O310:X311">
    <cfRule type="expression" dxfId="1043" priority="101">
      <formula>ISERROR(H295)</formula>
    </cfRule>
  </conditionalFormatting>
  <conditionalFormatting sqref="I337:J350 I324:J335 L324:P335 L337:P350">
    <cfRule type="expression" dxfId="1042" priority="100">
      <formula>ISERROR(I324)</formula>
    </cfRule>
  </conditionalFormatting>
  <conditionalFormatting sqref="Q337:Q350 Q324:Q335">
    <cfRule type="expression" dxfId="1041" priority="99">
      <formula>ISERROR(Q324)</formula>
    </cfRule>
  </conditionalFormatting>
  <conditionalFormatting sqref="K324:K335 K337:K350">
    <cfRule type="expression" dxfId="1040" priority="98">
      <formula>ISERROR(K324)</formula>
    </cfRule>
  </conditionalFormatting>
  <conditionalFormatting sqref="H324:H335 H337:H350 I339:X340 I334:X335 I328:X332 I342:X346 I348:X350">
    <cfRule type="expression" dxfId="1039" priority="97">
      <formula>ISERROR(H324)</formula>
    </cfRule>
  </conditionalFormatting>
  <conditionalFormatting sqref="H192:J207 H209:J223 R195:X195 R209:X211 R203:X204 R197:X201 R213:X219 R221:X223 O209:Q223 O192:Q207">
    <cfRule type="expression" dxfId="1038" priority="96">
      <formula>ISERROR(H192)</formula>
    </cfRule>
  </conditionalFormatting>
  <conditionalFormatting sqref="H230:Q245 H247:Q261 R233:X233 R247:X249 R241:X242 R235:X239 R251:X257 R259:X261">
    <cfRule type="expression" dxfId="1037" priority="95">
      <formula>ISERROR(H230)</formula>
    </cfRule>
  </conditionalFormatting>
  <conditionalFormatting sqref="H355:H367 I365:J366 I359:J363 O359:X363 O365:X366">
    <cfRule type="expression" dxfId="1036" priority="92">
      <formula>ISERROR(H355)</formula>
    </cfRule>
  </conditionalFormatting>
  <conditionalFormatting sqref="H368:H381 I370:J371 I373:J377 I379:J381 O379:X381 O373:X377 O370:X371">
    <cfRule type="expression" dxfId="1035" priority="91">
      <formula>ISERROR(H368)</formula>
    </cfRule>
  </conditionalFormatting>
  <conditionalFormatting sqref="Q355:Q367">
    <cfRule type="expression" dxfId="1034" priority="90">
      <formula>ISERROR(Q355)</formula>
    </cfRule>
  </conditionalFormatting>
  <conditionalFormatting sqref="Q368:Q381">
    <cfRule type="expression" dxfId="1033" priority="89">
      <formula>ISERROR(Q368)</formula>
    </cfRule>
  </conditionalFormatting>
  <conditionalFormatting sqref="I384:J396 O384:P396">
    <cfRule type="expression" dxfId="1032" priority="88">
      <formula>ISERROR(I384)</formula>
    </cfRule>
  </conditionalFormatting>
  <conditionalFormatting sqref="I397:J410 O397:P410">
    <cfRule type="expression" dxfId="1031" priority="87">
      <formula>ISERROR(I397)</formula>
    </cfRule>
  </conditionalFormatting>
  <conditionalFormatting sqref="H384:H396 I394:J395 I388:J392 O388:X392 O394:X395">
    <cfRule type="expression" dxfId="1030" priority="84">
      <formula>ISERROR(H384)</formula>
    </cfRule>
  </conditionalFormatting>
  <conditionalFormatting sqref="H397:H410 I397:J400 I402:J406 I408:J410 O408:X410 O402:X406 O397:X400">
    <cfRule type="expression" dxfId="1029" priority="83">
      <formula>ISERROR(H397)</formula>
    </cfRule>
  </conditionalFormatting>
  <conditionalFormatting sqref="Q384:Q396">
    <cfRule type="expression" dxfId="1028" priority="82">
      <formula>ISERROR(Q384)</formula>
    </cfRule>
  </conditionalFormatting>
  <conditionalFormatting sqref="Q397:Q410">
    <cfRule type="expression" dxfId="1027" priority="81">
      <formula>ISERROR(Q397)</formula>
    </cfRule>
  </conditionalFormatting>
  <conditionalFormatting sqref="I413:J425 L413:P425">
    <cfRule type="expression" dxfId="1026" priority="80">
      <formula>ISERROR(I413)</formula>
    </cfRule>
  </conditionalFormatting>
  <conditionalFormatting sqref="I426:J439 L426:P439">
    <cfRule type="expression" dxfId="1025" priority="79">
      <formula>ISERROR(I426)</formula>
    </cfRule>
  </conditionalFormatting>
  <conditionalFormatting sqref="K413:K425">
    <cfRule type="expression" dxfId="1024" priority="78">
      <formula>ISERROR(K413)</formula>
    </cfRule>
  </conditionalFormatting>
  <conditionalFormatting sqref="K426:K439">
    <cfRule type="expression" dxfId="1023" priority="77">
      <formula>ISERROR(K426)</formula>
    </cfRule>
  </conditionalFormatting>
  <conditionalFormatting sqref="H413:H425 I423:X424 I417:X421 I413:X415">
    <cfRule type="expression" dxfId="1022" priority="76">
      <formula>ISERROR(H413)</formula>
    </cfRule>
  </conditionalFormatting>
  <conditionalFormatting sqref="H426:H439 I426:X429 I431:X435 I437:X439">
    <cfRule type="expression" dxfId="1021" priority="75">
      <formula>ISERROR(H426)</formula>
    </cfRule>
  </conditionalFormatting>
  <conditionalFormatting sqref="Q413:Q425">
    <cfRule type="expression" dxfId="1020" priority="74">
      <formula>ISERROR(Q413)</formula>
    </cfRule>
  </conditionalFormatting>
  <conditionalFormatting sqref="Q426:Q439">
    <cfRule type="expression" dxfId="1019" priority="73">
      <formula>ISERROR(Q426)</formula>
    </cfRule>
  </conditionalFormatting>
  <conditionalFormatting sqref="H208:J208 O208:Q208">
    <cfRule type="expression" dxfId="1018" priority="72">
      <formula>ISERROR(H208)</formula>
    </cfRule>
  </conditionalFormatting>
  <conditionalFormatting sqref="H246:Q246">
    <cfRule type="expression" dxfId="1017" priority="71">
      <formula>ISERROR(H246)</formula>
    </cfRule>
  </conditionalFormatting>
  <conditionalFormatting sqref="Q152">
    <cfRule type="expression" dxfId="1016" priority="70">
      <formula>ISERROR(Q152)</formula>
    </cfRule>
  </conditionalFormatting>
  <conditionalFormatting sqref="H189:J190 O189:Q190">
    <cfRule type="expression" dxfId="1015" priority="69">
      <formula>ISERROR(H189)</formula>
    </cfRule>
  </conditionalFormatting>
  <conditionalFormatting sqref="Q189:Q190">
    <cfRule type="expression" dxfId="1014" priority="68">
      <formula>ISERROR(Q189)</formula>
    </cfRule>
  </conditionalFormatting>
  <conditionalFormatting sqref="I227:Q228">
    <cfRule type="expression" dxfId="1013" priority="67">
      <formula>ISERROR(I227)</formula>
    </cfRule>
  </conditionalFormatting>
  <conditionalFormatting sqref="H227:Q228">
    <cfRule type="expression" dxfId="1012" priority="66">
      <formula>ISERROR(H227)</formula>
    </cfRule>
  </conditionalFormatting>
  <conditionalFormatting sqref="Q151">
    <cfRule type="expression" dxfId="1011" priority="65">
      <formula>ISERROR(Q151)</formula>
    </cfRule>
  </conditionalFormatting>
  <conditionalFormatting sqref="T279:T292 T266:T277">
    <cfRule type="expression" dxfId="1010" priority="64">
      <formula>ISERROR(T266)</formula>
    </cfRule>
  </conditionalFormatting>
  <conditionalFormatting sqref="T282">
    <cfRule type="expression" dxfId="1009" priority="63">
      <formula>ISERROR(T282)</formula>
    </cfRule>
  </conditionalFormatting>
  <conditionalFormatting sqref="T308:T321 T295:T306">
    <cfRule type="expression" dxfId="1008" priority="62">
      <formula>ISERROR(T295)</formula>
    </cfRule>
  </conditionalFormatting>
  <conditionalFormatting sqref="T311">
    <cfRule type="expression" dxfId="1007" priority="61">
      <formula>ISERROR(T311)</formula>
    </cfRule>
  </conditionalFormatting>
  <conditionalFormatting sqref="T337:T350 T324:T335">
    <cfRule type="expression" dxfId="1006" priority="60">
      <formula>ISERROR(T324)</formula>
    </cfRule>
  </conditionalFormatting>
  <conditionalFormatting sqref="T340">
    <cfRule type="expression" dxfId="1005" priority="59">
      <formula>ISERROR(T340)</formula>
    </cfRule>
  </conditionalFormatting>
  <conditionalFormatting sqref="W279:X292 W266:X277">
    <cfRule type="expression" dxfId="1004" priority="58">
      <formula>ISERROR(W266)</formula>
    </cfRule>
  </conditionalFormatting>
  <conditionalFormatting sqref="W282:X282">
    <cfRule type="expression" dxfId="1003" priority="57">
      <formula>ISERROR(W282)</formula>
    </cfRule>
  </conditionalFormatting>
  <conditionalFormatting sqref="W308:X321 W295:X306">
    <cfRule type="expression" dxfId="1002" priority="56">
      <formula>ISERROR(W295)</formula>
    </cfRule>
  </conditionalFormatting>
  <conditionalFormatting sqref="W311:X311">
    <cfRule type="expression" dxfId="1001" priority="55">
      <formula>ISERROR(W311)</formula>
    </cfRule>
  </conditionalFormatting>
  <conditionalFormatting sqref="W337:X350 W324:X335">
    <cfRule type="expression" dxfId="1000" priority="54">
      <formula>ISERROR(W324)</formula>
    </cfRule>
  </conditionalFormatting>
  <conditionalFormatting sqref="W340:X340">
    <cfRule type="expression" dxfId="999" priority="53">
      <formula>ISERROR(W340)</formula>
    </cfRule>
  </conditionalFormatting>
  <conditionalFormatting sqref="T154:T185">
    <cfRule type="expression" dxfId="998" priority="52">
      <formula>ISERROR(T154)</formula>
    </cfRule>
  </conditionalFormatting>
  <conditionalFormatting sqref="T192:T207 T209:T223">
    <cfRule type="expression" dxfId="997" priority="51">
      <formula>ISERROR(T192)</formula>
    </cfRule>
  </conditionalFormatting>
  <conditionalFormatting sqref="T230:T245 T247:T261">
    <cfRule type="expression" dxfId="996" priority="50">
      <formula>ISERROR(T230)</formula>
    </cfRule>
  </conditionalFormatting>
  <conditionalFormatting sqref="T208">
    <cfRule type="expression" dxfId="995" priority="49">
      <formula>ISERROR(T208)</formula>
    </cfRule>
  </conditionalFormatting>
  <conditionalFormatting sqref="T246">
    <cfRule type="expression" dxfId="994" priority="48">
      <formula>ISERROR(T246)</formula>
    </cfRule>
  </conditionalFormatting>
  <conditionalFormatting sqref="T152">
    <cfRule type="expression" dxfId="993" priority="47">
      <formula>ISERROR(T152)</formula>
    </cfRule>
  </conditionalFormatting>
  <conditionalFormatting sqref="T189:T190">
    <cfRule type="expression" dxfId="992" priority="46">
      <formula>ISERROR(T189)</formula>
    </cfRule>
  </conditionalFormatting>
  <conditionalFormatting sqref="T189:T190">
    <cfRule type="expression" dxfId="991" priority="45">
      <formula>ISERROR(T189)</formula>
    </cfRule>
  </conditionalFormatting>
  <conditionalFormatting sqref="T227:T228">
    <cfRule type="expression" dxfId="990" priority="44">
      <formula>ISERROR(T227)</formula>
    </cfRule>
  </conditionalFormatting>
  <conditionalFormatting sqref="T227:T228">
    <cfRule type="expression" dxfId="989" priority="43">
      <formula>ISERROR(T227)</formula>
    </cfRule>
  </conditionalFormatting>
  <conditionalFormatting sqref="T151">
    <cfRule type="expression" dxfId="988" priority="42">
      <formula>ISERROR(T151)</formula>
    </cfRule>
  </conditionalFormatting>
  <conditionalFormatting sqref="W154:X185">
    <cfRule type="expression" dxfId="987" priority="41">
      <formula>ISERROR(W154)</formula>
    </cfRule>
  </conditionalFormatting>
  <conditionalFormatting sqref="W192:X207 W209:X223">
    <cfRule type="expression" dxfId="986" priority="40">
      <formula>ISERROR(W192)</formula>
    </cfRule>
  </conditionalFormatting>
  <conditionalFormatting sqref="W230:X245 W247:X261">
    <cfRule type="expression" dxfId="985" priority="39">
      <formula>ISERROR(W230)</formula>
    </cfRule>
  </conditionalFormatting>
  <conditionalFormatting sqref="W208:X208">
    <cfRule type="expression" dxfId="984" priority="38">
      <formula>ISERROR(W208)</formula>
    </cfRule>
  </conditionalFormatting>
  <conditionalFormatting sqref="W246:X246">
    <cfRule type="expression" dxfId="983" priority="37">
      <formula>ISERROR(W246)</formula>
    </cfRule>
  </conditionalFormatting>
  <conditionalFormatting sqref="W152:X152">
    <cfRule type="expression" dxfId="982" priority="36">
      <formula>ISERROR(W152)</formula>
    </cfRule>
  </conditionalFormatting>
  <conditionalFormatting sqref="W189:X190">
    <cfRule type="expression" dxfId="981" priority="35">
      <formula>ISERROR(W189)</formula>
    </cfRule>
  </conditionalFormatting>
  <conditionalFormatting sqref="W189:X190">
    <cfRule type="expression" dxfId="980" priority="34">
      <formula>ISERROR(W189)</formula>
    </cfRule>
  </conditionalFormatting>
  <conditionalFormatting sqref="W227:X228">
    <cfRule type="expression" dxfId="979" priority="33">
      <formula>ISERROR(W227)</formula>
    </cfRule>
  </conditionalFormatting>
  <conditionalFormatting sqref="W227:X228">
    <cfRule type="expression" dxfId="978" priority="32">
      <formula>ISERROR(W227)</formula>
    </cfRule>
  </conditionalFormatting>
  <conditionalFormatting sqref="W151:X151">
    <cfRule type="expression" dxfId="977" priority="31">
      <formula>ISERROR(W151)</formula>
    </cfRule>
  </conditionalFormatting>
  <conditionalFormatting sqref="T371">
    <cfRule type="expression" dxfId="976" priority="30">
      <formula>ISERROR(T371)</formula>
    </cfRule>
  </conditionalFormatting>
  <conditionalFormatting sqref="T355:T367">
    <cfRule type="expression" dxfId="975" priority="29">
      <formula>ISERROR(T355)</formula>
    </cfRule>
  </conditionalFormatting>
  <conditionalFormatting sqref="T368:T381">
    <cfRule type="expression" dxfId="974" priority="28">
      <formula>ISERROR(T368)</formula>
    </cfRule>
  </conditionalFormatting>
  <conditionalFormatting sqref="T400">
    <cfRule type="expression" dxfId="973" priority="27">
      <formula>ISERROR(T400)</formula>
    </cfRule>
  </conditionalFormatting>
  <conditionalFormatting sqref="T384:T396">
    <cfRule type="expression" dxfId="972" priority="26">
      <formula>ISERROR(T384)</formula>
    </cfRule>
  </conditionalFormatting>
  <conditionalFormatting sqref="T397:T410">
    <cfRule type="expression" dxfId="971" priority="25">
      <formula>ISERROR(T397)</formula>
    </cfRule>
  </conditionalFormatting>
  <conditionalFormatting sqref="T429">
    <cfRule type="expression" dxfId="970" priority="24">
      <formula>ISERROR(T429)</formula>
    </cfRule>
  </conditionalFormatting>
  <conditionalFormatting sqref="T413:T425">
    <cfRule type="expression" dxfId="969" priority="23">
      <formula>ISERROR(T413)</formula>
    </cfRule>
  </conditionalFormatting>
  <conditionalFormatting sqref="T426:T439">
    <cfRule type="expression" dxfId="968" priority="22">
      <formula>ISERROR(T426)</formula>
    </cfRule>
  </conditionalFormatting>
  <conditionalFormatting sqref="W371:X371">
    <cfRule type="expression" dxfId="967" priority="21">
      <formula>ISERROR(W371)</formula>
    </cfRule>
  </conditionalFormatting>
  <conditionalFormatting sqref="W355:X367">
    <cfRule type="expression" dxfId="966" priority="20">
      <formula>ISERROR(W355)</formula>
    </cfRule>
  </conditionalFormatting>
  <conditionalFormatting sqref="W368:X381">
    <cfRule type="expression" dxfId="965" priority="19">
      <formula>ISERROR(W368)</formula>
    </cfRule>
  </conditionalFormatting>
  <conditionalFormatting sqref="W400:X400">
    <cfRule type="expression" dxfId="964" priority="18">
      <formula>ISERROR(W400)</formula>
    </cfRule>
  </conditionalFormatting>
  <conditionalFormatting sqref="W384:X396">
    <cfRule type="expression" dxfId="963" priority="17">
      <formula>ISERROR(W384)</formula>
    </cfRule>
  </conditionalFormatting>
  <conditionalFormatting sqref="W397:X410">
    <cfRule type="expression" dxfId="962" priority="16">
      <formula>ISERROR(W397)</formula>
    </cfRule>
  </conditionalFormatting>
  <conditionalFormatting sqref="W429:X429">
    <cfRule type="expression" dxfId="961" priority="15">
      <formula>ISERROR(W429)</formula>
    </cfRule>
  </conditionalFormatting>
  <conditionalFormatting sqref="W413:X425">
    <cfRule type="expression" dxfId="960" priority="14">
      <formula>ISERROR(W413)</formula>
    </cfRule>
  </conditionalFormatting>
  <conditionalFormatting sqref="W426:X439">
    <cfRule type="expression" dxfId="959" priority="13">
      <formula>ISERROR(W426)</formula>
    </cfRule>
  </conditionalFormatting>
  <conditionalFormatting sqref="H187:J187 O187:X187">
    <cfRule type="expression" dxfId="958" priority="12">
      <formula>ISERROR(H187)</formula>
    </cfRule>
  </conditionalFormatting>
  <conditionalFormatting sqref="H188:J188">
    <cfRule type="expression" dxfId="957" priority="11">
      <formula>ISERROR(H188)</formula>
    </cfRule>
  </conditionalFormatting>
  <conditionalFormatting sqref="H225:X225">
    <cfRule type="expression" dxfId="956" priority="10">
      <formula>ISERROR(H225)</formula>
    </cfRule>
  </conditionalFormatting>
  <conditionalFormatting sqref="H226:N226">
    <cfRule type="expression" dxfId="955" priority="9">
      <formula>ISERROR(H226)</formula>
    </cfRule>
  </conditionalFormatting>
  <conditionalFormatting sqref="AP52">
    <cfRule type="expression" dxfId="954" priority="8">
      <formula>$A10&gt;$B$4</formula>
    </cfRule>
  </conditionalFormatting>
  <conditionalFormatting sqref="Z31:Z46">
    <cfRule type="expression" dxfId="953" priority="7">
      <formula>Z31&gt;0</formula>
    </cfRule>
  </conditionalFormatting>
  <conditionalFormatting sqref="H62:X62 H69:X69 H71:X71 H54:X54 W53:X53 T53 Q53 N53 K53 H53">
    <cfRule type="expression" dxfId="952" priority="113">
      <formula>OR(H53=0,H53="",H53="N/A for this mode",H53="-")</formula>
    </cfRule>
    <cfRule type="expression" dxfId="951" priority="114">
      <formula>H53&gt;$AT$50</formula>
    </cfRule>
    <cfRule type="expression" dxfId="950" priority="115">
      <formula>H53&lt;$AT$52</formula>
    </cfRule>
  </conditionalFormatting>
  <conditionalFormatting sqref="H31:Y45 H46:X46">
    <cfRule type="expression" dxfId="949" priority="116">
      <formula>OR(H31=0,H31="",H31="N/A for this mode")</formula>
    </cfRule>
    <cfRule type="expression" dxfId="948" priority="117">
      <formula>H31&gt;$AU$50</formula>
    </cfRule>
    <cfRule type="expression" dxfId="947" priority="118">
      <formula>H31&lt;=$AU$52</formula>
    </cfRule>
  </conditionalFormatting>
  <conditionalFormatting sqref="K23:K147 K225:K292 K323:K352 K412:K439">
    <cfRule type="expression" dxfId="946" priority="6">
      <formula>$H$9&lt;2</formula>
    </cfRule>
  </conditionalFormatting>
  <conditionalFormatting sqref="N23:N147 N225:N292 N323:N352 N412:N439">
    <cfRule type="expression" dxfId="945" priority="5">
      <formula>$H$9&lt;3</formula>
    </cfRule>
  </conditionalFormatting>
  <conditionalFormatting sqref="Q23:Q439">
    <cfRule type="expression" dxfId="944" priority="4">
      <formula>$H$9&lt;4</formula>
    </cfRule>
  </conditionalFormatting>
  <conditionalFormatting sqref="T23:T439">
    <cfRule type="expression" dxfId="943" priority="3">
      <formula>$H$9&lt;5</formula>
    </cfRule>
  </conditionalFormatting>
  <conditionalFormatting sqref="W23:W439">
    <cfRule type="expression" dxfId="942" priority="1">
      <formula>$H$9&lt;6</formula>
    </cfRule>
  </conditionalFormatting>
  <dataValidations count="2">
    <dataValidation type="decimal" allowBlank="1" showInputMessage="1" showErrorMessage="1" sqref="AT50:AU50" xr:uid="{00000000-0002-0000-0A00-000000000000}">
      <formula1>0</formula1>
      <formula2>1</formula2>
    </dataValidation>
    <dataValidation type="decimal" allowBlank="1" showInputMessage="1" showErrorMessage="1" sqref="AT52:AU52" xr:uid="{00000000-0002-0000-0A00-000001000000}">
      <formula1>0</formula1>
      <formula2>AT50</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2000000}">
          <x14:formula1>
            <xm:f>'Scenario Manager'!$C$7:$C$12</xm:f>
          </x14:formula1>
          <xm:sqref>H3:K3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
    <tabColor theme="4" tint="0.59999389629810485"/>
  </sheetPr>
  <dimension ref="A1:AT447"/>
  <sheetViews>
    <sheetView showGridLines="0" zoomScale="80" zoomScaleNormal="80" zoomScalePageLayoutView="117" workbookViewId="0">
      <selection activeCell="Y15" sqref="Y15"/>
    </sheetView>
  </sheetViews>
  <sheetFormatPr defaultColWidth="11.3046875" defaultRowHeight="14.6" outlineLevelRow="1"/>
  <cols>
    <col min="1" max="4" width="2.3046875" customWidth="1"/>
    <col min="5" max="5" width="1.84375" customWidth="1"/>
    <col min="6" max="6" width="22.3828125" customWidth="1"/>
    <col min="7" max="7" width="52.3046875" customWidth="1"/>
    <col min="8" max="8" width="15.15234375" style="7" customWidth="1"/>
    <col min="9" max="10" width="15.69140625" style="7" hidden="1" customWidth="1"/>
    <col min="11" max="11" width="16.3046875" style="7" customWidth="1"/>
    <col min="12" max="13" width="15.3046875" style="7" hidden="1" customWidth="1"/>
    <col min="14" max="14" width="15.15234375" style="7" customWidth="1"/>
    <col min="15" max="16" width="15.3046875" style="7" hidden="1" customWidth="1"/>
    <col min="17" max="17" width="15.15234375" style="7" customWidth="1"/>
    <col min="18" max="19" width="20.15234375" style="7" hidden="1" customWidth="1"/>
    <col min="20" max="20" width="15.15234375" style="7" customWidth="1"/>
    <col min="21" max="22" width="20.15234375" style="7" hidden="1" customWidth="1"/>
    <col min="23" max="23" width="15.15234375" style="7" customWidth="1"/>
    <col min="24" max="24" width="17" customWidth="1"/>
    <col min="25" max="25" width="13.84375" customWidth="1"/>
    <col min="27" max="27" width="9.84375" customWidth="1"/>
    <col min="28" max="28" width="7.84375" customWidth="1"/>
    <col min="31" max="31" width="8.3046875" customWidth="1"/>
    <col min="32" max="32" width="7.3828125" customWidth="1"/>
  </cols>
  <sheetData>
    <row r="1" spans="1:23" ht="14.9" customHeight="1"/>
    <row r="2" spans="1:23">
      <c r="A2" s="486"/>
    </row>
    <row r="3" spans="1:23" ht="26.9" customHeight="1">
      <c r="F3" s="393" t="s">
        <v>316</v>
      </c>
      <c r="G3" s="322"/>
      <c r="H3" s="2693" t="s">
        <v>676</v>
      </c>
      <c r="I3" s="2693"/>
      <c r="J3" s="2693"/>
      <c r="K3" s="2693"/>
      <c r="N3" s="424"/>
    </row>
    <row r="4" spans="1:23" ht="21" customHeight="1">
      <c r="F4" s="394" t="s">
        <v>470</v>
      </c>
      <c r="G4" s="323"/>
      <c r="H4" s="2722" t="str">
        <f>IFERROR(INDEX(#REF!,MATCH($H$3,#REF!,0)),"Can't Find Input Parameters Worksheet!")</f>
        <v>Can't Find Input Parameters Worksheet!</v>
      </c>
      <c r="I4" s="2722"/>
      <c r="J4" s="2722"/>
      <c r="K4" s="2722"/>
    </row>
    <row r="5" spans="1:23" ht="22.5" customHeight="1"/>
    <row r="6" spans="1:23" ht="22.5" customHeight="1"/>
    <row r="7" spans="1:23" ht="30" customHeight="1"/>
    <row r="8" spans="1:23" ht="15.9">
      <c r="E8" s="412" t="s">
        <v>457</v>
      </c>
      <c r="F8" s="324"/>
      <c r="G8" s="324"/>
      <c r="H8" s="324"/>
      <c r="I8" s="324"/>
      <c r="J8" s="324"/>
      <c r="K8" s="325"/>
    </row>
    <row r="9" spans="1:23" ht="25" customHeight="1">
      <c r="F9" s="487" t="s">
        <v>453</v>
      </c>
      <c r="G9" s="488"/>
      <c r="H9" s="2695" t="e">
        <f>#REF!</f>
        <v>#REF!</v>
      </c>
      <c r="I9" s="2696"/>
      <c r="J9" s="2696"/>
      <c r="K9" s="2697"/>
      <c r="L9" s="309"/>
      <c r="M9" s="309"/>
      <c r="N9" s="260"/>
      <c r="O9" s="260"/>
      <c r="P9" s="260"/>
      <c r="Q9" s="310"/>
      <c r="R9" s="305"/>
      <c r="S9" s="305"/>
      <c r="T9" s="306"/>
    </row>
    <row r="10" spans="1:23" ht="25" customHeight="1">
      <c r="F10" s="314" t="s">
        <v>454</v>
      </c>
      <c r="G10" s="315"/>
      <c r="H10" s="2698" t="e">
        <f>#REF!</f>
        <v>#REF!</v>
      </c>
      <c r="I10" s="2698"/>
      <c r="J10" s="2698"/>
      <c r="K10" s="2698"/>
      <c r="L10" s="23"/>
      <c r="M10" s="23"/>
      <c r="N10" s="260"/>
      <c r="O10" s="260"/>
      <c r="P10" s="260"/>
      <c r="Q10" s="310"/>
      <c r="R10" s="305"/>
      <c r="S10" s="222"/>
      <c r="T10" s="307"/>
      <c r="U10" s="260"/>
      <c r="V10" s="260"/>
    </row>
    <row r="11" spans="1:23" ht="25" customHeight="1">
      <c r="F11" s="314" t="s">
        <v>455</v>
      </c>
      <c r="G11" s="316"/>
      <c r="H11" s="2691" t="e">
        <f>IF(#REF!=1,($H$52*#REF!),
IF(#REF!=2,($K$52*#REF!),
IF(#REF!=3,($N$52*#REF!),
IF(#REF!=4,($Q$52*#REF!),
IF(#REF!=5,($T$52*#REF!),
($W$52*#REF!))))))</f>
        <v>#REF!</v>
      </c>
      <c r="I11" s="2691"/>
      <c r="J11" s="2691"/>
      <c r="K11" s="2691"/>
      <c r="L11" s="23"/>
      <c r="M11" s="23"/>
      <c r="N11" s="260"/>
      <c r="O11" s="260"/>
      <c r="P11" s="260"/>
      <c r="Q11" s="310"/>
      <c r="R11" s="305"/>
      <c r="S11" s="306"/>
      <c r="T11" s="307"/>
      <c r="U11" s="261"/>
      <c r="V11" s="261"/>
    </row>
    <row r="12" spans="1:23" ht="25" customHeight="1">
      <c r="F12" s="479" t="s">
        <v>555</v>
      </c>
      <c r="H12" s="2691" t="e">
        <f>IF(#REF!=1,($H$64*#REF!),
IF(#REF!=2,($K$64*#REF!),
IF(#REF!=3,($N$64*#REF!),
IF(#REF!=4,($Q$64*#REF!),
IF(#REF!=5,($T$64*#REF!),
($W$64*#REF!))))))</f>
        <v>#REF!</v>
      </c>
      <c r="I12" s="2691"/>
      <c r="J12" s="2691"/>
      <c r="K12" s="2691"/>
      <c r="L12" s="23"/>
      <c r="M12" s="23"/>
      <c r="N12" s="260"/>
      <c r="O12" s="260"/>
      <c r="P12" s="260"/>
      <c r="Q12" s="310"/>
      <c r="R12" s="305"/>
      <c r="S12" s="306"/>
      <c r="T12" s="307"/>
      <c r="U12" s="261"/>
      <c r="V12" s="261"/>
    </row>
    <row r="13" spans="1:23" ht="25" customHeight="1">
      <c r="F13" s="317" t="s">
        <v>374</v>
      </c>
      <c r="G13" s="318"/>
      <c r="H13" s="2692" t="e">
        <f>#REF!</f>
        <v>#REF!</v>
      </c>
      <c r="I13" s="2692"/>
      <c r="J13" s="2692"/>
      <c r="K13" s="2692"/>
      <c r="L13" s="23"/>
      <c r="M13" s="23"/>
      <c r="N13" s="260"/>
      <c r="O13" s="260"/>
      <c r="P13" s="260"/>
      <c r="Q13" s="310"/>
      <c r="R13" s="305"/>
      <c r="S13" s="306"/>
      <c r="T13" s="307"/>
      <c r="U13" s="261"/>
      <c r="V13" s="261"/>
      <c r="W13" s="261"/>
    </row>
    <row r="14" spans="1:23" ht="41.25" customHeight="1">
      <c r="F14" s="2495" t="s">
        <v>830</v>
      </c>
      <c r="G14" s="2496"/>
      <c r="H14" s="2706">
        <f>SUM(H280:W280,H309:W309,H338:W338,H169:W169,H207:W207,H245:W245,H369:W369,H398:W398,H427:W427)</f>
        <v>0</v>
      </c>
      <c r="I14" s="2707"/>
      <c r="J14" s="2707"/>
      <c r="K14" s="2708"/>
      <c r="L14" s="23"/>
      <c r="M14" s="23"/>
      <c r="N14" s="260"/>
      <c r="O14" s="260"/>
      <c r="P14" s="260"/>
      <c r="Q14" s="310"/>
      <c r="R14" s="305"/>
      <c r="S14" s="306"/>
      <c r="T14" s="307"/>
      <c r="U14" s="261"/>
      <c r="V14" s="261"/>
      <c r="W14" s="261"/>
    </row>
    <row r="15" spans="1:23" ht="25" customHeight="1">
      <c r="F15" s="314" t="s">
        <v>456</v>
      </c>
      <c r="G15" s="316"/>
      <c r="H15" s="2706">
        <f>SUM(H267:W267,H281:W281,H296:W296,H310:W310,H325:W325,H339:W339,
H155:W155,H171:W171,H193:W193,H209:W209,H231:W231,H247:W247,
H356:W356,H370:W370,H385:W385,H399:W399,H414:W414,H428:W428)</f>
        <v>0</v>
      </c>
      <c r="I15" s="2707"/>
      <c r="J15" s="2707"/>
      <c r="K15" s="2708"/>
      <c r="L15" s="23"/>
      <c r="M15" s="23"/>
      <c r="N15" s="260"/>
      <c r="O15" s="260"/>
      <c r="P15" s="260"/>
      <c r="Q15" s="310"/>
      <c r="R15" s="305"/>
      <c r="S15" s="306"/>
      <c r="T15" s="307"/>
      <c r="U15" s="261"/>
      <c r="V15" s="261"/>
      <c r="W15" s="261"/>
    </row>
    <row r="16" spans="1:23" ht="19.5" customHeight="1">
      <c r="F16" s="319" t="s">
        <v>469</v>
      </c>
      <c r="G16" s="320"/>
      <c r="H16" s="2709" t="e">
        <f>SUM(Y46,H55,K55,N55,Q55,T55,W55)</f>
        <v>#REF!</v>
      </c>
      <c r="I16" s="2710"/>
      <c r="J16" s="2710"/>
      <c r="K16" s="2711"/>
      <c r="L16" s="23"/>
      <c r="M16" s="23"/>
      <c r="N16" s="260"/>
      <c r="O16" s="260"/>
      <c r="P16" s="260"/>
      <c r="Q16" s="310"/>
      <c r="R16" s="305"/>
      <c r="S16" s="306"/>
      <c r="T16" s="307"/>
      <c r="U16" s="261"/>
      <c r="V16" s="261"/>
      <c r="W16" s="261"/>
    </row>
    <row r="17" spans="5:28" ht="12.75" customHeight="1">
      <c r="F17" s="308"/>
      <c r="G17" s="311"/>
      <c r="H17" s="321"/>
      <c r="I17" s="137"/>
      <c r="J17" s="137"/>
      <c r="K17" s="137"/>
      <c r="L17" s="23"/>
      <c r="M17" s="23"/>
      <c r="N17" s="260"/>
      <c r="O17" s="260"/>
      <c r="P17" s="260"/>
      <c r="Q17" s="310"/>
      <c r="R17" s="305"/>
      <c r="S17" s="305"/>
      <c r="T17" s="307"/>
      <c r="U17" s="260"/>
      <c r="V17" s="260"/>
      <c r="W17" s="260"/>
    </row>
    <row r="18" spans="5:28" ht="15" customHeight="1">
      <c r="F18" s="417" t="s">
        <v>393</v>
      </c>
      <c r="G18" s="418"/>
      <c r="H18" s="2712" t="e">
        <f>X81</f>
        <v>#REF!</v>
      </c>
      <c r="I18" s="2713"/>
      <c r="J18" s="2713"/>
      <c r="K18" s="2714"/>
      <c r="L18" s="23"/>
      <c r="M18" s="23"/>
      <c r="N18" s="260"/>
      <c r="O18" s="260"/>
      <c r="P18" s="260"/>
      <c r="Q18" s="310"/>
      <c r="R18" s="305"/>
      <c r="S18" s="222"/>
      <c r="T18" s="307"/>
      <c r="U18" s="222"/>
      <c r="V18" s="222"/>
      <c r="W18" s="222"/>
    </row>
    <row r="19" spans="5:28" ht="15" customHeight="1">
      <c r="F19" s="312"/>
      <c r="G19" s="312"/>
      <c r="H19" s="313"/>
      <c r="I19" s="313"/>
      <c r="J19" s="313"/>
      <c r="K19" s="313"/>
      <c r="L19" s="23"/>
      <c r="M19" s="23"/>
      <c r="N19" s="260"/>
      <c r="O19" s="260"/>
      <c r="P19" s="260"/>
      <c r="Q19" s="310"/>
      <c r="R19" s="305"/>
      <c r="S19" s="222"/>
      <c r="T19" s="307"/>
      <c r="U19" s="222"/>
      <c r="V19" s="222"/>
      <c r="W19" s="222"/>
    </row>
    <row r="20" spans="5:28" ht="15" customHeight="1">
      <c r="F20" s="312"/>
      <c r="G20" s="312"/>
      <c r="H20" s="313"/>
      <c r="I20" s="313"/>
      <c r="J20" s="313"/>
      <c r="K20" s="313"/>
      <c r="L20" s="23"/>
      <c r="M20" s="23"/>
      <c r="N20" s="260"/>
      <c r="O20" s="260"/>
      <c r="P20" s="260"/>
      <c r="Q20" s="310"/>
      <c r="R20" s="305"/>
      <c r="S20" s="222"/>
      <c r="T20" s="307"/>
      <c r="U20" s="222"/>
      <c r="V20" s="222"/>
      <c r="W20" s="222"/>
    </row>
    <row r="21" spans="5:28" ht="15" customHeight="1">
      <c r="L21" s="135"/>
      <c r="M21" s="135"/>
      <c r="N21" s="260"/>
      <c r="O21" s="260"/>
      <c r="P21" s="260"/>
      <c r="Q21" s="310"/>
      <c r="R21" s="305"/>
      <c r="S21" s="305"/>
      <c r="U21" s="260"/>
      <c r="V21" s="260"/>
      <c r="W21" s="260"/>
    </row>
    <row r="22" spans="5:28" ht="15.65" customHeight="1">
      <c r="F22" s="24"/>
      <c r="G22" s="24"/>
      <c r="H22" s="134"/>
      <c r="I22" s="134"/>
      <c r="J22" s="134"/>
      <c r="K22" s="134"/>
      <c r="L22" s="135"/>
      <c r="M22" s="135"/>
      <c r="Q22" s="136"/>
      <c r="R22" s="137"/>
      <c r="S22" s="137"/>
      <c r="T22" s="137"/>
      <c r="U22" s="137"/>
      <c r="V22" s="137"/>
      <c r="W22" s="137"/>
    </row>
    <row r="23" spans="5:28" ht="15" customHeight="1">
      <c r="E23" s="413" t="s">
        <v>458</v>
      </c>
      <c r="F23" s="18"/>
      <c r="G23" s="18"/>
      <c r="H23" s="138" t="s">
        <v>31</v>
      </c>
      <c r="I23" s="138"/>
      <c r="J23" s="138"/>
      <c r="K23" s="138" t="s">
        <v>6</v>
      </c>
      <c r="L23" s="138"/>
      <c r="M23" s="138"/>
      <c r="N23" s="138" t="s">
        <v>7</v>
      </c>
      <c r="O23" s="138"/>
      <c r="P23" s="138"/>
      <c r="Q23" s="138" t="s">
        <v>8</v>
      </c>
      <c r="S23" s="262"/>
      <c r="T23" s="138" t="s">
        <v>411</v>
      </c>
      <c r="U23" s="262"/>
      <c r="V23" s="262"/>
      <c r="W23" s="138" t="s">
        <v>412</v>
      </c>
      <c r="X23" s="371" t="s">
        <v>473</v>
      </c>
    </row>
    <row r="24" spans="5:28" ht="15" customHeight="1">
      <c r="E24" s="367"/>
      <c r="F24" s="351" t="s">
        <v>465</v>
      </c>
      <c r="G24" s="332"/>
      <c r="H24" s="342"/>
      <c r="I24" s="342"/>
      <c r="J24" s="342"/>
      <c r="K24" s="342"/>
      <c r="L24" s="342"/>
      <c r="M24" s="342"/>
      <c r="N24" s="342"/>
      <c r="O24" s="342"/>
      <c r="P24" s="342"/>
      <c r="Q24" s="342"/>
      <c r="R24" s="343"/>
      <c r="S24" s="342"/>
      <c r="T24" s="342"/>
      <c r="U24" s="342"/>
      <c r="V24" s="342"/>
      <c r="W24" s="342"/>
      <c r="X24" s="344"/>
    </row>
    <row r="25" spans="5:28" ht="16.5" customHeight="1">
      <c r="F25" s="345"/>
      <c r="G25" s="336" t="s">
        <v>32</v>
      </c>
      <c r="H25" s="387" t="e">
        <f>H81/$H$13</f>
        <v>#REF!</v>
      </c>
      <c r="I25" s="387"/>
      <c r="J25" s="387"/>
      <c r="K25" s="387" t="e">
        <f>K81/$H$13</f>
        <v>#REF!</v>
      </c>
      <c r="L25" s="387"/>
      <c r="M25" s="387"/>
      <c r="N25" s="388" t="e">
        <f>N81/$H$13</f>
        <v>#REF!</v>
      </c>
      <c r="O25" s="388" t="e">
        <f>O81/$H$13</f>
        <v>#REF!</v>
      </c>
      <c r="P25" s="388" t="e">
        <f>P81/$H$13</f>
        <v>#REF!</v>
      </c>
      <c r="Q25" s="388" t="e">
        <f>Q81/$H$13</f>
        <v>#REF!</v>
      </c>
      <c r="R25" s="388"/>
      <c r="S25" s="388"/>
      <c r="T25" s="388" t="e">
        <f>T81/$H$13</f>
        <v>#REF!</v>
      </c>
      <c r="U25" s="388"/>
      <c r="V25" s="388"/>
      <c r="W25" s="388" t="e">
        <f>W81/$H$13</f>
        <v>#REF!</v>
      </c>
      <c r="X25" s="389" t="e">
        <f>X81/$H$13</f>
        <v>#REF!</v>
      </c>
    </row>
    <row r="26" spans="5:28" ht="16.5" customHeight="1">
      <c r="F26" s="345"/>
      <c r="G26" s="336" t="s">
        <v>360</v>
      </c>
      <c r="H26" s="289" t="e">
        <f>H81/$H$11</f>
        <v>#REF!</v>
      </c>
      <c r="I26" s="289"/>
      <c r="J26" s="289"/>
      <c r="K26" s="289" t="e">
        <f>K81/$H$11</f>
        <v>#REF!</v>
      </c>
      <c r="L26" s="289"/>
      <c r="M26" s="289"/>
      <c r="N26" s="289" t="e">
        <f>N81/$H$11</f>
        <v>#REF!</v>
      </c>
      <c r="O26" s="289" t="e">
        <f>O81/$H$11</f>
        <v>#REF!</v>
      </c>
      <c r="P26" s="289" t="e">
        <f>P81/$H$11</f>
        <v>#REF!</v>
      </c>
      <c r="Q26" s="289" t="e">
        <f>Q81/$H$11</f>
        <v>#REF!</v>
      </c>
      <c r="R26" s="289"/>
      <c r="S26" s="289"/>
      <c r="T26" s="289" t="e">
        <f>T81/$H$11</f>
        <v>#REF!</v>
      </c>
      <c r="U26" s="289"/>
      <c r="V26" s="289"/>
      <c r="W26" s="289" t="e">
        <f>W81/$H$11</f>
        <v>#REF!</v>
      </c>
      <c r="X26" s="369" t="e">
        <f>X81/$H$11</f>
        <v>#REF!</v>
      </c>
    </row>
    <row r="27" spans="5:28" ht="16.5" customHeight="1">
      <c r="F27" s="345"/>
      <c r="G27" s="336" t="s">
        <v>183</v>
      </c>
      <c r="H27" s="302">
        <f>IFERROR((($H$13/$H$11)*H$60*#REF!),0)</f>
        <v>0</v>
      </c>
      <c r="I27" s="302"/>
      <c r="J27" s="302"/>
      <c r="K27" s="302">
        <f>IFERROR((($H$13/$H$11)*K$60*#REF!),0)</f>
        <v>0</v>
      </c>
      <c r="L27" s="302"/>
      <c r="M27" s="302"/>
      <c r="N27" s="302">
        <f>IFERROR((($H$13/$H$11)*N$60*#REF!),0)</f>
        <v>0</v>
      </c>
      <c r="O27" s="303"/>
      <c r="P27" s="303"/>
      <c r="Q27" s="302">
        <f>IFERROR((($H$13/$H$11)*Q$60*#REF!),0)</f>
        <v>0</v>
      </c>
      <c r="R27" s="304"/>
      <c r="S27" s="304"/>
      <c r="T27" s="302">
        <f>IFERROR((($H$13/$H$11)*T$60*#REF!),0)</f>
        <v>0</v>
      </c>
      <c r="U27" s="304"/>
      <c r="V27" s="304"/>
      <c r="W27" s="302">
        <f>IFERROR((($H$13/$H$11)*W$60*#REF!),0)</f>
        <v>0</v>
      </c>
      <c r="X27" s="370">
        <f>SUM(H27:N27)</f>
        <v>0</v>
      </c>
    </row>
    <row r="28" spans="5:28" ht="16.5" customHeight="1">
      <c r="F28" s="390"/>
      <c r="G28" s="210" t="s">
        <v>452</v>
      </c>
      <c r="H28" s="391">
        <f>IFERROR(SUM(H280,H309,H338,H169,H207,H245,H369,H398,H427)/(H52*#REF!),0)</f>
        <v>0</v>
      </c>
      <c r="I28" s="391"/>
      <c r="J28" s="391"/>
      <c r="K28" s="391">
        <f>IFERROR(SUM(K280,K309,K338,K169,K207,K245,K369,K398,K427)/(K52*#REF!),0)</f>
        <v>0</v>
      </c>
      <c r="L28" s="391"/>
      <c r="M28" s="391"/>
      <c r="N28" s="391">
        <f>IFERROR(SUM(N280,N309,N338,N169,N207,N245,N369,N398,N427)/(N52*#REF!),0)</f>
        <v>0</v>
      </c>
      <c r="O28" s="391">
        <f>IFERROR(SUM(O280,O309,O338,O169,O207,O245,O369,O398,O427)/(O52*#REF!),0)</f>
        <v>0</v>
      </c>
      <c r="P28" s="391">
        <f>IFERROR(SUM(P280,P309,P338,P169,P207,P245,P369,P398,P427)/(P52*#REF!),0)</f>
        <v>0</v>
      </c>
      <c r="Q28" s="391">
        <f>IFERROR(SUM(Q280,Q309,Q338,Q169,Q207,Q245,Q369,Q398,Q427)/(Q52*#REF!),0)</f>
        <v>0</v>
      </c>
      <c r="R28" s="391"/>
      <c r="S28" s="391"/>
      <c r="T28" s="391">
        <f>IFERROR(SUM(T280,T309,T338,T169,T207,T245,T369,T398,T427)/(T52*#REF!),0)</f>
        <v>0</v>
      </c>
      <c r="U28" s="391"/>
      <c r="V28" s="391"/>
      <c r="W28" s="391">
        <f>IFERROR(SUM(W280,W309,W338,W169,W207,W245,W369,W398,W427)/(W52*#REF!),0)</f>
        <v>0</v>
      </c>
      <c r="X28" s="392">
        <f>SUM(H28:W28)</f>
        <v>0</v>
      </c>
    </row>
    <row r="29" spans="5:28" ht="10" customHeight="1">
      <c r="H29" s="439"/>
      <c r="I29" s="439"/>
      <c r="J29" s="439"/>
      <c r="K29" s="439"/>
      <c r="L29" s="439"/>
      <c r="M29" s="439"/>
      <c r="N29" s="439"/>
      <c r="O29" s="439"/>
      <c r="P29" s="439"/>
      <c r="Q29" s="439"/>
      <c r="R29" s="439"/>
      <c r="S29" s="439"/>
      <c r="T29" s="439"/>
      <c r="U29" s="439"/>
      <c r="V29" s="439"/>
      <c r="W29" s="439"/>
      <c r="X29" s="440"/>
    </row>
    <row r="30" spans="5:28" ht="33.65" customHeight="1">
      <c r="F30" s="442" t="s">
        <v>468</v>
      </c>
      <c r="G30" s="332"/>
      <c r="H30" s="437"/>
      <c r="I30" s="437"/>
      <c r="J30" s="437"/>
      <c r="K30" s="437"/>
      <c r="L30" s="437"/>
      <c r="M30" s="437"/>
      <c r="N30" s="437"/>
      <c r="O30" s="437"/>
      <c r="P30" s="437"/>
      <c r="Q30" s="437"/>
      <c r="R30" s="438"/>
      <c r="S30" s="437"/>
      <c r="T30" s="437"/>
      <c r="U30" s="437"/>
      <c r="V30" s="437"/>
      <c r="W30" s="437"/>
      <c r="X30" s="489" t="s">
        <v>590</v>
      </c>
      <c r="Y30" s="441" t="s">
        <v>474</v>
      </c>
    </row>
    <row r="31" spans="5:28" ht="14.9" customHeight="1">
      <c r="F31" s="2481" t="s">
        <v>235</v>
      </c>
      <c r="G31" s="425" t="s">
        <v>209</v>
      </c>
      <c r="H31" s="819">
        <f>_xlfn.IFNA(IF(IFERROR(OR(H175&lt;1,AND(H175&gt;0,H176&gt;0,H176&gt;H175,#REF!="Route-based")),FALSE),0,H172),0)</f>
        <v>0</v>
      </c>
      <c r="I31" s="819">
        <f>_xlfn.IFNA(IF(IFERROR(OR(I175&lt;1,AND(I175&gt;0,I176&gt;0,I176&gt;I175,#REF!="Route-based")),FALSE),0,I172),0)</f>
        <v>0</v>
      </c>
      <c r="J31" s="819">
        <f>_xlfn.IFNA(IF(IFERROR(OR(J175&lt;1,AND(J175&gt;0,J176&gt;0,J176&gt;J175,#REF!="Route-based")),FALSE),0,J172),0)</f>
        <v>0</v>
      </c>
      <c r="K31" s="819">
        <f>_xlfn.IFNA(IF(IFERROR(OR(K175&lt;1,AND(K175&gt;0,K176&gt;0,K176&gt;K175,#REF!="Route-based")),FALSE),0,K172),0)</f>
        <v>0</v>
      </c>
      <c r="L31" s="819">
        <f>_xlfn.IFNA(IF(IFERROR(OR(L175&lt;1,AND(L175&gt;0,L176&gt;0,L176&gt;L175,#REF!="Route-based")),FALSE),0,L172),0)</f>
        <v>0</v>
      </c>
      <c r="M31" s="819">
        <f>_xlfn.IFNA(IF(IFERROR(OR(M175&lt;1,AND(M175&gt;0,M176&gt;0,M176&gt;M175,#REF!="Route-based")),FALSE),0,M172),0)</f>
        <v>0</v>
      </c>
      <c r="N31" s="819">
        <f>_xlfn.IFNA(IF(IFERROR(OR(N175&lt;1,AND(N175&gt;0,N176&gt;0,N176&gt;N175,#REF!="Route-based")),FALSE),0,N172),0)</f>
        <v>0</v>
      </c>
      <c r="O31" s="819">
        <f>_xlfn.IFNA(IF(IFERROR(OR(O175&lt;1,AND(O175&gt;0,O176&gt;0,O176&gt;O175,#REF!="Route-based")),FALSE),0,O172),0)</f>
        <v>0</v>
      </c>
      <c r="P31" s="819">
        <f>_xlfn.IFNA(IF(IFERROR(OR(P175&lt;1,AND(P175&gt;0,P176&gt;0,P176&gt;P175,#REF!="Route-based")),FALSE),0,P172),0)</f>
        <v>0</v>
      </c>
      <c r="Q31" s="819">
        <f>_xlfn.IFNA(IF(IFERROR(OR(Q175&lt;1,AND(Q175&gt;0,Q176&gt;0,Q176&gt;Q175,#REF!="Route-based")),FALSE),0,Q172),0)</f>
        <v>0</v>
      </c>
      <c r="R31" s="819">
        <f>_xlfn.IFNA(IF(IFERROR(OR(R175&lt;1,AND(R175&gt;0,R176&gt;0,R176&gt;R175,#REF!="Route-based")),FALSE),0,R172),0)</f>
        <v>0</v>
      </c>
      <c r="S31" s="819">
        <f>_xlfn.IFNA(IF(IFERROR(OR(S175&lt;1,AND(S175&gt;0,S176&gt;0,S176&gt;S175,#REF!="Route-based")),FALSE),0,S172),0)</f>
        <v>0</v>
      </c>
      <c r="T31" s="819">
        <f>_xlfn.IFNA(IF(IFERROR(OR(T175&lt;1,AND(T175&gt;0,T176&gt;0,T176&gt;T175,#REF!="Route-based")),FALSE),0,T172),0)</f>
        <v>0</v>
      </c>
      <c r="U31" s="819">
        <f>_xlfn.IFNA(IF(IFERROR(OR(U175&lt;1,AND(U175&gt;0,U176&gt;0,U176&gt;U175,#REF!="Route-based")),FALSE),0,U172),0)</f>
        <v>0</v>
      </c>
      <c r="V31" s="819">
        <f>_xlfn.IFNA(IF(IFERROR(OR(V175&lt;1,AND(V175&gt;0,V176&gt;0,V176&gt;V175,#REF!="Route-based")),FALSE),0,V172),0)</f>
        <v>0</v>
      </c>
      <c r="W31" s="819">
        <f>_xlfn.IFNA(IF(IFERROR(OR(W175&lt;1,AND(W175&gt;0,W176&gt;0,W176&gt;W175,#REF!="Route-based")),FALSE),0,W172),0)</f>
        <v>0</v>
      </c>
      <c r="X31" s="2720"/>
      <c r="Y31" s="2699">
        <f>COUNTIFS(H31:W33,"&gt;0",H31:W33,{"&gt;0.9","&lt;0.5"})</f>
        <v>0</v>
      </c>
      <c r="Z31" s="273"/>
      <c r="AA31" s="273"/>
      <c r="AB31" s="273"/>
    </row>
    <row r="32" spans="5:28" ht="14.9" customHeight="1">
      <c r="F32" s="2481"/>
      <c r="G32" s="426" t="s">
        <v>210</v>
      </c>
      <c r="H32" s="820">
        <f>_xlfn.IFNA(IF(IFERROR(OR(H213&lt;1,AND(H213&gt;0,H214&gt;0,H214&gt;H213,#REF!="Route-based")),FALSE),0,H210),0)</f>
        <v>0</v>
      </c>
      <c r="I32" s="820">
        <f>_xlfn.IFNA(IF(IFERROR(OR(I213&lt;1,AND(I213&gt;0,I214&gt;0,I214&gt;I213,#REF!="Route-based")),FALSE),0,I210),0)</f>
        <v>0</v>
      </c>
      <c r="J32" s="820">
        <f>_xlfn.IFNA(IF(IFERROR(OR(J213&lt;1,AND(J213&gt;0,J214&gt;0,J214&gt;J213,#REF!="Route-based")),FALSE),0,J210),0)</f>
        <v>0</v>
      </c>
      <c r="K32" s="820">
        <f>_xlfn.IFNA(IF(IFERROR(OR(K213&lt;1,AND(K213&gt;0,K214&gt;0,K214&gt;K213,#REF!="Route-based")),FALSE),0,K210),0)</f>
        <v>0</v>
      </c>
      <c r="L32" s="820">
        <f>_xlfn.IFNA(IF(IFERROR(OR(L213&lt;1,AND(L213&gt;0,L214&gt;0,L214&gt;L213,#REF!="Route-based")),FALSE),0,L210),0)</f>
        <v>0</v>
      </c>
      <c r="M32" s="820">
        <f>_xlfn.IFNA(IF(IFERROR(OR(M213&lt;1,AND(M213&gt;0,M214&gt;0,M214&gt;M213,#REF!="Route-based")),FALSE),0,M210),0)</f>
        <v>0</v>
      </c>
      <c r="N32" s="820">
        <f>_xlfn.IFNA(IF(IFERROR(OR(N213&lt;1,AND(N213&gt;0,N214&gt;0,N214&gt;N213,#REF!="Route-based")),FALSE),0,N210),0)</f>
        <v>0</v>
      </c>
      <c r="O32" s="820">
        <f>_xlfn.IFNA(IF(IFERROR(OR(O213&lt;1,AND(O213&gt;0,O214&gt;0,O214&gt;O213,#REF!="Route-based")),FALSE),0,O210),0)</f>
        <v>0</v>
      </c>
      <c r="P32" s="820">
        <f>_xlfn.IFNA(IF(IFERROR(OR(P213&lt;1,AND(P213&gt;0,P214&gt;0,P214&gt;P213,#REF!="Route-based")),FALSE),0,P210),0)</f>
        <v>0</v>
      </c>
      <c r="Q32" s="820">
        <f>_xlfn.IFNA(IF(IFERROR(OR(Q213&lt;1,AND(Q213&gt;0,Q214&gt;0,Q214&gt;Q213,#REF!="Route-based")),FALSE),0,Q210),0)</f>
        <v>0</v>
      </c>
      <c r="R32" s="820">
        <f>_xlfn.IFNA(IF(IFERROR(OR(R213&lt;1,AND(R213&gt;0,R214&gt;0,R214&gt;R213,#REF!="Route-based")),FALSE),0,R210),0)</f>
        <v>0</v>
      </c>
      <c r="S32" s="820">
        <f>_xlfn.IFNA(IF(IFERROR(OR(S213&lt;1,AND(S213&gt;0,S214&gt;0,S214&gt;S213,#REF!="Route-based")),FALSE),0,S210),0)</f>
        <v>0</v>
      </c>
      <c r="T32" s="820">
        <f>_xlfn.IFNA(IF(IFERROR(OR(T213&lt;1,AND(T213&gt;0,T214&gt;0,T214&gt;T213,#REF!="Route-based")),FALSE),0,T210),0)</f>
        <v>0</v>
      </c>
      <c r="U32" s="820">
        <f>_xlfn.IFNA(IF(IFERROR(OR(U213&lt;1,AND(U213&gt;0,U214&gt;0,U214&gt;U213,#REF!="Route-based")),FALSE),0,U210),0)</f>
        <v>0</v>
      </c>
      <c r="V32" s="820">
        <f>_xlfn.IFNA(IF(IFERROR(OR(V213&lt;1,AND(V213&gt;0,V214&gt;0,V214&gt;V213,#REF!="Route-based")),FALSE),0,V210),0)</f>
        <v>0</v>
      </c>
      <c r="W32" s="820">
        <f>_xlfn.IFNA(IF(IFERROR(OR(W213&lt;1,AND(W213&gt;0,W214&gt;0,W214&gt;W213,#REF!="Route-based")),FALSE),0,W210),0)</f>
        <v>0</v>
      </c>
      <c r="X32" s="2720"/>
      <c r="Y32" s="2700"/>
      <c r="Z32" s="273"/>
      <c r="AA32" s="273"/>
      <c r="AB32" s="273"/>
    </row>
    <row r="33" spans="6:46" ht="14.9" customHeight="1">
      <c r="F33" s="2482"/>
      <c r="G33" s="427" t="s">
        <v>211</v>
      </c>
      <c r="H33" s="821">
        <f>_xlfn.IFNA(IF(IFERROR(OR(H251&lt;1,AND(H251&gt;0,H252&gt;0,H252&gt;H251,#REF!="Route-based")),FALSE),0,H248),0)</f>
        <v>0</v>
      </c>
      <c r="I33" s="821">
        <f>_xlfn.IFNA(IF(IFERROR(OR(I251&lt;1,AND(I251&gt;0,I252&gt;0,I252&gt;I251,#REF!="Route-based")),FALSE),0,I248),0)</f>
        <v>0</v>
      </c>
      <c r="J33" s="821">
        <f>_xlfn.IFNA(IF(IFERROR(OR(J251&lt;1,AND(J251&gt;0,J252&gt;0,J252&gt;J251,#REF!="Route-based")),FALSE),0,J248),0)</f>
        <v>0</v>
      </c>
      <c r="K33" s="821">
        <f>_xlfn.IFNA(IF(IFERROR(OR(K251&lt;1,AND(K251&gt;0,K252&gt;0,K252&gt;K251,#REF!="Route-based")),FALSE),0,K248),0)</f>
        <v>0</v>
      </c>
      <c r="L33" s="821">
        <f>_xlfn.IFNA(IF(IFERROR(OR(L251&lt;1,AND(L251&gt;0,L252&gt;0,L252&gt;L251,#REF!="Route-based")),FALSE),0,L248),0)</f>
        <v>0</v>
      </c>
      <c r="M33" s="821">
        <f>_xlfn.IFNA(IF(IFERROR(OR(M251&lt;1,AND(M251&gt;0,M252&gt;0,M252&gt;M251,#REF!="Route-based")),FALSE),0,M248),0)</f>
        <v>0</v>
      </c>
      <c r="N33" s="821">
        <f>_xlfn.IFNA(IF(IFERROR(OR(N251&lt;1,AND(N251&gt;0,N252&gt;0,N252&gt;N251,#REF!="Route-based")),FALSE),0,N248),0)</f>
        <v>0</v>
      </c>
      <c r="O33" s="821">
        <f>_xlfn.IFNA(IF(IFERROR(OR(O251&lt;1,AND(O251&gt;0,O252&gt;0,O252&gt;O251,#REF!="Route-based")),FALSE),0,O248),0)</f>
        <v>0</v>
      </c>
      <c r="P33" s="821">
        <f>_xlfn.IFNA(IF(IFERROR(OR(P251&lt;1,AND(P251&gt;0,P252&gt;0,P252&gt;P251,#REF!="Route-based")),FALSE),0,P248),0)</f>
        <v>0</v>
      </c>
      <c r="Q33" s="821">
        <f>_xlfn.IFNA(IF(IFERROR(OR(Q251&lt;1,AND(Q251&gt;0,Q252&gt;0,Q252&gt;Q251,#REF!="Route-based")),FALSE),0,Q248),0)</f>
        <v>0</v>
      </c>
      <c r="R33" s="821">
        <f>_xlfn.IFNA(IF(IFERROR(OR(R251&lt;1,AND(R251&gt;0,R252&gt;0,R252&gt;R251,#REF!="Route-based")),FALSE),0,R248),0)</f>
        <v>0</v>
      </c>
      <c r="S33" s="821">
        <f>_xlfn.IFNA(IF(IFERROR(OR(S251&lt;1,AND(S251&gt;0,S252&gt;0,S252&gt;S251,#REF!="Route-based")),FALSE),0,S248),0)</f>
        <v>0</v>
      </c>
      <c r="T33" s="821">
        <f>_xlfn.IFNA(IF(IFERROR(OR(T251&lt;1,AND(T251&gt;0,T252&gt;0,T252&gt;T251,#REF!="Route-based")),FALSE),0,T248),0)</f>
        <v>0</v>
      </c>
      <c r="U33" s="821">
        <f>_xlfn.IFNA(IF(IFERROR(OR(U251&lt;1,AND(U251&gt;0,U252&gt;0,U252&gt;U251,#REF!="Route-based")),FALSE),0,U248),0)</f>
        <v>0</v>
      </c>
      <c r="V33" s="821">
        <f>_xlfn.IFNA(IF(IFERROR(OR(V251&lt;1,AND(V251&gt;0,V252&gt;0,V252&gt;V251,#REF!="Route-based")),FALSE),0,V248),0)</f>
        <v>0</v>
      </c>
      <c r="W33" s="821">
        <f>_xlfn.IFNA(IF(IFERROR(OR(W251&lt;1,AND(W251&gt;0,W252&gt;0,W252&gt;W251,#REF!="Route-based")),FALSE),0,W248),0)</f>
        <v>0</v>
      </c>
      <c r="X33" s="2721"/>
      <c r="Y33" s="2701"/>
      <c r="Z33" s="273"/>
      <c r="AA33" s="273"/>
      <c r="AB33" s="273"/>
    </row>
    <row r="34" spans="6:46" ht="15" customHeight="1">
      <c r="F34" s="2483" t="s">
        <v>236</v>
      </c>
      <c r="G34" s="428" t="s">
        <v>359</v>
      </c>
      <c r="H34" s="429">
        <f>IFERROR(((H168*H173)+(H206*H211)+(H244*H249))/(H168+H206+H244),IFERROR(H173+H211+H249,"Error"))</f>
        <v>0</v>
      </c>
      <c r="I34" s="429"/>
      <c r="J34" s="429"/>
      <c r="K34" s="429">
        <f>IFERROR(((K168*K173)+(K206*K211)+(K244*K249))/(K168+K206+K244),IFERROR(K173+K211+K249,"Error"))</f>
        <v>0</v>
      </c>
      <c r="L34" s="429"/>
      <c r="M34" s="429"/>
      <c r="N34" s="429">
        <f>IFERROR(((N168*N173)+(N206*N211)+(N244*N249))/(N168+N206+N244),IFERROR(N173+N211+N249,"Error"))</f>
        <v>0</v>
      </c>
      <c r="O34" s="429"/>
      <c r="P34" s="429"/>
      <c r="Q34" s="429">
        <f>IFERROR(((Q168*Q173)+(Q206*Q211)+(Q244*Q249))/(Q168+Q206+Q244),IFERROR(Q173+Q211+Q249,"Error"))</f>
        <v>0</v>
      </c>
      <c r="R34" s="430"/>
      <c r="S34" s="430"/>
      <c r="T34" s="429">
        <f>IFERROR(((T168*T173)+(T206*T211)+(T244*T249))/(T168+T206+T244),IFERROR(T173+T211+T249,"Error"))</f>
        <v>0</v>
      </c>
      <c r="U34" s="430"/>
      <c r="V34" s="430"/>
      <c r="W34" s="429">
        <f>IFERROR(((W168*W173)+(W206*W211)+(W244*W249))/(W168+W206+W244),IFERROR(W173+W211+W249,"Error"))</f>
        <v>0</v>
      </c>
      <c r="X34" s="2723" t="str">
        <f>IFERROR(AVERAGEIF(H34:W34,"&lt;&gt;0"),"")</f>
        <v/>
      </c>
      <c r="Y34" s="2705">
        <f>COUNTIFS(H35:W37,"&gt;0",H35:W37,{"&gt;0.9","&lt;0.5"})</f>
        <v>0</v>
      </c>
    </row>
    <row r="35" spans="6:46" ht="15" customHeight="1">
      <c r="F35" s="2484"/>
      <c r="G35" s="425" t="s">
        <v>209</v>
      </c>
      <c r="H35" s="431">
        <f>_xlfn.IFNA(H173,0)</f>
        <v>0</v>
      </c>
      <c r="I35" s="431"/>
      <c r="J35" s="431"/>
      <c r="K35" s="431">
        <f t="shared" ref="K35:W35" si="0">_xlfn.IFNA(K173,0)</f>
        <v>0</v>
      </c>
      <c r="L35" s="431">
        <f t="shared" si="0"/>
        <v>0</v>
      </c>
      <c r="M35" s="431">
        <f t="shared" si="0"/>
        <v>0</v>
      </c>
      <c r="N35" s="431">
        <f t="shared" si="0"/>
        <v>0</v>
      </c>
      <c r="O35" s="431">
        <f t="shared" si="0"/>
        <v>0</v>
      </c>
      <c r="P35" s="431">
        <f t="shared" si="0"/>
        <v>0</v>
      </c>
      <c r="Q35" s="431">
        <f t="shared" si="0"/>
        <v>0</v>
      </c>
      <c r="R35" s="432">
        <f t="shared" si="0"/>
        <v>0</v>
      </c>
      <c r="S35" s="432">
        <f t="shared" si="0"/>
        <v>0</v>
      </c>
      <c r="T35" s="431">
        <f t="shared" si="0"/>
        <v>0</v>
      </c>
      <c r="U35" s="432">
        <f t="shared" si="0"/>
        <v>0</v>
      </c>
      <c r="V35" s="432">
        <f t="shared" si="0"/>
        <v>0</v>
      </c>
      <c r="W35" s="431">
        <f t="shared" si="0"/>
        <v>0</v>
      </c>
      <c r="X35" s="2703"/>
      <c r="Y35" s="2705"/>
    </row>
    <row r="36" spans="6:46" ht="15" customHeight="1">
      <c r="F36" s="2484"/>
      <c r="G36" s="426" t="s">
        <v>210</v>
      </c>
      <c r="H36" s="433">
        <f>_xlfn.IFNA(H211,0)</f>
        <v>0</v>
      </c>
      <c r="I36" s="433"/>
      <c r="J36" s="433"/>
      <c r="K36" s="433">
        <f t="shared" ref="K36:W36" si="1">_xlfn.IFNA(K211,0)</f>
        <v>0</v>
      </c>
      <c r="L36" s="433">
        <f t="shared" si="1"/>
        <v>0</v>
      </c>
      <c r="M36" s="433">
        <f t="shared" si="1"/>
        <v>0</v>
      </c>
      <c r="N36" s="433">
        <f t="shared" si="1"/>
        <v>0</v>
      </c>
      <c r="O36" s="433">
        <f t="shared" si="1"/>
        <v>0</v>
      </c>
      <c r="P36" s="433">
        <f t="shared" si="1"/>
        <v>0</v>
      </c>
      <c r="Q36" s="433">
        <f t="shared" si="1"/>
        <v>0</v>
      </c>
      <c r="R36" s="434">
        <f t="shared" si="1"/>
        <v>0</v>
      </c>
      <c r="S36" s="434">
        <f t="shared" si="1"/>
        <v>0</v>
      </c>
      <c r="T36" s="433">
        <f t="shared" si="1"/>
        <v>0</v>
      </c>
      <c r="U36" s="434">
        <f t="shared" si="1"/>
        <v>0</v>
      </c>
      <c r="V36" s="434">
        <f t="shared" si="1"/>
        <v>0</v>
      </c>
      <c r="W36" s="433">
        <f t="shared" si="1"/>
        <v>0</v>
      </c>
      <c r="X36" s="2703"/>
      <c r="Y36" s="2705"/>
    </row>
    <row r="37" spans="6:46" ht="15" customHeight="1">
      <c r="F37" s="2485"/>
      <c r="G37" s="427" t="s">
        <v>211</v>
      </c>
      <c r="H37" s="435">
        <f>_xlfn.IFNA(H249,0)</f>
        <v>0</v>
      </c>
      <c r="I37" s="435"/>
      <c r="J37" s="435"/>
      <c r="K37" s="435">
        <f t="shared" ref="K37:W37" si="2">_xlfn.IFNA(K249,0)</f>
        <v>0</v>
      </c>
      <c r="L37" s="435">
        <f t="shared" si="2"/>
        <v>0</v>
      </c>
      <c r="M37" s="435">
        <f t="shared" si="2"/>
        <v>0</v>
      </c>
      <c r="N37" s="435">
        <f t="shared" si="2"/>
        <v>0</v>
      </c>
      <c r="O37" s="435">
        <f t="shared" si="2"/>
        <v>0</v>
      </c>
      <c r="P37" s="435">
        <f t="shared" si="2"/>
        <v>0</v>
      </c>
      <c r="Q37" s="435">
        <f t="shared" si="2"/>
        <v>0</v>
      </c>
      <c r="R37" s="436">
        <f t="shared" si="2"/>
        <v>0</v>
      </c>
      <c r="S37" s="436">
        <f t="shared" si="2"/>
        <v>0</v>
      </c>
      <c r="T37" s="435">
        <f t="shared" si="2"/>
        <v>0</v>
      </c>
      <c r="U37" s="436">
        <f t="shared" si="2"/>
        <v>0</v>
      </c>
      <c r="V37" s="436">
        <f t="shared" si="2"/>
        <v>0</v>
      </c>
      <c r="W37" s="435">
        <f t="shared" si="2"/>
        <v>0</v>
      </c>
      <c r="X37" s="2704"/>
      <c r="Y37" s="2705"/>
    </row>
    <row r="38" spans="6:46" ht="15" customHeight="1">
      <c r="F38" s="2483" t="s">
        <v>238</v>
      </c>
      <c r="G38" s="428" t="s">
        <v>359</v>
      </c>
      <c r="H38" s="429">
        <f>IFERROR(((H279*H282)+(H308*H311)+(H337*H340))/(H279+H308+H337),IFERROR(H282+H311+H340,"Error"))</f>
        <v>0</v>
      </c>
      <c r="I38" s="429"/>
      <c r="J38" s="429"/>
      <c r="K38" s="429">
        <f>IFERROR(((K279*K282)+(K308*K311)+(K337*K340))/(K279+K308+K337),IFERROR(K282+K311+K340,"Error"))</f>
        <v>0</v>
      </c>
      <c r="L38" s="429"/>
      <c r="M38" s="429"/>
      <c r="N38" s="429">
        <f>IFERROR(((N279*N282)+(N308*N311)+(N337*N340))/(N279+N308+N337),IFERROR(N282+N311+N340,"Error"))</f>
        <v>0</v>
      </c>
      <c r="O38" s="429"/>
      <c r="P38" s="429"/>
      <c r="Q38" s="429">
        <f>IFERROR(((Q279*Q282)+(Q308*Q311)+(Q337*Q340))/(Q279+Q308+Q337),IFERROR(Q282+Q311+Q340,"Error"))</f>
        <v>0</v>
      </c>
      <c r="R38" s="430"/>
      <c r="S38" s="430"/>
      <c r="T38" s="429">
        <f>IFERROR(((T279*T282)+(T308*T311)+(T337*T340))/(T279+T308+T337),IFERROR(T282+T311+T340,"Error"))</f>
        <v>0</v>
      </c>
      <c r="U38" s="430"/>
      <c r="V38" s="430"/>
      <c r="W38" s="429">
        <f>IFERROR(((W279*W282)+(W308*W311)+(W337*W340))/(W279+W308+W337),IFERROR(W282+W311+W340,"Error"))</f>
        <v>0</v>
      </c>
      <c r="X38" s="2724" t="str">
        <f>IFERROR(AVERAGEIF(H38:W38,"&lt;&gt;0"),"")</f>
        <v/>
      </c>
      <c r="Y38" s="2705">
        <f>COUNTIFS(H39:W41,"&gt;0",H39:W41,{"&gt;0.9","&lt;0.5"})</f>
        <v>0</v>
      </c>
    </row>
    <row r="39" spans="6:46" ht="15" customHeight="1">
      <c r="F39" s="2484"/>
      <c r="G39" s="425" t="s">
        <v>209</v>
      </c>
      <c r="H39" s="431">
        <f>_xlfn.IFNA(H282,0)</f>
        <v>0</v>
      </c>
      <c r="I39" s="431">
        <f>I282</f>
        <v>0</v>
      </c>
      <c r="J39" s="431">
        <f>J282</f>
        <v>0</v>
      </c>
      <c r="K39" s="431">
        <f t="shared" ref="K39:W39" si="3">_xlfn.IFNA(K282,0)</f>
        <v>0</v>
      </c>
      <c r="L39" s="431">
        <f t="shared" si="3"/>
        <v>0</v>
      </c>
      <c r="M39" s="431">
        <f t="shared" si="3"/>
        <v>0</v>
      </c>
      <c r="N39" s="431">
        <f t="shared" si="3"/>
        <v>0</v>
      </c>
      <c r="O39" s="431">
        <f t="shared" si="3"/>
        <v>0</v>
      </c>
      <c r="P39" s="431">
        <f t="shared" si="3"/>
        <v>0</v>
      </c>
      <c r="Q39" s="431">
        <f t="shared" si="3"/>
        <v>0</v>
      </c>
      <c r="R39" s="431">
        <f t="shared" si="3"/>
        <v>0</v>
      </c>
      <c r="S39" s="431">
        <f t="shared" si="3"/>
        <v>0</v>
      </c>
      <c r="T39" s="431">
        <f t="shared" si="3"/>
        <v>0</v>
      </c>
      <c r="U39" s="431">
        <f t="shared" si="3"/>
        <v>0</v>
      </c>
      <c r="V39" s="431">
        <f t="shared" si="3"/>
        <v>0</v>
      </c>
      <c r="W39" s="431">
        <f t="shared" si="3"/>
        <v>0</v>
      </c>
      <c r="X39" s="2718"/>
      <c r="Y39" s="2705"/>
    </row>
    <row r="40" spans="6:46" ht="15" customHeight="1">
      <c r="F40" s="2484"/>
      <c r="G40" s="426" t="s">
        <v>210</v>
      </c>
      <c r="H40" s="433">
        <f>_xlfn.IFNA(H311,0)</f>
        <v>0</v>
      </c>
      <c r="I40" s="433">
        <f>I311</f>
        <v>0</v>
      </c>
      <c r="J40" s="433">
        <f>J311</f>
        <v>0</v>
      </c>
      <c r="K40" s="433">
        <f t="shared" ref="K40:W40" si="4">_xlfn.IFNA(K311,0)</f>
        <v>0</v>
      </c>
      <c r="L40" s="433">
        <f t="shared" si="4"/>
        <v>0</v>
      </c>
      <c r="M40" s="433">
        <f t="shared" si="4"/>
        <v>0</v>
      </c>
      <c r="N40" s="433">
        <f t="shared" si="4"/>
        <v>0</v>
      </c>
      <c r="O40" s="433">
        <f t="shared" si="4"/>
        <v>0</v>
      </c>
      <c r="P40" s="433">
        <f t="shared" si="4"/>
        <v>0</v>
      </c>
      <c r="Q40" s="433">
        <f t="shared" si="4"/>
        <v>0</v>
      </c>
      <c r="R40" s="433">
        <f t="shared" si="4"/>
        <v>0</v>
      </c>
      <c r="S40" s="433">
        <f t="shared" si="4"/>
        <v>0</v>
      </c>
      <c r="T40" s="433">
        <f t="shared" si="4"/>
        <v>0</v>
      </c>
      <c r="U40" s="433">
        <f t="shared" si="4"/>
        <v>0</v>
      </c>
      <c r="V40" s="433">
        <f t="shared" si="4"/>
        <v>0</v>
      </c>
      <c r="W40" s="433">
        <f t="shared" si="4"/>
        <v>0</v>
      </c>
      <c r="X40" s="2718"/>
      <c r="Y40" s="2705"/>
    </row>
    <row r="41" spans="6:46" ht="15" customHeight="1">
      <c r="F41" s="2485"/>
      <c r="G41" s="427" t="s">
        <v>211</v>
      </c>
      <c r="H41" s="435">
        <f>_xlfn.IFNA(H340,0)</f>
        <v>0</v>
      </c>
      <c r="I41" s="435">
        <f>I340</f>
        <v>0</v>
      </c>
      <c r="J41" s="435">
        <f>J340</f>
        <v>0</v>
      </c>
      <c r="K41" s="435">
        <f t="shared" ref="K41:W41" si="5">_xlfn.IFNA(K340,0)</f>
        <v>0</v>
      </c>
      <c r="L41" s="435">
        <f t="shared" si="5"/>
        <v>0</v>
      </c>
      <c r="M41" s="435">
        <f t="shared" si="5"/>
        <v>0</v>
      </c>
      <c r="N41" s="435">
        <f t="shared" si="5"/>
        <v>0</v>
      </c>
      <c r="O41" s="435">
        <f t="shared" si="5"/>
        <v>0</v>
      </c>
      <c r="P41" s="435">
        <f t="shared" si="5"/>
        <v>0</v>
      </c>
      <c r="Q41" s="435">
        <f t="shared" si="5"/>
        <v>0</v>
      </c>
      <c r="R41" s="435">
        <f t="shared" si="5"/>
        <v>0</v>
      </c>
      <c r="S41" s="435">
        <f t="shared" si="5"/>
        <v>0</v>
      </c>
      <c r="T41" s="435">
        <f t="shared" si="5"/>
        <v>0</v>
      </c>
      <c r="U41" s="435">
        <f t="shared" si="5"/>
        <v>0</v>
      </c>
      <c r="V41" s="435">
        <f t="shared" si="5"/>
        <v>0</v>
      </c>
      <c r="W41" s="435">
        <f t="shared" si="5"/>
        <v>0</v>
      </c>
      <c r="X41" s="2719"/>
      <c r="Y41" s="2705"/>
    </row>
    <row r="42" spans="6:46" ht="15" customHeight="1">
      <c r="F42" s="2483" t="s">
        <v>237</v>
      </c>
      <c r="G42" s="428" t="s">
        <v>359</v>
      </c>
      <c r="H42" s="429">
        <f>IFERROR(((H368*H371)+(H397*H400)+(H426*H429))/(H368+H397+H426),IFERROR(H371+H400+H429,"Error"))</f>
        <v>0</v>
      </c>
      <c r="I42" s="429"/>
      <c r="J42" s="429"/>
      <c r="K42" s="429">
        <f t="shared" ref="K42:Q42" si="6">IFERROR(((K368*K371)+(K397*K400)+(K426*K429))/(K368+K397+K426),IFERROR(K371+K400+K429,"Error"))</f>
        <v>0</v>
      </c>
      <c r="L42" s="429"/>
      <c r="M42" s="429"/>
      <c r="N42" s="429">
        <f t="shared" si="6"/>
        <v>0</v>
      </c>
      <c r="O42" s="429"/>
      <c r="P42" s="429"/>
      <c r="Q42" s="429">
        <f t="shared" si="6"/>
        <v>0</v>
      </c>
      <c r="R42" s="430"/>
      <c r="S42" s="430"/>
      <c r="T42" s="429">
        <f>IFERROR(((T368*T371)+(T397*T400)+(T426*T429))/(T368+T397+T426),IFERROR(T371+T400+T429,"Error"))</f>
        <v>0</v>
      </c>
      <c r="U42" s="430"/>
      <c r="V42" s="430"/>
      <c r="W42" s="429">
        <f>IFERROR(((W368*W371)+(W397*W400)+(W426*W429))/(W368+W397+W426),IFERROR(W371+W400+W429,"Error"))</f>
        <v>0</v>
      </c>
      <c r="X42" s="2724" t="str">
        <f>IFERROR(AVERAGEIF(H42:W42,"&lt;&gt;0"),"")</f>
        <v/>
      </c>
      <c r="Y42" s="2705">
        <f>COUNTIFS(H43:W45,"&gt;0",H43:W45,{"&gt;0.9","&lt;0.5"})</f>
        <v>0</v>
      </c>
    </row>
    <row r="43" spans="6:46" ht="15" customHeight="1">
      <c r="F43" s="2484"/>
      <c r="G43" s="425" t="s">
        <v>209</v>
      </c>
      <c r="H43" s="431">
        <f>_xlfn.IFNA(H371,0)</f>
        <v>0</v>
      </c>
      <c r="I43" s="431">
        <f t="shared" ref="I43:W43" si="7">_xlfn.IFNA(I371,0)</f>
        <v>0</v>
      </c>
      <c r="J43" s="431">
        <f t="shared" si="7"/>
        <v>0</v>
      </c>
      <c r="K43" s="431">
        <f t="shared" si="7"/>
        <v>0</v>
      </c>
      <c r="L43" s="431">
        <f t="shared" si="7"/>
        <v>0</v>
      </c>
      <c r="M43" s="431">
        <f t="shared" si="7"/>
        <v>0</v>
      </c>
      <c r="N43" s="431">
        <f t="shared" si="7"/>
        <v>0</v>
      </c>
      <c r="O43" s="431">
        <f t="shared" si="7"/>
        <v>0</v>
      </c>
      <c r="P43" s="431">
        <f t="shared" si="7"/>
        <v>0</v>
      </c>
      <c r="Q43" s="431">
        <f t="shared" si="7"/>
        <v>0</v>
      </c>
      <c r="R43" s="431">
        <f t="shared" si="7"/>
        <v>0</v>
      </c>
      <c r="S43" s="431">
        <f t="shared" si="7"/>
        <v>0</v>
      </c>
      <c r="T43" s="431">
        <f t="shared" si="7"/>
        <v>0</v>
      </c>
      <c r="U43" s="431">
        <f t="shared" si="7"/>
        <v>0</v>
      </c>
      <c r="V43" s="431">
        <f t="shared" si="7"/>
        <v>0</v>
      </c>
      <c r="W43" s="431">
        <f t="shared" si="7"/>
        <v>0</v>
      </c>
      <c r="X43" s="2718"/>
      <c r="Y43" s="2705"/>
    </row>
    <row r="44" spans="6:46" ht="15" customHeight="1">
      <c r="F44" s="2484"/>
      <c r="G44" s="426" t="s">
        <v>210</v>
      </c>
      <c r="H44" s="433">
        <f>_xlfn.IFNA(H400,0)</f>
        <v>0</v>
      </c>
      <c r="I44" s="433">
        <f t="shared" ref="I44:W44" si="8">_xlfn.IFNA(I400,0)</f>
        <v>0</v>
      </c>
      <c r="J44" s="433">
        <f t="shared" si="8"/>
        <v>0</v>
      </c>
      <c r="K44" s="433">
        <f t="shared" si="8"/>
        <v>0</v>
      </c>
      <c r="L44" s="433">
        <f t="shared" si="8"/>
        <v>0</v>
      </c>
      <c r="M44" s="433">
        <f t="shared" si="8"/>
        <v>0</v>
      </c>
      <c r="N44" s="433">
        <f t="shared" si="8"/>
        <v>0</v>
      </c>
      <c r="O44" s="433">
        <f t="shared" si="8"/>
        <v>0</v>
      </c>
      <c r="P44" s="433">
        <f t="shared" si="8"/>
        <v>0</v>
      </c>
      <c r="Q44" s="433">
        <f t="shared" si="8"/>
        <v>0</v>
      </c>
      <c r="R44" s="433">
        <f t="shared" si="8"/>
        <v>0</v>
      </c>
      <c r="S44" s="433">
        <f t="shared" si="8"/>
        <v>0</v>
      </c>
      <c r="T44" s="433">
        <f t="shared" si="8"/>
        <v>0</v>
      </c>
      <c r="U44" s="433">
        <f t="shared" si="8"/>
        <v>0</v>
      </c>
      <c r="V44" s="433">
        <f t="shared" si="8"/>
        <v>0</v>
      </c>
      <c r="W44" s="433">
        <f t="shared" si="8"/>
        <v>0</v>
      </c>
      <c r="X44" s="2718"/>
      <c r="Y44" s="2705"/>
    </row>
    <row r="45" spans="6:46" ht="15" customHeight="1">
      <c r="F45" s="2485"/>
      <c r="G45" s="427" t="s">
        <v>211</v>
      </c>
      <c r="H45" s="435">
        <f>_xlfn.IFNA(H429,0)</f>
        <v>0</v>
      </c>
      <c r="I45" s="435">
        <f t="shared" ref="I45:W45" si="9">_xlfn.IFNA(I429,0)</f>
        <v>0</v>
      </c>
      <c r="J45" s="435">
        <f t="shared" si="9"/>
        <v>0</v>
      </c>
      <c r="K45" s="435">
        <f t="shared" si="9"/>
        <v>0</v>
      </c>
      <c r="L45" s="435">
        <f t="shared" si="9"/>
        <v>0</v>
      </c>
      <c r="M45" s="435">
        <f t="shared" si="9"/>
        <v>0</v>
      </c>
      <c r="N45" s="435">
        <f t="shared" si="9"/>
        <v>0</v>
      </c>
      <c r="O45" s="435">
        <f t="shared" si="9"/>
        <v>0</v>
      </c>
      <c r="P45" s="435">
        <f t="shared" si="9"/>
        <v>0</v>
      </c>
      <c r="Q45" s="435">
        <f t="shared" si="9"/>
        <v>0</v>
      </c>
      <c r="R45" s="435">
        <f t="shared" si="9"/>
        <v>0</v>
      </c>
      <c r="S45" s="435">
        <f t="shared" si="9"/>
        <v>0</v>
      </c>
      <c r="T45" s="435">
        <f t="shared" si="9"/>
        <v>0</v>
      </c>
      <c r="U45" s="435">
        <f t="shared" si="9"/>
        <v>0</v>
      </c>
      <c r="V45" s="435">
        <f t="shared" si="9"/>
        <v>0</v>
      </c>
      <c r="W45" s="435">
        <f t="shared" si="9"/>
        <v>0</v>
      </c>
      <c r="X45" s="2719"/>
      <c r="Y45" s="2705"/>
    </row>
    <row r="46" spans="6:46" ht="29.25" customHeight="1">
      <c r="F46" s="455" t="s">
        <v>481</v>
      </c>
      <c r="G46" s="490" t="s">
        <v>482</v>
      </c>
      <c r="H46" s="454" t="str">
        <f>IFERROR(SUM(IF(H34&gt;0,H34,0),IF(H38&gt;0,H38,0),IF(H42&gt;0,H42,0))/SUM(IF(H34&gt;0,1,0),IF(H38&gt;0,1,0),IF(H42&gt;0,1,0)),"")</f>
        <v/>
      </c>
      <c r="I46" s="454"/>
      <c r="J46" s="454"/>
      <c r="K46" s="454" t="str">
        <f t="shared" ref="K46:W46" si="10">IFERROR(SUM(IF(K34&gt;0,K34,0),IF(K38&gt;0,K38,0),IF(K42&gt;0,K42,0))/SUM(IF(K34&gt;0,1,0),IF(K38&gt;0,1,0),IF(K42&gt;0,1,0)),"")</f>
        <v/>
      </c>
      <c r="L46" s="454" t="str">
        <f t="shared" si="10"/>
        <v/>
      </c>
      <c r="M46" s="454" t="str">
        <f t="shared" si="10"/>
        <v/>
      </c>
      <c r="N46" s="454" t="str">
        <f t="shared" si="10"/>
        <v/>
      </c>
      <c r="O46" s="454" t="str">
        <f t="shared" si="10"/>
        <v/>
      </c>
      <c r="P46" s="454" t="str">
        <f t="shared" si="10"/>
        <v/>
      </c>
      <c r="Q46" s="454" t="str">
        <f t="shared" si="10"/>
        <v/>
      </c>
      <c r="R46" s="454" t="str">
        <f t="shared" si="10"/>
        <v/>
      </c>
      <c r="S46" s="454" t="str">
        <f t="shared" si="10"/>
        <v/>
      </c>
      <c r="T46" s="454" t="str">
        <f t="shared" si="10"/>
        <v/>
      </c>
      <c r="U46" s="454" t="str">
        <f t="shared" si="10"/>
        <v/>
      </c>
      <c r="V46" s="454" t="str">
        <f t="shared" si="10"/>
        <v/>
      </c>
      <c r="W46" s="454" t="str">
        <f t="shared" si="10"/>
        <v/>
      </c>
      <c r="X46" s="491" t="s">
        <v>591</v>
      </c>
      <c r="Y46" s="448">
        <f>SUM(Y31:Y45)</f>
        <v>0</v>
      </c>
    </row>
    <row r="47" spans="6:46" ht="16.5" customHeight="1">
      <c r="F47" s="240"/>
      <c r="G47" s="52"/>
      <c r="AA47" s="456"/>
      <c r="AB47" s="456"/>
      <c r="AC47" s="456"/>
      <c r="AD47" s="456"/>
      <c r="AE47" s="456"/>
      <c r="AF47" s="456"/>
      <c r="AG47" s="456"/>
      <c r="AH47" s="456"/>
      <c r="AI47" s="456"/>
    </row>
    <row r="48" spans="6:46" ht="32.9" customHeight="1">
      <c r="AA48" s="456"/>
      <c r="AB48" s="456"/>
      <c r="AC48" s="456"/>
      <c r="AD48" s="456"/>
      <c r="AE48" s="456"/>
      <c r="AF48" s="456"/>
      <c r="AG48" s="456"/>
      <c r="AH48" s="456"/>
      <c r="AI48" s="456"/>
      <c r="AO48" s="2505" t="s">
        <v>675</v>
      </c>
      <c r="AP48" s="2506"/>
      <c r="AQ48" s="2506"/>
      <c r="AR48" s="2506"/>
      <c r="AS48" s="2506"/>
      <c r="AT48" s="2507"/>
    </row>
    <row r="49" spans="5:46">
      <c r="H49" s="243" t="str">
        <f>"Overall Storage Capacity - "&amp;H50</f>
        <v>Overall Storage Capacity - Tier 1</v>
      </c>
      <c r="I49" s="243"/>
      <c r="J49" s="243"/>
      <c r="K49" s="243" t="str">
        <f>"Overall Storage Capacity - "&amp;K50</f>
        <v>Overall Storage Capacity - Tier 2</v>
      </c>
      <c r="L49" s="243"/>
      <c r="M49" s="243"/>
      <c r="N49" s="243" t="str">
        <f>"Overall Storage Capacity - "&amp;N50</f>
        <v>Overall Storage Capacity - Tier 3</v>
      </c>
      <c r="O49" s="243"/>
      <c r="P49" s="243"/>
      <c r="Q49" s="243" t="str">
        <f>"Overall Storage Capacity - "&amp;Q50</f>
        <v>Overall Storage Capacity - Tier 4</v>
      </c>
      <c r="R49" s="243"/>
      <c r="S49" s="243"/>
      <c r="T49" s="243" t="str">
        <f>"Overall Storage Capacity - "&amp;T50</f>
        <v>Overall Storage Capacity - Tier 5</v>
      </c>
      <c r="U49" s="243"/>
      <c r="V49" s="243"/>
      <c r="W49" s="243" t="str">
        <f>"Overall Storage Capacity - "&amp;W50</f>
        <v>Overall Storage Capacity - Tier 6</v>
      </c>
      <c r="AA49" s="456"/>
      <c r="AB49" s="456"/>
      <c r="AC49" s="456"/>
      <c r="AD49" s="456"/>
      <c r="AE49" s="456"/>
      <c r="AF49" s="456"/>
      <c r="AG49" s="456"/>
      <c r="AH49" s="456"/>
      <c r="AI49" s="456"/>
      <c r="AO49" s="449"/>
      <c r="AP49" s="450"/>
      <c r="AQ49" s="450"/>
      <c r="AR49" s="450"/>
      <c r="AS49" s="451" t="s">
        <v>479</v>
      </c>
      <c r="AT49" s="452" t="s">
        <v>480</v>
      </c>
    </row>
    <row r="50" spans="5:46" ht="15.9">
      <c r="E50" s="414" t="s">
        <v>459</v>
      </c>
      <c r="F50" s="372"/>
      <c r="G50" s="373"/>
      <c r="H50" s="374" t="s">
        <v>31</v>
      </c>
      <c r="I50" s="374"/>
      <c r="J50" s="374"/>
      <c r="K50" s="374" t="s">
        <v>6</v>
      </c>
      <c r="L50" s="374"/>
      <c r="M50" s="374"/>
      <c r="N50" s="374" t="s">
        <v>7</v>
      </c>
      <c r="O50" s="374"/>
      <c r="P50" s="374"/>
      <c r="Q50" s="375" t="s">
        <v>8</v>
      </c>
      <c r="R50" s="27"/>
      <c r="S50" s="27"/>
      <c r="T50" s="375" t="s">
        <v>411</v>
      </c>
      <c r="U50" s="375"/>
      <c r="V50" s="375"/>
      <c r="W50" s="376" t="s">
        <v>412</v>
      </c>
      <c r="AA50" s="456"/>
      <c r="AB50" s="456"/>
      <c r="AC50" s="456"/>
      <c r="AD50" s="456"/>
      <c r="AE50" s="456"/>
      <c r="AF50" s="456"/>
      <c r="AG50" s="456"/>
      <c r="AH50" s="456"/>
      <c r="AI50" s="456"/>
      <c r="AO50" s="2508" t="s">
        <v>483</v>
      </c>
      <c r="AP50" s="2509"/>
      <c r="AQ50" s="2509"/>
      <c r="AR50" s="2510"/>
      <c r="AS50" s="2514">
        <v>0.9</v>
      </c>
      <c r="AT50" s="2514">
        <v>0.9</v>
      </c>
    </row>
    <row r="51" spans="5:46" ht="18.45">
      <c r="E51" s="277"/>
      <c r="F51" s="351" t="s">
        <v>382</v>
      </c>
      <c r="G51" s="332"/>
      <c r="H51" s="342"/>
      <c r="I51" s="342"/>
      <c r="J51" s="342"/>
      <c r="K51" s="342"/>
      <c r="L51" s="342"/>
      <c r="M51" s="342"/>
      <c r="N51" s="342"/>
      <c r="O51" s="342"/>
      <c r="P51" s="342"/>
      <c r="Q51" s="342"/>
      <c r="R51" s="343"/>
      <c r="S51" s="342"/>
      <c r="T51" s="342"/>
      <c r="U51" s="342"/>
      <c r="V51" s="342"/>
      <c r="W51" s="377"/>
      <c r="Z51" s="36"/>
      <c r="AA51" s="456"/>
      <c r="AB51" s="456"/>
      <c r="AC51" s="456"/>
      <c r="AD51" s="456"/>
      <c r="AE51" s="456"/>
      <c r="AF51" s="456"/>
      <c r="AG51" s="456"/>
      <c r="AH51" s="456"/>
      <c r="AI51" s="456"/>
      <c r="AJ51" s="36"/>
      <c r="AK51" s="36"/>
      <c r="AO51" s="2511"/>
      <c r="AP51" s="2512"/>
      <c r="AQ51" s="2512"/>
      <c r="AR51" s="2513"/>
      <c r="AS51" s="2515"/>
      <c r="AT51" s="2515"/>
    </row>
    <row r="52" spans="5:46" ht="19.5" customHeight="1">
      <c r="E52" s="233"/>
      <c r="F52" s="398"/>
      <c r="G52" s="187" t="s">
        <v>381</v>
      </c>
      <c r="H52" s="399" t="e">
        <f>SUM(H57,H64)</f>
        <v>#REF!</v>
      </c>
      <c r="I52" s="400"/>
      <c r="J52" s="400"/>
      <c r="K52" s="399" t="e">
        <f>SUM(K57,K64)</f>
        <v>#REF!</v>
      </c>
      <c r="L52" s="400"/>
      <c r="M52" s="400"/>
      <c r="N52" s="401" t="e">
        <f>SUM(N57,N64)</f>
        <v>#REF!</v>
      </c>
      <c r="O52" s="400"/>
      <c r="P52" s="400"/>
      <c r="Q52" s="401" t="e">
        <f>SUM(Q57,Q64)</f>
        <v>#REF!</v>
      </c>
      <c r="R52" s="295"/>
      <c r="S52" s="295"/>
      <c r="T52" s="401" t="e">
        <f>SUM(T57,T64)</f>
        <v>#REF!</v>
      </c>
      <c r="U52" s="295"/>
      <c r="V52" s="295"/>
      <c r="W52" s="401" t="e">
        <f>SUM(W57,W64)</f>
        <v>#REF!</v>
      </c>
      <c r="Z52" s="36"/>
      <c r="AA52" s="456"/>
      <c r="AB52" s="456"/>
      <c r="AC52" s="456"/>
      <c r="AD52" s="456"/>
      <c r="AE52" s="456"/>
      <c r="AF52" s="456"/>
      <c r="AG52" s="456"/>
      <c r="AH52" s="456"/>
      <c r="AI52" s="456"/>
      <c r="AJ52" s="36"/>
      <c r="AK52" s="36"/>
      <c r="AO52" s="2508" t="s">
        <v>484</v>
      </c>
      <c r="AP52" s="2509"/>
      <c r="AQ52" s="2509"/>
      <c r="AR52" s="2510"/>
      <c r="AS52" s="2514">
        <v>0.5</v>
      </c>
      <c r="AT52" s="2514">
        <v>0.5</v>
      </c>
    </row>
    <row r="53" spans="5:46" ht="19.5" customHeight="1">
      <c r="E53" s="233"/>
      <c r="F53" s="398"/>
      <c r="G53" s="187" t="s">
        <v>601</v>
      </c>
      <c r="H53" s="395" t="str">
        <f>IFERROR(H52/(#REF!*#REF!*#REF!),"")</f>
        <v/>
      </c>
      <c r="I53" s="400"/>
      <c r="J53" s="400"/>
      <c r="K53" s="395" t="str">
        <f>IFERROR(K52/(#REF!*#REF!*#REF!),"")</f>
        <v/>
      </c>
      <c r="L53" s="400"/>
      <c r="M53" s="400"/>
      <c r="N53" s="395" t="str">
        <f>IFERROR(N52/(#REF!*#REF!*#REF!),"")</f>
        <v/>
      </c>
      <c r="O53" s="400"/>
      <c r="P53" s="400"/>
      <c r="Q53" s="395" t="str">
        <f>IFERROR(Q52/(#REF!*#REF!*#REF!),"")</f>
        <v/>
      </c>
      <c r="R53" s="295"/>
      <c r="S53" s="295"/>
      <c r="T53" s="395" t="str">
        <f>IFERROR(T52/(#REF!*#REF!*#REF!),"")</f>
        <v/>
      </c>
      <c r="U53" s="295"/>
      <c r="V53" s="295"/>
      <c r="W53" s="395" t="str">
        <f>IFERROR(W52/(#REF!*#REF!*#REF!),"")</f>
        <v/>
      </c>
      <c r="Z53" s="36"/>
      <c r="AA53" s="456"/>
      <c r="AB53" s="456"/>
      <c r="AC53" s="456"/>
      <c r="AD53" s="456"/>
      <c r="AE53" s="456"/>
      <c r="AF53" s="456"/>
      <c r="AG53" s="456"/>
      <c r="AH53" s="456"/>
      <c r="AI53" s="456"/>
      <c r="AJ53" s="36"/>
      <c r="AK53" s="36"/>
      <c r="AO53" s="2511"/>
      <c r="AP53" s="2512"/>
      <c r="AQ53" s="2512"/>
      <c r="AR53" s="2513"/>
      <c r="AS53" s="2515"/>
      <c r="AT53" s="2515"/>
    </row>
    <row r="54" spans="5:46" ht="18" customHeight="1">
      <c r="F54" s="397"/>
      <c r="G54" s="191" t="s">
        <v>600</v>
      </c>
      <c r="H54" s="395" t="str">
        <f>IFERROR(SUM(H62,H69,H71)/(AND(H71&gt;0,H71&lt;&gt;"")+AND(H69&gt;0,H69&lt;&gt;"")+AND(H62&gt;0,H62&lt;&gt;"")),"")</f>
        <v/>
      </c>
      <c r="I54" s="395"/>
      <c r="J54" s="395"/>
      <c r="K54" s="395" t="str">
        <f>IFERROR(SUM(K62,K69,K71)/(AND(K71&gt;0,K71&lt;&gt;"")+AND(K69&gt;0,K69&lt;&gt;"")+AND(K62&gt;0,K62&lt;&gt;"")),"")</f>
        <v/>
      </c>
      <c r="L54" s="395"/>
      <c r="M54" s="395"/>
      <c r="N54" s="395" t="str">
        <f>IFERROR(SUM(N62,N69,N71)/(AND(N71&gt;0,N71&lt;&gt;"")+AND(N69&gt;0,N69&lt;&gt;"")+AND(N62&gt;0,N62&lt;&gt;"")),"")</f>
        <v/>
      </c>
      <c r="O54" s="395"/>
      <c r="P54" s="395"/>
      <c r="Q54" s="395" t="str">
        <f>IFERROR(SUM(Q62,Q69,Q71)/(AND(Q71&gt;0,Q71&lt;&gt;"")+AND(Q69&gt;0,Q69&lt;&gt;"")+AND(Q62&gt;0,Q62&lt;&gt;"")),"")</f>
        <v/>
      </c>
      <c r="R54" s="395"/>
      <c r="S54" s="395"/>
      <c r="T54" s="395" t="str">
        <f>IFERROR(SUM(T62,T69,T71)/(AND(T71&gt;0,T71&lt;&gt;"")+AND(T69&gt;0,T69&lt;&gt;"")+AND(T62&gt;0,T62&lt;&gt;"")),"")</f>
        <v/>
      </c>
      <c r="U54" s="395"/>
      <c r="V54" s="395"/>
      <c r="W54" s="395" t="str">
        <f>IFERROR(SUM(W62,W69,W71)/(AND(W71&gt;0,W71&lt;&gt;"")+AND(W69&gt;0,W69&lt;&gt;"")+AND(W62&gt;0,W62&lt;&gt;"")),"")</f>
        <v/>
      </c>
      <c r="Z54" s="36"/>
      <c r="AA54" s="456"/>
      <c r="AB54" s="456"/>
      <c r="AC54" s="456"/>
      <c r="AD54" s="456"/>
      <c r="AE54" s="456"/>
      <c r="AF54" s="456"/>
      <c r="AG54" s="456"/>
      <c r="AH54" s="456"/>
      <c r="AI54" s="456"/>
      <c r="AJ54" s="36"/>
      <c r="AK54" s="36"/>
    </row>
    <row r="55" spans="5:46" ht="18" customHeight="1">
      <c r="F55" s="390"/>
      <c r="G55" s="207" t="s">
        <v>472</v>
      </c>
      <c r="H55" s="396" t="e">
        <f>IF(AND(H71&gt;0,H71&lt;&gt;"",OR(H71&lt;0.5,H71&gt;0.9)),1,0)+IF(AND(H69&gt;0,H69&lt;&gt;"",OR(H69&lt;0.5,H69&gt;0.9)),1,0)+IF(AND(H62&gt;0,H62&lt;&gt;"",OR(H62&lt;0.5,H62&gt;0.9)),1,0)</f>
        <v>#REF!</v>
      </c>
      <c r="I55" s="396"/>
      <c r="J55" s="396"/>
      <c r="K55" s="396" t="e">
        <f>IF(AND(K71&gt;0,K71&lt;&gt;"",OR(K71&lt;0.5,K71&gt;0.9)),1,0)+IF(AND(K69&gt;0,K69&lt;&gt;"",OR(K69&lt;0.5,K69&gt;0.9)),1,0)+IF(AND(K62&gt;0,K62&lt;&gt;"",OR(K62&lt;0.5,K62&gt;0.9)),1,0)</f>
        <v>#REF!</v>
      </c>
      <c r="L55" s="396"/>
      <c r="M55" s="396"/>
      <c r="N55" s="396" t="e">
        <f>IF(AND(N71&gt;0,N71&lt;&gt;"",OR(N71&lt;0.5,N71&gt;0.9)),1,0)+IF(AND(N69&gt;0,N69&lt;&gt;"",OR(N69&lt;0.5,N69&gt;0.9)),1,0)+IF(AND(N62&gt;0,N62&lt;&gt;"",OR(N62&lt;0.5,N62&gt;0.9)),1,0)</f>
        <v>#REF!</v>
      </c>
      <c r="O55" s="396"/>
      <c r="P55" s="396"/>
      <c r="Q55" s="396" t="e">
        <f>IF(AND(Q71&gt;0,Q71&lt;&gt;"",OR(Q71&lt;0.5,Q71&gt;0.9)),1,0)+IF(AND(Q69&gt;0,Q69&lt;&gt;"",OR(Q69&lt;0.5,Q69&gt;0.9)),1,0)+IF(AND(Q62&gt;0,Q62&lt;&gt;"",OR(Q62&lt;0.5,Q62&gt;0.9)),1,0)</f>
        <v>#REF!</v>
      </c>
      <c r="R55" s="396"/>
      <c r="S55" s="396"/>
      <c r="T55" s="396" t="e">
        <f>IF(AND(T71&gt;0,T71&lt;&gt;"",OR(T71&lt;0.5,T71&gt;0.9)),1,0)+IF(AND(T69&gt;0,T69&lt;&gt;"",OR(T69&lt;0.5,T69&gt;0.9)),1,0)+IF(AND(T62&gt;0,T62&lt;&gt;"",OR(T62&lt;0.5,T62&gt;0.9)),1,0)</f>
        <v>#REF!</v>
      </c>
      <c r="U55" s="396"/>
      <c r="V55" s="396"/>
      <c r="W55" s="396" t="e">
        <f>IF(AND(W71&gt;0,W71&lt;&gt;"",OR(W71&lt;0.5,W71&gt;0.9)),1,0)+IF(AND(W69&gt;0,W69&lt;&gt;"",OR(W69&lt;0.5,W69&gt;0.9)),1,0)+IF(AND(W62&gt;0,W62&lt;&gt;"",OR(W62&lt;0.5,W62&gt;0.9)),1,0)</f>
        <v>#REF!</v>
      </c>
      <c r="Z55" s="36"/>
      <c r="AA55" s="456"/>
      <c r="AB55" s="456"/>
      <c r="AC55" s="456"/>
      <c r="AD55" s="456"/>
      <c r="AE55" s="456"/>
      <c r="AF55" s="456"/>
      <c r="AG55" s="456"/>
      <c r="AH55" s="456"/>
      <c r="AI55" s="456"/>
      <c r="AJ55" s="36"/>
      <c r="AK55" s="36"/>
    </row>
    <row r="56" spans="5:46" ht="19.5" customHeight="1">
      <c r="E56" s="233"/>
      <c r="F56" s="351" t="s">
        <v>371</v>
      </c>
      <c r="G56" s="332"/>
      <c r="H56" s="342"/>
      <c r="I56" s="342"/>
      <c r="J56" s="342"/>
      <c r="K56" s="342"/>
      <c r="L56" s="342"/>
      <c r="M56" s="342"/>
      <c r="N56" s="342"/>
      <c r="O56" s="342"/>
      <c r="P56" s="342"/>
      <c r="Q56" s="342"/>
      <c r="R56" s="343"/>
      <c r="S56" s="342"/>
      <c r="T56" s="342"/>
      <c r="U56" s="342"/>
      <c r="V56" s="342"/>
      <c r="W56" s="377"/>
      <c r="Z56" s="36"/>
      <c r="AA56" s="456"/>
      <c r="AB56" s="456"/>
      <c r="AC56" s="456"/>
      <c r="AD56" s="456"/>
      <c r="AE56" s="457">
        <f t="shared" ref="AE56:AE68" si="11">$AT$52</f>
        <v>0.5</v>
      </c>
      <c r="AF56" s="457">
        <f t="shared" ref="AF56:AF68" si="12">$AT$50-$AT$52</f>
        <v>0.4</v>
      </c>
      <c r="AG56" s="456"/>
      <c r="AH56" s="456"/>
      <c r="AI56" s="456"/>
      <c r="AJ56" s="36"/>
      <c r="AK56" s="36"/>
    </row>
    <row r="57" spans="5:46" ht="21" customHeight="1">
      <c r="E57" s="233"/>
      <c r="F57" s="368"/>
      <c r="G57" s="194" t="s">
        <v>115</v>
      </c>
      <c r="H57" s="401" t="e">
        <f>IF(#REF!='List Values'!$B$3, (#REF!*#REF!)/#REF!, IF(#REF!&gt;1,(#REF!*(K$57*#REF!/#REF!)*(1+#REF!))/#REF!,IF(#REF!=1,(#REF!*#REF!)/#REF!,"")))</f>
        <v>#REF!</v>
      </c>
      <c r="I57" s="402"/>
      <c r="J57" s="402"/>
      <c r="K57" s="401" t="e">
        <f>IF(#REF! &lt; 2,"",IF(#REF!='List Values'!$B$3, ((H$57*#REF!/#REF!)*(1-#REF!)*#REF!)/#REF!, IF(#REF!&gt;2,(#REF!*(N$57*#REF!/#REF!)*(1+#REF!))/#REF!,IF(#REF!=2,(#REF!*#REF!)/#REF!,""))))</f>
        <v>#REF!</v>
      </c>
      <c r="L57" s="402"/>
      <c r="M57" s="402"/>
      <c r="N57" s="401" t="e">
        <f>IF(#REF! &lt; 3,"",IF(#REF!='List Values'!$B$3, ((K$57*#REF!/#REF!)*(1-#REF!)*#REF!)/#REF!, IF(#REF!&gt;3,(#REF!*(Q$57*#REF!/#REF!)*(1+#REF!))/#REF!,IF(#REF!=3,(#REF!*#REF!)/#REF!,""))))</f>
        <v>#REF!</v>
      </c>
      <c r="O57" s="402"/>
      <c r="P57" s="402"/>
      <c r="Q57" s="401" t="e">
        <f>IF(#REF! &lt; 4,"",IF(#REF!='List Values'!$B$3, ((N$57*#REF!/#REF!)*(1-#REF!)*#REF!)/#REF!, IF(#REF!&gt;4,(#REF!*(T$57*#REF!/#REF!)*(1+#REF!))/#REF!,IF(#REF!=4,(#REF!*#REF!)/#REF!,""))))</f>
        <v>#REF!</v>
      </c>
      <c r="R57" s="295"/>
      <c r="S57" s="295"/>
      <c r="T57" s="401" t="e">
        <f>IF(#REF! &lt; 5,"",IF(#REF!='List Values'!$B$3, ((Q$57*#REF!/#REF!)*(1-#REF!)*#REF!)/#REF!, IF(#REF!&gt;5,(#REF!*(W$57*#REF!/#REF!)*(1+#REF!))/#REF!,IF(#REF!=5,(#REF!*#REF!)/#REF!,""))))</f>
        <v>#REF!</v>
      </c>
      <c r="U57" s="298"/>
      <c r="V57" s="298"/>
      <c r="W57" s="401" t="e">
        <f>IF(#REF!&lt;6,"",IF(#REF!='List Values'!$B$3, ((T$57*#REF!/#REF!)*(1-#REF!)*#REF!)/#REF!, IF(#REF!=6,(#REF!*#REF!)/#REF!,"")))</f>
        <v>#REF!</v>
      </c>
      <c r="Z57" s="36"/>
      <c r="AA57" s="456" t="str">
        <f>IF(H46="","","Vehicle Time Utilization - Tier 1")</f>
        <v/>
      </c>
      <c r="AB57" s="458" t="str">
        <f>H46</f>
        <v/>
      </c>
      <c r="AC57" s="459">
        <f>IF(AB57="",0,1-AB57)</f>
        <v>0</v>
      </c>
      <c r="AD57" s="456"/>
      <c r="AE57" s="457">
        <f t="shared" si="11"/>
        <v>0.5</v>
      </c>
      <c r="AF57" s="457">
        <f t="shared" si="12"/>
        <v>0.4</v>
      </c>
      <c r="AG57" s="456"/>
      <c r="AH57" s="456"/>
      <c r="AI57" s="456"/>
      <c r="AJ57" s="36"/>
      <c r="AK57" s="36"/>
    </row>
    <row r="58" spans="5:46" ht="15" customHeight="1">
      <c r="F58" s="368"/>
      <c r="G58" s="194" t="s">
        <v>239</v>
      </c>
      <c r="H58" s="290" t="str">
        <f>IFERROR(Baseline_Results_NOINDIRECT!H$52/#REF!,"")</f>
        <v/>
      </c>
      <c r="I58" s="290" t="str">
        <f>IFERROR(Baseline_Results_NOINDIRECT!I$52/#REF!,"")</f>
        <v/>
      </c>
      <c r="J58" s="290" t="str">
        <f>IFERROR(Baseline_Results_NOINDIRECT!J$52/#REF!,"")</f>
        <v/>
      </c>
      <c r="K58" s="290" t="str">
        <f>IFERROR(Baseline_Results_NOINDIRECT!K$52/#REF!,"")</f>
        <v/>
      </c>
      <c r="L58" s="290" t="str">
        <f>IFERROR(Baseline_Results_NOINDIRECT!L$52/#REF!,"")</f>
        <v/>
      </c>
      <c r="M58" s="290" t="str">
        <f>IFERROR(Baseline_Results_NOINDIRECT!M$52/#REF!,"")</f>
        <v/>
      </c>
      <c r="N58" s="290" t="str">
        <f>IFERROR(Baseline_Results_NOINDIRECT!N$52/#REF!,"")</f>
        <v/>
      </c>
      <c r="O58" s="291" t="str">
        <f>IFERROR(Baseline_Results_NOINDIRECT!O$52/#REF!,"")</f>
        <v/>
      </c>
      <c r="P58" s="291" t="str">
        <f>IFERROR(Baseline_Results_NOINDIRECT!P$52/#REF!,"")</f>
        <v/>
      </c>
      <c r="Q58" s="290" t="str">
        <f>IFERROR(Baseline_Results_NOINDIRECT!Q$52/#REF!,"")</f>
        <v/>
      </c>
      <c r="R58" s="292"/>
      <c r="S58" s="292"/>
      <c r="T58" s="290" t="str">
        <f>IFERROR(Baseline_Results_NOINDIRECT!T$52/#REF!,"")</f>
        <v/>
      </c>
      <c r="U58" s="293"/>
      <c r="V58" s="293"/>
      <c r="W58" s="290" t="str">
        <f>IFERROR(Baseline_Results_NOINDIRECT!W$52/#REF!,"")</f>
        <v/>
      </c>
      <c r="Z58" s="36"/>
      <c r="AA58" s="456" t="str">
        <f>IF(K46="","","Vehicle Time Utilization - Tier 2")</f>
        <v/>
      </c>
      <c r="AB58" s="458" t="str">
        <f>K46</f>
        <v/>
      </c>
      <c r="AC58" s="459">
        <f>IF(AB58="",0,1-AB58)</f>
        <v>0</v>
      </c>
      <c r="AD58" s="456"/>
      <c r="AE58" s="457">
        <f t="shared" si="11"/>
        <v>0.5</v>
      </c>
      <c r="AF58" s="457">
        <f t="shared" si="12"/>
        <v>0.4</v>
      </c>
      <c r="AG58" s="456"/>
      <c r="AH58" s="456"/>
      <c r="AI58" s="456"/>
      <c r="AJ58" s="36"/>
      <c r="AK58" s="36"/>
    </row>
    <row r="59" spans="5:46" ht="15" customHeight="1">
      <c r="F59" s="368"/>
      <c r="G59" s="194" t="s">
        <v>53</v>
      </c>
      <c r="H59" s="294" t="str">
        <f>IFERROR(#REF!*H58,"")</f>
        <v/>
      </c>
      <c r="I59" s="294" t="str">
        <f>IFERROR(#REF!*I58,"")</f>
        <v/>
      </c>
      <c r="J59" s="294" t="str">
        <f>IFERROR(#REF!*J58,"")</f>
        <v/>
      </c>
      <c r="K59" s="294" t="str">
        <f>IFERROR(#REF!*K58,"")</f>
        <v/>
      </c>
      <c r="L59" s="294" t="str">
        <f>IFERROR(#REF!*L58,"")</f>
        <v/>
      </c>
      <c r="M59" s="294" t="str">
        <f>IFERROR(#REF!*M58,"")</f>
        <v/>
      </c>
      <c r="N59" s="294" t="str">
        <f>IFERROR(#REF!*N58,"")</f>
        <v/>
      </c>
      <c r="O59" s="295" t="str">
        <f>IFERROR(#REF!*O58,"")</f>
        <v/>
      </c>
      <c r="P59" s="295" t="str">
        <f>IFERROR(#REF!*P58,"")</f>
        <v/>
      </c>
      <c r="Q59" s="294" t="str">
        <f>IFERROR(#REF!*Q58,"")</f>
        <v/>
      </c>
      <c r="R59" s="292"/>
      <c r="S59" s="292"/>
      <c r="T59" s="294" t="str">
        <f>IFERROR(#REF!*T58,"")</f>
        <v/>
      </c>
      <c r="U59" s="293"/>
      <c r="V59" s="293"/>
      <c r="W59" s="294" t="str">
        <f>IFERROR(#REF!*W58,"")</f>
        <v/>
      </c>
      <c r="Z59" s="36"/>
      <c r="AA59" s="456" t="str">
        <f>IF(N46="","","Vehicle Time Utilization - Tier 3")</f>
        <v/>
      </c>
      <c r="AB59" s="458" t="str">
        <f>N46</f>
        <v/>
      </c>
      <c r="AC59" s="459">
        <f>IF(AB59="",0,1-AB59)</f>
        <v>0</v>
      </c>
      <c r="AD59" s="456"/>
      <c r="AE59" s="457">
        <f t="shared" si="11"/>
        <v>0.5</v>
      </c>
      <c r="AF59" s="457">
        <f t="shared" si="12"/>
        <v>0.4</v>
      </c>
      <c r="AG59" s="456"/>
      <c r="AH59" s="456"/>
      <c r="AI59" s="456"/>
      <c r="AJ59" s="36"/>
      <c r="AK59" s="36"/>
    </row>
    <row r="60" spans="5:46" ht="15" customHeight="1">
      <c r="F60" s="368"/>
      <c r="G60" s="194" t="s">
        <v>51</v>
      </c>
      <c r="H60" s="290" t="str">
        <f>IFERROR(H59+((H61-H59)/2),"")</f>
        <v/>
      </c>
      <c r="I60" s="290"/>
      <c r="J60" s="290"/>
      <c r="K60" s="290" t="str">
        <f>IFERROR(K59+((K61-K59)/2),"")</f>
        <v/>
      </c>
      <c r="L60" s="290"/>
      <c r="M60" s="290"/>
      <c r="N60" s="290" t="str">
        <f>IFERROR(N59+((N61-N59)/2),"")</f>
        <v/>
      </c>
      <c r="O60" s="291"/>
      <c r="P60" s="291"/>
      <c r="Q60" s="290" t="str">
        <f>IFERROR(Q59+((Q61-Q59)/2),"")</f>
        <v/>
      </c>
      <c r="R60" s="292" t="s">
        <v>592</v>
      </c>
      <c r="S60" s="292"/>
      <c r="T60" s="290" t="str">
        <f>IFERROR(T59+((T61-T59)/2),"")</f>
        <v/>
      </c>
      <c r="U60" s="293"/>
      <c r="V60" s="293"/>
      <c r="W60" s="290" t="str">
        <f>IFERROR(W59+((W61-W59)/2),"")</f>
        <v/>
      </c>
      <c r="Z60" s="36"/>
      <c r="AA60" t="str">
        <f>IF(Q46="","","Vehicle Time Utilization - Tier 4")</f>
        <v/>
      </c>
      <c r="AB60" s="460" t="str">
        <f>Q46</f>
        <v/>
      </c>
      <c r="AE60" s="457">
        <f t="shared" si="11"/>
        <v>0.5</v>
      </c>
      <c r="AF60" s="457">
        <f t="shared" si="12"/>
        <v>0.4</v>
      </c>
      <c r="AG60" s="456"/>
      <c r="AH60" s="456"/>
      <c r="AI60" s="456"/>
      <c r="AJ60" s="36"/>
      <c r="AK60" s="36"/>
    </row>
    <row r="61" spans="5:46" ht="15" customHeight="1">
      <c r="F61" s="368"/>
      <c r="G61" s="194" t="s">
        <v>52</v>
      </c>
      <c r="H61" s="294" t="str">
        <f>IFERROR(H59+H58,"")</f>
        <v/>
      </c>
      <c r="I61" s="294"/>
      <c r="J61" s="294"/>
      <c r="K61" s="294" t="str">
        <f>IFERROR(K59+K58,"")</f>
        <v/>
      </c>
      <c r="L61" s="294"/>
      <c r="M61" s="294"/>
      <c r="N61" s="294" t="str">
        <f>IFERROR(N59+N58,"")</f>
        <v/>
      </c>
      <c r="O61" s="295"/>
      <c r="P61" s="295"/>
      <c r="Q61" s="294" t="str">
        <f>IFERROR(Q59+Q58,"")</f>
        <v/>
      </c>
      <c r="R61" s="292" t="s">
        <v>593</v>
      </c>
      <c r="S61" s="292"/>
      <c r="T61" s="294" t="str">
        <f>IFERROR(T59+T58,"")</f>
        <v/>
      </c>
      <c r="U61" s="293"/>
      <c r="V61" s="293"/>
      <c r="W61" s="294" t="str">
        <f>IFERROR(W59+W58,"")</f>
        <v/>
      </c>
      <c r="Z61" s="36"/>
      <c r="AA61" t="str">
        <f>IF(T46="","","Vehicle Time Utilization - Tier 5")</f>
        <v/>
      </c>
      <c r="AB61" s="460" t="str">
        <f>T46</f>
        <v/>
      </c>
      <c r="AE61" s="457">
        <f t="shared" si="11"/>
        <v>0.5</v>
      </c>
      <c r="AF61" s="457">
        <f t="shared" si="12"/>
        <v>0.4</v>
      </c>
      <c r="AG61" s="456"/>
      <c r="AH61" s="456"/>
      <c r="AI61" s="456"/>
      <c r="AJ61" s="36"/>
      <c r="AK61" s="36"/>
    </row>
    <row r="62" spans="5:46" ht="15" customHeight="1">
      <c r="F62" s="403"/>
      <c r="G62" s="404" t="s">
        <v>240</v>
      </c>
      <c r="H62" s="405" t="str">
        <f>IFERROR(H60/#REF!,"")</f>
        <v/>
      </c>
      <c r="I62" s="405" t="str">
        <f>IFERROR(I60/#REF!,"")</f>
        <v/>
      </c>
      <c r="J62" s="405" t="str">
        <f>IFERROR(J60/#REF!,"")</f>
        <v/>
      </c>
      <c r="K62" s="405" t="str">
        <f>IFERROR(K60/#REF!,"")</f>
        <v/>
      </c>
      <c r="L62" s="405" t="str">
        <f>IFERROR(L60/#REF!,"")</f>
        <v/>
      </c>
      <c r="M62" s="405" t="str">
        <f>IFERROR(M60/#REF!,"")</f>
        <v/>
      </c>
      <c r="N62" s="405" t="str">
        <f>IFERROR(N60/#REF!,"")</f>
        <v/>
      </c>
      <c r="O62" s="405" t="str">
        <f>IFERROR(O60/#REF!,"")</f>
        <v/>
      </c>
      <c r="P62" s="405" t="str">
        <f>IFERROR(P60/#REF!,"")</f>
        <v/>
      </c>
      <c r="Q62" s="405" t="str">
        <f>IFERROR(Q60/#REF!,"")</f>
        <v/>
      </c>
      <c r="R62" s="406"/>
      <c r="S62" s="406"/>
      <c r="T62" s="405" t="str">
        <f>IFERROR(T60/#REF!,"")</f>
        <v/>
      </c>
      <c r="U62" s="407"/>
      <c r="V62" s="407"/>
      <c r="W62" s="408" t="str">
        <f>IFERROR(W60/#REF!,"")</f>
        <v/>
      </c>
      <c r="Z62" s="36"/>
      <c r="AA62" t="str">
        <f>IF(W46="","","Vehicle Time Utilization - Tier 6")</f>
        <v/>
      </c>
      <c r="AB62" s="460" t="str">
        <f>W46</f>
        <v/>
      </c>
      <c r="AE62" s="457">
        <f t="shared" si="11"/>
        <v>0.5</v>
      </c>
      <c r="AF62" s="457">
        <f t="shared" si="12"/>
        <v>0.4</v>
      </c>
      <c r="AG62" s="456"/>
      <c r="AH62" s="456"/>
      <c r="AI62" s="456"/>
      <c r="AJ62" s="36"/>
      <c r="AK62" s="36"/>
    </row>
    <row r="63" spans="5:46" ht="15.75" customHeight="1">
      <c r="F63" s="351" t="s">
        <v>372</v>
      </c>
      <c r="G63" s="332"/>
      <c r="H63" s="342"/>
      <c r="I63" s="342"/>
      <c r="J63" s="342"/>
      <c r="K63" s="342"/>
      <c r="L63" s="342"/>
      <c r="M63" s="342"/>
      <c r="N63" s="342"/>
      <c r="O63" s="342"/>
      <c r="P63" s="342"/>
      <c r="Q63" s="342"/>
      <c r="R63" s="343"/>
      <c r="S63" s="342"/>
      <c r="T63" s="342"/>
      <c r="U63" s="342"/>
      <c r="V63" s="342"/>
      <c r="W63" s="377"/>
      <c r="Z63" s="36"/>
      <c r="AA63" s="456" t="str">
        <f>IF(H54="","","Combined Storage - Tier 1")</f>
        <v/>
      </c>
      <c r="AB63" s="458" t="str">
        <f>H54</f>
        <v/>
      </c>
      <c r="AC63" s="459">
        <f t="shared" ref="AC63:AC68" si="13">IF(AB63="",0,1-AB63)</f>
        <v>0</v>
      </c>
      <c r="AD63" s="456" t="e">
        <f>H55</f>
        <v>#REF!</v>
      </c>
      <c r="AE63" s="457">
        <f t="shared" si="11"/>
        <v>0.5</v>
      </c>
      <c r="AF63" s="457">
        <f t="shared" si="12"/>
        <v>0.4</v>
      </c>
      <c r="AG63" s="456"/>
      <c r="AH63" s="456"/>
      <c r="AI63" s="456"/>
      <c r="AJ63" s="36"/>
      <c r="AK63" s="36"/>
    </row>
    <row r="64" spans="5:46" ht="15" customHeight="1">
      <c r="F64" s="368"/>
      <c r="G64" s="194" t="s">
        <v>101</v>
      </c>
      <c r="H64" s="301" t="e">
        <f>IF(#REF!='List Values'!$B$3, (#REF!*#REF!)/#REF!, IF(#REF!&gt;1,(#REF!*(K$64*#REF!/#REF!)*(1+#REF!))/#REF!,IF(#REF!=1,(#REF!*#REF!)/#REF!,"")))</f>
        <v>#REF!</v>
      </c>
      <c r="I64" s="290"/>
      <c r="J64" s="290"/>
      <c r="K64" s="301" t="e">
        <f>IF(#REF! &lt; 2,0,IF(#REF!='List Values'!$B$3, ((H$64*#REF!/#REF!)*(1-#REF!)*#REF!)/#REF!, IF(#REF!&gt;2,(#REF!*(N$64*#REF!/#REF!)*(1+#REF!))/#REF!,IF(#REF!=2,(#REF!*#REF!)/#REF!,""))))</f>
        <v>#REF!</v>
      </c>
      <c r="L64" s="290"/>
      <c r="M64" s="290"/>
      <c r="N64" s="301" t="e">
        <f>IF(#REF! &lt; 3,0,IF(#REF!='List Values'!$B$3, ((K$64*#REF!/#REF!)*(1-#REF!)*#REF!)/#REF!, IF(#REF!&gt;3,(#REF!*(Q$64*#REF!/#REF!)*(1+#REF!))/#REF!,IF(#REF!=3,(#REF!*#REF!)/#REF!,""))))</f>
        <v>#REF!</v>
      </c>
      <c r="O64" s="290"/>
      <c r="P64" s="290"/>
      <c r="Q64" s="301" t="e">
        <f>IF(#REF! &lt; 4,0,IF(#REF!='List Values'!$B$3, ((N$64*#REF!/#REF!)*(1-#REF!)*#REF!)/#REF!, IF(#REF!&gt;4,(#REF!*(T$64*#REF!/#REF!)*(1+#REF!))/#REF!,IF(#REF!=4,(#REF!*#REF!)/#REF!,""))))</f>
        <v>#REF!</v>
      </c>
      <c r="R64" s="299"/>
      <c r="S64" s="299"/>
      <c r="T64" s="301" t="e">
        <f>IF(#REF! &lt; 5,0,IF(#REF!='List Values'!$B$3, ((Q$64*#REF!/#REF!)*(1-#REF!)*#REF!)/#REF!, IF(#REF!&gt;5,(#REF!*(W$64*#REF!/#REF!)*(1+#REF!))/#REF!,IF(#REF!=5,(#REF!*#REF!)/#REF!,""))))</f>
        <v>#REF!</v>
      </c>
      <c r="U64" s="300"/>
      <c r="V64" s="300"/>
      <c r="W64" s="301" t="e">
        <f>IF(#REF!&lt;6,0,IF(#REF!='List Values'!$B$3, ((T$64*#REF!/#REF!)*(1-#REF!)*#REF!)/#REF!, IF(#REF!=6,(#REF!*#REF!)/#REF!,"")))</f>
        <v>#REF!</v>
      </c>
      <c r="Z64" s="36"/>
      <c r="AA64" s="456" t="str">
        <f>IF(K54="","","Combined Storage - Tier 2")</f>
        <v/>
      </c>
      <c r="AB64" s="458" t="str">
        <f>K54</f>
        <v/>
      </c>
      <c r="AC64" s="459">
        <f t="shared" si="13"/>
        <v>0</v>
      </c>
      <c r="AD64" s="456" t="e">
        <f>K55</f>
        <v>#REF!</v>
      </c>
      <c r="AE64" s="457">
        <f t="shared" si="11"/>
        <v>0.5</v>
      </c>
      <c r="AF64" s="457">
        <f t="shared" si="12"/>
        <v>0.4</v>
      </c>
      <c r="AG64" s="456"/>
      <c r="AH64" s="456"/>
      <c r="AI64" s="456"/>
      <c r="AJ64" s="36"/>
      <c r="AK64" s="36"/>
    </row>
    <row r="65" spans="5:37" ht="15" customHeight="1">
      <c r="F65" s="368"/>
      <c r="G65" s="194" t="s">
        <v>239</v>
      </c>
      <c r="H65" s="290" t="str">
        <f>IFERROR(H$64/#REF!,"")</f>
        <v/>
      </c>
      <c r="I65" s="290" t="str">
        <f>IFERROR(I$64/#REF!,"")</f>
        <v/>
      </c>
      <c r="J65" s="290" t="str">
        <f>IFERROR(J$64/#REF!,"")</f>
        <v/>
      </c>
      <c r="K65" s="290" t="str">
        <f>IFERROR(K$64/#REF!,"")</f>
        <v/>
      </c>
      <c r="L65" s="290" t="str">
        <f>IFERROR(L$64/#REF!,"")</f>
        <v/>
      </c>
      <c r="M65" s="290" t="str">
        <f>IFERROR(M$64/#REF!,"")</f>
        <v/>
      </c>
      <c r="N65" s="290" t="str">
        <f>IFERROR(N$64/#REF!,"")</f>
        <v/>
      </c>
      <c r="O65" s="290" t="str">
        <f>IFERROR(O$64/#REF!,"")</f>
        <v/>
      </c>
      <c r="P65" s="290" t="str">
        <f>IFERROR(P$64/#REF!,"")</f>
        <v/>
      </c>
      <c r="Q65" s="290" t="str">
        <f>IFERROR(Q$64/#REF!,"")</f>
        <v/>
      </c>
      <c r="R65" s="299"/>
      <c r="S65" s="299"/>
      <c r="T65" s="290" t="str">
        <f>IFERROR(T$64/#REF!,"")</f>
        <v/>
      </c>
      <c r="U65" s="300"/>
      <c r="V65" s="300"/>
      <c r="W65" s="290" t="str">
        <f>IFERROR(W$64/#REF!,"")</f>
        <v/>
      </c>
      <c r="Z65" s="36"/>
      <c r="AA65" s="456" t="str">
        <f>IF(N54="","","Combined Storage - Tier 3")</f>
        <v/>
      </c>
      <c r="AB65" s="458" t="str">
        <f>N54</f>
        <v/>
      </c>
      <c r="AC65" s="459">
        <f t="shared" si="13"/>
        <v>0</v>
      </c>
      <c r="AD65" s="456" t="e">
        <f>N55</f>
        <v>#REF!</v>
      </c>
      <c r="AE65" s="457">
        <f t="shared" si="11"/>
        <v>0.5</v>
      </c>
      <c r="AF65" s="457">
        <f t="shared" si="12"/>
        <v>0.4</v>
      </c>
      <c r="AG65" s="456"/>
      <c r="AH65" s="456"/>
      <c r="AI65" s="456"/>
      <c r="AJ65" s="36"/>
      <c r="AK65" s="36"/>
    </row>
    <row r="66" spans="5:37" ht="15" customHeight="1">
      <c r="F66" s="368"/>
      <c r="G66" s="194" t="s">
        <v>53</v>
      </c>
      <c r="H66" s="294" t="str">
        <f>IFERROR(#REF!*H65,"")</f>
        <v/>
      </c>
      <c r="I66" s="294" t="str">
        <f>IFERROR(#REF!*I65,"")</f>
        <v/>
      </c>
      <c r="J66" s="294" t="str">
        <f>IFERROR(#REF!*J65,"")</f>
        <v/>
      </c>
      <c r="K66" s="294" t="str">
        <f>IFERROR(#REF!*K65,"")</f>
        <v/>
      </c>
      <c r="L66" s="294" t="str">
        <f>IFERROR(#REF!*L65,"")</f>
        <v/>
      </c>
      <c r="M66" s="294" t="str">
        <f>IFERROR(#REF!*M65,"")</f>
        <v/>
      </c>
      <c r="N66" s="294" t="str">
        <f>IFERROR(#REF!*N65,"")</f>
        <v/>
      </c>
      <c r="O66" s="295" t="str">
        <f>IFERROR(#REF!*O65,"")</f>
        <v/>
      </c>
      <c r="P66" s="295" t="str">
        <f>IFERROR(#REF!*P65,"")</f>
        <v/>
      </c>
      <c r="Q66" s="294" t="str">
        <f>IFERROR(#REF!*Q65,"")</f>
        <v/>
      </c>
      <c r="R66" s="299"/>
      <c r="S66" s="299"/>
      <c r="T66" s="294" t="str">
        <f>IFERROR(#REF!*T65,"")</f>
        <v/>
      </c>
      <c r="U66" s="300"/>
      <c r="V66" s="300"/>
      <c r="W66" s="294" t="str">
        <f>IFERROR(#REF!*W65,"")</f>
        <v/>
      </c>
      <c r="Z66" s="36"/>
      <c r="AA66" s="36" t="str">
        <f>IF(Q54="","","Combined Storage - Tier 4")</f>
        <v/>
      </c>
      <c r="AB66" s="458" t="str">
        <f>Q54</f>
        <v/>
      </c>
      <c r="AC66" s="459">
        <f t="shared" si="13"/>
        <v>0</v>
      </c>
      <c r="AD66" s="456" t="e">
        <f>Q55</f>
        <v>#REF!</v>
      </c>
      <c r="AE66" s="457">
        <f t="shared" si="11"/>
        <v>0.5</v>
      </c>
      <c r="AF66" s="457">
        <f t="shared" si="12"/>
        <v>0.4</v>
      </c>
      <c r="AG66" s="456"/>
      <c r="AH66" s="456"/>
      <c r="AI66" s="456"/>
      <c r="AJ66" s="36"/>
      <c r="AK66" s="36"/>
    </row>
    <row r="67" spans="5:37" ht="15" customHeight="1">
      <c r="F67" s="368"/>
      <c r="G67" s="194" t="s">
        <v>51</v>
      </c>
      <c r="H67" s="290" t="str">
        <f>IFERROR(H66+((H68-H66)/2),"")</f>
        <v/>
      </c>
      <c r="I67" s="290"/>
      <c r="J67" s="290"/>
      <c r="K67" s="290" t="str">
        <f>IFERROR(K66+((K68-K66)/2),"")</f>
        <v/>
      </c>
      <c r="L67" s="290"/>
      <c r="M67" s="290"/>
      <c r="N67" s="290" t="str">
        <f>IFERROR(N66+((N68-N66)/2),"")</f>
        <v/>
      </c>
      <c r="O67" s="291"/>
      <c r="P67" s="291"/>
      <c r="Q67" s="290" t="str">
        <f>IFERROR(Q66+((Q68-Q66)/2),"")</f>
        <v/>
      </c>
      <c r="R67" s="299"/>
      <c r="S67" s="299"/>
      <c r="T67" s="290" t="str">
        <f>IFERROR(T66+((T68-T66)/2),"")</f>
        <v/>
      </c>
      <c r="U67" s="300"/>
      <c r="V67" s="300"/>
      <c r="W67" s="290" t="str">
        <f>IFERROR(W66+((W68-W66)/2),"")</f>
        <v/>
      </c>
      <c r="Z67" s="36"/>
      <c r="AA67" s="36" t="str">
        <f>IF(T54="","","Combined Storage - Tier 5")</f>
        <v/>
      </c>
      <c r="AB67" s="458" t="str">
        <f>T54</f>
        <v/>
      </c>
      <c r="AC67" s="459">
        <f t="shared" si="13"/>
        <v>0</v>
      </c>
      <c r="AD67" s="456" t="e">
        <f>T55</f>
        <v>#REF!</v>
      </c>
      <c r="AE67" s="457">
        <f t="shared" si="11"/>
        <v>0.5</v>
      </c>
      <c r="AF67" s="457">
        <f t="shared" si="12"/>
        <v>0.4</v>
      </c>
      <c r="AG67" s="456"/>
      <c r="AH67" s="456"/>
      <c r="AI67" s="456"/>
      <c r="AJ67" s="36"/>
      <c r="AK67" s="36"/>
    </row>
    <row r="68" spans="5:37" ht="15" customHeight="1">
      <c r="F68" s="368"/>
      <c r="G68" s="194" t="s">
        <v>52</v>
      </c>
      <c r="H68" s="294" t="str">
        <f>IFERROR(H66+H65,"")</f>
        <v/>
      </c>
      <c r="I68" s="294"/>
      <c r="J68" s="294"/>
      <c r="K68" s="294" t="str">
        <f>IFERROR(K66+K65,"")</f>
        <v/>
      </c>
      <c r="L68" s="294"/>
      <c r="M68" s="294"/>
      <c r="N68" s="294" t="str">
        <f>IFERROR(N66+N65,"")</f>
        <v/>
      </c>
      <c r="O68" s="295"/>
      <c r="P68" s="295"/>
      <c r="Q68" s="294" t="str">
        <f>IFERROR(Q66+Q65,"")</f>
        <v/>
      </c>
      <c r="R68" s="299"/>
      <c r="S68" s="299"/>
      <c r="T68" s="294" t="str">
        <f>IFERROR(T66+T65,"")</f>
        <v/>
      </c>
      <c r="U68" s="300"/>
      <c r="V68" s="300"/>
      <c r="W68" s="294" t="str">
        <f>IFERROR(W66+W65,"")</f>
        <v/>
      </c>
      <c r="Z68" s="36"/>
      <c r="AA68" s="36" t="str">
        <f>IF(W54="","","Combined Storage - Tier 6")</f>
        <v/>
      </c>
      <c r="AB68" s="458" t="str">
        <f>W54</f>
        <v/>
      </c>
      <c r="AC68" s="459">
        <f t="shared" si="13"/>
        <v>0</v>
      </c>
      <c r="AD68" s="456" t="e">
        <f>W55</f>
        <v>#REF!</v>
      </c>
      <c r="AE68" s="457">
        <f t="shared" si="11"/>
        <v>0.5</v>
      </c>
      <c r="AF68" s="457">
        <f t="shared" si="12"/>
        <v>0.4</v>
      </c>
      <c r="AG68" s="456"/>
      <c r="AH68" s="456"/>
      <c r="AI68" s="456"/>
      <c r="AJ68" s="36"/>
      <c r="AK68" s="36"/>
    </row>
    <row r="69" spans="5:37" ht="15" customHeight="1">
      <c r="F69" s="403"/>
      <c r="G69" s="404" t="s">
        <v>240</v>
      </c>
      <c r="H69" s="405" t="str">
        <f>IFERROR(H67/#REF!,"")</f>
        <v/>
      </c>
      <c r="I69" s="405" t="str">
        <f>IFERROR(I67/#REF!,"")</f>
        <v/>
      </c>
      <c r="J69" s="405" t="str">
        <f>IFERROR(J67/#REF!,"")</f>
        <v/>
      </c>
      <c r="K69" s="405" t="str">
        <f>IFERROR(K67/#REF!,"")</f>
        <v/>
      </c>
      <c r="L69" s="405" t="str">
        <f>IFERROR(L67/#REF!,"")</f>
        <v/>
      </c>
      <c r="M69" s="405" t="str">
        <f>IFERROR(M67/#REF!,"")</f>
        <v/>
      </c>
      <c r="N69" s="405" t="str">
        <f>IFERROR(N67/#REF!,"")</f>
        <v/>
      </c>
      <c r="O69" s="408" t="str">
        <f>IFERROR(O67/#REF!,"")</f>
        <v/>
      </c>
      <c r="P69" s="408" t="str">
        <f>IFERROR(P67/#REF!,"")</f>
        <v/>
      </c>
      <c r="Q69" s="408" t="str">
        <f>IFERROR(Q67/#REF!,"")</f>
        <v/>
      </c>
      <c r="R69" s="409"/>
      <c r="S69" s="409"/>
      <c r="T69" s="408" t="str">
        <f>IFERROR(T67/#REF!,"")</f>
        <v/>
      </c>
      <c r="U69" s="410"/>
      <c r="V69" s="410"/>
      <c r="W69" s="408" t="str">
        <f>IFERROR(W67/#REF!,"")</f>
        <v/>
      </c>
      <c r="Z69" s="36"/>
      <c r="AA69" s="456"/>
      <c r="AB69" s="456"/>
      <c r="AC69" s="456"/>
      <c r="AD69" s="456"/>
      <c r="AE69" s="456"/>
      <c r="AF69" s="456"/>
      <c r="AG69" s="456"/>
      <c r="AH69" s="456"/>
      <c r="AI69" s="456"/>
      <c r="AJ69" s="36"/>
      <c r="AK69" s="36"/>
    </row>
    <row r="70" spans="5:37" ht="15.75" customHeight="1">
      <c r="F70" s="351" t="s">
        <v>466</v>
      </c>
      <c r="G70" s="332"/>
      <c r="H70" s="342"/>
      <c r="I70" s="342"/>
      <c r="J70" s="342"/>
      <c r="K70" s="342"/>
      <c r="L70" s="342"/>
      <c r="M70" s="342"/>
      <c r="N70" s="342"/>
      <c r="O70" s="342"/>
      <c r="P70" s="342"/>
      <c r="Q70" s="342"/>
      <c r="R70" s="343"/>
      <c r="S70" s="342"/>
      <c r="T70" s="342"/>
      <c r="U70" s="342"/>
      <c r="V70" s="342"/>
      <c r="W70" s="377"/>
      <c r="Z70" s="36"/>
      <c r="AA70" s="456"/>
      <c r="AB70" s="456"/>
      <c r="AC70" s="456"/>
      <c r="AD70" s="456"/>
      <c r="AE70" s="456"/>
      <c r="AF70" s="456"/>
      <c r="AG70" s="456"/>
      <c r="AH70" s="456"/>
      <c r="AI70" s="456"/>
      <c r="AJ70" s="36"/>
      <c r="AK70" s="36"/>
    </row>
    <row r="71" spans="5:37" ht="22.5" customHeight="1">
      <c r="F71" s="411"/>
      <c r="G71" s="211" t="s">
        <v>392</v>
      </c>
      <c r="H71" s="453" t="e">
        <f>IFERROR(IF(#REF!="Upstream",SUM(H151*H152,H189*H190,H227*H228)/(#REF!*#REF!),
IF(#REF!="Downstream",SUM(K151*K152,K189*K190,K227*K228)/(IF(#REF!="Upstream",(#REF!*#REF!),0)+(#REF!*#REF!)),
IF(OR(H64=0,#REF!=0),"","Must Select Upstream or Downstream"))),
IF(H64=0,"-","Cannot calculate. Is cold box capacity set to zero for this tier?"))</f>
        <v>#REF!</v>
      </c>
      <c r="I71" s="453" t="str">
        <f>IFERROR(IF(#REF!="Upstream",SUM(I151*I152,I189*I190,I227*I228)/(#REF!*#REF!),IF(#REF!="Downstream",SUM(L151*L152,L189*L190,L227*L228)/(#REF!*#REF!),IF(OR(I64=0,#REF!=0),"-","Must Select Upstream or Downstream"))),IF(I64=0,"-","Cannot calculate. Is cold box capacity set to zero for this tier?"))</f>
        <v>-</v>
      </c>
      <c r="J71" s="453" t="str">
        <f>IFERROR(IF(#REF!="Upstream",SUM(J151*J152,J189*J190,J227*J228)/(#REF!*#REF!),IF(#REF!="Downstream",SUM(M151*M152,M189*M190,M227*M228)/(#REF!*#REF!),IF(OR(J64=0,#REF!=0),"-","Must Select Upstream or Downstream"))),IF(J64=0,"-","Cannot calculate. Is cold box capacity set to zero for this tier?"))</f>
        <v>-</v>
      </c>
      <c r="K71" s="453" t="e">
        <f>IFERROR(IF(#REF!="Upstream",SUM(K151*K152,K189*K190,K227*K228)/(IF(#REF!="Downstream",(#REF!*#REF!),0)+(#REF!*#REF!)),
IF(#REF!="Downstream",SUM(N151*N152,N189*N190,N227*N228)/(IF(#REF!="Upstream",(#REF!*#REF!),0)+(#REF!*#REF!)),
IF(OR(K64=0,#REF!=0),"","Must Select Upstream or Downstream"))),
IF(K64=0,"-","Cannot calculate. Is cold box capacity set to zero for this tier?"))</f>
        <v>#REF!</v>
      </c>
      <c r="L71" s="453" t="str">
        <f>IFERROR(IF(#REF!="Upstream",SUM(L151*L152,L189*L190,L227*L228)/(#REF!*#REF!),IF(#REF!="Downstream",SUM(O151*O152,O189*O190,O227*O228)/(#REF!*#REF!),IF(OR(L64=0,#REF!=0),"-","Must Select Upstream or Downstream"))),IF(L64=0,"-","Cannot calculate. Is cold box capacity set to zero for this tier?"))</f>
        <v>-</v>
      </c>
      <c r="M71" s="453" t="str">
        <f>IFERROR(IF(#REF!="Upstream",SUM(M151*M152,M189*M190,M227*M228)/(#REF!*#REF!),IF(#REF!="Downstream",SUM(P151*P152,P189*P190,P227*P228)/(#REF!*#REF!),IF(OR(M64=0,#REF!=0),"-","Must Select Upstream or Downstream"))),IF(M64=0,"-","Cannot calculate. Is cold box capacity set to zero for this tier?"))</f>
        <v>-</v>
      </c>
      <c r="N71" s="453" t="e">
        <f>IFERROR(IF(#REF!="Upstream",SUM(N151*N152,N189*N190,N227*N228)/(IF(#REF!="Downstream",(#REF!*#REF!),0)+(#REF!*#REF!)),
IF(#REF!="Downstream",SUM(Q151*Q152,Q189*Q190,Q227*Q228)/(IF(#REF!="Upstream",(#REF!*#REF!),0)+(#REF!*#REF!)),
IF(OR(N64=0,#REF!=0),"","Must Select Upstream or Downstream"))),
IF(N64=0,"-","Cannot calculate. Is cold box capacity set to zero for this tier?"))</f>
        <v>#REF!</v>
      </c>
      <c r="O71" s="453" t="str">
        <f>IFERROR(IF(#REF!="Upstream",SUM(O151*O152,O189*O190,O227*O228)/(#REF!*#REF!),IF(#REF!="Downstream",SUM(R151*R152,R189*R190,R227*R228)/(#REF!*#REF!),IF(OR(O64=0,#REF!=0),"-","Must Select Upstream or Downstream"))),IF(O64=0,"-","Cannot calculate. Is cold box capacity set to zero for this tier?"))</f>
        <v>-</v>
      </c>
      <c r="P71" s="453" t="str">
        <f>IFERROR(IF(#REF!="Upstream",SUM(P151*P152,P189*P190,P227*P228)/(#REF!*#REF!),IF(#REF!="Downstream",SUM(S151*S152,S189*S190,S227*S228)/(#REF!*#REF!),IF(OR(P64=0,#REF!=0),"-","Must Select Upstream or Downstream"))),IF(P64=0,"-","Cannot calculate. Is cold box capacity set to zero for this tier?"))</f>
        <v>-</v>
      </c>
      <c r="Q71" s="453" t="e">
        <f>IFERROR(IF(#REF!="Upstream",SUM(Q151*Q152,Q189*Q190,Q227*Q228)/(IF(#REF!="Downstream",(#REF!*#REF!),0)+(#REF!*#REF!)),
IF(#REF!="Downstream",SUM(T151*T152,T189*T190,T227*T228)/(IF(#REF!="Upstream",(#REF!*#REF!),0)+(#REF!*#REF!)),
IF(OR(Q64=0,#REF!=0),"","Must Select Upstream or Downstream"))),
IF(OR(Q64=0,Q64=""),"-","Cannot calculate. Is cold box capacity set to zero for this tier?"))</f>
        <v>#REF!</v>
      </c>
      <c r="R71" s="453" t="str">
        <f>IFERROR(IF(#REF!="Upstream",SUM(R151*R152,R189*R190,R227*R228)/(#REF!*#REF!),IF(#REF!="Downstream",SUM(U151*U152,U189*U190,U227*U228)/(#REF!*#REF!),IF(OR(R64=0,#REF!=0),"-","Must Select Upstream or Downstream"))),IF(R64=0,"-","Cannot calculate. Is cold box capacity set to zero for this tier?"))</f>
        <v>-</v>
      </c>
      <c r="S71" s="453" t="str">
        <f>IFERROR(IF(#REF!="Upstream",SUM(S151*S152,S189*S190,S227*S228)/(#REF!*#REF!),IF(#REF!="Downstream",SUM(V151*V152,V189*V190,V227*V228)/(#REF!*#REF!),IF(OR(S64=0,#REF!=0),"-","Must Select Upstream or Downstream"))),IF(S64=0,"-","Cannot calculate. Is cold box capacity set to zero for this tier?"))</f>
        <v>-</v>
      </c>
      <c r="T71" s="453" t="e">
        <f>IFERROR(IF(#REF!="Upstream",SUM(T151*T152,T189*T190,T227*T228)/(IF(#REF!="Downstream",(#REF!*#REF!),0)+(#REF!*#REF!)),
IF(#REF!="Downstream",SUM(W151*W152,W189*W190,W227*W228)/(IF(#REF!="Upstream",(#REF!*#REF!),0)+(#REF!*#REF!)),
IF(OR(T64=0,#REF!=0),"","Must Select Upstream or Downstream"))),
IF(T64=0,"-","Cannot calculate. Is cold box capacity set to zero for this tier?"))</f>
        <v>#REF!</v>
      </c>
      <c r="U71" s="453" t="str">
        <f>IFERROR(IF(#REF!="Upstream",SUM(U151*U152,U189*U190,U227*U228)/(#REF!*#REF!),IF(#REF!="Downstream",SUM(X151*X152,X189*X190,X227*X228)/(#REF!*#REF!),IF(OR(U64=0,#REF!=0),"-","Must Select Upstream or Downstream"))),IF(U64=0,"-","Cannot calculate. Is cold box capacity set to zero for this tier?"))</f>
        <v>-</v>
      </c>
      <c r="V71" s="453" t="str">
        <f>IFERROR(IF(#REF!="Upstream",SUM(V151*V152,V189*V190,V227*V228)/(#REF!*#REF!),IF(#REF!="Downstream",SUM(Y151*Y152,Y189*Y190,Y227*Y228)/(#REF!*#REF!),IF(OR(V64=0,#REF!=0),"-","Must Select Upstream or Downstream"))),IF(V64=0,"-","Cannot calculate. Is cold box capacity set to zero for this tier?"))</f>
        <v>-</v>
      </c>
      <c r="W71" s="453" t="e">
        <f>IFERROR(IF(#REF!="Upstream",SUM(W151*W152,W189*W190,W227*W228)/(IF(#REF!="Downstream",(#REF!*#REF!),0)+(#REF!*#REF!)),
IF(#REF!="Downstream",0,
IF(OR(W64=0,#REF!=0),"","Must Select Upstream or Downstream"))),
IF(W64=0,"-","Cannot calculate. Is cold box capacity set to zero for this tier?"))</f>
        <v>#REF!</v>
      </c>
      <c r="Z71" s="36"/>
      <c r="AA71" s="36"/>
      <c r="AB71" s="36"/>
      <c r="AC71" s="36"/>
      <c r="AD71" s="36"/>
      <c r="AE71" s="36"/>
      <c r="AF71" s="36"/>
      <c r="AG71" s="36"/>
      <c r="AH71" s="36"/>
      <c r="AI71" s="36"/>
      <c r="AJ71" s="36"/>
      <c r="AK71" s="36"/>
    </row>
    <row r="72" spans="5:37" ht="65.25" customHeight="1">
      <c r="F72" s="2725" t="s">
        <v>467</v>
      </c>
      <c r="G72" s="2725"/>
      <c r="H72" s="2725"/>
      <c r="I72" s="2725"/>
      <c r="J72" s="2725"/>
      <c r="K72" s="2725"/>
      <c r="L72" s="2725"/>
      <c r="M72" s="2725"/>
      <c r="N72" s="2725"/>
      <c r="O72" s="2725"/>
      <c r="P72" s="245"/>
      <c r="Q72" s="244"/>
      <c r="R72" s="257"/>
      <c r="S72" s="257"/>
      <c r="T72" s="257"/>
      <c r="U72" s="257"/>
      <c r="V72" s="257"/>
      <c r="W72" s="257"/>
      <c r="X72" s="257"/>
      <c r="Y72" s="257"/>
      <c r="Z72" s="447"/>
      <c r="AA72" s="447"/>
      <c r="AB72" s="36"/>
      <c r="AC72" s="36"/>
      <c r="AD72" s="36"/>
      <c r="AE72" s="36"/>
      <c r="AF72" s="36"/>
      <c r="AG72" s="36"/>
      <c r="AH72" s="36"/>
      <c r="AI72" s="36"/>
      <c r="AJ72" s="36"/>
      <c r="AK72" s="36"/>
    </row>
    <row r="73" spans="5:37" ht="36.75" customHeight="1"/>
    <row r="74" spans="5:37" ht="16.5" customHeight="1"/>
    <row r="75" spans="5:37" ht="15.9">
      <c r="E75" s="415" t="s">
        <v>475</v>
      </c>
      <c r="F75" s="324"/>
      <c r="G75" s="324"/>
      <c r="H75" s="22"/>
      <c r="I75" s="22"/>
      <c r="J75" s="22"/>
      <c r="K75" s="22"/>
      <c r="L75" s="22"/>
      <c r="M75" s="22"/>
      <c r="N75" s="22"/>
      <c r="O75" s="22"/>
      <c r="P75" s="22"/>
      <c r="Q75" s="22"/>
      <c r="R75" s="22"/>
      <c r="S75" s="22"/>
      <c r="T75" s="22"/>
      <c r="U75" s="22"/>
      <c r="V75" s="22"/>
      <c r="W75" s="22"/>
      <c r="X75" s="381"/>
    </row>
    <row r="76" spans="5:37">
      <c r="F76" s="20"/>
      <c r="G76" s="21"/>
      <c r="H76" s="378" t="s">
        <v>31</v>
      </c>
      <c r="I76" s="378"/>
      <c r="J76" s="378"/>
      <c r="K76" s="378" t="s">
        <v>6</v>
      </c>
      <c r="L76" s="378"/>
      <c r="M76" s="378"/>
      <c r="N76" s="378" t="s">
        <v>7</v>
      </c>
      <c r="O76" s="379"/>
      <c r="P76" s="379"/>
      <c r="Q76" s="379" t="s">
        <v>8</v>
      </c>
      <c r="S76" s="263"/>
      <c r="T76" s="379" t="s">
        <v>411</v>
      </c>
      <c r="U76" s="263"/>
      <c r="V76" s="263"/>
      <c r="W76" s="379" t="s">
        <v>412</v>
      </c>
      <c r="X76" s="380" t="s">
        <v>25</v>
      </c>
    </row>
    <row r="77" spans="5:37">
      <c r="F77" s="351" t="s">
        <v>464</v>
      </c>
      <c r="G77" s="332"/>
      <c r="H77" s="333"/>
      <c r="I77" s="333"/>
      <c r="J77" s="333"/>
      <c r="K77" s="333"/>
      <c r="L77" s="333"/>
      <c r="M77" s="333"/>
      <c r="N77" s="333"/>
      <c r="O77" s="333"/>
      <c r="P77" s="333"/>
      <c r="Q77" s="333"/>
      <c r="R77" s="334"/>
      <c r="S77" s="335"/>
      <c r="T77" s="333"/>
      <c r="U77" s="335"/>
      <c r="V77" s="335"/>
      <c r="W77" s="333"/>
      <c r="X77" s="382"/>
    </row>
    <row r="78" spans="5:37">
      <c r="F78" s="288" t="s">
        <v>28</v>
      </c>
      <c r="G78" s="336"/>
      <c r="H78" s="337">
        <f>SUM(H$132:H$137)</f>
        <v>0</v>
      </c>
      <c r="I78" s="337"/>
      <c r="J78" s="337"/>
      <c r="K78" s="337">
        <f>SUM(K$132:K$137)</f>
        <v>0</v>
      </c>
      <c r="L78" s="337"/>
      <c r="M78" s="337"/>
      <c r="N78" s="337">
        <f>SUM(N$132:N$137)</f>
        <v>0</v>
      </c>
      <c r="O78" s="338"/>
      <c r="P78" s="338"/>
      <c r="Q78" s="337">
        <f>SUM(Q$132:Q$137)</f>
        <v>0</v>
      </c>
      <c r="R78" s="339"/>
      <c r="S78" s="340"/>
      <c r="T78" s="337">
        <f>SUM(T$132:T$137)</f>
        <v>0</v>
      </c>
      <c r="U78" s="340"/>
      <c r="V78" s="340"/>
      <c r="W78" s="338">
        <f>SUM(W$132:W$137)</f>
        <v>0</v>
      </c>
      <c r="X78" s="341">
        <f>SUM(H78:W78)</f>
        <v>0</v>
      </c>
      <c r="Y78" s="1"/>
      <c r="Z78" s="1"/>
      <c r="AK78" s="1"/>
    </row>
    <row r="79" spans="5:37">
      <c r="F79" s="288" t="s">
        <v>29</v>
      </c>
      <c r="G79" s="336"/>
      <c r="H79" s="337" t="e">
        <f>SUM(H99:H127)</f>
        <v>#REF!</v>
      </c>
      <c r="I79" s="337"/>
      <c r="J79" s="337"/>
      <c r="K79" s="337" t="e">
        <f>SUM(K99:K127)</f>
        <v>#REF!</v>
      </c>
      <c r="L79" s="337"/>
      <c r="M79" s="337"/>
      <c r="N79" s="337" t="e">
        <f>SUM(N99:N127)</f>
        <v>#REF!</v>
      </c>
      <c r="O79" s="337"/>
      <c r="P79" s="337"/>
      <c r="Q79" s="337" t="e">
        <f>SUM(Q99:Q127)</f>
        <v>#REF!</v>
      </c>
      <c r="R79" s="339"/>
      <c r="S79" s="340"/>
      <c r="T79" s="337" t="e">
        <f>SUM(T99:T127)</f>
        <v>#REF!</v>
      </c>
      <c r="U79" s="340"/>
      <c r="V79" s="340"/>
      <c r="W79" s="338" t="e">
        <f>SUM(W99:W127)</f>
        <v>#REF!</v>
      </c>
      <c r="X79" s="341" t="e">
        <f>SUM(H79:W79)</f>
        <v>#REF!</v>
      </c>
    </row>
    <row r="80" spans="5:37">
      <c r="F80" s="288" t="s">
        <v>84</v>
      </c>
      <c r="G80" s="336"/>
      <c r="H80" s="337" t="e">
        <f>SUM(H139)</f>
        <v>#REF!</v>
      </c>
      <c r="I80" s="337"/>
      <c r="J80" s="337"/>
      <c r="K80" s="337" t="e">
        <f>SUM(K139)</f>
        <v>#REF!</v>
      </c>
      <c r="L80" s="337"/>
      <c r="M80" s="337"/>
      <c r="N80" s="337" t="e">
        <f>SUM(N139)</f>
        <v>#REF!</v>
      </c>
      <c r="O80" s="338"/>
      <c r="P80" s="338"/>
      <c r="Q80" s="337" t="e">
        <f>SUM(Q139)</f>
        <v>#REF!</v>
      </c>
      <c r="R80" s="339"/>
      <c r="S80" s="340"/>
      <c r="T80" s="337" t="e">
        <f>SUM(T139)</f>
        <v>#REF!</v>
      </c>
      <c r="U80" s="340"/>
      <c r="V80" s="340"/>
      <c r="W80" s="338" t="e">
        <f>SUM(W139)</f>
        <v>#REF!</v>
      </c>
      <c r="X80" s="341" t="e">
        <f>SUM(H80:W80)</f>
        <v>#REF!</v>
      </c>
    </row>
    <row r="81" spans="5:37">
      <c r="F81" s="419" t="s">
        <v>33</v>
      </c>
      <c r="G81" s="420"/>
      <c r="H81" s="421" t="e">
        <f>SUM(H78:H80)</f>
        <v>#REF!</v>
      </c>
      <c r="I81" s="421"/>
      <c r="J81" s="421"/>
      <c r="K81" s="421" t="e">
        <f>SUM(K78:K80)</f>
        <v>#REF!</v>
      </c>
      <c r="L81" s="421"/>
      <c r="M81" s="421"/>
      <c r="N81" s="421" t="e">
        <f>SUM(N78:N80)</f>
        <v>#REF!</v>
      </c>
      <c r="O81" s="421">
        <f t="shared" ref="O81:W81" si="14">SUM(O78:O80)</f>
        <v>0</v>
      </c>
      <c r="P81" s="421">
        <f t="shared" si="14"/>
        <v>0</v>
      </c>
      <c r="Q81" s="421" t="e">
        <f t="shared" si="14"/>
        <v>#REF!</v>
      </c>
      <c r="R81" s="421">
        <f t="shared" si="14"/>
        <v>0</v>
      </c>
      <c r="S81" s="421">
        <f t="shared" si="14"/>
        <v>0</v>
      </c>
      <c r="T81" s="421" t="e">
        <f t="shared" si="14"/>
        <v>#REF!</v>
      </c>
      <c r="U81" s="421">
        <f t="shared" si="14"/>
        <v>0</v>
      </c>
      <c r="V81" s="421">
        <f t="shared" si="14"/>
        <v>0</v>
      </c>
      <c r="W81" s="422" t="e">
        <f t="shared" si="14"/>
        <v>#REF!</v>
      </c>
      <c r="X81" s="423" t="e">
        <f>SUM(X78:X80)</f>
        <v>#REF!</v>
      </c>
    </row>
    <row r="82" spans="5:37" ht="8.25" customHeight="1">
      <c r="E82" s="348"/>
      <c r="F82" s="348"/>
      <c r="G82" s="348"/>
      <c r="H82" s="349"/>
      <c r="I82" s="349"/>
      <c r="J82" s="349"/>
      <c r="K82" s="349"/>
      <c r="L82" s="349"/>
      <c r="M82" s="349"/>
      <c r="N82" s="349"/>
      <c r="O82" s="349"/>
      <c r="P82" s="349"/>
      <c r="Q82" s="349"/>
      <c r="R82" s="349"/>
      <c r="S82" s="349"/>
      <c r="T82" s="349"/>
      <c r="U82" s="349"/>
      <c r="V82" s="349"/>
      <c r="W82" s="349"/>
      <c r="X82" s="350"/>
    </row>
    <row r="83" spans="5:37">
      <c r="F83" s="326" t="s">
        <v>476</v>
      </c>
      <c r="G83" s="332"/>
      <c r="H83" s="342"/>
      <c r="I83" s="342"/>
      <c r="J83" s="342"/>
      <c r="K83" s="342"/>
      <c r="L83" s="342"/>
      <c r="M83" s="342"/>
      <c r="N83" s="342"/>
      <c r="O83" s="342"/>
      <c r="P83" s="342"/>
      <c r="Q83" s="342"/>
      <c r="R83" s="343"/>
      <c r="S83" s="342"/>
      <c r="T83" s="342"/>
      <c r="U83" s="342"/>
      <c r="V83" s="342"/>
      <c r="W83" s="342"/>
      <c r="X83" s="377"/>
    </row>
    <row r="84" spans="5:37">
      <c r="F84" s="443" t="s">
        <v>185</v>
      </c>
      <c r="G84" s="336"/>
      <c r="H84" s="337">
        <f>SUM(H132)</f>
        <v>0</v>
      </c>
      <c r="I84" s="337">
        <f t="shared" ref="I84:W84" si="15">SUM(I132)</f>
        <v>0</v>
      </c>
      <c r="J84" s="337">
        <f t="shared" si="15"/>
        <v>0</v>
      </c>
      <c r="K84" s="337">
        <f t="shared" si="15"/>
        <v>0</v>
      </c>
      <c r="L84" s="337">
        <f t="shared" si="15"/>
        <v>0</v>
      </c>
      <c r="M84" s="337">
        <f t="shared" si="15"/>
        <v>0</v>
      </c>
      <c r="N84" s="337">
        <f t="shared" si="15"/>
        <v>0</v>
      </c>
      <c r="O84" s="337">
        <f t="shared" si="15"/>
        <v>0</v>
      </c>
      <c r="P84" s="337">
        <f t="shared" si="15"/>
        <v>0</v>
      </c>
      <c r="Q84" s="337">
        <f t="shared" si="15"/>
        <v>0</v>
      </c>
      <c r="R84" s="337">
        <f t="shared" si="15"/>
        <v>0</v>
      </c>
      <c r="S84" s="337">
        <f t="shared" si="15"/>
        <v>0</v>
      </c>
      <c r="T84" s="337">
        <f t="shared" si="15"/>
        <v>0</v>
      </c>
      <c r="U84" s="337">
        <f t="shared" si="15"/>
        <v>0</v>
      </c>
      <c r="V84" s="337">
        <f t="shared" si="15"/>
        <v>0</v>
      </c>
      <c r="W84" s="337">
        <f t="shared" si="15"/>
        <v>0</v>
      </c>
      <c r="X84" s="341">
        <f>SUM(H84:W84)</f>
        <v>0</v>
      </c>
      <c r="AK84" s="4"/>
    </row>
    <row r="85" spans="5:37">
      <c r="F85" s="444" t="s">
        <v>462</v>
      </c>
      <c r="G85" s="336"/>
      <c r="H85" s="337">
        <f t="shared" ref="H85:W85" si="16">SUM(H134,H135,H137)</f>
        <v>0</v>
      </c>
      <c r="I85" s="337">
        <f t="shared" si="16"/>
        <v>0</v>
      </c>
      <c r="J85" s="337">
        <f t="shared" si="16"/>
        <v>0</v>
      </c>
      <c r="K85" s="337">
        <f t="shared" si="16"/>
        <v>0</v>
      </c>
      <c r="L85" s="337">
        <f t="shared" si="16"/>
        <v>0</v>
      </c>
      <c r="M85" s="337">
        <f t="shared" si="16"/>
        <v>0</v>
      </c>
      <c r="N85" s="337">
        <f t="shared" si="16"/>
        <v>0</v>
      </c>
      <c r="O85" s="337">
        <f t="shared" si="16"/>
        <v>0</v>
      </c>
      <c r="P85" s="337">
        <f t="shared" si="16"/>
        <v>0</v>
      </c>
      <c r="Q85" s="337">
        <f t="shared" si="16"/>
        <v>0</v>
      </c>
      <c r="R85" s="337">
        <f t="shared" si="16"/>
        <v>0</v>
      </c>
      <c r="S85" s="337">
        <f t="shared" si="16"/>
        <v>0</v>
      </c>
      <c r="T85" s="337">
        <f t="shared" si="16"/>
        <v>0</v>
      </c>
      <c r="U85" s="337">
        <f t="shared" si="16"/>
        <v>0</v>
      </c>
      <c r="V85" s="337">
        <f t="shared" si="16"/>
        <v>0</v>
      </c>
      <c r="W85" s="338">
        <f t="shared" si="16"/>
        <v>0</v>
      </c>
      <c r="X85" s="341">
        <f>SUM(H85:W85)</f>
        <v>0</v>
      </c>
    </row>
    <row r="86" spans="5:37">
      <c r="F86" s="443" t="s">
        <v>478</v>
      </c>
      <c r="G86" s="336"/>
      <c r="H86" s="337">
        <f>SUM(H133,H136)</f>
        <v>0</v>
      </c>
      <c r="I86" s="337">
        <f t="shared" ref="I86:W86" si="17">SUM(I133,I136)</f>
        <v>0</v>
      </c>
      <c r="J86" s="337">
        <f t="shared" si="17"/>
        <v>0</v>
      </c>
      <c r="K86" s="337">
        <f t="shared" si="17"/>
        <v>0</v>
      </c>
      <c r="L86" s="337">
        <f t="shared" si="17"/>
        <v>0</v>
      </c>
      <c r="M86" s="337">
        <f t="shared" si="17"/>
        <v>0</v>
      </c>
      <c r="N86" s="337">
        <f t="shared" si="17"/>
        <v>0</v>
      </c>
      <c r="O86" s="337">
        <f t="shared" si="17"/>
        <v>0</v>
      </c>
      <c r="P86" s="337">
        <f t="shared" si="17"/>
        <v>0</v>
      </c>
      <c r="Q86" s="337">
        <f t="shared" si="17"/>
        <v>0</v>
      </c>
      <c r="R86" s="337">
        <f t="shared" si="17"/>
        <v>0</v>
      </c>
      <c r="S86" s="337">
        <f t="shared" si="17"/>
        <v>0</v>
      </c>
      <c r="T86" s="337">
        <f t="shared" si="17"/>
        <v>0</v>
      </c>
      <c r="U86" s="337">
        <f t="shared" si="17"/>
        <v>0</v>
      </c>
      <c r="V86" s="337">
        <f t="shared" si="17"/>
        <v>0</v>
      </c>
      <c r="W86" s="337">
        <f t="shared" si="17"/>
        <v>0</v>
      </c>
      <c r="X86" s="341">
        <f>SUM(H86:W86)</f>
        <v>0</v>
      </c>
    </row>
    <row r="87" spans="5:37">
      <c r="F87" s="326" t="s">
        <v>477</v>
      </c>
      <c r="G87" s="332"/>
      <c r="H87" s="342"/>
      <c r="I87" s="342"/>
      <c r="J87" s="342"/>
      <c r="K87" s="342"/>
      <c r="L87" s="342"/>
      <c r="M87" s="342"/>
      <c r="N87" s="342"/>
      <c r="O87" s="342"/>
      <c r="P87" s="342"/>
      <c r="Q87" s="342"/>
      <c r="R87" s="343"/>
      <c r="S87" s="342"/>
      <c r="T87" s="342"/>
      <c r="U87" s="342"/>
      <c r="V87" s="342"/>
      <c r="W87" s="342"/>
      <c r="X87" s="377"/>
    </row>
    <row r="88" spans="5:37">
      <c r="F88" s="443" t="s">
        <v>185</v>
      </c>
      <c r="G88" s="336"/>
      <c r="H88" s="337" t="e">
        <f t="shared" ref="H88:W88" si="18">SUM(H101,H111,H121)</f>
        <v>#REF!</v>
      </c>
      <c r="I88" s="337">
        <f t="shared" si="18"/>
        <v>0</v>
      </c>
      <c r="J88" s="337">
        <f t="shared" si="18"/>
        <v>0</v>
      </c>
      <c r="K88" s="337" t="e">
        <f t="shared" si="18"/>
        <v>#REF!</v>
      </c>
      <c r="L88" s="337">
        <f t="shared" si="18"/>
        <v>0</v>
      </c>
      <c r="M88" s="337">
        <f t="shared" si="18"/>
        <v>0</v>
      </c>
      <c r="N88" s="337" t="e">
        <f t="shared" si="18"/>
        <v>#REF!</v>
      </c>
      <c r="O88" s="337">
        <f t="shared" si="18"/>
        <v>0</v>
      </c>
      <c r="P88" s="337">
        <f t="shared" si="18"/>
        <v>0</v>
      </c>
      <c r="Q88" s="337" t="e">
        <f t="shared" si="18"/>
        <v>#REF!</v>
      </c>
      <c r="R88" s="337">
        <f t="shared" si="18"/>
        <v>0</v>
      </c>
      <c r="S88" s="337">
        <f t="shared" si="18"/>
        <v>0</v>
      </c>
      <c r="T88" s="337" t="e">
        <f t="shared" si="18"/>
        <v>#REF!</v>
      </c>
      <c r="U88" s="337">
        <f t="shared" si="18"/>
        <v>0</v>
      </c>
      <c r="V88" s="337">
        <f t="shared" si="18"/>
        <v>0</v>
      </c>
      <c r="W88" s="337" t="e">
        <f t="shared" si="18"/>
        <v>#REF!</v>
      </c>
      <c r="X88" s="341" t="e">
        <f>SUM(H88:W88)</f>
        <v>#REF!</v>
      </c>
      <c r="AK88" s="4"/>
    </row>
    <row r="89" spans="5:37">
      <c r="F89" s="444" t="s">
        <v>462</v>
      </c>
      <c r="G89" s="336"/>
      <c r="H89" s="337">
        <f t="shared" ref="H89:W89" si="19">SUM(H106,H116,H126)</f>
        <v>0</v>
      </c>
      <c r="I89" s="337">
        <f t="shared" si="19"/>
        <v>0</v>
      </c>
      <c r="J89" s="337">
        <f t="shared" si="19"/>
        <v>0</v>
      </c>
      <c r="K89" s="337">
        <f t="shared" si="19"/>
        <v>0</v>
      </c>
      <c r="L89" s="337">
        <f t="shared" si="19"/>
        <v>0</v>
      </c>
      <c r="M89" s="337">
        <f t="shared" si="19"/>
        <v>0</v>
      </c>
      <c r="N89" s="337">
        <f t="shared" si="19"/>
        <v>0</v>
      </c>
      <c r="O89" s="337">
        <f t="shared" si="19"/>
        <v>0</v>
      </c>
      <c r="P89" s="337">
        <f t="shared" si="19"/>
        <v>0</v>
      </c>
      <c r="Q89" s="337">
        <f t="shared" si="19"/>
        <v>0</v>
      </c>
      <c r="R89" s="337">
        <f t="shared" si="19"/>
        <v>0</v>
      </c>
      <c r="S89" s="337">
        <f t="shared" si="19"/>
        <v>0</v>
      </c>
      <c r="T89" s="337">
        <f t="shared" si="19"/>
        <v>0</v>
      </c>
      <c r="U89" s="337">
        <f t="shared" si="19"/>
        <v>0</v>
      </c>
      <c r="V89" s="337">
        <f t="shared" si="19"/>
        <v>0</v>
      </c>
      <c r="W89" s="338">
        <f t="shared" si="19"/>
        <v>0</v>
      </c>
      <c r="X89" s="341">
        <f>SUM(H89:W89)</f>
        <v>0</v>
      </c>
    </row>
    <row r="90" spans="5:37">
      <c r="F90" s="443" t="s">
        <v>471</v>
      </c>
      <c r="G90" s="336"/>
      <c r="H90" s="337">
        <f t="shared" ref="H90:W90" si="20">SUM(H102,H112,H122)</f>
        <v>0</v>
      </c>
      <c r="I90" s="337">
        <f t="shared" si="20"/>
        <v>0</v>
      </c>
      <c r="J90" s="337">
        <f t="shared" si="20"/>
        <v>0</v>
      </c>
      <c r="K90" s="337">
        <f t="shared" si="20"/>
        <v>0</v>
      </c>
      <c r="L90" s="337">
        <f t="shared" si="20"/>
        <v>0</v>
      </c>
      <c r="M90" s="337">
        <f t="shared" si="20"/>
        <v>0</v>
      </c>
      <c r="N90" s="337">
        <f t="shared" si="20"/>
        <v>0</v>
      </c>
      <c r="O90" s="337">
        <f t="shared" si="20"/>
        <v>0</v>
      </c>
      <c r="P90" s="337">
        <f t="shared" si="20"/>
        <v>0</v>
      </c>
      <c r="Q90" s="337">
        <f t="shared" si="20"/>
        <v>0</v>
      </c>
      <c r="R90" s="337">
        <f t="shared" si="20"/>
        <v>0</v>
      </c>
      <c r="S90" s="337">
        <f t="shared" si="20"/>
        <v>0</v>
      </c>
      <c r="T90" s="337">
        <f t="shared" si="20"/>
        <v>0</v>
      </c>
      <c r="U90" s="337">
        <f t="shared" si="20"/>
        <v>0</v>
      </c>
      <c r="V90" s="337">
        <f t="shared" si="20"/>
        <v>0</v>
      </c>
      <c r="W90" s="338">
        <f t="shared" si="20"/>
        <v>0</v>
      </c>
      <c r="X90" s="341">
        <f>SUM(H90:W90)</f>
        <v>0</v>
      </c>
      <c r="AK90" s="4"/>
    </row>
    <row r="91" spans="5:37">
      <c r="F91" s="445" t="s">
        <v>463</v>
      </c>
      <c r="G91" s="346"/>
      <c r="H91" s="446" t="e">
        <f t="shared" ref="H91:W91" si="21">SUM(H99:H100,H103:H105,H107,H109:H110,H113:H115,H117,H119:H120,H123:H125,H127)</f>
        <v>#REF!</v>
      </c>
      <c r="I91" s="446">
        <f t="shared" si="21"/>
        <v>0</v>
      </c>
      <c r="J91" s="446">
        <f t="shared" si="21"/>
        <v>0</v>
      </c>
      <c r="K91" s="446" t="e">
        <f t="shared" si="21"/>
        <v>#REF!</v>
      </c>
      <c r="L91" s="446">
        <f t="shared" si="21"/>
        <v>0</v>
      </c>
      <c r="M91" s="446">
        <f t="shared" si="21"/>
        <v>0</v>
      </c>
      <c r="N91" s="446" t="e">
        <f t="shared" si="21"/>
        <v>#REF!</v>
      </c>
      <c r="O91" s="446">
        <f t="shared" si="21"/>
        <v>0</v>
      </c>
      <c r="P91" s="446">
        <f t="shared" si="21"/>
        <v>0</v>
      </c>
      <c r="Q91" s="446" t="e">
        <f t="shared" si="21"/>
        <v>#REF!</v>
      </c>
      <c r="R91" s="446">
        <f t="shared" si="21"/>
        <v>0</v>
      </c>
      <c r="S91" s="446">
        <f t="shared" si="21"/>
        <v>0</v>
      </c>
      <c r="T91" s="446" t="e">
        <f t="shared" si="21"/>
        <v>#REF!</v>
      </c>
      <c r="U91" s="446">
        <f t="shared" si="21"/>
        <v>0</v>
      </c>
      <c r="V91" s="446">
        <f t="shared" si="21"/>
        <v>0</v>
      </c>
      <c r="W91" s="446" t="e">
        <f t="shared" si="21"/>
        <v>#REF!</v>
      </c>
      <c r="X91" s="347" t="e">
        <f>SUM(H91:W91)</f>
        <v>#REF!</v>
      </c>
    </row>
    <row r="92" spans="5:37">
      <c r="F92" s="6"/>
      <c r="G92" s="6"/>
      <c r="S92" s="246"/>
      <c r="T92" s="246"/>
      <c r="U92" s="246"/>
      <c r="V92" s="246"/>
      <c r="W92" s="246"/>
      <c r="X92" s="246"/>
      <c r="AK92" s="4"/>
    </row>
    <row r="93" spans="5:37">
      <c r="F93" s="6"/>
      <c r="G93" s="6"/>
      <c r="S93" s="246"/>
      <c r="T93" s="246"/>
      <c r="U93" s="246"/>
      <c r="V93" s="246"/>
      <c r="W93" s="246"/>
      <c r="X93" s="246"/>
      <c r="AK93" s="4"/>
    </row>
    <row r="94" spans="5:37">
      <c r="F94" s="6"/>
      <c r="G94" s="6"/>
      <c r="S94" s="246"/>
      <c r="T94" s="246"/>
      <c r="U94" s="246"/>
      <c r="V94" s="246"/>
      <c r="W94" s="246"/>
      <c r="X94" s="246"/>
      <c r="AK94" s="4"/>
    </row>
    <row r="95" spans="5:37">
      <c r="F95" s="6"/>
      <c r="G95" s="6"/>
      <c r="S95" s="246"/>
      <c r="T95" s="246"/>
      <c r="U95" s="246"/>
      <c r="V95" s="246"/>
      <c r="W95" s="246"/>
      <c r="X95" s="246"/>
      <c r="AK95" s="4"/>
    </row>
    <row r="96" spans="5:37" ht="18.45">
      <c r="E96" s="415" t="s">
        <v>460</v>
      </c>
      <c r="F96" s="324"/>
      <c r="G96" s="995"/>
      <c r="H96" s="996"/>
      <c r="I96" s="996"/>
      <c r="J96" s="996"/>
      <c r="K96" s="996"/>
      <c r="L96" s="996"/>
      <c r="M96" s="996"/>
      <c r="N96" s="996"/>
      <c r="O96" s="996"/>
      <c r="P96" s="996"/>
      <c r="Q96" s="996"/>
      <c r="R96" s="996"/>
      <c r="S96" s="996"/>
      <c r="T96" s="996"/>
      <c r="U96" s="996"/>
      <c r="V96" s="996"/>
      <c r="W96" s="996"/>
      <c r="X96" s="997"/>
      <c r="AK96" s="4"/>
    </row>
    <row r="97" spans="6:37">
      <c r="F97" s="994"/>
      <c r="G97" s="994"/>
      <c r="H97" s="989"/>
      <c r="I97" s="989"/>
      <c r="J97" s="989"/>
      <c r="K97" s="989" t="s">
        <v>842</v>
      </c>
      <c r="L97" s="989"/>
      <c r="M97" s="989"/>
      <c r="N97" s="989" t="s">
        <v>843</v>
      </c>
      <c r="O97" s="989"/>
      <c r="P97" s="989"/>
      <c r="Q97" s="989" t="s">
        <v>844</v>
      </c>
      <c r="R97" s="889"/>
      <c r="S97" s="990"/>
      <c r="T97" s="989" t="s">
        <v>845</v>
      </c>
      <c r="U97" s="990"/>
      <c r="V97" s="990"/>
      <c r="W97" s="989" t="s">
        <v>846</v>
      </c>
      <c r="X97" s="380" t="s">
        <v>25</v>
      </c>
    </row>
    <row r="98" spans="6:37">
      <c r="F98" s="352" t="s">
        <v>98</v>
      </c>
      <c r="G98" s="353"/>
      <c r="H98" s="354"/>
      <c r="I98" s="354"/>
      <c r="J98" s="354"/>
      <c r="K98" s="354"/>
      <c r="L98" s="354"/>
      <c r="M98" s="354"/>
      <c r="N98" s="354"/>
      <c r="O98" s="354"/>
      <c r="P98" s="354"/>
      <c r="Q98" s="354"/>
      <c r="R98" s="354"/>
      <c r="S98" s="355"/>
      <c r="T98" s="354"/>
      <c r="U98" s="355"/>
      <c r="V98" s="355"/>
      <c r="W98" s="383"/>
      <c r="X98" s="385" t="e">
        <f>SUM(X99:X107)</f>
        <v>#REF!</v>
      </c>
    </row>
    <row r="99" spans="6:37">
      <c r="F99" s="288"/>
      <c r="G99" s="356" t="s">
        <v>48</v>
      </c>
      <c r="H99" s="300">
        <f>IFERROR((1-#REF!)*IF(#REF!='List Values'!$E$5,#REF!*IF(#REF!='List Values'!$F$3,H$280,IF(#REF!='List Values'!$F$4,Baseline_Results_NOINDIRECT!H$52*#REF!*#REF!,IF(#REF!='List Values'!$F$5,H$281,IF(#REF!='List Values'!$F$6,#REF!*#REF!,IF(#REF!='List Values'!$F$7,1,0))))),0),0)
+IFERROR((1-#REF!)*IF(#REF!='List Values'!$E$5,#REF!*IF(#REF!='List Values'!$F$3,H$309,IF(#REF!='List Values'!$F$4,Baseline_Results_NOINDIRECT!H$52*#REF!*#REF!,IF(#REF!='List Values'!$F$5,H$310,IF(#REF!='List Values'!$F$6,#REF!*#REF!,IF(#REF!='List Values'!$F$7,1,0))))),0),0)
+IFERROR((1-#REF!)*IF(#REF!='List Values'!$E$5,#REF!*IF(#REF!='List Values'!$F$3,H$338,IF(#REF!='List Values'!$F$4,Baseline_Results_NOINDIRECT!H$52*#REF!*#REF!,IF(#REF!='List Values'!$F$5,H$339,IF(#REF!='List Values'!$F$6,#REF!*#REF!,IF(#REF!='List Values'!$F$7,1,0))))),0),0)</f>
        <v>0</v>
      </c>
      <c r="I99" s="300">
        <f>IFERROR((1-#REF!)*IF(#REF!='List Values'!$E$5,#REF!*IF(#REF!='List Values'!$F$3,I$280,IF(#REF!='List Values'!$F$4,Baseline_Results_NOINDIRECT!I$52*#REF!*#REF!,IF(#REF!='List Values'!$F$5,I$281,IF(#REF!='List Values'!$F$6,#REF!*#REF!,IF(#REF!='List Values'!$F$7,1,0))))),0),0)
+IFERROR((1-#REF!)*IF(#REF!='List Values'!$E$5,#REF!*IF(#REF!='List Values'!$F$3,I$309,IF(#REF!='List Values'!$F$4,Baseline_Results_NOINDIRECT!I$52*#REF!*#REF!,IF(#REF!='List Values'!$F$5,I$310,IF(#REF!='List Values'!$F$6,#REF!*#REF!,IF(#REF!='List Values'!$F$7,1,0))))),0),0)
+IFERROR((1-#REF!)*IF(#REF!='List Values'!$E$5,#REF!*IF(#REF!='List Values'!$F$3,I$338,IF(#REF!='List Values'!$F$4,Baseline_Results_NOINDIRECT!I$52*#REF!*#REF!,IF(#REF!='List Values'!$F$5,I$339,IF(#REF!='List Values'!$F$6,#REF!*#REF!,IF(#REF!='List Values'!$F$7,1,0))))),0),0)</f>
        <v>0</v>
      </c>
      <c r="J99" s="300">
        <f>IFERROR((1-#REF!)*IF(#REF!='List Values'!$E$5,#REF!*IF(#REF!='List Values'!$F$3,J$280,IF(#REF!='List Values'!$F$4,Baseline_Results_NOINDIRECT!J$52*#REF!*#REF!,IF(#REF!='List Values'!$F$5,J$281,IF(#REF!='List Values'!$F$6,#REF!*#REF!,IF(#REF!='List Values'!$F$7,1,0))))),0),0)
+IFERROR((1-#REF!)*IF(#REF!='List Values'!$E$5,#REF!*IF(#REF!='List Values'!$F$3,J$309,IF(#REF!='List Values'!$F$4,Baseline_Results_NOINDIRECT!J$52*#REF!*#REF!,IF(#REF!='List Values'!$F$5,J$310,IF(#REF!='List Values'!$F$6,#REF!*#REF!,IF(#REF!='List Values'!$F$7,1,0))))),0),0)
+IFERROR((1-#REF!)*IF(#REF!='List Values'!$E$5,#REF!*IF(#REF!='List Values'!$F$3,J$338,IF(#REF!='List Values'!$F$4,Baseline_Results_NOINDIRECT!J$52*#REF!*#REF!,IF(#REF!='List Values'!$F$5,J$339,IF(#REF!='List Values'!$F$6,#REF!*#REF!,IF(#REF!='List Values'!$F$7,1,0))))),0),0)</f>
        <v>0</v>
      </c>
      <c r="K99" s="300">
        <f>IFERROR((1-#REF!)*IF(#REF!='List Values'!$E$5,#REF!*IF(#REF!='List Values'!$F$3,K$280,IF(#REF!='List Values'!$F$4,Baseline_Results_NOINDIRECT!K$52*#REF!*#REF!,IF(#REF!='List Values'!$F$5,K$281,IF(#REF!='List Values'!$F$6,#REF!*#REF!,IF(#REF!='List Values'!$F$7,1,0))))),0),0)
+IFERROR((1-#REF!)*IF(#REF!='List Values'!$E$5,#REF!*IF(#REF!='List Values'!$F$3,K$309,IF(#REF!='List Values'!$F$4,Baseline_Results_NOINDIRECT!K$52*#REF!*#REF!,IF(#REF!='List Values'!$F$5,K$310,IF(#REF!='List Values'!$F$6,#REF!*#REF!,IF(#REF!='List Values'!$F$7,1,0))))),0),0)
+IFERROR((1-#REF!)*IF(#REF!='List Values'!$E$5,#REF!*IF(#REF!='List Values'!$F$3,K$338,IF(#REF!='List Values'!$F$4,Baseline_Results_NOINDIRECT!K$52*#REF!*#REF!,IF(#REF!='List Values'!$F$5,K$339,IF(#REF!='List Values'!$F$6,#REF!*#REF!,IF(#REF!='List Values'!$F$7,1,0))))),0),0)</f>
        <v>0</v>
      </c>
      <c r="L99" s="300">
        <f>IFERROR((1-#REF!)*IF(#REF!='List Values'!$E$5,#REF!*IF(#REF!='List Values'!$F$3,L$280,IF(#REF!='List Values'!$F$4,Baseline_Results_NOINDIRECT!L$52*#REF!*#REF!,IF(#REF!='List Values'!$F$5,L$281,IF(#REF!='List Values'!$F$6,#REF!*#REF!,IF(#REF!='List Values'!$F$7,1,0))))),0),0)
+IFERROR((1-#REF!)*IF(#REF!='List Values'!$E$5,#REF!*IF(#REF!='List Values'!$F$3,L$309,IF(#REF!='List Values'!$F$4,Baseline_Results_NOINDIRECT!L$52*#REF!*#REF!,IF(#REF!='List Values'!$F$5,L$310,IF(#REF!='List Values'!$F$6,#REF!*#REF!,IF(#REF!='List Values'!$F$7,1,0))))),0),0)
+IFERROR((1-#REF!)*IF(#REF!='List Values'!$E$5,#REF!*IF(#REF!='List Values'!$F$3,L$338,IF(#REF!='List Values'!$F$4,Baseline_Results_NOINDIRECT!L$52*#REF!*#REF!,IF(#REF!='List Values'!$F$5,L$339,IF(#REF!='List Values'!$F$6,#REF!*#REF!,IF(#REF!='List Values'!$F$7,1,0))))),0),0)</f>
        <v>0</v>
      </c>
      <c r="M99" s="300">
        <f>IFERROR((1-#REF!)*IF(#REF!='List Values'!$E$5,#REF!*IF(#REF!='List Values'!$F$3,M$280,IF(#REF!='List Values'!$F$4,Baseline_Results_NOINDIRECT!M$52*#REF!*#REF!,IF(#REF!='List Values'!$F$5,M$281,IF(#REF!='List Values'!$F$6,#REF!*#REF!,IF(#REF!='List Values'!$F$7,1,0))))),0),0)
+IFERROR((1-#REF!)*IF(#REF!='List Values'!$E$5,#REF!*IF(#REF!='List Values'!$F$3,M$309,IF(#REF!='List Values'!$F$4,Baseline_Results_NOINDIRECT!M$52*#REF!*#REF!,IF(#REF!='List Values'!$F$5,M$310,IF(#REF!='List Values'!$F$6,#REF!*#REF!,IF(#REF!='List Values'!$F$7,1,0))))),0),0)
+IFERROR((1-#REF!)*IF(#REF!='List Values'!$E$5,#REF!*IF(#REF!='List Values'!$F$3,M$338,IF(#REF!='List Values'!$F$4,Baseline_Results_NOINDIRECT!M$52*#REF!*#REF!,IF(#REF!='List Values'!$F$5,M$339,IF(#REF!='List Values'!$F$6,#REF!*#REF!,IF(#REF!='List Values'!$F$7,1,0))))),0),0)</f>
        <v>0</v>
      </c>
      <c r="N99" s="300">
        <f>IFERROR((1-#REF!)*IF(#REF!='List Values'!$E$5,#REF!*IF(#REF!='List Values'!$F$3,N$280,IF(#REF!='List Values'!$F$4,Baseline_Results_NOINDIRECT!N$52*#REF!*#REF!,IF(#REF!='List Values'!$F$5,N$281,IF(#REF!='List Values'!$F$6,#REF!*#REF!,IF(#REF!='List Values'!$F$7,1,0))))),0),0)
+IFERROR((1-#REF!)*IF(#REF!='List Values'!$E$5,#REF!*IF(#REF!='List Values'!$F$3,N$309,IF(#REF!='List Values'!$F$4,Baseline_Results_NOINDIRECT!N$52*#REF!*#REF!,IF(#REF!='List Values'!$F$5,N$310,IF(#REF!='List Values'!$F$6,#REF!*#REF!,IF(#REF!='List Values'!$F$7,1,0))))),0),0)
+IFERROR((1-#REF!)*IF(#REF!='List Values'!$E$5,#REF!*IF(#REF!='List Values'!$F$3,N$338,IF(#REF!='List Values'!$F$4,Baseline_Results_NOINDIRECT!N$52*#REF!*#REF!,IF(#REF!='List Values'!$F$5,N$339,IF(#REF!='List Values'!$F$6,#REF!*#REF!,IF(#REF!='List Values'!$F$7,1,0))))),0),0)</f>
        <v>0</v>
      </c>
      <c r="O99" s="300">
        <f>IFERROR((1-#REF!)*IF(#REF!='List Values'!$E$5,#REF!*IF(#REF!='List Values'!$F$3,O$280,IF(#REF!='List Values'!$F$4,Baseline_Results_NOINDIRECT!O$52*#REF!*#REF!,IF(#REF!='List Values'!$F$5,O$281,IF(#REF!='List Values'!$F$6,#REF!*#REF!,IF(#REF!='List Values'!$F$7,1,0))))),0),0)
+IFERROR((1-#REF!)*IF(#REF!='List Values'!$E$5,#REF!*IF(#REF!='List Values'!$F$3,O$309,IF(#REF!='List Values'!$F$4,Baseline_Results_NOINDIRECT!O$52*#REF!*#REF!,IF(#REF!='List Values'!$F$5,O$310,IF(#REF!='List Values'!$F$6,#REF!*#REF!,IF(#REF!='List Values'!$F$7,1,0))))),0),0)
+IFERROR((1-#REF!)*IF(#REF!='List Values'!$E$5,#REF!*IF(#REF!='List Values'!$F$3,O$338,IF(#REF!='List Values'!$F$4,Baseline_Results_NOINDIRECT!O$52*#REF!*#REF!,IF(#REF!='List Values'!$F$5,O$339,IF(#REF!='List Values'!$F$6,#REF!*#REF!,IF(#REF!='List Values'!$F$7,1,0))))),0),0)</f>
        <v>0</v>
      </c>
      <c r="P99" s="300">
        <f>IFERROR((1-#REF!)*IF(#REF!='List Values'!$E$5,#REF!*IF(#REF!='List Values'!$F$3,P$280,IF(#REF!='List Values'!$F$4,Baseline_Results_NOINDIRECT!P$52*#REF!*#REF!,IF(#REF!='List Values'!$F$5,P$281,IF(#REF!='List Values'!$F$6,#REF!*#REF!,IF(#REF!='List Values'!$F$7,1,0))))),0),0)
+IFERROR((1-#REF!)*IF(#REF!='List Values'!$E$5,#REF!*IF(#REF!='List Values'!$F$3,P$309,IF(#REF!='List Values'!$F$4,Baseline_Results_NOINDIRECT!P$52*#REF!*#REF!,IF(#REF!='List Values'!$F$5,P$310,IF(#REF!='List Values'!$F$6,#REF!*#REF!,IF(#REF!='List Values'!$F$7,1,0))))),0),0)
+IFERROR((1-#REF!)*IF(#REF!='List Values'!$E$5,#REF!*IF(#REF!='List Values'!$F$3,P$338,IF(#REF!='List Values'!$F$4,Baseline_Results_NOINDIRECT!P$52*#REF!*#REF!,IF(#REF!='List Values'!$F$5,P$339,IF(#REF!='List Values'!$F$6,#REF!*#REF!,IF(#REF!='List Values'!$F$7,1,0))))),0),0)</f>
        <v>0</v>
      </c>
      <c r="Q99" s="300">
        <f>IFERROR((1-#REF!)*IF(#REF!='List Values'!$E$5,#REF!*IF(#REF!='List Values'!$F$3,Q$280,IF(#REF!='List Values'!$F$4,Baseline_Results_NOINDIRECT!Q$52*#REF!*#REF!,IF(#REF!='List Values'!$F$5,Q$281,IF(#REF!='List Values'!$F$6,#REF!*#REF!,IF(#REF!='List Values'!$F$7,1,0))))),0),0)
+IFERROR((1-#REF!)*IF(#REF!='List Values'!$E$5,#REF!*IF(#REF!='List Values'!$F$3,Q$309,IF(#REF!='List Values'!$F$4,Baseline_Results_NOINDIRECT!Q$52*#REF!*#REF!,IF(#REF!='List Values'!$F$5,Q$310,IF(#REF!='List Values'!$F$6,#REF!*#REF!,IF(#REF!='List Values'!$F$7,1,0))))),0),0)
+IFERROR((1-#REF!)*IF(#REF!='List Values'!$E$5,#REF!*IF(#REF!='List Values'!$F$3,Q$338,IF(#REF!='List Values'!$F$4,Baseline_Results_NOINDIRECT!Q$52*#REF!*#REF!,IF(#REF!='List Values'!$F$5,Q$339,IF(#REF!='List Values'!$F$6,#REF!*#REF!,IF(#REF!='List Values'!$F$7,1,0))))),0),0)</f>
        <v>0</v>
      </c>
      <c r="R99" s="300"/>
      <c r="S99" s="337"/>
      <c r="T99" s="300">
        <f>IFERROR((1-#REF!)*IF(#REF!='List Values'!$E$5,#REF!*IF(#REF!='List Values'!$F$3,T$280,IF(#REF!='List Values'!$F$4,Baseline_Results_NOINDIRECT!T$52*#REF!*#REF!,IF(#REF!='List Values'!$F$5,T$281,IF(#REF!='List Values'!$F$6,#REF!*#REF!,IF(#REF!='List Values'!$F$7,1,0))))),0),0)
+IFERROR((1-#REF!)*IF(#REF!='List Values'!$E$5,#REF!*IF(#REF!='List Values'!$F$3,T$309,IF(#REF!='List Values'!$F$4,Baseline_Results_NOINDIRECT!T$52*#REF!*#REF!,IF(#REF!='List Values'!$F$5,T$310,IF(#REF!='List Values'!$F$6,#REF!*#REF!,IF(#REF!='List Values'!$F$7,1,0))))),0),0)
+IFERROR((1-#REF!)*IF(#REF!='List Values'!$E$5,#REF!*IF(#REF!='List Values'!$F$3,T$338,IF(#REF!='List Values'!$F$4,Baseline_Results_NOINDIRECT!T$52*#REF!*#REF!,IF(#REF!='List Values'!$F$5,T$339,IF(#REF!='List Values'!$F$6,#REF!*#REF!,IF(#REF!='List Values'!$F$7,1,0))))),0),0)</f>
        <v>0</v>
      </c>
      <c r="U99" s="337"/>
      <c r="V99" s="337"/>
      <c r="W99" s="300">
        <f>IFERROR((1-#REF!)*IF(#REF!='List Values'!$E$5,#REF!*IF(#REF!='List Values'!$F$3,W$280,IF(#REF!='List Values'!$F$4,Baseline_Results_NOINDIRECT!W$52*#REF!*#REF!,IF(#REF!='List Values'!$F$5,W$281,IF(#REF!='List Values'!$F$6,#REF!*#REF!,IF(#REF!='List Values'!$F$7,1,0))))),0),0)
+IFERROR((1-#REF!)*IF(#REF!='List Values'!$E$5,#REF!*IF(#REF!='List Values'!$F$3,W$309,IF(#REF!='List Values'!$F$4,Baseline_Results_NOINDIRECT!W$52*#REF!*#REF!,IF(#REF!='List Values'!$F$5,W$310,IF(#REF!='List Values'!$F$6,#REF!*#REF!,IF(#REF!='List Values'!$F$7,1,0))))),0),0)
+IFERROR((1-#REF!)*IF(#REF!='List Values'!$E$5,#REF!*IF(#REF!='List Values'!$F$3,W$338,IF(#REF!='List Values'!$F$4,Baseline_Results_NOINDIRECT!W$52*#REF!*#REF!,IF(#REF!='List Values'!$F$5,W$339,IF(#REF!='List Values'!$F$6,#REF!*#REF!,IF(#REF!='List Values'!$F$7,1,0))))),0),0)</f>
        <v>0</v>
      </c>
      <c r="X99" s="341">
        <f t="shared" ref="X99:X107" si="22">SUM(H99:W99)</f>
        <v>0</v>
      </c>
    </row>
    <row r="100" spans="6:37">
      <c r="F100" s="298"/>
      <c r="G100" s="298" t="s">
        <v>226</v>
      </c>
      <c r="H100" s="300">
        <f>IFERROR((1-#REF!)*IF(#REF!='List Values'!$E$4,#REF!*IF(#REF!='List Values'!$F$3,H$280,IF(#REF!='List Values'!$F$4,Baseline_Results_NOINDIRECT!H$52*#REF!*#REF!,IF(#REF!='List Values'!$F$5,H$281,IF(#REF!='List Values'!$F$6,#REF!*#REF!,IF(#REF!='List Values'!$F$7,1,0))))),0),0)
+IFERROR((1-#REF!)*IF(#REF!='List Values'!$E$4,#REF!*IF(#REF!='List Values'!$F$3,H$309,IF(#REF!='List Values'!$F$4,Baseline_Results_NOINDIRECT!H$52*#REF!*#REF!,IF(#REF!='List Values'!$F$5,H$310,IF(#REF!='List Values'!$F$6,#REF!*#REF!,IF(#REF!='List Values'!$F$7,1,0))))),0),0)
+IFERROR((1-#REF!)*IF(#REF!='List Values'!$E$4,#REF!*IF(#REF!='List Values'!$F$3,H$338,IF(#REF!='List Values'!$F$4,Baseline_Results_NOINDIRECT!H$52*#REF!*#REF!,IF(#REF!='List Values'!$F$5,H$339,IF(#REF!='List Values'!$F$6,#REF!*#REF!,IF(#REF!='List Values'!$F$7,1,0))))),0),0)</f>
        <v>0</v>
      </c>
      <c r="I100" s="300"/>
      <c r="J100" s="300"/>
      <c r="K100" s="300">
        <f>IFERROR((1-#REF!)*IF(#REF!='List Values'!$E$4,#REF!*IF(#REF!='List Values'!$F$3,K$280,IF(#REF!='List Values'!$F$4,Baseline_Results_NOINDIRECT!K$52*#REF!*#REF!,IF(#REF!='List Values'!$F$5,K$281,IF(#REF!='List Values'!$F$6,#REF!*#REF!,IF(#REF!='List Values'!$F$7,1,0))))),0),0)
+IFERROR((1-#REF!)*IF(#REF!='List Values'!$E$4,#REF!*IF(#REF!='List Values'!$F$3,K$309,IF(#REF!='List Values'!$F$4,Baseline_Results_NOINDIRECT!K$52*#REF!*#REF!,IF(#REF!='List Values'!$F$5,K$310,IF(#REF!='List Values'!$F$6,#REF!*#REF!,IF(#REF!='List Values'!$F$7,1,0))))),0),0)
+IFERROR((1-#REF!)*IF(#REF!='List Values'!$E$4,#REF!*IF(#REF!='List Values'!$F$3,K$338,IF(#REF!='List Values'!$F$4,Baseline_Results_NOINDIRECT!K$52*#REF!*#REF!,IF(#REF!='List Values'!$F$5,K$339,IF(#REF!='List Values'!$F$6,#REF!*#REF!,IF(#REF!='List Values'!$F$7,1,0))))),0),0)</f>
        <v>0</v>
      </c>
      <c r="L100" s="300"/>
      <c r="M100" s="300"/>
      <c r="N100" s="300">
        <f>IFERROR((1-#REF!)*IF(#REF!='List Values'!$E$4,#REF!*IF(#REF!='List Values'!$F$3,N$280,IF(#REF!='List Values'!$F$4,Baseline_Results_NOINDIRECT!N$52*#REF!*#REF!,IF(#REF!='List Values'!$F$5,N$281,IF(#REF!='List Values'!$F$6,#REF!*#REF!,IF(#REF!='List Values'!$F$7,1,0))))),0),0)
+IFERROR((1-#REF!)*IF(#REF!='List Values'!$E$4,#REF!*IF(#REF!='List Values'!$F$3,N$309,IF(#REF!='List Values'!$F$4,Baseline_Results_NOINDIRECT!N$52*#REF!*#REF!,IF(#REF!='List Values'!$F$5,N$310,IF(#REF!='List Values'!$F$6,#REF!*#REF!,IF(#REF!='List Values'!$F$7,1,0))))),0),0)
+IFERROR((1-#REF!)*IF(#REF!='List Values'!$E$4,#REF!*IF(#REF!='List Values'!$F$3,N$338,IF(#REF!='List Values'!$F$4,Baseline_Results_NOINDIRECT!N$52*#REF!*#REF!,IF(#REF!='List Values'!$F$5,N$339,IF(#REF!='List Values'!$F$6,#REF!*#REF!,IF(#REF!='List Values'!$F$7,1,0))))),0),0)</f>
        <v>0</v>
      </c>
      <c r="O100" s="300"/>
      <c r="P100" s="300"/>
      <c r="Q100" s="300">
        <f>IFERROR((1-#REF!)*IF(#REF!='List Values'!$E$4,#REF!*IF(#REF!='List Values'!$F$3,Q$280,IF(#REF!='List Values'!$F$4,Baseline_Results_NOINDIRECT!Q$52*#REF!*#REF!,IF(#REF!='List Values'!$F$5,Q$281,IF(#REF!='List Values'!$F$6,#REF!*#REF!,IF(#REF!='List Values'!$F$7,1,0))))),0),0)
+IFERROR((1-#REF!)*IF(#REF!='List Values'!$E$4,#REF!*IF(#REF!='List Values'!$F$3,Q$309,IF(#REF!='List Values'!$F$4,Baseline_Results_NOINDIRECT!Q$52*#REF!*#REF!,IF(#REF!='List Values'!$F$5,Q$310,IF(#REF!='List Values'!$F$6,#REF!*#REF!,IF(#REF!='List Values'!$F$7,1,0))))),0),0)
+IFERROR((1-#REF!)*IF(#REF!='List Values'!$E$4,#REF!*IF(#REF!='List Values'!$F$3,Q$338,IF(#REF!='List Values'!$F$4,Baseline_Results_NOINDIRECT!Q$52*#REF!*#REF!,IF(#REF!='List Values'!$F$5,Q$339,IF(#REF!='List Values'!$F$6,#REF!*#REF!,IF(#REF!='List Values'!$F$7,1,0))))),0),0)</f>
        <v>0</v>
      </c>
      <c r="R100" s="300"/>
      <c r="S100" s="337"/>
      <c r="T100" s="300">
        <f>IFERROR((1-#REF!)*IF(#REF!='List Values'!$E$4,#REF!*IF(#REF!='List Values'!$F$3,T$280,IF(#REF!='List Values'!$F$4,Baseline_Results_NOINDIRECT!T$52*#REF!*#REF!,IF(#REF!='List Values'!$F$5,T$281,IF(#REF!='List Values'!$F$6,#REF!*#REF!,IF(#REF!='List Values'!$F$7,1,0))))),0),0)
+IFERROR((1-#REF!)*IF(#REF!='List Values'!$E$4,#REF!*IF(#REF!='List Values'!$F$3,T$309,IF(#REF!='List Values'!$F$4,Baseline_Results_NOINDIRECT!T$52*#REF!*#REF!,IF(#REF!='List Values'!$F$5,T$310,IF(#REF!='List Values'!$F$6,#REF!*#REF!,IF(#REF!='List Values'!$F$7,1,0))))),0),0)
+IFERROR((1-#REF!)*IF(#REF!='List Values'!$E$4,#REF!*IF(#REF!='List Values'!$F$3,T$338,IF(#REF!='List Values'!$F$4,Baseline_Results_NOINDIRECT!T$52*#REF!*#REF!,IF(#REF!='List Values'!$F$5,T$339,IF(#REF!='List Values'!$F$6,#REF!*#REF!,IF(#REF!='List Values'!$F$7,1,0))))),0),0)</f>
        <v>0</v>
      </c>
      <c r="U100" s="337"/>
      <c r="V100" s="337"/>
      <c r="W100" s="300">
        <f>IFERROR((1-#REF!)*IF(#REF!='List Values'!$E$4,#REF!*IF(#REF!='List Values'!$F$3,W$280,IF(#REF!='List Values'!$F$4,Baseline_Results_NOINDIRECT!W$52*#REF!*#REF!,IF(#REF!='List Values'!$F$5,W$281,IF(#REF!='List Values'!$F$6,#REF!*#REF!,IF(#REF!='List Values'!$F$7,1,0))))),0),0)
+IFERROR((1-#REF!)*IF(#REF!='List Values'!$E$4,#REF!*IF(#REF!='List Values'!$F$3,W$309,IF(#REF!='List Values'!$F$4,Baseline_Results_NOINDIRECT!W$52*#REF!*#REF!,IF(#REF!='List Values'!$F$5,W$310,IF(#REF!='List Values'!$F$6,#REF!*#REF!,IF(#REF!='List Values'!$F$7,1,0))))),0),0)
+IFERROR((1-#REF!)*IF(#REF!='List Values'!$E$4,#REF!*IF(#REF!='List Values'!$F$3,W$338,IF(#REF!='List Values'!$F$4,Baseline_Results_NOINDIRECT!W$52*#REF!*#REF!,IF(#REF!='List Values'!$F$5,W$339,IF(#REF!='List Values'!$F$6,#REF!*#REF!,IF(#REF!='List Values'!$F$7,1,0))))),0),0)</f>
        <v>0</v>
      </c>
      <c r="X100" s="341">
        <f t="shared" si="22"/>
        <v>0</v>
      </c>
    </row>
    <row r="101" spans="6:37">
      <c r="F101" s="288"/>
      <c r="G101" s="356" t="s">
        <v>89</v>
      </c>
      <c r="H101" s="300" t="e">
        <f>(IFERROR(1-#REF!,0))*(H$267+H$281)*#REF!*(IFERROR(INDEX(#REF!,MATCH(#REF!,#REF!,0)),0)+IFERROR(#REF!*INDEX(#REF!,MATCH(#REF!,#REF!,0)),0))
+(IFERROR(1-#REF!,0))*(H$296+H$310)*#REF!*(IFERROR(INDEX(#REF!,MATCH(#REF!,#REF!,0)),0)+IFERROR(#REF!*INDEX(#REF!,MATCH(#REF!,#REF!,0)),0))
+(IFERROR(1-#REF!,0))*(H$325+H$339)*#REF!*(IFERROR(INDEX(#REF!,MATCH(#REF!,#REF!,0)),0)+IFERROR(#REF!*INDEX(#REF!,MATCH(#REF!,#REF!,0)),0))</f>
        <v>#REF!</v>
      </c>
      <c r="I101" s="300"/>
      <c r="J101" s="300"/>
      <c r="K101" s="300" t="e">
        <f>(IFERROR(1-#REF!,0))*(K$267+K$281)*#REF!*(IFERROR(INDEX(#REF!,MATCH(#REF!,#REF!,0)),0)+IFERROR(#REF!*INDEX(#REF!,MATCH(#REF!,#REF!,0)),0))
+(IFERROR(1-#REF!,0))*(K$296+K$310)*#REF!*(IFERROR(INDEX(#REF!,MATCH(#REF!,#REF!,0)),0)+IFERROR(#REF!*INDEX(#REF!,MATCH(#REF!,#REF!,0)),0))
+(IFERROR(1-#REF!,0))*(K$325+K$339)*#REF!*(IFERROR(INDEX(#REF!,MATCH(#REF!,#REF!,0)),0)+IFERROR(#REF!*INDEX(#REF!,MATCH(#REF!,#REF!,0)),0))</f>
        <v>#REF!</v>
      </c>
      <c r="L101" s="300"/>
      <c r="M101" s="300"/>
      <c r="N101" s="300" t="e">
        <f>(IFERROR(1-#REF!,0))*(N$267+N$281)*#REF!*(IFERROR(INDEX(#REF!,MATCH(#REF!,#REF!,0)),0)+IFERROR(#REF!*INDEX(#REF!,MATCH(#REF!,#REF!,0)),0))
+(IFERROR(1-#REF!,0))*(N$296+N$310)*#REF!*(IFERROR(INDEX(#REF!,MATCH(#REF!,#REF!,0)),0)+IFERROR(#REF!*INDEX(#REF!,MATCH(#REF!,#REF!,0)),0))
+(IFERROR(1-#REF!,0))*(N$325+N$339)*#REF!*(IFERROR(INDEX(#REF!,MATCH(#REF!,#REF!,0)),0)+IFERROR(#REF!*INDEX(#REF!,MATCH(#REF!,#REF!,0)),0))</f>
        <v>#REF!</v>
      </c>
      <c r="O101" s="300"/>
      <c r="P101" s="300"/>
      <c r="Q101" s="300" t="e">
        <f>(IFERROR(1-#REF!,0))*(Q$267+Q$281)*#REF!*(IFERROR(INDEX(#REF!,MATCH(#REF!,#REF!,0)),0)+IFERROR(#REF!*INDEX(#REF!,MATCH(#REF!,#REF!,0)),0))
+(IFERROR(1-#REF!,0))*(Q$296+Q$310)*#REF!*(IFERROR(INDEX(#REF!,MATCH(#REF!,#REF!,0)),0)+IFERROR(#REF!*INDEX(#REF!,MATCH(#REF!,#REF!,0)),0))
+(IFERROR(1-#REF!,0))*(Q$325+Q$339)*#REF!*(IFERROR(INDEX(#REF!,MATCH(#REF!,#REF!,0)),0)+IFERROR(#REF!*INDEX(#REF!,MATCH(#REF!,#REF!,0)),0))</f>
        <v>#REF!</v>
      </c>
      <c r="R101" s="300"/>
      <c r="S101" s="337"/>
      <c r="T101" s="300" t="e">
        <f>(IFERROR(1-#REF!,0))*(T$267+T$281)*#REF!*(IFERROR(INDEX(#REF!,MATCH(#REF!,#REF!,0)),0)+IFERROR(#REF!*INDEX(#REF!,MATCH(#REF!,#REF!,0)),0))
+(IFERROR(1-#REF!,0))*(T$296+T$310)*#REF!*(IFERROR(INDEX(#REF!,MATCH(#REF!,#REF!,0)),0)+IFERROR(#REF!*INDEX(#REF!,MATCH(#REF!,#REF!,0)),0))
+(IFERROR(1-#REF!,0))*(T$325+T$339)*#REF!*(IFERROR(INDEX(#REF!,MATCH(#REF!,#REF!,0)),0)+IFERROR(#REF!*INDEX(#REF!,MATCH(#REF!,#REF!,0)),0))</f>
        <v>#REF!</v>
      </c>
      <c r="U101" s="337"/>
      <c r="V101" s="337"/>
      <c r="W101" s="300" t="e">
        <f>(IFERROR(1-#REF!,0))*(W$267+W$281)*#REF!*(IFERROR(INDEX(#REF!,MATCH(#REF!,#REF!,0)),0)+IFERROR(#REF!*INDEX(#REF!,MATCH(#REF!,#REF!,0)),0))
+(IFERROR(1-#REF!,0))*(W$296+W$310)*#REF!*(IFERROR(INDEX(#REF!,MATCH(#REF!,#REF!,0)),0)+IFERROR(#REF!*INDEX(#REF!,MATCH(#REF!,#REF!,0)),0))
+(IFERROR(1-#REF!,0))*(W$325+W$339)*#REF!*(IFERROR(INDEX(#REF!,MATCH(#REF!,#REF!,0)),0)+IFERROR(#REF!*INDEX(#REF!,MATCH(#REF!,#REF!,0)),0))</f>
        <v>#REF!</v>
      </c>
      <c r="X101" s="341" t="e">
        <f t="shared" si="22"/>
        <v>#REF!</v>
      </c>
      <c r="AK101" s="4"/>
    </row>
    <row r="102" spans="6:37">
      <c r="F102" s="288"/>
      <c r="G102" s="356" t="s">
        <v>90</v>
      </c>
      <c r="H102" s="300">
        <f>(IFERROR(1-#REF!,0))*(H$267+H$281)*(IFERROR(INDEX(#REF!,MATCH(#REF!,#REF!,0)),0)+IFERROR(#REF!*INDEX(#REF!,MATCH(#REF!,#REF!,0)),0))
+(IFERROR(1-#REF!,0))*(H$296+H$310)*(IFERROR(INDEX(#REF!,MATCH(#REF!,#REF!,0)),0)+IFERROR(#REF!*INDEX(#REF!,MATCH(#REF!,#REF!,0)),0))
+(IFERROR(1-#REF!,0))*(H$325+H$339)*(IFERROR(INDEX(#REF!,MATCH(#REF!,#REF!,0)),0)+IFERROR(#REF!*INDEX(#REF!,MATCH(#REF!,#REF!,0)),0))</f>
        <v>0</v>
      </c>
      <c r="I102" s="300"/>
      <c r="J102" s="300"/>
      <c r="K102" s="300">
        <f>(IFERROR(1-#REF!,0))*(K$267+K$281)*(IFERROR(INDEX(#REF!,MATCH(#REF!,#REF!,0)),0)+IFERROR(#REF!*INDEX(#REF!,MATCH(#REF!,#REF!,0)),0))
+(IFERROR(1-#REF!,0))*(K$296+K$310)*(IFERROR(INDEX(#REF!,MATCH(#REF!,#REF!,0)),0)+IFERROR(#REF!*INDEX(#REF!,MATCH(#REF!,#REF!,0)),0))
+(IFERROR(1-#REF!,0))*(K$325+K$339)*(IFERROR(INDEX(#REF!,MATCH(#REF!,#REF!,0)),0)+IFERROR(#REF!*INDEX(#REF!,MATCH(#REF!,#REF!,0)),0))</f>
        <v>0</v>
      </c>
      <c r="L102" s="300"/>
      <c r="M102" s="300"/>
      <c r="N102" s="300">
        <f>(IFERROR(1-#REF!,0))*(N$267+N$281)*(IFERROR(INDEX(#REF!,MATCH(#REF!,#REF!,0)),0)+IFERROR(#REF!*INDEX(#REF!,MATCH(#REF!,#REF!,0)),0))
+(IFERROR(1-#REF!,0))*(N$296+N$310)*(IFERROR(INDEX(#REF!,MATCH(#REF!,#REF!,0)),0)+IFERROR(#REF!*INDEX(#REF!,MATCH(#REF!,#REF!,0)),0))
+(IFERROR(1-#REF!,0))*(N$325+N$339)*(IFERROR(INDEX(#REF!,MATCH(#REF!,#REF!,0)),0)+IFERROR(#REF!*INDEX(#REF!,MATCH(#REF!,#REF!,0)),0))</f>
        <v>0</v>
      </c>
      <c r="O102" s="300"/>
      <c r="P102" s="300"/>
      <c r="Q102" s="300">
        <f>(IFERROR(1-#REF!,0))*(Q$267+Q$281)*(IFERROR(INDEX(#REF!,MATCH(#REF!,#REF!,0)),0)+IFERROR(#REF!*INDEX(#REF!,MATCH(#REF!,#REF!,0)),0))
+(IFERROR(1-#REF!,0))*(Q$296+Q$310)*(IFERROR(INDEX(#REF!,MATCH(#REF!,#REF!,0)),0)+IFERROR(#REF!*INDEX(#REF!,MATCH(#REF!,#REF!,0)),0))
+(IFERROR(1-#REF!,0))*(Q$325+Q$339)*(IFERROR(INDEX(#REF!,MATCH(#REF!,#REF!,0)),0)+IFERROR(#REF!*INDEX(#REF!,MATCH(#REF!,#REF!,0)),0))</f>
        <v>0</v>
      </c>
      <c r="R102" s="300"/>
      <c r="S102" s="337"/>
      <c r="T102" s="300">
        <f>(IFERROR(1-#REF!,0))*(T$267+T$281)*(IFERROR(INDEX(#REF!,MATCH(#REF!,#REF!,0)),0)+IFERROR(#REF!*INDEX(#REF!,MATCH(#REF!,#REF!,0)),0))
+(IFERROR(1-#REF!,0))*(T$296+T$310)*(IFERROR(INDEX(#REF!,MATCH(#REF!,#REF!,0)),0)+IFERROR(#REF!*INDEX(#REF!,MATCH(#REF!,#REF!,0)),0))
+(IFERROR(1-#REF!,0))*(T$325+T$339)*(IFERROR(INDEX(#REF!,MATCH(#REF!,#REF!,0)),0)+IFERROR(#REF!*INDEX(#REF!,MATCH(#REF!,#REF!,0)),0))</f>
        <v>0</v>
      </c>
      <c r="U102" s="337"/>
      <c r="V102" s="337"/>
      <c r="W102" s="300">
        <f>(IFERROR(1-#REF!,0))*(W$267+W$281)*(IFERROR(INDEX(#REF!,MATCH(#REF!,#REF!,0)),0)+IFERROR(#REF!*INDEX(#REF!,MATCH(#REF!,#REF!,0)),0))
+(IFERROR(1-#REF!,0))*(W$296+W$310)*(IFERROR(INDEX(#REF!,MATCH(#REF!,#REF!,0)),0)+IFERROR(#REF!*INDEX(#REF!,MATCH(#REF!,#REF!,0)),0))
+(IFERROR(1-#REF!,0))*(W$325+W$339)*(IFERROR(INDEX(#REF!,MATCH(#REF!,#REF!,0)),0)+IFERROR(#REF!*INDEX(#REF!,MATCH(#REF!,#REF!,0)),0))</f>
        <v>0</v>
      </c>
      <c r="X102" s="341">
        <f t="shared" si="22"/>
        <v>0</v>
      </c>
    </row>
    <row r="103" spans="6:37">
      <c r="F103" s="357"/>
      <c r="G103" s="298" t="s">
        <v>1</v>
      </c>
      <c r="H103" s="300" t="e">
        <f>#REF!*(
(IFERROR(1-#REF!,0))*IF(#REF!='List Values'!$E$5,0,(H$280*IFERROR(1/INDEX(#REF!,MATCH(#REF!&amp;"Fuel Efficiency (km/liter)",#REF!,0)),0)))
+(IFERROR(1-#REF!,0))*IF(#REF!='List Values'!$E$5,0,(H$309*IFERROR(1/INDEX(#REF!,MATCH(#REF!&amp;"Fuel Efficiency (km/liter)",#REF!,0)),0)))
+(IFERROR(1-#REF!,0))*IF(#REF!='List Values'!$E$5,0,(H$338*IFERROR(1/INDEX(#REF!,MATCH(#REF!&amp;"Fuel Efficiency (km/liter)",#REF!,0)),0))))</f>
        <v>#REF!</v>
      </c>
      <c r="I103" s="300"/>
      <c r="J103" s="300"/>
      <c r="K103" s="300" t="e">
        <f>#REF!*(
(IFERROR(1-#REF!,0))*IF(#REF!='List Values'!$E$5,0,(K$280*IFERROR(1/INDEX(#REF!,MATCH(#REF!&amp;"Fuel Efficiency (km/liter)",#REF!,0)),0)))
+(IFERROR(1-#REF!,0))*IF(#REF!='List Values'!$E$5,0,(K$309*IFERROR(1/INDEX(#REF!,MATCH(#REF!&amp;"Fuel Efficiency (km/liter)",#REF!,0)),0)))
+(IFERROR(1-#REF!,0))*IF(#REF!='List Values'!$E$5,0,(K$338*IFERROR(1/INDEX(#REF!,MATCH(#REF!&amp;"Fuel Efficiency (km/liter)",#REF!,0)),0))))</f>
        <v>#REF!</v>
      </c>
      <c r="L103" s="300"/>
      <c r="M103" s="300"/>
      <c r="N103" s="300" t="e">
        <f>#REF!*(
(IFERROR(1-#REF!,0))*IF(#REF!='List Values'!$E$5,0,(N$280*IFERROR(1/INDEX(#REF!,MATCH(#REF!&amp;"Fuel Efficiency (km/liter)",#REF!,0)),0)))
+(IFERROR(1-#REF!,0))*IF(#REF!='List Values'!$E$5,0,(N$309*IFERROR(1/INDEX(#REF!,MATCH(#REF!&amp;"Fuel Efficiency (km/liter)",#REF!,0)),0)))
+(IFERROR(1-#REF!,0))*IF(#REF!='List Values'!$E$5,0,(N$338*IFERROR(1/INDEX(#REF!,MATCH(#REF!&amp;"Fuel Efficiency (km/liter)",#REF!,0)),0))))</f>
        <v>#REF!</v>
      </c>
      <c r="O103" s="300"/>
      <c r="P103" s="300"/>
      <c r="Q103" s="300" t="e">
        <f>#REF!*(
(IFERROR(1-#REF!,0))*IF(#REF!='List Values'!$E$5,0,(Q$280*IFERROR(1/INDEX(#REF!,MATCH(#REF!&amp;"Fuel Efficiency (km/liter)",#REF!,0)),0)))
+(IFERROR(1-#REF!,0))*IF(#REF!='List Values'!$E$5,0,(Q$309*IFERROR(1/INDEX(#REF!,MATCH(#REF!&amp;"Fuel Efficiency (km/liter)",#REF!,0)),0)))
+(IFERROR(1-#REF!,0))*IF(#REF!='List Values'!$E$5,0,(Q$338*IFERROR(1/INDEX(#REF!,MATCH(#REF!&amp;"Fuel Efficiency (km/liter)",#REF!,0)),0))))</f>
        <v>#REF!</v>
      </c>
      <c r="R103" s="300"/>
      <c r="S103" s="337"/>
      <c r="T103" s="300" t="e">
        <f>#REF!*(
(IFERROR(1-#REF!,0))*IF(#REF!='List Values'!$E$5,0,(T$280*IFERROR(1/INDEX(#REF!,MATCH(#REF!&amp;"Fuel Efficiency (km/liter)",#REF!,0)),0)))
+(IFERROR(1-#REF!,0))*IF(#REF!='List Values'!$E$5,0,(T$309*IFERROR(1/INDEX(#REF!,MATCH(#REF!&amp;"Fuel Efficiency (km/liter)",#REF!,0)),0)))
+(IFERROR(1-#REF!,0))*IF(#REF!='List Values'!$E$5,0,(T$338*IFERROR(1/INDEX(#REF!,MATCH(#REF!&amp;"Fuel Efficiency (km/liter)",#REF!,0)),0))))</f>
        <v>#REF!</v>
      </c>
      <c r="U103" s="337"/>
      <c r="V103" s="337"/>
      <c r="W103" s="300" t="e">
        <f>#REF!*(
(IFERROR(1-#REF!,0))*IF(#REF!='List Values'!$E$5,0,(W$280*IFERROR(1/INDEX(#REF!,MATCH(#REF!&amp;"Fuel Efficiency (km/liter)",#REF!,0)),0)))
+(IFERROR(1-#REF!,0))*IF(#REF!='List Values'!$E$5,0,(W$309*IFERROR(1/INDEX(#REF!,MATCH(#REF!&amp;"Fuel Efficiency (km/liter)",#REF!,0)),0)))
+(IFERROR(1-#REF!,0))*IF(#REF!='List Values'!$E$5,0,(W$338*IFERROR(1/INDEX(#REF!,MATCH(#REF!&amp;"Fuel Efficiency (km/liter)",#REF!,0)),0))))</f>
        <v>#REF!</v>
      </c>
      <c r="X103" s="341" t="e">
        <f t="shared" si="22"/>
        <v>#REF!</v>
      </c>
    </row>
    <row r="104" spans="6:37">
      <c r="F104" s="298"/>
      <c r="G104" s="298" t="s">
        <v>91</v>
      </c>
      <c r="H104" s="300">
        <f>IFERROR((1-#REF!)*IF(AND(#REF!="No",#REF!='List Values'!$E$3),INDEX(#REF!,MATCH(#REF!&amp;"Insurance Cost /yr",#REF!,0))*#REF!,0),0)
+IFERROR((1-#REF!)*IF(AND(#REF!="No",#REF!='List Values'!$E$3),INDEX(#REF!,MATCH(#REF!&amp;"Insurance Cost /yr",#REF!,0))*#REF!,0),0)
+IFERROR((1-#REF!)*IF(AND(#REF!="No",#REF!='List Values'!$E$3),INDEX(#REF!,MATCH(#REF!&amp;"Insurance Cost /yr",#REF!,0))*#REF!,0),0)</f>
        <v>0</v>
      </c>
      <c r="I104" s="300">
        <f>IFERROR((1-#REF!)*IF(AND(#REF!="No",#REF!='List Values'!$E$3),INDEX(#REF!,MATCH(#REF!&amp;"Insurance Cost /yr",#REF!,0))*#REF!,0),0)
+IFERROR((1-#REF!)*IF(AND(#REF!="No",#REF!='List Values'!$E$3),INDEX(#REF!,MATCH(#REF!&amp;"Insurance Cost /yr",#REF!,0))*#REF!,0),0)
+IFERROR((1-#REF!)*IF(AND(#REF!="No",#REF!='List Values'!$E$3),INDEX(#REF!,MATCH(#REF!&amp;"Insurance Cost /yr",#REF!,0))*#REF!,0),0)</f>
        <v>0</v>
      </c>
      <c r="J104" s="300">
        <f>IFERROR((1-#REF!)*IF(AND(#REF!="No",#REF!='List Values'!$E$3),INDEX(#REF!,MATCH(#REF!&amp;"Insurance Cost /yr",#REF!,0))*#REF!,0),0)
+IFERROR((1-#REF!)*IF(AND(#REF!="No",#REF!='List Values'!$E$3),INDEX(#REF!,MATCH(#REF!&amp;"Insurance Cost /yr",#REF!,0))*#REF!,0),0)
+IFERROR((1-#REF!)*IF(AND(#REF!="No",#REF!='List Values'!$E$3),INDEX(#REF!,MATCH(#REF!&amp;"Insurance Cost /yr",#REF!,0))*#REF!,0),0)</f>
        <v>0</v>
      </c>
      <c r="K104" s="300">
        <f>IFERROR((1-#REF!)*IF(AND(#REF!="No",#REF!='List Values'!$E$3),INDEX(#REF!,MATCH(#REF!&amp;"Insurance Cost /yr",#REF!,0))*#REF!,0),0)
+IFERROR((1-#REF!)*IF(AND(#REF!="No",#REF!='List Values'!$E$3),INDEX(#REF!,MATCH(#REF!&amp;"Insurance Cost /yr",#REF!,0))*#REF!,0),0)
+IFERROR((1-#REF!)*IF(AND(#REF!="No",#REF!='List Values'!$E$3),INDEX(#REF!,MATCH(#REF!&amp;"Insurance Cost /yr",#REF!,0))*#REF!,0),0)</f>
        <v>0</v>
      </c>
      <c r="L104" s="300">
        <f>IFERROR((1-#REF!)*IF(AND(#REF!="No",#REF!='List Values'!$E$3),INDEX(#REF!,MATCH(#REF!&amp;"Insurance Cost /yr",#REF!,0))*#REF!,0),0)
+IFERROR((1-#REF!)*IF(AND(#REF!="No",#REF!='List Values'!$E$3),INDEX(#REF!,MATCH(#REF!&amp;"Insurance Cost /yr",#REF!,0))*#REF!,0),0)
+IFERROR((1-#REF!)*IF(AND(#REF!="No",#REF!='List Values'!$E$3),INDEX(#REF!,MATCH(#REF!&amp;"Insurance Cost /yr",#REF!,0))*#REF!,0),0)</f>
        <v>0</v>
      </c>
      <c r="M104" s="300">
        <f>IFERROR((1-#REF!)*IF(AND(#REF!="No",#REF!='List Values'!$E$3),INDEX(#REF!,MATCH(#REF!&amp;"Insurance Cost /yr",#REF!,0))*#REF!,0),0)
+IFERROR((1-#REF!)*IF(AND(#REF!="No",#REF!='List Values'!$E$3),INDEX(#REF!,MATCH(#REF!&amp;"Insurance Cost /yr",#REF!,0))*#REF!,0),0)
+IFERROR((1-#REF!)*IF(AND(#REF!="No",#REF!='List Values'!$E$3),INDEX(#REF!,MATCH(#REF!&amp;"Insurance Cost /yr",#REF!,0))*#REF!,0),0)</f>
        <v>0</v>
      </c>
      <c r="N104" s="300">
        <f>IFERROR((1-#REF!)*IF(AND(#REF!="No",#REF!='List Values'!$E$3),INDEX(#REF!,MATCH(#REF!&amp;"Insurance Cost /yr",#REF!,0))*#REF!,0),0)
+IFERROR((1-#REF!)*IF(AND(#REF!="No",#REF!='List Values'!$E$3),INDEX(#REF!,MATCH(#REF!&amp;"Insurance Cost /yr",#REF!,0))*#REF!,0),0)
+IFERROR((1-#REF!)*IF(AND(#REF!="No",#REF!='List Values'!$E$3),INDEX(#REF!,MATCH(#REF!&amp;"Insurance Cost /yr",#REF!,0))*#REF!,0),0)</f>
        <v>0</v>
      </c>
      <c r="O104" s="300">
        <f>IFERROR((1-#REF!)*IF(AND(#REF!="No",#REF!='List Values'!$E$3),INDEX(#REF!,MATCH(#REF!&amp;"Insurance Cost /yr",#REF!,0))*#REF!,0),0)
+IFERROR((1-#REF!)*IF(AND(#REF!="No",#REF!='List Values'!$E$3),INDEX(#REF!,MATCH(#REF!&amp;"Insurance Cost /yr",#REF!,0))*#REF!,0),0)
+IFERROR((1-#REF!)*IF(AND(#REF!="No",#REF!='List Values'!$E$3),INDEX(#REF!,MATCH(#REF!&amp;"Insurance Cost /yr",#REF!,0))*#REF!,0),0)</f>
        <v>0</v>
      </c>
      <c r="P104" s="300">
        <f>IFERROR((1-#REF!)*IF(AND(#REF!="No",#REF!='List Values'!$E$3),INDEX(#REF!,MATCH(#REF!&amp;"Insurance Cost /yr",#REF!,0))*#REF!,0),0)
+IFERROR((1-#REF!)*IF(AND(#REF!="No",#REF!='List Values'!$E$3),INDEX(#REF!,MATCH(#REF!&amp;"Insurance Cost /yr",#REF!,0))*#REF!,0),0)
+IFERROR((1-#REF!)*IF(AND(#REF!="No",#REF!='List Values'!$E$3),INDEX(#REF!,MATCH(#REF!&amp;"Insurance Cost /yr",#REF!,0))*#REF!,0),0)</f>
        <v>0</v>
      </c>
      <c r="Q104" s="300">
        <f>IFERROR((1-#REF!)*IF(AND(#REF!="No",#REF!='List Values'!$E$3),INDEX(#REF!,MATCH(#REF!&amp;"Insurance Cost /yr",#REF!,0))*#REF!,0),0)
+IFERROR((1-#REF!)*IF(AND(#REF!="No",#REF!='List Values'!$E$3),INDEX(#REF!,MATCH(#REF!&amp;"Insurance Cost /yr",#REF!,0))*#REF!,0),0)
+IFERROR((1-#REF!)*IF(AND(#REF!="No",#REF!='List Values'!$E$3),INDEX(#REF!,MATCH(#REF!&amp;"Insurance Cost /yr",#REF!,0))*#REF!,0),0)</f>
        <v>0</v>
      </c>
      <c r="R104" s="300">
        <f>IFERROR((1-#REF!)*IF(AND(#REF!="No",#REF!='List Values'!$E$3),INDEX(#REF!,MATCH(#REF!&amp;"Insurance Cost /yr",#REF!,0))*#REF!,0),0)
+IFERROR((1-#REF!)*IF(AND(#REF!="No",#REF!='List Values'!$E$3),INDEX(#REF!,MATCH(#REF!&amp;"Insurance Cost /yr",#REF!,0))*#REF!,0),0)
+IFERROR((1-#REF!)*IF(AND(#REF!="No",#REF!='List Values'!$E$3),INDEX(#REF!,MATCH(#REF!&amp;"Insurance Cost /yr",#REF!,0))*#REF!,0),0)</f>
        <v>0</v>
      </c>
      <c r="S104" s="337">
        <f>IFERROR((1-#REF!)*IF(AND(#REF!="No",#REF!='List Values'!$E$3),INDEX(#REF!,MATCH(#REF!&amp;"Insurance Cost /yr",#REF!,0))*#REF!,0),0)
+IFERROR((1-#REF!)*IF(AND(#REF!="No",#REF!='List Values'!$E$3),INDEX(#REF!,MATCH(#REF!&amp;"Insurance Cost /yr",#REF!,0))*#REF!,0),0)
+IFERROR((1-#REF!)*IF(AND(#REF!="No",#REF!='List Values'!$E$3),INDEX(#REF!,MATCH(#REF!&amp;"Insurance Cost /yr",#REF!,0))*#REF!,0),0)</f>
        <v>0</v>
      </c>
      <c r="T104" s="300">
        <f>IFERROR((1-#REF!)*IF(AND(#REF!="No",#REF!='List Values'!$E$3),INDEX(#REF!,MATCH(#REF!&amp;"Insurance Cost /yr",#REF!,0))*#REF!,0),0)
+IFERROR((1-#REF!)*IF(AND(#REF!="No",#REF!='List Values'!$E$3),INDEX(#REF!,MATCH(#REF!&amp;"Insurance Cost /yr",#REF!,0))*#REF!,0),0)
+IFERROR((1-#REF!)*IF(AND(#REF!="No",#REF!='List Values'!$E$3),INDEX(#REF!,MATCH(#REF!&amp;"Insurance Cost /yr",#REF!,0))*#REF!,0),0)</f>
        <v>0</v>
      </c>
      <c r="U104" s="337">
        <f>IFERROR((1-#REF!)*IF(AND(#REF!="No",#REF!='List Values'!$E$3),INDEX(#REF!,MATCH(#REF!&amp;"Insurance Cost /yr",#REF!,0))*#REF!,0),0)
+IFERROR((1-#REF!)*IF(AND(#REF!="No",#REF!='List Values'!$E$3),INDEX(#REF!,MATCH(#REF!&amp;"Insurance Cost /yr",#REF!,0))*#REF!,0),0)
+IFERROR((1-#REF!)*IF(AND(#REF!="No",#REF!='List Values'!$E$3),INDEX(#REF!,MATCH(#REF!&amp;"Insurance Cost /yr",#REF!,0))*#REF!,0),0)</f>
        <v>0</v>
      </c>
      <c r="V104" s="337">
        <f>IFERROR((1-#REF!)*IF(AND(#REF!="No",#REF!='List Values'!$E$3),INDEX(#REF!,MATCH(#REF!&amp;"Insurance Cost /yr",#REF!,0))*#REF!,0),0)
+IFERROR((1-#REF!)*IF(AND(#REF!="No",#REF!='List Values'!$E$3),INDEX(#REF!,MATCH(#REF!&amp;"Insurance Cost /yr",#REF!,0))*#REF!,0),0)
+IFERROR((1-#REF!)*IF(AND(#REF!="No",#REF!='List Values'!$E$3),INDEX(#REF!,MATCH(#REF!&amp;"Insurance Cost /yr",#REF!,0))*#REF!,0),0)</f>
        <v>0</v>
      </c>
      <c r="W104" s="300">
        <f>IFERROR((1-#REF!)*IF(AND(#REF!="No",#REF!='List Values'!$E$3),INDEX(#REF!,MATCH(#REF!&amp;"Insurance Cost /yr",#REF!,0))*#REF!,0),0)
+IFERROR((1-#REF!)*IF(AND(#REF!="No",#REF!='List Values'!$E$3),INDEX(#REF!,MATCH(#REF!&amp;"Insurance Cost /yr",#REF!,0))*#REF!,0),0)
+IFERROR((1-#REF!)*IF(AND(#REF!="No",#REF!='List Values'!$E$3),INDEX(#REF!,MATCH(#REF!&amp;"Insurance Cost /yr",#REF!,0))*#REF!,0),0)</f>
        <v>0</v>
      </c>
      <c r="X104" s="341">
        <f t="shared" si="22"/>
        <v>0</v>
      </c>
      <c r="AK104" s="4"/>
    </row>
    <row r="105" spans="6:37">
      <c r="F105" s="298"/>
      <c r="G105" s="298" t="s">
        <v>92</v>
      </c>
      <c r="H105" s="300">
        <f>IFERROR((1-#REF!)*IF(#REF!='List Values'!$E$3,H$280*INDEX(#REF!,MATCH(#REF!&amp;"Maintenance cost/km",#REF!,0)),0),0)
+ IFERROR((1-#REF!)*IF(#REF!='List Values'!$E$3,H$309*INDEX(#REF!,MATCH(#REF!&amp;"Maintenance cost/km",#REF!,0)),0),0)
+ IFERROR((1-#REF!)*IF(#REF!='List Values'!$E$3,H$338*INDEX(#REF!,MATCH(#REF!&amp;"Maintenance cost/km",#REF!,0)),0),0)</f>
        <v>0</v>
      </c>
      <c r="I105" s="358"/>
      <c r="J105" s="358"/>
      <c r="K105" s="300">
        <f>IFERROR((1-#REF!)*IF(#REF!='List Values'!$E$3,K$280*INDEX(#REF!,MATCH(#REF!&amp;"Maintenance cost/km",#REF!,0)),0),0)
+ IFERROR((1-#REF!)*IF(#REF!='List Values'!$E$3,K$309*INDEX(#REF!,MATCH(#REF!&amp;"Maintenance cost/km",#REF!,0)),0),0)
+ IFERROR((1-#REF!)*IF(#REF!='List Values'!$E$3,K$338*INDEX(#REF!,MATCH(#REF!&amp;"Maintenance cost/km",#REF!,0)),0),0)</f>
        <v>0</v>
      </c>
      <c r="L105" s="300"/>
      <c r="M105" s="300"/>
      <c r="N105" s="300">
        <f>IFERROR((1-#REF!)*IF(#REF!='List Values'!$E$3,N$280*INDEX(#REF!,MATCH(#REF!&amp;"Maintenance cost/km",#REF!,0)),0),0)
+ IFERROR((1-#REF!)*IF(#REF!='List Values'!$E$3,N$309*INDEX(#REF!,MATCH(#REF!&amp;"Maintenance cost/km",#REF!,0)),0),0)
+ IFERROR((1-#REF!)*IF(#REF!='List Values'!$E$3,N$338*INDEX(#REF!,MATCH(#REF!&amp;"Maintenance cost/km",#REF!,0)),0),0)</f>
        <v>0</v>
      </c>
      <c r="O105" s="300"/>
      <c r="P105" s="300"/>
      <c r="Q105" s="300">
        <f>IFERROR((1-#REF!)*IF(#REF!='List Values'!$E$3,Q$280*INDEX(#REF!,MATCH(#REF!&amp;"Maintenance cost/km",#REF!,0)),0),0)
+ IFERROR((1-#REF!)*IF(#REF!='List Values'!$E$3,Q$309*INDEX(#REF!,MATCH(#REF!&amp;"Maintenance cost/km",#REF!,0)),0),0)
+ IFERROR((1-#REF!)*IF(#REF!='List Values'!$E$3,Q$338*INDEX(#REF!,MATCH(#REF!&amp;"Maintenance cost/km",#REF!,0)),0),0)</f>
        <v>0</v>
      </c>
      <c r="R105" s="300"/>
      <c r="S105" s="337"/>
      <c r="T105" s="300">
        <f>IFERROR((1-#REF!)*IF(#REF!='List Values'!$E$3,T$280*INDEX(#REF!,MATCH(#REF!&amp;"Maintenance cost/km",#REF!,0)),0),0)
+ IFERROR((1-#REF!)*IF(#REF!='List Values'!$E$3,T$309*INDEX(#REF!,MATCH(#REF!&amp;"Maintenance cost/km",#REF!,0)),0),0)
+ IFERROR((1-#REF!)*IF(#REF!='List Values'!$E$3,T$338*INDEX(#REF!,MATCH(#REF!&amp;"Maintenance cost/km",#REF!,0)),0),0)</f>
        <v>0</v>
      </c>
      <c r="U105" s="337"/>
      <c r="V105" s="337"/>
      <c r="W105" s="300">
        <f>IFERROR((1-#REF!)*IF(#REF!='List Values'!$E$3,W$280*INDEX(#REF!,MATCH(#REF!&amp;"Maintenance cost/km",#REF!,0)),0),0)
+ IFERROR((1-#REF!)*IF(#REF!='List Values'!$E$3,W$309*INDEX(#REF!,MATCH(#REF!&amp;"Maintenance cost/km",#REF!,0)),0),0)
+ IFERROR((1-#REF!)*IF(#REF!='List Values'!$E$3,W$338*INDEX(#REF!,MATCH(#REF!&amp;"Maintenance cost/km",#REF!,0)),0),0)</f>
        <v>0</v>
      </c>
      <c r="X105" s="341">
        <f t="shared" si="22"/>
        <v>0</v>
      </c>
      <c r="AE105" s="34"/>
      <c r="AK105" s="4"/>
    </row>
    <row r="106" spans="6:37">
      <c r="F106" s="298"/>
      <c r="G106" s="298" t="s">
        <v>93</v>
      </c>
      <c r="H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I106" s="358">
        <f>IFERROR((1-#REF!)*IF(AND(#REF!="No",#REF!='List Values'!$E$3),INDEX(#REF!,MATCH(#REF!&amp;"Depreciation Cost / yr",#REF!,0))*#REF!,0),0)
+IFERROR((1-#REF!)*IF(AND(#REF!="No",#REF!='List Values'!$E$3),INDEX(#REF!,MATCH(#REF!&amp;"Depreciation Cost / yr",#REF!,0))*#REF!,0),0)
+IFERROR((1-#REF!)*IF(AND(#REF!="No",#REF!='List Values'!$E$3),INDEX(#REF!,MATCH(#REF!&amp;"Depreciation Cost / yr",#REF!,0))*#REF!,0),0)</f>
        <v>0</v>
      </c>
      <c r="J106" s="358">
        <f>IFERROR((1-#REF!)*IF(AND(#REF!="No",#REF!='List Values'!$E$3),INDEX(#REF!,MATCH(#REF!&amp;"Depreciation Cost / yr",#REF!,0))*#REF!,0),0)
+IFERROR((1-#REF!)*IF(AND(#REF!="No",#REF!='List Values'!$E$3),INDEX(#REF!,MATCH(#REF!&amp;"Depreciation Cost / yr",#REF!,0))*#REF!,0),0)
+IFERROR((1-#REF!)*IF(AND(#REF!="No",#REF!='List Values'!$E$3),INDEX(#REF!,MATCH(#REF!&amp;"Depreciation Cost / yr",#REF!,0))*#REF!,0),0)</f>
        <v>0</v>
      </c>
      <c r="K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L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M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N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O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P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Q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R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S106" s="337">
        <f>IFERROR((1-#REF!)*IF(AND(#REF!="No",#REF!='List Values'!$E$3),INDEX(#REF!,MATCH(#REF!&amp;"Depreciation Cost / yr",#REF!,0))*#REF!,0),0)
+IFERROR((1-#REF!)*IF(AND(#REF!="No",#REF!='List Values'!$E$3),INDEX(#REF!,MATCH(#REF!&amp;"Depreciation Cost / yr",#REF!,0))*#REF!,0),0)
+IFERROR((1-#REF!)*IF(AND(#REF!="No",#REF!='List Values'!$E$3),INDEX(#REF!,MATCH(#REF!&amp;"Depreciation Cost / yr",#REF!,0))*#REF!,0),0)</f>
        <v>0</v>
      </c>
      <c r="T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U106" s="337">
        <f>IFERROR((1-#REF!)*IF(AND(#REF!="No",#REF!='List Values'!$E$3),INDEX(#REF!,MATCH(#REF!&amp;"Depreciation Cost / yr",#REF!,0))*#REF!,0),0)
+IFERROR((1-#REF!)*IF(AND(#REF!="No",#REF!='List Values'!$E$3),INDEX(#REF!,MATCH(#REF!&amp;"Depreciation Cost / yr",#REF!,0))*#REF!,0),0)
+IFERROR((1-#REF!)*IF(AND(#REF!="No",#REF!='List Values'!$E$3),INDEX(#REF!,MATCH(#REF!&amp;"Depreciation Cost / yr",#REF!,0))*#REF!,0),0)</f>
        <v>0</v>
      </c>
      <c r="V106" s="337">
        <f>IFERROR((1-#REF!)*IF(AND(#REF!="No",#REF!='List Values'!$E$3),INDEX(#REF!,MATCH(#REF!&amp;"Depreciation Cost / yr",#REF!,0))*#REF!,0),0)
+IFERROR((1-#REF!)*IF(AND(#REF!="No",#REF!='List Values'!$E$3),INDEX(#REF!,MATCH(#REF!&amp;"Depreciation Cost / yr",#REF!,0))*#REF!,0),0)
+IFERROR((1-#REF!)*IF(AND(#REF!="No",#REF!='List Values'!$E$3),INDEX(#REF!,MATCH(#REF!&amp;"Depreciation Cost / yr",#REF!,0))*#REF!,0),0)</f>
        <v>0</v>
      </c>
      <c r="W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X106" s="341">
        <f t="shared" si="22"/>
        <v>0</v>
      </c>
      <c r="AK106" s="4"/>
    </row>
    <row r="107" spans="6:37">
      <c r="F107" s="359"/>
      <c r="G107" s="220" t="s">
        <v>160</v>
      </c>
      <c r="H107" s="296">
        <f>IFERROR((1-#REF!)*H$266*INDEX(#REF!,MATCH(#REF!&amp;"Average cost ($) per trip (one-way)",#REF!,0)),0)
+IFERROR((1-#REF!)*H$295*INDEX(#REF!,MATCH(#REF!&amp;"Average cost ($) per trip (one-way)",#REF!,0)),0)
+IFERROR((1-#REF!)*H$324*INDEX(#REF!,MATCH(#REF!&amp;"Average cost ($) per trip (one-way)",#REF!,0)),0)</f>
        <v>0</v>
      </c>
      <c r="I107" s="360"/>
      <c r="J107" s="360"/>
      <c r="K107" s="296">
        <f>IFERROR((1-#REF!)*K$266*INDEX(#REF!,MATCH(#REF!&amp;"Average cost ($) per trip (one-way)",#REF!,0)),0)
+IFERROR((1-#REF!)*K$295*INDEX(#REF!,MATCH(#REF!&amp;"Average cost ($) per trip (one-way)",#REF!,0)),0)
+IFERROR((1-#REF!)*K$324*INDEX(#REF!,MATCH(#REF!&amp;"Average cost ($) per trip (one-way)",#REF!,0)),0)</f>
        <v>0</v>
      </c>
      <c r="L107" s="296"/>
      <c r="M107" s="296"/>
      <c r="N107" s="296">
        <f>IFERROR((1-#REF!)*N$266*INDEX(#REF!,MATCH(#REF!&amp;"Average cost ($) per trip (one-way)",#REF!,0)),0)
+IFERROR((1-#REF!)*N$295*INDEX(#REF!,MATCH(#REF!&amp;"Average cost ($) per trip (one-way)",#REF!,0)),0)
+IFERROR((1-#REF!)*N$324*INDEX(#REF!,MATCH(#REF!&amp;"Average cost ($) per trip (one-way)",#REF!,0)),0)</f>
        <v>0</v>
      </c>
      <c r="O107" s="296"/>
      <c r="P107" s="296"/>
      <c r="Q107" s="296">
        <f>IFERROR((1-#REF!)*Q$266*INDEX(#REF!,MATCH(#REF!&amp;"Average cost ($) per trip (one-way)",#REF!,0)),0)
+IFERROR((1-#REF!)*Q$295*INDEX(#REF!,MATCH(#REF!&amp;"Average cost ($) per trip (one-way)",#REF!,0)),0)
+IFERROR((1-#REF!)*Q$324*INDEX(#REF!,MATCH(#REF!&amp;"Average cost ($) per trip (one-way)",#REF!,0)),0)</f>
        <v>0</v>
      </c>
      <c r="R107" s="296"/>
      <c r="S107" s="361"/>
      <c r="T107" s="296">
        <f>IFERROR((1-#REF!)*T$266*INDEX(#REF!,MATCH(#REF!&amp;"Average cost ($) per trip (one-way)",#REF!,0)),0)
+IFERROR((1-#REF!)*T$295*INDEX(#REF!,MATCH(#REF!&amp;"Average cost ($) per trip (one-way)",#REF!,0)),0)
+IFERROR((1-#REF!)*T$324*INDEX(#REF!,MATCH(#REF!&amp;"Average cost ($) per trip (one-way)",#REF!,0)),0)</f>
        <v>0</v>
      </c>
      <c r="U107" s="361"/>
      <c r="V107" s="361"/>
      <c r="W107" s="296">
        <f>IFERROR((1-#REF!)*W$266*INDEX(#REF!,MATCH(#REF!&amp;"Average cost ($) per trip (one-way)",#REF!,0)),0)
+IFERROR((1-#REF!)*W$295*INDEX(#REF!,MATCH(#REF!&amp;"Average cost ($) per trip (one-way)",#REF!,0)),0)
+IFERROR((1-#REF!)*W$324*INDEX(#REF!,MATCH(#REF!&amp;"Average cost ($) per trip (one-way)",#REF!,0)),0)</f>
        <v>0</v>
      </c>
      <c r="X107" s="347">
        <f t="shared" si="22"/>
        <v>0</v>
      </c>
    </row>
    <row r="108" spans="6:37">
      <c r="F108" s="352" t="s">
        <v>99</v>
      </c>
      <c r="G108" s="352"/>
      <c r="H108" s="362"/>
      <c r="I108" s="362"/>
      <c r="J108" s="362"/>
      <c r="K108" s="362"/>
      <c r="L108" s="362"/>
      <c r="M108" s="362"/>
      <c r="N108" s="362"/>
      <c r="O108" s="362"/>
      <c r="P108" s="362"/>
      <c r="Q108" s="362"/>
      <c r="R108" s="354"/>
      <c r="S108" s="355"/>
      <c r="T108" s="362"/>
      <c r="U108" s="355"/>
      <c r="V108" s="355"/>
      <c r="W108" s="384"/>
      <c r="X108" s="385" t="e">
        <f>SUM(X109:X117)</f>
        <v>#REF!</v>
      </c>
    </row>
    <row r="109" spans="6:37">
      <c r="F109" s="298"/>
      <c r="G109" s="298" t="s">
        <v>48</v>
      </c>
      <c r="H109" s="300">
        <f>IFERROR((1-#REF!)*IF(#REF!='List Values'!$E$5,#REF!*IF(#REF!='List Values'!$F$3,H$169,IF(#REF!='List Values'!$F$4,Baseline_Results_NOINDIRECT!H$52*#REF!*#REF!,IF(#REF!='List Values'!$F$5,H$171,IF(#REF!='List Values'!$F$6,#REF!*#REF!,IF(#REF!='List Values'!$F$7,1,0))))),0),0)
+IFERROR((1-#REF!)*IF(#REF!='List Values'!$E$5,#REF!*IF(#REF!='List Values'!$F$3,H$207,IF(#REF!='List Values'!$F$4,Baseline_Results_NOINDIRECT!H$52*#REF!*#REF!,IF(#REF!='List Values'!$F$5,H$209,IF(#REF!='List Values'!$F$6,#REF!*#REF!,IF(#REF!='List Values'!$F$7,1,0))))),0),0)
+IFERROR((1-#REF!)*IF(#REF!='List Values'!$E$5,#REF!*IF(#REF!='List Values'!$F$3,H$245,IF(#REF!='List Values'!$F$4,Baseline_Results_NOINDIRECT!H$52*#REF!*#REF!,IF(#REF!='List Values'!$F$5,H$247,IF(#REF!='List Values'!$F$6,#REF!*#REF!,IF(#REF!='List Values'!$F$7,1,0))))),0),0)</f>
        <v>0</v>
      </c>
      <c r="I109" s="300"/>
      <c r="J109" s="300"/>
      <c r="K109" s="300">
        <f>IFERROR((1-#REF!)*IF(#REF!='List Values'!$E$5,#REF!*IF(#REF!='List Values'!$F$3,K$169,IF(#REF!='List Values'!$F$4,Baseline_Results_NOINDIRECT!K$52*#REF!*#REF!,IF(#REF!='List Values'!$F$5,K$171,IF(#REF!='List Values'!$F$6,#REF!*#REF!,IF(#REF!='List Values'!$F$7,1,0))))),0),0)
+IFERROR((1-#REF!)*IF(#REF!='List Values'!$E$5,#REF!*IF(#REF!='List Values'!$F$3,K$207,IF(#REF!='List Values'!$F$4,Baseline_Results_NOINDIRECT!K$52*#REF!*#REF!,IF(#REF!='List Values'!$F$5,K$209,IF(#REF!='List Values'!$F$6,#REF!*#REF!,IF(#REF!='List Values'!$F$7,1,0))))),0),0)
+IFERROR((1-#REF!)*IF(#REF!='List Values'!$E$5,#REF!*IF(#REF!='List Values'!$F$3,K$245,IF(#REF!='List Values'!$F$4,Baseline_Results_NOINDIRECT!K$52*#REF!*#REF!,IF(#REF!='List Values'!$F$5,K$247,IF(#REF!='List Values'!$F$6,#REF!*#REF!,IF(#REF!='List Values'!$F$7,1,0))))),0),0)</f>
        <v>0</v>
      </c>
      <c r="L109" s="300"/>
      <c r="M109" s="300"/>
      <c r="N109" s="300">
        <f>IFERROR((1-#REF!)*IF(#REF!='List Values'!$E$5,#REF!*IF(#REF!='List Values'!$F$3,N$169,IF(#REF!='List Values'!$F$4,Baseline_Results_NOINDIRECT!N$52*#REF!*#REF!,IF(#REF!='List Values'!$F$5,N$171,IF(#REF!='List Values'!$F$6,#REF!*#REF!,IF(#REF!='List Values'!$F$7,1,0))))),0),0)
+IFERROR((1-#REF!)*IF(#REF!='List Values'!$E$5,#REF!*IF(#REF!='List Values'!$F$3,N$207,IF(#REF!='List Values'!$F$4,Baseline_Results_NOINDIRECT!N$52*#REF!*#REF!,IF(#REF!='List Values'!$F$5,N$209,IF(#REF!='List Values'!$F$6,#REF!*#REF!,IF(#REF!='List Values'!$F$7,1,0))))),0),0)
+IFERROR((1-#REF!)*IF(#REF!='List Values'!$E$5,#REF!*IF(#REF!='List Values'!$F$3,N$245,IF(#REF!='List Values'!$F$4,Baseline_Results_NOINDIRECT!N$52*#REF!*#REF!,IF(#REF!='List Values'!$F$5,N$247,IF(#REF!='List Values'!$F$6,#REF!*#REF!,IF(#REF!='List Values'!$F$7,1,0))))),0),0)</f>
        <v>0</v>
      </c>
      <c r="O109" s="300"/>
      <c r="P109" s="300"/>
      <c r="Q109" s="300">
        <f>IFERROR((1-#REF!)*IF(#REF!='List Values'!$E$5,#REF!*IF(#REF!='List Values'!$F$3,Q$169,IF(#REF!='List Values'!$F$4,Baseline_Results_NOINDIRECT!Q$52*#REF!*#REF!,IF(#REF!='List Values'!$F$5,Q$171,IF(#REF!='List Values'!$F$6,#REF!*#REF!,IF(#REF!='List Values'!$F$7,1,0))))),0),0)
+IFERROR((1-#REF!)*IF(#REF!='List Values'!$E$5,#REF!*IF(#REF!='List Values'!$F$3,Q$207,IF(#REF!='List Values'!$F$4,Baseline_Results_NOINDIRECT!Q$52*#REF!*#REF!,IF(#REF!='List Values'!$F$5,Q$209,IF(#REF!='List Values'!$F$6,#REF!*#REF!,IF(#REF!='List Values'!$F$7,1,0))))),0),0)
+IFERROR((1-#REF!)*IF(#REF!='List Values'!$E$5,#REF!*IF(#REF!='List Values'!$F$3,Q$245,IF(#REF!='List Values'!$F$4,Baseline_Results_NOINDIRECT!Q$52*#REF!*#REF!,IF(#REF!='List Values'!$F$5,Q$247,IF(#REF!='List Values'!$F$6,#REF!*#REF!,IF(#REF!='List Values'!$F$7,1,0))))),0),0)</f>
        <v>0</v>
      </c>
      <c r="R109" s="300"/>
      <c r="S109" s="337"/>
      <c r="T109" s="300">
        <f>IFERROR((1-#REF!)*IF(#REF!='List Values'!$E$5,#REF!*IF(#REF!='List Values'!$F$3,T$169,IF(#REF!='List Values'!$F$4,Baseline_Results_NOINDIRECT!T$52*#REF!*#REF!,IF(#REF!='List Values'!$F$5,T$171,IF(#REF!='List Values'!$F$6,#REF!*#REF!,IF(#REF!='List Values'!$F$7,1,0))))),0),0)
+IFERROR((1-#REF!)*IF(#REF!='List Values'!$E$5,#REF!*IF(#REF!='List Values'!$F$3,T$207,IF(#REF!='List Values'!$F$4,Baseline_Results_NOINDIRECT!T$52*#REF!*#REF!,IF(#REF!='List Values'!$F$5,T$209,IF(#REF!='List Values'!$F$6,#REF!*#REF!,IF(#REF!='List Values'!$F$7,1,0))))),0),0)
+IFERROR((1-#REF!)*IF(#REF!='List Values'!$E$5,#REF!*IF(#REF!='List Values'!$F$3,T$245,IF(#REF!='List Values'!$F$4,Baseline_Results_NOINDIRECT!T$52*#REF!*#REF!,IF(#REF!='List Values'!$F$5,T$247,IF(#REF!='List Values'!$F$6,#REF!*#REF!,IF(#REF!='List Values'!$F$7,1,0))))),0),0)</f>
        <v>0</v>
      </c>
      <c r="U109" s="337"/>
      <c r="V109" s="337"/>
      <c r="W109" s="300">
        <f>IFERROR((1-#REF!)*IF(#REF!='List Values'!$E$5,#REF!*IF(#REF!='List Values'!$F$3,W$169,IF(#REF!='List Values'!$F$4,Baseline_Results_NOINDIRECT!W$52*#REF!*#REF!,IF(#REF!='List Values'!$F$5,W$171,IF(#REF!='List Values'!$F$6,#REF!*#REF!,IF(#REF!='List Values'!$F$7,1,0))))),0),0)
+IFERROR((1-#REF!)*IF(#REF!='List Values'!$E$5,#REF!*IF(#REF!='List Values'!$F$3,W$207,IF(#REF!='List Values'!$F$4,Baseline_Results_NOINDIRECT!W$52*#REF!*#REF!,IF(#REF!='List Values'!$F$5,W$209,IF(#REF!='List Values'!$F$6,#REF!*#REF!,IF(#REF!='List Values'!$F$7,1,0))))),0),0)
+IFERROR((1-#REF!)*IF(#REF!='List Values'!$E$5,#REF!*IF(#REF!='List Values'!$F$3,W$245,IF(#REF!='List Values'!$F$4,Baseline_Results_NOINDIRECT!W$52*#REF!*#REF!,IF(#REF!='List Values'!$F$5,W$247,IF(#REF!='List Values'!$F$6,#REF!*#REF!,IF(#REF!='List Values'!$F$7,1,0))))),0),0)</f>
        <v>0</v>
      </c>
      <c r="X109" s="341">
        <f>SUM(H109:W109)</f>
        <v>0</v>
      </c>
    </row>
    <row r="110" spans="6:37">
      <c r="F110" s="288"/>
      <c r="G110" s="298" t="s">
        <v>226</v>
      </c>
      <c r="H110" s="300">
        <f>IFERROR((1-#REF!)*IF(#REF!='List Values'!$E$4,#REF!*IF(#REF!='List Values'!$F$3,H$169,IF(#REF!='List Values'!$F$4,Baseline_Results_NOINDIRECT!H$52*#REF!*#REF!,IF(#REF!='List Values'!$F$5,H$171,IF(#REF!='List Values'!$F$6,#REF!*#REF!,IF(#REF!='List Values'!$F$7,1,0))))),0),0)
+IFERROR((1-#REF!)*IF(#REF!='List Values'!$E$4,#REF!*IF(#REF!='List Values'!$F$3,H$207,IF(#REF!='List Values'!$F$4,Baseline_Results_NOINDIRECT!H$52*#REF!*#REF!,IF(#REF!='List Values'!$F$5,H$209,IF(#REF!='List Values'!$F$6,#REF!*#REF!,IF(#REF!='List Values'!$F$7,1,0))))),0),0)
+IFERROR((1-#REF!)*IF(#REF!='List Values'!$E$4,#REF!*IF(#REF!='List Values'!$F$3,H$245,IF(#REF!='List Values'!$F$4,Baseline_Results_NOINDIRECT!H$52*#REF!*#REF!,IF(#REF!='List Values'!$F$5,H$247,IF(#REF!='List Values'!$F$6,#REF!*#REF!,IF(#REF!='List Values'!$F$7,1,0))))),0),0)</f>
        <v>0</v>
      </c>
      <c r="I110" s="300"/>
      <c r="J110" s="300"/>
      <c r="K110" s="300">
        <f>IFERROR((1-#REF!)*IF(#REF!='List Values'!$E$4,#REF!*IF(#REF!='List Values'!$F$3,K$169,IF(#REF!='List Values'!$F$4,Baseline_Results_NOINDIRECT!K$52*#REF!*#REF!,IF(#REF!='List Values'!$F$5,K$171,IF(#REF!='List Values'!$F$6,#REF!*#REF!,IF(#REF!='List Values'!$F$7,1,0))))),0),0)
+IFERROR((1-#REF!)*IF(#REF!='List Values'!$E$4,#REF!*IF(#REF!='List Values'!$F$3,K$207,IF(#REF!='List Values'!$F$4,Baseline_Results_NOINDIRECT!K$52*#REF!*#REF!,IF(#REF!='List Values'!$F$5,K$209,IF(#REF!='List Values'!$F$6,#REF!*#REF!,IF(#REF!='List Values'!$F$7,1,0))))),0),0)
+IFERROR((1-#REF!)*IF(#REF!='List Values'!$E$4,#REF!*IF(#REF!='List Values'!$F$3,K$245,IF(#REF!='List Values'!$F$4,Baseline_Results_NOINDIRECT!K$52*#REF!*#REF!,IF(#REF!='List Values'!$F$5,K$247,IF(#REF!='List Values'!$F$6,#REF!*#REF!,IF(#REF!='List Values'!$F$7,1,0))))),0),0)</f>
        <v>0</v>
      </c>
      <c r="L110" s="300"/>
      <c r="M110" s="300"/>
      <c r="N110" s="300">
        <f>IFERROR((1-#REF!)*IF(#REF!='List Values'!$E$4,#REF!*IF(#REF!='List Values'!$F$3,N$169,IF(#REF!='List Values'!$F$4,Baseline_Results_NOINDIRECT!N$52*#REF!*#REF!,IF(#REF!='List Values'!$F$5,N$171,IF(#REF!='List Values'!$F$6,#REF!*#REF!,IF(#REF!='List Values'!$F$7,1,0))))),0),0)
+IFERROR((1-#REF!)*IF(#REF!='List Values'!$E$4,#REF!*IF(#REF!='List Values'!$F$3,N$207,IF(#REF!='List Values'!$F$4,Baseline_Results_NOINDIRECT!N$52*#REF!*#REF!,IF(#REF!='List Values'!$F$5,N$209,IF(#REF!='List Values'!$F$6,#REF!*#REF!,IF(#REF!='List Values'!$F$7,1,0))))),0),0)
+IFERROR((1-#REF!)*IF(#REF!='List Values'!$E$4,#REF!*IF(#REF!='List Values'!$F$3,N$245,IF(#REF!='List Values'!$F$4,Baseline_Results_NOINDIRECT!N$52*#REF!*#REF!,IF(#REF!='List Values'!$F$5,N$247,IF(#REF!='List Values'!$F$6,#REF!*#REF!,IF(#REF!='List Values'!$F$7,1,0))))),0),0)</f>
        <v>0</v>
      </c>
      <c r="O110" s="300"/>
      <c r="P110" s="300"/>
      <c r="Q110" s="300">
        <f>IFERROR((1-#REF!)*IF(#REF!='List Values'!$E$4,#REF!*IF(#REF!='List Values'!$F$3,Q$169,IF(#REF!='List Values'!$F$4,Baseline_Results_NOINDIRECT!Q$52*#REF!*#REF!,IF(#REF!='List Values'!$F$5,Q$171,IF(#REF!='List Values'!$F$6,#REF!*#REF!,IF(#REF!='List Values'!$F$7,1,0))))),0),0)
+IFERROR((1-#REF!)*IF(#REF!='List Values'!$E$4,#REF!*IF(#REF!='List Values'!$F$3,Q$207,IF(#REF!='List Values'!$F$4,Baseline_Results_NOINDIRECT!Q$52*#REF!*#REF!,IF(#REF!='List Values'!$F$5,Q$209,IF(#REF!='List Values'!$F$6,#REF!*#REF!,IF(#REF!='List Values'!$F$7,1,0))))),0),0)
+IFERROR((1-#REF!)*IF(#REF!='List Values'!$E$4,#REF!*IF(#REF!='List Values'!$F$3,Q$245,IF(#REF!='List Values'!$F$4,Baseline_Results_NOINDIRECT!Q$52*#REF!*#REF!,IF(#REF!='List Values'!$F$5,Q$247,IF(#REF!='List Values'!$F$6,#REF!*#REF!,IF(#REF!='List Values'!$F$7,1,0))))),0),0)</f>
        <v>0</v>
      </c>
      <c r="R110" s="300"/>
      <c r="S110" s="337"/>
      <c r="T110" s="300">
        <f>IFERROR((1-#REF!)*IF(#REF!='List Values'!$E$4,#REF!*IF(#REF!='List Values'!$F$3,T$169,IF(#REF!='List Values'!$F$4,Baseline_Results_NOINDIRECT!T$52*#REF!*#REF!,IF(#REF!='List Values'!$F$5,T$171,IF(#REF!='List Values'!$F$6,#REF!*#REF!,IF(#REF!='List Values'!$F$7,1,0))))),0),0)
+IFERROR((1-#REF!)*IF(#REF!='List Values'!$E$4,#REF!*IF(#REF!='List Values'!$F$3,T$207,IF(#REF!='List Values'!$F$4,Baseline_Results_NOINDIRECT!T$52*#REF!*#REF!,IF(#REF!='List Values'!$F$5,T$209,IF(#REF!='List Values'!$F$6,#REF!*#REF!,IF(#REF!='List Values'!$F$7,1,0))))),0),0)
+IFERROR((1-#REF!)*IF(#REF!='List Values'!$E$4,#REF!*IF(#REF!='List Values'!$F$3,T$245,IF(#REF!='List Values'!$F$4,Baseline_Results_NOINDIRECT!T$52*#REF!*#REF!,IF(#REF!='List Values'!$F$5,T$247,IF(#REF!='List Values'!$F$6,#REF!*#REF!,IF(#REF!='List Values'!$F$7,1,0))))),0),0)</f>
        <v>0</v>
      </c>
      <c r="U110" s="337"/>
      <c r="V110" s="337"/>
      <c r="W110" s="300">
        <f>IFERROR((1-#REF!)*IF(#REF!='List Values'!$E$4,#REF!*IF(#REF!='List Values'!$F$3,W$169,IF(#REF!='List Values'!$F$4,Baseline_Results_NOINDIRECT!W$52*#REF!*#REF!,IF(#REF!='List Values'!$F$5,W$171,IF(#REF!='List Values'!$F$6,#REF!*#REF!,IF(#REF!='List Values'!$F$7,1,0))))),0),0)
+IFERROR((1-#REF!)*IF(#REF!='List Values'!$E$4,#REF!*IF(#REF!='List Values'!$F$3,W$207,IF(#REF!='List Values'!$F$4,Baseline_Results_NOINDIRECT!W$52*#REF!*#REF!,IF(#REF!='List Values'!$F$5,W$209,IF(#REF!='List Values'!$F$6,#REF!*#REF!,IF(#REF!='List Values'!$F$7,1,0))))),0),0)
+IFERROR((1-#REF!)*IF(#REF!='List Values'!$E$4,#REF!*IF(#REF!='List Values'!$F$3,W$245,IF(#REF!='List Values'!$F$4,Baseline_Results_NOINDIRECT!W$52*#REF!*#REF!,IF(#REF!='List Values'!$F$5,W$247,IF(#REF!='List Values'!$F$6,#REF!*#REF!,IF(#REF!='List Values'!$F$7,1,0))))),0),0)</f>
        <v>0</v>
      </c>
      <c r="X110" s="341">
        <f t="shared" ref="X110:X117" si="23">SUM(H110:W110)</f>
        <v>0</v>
      </c>
    </row>
    <row r="111" spans="6:37">
      <c r="F111" s="298"/>
      <c r="G111" s="298" t="s">
        <v>89</v>
      </c>
      <c r="H111" s="300" t="e">
        <f>(IFERROR(1-#REF!,0))*(H$155+H$171)*#REF!*(IFERROR(INDEX(#REF!,MATCH(#REF!,#REF!,0)),0)+IFERROR(#REF!*INDEX(#REF!,MATCH(#REF!,#REF!,0)),0))
+(IFERROR(1-#REF!,0))*(H$193+H$209)*#REF!*(IFERROR(INDEX(#REF!,MATCH(#REF!,#REF!,0)),0)+IFERROR(#REF!*INDEX(#REF!,MATCH(#REF!,#REF!,0)),0))
+(IFERROR(1-#REF!,0))*(H$231+H$247)*#REF!*(IFERROR(INDEX(#REF!,MATCH(#REF!,#REF!,0)),0)+IFERROR(#REF!*INDEX(#REF!,MATCH(#REF!,#REF!,0)),0))</f>
        <v>#REF!</v>
      </c>
      <c r="I111" s="300"/>
      <c r="J111" s="300"/>
      <c r="K111" s="300" t="e">
        <f>(IFERROR(1-#REF!,0))*(K$155+K$171)*#REF!*(IFERROR(INDEX(#REF!,MATCH(#REF!,#REF!,0)),0)+IFERROR(#REF!*INDEX(#REF!,MATCH(#REF!,#REF!,0)),0))
+(IFERROR(1-#REF!,0))*(K$193+K$209)*#REF!*(IFERROR(INDEX(#REF!,MATCH(#REF!,#REF!,0)),0)+IFERROR(#REF!*INDEX(#REF!,MATCH(#REF!,#REF!,0)),0))
+(IFERROR(1-#REF!,0))*(K$231+K$247)*#REF!*(IFERROR(INDEX(#REF!,MATCH(#REF!,#REF!,0)),0)+IFERROR(#REF!*INDEX(#REF!,MATCH(#REF!,#REF!,0)),0))</f>
        <v>#REF!</v>
      </c>
      <c r="L111" s="300"/>
      <c r="M111" s="300"/>
      <c r="N111" s="300" t="e">
        <f>(IFERROR(1-#REF!,0))*(N$155+N$171)*#REF!*(IFERROR(INDEX(#REF!,MATCH(#REF!,#REF!,0)),0)+IFERROR(#REF!*INDEX(#REF!,MATCH(#REF!,#REF!,0)),0))
+(IFERROR(1-#REF!,0))*(N$193+N$209)*#REF!*(IFERROR(INDEX(#REF!,MATCH(#REF!,#REF!,0)),0)+IFERROR(#REF!*INDEX(#REF!,MATCH(#REF!,#REF!,0)),0))
+(IFERROR(1-#REF!,0))*(N$231+N$247)*#REF!*(IFERROR(INDEX(#REF!,MATCH(#REF!,#REF!,0)),0)+IFERROR(#REF!*INDEX(#REF!,MATCH(#REF!,#REF!,0)),0))</f>
        <v>#REF!</v>
      </c>
      <c r="O111" s="300"/>
      <c r="P111" s="300"/>
      <c r="Q111" s="300" t="e">
        <f>(IFERROR(1-#REF!,0))*(Q$155+Q$171)*#REF!*(IFERROR(INDEX(#REF!,MATCH(#REF!,#REF!,0)),0)+IFERROR(#REF!*INDEX(#REF!,MATCH(#REF!,#REF!,0)),0))
+(IFERROR(1-#REF!,0))*(Q$193+Q$209)*#REF!*(IFERROR(INDEX(#REF!,MATCH(#REF!,#REF!,0)),0)+IFERROR(#REF!*INDEX(#REF!,MATCH(#REF!,#REF!,0)),0))
+(IFERROR(1-#REF!,0))*(Q$231+Q$247)*#REF!*(IFERROR(INDEX(#REF!,MATCH(#REF!,#REF!,0)),0)+IFERROR(#REF!*INDEX(#REF!,MATCH(#REF!,#REF!,0)),0))</f>
        <v>#REF!</v>
      </c>
      <c r="R111" s="300"/>
      <c r="S111" s="337"/>
      <c r="T111" s="300" t="e">
        <f>(IFERROR(1-#REF!,0))*(T$155+T$171)*#REF!*(IFERROR(INDEX(#REF!,MATCH(#REF!,#REF!,0)),0)+IFERROR(#REF!*INDEX(#REF!,MATCH(#REF!,#REF!,0)),0))
+(IFERROR(1-#REF!,0))*(T$193+T$209)*#REF!*(IFERROR(INDEX(#REF!,MATCH(#REF!,#REF!,0)),0)+IFERROR(#REF!*INDEX(#REF!,MATCH(#REF!,#REF!,0)),0))
+(IFERROR(1-#REF!,0))*(T$231+T$247)*#REF!*(IFERROR(INDEX(#REF!,MATCH(#REF!,#REF!,0)),0)+IFERROR(#REF!*INDEX(#REF!,MATCH(#REF!,#REF!,0)),0))</f>
        <v>#REF!</v>
      </c>
      <c r="U111" s="337"/>
      <c r="V111" s="337"/>
      <c r="W111" s="300" t="e">
        <f>(IFERROR(1-#REF!,0))*(W$155+W$171)*#REF!*(IFERROR(INDEX(#REF!,MATCH(#REF!,#REF!,0)),0)+IFERROR(#REF!*INDEX(#REF!,MATCH(#REF!,#REF!,0)),0))
+(IFERROR(1-#REF!,0))*(W$193+W$209)*#REF!*(IFERROR(INDEX(#REF!,MATCH(#REF!,#REF!,0)),0)+IFERROR(#REF!*INDEX(#REF!,MATCH(#REF!,#REF!,0)),0))
+(IFERROR(1-#REF!,0))*(W$231+W$247)*#REF!*(IFERROR(INDEX(#REF!,MATCH(#REF!,#REF!,0)),0)+IFERROR(#REF!*INDEX(#REF!,MATCH(#REF!,#REF!,0)),0))</f>
        <v>#REF!</v>
      </c>
      <c r="X111" s="341" t="e">
        <f t="shared" si="23"/>
        <v>#REF!</v>
      </c>
      <c r="AK111" s="4"/>
    </row>
    <row r="112" spans="6:37">
      <c r="F112" s="288"/>
      <c r="G112" s="288" t="s">
        <v>90</v>
      </c>
      <c r="H112" s="300">
        <f>(IFERROR(1-#REF!,0))*(H$155+H$171)*(IFERROR(INDEX(#REF!,MATCH(#REF!,#REF!,0)),0)+IFERROR(#REF!*INDEX(#REF!,MATCH(#REF!,#REF!,0)),0))
+(IFERROR(1-#REF!,0))*(H$193+H$209)*(IFERROR(INDEX(#REF!,MATCH(#REF!,#REF!,0)),0)+IFERROR(#REF!*INDEX(#REF!,MATCH(#REF!,#REF!,0)),0))
+(IFERROR(1-#REF!,0))*(H$231+H$247)*(IFERROR(INDEX(#REF!,MATCH(#REF!,#REF!,0)),0)+IFERROR(#REF!*INDEX(#REF!,MATCH(#REF!,#REF!,0)),0))</f>
        <v>0</v>
      </c>
      <c r="I112" s="300"/>
      <c r="J112" s="300"/>
      <c r="K112" s="300">
        <f>(IFERROR(1-#REF!,0))*(K$155+K$171)*(IFERROR(INDEX(#REF!,MATCH(#REF!,#REF!,0)),0)+IFERROR(#REF!*INDEX(#REF!,MATCH(#REF!,#REF!,0)),0))
+(IFERROR(1-#REF!,0))*(K$193+K$209)*(IFERROR(INDEX(#REF!,MATCH(#REF!,#REF!,0)),0)+IFERROR(#REF!*INDEX(#REF!,MATCH(#REF!,#REF!,0)),0))
+(IFERROR(1-#REF!,0))*(K$231+K$247)*(IFERROR(INDEX(#REF!,MATCH(#REF!,#REF!,0)),0)+IFERROR(#REF!*INDEX(#REF!,MATCH(#REF!,#REF!,0)),0))</f>
        <v>0</v>
      </c>
      <c r="L112" s="300"/>
      <c r="M112" s="300"/>
      <c r="N112" s="300">
        <f>(IFERROR(1-#REF!,0))*(N$155+N$171)*(IFERROR(INDEX(#REF!,MATCH(#REF!,#REF!,0)),0)+IFERROR(#REF!*INDEX(#REF!,MATCH(#REF!,#REF!,0)),0))
+(IFERROR(1-#REF!,0))*(N$193+N$209)*(IFERROR(INDEX(#REF!,MATCH(#REF!,#REF!,0)),0)+IFERROR(#REF!*INDEX(#REF!,MATCH(#REF!,#REF!,0)),0))
+(IFERROR(1-#REF!,0))*(N$231+N$247)*(IFERROR(INDEX(#REF!,MATCH(#REF!,#REF!,0)),0)+IFERROR(#REF!*INDEX(#REF!,MATCH(#REF!,#REF!,0)),0))</f>
        <v>0</v>
      </c>
      <c r="O112" s="300"/>
      <c r="P112" s="300"/>
      <c r="Q112" s="300">
        <f>(IFERROR(1-#REF!,0))*(Q$155+Q$171)*(IFERROR(INDEX(#REF!,MATCH(#REF!,#REF!,0)),0)+IFERROR(#REF!*INDEX(#REF!,MATCH(#REF!,#REF!,0)),0))
+(IFERROR(1-#REF!,0))*(Q$193+Q$209)*(IFERROR(INDEX(#REF!,MATCH(#REF!,#REF!,0)),0)+IFERROR(#REF!*INDEX(#REF!,MATCH(#REF!,#REF!,0)),0))
+(IFERROR(1-#REF!,0))*(Q$231+Q$247)*(IFERROR(INDEX(#REF!,MATCH(#REF!,#REF!,0)),0)+IFERROR(#REF!*INDEX(#REF!,MATCH(#REF!,#REF!,0)),0))</f>
        <v>0</v>
      </c>
      <c r="R112" s="300"/>
      <c r="S112" s="337"/>
      <c r="T112" s="300">
        <f>(IFERROR(1-#REF!,0))*(T$155+T$171)*(IFERROR(INDEX(#REF!,MATCH(#REF!,#REF!,0)),0)+IFERROR(#REF!*INDEX(#REF!,MATCH(#REF!,#REF!,0)),0))
+(IFERROR(1-#REF!,0))*(T$193+T$209)*(IFERROR(INDEX(#REF!,MATCH(#REF!,#REF!,0)),0)+IFERROR(#REF!*INDEX(#REF!,MATCH(#REF!,#REF!,0)),0))
+(IFERROR(1-#REF!,0))*(T$231+T$247)*(IFERROR(INDEX(#REF!,MATCH(#REF!,#REF!,0)),0)+IFERROR(#REF!*INDEX(#REF!,MATCH(#REF!,#REF!,0)),0))</f>
        <v>0</v>
      </c>
      <c r="U112" s="337"/>
      <c r="V112" s="337"/>
      <c r="W112" s="300">
        <f>(IFERROR(1-#REF!,0))*(W$155+W$171)*(IFERROR(INDEX(#REF!,MATCH(#REF!,#REF!,0)),0)+IFERROR(#REF!*INDEX(#REF!,MATCH(#REF!,#REF!,0)),0))
+(IFERROR(1-#REF!,0))*(W$193+W$209)*(IFERROR(INDEX(#REF!,MATCH(#REF!,#REF!,0)),0)+IFERROR(#REF!*INDEX(#REF!,MATCH(#REF!,#REF!,0)),0))
+(IFERROR(1-#REF!,0))*(W$231+W$247)*(IFERROR(INDEX(#REF!,MATCH(#REF!,#REF!,0)),0)+IFERROR(#REF!*INDEX(#REF!,MATCH(#REF!,#REF!,0)),0))</f>
        <v>0</v>
      </c>
      <c r="X112" s="341">
        <f t="shared" si="23"/>
        <v>0</v>
      </c>
    </row>
    <row r="113" spans="6:37">
      <c r="F113" s="288"/>
      <c r="G113" s="288" t="s">
        <v>1</v>
      </c>
      <c r="H113" s="300" t="e">
        <f>#REF!*(
(IFERROR(1-#REF!,0))*IF(#REF!='List Values'!$E$5,0,(H$169*IFERROR(1/INDEX(#REF!,MATCH(#REF!&amp;"Fuel Efficiency (km/liter)",#REF!,0)),0)))
+(IFERROR(1-#REF!,0))*IF(#REF!='List Values'!$E$5,0,(H$207*IFERROR(1/INDEX(#REF!,MATCH(#REF!&amp;"Fuel Efficiency (km/liter)",#REF!,0)),0)))
+(IFERROR(1-#REF!,0))*IF(#REF!='List Values'!$E$5,0,(H$245*IFERROR(1/INDEX(#REF!,MATCH(#REF!&amp;"Fuel Efficiency (km/liter)",#REF!,0)),0))))</f>
        <v>#REF!</v>
      </c>
      <c r="I113" s="300"/>
      <c r="J113" s="300"/>
      <c r="K113" s="300" t="e">
        <f>#REF!*(
(IFERROR(1-#REF!,0))*IF(#REF!='List Values'!$E$5,0,(K$169*IFERROR(1/INDEX(#REF!,MATCH(#REF!&amp;"Fuel Efficiency (km/liter)",#REF!,0)),0)))
+(IFERROR(1-#REF!,0))*IF(#REF!='List Values'!$E$5,0,(K$207*IFERROR(1/INDEX(#REF!,MATCH(#REF!&amp;"Fuel Efficiency (km/liter)",#REF!,0)),0)))
+(IFERROR(1-#REF!,0))*IF(#REF!='List Values'!$E$5,0,(K$245*IFERROR(1/INDEX(#REF!,MATCH(#REF!&amp;"Fuel Efficiency (km/liter)",#REF!,0)),0))))</f>
        <v>#REF!</v>
      </c>
      <c r="L113" s="300"/>
      <c r="M113" s="300"/>
      <c r="N113" s="300" t="e">
        <f>#REF!*(
(IFERROR(1-#REF!,0))*IF(#REF!='List Values'!$E$5,0,(N$169*IFERROR(1/INDEX(#REF!,MATCH(#REF!&amp;"Fuel Efficiency (km/liter)",#REF!,0)),0)))
+(IFERROR(1-#REF!,0))*IF(#REF!='List Values'!$E$5,0,(N$207*IFERROR(1/INDEX(#REF!,MATCH(#REF!&amp;"Fuel Efficiency (km/liter)",#REF!,0)),0)))
+(IFERROR(1-#REF!,0))*IF(#REF!='List Values'!$E$5,0,(N$245*IFERROR(1/INDEX(#REF!,MATCH(#REF!&amp;"Fuel Efficiency (km/liter)",#REF!,0)),0))))</f>
        <v>#REF!</v>
      </c>
      <c r="O113" s="300"/>
      <c r="P113" s="300"/>
      <c r="Q113" s="300" t="e">
        <f>#REF!*(
(IFERROR(1-#REF!,0))*IF(#REF!='List Values'!$E$5,0,(Q$169*IFERROR(1/INDEX(#REF!,MATCH(#REF!&amp;"Fuel Efficiency (km/liter)",#REF!,0)),0)))
+(IFERROR(1-#REF!,0))*IF(#REF!='List Values'!$E$5,0,(Q$207*IFERROR(1/INDEX(#REF!,MATCH(#REF!&amp;"Fuel Efficiency (km/liter)",#REF!,0)),0)))
+(IFERROR(1-#REF!,0))*IF(#REF!='List Values'!$E$5,0,(Q$245*IFERROR(1/INDEX(#REF!,MATCH(#REF!&amp;"Fuel Efficiency (km/liter)",#REF!,0)),0))))</f>
        <v>#REF!</v>
      </c>
      <c r="R113" s="300"/>
      <c r="S113" s="337"/>
      <c r="T113" s="300" t="e">
        <f>#REF!*(
(IFERROR(1-#REF!,0))*IF(#REF!='List Values'!$E$5,0,(T$169*IFERROR(1/INDEX(#REF!,MATCH(#REF!&amp;"Fuel Efficiency (km/liter)",#REF!,0)),0)))
+(IFERROR(1-#REF!,0))*IF(#REF!='List Values'!$E$5,0,(T$207*IFERROR(1/INDEX(#REF!,MATCH(#REF!&amp;"Fuel Efficiency (km/liter)",#REF!,0)),0)))
+(IFERROR(1-#REF!,0))*IF(#REF!='List Values'!$E$5,0,(T$245*IFERROR(1/INDEX(#REF!,MATCH(#REF!&amp;"Fuel Efficiency (km/liter)",#REF!,0)),0))))</f>
        <v>#REF!</v>
      </c>
      <c r="U113" s="337"/>
      <c r="V113" s="337"/>
      <c r="W113" s="300" t="e">
        <f>#REF!*(
(IFERROR(1-#REF!,0))*IF(#REF!='List Values'!$E$5,0,(W$169*IFERROR(1/INDEX(#REF!,MATCH(#REF!&amp;"Fuel Efficiency (km/liter)",#REF!,0)),0)))
+(IFERROR(1-#REF!,0))*IF(#REF!='List Values'!$E$5,0,(W$207*IFERROR(1/INDEX(#REF!,MATCH(#REF!&amp;"Fuel Efficiency (km/liter)",#REF!,0)),0)))
+(IFERROR(1-#REF!,0))*IF(#REF!='List Values'!$E$5,0,(W$245*IFERROR(1/INDEX(#REF!,MATCH(#REF!&amp;"Fuel Efficiency (km/liter)",#REF!,0)),0))))</f>
        <v>#REF!</v>
      </c>
      <c r="X113" s="341" t="e">
        <f t="shared" si="23"/>
        <v>#REF!</v>
      </c>
    </row>
    <row r="114" spans="6:37">
      <c r="F114" s="288"/>
      <c r="G114" s="288" t="s">
        <v>91</v>
      </c>
      <c r="H114" s="300">
        <f>IFERROR((1-#REF!)*IF(#REF!='List Values'!$E$3,INDEX(#REF!,MATCH(#REF!&amp;"Insurance Cost /yr",#REF!,0))*#REF!,0),0)
+IFERROR((1-#REF!)*IF(#REF!='List Values'!$E$3,INDEX(#REF!,MATCH(#REF!&amp;"Insurance Cost /yr",#REF!,0))*#REF!,0),0)
+IFERROR((1-#REF!)*IF(#REF!='List Values'!$E$3,INDEX(#REF!,MATCH(#REF!&amp;"Insurance Cost /yr",#REF!,0))*#REF!,0),0)</f>
        <v>0</v>
      </c>
      <c r="I114" s="300">
        <f>IFERROR((1-#REF!)*IF(#REF!='List Values'!$E$3,INDEX(#REF!,MATCH(#REF!&amp;"Insurance Cost /yr",#REF!,0))*#REF!,0),0)
+IFERROR((1-#REF!)*IF(#REF!='List Values'!$E$3,INDEX(#REF!,MATCH(#REF!&amp;"Insurance Cost /yr",#REF!,0))*#REF!,0),0)
+IFERROR((1-#REF!)*IF(#REF!='List Values'!$E$3,INDEX(#REF!,MATCH(#REF!&amp;"Insurance Cost /yr",#REF!,0))*#REF!,0),0)</f>
        <v>0</v>
      </c>
      <c r="J114" s="300">
        <f>IFERROR((1-#REF!)*IF(#REF!='List Values'!$E$3,INDEX(#REF!,MATCH(#REF!&amp;"Insurance Cost /yr",#REF!,0))*#REF!,0),0)
+IFERROR((1-#REF!)*IF(#REF!='List Values'!$E$3,INDEX(#REF!,MATCH(#REF!&amp;"Insurance Cost /yr",#REF!,0))*#REF!,0),0)
+IFERROR((1-#REF!)*IF(#REF!='List Values'!$E$3,INDEX(#REF!,MATCH(#REF!&amp;"Insurance Cost /yr",#REF!,0))*#REF!,0),0)</f>
        <v>0</v>
      </c>
      <c r="K114" s="300">
        <f>IFERROR((1-#REF!)*IF(#REF!='List Values'!$E$3,INDEX(#REF!,MATCH(#REF!&amp;"Insurance Cost /yr",#REF!,0))*#REF!,0),0)
+IFERROR((1-#REF!)*IF(#REF!='List Values'!$E$3,INDEX(#REF!,MATCH(#REF!&amp;"Insurance Cost /yr",#REF!,0))*#REF!,0),0)
+IFERROR((1-#REF!)*IF(#REF!='List Values'!$E$3,INDEX(#REF!,MATCH(#REF!&amp;"Insurance Cost /yr",#REF!,0))*#REF!,0),0)</f>
        <v>0</v>
      </c>
      <c r="L114" s="300">
        <f>IFERROR((1-#REF!)*IF(#REF!='List Values'!$E$3,INDEX(#REF!,MATCH(#REF!&amp;"Insurance Cost /yr",#REF!,0))*#REF!,0),0)
+IFERROR((1-#REF!)*IF(#REF!='List Values'!$E$3,INDEX(#REF!,MATCH(#REF!&amp;"Insurance Cost /yr",#REF!,0))*#REF!,0),0)
+IFERROR((1-#REF!)*IF(#REF!='List Values'!$E$3,INDEX(#REF!,MATCH(#REF!&amp;"Insurance Cost /yr",#REF!,0))*#REF!,0),0)</f>
        <v>0</v>
      </c>
      <c r="M114" s="300">
        <f>IFERROR((1-#REF!)*IF(#REF!='List Values'!$E$3,INDEX(#REF!,MATCH(#REF!&amp;"Insurance Cost /yr",#REF!,0))*#REF!,0),0)
+IFERROR((1-#REF!)*IF(#REF!='List Values'!$E$3,INDEX(#REF!,MATCH(#REF!&amp;"Insurance Cost /yr",#REF!,0))*#REF!,0),0)
+IFERROR((1-#REF!)*IF(#REF!='List Values'!$E$3,INDEX(#REF!,MATCH(#REF!&amp;"Insurance Cost /yr",#REF!,0))*#REF!,0),0)</f>
        <v>0</v>
      </c>
      <c r="N114" s="300">
        <f>IFERROR((1-#REF!)*IF(#REF!='List Values'!$E$3,INDEX(#REF!,MATCH(#REF!&amp;"Insurance Cost /yr",#REF!,0))*#REF!,0),0)
+IFERROR((1-#REF!)*IF(#REF!='List Values'!$E$3,INDEX(#REF!,MATCH(#REF!&amp;"Insurance Cost /yr",#REF!,0))*#REF!,0),0)
+IFERROR((1-#REF!)*IF(#REF!='List Values'!$E$3,INDEX(#REF!,MATCH(#REF!&amp;"Insurance Cost /yr",#REF!,0))*#REF!,0),0)</f>
        <v>0</v>
      </c>
      <c r="O114" s="300">
        <f>IFERROR((1-#REF!)*IF(#REF!='List Values'!$E$3,INDEX(#REF!,MATCH(#REF!&amp;"Insurance Cost /yr",#REF!,0))*#REF!,0),0)
+IFERROR((1-#REF!)*IF(#REF!='List Values'!$E$3,INDEX(#REF!,MATCH(#REF!&amp;"Insurance Cost /yr",#REF!,0))*#REF!,0),0)
+IFERROR((1-#REF!)*IF(#REF!='List Values'!$E$3,INDEX(#REF!,MATCH(#REF!&amp;"Insurance Cost /yr",#REF!,0))*#REF!,0),0)</f>
        <v>0</v>
      </c>
      <c r="P114" s="300">
        <f>IFERROR((1-#REF!)*IF(#REF!='List Values'!$E$3,INDEX(#REF!,MATCH(#REF!&amp;"Insurance Cost /yr",#REF!,0))*#REF!,0),0)
+IFERROR((1-#REF!)*IF(#REF!='List Values'!$E$3,INDEX(#REF!,MATCH(#REF!&amp;"Insurance Cost /yr",#REF!,0))*#REF!,0),0)
+IFERROR((1-#REF!)*IF(#REF!='List Values'!$E$3,INDEX(#REF!,MATCH(#REF!&amp;"Insurance Cost /yr",#REF!,0))*#REF!,0),0)</f>
        <v>0</v>
      </c>
      <c r="Q114" s="300">
        <f>IFERROR((1-#REF!)*IF(#REF!='List Values'!$E$3,INDEX(#REF!,MATCH(#REF!&amp;"Insurance Cost /yr",#REF!,0))*#REF!,0),0)
+IFERROR((1-#REF!)*IF(#REF!='List Values'!$E$3,INDEX(#REF!,MATCH(#REF!&amp;"Insurance Cost /yr",#REF!,0))*#REF!,0),0)
+IFERROR((1-#REF!)*IF(#REF!='List Values'!$E$3,INDEX(#REF!,MATCH(#REF!&amp;"Insurance Cost /yr",#REF!,0))*#REF!,0),0)</f>
        <v>0</v>
      </c>
      <c r="R114" s="300">
        <f>IFERROR((1-#REF!)*IF(#REF!='List Values'!$E$3,INDEX(#REF!,MATCH(#REF!&amp;"Insurance Cost /yr",#REF!,0))*#REF!,0),0)
+IFERROR((1-#REF!)*IF(#REF!='List Values'!$E$3,INDEX(#REF!,MATCH(#REF!&amp;"Insurance Cost /yr",#REF!,0))*#REF!,0),0)
+IFERROR((1-#REF!)*IF(#REF!='List Values'!$E$3,INDEX(#REF!,MATCH(#REF!&amp;"Insurance Cost /yr",#REF!,0))*#REF!,0),0)</f>
        <v>0</v>
      </c>
      <c r="S114" s="337">
        <f>IFERROR((1-#REF!)*IF(#REF!='List Values'!$E$3,INDEX(#REF!,MATCH(#REF!&amp;"Insurance Cost /yr",#REF!,0))*#REF!,0),0)
+IFERROR((1-#REF!)*IF(#REF!='List Values'!$E$3,INDEX(#REF!,MATCH(#REF!&amp;"Insurance Cost /yr",#REF!,0))*#REF!,0),0)
+IFERROR((1-#REF!)*IF(#REF!='List Values'!$E$3,INDEX(#REF!,MATCH(#REF!&amp;"Insurance Cost /yr",#REF!,0))*#REF!,0),0)</f>
        <v>0</v>
      </c>
      <c r="T114" s="300">
        <f>IFERROR((1-#REF!)*IF(#REF!='List Values'!$E$3,INDEX(#REF!,MATCH(#REF!&amp;"Insurance Cost /yr",#REF!,0))*#REF!,0),0)
+IFERROR((1-#REF!)*IF(#REF!='List Values'!$E$3,INDEX(#REF!,MATCH(#REF!&amp;"Insurance Cost /yr",#REF!,0))*#REF!,0),0)
+IFERROR((1-#REF!)*IF(#REF!='List Values'!$E$3,INDEX(#REF!,MATCH(#REF!&amp;"Insurance Cost /yr",#REF!,0))*#REF!,0),0)</f>
        <v>0</v>
      </c>
      <c r="U114" s="337">
        <f>IFERROR((1-#REF!)*IF(#REF!='List Values'!$E$3,INDEX(#REF!,MATCH(#REF!&amp;"Insurance Cost /yr",#REF!,0))*#REF!,0),0)
+IFERROR((1-#REF!)*IF(#REF!='List Values'!$E$3,INDEX(#REF!,MATCH(#REF!&amp;"Insurance Cost /yr",#REF!,0))*#REF!,0),0)
+IFERROR((1-#REF!)*IF(#REF!='List Values'!$E$3,INDEX(#REF!,MATCH(#REF!&amp;"Insurance Cost /yr",#REF!,0))*#REF!,0),0)</f>
        <v>0</v>
      </c>
      <c r="V114" s="337">
        <f>IFERROR((1-#REF!)*IF(#REF!='List Values'!$E$3,INDEX(#REF!,MATCH(#REF!&amp;"Insurance Cost /yr",#REF!,0))*#REF!,0),0)
+IFERROR((1-#REF!)*IF(#REF!='List Values'!$E$3,INDEX(#REF!,MATCH(#REF!&amp;"Insurance Cost /yr",#REF!,0))*#REF!,0),0)
+IFERROR((1-#REF!)*IF(#REF!='List Values'!$E$3,INDEX(#REF!,MATCH(#REF!&amp;"Insurance Cost /yr",#REF!,0))*#REF!,0),0)</f>
        <v>0</v>
      </c>
      <c r="W114" s="300">
        <f>IFERROR((1-#REF!)*IF(#REF!='List Values'!$E$3,INDEX(#REF!,MATCH(#REF!&amp;"Insurance Cost /yr",#REF!,0))*#REF!,0),0)
+IFERROR((1-#REF!)*IF(#REF!='List Values'!$E$3,INDEX(#REF!,MATCH(#REF!&amp;"Insurance Cost /yr",#REF!,0))*#REF!,0),0)
+IFERROR((1-#REF!)*IF(#REF!='List Values'!$E$3,INDEX(#REF!,MATCH(#REF!&amp;"Insurance Cost /yr",#REF!,0))*#REF!,0),0)</f>
        <v>0</v>
      </c>
      <c r="X114" s="341">
        <f t="shared" si="23"/>
        <v>0</v>
      </c>
      <c r="AK114" s="4"/>
    </row>
    <row r="115" spans="6:37">
      <c r="F115" s="288"/>
      <c r="G115" s="288" t="s">
        <v>92</v>
      </c>
      <c r="H115" s="300">
        <f>IFERROR((1-#REF!)*IF(#REF!='List Values'!$E$3,H$169*INDEX(#REF!,MATCH(#REF!&amp;"Maintenance cost/km",#REF!,0)),0),0)
+ IFERROR((1-#REF!)*IF(#REF!='List Values'!$E$3,H$207*INDEX(#REF!,MATCH(#REF!&amp;"Maintenance cost/km",#REF!,0)),0),0)
+ IFERROR((1-#REF!)*IF(#REF!='List Values'!$E$3,H$245*INDEX(#REF!,MATCH(#REF!&amp;"Maintenance cost/km",#REF!,0)),0),0)</f>
        <v>0</v>
      </c>
      <c r="I115" s="300"/>
      <c r="J115" s="300"/>
      <c r="K115" s="300">
        <f>IFERROR((1-#REF!)*IF(#REF!='List Values'!$E$3,K$169*INDEX(#REF!,MATCH(#REF!&amp;"Maintenance cost/km",#REF!,0)),0),0)
+ IFERROR((1-#REF!)*IF(#REF!='List Values'!$E$3,K$207*INDEX(#REF!,MATCH(#REF!&amp;"Maintenance cost/km",#REF!,0)),0),0)
+ IFERROR((1-#REF!)*IF(#REF!='List Values'!$E$3,K$245*INDEX(#REF!,MATCH(#REF!&amp;"Maintenance cost/km",#REF!,0)),0),0)</f>
        <v>0</v>
      </c>
      <c r="L115" s="300"/>
      <c r="M115" s="300"/>
      <c r="N115" s="300">
        <f>IFERROR((1-#REF!)*IF(#REF!='List Values'!$E$3,N$169*INDEX(#REF!,MATCH(#REF!&amp;"Maintenance cost/km",#REF!,0)),0),0)
+ IFERROR((1-#REF!)*IF(#REF!='List Values'!$E$3,N$207*INDEX(#REF!,MATCH(#REF!&amp;"Maintenance cost/km",#REF!,0)),0),0)
+ IFERROR((1-#REF!)*IF(#REF!='List Values'!$E$3,N$245*INDEX(#REF!,MATCH(#REF!&amp;"Maintenance cost/km",#REF!,0)),0),0)</f>
        <v>0</v>
      </c>
      <c r="O115" s="300"/>
      <c r="P115" s="300"/>
      <c r="Q115" s="300">
        <f>IFERROR((1-#REF!)*IF(#REF!='List Values'!$E$3,Q$169*INDEX(#REF!,MATCH(#REF!&amp;"Maintenance cost/km",#REF!,0)),0),0)
+ IFERROR((1-#REF!)*IF(#REF!='List Values'!$E$3,Q$207*INDEX(#REF!,MATCH(#REF!&amp;"Maintenance cost/km",#REF!,0)),0),0)
+ IFERROR((1-#REF!)*IF(#REF!='List Values'!$E$3,Q$245*INDEX(#REF!,MATCH(#REF!&amp;"Maintenance cost/km",#REF!,0)),0),0)</f>
        <v>0</v>
      </c>
      <c r="R115" s="300"/>
      <c r="S115" s="337"/>
      <c r="T115" s="300">
        <f>IFERROR((1-#REF!)*IF(#REF!='List Values'!$E$3,T$169*INDEX(#REF!,MATCH(#REF!&amp;"Maintenance cost/km",#REF!,0)),0),0)
+ IFERROR((1-#REF!)*IF(#REF!='List Values'!$E$3,T$207*INDEX(#REF!,MATCH(#REF!&amp;"Maintenance cost/km",#REF!,0)),0),0)
+ IFERROR((1-#REF!)*IF(#REF!='List Values'!$E$3,T$245*INDEX(#REF!,MATCH(#REF!&amp;"Maintenance cost/km",#REF!,0)),0),0)</f>
        <v>0</v>
      </c>
      <c r="U115" s="337"/>
      <c r="V115" s="337"/>
      <c r="W115" s="300">
        <f>IFERROR((1-#REF!)*IF(#REF!='List Values'!$E$3,W$169*INDEX(#REF!,MATCH(#REF!&amp;"Maintenance cost/km",#REF!,0)),0),0)
+ IFERROR((1-#REF!)*IF(#REF!='List Values'!$E$3,W$207*INDEX(#REF!,MATCH(#REF!&amp;"Maintenance cost/km",#REF!,0)),0),0)
+ IFERROR((1-#REF!)*IF(#REF!='List Values'!$E$3,W$245*INDEX(#REF!,MATCH(#REF!&amp;"Maintenance cost/km",#REF!,0)),0),0)</f>
        <v>0</v>
      </c>
      <c r="X115" s="341">
        <f t="shared" si="23"/>
        <v>0</v>
      </c>
      <c r="AK115" s="4"/>
    </row>
    <row r="116" spans="6:37">
      <c r="F116" s="288"/>
      <c r="G116" s="288" t="s">
        <v>93</v>
      </c>
      <c r="H116" s="300">
        <f>IFERROR((1-#REF!)*IF(#REF!='List Values'!$E$3,INDEX(#REF!,MATCH(#REF!&amp;"Depreciation Cost / yr",#REF!,0))*#REF!,0),0)
+IFERROR((1-#REF!)*IF(#REF!='List Values'!$E$3,INDEX(#REF!,MATCH(#REF!&amp;"Depreciation Cost / yr",#REF!,0))*#REF!,0),0)
+IFERROR((1-#REF!)*IF(#REF!='List Values'!$E$3,INDEX(#REF!,MATCH(#REF!&amp;"Depreciation Cost / yr",#REF!,0))*#REF!,0),0)</f>
        <v>0</v>
      </c>
      <c r="I116" s="300">
        <f>IFERROR((1-#REF!)*IF(#REF!='List Values'!$E$3,INDEX(#REF!,MATCH(#REF!&amp;"Depreciation Cost / yr",#REF!,0))*#REF!,0),0)
+IFERROR((1-#REF!)*IF(#REF!='List Values'!$E$3,INDEX(#REF!,MATCH(#REF!&amp;"Depreciation Cost / yr",#REF!,0))*#REF!,0),0)
+IFERROR((1-#REF!)*IF(#REF!='List Values'!$E$3,INDEX(#REF!,MATCH(#REF!&amp;"Depreciation Cost / yr",#REF!,0))*#REF!,0),0)</f>
        <v>0</v>
      </c>
      <c r="J116" s="300">
        <f>IFERROR((1-#REF!)*IF(#REF!='List Values'!$E$3,INDEX(#REF!,MATCH(#REF!&amp;"Depreciation Cost / yr",#REF!,0))*#REF!,0),0)
+IFERROR((1-#REF!)*IF(#REF!='List Values'!$E$3,INDEX(#REF!,MATCH(#REF!&amp;"Depreciation Cost / yr",#REF!,0))*#REF!,0),0)
+IFERROR((1-#REF!)*IF(#REF!='List Values'!$E$3,INDEX(#REF!,MATCH(#REF!&amp;"Depreciation Cost / yr",#REF!,0))*#REF!,0),0)</f>
        <v>0</v>
      </c>
      <c r="K116" s="300">
        <f>IFERROR((1-#REF!)*IF(#REF!='List Values'!$E$3,INDEX(#REF!,MATCH(#REF!&amp;"Depreciation Cost / yr",#REF!,0))*#REF!,0),0)
+IFERROR((1-#REF!)*IF(#REF!='List Values'!$E$3,INDEX(#REF!,MATCH(#REF!&amp;"Depreciation Cost / yr",#REF!,0))*#REF!,0),0)
+IFERROR((1-#REF!)*IF(#REF!='List Values'!$E$3,INDEX(#REF!,MATCH(#REF!&amp;"Depreciation Cost / yr",#REF!,0))*#REF!,0),0)</f>
        <v>0</v>
      </c>
      <c r="L116" s="300">
        <f>IFERROR((1-#REF!)*IF(#REF!='List Values'!$E$3,INDEX(#REF!,MATCH(#REF!&amp;"Depreciation Cost / yr",#REF!,0))*#REF!,0),0)
+IFERROR((1-#REF!)*IF(#REF!='List Values'!$E$3,INDEX(#REF!,MATCH(#REF!&amp;"Depreciation Cost / yr",#REF!,0))*#REF!,0),0)
+IFERROR((1-#REF!)*IF(#REF!='List Values'!$E$3,INDEX(#REF!,MATCH(#REF!&amp;"Depreciation Cost / yr",#REF!,0))*#REF!,0),0)</f>
        <v>0</v>
      </c>
      <c r="M116" s="300">
        <f>IFERROR((1-#REF!)*IF(#REF!='List Values'!$E$3,INDEX(#REF!,MATCH(#REF!&amp;"Depreciation Cost / yr",#REF!,0))*#REF!,0),0)
+IFERROR((1-#REF!)*IF(#REF!='List Values'!$E$3,INDEX(#REF!,MATCH(#REF!&amp;"Depreciation Cost / yr",#REF!,0))*#REF!,0),0)
+IFERROR((1-#REF!)*IF(#REF!='List Values'!$E$3,INDEX(#REF!,MATCH(#REF!&amp;"Depreciation Cost / yr",#REF!,0))*#REF!,0),0)</f>
        <v>0</v>
      </c>
      <c r="N116" s="300">
        <f>IFERROR((1-#REF!)*IF(#REF!='List Values'!$E$3,INDEX(#REF!,MATCH(#REF!&amp;"Depreciation Cost / yr",#REF!,0))*#REF!,0),0)
+IFERROR((1-#REF!)*IF(#REF!='List Values'!$E$3,INDEX(#REF!,MATCH(#REF!&amp;"Depreciation Cost / yr",#REF!,0))*#REF!,0),0)
+IFERROR((1-#REF!)*IF(#REF!='List Values'!$E$3,INDEX(#REF!,MATCH(#REF!&amp;"Depreciation Cost / yr",#REF!,0))*#REF!,0),0)</f>
        <v>0</v>
      </c>
      <c r="O116" s="300">
        <f>IFERROR((1-#REF!)*IF(#REF!='List Values'!$E$3,INDEX(#REF!,MATCH(#REF!&amp;"Depreciation Cost / yr",#REF!,0))*#REF!,0),0)
+IFERROR((1-#REF!)*IF(#REF!='List Values'!$E$3,INDEX(#REF!,MATCH(#REF!&amp;"Depreciation Cost / yr",#REF!,0))*#REF!,0),0)
+IFERROR((1-#REF!)*IF(#REF!='List Values'!$E$3,INDEX(#REF!,MATCH(#REF!&amp;"Depreciation Cost / yr",#REF!,0))*#REF!,0),0)</f>
        <v>0</v>
      </c>
      <c r="P116" s="300">
        <f>IFERROR((1-#REF!)*IF(#REF!='List Values'!$E$3,INDEX(#REF!,MATCH(#REF!&amp;"Depreciation Cost / yr",#REF!,0))*#REF!,0),0)
+IFERROR((1-#REF!)*IF(#REF!='List Values'!$E$3,INDEX(#REF!,MATCH(#REF!&amp;"Depreciation Cost / yr",#REF!,0))*#REF!,0),0)
+IFERROR((1-#REF!)*IF(#REF!='List Values'!$E$3,INDEX(#REF!,MATCH(#REF!&amp;"Depreciation Cost / yr",#REF!,0))*#REF!,0),0)</f>
        <v>0</v>
      </c>
      <c r="Q116" s="300">
        <f>IFERROR((1-#REF!)*IF(#REF!='List Values'!$E$3,INDEX(#REF!,MATCH(#REF!&amp;"Depreciation Cost / yr",#REF!,0))*#REF!,0),0)
+IFERROR((1-#REF!)*IF(#REF!='List Values'!$E$3,INDEX(#REF!,MATCH(#REF!&amp;"Depreciation Cost / yr",#REF!,0))*#REF!,0),0)
+IFERROR((1-#REF!)*IF(#REF!='List Values'!$E$3,INDEX(#REF!,MATCH(#REF!&amp;"Depreciation Cost / yr",#REF!,0))*#REF!,0),0)</f>
        <v>0</v>
      </c>
      <c r="R116" s="300">
        <f>IFERROR((1-#REF!)*IF(#REF!='List Values'!$E$3,INDEX(#REF!,MATCH(#REF!&amp;"Depreciation Cost / yr",#REF!,0))*#REF!,0),0)
+IFERROR((1-#REF!)*IF(#REF!='List Values'!$E$3,INDEX(#REF!,MATCH(#REF!&amp;"Depreciation Cost / yr",#REF!,0))*#REF!,0),0)
+IFERROR((1-#REF!)*IF(#REF!='List Values'!$E$3,INDEX(#REF!,MATCH(#REF!&amp;"Depreciation Cost / yr",#REF!,0))*#REF!,0),0)</f>
        <v>0</v>
      </c>
      <c r="S116" s="337">
        <f>IFERROR((1-#REF!)*IF(#REF!='List Values'!$E$3,INDEX(#REF!,MATCH(#REF!&amp;"Depreciation Cost / yr",#REF!,0))*#REF!,0),0)
+IFERROR((1-#REF!)*IF(#REF!='List Values'!$E$3,INDEX(#REF!,MATCH(#REF!&amp;"Depreciation Cost / yr",#REF!,0))*#REF!,0),0)
+IFERROR((1-#REF!)*IF(#REF!='List Values'!$E$3,INDEX(#REF!,MATCH(#REF!&amp;"Depreciation Cost / yr",#REF!,0))*#REF!,0),0)</f>
        <v>0</v>
      </c>
      <c r="T116" s="300">
        <f>IFERROR((1-#REF!)*IF(#REF!='List Values'!$E$3,INDEX(#REF!,MATCH(#REF!&amp;"Depreciation Cost / yr",#REF!,0))*#REF!,0),0)
+IFERROR((1-#REF!)*IF(#REF!='List Values'!$E$3,INDEX(#REF!,MATCH(#REF!&amp;"Depreciation Cost / yr",#REF!,0))*#REF!,0),0)
+IFERROR((1-#REF!)*IF(#REF!='List Values'!$E$3,INDEX(#REF!,MATCH(#REF!&amp;"Depreciation Cost / yr",#REF!,0))*#REF!,0),0)</f>
        <v>0</v>
      </c>
      <c r="U116" s="337">
        <f>IFERROR((1-#REF!)*IF(#REF!='List Values'!$E$3,INDEX(#REF!,MATCH(#REF!&amp;"Depreciation Cost / yr",#REF!,0))*#REF!,0),0)
+IFERROR((1-#REF!)*IF(#REF!='List Values'!$E$3,INDEX(#REF!,MATCH(#REF!&amp;"Depreciation Cost / yr",#REF!,0))*#REF!,0),0)
+IFERROR((1-#REF!)*IF(#REF!='List Values'!$E$3,INDEX(#REF!,MATCH(#REF!&amp;"Depreciation Cost / yr",#REF!,0))*#REF!,0),0)</f>
        <v>0</v>
      </c>
      <c r="V116" s="337">
        <f>IFERROR((1-#REF!)*IF(#REF!='List Values'!$E$3,INDEX(#REF!,MATCH(#REF!&amp;"Depreciation Cost / yr",#REF!,0))*#REF!,0),0)
+IFERROR((1-#REF!)*IF(#REF!='List Values'!$E$3,INDEX(#REF!,MATCH(#REF!&amp;"Depreciation Cost / yr",#REF!,0))*#REF!,0),0)
+IFERROR((1-#REF!)*IF(#REF!='List Values'!$E$3,INDEX(#REF!,MATCH(#REF!&amp;"Depreciation Cost / yr",#REF!,0))*#REF!,0),0)</f>
        <v>0</v>
      </c>
      <c r="W116" s="300">
        <f>IFERROR((1-#REF!)*IF(#REF!='List Values'!$E$3,INDEX(#REF!,MATCH(#REF!&amp;"Depreciation Cost / yr",#REF!,0))*#REF!,0),0)
+IFERROR((1-#REF!)*IF(#REF!='List Values'!$E$3,INDEX(#REF!,MATCH(#REF!&amp;"Depreciation Cost / yr",#REF!,0))*#REF!,0),0)
+IFERROR((1-#REF!)*IF(#REF!='List Values'!$E$3,INDEX(#REF!,MATCH(#REF!&amp;"Depreciation Cost / yr",#REF!,0))*#REF!,0),0)</f>
        <v>0</v>
      </c>
      <c r="X116" s="341">
        <f t="shared" si="23"/>
        <v>0</v>
      </c>
      <c r="AK116" s="4"/>
    </row>
    <row r="117" spans="6:37">
      <c r="F117" s="363"/>
      <c r="G117" s="220" t="s">
        <v>160</v>
      </c>
      <c r="H117" s="296">
        <f>IFERROR((1-#REF!)*H$154*INDEX(#REF!,MATCH(#REF!&amp;"Average cost ($) per trip (one-way)",#REF!,0)),0)
+IFERROR((1-#REF!)*H$192*INDEX(#REF!,MATCH(#REF!&amp;"Average cost ($) per trip (one-way)",#REF!,0)),0)
+IFERROR((1-#REF!)*H$230*INDEX(#REF!,MATCH(#REF!&amp;"Average cost ($) per trip (one-way)",#REF!,0)),0)</f>
        <v>0</v>
      </c>
      <c r="I117" s="296"/>
      <c r="J117" s="296"/>
      <c r="K117" s="296">
        <f>IFERROR((1-#REF!)*K$154*INDEX(#REF!,MATCH(#REF!&amp;"Average cost ($) per trip (one-way)",#REF!,0)),0)
+IFERROR((1-#REF!)*K$192*INDEX(#REF!,MATCH(#REF!&amp;"Average cost ($) per trip (one-way)",#REF!,0)),0)
+IFERROR((1-#REF!)*K$230*INDEX(#REF!,MATCH(#REF!&amp;"Average cost ($) per trip (one-way)",#REF!,0)),0)</f>
        <v>0</v>
      </c>
      <c r="L117" s="296"/>
      <c r="M117" s="296"/>
      <c r="N117" s="296">
        <f>IFERROR((1-#REF!)*N$154*INDEX(#REF!,MATCH(#REF!&amp;"Average cost ($) per trip (one-way)",#REF!,0)),0)
+IFERROR((1-#REF!)*N$192*INDEX(#REF!,MATCH(#REF!&amp;"Average cost ($) per trip (one-way)",#REF!,0)),0)
+IFERROR((1-#REF!)*N$230*INDEX(#REF!,MATCH(#REF!&amp;"Average cost ($) per trip (one-way)",#REF!,0)),0)</f>
        <v>0</v>
      </c>
      <c r="O117" s="296"/>
      <c r="P117" s="296"/>
      <c r="Q117" s="296">
        <f>IFERROR((1-#REF!)*Q$154*INDEX(#REF!,MATCH(#REF!&amp;"Average cost ($) per trip (one-way)",#REF!,0)),0)
+IFERROR((1-#REF!)*Q$192*INDEX(#REF!,MATCH(#REF!&amp;"Average cost ($) per trip (one-way)",#REF!,0)),0)
+IFERROR((1-#REF!)*Q$230*INDEX(#REF!,MATCH(#REF!&amp;"Average cost ($) per trip (one-way)",#REF!,0)),0)</f>
        <v>0</v>
      </c>
      <c r="R117" s="296"/>
      <c r="S117" s="361"/>
      <c r="T117" s="296">
        <f>IFERROR((1-#REF!)*T$154*INDEX(#REF!,MATCH(#REF!&amp;"Average cost ($) per trip (one-way)",#REF!,0)),0)
+IFERROR((1-#REF!)*T$192*INDEX(#REF!,MATCH(#REF!&amp;"Average cost ($) per trip (one-way)",#REF!,0)),0)
+IFERROR((1-#REF!)*T$230*INDEX(#REF!,MATCH(#REF!&amp;"Average cost ($) per trip (one-way)",#REF!,0)),0)</f>
        <v>0</v>
      </c>
      <c r="U117" s="361"/>
      <c r="V117" s="361"/>
      <c r="W117" s="296">
        <f>IFERROR((1-#REF!)*W$154*INDEX(#REF!,MATCH(#REF!&amp;"Average cost ($) per trip (one-way)",#REF!,0)),0)
+IFERROR((1-#REF!)*W$192*INDEX(#REF!,MATCH(#REF!&amp;"Average cost ($) per trip (one-way)",#REF!,0)),0)
+IFERROR((1-#REF!)*W$230*INDEX(#REF!,MATCH(#REF!&amp;"Average cost ($) per trip (one-way)",#REF!,0)),0)</f>
        <v>0</v>
      </c>
      <c r="X117" s="347">
        <f t="shared" si="23"/>
        <v>0</v>
      </c>
    </row>
    <row r="118" spans="6:37">
      <c r="F118" s="330" t="s">
        <v>159</v>
      </c>
      <c r="G118" s="330"/>
      <c r="H118" s="327"/>
      <c r="I118" s="327"/>
      <c r="J118" s="327"/>
      <c r="K118" s="327"/>
      <c r="L118" s="327"/>
      <c r="M118" s="327"/>
      <c r="N118" s="327"/>
      <c r="O118" s="327"/>
      <c r="P118" s="327"/>
      <c r="Q118" s="327"/>
      <c r="R118" s="329"/>
      <c r="S118" s="331"/>
      <c r="T118" s="327"/>
      <c r="U118" s="331"/>
      <c r="V118" s="331"/>
      <c r="W118" s="328"/>
      <c r="X118" s="386" t="e">
        <f>SUM(X119:X127)</f>
        <v>#REF!</v>
      </c>
    </row>
    <row r="119" spans="6:37">
      <c r="F119" s="219"/>
      <c r="G119" s="219" t="s">
        <v>48</v>
      </c>
      <c r="H119" s="297">
        <f>IFERROR((1-#REF!)*IF(#REF!='List Values'!$E$5,#REF!*IF(#REF!='List Values'!$F$3,H$369,IF(#REF!='List Values'!$F$4,Baseline_Results_NOINDIRECT!H$52*#REF!*#REF!,IF(#REF!='List Values'!$F$5,H$370,IF(#REF!='List Values'!$F$6,#REF!*#REF!,IF(#REF!='List Values'!$F$7,1,0))))),0),0)
+IFERROR((1-#REF!)*IF(#REF!='List Values'!$E$5,#REF!*IF(#REF!='List Values'!$F$3,H$398,IF(#REF!='List Values'!$F$4,Baseline_Results_NOINDIRECT!H$52*#REF!*#REF!,IF(#REF!='List Values'!$F$5,H$399,IF(#REF!='List Values'!$F$6,#REF!*#REF!,IF(#REF!='List Values'!$F$7,1,0))))),0),0)
+IFERROR((1-#REF!)*IF(#REF!='List Values'!$E$5,#REF!*IF(#REF!='List Values'!$F$3,H$427,IF(#REF!='List Values'!$F$4,Baseline_Results_NOINDIRECT!H$52*#REF!*#REF!,IF(#REF!='List Values'!$F$5,H$428,IF(#REF!='List Values'!$F$6,#REF!*#REF!,IF(#REF!='List Values'!$F$7,1,0))))),0),0)</f>
        <v>0</v>
      </c>
      <c r="I119" s="297"/>
      <c r="J119" s="297"/>
      <c r="K119" s="297">
        <f>IFERROR((1-#REF!)*IF(#REF!='List Values'!$E$5,#REF!*IF(#REF!='List Values'!$F$3,K$369,IF(#REF!='List Values'!$F$4,Baseline_Results_NOINDIRECT!K$52*#REF!*#REF!,IF(#REF!='List Values'!$F$5,K$370,IF(#REF!='List Values'!$F$6,#REF!*#REF!,IF(#REF!='List Values'!$F$7,1,0))))),0),0)
+IFERROR((1-#REF!)*IF(#REF!='List Values'!$E$5,#REF!*IF(#REF!='List Values'!$F$3,K$398,IF(#REF!='List Values'!$F$4,Baseline_Results_NOINDIRECT!K$52*#REF!*#REF!,IF(#REF!='List Values'!$F$5,K$399,IF(#REF!='List Values'!$F$6,#REF!*#REF!,IF(#REF!='List Values'!$F$7,1,0))))),0),0)
+IFERROR((1-#REF!)*IF(#REF!='List Values'!$E$5,#REF!*IF(#REF!='List Values'!$F$3,K$427,IF(#REF!='List Values'!$F$4,Baseline_Results_NOINDIRECT!K$52*#REF!*#REF!,IF(#REF!='List Values'!$F$5,K$428,IF(#REF!='List Values'!$F$6,#REF!*#REF!,IF(#REF!='List Values'!$F$7,1,0))))),0),0)</f>
        <v>0</v>
      </c>
      <c r="L119" s="297"/>
      <c r="M119" s="297"/>
      <c r="N119" s="297">
        <f>IFERROR((1-#REF!)*IF(#REF!='List Values'!$E$5,#REF!*IF(#REF!='List Values'!$F$3,N$369,IF(#REF!='List Values'!$F$4,Baseline_Results_NOINDIRECT!N$52*#REF!*#REF!,IF(#REF!='List Values'!$F$5,N$370,IF(#REF!='List Values'!$F$6,#REF!*#REF!,IF(#REF!='List Values'!$F$7,1,0))))),0),0)
+IFERROR((1-#REF!)*IF(#REF!='List Values'!$E$5,#REF!*IF(#REF!='List Values'!$F$3,N$398,IF(#REF!='List Values'!$F$4,Baseline_Results_NOINDIRECT!N$52*#REF!*#REF!,IF(#REF!='List Values'!$F$5,N$399,IF(#REF!='List Values'!$F$6,#REF!*#REF!,IF(#REF!='List Values'!$F$7,1,0))))),0),0)
+IFERROR((1-#REF!)*IF(#REF!='List Values'!$E$5,#REF!*IF(#REF!='List Values'!$F$3,N$427,IF(#REF!='List Values'!$F$4,Baseline_Results_NOINDIRECT!N$52*#REF!*#REF!,IF(#REF!='List Values'!$F$5,N$428,IF(#REF!='List Values'!$F$6,#REF!*#REF!,IF(#REF!='List Values'!$F$7,1,0))))),0),0)</f>
        <v>0</v>
      </c>
      <c r="O119" s="297"/>
      <c r="P119" s="297"/>
      <c r="Q119" s="297">
        <f>IFERROR((1-#REF!)*IF(#REF!='List Values'!$E$5,#REF!*IF(#REF!='List Values'!$F$3,Q$369,IF(#REF!='List Values'!$F$4,Baseline_Results_NOINDIRECT!Q$52*#REF!*#REF!,IF(#REF!='List Values'!$F$5,Q$370,IF(#REF!='List Values'!$F$6,#REF!*#REF!,IF(#REF!='List Values'!$F$7,1,0))))),0),0)
+IFERROR((1-#REF!)*IF(#REF!='List Values'!$E$5,#REF!*IF(#REF!='List Values'!$F$3,Q$398,IF(#REF!='List Values'!$F$4,Baseline_Results_NOINDIRECT!Q$52*#REF!*#REF!,IF(#REF!='List Values'!$F$5,Q$399,IF(#REF!='List Values'!$F$6,#REF!*#REF!,IF(#REF!='List Values'!$F$7,1,0))))),0),0)
+IFERROR((1-#REF!)*IF(#REF!='List Values'!$E$5,#REF!*IF(#REF!='List Values'!$F$3,Q$427,IF(#REF!='List Values'!$F$4,Baseline_Results_NOINDIRECT!Q$52*#REF!*#REF!,IF(#REF!='List Values'!$F$5,Q$428,IF(#REF!='List Values'!$F$6,#REF!*#REF!,IF(#REF!='List Values'!$F$7,1,0))))),0),0)</f>
        <v>0</v>
      </c>
      <c r="R119" s="297"/>
      <c r="S119" s="364"/>
      <c r="T119" s="297">
        <f>IFERROR((1-#REF!)*IF(#REF!='List Values'!$E$5,#REF!*IF(#REF!='List Values'!$F$3,T$369,IF(#REF!='List Values'!$F$4,Baseline_Results_NOINDIRECT!T$52*#REF!*#REF!,IF(#REF!='List Values'!$F$5,T$370,IF(#REF!='List Values'!$F$6,#REF!*#REF!,IF(#REF!='List Values'!$F$7,1,0))))),0),0)
+IFERROR((1-#REF!)*IF(#REF!='List Values'!$E$5,#REF!*IF(#REF!='List Values'!$F$3,T$398,IF(#REF!='List Values'!$F$4,Baseline_Results_NOINDIRECT!T$52*#REF!*#REF!,IF(#REF!='List Values'!$F$5,T$399,IF(#REF!='List Values'!$F$6,#REF!*#REF!,IF(#REF!='List Values'!$F$7,1,0))))),0),0)
+IFERROR((1-#REF!)*IF(#REF!='List Values'!$E$5,#REF!*IF(#REF!='List Values'!$F$3,T$427,IF(#REF!='List Values'!$F$4,Baseline_Results_NOINDIRECT!T$52*#REF!*#REF!,IF(#REF!='List Values'!$F$5,T$428,IF(#REF!='List Values'!$F$6,#REF!*#REF!,IF(#REF!='List Values'!$F$7,1,0))))),0),0)</f>
        <v>0</v>
      </c>
      <c r="U119" s="364"/>
      <c r="V119" s="364"/>
      <c r="W119" s="297">
        <f>IFERROR((1-#REF!)*IF(#REF!='List Values'!$E$5,#REF!*IF(#REF!='List Values'!$F$3,W$369,IF(#REF!='List Values'!$F$4,Baseline_Results_NOINDIRECT!W$52*#REF!*#REF!,IF(#REF!='List Values'!$F$5,W$370,IF(#REF!='List Values'!$F$6,#REF!*#REF!,IF(#REF!='List Values'!$F$7,1,0))))),0),0)
+IFERROR((1-#REF!)*IF(#REF!='List Values'!$E$5,#REF!*IF(#REF!='List Values'!$F$3,W$398,IF(#REF!='List Values'!$F$4,Baseline_Results_NOINDIRECT!W$52*#REF!*#REF!,IF(#REF!='List Values'!$F$5,W$399,IF(#REF!='List Values'!$F$6,#REF!*#REF!,IF(#REF!='List Values'!$F$7,1,0))))),0),0)
+IFERROR((1-#REF!)*IF(#REF!='List Values'!$E$5,#REF!*IF(#REF!='List Values'!$F$3,W$427,IF(#REF!='List Values'!$F$4,Baseline_Results_NOINDIRECT!W$52*#REF!*#REF!,IF(#REF!='List Values'!$F$5,W$428,IF(#REF!='List Values'!$F$6,#REF!*#REF!,IF(#REF!='List Values'!$F$7,1,0))))),0),0)</f>
        <v>0</v>
      </c>
      <c r="X119" s="365">
        <f>SUM(H119:W119)</f>
        <v>0</v>
      </c>
    </row>
    <row r="120" spans="6:37">
      <c r="F120" s="288"/>
      <c r="G120" s="288" t="s">
        <v>226</v>
      </c>
      <c r="H120" s="300">
        <f>IFERROR((1-#REF!)*IF(#REF!='List Values'!$E$4,#REF!*IF(#REF!='List Values'!$F$3,H$369,IF(#REF!='List Values'!$F$4,Baseline_Results_NOINDIRECT!H$52*#REF!*#REF!,IF(#REF!='List Values'!$F$5,H$370,IF(#REF!='List Values'!$F$6,#REF!*#REF!,IF(#REF!='List Values'!$F$7,1,0))))),0),0)
+IFERROR((1-#REF!)*IF(#REF!='List Values'!$E$4,#REF!*IF(#REF!='List Values'!$F$3,H$398,IF(#REF!='List Values'!$F$4,Baseline_Results_NOINDIRECT!H$52*#REF!*#REF!,IF(#REF!='List Values'!$F$5,H$399,IF(#REF!='List Values'!$F$6,#REF!*#REF!,IF(#REF!='List Values'!$F$7,1,0))))),0),0)
+IFERROR((1-#REF!)*IF(#REF!='List Values'!$E$4,#REF!*IF(#REF!='List Values'!$F$3,H$427,IF(#REF!='List Values'!$F$4,Baseline_Results_NOINDIRECT!H$52*#REF!*#REF!,IF(#REF!='List Values'!$F$5,H$428,IF(#REF!='List Values'!$F$6,#REF!*#REF!,IF(#REF!='List Values'!$F$7,1,0))))),0),0)</f>
        <v>0</v>
      </c>
      <c r="I120" s="300"/>
      <c r="J120" s="300"/>
      <c r="K120" s="300">
        <f>IFERROR((1-#REF!)*IF(#REF!='List Values'!$E$4,#REF!*IF(#REF!='List Values'!$F$3,K$369,IF(#REF!='List Values'!$F$4,Baseline_Results_NOINDIRECT!K$52*#REF!*#REF!,IF(#REF!='List Values'!$F$5,K$370,IF(#REF!='List Values'!$F$6,#REF!*#REF!,IF(#REF!='List Values'!$F$7,1,0))))),0),0)
+IFERROR((1-#REF!)*IF(#REF!='List Values'!$E$4,#REF!*IF(#REF!='List Values'!$F$3,K$398,IF(#REF!='List Values'!$F$4,Baseline_Results_NOINDIRECT!K$52*#REF!*#REF!,IF(#REF!='List Values'!$F$5,K$399,IF(#REF!='List Values'!$F$6,#REF!*#REF!,IF(#REF!='List Values'!$F$7,1,0))))),0),0)
+IFERROR((1-#REF!)*IF(#REF!='List Values'!$E$4,#REF!*IF(#REF!='List Values'!$F$3,K$427,IF(#REF!='List Values'!$F$4,Baseline_Results_NOINDIRECT!K$52*#REF!*#REF!,IF(#REF!='List Values'!$F$5,K$428,IF(#REF!='List Values'!$F$6,#REF!*#REF!,IF(#REF!='List Values'!$F$7,1,0))))),0),0)</f>
        <v>0</v>
      </c>
      <c r="L120" s="300"/>
      <c r="M120" s="300"/>
      <c r="N120" s="300">
        <f>IFERROR((1-#REF!)*IF(#REF!='List Values'!$E$4,#REF!*IF(#REF!='List Values'!$F$3,N$369,IF(#REF!='List Values'!$F$4,Baseline_Results_NOINDIRECT!N$52*#REF!*#REF!,IF(#REF!='List Values'!$F$5,N$370,IF(#REF!='List Values'!$F$6,#REF!*#REF!,IF(#REF!='List Values'!$F$7,1,0))))),0),0)
+IFERROR((1-#REF!)*IF(#REF!='List Values'!$E$4,#REF!*IF(#REF!='List Values'!$F$3,N$398,IF(#REF!='List Values'!$F$4,Baseline_Results_NOINDIRECT!N$52*#REF!*#REF!,IF(#REF!='List Values'!$F$5,N$399,IF(#REF!='List Values'!$F$6,#REF!*#REF!,IF(#REF!='List Values'!$F$7,1,0))))),0),0)
+IFERROR((1-#REF!)*IF(#REF!='List Values'!$E$4,#REF!*IF(#REF!='List Values'!$F$3,N$427,IF(#REF!='List Values'!$F$4,Baseline_Results_NOINDIRECT!N$52*#REF!*#REF!,IF(#REF!='List Values'!$F$5,N$428,IF(#REF!='List Values'!$F$6,#REF!*#REF!,IF(#REF!='List Values'!$F$7,1,0))))),0),0)</f>
        <v>0</v>
      </c>
      <c r="O120" s="300"/>
      <c r="P120" s="300"/>
      <c r="Q120" s="300">
        <f>IFERROR((1-#REF!)*IF(#REF!='List Values'!$E$4,#REF!*IF(#REF!='List Values'!$F$3,Q$369,IF(#REF!='List Values'!$F$4,Baseline_Results_NOINDIRECT!Q$52*#REF!*#REF!,IF(#REF!='List Values'!$F$5,Q$370,IF(#REF!='List Values'!$F$6,#REF!*#REF!,IF(#REF!='List Values'!$F$7,1,0))))),0),0)
+IFERROR((1-#REF!)*IF(#REF!='List Values'!$E$4,#REF!*IF(#REF!='List Values'!$F$3,Q$398,IF(#REF!='List Values'!$F$4,Baseline_Results_NOINDIRECT!Q$52*#REF!*#REF!,IF(#REF!='List Values'!$F$5,Q$399,IF(#REF!='List Values'!$F$6,#REF!*#REF!,IF(#REF!='List Values'!$F$7,1,0))))),0),0)
+IFERROR((1-#REF!)*IF(#REF!='List Values'!$E$4,#REF!*IF(#REF!='List Values'!$F$3,Q$427,IF(#REF!='List Values'!$F$4,Baseline_Results_NOINDIRECT!Q$52*#REF!*#REF!,IF(#REF!='List Values'!$F$5,Q$428,IF(#REF!='List Values'!$F$6,#REF!*#REF!,IF(#REF!='List Values'!$F$7,1,0))))),0),0)</f>
        <v>0</v>
      </c>
      <c r="R120" s="300"/>
      <c r="S120" s="337"/>
      <c r="T120" s="300">
        <f>IFERROR((1-#REF!)*IF(#REF!='List Values'!$E$4,#REF!*IF(#REF!='List Values'!$F$3,T$369,IF(#REF!='List Values'!$F$4,Baseline_Results_NOINDIRECT!T$52*#REF!*#REF!,IF(#REF!='List Values'!$F$5,T$370,IF(#REF!='List Values'!$F$6,#REF!*#REF!,IF(#REF!='List Values'!$F$7,1,0))))),0),0)
+IFERROR((1-#REF!)*IF(#REF!='List Values'!$E$4,#REF!*IF(#REF!='List Values'!$F$3,T$398,IF(#REF!='List Values'!$F$4,Baseline_Results_NOINDIRECT!T$52*#REF!*#REF!,IF(#REF!='List Values'!$F$5,T$399,IF(#REF!='List Values'!$F$6,#REF!*#REF!,IF(#REF!='List Values'!$F$7,1,0))))),0),0)
+IFERROR((1-#REF!)*IF(#REF!='List Values'!$E$4,#REF!*IF(#REF!='List Values'!$F$3,T$427,IF(#REF!='List Values'!$F$4,Baseline_Results_NOINDIRECT!T$52*#REF!*#REF!,IF(#REF!='List Values'!$F$5,T$428,IF(#REF!='List Values'!$F$6,#REF!*#REF!,IF(#REF!='List Values'!$F$7,1,0))))),0),0)</f>
        <v>0</v>
      </c>
      <c r="U120" s="337"/>
      <c r="V120" s="337"/>
      <c r="W120" s="300">
        <f>IFERROR((1-#REF!)*IF(#REF!='List Values'!$E$4,#REF!*IF(#REF!='List Values'!$F$3,W$369,IF(#REF!='List Values'!$F$4,Baseline_Results_NOINDIRECT!W$52*#REF!*#REF!,IF(#REF!='List Values'!$F$5,W$370,IF(#REF!='List Values'!$F$6,#REF!*#REF!,IF(#REF!='List Values'!$F$7,1,0))))),0),0)
+IFERROR((1-#REF!)*IF(#REF!='List Values'!$E$4,#REF!*IF(#REF!='List Values'!$F$3,W$398,IF(#REF!='List Values'!$F$4,Baseline_Results_NOINDIRECT!W$52*#REF!*#REF!,IF(#REF!='List Values'!$F$5,W$399,IF(#REF!='List Values'!$F$6,#REF!*#REF!,IF(#REF!='List Values'!$F$7,1,0))))),0),0)
+IFERROR((1-#REF!)*IF(#REF!='List Values'!$E$4,#REF!*IF(#REF!='List Values'!$F$3,W$427,IF(#REF!='List Values'!$F$4,Baseline_Results_NOINDIRECT!W$52*#REF!*#REF!,IF(#REF!='List Values'!$F$5,W$428,IF(#REF!='List Values'!$F$6,#REF!*#REF!,IF(#REF!='List Values'!$F$7,1,0))))),0),0)</f>
        <v>0</v>
      </c>
      <c r="X120" s="341">
        <f t="shared" ref="X120:X127" si="24">SUM(H120:W120)</f>
        <v>0</v>
      </c>
      <c r="AK120" s="4"/>
    </row>
    <row r="121" spans="6:37">
      <c r="F121" s="298"/>
      <c r="G121" s="298" t="s">
        <v>89</v>
      </c>
      <c r="H121" s="300" t="e">
        <f>(IFERROR(1-#REF!,0))*(H$356+H$370)*#REF!*(IFERROR(INDEX(#REF!,MATCH(#REF!,#REF!,0)),0)+IFERROR(#REF!*INDEX(#REF!,MATCH(#REF!,#REF!,0)),0))
+(IFERROR(1-#REF!,0))*(H$385+H$399)*#REF!*(IFERROR(INDEX(#REF!,MATCH(#REF!,#REF!,0)),0)+IFERROR(#REF!*INDEX(#REF!,MATCH(#REF!,#REF!,0)),0))
+(IFERROR(1-#REF!,0))*(H$414+H$428)*#REF!*(IFERROR(INDEX(#REF!,MATCH(#REF!,#REF!,0)),0)+IFERROR(#REF!*INDEX(#REF!,MATCH(#REF!,#REF!,0)),0))</f>
        <v>#REF!</v>
      </c>
      <c r="I121" s="300"/>
      <c r="J121" s="300"/>
      <c r="K121" s="300" t="e">
        <f>(IFERROR(1-#REF!,0))*(K$356+K$370)*#REF!*(IFERROR(INDEX(#REF!,MATCH(#REF!,#REF!,0)),0)+IFERROR(#REF!*INDEX(#REF!,MATCH(#REF!,#REF!,0)),0))
+(IFERROR(1-#REF!,0))*(K$385+K$399)*#REF!*(IFERROR(INDEX(#REF!,MATCH(#REF!,#REF!,0)),0)+IFERROR(#REF!*INDEX(#REF!,MATCH(#REF!,#REF!,0)),0))
+(IFERROR(1-#REF!,0))*(K$414+K$428)*#REF!*(IFERROR(INDEX(#REF!,MATCH(#REF!,#REF!,0)),0)+IFERROR(#REF!*INDEX(#REF!,MATCH(#REF!,#REF!,0)),0))</f>
        <v>#REF!</v>
      </c>
      <c r="L121" s="300"/>
      <c r="M121" s="300"/>
      <c r="N121" s="300" t="e">
        <f>(IFERROR(1-#REF!,0))*(N$356+N$370)*#REF!*(IFERROR(INDEX(#REF!,MATCH(#REF!,#REF!,0)),0)+IFERROR(#REF!*INDEX(#REF!,MATCH(#REF!,#REF!,0)),0))
+(IFERROR(1-#REF!,0))*(N$385+N$399)*#REF!*(IFERROR(INDEX(#REF!,MATCH(#REF!,#REF!,0)),0)+IFERROR(#REF!*INDEX(#REF!,MATCH(#REF!,#REF!,0)),0))
+(IFERROR(1-#REF!,0))*(N$414+N$428)*#REF!*(IFERROR(INDEX(#REF!,MATCH(#REF!,#REF!,0)),0)+IFERROR(#REF!*INDEX(#REF!,MATCH(#REF!,#REF!,0)),0))</f>
        <v>#REF!</v>
      </c>
      <c r="O121" s="300"/>
      <c r="P121" s="300"/>
      <c r="Q121" s="300" t="e">
        <f>(IFERROR(1-#REF!,0))*(Q$356+Q$370)*#REF!*(IFERROR(INDEX(#REF!,MATCH(#REF!,#REF!,0)),0)+IFERROR(#REF!*INDEX(#REF!,MATCH(#REF!,#REF!,0)),0))
+(IFERROR(1-#REF!,0))*(Q$385+Q$399)*#REF!*(IFERROR(INDEX(#REF!,MATCH(#REF!,#REF!,0)),0)+IFERROR(#REF!*INDEX(#REF!,MATCH(#REF!,#REF!,0)),0))
+(IFERROR(1-#REF!,0))*(Q$414+Q$428)*#REF!*(IFERROR(INDEX(#REF!,MATCH(#REF!,#REF!,0)),0)+IFERROR(#REF!*INDEX(#REF!,MATCH(#REF!,#REF!,0)),0))</f>
        <v>#REF!</v>
      </c>
      <c r="R121" s="300"/>
      <c r="S121" s="337"/>
      <c r="T121" s="300" t="e">
        <f>(IFERROR(1-#REF!,0))*(T$356+T$370)*#REF!*(IFERROR(INDEX(#REF!,MATCH(#REF!,#REF!,0)),0)+IFERROR(#REF!*INDEX(#REF!,MATCH(#REF!,#REF!,0)),0))
+(IFERROR(1-#REF!,0))*(T$385+T$399)*#REF!*(IFERROR(INDEX(#REF!,MATCH(#REF!,#REF!,0)),0)+IFERROR(#REF!*INDEX(#REF!,MATCH(#REF!,#REF!,0)),0))
+(IFERROR(1-#REF!,0))*(T$414+T$428)*#REF!*(IFERROR(INDEX(#REF!,MATCH(#REF!,#REF!,0)),0)+IFERROR(#REF!*INDEX(#REF!,MATCH(#REF!,#REF!,0)),0))</f>
        <v>#REF!</v>
      </c>
      <c r="U121" s="337"/>
      <c r="V121" s="337"/>
      <c r="W121" s="300" t="e">
        <f>(IFERROR(1-#REF!,0))*(W$356+W$370)*#REF!*(IFERROR(INDEX(#REF!,MATCH(#REF!,#REF!,0)),0)+IFERROR(#REF!*INDEX(#REF!,MATCH(#REF!,#REF!,0)),0))
+(IFERROR(1-#REF!,0))*(W$385+W$399)*#REF!*(IFERROR(INDEX(#REF!,MATCH(#REF!,#REF!,0)),0)+IFERROR(#REF!*INDEX(#REF!,MATCH(#REF!,#REF!,0)),0))
+(IFERROR(1-#REF!,0))*(W$414+W$428)*#REF!*(IFERROR(INDEX(#REF!,MATCH(#REF!,#REF!,0)),0)+IFERROR(#REF!*INDEX(#REF!,MATCH(#REF!,#REF!,0)),0))</f>
        <v>#REF!</v>
      </c>
      <c r="X121" s="341" t="e">
        <f t="shared" si="24"/>
        <v>#REF!</v>
      </c>
      <c r="AK121" s="4"/>
    </row>
    <row r="122" spans="6:37">
      <c r="F122" s="288"/>
      <c r="G122" s="288" t="s">
        <v>90</v>
      </c>
      <c r="H122" s="300">
        <f>(IFERROR(1-#REF!,0))*(H$356+H$370)*(IFERROR(INDEX(#REF!,MATCH(#REF!,#REF!,0)),0)+IFERROR(#REF!*INDEX(#REF!,MATCH(#REF!,#REF!,0)),0))
+(IFERROR(1-#REF!,0))*(H$385+H$399)*(IFERROR(INDEX(#REF!,MATCH(#REF!,#REF!,0)),0)+IFERROR(#REF!*INDEX(#REF!,MATCH(#REF!,#REF!,0)),0))
+(IFERROR(1-#REF!,0))*(H$414+H$428)*(IFERROR(INDEX(#REF!,MATCH(#REF!,#REF!,0)),0)+IFERROR(#REF!*INDEX(#REF!,MATCH(#REF!,#REF!,0)),0))</f>
        <v>0</v>
      </c>
      <c r="I122" s="300"/>
      <c r="J122" s="300"/>
      <c r="K122" s="300">
        <f>(IFERROR(1-#REF!,0))*(K$356+K$370)*(IFERROR(INDEX(#REF!,MATCH(#REF!,#REF!,0)),0)+IFERROR(#REF!*INDEX(#REF!,MATCH(#REF!,#REF!,0)),0))
+(IFERROR(1-#REF!,0))*(K$385+K$399)*(IFERROR(INDEX(#REF!,MATCH(#REF!,#REF!,0)),0)+IFERROR(#REF!*INDEX(#REF!,MATCH(#REF!,#REF!,0)),0))
+(IFERROR(1-#REF!,0))*(K$414+K$428)*(IFERROR(INDEX(#REF!,MATCH(#REF!,#REF!,0)),0)+IFERROR(#REF!*INDEX(#REF!,MATCH(#REF!,#REF!,0)),0))</f>
        <v>0</v>
      </c>
      <c r="L122" s="300"/>
      <c r="M122" s="300"/>
      <c r="N122" s="300">
        <f>(IFERROR(1-#REF!,0))*(N$356+N$370)*(IFERROR(INDEX(#REF!,MATCH(#REF!,#REF!,0)),0)+IFERROR(#REF!*INDEX(#REF!,MATCH(#REF!,#REF!,0)),0))
+(IFERROR(1-#REF!,0))*(N$385+N$399)*(IFERROR(INDEX(#REF!,MATCH(#REF!,#REF!,0)),0)+IFERROR(#REF!*INDEX(#REF!,MATCH(#REF!,#REF!,0)),0))
+(IFERROR(1-#REF!,0))*(N$414+N$428)*(IFERROR(INDEX(#REF!,MATCH(#REF!,#REF!,0)),0)+IFERROR(#REF!*INDEX(#REF!,MATCH(#REF!,#REF!,0)),0))</f>
        <v>0</v>
      </c>
      <c r="O122" s="300"/>
      <c r="P122" s="300"/>
      <c r="Q122" s="300">
        <f>(IFERROR(1-#REF!,0))*(Q$356+Q$370)*(IFERROR(INDEX(#REF!,MATCH(#REF!,#REF!,0)),0)+IFERROR(#REF!*INDEX(#REF!,MATCH(#REF!,#REF!,0)),0))
+(IFERROR(1-#REF!,0))*(Q$385+Q$399)*(IFERROR(INDEX(#REF!,MATCH(#REF!,#REF!,0)),0)+IFERROR(#REF!*INDEX(#REF!,MATCH(#REF!,#REF!,0)),0))
+(IFERROR(1-#REF!,0))*(Q$414+Q$428)*(IFERROR(INDEX(#REF!,MATCH(#REF!,#REF!,0)),0)+IFERROR(#REF!*INDEX(#REF!,MATCH(#REF!,#REF!,0)),0))</f>
        <v>0</v>
      </c>
      <c r="R122" s="300"/>
      <c r="S122" s="337"/>
      <c r="T122" s="300">
        <f>(IFERROR(1-#REF!,0))*(T$356+T$370)*(IFERROR(INDEX(#REF!,MATCH(#REF!,#REF!,0)),0)+IFERROR(#REF!*INDEX(#REF!,MATCH(#REF!,#REF!,0)),0))
+(IFERROR(1-#REF!,0))*(T$385+T$399)*(IFERROR(INDEX(#REF!,MATCH(#REF!,#REF!,0)),0)+IFERROR(#REF!*INDEX(#REF!,MATCH(#REF!,#REF!,0)),0))
+(IFERROR(1-#REF!,0))*(T$414+T$428)*(IFERROR(INDEX(#REF!,MATCH(#REF!,#REF!,0)),0)+IFERROR(#REF!*INDEX(#REF!,MATCH(#REF!,#REF!,0)),0))</f>
        <v>0</v>
      </c>
      <c r="U122" s="337"/>
      <c r="V122" s="337"/>
      <c r="W122" s="300">
        <f>(IFERROR(1-#REF!,0))*(W$356+W$370)*(IFERROR(INDEX(#REF!,MATCH(#REF!,#REF!,0)),0)+IFERROR(#REF!*INDEX(#REF!,MATCH(#REF!,#REF!,0)),0))
+(IFERROR(1-#REF!,0))*(W$385+W$399)*(IFERROR(INDEX(#REF!,MATCH(#REF!,#REF!,0)),0)+IFERROR(#REF!*INDEX(#REF!,MATCH(#REF!,#REF!,0)),0))
+(IFERROR(1-#REF!,0))*(W$414+W$428)*(IFERROR(INDEX(#REF!,MATCH(#REF!,#REF!,0)),0)+IFERROR(#REF!*INDEX(#REF!,MATCH(#REF!,#REF!,0)),0))</f>
        <v>0</v>
      </c>
      <c r="X122" s="341">
        <f t="shared" si="24"/>
        <v>0</v>
      </c>
    </row>
    <row r="123" spans="6:37">
      <c r="F123" s="288"/>
      <c r="G123" s="288" t="s">
        <v>1</v>
      </c>
      <c r="H123" s="300" t="e">
        <f>#REF!*(
(IFERROR(1-#REF!,0))*IF(#REF!='List Values'!$E$5,0,(H$369*IFERROR(1/INDEX(#REF!,MATCH(#REF!&amp;"Fuel Efficiency (km/liter)",#REF!,0)),0)))
+(IFERROR(1-#REF!,0))*IF(#REF!='List Values'!$E$5,0,(H$398*IFERROR(1/INDEX(#REF!,MATCH(#REF!&amp;"Fuel Efficiency (km/liter)",#REF!,0)),0)))
+(IFERROR(1-#REF!,0))*IF(#REF!='List Values'!$E$5,0,(H$427*IFERROR(1/INDEX(#REF!,MATCH(#REF!&amp;"Fuel Efficiency (km/liter)",#REF!,0)),0))))</f>
        <v>#REF!</v>
      </c>
      <c r="I123" s="300"/>
      <c r="J123" s="300"/>
      <c r="K123" s="300" t="e">
        <f>#REF!*(
(IFERROR(1-#REF!,0))*IF(#REF!='List Values'!$E$5,0,(K$369*IFERROR(1/INDEX(#REF!,MATCH(#REF!&amp;"Fuel Efficiency (km/liter)",#REF!,0)),0)))
+(IFERROR(1-#REF!,0))*IF(#REF!='List Values'!$E$5,0,(K$398*IFERROR(1/INDEX(#REF!,MATCH(#REF!&amp;"Fuel Efficiency (km/liter)",#REF!,0)),0)))
+(IFERROR(1-#REF!,0))*IF(#REF!='List Values'!$E$5,0,(K$427*IFERROR(1/INDEX(#REF!,MATCH(#REF!&amp;"Fuel Efficiency (km/liter)",#REF!,0)),0))))</f>
        <v>#REF!</v>
      </c>
      <c r="L123" s="300"/>
      <c r="M123" s="300"/>
      <c r="N123" s="300" t="e">
        <f>#REF!*(
(IFERROR(1-#REF!,0))*IF(#REF!='List Values'!$E$5,0,(N$369*IFERROR(1/INDEX(#REF!,MATCH(#REF!&amp;"Fuel Efficiency (km/liter)",#REF!,0)),0)))
+(IFERROR(1-#REF!,0))*IF(#REF!='List Values'!$E$5,0,(N$398*IFERROR(1/INDEX(#REF!,MATCH(#REF!&amp;"Fuel Efficiency (km/liter)",#REF!,0)),0)))
+(IFERROR(1-#REF!,0))*IF(#REF!='List Values'!$E$5,0,(N$427*IFERROR(1/INDEX(#REF!,MATCH(#REF!&amp;"Fuel Efficiency (km/liter)",#REF!,0)),0))))</f>
        <v>#REF!</v>
      </c>
      <c r="O123" s="300"/>
      <c r="P123" s="300"/>
      <c r="Q123" s="300" t="e">
        <f>#REF!*(
(IFERROR(1-#REF!,0))*IF(#REF!='List Values'!$E$5,0,(Q$369*IFERROR(1/INDEX(#REF!,MATCH(#REF!&amp;"Fuel Efficiency (km/liter)",#REF!,0)),0)))
+(IFERROR(1-#REF!,0))*IF(#REF!='List Values'!$E$5,0,(Q$398*IFERROR(1/INDEX(#REF!,MATCH(#REF!&amp;"Fuel Efficiency (km/liter)",#REF!,0)),0)))
+(IFERROR(1-#REF!,0))*IF(#REF!='List Values'!$E$5,0,(Q$427*IFERROR(1/INDEX(#REF!,MATCH(#REF!&amp;"Fuel Efficiency (km/liter)",#REF!,0)),0))))</f>
        <v>#REF!</v>
      </c>
      <c r="R123" s="300"/>
      <c r="S123" s="337"/>
      <c r="T123" s="300" t="e">
        <f>#REF!*(
(IFERROR(1-#REF!,0))*IF(#REF!='List Values'!$E$5,0,(T$369*IFERROR(1/INDEX(#REF!,MATCH(#REF!&amp;"Fuel Efficiency (km/liter)",#REF!,0)),0)))
+(IFERROR(1-#REF!,0))*IF(#REF!='List Values'!$E$5,0,(T$398*IFERROR(1/INDEX(#REF!,MATCH(#REF!&amp;"Fuel Efficiency (km/liter)",#REF!,0)),0)))
+(IFERROR(1-#REF!,0))*IF(#REF!='List Values'!$E$5,0,(T$427*IFERROR(1/INDEX(#REF!,MATCH(#REF!&amp;"Fuel Efficiency (km/liter)",#REF!,0)),0))))</f>
        <v>#REF!</v>
      </c>
      <c r="U123" s="337"/>
      <c r="V123" s="337"/>
      <c r="W123" s="300" t="e">
        <f>#REF!*(
(IFERROR(1-#REF!,0))*IF(#REF!='List Values'!$E$5,0,(W$369*IFERROR(1/INDEX(#REF!,MATCH(#REF!&amp;"Fuel Efficiency (km/liter)",#REF!,0)),0)))
+(IFERROR(1-#REF!,0))*IF(#REF!='List Values'!$E$5,0,(W$398*IFERROR(1/INDEX(#REF!,MATCH(#REF!&amp;"Fuel Efficiency (km/liter)",#REF!,0)),0)))
+(IFERROR(1-#REF!,0))*IF(#REF!='List Values'!$E$5,0,(W$427*IFERROR(1/INDEX(#REF!,MATCH(#REF!&amp;"Fuel Efficiency (km/liter)",#REF!,0)),0))))</f>
        <v>#REF!</v>
      </c>
      <c r="X123" s="341" t="e">
        <f t="shared" si="24"/>
        <v>#REF!</v>
      </c>
    </row>
    <row r="124" spans="6:37">
      <c r="F124" s="288"/>
      <c r="G124" s="288" t="s">
        <v>91</v>
      </c>
      <c r="H124" s="300">
        <f>IFERROR((1-#REF!)*IF(AND(#REF!="No",#REF!='List Values'!$E$3),INDEX(#REF!,MATCH(#REF!&amp;"Insurance Cost /yr",#REF!,0))*#REF!,0),0)
+IFERROR((1-#REF!)*IF(AND(#REF!="No",#REF!='List Values'!$E$3),INDEX(#REF!,MATCH(#REF!&amp;"Insurance Cost /yr",#REF!,0))*#REF!,0),0)
+IFERROR((1-#REF!)*IF(AND(#REF!="No",#REF!='List Values'!$E$3),INDEX(#REF!,MATCH(#REF!&amp;"Insurance Cost /yr",#REF!,0))*#REF!,0),0)</f>
        <v>0</v>
      </c>
      <c r="I124" s="300">
        <f>IFERROR((1-#REF!)*IF(AND(#REF!="No",#REF!='List Values'!$E$3),INDEX(#REF!,MATCH(#REF!&amp;"Insurance Cost /yr",#REF!,0))*#REF!,0),0)
+IFERROR((1-#REF!)*IF(AND(#REF!="No",#REF!='List Values'!$E$3),INDEX(#REF!,MATCH(#REF!&amp;"Insurance Cost /yr",#REF!,0))*#REF!,0),0)
+IFERROR((1-#REF!)*IF(AND(#REF!="No",#REF!='List Values'!$E$3),INDEX(#REF!,MATCH(#REF!&amp;"Insurance Cost /yr",#REF!,0))*#REF!,0),0)</f>
        <v>0</v>
      </c>
      <c r="J124" s="300">
        <f>IFERROR((1-#REF!)*IF(AND(#REF!="No",#REF!='List Values'!$E$3),INDEX(#REF!,MATCH(#REF!&amp;"Insurance Cost /yr",#REF!,0))*#REF!,0),0)
+IFERROR((1-#REF!)*IF(AND(#REF!="No",#REF!='List Values'!$E$3),INDEX(#REF!,MATCH(#REF!&amp;"Insurance Cost /yr",#REF!,0))*#REF!,0),0)
+IFERROR((1-#REF!)*IF(AND(#REF!="No",#REF!='List Values'!$E$3),INDEX(#REF!,MATCH(#REF!&amp;"Insurance Cost /yr",#REF!,0))*#REF!,0),0)</f>
        <v>0</v>
      </c>
      <c r="K124" s="300">
        <f>IFERROR((1-#REF!)*IF(AND(#REF!="No",#REF!='List Values'!$E$3),INDEX(#REF!,MATCH(#REF!&amp;"Insurance Cost /yr",#REF!,0))*#REF!,0),0)
+IFERROR((1-#REF!)*IF(AND(#REF!="No",#REF!='List Values'!$E$3),INDEX(#REF!,MATCH(#REF!&amp;"Insurance Cost /yr",#REF!,0))*#REF!,0),0)
+IFERROR((1-#REF!)*IF(AND(#REF!="No",#REF!='List Values'!$E$3),INDEX(#REF!,MATCH(#REF!&amp;"Insurance Cost /yr",#REF!,0))*#REF!,0),0)</f>
        <v>0</v>
      </c>
      <c r="L124" s="300">
        <f>IFERROR((1-#REF!)*IF(AND(#REF!="No",#REF!='List Values'!$E$3),INDEX(#REF!,MATCH(#REF!&amp;"Insurance Cost /yr",#REF!,0))*#REF!,0),0)
+IFERROR((1-#REF!)*IF(AND(#REF!="No",#REF!='List Values'!$E$3),INDEX(#REF!,MATCH(#REF!&amp;"Insurance Cost /yr",#REF!,0))*#REF!,0),0)
+IFERROR((1-#REF!)*IF(AND(#REF!="No",#REF!='List Values'!$E$3),INDEX(#REF!,MATCH(#REF!&amp;"Insurance Cost /yr",#REF!,0))*#REF!,0),0)</f>
        <v>0</v>
      </c>
      <c r="M124" s="300">
        <f>IFERROR((1-#REF!)*IF(AND(#REF!="No",#REF!='List Values'!$E$3),INDEX(#REF!,MATCH(#REF!&amp;"Insurance Cost /yr",#REF!,0))*#REF!,0),0)
+IFERROR((1-#REF!)*IF(AND(#REF!="No",#REF!='List Values'!$E$3),INDEX(#REF!,MATCH(#REF!&amp;"Insurance Cost /yr",#REF!,0))*#REF!,0),0)
+IFERROR((1-#REF!)*IF(AND(#REF!="No",#REF!='List Values'!$E$3),INDEX(#REF!,MATCH(#REF!&amp;"Insurance Cost /yr",#REF!,0))*#REF!,0),0)</f>
        <v>0</v>
      </c>
      <c r="N124" s="300">
        <f>IFERROR((1-#REF!)*IF(AND(#REF!="No",#REF!='List Values'!$E$3),INDEX(#REF!,MATCH(#REF!&amp;"Insurance Cost /yr",#REF!,0))*#REF!,0),0)
+IFERROR((1-#REF!)*IF(AND(#REF!="No",#REF!='List Values'!$E$3),INDEX(#REF!,MATCH(#REF!&amp;"Insurance Cost /yr",#REF!,0))*#REF!,0),0)
+IFERROR((1-#REF!)*IF(AND(#REF!="No",#REF!='List Values'!$E$3),INDEX(#REF!,MATCH(#REF!&amp;"Insurance Cost /yr",#REF!,0))*#REF!,0),0)</f>
        <v>0</v>
      </c>
      <c r="O124" s="300">
        <f>IFERROR((1-#REF!)*IF(AND(#REF!="No",#REF!='List Values'!$E$3),INDEX(#REF!,MATCH(#REF!&amp;"Insurance Cost /yr",#REF!,0))*#REF!,0),0)
+IFERROR((1-#REF!)*IF(AND(#REF!="No",#REF!='List Values'!$E$3),INDEX(#REF!,MATCH(#REF!&amp;"Insurance Cost /yr",#REF!,0))*#REF!,0),0)
+IFERROR((1-#REF!)*IF(AND(#REF!="No",#REF!='List Values'!$E$3),INDEX(#REF!,MATCH(#REF!&amp;"Insurance Cost /yr",#REF!,0))*#REF!,0),0)</f>
        <v>0</v>
      </c>
      <c r="P124" s="300">
        <f>IFERROR((1-#REF!)*IF(AND(#REF!="No",#REF!='List Values'!$E$3),INDEX(#REF!,MATCH(#REF!&amp;"Insurance Cost /yr",#REF!,0))*#REF!,0),0)
+IFERROR((1-#REF!)*IF(AND(#REF!="No",#REF!='List Values'!$E$3),INDEX(#REF!,MATCH(#REF!&amp;"Insurance Cost /yr",#REF!,0))*#REF!,0),0)
+IFERROR((1-#REF!)*IF(AND(#REF!="No",#REF!='List Values'!$E$3),INDEX(#REF!,MATCH(#REF!&amp;"Insurance Cost /yr",#REF!,0))*#REF!,0),0)</f>
        <v>0</v>
      </c>
      <c r="Q124" s="300">
        <f>IFERROR((1-#REF!)*IF(AND(#REF!="No",#REF!='List Values'!$E$3),INDEX(#REF!,MATCH(#REF!&amp;"Insurance Cost /yr",#REF!,0))*#REF!,0),0)
+IFERROR((1-#REF!)*IF(AND(#REF!="No",#REF!='List Values'!$E$3),INDEX(#REF!,MATCH(#REF!&amp;"Insurance Cost /yr",#REF!,0))*#REF!,0),0)
+IFERROR((1-#REF!)*IF(AND(#REF!="No",#REF!='List Values'!$E$3),INDEX(#REF!,MATCH(#REF!&amp;"Insurance Cost /yr",#REF!,0))*#REF!,0),0)</f>
        <v>0</v>
      </c>
      <c r="R124" s="300">
        <f>IFERROR((1-#REF!)*IF(AND(#REF!="No",#REF!='List Values'!$E$3),INDEX(#REF!,MATCH(#REF!&amp;"Insurance Cost /yr",#REF!,0))*#REF!,0),0)
+IFERROR((1-#REF!)*IF(AND(#REF!="No",#REF!='List Values'!$E$3),INDEX(#REF!,MATCH(#REF!&amp;"Insurance Cost /yr",#REF!,0))*#REF!,0),0)
+IFERROR((1-#REF!)*IF(AND(#REF!="No",#REF!='List Values'!$E$3),INDEX(#REF!,MATCH(#REF!&amp;"Insurance Cost /yr",#REF!,0))*#REF!,0),0)</f>
        <v>0</v>
      </c>
      <c r="S124" s="337">
        <f>IFERROR((1-#REF!)*IF(AND(#REF!="No",#REF!='List Values'!$E$3),INDEX(#REF!,MATCH(#REF!&amp;"Insurance Cost /yr",#REF!,0))*#REF!,0),0)
+IFERROR((1-#REF!)*IF(AND(#REF!="No",#REF!='List Values'!$E$3),INDEX(#REF!,MATCH(#REF!&amp;"Insurance Cost /yr",#REF!,0))*#REF!,0),0)
+IFERROR((1-#REF!)*IF(AND(#REF!="No",#REF!='List Values'!$E$3),INDEX(#REF!,MATCH(#REF!&amp;"Insurance Cost /yr",#REF!,0))*#REF!,0),0)</f>
        <v>0</v>
      </c>
      <c r="T124" s="300">
        <f>IFERROR((1-#REF!)*IF(AND(#REF!="No",#REF!='List Values'!$E$3),INDEX(#REF!,MATCH(#REF!&amp;"Insurance Cost /yr",#REF!,0))*#REF!,0),0)
+IFERROR((1-#REF!)*IF(AND(#REF!="No",#REF!='List Values'!$E$3),INDEX(#REF!,MATCH(#REF!&amp;"Insurance Cost /yr",#REF!,0))*#REF!,0),0)
+IFERROR((1-#REF!)*IF(AND(#REF!="No",#REF!='List Values'!$E$3),INDEX(#REF!,MATCH(#REF!&amp;"Insurance Cost /yr",#REF!,0))*#REF!,0),0)</f>
        <v>0</v>
      </c>
      <c r="U124" s="337">
        <f>IFERROR((1-#REF!)*IF(AND(#REF!="No",#REF!='List Values'!$E$3),INDEX(#REF!,MATCH(#REF!&amp;"Insurance Cost /yr",#REF!,0))*#REF!,0),0)
+IFERROR((1-#REF!)*IF(AND(#REF!="No",#REF!='List Values'!$E$3),INDEX(#REF!,MATCH(#REF!&amp;"Insurance Cost /yr",#REF!,0))*#REF!,0),0)
+IFERROR((1-#REF!)*IF(AND(#REF!="No",#REF!='List Values'!$E$3),INDEX(#REF!,MATCH(#REF!&amp;"Insurance Cost /yr",#REF!,0))*#REF!,0),0)</f>
        <v>0</v>
      </c>
      <c r="V124" s="337">
        <f>IFERROR((1-#REF!)*IF(AND(#REF!="No",#REF!='List Values'!$E$3),INDEX(#REF!,MATCH(#REF!&amp;"Insurance Cost /yr",#REF!,0))*#REF!,0),0)
+IFERROR((1-#REF!)*IF(AND(#REF!="No",#REF!='List Values'!$E$3),INDEX(#REF!,MATCH(#REF!&amp;"Insurance Cost /yr",#REF!,0))*#REF!,0),0)
+IFERROR((1-#REF!)*IF(AND(#REF!="No",#REF!='List Values'!$E$3),INDEX(#REF!,MATCH(#REF!&amp;"Insurance Cost /yr",#REF!,0))*#REF!,0),0)</f>
        <v>0</v>
      </c>
      <c r="W124" s="300">
        <f>IFERROR((1-#REF!)*IF(AND(#REF!="No",#REF!='List Values'!$E$3),INDEX(#REF!,MATCH(#REF!&amp;"Insurance Cost /yr",#REF!,0))*#REF!,0),0)
+IFERROR((1-#REF!)*IF(AND(#REF!="No",#REF!='List Values'!$E$3),INDEX(#REF!,MATCH(#REF!&amp;"Insurance Cost /yr",#REF!,0))*#REF!,0),0)
+IFERROR((1-#REF!)*IF(AND(#REF!="No",#REF!='List Values'!$E$3),INDEX(#REF!,MATCH(#REF!&amp;"Insurance Cost /yr",#REF!,0))*#REF!,0),0)</f>
        <v>0</v>
      </c>
      <c r="X124" s="341">
        <f t="shared" si="24"/>
        <v>0</v>
      </c>
      <c r="Y124" s="7"/>
      <c r="Z124" s="7"/>
    </row>
    <row r="125" spans="6:37">
      <c r="F125" s="288"/>
      <c r="G125" s="288" t="s">
        <v>92</v>
      </c>
      <c r="H125" s="300">
        <f>IFERROR((1-#REF!)*IF(#REF!='List Values'!$E$3,H$369*INDEX(#REF!,MATCH(#REF!&amp;"Maintenance cost/km",#REF!,0)),0),0)
+ IFERROR((1-#REF!)*IF(#REF!='List Values'!$E$3,H$398*INDEX(#REF!,MATCH(#REF!&amp;"Maintenance cost/km",#REF!,0)),0),0)
+ IFERROR((1-#REF!)*IF(#REF!='List Values'!$E$3,H$427*INDEX(#REF!,MATCH(#REF!&amp;"Maintenance cost/km",#REF!,0)),0),0)</f>
        <v>0</v>
      </c>
      <c r="I125" s="300"/>
      <c r="J125" s="300"/>
      <c r="K125" s="300">
        <f>IFERROR((1-#REF!)*IF(#REF!='List Values'!$E$3,K$369*INDEX(#REF!,MATCH(#REF!&amp;"Maintenance cost/km",#REF!,0)),0),0)
+ IFERROR((1-#REF!)*IF(#REF!='List Values'!$E$3,K$398*INDEX(#REF!,MATCH(#REF!&amp;"Maintenance cost/km",#REF!,0)),0),0)
+ IFERROR((1-#REF!)*IF(#REF!='List Values'!$E$3,K$427*INDEX(#REF!,MATCH(#REF!&amp;"Maintenance cost/km",#REF!,0)),0),0)</f>
        <v>0</v>
      </c>
      <c r="L125" s="300"/>
      <c r="M125" s="300"/>
      <c r="N125" s="300">
        <f>IFERROR((1-#REF!)*IF(#REF!='List Values'!$E$3,N$369*INDEX(#REF!,MATCH(#REF!&amp;"Maintenance cost/km",#REF!,0)),0),0)
+ IFERROR((1-#REF!)*IF(#REF!='List Values'!$E$3,N$398*INDEX(#REF!,MATCH(#REF!&amp;"Maintenance cost/km",#REF!,0)),0),0)
+ IFERROR((1-#REF!)*IF(#REF!='List Values'!$E$3,N$427*INDEX(#REF!,MATCH(#REF!&amp;"Maintenance cost/km",#REF!,0)),0),0)</f>
        <v>0</v>
      </c>
      <c r="O125" s="300"/>
      <c r="P125" s="300"/>
      <c r="Q125" s="300">
        <f>IFERROR((1-#REF!)*IF(#REF!='List Values'!$E$3,Q$369*INDEX(#REF!,MATCH(#REF!&amp;"Maintenance cost/km",#REF!,0)),0),0)
+ IFERROR((1-#REF!)*IF(#REF!='List Values'!$E$3,Q$398*INDEX(#REF!,MATCH(#REF!&amp;"Maintenance cost/km",#REF!,0)),0),0)
+ IFERROR((1-#REF!)*IF(#REF!='List Values'!$E$3,Q$427*INDEX(#REF!,MATCH(#REF!&amp;"Maintenance cost/km",#REF!,0)),0),0)</f>
        <v>0</v>
      </c>
      <c r="R125" s="300"/>
      <c r="S125" s="337"/>
      <c r="T125" s="300">
        <f>IFERROR((1-#REF!)*IF(#REF!='List Values'!$E$3,T$369*INDEX(#REF!,MATCH(#REF!&amp;"Maintenance cost/km",#REF!,0)),0),0)
+ IFERROR((1-#REF!)*IF(#REF!='List Values'!$E$3,T$398*INDEX(#REF!,MATCH(#REF!&amp;"Maintenance cost/km",#REF!,0)),0),0)
+ IFERROR((1-#REF!)*IF(#REF!='List Values'!$E$3,T$427*INDEX(#REF!,MATCH(#REF!&amp;"Maintenance cost/km",#REF!,0)),0),0)</f>
        <v>0</v>
      </c>
      <c r="U125" s="337"/>
      <c r="V125" s="337"/>
      <c r="W125" s="300">
        <f>IFERROR((1-#REF!)*IF(#REF!='List Values'!$E$3,W$369*INDEX(#REF!,MATCH(#REF!&amp;"Maintenance cost/km",#REF!,0)),0),0)
+ IFERROR((1-#REF!)*IF(#REF!='List Values'!$E$3,W$398*INDEX(#REF!,MATCH(#REF!&amp;"Maintenance cost/km",#REF!,0)),0),0)
+ IFERROR((1-#REF!)*IF(#REF!='List Values'!$E$3,W$427*INDEX(#REF!,MATCH(#REF!&amp;"Maintenance cost/km",#REF!,0)),0),0)</f>
        <v>0</v>
      </c>
      <c r="X125" s="341">
        <f t="shared" si="24"/>
        <v>0</v>
      </c>
      <c r="Y125" s="7"/>
      <c r="Z125" s="7"/>
    </row>
    <row r="126" spans="6:37">
      <c r="F126" s="288"/>
      <c r="G126" s="288" t="s">
        <v>93</v>
      </c>
      <c r="H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I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J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K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L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M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N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O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P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Q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R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S126" s="337">
        <f>IFERROR((1-#REF!)*IF(AND(#REF!="No",#REF!='List Values'!$E$3),INDEX(#REF!,MATCH(#REF!&amp;"Depreciation Cost / yr",#REF!,0))*#REF!,0),0)
+IFERROR((1-#REF!)*IF(AND(#REF!="No",#REF!='List Values'!$E$3),INDEX(#REF!,MATCH(#REF!&amp;"Depreciation Cost / yr",#REF!,0))*#REF!,0),0)
+IFERROR((1-#REF!)*IF(AND(#REF!="No",#REF!='List Values'!$E$3),INDEX(#REF!,MATCH(#REF!&amp;"Depreciation Cost / yr",#REF!,0))*#REF!,0),0)</f>
        <v>0</v>
      </c>
      <c r="T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U126" s="337">
        <f>IFERROR((1-#REF!)*IF(AND(#REF!="No",#REF!='List Values'!$E$3),INDEX(#REF!,MATCH(#REF!&amp;"Depreciation Cost / yr",#REF!,0))*#REF!,0),0)
+IFERROR((1-#REF!)*IF(AND(#REF!="No",#REF!='List Values'!$E$3),INDEX(#REF!,MATCH(#REF!&amp;"Depreciation Cost / yr",#REF!,0))*#REF!,0),0)
+IFERROR((1-#REF!)*IF(AND(#REF!="No",#REF!='List Values'!$E$3),INDEX(#REF!,MATCH(#REF!&amp;"Depreciation Cost / yr",#REF!,0))*#REF!,0),0)</f>
        <v>0</v>
      </c>
      <c r="V126" s="337">
        <f>IFERROR((1-#REF!)*IF(AND(#REF!="No",#REF!='List Values'!$E$3),INDEX(#REF!,MATCH(#REF!&amp;"Depreciation Cost / yr",#REF!,0))*#REF!,0),0)
+IFERROR((1-#REF!)*IF(AND(#REF!="No",#REF!='List Values'!$E$3),INDEX(#REF!,MATCH(#REF!&amp;"Depreciation Cost / yr",#REF!,0))*#REF!,0),0)
+IFERROR((1-#REF!)*IF(AND(#REF!="No",#REF!='List Values'!$E$3),INDEX(#REF!,MATCH(#REF!&amp;"Depreciation Cost / yr",#REF!,0))*#REF!,0),0)</f>
        <v>0</v>
      </c>
      <c r="W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X126" s="341">
        <f t="shared" si="24"/>
        <v>0</v>
      </c>
      <c r="Y126" s="7"/>
      <c r="Z126" s="7"/>
    </row>
    <row r="127" spans="6:37">
      <c r="F127" s="984"/>
      <c r="G127" s="985" t="s">
        <v>160</v>
      </c>
      <c r="H127" s="986">
        <f>IFERROR((1-#REF!)*H$355*INDEX(#REF!,MATCH(#REF!&amp;"Average cost ($) per trip (one-way)",#REF!,0)),0)
+IFERROR((1-#REF!)*H$384*INDEX(#REF!,MATCH(#REF!&amp;"Average cost ($) per trip (one-way)",#REF!,0)),0)
+IFERROR((1-#REF!)*H$413*INDEX(#REF!,MATCH(#REF!&amp;"Average cost ($) per trip (one-way)",#REF!,0)),0)</f>
        <v>0</v>
      </c>
      <c r="I127" s="986"/>
      <c r="J127" s="986"/>
      <c r="K127" s="986">
        <f>IFERROR((1-#REF!)*K$355*INDEX(#REF!,MATCH(#REF!&amp;"Average cost ($) per trip (one-way)",#REF!,0)),0)
+IFERROR((1-#REF!)*K$384*INDEX(#REF!,MATCH(#REF!&amp;"Average cost ($) per trip (one-way)",#REF!,0)),0)
+IFERROR((1-#REF!)*K$413*INDEX(#REF!,MATCH(#REF!&amp;"Average cost ($) per trip (one-way)",#REF!,0)),0)</f>
        <v>0</v>
      </c>
      <c r="L127" s="986"/>
      <c r="M127" s="986"/>
      <c r="N127" s="986">
        <f>IFERROR((1-#REF!)*N$355*INDEX(#REF!,MATCH(#REF!&amp;"Average cost ($) per trip (one-way)",#REF!,0)),0)
+IFERROR((1-#REF!)*N$384*INDEX(#REF!,MATCH(#REF!&amp;"Average cost ($) per trip (one-way)",#REF!,0)),0)
+IFERROR((1-#REF!)*N$413*INDEX(#REF!,MATCH(#REF!&amp;"Average cost ($) per trip (one-way)",#REF!,0)),0)</f>
        <v>0</v>
      </c>
      <c r="O127" s="986"/>
      <c r="P127" s="986"/>
      <c r="Q127" s="986">
        <f>IFERROR((1-#REF!)*Q$355*INDEX(#REF!,MATCH(#REF!&amp;"Average cost ($) per trip (one-way)",#REF!,0)),0)
+IFERROR((1-#REF!)*Q$384*INDEX(#REF!,MATCH(#REF!&amp;"Average cost ($) per trip (one-way)",#REF!,0)),0)
+IFERROR((1-#REF!)*Q$413*INDEX(#REF!,MATCH(#REF!&amp;"Average cost ($) per trip (one-way)",#REF!,0)),0)</f>
        <v>0</v>
      </c>
      <c r="R127" s="986"/>
      <c r="S127" s="987"/>
      <c r="T127" s="986">
        <f>IFERROR((1-#REF!)*T$355*INDEX(#REF!,MATCH(#REF!&amp;"Average cost ($) per trip (one-way)",#REF!,0)),0)
+IFERROR((1-#REF!)*T$384*INDEX(#REF!,MATCH(#REF!&amp;"Average cost ($) per trip (one-way)",#REF!,0)),0)
+IFERROR((1-#REF!)*T$413*INDEX(#REF!,MATCH(#REF!&amp;"Average cost ($) per trip (one-way)",#REF!,0)),0)</f>
        <v>0</v>
      </c>
      <c r="U127" s="987"/>
      <c r="V127" s="987"/>
      <c r="W127" s="986">
        <f>IFERROR((1-#REF!)*W$355*INDEX(#REF!,MATCH(#REF!&amp;"Average cost ($) per trip (one-way)",#REF!,0)),0)
+IFERROR((1-#REF!)*W$384*INDEX(#REF!,MATCH(#REF!&amp;"Average cost ($) per trip (one-way)",#REF!,0)),0)
+IFERROR((1-#REF!)*W$413*INDEX(#REF!,MATCH(#REF!&amp;"Average cost ($) per trip (one-way)",#REF!,0)),0)</f>
        <v>0</v>
      </c>
      <c r="X127" s="988">
        <f t="shared" si="24"/>
        <v>0</v>
      </c>
      <c r="Y127" s="7"/>
      <c r="Z127" s="7"/>
    </row>
    <row r="128" spans="6:37" ht="6.75" customHeight="1">
      <c r="F128" s="991"/>
      <c r="G128" s="27"/>
      <c r="H128" s="992"/>
      <c r="I128" s="992"/>
      <c r="J128" s="992"/>
      <c r="K128" s="992"/>
      <c r="L128" s="992"/>
      <c r="M128" s="992"/>
      <c r="N128" s="992"/>
      <c r="O128" s="992"/>
      <c r="P128" s="992"/>
      <c r="Q128" s="992"/>
      <c r="R128" s="992"/>
      <c r="S128" s="993"/>
      <c r="T128" s="992"/>
      <c r="U128" s="993"/>
      <c r="V128" s="993"/>
      <c r="W128" s="992"/>
      <c r="X128" s="993"/>
      <c r="Y128" s="7"/>
      <c r="Z128" s="7"/>
    </row>
    <row r="129" spans="6:37">
      <c r="F129" s="887"/>
      <c r="G129" s="888"/>
      <c r="H129" s="989" t="s">
        <v>31</v>
      </c>
      <c r="I129" s="989"/>
      <c r="J129" s="989"/>
      <c r="K129" s="989" t="s">
        <v>6</v>
      </c>
      <c r="L129" s="989"/>
      <c r="M129" s="989"/>
      <c r="N129" s="989" t="s">
        <v>7</v>
      </c>
      <c r="O129" s="989"/>
      <c r="P129" s="989"/>
      <c r="Q129" s="989" t="s">
        <v>8</v>
      </c>
      <c r="R129" s="889"/>
      <c r="S129" s="990"/>
      <c r="T129" s="989" t="s">
        <v>411</v>
      </c>
      <c r="U129" s="990"/>
      <c r="V129" s="990"/>
      <c r="W129" s="989" t="s">
        <v>412</v>
      </c>
      <c r="X129" s="890"/>
      <c r="Y129" s="7"/>
      <c r="Z129" s="7"/>
    </row>
    <row r="130" spans="6:37">
      <c r="F130" s="352" t="s">
        <v>97</v>
      </c>
      <c r="G130" s="353"/>
      <c r="H130" s="354"/>
      <c r="I130" s="354"/>
      <c r="J130" s="354"/>
      <c r="K130" s="354"/>
      <c r="L130" s="354"/>
      <c r="M130" s="354"/>
      <c r="N130" s="354"/>
      <c r="O130" s="354"/>
      <c r="P130" s="354"/>
      <c r="Q130" s="354"/>
      <c r="R130" s="354"/>
      <c r="S130" s="355"/>
      <c r="T130" s="354"/>
      <c r="U130" s="355"/>
      <c r="V130" s="355"/>
      <c r="W130" s="383"/>
      <c r="X130" s="385">
        <f>SUM(X131:X134)</f>
        <v>0</v>
      </c>
      <c r="Y130" s="7"/>
      <c r="Z130" s="7"/>
    </row>
    <row r="131" spans="6:37">
      <c r="F131" s="288"/>
      <c r="G131" s="366" t="s">
        <v>48</v>
      </c>
      <c r="H131" s="300"/>
      <c r="I131" s="300"/>
      <c r="J131" s="300"/>
      <c r="K131" s="300">
        <v>0</v>
      </c>
      <c r="L131" s="300"/>
      <c r="M131" s="300"/>
      <c r="N131" s="300">
        <v>0</v>
      </c>
      <c r="O131" s="300"/>
      <c r="P131" s="300"/>
      <c r="Q131" s="300"/>
      <c r="R131" s="300"/>
      <c r="S131" s="337"/>
      <c r="T131" s="300"/>
      <c r="U131" s="337"/>
      <c r="V131" s="337"/>
      <c r="W131" s="300"/>
      <c r="X131" s="341">
        <f>SUM(H131:Q131)</f>
        <v>0</v>
      </c>
    </row>
    <row r="132" spans="6:37">
      <c r="F132" s="288"/>
      <c r="G132" s="288" t="s">
        <v>94</v>
      </c>
      <c r="H132" s="300">
        <f>IFERROR(#REF!*#REF!*#REF!*#REF!*IFERROR(INDEX(#REF!,MATCH(#REF!,#REF!,0)),0),0)</f>
        <v>0</v>
      </c>
      <c r="I132" s="300"/>
      <c r="J132" s="300"/>
      <c r="K132" s="300">
        <f>IFERROR(#REF!*#REF!*#REF!*#REF!*IFERROR(INDEX(#REF!,MATCH(#REF!,#REF!,0)),0),0)</f>
        <v>0</v>
      </c>
      <c r="L132" s="300"/>
      <c r="M132" s="300"/>
      <c r="N132" s="300">
        <f>IFERROR(#REF!*#REF!*#REF!*#REF!*IFERROR(INDEX(#REF!,MATCH(#REF!,#REF!,0)),0),0)</f>
        <v>0</v>
      </c>
      <c r="O132" s="300"/>
      <c r="P132" s="300"/>
      <c r="Q132" s="300">
        <f>IFERROR(#REF!*#REF!*#REF!*#REF!*IFERROR(INDEX(#REF!,MATCH(#REF!,#REF!,0)),0),0)</f>
        <v>0</v>
      </c>
      <c r="R132" s="300"/>
      <c r="S132" s="337"/>
      <c r="T132" s="300">
        <f>IFERROR(#REF!*#REF!*#REF!*#REF!*IFERROR(INDEX(#REF!,MATCH(#REF!,#REF!,0)),0),0)</f>
        <v>0</v>
      </c>
      <c r="U132" s="337"/>
      <c r="V132" s="337"/>
      <c r="W132" s="300">
        <f>IFERROR(#REF!*#REF!*#REF!*#REF!*IFERROR(INDEX(#REF!,MATCH(#REF!,#REF!,0)),0),0)</f>
        <v>0</v>
      </c>
      <c r="X132" s="341">
        <f t="shared" ref="X132:X137" si="25">SUM(H132:W132)</f>
        <v>0</v>
      </c>
    </row>
    <row r="133" spans="6:37">
      <c r="F133" s="288"/>
      <c r="G133" s="288" t="s">
        <v>485</v>
      </c>
      <c r="H133" s="300">
        <f>IFERROR(#REF!*#REF!*#REF!,0)</f>
        <v>0</v>
      </c>
      <c r="I133" s="300"/>
      <c r="J133" s="300"/>
      <c r="K133" s="300">
        <f>IFERROR(#REF!*#REF!*#REF!,0)</f>
        <v>0</v>
      </c>
      <c r="L133" s="300"/>
      <c r="M133" s="300"/>
      <c r="N133" s="300">
        <f>IFERROR(#REF!*#REF!*#REF!,0)</f>
        <v>0</v>
      </c>
      <c r="O133" s="300"/>
      <c r="P133" s="300"/>
      <c r="Q133" s="300">
        <f>IFERROR(#REF!*#REF!*#REF!,0)</f>
        <v>0</v>
      </c>
      <c r="R133" s="300"/>
      <c r="S133" s="337"/>
      <c r="T133" s="300">
        <f>IFERROR(#REF!*#REF!*#REF!,0)</f>
        <v>0</v>
      </c>
      <c r="U133" s="337"/>
      <c r="V133" s="337"/>
      <c r="W133" s="300">
        <f>IFERROR(#REF!*#REF!*#REF!,0)</f>
        <v>0</v>
      </c>
      <c r="X133" s="341">
        <f t="shared" si="25"/>
        <v>0</v>
      </c>
    </row>
    <row r="134" spans="6:37">
      <c r="F134" s="288"/>
      <c r="G134" s="288" t="s">
        <v>383</v>
      </c>
      <c r="H134" s="300">
        <f>IFERROR(#REF!*#REF!*#REF!,0)</f>
        <v>0</v>
      </c>
      <c r="I134" s="300"/>
      <c r="J134" s="300"/>
      <c r="K134" s="300">
        <f>IFERROR(#REF!*#REF!*#REF!,0)</f>
        <v>0</v>
      </c>
      <c r="L134" s="300"/>
      <c r="M134" s="300"/>
      <c r="N134" s="300">
        <f>IFERROR(#REF!*#REF!*#REF!,0)</f>
        <v>0</v>
      </c>
      <c r="O134" s="300"/>
      <c r="P134" s="300"/>
      <c r="Q134" s="300">
        <f>IFERROR(#REF!*#REF!*#REF!,0)</f>
        <v>0</v>
      </c>
      <c r="R134" s="300"/>
      <c r="S134" s="337"/>
      <c r="T134" s="300">
        <f>IFERROR(#REF!*#REF!*#REF!,0)</f>
        <v>0</v>
      </c>
      <c r="U134" s="337"/>
      <c r="V134" s="337"/>
      <c r="W134" s="300">
        <f>IFERROR(#REF!*#REF!*#REF!,0)</f>
        <v>0</v>
      </c>
      <c r="X134" s="341">
        <f t="shared" si="25"/>
        <v>0</v>
      </c>
    </row>
    <row r="135" spans="6:37">
      <c r="F135" s="288"/>
      <c r="G135" s="298" t="s">
        <v>384</v>
      </c>
      <c r="H135" s="300">
        <f>IFERROR(#REF!*#REF!*#REF!,0)</f>
        <v>0</v>
      </c>
      <c r="I135" s="300">
        <f>IFERROR(#REF!*#REF!*#REF!,0)</f>
        <v>0</v>
      </c>
      <c r="J135" s="300">
        <f>IFERROR(#REF!*#REF!*#REF!,0)</f>
        <v>0</v>
      </c>
      <c r="K135" s="300">
        <f>IFERROR(#REF!*#REF!*#REF!,0)</f>
        <v>0</v>
      </c>
      <c r="L135" s="300">
        <f>IFERROR(#REF!*#REF!*#REF!,0)</f>
        <v>0</v>
      </c>
      <c r="M135" s="300">
        <f>IFERROR(#REF!*#REF!*#REF!,0)</f>
        <v>0</v>
      </c>
      <c r="N135" s="300">
        <f>IFERROR(#REF!*#REF!*#REF!,0)</f>
        <v>0</v>
      </c>
      <c r="O135" s="300">
        <f>IFERROR(#REF!*#REF!*#REF!,0)</f>
        <v>0</v>
      </c>
      <c r="P135" s="300">
        <f>IFERROR(#REF!*#REF!*#REF!,0)</f>
        <v>0</v>
      </c>
      <c r="Q135" s="300">
        <f>IFERROR(#REF!*#REF!*#REF!,0)</f>
        <v>0</v>
      </c>
      <c r="R135" s="300"/>
      <c r="S135" s="337"/>
      <c r="T135" s="300">
        <f>IFERROR(#REF!*#REF!*#REF!,0)</f>
        <v>0</v>
      </c>
      <c r="U135" s="337"/>
      <c r="V135" s="337"/>
      <c r="W135" s="300">
        <f>IFERROR(#REF!*#REF!*#REF!,0)</f>
        <v>0</v>
      </c>
      <c r="X135" s="341">
        <f t="shared" si="25"/>
        <v>0</v>
      </c>
    </row>
    <row r="136" spans="6:37">
      <c r="F136" s="288"/>
      <c r="G136" s="298" t="s">
        <v>385</v>
      </c>
      <c r="H136" s="300">
        <f>IFERROR(#REF!*#REF!*#REF!,0)</f>
        <v>0</v>
      </c>
      <c r="I136" s="300">
        <f>IFERROR(#REF!*#REF!*#REF!,0)</f>
        <v>0</v>
      </c>
      <c r="J136" s="300">
        <f>IFERROR(#REF!*#REF!*#REF!,0)</f>
        <v>0</v>
      </c>
      <c r="K136" s="300">
        <f>IFERROR(#REF!*#REF!*#REF!,0)</f>
        <v>0</v>
      </c>
      <c r="L136" s="300">
        <f>IFERROR(#REF!*#REF!*#REF!,0)</f>
        <v>0</v>
      </c>
      <c r="M136" s="300">
        <f>IFERROR(#REF!*#REF!*#REF!,0)</f>
        <v>0</v>
      </c>
      <c r="N136" s="300">
        <f>IFERROR(#REF!*#REF!*#REF!,0)</f>
        <v>0</v>
      </c>
      <c r="O136" s="300">
        <f>IFERROR(#REF!*#REF!*#REF!,0)</f>
        <v>0</v>
      </c>
      <c r="P136" s="300">
        <f>IFERROR(#REF!*#REF!*#REF!,0)</f>
        <v>0</v>
      </c>
      <c r="Q136" s="300">
        <f>IFERROR(#REF!*#REF!*#REF!,0)</f>
        <v>0</v>
      </c>
      <c r="R136" s="300"/>
      <c r="S136" s="337"/>
      <c r="T136" s="300">
        <f>IFERROR(#REF!*#REF!*#REF!,0)</f>
        <v>0</v>
      </c>
      <c r="U136" s="337"/>
      <c r="V136" s="337"/>
      <c r="W136" s="300">
        <f>IFERROR(#REF!*#REF!*#REF!,0)</f>
        <v>0</v>
      </c>
      <c r="X136" s="341">
        <f t="shared" si="25"/>
        <v>0</v>
      </c>
    </row>
    <row r="137" spans="6:37">
      <c r="F137" s="363"/>
      <c r="G137" s="220" t="s">
        <v>386</v>
      </c>
      <c r="H137" s="296">
        <f>IFERROR((1/#REF!)*#REF!*#REF!*#REF!,0)</f>
        <v>0</v>
      </c>
      <c r="I137" s="296">
        <f>IFERROR(#REF!*#REF!*#REF!,0)</f>
        <v>0</v>
      </c>
      <c r="J137" s="296">
        <f>IFERROR(#REF!*#REF!*#REF!,0)</f>
        <v>0</v>
      </c>
      <c r="K137" s="296">
        <f>IFERROR((1/#REF!)*#REF!*#REF!*#REF!,0)</f>
        <v>0</v>
      </c>
      <c r="L137" s="296">
        <f>IFERROR(#REF!*#REF!*#REF!,0)</f>
        <v>0</v>
      </c>
      <c r="M137" s="296">
        <f>IFERROR(#REF!*#REF!*#REF!,0)</f>
        <v>0</v>
      </c>
      <c r="N137" s="296">
        <f>IFERROR((1/#REF!)*#REF!*#REF!*#REF!,0)</f>
        <v>0</v>
      </c>
      <c r="O137" s="296">
        <f>IFERROR(#REF!*#REF!*#REF!,0)</f>
        <v>0</v>
      </c>
      <c r="P137" s="296">
        <f>IFERROR(#REF!*#REF!*#REF!,0)</f>
        <v>0</v>
      </c>
      <c r="Q137" s="296">
        <f>IFERROR((1/#REF!)*#REF!*#REF!*#REF!,0)</f>
        <v>0</v>
      </c>
      <c r="R137" s="296"/>
      <c r="S137" s="361"/>
      <c r="T137" s="296">
        <f>IFERROR((1/#REF!)*#REF!*#REF!*#REF!,0)</f>
        <v>0</v>
      </c>
      <c r="U137" s="361"/>
      <c r="V137" s="361"/>
      <c r="W137" s="296">
        <f>IFERROR((1/#REF!)*#REF!*#REF!*#REF!,0)</f>
        <v>0</v>
      </c>
      <c r="X137" s="347">
        <f t="shared" si="25"/>
        <v>0</v>
      </c>
    </row>
    <row r="138" spans="6:37" ht="15" customHeight="1">
      <c r="F138" s="352" t="s">
        <v>83</v>
      </c>
      <c r="G138" s="353"/>
      <c r="H138" s="354"/>
      <c r="I138" s="354"/>
      <c r="J138" s="354"/>
      <c r="K138" s="354"/>
      <c r="L138" s="354"/>
      <c r="M138" s="354"/>
      <c r="N138" s="354"/>
      <c r="O138" s="354"/>
      <c r="P138" s="354"/>
      <c r="Q138" s="354"/>
      <c r="R138" s="354"/>
      <c r="S138" s="355"/>
      <c r="T138" s="354"/>
      <c r="U138" s="355"/>
      <c r="V138" s="355"/>
      <c r="W138" s="383"/>
      <c r="X138" s="385" t="e">
        <f>SUM(X139)</f>
        <v>#REF!</v>
      </c>
      <c r="Y138" s="1"/>
      <c r="Z138" s="1"/>
      <c r="AK138" s="1"/>
    </row>
    <row r="139" spans="6:37" ht="15" customHeight="1">
      <c r="F139" s="363"/>
      <c r="G139" s="363" t="s">
        <v>95</v>
      </c>
      <c r="H139" s="296" t="e">
        <f>IF($H$9&lt;1,0,IF(#REF!="Cost per m^3 delivered",IFERROR(#REF!*H$52*#REF!,0), IF(#REF!="Cost as % commodity value",IFERROR(#REF!*H$13,0),0)))</f>
        <v>#REF!</v>
      </c>
      <c r="I139" s="296"/>
      <c r="J139" s="296"/>
      <c r="K139" s="296" t="e">
        <f>IF($H$9&lt;2,0,IF(#REF!="Cost per m^3 delivered",IFERROR(#REF!*K$52*#REF!,0), IF(#REF!="Cost as % commodity value",IFERROR(#REF!*K$13,0),0)))</f>
        <v>#REF!</v>
      </c>
      <c r="L139" s="296"/>
      <c r="M139" s="296"/>
      <c r="N139" s="296" t="e">
        <f>IF($H$9&lt;3,0,IF(#REF!="Cost per m^3 delivered",IFERROR(#REF!*N$52*#REF!,0), IF(#REF!="Cost as % commodity value",IFERROR(#REF!*N$13,0),0)))</f>
        <v>#REF!</v>
      </c>
      <c r="O139" s="296"/>
      <c r="P139" s="296"/>
      <c r="Q139" s="296" t="e">
        <f>IF($H$9&lt;4,0,IF(#REF!="Cost per m^3 delivered",IFERROR(#REF!*Q$52*#REF!,0), IF(#REF!="Cost as % commodity value",IFERROR(#REF!*Q$13,0),0)))</f>
        <v>#REF!</v>
      </c>
      <c r="R139" s="296"/>
      <c r="S139" s="361"/>
      <c r="T139" s="296" t="e">
        <f>IF($H$9&lt;5,0,IF(#REF!="Cost per m^3 delivered",IFERROR(#REF!*T$52*#REF!,0), IF(#REF!="Cost as % commodity value",IFERROR(#REF!*T$13,0),0)))</f>
        <v>#REF!</v>
      </c>
      <c r="U139" s="361"/>
      <c r="V139" s="361"/>
      <c r="W139" s="296" t="e">
        <f>IF($H$9&lt;6,0,IF(#REF!="Cost per m^3 delivered",IFERROR(#REF!*W$52*#REF!,0), IF(#REF!="Cost as % commodity value",IFERROR(#REF!*W$13,0),0)))</f>
        <v>#REF!</v>
      </c>
      <c r="X139" s="347" t="e">
        <f>SUM(H139:W139)</f>
        <v>#REF!</v>
      </c>
      <c r="Y139" s="1"/>
      <c r="Z139" s="1"/>
      <c r="AK139" s="1"/>
    </row>
    <row r="140" spans="6:37" ht="15" customHeight="1">
      <c r="F140" s="109"/>
      <c r="G140" s="109"/>
      <c r="R140" s="246"/>
      <c r="S140" s="246"/>
      <c r="T140" s="246"/>
      <c r="U140" s="246"/>
      <c r="V140" s="246"/>
      <c r="W140" s="246"/>
      <c r="AK140" s="1"/>
    </row>
    <row r="141" spans="6:37" ht="15" customHeight="1">
      <c r="F141" s="109"/>
      <c r="G141" s="109"/>
      <c r="R141" s="246"/>
      <c r="S141" s="246"/>
      <c r="T141" s="246"/>
      <c r="U141" s="246"/>
      <c r="V141" s="246"/>
      <c r="W141" s="246"/>
      <c r="AK141" s="1"/>
    </row>
    <row r="142" spans="6:37" ht="15" customHeight="1">
      <c r="F142" s="109"/>
      <c r="G142" s="109"/>
      <c r="R142" s="246"/>
      <c r="S142" s="246"/>
      <c r="T142" s="246"/>
      <c r="U142" s="246"/>
      <c r="V142" s="246"/>
      <c r="W142" s="246"/>
      <c r="AK142" s="4"/>
    </row>
    <row r="143" spans="6:37" ht="15" customHeight="1">
      <c r="F143" s="109"/>
      <c r="G143" s="109"/>
      <c r="R143" s="246"/>
      <c r="S143" s="246"/>
      <c r="T143" s="246"/>
      <c r="U143" s="246"/>
      <c r="V143" s="246"/>
      <c r="W143" s="246"/>
    </row>
    <row r="144" spans="6:37" ht="15" customHeight="1">
      <c r="R144" s="246"/>
      <c r="S144" s="246"/>
      <c r="T144" s="246"/>
      <c r="U144" s="246"/>
      <c r="V144" s="246"/>
      <c r="W144" s="246"/>
    </row>
    <row r="145" spans="6:39" ht="15" customHeight="1">
      <c r="R145" s="246"/>
      <c r="S145" s="246"/>
      <c r="T145" s="246"/>
      <c r="U145" s="246"/>
      <c r="V145" s="246"/>
      <c r="W145" s="246"/>
    </row>
    <row r="146" spans="6:39" ht="15" customHeight="1">
      <c r="F146" s="416" t="s">
        <v>461</v>
      </c>
      <c r="G146" s="139"/>
      <c r="H146" s="140"/>
      <c r="I146" s="140"/>
      <c r="J146" s="140"/>
      <c r="K146" s="140"/>
      <c r="L146" s="140"/>
      <c r="M146" s="140"/>
      <c r="N146" s="140"/>
      <c r="O146" s="140"/>
      <c r="P146" s="140"/>
      <c r="Q146" s="140"/>
      <c r="R146" s="140"/>
      <c r="S146" s="140"/>
      <c r="T146" s="140"/>
      <c r="U146" s="140"/>
      <c r="V146" s="140"/>
      <c r="W146" s="141"/>
      <c r="X146" s="36"/>
      <c r="Y146" s="36"/>
      <c r="Z146" s="36"/>
      <c r="AA146" s="36"/>
      <c r="AB146" s="36"/>
      <c r="AC146" s="36"/>
      <c r="AD146" s="36"/>
      <c r="AE146" s="36"/>
      <c r="AF146" s="36"/>
      <c r="AG146" s="36"/>
      <c r="AH146" s="36"/>
      <c r="AI146" s="36"/>
      <c r="AJ146" s="36"/>
      <c r="AK146" s="36"/>
      <c r="AL146" s="36"/>
      <c r="AM146" s="36"/>
    </row>
    <row r="147" spans="6:39" ht="15" customHeight="1">
      <c r="F147" s="860"/>
      <c r="G147" s="861"/>
      <c r="H147" s="265"/>
      <c r="I147" s="265"/>
      <c r="J147" s="265"/>
      <c r="K147" s="265"/>
      <c r="L147" s="265"/>
      <c r="M147" s="265"/>
      <c r="N147" s="265"/>
      <c r="O147" s="265"/>
      <c r="P147" s="265"/>
      <c r="Q147" s="265"/>
      <c r="R147" s="265"/>
      <c r="S147" s="265"/>
      <c r="T147" s="265"/>
      <c r="U147" s="265"/>
      <c r="V147" s="265"/>
      <c r="W147" s="268"/>
      <c r="X147" s="36"/>
      <c r="Y147" s="36"/>
      <c r="Z147" s="36"/>
      <c r="AA147" s="36"/>
      <c r="AB147" s="36"/>
      <c r="AC147" s="36"/>
      <c r="AD147" s="36"/>
      <c r="AE147" s="36"/>
      <c r="AF147" s="36"/>
      <c r="AG147" s="36"/>
      <c r="AH147" s="36"/>
      <c r="AI147" s="36"/>
      <c r="AJ147" s="36"/>
      <c r="AK147" s="36"/>
      <c r="AL147" s="36"/>
      <c r="AM147" s="36"/>
    </row>
    <row r="148" spans="6:39" ht="15" customHeight="1">
      <c r="F148" s="867" t="s">
        <v>154</v>
      </c>
      <c r="G148" s="868"/>
      <c r="H148" s="869"/>
      <c r="I148" s="869"/>
      <c r="J148" s="869"/>
      <c r="K148" s="869" t="s">
        <v>842</v>
      </c>
      <c r="L148" s="869"/>
      <c r="M148" s="869"/>
      <c r="N148" s="869" t="s">
        <v>843</v>
      </c>
      <c r="O148" s="869"/>
      <c r="P148" s="869"/>
      <c r="Q148" s="270" t="s">
        <v>844</v>
      </c>
      <c r="R148" s="271"/>
      <c r="S148" s="271"/>
      <c r="T148" s="270" t="s">
        <v>845</v>
      </c>
      <c r="U148" s="271"/>
      <c r="V148" s="271"/>
      <c r="W148" s="270" t="s">
        <v>846</v>
      </c>
    </row>
    <row r="149" spans="6:39" ht="15" customHeight="1" outlineLevel="1">
      <c r="F149" s="36"/>
      <c r="G149" s="6" t="s">
        <v>414</v>
      </c>
      <c r="H149" s="838"/>
      <c r="I149" s="838">
        <f>IFERROR(IF(#REF!=0,0,IF(#REF!="Yes",Baseline_Results_NOINDIRECT!I64,IF(OR(AND(#REF!&gt;1,#REF!="Yes"),AND(#REF!&gt;2,#REF!="Yes")),Baseline_Results_NOINDIRECT!I57,Baseline_Results_NOINDIRECT!I52))),0)</f>
        <v>0</v>
      </c>
      <c r="J149" s="838">
        <f>IFERROR(IF(#REF!=0,0,IF(#REF!="Yes",Baseline_Results_NOINDIRECT!J64,IF(OR(AND(#REF!&gt;1,#REF!="Yes"),AND(#REF!&gt;2,#REF!="Yes")),Baseline_Results_NOINDIRECT!J57,Baseline_Results_NOINDIRECT!J52))),0)</f>
        <v>0</v>
      </c>
      <c r="K149" s="838">
        <f>IFERROR(IF(#REF!=0,0,IF(#REF!="Yes",Baseline_Results_NOINDIRECT!K64,IF(OR(AND(#REF!&gt;1,#REF!="Yes"),AND(#REF!&gt;2,#REF!="Yes")),Baseline_Results_NOINDIRECT!K57,Baseline_Results_NOINDIRECT!K52))),0)</f>
        <v>0</v>
      </c>
      <c r="L149" s="838">
        <f>IFERROR(IF(#REF!=0,0,IF(#REF!="Yes",Baseline_Results_NOINDIRECT!L64,IF(OR(AND(#REF!&gt;1,#REF!="Yes"),AND(#REF!&gt;2,#REF!="Yes")),Baseline_Results_NOINDIRECT!L57,Baseline_Results_NOINDIRECT!L52))),0)</f>
        <v>0</v>
      </c>
      <c r="M149" s="838">
        <f>IFERROR(IF(#REF!=0,0,IF(#REF!="Yes",Baseline_Results_NOINDIRECT!M64,IF(OR(AND(#REF!&gt;1,#REF!="Yes"),AND(#REF!&gt;2,#REF!="Yes")),Baseline_Results_NOINDIRECT!M57,Baseline_Results_NOINDIRECT!M52))),0)</f>
        <v>0</v>
      </c>
      <c r="N149" s="838">
        <f>IFERROR(IF(#REF!=0,0,IF(#REF!="Yes",Baseline_Results_NOINDIRECT!N64,IF(OR(AND(#REF!&gt;1,#REF!="Yes"),AND(#REF!&gt;2,#REF!="Yes")),Baseline_Results_NOINDIRECT!N57,Baseline_Results_NOINDIRECT!N52))),0)</f>
        <v>0</v>
      </c>
      <c r="O149" s="838">
        <f>IFERROR(IF(#REF!=0,0,IF(#REF!="Yes",Baseline_Results_NOINDIRECT!O64,IF(OR(AND(#REF!&gt;1,#REF!="Yes"),AND(#REF!&gt;2,#REF!="Yes")),Baseline_Results_NOINDIRECT!O57,Baseline_Results_NOINDIRECT!O52))),0)</f>
        <v>0</v>
      </c>
      <c r="P149" s="838">
        <f>IFERROR(IF(#REF!=0,0,IF(#REF!="Yes",Baseline_Results_NOINDIRECT!P64,IF(OR(AND(#REF!&gt;1,#REF!="Yes"),AND(#REF!&gt;2,#REF!="Yes")),Baseline_Results_NOINDIRECT!P57,Baseline_Results_NOINDIRECT!P52))),0)</f>
        <v>0</v>
      </c>
      <c r="Q149" s="838">
        <f>IFERROR(IF(#REF!=0,0,IF(#REF!="Yes",Baseline_Results_NOINDIRECT!Q64,IF(OR(AND(#REF!&gt;1,#REF!="Yes"),AND(#REF!&gt;2,#REF!="Yes")),Baseline_Results_NOINDIRECT!Q57,Baseline_Results_NOINDIRECT!Q52))),0)</f>
        <v>0</v>
      </c>
      <c r="R149" s="838">
        <f>IFERROR(IF(#REF!=0,0,IF(#REF!="Yes",Baseline_Results_NOINDIRECT!R64,IF(OR(AND(#REF!&gt;1,#REF!="Yes"),AND(#REF!&gt;2,#REF!="Yes")),Baseline_Results_NOINDIRECT!R57,Baseline_Results_NOINDIRECT!R52))),0)</f>
        <v>0</v>
      </c>
      <c r="S149" s="838">
        <f>IFERROR(IF(#REF!=0,0,IF(#REF!="Yes",Baseline_Results_NOINDIRECT!S64,IF(OR(AND(#REF!&gt;1,#REF!="Yes"),AND(#REF!&gt;2,#REF!="Yes")),Baseline_Results_NOINDIRECT!S57,Baseline_Results_NOINDIRECT!S52))),0)</f>
        <v>0</v>
      </c>
      <c r="T149" s="838">
        <f>IFERROR(IF(#REF!=0,0,IF(#REF!="Yes",Baseline_Results_NOINDIRECT!T64,IF(OR(AND(#REF!&gt;1,#REF!="Yes"),AND(#REF!&gt;2,#REF!="Yes")),Baseline_Results_NOINDIRECT!T57,Baseline_Results_NOINDIRECT!T52))),0)</f>
        <v>0</v>
      </c>
      <c r="U149" s="838">
        <f>IFERROR(IF(#REF!=0,0,IF(#REF!="Yes",Baseline_Results_NOINDIRECT!U64,IF(OR(AND(#REF!&gt;1,#REF!="Yes"),AND(#REF!&gt;2,#REF!="Yes")),Baseline_Results_NOINDIRECT!U57,Baseline_Results_NOINDIRECT!U52))),0)</f>
        <v>0</v>
      </c>
      <c r="V149" s="838">
        <f>IFERROR(IF(#REF!=0,0,IF(#REF!="Yes",Baseline_Results_NOINDIRECT!V64,IF(OR(AND(#REF!&gt;1,#REF!="Yes"),AND(#REF!&gt;2,#REF!="Yes")),Baseline_Results_NOINDIRECT!V57,Baseline_Results_NOINDIRECT!V52))),0)</f>
        <v>0</v>
      </c>
      <c r="W149" s="838">
        <f>IFERROR(IF(#REF!=0,0,IF(#REF!="Yes",Baseline_Results_NOINDIRECT!W64,IF(OR(AND(#REF!&gt;1,#REF!="Yes"),AND(#REF!&gt;2,#REF!="Yes")),Baseline_Results_NOINDIRECT!W57,Baseline_Results_NOINDIRECT!W52))),0)</f>
        <v>0</v>
      </c>
      <c r="AJ149" s="1"/>
    </row>
    <row r="150" spans="6:39" ht="15" customHeight="1" outlineLevel="1">
      <c r="F150" s="882" t="s">
        <v>387</v>
      </c>
      <c r="G150" s="844"/>
      <c r="H150" s="880"/>
      <c r="I150" s="880"/>
      <c r="J150" s="880"/>
      <c r="K150" s="880"/>
      <c r="L150" s="880"/>
      <c r="M150" s="880"/>
      <c r="N150" s="880"/>
      <c r="O150" s="880"/>
      <c r="P150" s="880"/>
      <c r="Q150" s="881"/>
      <c r="R150" s="852"/>
      <c r="S150" s="852"/>
      <c r="T150" s="881"/>
      <c r="U150" s="852"/>
      <c r="V150" s="852"/>
      <c r="W150" s="881"/>
      <c r="AJ150" s="1"/>
    </row>
    <row r="151" spans="6:39" ht="15" customHeight="1" outlineLevel="1">
      <c r="F151" s="885"/>
      <c r="G151" s="6" t="s">
        <v>390</v>
      </c>
      <c r="H151" s="838"/>
      <c r="I151" s="838"/>
      <c r="J151" s="838"/>
      <c r="K151" s="838">
        <f>IFERROR(((K$64*#REF!)*(IF(COUNTIF(#REF!,"Public Transport*")=1,K156,K168)/#REF!))/IF(COUNTIF(#REF!,"Public Transport*")=1,K154,K170),0)</f>
        <v>0</v>
      </c>
      <c r="L151" s="838"/>
      <c r="M151" s="838"/>
      <c r="N151" s="838">
        <f>IFERROR(((N$64*#REF!)*(IF(COUNTIF(#REF!,"Public Transport*")=1,N156,N168)/#REF!))/IF(COUNTIF(#REF!,"Public Transport*")=1,N154,N170),0)</f>
        <v>0</v>
      </c>
      <c r="O151" s="838"/>
      <c r="P151" s="838"/>
      <c r="Q151" s="838">
        <f>IFERROR(((Q$64*#REF!)*(IF(COUNTIF(#REF!,"Public Transport*")=1,Q156,Q168)/#REF!))/IF(COUNTIF(#REF!,"Public Transport*")=1,Q154,Q170),0)</f>
        <v>0</v>
      </c>
      <c r="R151" s="846"/>
      <c r="S151" s="846"/>
      <c r="T151" s="838">
        <f>IFERROR(((T$64*#REF!)*(IF(COUNTIF(#REF!,"Public Transport*")=1,T156,T168)/#REF!))/IF(COUNTIF(#REF!,"Public Transport*")=1,T154,T170),0)</f>
        <v>0</v>
      </c>
      <c r="U151" s="846"/>
      <c r="V151" s="846"/>
      <c r="W151" s="838">
        <f>IFERROR(((W$64*#REF!)*(IF(COUNTIF(#REF!,"Public Transport*")=1,W156,W168)/#REF!))/IF(COUNTIF(#REF!,"Public Transport*")=1,W154,W170),0)</f>
        <v>0</v>
      </c>
      <c r="AJ151" s="1"/>
    </row>
    <row r="152" spans="6:39" ht="15" customHeight="1" outlineLevel="1">
      <c r="F152" s="885"/>
      <c r="G152" s="6" t="s">
        <v>391</v>
      </c>
      <c r="H152" s="838"/>
      <c r="I152" s="838"/>
      <c r="J152" s="838"/>
      <c r="K152" s="838">
        <f>IFERROR(IF(COUNTIF(#REF!,"Public Transport*")=1,(K155/#REF!),(K171/#REF!)),0)</f>
        <v>0</v>
      </c>
      <c r="L152" s="838"/>
      <c r="M152" s="838"/>
      <c r="N152" s="838">
        <f>IFERROR(IF(COUNTIF(#REF!,"Public Transport*")=1,(N155/#REF!),(N171/#REF!)),0)</f>
        <v>0</v>
      </c>
      <c r="O152" s="838"/>
      <c r="P152" s="838"/>
      <c r="Q152" s="838">
        <f>IFERROR(IF(COUNTIF(#REF!,"Public Transport*")=1,(Q155/#REF!),(Q171/#REF!)),0)</f>
        <v>0</v>
      </c>
      <c r="R152" s="846" t="s">
        <v>595</v>
      </c>
      <c r="S152" s="846"/>
      <c r="T152" s="838">
        <f>IFERROR(IF(COUNTIF(#REF!,"Public Transport*")=1,(T155/#REF!),(T171/#REF!)),0)</f>
        <v>0</v>
      </c>
      <c r="U152" s="846"/>
      <c r="V152" s="846"/>
      <c r="W152" s="838">
        <f>IFERROR(IF(COUNTIF(#REF!,"Public Transport*")=1,(W155/#REF!),(W171/#REF!)),0)</f>
        <v>0</v>
      </c>
      <c r="AJ152" s="1"/>
    </row>
    <row r="153" spans="6:39" ht="15" customHeight="1" outlineLevel="1">
      <c r="F153" s="884" t="s">
        <v>149</v>
      </c>
      <c r="G153" s="844"/>
      <c r="H153" s="848"/>
      <c r="I153" s="848"/>
      <c r="J153" s="848"/>
      <c r="K153" s="848"/>
      <c r="L153" s="848"/>
      <c r="M153" s="848"/>
      <c r="N153" s="848"/>
      <c r="O153" s="852"/>
      <c r="P153" s="852"/>
      <c r="Q153" s="847"/>
      <c r="R153" s="846"/>
      <c r="S153" s="846"/>
      <c r="T153" s="847"/>
      <c r="U153" s="846"/>
      <c r="V153" s="846"/>
      <c r="W153" s="847"/>
      <c r="AJ153" s="1"/>
    </row>
    <row r="154" spans="6:39" ht="15" customHeight="1" outlineLevel="1">
      <c r="F154" s="883"/>
      <c r="G154" s="6" t="s">
        <v>146</v>
      </c>
      <c r="H154" s="837"/>
      <c r="I154" s="837">
        <f>IFERROR(IF(COUNTIF(#REF!,"Public Transport*")=1,IF(#REF!="Route-based",I162*#REF!,IF(#REF!="Point-to-point",I165*#REF!,0)),0),0)</f>
        <v>0</v>
      </c>
      <c r="J154" s="837">
        <f>IFERROR(IF(COUNTIF(#REF!,"Public Transport*")=1,IF(#REF!="Route-based",J162*#REF!,IF(#REF!="Point-to-point",J165*#REF!,0)),0),0)</f>
        <v>0</v>
      </c>
      <c r="K154" s="837">
        <f>IFERROR(IF(COUNTIF(#REF!,"Public Transport*")=1,IF(#REF!="Route-based",K162*#REF!,IF(#REF!="Point-to-point",K165*#REF!,0)),0),0)</f>
        <v>0</v>
      </c>
      <c r="L154" s="837">
        <f>IFERROR(IF(COUNTIF(#REF!,"Public Transport*")=1,IF(#REF!="Route-based",L162*#REF!,IF(#REF!="Point-to-point",L165*#REF!,0)),0),0)</f>
        <v>0</v>
      </c>
      <c r="M154" s="837">
        <f>IFERROR(IF(COUNTIF(#REF!,"Public Transport*")=1,IF(#REF!="Route-based",M162*#REF!,IF(#REF!="Point-to-point",M165*#REF!,0)),0),0)</f>
        <v>0</v>
      </c>
      <c r="N154" s="837">
        <f>IFERROR(IF(COUNTIF(#REF!,"Public Transport*")=1,IF(#REF!="Route-based",N162*#REF!,IF(#REF!="Point-to-point",N165*#REF!,0)),0),0)</f>
        <v>0</v>
      </c>
      <c r="O154" s="837">
        <f>IFERROR(IF(COUNTIF(#REF!,"Public Transport*")=1,IF(#REF!="Route-based",O162*#REF!,IF(#REF!="Point-to-point",O165*#REF!,0)),0),0)</f>
        <v>0</v>
      </c>
      <c r="P154" s="837">
        <f>IFERROR(IF(COUNTIF(#REF!,"Public Transport*")=1,IF(#REF!="Route-based",P162*#REF!,IF(#REF!="Point-to-point",P165*#REF!,0)),0),0)</f>
        <v>0</v>
      </c>
      <c r="Q154" s="837">
        <f>IFERROR(IF(COUNTIF(#REF!,"Public Transport*")=1,IF(#REF!="Route-based",Q162*#REF!,IF(#REF!="Point-to-point",Q165*#REF!,0)),0),0)</f>
        <v>0</v>
      </c>
      <c r="R154" s="853" t="s">
        <v>596</v>
      </c>
      <c r="S154" s="853"/>
      <c r="T154" s="837">
        <f>IFERROR(IF(COUNTIF(#REF!,"Public Transport*")=1,IF(#REF!="Route-based",T162*#REF!,IF(#REF!="Point-to-point",T165*#REF!,0)),0),0)</f>
        <v>0</v>
      </c>
      <c r="U154" s="853"/>
      <c r="V154" s="853"/>
      <c r="W154" s="837">
        <f>IFERROR(IF(COUNTIF(#REF!,"Public Transport*")=1,IF(#REF!="Route-based",W162*#REF!,IF(#REF!="Point-to-point",W165*#REF!,0)),0),0)</f>
        <v>0</v>
      </c>
      <c r="X154" s="36"/>
      <c r="Y154" s="36"/>
      <c r="Z154" s="36"/>
      <c r="AA154" s="36"/>
      <c r="AB154" s="36"/>
      <c r="AC154" s="36"/>
      <c r="AD154" s="36"/>
      <c r="AE154" s="36"/>
      <c r="AF154" s="36"/>
      <c r="AG154" s="36"/>
      <c r="AH154" s="36"/>
      <c r="AI154" s="36"/>
      <c r="AJ154" s="242"/>
      <c r="AK154" s="36"/>
      <c r="AL154" s="36"/>
      <c r="AM154" s="36"/>
    </row>
    <row r="155" spans="6:39" ht="15" customHeight="1" outlineLevel="1">
      <c r="F155" s="883"/>
      <c r="G155" s="6" t="s">
        <v>147</v>
      </c>
      <c r="H155" s="837"/>
      <c r="I155" s="837">
        <f>IFERROR(IF(#REF!="Route-based",I163*#REF!,IF(#REF!="Point-to-point",I166*#REF!,0)),0)</f>
        <v>0</v>
      </c>
      <c r="J155" s="837">
        <f>IFERROR(IF(#REF!="Route-based",J163*#REF!,IF(#REF!="Point-to-point",J166*#REF!,0)),0)</f>
        <v>0</v>
      </c>
      <c r="K155" s="837">
        <f>IFERROR(IF(#REF!="Route-based",K163*#REF!,IF(#REF!="Point-to-point",K166*#REF!,0)),0)</f>
        <v>0</v>
      </c>
      <c r="L155" s="837">
        <f>IFERROR(IF(#REF!="Route-based",L163*#REF!,IF(#REF!="Point-to-point",L166*#REF!,0)),0)</f>
        <v>0</v>
      </c>
      <c r="M155" s="837">
        <f>IFERROR(IF(#REF!="Route-based",M163*#REF!,IF(#REF!="Point-to-point",M166*#REF!,0)),0)</f>
        <v>0</v>
      </c>
      <c r="N155" s="837">
        <f>IFERROR(IF(#REF!="Route-based",N163*#REF!,IF(#REF!="Point-to-point",N166*#REF!,0)),0)</f>
        <v>0</v>
      </c>
      <c r="O155" s="837">
        <f>IFERROR(IF(#REF!="Route-based",O163*#REF!,IF(#REF!="Point-to-point",O166*#REF!,0)),0)</f>
        <v>0</v>
      </c>
      <c r="P155" s="837">
        <f>IFERROR(IF(#REF!="Route-based",P163*#REF!,IF(#REF!="Point-to-point",P166*#REF!,0)),0)</f>
        <v>0</v>
      </c>
      <c r="Q155" s="837">
        <f>IFERROR(IF(#REF!="Route-based",Q163*#REF!,IF(#REF!="Point-to-point",Q166*#REF!,0)),0)</f>
        <v>0</v>
      </c>
      <c r="R155" s="853" t="s">
        <v>597</v>
      </c>
      <c r="S155" s="853"/>
      <c r="T155" s="837">
        <f>IFERROR(IF(#REF!="Route-based",T163*#REF!,IF(#REF!="Point-to-point",T166*#REF!,0)),0)</f>
        <v>0</v>
      </c>
      <c r="U155" s="853"/>
      <c r="V155" s="853"/>
      <c r="W155" s="837">
        <f>IFERROR(IF(#REF!="Route-based",W163*#REF!,IF(#REF!="Point-to-point",W166*#REF!,0)),0)</f>
        <v>0</v>
      </c>
      <c r="X155" s="36"/>
      <c r="Y155" s="36"/>
      <c r="Z155" s="36"/>
      <c r="AA155" s="36"/>
      <c r="AB155" s="36"/>
      <c r="AC155" s="36"/>
      <c r="AD155" s="36"/>
      <c r="AE155" s="36"/>
      <c r="AF155" s="36"/>
      <c r="AG155" s="36"/>
      <c r="AH155" s="36"/>
      <c r="AI155" s="36"/>
      <c r="AJ155" s="242"/>
      <c r="AK155" s="36"/>
      <c r="AL155" s="36"/>
      <c r="AM155" s="36"/>
    </row>
    <row r="156" spans="6:39" ht="15" customHeight="1" outlineLevel="1">
      <c r="F156" s="883"/>
      <c r="G156" s="6" t="s">
        <v>142</v>
      </c>
      <c r="H156" s="841"/>
      <c r="I156" s="841">
        <f>IFERROR(ROUND(#REF!*#REF!,0),0)</f>
        <v>0</v>
      </c>
      <c r="J156" s="841">
        <f>IFERROR(ROUND(#REF!*#REF!,0),0)</f>
        <v>0</v>
      </c>
      <c r="K156" s="841">
        <f>IFERROR(IF(COUNTIF(#REF!,"Public Transport*")=1,ROUND(#REF!*#REF!,0),0),0)</f>
        <v>0</v>
      </c>
      <c r="L156" s="841">
        <f>IFERROR(ROUND(#REF!*#REF!,0),0)</f>
        <v>0</v>
      </c>
      <c r="M156" s="841">
        <f>IFERROR(ROUND(#REF!*#REF!,0),0)</f>
        <v>0</v>
      </c>
      <c r="N156" s="841">
        <f>IFERROR(IF(COUNTIF(#REF!,"Public Transport*")=1,ROUND(#REF!*#REF!,0),0),0)</f>
        <v>0</v>
      </c>
      <c r="O156" s="841">
        <f>IFERROR(ROUND(#REF!*#REF!,0),0)</f>
        <v>0</v>
      </c>
      <c r="P156" s="841">
        <f>IFERROR(ROUND(#REF!*#REF!,0),0)</f>
        <v>0</v>
      </c>
      <c r="Q156" s="841">
        <f>IFERROR(IF(COUNTIF(#REF!,"Public Transport*")=1,ROUND(#REF!*#REF!,0),0),0)</f>
        <v>0</v>
      </c>
      <c r="R156" s="870" t="s">
        <v>598</v>
      </c>
      <c r="S156" s="870"/>
      <c r="T156" s="841">
        <f>IFERROR(IF(COUNTIF(#REF!,"Public Transport*")=1,ROUND(#REF!*#REF!,0),0),0)</f>
        <v>0</v>
      </c>
      <c r="U156" s="870"/>
      <c r="V156" s="870"/>
      <c r="W156" s="841">
        <f>IFERROR(IF(COUNTIF(#REF!,"Public Transport*")=1,ROUND(#REF!*#REF!,0),0),0)</f>
        <v>0</v>
      </c>
      <c r="X156" s="36"/>
      <c r="Y156" s="36"/>
      <c r="Z156" s="36"/>
      <c r="AA156" s="36"/>
      <c r="AB156" s="36"/>
      <c r="AC156" s="36"/>
      <c r="AD156" s="36"/>
      <c r="AE156" s="36"/>
      <c r="AF156" s="36"/>
      <c r="AG156" s="36"/>
      <c r="AH156" s="36"/>
      <c r="AI156" s="36"/>
      <c r="AJ156" s="36"/>
      <c r="AK156" s="36"/>
      <c r="AL156" s="36"/>
      <c r="AM156" s="36" t="s">
        <v>190</v>
      </c>
    </row>
    <row r="157" spans="6:39" ht="15" customHeight="1" outlineLevel="1">
      <c r="F157" s="883"/>
      <c r="G157" s="6" t="s">
        <v>163</v>
      </c>
      <c r="H157" s="836"/>
      <c r="I157" s="836">
        <f>IFERROR(INDEX(#REF!,MATCH(#REF!&amp;"Average delivery capacity (m^3)",#REF!, 0))/(Baseline_Results_NOINDIRECT!I$149/#REF!),0)</f>
        <v>0</v>
      </c>
      <c r="J157" s="836">
        <f>IFERROR(INDEX(#REF!,MATCH(#REF!&amp;"Average delivery capacity (m^3)",#REF!, 0))/(Baseline_Results_NOINDIRECT!J$149/#REF!),0)</f>
        <v>0</v>
      </c>
      <c r="K157" s="836">
        <f>IFERROR(INDEX(#REF!,MATCH(#REF!&amp;"Average delivery capacity (m^3)",#REF!, 0))/(Baseline_Results_NOINDIRECT!K$149/#REF!),0)</f>
        <v>0</v>
      </c>
      <c r="L157" s="836">
        <f>IFERROR(INDEX(#REF!,MATCH(#REF!&amp;"Average delivery capacity (m^3)",#REF!, 0))/(Baseline_Results_NOINDIRECT!L$149/#REF!),0)</f>
        <v>0</v>
      </c>
      <c r="M157" s="836">
        <f>IFERROR(INDEX(#REF!,MATCH(#REF!&amp;"Average delivery capacity (m^3)",#REF!, 0))/(Baseline_Results_NOINDIRECT!M$149/#REF!),0)</f>
        <v>0</v>
      </c>
      <c r="N157" s="836">
        <f>IFERROR(INDEX(#REF!,MATCH(#REF!&amp;"Average delivery capacity (m^3)",#REF!, 0))/(Baseline_Results_NOINDIRECT!N$149/#REF!),0)</f>
        <v>0</v>
      </c>
      <c r="O157" s="836">
        <f>IFERROR(INDEX(#REF!,MATCH(#REF!&amp;"Average delivery capacity (m^3)",#REF!, 0))/(Baseline_Results_NOINDIRECT!O$149/#REF!),0)</f>
        <v>0</v>
      </c>
      <c r="P157" s="836">
        <f>IFERROR(INDEX(#REF!,MATCH(#REF!&amp;"Average delivery capacity (m^3)",#REF!, 0))/(Baseline_Results_NOINDIRECT!P$149/#REF!),0)</f>
        <v>0</v>
      </c>
      <c r="Q157" s="836">
        <f>IFERROR(INDEX(#REF!,MATCH(#REF!&amp;"Average delivery capacity (m^3)",#REF!, 0))/(Baseline_Results_NOINDIRECT!Q$149/#REF!),0)</f>
        <v>0</v>
      </c>
      <c r="R157" s="836">
        <f>IFERROR(INDEX(#REF!,MATCH(#REF!&amp;"Average delivery capacity (m^3)",#REF!, 0))/(Baseline_Results_NOINDIRECT!R$149/#REF!),0)</f>
        <v>0</v>
      </c>
      <c r="S157" s="836">
        <f>IFERROR(INDEX(#REF!,MATCH(#REF!&amp;"Average delivery capacity (m^3)",#REF!, 0))/(Baseline_Results_NOINDIRECT!S$149/#REF!),0)</f>
        <v>0</v>
      </c>
      <c r="T157" s="836">
        <f>IFERROR(INDEX(#REF!,MATCH(#REF!&amp;"Average delivery capacity (m^3)",#REF!, 0))/(Baseline_Results_NOINDIRECT!T$149/#REF!),0)</f>
        <v>0</v>
      </c>
      <c r="U157" s="836">
        <f>IFERROR(INDEX(#REF!,MATCH(#REF!&amp;"Average delivery capacity (m^3)",#REF!, 0))/(Baseline_Results_NOINDIRECT!U$149/#REF!),0)</f>
        <v>0</v>
      </c>
      <c r="V157" s="836">
        <f>IFERROR(INDEX(#REF!,MATCH(#REF!&amp;"Average delivery capacity (m^3)",#REF!, 0))/(Baseline_Results_NOINDIRECT!V$149/#REF!),0)</f>
        <v>0</v>
      </c>
      <c r="W157" s="836">
        <f>IFERROR(INDEX(#REF!,MATCH(#REF!&amp;"Average delivery capacity (m^3)",#REF!, 0))/(Baseline_Results_NOINDIRECT!W$149/#REF!),0)</f>
        <v>0</v>
      </c>
      <c r="X157" s="36"/>
      <c r="Y157" s="36"/>
      <c r="Z157" s="36"/>
      <c r="AA157" s="36"/>
      <c r="AB157" s="36"/>
      <c r="AC157" s="36"/>
      <c r="AD157" s="36"/>
      <c r="AE157" s="36"/>
      <c r="AF157" s="36"/>
      <c r="AG157" s="36"/>
      <c r="AH157" s="36"/>
      <c r="AI157" s="36"/>
      <c r="AJ157" s="36"/>
      <c r="AK157" s="36"/>
      <c r="AL157" s="36"/>
      <c r="AM157" s="36"/>
    </row>
    <row r="158" spans="6:39" ht="15" customHeight="1" outlineLevel="1">
      <c r="F158" s="883"/>
      <c r="G158" s="241" t="s">
        <v>150</v>
      </c>
      <c r="H158" s="842"/>
      <c r="I158" s="842"/>
      <c r="J158" s="842"/>
      <c r="K158" s="842"/>
      <c r="L158" s="842"/>
      <c r="M158" s="842"/>
      <c r="N158" s="842"/>
      <c r="O158" s="842"/>
      <c r="P158" s="842"/>
      <c r="Q158" s="842"/>
      <c r="R158" s="853"/>
      <c r="S158" s="853"/>
      <c r="T158" s="842"/>
      <c r="U158" s="853"/>
      <c r="V158" s="853"/>
      <c r="W158" s="842"/>
      <c r="X158" s="36"/>
      <c r="Y158" s="36"/>
      <c r="Z158" s="36"/>
      <c r="AA158" s="36"/>
      <c r="AB158" s="36"/>
      <c r="AC158" s="36"/>
      <c r="AD158" s="36"/>
      <c r="AE158" s="36"/>
      <c r="AF158" s="36"/>
      <c r="AG158" s="36"/>
      <c r="AH158" s="36"/>
      <c r="AI158" s="36"/>
      <c r="AJ158" s="36"/>
      <c r="AK158" s="36"/>
      <c r="AL158" s="36"/>
      <c r="AM158" s="36"/>
    </row>
    <row r="159" spans="6:39" ht="15" customHeight="1" outlineLevel="1">
      <c r="F159" s="883"/>
      <c r="G159" s="6" t="s">
        <v>140</v>
      </c>
      <c r="H159" s="836"/>
      <c r="I159" s="836">
        <f>IFERROR(ROUND(#REF!/(((1/60)*(#REF!+#REF!*(#REF!+(#REF!*(Baseline_Results_NOINDIRECT!I$149/#REF!/#REF!)))))+INDEX(#REF!,MATCH(#REF!&amp;"Average duration (hrs) per trip",#REF!,0))),1),0)</f>
        <v>0</v>
      </c>
      <c r="J159" s="836">
        <f>IFERROR(ROUND(#REF!/(((1/60)*(#REF!+#REF!*(#REF!+(#REF!*(Baseline_Results_NOINDIRECT!J$149/#REF!/#REF!)))))+INDEX(#REF!,MATCH(#REF!&amp;"Average duration (hrs) per trip",#REF!,0))),1),0)</f>
        <v>0</v>
      </c>
      <c r="K159" s="836">
        <f>IFERROR(ROUND(#REF!/(((1/60)*(#REF!+#REF!*(#REF!+(#REF!*(Baseline_Results_NOINDIRECT!K$149/#REF!/#REF!)))))+INDEX(#REF!,MATCH(#REF!&amp;"Average duration (hrs) per trip",#REF!,0))),1),0)</f>
        <v>0</v>
      </c>
      <c r="L159" s="836">
        <f>IFERROR(ROUND(#REF!/(((1/60)*(#REF!+#REF!*(#REF!+(#REF!*(Baseline_Results_NOINDIRECT!L$149/#REF!/#REF!)))))+INDEX(#REF!,MATCH(#REF!&amp;"Average duration (hrs) per trip",#REF!,0))),1),0)</f>
        <v>0</v>
      </c>
      <c r="M159" s="836">
        <f>IFERROR(ROUND(#REF!/(((1/60)*(#REF!+#REF!*(#REF!+(#REF!*(Baseline_Results_NOINDIRECT!M$149/#REF!/#REF!)))))+INDEX(#REF!,MATCH(#REF!&amp;"Average duration (hrs) per trip",#REF!,0))),1),0)</f>
        <v>0</v>
      </c>
      <c r="N159" s="836">
        <f>IFERROR(ROUND(#REF!/(((1/60)*(#REF!+#REF!*(#REF!+(#REF!*(Baseline_Results_NOINDIRECT!N$149/#REF!/#REF!)))))+INDEX(#REF!,MATCH(#REF!&amp;"Average duration (hrs) per trip",#REF!,0))),1),0)</f>
        <v>0</v>
      </c>
      <c r="O159" s="836">
        <f>IFERROR(ROUND(#REF!/(((1/60)*(#REF!+#REF!*(#REF!+(#REF!*(Baseline_Results_NOINDIRECT!O$149/#REF!/#REF!)))))+INDEX(#REF!,MATCH(#REF!&amp;"Average duration (hrs) per trip",#REF!,0))),1),0)</f>
        <v>0</v>
      </c>
      <c r="P159" s="836">
        <f>IFERROR(ROUND(#REF!/(((1/60)*(#REF!+#REF!*(#REF!+(#REF!*(Baseline_Results_NOINDIRECT!P$149/#REF!/#REF!)))))+INDEX(#REF!,MATCH(#REF!&amp;"Average duration (hrs) per trip",#REF!,0))),1),0)</f>
        <v>0</v>
      </c>
      <c r="Q159" s="836">
        <f>IFERROR(ROUND(#REF!/(((1/60)*(#REF!+#REF!*(#REF!+(#REF!*(Baseline_Results_NOINDIRECT!Q$149/#REF!/#REF!)))))+INDEX(#REF!,MATCH(#REF!&amp;"Average duration (hrs) per trip",#REF!,0))),1),0)</f>
        <v>0</v>
      </c>
      <c r="R159" s="836">
        <f>IFERROR(ROUND(#REF!/(((1/60)*(#REF!+#REF!*(#REF!+(#REF!*(Baseline_Results_NOINDIRECT!R$149/#REF!/#REF!)))))+INDEX(#REF!,MATCH(#REF!&amp;"Average duration (hrs) per trip",#REF!,0))),1),0)</f>
        <v>0</v>
      </c>
      <c r="S159" s="836">
        <f>IFERROR(ROUND(#REF!/(((1/60)*(#REF!+#REF!*(#REF!+(#REF!*(Baseline_Results_NOINDIRECT!S$149/#REF!/#REF!)))))+INDEX(#REF!,MATCH(#REF!&amp;"Average duration (hrs) per trip",#REF!,0))),1),0)</f>
        <v>0</v>
      </c>
      <c r="T159" s="836">
        <f>IFERROR(ROUND(#REF!/(((1/60)*(#REF!+#REF!*(#REF!+(#REF!*(Baseline_Results_NOINDIRECT!T$149/#REF!/#REF!)))))+INDEX(#REF!,MATCH(#REF!&amp;"Average duration (hrs) per trip",#REF!,0))),1),0)</f>
        <v>0</v>
      </c>
      <c r="U159" s="836">
        <f>IFERROR(ROUND(#REF!/(((1/60)*(#REF!+#REF!*(#REF!+(#REF!*(Baseline_Results_NOINDIRECT!U$149/#REF!/#REF!)))))+INDEX(#REF!,MATCH(#REF!&amp;"Average duration (hrs) per trip",#REF!,0))),1),0)</f>
        <v>0</v>
      </c>
      <c r="V159" s="836">
        <f>IFERROR(ROUND(#REF!/(((1/60)*(#REF!+#REF!*(#REF!+(#REF!*(Baseline_Results_NOINDIRECT!V$149/#REF!/#REF!)))))+INDEX(#REF!,MATCH(#REF!&amp;"Average duration (hrs) per trip",#REF!,0))),1),0)</f>
        <v>0</v>
      </c>
      <c r="W159" s="836">
        <f>IFERROR(ROUND(#REF!/(((1/60)*(#REF!+#REF!*(#REF!+(#REF!*(Baseline_Results_NOINDIRECT!W$149/#REF!/#REF!)))))+INDEX(#REF!,MATCH(#REF!&amp;"Average duration (hrs) per trip",#REF!,0))),1),0)</f>
        <v>0</v>
      </c>
      <c r="X159" s="36"/>
      <c r="Y159" s="36"/>
      <c r="Z159" s="36"/>
      <c r="AA159" s="36"/>
      <c r="AB159" s="36"/>
      <c r="AC159" s="36"/>
      <c r="AD159" s="36"/>
      <c r="AE159" s="36"/>
      <c r="AF159" s="36"/>
      <c r="AG159" s="36"/>
      <c r="AH159" s="36"/>
      <c r="AI159" s="36"/>
      <c r="AJ159" s="36"/>
      <c r="AK159" s="36"/>
      <c r="AL159" s="36"/>
      <c r="AM159" s="36"/>
    </row>
    <row r="160" spans="6:39" ht="15" customHeight="1" outlineLevel="1">
      <c r="F160" s="883"/>
      <c r="G160" s="6" t="s">
        <v>141</v>
      </c>
      <c r="H160" s="836"/>
      <c r="I160" s="836">
        <f>IFERROR(MIN(ROUND(I159*#REF!,0),I157),0)</f>
        <v>0</v>
      </c>
      <c r="J160" s="836">
        <f>IFERROR(MIN(ROUND(J159*#REF!,0),J157),0)</f>
        <v>0</v>
      </c>
      <c r="K160" s="836">
        <f>IFERROR(MIN(ROUND(K159*#REF!,0),K157),0)</f>
        <v>0</v>
      </c>
      <c r="L160" s="836">
        <f>IFERROR(MIN(ROUND(L159*#REF!,0),L157),0)</f>
        <v>0</v>
      </c>
      <c r="M160" s="836">
        <f>IFERROR(MIN(ROUND(M159*#REF!,0),M157),0)</f>
        <v>0</v>
      </c>
      <c r="N160" s="836">
        <f>IFERROR(MIN(ROUND(N159*#REF!,0),N157),0)</f>
        <v>0</v>
      </c>
      <c r="O160" s="836">
        <f>IFERROR(MIN(ROUND(O159*#REF!,0),O157),0)</f>
        <v>0</v>
      </c>
      <c r="P160" s="836">
        <f>IFERROR(MIN(ROUND(P159*#REF!,0),P157),0)</f>
        <v>0</v>
      </c>
      <c r="Q160" s="836">
        <f>IFERROR(MIN(ROUND(Q159*#REF!,0),Q157),0)</f>
        <v>0</v>
      </c>
      <c r="R160" s="836">
        <f>IFERROR(MIN(ROUND(R159*#REF!,0),R157),0)</f>
        <v>0</v>
      </c>
      <c r="S160" s="836">
        <f>IFERROR(MIN(ROUND(S159*#REF!,0),S157),0)</f>
        <v>0</v>
      </c>
      <c r="T160" s="836">
        <f>IFERROR(MIN(ROUND(T159*#REF!,0),T157),0)</f>
        <v>0</v>
      </c>
      <c r="U160" s="836">
        <f>IFERROR(MIN(ROUND(U159*#REF!,0),U157),0)</f>
        <v>0</v>
      </c>
      <c r="V160" s="836">
        <f>IFERROR(MIN(ROUND(V159*#REF!,0),V157),0)</f>
        <v>0</v>
      </c>
      <c r="W160" s="836">
        <f>IFERROR(MIN(ROUND(W159*#REF!,0),W157),0)</f>
        <v>0</v>
      </c>
      <c r="X160" s="36"/>
      <c r="Y160" s="36"/>
      <c r="Z160" s="36"/>
      <c r="AA160" s="36"/>
      <c r="AB160" s="36"/>
      <c r="AC160" s="36"/>
      <c r="AD160" s="36"/>
      <c r="AE160" s="36"/>
      <c r="AF160" s="36"/>
      <c r="AG160" s="36"/>
      <c r="AH160" s="36"/>
      <c r="AI160" s="36"/>
      <c r="AJ160" s="36"/>
      <c r="AK160" s="36"/>
      <c r="AL160" s="36"/>
      <c r="AM160" s="36"/>
    </row>
    <row r="161" spans="6:39" ht="15" customHeight="1" outlineLevel="1">
      <c r="F161" s="883"/>
      <c r="G161" s="6" t="s">
        <v>143</v>
      </c>
      <c r="H161" s="836"/>
      <c r="I161" s="836">
        <f t="shared" ref="I161:W161" si="26">IFERROR(ROUNDUP(I156/I160,0),0)</f>
        <v>0</v>
      </c>
      <c r="J161" s="836">
        <f t="shared" si="26"/>
        <v>0</v>
      </c>
      <c r="K161" s="836">
        <f t="shared" si="26"/>
        <v>0</v>
      </c>
      <c r="L161" s="836">
        <f t="shared" si="26"/>
        <v>0</v>
      </c>
      <c r="M161" s="836">
        <f t="shared" si="26"/>
        <v>0</v>
      </c>
      <c r="N161" s="836">
        <f t="shared" si="26"/>
        <v>0</v>
      </c>
      <c r="O161" s="836">
        <f t="shared" si="26"/>
        <v>0</v>
      </c>
      <c r="P161" s="836">
        <f t="shared" si="26"/>
        <v>0</v>
      </c>
      <c r="Q161" s="836">
        <f t="shared" si="26"/>
        <v>0</v>
      </c>
      <c r="R161" s="836">
        <f t="shared" si="26"/>
        <v>0</v>
      </c>
      <c r="S161" s="836">
        <f t="shared" si="26"/>
        <v>0</v>
      </c>
      <c r="T161" s="836">
        <f t="shared" si="26"/>
        <v>0</v>
      </c>
      <c r="U161" s="836">
        <f t="shared" si="26"/>
        <v>0</v>
      </c>
      <c r="V161" s="836">
        <f t="shared" si="26"/>
        <v>0</v>
      </c>
      <c r="W161" s="836">
        <f t="shared" si="26"/>
        <v>0</v>
      </c>
      <c r="X161" s="36"/>
      <c r="Y161" s="36"/>
      <c r="Z161" s="36"/>
      <c r="AA161" s="36"/>
      <c r="AB161" s="36"/>
      <c r="AC161" s="36"/>
      <c r="AD161" s="36"/>
      <c r="AE161" s="36"/>
      <c r="AF161" s="36"/>
      <c r="AG161" s="36"/>
      <c r="AH161" s="36"/>
      <c r="AI161" s="36"/>
      <c r="AJ161" s="36"/>
      <c r="AK161" s="36"/>
      <c r="AL161" s="36"/>
      <c r="AM161" s="36"/>
    </row>
    <row r="162" spans="6:39" ht="15" customHeight="1" outlineLevel="1">
      <c r="F162" s="883"/>
      <c r="G162" s="6" t="s">
        <v>144</v>
      </c>
      <c r="H162" s="836"/>
      <c r="I162" s="836">
        <f t="shared" ref="I162:W162" si="27">IFERROR((I161*(MAX(I160,1)+1)),0)</f>
        <v>0</v>
      </c>
      <c r="J162" s="836">
        <f t="shared" si="27"/>
        <v>0</v>
      </c>
      <c r="K162" s="836">
        <f t="shared" si="27"/>
        <v>0</v>
      </c>
      <c r="L162" s="836">
        <f t="shared" si="27"/>
        <v>0</v>
      </c>
      <c r="M162" s="836">
        <f t="shared" si="27"/>
        <v>0</v>
      </c>
      <c r="N162" s="836">
        <f t="shared" si="27"/>
        <v>0</v>
      </c>
      <c r="O162" s="836">
        <f t="shared" si="27"/>
        <v>0</v>
      </c>
      <c r="P162" s="836">
        <f t="shared" si="27"/>
        <v>0</v>
      </c>
      <c r="Q162" s="836">
        <f t="shared" si="27"/>
        <v>0</v>
      </c>
      <c r="R162" s="836">
        <f t="shared" si="27"/>
        <v>0</v>
      </c>
      <c r="S162" s="836">
        <f t="shared" si="27"/>
        <v>0</v>
      </c>
      <c r="T162" s="836">
        <f t="shared" si="27"/>
        <v>0</v>
      </c>
      <c r="U162" s="836">
        <f t="shared" si="27"/>
        <v>0</v>
      </c>
      <c r="V162" s="836">
        <f t="shared" si="27"/>
        <v>0</v>
      </c>
      <c r="W162" s="836">
        <f t="shared" si="27"/>
        <v>0</v>
      </c>
      <c r="X162" s="36"/>
      <c r="Y162" s="36"/>
      <c r="Z162" s="36"/>
      <c r="AA162" s="36"/>
      <c r="AB162" s="36"/>
      <c r="AC162" s="36"/>
      <c r="AD162" s="36"/>
      <c r="AE162" s="36"/>
      <c r="AF162" s="36"/>
      <c r="AG162" s="36"/>
      <c r="AH162" s="36"/>
      <c r="AI162" s="36"/>
      <c r="AJ162" s="242"/>
      <c r="AK162" s="36"/>
      <c r="AL162" s="36"/>
      <c r="AM162" s="36"/>
    </row>
    <row r="163" spans="6:39" ht="15" customHeight="1" outlineLevel="1">
      <c r="F163" s="883"/>
      <c r="G163" s="6" t="s">
        <v>145</v>
      </c>
      <c r="H163" s="836"/>
      <c r="I163" s="836">
        <f>IFERROR(ROUNDUP(((I162*INDEX(#REF!,MATCH(#REF!&amp;"Average duration (hrs) per trip",#REF!,0)))+(I156*((1/60)*(#REF!+#REF!*(#REF!+(#REF!*(Baseline_Results_NOINDIRECT!I$149/#REF!/#REF!)))))))/#REF!,0),0)</f>
        <v>0</v>
      </c>
      <c r="J163" s="836">
        <f>IFERROR(ROUNDUP(((J162*INDEX(#REF!,MATCH(#REF!&amp;"Average duration (hrs) per trip",#REF!,0)))+(J156*((1/60)*(#REF!+#REF!*(#REF!+(#REF!*(Baseline_Results_NOINDIRECT!J$149/#REF!/#REF!)))))))/#REF!,0),0)</f>
        <v>0</v>
      </c>
      <c r="K163" s="836">
        <f>IFERROR(ROUNDUP(((K162*INDEX(#REF!,MATCH(#REF!&amp;"Average duration (hrs) per trip",#REF!,0)))+(K156*((1/60)*(#REF!+#REF!*(#REF!+(#REF!*(Baseline_Results_NOINDIRECT!K$149/#REF!/#REF!)))))))/#REF!,0),0)</f>
        <v>0</v>
      </c>
      <c r="L163" s="836">
        <f>IFERROR(ROUNDUP(((L162*INDEX(#REF!,MATCH(#REF!&amp;"Average duration (hrs) per trip",#REF!,0)))+(L156*((1/60)*(#REF!+#REF!*(#REF!+(#REF!*(Baseline_Results_NOINDIRECT!L$149/#REF!/#REF!)))))))/#REF!,0),0)</f>
        <v>0</v>
      </c>
      <c r="M163" s="836">
        <f>IFERROR(ROUNDUP(((M162*INDEX(#REF!,MATCH(#REF!&amp;"Average duration (hrs) per trip",#REF!,0)))+(M156*((1/60)*(#REF!+#REF!*(#REF!+(#REF!*(Baseline_Results_NOINDIRECT!M$149/#REF!/#REF!)))))))/#REF!,0),0)</f>
        <v>0</v>
      </c>
      <c r="N163" s="836">
        <f>IFERROR(ROUNDUP(((N162*INDEX(#REF!,MATCH(#REF!&amp;"Average duration (hrs) per trip",#REF!,0)))+(N156*((1/60)*(#REF!+#REF!*(#REF!+(#REF!*(Baseline_Results_NOINDIRECT!N$149/#REF!/#REF!)))))))/#REF!,0),0)</f>
        <v>0</v>
      </c>
      <c r="O163" s="836">
        <f>IFERROR(ROUNDUP(((O162*INDEX(#REF!,MATCH(#REF!&amp;"Average duration (hrs) per trip",#REF!,0)))+(O156*((1/60)*(#REF!+#REF!*(#REF!+(#REF!*(Baseline_Results_NOINDIRECT!O$149/#REF!/#REF!)))))))/#REF!,0),0)</f>
        <v>0</v>
      </c>
      <c r="P163" s="836">
        <f>IFERROR(ROUNDUP(((P162*INDEX(#REF!,MATCH(#REF!&amp;"Average duration (hrs) per trip",#REF!,0)))+(P156*((1/60)*(#REF!+#REF!*(#REF!+(#REF!*(Baseline_Results_NOINDIRECT!P$149/#REF!/#REF!)))))))/#REF!,0),0)</f>
        <v>0</v>
      </c>
      <c r="Q163" s="836">
        <f>IFERROR(ROUNDUP(((Q162*INDEX(#REF!,MATCH(#REF!&amp;"Average duration (hrs) per trip",#REF!,0)))+(Q156*((1/60)*(#REF!+#REF!*(#REF!+(#REF!*(Baseline_Results_NOINDIRECT!Q$149/#REF!/#REF!)))))))/#REF!,0),0)</f>
        <v>0</v>
      </c>
      <c r="R163" s="836">
        <f>IFERROR(ROUNDUP(((R162*INDEX(#REF!,MATCH(#REF!&amp;"Average duration (hrs) per trip",#REF!,0)))+(R156*((1/60)*(#REF!+#REF!*(#REF!+(#REF!*(Baseline_Results_NOINDIRECT!R$149/#REF!/#REF!)))))))/#REF!,0),0)</f>
        <v>0</v>
      </c>
      <c r="S163" s="836">
        <f>IFERROR(ROUNDUP(((S162*INDEX(#REF!,MATCH(#REF!&amp;"Average duration (hrs) per trip",#REF!,0)))+(S156*((1/60)*(#REF!+#REF!*(#REF!+(#REF!*(Baseline_Results_NOINDIRECT!S$149/#REF!/#REF!)))))))/#REF!,0),0)</f>
        <v>0</v>
      </c>
      <c r="T163" s="836">
        <f>IFERROR(ROUNDUP(((T162*INDEX(#REF!,MATCH(#REF!&amp;"Average duration (hrs) per trip",#REF!,0)))+(T156*((1/60)*(#REF!+#REF!*(#REF!+(#REF!*(Baseline_Results_NOINDIRECT!T$149/#REF!/#REF!)))))))/#REF!,0),0)</f>
        <v>0</v>
      </c>
      <c r="U163" s="836">
        <f>IFERROR(ROUNDUP(((U162*INDEX(#REF!,MATCH(#REF!&amp;"Average duration (hrs) per trip",#REF!,0)))+(U156*((1/60)*(#REF!+#REF!*(#REF!+(#REF!*(Baseline_Results_NOINDIRECT!U$149/#REF!/#REF!)))))))/#REF!,0),0)</f>
        <v>0</v>
      </c>
      <c r="V163" s="836">
        <f>IFERROR(ROUNDUP(((V162*INDEX(#REF!,MATCH(#REF!&amp;"Average duration (hrs) per trip",#REF!,0)))+(V156*((1/60)*(#REF!+#REF!*(#REF!+(#REF!*(Baseline_Results_NOINDIRECT!V$149/#REF!/#REF!)))))))/#REF!,0),0)</f>
        <v>0</v>
      </c>
      <c r="W163" s="836">
        <f>IFERROR(ROUNDUP(((W162*INDEX(#REF!,MATCH(#REF!&amp;"Average duration (hrs) per trip",#REF!,0)))+(W156*((1/60)*(#REF!+#REF!*(#REF!+(#REF!*(Baseline_Results_NOINDIRECT!W$149/#REF!/#REF!)))))))/#REF!,0),0)</f>
        <v>0</v>
      </c>
      <c r="X163" s="36"/>
      <c r="Y163" s="36"/>
      <c r="Z163" s="36"/>
      <c r="AA163" s="36"/>
      <c r="AB163" s="36"/>
      <c r="AC163" s="36"/>
      <c r="AD163" s="36"/>
      <c r="AE163" s="36"/>
      <c r="AF163" s="36"/>
      <c r="AG163" s="36"/>
      <c r="AH163" s="36"/>
      <c r="AI163" s="36"/>
      <c r="AJ163" s="242"/>
      <c r="AK163" s="36"/>
      <c r="AL163" s="36"/>
      <c r="AM163" s="36"/>
    </row>
    <row r="164" spans="6:39" ht="15" customHeight="1" outlineLevel="1">
      <c r="F164" s="883"/>
      <c r="G164" s="241" t="s">
        <v>841</v>
      </c>
      <c r="H164" s="842"/>
      <c r="I164" s="842"/>
      <c r="J164" s="842"/>
      <c r="K164" s="842"/>
      <c r="L164" s="842"/>
      <c r="M164" s="842"/>
      <c r="N164" s="842"/>
      <c r="O164" s="842"/>
      <c r="P164" s="842"/>
      <c r="Q164" s="842"/>
      <c r="R164" s="853"/>
      <c r="S164" s="853"/>
      <c r="T164" s="842"/>
      <c r="U164" s="853"/>
      <c r="V164" s="853"/>
      <c r="W164" s="842"/>
      <c r="X164" s="36"/>
      <c r="Y164" s="36"/>
      <c r="Z164" s="36"/>
      <c r="AA164" s="36"/>
      <c r="AB164" s="36"/>
      <c r="AC164" s="36"/>
      <c r="AD164" s="36"/>
      <c r="AE164" s="36"/>
      <c r="AF164" s="36"/>
      <c r="AG164" s="36"/>
      <c r="AH164" s="36"/>
      <c r="AI164" s="36"/>
      <c r="AJ164" s="242"/>
      <c r="AK164" s="36"/>
      <c r="AL164" s="36"/>
      <c r="AM164" s="36"/>
    </row>
    <row r="165" spans="6:39" ht="15" customHeight="1" outlineLevel="1">
      <c r="F165" s="883"/>
      <c r="G165" s="6" t="s">
        <v>144</v>
      </c>
      <c r="H165" s="836"/>
      <c r="I165" s="836">
        <f t="shared" ref="I165:W165" si="28">IFERROR((I156/MIN(I157,1))*2,0)</f>
        <v>0</v>
      </c>
      <c r="J165" s="836">
        <f t="shared" si="28"/>
        <v>0</v>
      </c>
      <c r="K165" s="836">
        <f t="shared" si="28"/>
        <v>0</v>
      </c>
      <c r="L165" s="836">
        <f t="shared" si="28"/>
        <v>0</v>
      </c>
      <c r="M165" s="836">
        <f t="shared" si="28"/>
        <v>0</v>
      </c>
      <c r="N165" s="836">
        <f t="shared" si="28"/>
        <v>0</v>
      </c>
      <c r="O165" s="836">
        <f t="shared" si="28"/>
        <v>0</v>
      </c>
      <c r="P165" s="836">
        <f t="shared" si="28"/>
        <v>0</v>
      </c>
      <c r="Q165" s="836">
        <f t="shared" si="28"/>
        <v>0</v>
      </c>
      <c r="R165" s="836">
        <f t="shared" si="28"/>
        <v>0</v>
      </c>
      <c r="S165" s="836">
        <f t="shared" si="28"/>
        <v>0</v>
      </c>
      <c r="T165" s="836">
        <f t="shared" si="28"/>
        <v>0</v>
      </c>
      <c r="U165" s="836">
        <f t="shared" si="28"/>
        <v>0</v>
      </c>
      <c r="V165" s="836">
        <f t="shared" si="28"/>
        <v>0</v>
      </c>
      <c r="W165" s="836">
        <f t="shared" si="28"/>
        <v>0</v>
      </c>
      <c r="X165" s="36"/>
      <c r="Y165" s="36"/>
      <c r="Z165" s="36"/>
      <c r="AA165" s="36"/>
      <c r="AB165" s="36"/>
      <c r="AC165" s="36"/>
      <c r="AD165" s="36"/>
      <c r="AE165" s="36"/>
      <c r="AF165" s="36"/>
      <c r="AG165" s="36"/>
      <c r="AH165" s="36"/>
      <c r="AI165" s="36"/>
      <c r="AJ165" s="36"/>
      <c r="AK165" s="36"/>
      <c r="AL165" s="36"/>
      <c r="AM165" s="36"/>
    </row>
    <row r="166" spans="6:39" ht="15" customHeight="1" outlineLevel="1">
      <c r="F166" s="883"/>
      <c r="G166" s="6" t="s">
        <v>145</v>
      </c>
      <c r="H166" s="837"/>
      <c r="I166" s="837">
        <f>IFERROR(MAX(I156,ROUNDUP(((I165*INDEX(#REF!,MATCH(#REF!&amp;"Average duration (hrs) per trip",#REF!,0)))+(I156*((1/60)*(#REF!+#REF!*(#REF!+(#REF!*(Baseline_Results_NOINDIRECT!I$149/#REF!/#REF!)))))))/#REF!,0)),0)</f>
        <v>0</v>
      </c>
      <c r="J166" s="837">
        <f>IFERROR(MAX(J156,ROUNDUP(((J165*INDEX(#REF!,MATCH(#REF!&amp;"Average duration (hrs) per trip",#REF!,0)))+(J156*((1/60)*(#REF!+#REF!*(#REF!+(#REF!*(Baseline_Results_NOINDIRECT!J$149/#REF!/#REF!)))))))/#REF!,0)),0)</f>
        <v>0</v>
      </c>
      <c r="K166" s="837">
        <f>IFERROR(MAX(K156,ROUNDUP(((K165*INDEX(#REF!,MATCH(#REF!&amp;"Average duration (hrs) per trip",#REF!,0)))+(K156*((1/60)*(#REF!+#REF!*(#REF!+(#REF!*(Baseline_Results_NOINDIRECT!K$149/#REF!/#REF!)))))))/#REF!,0)),0)</f>
        <v>0</v>
      </c>
      <c r="L166" s="837">
        <f>IFERROR(MAX(L156,ROUNDUP(((L165*INDEX(#REF!,MATCH(#REF!&amp;"Average duration (hrs) per trip",#REF!,0)))+(L156*((1/60)*(#REF!+#REF!*(#REF!+(#REF!*(Baseline_Results_NOINDIRECT!L$149/#REF!/#REF!)))))))/#REF!,0)),0)</f>
        <v>0</v>
      </c>
      <c r="M166" s="837">
        <f>IFERROR(MAX(M156,ROUNDUP(((M165*INDEX(#REF!,MATCH(#REF!&amp;"Average duration (hrs) per trip",#REF!,0)))+(M156*((1/60)*(#REF!+#REF!*(#REF!+(#REF!*(Baseline_Results_NOINDIRECT!M$149/#REF!/#REF!)))))))/#REF!,0)),0)</f>
        <v>0</v>
      </c>
      <c r="N166" s="837">
        <f>IFERROR(MAX(N156,ROUNDUP(((N165*INDEX(#REF!,MATCH(#REF!&amp;"Average duration (hrs) per trip",#REF!,0)))+(N156*((1/60)*(#REF!+#REF!*(#REF!+(#REF!*(Baseline_Results_NOINDIRECT!N$149/#REF!/#REF!)))))))/#REF!,0)),0)</f>
        <v>0</v>
      </c>
      <c r="O166" s="837">
        <f>IFERROR(MAX(O156,ROUNDUP(((O165*INDEX(#REF!,MATCH(#REF!&amp;"Average duration (hrs) per trip",#REF!,0)))+(O156*((1/60)*(#REF!+#REF!*(#REF!+(#REF!*(Baseline_Results_NOINDIRECT!O$149/#REF!/#REF!)))))))/#REF!,0)),0)</f>
        <v>0</v>
      </c>
      <c r="P166" s="837">
        <f>IFERROR(MAX(P156,ROUNDUP(((P165*INDEX(#REF!,MATCH(#REF!&amp;"Average duration (hrs) per trip",#REF!,0)))+(P156*((1/60)*(#REF!+#REF!*(#REF!+(#REF!*(Baseline_Results_NOINDIRECT!P$149/#REF!/#REF!)))))))/#REF!,0)),0)</f>
        <v>0</v>
      </c>
      <c r="Q166" s="837">
        <f>IFERROR(MAX(Q156,ROUNDUP(((Q165*INDEX(#REF!,MATCH(#REF!&amp;"Average duration (hrs) per trip",#REF!,0)))+(Q156*((1/60)*(#REF!+#REF!*(#REF!+(#REF!*(Baseline_Results_NOINDIRECT!Q$149/#REF!/#REF!)))))))/#REF!,0)),0)</f>
        <v>0</v>
      </c>
      <c r="R166" s="837">
        <f>IFERROR(MAX(R156,ROUNDUP(((R165*INDEX(#REF!,MATCH(#REF!&amp;"Average duration (hrs) per trip",#REF!,0)))+(R156*((1/60)*(#REF!+#REF!*(#REF!+(#REF!*(Baseline_Results_NOINDIRECT!R$149/#REF!/#REF!)))))))/#REF!,0)),0)</f>
        <v>0</v>
      </c>
      <c r="S166" s="837">
        <f>IFERROR(MAX(S156,ROUNDUP(((S165*INDEX(#REF!,MATCH(#REF!&amp;"Average duration (hrs) per trip",#REF!,0)))+(S156*((1/60)*(#REF!+#REF!*(#REF!+(#REF!*(Baseline_Results_NOINDIRECT!S$149/#REF!/#REF!)))))))/#REF!,0)),0)</f>
        <v>0</v>
      </c>
      <c r="T166" s="837">
        <f>IFERROR(MAX(T156,ROUNDUP(((T165*INDEX(#REF!,MATCH(#REF!&amp;"Average duration (hrs) per trip",#REF!,0)))+(T156*((1/60)*(#REF!+#REF!*(#REF!+(#REF!*(Baseline_Results_NOINDIRECT!T$149/#REF!/#REF!)))))))/#REF!,0)),0)</f>
        <v>0</v>
      </c>
      <c r="U166" s="837">
        <f>IFERROR(MAX(U156,ROUNDUP(((U165*INDEX(#REF!,MATCH(#REF!&amp;"Average duration (hrs) per trip",#REF!,0)))+(U156*((1/60)*(#REF!+#REF!*(#REF!+(#REF!*(Baseline_Results_NOINDIRECT!U$149/#REF!/#REF!)))))))/#REF!,0)),0)</f>
        <v>0</v>
      </c>
      <c r="V166" s="837">
        <f>IFERROR(MAX(V156,ROUNDUP(((V165*INDEX(#REF!,MATCH(#REF!&amp;"Average duration (hrs) per trip",#REF!,0)))+(V156*((1/60)*(#REF!+#REF!*(#REF!+(#REF!*(Baseline_Results_NOINDIRECT!V$149/#REF!/#REF!)))))))/#REF!,0)),0)</f>
        <v>0</v>
      </c>
      <c r="W166" s="837">
        <f>IFERROR(MAX(W156,ROUNDUP(((W165*INDEX(#REF!,MATCH(#REF!&amp;"Average duration (hrs) per trip",#REF!,0)))+(W156*((1/60)*(#REF!+#REF!*(#REF!+(#REF!*(Baseline_Results_NOINDIRECT!W$149/#REF!/#REF!)))))))/#REF!,0)),0)</f>
        <v>0</v>
      </c>
      <c r="X166" s="36"/>
      <c r="Y166" s="36"/>
      <c r="Z166" s="36"/>
      <c r="AA166" s="36"/>
      <c r="AB166" s="36"/>
      <c r="AC166" s="36"/>
      <c r="AD166" s="36"/>
      <c r="AE166" s="36"/>
      <c r="AF166" s="36"/>
      <c r="AG166" s="36"/>
      <c r="AH166" s="36"/>
      <c r="AI166" s="36"/>
      <c r="AJ166" s="36"/>
      <c r="AK166" s="36"/>
      <c r="AL166" s="36"/>
      <c r="AM166" s="36"/>
    </row>
    <row r="167" spans="6:39" ht="15" customHeight="1" outlineLevel="1">
      <c r="F167" s="884" t="s">
        <v>148</v>
      </c>
      <c r="G167" s="844"/>
      <c r="H167" s="848"/>
      <c r="I167" s="848"/>
      <c r="J167" s="848"/>
      <c r="K167" s="848"/>
      <c r="L167" s="848"/>
      <c r="M167" s="848"/>
      <c r="N167" s="848"/>
      <c r="O167" s="848"/>
      <c r="P167" s="848"/>
      <c r="Q167" s="848"/>
      <c r="R167" s="846"/>
      <c r="S167" s="846"/>
      <c r="T167" s="848"/>
      <c r="U167" s="846"/>
      <c r="V167" s="846"/>
      <c r="W167" s="848"/>
      <c r="X167" s="36"/>
      <c r="Y167" s="36"/>
      <c r="Z167" s="36"/>
      <c r="AA167" s="36"/>
      <c r="AB167" s="36"/>
      <c r="AC167" s="36"/>
      <c r="AD167" s="36"/>
      <c r="AE167" s="36"/>
      <c r="AF167" s="36"/>
      <c r="AG167" s="36"/>
      <c r="AH167" s="36"/>
      <c r="AI167" s="36"/>
      <c r="AJ167" s="242"/>
      <c r="AK167" s="36"/>
      <c r="AL167" s="36"/>
      <c r="AM167" s="36"/>
    </row>
    <row r="168" spans="6:39" ht="15" customHeight="1" outlineLevel="1">
      <c r="F168" s="886"/>
      <c r="G168" s="6" t="s">
        <v>151</v>
      </c>
      <c r="H168" s="836"/>
      <c r="I168" s="836">
        <f>IFERROR(IF(COUNTIF(#REF!,"Public Transport*")&lt;1,ROUND(#REF!*#REF!,0),0),0)</f>
        <v>0</v>
      </c>
      <c r="J168" s="836">
        <f>IFERROR(IF(COUNTIF(#REF!,"Public Transport*")&lt;1,ROUND(#REF!*#REF!,0),0),0)</f>
        <v>0</v>
      </c>
      <c r="K168" s="836">
        <f>IFERROR(IF(COUNTIF(#REF!,"Public Transport*")&lt;1,ROUND(#REF!*#REF!,0),0),0)</f>
        <v>0</v>
      </c>
      <c r="L168" s="836">
        <f>IFERROR(IF(COUNTIF(#REF!,"Public Transport*")&lt;1,ROUND(#REF!*#REF!,0),0),0)</f>
        <v>0</v>
      </c>
      <c r="M168" s="836">
        <f>IFERROR(IF(COUNTIF(#REF!,"Public Transport*")&lt;1,ROUND(#REF!*#REF!,0),0),0)</f>
        <v>0</v>
      </c>
      <c r="N168" s="836">
        <f>IFERROR(IF(COUNTIF(#REF!,"Public Transport*")&lt;1,ROUND(#REF!*#REF!,0),0),0)</f>
        <v>0</v>
      </c>
      <c r="O168" s="836">
        <f>IFERROR(IF(COUNTIF(#REF!,"Public Transport*")&lt;1,ROUND(#REF!*#REF!,0),0),0)</f>
        <v>0</v>
      </c>
      <c r="P168" s="836">
        <f>IFERROR(IF(COUNTIF(#REF!,"Public Transport*")&lt;1,ROUND(#REF!*#REF!,0),0),0)</f>
        <v>0</v>
      </c>
      <c r="Q168" s="836">
        <f>IFERROR(IF(COUNTIF(#REF!,"Public Transport*")&lt;1,ROUND(#REF!*#REF!,0),0),0)</f>
        <v>0</v>
      </c>
      <c r="R168" s="846"/>
      <c r="S168" s="846"/>
      <c r="T168" s="836">
        <f>IFERROR(IF(COUNTIF(#REF!,"Public Transport*")&lt;1,ROUND(#REF!*#REF!,0),0),0)</f>
        <v>0</v>
      </c>
      <c r="U168" s="846"/>
      <c r="V168" s="846"/>
      <c r="W168" s="836">
        <f>IFERROR(IF(COUNTIF(#REF!,"Public Transport*")&lt;1,ROUND(#REF!*#REF!,0),0),0)</f>
        <v>0</v>
      </c>
      <c r="X168" s="36"/>
      <c r="Y168" s="36"/>
      <c r="Z168" s="36"/>
      <c r="AA168" s="36"/>
      <c r="AB168" s="36"/>
      <c r="AC168" s="36"/>
      <c r="AD168" s="36"/>
      <c r="AE168" s="36"/>
      <c r="AF168" s="36"/>
      <c r="AG168" s="36"/>
      <c r="AH168" s="36"/>
      <c r="AI168" s="36"/>
      <c r="AJ168" s="242"/>
      <c r="AK168" s="36"/>
      <c r="AL168" s="36"/>
      <c r="AM168" s="36"/>
    </row>
    <row r="169" spans="6:39" ht="15" customHeight="1" outlineLevel="1">
      <c r="G169" s="6" t="s">
        <v>58</v>
      </c>
      <c r="H169" s="849"/>
      <c r="I169" s="849">
        <f>IFERROR(IF(#REF!="Route-based",#REF!*I178*I179,IF(#REF!="Point-to-point",I183*I184,0)),0)</f>
        <v>0</v>
      </c>
      <c r="J169" s="849">
        <f>IFERROR(IF(#REF!="Route-based",#REF!*J178*J179,IF(#REF!="Point-to-point",J183*J184,0)),0)</f>
        <v>0</v>
      </c>
      <c r="K169" s="849">
        <f>IFERROR(IF(#REF!="Route-based",K178*K179,IF(#REF!="Point-to-point",K183*K184,0)),0)</f>
        <v>0</v>
      </c>
      <c r="L169" s="849">
        <f>IFERROR(IF(#REF!="Route-based",#REF!*L178*L179,IF(#REF!="Point-to-point",L183*L184,0)),0)</f>
        <v>0</v>
      </c>
      <c r="M169" s="849">
        <f>IFERROR(IF(#REF!="Route-based",#REF!*M178*M179,IF(#REF!="Point-to-point",M183*M184,0)),0)</f>
        <v>0</v>
      </c>
      <c r="N169" s="849">
        <f>IFERROR(IF(#REF!="Route-based",N178*N179,IF(#REF!="Point-to-point",N183*N184,0)),0)</f>
        <v>0</v>
      </c>
      <c r="O169" s="849">
        <f>IFERROR(IF(#REF!="Route-based",O178*O179,IF(#REF!="Point-to-point",O183*O184,0)),0)</f>
        <v>0</v>
      </c>
      <c r="P169" s="849">
        <f>IFERROR(IF(#REF!="Route-based",P178*P179,IF(#REF!="Point-to-point",P183*P184,0)),0)</f>
        <v>0</v>
      </c>
      <c r="Q169" s="849">
        <f>IFERROR(IF(#REF!="Route-based",Q178*Q179,IF(#REF!="Point-to-point",Q183*Q184,0)),0)</f>
        <v>0</v>
      </c>
      <c r="R169" s="853" t="s">
        <v>594</v>
      </c>
      <c r="S169" s="853"/>
      <c r="T169" s="849">
        <f>IFERROR(IF(#REF!="Route-based",T178*T179,IF(#REF!="Point-to-point",T183*T184,0)),0)</f>
        <v>0</v>
      </c>
      <c r="U169" s="853"/>
      <c r="V169" s="853"/>
      <c r="W169" s="849">
        <f>IFERROR(IF(#REF!="Route-based",W178*W179,IF(#REF!="Point-to-point",W183*W184,0)),0)</f>
        <v>0</v>
      </c>
      <c r="X169" s="36"/>
      <c r="Y169" s="36"/>
      <c r="Z169" s="36"/>
      <c r="AA169" s="36"/>
      <c r="AB169" s="36"/>
      <c r="AC169" s="36"/>
      <c r="AD169" s="36"/>
      <c r="AE169" s="36"/>
      <c r="AF169" s="36"/>
      <c r="AG169" s="36"/>
      <c r="AH169" s="36"/>
      <c r="AI169" s="36"/>
      <c r="AJ169" s="36"/>
      <c r="AK169" s="36"/>
      <c r="AL169" s="36"/>
      <c r="AM169" s="36"/>
    </row>
    <row r="170" spans="6:39" ht="15" customHeight="1" outlineLevel="1">
      <c r="G170" s="6" t="s">
        <v>389</v>
      </c>
      <c r="H170" s="849"/>
      <c r="I170" s="849" t="str">
        <f>IFERROR(IF(#REF!="Route-based",I178,IF(#REF!="Point-to-point",I183,0)),"")</f>
        <v/>
      </c>
      <c r="J170" s="849" t="str">
        <f>IFERROR(IF(#REF!="Route-based",J178,IF(#REF!="Point-to-point",J183,0)),"")</f>
        <v/>
      </c>
      <c r="K170" s="849" t="str">
        <f>IFERROR(IF(#REF!="Route-based",K178,IF(#REF!="Point-to-point",K183,0)),"")</f>
        <v/>
      </c>
      <c r="L170" s="849" t="str">
        <f>IFERROR(IF(#REF!="Route-based",L178,IF(#REF!="Point-to-point",L183,0)),"")</f>
        <v/>
      </c>
      <c r="M170" s="849" t="str">
        <f>IFERROR(IF(#REF!="Route-based",M178,IF(#REF!="Point-to-point",M183,0)),"")</f>
        <v/>
      </c>
      <c r="N170" s="849" t="str">
        <f>IFERROR(IF(#REF!="Route-based",N178,IF(#REF!="Point-to-point",N183,0)),"")</f>
        <v/>
      </c>
      <c r="O170" s="849" t="str">
        <f>IFERROR(IF(#REF!="Route-based",O178,IF(#REF!="Point-to-point",O183,0)),"")</f>
        <v/>
      </c>
      <c r="P170" s="849" t="str">
        <f>IFERROR(IF(#REF!="Route-based",P178,IF(#REF!="Point-to-point",P183,0)),"")</f>
        <v/>
      </c>
      <c r="Q170" s="849" t="str">
        <f>IFERROR(IF(#REF!="Route-based",Q178,IF(#REF!="Point-to-point",Q183,0)),"")</f>
        <v/>
      </c>
      <c r="R170" s="853"/>
      <c r="S170" s="853"/>
      <c r="T170" s="849" t="str">
        <f>IFERROR(IF(#REF!="Route-based",T178,IF(#REF!="Point-to-point",T183,0)),"")</f>
        <v/>
      </c>
      <c r="U170" s="853"/>
      <c r="V170" s="853"/>
      <c r="W170" s="849" t="str">
        <f>IFERROR(IF(#REF!="Route-based",W178,IF(#REF!="Point-to-point",W183,0)),"")</f>
        <v/>
      </c>
      <c r="X170" s="36"/>
      <c r="Y170" s="36"/>
      <c r="Z170" s="36"/>
      <c r="AA170" s="36"/>
      <c r="AB170" s="36"/>
      <c r="AC170" s="36"/>
      <c r="AD170" s="36"/>
      <c r="AE170" s="36"/>
      <c r="AF170" s="36"/>
      <c r="AG170" s="36"/>
      <c r="AH170" s="36"/>
      <c r="AI170" s="36"/>
      <c r="AJ170" s="36"/>
      <c r="AK170" s="36"/>
      <c r="AL170" s="36"/>
      <c r="AM170" s="36"/>
    </row>
    <row r="171" spans="6:39" ht="15" customHeight="1" outlineLevel="1">
      <c r="G171" s="6" t="s">
        <v>49</v>
      </c>
      <c r="H171" s="849"/>
      <c r="I171" s="849">
        <f>IFERROR(IF(#REF!="Route-based",ROUND(I180*I178/#REF!,0),IF(#REF!="Point-to-point",ROUND(((I183*((1/60)*(#REF!+#REF!*(#REF!+(#REF!*(MIN((Baseline_Results_NOINDIRECT!I$149/#REF!),INDEX(#REF!,MATCH(#REF!&amp;"Delivery Capacity (m^3)",#REF!,0)))/#REF!))))))+(I169/#REF!))/#REF!,0),0)),0)</f>
        <v>0</v>
      </c>
      <c r="J171" s="849">
        <f>IFERROR(IF(#REF!="Route-based",ROUND(J180*J178/#REF!,0),IF(#REF!="Point-to-point",ROUND(((J183*((1/60)*(#REF!+#REF!*(#REF!+(#REF!*(MIN((Baseline_Results_NOINDIRECT!J$149/#REF!),INDEX(#REF!,MATCH(#REF!&amp;"Delivery Capacity (m^3)",#REF!,0)))/#REF!))))))+(J169/#REF!))/#REF!,0),0)),0)</f>
        <v>0</v>
      </c>
      <c r="K171" s="849">
        <f>IFERROR(IF(#REF!="Route-based",ROUND(K180*K178/#REF!,0),IF(#REF!="Point-to-point",ROUND(((K183*((1/60)*(#REF!+#REF!*(#REF!+(#REF!*(MIN((Baseline_Results_NOINDIRECT!K$149/#REF!),INDEX(#REF!,MATCH(#REF!&amp;"Delivery Capacity (m^3)",#REF!,0)))/#REF!))))))+(K169/#REF!))/#REF!,0),0)),0)</f>
        <v>0</v>
      </c>
      <c r="L171" s="849">
        <f>IFERROR(IF(#REF!="Route-based",ROUND(L180*L178/#REF!,0),IF(#REF!="Point-to-point",ROUND(((L183*((1/60)*(#REF!+#REF!*(#REF!+(#REF!*(MIN((Baseline_Results_NOINDIRECT!L$149/#REF!),INDEX(#REF!,MATCH(#REF!&amp;"Delivery Capacity (m^3)",#REF!,0)))/#REF!))))))+(L169/#REF!))/#REF!,0),0)),0)</f>
        <v>0</v>
      </c>
      <c r="M171" s="849">
        <f>IFERROR(IF(#REF!="Route-based",ROUND(M180*M178/#REF!,0),IF(#REF!="Point-to-point",ROUND(((M183*((1/60)*(#REF!+#REF!*(#REF!+(#REF!*(MIN((Baseline_Results_NOINDIRECT!M$149/#REF!),INDEX(#REF!,MATCH(#REF!&amp;"Delivery Capacity (m^3)",#REF!,0)))/#REF!))))))+(M169/#REF!))/#REF!,0),0)),0)</f>
        <v>0</v>
      </c>
      <c r="N171" s="849">
        <f>IFERROR(IF(#REF!="Route-based",ROUND(N180*N178/#REF!,0),IF(#REF!="Point-to-point",ROUND(((N183*((1/60)*(#REF!+#REF!*(#REF!+(#REF!*(MIN((Baseline_Results_NOINDIRECT!N$149/#REF!),INDEX(#REF!,MATCH(#REF!&amp;"Delivery Capacity (m^3)",#REF!,0)))/#REF!))))))+(N169/#REF!))/#REF!,0),0)),0)</f>
        <v>0</v>
      </c>
      <c r="O171" s="849">
        <f>IFERROR(IF(#REF!="Route-based",ROUND(O180*O178/#REF!,0),IF(#REF!="Point-to-point",ROUND(((O183*((1/60)*(#REF!+#REF!*(#REF!+(#REF!*(MIN((Baseline_Results_NOINDIRECT!O$149/#REF!),INDEX(#REF!,MATCH(#REF!&amp;"Delivery Capacity (m^3)",#REF!,0)))/#REF!))))))+(O169/#REF!))/#REF!,0),0)),0)</f>
        <v>0</v>
      </c>
      <c r="P171" s="849">
        <f>IFERROR(IF(#REF!="Route-based",ROUND(P180*P178/#REF!,0),IF(#REF!="Point-to-point",ROUND(((P183*((1/60)*(#REF!+#REF!*(#REF!+(#REF!*(MIN((Baseline_Results_NOINDIRECT!P$149/#REF!),INDEX(#REF!,MATCH(#REF!&amp;"Delivery Capacity (m^3)",#REF!,0)))/#REF!))))))+(P169/#REF!))/#REF!,0),0)),0)</f>
        <v>0</v>
      </c>
      <c r="Q171" s="849">
        <f>IFERROR(IF(#REF!="Route-based",ROUND(Q180*Q178/#REF!,0),IF(#REF!="Point-to-point",ROUND(((Q183*((1/60)*(#REF!+#REF!*(#REF!+(#REF!*(MIN((Baseline_Results_NOINDIRECT!Q$149/#REF!),INDEX(#REF!,MATCH(#REF!&amp;"Delivery Capacity (m^3)",#REF!,0)))/#REF!))))))+(Q169/#REF!))/#REF!,0),0)),0)</f>
        <v>0</v>
      </c>
      <c r="R171" s="849">
        <f>IFERROR(IF(#REF!="Route-based",ROUND(R180*R178/#REF!,0),IF(#REF!="Point-to-point",ROUND(((R183*((1/60)*(#REF!+#REF!*(#REF!+(#REF!*(MIN((Baseline_Results_NOINDIRECT!R$149/#REF!),INDEX(#REF!,MATCH(#REF!&amp;"Delivery Capacity (m^3)",#REF!,0)))/#REF!))))))+(R169/#REF!))/#REF!,0),0)),0)</f>
        <v>0</v>
      </c>
      <c r="S171" s="849">
        <f>IFERROR(IF(#REF!="Route-based",ROUND(S180*S178/#REF!,0),IF(#REF!="Point-to-point",ROUND(((S183*((1/60)*(#REF!+#REF!*(#REF!+(#REF!*(MIN((Baseline_Results_NOINDIRECT!S$149/#REF!),INDEX(#REF!,MATCH(#REF!&amp;"Delivery Capacity (m^3)",#REF!,0)))/#REF!))))))+(S169/#REF!))/#REF!,0),0)),0)</f>
        <v>0</v>
      </c>
      <c r="T171" s="849">
        <f>IFERROR(IF(#REF!="Route-based",ROUND(T180*T178/#REF!,0),IF(#REF!="Point-to-point",ROUND(((T183*((1/60)*(#REF!+#REF!*(#REF!+(#REF!*(MIN((Baseline_Results_NOINDIRECT!T$149/#REF!),INDEX(#REF!,MATCH(#REF!&amp;"Delivery Capacity (m^3)",#REF!,0)))/#REF!))))))+(T169/#REF!))/#REF!,0),0)),0)</f>
        <v>0</v>
      </c>
      <c r="U171" s="849">
        <f>IFERROR(IF(#REF!="Route-based",ROUND(U180*U178/#REF!,0),IF(#REF!="Point-to-point",ROUND(((U183*((1/60)*(#REF!+#REF!*(#REF!+(#REF!*(MIN((Baseline_Results_NOINDIRECT!U$149/#REF!),INDEX(#REF!,MATCH(#REF!&amp;"Delivery Capacity (m^3)",#REF!,0)))/#REF!))))))+(U169/#REF!))/#REF!,0),0)),0)</f>
        <v>0</v>
      </c>
      <c r="V171" s="849">
        <f>IFERROR(IF(#REF!="Route-based",ROUND(V180*V178/#REF!,0),IF(#REF!="Point-to-point",ROUND(((V183*((1/60)*(#REF!+#REF!*(#REF!+(#REF!*(MIN((Baseline_Results_NOINDIRECT!V$149/#REF!),INDEX(#REF!,MATCH(#REF!&amp;"Delivery Capacity (m^3)",#REF!,0)))/#REF!))))))+(V169/#REF!))/#REF!,0),0)),0)</f>
        <v>0</v>
      </c>
      <c r="W171" s="849">
        <f>IFERROR(IF(#REF!="Route-based",ROUND(W180*W178/#REF!,0),IF(#REF!="Point-to-point",ROUND(((W183*((1/60)*(#REF!+#REF!*(#REF!+(#REF!*(MIN((Baseline_Results_NOINDIRECT!W$149/#REF!),INDEX(#REF!,MATCH(#REF!&amp;"Delivery Capacity (m^3)",#REF!,0)))/#REF!))))))+(W169/#REF!))/#REF!,0),0)),0)</f>
        <v>0</v>
      </c>
      <c r="X171" s="36"/>
      <c r="Y171" s="36"/>
      <c r="Z171" s="36"/>
      <c r="AA171" s="36"/>
      <c r="AB171" s="36"/>
      <c r="AC171" s="36"/>
      <c r="AD171" s="36"/>
      <c r="AE171" s="36"/>
      <c r="AF171" s="36"/>
      <c r="AG171" s="36"/>
      <c r="AH171" s="36"/>
      <c r="AI171" s="36"/>
      <c r="AJ171" s="36"/>
      <c r="AK171" s="36"/>
      <c r="AL171" s="36"/>
      <c r="AM171" s="36"/>
    </row>
    <row r="172" spans="6:39" ht="15" customHeight="1" outlineLevel="1">
      <c r="G172" s="6" t="s">
        <v>189</v>
      </c>
      <c r="H172" s="850"/>
      <c r="I172" s="850">
        <f>IFERROR(IF(#REF!="Route-based",(Baseline_Results_NOINDIRECT!I$149*I168)/(I178*INDEX(#REF!,MATCH(#REF!&amp;"Delivery Capacity (m^3)",#REF!,0))),IF(#REF!="Point-to-point",(Baseline_Results_NOINDIRECT!I$149*I168)/(I183*INDEX(#REF!,MATCH(#REF!&amp;"Delivery Capacity (m^3)",#REF!,0))),0)),0)</f>
        <v>0</v>
      </c>
      <c r="J172" s="850">
        <f>IFERROR(IF(#REF!="Route-based",(Baseline_Results_NOINDIRECT!J$149*J168)/(J178*INDEX(#REF!,MATCH(#REF!&amp;"Delivery Capacity (m^3)",#REF!,0))),IF(#REF!="Point-to-point",(Baseline_Results_NOINDIRECT!J$149*J168)/(J183*INDEX(#REF!,MATCH(#REF!&amp;"Delivery Capacity (m^3)",#REF!,0))),0)),0)</f>
        <v>0</v>
      </c>
      <c r="K172" s="850">
        <f>IFERROR(IF(#REF!="Route-based",(Baseline_Results_NOINDIRECT!K$149*K168)/(K178*INDEX(#REF!,MATCH(#REF!&amp;"Delivery Capacity (m^3)",#REF!,0))),IF(#REF!="Point-to-point",(Baseline_Results_NOINDIRECT!K$149*K168)/(K183*INDEX(#REF!,MATCH(#REF!&amp;"Delivery Capacity (m^3)",#REF!,0))),0)),0)</f>
        <v>0</v>
      </c>
      <c r="L172" s="850">
        <f>IFERROR(IF(#REF!="Route-based",(Baseline_Results_NOINDIRECT!L$149*L168)/(L178*INDEX(#REF!,MATCH(#REF!&amp;"Delivery Capacity (m^3)",#REF!,0))),IF(#REF!="Point-to-point",(Baseline_Results_NOINDIRECT!L$149*L168)/(L183*INDEX(#REF!,MATCH(#REF!&amp;"Delivery Capacity (m^3)",#REF!,0))),0)),0)</f>
        <v>0</v>
      </c>
      <c r="M172" s="850">
        <f>IFERROR(IF(#REF!="Route-based",(Baseline_Results_NOINDIRECT!M$149*M168)/(M178*INDEX(#REF!,MATCH(#REF!&amp;"Delivery Capacity (m^3)",#REF!,0))),IF(#REF!="Point-to-point",(Baseline_Results_NOINDIRECT!M$149*M168)/(M183*INDEX(#REF!,MATCH(#REF!&amp;"Delivery Capacity (m^3)",#REF!,0))),0)),0)</f>
        <v>0</v>
      </c>
      <c r="N172" s="850">
        <f>IFERROR(IF(#REF!="Route-based",(Baseline_Results_NOINDIRECT!N$149*N168)/(N178*INDEX(#REF!,MATCH(#REF!&amp;"Delivery Capacity (m^3)",#REF!,0))),IF(#REF!="Point-to-point",(Baseline_Results_NOINDIRECT!N$149*N168)/(N183*INDEX(#REF!,MATCH(#REF!&amp;"Delivery Capacity (m^3)",#REF!,0))),0)),0)</f>
        <v>0</v>
      </c>
      <c r="O172" s="850">
        <f>IFERROR(IF(#REF!="Route-based",(Baseline_Results_NOINDIRECT!O$149*O168)/(O178*INDEX(#REF!,MATCH(#REF!&amp;"Delivery Capacity (m^3)",#REF!,0))),IF(#REF!="Point-to-point",(Baseline_Results_NOINDIRECT!O$149*O168)/(O183*INDEX(#REF!,MATCH(#REF!&amp;"Delivery Capacity (m^3)",#REF!,0))),0)),0)</f>
        <v>0</v>
      </c>
      <c r="P172" s="850">
        <f>IFERROR(IF(#REF!="Route-based",(Baseline_Results_NOINDIRECT!P$149*P168)/(P178*INDEX(#REF!,MATCH(#REF!&amp;"Delivery Capacity (m^3)",#REF!,0))),IF(#REF!="Point-to-point",(Baseline_Results_NOINDIRECT!P$149*P168)/(P183*INDEX(#REF!,MATCH(#REF!&amp;"Delivery Capacity (m^3)",#REF!,0))),0)),0)</f>
        <v>0</v>
      </c>
      <c r="Q172" s="850">
        <f>IFERROR(IF(#REF!="Route-based",(Baseline_Results_NOINDIRECT!Q$149*Q168)/(Q178*INDEX(#REF!,MATCH(#REF!&amp;"Delivery Capacity (m^3)",#REF!,0))),IF(#REF!="Point-to-point",(Baseline_Results_NOINDIRECT!Q$149*Q168)/(Q183*INDEX(#REF!,MATCH(#REF!&amp;"Delivery Capacity (m^3)",#REF!,0))),0)),0)</f>
        <v>0</v>
      </c>
      <c r="R172" s="850">
        <f>IFERROR(IF(#REF!="Route-based",(Baseline_Results_NOINDIRECT!R$149*R168)/(R178*INDEX(#REF!,MATCH(#REF!&amp;"Delivery Capacity (m^3)",#REF!,0))),IF(#REF!="Point-to-point",(Baseline_Results_NOINDIRECT!R$149*R168)/(R183*INDEX(#REF!,MATCH(#REF!&amp;"Delivery Capacity (m^3)",#REF!,0))),0)),0)</f>
        <v>0</v>
      </c>
      <c r="S172" s="850">
        <f>IFERROR(IF(#REF!="Route-based",(Baseline_Results_NOINDIRECT!S$149*S168)/(S178*INDEX(#REF!,MATCH(#REF!&amp;"Delivery Capacity (m^3)",#REF!,0))),IF(#REF!="Point-to-point",(Baseline_Results_NOINDIRECT!S$149*S168)/(S183*INDEX(#REF!,MATCH(#REF!&amp;"Delivery Capacity (m^3)",#REF!,0))),0)),0)</f>
        <v>0</v>
      </c>
      <c r="T172" s="850">
        <f>IFERROR(IF(#REF!="Route-based",(Baseline_Results_NOINDIRECT!T$149*T168)/(T178*INDEX(#REF!,MATCH(#REF!&amp;"Delivery Capacity (m^3)",#REF!,0))),IF(#REF!="Point-to-point",(Baseline_Results_NOINDIRECT!T$149*T168)/(T183*INDEX(#REF!,MATCH(#REF!&amp;"Delivery Capacity (m^3)",#REF!,0))),0)),0)</f>
        <v>0</v>
      </c>
      <c r="U172" s="850">
        <f>IFERROR(IF(#REF!="Route-based",(Baseline_Results_NOINDIRECT!U$149*U168)/(U178*INDEX(#REF!,MATCH(#REF!&amp;"Delivery Capacity (m^3)",#REF!,0))),IF(#REF!="Point-to-point",(Baseline_Results_NOINDIRECT!U$149*U168)/(U183*INDEX(#REF!,MATCH(#REF!&amp;"Delivery Capacity (m^3)",#REF!,0))),0)),0)</f>
        <v>0</v>
      </c>
      <c r="V172" s="850">
        <f>IFERROR(IF(#REF!="Route-based",(Baseline_Results_NOINDIRECT!V$149*V168)/(V178*INDEX(#REF!,MATCH(#REF!&amp;"Delivery Capacity (m^3)",#REF!,0))),IF(#REF!="Point-to-point",(Baseline_Results_NOINDIRECT!V$149*V168)/(V183*INDEX(#REF!,MATCH(#REF!&amp;"Delivery Capacity (m^3)",#REF!,0))),0)),0)</f>
        <v>0</v>
      </c>
      <c r="W172" s="850">
        <f>IFERROR(IF(#REF!="Route-based",(Baseline_Results_NOINDIRECT!W$149*W168)/(W178*INDEX(#REF!,MATCH(#REF!&amp;"Delivery Capacity (m^3)",#REF!,0))),IF(#REF!="Point-to-point",(Baseline_Results_NOINDIRECT!W$149*W168)/(W183*INDEX(#REF!,MATCH(#REF!&amp;"Delivery Capacity (m^3)",#REF!,0))),0)),0)</f>
        <v>0</v>
      </c>
      <c r="X172" s="36"/>
      <c r="Y172" s="36"/>
      <c r="Z172" s="36"/>
      <c r="AA172" s="36"/>
      <c r="AB172" s="36"/>
      <c r="AC172" s="36"/>
      <c r="AD172" s="36"/>
      <c r="AE172" s="36"/>
      <c r="AF172" s="36"/>
      <c r="AG172" s="36"/>
      <c r="AH172" s="36"/>
      <c r="AI172" s="36"/>
      <c r="AJ172" s="36" t="s">
        <v>198</v>
      </c>
      <c r="AK172" s="36"/>
      <c r="AL172" s="36"/>
      <c r="AM172" s="36"/>
    </row>
    <row r="173" spans="6:39" ht="15" customHeight="1" outlineLevel="1">
      <c r="G173" s="6" t="s">
        <v>201</v>
      </c>
      <c r="H173" s="850"/>
      <c r="I173" s="850">
        <f>IFERROR(IF(#REF!="Route-based",I178/I181,IF(#REF!="Point-to-point",I183/I185,0)),0)</f>
        <v>0</v>
      </c>
      <c r="J173" s="850">
        <f>IFERROR(IF(#REF!="Route-based",J178/J181,IF(#REF!="Point-to-point",J183/J185,0)),0)</f>
        <v>0</v>
      </c>
      <c r="K173" s="850">
        <f>IFERROR(IF(#REF!="Route-based",K178/K181,IF(#REF!="Point-to-point",K183/K185,0)),0)</f>
        <v>0</v>
      </c>
      <c r="L173" s="850">
        <f>IFERROR(IF(#REF!="Route-based",L178/L181,IF(#REF!="Point-to-point",L183/L185,0)),0)</f>
        <v>0</v>
      </c>
      <c r="M173" s="850">
        <f>IFERROR(IF(#REF!="Route-based",M178/M181,IF(#REF!="Point-to-point",M183/M185,0)),0)</f>
        <v>0</v>
      </c>
      <c r="N173" s="850">
        <f>IFERROR(IF(#REF!="Route-based",N178/N181,IF(#REF!="Point-to-point",N183/N185,0)),0)</f>
        <v>0</v>
      </c>
      <c r="O173" s="850">
        <f>IFERROR(IF(#REF!="Route-based",O178/O181,IF(#REF!="Point-to-point",O183/O185,0)),0)</f>
        <v>0</v>
      </c>
      <c r="P173" s="850">
        <f>IFERROR(IF(#REF!="Route-based",P178/P181,IF(#REF!="Point-to-point",P183/P185,0)),0)</f>
        <v>0</v>
      </c>
      <c r="Q173" s="850">
        <f>IFERROR(IF(#REF!="Route-based",Q178/Q181,IF(#REF!="Point-to-point",Q183/Q185,0)),0)</f>
        <v>0</v>
      </c>
      <c r="R173" s="850">
        <f>IFERROR(IF(#REF!="Route-based",R178/R181,IF(#REF!="Point-to-point",R183/R185,0)),0)</f>
        <v>0</v>
      </c>
      <c r="S173" s="850">
        <f>IFERROR(IF(#REF!="Route-based",S178/S181,IF(#REF!="Point-to-point",S183/S185,0)),0)</f>
        <v>0</v>
      </c>
      <c r="T173" s="850">
        <f>IFERROR(IF(#REF!="Route-based",T178/T181,IF(#REF!="Point-to-point",T183/T185,0)),0)</f>
        <v>0</v>
      </c>
      <c r="U173" s="850">
        <f>IFERROR(IF(#REF!="Route-based",U178/U181,IF(#REF!="Point-to-point",U183/U185,0)),0)</f>
        <v>0</v>
      </c>
      <c r="V173" s="850">
        <f>IFERROR(IF(#REF!="Route-based",V178/V181,IF(#REF!="Point-to-point",V183/V185,0)),0)</f>
        <v>0</v>
      </c>
      <c r="W173" s="850">
        <f>IFERROR(IF(#REF!="Route-based",W178/W181,IF(#REF!="Point-to-point",W183/W185,0)),0)</f>
        <v>0</v>
      </c>
      <c r="X173" s="36"/>
      <c r="Y173" s="36"/>
      <c r="Z173" s="36"/>
      <c r="AA173" s="36"/>
      <c r="AB173" s="36"/>
      <c r="AC173" s="36"/>
      <c r="AD173" s="36"/>
      <c r="AE173" s="36"/>
      <c r="AF173" s="36"/>
      <c r="AG173" s="36"/>
      <c r="AH173" s="36"/>
      <c r="AI173" s="36"/>
      <c r="AJ173" s="36"/>
      <c r="AK173" s="36"/>
      <c r="AL173" s="36"/>
      <c r="AM173" s="36"/>
    </row>
    <row r="174" spans="6:39" ht="15" customHeight="1" outlineLevel="1">
      <c r="G174" s="241" t="s">
        <v>133</v>
      </c>
      <c r="H174" s="842"/>
      <c r="I174" s="842"/>
      <c r="J174" s="842"/>
      <c r="K174" s="842"/>
      <c r="L174" s="842"/>
      <c r="M174" s="842"/>
      <c r="N174" s="842"/>
      <c r="O174" s="842"/>
      <c r="P174" s="842"/>
      <c r="Q174" s="842"/>
      <c r="R174" s="853"/>
      <c r="S174" s="853"/>
      <c r="T174" s="842"/>
      <c r="U174" s="853"/>
      <c r="V174" s="853"/>
      <c r="W174" s="842"/>
      <c r="X174" s="36"/>
      <c r="Y174" s="36"/>
      <c r="Z174" s="36"/>
      <c r="AA174" s="36"/>
      <c r="AB174" s="36"/>
      <c r="AC174" s="36"/>
      <c r="AD174" s="36"/>
      <c r="AE174" s="36"/>
      <c r="AF174" s="36"/>
      <c r="AG174" s="36"/>
      <c r="AH174" s="36"/>
      <c r="AI174" s="36"/>
      <c r="AJ174" s="36"/>
      <c r="AK174" s="36"/>
      <c r="AL174" s="36"/>
      <c r="AM174" s="36"/>
    </row>
    <row r="175" spans="6:39" ht="15" customHeight="1" outlineLevel="1">
      <c r="G175" s="6" t="s">
        <v>127</v>
      </c>
      <c r="H175" s="838"/>
      <c r="I175" s="838">
        <f>IFERROR(INDEX(#REF!,MATCH(#REF!&amp;"Delivery Capacity (m^3)",#REF!,0))/(Baseline_Results_NOINDIRECT!I$149/#REF!),0)</f>
        <v>0</v>
      </c>
      <c r="J175" s="838">
        <f>IFERROR(INDEX(#REF!,MATCH(#REF!&amp;"Delivery Capacity (m^3)",#REF!,0))/(Baseline_Results_NOINDIRECT!J$149/#REF!),0)</f>
        <v>0</v>
      </c>
      <c r="K175" s="838">
        <f>IFERROR(INDEX(#REF!,MATCH(#REF!&amp;"Delivery Capacity (m^3)",#REF!,0))/(Baseline_Results_NOINDIRECT!K$149/#REF!),0)</f>
        <v>0</v>
      </c>
      <c r="L175" s="838">
        <f>IFERROR(INDEX(#REF!,MATCH(#REF!&amp;"Delivery Capacity (m^3)",#REF!,0))/(Baseline_Results_NOINDIRECT!L$149/#REF!),0)</f>
        <v>0</v>
      </c>
      <c r="M175" s="838">
        <f>IFERROR(INDEX(#REF!,MATCH(#REF!&amp;"Delivery Capacity (m^3)",#REF!,0))/(Baseline_Results_NOINDIRECT!M$149/#REF!),0)</f>
        <v>0</v>
      </c>
      <c r="N175" s="838">
        <f>IFERROR(INDEX(#REF!,MATCH(#REF!&amp;"Delivery Capacity (m^3)",#REF!,0))/(Baseline_Results_NOINDIRECT!N$149/#REF!),0)</f>
        <v>0</v>
      </c>
      <c r="O175" s="838">
        <f>IFERROR(INDEX(#REF!,MATCH(#REF!&amp;"Delivery Capacity (m^3)",#REF!,0))/(Baseline_Results_NOINDIRECT!O$149/#REF!),0)</f>
        <v>0</v>
      </c>
      <c r="P175" s="838">
        <f>IFERROR(INDEX(#REF!,MATCH(#REF!&amp;"Delivery Capacity (m^3)",#REF!,0))/(Baseline_Results_NOINDIRECT!P$149/#REF!),0)</f>
        <v>0</v>
      </c>
      <c r="Q175" s="838">
        <f>IFERROR(INDEX(#REF!,MATCH(#REF!&amp;"Delivery Capacity (m^3)",#REF!,0))/(Baseline_Results_NOINDIRECT!Q$149/#REF!),0)</f>
        <v>0</v>
      </c>
      <c r="R175" s="838">
        <f>IFERROR(INDEX(#REF!,MATCH(#REF!&amp;"Delivery Capacity (m^3)",#REF!,0))/(Baseline_Results_NOINDIRECT!R$149/#REF!),0)</f>
        <v>0</v>
      </c>
      <c r="S175" s="838">
        <f>IFERROR(INDEX(#REF!,MATCH(#REF!&amp;"Delivery Capacity (m^3)",#REF!,0))/(Baseline_Results_NOINDIRECT!S$149/#REF!),0)</f>
        <v>0</v>
      </c>
      <c r="T175" s="838">
        <f>IFERROR(INDEX(#REF!,MATCH(#REF!&amp;"Delivery Capacity (m^3)",#REF!,0))/(Baseline_Results_NOINDIRECT!T$149/#REF!),0)</f>
        <v>0</v>
      </c>
      <c r="U175" s="838">
        <f>IFERROR(INDEX(#REF!,MATCH(#REF!&amp;"Delivery Capacity (m^3)",#REF!,0))/(Baseline_Results_NOINDIRECT!U$149/#REF!),0)</f>
        <v>0</v>
      </c>
      <c r="V175" s="838">
        <f>IFERROR(INDEX(#REF!,MATCH(#REF!&amp;"Delivery Capacity (m^3)",#REF!,0))/(Baseline_Results_NOINDIRECT!V$149/#REF!),0)</f>
        <v>0</v>
      </c>
      <c r="W175" s="838">
        <f>IFERROR(INDEX(#REF!,MATCH(#REF!&amp;"Delivery Capacity (m^3)",#REF!,0))/(Baseline_Results_NOINDIRECT!W$149/#REF!),0)</f>
        <v>0</v>
      </c>
      <c r="X175" s="36"/>
      <c r="Y175" s="36"/>
      <c r="Z175" s="36"/>
      <c r="AA175" s="36"/>
      <c r="AB175" s="36"/>
      <c r="AC175" s="36"/>
      <c r="AD175" s="36"/>
      <c r="AE175" s="36"/>
      <c r="AF175" s="36"/>
      <c r="AG175" s="36"/>
      <c r="AH175" s="36"/>
      <c r="AI175" s="36"/>
      <c r="AJ175" s="36"/>
      <c r="AK175" s="36"/>
      <c r="AL175" s="36"/>
      <c r="AM175" s="36"/>
    </row>
    <row r="176" spans="6:39" ht="15" customHeight="1" outlineLevel="1" collapsed="1">
      <c r="G176" s="6" t="s">
        <v>128</v>
      </c>
      <c r="H176" s="838"/>
      <c r="I176" s="838">
        <f>IFERROR(((#REF!*#REF!)-(2*#REF!/#REF!)+(#REF!/#REF!))/(((1/60)*(#REF!+#REF!*(#REF!+(#REF!*(Baseline_Results_NOINDIRECT!I$149/#REF!/#REF!)))))+(#REF!/#REF!)),0)</f>
        <v>0</v>
      </c>
      <c r="J176" s="838">
        <f>IFERROR(((#REF!*#REF!)-(2*#REF!/#REF!)+(#REF!/#REF!))/(((1/60)*(#REF!+#REF!*(#REF!+(#REF!*(Baseline_Results_NOINDIRECT!J$149/#REF!/#REF!)))))+(#REF!/#REF!)),0)</f>
        <v>0</v>
      </c>
      <c r="K176" s="838">
        <f>IFERROR(((#REF!*#REF!)-(2*#REF!/#REF!)+(#REF!/#REF!))/(((1/60)*(#REF!+#REF!*(#REF!+(#REF!*(Baseline_Results_NOINDIRECT!K$149/#REF!/#REF!)))))+(#REF!/#REF!)),0)</f>
        <v>0</v>
      </c>
      <c r="L176" s="838">
        <f>IFERROR(((#REF!*#REF!)-(2*#REF!/#REF!)+(#REF!/#REF!))/(((1/60)*(#REF!+#REF!*(#REF!+(#REF!*(Baseline_Results_NOINDIRECT!L$149/#REF!/#REF!)))))+(#REF!/#REF!)),0)</f>
        <v>0</v>
      </c>
      <c r="M176" s="838">
        <f>IFERROR(((#REF!*#REF!)-(2*#REF!/#REF!)+(#REF!/#REF!))/(((1/60)*(#REF!+#REF!*(#REF!+(#REF!*(Baseline_Results_NOINDIRECT!M$149/#REF!/#REF!)))))+(#REF!/#REF!)),0)</f>
        <v>0</v>
      </c>
      <c r="N176" s="838">
        <f>IFERROR(((#REF!*#REF!)-(2*#REF!/#REF!)+(#REF!/#REF!))/(((1/60)*(#REF!+#REF!*(#REF!+(#REF!*(Baseline_Results_NOINDIRECT!N$149/#REF!/#REF!)))))+(#REF!/#REF!)),0)</f>
        <v>0</v>
      </c>
      <c r="O176" s="838">
        <f>IFERROR(((#REF!*#REF!)-(2*#REF!/#REF!)+(#REF!/#REF!))/(((1/60)*(#REF!+#REF!*(#REF!+(#REF!*(Baseline_Results_NOINDIRECT!O$149/#REF!/#REF!)))))+(#REF!/#REF!)),0)</f>
        <v>0</v>
      </c>
      <c r="P176" s="838">
        <f>IFERROR(((#REF!*#REF!)-(2*#REF!/#REF!)+(#REF!/#REF!))/(((1/60)*(#REF!+#REF!*(#REF!+(#REF!*(Baseline_Results_NOINDIRECT!P$149/#REF!/#REF!)))))+(#REF!/#REF!)),0)</f>
        <v>0</v>
      </c>
      <c r="Q176" s="838">
        <f>IFERROR(((#REF!*#REF!)-(2*#REF!/#REF!)+(#REF!/#REF!))/(((1/60)*(#REF!+#REF!*(#REF!+(#REF!*(Baseline_Results_NOINDIRECT!Q$149/#REF!/#REF!)))))+(#REF!/#REF!)),0)</f>
        <v>0</v>
      </c>
      <c r="R176" s="838">
        <f>IFERROR(((#REF!*#REF!)-(2*#REF!/#REF!)+(#REF!/#REF!))/(((1/60)*(#REF!+#REF!*(#REF!+(#REF!*(Baseline_Results_NOINDIRECT!R$149/#REF!/#REF!)))))+(#REF!/#REF!)),0)</f>
        <v>0</v>
      </c>
      <c r="S176" s="838">
        <f>IFERROR(((#REF!*#REF!)-(2*#REF!/#REF!)+(#REF!/#REF!))/(((1/60)*(#REF!+#REF!*(#REF!+(#REF!*(Baseline_Results_NOINDIRECT!S$149/#REF!/#REF!)))))+(#REF!/#REF!)),0)</f>
        <v>0</v>
      </c>
      <c r="T176" s="838">
        <f>IFERROR(((#REF!*#REF!)-(2*#REF!/#REF!)+(#REF!/#REF!))/(((1/60)*(#REF!+#REF!*(#REF!+(#REF!*(Baseline_Results_NOINDIRECT!T$149/#REF!/#REF!)))))+(#REF!/#REF!)),0)</f>
        <v>0</v>
      </c>
      <c r="U176" s="838">
        <f>IFERROR(((#REF!*#REF!)-(2*#REF!/#REF!)+(#REF!/#REF!))/(((1/60)*(#REF!+#REF!*(#REF!+(#REF!*(Baseline_Results_NOINDIRECT!U$149/#REF!/#REF!)))))+(#REF!/#REF!)),0)</f>
        <v>0</v>
      </c>
      <c r="V176" s="838">
        <f>IFERROR(((#REF!*#REF!)-(2*#REF!/#REF!)+(#REF!/#REF!))/(((1/60)*(#REF!+#REF!*(#REF!+(#REF!*(Baseline_Results_NOINDIRECT!V$149/#REF!/#REF!)))))+(#REF!/#REF!)),0)</f>
        <v>0</v>
      </c>
      <c r="W176" s="838">
        <f>IFERROR(((#REF!*#REF!)-(2*#REF!/#REF!)+(#REF!/#REF!))/(((1/60)*(#REF!+#REF!*(#REF!+(#REF!*(Baseline_Results_NOINDIRECT!W$149/#REF!/#REF!)))))+(#REF!/#REF!)),0)</f>
        <v>0</v>
      </c>
      <c r="X176" s="36"/>
      <c r="Y176" s="36"/>
      <c r="Z176" s="36"/>
      <c r="AA176" s="36"/>
      <c r="AB176" s="36"/>
      <c r="AC176" s="36"/>
      <c r="AD176" s="36"/>
      <c r="AE176" s="36"/>
      <c r="AF176" s="36"/>
      <c r="AG176" s="36"/>
      <c r="AH176" s="36"/>
      <c r="AI176" s="36"/>
      <c r="AJ176" s="36"/>
      <c r="AK176" s="36"/>
      <c r="AL176" s="36"/>
      <c r="AM176" s="36"/>
    </row>
    <row r="177" spans="6:39" ht="15" customHeight="1" outlineLevel="1">
      <c r="G177" s="6" t="s">
        <v>129</v>
      </c>
      <c r="H177" s="838"/>
      <c r="I177" s="838">
        <f t="shared" ref="I177:W177" si="29">IFERROR(MIN(I176,I175),0)</f>
        <v>0</v>
      </c>
      <c r="J177" s="838">
        <f t="shared" si="29"/>
        <v>0</v>
      </c>
      <c r="K177" s="838">
        <f t="shared" si="29"/>
        <v>0</v>
      </c>
      <c r="L177" s="838">
        <f t="shared" si="29"/>
        <v>0</v>
      </c>
      <c r="M177" s="838">
        <f t="shared" si="29"/>
        <v>0</v>
      </c>
      <c r="N177" s="838">
        <f t="shared" si="29"/>
        <v>0</v>
      </c>
      <c r="O177" s="838">
        <f t="shared" si="29"/>
        <v>0</v>
      </c>
      <c r="P177" s="838">
        <f t="shared" si="29"/>
        <v>0</v>
      </c>
      <c r="Q177" s="838">
        <f t="shared" si="29"/>
        <v>0</v>
      </c>
      <c r="R177" s="838">
        <f t="shared" si="29"/>
        <v>0</v>
      </c>
      <c r="S177" s="838">
        <f t="shared" si="29"/>
        <v>0</v>
      </c>
      <c r="T177" s="838">
        <f t="shared" si="29"/>
        <v>0</v>
      </c>
      <c r="U177" s="838">
        <f t="shared" si="29"/>
        <v>0</v>
      </c>
      <c r="V177" s="838">
        <f t="shared" si="29"/>
        <v>0</v>
      </c>
      <c r="W177" s="838">
        <f t="shared" si="29"/>
        <v>0</v>
      </c>
      <c r="X177" s="36"/>
      <c r="Y177" s="36"/>
      <c r="Z177" s="36"/>
      <c r="AA177" s="36"/>
      <c r="AB177" s="36"/>
      <c r="AC177" s="36"/>
      <c r="AD177" s="36"/>
      <c r="AE177" s="36"/>
      <c r="AF177" s="36"/>
      <c r="AG177" s="36"/>
      <c r="AH177" s="36"/>
      <c r="AI177" s="36"/>
      <c r="AJ177" s="36"/>
      <c r="AK177" s="36"/>
      <c r="AL177" s="36"/>
      <c r="AM177" s="36"/>
    </row>
    <row r="178" spans="6:39" ht="15" customHeight="1" outlineLevel="1">
      <c r="G178" s="6" t="s">
        <v>188</v>
      </c>
      <c r="H178" s="838"/>
      <c r="I178" s="838">
        <f>IFERROR(ROUND(I168*#REF!/I177,0),0)</f>
        <v>0</v>
      </c>
      <c r="J178" s="838">
        <f>IFERROR(ROUND(J168*#REF!/J177,0),0)</f>
        <v>0</v>
      </c>
      <c r="K178" s="838">
        <f>IFERROR(ROUND(K168*#REF!/K177,0),0)</f>
        <v>0</v>
      </c>
      <c r="L178" s="838">
        <f>IFERROR(ROUND(L168*#REF!/L177,0),0)</f>
        <v>0</v>
      </c>
      <c r="M178" s="838">
        <f>IFERROR(ROUND(M168*#REF!/M177,0),0)</f>
        <v>0</v>
      </c>
      <c r="N178" s="838">
        <f>IFERROR(ROUND(N168*#REF!/N177,0),0)</f>
        <v>0</v>
      </c>
      <c r="O178" s="838">
        <f>IFERROR(ROUND(O168*#REF!/O177,0),0)</f>
        <v>0</v>
      </c>
      <c r="P178" s="838">
        <f>IFERROR(ROUND(P168*#REF!/P177,0),0)</f>
        <v>0</v>
      </c>
      <c r="Q178" s="838">
        <f>IFERROR(ROUND(Q168*#REF!/Q177,0),0)</f>
        <v>0</v>
      </c>
      <c r="R178" s="838">
        <f>IFERROR(ROUND(R168*#REF!/R177,0),0)</f>
        <v>0</v>
      </c>
      <c r="S178" s="838">
        <f>IFERROR(ROUND(S168*#REF!/S177,0),0)</f>
        <v>0</v>
      </c>
      <c r="T178" s="838">
        <f>IFERROR(ROUND(T168*#REF!/T177,0),0)</f>
        <v>0</v>
      </c>
      <c r="U178" s="838">
        <f>IFERROR(ROUND(U168*#REF!/U177,0),0)</f>
        <v>0</v>
      </c>
      <c r="V178" s="838">
        <f>IFERROR(ROUND(V168*#REF!/V177,0),0)</f>
        <v>0</v>
      </c>
      <c r="W178" s="838">
        <f>IFERROR(ROUND(W168*#REF!/W177,0),0)</f>
        <v>0</v>
      </c>
      <c r="X178" s="36"/>
      <c r="Y178" s="36"/>
      <c r="Z178" s="36"/>
      <c r="AA178" s="36"/>
      <c r="AB178" s="36"/>
      <c r="AC178" s="36"/>
      <c r="AD178" s="36"/>
      <c r="AE178" s="36"/>
      <c r="AF178" s="36"/>
      <c r="AG178" s="36"/>
      <c r="AH178" s="36"/>
      <c r="AI178" s="36"/>
      <c r="AJ178" s="36"/>
      <c r="AK178" s="36"/>
      <c r="AL178" s="36"/>
      <c r="AM178" s="36"/>
    </row>
    <row r="179" spans="6:39" ht="15" customHeight="1" outlineLevel="1">
      <c r="G179" s="6" t="s">
        <v>88</v>
      </c>
      <c r="H179" s="838"/>
      <c r="I179" s="838">
        <f>IFERROR(IF(I168=0,0,(2*#REF!)+((MAX(I177,1)-1)*#REF!)),0)</f>
        <v>0</v>
      </c>
      <c r="J179" s="838">
        <f>IFERROR(IF(J168=0,0,(2*#REF!)+((MAX(J177,1)-1)*#REF!)),0)</f>
        <v>0</v>
      </c>
      <c r="K179" s="838">
        <f>IFERROR(IF(K168=0,0,(2*#REF!)+((MAX(K177,1)-1)*#REF!)),0)</f>
        <v>0</v>
      </c>
      <c r="L179" s="838">
        <f>IFERROR(IF(L168=0,0,(2*#REF!)+((MAX(L177,1)-1)*#REF!)),0)</f>
        <v>0</v>
      </c>
      <c r="M179" s="838">
        <f>IFERROR(IF(M168=0,0,(2*#REF!)+((MAX(M177,1)-1)*#REF!)),0)</f>
        <v>0</v>
      </c>
      <c r="N179" s="838">
        <f>IFERROR(IF(N168=0,0,(2*#REF!)+((MAX(N177,1)-1)*#REF!)),0)</f>
        <v>0</v>
      </c>
      <c r="O179" s="838">
        <f>IFERROR(IF(O168=0,0,(2*#REF!)+((MAX(O177,1)-1)*#REF!)),0)</f>
        <v>0</v>
      </c>
      <c r="P179" s="838">
        <f>IFERROR(IF(P168=0,0,(2*#REF!)+((MAX(P177,1)-1)*#REF!)),0)</f>
        <v>0</v>
      </c>
      <c r="Q179" s="838">
        <f>IFERROR(IF(Q168=0,0,(2*#REF!)+((MAX(Q177,1)-1)*#REF!)),0)</f>
        <v>0</v>
      </c>
      <c r="R179" s="838">
        <f>IFERROR(IF(R168=0,0,(2*#REF!)+((MAX(R177,1)-1)*#REF!)),0)</f>
        <v>0</v>
      </c>
      <c r="S179" s="838">
        <f>IFERROR(IF(S168=0,0,(2*#REF!)+((MAX(S177,1)-1)*#REF!)),0)</f>
        <v>0</v>
      </c>
      <c r="T179" s="838">
        <f>IFERROR(IF(T168=0,0,(2*#REF!)+((MAX(T177,1)-1)*#REF!)),0)</f>
        <v>0</v>
      </c>
      <c r="U179" s="838">
        <f>IFERROR(IF(U168=0,0,(2*#REF!)+((MAX(U177,1)-1)*#REF!)),0)</f>
        <v>0</v>
      </c>
      <c r="V179" s="838">
        <f>IFERROR(IF(V168=0,0,(2*#REF!)+((MAX(V177,1)-1)*#REF!)),0)</f>
        <v>0</v>
      </c>
      <c r="W179" s="838">
        <f>IFERROR(IF(W168=0,0,(2*#REF!)+((MAX(W177,1)-1)*#REF!)),0)</f>
        <v>0</v>
      </c>
      <c r="X179" s="36"/>
      <c r="Y179" s="36"/>
      <c r="Z179" s="36"/>
      <c r="AA179" s="36"/>
      <c r="AB179" s="36"/>
      <c r="AC179" s="36"/>
      <c r="AD179" s="36"/>
      <c r="AE179" s="36"/>
      <c r="AF179" s="36"/>
      <c r="AG179" s="36"/>
      <c r="AH179" s="36"/>
      <c r="AI179" s="36"/>
      <c r="AJ179" s="36"/>
      <c r="AK179" s="36"/>
      <c r="AL179" s="36"/>
      <c r="AM179" s="36"/>
    </row>
    <row r="180" spans="6:39" ht="15" customHeight="1" outlineLevel="1">
      <c r="G180" s="6" t="s">
        <v>199</v>
      </c>
      <c r="H180" s="838"/>
      <c r="I180" s="838">
        <f>IFERROR((ROUNDUP(I177,0)*(1/60)*#REF!)+(I177*((1/60)*(#REF!*(#REF!+(#REF!*(Baseline_Results_NOINDIRECT!I$149/#REF!/#REF!))))))+((2*#REF!)/#REF!)+(((MAX(I177,1)-1)*#REF!)/#REF!),0)</f>
        <v>0</v>
      </c>
      <c r="J180" s="838">
        <f>IFERROR((ROUNDUP(J177,0)*(1/60)*#REF!)+(J177*((1/60)*(#REF!*(#REF!+(#REF!*(Baseline_Results_NOINDIRECT!J$149/#REF!/#REF!))))))+((2*#REF!)/#REF!)+(((MAX(J177,1)-1)*#REF!)/#REF!),0)</f>
        <v>0</v>
      </c>
      <c r="K180" s="838">
        <f>IFERROR((ROUNDUP(K177,0)*(1/60)*#REF!)+(K177*((1/60)*(#REF!*(#REF!+(#REF!*(Baseline_Results_NOINDIRECT!K$149/#REF!/#REF!))))))+((2*#REF!)/#REF!)+(((MAX(K177,1)-1)*#REF!)/#REF!),0)</f>
        <v>0</v>
      </c>
      <c r="L180" s="838">
        <f>IFERROR((ROUNDUP(L177,0)*(1/60)*#REF!)+(L177*((1/60)*(#REF!*(#REF!+(#REF!*(Baseline_Results_NOINDIRECT!L$149/#REF!/#REF!))))))+((2*#REF!)/#REF!)+(((MAX(L177,1)-1)*#REF!)/#REF!),0)</f>
        <v>0</v>
      </c>
      <c r="M180" s="838">
        <f>IFERROR((ROUNDUP(M177,0)*(1/60)*#REF!)+(M177*((1/60)*(#REF!*(#REF!+(#REF!*(Baseline_Results_NOINDIRECT!M$149/#REF!/#REF!))))))+((2*#REF!)/#REF!)+(((MAX(M177,1)-1)*#REF!)/#REF!),0)</f>
        <v>0</v>
      </c>
      <c r="N180" s="838">
        <f>IFERROR((ROUNDUP(N177,0)*(1/60)*#REF!)+(N177*((1/60)*(#REF!*(#REF!+(#REF!*(Baseline_Results_NOINDIRECT!N$149/#REF!/#REF!))))))+((2*#REF!)/#REF!)+(((MAX(N177,1)-1)*#REF!)/#REF!),0)</f>
        <v>0</v>
      </c>
      <c r="O180" s="838">
        <f>IFERROR((ROUNDUP(O177,0)*(1/60)*#REF!)+(O177*((1/60)*(#REF!*(#REF!+(#REF!*(Baseline_Results_NOINDIRECT!O$149/#REF!/#REF!))))))+((2*#REF!)/#REF!)+(((MAX(O177,1)-1)*#REF!)/#REF!),0)</f>
        <v>0</v>
      </c>
      <c r="P180" s="838">
        <f>IFERROR((ROUNDUP(P177,0)*(1/60)*#REF!)+(P177*((1/60)*(#REF!*(#REF!+(#REF!*(Baseline_Results_NOINDIRECT!P$149/#REF!/#REF!))))))+((2*#REF!)/#REF!)+(((MAX(P177,1)-1)*#REF!)/#REF!),0)</f>
        <v>0</v>
      </c>
      <c r="Q180" s="838">
        <f>IFERROR((ROUNDUP(Q177,0)*(1/60)*#REF!)+(Q177*((1/60)*(#REF!*(#REF!+(#REF!*(Baseline_Results_NOINDIRECT!Q$149/#REF!/#REF!))))))+((2*#REF!)/#REF!)+(((MAX(Q177,1)-1)*#REF!)/#REF!),0)</f>
        <v>0</v>
      </c>
      <c r="R180" s="838">
        <f>IFERROR((ROUNDUP(R177,0)*(1/60)*#REF!)+(R177*((1/60)*(#REF!*(#REF!+(#REF!*(Baseline_Results_NOINDIRECT!R$149/#REF!/#REF!))))))+((2*#REF!)/#REF!)+(((MAX(R177,1)-1)*#REF!)/#REF!),0)</f>
        <v>0</v>
      </c>
      <c r="S180" s="838">
        <f>IFERROR((ROUNDUP(S177,0)*(1/60)*#REF!)+(S177*((1/60)*(#REF!*(#REF!+(#REF!*(Baseline_Results_NOINDIRECT!S$149/#REF!/#REF!))))))+((2*#REF!)/#REF!)+(((MAX(S177,1)-1)*#REF!)/#REF!),0)</f>
        <v>0</v>
      </c>
      <c r="T180" s="838">
        <f>IFERROR((ROUNDUP(T177,0)*(1/60)*#REF!)+(T177*((1/60)*(#REF!*(#REF!+(#REF!*(Baseline_Results_NOINDIRECT!T$149/#REF!/#REF!))))))+((2*#REF!)/#REF!)+(((MAX(T177,1)-1)*#REF!)/#REF!),0)</f>
        <v>0</v>
      </c>
      <c r="U180" s="838">
        <f>IFERROR((ROUNDUP(U177,0)*(1/60)*#REF!)+(U177*((1/60)*(#REF!*(#REF!+(#REF!*(Baseline_Results_NOINDIRECT!U$149/#REF!/#REF!))))))+((2*#REF!)/#REF!)+(((MAX(U177,1)-1)*#REF!)/#REF!),0)</f>
        <v>0</v>
      </c>
      <c r="V180" s="838">
        <f>IFERROR((ROUNDUP(V177,0)*(1/60)*#REF!)+(V177*((1/60)*(#REF!*(#REF!+(#REF!*(Baseline_Results_NOINDIRECT!V$149/#REF!/#REF!))))))+((2*#REF!)/#REF!)+(((MAX(V177,1)-1)*#REF!)/#REF!),0)</f>
        <v>0</v>
      </c>
      <c r="W180" s="838">
        <f>IFERROR((ROUNDUP(W177,0)*(1/60)*#REF!)+(W177*((1/60)*(#REF!*(#REF!+(#REF!*(Baseline_Results_NOINDIRECT!W$149/#REF!/#REF!))))))+((2*#REF!)/#REF!)+(((MAX(W177,1)-1)*#REF!)/#REF!),0)</f>
        <v>0</v>
      </c>
      <c r="X180" s="36"/>
      <c r="Y180" s="36"/>
      <c r="Z180" s="36"/>
      <c r="AA180" s="36"/>
      <c r="AB180" s="36"/>
      <c r="AC180" s="36"/>
      <c r="AD180" s="36"/>
      <c r="AE180" s="36"/>
      <c r="AF180" s="36"/>
      <c r="AG180" s="36"/>
      <c r="AH180" s="36"/>
      <c r="AI180" s="36"/>
      <c r="AJ180" s="36" t="s">
        <v>205</v>
      </c>
      <c r="AK180" s="36"/>
      <c r="AL180" s="36"/>
      <c r="AM180" s="36"/>
    </row>
    <row r="181" spans="6:39" ht="15" customHeight="1" outlineLevel="1">
      <c r="G181" s="6" t="s">
        <v>200</v>
      </c>
      <c r="H181" s="838"/>
      <c r="I181" s="838">
        <f>IFERROR((#REF!*#REF!*#REF!)/I180,0)</f>
        <v>0</v>
      </c>
      <c r="J181" s="838">
        <f>IFERROR((#REF!*#REF!*#REF!)/J180,0)</f>
        <v>0</v>
      </c>
      <c r="K181" s="838">
        <f>IFERROR((#REF!*#REF!*#REF!)/K180,0)</f>
        <v>0</v>
      </c>
      <c r="L181" s="838">
        <f>IFERROR((#REF!*#REF!*#REF!)/L180,0)</f>
        <v>0</v>
      </c>
      <c r="M181" s="838">
        <f>IFERROR((#REF!*#REF!*#REF!)/M180,0)</f>
        <v>0</v>
      </c>
      <c r="N181" s="838">
        <f>IFERROR((#REF!*#REF!*#REF!)/N180,0)</f>
        <v>0</v>
      </c>
      <c r="O181" s="838">
        <f>IFERROR((#REF!*#REF!*#REF!)/O180,0)</f>
        <v>0</v>
      </c>
      <c r="P181" s="838">
        <f>IFERROR((#REF!*#REF!*#REF!)/P180,0)</f>
        <v>0</v>
      </c>
      <c r="Q181" s="838">
        <f>IFERROR((#REF!*#REF!*#REF!)/Q180,0)</f>
        <v>0</v>
      </c>
      <c r="R181" s="838">
        <f>IFERROR((#REF!*#REF!*#REF!)/R180,0)</f>
        <v>0</v>
      </c>
      <c r="S181" s="838">
        <f>IFERROR((#REF!*#REF!*#REF!)/S180,0)</f>
        <v>0</v>
      </c>
      <c r="T181" s="838">
        <f>IFERROR((#REF!*#REF!*#REF!)/T180,0)</f>
        <v>0</v>
      </c>
      <c r="U181" s="838">
        <f>IFERROR((#REF!*#REF!*#REF!)/U180,0)</f>
        <v>0</v>
      </c>
      <c r="V181" s="838">
        <f>IFERROR((#REF!*#REF!*#REF!)/V180,0)</f>
        <v>0</v>
      </c>
      <c r="W181" s="838">
        <f>IFERROR((#REF!*#REF!*#REF!)/W180,0)</f>
        <v>0</v>
      </c>
      <c r="X181" s="36"/>
      <c r="Y181" s="36"/>
      <c r="Z181" s="36"/>
      <c r="AA181" s="36"/>
      <c r="AB181" s="36"/>
      <c r="AC181" s="36"/>
      <c r="AD181" s="36"/>
      <c r="AE181" s="36"/>
      <c r="AF181" s="36"/>
      <c r="AG181" s="36"/>
      <c r="AH181" s="36"/>
      <c r="AI181" s="36"/>
      <c r="AJ181" s="36"/>
      <c r="AK181" s="36"/>
      <c r="AL181" s="36"/>
      <c r="AM181" s="36"/>
    </row>
    <row r="182" spans="6:39" ht="15" customHeight="1" outlineLevel="1">
      <c r="G182" s="241" t="s">
        <v>134</v>
      </c>
      <c r="H182" s="842"/>
      <c r="I182" s="842"/>
      <c r="J182" s="842"/>
      <c r="K182" s="842"/>
      <c r="L182" s="842"/>
      <c r="M182" s="842"/>
      <c r="N182" s="842"/>
      <c r="O182" s="842"/>
      <c r="P182" s="842"/>
      <c r="Q182" s="842"/>
      <c r="R182" s="853"/>
      <c r="S182" s="853"/>
      <c r="T182" s="842"/>
      <c r="U182" s="853"/>
      <c r="V182" s="853"/>
      <c r="W182" s="842"/>
      <c r="X182" s="36"/>
      <c r="Y182" s="36"/>
      <c r="Z182" s="4"/>
      <c r="AA182" s="36"/>
      <c r="AB182" s="36"/>
      <c r="AC182" s="36"/>
      <c r="AD182" s="36"/>
      <c r="AE182" s="36"/>
      <c r="AF182" s="36"/>
      <c r="AG182" s="36"/>
      <c r="AH182" s="36"/>
      <c r="AI182" s="36"/>
      <c r="AJ182" s="36"/>
      <c r="AK182" s="36"/>
      <c r="AL182" s="36"/>
      <c r="AM182" s="36"/>
    </row>
    <row r="183" spans="6:39" ht="15" customHeight="1" outlineLevel="1">
      <c r="G183" s="6" t="s">
        <v>188</v>
      </c>
      <c r="H183" s="838"/>
      <c r="I183" s="838">
        <f>IFERROR(I168*#REF!*MAX(1,ROUND((Baseline_Results_NOINDIRECT!I$149/#REF!)/INDEX(#REF!,MATCH(#REF!&amp;"Delivery Capacity (m^3)",#REF!,0)),0)),0)</f>
        <v>0</v>
      </c>
      <c r="J183" s="838">
        <f>IFERROR(J168*#REF!*MAX(1,ROUND((Baseline_Results_NOINDIRECT!J$149/#REF!)/INDEX(#REF!,MATCH(#REF!&amp;"Delivery Capacity (m^3)",#REF!,0)),0)),0)</f>
        <v>0</v>
      </c>
      <c r="K183" s="838">
        <f>IFERROR(K168*#REF!*MAX(1,ROUND((Baseline_Results_NOINDIRECT!K$149/#REF!)/INDEX(#REF!,MATCH(#REF!&amp;"Delivery Capacity (m^3)",#REF!,0)),0)),0)</f>
        <v>0</v>
      </c>
      <c r="L183" s="838">
        <f>IFERROR(L168*#REF!*MAX(1,ROUND((Baseline_Results_NOINDIRECT!L$149/#REF!)/INDEX(#REF!,MATCH(#REF!&amp;"Delivery Capacity (m^3)",#REF!,0)),0)),0)</f>
        <v>0</v>
      </c>
      <c r="M183" s="838">
        <f>IFERROR(M168*#REF!*MAX(1,ROUND((Baseline_Results_NOINDIRECT!M$149/#REF!)/INDEX(#REF!,MATCH(#REF!&amp;"Delivery Capacity (m^3)",#REF!,0)),0)),0)</f>
        <v>0</v>
      </c>
      <c r="N183" s="838">
        <f>IFERROR(N168*#REF!*MAX(1,ROUND((Baseline_Results_NOINDIRECT!N$149/#REF!)/INDEX(#REF!,MATCH(#REF!&amp;"Delivery Capacity (m^3)",#REF!,0)),0)),0)</f>
        <v>0</v>
      </c>
      <c r="O183" s="838">
        <f>IFERROR(O168*#REF!*MAX(1,ROUND((Baseline_Results_NOINDIRECT!O$149/#REF!)/INDEX(#REF!,MATCH(#REF!&amp;"Delivery Capacity (m^3)",#REF!,0)),0)),0)</f>
        <v>0</v>
      </c>
      <c r="P183" s="838">
        <f>IFERROR(P168*#REF!*MAX(1,ROUND((Baseline_Results_NOINDIRECT!P$149/#REF!)/INDEX(#REF!,MATCH(#REF!&amp;"Delivery Capacity (m^3)",#REF!,0)),0)),0)</f>
        <v>0</v>
      </c>
      <c r="Q183" s="838">
        <f>IFERROR(Q168*#REF!*MAX(1,ROUND((Baseline_Results_NOINDIRECT!Q$149/#REF!)/INDEX(#REF!,MATCH(#REF!&amp;"Delivery Capacity (m^3)",#REF!,0)),0)),0)</f>
        <v>0</v>
      </c>
      <c r="R183" s="838">
        <f>IFERROR(R168*#REF!*MAX(1,ROUND((Baseline_Results_NOINDIRECT!R$149/#REF!)/INDEX(#REF!,MATCH(#REF!&amp;"Delivery Capacity (m^3)",#REF!,0)),0)),0)</f>
        <v>0</v>
      </c>
      <c r="S183" s="838">
        <f>IFERROR(S168*#REF!*MAX(1,ROUND((Baseline_Results_NOINDIRECT!S$149/#REF!)/INDEX(#REF!,MATCH(#REF!&amp;"Delivery Capacity (m^3)",#REF!,0)),0)),0)</f>
        <v>0</v>
      </c>
      <c r="T183" s="838">
        <f>IFERROR(T168*#REF!*MAX(1,ROUND((Baseline_Results_NOINDIRECT!T$149/#REF!)/INDEX(#REF!,MATCH(#REF!&amp;"Delivery Capacity (m^3)",#REF!,0)),0)),0)</f>
        <v>0</v>
      </c>
      <c r="U183" s="838">
        <f>IFERROR(U168*#REF!*MAX(1,ROUND((Baseline_Results_NOINDIRECT!U$149/#REF!)/INDEX(#REF!,MATCH(#REF!&amp;"Delivery Capacity (m^3)",#REF!,0)),0)),0)</f>
        <v>0</v>
      </c>
      <c r="V183" s="838">
        <f>IFERROR(V168*#REF!*MAX(1,ROUND((Baseline_Results_NOINDIRECT!V$149/#REF!)/INDEX(#REF!,MATCH(#REF!&amp;"Delivery Capacity (m^3)",#REF!,0)),0)),0)</f>
        <v>0</v>
      </c>
      <c r="W183" s="838">
        <f>IFERROR(W168*#REF!*MAX(1,ROUND((Baseline_Results_NOINDIRECT!W$149/#REF!)/INDEX(#REF!,MATCH(#REF!&amp;"Delivery Capacity (m^3)",#REF!,0)),0)),0)</f>
        <v>0</v>
      </c>
      <c r="X183" s="36"/>
      <c r="Y183" s="36"/>
      <c r="Z183" s="36"/>
      <c r="AA183" s="36"/>
      <c r="AB183" s="36"/>
      <c r="AC183" s="36"/>
      <c r="AD183" s="36"/>
      <c r="AE183" s="36"/>
      <c r="AF183" s="36"/>
      <c r="AG183" s="36"/>
      <c r="AH183" s="36"/>
      <c r="AI183" s="36"/>
      <c r="AJ183" s="36"/>
      <c r="AK183" s="36"/>
      <c r="AL183" s="36"/>
      <c r="AM183" s="36"/>
    </row>
    <row r="184" spans="6:39" ht="15" customHeight="1" outlineLevel="1">
      <c r="G184" s="6" t="s">
        <v>88</v>
      </c>
      <c r="H184" s="838"/>
      <c r="I184" s="838">
        <f>IFERROR(IF(I168=0,0,2*#REF!),0)</f>
        <v>0</v>
      </c>
      <c r="J184" s="838">
        <f>IFERROR(IF(J168=0,0,2*#REF!),0)</f>
        <v>0</v>
      </c>
      <c r="K184" s="838">
        <f>IFERROR(IF(K168=0,0,2*#REF!),0)</f>
        <v>0</v>
      </c>
      <c r="L184" s="838">
        <f>IFERROR(IF(L168=0,0,2*#REF!),0)</f>
        <v>0</v>
      </c>
      <c r="M184" s="838">
        <f>IFERROR(IF(M168=0,0,2*#REF!),0)</f>
        <v>0</v>
      </c>
      <c r="N184" s="1067">
        <f>IFERROR(IF(N168=0,0,2*#REF!),0)</f>
        <v>0</v>
      </c>
      <c r="O184" s="838">
        <f>IFERROR(IF(O168=0,0,2*#REF!),0)</f>
        <v>0</v>
      </c>
      <c r="P184" s="838">
        <f>IFERROR(IF(P168=0,0,2*#REF!),0)</f>
        <v>0</v>
      </c>
      <c r="Q184" s="838">
        <f>IFERROR(IF(Q168=0,0,2*#REF!),0)</f>
        <v>0</v>
      </c>
      <c r="R184" s="838">
        <f>IFERROR(IF(R168=0,0,2*#REF!),0)</f>
        <v>0</v>
      </c>
      <c r="S184" s="838">
        <f>IFERROR(IF(S168=0,0,2*#REF!),0)</f>
        <v>0</v>
      </c>
      <c r="T184" s="838">
        <f>IFERROR(IF(T168=0,0,2*#REF!),0)</f>
        <v>0</v>
      </c>
      <c r="U184" s="838">
        <f>IFERROR(IF(U168=0,0,2*#REF!),0)</f>
        <v>0</v>
      </c>
      <c r="V184" s="838">
        <f>IFERROR(IF(V168=0,0,2*#REF!),0)</f>
        <v>0</v>
      </c>
      <c r="W184" s="838">
        <f>IFERROR(IF(W168=0,0,2*#REF!),0)</f>
        <v>0</v>
      </c>
      <c r="X184" s="36"/>
      <c r="Y184" s="36"/>
      <c r="Z184" s="36"/>
      <c r="AA184" s="36"/>
      <c r="AB184" s="36"/>
      <c r="AC184" s="36"/>
      <c r="AD184" s="36"/>
      <c r="AE184" s="36"/>
      <c r="AF184" s="36"/>
      <c r="AG184" s="36"/>
      <c r="AH184" s="36"/>
      <c r="AI184" s="36"/>
      <c r="AJ184" s="36"/>
      <c r="AK184" s="36"/>
      <c r="AL184" s="36"/>
      <c r="AM184" s="36"/>
    </row>
    <row r="185" spans="6:39" ht="15" customHeight="1" outlineLevel="1">
      <c r="G185" s="6" t="s">
        <v>200</v>
      </c>
      <c r="H185" s="850"/>
      <c r="I185" s="850">
        <f>IFERROR((#REF!*#REF!*#REF!)/((I184/#REF!)+((1/60)*(#REF!+#REF!*(#REF!+(#REF!*(MIN((Baseline_Results_NOINDIRECT!I$149/#REF!),INDEX(#REF!,MATCH(#REF!&amp;"Delivery Capacity (m^3)",#REF!,0)))/#REF!)))))),0)</f>
        <v>0</v>
      </c>
      <c r="J185" s="850">
        <f>IFERROR((#REF!*#REF!*#REF!)/((J184/#REF!)+((1/60)*(#REF!+#REF!*(#REF!+(#REF!*(MIN((Baseline_Results_NOINDIRECT!J$149/#REF!),INDEX(#REF!,MATCH(#REF!&amp;"Delivery Capacity (m^3)",#REF!,0)))/#REF!)))))),0)</f>
        <v>0</v>
      </c>
      <c r="K185" s="850" t="e">
        <f>(#REF!*#REF!*#REF!)/((K184/#REF!)+((1/60)*(#REF!+#REF!*(#REF!+(#REF!*(MIN((Baseline_Results_NOINDIRECT!K$149/#REF!),INDEX(#REF!,MATCH(#REF!&amp;"Delivery Capacity (m^3)",#REF!,0)))/#REF!))))))</f>
        <v>#REF!</v>
      </c>
      <c r="L185" s="850">
        <f>IFERROR((#REF!*#REF!*#REF!)/((L184/#REF!)+((1/60)*(#REF!+#REF!*(#REF!+(#REF!*(MIN((Baseline_Results_NOINDIRECT!L$149/#REF!),INDEX(#REF!,MATCH(#REF!&amp;"Delivery Capacity (m^3)",#REF!,0)))/#REF!)))))),0)</f>
        <v>0</v>
      </c>
      <c r="M185" s="850">
        <f>IFERROR((#REF!*#REF!*#REF!)/((M184/#REF!)+((1/60)*(#REF!+#REF!*(#REF!+(#REF!*(MIN((Baseline_Results_NOINDIRECT!M$149/#REF!),INDEX(#REF!,MATCH(#REF!&amp;"Delivery Capacity (m^3)",#REF!,0)))/#REF!)))))),0)</f>
        <v>0</v>
      </c>
      <c r="N185" s="850">
        <f>IFERROR((#REF!*#REF!*#REF!)/((N184/#REF!)+((1/60)*(#REF!+#REF!*(#REF!+(#REF!*(MIN((Baseline_Results_NOINDIRECT!N$149/#REF!),INDEX(#REF!,MATCH(#REF!&amp;"Delivery Capacity (m^3)",#REF!,0)))/#REF!)))))),0)</f>
        <v>0</v>
      </c>
      <c r="O185" s="850">
        <f>IFERROR((#REF!*#REF!*#REF!)/((O184/#REF!)+((1/60)*(#REF!+#REF!*(#REF!+(#REF!*(MIN((Baseline_Results_NOINDIRECT!O$149/#REF!),INDEX(#REF!,MATCH(#REF!&amp;"Delivery Capacity (m^3)",#REF!,0)))/#REF!)))))),0)</f>
        <v>0</v>
      </c>
      <c r="P185" s="850">
        <f>IFERROR((#REF!*#REF!*#REF!)/((P184/#REF!)+((1/60)*(#REF!+#REF!*(#REF!+(#REF!*(MIN((Baseline_Results_NOINDIRECT!P$149/#REF!),INDEX(#REF!,MATCH(#REF!&amp;"Delivery Capacity (m^3)",#REF!,0)))/#REF!)))))),0)</f>
        <v>0</v>
      </c>
      <c r="Q185" s="850">
        <f>IFERROR((#REF!*#REF!*#REF!)/((Q184/#REF!)+((1/60)*(#REF!+#REF!*(#REF!+(#REF!*(MIN((Baseline_Results_NOINDIRECT!Q$149/#REF!),INDEX(#REF!,MATCH(#REF!&amp;"Delivery Capacity (m^3)",#REF!,0)))/#REF!)))))),0)</f>
        <v>0</v>
      </c>
      <c r="R185" s="850">
        <f>IFERROR((#REF!*#REF!*#REF!)/((R184/#REF!)+((1/60)*(#REF!+#REF!*(#REF!+(#REF!*(MIN((Baseline_Results_NOINDIRECT!R$149/#REF!),INDEX(#REF!,MATCH(#REF!&amp;"Delivery Capacity (m^3)",#REF!,0)))/#REF!)))))),0)</f>
        <v>0</v>
      </c>
      <c r="S185" s="850">
        <f>IFERROR((#REF!*#REF!*#REF!)/((S184/#REF!)+((1/60)*(#REF!+#REF!*(#REF!+(#REF!*(MIN((Baseline_Results_NOINDIRECT!S$149/#REF!),INDEX(#REF!,MATCH(#REF!&amp;"Delivery Capacity (m^3)",#REF!,0)))/#REF!)))))),0)</f>
        <v>0</v>
      </c>
      <c r="T185" s="850">
        <f>IFERROR((#REF!*#REF!*#REF!)/((T184/#REF!)+((1/60)*(#REF!+#REF!*(#REF!+(#REF!*(MIN((Baseline_Results_NOINDIRECT!T$149/#REF!),INDEX(#REF!,MATCH(#REF!&amp;"Delivery Capacity (m^3)",#REF!,0)))/#REF!)))))),0)</f>
        <v>0</v>
      </c>
      <c r="U185" s="850">
        <f>IFERROR((#REF!*#REF!*#REF!)/((U184/#REF!)+((1/60)*(#REF!+#REF!*(#REF!+(#REF!*(MIN((Baseline_Results_NOINDIRECT!U$149/#REF!),INDEX(#REF!,MATCH(#REF!&amp;"Delivery Capacity (m^3)",#REF!,0)))/#REF!)))))),0)</f>
        <v>0</v>
      </c>
      <c r="V185" s="850">
        <f>IFERROR((#REF!*#REF!*#REF!)/((V184/#REF!)+((1/60)*(#REF!+#REF!*(#REF!+(#REF!*(MIN((Baseline_Results_NOINDIRECT!V$149/#REF!),INDEX(#REF!,MATCH(#REF!&amp;"Delivery Capacity (m^3)",#REF!,0)))/#REF!)))))),0)</f>
        <v>0</v>
      </c>
      <c r="W185" s="850">
        <f>IFERROR((#REF!*#REF!*#REF!)/((W184/#REF!)+((1/60)*(#REF!+#REF!*(#REF!+(#REF!*(MIN((Baseline_Results_NOINDIRECT!W$149/#REF!),INDEX(#REF!,MATCH(#REF!&amp;"Delivery Capacity (m^3)",#REF!,0)))/#REF!)))))),0)</f>
        <v>0</v>
      </c>
      <c r="X185" s="36"/>
      <c r="Y185" s="4"/>
      <c r="Z185" s="36"/>
      <c r="AA185" s="36"/>
      <c r="AB185" s="36"/>
      <c r="AC185" s="36"/>
      <c r="AD185" s="36"/>
      <c r="AE185" s="36"/>
      <c r="AF185" s="36"/>
      <c r="AG185" s="36"/>
      <c r="AH185" s="36"/>
      <c r="AI185" s="36"/>
      <c r="AJ185" s="36"/>
      <c r="AK185" s="36"/>
      <c r="AL185" s="36"/>
      <c r="AM185" s="36"/>
    </row>
    <row r="186" spans="6:39" ht="15" customHeight="1">
      <c r="F186" s="867" t="s">
        <v>155</v>
      </c>
      <c r="G186" s="868"/>
      <c r="H186" s="871"/>
      <c r="I186" s="871"/>
      <c r="J186" s="871"/>
      <c r="K186" s="871" t="s">
        <v>842</v>
      </c>
      <c r="L186" s="871"/>
      <c r="M186" s="871"/>
      <c r="N186" s="871" t="s">
        <v>843</v>
      </c>
      <c r="O186" s="871"/>
      <c r="P186" s="871"/>
      <c r="Q186" s="872" t="s">
        <v>844</v>
      </c>
      <c r="R186" s="835"/>
      <c r="S186" s="835"/>
      <c r="T186" s="872" t="s">
        <v>845</v>
      </c>
      <c r="U186" s="873"/>
      <c r="V186" s="873"/>
      <c r="W186" s="872" t="s">
        <v>846</v>
      </c>
      <c r="X186" s="36"/>
      <c r="Y186" s="36"/>
      <c r="Z186" s="36"/>
      <c r="AA186" s="36"/>
      <c r="AB186" s="36"/>
      <c r="AC186" s="36"/>
      <c r="AD186" s="36"/>
      <c r="AE186" s="36"/>
      <c r="AF186" s="36"/>
      <c r="AG186" s="36"/>
      <c r="AH186" s="36"/>
      <c r="AI186" s="36"/>
      <c r="AJ186" s="242"/>
      <c r="AK186" s="36"/>
      <c r="AL186" s="36"/>
      <c r="AM186" s="36"/>
    </row>
    <row r="187" spans="6:39" ht="15" customHeight="1" outlineLevel="1">
      <c r="F187" s="36"/>
      <c r="G187" s="6" t="s">
        <v>414</v>
      </c>
      <c r="H187" s="838"/>
      <c r="I187" s="838">
        <f>IFERROR(IF(#REF!=0,0,IF(#REF!="Yes",Baseline_Results_NOINDIRECT!I64,IF(OR(AND(#REF!&gt;0,#REF!="Yes"),AND(#REF!&gt;2,#REF!="Yes")),Baseline_Results_NOINDIRECT!I57,Baseline_Results_NOINDIRECT!I52))),0)</f>
        <v>0</v>
      </c>
      <c r="J187" s="838">
        <f>IFERROR(IF(#REF!=0,0,IF(#REF!="Yes",Baseline_Results_NOINDIRECT!J64,IF(OR(AND(#REF!&gt;0,#REF!="Yes"),AND(#REF!&gt;2,#REF!="Yes")),Baseline_Results_NOINDIRECT!J57,Baseline_Results_NOINDIRECT!J52))),0)</f>
        <v>0</v>
      </c>
      <c r="K187" s="838">
        <f>IFERROR(IF(#REF!=0,0,IF(#REF!="Yes",Baseline_Results_NOINDIRECT!K64,IF(OR(AND(#REF!&gt;0,#REF!="Yes"),AND(#REF!&gt;2,#REF!="Yes")),Baseline_Results_NOINDIRECT!K57,Baseline_Results_NOINDIRECT!K52))),0)</f>
        <v>0</v>
      </c>
      <c r="L187" s="838">
        <f>IFERROR(IF(#REF!=0,0,IF(#REF!="Yes",Baseline_Results_NOINDIRECT!L64,IF(OR(AND(#REF!&gt;0,#REF!="Yes"),AND(#REF!&gt;2,#REF!="Yes")),Baseline_Results_NOINDIRECT!L57,Baseline_Results_NOINDIRECT!L52))),0)</f>
        <v>0</v>
      </c>
      <c r="M187" s="838">
        <f>IFERROR(IF(#REF!=0,0,IF(#REF!="Yes",Baseline_Results_NOINDIRECT!M64,IF(OR(AND(#REF!&gt;0,#REF!="Yes"),AND(#REF!&gt;2,#REF!="Yes")),Baseline_Results_NOINDIRECT!M57,Baseline_Results_NOINDIRECT!M52))),0)</f>
        <v>0</v>
      </c>
      <c r="N187" s="838">
        <f>IFERROR(IF(#REF!=0,0,IF(#REF!="Yes",Baseline_Results_NOINDIRECT!N64,IF(OR(AND(#REF!&gt;0,#REF!="Yes"),AND(#REF!&gt;2,#REF!="Yes")),Baseline_Results_NOINDIRECT!N57,Baseline_Results_NOINDIRECT!N52))),0)</f>
        <v>0</v>
      </c>
      <c r="O187" s="838">
        <f>IFERROR(IF(#REF!=0,0,IF(#REF!="Yes",Baseline_Results_NOINDIRECT!O64,IF(OR(AND(#REF!&gt;0,#REF!="Yes"),AND(#REF!&gt;2,#REF!="Yes")),Baseline_Results_NOINDIRECT!O57,Baseline_Results_NOINDIRECT!O52))),0)</f>
        <v>0</v>
      </c>
      <c r="P187" s="838">
        <f>IFERROR(IF(#REF!=0,0,IF(#REF!="Yes",Baseline_Results_NOINDIRECT!P64,IF(OR(AND(#REF!&gt;0,#REF!="Yes"),AND(#REF!&gt;2,#REF!="Yes")),Baseline_Results_NOINDIRECT!P57,Baseline_Results_NOINDIRECT!P52))),0)</f>
        <v>0</v>
      </c>
      <c r="Q187" s="838">
        <f>IFERROR(IF(#REF!=0,0,IF(#REF!="Yes",Baseline_Results_NOINDIRECT!Q64,IF(OR(AND(#REF!&gt;0,#REF!="Yes"),AND(#REF!&gt;2,#REF!="Yes")),Baseline_Results_NOINDIRECT!Q57,Baseline_Results_NOINDIRECT!Q52))),0)</f>
        <v>0</v>
      </c>
      <c r="R187" s="838">
        <f>IFERROR(IF(#REF!=0,0,IF(#REF!="Yes",Baseline_Results_NOINDIRECT!R64,IF(OR(AND(#REF!&gt;0,#REF!="Yes"),AND(#REF!&gt;2,#REF!="Yes")),Baseline_Results_NOINDIRECT!R57,Baseline_Results_NOINDIRECT!R52))),0)</f>
        <v>0</v>
      </c>
      <c r="S187" s="838">
        <f>IFERROR(IF(#REF!=0,0,IF(#REF!="Yes",Baseline_Results_NOINDIRECT!S64,IF(OR(AND(#REF!&gt;0,#REF!="Yes"),AND(#REF!&gt;2,#REF!="Yes")),Baseline_Results_NOINDIRECT!S57,Baseline_Results_NOINDIRECT!S52))),0)</f>
        <v>0</v>
      </c>
      <c r="T187" s="838">
        <f>IFERROR(IF(#REF!=0,0,IF(#REF!="Yes",Baseline_Results_NOINDIRECT!T64,IF(OR(AND(#REF!&gt;0,#REF!="Yes"),AND(#REF!&gt;2,#REF!="Yes")),Baseline_Results_NOINDIRECT!T57,Baseline_Results_NOINDIRECT!T52))),0)</f>
        <v>0</v>
      </c>
      <c r="U187" s="838">
        <f>IFERROR(IF(#REF!=0,0,IF(#REF!="Yes",Baseline_Results_NOINDIRECT!U64,IF(OR(AND(#REF!&gt;0,#REF!="Yes"),AND(#REF!&gt;2,#REF!="Yes")),Baseline_Results_NOINDIRECT!U57,Baseline_Results_NOINDIRECT!U52))),0)</f>
        <v>0</v>
      </c>
      <c r="V187" s="838">
        <f>IFERROR(IF(#REF!=0,0,IF(#REF!="Yes",Baseline_Results_NOINDIRECT!V64,IF(OR(AND(#REF!&gt;0,#REF!="Yes"),AND(#REF!&gt;2,#REF!="Yes")),Baseline_Results_NOINDIRECT!V57,Baseline_Results_NOINDIRECT!V52))),0)</f>
        <v>0</v>
      </c>
      <c r="W187" s="838">
        <f>IFERROR(IF(#REF!=0,0,IF(#REF!="Yes",Baseline_Results_NOINDIRECT!W64,IF(OR(AND(#REF!&gt;0,#REF!="Yes"),AND(#REF!&gt;2,#REF!="Yes")),Baseline_Results_NOINDIRECT!W57,Baseline_Results_NOINDIRECT!W52))),0)</f>
        <v>0</v>
      </c>
      <c r="AJ187" s="1"/>
    </row>
    <row r="188" spans="6:39" ht="15" customHeight="1" outlineLevel="1">
      <c r="F188" s="882" t="s">
        <v>387</v>
      </c>
      <c r="G188" s="844"/>
      <c r="H188" s="880"/>
      <c r="I188" s="880"/>
      <c r="J188" s="880"/>
      <c r="K188" s="880"/>
      <c r="L188" s="880"/>
      <c r="M188" s="880"/>
      <c r="N188" s="880"/>
      <c r="O188" s="880"/>
      <c r="P188" s="880"/>
      <c r="Q188" s="881"/>
      <c r="R188" s="852"/>
      <c r="S188" s="852"/>
      <c r="T188" s="881"/>
      <c r="U188" s="852"/>
      <c r="V188" s="852"/>
      <c r="W188" s="881"/>
      <c r="AJ188" s="1"/>
    </row>
    <row r="189" spans="6:39" ht="15" customHeight="1" outlineLevel="1">
      <c r="F189" s="883"/>
      <c r="G189" s="6" t="s">
        <v>390</v>
      </c>
      <c r="H189" s="838"/>
      <c r="I189" s="838">
        <f>IFERROR(((I$64*#REF!)*(IF(COUNTIF(#REF!,"Public Transport*")=1,I194,I206)/#REF!))/IF(COUNTIF(#REF!,"Public Transport*")=1,I192,I208),0)</f>
        <v>0</v>
      </c>
      <c r="J189" s="838">
        <f>IFERROR(((J$64*#REF!)*(IF(COUNTIF(#REF!,"Public Transport*")=1,J194,J206)/#REF!))/IF(COUNTIF(#REF!,"Public Transport*")=1,J192,J208),0)</f>
        <v>0</v>
      </c>
      <c r="K189" s="838">
        <f>IFERROR(((K$64*#REF!)*(IF(COUNTIF(#REF!,"Public Transport*")=1,K194,K206)/#REF!))/IF(COUNTIF(#REF!,"Public Transport*")=1,K192,K208),0)</f>
        <v>0</v>
      </c>
      <c r="L189" s="838">
        <f>IFERROR(((L$64*#REF!)*(IF(COUNTIF(#REF!,"Public Transport*")=1,L194,L206)/#REF!))/IF(COUNTIF(#REF!,"Public Transport*")=1,L192,L208),0)</f>
        <v>0</v>
      </c>
      <c r="M189" s="838">
        <f>IFERROR(((M$64*#REF!)*(IF(COUNTIF(#REF!,"Public Transport*")=1,M194,M206)/#REF!))/IF(COUNTIF(#REF!,"Public Transport*")=1,M192,M208),0)</f>
        <v>0</v>
      </c>
      <c r="N189" s="838">
        <f>IFERROR(((N$64*#REF!)*(IF(COUNTIF(#REF!,"Public Transport*")=1,N194,N206)/#REF!))/IF(COUNTIF(#REF!,"Public Transport*")=1,N192,N208),0)</f>
        <v>0</v>
      </c>
      <c r="O189" s="838">
        <f>IFERROR(((O$64*#REF!)*(IF(COUNTIF(#REF!,"Public Transport*")=1,O194,O206)/#REF!))/IF(COUNTIF(#REF!,"Public Transport*")=1,O192,O208),0)</f>
        <v>0</v>
      </c>
      <c r="P189" s="838">
        <f>IFERROR(((P$64*#REF!)*(IF(COUNTIF(#REF!,"Public Transport*")=1,P194,P206)/#REF!))/IF(COUNTIF(#REF!,"Public Transport*")=1,P192,P208),0)</f>
        <v>0</v>
      </c>
      <c r="Q189" s="838">
        <f>IFERROR(((Q$64*#REF!)*(IF(COUNTIF(#REF!,"Public Transport*")=1,Q194,Q206)/#REF!))/IF(COUNTIF(#REF!,"Public Transport*")=1,Q192,Q208),0)</f>
        <v>0</v>
      </c>
      <c r="R189" s="846"/>
      <c r="S189" s="846"/>
      <c r="T189" s="838">
        <f>IFERROR(((T$64*#REF!)*(IF(COUNTIF(#REF!,"Public Transport*")=1,T194,T206)/#REF!))/IF(COUNTIF(#REF!,"Public Transport*")=1,T192,T208),0)</f>
        <v>0</v>
      </c>
      <c r="U189" s="846"/>
      <c r="V189" s="846"/>
      <c r="W189" s="838">
        <f>IFERROR(((W$64*#REF!)*(IF(COUNTIF(#REF!,"Public Transport*")=1,W194,W206)/#REF!))/IF(COUNTIF(#REF!,"Public Transport*")=1,W192,W208),0)</f>
        <v>0</v>
      </c>
      <c r="X189" s="36"/>
      <c r="Y189" s="36"/>
      <c r="Z189" s="36"/>
      <c r="AA189" s="36"/>
      <c r="AB189" s="36"/>
      <c r="AC189" s="36"/>
      <c r="AD189" s="36"/>
      <c r="AE189" s="36"/>
      <c r="AF189" s="36"/>
      <c r="AG189" s="36"/>
      <c r="AH189" s="36"/>
      <c r="AI189" s="36"/>
      <c r="AJ189" s="242"/>
      <c r="AK189" s="36"/>
      <c r="AL189" s="36"/>
      <c r="AM189" s="36"/>
    </row>
    <row r="190" spans="6:39" ht="15" customHeight="1" outlineLevel="1">
      <c r="F190" s="883"/>
      <c r="G190" s="6" t="s">
        <v>391</v>
      </c>
      <c r="H190" s="838"/>
      <c r="I190" s="838">
        <f>IFERROR(IF(COUNTIF(#REF!,"Public Transport*")=1,(I193/#REF!),(I209/#REF!)),0)</f>
        <v>0</v>
      </c>
      <c r="J190" s="838">
        <f>IFERROR(IF(COUNTIF(#REF!,"Public Transport*")=1,(J193/#REF!),(J209/#REF!)),0)</f>
        <v>0</v>
      </c>
      <c r="K190" s="838">
        <f>IFERROR(IF(COUNTIF(#REF!,"Public Transport*")=1,(K193/#REF!),(K209/#REF!)),0)</f>
        <v>0</v>
      </c>
      <c r="L190" s="838">
        <f>IFERROR(IF(COUNTIF(#REF!,"Public Transport*")=1,(L193/#REF!),(L209/#REF!)),0)</f>
        <v>0</v>
      </c>
      <c r="M190" s="838">
        <f>IFERROR(IF(COUNTIF(#REF!,"Public Transport*")=1,(M193/#REF!),(M209/#REF!)),0)</f>
        <v>0</v>
      </c>
      <c r="N190" s="838">
        <f>IFERROR(IF(COUNTIF(#REF!,"Public Transport*")=1,(N193/#REF!),(N209/#REF!)),0)</f>
        <v>0</v>
      </c>
      <c r="O190" s="838">
        <f>IFERROR(IF(COUNTIF(#REF!,"Public Transport*")=1,(O193/#REF!),(O209/#REF!)),0)</f>
        <v>0</v>
      </c>
      <c r="P190" s="838">
        <f>IFERROR(IF(COUNTIF(#REF!,"Public Transport*")=1,(P193/#REF!),(P209/#REF!)),0)</f>
        <v>0</v>
      </c>
      <c r="Q190" s="838">
        <f>IFERROR(IF(COUNTIF(#REF!,"Public Transport*")=1,(Q193/#REF!),(Q209/#REF!)),0)</f>
        <v>0</v>
      </c>
      <c r="R190" s="846"/>
      <c r="S190" s="846"/>
      <c r="T190" s="838">
        <f>IFERROR(IF(COUNTIF(#REF!,"Public Transport*")=1,(T193/#REF!),(T209/#REF!)),0)</f>
        <v>0</v>
      </c>
      <c r="U190" s="846"/>
      <c r="V190" s="846"/>
      <c r="W190" s="838">
        <f>IFERROR(IF(COUNTIF(#REF!,"Public Transport*")=1,(W193/#REF!),(W209/#REF!)),0)</f>
        <v>0</v>
      </c>
      <c r="X190" s="36"/>
      <c r="Y190" s="36"/>
      <c r="Z190" s="36"/>
      <c r="AA190" s="36"/>
      <c r="AB190" s="36"/>
      <c r="AC190" s="36"/>
      <c r="AD190" s="36"/>
      <c r="AE190" s="36"/>
      <c r="AF190" s="36"/>
      <c r="AG190" s="36"/>
      <c r="AH190" s="36"/>
      <c r="AI190" s="36"/>
      <c r="AJ190" s="242"/>
      <c r="AK190" s="36"/>
      <c r="AL190" s="36"/>
      <c r="AM190" s="36"/>
    </row>
    <row r="191" spans="6:39" ht="15" customHeight="1" outlineLevel="1">
      <c r="F191" s="884" t="s">
        <v>149</v>
      </c>
      <c r="G191" s="844"/>
      <c r="H191" s="848"/>
      <c r="I191" s="848"/>
      <c r="J191" s="848"/>
      <c r="K191" s="848"/>
      <c r="L191" s="848"/>
      <c r="M191" s="848"/>
      <c r="N191" s="848"/>
      <c r="O191" s="852"/>
      <c r="P191" s="852"/>
      <c r="Q191" s="847"/>
      <c r="R191" s="853"/>
      <c r="S191" s="853"/>
      <c r="T191" s="847"/>
      <c r="U191" s="853"/>
      <c r="V191" s="853"/>
      <c r="W191" s="847"/>
      <c r="X191" s="36"/>
      <c r="Y191" s="36"/>
      <c r="Z191" s="36"/>
      <c r="AA191" s="36"/>
      <c r="AB191" s="36"/>
      <c r="AC191" s="36"/>
      <c r="AD191" s="36"/>
      <c r="AE191" s="36"/>
      <c r="AF191" s="36"/>
      <c r="AG191" s="36"/>
      <c r="AH191" s="36"/>
      <c r="AI191" s="36"/>
      <c r="AJ191" s="242"/>
      <c r="AK191" s="36"/>
      <c r="AL191" s="36"/>
      <c r="AM191" s="36"/>
    </row>
    <row r="192" spans="6:39" ht="15" customHeight="1" outlineLevel="1">
      <c r="F192" s="883"/>
      <c r="G192" s="6" t="s">
        <v>146</v>
      </c>
      <c r="H192" s="837"/>
      <c r="I192" s="837">
        <f>IFERROR(IF(COUNTIF(#REF!,"Public Transport*")=1,IF(#REF!="Route-based",I200*#REF!,IF(#REF!="Point-to-point",I203*#REF!,0)),0),0)</f>
        <v>0</v>
      </c>
      <c r="J192" s="837">
        <f>IFERROR(IF(COUNTIF(#REF!,"Public Transport*")=1,IF(#REF!="Route-based",J200*#REF!,IF(#REF!="Point-to-point",J203*#REF!,0)),0),0)</f>
        <v>0</v>
      </c>
      <c r="K192" s="837">
        <f>IFERROR(IF(COUNTIF(#REF!,"Public Transport*")=1,IF(#REF!="Route-based",K200*#REF!,IF(#REF!="Point-to-point",K203*#REF!,0)),0),0)</f>
        <v>0</v>
      </c>
      <c r="L192" s="837">
        <f>IFERROR(IF(COUNTIF(#REF!,"Public Transport*")=1,IF(#REF!="Route-based",L200*#REF!,IF(#REF!="Point-to-point",L203*#REF!,0)),0),0)</f>
        <v>0</v>
      </c>
      <c r="M192" s="837">
        <f>IFERROR(IF(COUNTIF(#REF!,"Public Transport*")=1,IF(#REF!="Route-based",M200*#REF!,IF(#REF!="Point-to-point",M203*#REF!,0)),0),0)</f>
        <v>0</v>
      </c>
      <c r="N192" s="837">
        <f>IFERROR(IF(COUNTIF(#REF!,"Public Transport*")=1,IF(#REF!="Route-based",N200*#REF!,IF(#REF!="Point-to-point",N203*#REF!,0)),0),0)</f>
        <v>0</v>
      </c>
      <c r="O192" s="837">
        <f>IFERROR(IF(COUNTIF(#REF!,"Public Transport*")=1,IF(#REF!="Route-based",O200*#REF!,IF(#REF!="Point-to-point",O203*#REF!,0)),0),0)</f>
        <v>0</v>
      </c>
      <c r="P192" s="837">
        <f>IFERROR(IF(COUNTIF(#REF!,"Public Transport*")=1,IF(#REF!="Route-based",P200*#REF!,IF(#REF!="Point-to-point",P203*#REF!,0)),0),0)</f>
        <v>0</v>
      </c>
      <c r="Q192" s="837">
        <f>IFERROR(IF(COUNTIF(#REF!,"Public Transport*")=1,IF(#REF!="Route-based",Q200*#REF!,IF(#REF!="Point-to-point",Q203*#REF!,0)),0),0)</f>
        <v>0</v>
      </c>
      <c r="R192" s="853" t="s">
        <v>596</v>
      </c>
      <c r="S192" s="853"/>
      <c r="T192" s="837">
        <f>IFERROR(IF(COUNTIF(#REF!,"Public Transport*")=1,IF(#REF!="Route-based",T200*#REF!,IF(#REF!="Point-to-point",T203*#REF!,0)),0),0)</f>
        <v>0</v>
      </c>
      <c r="U192" s="853"/>
      <c r="V192" s="853"/>
      <c r="W192" s="837">
        <f>IFERROR(IF(COUNTIF(#REF!,"Public Transport*")=1,IF(#REF!="Route-based",W200*#REF!,IF(#REF!="Point-to-point",W203*#REF!,0)),0),0)</f>
        <v>0</v>
      </c>
      <c r="X192" s="36"/>
      <c r="Y192" s="36"/>
      <c r="Z192" s="36"/>
      <c r="AA192" s="36"/>
      <c r="AB192" s="36"/>
      <c r="AC192" s="36"/>
      <c r="AD192" s="36"/>
      <c r="AE192" s="36"/>
      <c r="AF192" s="36"/>
      <c r="AG192" s="36"/>
      <c r="AH192" s="36"/>
      <c r="AI192" s="36"/>
      <c r="AJ192" s="242"/>
      <c r="AK192" s="36"/>
      <c r="AL192" s="36"/>
      <c r="AM192" s="36"/>
    </row>
    <row r="193" spans="6:39" ht="15" customHeight="1" outlineLevel="1">
      <c r="F193" s="883"/>
      <c r="G193" s="6" t="s">
        <v>147</v>
      </c>
      <c r="H193" s="837"/>
      <c r="I193" s="837">
        <f>IFERROR(IF(#REF!="Route-based",I201*#REF!,IF(#REF!="Point-to-point",I204*#REF!,0)),0)</f>
        <v>0</v>
      </c>
      <c r="J193" s="837">
        <f>IFERROR(IF(#REF!="Route-based",J201*#REF!,IF(#REF!="Point-to-point",J204*#REF!,0)),0)</f>
        <v>0</v>
      </c>
      <c r="K193" s="837">
        <f>IFERROR(IF(#REF!="Route-based",K201*#REF!,IF(#REF!="Point-to-point",K204*#REF!,0)),0)</f>
        <v>0</v>
      </c>
      <c r="L193" s="837">
        <f>IFERROR(IF(#REF!="Route-based",L201*#REF!,IF(#REF!="Point-to-point",L204*#REF!,0)),0)</f>
        <v>0</v>
      </c>
      <c r="M193" s="837">
        <f>IFERROR(IF(#REF!="Route-based",M201*#REF!,IF(#REF!="Point-to-point",M204*#REF!,0)),0)</f>
        <v>0</v>
      </c>
      <c r="N193" s="837">
        <f>IFERROR(IF(#REF!="Route-based",N201*#REF!,IF(#REF!="Point-to-point",N204*#REF!,0)),0)</f>
        <v>0</v>
      </c>
      <c r="O193" s="837">
        <f>IFERROR(IF(#REF!="Route-based",O201*#REF!,IF(#REF!="Point-to-point",O204*#REF!,0)),0)</f>
        <v>0</v>
      </c>
      <c r="P193" s="837">
        <f>IFERROR(IF(#REF!="Route-based",P201*#REF!,IF(#REF!="Point-to-point",P204*#REF!,0)),0)</f>
        <v>0</v>
      </c>
      <c r="Q193" s="837">
        <f>IFERROR(IF(#REF!="Route-based",Q201*#REF!,IF(#REF!="Point-to-point",Q204*#REF!,0)),0)</f>
        <v>0</v>
      </c>
      <c r="R193" s="853" t="s">
        <v>597</v>
      </c>
      <c r="S193" s="853"/>
      <c r="T193" s="837">
        <f>IFERROR(IF(#REF!="Route-based",T201*#REF!,IF(#REF!="Point-to-point",T204*#REF!,0)),0)</f>
        <v>0</v>
      </c>
      <c r="U193" s="853"/>
      <c r="V193" s="853"/>
      <c r="W193" s="837">
        <f>IFERROR(IF(#REF!="Route-based",W201*#REF!,IF(#REF!="Point-to-point",W204*#REF!,0)),0)</f>
        <v>0</v>
      </c>
      <c r="X193" s="36"/>
      <c r="Y193" s="36"/>
      <c r="Z193" s="36"/>
      <c r="AA193" s="36"/>
      <c r="AB193" s="36"/>
      <c r="AC193" s="36"/>
      <c r="AD193" s="36"/>
      <c r="AE193" s="36"/>
      <c r="AF193" s="36"/>
      <c r="AG193" s="36"/>
      <c r="AH193" s="36"/>
      <c r="AI193" s="36"/>
      <c r="AJ193" s="36"/>
      <c r="AK193" s="36"/>
      <c r="AL193" s="36"/>
      <c r="AM193" s="36"/>
    </row>
    <row r="194" spans="6:39" ht="15" customHeight="1" outlineLevel="1">
      <c r="F194" s="883"/>
      <c r="G194" s="6" t="s">
        <v>142</v>
      </c>
      <c r="H194" s="841"/>
      <c r="I194" s="841">
        <f>IFERROR(ROUND(#REF!*#REF!,0),0)</f>
        <v>0</v>
      </c>
      <c r="J194" s="841">
        <f>IFERROR(ROUND(#REF!*#REF!,0),0)</f>
        <v>0</v>
      </c>
      <c r="K194" s="841">
        <f>IFERROR(IF(COUNTIF(#REF!,"Public Transport*")=1,ROUND(#REF!*#REF!,0),0),0)</f>
        <v>0</v>
      </c>
      <c r="L194" s="841">
        <f>IFERROR(ROUND(#REF!*#REF!,0),0)</f>
        <v>0</v>
      </c>
      <c r="M194" s="841">
        <f>IFERROR(ROUND(#REF!*#REF!,0),0)</f>
        <v>0</v>
      </c>
      <c r="N194" s="841">
        <f>IFERROR(IF(COUNTIF(#REF!,"Public Transport*")=1,ROUND(#REF!*#REF!,0),0),0)</f>
        <v>0</v>
      </c>
      <c r="O194" s="841">
        <f>IFERROR(ROUND(#REF!*#REF!,0),0)</f>
        <v>0</v>
      </c>
      <c r="P194" s="841">
        <f>IFERROR(ROUND(#REF!*#REF!,0),0)</f>
        <v>0</v>
      </c>
      <c r="Q194" s="841">
        <f>IFERROR(IF(COUNTIF(#REF!,"Public Transport*")=1,ROUND(#REF!*#REF!,0),0),0)</f>
        <v>0</v>
      </c>
      <c r="R194" s="870" t="s">
        <v>598</v>
      </c>
      <c r="S194" s="870"/>
      <c r="T194" s="841">
        <f>IFERROR(IF(COUNTIF(#REF!,"Public Transport*")=1,ROUND(#REF!*#REF!,0),0),0)</f>
        <v>0</v>
      </c>
      <c r="U194" s="870"/>
      <c r="V194" s="870"/>
      <c r="W194" s="841">
        <f>IFERROR(IF(COUNTIF(#REF!,"Public Transport*")=1,ROUND(#REF!*#REF!,0),0),0)</f>
        <v>0</v>
      </c>
      <c r="X194" s="36"/>
      <c r="Y194" s="36"/>
      <c r="Z194" s="36"/>
      <c r="AA194" s="36"/>
      <c r="AB194" s="36"/>
      <c r="AC194" s="36"/>
      <c r="AD194" s="36"/>
      <c r="AE194" s="36"/>
      <c r="AF194" s="36"/>
      <c r="AG194" s="36"/>
      <c r="AH194" s="36"/>
      <c r="AI194" s="36"/>
      <c r="AJ194" s="36"/>
      <c r="AK194" s="36"/>
      <c r="AL194" s="36"/>
      <c r="AM194" s="36" t="s">
        <v>190</v>
      </c>
    </row>
    <row r="195" spans="6:39" ht="15" customHeight="1" outlineLevel="1">
      <c r="F195" s="883"/>
      <c r="G195" s="6" t="s">
        <v>158</v>
      </c>
      <c r="H195" s="836"/>
      <c r="I195" s="836">
        <f>IFERROR(INDEX(#REF!,MATCH(#REF!&amp;"Average delivery capacity (m^3)",#REF!, 0))/(Baseline_Results_NOINDIRECT!I$187/#REF!),0)</f>
        <v>0</v>
      </c>
      <c r="J195" s="836">
        <f>IFERROR(INDEX(#REF!,MATCH(#REF!&amp;"Average delivery capacity (m^3)",#REF!, 0))/(Baseline_Results_NOINDIRECT!J$187/#REF!),0)</f>
        <v>0</v>
      </c>
      <c r="K195" s="836">
        <f>IFERROR(INDEX(#REF!,MATCH(#REF!&amp;"Average delivery capacity (m^3)",#REF!, 0))/(Baseline_Results_NOINDIRECT!K$187/#REF!),0)</f>
        <v>0</v>
      </c>
      <c r="L195" s="836">
        <f>IFERROR(INDEX(#REF!,MATCH(#REF!&amp;"Average delivery capacity (m^3)",#REF!, 0))/(Baseline_Results_NOINDIRECT!L$187/#REF!),0)</f>
        <v>0</v>
      </c>
      <c r="M195" s="836">
        <f>IFERROR(INDEX(#REF!,MATCH(#REF!&amp;"Average delivery capacity (m^3)",#REF!, 0))/(Baseline_Results_NOINDIRECT!M$187/#REF!),0)</f>
        <v>0</v>
      </c>
      <c r="N195" s="836">
        <f>IFERROR(INDEX(#REF!,MATCH(#REF!&amp;"Average delivery capacity (m^3)",#REF!, 0))/(Baseline_Results_NOINDIRECT!N$187/#REF!),0)</f>
        <v>0</v>
      </c>
      <c r="O195" s="836">
        <f>IFERROR(INDEX(#REF!,MATCH(#REF!&amp;"Average delivery capacity (m^3)",#REF!, 0))/(Baseline_Results_NOINDIRECT!O$187/#REF!),0)</f>
        <v>0</v>
      </c>
      <c r="P195" s="836">
        <f>IFERROR(INDEX(#REF!,MATCH(#REF!&amp;"Average delivery capacity (m^3)",#REF!, 0))/(Baseline_Results_NOINDIRECT!P$187/#REF!),0)</f>
        <v>0</v>
      </c>
      <c r="Q195" s="836">
        <f>IFERROR(INDEX(#REF!,MATCH(#REF!&amp;"Average delivery capacity (m^3)",#REF!, 0))/(Baseline_Results_NOINDIRECT!Q$187/#REF!),0)</f>
        <v>0</v>
      </c>
      <c r="R195" s="836">
        <f>IFERROR(INDEX(#REF!,MATCH(#REF!&amp;"Average delivery capacity (m^3)",#REF!, 0))/(Baseline_Results_NOINDIRECT!R$187/#REF!),0)</f>
        <v>0</v>
      </c>
      <c r="S195" s="836">
        <f>IFERROR(INDEX(#REF!,MATCH(#REF!&amp;"Average delivery capacity (m^3)",#REF!, 0))/(Baseline_Results_NOINDIRECT!S$187/#REF!),0)</f>
        <v>0</v>
      </c>
      <c r="T195" s="836">
        <f>IFERROR(INDEX(#REF!,MATCH(#REF!&amp;"Average delivery capacity (m^3)",#REF!, 0))/(Baseline_Results_NOINDIRECT!T$187/#REF!),0)</f>
        <v>0</v>
      </c>
      <c r="U195" s="836">
        <f>IFERROR(INDEX(#REF!,MATCH(#REF!&amp;"Average delivery capacity (m^3)",#REF!, 0))/(Baseline_Results_NOINDIRECT!U$187/#REF!),0)</f>
        <v>0</v>
      </c>
      <c r="V195" s="836">
        <f>IFERROR(INDEX(#REF!,MATCH(#REF!&amp;"Average delivery capacity (m^3)",#REF!, 0))/(Baseline_Results_NOINDIRECT!V$187/#REF!),0)</f>
        <v>0</v>
      </c>
      <c r="W195" s="836">
        <f>IFERROR(INDEX(#REF!,MATCH(#REF!&amp;"Average delivery capacity (m^3)",#REF!, 0))/(Baseline_Results_NOINDIRECT!W$187/#REF!),0)</f>
        <v>0</v>
      </c>
      <c r="X195" s="36"/>
      <c r="Y195" s="36"/>
      <c r="Z195" s="36"/>
      <c r="AA195" s="36"/>
      <c r="AB195" s="36"/>
      <c r="AC195" s="36"/>
      <c r="AD195" s="36"/>
      <c r="AE195" s="36"/>
      <c r="AF195" s="36"/>
      <c r="AG195" s="36"/>
      <c r="AH195" s="36"/>
      <c r="AI195" s="36"/>
      <c r="AJ195" s="36"/>
      <c r="AK195" s="36"/>
      <c r="AL195" s="36"/>
      <c r="AM195" s="36"/>
    </row>
    <row r="196" spans="6:39" ht="15" customHeight="1" outlineLevel="1">
      <c r="F196" s="883"/>
      <c r="G196" s="241" t="s">
        <v>150</v>
      </c>
      <c r="H196" s="842"/>
      <c r="I196" s="842"/>
      <c r="J196" s="842"/>
      <c r="K196" s="842"/>
      <c r="L196" s="842"/>
      <c r="M196" s="842"/>
      <c r="N196" s="842"/>
      <c r="O196" s="842"/>
      <c r="P196" s="842"/>
      <c r="Q196" s="842"/>
      <c r="R196" s="853"/>
      <c r="S196" s="853"/>
      <c r="T196" s="842"/>
      <c r="U196" s="853"/>
      <c r="V196" s="853"/>
      <c r="W196" s="842"/>
      <c r="X196" s="36"/>
      <c r="Y196" s="36"/>
      <c r="Z196" s="36"/>
      <c r="AA196" s="36"/>
      <c r="AB196" s="36"/>
      <c r="AC196" s="36"/>
      <c r="AD196" s="36"/>
      <c r="AE196" s="36"/>
      <c r="AF196" s="36"/>
      <c r="AG196" s="36"/>
      <c r="AH196" s="36"/>
      <c r="AI196" s="36"/>
      <c r="AJ196" s="36"/>
      <c r="AK196" s="36"/>
      <c r="AL196" s="36"/>
      <c r="AM196" s="36"/>
    </row>
    <row r="197" spans="6:39" ht="15" customHeight="1" outlineLevel="1">
      <c r="F197" s="883"/>
      <c r="G197" s="6" t="s">
        <v>140</v>
      </c>
      <c r="H197" s="836"/>
      <c r="I197" s="836">
        <f>IFERROR(ROUND(#REF!/(((1/60)*(#REF!+#REF!*(#REF!+(#REF!*(Baseline_Results_NOINDIRECT!I$187/#REF!/#REF!)))))+INDEX(#REF!,MATCH(#REF!&amp;"Average duration (hrs) per trip",#REF!,0))),1),0)</f>
        <v>0</v>
      </c>
      <c r="J197" s="836">
        <f>IFERROR(ROUND(#REF!/(((1/60)*(#REF!+#REF!*(#REF!+(#REF!*(Baseline_Results_NOINDIRECT!J$187/#REF!/#REF!)))))+INDEX(#REF!,MATCH(#REF!&amp;"Average duration (hrs) per trip",#REF!,0))),1),0)</f>
        <v>0</v>
      </c>
      <c r="K197" s="836">
        <f>IFERROR(ROUND(#REF!/(((1/60)*(#REF!+#REF!*(#REF!+(#REF!*(Baseline_Results_NOINDIRECT!K$187/#REF!/#REF!)))))+INDEX(#REF!,MATCH(#REF!&amp;"Average duration (hrs) per trip",#REF!,0))),1),0)</f>
        <v>0</v>
      </c>
      <c r="L197" s="836">
        <f>IFERROR(ROUND(#REF!/(((1/60)*(#REF!+#REF!*(#REF!+(#REF!*(Baseline_Results_NOINDIRECT!L$187/#REF!/#REF!)))))+INDEX(#REF!,MATCH(#REF!&amp;"Average duration (hrs) per trip",#REF!,0))),1),0)</f>
        <v>0</v>
      </c>
      <c r="M197" s="836">
        <f>IFERROR(ROUND(#REF!/(((1/60)*(#REF!+#REF!*(#REF!+(#REF!*(Baseline_Results_NOINDIRECT!M$187/#REF!/#REF!)))))+INDEX(#REF!,MATCH(#REF!&amp;"Average duration (hrs) per trip",#REF!,0))),1),0)</f>
        <v>0</v>
      </c>
      <c r="N197" s="836">
        <f>IFERROR(ROUND(#REF!/(((1/60)*(#REF!+#REF!*(#REF!+(#REF!*(Baseline_Results_NOINDIRECT!N$187/#REF!/#REF!)))))+INDEX(#REF!,MATCH(#REF!&amp;"Average duration (hrs) per trip",#REF!,0))),1),0)</f>
        <v>0</v>
      </c>
      <c r="O197" s="836">
        <f>IFERROR(ROUND(#REF!/(((1/60)*(#REF!+#REF!*(#REF!+(#REF!*(Baseline_Results_NOINDIRECT!O$187/#REF!/#REF!)))))+INDEX(#REF!,MATCH(#REF!&amp;"Average duration (hrs) per trip",#REF!,0))),1),0)</f>
        <v>0</v>
      </c>
      <c r="P197" s="836">
        <f>IFERROR(ROUND(#REF!/(((1/60)*(#REF!+#REF!*(#REF!+(#REF!*(Baseline_Results_NOINDIRECT!P$187/#REF!/#REF!)))))+INDEX(#REF!,MATCH(#REF!&amp;"Average duration (hrs) per trip",#REF!,0))),1),0)</f>
        <v>0</v>
      </c>
      <c r="Q197" s="836">
        <f>IFERROR(ROUND(#REF!/(((1/60)*(#REF!+#REF!*(#REF!+(#REF!*(Baseline_Results_NOINDIRECT!Q$187/#REF!/#REF!)))))+INDEX(#REF!,MATCH(#REF!&amp;"Average duration (hrs) per trip",#REF!,0))),1),0)</f>
        <v>0</v>
      </c>
      <c r="R197" s="836">
        <f>IFERROR(ROUND(#REF!/(((1/60)*(#REF!+#REF!*(#REF!+(#REF!*(Baseline_Results_NOINDIRECT!R$187/#REF!/#REF!)))))+INDEX(#REF!,MATCH(#REF!&amp;"Average duration (hrs) per trip",#REF!,0))),1),0)</f>
        <v>0</v>
      </c>
      <c r="S197" s="836">
        <f>IFERROR(ROUND(#REF!/(((1/60)*(#REF!+#REF!*(#REF!+(#REF!*(Baseline_Results_NOINDIRECT!S$187/#REF!/#REF!)))))+INDEX(#REF!,MATCH(#REF!&amp;"Average duration (hrs) per trip",#REF!,0))),1),0)</f>
        <v>0</v>
      </c>
      <c r="T197" s="836">
        <f>IFERROR(ROUND(#REF!/(((1/60)*(#REF!+#REF!*(#REF!+(#REF!*(Baseline_Results_NOINDIRECT!T$187/#REF!/#REF!)))))+INDEX(#REF!,MATCH(#REF!&amp;"Average duration (hrs) per trip",#REF!,0))),1),0)</f>
        <v>0</v>
      </c>
      <c r="U197" s="836">
        <f>IFERROR(ROUND(#REF!/(((1/60)*(#REF!+#REF!*(#REF!+(#REF!*(Baseline_Results_NOINDIRECT!U$187/#REF!/#REF!)))))+INDEX(#REF!,MATCH(#REF!&amp;"Average duration (hrs) per trip",#REF!,0))),1),0)</f>
        <v>0</v>
      </c>
      <c r="V197" s="836">
        <f>IFERROR(ROUND(#REF!/(((1/60)*(#REF!+#REF!*(#REF!+(#REF!*(Baseline_Results_NOINDIRECT!V$187/#REF!/#REF!)))))+INDEX(#REF!,MATCH(#REF!&amp;"Average duration (hrs) per trip",#REF!,0))),1),0)</f>
        <v>0</v>
      </c>
      <c r="W197" s="836">
        <f>IFERROR(ROUND(#REF!/(((1/60)*(#REF!+#REF!*(#REF!+(#REF!*(Baseline_Results_NOINDIRECT!W$187/#REF!/#REF!)))))+INDEX(#REF!,MATCH(#REF!&amp;"Average duration (hrs) per trip",#REF!,0))),1),0)</f>
        <v>0</v>
      </c>
      <c r="X197" s="36"/>
      <c r="Y197" s="36"/>
      <c r="Z197" s="36"/>
      <c r="AA197" s="36"/>
      <c r="AB197" s="36"/>
      <c r="AC197" s="36"/>
      <c r="AD197" s="36"/>
      <c r="AE197" s="36"/>
      <c r="AF197" s="36"/>
      <c r="AG197" s="36"/>
      <c r="AH197" s="36"/>
      <c r="AI197" s="36"/>
      <c r="AJ197" s="36"/>
      <c r="AK197" s="36"/>
      <c r="AL197" s="36"/>
      <c r="AM197" s="36"/>
    </row>
    <row r="198" spans="6:39" ht="15" customHeight="1" outlineLevel="1">
      <c r="F198" s="883"/>
      <c r="G198" s="6" t="s">
        <v>141</v>
      </c>
      <c r="H198" s="836"/>
      <c r="I198" s="836">
        <f>IFERROR(MIN(ROUND(I197*#REF!,0),I195),0)</f>
        <v>0</v>
      </c>
      <c r="J198" s="836">
        <f>IFERROR(MIN(ROUND(J197*#REF!,0),J195),0)</f>
        <v>0</v>
      </c>
      <c r="K198" s="836">
        <f>IFERROR(MIN(ROUND(K197*#REF!,0),K195),0)</f>
        <v>0</v>
      </c>
      <c r="L198" s="836">
        <f>IFERROR(MIN(ROUND(L197*#REF!,0),L195),0)</f>
        <v>0</v>
      </c>
      <c r="M198" s="836">
        <f>IFERROR(MIN(ROUND(M197*#REF!,0),M195),0)</f>
        <v>0</v>
      </c>
      <c r="N198" s="836">
        <f>IFERROR(MIN(ROUND(N197*#REF!,0),N195),0)</f>
        <v>0</v>
      </c>
      <c r="O198" s="836">
        <f>IFERROR(MIN(ROUND(O197*#REF!,0),O195),0)</f>
        <v>0</v>
      </c>
      <c r="P198" s="836">
        <f>IFERROR(MIN(ROUND(P197*#REF!,0),P195),0)</f>
        <v>0</v>
      </c>
      <c r="Q198" s="836">
        <f>IFERROR(MIN(ROUND(Q197*#REF!,0),Q195),0)</f>
        <v>0</v>
      </c>
      <c r="R198" s="836">
        <f>IFERROR(MIN(ROUND(R197*#REF!,0),R195),0)</f>
        <v>0</v>
      </c>
      <c r="S198" s="836">
        <f>IFERROR(MIN(ROUND(S197*#REF!,0),S195),0)</f>
        <v>0</v>
      </c>
      <c r="T198" s="836">
        <f>IFERROR(MIN(ROUND(T197*#REF!,0),T195),0)</f>
        <v>0</v>
      </c>
      <c r="U198" s="836">
        <f>IFERROR(MIN(ROUND(U197*#REF!,0),U195),0)</f>
        <v>0</v>
      </c>
      <c r="V198" s="836">
        <f>IFERROR(MIN(ROUND(V197*#REF!,0),V195),0)</f>
        <v>0</v>
      </c>
      <c r="W198" s="836">
        <f>IFERROR(MIN(ROUND(W197*#REF!,0),W195),0)</f>
        <v>0</v>
      </c>
      <c r="X198" s="36"/>
      <c r="Y198" s="36"/>
      <c r="Z198" s="36"/>
      <c r="AA198" s="36"/>
      <c r="AB198" s="36"/>
      <c r="AC198" s="36"/>
      <c r="AD198" s="36"/>
      <c r="AE198" s="36"/>
      <c r="AF198" s="36"/>
      <c r="AG198" s="36"/>
      <c r="AH198" s="36"/>
      <c r="AI198" s="36"/>
      <c r="AJ198" s="36"/>
      <c r="AK198" s="36"/>
      <c r="AL198" s="36"/>
      <c r="AM198" s="36"/>
    </row>
    <row r="199" spans="6:39" ht="15" customHeight="1" outlineLevel="1">
      <c r="F199" s="883"/>
      <c r="G199" s="6" t="s">
        <v>143</v>
      </c>
      <c r="H199" s="836"/>
      <c r="I199" s="836">
        <f t="shared" ref="I199:W199" si="30">IFERROR(ROUNDUP(I194/I198,0),0)</f>
        <v>0</v>
      </c>
      <c r="J199" s="836">
        <f t="shared" si="30"/>
        <v>0</v>
      </c>
      <c r="K199" s="836">
        <f t="shared" si="30"/>
        <v>0</v>
      </c>
      <c r="L199" s="836">
        <f t="shared" si="30"/>
        <v>0</v>
      </c>
      <c r="M199" s="836">
        <f t="shared" si="30"/>
        <v>0</v>
      </c>
      <c r="N199" s="836">
        <f t="shared" si="30"/>
        <v>0</v>
      </c>
      <c r="O199" s="836">
        <f t="shared" si="30"/>
        <v>0</v>
      </c>
      <c r="P199" s="836">
        <f t="shared" si="30"/>
        <v>0</v>
      </c>
      <c r="Q199" s="836">
        <f t="shared" si="30"/>
        <v>0</v>
      </c>
      <c r="R199" s="836">
        <f t="shared" si="30"/>
        <v>0</v>
      </c>
      <c r="S199" s="836">
        <f t="shared" si="30"/>
        <v>0</v>
      </c>
      <c r="T199" s="836">
        <f t="shared" si="30"/>
        <v>0</v>
      </c>
      <c r="U199" s="836">
        <f t="shared" si="30"/>
        <v>0</v>
      </c>
      <c r="V199" s="836">
        <f t="shared" si="30"/>
        <v>0</v>
      </c>
      <c r="W199" s="836">
        <f t="shared" si="30"/>
        <v>0</v>
      </c>
      <c r="X199" s="36"/>
      <c r="Y199" s="36"/>
      <c r="Z199" s="36"/>
      <c r="AA199" s="36"/>
      <c r="AB199" s="36"/>
      <c r="AC199" s="36"/>
      <c r="AD199" s="36"/>
      <c r="AE199" s="36"/>
      <c r="AF199" s="36"/>
      <c r="AG199" s="36"/>
      <c r="AH199" s="36"/>
      <c r="AI199" s="36"/>
      <c r="AJ199" s="242"/>
      <c r="AK199" s="36"/>
      <c r="AL199" s="36"/>
      <c r="AM199" s="36"/>
    </row>
    <row r="200" spans="6:39" ht="15" customHeight="1" outlineLevel="1">
      <c r="F200" s="883"/>
      <c r="G200" s="6" t="s">
        <v>144</v>
      </c>
      <c r="H200" s="836"/>
      <c r="I200" s="836">
        <f t="shared" ref="I200:W200" si="31">IFERROR((I199*(MAX(I198,1)+1)),0)</f>
        <v>0</v>
      </c>
      <c r="J200" s="836">
        <f t="shared" si="31"/>
        <v>0</v>
      </c>
      <c r="K200" s="836">
        <f t="shared" si="31"/>
        <v>0</v>
      </c>
      <c r="L200" s="836">
        <f t="shared" si="31"/>
        <v>0</v>
      </c>
      <c r="M200" s="836">
        <f t="shared" si="31"/>
        <v>0</v>
      </c>
      <c r="N200" s="836">
        <f t="shared" si="31"/>
        <v>0</v>
      </c>
      <c r="O200" s="836">
        <f t="shared" si="31"/>
        <v>0</v>
      </c>
      <c r="P200" s="836">
        <f t="shared" si="31"/>
        <v>0</v>
      </c>
      <c r="Q200" s="836">
        <f t="shared" si="31"/>
        <v>0</v>
      </c>
      <c r="R200" s="836">
        <f t="shared" si="31"/>
        <v>0</v>
      </c>
      <c r="S200" s="836">
        <f t="shared" si="31"/>
        <v>0</v>
      </c>
      <c r="T200" s="836">
        <f t="shared" si="31"/>
        <v>0</v>
      </c>
      <c r="U200" s="836">
        <f t="shared" si="31"/>
        <v>0</v>
      </c>
      <c r="V200" s="836">
        <f t="shared" si="31"/>
        <v>0</v>
      </c>
      <c r="W200" s="836">
        <f t="shared" si="31"/>
        <v>0</v>
      </c>
      <c r="X200" s="36"/>
      <c r="Y200" s="36"/>
      <c r="Z200" s="36"/>
      <c r="AA200" s="36"/>
      <c r="AB200" s="36"/>
      <c r="AC200" s="36"/>
      <c r="AD200" s="36"/>
      <c r="AE200" s="36"/>
      <c r="AF200" s="36"/>
      <c r="AG200" s="36"/>
      <c r="AH200" s="36"/>
      <c r="AI200" s="36"/>
      <c r="AJ200" s="242"/>
      <c r="AK200" s="36"/>
      <c r="AL200" s="36"/>
      <c r="AM200" s="36"/>
    </row>
    <row r="201" spans="6:39" ht="15" customHeight="1" outlineLevel="1">
      <c r="F201" s="883"/>
      <c r="G201" s="6" t="s">
        <v>145</v>
      </c>
      <c r="H201" s="836"/>
      <c r="I201" s="836">
        <f>IFERROR(ROUNDUP(((I200*INDEX(#REF!,MATCH(#REF!&amp;"Average duration (hrs) per trip",#REF!,0)))+(I194*((1/60)*(#REF!+#REF!*(#REF!+(#REF!*(Baseline_Results_NOINDIRECT!I$187/#REF!/#REF!)))))))/#REF!,0),0)</f>
        <v>0</v>
      </c>
      <c r="J201" s="836">
        <f>IFERROR(ROUNDUP(((J200*INDEX(#REF!,MATCH(#REF!&amp;"Average duration (hrs) per trip",#REF!,0)))+(J194*((1/60)*(#REF!+#REF!*(#REF!+(#REF!*(Baseline_Results_NOINDIRECT!J$187/#REF!/#REF!)))))))/#REF!,0),0)</f>
        <v>0</v>
      </c>
      <c r="K201" s="836">
        <f>IFERROR(ROUNDUP(((K200*INDEX(#REF!,MATCH(#REF!&amp;"Average duration (hrs) per trip",#REF!,0)))+(K194*((1/60)*(#REF!+#REF!*(#REF!+(#REF!*(Baseline_Results_NOINDIRECT!K$187/#REF!/#REF!)))))))/#REF!,0),0)</f>
        <v>0</v>
      </c>
      <c r="L201" s="836">
        <f>IFERROR(ROUNDUP(((L200*INDEX(#REF!,MATCH(#REF!&amp;"Average duration (hrs) per trip",#REF!,0)))+(L194*((1/60)*(#REF!+#REF!*(#REF!+(#REF!*(Baseline_Results_NOINDIRECT!L$187/#REF!/#REF!)))))))/#REF!,0),0)</f>
        <v>0</v>
      </c>
      <c r="M201" s="836">
        <f>IFERROR(ROUNDUP(((M200*INDEX(#REF!,MATCH(#REF!&amp;"Average duration (hrs) per trip",#REF!,0)))+(M194*((1/60)*(#REF!+#REF!*(#REF!+(#REF!*(Baseline_Results_NOINDIRECT!M$187/#REF!/#REF!)))))))/#REF!,0),0)</f>
        <v>0</v>
      </c>
      <c r="N201" s="836">
        <f>IFERROR(ROUNDUP(((N200*INDEX(#REF!,MATCH(#REF!&amp;"Average duration (hrs) per trip",#REF!,0)))+(N194*((1/60)*(#REF!+#REF!*(#REF!+(#REF!*(Baseline_Results_NOINDIRECT!N$187/#REF!/#REF!)))))))/#REF!,0),0)</f>
        <v>0</v>
      </c>
      <c r="O201" s="836">
        <f>IFERROR(ROUNDUP(((O200*INDEX(#REF!,MATCH(#REF!&amp;"Average duration (hrs) per trip",#REF!,0)))+(O194*((1/60)*(#REF!+#REF!*(#REF!+(#REF!*(Baseline_Results_NOINDIRECT!O$187/#REF!/#REF!)))))))/#REF!,0),0)</f>
        <v>0</v>
      </c>
      <c r="P201" s="836">
        <f>IFERROR(ROUNDUP(((P200*INDEX(#REF!,MATCH(#REF!&amp;"Average duration (hrs) per trip",#REF!,0)))+(P194*((1/60)*(#REF!+#REF!*(#REF!+(#REF!*(Baseline_Results_NOINDIRECT!P$187/#REF!/#REF!)))))))/#REF!,0),0)</f>
        <v>0</v>
      </c>
      <c r="Q201" s="836">
        <f>IFERROR(ROUNDUP(((Q200*INDEX(#REF!,MATCH(#REF!&amp;"Average duration (hrs) per trip",#REF!,0)))+(Q194*((1/60)*(#REF!+#REF!*(#REF!+(#REF!*(Baseline_Results_NOINDIRECT!Q$187/#REF!/#REF!)))))))/#REF!,0),0)</f>
        <v>0</v>
      </c>
      <c r="R201" s="836">
        <f>IFERROR(ROUNDUP(((R200*INDEX(#REF!,MATCH(#REF!&amp;"Average duration (hrs) per trip",#REF!,0)))+(R194*((1/60)*(#REF!+#REF!*(#REF!+(#REF!*(Baseline_Results_NOINDIRECT!R$187/#REF!/#REF!)))))))/#REF!,0),0)</f>
        <v>0</v>
      </c>
      <c r="S201" s="836">
        <f>IFERROR(ROUNDUP(((S200*INDEX(#REF!,MATCH(#REF!&amp;"Average duration (hrs) per trip",#REF!,0)))+(S194*((1/60)*(#REF!+#REF!*(#REF!+(#REF!*(Baseline_Results_NOINDIRECT!S$187/#REF!/#REF!)))))))/#REF!,0),0)</f>
        <v>0</v>
      </c>
      <c r="T201" s="836">
        <f>IFERROR(ROUNDUP(((T200*INDEX(#REF!,MATCH(#REF!&amp;"Average duration (hrs) per trip",#REF!,0)))+(T194*((1/60)*(#REF!+#REF!*(#REF!+(#REF!*(Baseline_Results_NOINDIRECT!T$187/#REF!/#REF!)))))))/#REF!,0),0)</f>
        <v>0</v>
      </c>
      <c r="U201" s="836">
        <f>IFERROR(ROUNDUP(((U200*INDEX(#REF!,MATCH(#REF!&amp;"Average duration (hrs) per trip",#REF!,0)))+(U194*((1/60)*(#REF!+#REF!*(#REF!+(#REF!*(Baseline_Results_NOINDIRECT!U$187/#REF!/#REF!)))))))/#REF!,0),0)</f>
        <v>0</v>
      </c>
      <c r="V201" s="836">
        <f>IFERROR(ROUNDUP(((V200*INDEX(#REF!,MATCH(#REF!&amp;"Average duration (hrs) per trip",#REF!,0)))+(V194*((1/60)*(#REF!+#REF!*(#REF!+(#REF!*(Baseline_Results_NOINDIRECT!V$187/#REF!/#REF!)))))))/#REF!,0),0)</f>
        <v>0</v>
      </c>
      <c r="W201" s="836">
        <f>IFERROR(ROUNDUP(((W200*INDEX(#REF!,MATCH(#REF!&amp;"Average duration (hrs) per trip",#REF!,0)))+(W194*((1/60)*(#REF!+#REF!*(#REF!+(#REF!*(Baseline_Results_NOINDIRECT!W$187/#REF!/#REF!)))))))/#REF!,0),0)</f>
        <v>0</v>
      </c>
      <c r="X201" s="36"/>
      <c r="Y201" s="36"/>
      <c r="Z201" s="36"/>
      <c r="AA201" s="36"/>
      <c r="AB201" s="36"/>
      <c r="AC201" s="36"/>
      <c r="AD201" s="36"/>
      <c r="AE201" s="36"/>
      <c r="AF201" s="36"/>
      <c r="AG201" s="36"/>
      <c r="AH201" s="36"/>
      <c r="AI201" s="36"/>
      <c r="AJ201" s="242"/>
      <c r="AK201" s="36"/>
      <c r="AL201" s="36"/>
      <c r="AM201" s="36"/>
    </row>
    <row r="202" spans="6:39" ht="15" customHeight="1" outlineLevel="1">
      <c r="F202" s="883"/>
      <c r="G202" s="241" t="s">
        <v>841</v>
      </c>
      <c r="H202" s="842"/>
      <c r="I202" s="842"/>
      <c r="J202" s="842"/>
      <c r="K202" s="842"/>
      <c r="L202" s="842"/>
      <c r="M202" s="842"/>
      <c r="N202" s="842"/>
      <c r="O202" s="842"/>
      <c r="P202" s="842"/>
      <c r="Q202" s="842"/>
      <c r="R202" s="853"/>
      <c r="S202" s="853"/>
      <c r="T202" s="842"/>
      <c r="U202" s="853"/>
      <c r="V202" s="853"/>
      <c r="W202" s="842"/>
      <c r="X202" s="36"/>
      <c r="Y202" s="36"/>
      <c r="Z202" s="36"/>
      <c r="AA202" s="36"/>
      <c r="AB202" s="36"/>
      <c r="AC202" s="36"/>
      <c r="AD202" s="36"/>
      <c r="AE202" s="36"/>
      <c r="AF202" s="36"/>
      <c r="AG202" s="36"/>
      <c r="AH202" s="36"/>
      <c r="AI202" s="36"/>
      <c r="AJ202" s="36"/>
      <c r="AK202" s="36"/>
      <c r="AL202" s="36"/>
      <c r="AM202" s="36"/>
    </row>
    <row r="203" spans="6:39" ht="15" customHeight="1" outlineLevel="1">
      <c r="F203" s="883"/>
      <c r="G203" s="6" t="s">
        <v>144</v>
      </c>
      <c r="H203" s="836"/>
      <c r="I203" s="836">
        <f t="shared" ref="I203:W203" si="32">IFERROR((I194/MIN(I195,1))*2,0)</f>
        <v>0</v>
      </c>
      <c r="J203" s="836">
        <f t="shared" si="32"/>
        <v>0</v>
      </c>
      <c r="K203" s="836">
        <f t="shared" si="32"/>
        <v>0</v>
      </c>
      <c r="L203" s="836">
        <f t="shared" si="32"/>
        <v>0</v>
      </c>
      <c r="M203" s="836">
        <f t="shared" si="32"/>
        <v>0</v>
      </c>
      <c r="N203" s="836">
        <f t="shared" si="32"/>
        <v>0</v>
      </c>
      <c r="O203" s="836">
        <f t="shared" si="32"/>
        <v>0</v>
      </c>
      <c r="P203" s="836">
        <f t="shared" si="32"/>
        <v>0</v>
      </c>
      <c r="Q203" s="836">
        <f t="shared" si="32"/>
        <v>0</v>
      </c>
      <c r="R203" s="836">
        <f t="shared" si="32"/>
        <v>0</v>
      </c>
      <c r="S203" s="836">
        <f t="shared" si="32"/>
        <v>0</v>
      </c>
      <c r="T203" s="836">
        <f t="shared" si="32"/>
        <v>0</v>
      </c>
      <c r="U203" s="836">
        <f t="shared" si="32"/>
        <v>0</v>
      </c>
      <c r="V203" s="836">
        <f t="shared" si="32"/>
        <v>0</v>
      </c>
      <c r="W203" s="836">
        <f t="shared" si="32"/>
        <v>0</v>
      </c>
      <c r="X203" s="36"/>
      <c r="Y203" s="36"/>
      <c r="Z203" s="36"/>
      <c r="AA203" s="36"/>
      <c r="AB203" s="36"/>
      <c r="AC203" s="36"/>
      <c r="AD203" s="36"/>
      <c r="AE203" s="36"/>
      <c r="AF203" s="36"/>
      <c r="AG203" s="36"/>
      <c r="AH203" s="36"/>
      <c r="AI203" s="36"/>
      <c r="AJ203" s="36"/>
      <c r="AK203" s="36"/>
      <c r="AL203" s="36"/>
      <c r="AM203" s="36"/>
    </row>
    <row r="204" spans="6:39" ht="15" customHeight="1" outlineLevel="1">
      <c r="F204" s="883"/>
      <c r="G204" s="6" t="s">
        <v>145</v>
      </c>
      <c r="H204" s="837"/>
      <c r="I204" s="837">
        <f>IFERROR(MAX(I194,ROUNDUP(((I203*INDEX(#REF!,MATCH(#REF!&amp;"Average duration (hrs) per trip",#REF!,0)))+(I194*((1/60)*(#REF!+#REF!*(#REF!+(#REF!*(Baseline_Results_NOINDIRECT!I$187/#REF!/#REF!)))))))/#REF!,0)),0)</f>
        <v>0</v>
      </c>
      <c r="J204" s="837">
        <f>IFERROR(MAX(J194,ROUNDUP(((J203*INDEX(#REF!,MATCH(#REF!&amp;"Average duration (hrs) per trip",#REF!,0)))+(J194*((1/60)*(#REF!+#REF!*(#REF!+(#REF!*(Baseline_Results_NOINDIRECT!J$187/#REF!/#REF!)))))))/#REF!,0)),0)</f>
        <v>0</v>
      </c>
      <c r="K204" s="837">
        <f>IFERROR(MAX(K194,ROUNDUP(((K203*INDEX(#REF!,MATCH(#REF!&amp;"Average duration (hrs) per trip",#REF!,0)))+(K194*((1/60)*(#REF!+#REF!*(#REF!+(#REF!*(Baseline_Results_NOINDIRECT!K$187/#REF!/#REF!)))))))/#REF!,0)),0)</f>
        <v>0</v>
      </c>
      <c r="L204" s="837">
        <f>IFERROR(MAX(L194,ROUNDUP(((L203*INDEX(#REF!,MATCH(#REF!&amp;"Average duration (hrs) per trip",#REF!,0)))+(L194*((1/60)*(#REF!+#REF!*(#REF!+(#REF!*(Baseline_Results_NOINDIRECT!L$187/#REF!/#REF!)))))))/#REF!,0)),0)</f>
        <v>0</v>
      </c>
      <c r="M204" s="837">
        <f>IFERROR(MAX(M194,ROUNDUP(((M203*INDEX(#REF!,MATCH(#REF!&amp;"Average duration (hrs) per trip",#REF!,0)))+(M194*((1/60)*(#REF!+#REF!*(#REF!+(#REF!*(Baseline_Results_NOINDIRECT!M$187/#REF!/#REF!)))))))/#REF!,0)),0)</f>
        <v>0</v>
      </c>
      <c r="N204" s="837">
        <f>IFERROR(MAX(N194,ROUNDUP(((N203*INDEX(#REF!,MATCH(#REF!&amp;"Average duration (hrs) per trip",#REF!,0)))+(N194*((1/60)*(#REF!+#REF!*(#REF!+(#REF!*(Baseline_Results_NOINDIRECT!N$187/#REF!/#REF!)))))))/#REF!,0)),0)</f>
        <v>0</v>
      </c>
      <c r="O204" s="837">
        <f>IFERROR(MAX(O194,ROUNDUP(((O203*INDEX(#REF!,MATCH(#REF!&amp;"Average duration (hrs) per trip",#REF!,0)))+(O194*((1/60)*(#REF!+#REF!*(#REF!+(#REF!*(Baseline_Results_NOINDIRECT!O$187/#REF!/#REF!)))))))/#REF!,0)),0)</f>
        <v>0</v>
      </c>
      <c r="P204" s="837">
        <f>IFERROR(MAX(P194,ROUNDUP(((P203*INDEX(#REF!,MATCH(#REF!&amp;"Average duration (hrs) per trip",#REF!,0)))+(P194*((1/60)*(#REF!+#REF!*(#REF!+(#REF!*(Baseline_Results_NOINDIRECT!P$187/#REF!/#REF!)))))))/#REF!,0)),0)</f>
        <v>0</v>
      </c>
      <c r="Q204" s="837">
        <f>IFERROR(MAX(Q194,ROUNDUP(((Q203*INDEX(#REF!,MATCH(#REF!&amp;"Average duration (hrs) per trip",#REF!,0)))+(Q194*((1/60)*(#REF!+#REF!*(#REF!+(#REF!*(Baseline_Results_NOINDIRECT!Q$187/#REF!/#REF!)))))))/#REF!,0)),0)</f>
        <v>0</v>
      </c>
      <c r="R204" s="837">
        <f>IFERROR(MAX(R194,ROUNDUP(((R203*INDEX(#REF!,MATCH(#REF!&amp;"Average duration (hrs) per trip",#REF!,0)))+(R194*((1/60)*(#REF!+#REF!*(#REF!+(#REF!*(Baseline_Results_NOINDIRECT!R$187/#REF!/#REF!)))))))/#REF!,0)),0)</f>
        <v>0</v>
      </c>
      <c r="S204" s="837">
        <f>IFERROR(MAX(S194,ROUNDUP(((S203*INDEX(#REF!,MATCH(#REF!&amp;"Average duration (hrs) per trip",#REF!,0)))+(S194*((1/60)*(#REF!+#REF!*(#REF!+(#REF!*(Baseline_Results_NOINDIRECT!S$187/#REF!/#REF!)))))))/#REF!,0)),0)</f>
        <v>0</v>
      </c>
      <c r="T204" s="837">
        <f>IFERROR(MAX(T194,ROUNDUP(((T203*INDEX(#REF!,MATCH(#REF!&amp;"Average duration (hrs) per trip",#REF!,0)))+(T194*((1/60)*(#REF!+#REF!*(#REF!+(#REF!*(Baseline_Results_NOINDIRECT!T$187/#REF!/#REF!)))))))/#REF!,0)),0)</f>
        <v>0</v>
      </c>
      <c r="U204" s="837">
        <f>IFERROR(MAX(U194,ROUNDUP(((U203*INDEX(#REF!,MATCH(#REF!&amp;"Average duration (hrs) per trip",#REF!,0)))+(U194*((1/60)*(#REF!+#REF!*(#REF!+(#REF!*(Baseline_Results_NOINDIRECT!U$187/#REF!/#REF!)))))))/#REF!,0)),0)</f>
        <v>0</v>
      </c>
      <c r="V204" s="837">
        <f>IFERROR(MAX(V194,ROUNDUP(((V203*INDEX(#REF!,MATCH(#REF!&amp;"Average duration (hrs) per trip",#REF!,0)))+(V194*((1/60)*(#REF!+#REF!*(#REF!+(#REF!*(Baseline_Results_NOINDIRECT!V$187/#REF!/#REF!)))))))/#REF!,0)),0)</f>
        <v>0</v>
      </c>
      <c r="W204" s="837">
        <f>IFERROR(MAX(W194,ROUNDUP(((W203*INDEX(#REF!,MATCH(#REF!&amp;"Average duration (hrs) per trip",#REF!,0)))+(W194*((1/60)*(#REF!+#REF!*(#REF!+(#REF!*(Baseline_Results_NOINDIRECT!W$187/#REF!/#REF!)))))))/#REF!,0)),0)</f>
        <v>0</v>
      </c>
      <c r="X204" s="36"/>
      <c r="Y204" s="36"/>
      <c r="Z204" s="36"/>
      <c r="AA204" s="36"/>
      <c r="AB204" s="36"/>
      <c r="AC204" s="36"/>
      <c r="AD204" s="36"/>
      <c r="AE204" s="36"/>
      <c r="AF204" s="36"/>
      <c r="AG204" s="36"/>
      <c r="AH204" s="36"/>
      <c r="AI204" s="36"/>
      <c r="AJ204" s="242"/>
      <c r="AK204" s="36"/>
      <c r="AL204" s="36"/>
      <c r="AM204" s="36"/>
    </row>
    <row r="205" spans="6:39" ht="15" customHeight="1" outlineLevel="1">
      <c r="F205" s="884" t="s">
        <v>148</v>
      </c>
      <c r="G205" s="844"/>
      <c r="H205" s="848"/>
      <c r="I205" s="848"/>
      <c r="J205" s="848"/>
      <c r="K205" s="848"/>
      <c r="L205" s="848"/>
      <c r="M205" s="848"/>
      <c r="N205" s="848"/>
      <c r="O205" s="848"/>
      <c r="P205" s="848"/>
      <c r="Q205" s="848"/>
      <c r="R205" s="846"/>
      <c r="S205" s="846"/>
      <c r="T205" s="848"/>
      <c r="U205" s="846"/>
      <c r="V205" s="846"/>
      <c r="W205" s="848"/>
      <c r="X205" s="36"/>
      <c r="Y205" s="36"/>
      <c r="Z205" s="36"/>
      <c r="AA205" s="36"/>
      <c r="AB205" s="36"/>
      <c r="AC205" s="36"/>
      <c r="AD205" s="36"/>
      <c r="AE205" s="36"/>
      <c r="AF205" s="36"/>
      <c r="AG205" s="36"/>
      <c r="AH205" s="36"/>
      <c r="AI205" s="36"/>
      <c r="AJ205" s="242"/>
      <c r="AK205" s="36"/>
      <c r="AL205" s="36"/>
      <c r="AM205" s="36"/>
    </row>
    <row r="206" spans="6:39" ht="15" customHeight="1" outlineLevel="1">
      <c r="F206" s="1"/>
      <c r="G206" s="6" t="s">
        <v>151</v>
      </c>
      <c r="H206" s="836"/>
      <c r="I206" s="836">
        <f>IFERROR(IF(COUNTIF(#REF!,"Public Transport*")&lt;1,ROUND(#REF!*#REF!,0),0),0)</f>
        <v>0</v>
      </c>
      <c r="J206" s="836">
        <f>IFERROR(IF(COUNTIF(#REF!,"Public Transport*")&lt;1,ROUND(#REF!*#REF!,0),0),0)</f>
        <v>0</v>
      </c>
      <c r="K206" s="836">
        <f>IFERROR(IF(COUNTIF(#REF!,"Public Transport*")&lt;1,ROUND(#REF!*#REF!,0),0),0)</f>
        <v>0</v>
      </c>
      <c r="L206" s="836">
        <f>IFERROR(IF(COUNTIF(#REF!,"Public Transport*")&lt;1,ROUND(#REF!*#REF!,0),0),0)</f>
        <v>0</v>
      </c>
      <c r="M206" s="836">
        <f>IFERROR(IF(COUNTIF(#REF!,"Public Transport*")&lt;1,ROUND(#REF!*#REF!,0),0),0)</f>
        <v>0</v>
      </c>
      <c r="N206" s="836">
        <f>IFERROR(IF(COUNTIF(#REF!,"Public Transport*")&lt;1,ROUND(#REF!*#REF!,0),0),0)</f>
        <v>0</v>
      </c>
      <c r="O206" s="836">
        <f>IFERROR(IF(COUNTIF(#REF!,"Public Transport*")&lt;1,ROUND(#REF!*#REF!,0),0),0)</f>
        <v>0</v>
      </c>
      <c r="P206" s="836">
        <f>IFERROR(IF(COUNTIF(#REF!,"Public Transport*")&lt;1,ROUND(#REF!*#REF!,0),0),0)</f>
        <v>0</v>
      </c>
      <c r="Q206" s="836">
        <f>IFERROR(IF(COUNTIF(#REF!,"Public Transport*")&lt;1,ROUND(#REF!*#REF!,0),0),0)</f>
        <v>0</v>
      </c>
      <c r="R206" s="870"/>
      <c r="S206" s="870"/>
      <c r="T206" s="836">
        <f>IFERROR(IF(COUNTIF(#REF!,"Public Transport*")&lt;1,ROUND(#REF!*#REF!,0),0),0)</f>
        <v>0</v>
      </c>
      <c r="U206" s="870"/>
      <c r="V206" s="870"/>
      <c r="W206" s="836">
        <f>IFERROR(IF(COUNTIF(#REF!,"Public Transport*")&lt;1,ROUND(#REF!*#REF!,0),0),0)</f>
        <v>0</v>
      </c>
      <c r="X206" s="36"/>
      <c r="Y206" s="36"/>
      <c r="Z206" s="36"/>
      <c r="AA206" s="36"/>
      <c r="AB206" s="36"/>
      <c r="AC206" s="36"/>
      <c r="AD206" s="36"/>
      <c r="AE206" s="36"/>
      <c r="AF206" s="36"/>
      <c r="AG206" s="36"/>
      <c r="AH206" s="36"/>
      <c r="AI206" s="36"/>
      <c r="AJ206" s="242"/>
      <c r="AK206" s="36"/>
      <c r="AL206" s="36"/>
      <c r="AM206" s="36"/>
    </row>
    <row r="207" spans="6:39" ht="15" customHeight="1" outlineLevel="1">
      <c r="G207" s="6" t="s">
        <v>58</v>
      </c>
      <c r="H207" s="849"/>
      <c r="I207" s="849">
        <f>IFERROR(IF(#REF!="Route-based",#REF!*I216*I217,IF(#REF!="Point-to-point",I221*I222,0)),0)</f>
        <v>0</v>
      </c>
      <c r="J207" s="849">
        <f>IFERROR(IF(#REF!="Route-based",#REF!*J216*J217,IF(#REF!="Point-to-point",J221*J222,0)),0)</f>
        <v>0</v>
      </c>
      <c r="K207" s="849">
        <f>IFERROR(IF(#REF!="Route-based",K216*K217,IF(#REF!="Point-to-point",K221*K222,0)),0)</f>
        <v>0</v>
      </c>
      <c r="L207" s="849">
        <f>IFERROR(IF(#REF!="Route-based",#REF!*L216*L217,IF(#REF!="Point-to-point",L221*L222,0)),0)</f>
        <v>0</v>
      </c>
      <c r="M207" s="849">
        <f>IFERROR(IF(#REF!="Route-based",#REF!*M216*M217,IF(#REF!="Point-to-point",M221*M222,0)),0)</f>
        <v>0</v>
      </c>
      <c r="N207" s="849">
        <f>IFERROR(IF(#REF!="Route-based",N216*N217,IF(#REF!="Point-to-point",N221*N222,0)),0)</f>
        <v>0</v>
      </c>
      <c r="O207" s="849">
        <f>IFERROR(IF(#REF!="Route-based",O216*O217,IF(#REF!="Point-to-point",O221*O222,0)),0)</f>
        <v>0</v>
      </c>
      <c r="P207" s="849">
        <f>IFERROR(IF(#REF!="Route-based",P216*P217,IF(#REF!="Point-to-point",P221*P222,0)),0)</f>
        <v>0</v>
      </c>
      <c r="Q207" s="849">
        <f>IFERROR(IF(#REF!="Route-based",Q216*Q217,IF(#REF!="Point-to-point",Q221*Q222,0)),0)</f>
        <v>0</v>
      </c>
      <c r="R207" s="853" t="s">
        <v>594</v>
      </c>
      <c r="S207" s="853"/>
      <c r="T207" s="849">
        <f>IFERROR(IF(#REF!="Route-based",T216*T217,IF(#REF!="Point-to-point",T221*T222,0)),0)</f>
        <v>0</v>
      </c>
      <c r="U207" s="853"/>
      <c r="V207" s="853"/>
      <c r="W207" s="849">
        <f>IFERROR(IF(#REF!="Route-based",W216*W217,IF(#REF!="Point-to-point",W221*W222,0)),0)</f>
        <v>0</v>
      </c>
      <c r="X207" s="36"/>
      <c r="Y207" s="36"/>
      <c r="Z207" s="36"/>
      <c r="AA207" s="36"/>
      <c r="AB207" s="36"/>
      <c r="AC207" s="36"/>
      <c r="AD207" s="36"/>
      <c r="AE207" s="36"/>
      <c r="AF207" s="36"/>
      <c r="AG207" s="36"/>
      <c r="AH207" s="36"/>
      <c r="AI207" s="36"/>
      <c r="AJ207" s="242"/>
      <c r="AK207" s="36"/>
      <c r="AL207" s="36"/>
      <c r="AM207" s="36"/>
    </row>
    <row r="208" spans="6:39" ht="15" customHeight="1" outlineLevel="1">
      <c r="G208" s="6" t="s">
        <v>389</v>
      </c>
      <c r="H208" s="849"/>
      <c r="I208" s="849" t="str">
        <f>IFERROR(IF(#REF!="Route-based",I216,IF(#REF!="Point-to-point",I221,0)),"")</f>
        <v/>
      </c>
      <c r="J208" s="849" t="str">
        <f>IFERROR(IF(#REF!="Route-based",J216,IF(#REF!="Point-to-point",J221,0)),"")</f>
        <v/>
      </c>
      <c r="K208" s="849" t="str">
        <f>IFERROR(IF(#REF!="Route-based",K216,IF(#REF!="Point-to-point",K221,0)),"")</f>
        <v/>
      </c>
      <c r="L208" s="849" t="str">
        <f>IFERROR(IF(#REF!="Route-based",L216,IF(#REF!="Point-to-point",L221,0)),"")</f>
        <v/>
      </c>
      <c r="M208" s="849" t="str">
        <f>IFERROR(IF(#REF!="Route-based",M216,IF(#REF!="Point-to-point",M221,0)),"")</f>
        <v/>
      </c>
      <c r="N208" s="849" t="str">
        <f>IFERROR(IF(#REF!="Route-based",N216,IF(#REF!="Point-to-point",N221,0)),"")</f>
        <v/>
      </c>
      <c r="O208" s="849" t="str">
        <f>IFERROR(IF(#REF!="Route-based",O216,IF(#REF!="Point-to-point",O221,0)),"")</f>
        <v/>
      </c>
      <c r="P208" s="849" t="str">
        <f>IFERROR(IF(#REF!="Route-based",P216,IF(#REF!="Point-to-point",P221,0)),"")</f>
        <v/>
      </c>
      <c r="Q208" s="849" t="str">
        <f>IFERROR(IF(#REF!="Route-based",Q216,IF(#REF!="Point-to-point",Q221,0)),"")</f>
        <v/>
      </c>
      <c r="R208" s="853"/>
      <c r="S208" s="853"/>
      <c r="T208" s="849" t="str">
        <f>IFERROR(IF(#REF!="Route-based",T216,IF(#REF!="Point-to-point",T221,0)),"")</f>
        <v/>
      </c>
      <c r="U208" s="853"/>
      <c r="V208" s="853"/>
      <c r="W208" s="849" t="str">
        <f>IFERROR(IF(#REF!="Route-based",W216,IF(#REF!="Point-to-point",W221,0)),"")</f>
        <v/>
      </c>
      <c r="X208" s="36"/>
      <c r="Y208" s="36"/>
      <c r="Z208" s="36"/>
      <c r="AA208" s="36"/>
      <c r="AB208" s="36"/>
      <c r="AC208" s="36"/>
      <c r="AD208" s="36"/>
      <c r="AE208" s="36"/>
      <c r="AF208" s="36"/>
      <c r="AG208" s="36"/>
      <c r="AH208" s="36"/>
      <c r="AI208" s="36"/>
      <c r="AJ208" s="242"/>
      <c r="AK208" s="36"/>
      <c r="AL208" s="36"/>
      <c r="AM208" s="36"/>
    </row>
    <row r="209" spans="6:39" ht="15" customHeight="1" outlineLevel="1">
      <c r="G209" s="6" t="s">
        <v>49</v>
      </c>
      <c r="H209" s="849"/>
      <c r="I209" s="849">
        <f>IFERROR(IF(#REF!="Route-based",ROUND(I218*I216/#REF!,0),IF(#REF!="Point-to-point",ROUND(((I221*((1/60)*(#REF!+#REF!*(#REF!+(#REF!*(MIN((Baseline_Results_NOINDIRECT!I$187/#REF!),INDEX(#REF!,MATCH(#REF!&amp;"Delivery Capacity (m^3)",#REF!,0)))/#REF!))))))+(I207/#REF!))/#REF!,0),0)),0)</f>
        <v>0</v>
      </c>
      <c r="J209" s="849">
        <f>IFERROR(IF(#REF!="Route-based",ROUND(J218*J216/#REF!,0),IF(#REF!="Point-to-point",ROUND(((J221*((1/60)*(#REF!+#REF!*(#REF!+(#REF!*(MIN((Baseline_Results_NOINDIRECT!J$187/#REF!),INDEX(#REF!,MATCH(#REF!&amp;"Delivery Capacity (m^3)",#REF!,0)))/#REF!))))))+(J207/#REF!))/#REF!,0),0)),0)</f>
        <v>0</v>
      </c>
      <c r="K209" s="849">
        <f>IFERROR(IF(#REF!="Route-based",ROUND(K218*K216/#REF!,0),IF(#REF!="Point-to-point",ROUND(((K221*((1/60)*(#REF!+#REF!*(#REF!+(#REF!*(MIN((Baseline_Results_NOINDIRECT!K$187/#REF!),INDEX(#REF!,MATCH(#REF!&amp;"Delivery Capacity (m^3)",#REF!,0)))/#REF!))))))+(K207/#REF!))/#REF!,0),0)),0)</f>
        <v>0</v>
      </c>
      <c r="L209" s="849">
        <f>IFERROR(IF(#REF!="Route-based",ROUND(L218*L216/#REF!,0),IF(#REF!="Point-to-point",ROUND(((L221*((1/60)*(#REF!+#REF!*(#REF!+(#REF!*(MIN((Baseline_Results_NOINDIRECT!L$187/#REF!),INDEX(#REF!,MATCH(#REF!&amp;"Delivery Capacity (m^3)",#REF!,0)))/#REF!))))))+(L207/#REF!))/#REF!,0),0)),0)</f>
        <v>0</v>
      </c>
      <c r="M209" s="849">
        <f>IFERROR(IF(#REF!="Route-based",ROUND(M218*M216/#REF!,0),IF(#REF!="Point-to-point",ROUND(((M221*((1/60)*(#REF!+#REF!*(#REF!+(#REF!*(MIN((Baseline_Results_NOINDIRECT!M$187/#REF!),INDEX(#REF!,MATCH(#REF!&amp;"Delivery Capacity (m^3)",#REF!,0)))/#REF!))))))+(M207/#REF!))/#REF!,0),0)),0)</f>
        <v>0</v>
      </c>
      <c r="N209" s="849">
        <f>IFERROR(IF(#REF!="Route-based",ROUND(N218*N216/#REF!,0),IF(#REF!="Point-to-point",ROUND(((N221*((1/60)*(#REF!+#REF!*(#REF!+(#REF!*(MIN((Baseline_Results_NOINDIRECT!N$187/#REF!),INDEX(#REF!,MATCH(#REF!&amp;"Delivery Capacity (m^3)",#REF!,0)))/#REF!))))))+(N207/#REF!))/#REF!,0),0)),0)</f>
        <v>0</v>
      </c>
      <c r="O209" s="849">
        <f>IFERROR(IF(#REF!="Route-based",ROUND(O218*O216/#REF!,0),IF(#REF!="Point-to-point",ROUND(((O221*((1/60)*(#REF!+#REF!*(#REF!+(#REF!*(MIN((Baseline_Results_NOINDIRECT!O$187/#REF!),INDEX(#REF!,MATCH(#REF!&amp;"Delivery Capacity (m^3)",#REF!,0)))/#REF!))))))+(O207/#REF!))/#REF!,0),0)),0)</f>
        <v>0</v>
      </c>
      <c r="P209" s="849">
        <f>IFERROR(IF(#REF!="Route-based",ROUND(P218*P216/#REF!,0),IF(#REF!="Point-to-point",ROUND(((P221*((1/60)*(#REF!+#REF!*(#REF!+(#REF!*(MIN((Baseline_Results_NOINDIRECT!P$187/#REF!),INDEX(#REF!,MATCH(#REF!&amp;"Delivery Capacity (m^3)",#REF!,0)))/#REF!))))))+(P207/#REF!))/#REF!,0),0)),0)</f>
        <v>0</v>
      </c>
      <c r="Q209" s="849">
        <f>IFERROR(IF(#REF!="Route-based",ROUND(Q218*Q216/#REF!,0),IF(#REF!="Point-to-point",ROUND(((Q221*((1/60)*(#REF!+#REF!*(#REF!+(#REF!*(MIN((Baseline_Results_NOINDIRECT!Q$187/#REF!),INDEX(#REF!,MATCH(#REF!&amp;"Delivery Capacity (m^3)",#REF!,0)))/#REF!))))))+(Q207/#REF!))/#REF!,0),0)),0)</f>
        <v>0</v>
      </c>
      <c r="R209" s="849">
        <f>IFERROR(IF(#REF!="Route-based",ROUND(R218*R216/#REF!,0),IF(#REF!="Point-to-point",ROUND(((R221*((1/60)*(#REF!+#REF!*(#REF!+(#REF!*(MIN((Baseline_Results_NOINDIRECT!R$187/#REF!),INDEX(#REF!,MATCH(#REF!&amp;"Delivery Capacity (m^3)",#REF!,0)))/#REF!))))))+(R207/#REF!))/#REF!,0),0)),0)</f>
        <v>0</v>
      </c>
      <c r="S209" s="849">
        <f>IFERROR(IF(#REF!="Route-based",ROUND(S218*S216/#REF!,0),IF(#REF!="Point-to-point",ROUND(((S221*((1/60)*(#REF!+#REF!*(#REF!+(#REF!*(MIN((Baseline_Results_NOINDIRECT!S$187/#REF!),INDEX(#REF!,MATCH(#REF!&amp;"Delivery Capacity (m^3)",#REF!,0)))/#REF!))))))+(S207/#REF!))/#REF!,0),0)),0)</f>
        <v>0</v>
      </c>
      <c r="T209" s="849">
        <f>IFERROR(IF(#REF!="Route-based",ROUND(T218*T216/#REF!,0),IF(#REF!="Point-to-point",ROUND(((T221*((1/60)*(#REF!+#REF!*(#REF!+(#REF!*(MIN((Baseline_Results_NOINDIRECT!T$187/#REF!),INDEX(#REF!,MATCH(#REF!&amp;"Delivery Capacity (m^3)",#REF!,0)))/#REF!))))))+(T207/#REF!))/#REF!,0),0)),0)</f>
        <v>0</v>
      </c>
      <c r="U209" s="849">
        <f>IFERROR(IF(#REF!="Route-based",ROUND(U218*U216/#REF!,0),IF(#REF!="Point-to-point",ROUND(((U221*((1/60)*(#REF!+#REF!*(#REF!+(#REF!*(MIN((Baseline_Results_NOINDIRECT!U$187/#REF!),INDEX(#REF!,MATCH(#REF!&amp;"Delivery Capacity (m^3)",#REF!,0)))/#REF!))))))+(U207/#REF!))/#REF!,0),0)),0)</f>
        <v>0</v>
      </c>
      <c r="V209" s="849">
        <f>IFERROR(IF(#REF!="Route-based",ROUND(V218*V216/#REF!,0),IF(#REF!="Point-to-point",ROUND(((V221*((1/60)*(#REF!+#REF!*(#REF!+(#REF!*(MIN((Baseline_Results_NOINDIRECT!V$187/#REF!),INDEX(#REF!,MATCH(#REF!&amp;"Delivery Capacity (m^3)",#REF!,0)))/#REF!))))))+(V207/#REF!))/#REF!,0),0)),0)</f>
        <v>0</v>
      </c>
      <c r="W209" s="849">
        <f>IFERROR(IF(#REF!="Route-based",ROUND(W218*W216/#REF!,0),IF(#REF!="Point-to-point",ROUND(((W221*((1/60)*(#REF!+#REF!*(#REF!+(#REF!*(MIN((Baseline_Results_NOINDIRECT!W$187/#REF!),INDEX(#REF!,MATCH(#REF!&amp;"Delivery Capacity (m^3)",#REF!,0)))/#REF!))))))+(W207/#REF!))/#REF!,0),0)),0)</f>
        <v>0</v>
      </c>
      <c r="X209" s="36"/>
      <c r="Y209" s="36"/>
      <c r="Z209" s="36"/>
      <c r="AA209" s="36"/>
      <c r="AB209" s="36"/>
      <c r="AC209" s="36"/>
      <c r="AD209" s="36"/>
      <c r="AE209" s="36"/>
      <c r="AF209" s="36"/>
      <c r="AG209" s="36"/>
      <c r="AH209" s="36"/>
      <c r="AI209" s="36"/>
      <c r="AJ209" s="36"/>
      <c r="AK209" s="36"/>
      <c r="AL209" s="36"/>
      <c r="AM209" s="36"/>
    </row>
    <row r="210" spans="6:39" ht="15" customHeight="1" outlineLevel="1">
      <c r="G210" s="6" t="s">
        <v>189</v>
      </c>
      <c r="H210" s="850"/>
      <c r="I210" s="850">
        <f>IFERROR(IF(#REF!="Route-based",(Baseline_Results_NOINDIRECT!I$187*I206)/(I216*INDEX(#REF!,MATCH(#REF!&amp;"Delivery Capacity (m^3)",#REF!,0))),IF(#REF!="Point-to-point",(Baseline_Results_NOINDIRECT!I$187*I206)/(I221*INDEX(#REF!,MATCH(#REF!&amp;"Delivery Capacity (m^3)",#REF!,0))),0)),0)</f>
        <v>0</v>
      </c>
      <c r="J210" s="850">
        <f>IFERROR(IF(#REF!="Route-based",(Baseline_Results_NOINDIRECT!J$187*J206)/(J216*INDEX(#REF!,MATCH(#REF!&amp;"Delivery Capacity (m^3)",#REF!,0))),IF(#REF!="Point-to-point",(Baseline_Results_NOINDIRECT!J$187*J206)/(J221*INDEX(#REF!,MATCH(#REF!&amp;"Delivery Capacity (m^3)",#REF!,0))),0)),0)</f>
        <v>0</v>
      </c>
      <c r="K210" s="850">
        <f>IFERROR(IF(#REF!="Route-based",(Baseline_Results_NOINDIRECT!K$187*K206)/(K216*INDEX(#REF!,MATCH(#REF!&amp;"Delivery Capacity (m^3)",#REF!,0))),IF(#REF!="Point-to-point",(Baseline_Results_NOINDIRECT!K$187*K206)/(K221*INDEX(#REF!,MATCH(#REF!&amp;"Delivery Capacity (m^3)",#REF!,0))),0)),0)</f>
        <v>0</v>
      </c>
      <c r="L210" s="850">
        <f>IFERROR(IF(#REF!="Route-based",(Baseline_Results_NOINDIRECT!L$187*L206)/(L216*INDEX(#REF!,MATCH(#REF!&amp;"Delivery Capacity (m^3)",#REF!,0))),IF(#REF!="Point-to-point",(Baseline_Results_NOINDIRECT!L$187*L206)/(L221*INDEX(#REF!,MATCH(#REF!&amp;"Delivery Capacity (m^3)",#REF!,0))),0)),0)</f>
        <v>0</v>
      </c>
      <c r="M210" s="850">
        <f>IFERROR(IF(#REF!="Route-based",(Baseline_Results_NOINDIRECT!M$187*M206)/(M216*INDEX(#REF!,MATCH(#REF!&amp;"Delivery Capacity (m^3)",#REF!,0))),IF(#REF!="Point-to-point",(Baseline_Results_NOINDIRECT!M$187*M206)/(M221*INDEX(#REF!,MATCH(#REF!&amp;"Delivery Capacity (m^3)",#REF!,0))),0)),0)</f>
        <v>0</v>
      </c>
      <c r="N210" s="850">
        <f>IFERROR(IF(#REF!="Route-based",(Baseline_Results_NOINDIRECT!N$187*N206)/(N216*INDEX(#REF!,MATCH(#REF!&amp;"Delivery Capacity (m^3)",#REF!,0))),IF(#REF!="Point-to-point",(Baseline_Results_NOINDIRECT!N$187*N206)/(N221*INDEX(#REF!,MATCH(#REF!&amp;"Delivery Capacity (m^3)",#REF!,0))),0)),0)</f>
        <v>0</v>
      </c>
      <c r="O210" s="850">
        <f>IFERROR(IF(#REF!="Route-based",(Baseline_Results_NOINDIRECT!O$187*O206)/(O216*INDEX(#REF!,MATCH(#REF!&amp;"Delivery Capacity (m^3)",#REF!,0))),IF(#REF!="Point-to-point",(Baseline_Results_NOINDIRECT!O$187*O206)/(O221*INDEX(#REF!,MATCH(#REF!&amp;"Delivery Capacity (m^3)",#REF!,0))),0)),0)</f>
        <v>0</v>
      </c>
      <c r="P210" s="850">
        <f>IFERROR(IF(#REF!="Route-based",(Baseline_Results_NOINDIRECT!P$187*P206)/(P216*INDEX(#REF!,MATCH(#REF!&amp;"Delivery Capacity (m^3)",#REF!,0))),IF(#REF!="Point-to-point",(Baseline_Results_NOINDIRECT!P$187*P206)/(P221*INDEX(#REF!,MATCH(#REF!&amp;"Delivery Capacity (m^3)",#REF!,0))),0)),0)</f>
        <v>0</v>
      </c>
      <c r="Q210" s="850">
        <f>IFERROR(IF(#REF!="Route-based",(Baseline_Results_NOINDIRECT!Q$187*Q206)/(Q216*INDEX(#REF!,MATCH(#REF!&amp;"Delivery Capacity (m^3)",#REF!,0))),IF(#REF!="Point-to-point",(Baseline_Results_NOINDIRECT!Q$187*Q206)/(Q221*INDEX(#REF!,MATCH(#REF!&amp;"Delivery Capacity (m^3)",#REF!,0))),0)),0)</f>
        <v>0</v>
      </c>
      <c r="R210" s="850">
        <f>IFERROR(IF(#REF!="Route-based",(Baseline_Results_NOINDIRECT!R$187*R206)/(R216*INDEX(#REF!,MATCH(#REF!&amp;"Delivery Capacity (m^3)",#REF!,0))),IF(#REF!="Point-to-point",(Baseline_Results_NOINDIRECT!R$187*R206)/(R221*INDEX(#REF!,MATCH(#REF!&amp;"Delivery Capacity (m^3)",#REF!,0))),0)),0)</f>
        <v>0</v>
      </c>
      <c r="S210" s="850">
        <f>IFERROR(IF(#REF!="Route-based",(Baseline_Results_NOINDIRECT!S$187*S206)/(S216*INDEX(#REF!,MATCH(#REF!&amp;"Delivery Capacity (m^3)",#REF!,0))),IF(#REF!="Point-to-point",(Baseline_Results_NOINDIRECT!S$187*S206)/(S221*INDEX(#REF!,MATCH(#REF!&amp;"Delivery Capacity (m^3)",#REF!,0))),0)),0)</f>
        <v>0</v>
      </c>
      <c r="T210" s="850">
        <f>IFERROR(IF(#REF!="Route-based",(Baseline_Results_NOINDIRECT!T$187*T206)/(T216*INDEX(#REF!,MATCH(#REF!&amp;"Delivery Capacity (m^3)",#REF!,0))),IF(#REF!="Point-to-point",(Baseline_Results_NOINDIRECT!T$187*T206)/(T221*INDEX(#REF!,MATCH(#REF!&amp;"Delivery Capacity (m^3)",#REF!,0))),0)),0)</f>
        <v>0</v>
      </c>
      <c r="U210" s="850">
        <f>IFERROR(IF(#REF!="Route-based",(Baseline_Results_NOINDIRECT!U$187*U206)/(U216*INDEX(#REF!,MATCH(#REF!&amp;"Delivery Capacity (m^3)",#REF!,0))),IF(#REF!="Point-to-point",(Baseline_Results_NOINDIRECT!U$187*U206)/(U221*INDEX(#REF!,MATCH(#REF!&amp;"Delivery Capacity (m^3)",#REF!,0))),0)),0)</f>
        <v>0</v>
      </c>
      <c r="V210" s="850">
        <f>IFERROR(IF(#REF!="Route-based",(Baseline_Results_NOINDIRECT!V$187*V206)/(V216*INDEX(#REF!,MATCH(#REF!&amp;"Delivery Capacity (m^3)",#REF!,0))),IF(#REF!="Point-to-point",(Baseline_Results_NOINDIRECT!V$187*V206)/(V221*INDEX(#REF!,MATCH(#REF!&amp;"Delivery Capacity (m^3)",#REF!,0))),0)),0)</f>
        <v>0</v>
      </c>
      <c r="W210" s="850">
        <f>IFERROR(IF(#REF!="Route-based",(Baseline_Results_NOINDIRECT!W$187*W206)/(W216*INDEX(#REF!,MATCH(#REF!&amp;"Delivery Capacity (m^3)",#REF!,0))),IF(#REF!="Point-to-point",(Baseline_Results_NOINDIRECT!W$187*W206)/(W221*INDEX(#REF!,MATCH(#REF!&amp;"Delivery Capacity (m^3)",#REF!,0))),0)),0)</f>
        <v>0</v>
      </c>
      <c r="X210" s="36"/>
      <c r="Y210" s="36"/>
      <c r="Z210" s="36"/>
      <c r="AA210" s="36"/>
      <c r="AB210" s="36"/>
      <c r="AC210" s="36"/>
      <c r="AD210" s="36"/>
      <c r="AE210" s="36"/>
      <c r="AF210" s="36"/>
      <c r="AG210" s="36"/>
      <c r="AH210" s="36"/>
      <c r="AI210" s="36"/>
      <c r="AJ210" s="36" t="s">
        <v>191</v>
      </c>
      <c r="AK210" s="36"/>
      <c r="AL210" s="36"/>
      <c r="AM210" s="36"/>
    </row>
    <row r="211" spans="6:39" ht="15" customHeight="1" outlineLevel="1">
      <c r="G211" s="6" t="s">
        <v>201</v>
      </c>
      <c r="H211" s="850"/>
      <c r="I211" s="850">
        <f>IFERROR(IF(#REF!="Route-based",I216/I219,IF(#REF!="Point-to-point",I221/I223,0)),0)</f>
        <v>0</v>
      </c>
      <c r="J211" s="850">
        <f>IFERROR(IF(#REF!="Route-based",J216/J219,IF(#REF!="Point-to-point",J221/J223,0)),0)</f>
        <v>0</v>
      </c>
      <c r="K211" s="850">
        <f>IFERROR(IF(#REF!="Route-based",K216/K219,IF(#REF!="Point-to-point",K221/K223,0)),0)</f>
        <v>0</v>
      </c>
      <c r="L211" s="850">
        <f>IFERROR(IF(#REF!="Route-based",L216/L219,IF(#REF!="Point-to-point",L221/L223,0)),0)</f>
        <v>0</v>
      </c>
      <c r="M211" s="850">
        <f>IFERROR(IF(#REF!="Route-based",M216/M219,IF(#REF!="Point-to-point",M221/M223,0)),0)</f>
        <v>0</v>
      </c>
      <c r="N211" s="850">
        <f>IFERROR(IF(#REF!="Route-based",N216/N219,IF(#REF!="Point-to-point",N221/N223,0)),0)</f>
        <v>0</v>
      </c>
      <c r="O211" s="850">
        <f>IFERROR(IF(#REF!="Route-based",O216/O219,IF(#REF!="Point-to-point",O221/O223,0)),0)</f>
        <v>0</v>
      </c>
      <c r="P211" s="850">
        <f>IFERROR(IF(#REF!="Route-based",P216/P219,IF(#REF!="Point-to-point",P221/P223,0)),0)</f>
        <v>0</v>
      </c>
      <c r="Q211" s="850">
        <f>IFERROR(IF(#REF!="Route-based",Q216/Q219,IF(#REF!="Point-to-point",Q221/Q223,0)),0)</f>
        <v>0</v>
      </c>
      <c r="R211" s="850">
        <f>IFERROR(IF(#REF!="Route-based",R216/R219,IF(#REF!="Point-to-point",R221/R223,0)),0)</f>
        <v>0</v>
      </c>
      <c r="S211" s="850">
        <f>IFERROR(IF(#REF!="Route-based",S216/S219,IF(#REF!="Point-to-point",S221/S223,0)),0)</f>
        <v>0</v>
      </c>
      <c r="T211" s="850">
        <f>IFERROR(IF(#REF!="Route-based",T216/T219,IF(#REF!="Point-to-point",T221/T223,0)),0)</f>
        <v>0</v>
      </c>
      <c r="U211" s="850">
        <f>IFERROR(IF(#REF!="Route-based",U216/U219,IF(#REF!="Point-to-point",U221/U223,0)),0)</f>
        <v>0</v>
      </c>
      <c r="V211" s="850">
        <f>IFERROR(IF(#REF!="Route-based",V216/V219,IF(#REF!="Point-to-point",V221/V223,0)),0)</f>
        <v>0</v>
      </c>
      <c r="W211" s="850">
        <f>IFERROR(IF(#REF!="Route-based",W216/W219,IF(#REF!="Point-to-point",W221/W223,0)),0)</f>
        <v>0</v>
      </c>
      <c r="X211" s="36"/>
      <c r="Y211" s="36"/>
      <c r="Z211" s="36"/>
      <c r="AA211" s="36"/>
      <c r="AB211" s="36"/>
      <c r="AC211" s="36"/>
      <c r="AD211" s="36"/>
      <c r="AE211" s="36"/>
      <c r="AF211" s="36"/>
      <c r="AG211" s="36"/>
      <c r="AH211" s="36"/>
      <c r="AI211" s="36"/>
      <c r="AJ211" s="36"/>
      <c r="AK211" s="36"/>
      <c r="AL211" s="36"/>
      <c r="AM211" s="36"/>
    </row>
    <row r="212" spans="6:39" ht="15" customHeight="1" outlineLevel="1">
      <c r="G212" s="241" t="s">
        <v>133</v>
      </c>
      <c r="H212" s="842"/>
      <c r="I212" s="842"/>
      <c r="J212" s="842"/>
      <c r="K212" s="842"/>
      <c r="L212" s="842"/>
      <c r="M212" s="842"/>
      <c r="N212" s="842"/>
      <c r="O212" s="842"/>
      <c r="P212" s="842"/>
      <c r="Q212" s="842"/>
      <c r="R212" s="853"/>
      <c r="S212" s="853"/>
      <c r="T212" s="842"/>
      <c r="U212" s="853"/>
      <c r="V212" s="853"/>
      <c r="W212" s="842"/>
      <c r="X212" s="36"/>
      <c r="Y212" s="36"/>
      <c r="Z212" s="36"/>
      <c r="AA212" s="36"/>
      <c r="AB212" s="36"/>
      <c r="AC212" s="36"/>
      <c r="AD212" s="36"/>
      <c r="AE212" s="36"/>
      <c r="AF212" s="36"/>
      <c r="AG212" s="36"/>
      <c r="AH212" s="36"/>
      <c r="AI212" s="36"/>
      <c r="AJ212" s="36"/>
      <c r="AK212" s="36"/>
      <c r="AL212" s="36"/>
      <c r="AM212" s="36"/>
    </row>
    <row r="213" spans="6:39" ht="15" customHeight="1" outlineLevel="1">
      <c r="G213" s="6" t="s">
        <v>127</v>
      </c>
      <c r="H213" s="838"/>
      <c r="I213" s="838">
        <f>IFERROR(INDEX(#REF!,MATCH(#REF!&amp;"Delivery Capacity (m^3)",#REF!,0))/(Baseline_Results_NOINDIRECT!I$187/#REF!),0)</f>
        <v>0</v>
      </c>
      <c r="J213" s="838">
        <f>IFERROR(INDEX(#REF!,MATCH(#REF!&amp;"Delivery Capacity (m^3)",#REF!,0))/(Baseline_Results_NOINDIRECT!J$187/#REF!),0)</f>
        <v>0</v>
      </c>
      <c r="K213" s="838">
        <f>IFERROR(INDEX(#REF!,MATCH(#REF!&amp;"Delivery Capacity (m^3)",#REF!,0))/(Baseline_Results_NOINDIRECT!K$187/#REF!),0)</f>
        <v>0</v>
      </c>
      <c r="L213" s="838">
        <f>IFERROR(INDEX(#REF!,MATCH(#REF!&amp;"Delivery Capacity (m^3)",#REF!,0))/(Baseline_Results_NOINDIRECT!L$187/#REF!),0)</f>
        <v>0</v>
      </c>
      <c r="M213" s="838">
        <f>IFERROR(INDEX(#REF!,MATCH(#REF!&amp;"Delivery Capacity (m^3)",#REF!,0))/(Baseline_Results_NOINDIRECT!M$187/#REF!),0)</f>
        <v>0</v>
      </c>
      <c r="N213" s="838">
        <f>IFERROR(INDEX(#REF!,MATCH(#REF!&amp;"Delivery Capacity (m^3)",#REF!,0))/(Baseline_Results_NOINDIRECT!N$187/#REF!),0)</f>
        <v>0</v>
      </c>
      <c r="O213" s="838">
        <f>IFERROR(INDEX(#REF!,MATCH(#REF!&amp;"Delivery Capacity (m^3)",#REF!,0))/(Baseline_Results_NOINDIRECT!O$187/#REF!),0)</f>
        <v>0</v>
      </c>
      <c r="P213" s="838">
        <f>IFERROR(INDEX(#REF!,MATCH(#REF!&amp;"Delivery Capacity (m^3)",#REF!,0))/(Baseline_Results_NOINDIRECT!P$187/#REF!),0)</f>
        <v>0</v>
      </c>
      <c r="Q213" s="838">
        <f>IFERROR(INDEX(#REF!,MATCH(#REF!&amp;"Delivery Capacity (m^3)",#REF!,0))/(Baseline_Results_NOINDIRECT!Q$187/#REF!),0)</f>
        <v>0</v>
      </c>
      <c r="R213" s="838">
        <f>IFERROR(INDEX(#REF!,MATCH(#REF!&amp;"Delivery Capacity (m^3)",#REF!,0))/(Baseline_Results_NOINDIRECT!R$187/#REF!),0)</f>
        <v>0</v>
      </c>
      <c r="S213" s="838">
        <f>IFERROR(INDEX(#REF!,MATCH(#REF!&amp;"Delivery Capacity (m^3)",#REF!,0))/(Baseline_Results_NOINDIRECT!S$187/#REF!),0)</f>
        <v>0</v>
      </c>
      <c r="T213" s="838">
        <f>IFERROR(INDEX(#REF!,MATCH(#REF!&amp;"Delivery Capacity (m^3)",#REF!,0))/(Baseline_Results_NOINDIRECT!T$187/#REF!),0)</f>
        <v>0</v>
      </c>
      <c r="U213" s="838">
        <f>IFERROR(INDEX(#REF!,MATCH(#REF!&amp;"Delivery Capacity (m^3)",#REF!,0))/(Baseline_Results_NOINDIRECT!U$187/#REF!),0)</f>
        <v>0</v>
      </c>
      <c r="V213" s="838">
        <f>IFERROR(INDEX(#REF!,MATCH(#REF!&amp;"Delivery Capacity (m^3)",#REF!,0))/(Baseline_Results_NOINDIRECT!V$187/#REF!),0)</f>
        <v>0</v>
      </c>
      <c r="W213" s="838">
        <f>IFERROR(INDEX(#REF!,MATCH(#REF!&amp;"Delivery Capacity (m^3)",#REF!,0))/(Baseline_Results_NOINDIRECT!W$187/#REF!),0)</f>
        <v>0</v>
      </c>
      <c r="X213" s="36"/>
      <c r="Y213" s="36"/>
      <c r="Z213" s="36"/>
      <c r="AA213" s="36"/>
      <c r="AB213" s="36"/>
      <c r="AC213" s="36"/>
      <c r="AD213" s="36"/>
      <c r="AE213" s="36"/>
      <c r="AF213" s="36"/>
      <c r="AG213" s="36"/>
      <c r="AH213" s="36"/>
      <c r="AI213" s="36"/>
      <c r="AJ213" s="36"/>
      <c r="AK213" s="36"/>
      <c r="AL213" s="36"/>
      <c r="AM213" s="36"/>
    </row>
    <row r="214" spans="6:39" ht="15" customHeight="1" outlineLevel="1" collapsed="1">
      <c r="G214" s="6" t="s">
        <v>128</v>
      </c>
      <c r="H214" s="838"/>
      <c r="I214" s="838">
        <f>IFERROR(((#REF!*#REF!)-(2*#REF!/#REF!)+(#REF!/#REF!))/(((1/60)*(#REF!+#REF!*(#REF!+(#REF!*(Baseline_Results_NOINDIRECT!I$187/#REF!/#REF!)))))+(#REF!/#REF!)),0)</f>
        <v>0</v>
      </c>
      <c r="J214" s="838">
        <f>IFERROR(((#REF!*#REF!)-(2*#REF!/#REF!)+(#REF!/#REF!))/(((1/60)*(#REF!+#REF!*(#REF!+(#REF!*(Baseline_Results_NOINDIRECT!J$187/#REF!/#REF!)))))+(#REF!/#REF!)),0)</f>
        <v>0</v>
      </c>
      <c r="K214" s="838">
        <f>IFERROR(((#REF!*#REF!)-(2*#REF!/#REF!)+(#REF!/#REF!))/(((1/60)*(#REF!+#REF!*(#REF!+(#REF!*(Baseline_Results_NOINDIRECT!K$187/#REF!/#REF!)))))+(#REF!/#REF!)),0)</f>
        <v>0</v>
      </c>
      <c r="L214" s="838">
        <f>IFERROR(((#REF!*#REF!)-(2*#REF!/#REF!)+(#REF!/#REF!))/(((1/60)*(#REF!+#REF!*(#REF!+(#REF!*(Baseline_Results_NOINDIRECT!L$187/#REF!/#REF!)))))+(#REF!/#REF!)),0)</f>
        <v>0</v>
      </c>
      <c r="M214" s="838">
        <f>IFERROR(((#REF!*#REF!)-(2*#REF!/#REF!)+(#REF!/#REF!))/(((1/60)*(#REF!+#REF!*(#REF!+(#REF!*(Baseline_Results_NOINDIRECT!M$187/#REF!/#REF!)))))+(#REF!/#REF!)),0)</f>
        <v>0</v>
      </c>
      <c r="N214" s="838">
        <f>IFERROR(((#REF!*#REF!)-(2*#REF!/#REF!)+(#REF!/#REF!))/(((1/60)*(#REF!+#REF!*(#REF!+(#REF!*(Baseline_Results_NOINDIRECT!N$187/#REF!/#REF!)))))+(#REF!/#REF!)),0)</f>
        <v>0</v>
      </c>
      <c r="O214" s="838">
        <f>IFERROR(((#REF!*#REF!)-(2*#REF!/#REF!)+(#REF!/#REF!))/(((1/60)*(#REF!+#REF!*(#REF!+(#REF!*(Baseline_Results_NOINDIRECT!O$187/#REF!/#REF!)))))+(#REF!/#REF!)),0)</f>
        <v>0</v>
      </c>
      <c r="P214" s="838">
        <f>IFERROR(((#REF!*#REF!)-(2*#REF!/#REF!)+(#REF!/#REF!))/(((1/60)*(#REF!+#REF!*(#REF!+(#REF!*(Baseline_Results_NOINDIRECT!P$187/#REF!/#REF!)))))+(#REF!/#REF!)),0)</f>
        <v>0</v>
      </c>
      <c r="Q214" s="838">
        <f>IFERROR(((#REF!*#REF!)-(2*#REF!/#REF!)+(#REF!/#REF!))/(((1/60)*(#REF!+#REF!*(#REF!+(#REF!*(Baseline_Results_NOINDIRECT!Q$187/#REF!/#REF!)))))+(#REF!/#REF!)),0)</f>
        <v>0</v>
      </c>
      <c r="R214" s="838">
        <f>IFERROR(((#REF!*#REF!)-(2*#REF!/#REF!)+(#REF!/#REF!))/(((1/60)*(#REF!+#REF!*(#REF!+(#REF!*(Baseline_Results_NOINDIRECT!R$187/#REF!/#REF!)))))+(#REF!/#REF!)),0)</f>
        <v>0</v>
      </c>
      <c r="S214" s="838">
        <f>IFERROR(((#REF!*#REF!)-(2*#REF!/#REF!)+(#REF!/#REF!))/(((1/60)*(#REF!+#REF!*(#REF!+(#REF!*(Baseline_Results_NOINDIRECT!S$187/#REF!/#REF!)))))+(#REF!/#REF!)),0)</f>
        <v>0</v>
      </c>
      <c r="T214" s="838">
        <f>IFERROR(((#REF!*#REF!)-(2*#REF!/#REF!)+(#REF!/#REF!))/(((1/60)*(#REF!+#REF!*(#REF!+(#REF!*(Baseline_Results_NOINDIRECT!T$187/#REF!/#REF!)))))+(#REF!/#REF!)),0)</f>
        <v>0</v>
      </c>
      <c r="U214" s="838">
        <f>IFERROR(((#REF!*#REF!)-(2*#REF!/#REF!)+(#REF!/#REF!))/(((1/60)*(#REF!+#REF!*(#REF!+(#REF!*(Baseline_Results_NOINDIRECT!U$187/#REF!/#REF!)))))+(#REF!/#REF!)),0)</f>
        <v>0</v>
      </c>
      <c r="V214" s="838">
        <f>IFERROR(((#REF!*#REF!)-(2*#REF!/#REF!)+(#REF!/#REF!))/(((1/60)*(#REF!+#REF!*(#REF!+(#REF!*(Baseline_Results_NOINDIRECT!V$187/#REF!/#REF!)))))+(#REF!/#REF!)),0)</f>
        <v>0</v>
      </c>
      <c r="W214" s="838">
        <f>IFERROR(((#REF!*#REF!)-(2*#REF!/#REF!)+(#REF!/#REF!))/(((1/60)*(#REF!+#REF!*(#REF!+(#REF!*(Baseline_Results_NOINDIRECT!W$187/#REF!/#REF!)))))+(#REF!/#REF!)),0)</f>
        <v>0</v>
      </c>
      <c r="X214" s="36"/>
      <c r="Y214" s="36"/>
      <c r="Z214" s="36"/>
      <c r="AA214" s="36"/>
      <c r="AB214" s="36"/>
      <c r="AC214" s="36"/>
      <c r="AD214" s="36"/>
      <c r="AE214" s="36"/>
      <c r="AF214" s="36"/>
      <c r="AG214" s="36"/>
      <c r="AH214" s="36"/>
      <c r="AI214" s="36"/>
      <c r="AJ214" s="242"/>
      <c r="AK214" s="36"/>
      <c r="AL214" s="36"/>
      <c r="AM214" s="36"/>
    </row>
    <row r="215" spans="6:39" ht="15" customHeight="1" outlineLevel="1">
      <c r="G215" s="6" t="s">
        <v>129</v>
      </c>
      <c r="H215" s="838"/>
      <c r="I215" s="838">
        <f t="shared" ref="I215:W215" si="33">IFERROR(MIN(I214,I213),0)</f>
        <v>0</v>
      </c>
      <c r="J215" s="838">
        <f t="shared" si="33"/>
        <v>0</v>
      </c>
      <c r="K215" s="838">
        <f t="shared" si="33"/>
        <v>0</v>
      </c>
      <c r="L215" s="838">
        <f t="shared" si="33"/>
        <v>0</v>
      </c>
      <c r="M215" s="838">
        <f t="shared" si="33"/>
        <v>0</v>
      </c>
      <c r="N215" s="838">
        <f t="shared" si="33"/>
        <v>0</v>
      </c>
      <c r="O215" s="838">
        <f t="shared" si="33"/>
        <v>0</v>
      </c>
      <c r="P215" s="838">
        <f t="shared" si="33"/>
        <v>0</v>
      </c>
      <c r="Q215" s="838">
        <f t="shared" si="33"/>
        <v>0</v>
      </c>
      <c r="R215" s="838">
        <f t="shared" si="33"/>
        <v>0</v>
      </c>
      <c r="S215" s="838">
        <f t="shared" si="33"/>
        <v>0</v>
      </c>
      <c r="T215" s="838">
        <f t="shared" si="33"/>
        <v>0</v>
      </c>
      <c r="U215" s="838">
        <f t="shared" si="33"/>
        <v>0</v>
      </c>
      <c r="V215" s="838">
        <f t="shared" si="33"/>
        <v>0</v>
      </c>
      <c r="W215" s="838">
        <f t="shared" si="33"/>
        <v>0</v>
      </c>
      <c r="X215" s="36"/>
      <c r="Y215" s="36"/>
      <c r="Z215" s="36"/>
      <c r="AA215" s="36"/>
      <c r="AB215" s="36"/>
      <c r="AC215" s="36"/>
      <c r="AD215" s="36"/>
      <c r="AE215" s="36"/>
      <c r="AF215" s="36"/>
      <c r="AG215" s="36"/>
      <c r="AH215" s="36"/>
      <c r="AI215" s="36"/>
      <c r="AJ215" s="242"/>
      <c r="AK215" s="36"/>
      <c r="AL215" s="36"/>
      <c r="AM215" s="36"/>
    </row>
    <row r="216" spans="6:39" ht="15" customHeight="1" outlineLevel="1">
      <c r="G216" s="6" t="s">
        <v>188</v>
      </c>
      <c r="H216" s="838"/>
      <c r="I216" s="838">
        <f>IFERROR(ROUND(I206*#REF!/I215,0),0)</f>
        <v>0</v>
      </c>
      <c r="J216" s="838">
        <f>IFERROR(ROUND(J206*#REF!/J215,0),0)</f>
        <v>0</v>
      </c>
      <c r="K216" s="838">
        <f>IFERROR(ROUND(K206*#REF!/K215,0),0)</f>
        <v>0</v>
      </c>
      <c r="L216" s="838">
        <f>IFERROR(ROUND(L206*#REF!/L215,0),0)</f>
        <v>0</v>
      </c>
      <c r="M216" s="838">
        <f>IFERROR(ROUND(M206*#REF!/M215,0),0)</f>
        <v>0</v>
      </c>
      <c r="N216" s="838">
        <f>IFERROR(ROUND(N206*#REF!/N215,0),0)</f>
        <v>0</v>
      </c>
      <c r="O216" s="838">
        <f>IFERROR(ROUND(O206*#REF!/O215,0),0)</f>
        <v>0</v>
      </c>
      <c r="P216" s="838">
        <f>IFERROR(ROUND(P206*#REF!/P215,0),0)</f>
        <v>0</v>
      </c>
      <c r="Q216" s="838">
        <f>IFERROR(ROUND(Q206*#REF!/Q215,0),0)</f>
        <v>0</v>
      </c>
      <c r="R216" s="838">
        <f>IFERROR(ROUND(R206*#REF!/R215,0),0)</f>
        <v>0</v>
      </c>
      <c r="S216" s="838">
        <f>IFERROR(ROUND(S206*#REF!/S215,0),0)</f>
        <v>0</v>
      </c>
      <c r="T216" s="838">
        <f>IFERROR(ROUND(T206*#REF!/T215,0),0)</f>
        <v>0</v>
      </c>
      <c r="U216" s="838">
        <f>IFERROR(ROUND(U206*#REF!/U215,0),0)</f>
        <v>0</v>
      </c>
      <c r="V216" s="838">
        <f>IFERROR(ROUND(V206*#REF!/V215,0),0)</f>
        <v>0</v>
      </c>
      <c r="W216" s="838">
        <f>IFERROR(ROUND(W206*#REF!/W215,0),0)</f>
        <v>0</v>
      </c>
      <c r="X216" s="36"/>
      <c r="Y216" s="36"/>
      <c r="Z216" s="36"/>
      <c r="AA216" s="36"/>
      <c r="AB216" s="36"/>
      <c r="AC216" s="36"/>
      <c r="AD216" s="36"/>
      <c r="AE216" s="36"/>
      <c r="AF216" s="36"/>
      <c r="AG216" s="36"/>
      <c r="AH216" s="36"/>
      <c r="AI216" s="36"/>
      <c r="AJ216" s="242"/>
      <c r="AK216" s="36"/>
      <c r="AL216" s="36"/>
      <c r="AM216" s="36"/>
    </row>
    <row r="217" spans="6:39" ht="15" customHeight="1" outlineLevel="1">
      <c r="G217" s="6" t="s">
        <v>88</v>
      </c>
      <c r="H217" s="838"/>
      <c r="I217" s="838">
        <f>IFERROR(IF(I206=0,0,(2*#REF!)+((MAX(I215,1)-1)*#REF!)),0)</f>
        <v>0</v>
      </c>
      <c r="J217" s="838">
        <f>IFERROR(IF(J206=0,0,(2*#REF!)+((MAX(J215,1)-1)*#REF!)),0)</f>
        <v>0</v>
      </c>
      <c r="K217" s="838">
        <f>IFERROR(IF(K206=0,0,(2*#REF!)+((MAX(K215,1)-1)*#REF!)),0)</f>
        <v>0</v>
      </c>
      <c r="L217" s="838">
        <f>IFERROR(IF(L206=0,0,(2*#REF!)+((MAX(L215,1)-1)*#REF!)),0)</f>
        <v>0</v>
      </c>
      <c r="M217" s="838">
        <f>IFERROR(IF(M206=0,0,(2*#REF!)+((MAX(M215,1)-1)*#REF!)),0)</f>
        <v>0</v>
      </c>
      <c r="N217" s="838">
        <f>IFERROR(IF(N206=0,0,(2*#REF!)+((MAX(N215,1)-1)*#REF!)),0)</f>
        <v>0</v>
      </c>
      <c r="O217" s="838">
        <f>IFERROR(IF(O206=0,0,(2*#REF!)+((MAX(O215,1)-1)*#REF!)),0)</f>
        <v>0</v>
      </c>
      <c r="P217" s="838">
        <f>IFERROR(IF(P206=0,0,(2*#REF!)+((MAX(P215,1)-1)*#REF!)),0)</f>
        <v>0</v>
      </c>
      <c r="Q217" s="838">
        <f>IFERROR(IF(Q206=0,0,(2*#REF!)+((MAX(Q215,1)-1)*#REF!)),0)</f>
        <v>0</v>
      </c>
      <c r="R217" s="838">
        <f>IFERROR(IF(R206=0,0,(2*#REF!)+((MAX(R215,1)-1)*#REF!)),0)</f>
        <v>0</v>
      </c>
      <c r="S217" s="838">
        <f>IFERROR(IF(S206=0,0,(2*#REF!)+((MAX(S215,1)-1)*#REF!)),0)</f>
        <v>0</v>
      </c>
      <c r="T217" s="838">
        <f>IFERROR(IF(T206=0,0,(2*#REF!)+((MAX(T215,1)-1)*#REF!)),0)</f>
        <v>0</v>
      </c>
      <c r="U217" s="838">
        <f>IFERROR(IF(U206=0,0,(2*#REF!)+((MAX(U215,1)-1)*#REF!)),0)</f>
        <v>0</v>
      </c>
      <c r="V217" s="838">
        <f>IFERROR(IF(V206=0,0,(2*#REF!)+((MAX(V215,1)-1)*#REF!)),0)</f>
        <v>0</v>
      </c>
      <c r="W217" s="838">
        <f>IFERROR(IF(W206=0,0,(2*#REF!)+((MAX(W215,1)-1)*#REF!)),0)</f>
        <v>0</v>
      </c>
      <c r="X217" s="36"/>
      <c r="Y217" s="36"/>
      <c r="Z217" s="36"/>
      <c r="AA217" s="36"/>
      <c r="AB217" s="36"/>
      <c r="AC217" s="36"/>
      <c r="AD217" s="36"/>
      <c r="AE217" s="36"/>
      <c r="AF217" s="36"/>
      <c r="AG217" s="36"/>
      <c r="AH217" s="36"/>
      <c r="AI217" s="36"/>
      <c r="AJ217" s="242"/>
      <c r="AK217" s="36"/>
      <c r="AL217" s="36"/>
      <c r="AM217" s="36"/>
    </row>
    <row r="218" spans="6:39" ht="15" customHeight="1" outlineLevel="1">
      <c r="G218" s="6" t="s">
        <v>199</v>
      </c>
      <c r="H218" s="838"/>
      <c r="I218" s="838">
        <f>IFERROR((ROUNDUP(I215,0)*(1/60)*#REF!)+(I215*((1/60)*(#REF!*(#REF!+(#REF!*(Baseline_Results_NOINDIRECT!I$187/#REF!/#REF!))))))+((2*#REF!)/#REF!)+(((MAX(I215,1)-1)*#REF!)/#REF!),0)</f>
        <v>0</v>
      </c>
      <c r="J218" s="838">
        <f>IFERROR((ROUNDUP(J215,0)*(1/60)*#REF!)+(J215*((1/60)*(#REF!*(#REF!+(#REF!*(Baseline_Results_NOINDIRECT!J$187/#REF!/#REF!))))))+((2*#REF!)/#REF!)+(((MAX(J215,1)-1)*#REF!)/#REF!),0)</f>
        <v>0</v>
      </c>
      <c r="K218" s="838">
        <f>IFERROR((ROUNDUP(K215,0)*(1/60)*#REF!)+(K215*((1/60)*(#REF!*(#REF!+(#REF!*(Baseline_Results_NOINDIRECT!K$187/#REF!/#REF!))))))+((2*#REF!)/#REF!)+(((MAX(K215,1)-1)*#REF!)/#REF!),0)</f>
        <v>0</v>
      </c>
      <c r="L218" s="838">
        <f>IFERROR((ROUNDUP(L215,0)*(1/60)*#REF!)+(L215*((1/60)*(#REF!*(#REF!+(#REF!*(Baseline_Results_NOINDIRECT!L$187/#REF!/#REF!))))))+((2*#REF!)/#REF!)+(((MAX(L215,1)-1)*#REF!)/#REF!),0)</f>
        <v>0</v>
      </c>
      <c r="M218" s="838">
        <f>IFERROR((ROUNDUP(M215,0)*(1/60)*#REF!)+(M215*((1/60)*(#REF!*(#REF!+(#REF!*(Baseline_Results_NOINDIRECT!M$187/#REF!/#REF!))))))+((2*#REF!)/#REF!)+(((MAX(M215,1)-1)*#REF!)/#REF!),0)</f>
        <v>0</v>
      </c>
      <c r="N218" s="838">
        <f>IFERROR((ROUNDUP(N215,0)*(1/60)*#REF!)+(N215*((1/60)*(#REF!*(#REF!+(#REF!*(Baseline_Results_NOINDIRECT!N$187/#REF!/#REF!))))))+((2*#REF!)/#REF!)+(((MAX(N215,1)-1)*#REF!)/#REF!),0)</f>
        <v>0</v>
      </c>
      <c r="O218" s="838">
        <f>IFERROR((ROUNDUP(O215,0)*(1/60)*#REF!)+(O215*((1/60)*(#REF!*(#REF!+(#REF!*(Baseline_Results_NOINDIRECT!O$187/#REF!/#REF!))))))+((2*#REF!)/#REF!)+(((MAX(O215,1)-1)*#REF!)/#REF!),0)</f>
        <v>0</v>
      </c>
      <c r="P218" s="838">
        <f>IFERROR((ROUNDUP(P215,0)*(1/60)*#REF!)+(P215*((1/60)*(#REF!*(#REF!+(#REF!*(Baseline_Results_NOINDIRECT!P$187/#REF!/#REF!))))))+((2*#REF!)/#REF!)+(((MAX(P215,1)-1)*#REF!)/#REF!),0)</f>
        <v>0</v>
      </c>
      <c r="Q218" s="838">
        <f>IFERROR((ROUNDUP(Q215,0)*(1/60)*#REF!)+(Q215*((1/60)*(#REF!*(#REF!+(#REF!*(Baseline_Results_NOINDIRECT!Q$187/#REF!/#REF!))))))+((2*#REF!)/#REF!)+(((MAX(Q215,1)-1)*#REF!)/#REF!),0)</f>
        <v>0</v>
      </c>
      <c r="R218" s="838">
        <f>IFERROR((ROUNDUP(R215,0)*(1/60)*#REF!)+(R215*((1/60)*(#REF!*(#REF!+(#REF!*(Baseline_Results_NOINDIRECT!R$187/#REF!/#REF!))))))+((2*#REF!)/#REF!)+(((MAX(R215,1)-1)*#REF!)/#REF!),0)</f>
        <v>0</v>
      </c>
      <c r="S218" s="838">
        <f>IFERROR((ROUNDUP(S215,0)*(1/60)*#REF!)+(S215*((1/60)*(#REF!*(#REF!+(#REF!*(Baseline_Results_NOINDIRECT!S$187/#REF!/#REF!))))))+((2*#REF!)/#REF!)+(((MAX(S215,1)-1)*#REF!)/#REF!),0)</f>
        <v>0</v>
      </c>
      <c r="T218" s="838">
        <f>IFERROR((ROUNDUP(T215,0)*(1/60)*#REF!)+(T215*((1/60)*(#REF!*(#REF!+(#REF!*(Baseline_Results_NOINDIRECT!T$187/#REF!/#REF!))))))+((2*#REF!)/#REF!)+(((MAX(T215,1)-1)*#REF!)/#REF!),0)</f>
        <v>0</v>
      </c>
      <c r="U218" s="838">
        <f>IFERROR((ROUNDUP(U215,0)*(1/60)*#REF!)+(U215*((1/60)*(#REF!*(#REF!+(#REF!*(Baseline_Results_NOINDIRECT!U$187/#REF!/#REF!))))))+((2*#REF!)/#REF!)+(((MAX(U215,1)-1)*#REF!)/#REF!),0)</f>
        <v>0</v>
      </c>
      <c r="V218" s="838">
        <f>IFERROR((ROUNDUP(V215,0)*(1/60)*#REF!)+(V215*((1/60)*(#REF!*(#REF!+(#REF!*(Baseline_Results_NOINDIRECT!V$187/#REF!/#REF!))))))+((2*#REF!)/#REF!)+(((MAX(V215,1)-1)*#REF!)/#REF!),0)</f>
        <v>0</v>
      </c>
      <c r="W218" s="838">
        <f>IFERROR((ROUNDUP(W215,0)*(1/60)*#REF!)+(W215*((1/60)*(#REF!*(#REF!+(#REF!*(Baseline_Results_NOINDIRECT!W$187/#REF!/#REF!))))))+((2*#REF!)/#REF!)+(((MAX(W215,1)-1)*#REF!)/#REF!),0)</f>
        <v>0</v>
      </c>
      <c r="X218" s="36"/>
      <c r="Y218" s="36"/>
      <c r="Z218" s="36"/>
      <c r="AA218" s="36"/>
      <c r="AB218" s="36"/>
      <c r="AC218" s="36"/>
      <c r="AD218" s="36"/>
      <c r="AE218" s="36"/>
      <c r="AF218" s="36"/>
      <c r="AG218" s="36"/>
      <c r="AH218" s="36"/>
      <c r="AI218" s="36"/>
      <c r="AJ218" s="242"/>
      <c r="AK218" s="36"/>
      <c r="AL218" s="36"/>
      <c r="AM218" s="36"/>
    </row>
    <row r="219" spans="6:39" ht="15" customHeight="1" outlineLevel="1">
      <c r="G219" s="6" t="s">
        <v>200</v>
      </c>
      <c r="H219" s="838"/>
      <c r="I219" s="838">
        <f>IFERROR((#REF!*#REF!*#REF!)/I218,0)</f>
        <v>0</v>
      </c>
      <c r="J219" s="838">
        <f>IFERROR((#REF!*#REF!*#REF!)/J218,0)</f>
        <v>0</v>
      </c>
      <c r="K219" s="838">
        <f>IFERROR((#REF!*#REF!*#REF!)/K218,0)</f>
        <v>0</v>
      </c>
      <c r="L219" s="838">
        <f>IFERROR((#REF!*#REF!*#REF!)/L218,0)</f>
        <v>0</v>
      </c>
      <c r="M219" s="838">
        <f>IFERROR((#REF!*#REF!*#REF!)/M218,0)</f>
        <v>0</v>
      </c>
      <c r="N219" s="838">
        <f>IFERROR((#REF!*#REF!*#REF!)/N218,0)</f>
        <v>0</v>
      </c>
      <c r="O219" s="838">
        <f>IFERROR((#REF!*#REF!*#REF!)/O218,0)</f>
        <v>0</v>
      </c>
      <c r="P219" s="838">
        <f>IFERROR((#REF!*#REF!*#REF!)/P218,0)</f>
        <v>0</v>
      </c>
      <c r="Q219" s="838">
        <f>IFERROR((#REF!*#REF!*#REF!)/Q218,0)</f>
        <v>0</v>
      </c>
      <c r="R219" s="838">
        <f>IFERROR((#REF!*#REF!*#REF!)/R218,0)</f>
        <v>0</v>
      </c>
      <c r="S219" s="838">
        <f>IFERROR((#REF!*#REF!*#REF!)/S218,0)</f>
        <v>0</v>
      </c>
      <c r="T219" s="838">
        <f>IFERROR((#REF!*#REF!*#REF!)/T218,0)</f>
        <v>0</v>
      </c>
      <c r="U219" s="838">
        <f>IFERROR((#REF!*#REF!*#REF!)/U218,0)</f>
        <v>0</v>
      </c>
      <c r="V219" s="838">
        <f>IFERROR((#REF!*#REF!*#REF!)/V218,0)</f>
        <v>0</v>
      </c>
      <c r="W219" s="838">
        <f>IFERROR((#REF!*#REF!*#REF!)/W218,0)</f>
        <v>0</v>
      </c>
      <c r="X219" s="36"/>
      <c r="Y219" s="36"/>
      <c r="Z219" s="36"/>
      <c r="AA219" s="36"/>
      <c r="AB219" s="36"/>
      <c r="AC219" s="36"/>
      <c r="AD219" s="36"/>
      <c r="AE219" s="36"/>
      <c r="AF219" s="36"/>
      <c r="AG219" s="36"/>
      <c r="AH219" s="36"/>
      <c r="AI219" s="36"/>
      <c r="AJ219" s="242"/>
      <c r="AK219" s="36"/>
      <c r="AL219" s="36"/>
      <c r="AM219" s="36"/>
    </row>
    <row r="220" spans="6:39" ht="15" customHeight="1" outlineLevel="1">
      <c r="G220" s="241" t="s">
        <v>134</v>
      </c>
      <c r="H220" s="842"/>
      <c r="I220" s="842"/>
      <c r="J220" s="842"/>
      <c r="K220" s="842"/>
      <c r="L220" s="842"/>
      <c r="M220" s="842"/>
      <c r="N220" s="842"/>
      <c r="O220" s="842"/>
      <c r="P220" s="842"/>
      <c r="Q220" s="842"/>
      <c r="R220" s="853"/>
      <c r="S220" s="853"/>
      <c r="T220" s="842"/>
      <c r="U220" s="853"/>
      <c r="V220" s="853"/>
      <c r="W220" s="842"/>
      <c r="X220" s="36"/>
      <c r="Y220" s="36"/>
      <c r="Z220" s="36"/>
      <c r="AA220" s="36"/>
      <c r="AB220" s="36"/>
      <c r="AC220" s="36"/>
      <c r="AD220" s="36"/>
      <c r="AE220" s="36"/>
      <c r="AF220" s="36"/>
      <c r="AG220" s="36"/>
      <c r="AH220" s="36"/>
      <c r="AI220" s="36"/>
      <c r="AJ220" s="36"/>
      <c r="AK220" s="36"/>
      <c r="AL220" s="36"/>
      <c r="AM220" s="36"/>
    </row>
    <row r="221" spans="6:39" ht="15" customHeight="1" outlineLevel="1">
      <c r="G221" s="6" t="s">
        <v>188</v>
      </c>
      <c r="H221" s="838"/>
      <c r="I221" s="838">
        <f>IFERROR(ROUND(I206*#REF!*MAX(1,(Baseline_Results_NOINDIRECT!I$187/#REF!)/INDEX(#REF!,MATCH(#REF!&amp;"Delivery Capacity (m^3)",#REF!,0))),0),0)</f>
        <v>0</v>
      </c>
      <c r="J221" s="838">
        <f>IFERROR(ROUND(J206*#REF!*MAX(1,(Baseline_Results_NOINDIRECT!J$187/#REF!)/INDEX(#REF!,MATCH(#REF!&amp;"Delivery Capacity (m^3)",#REF!,0))),0),0)</f>
        <v>0</v>
      </c>
      <c r="K221" s="1066">
        <f>IFERROR(ROUND(K206*#REF!*MAX(1,(Baseline_Results_NOINDIRECT!K$187/#REF!)/INDEX(#REF!,MATCH(#REF!&amp;"Delivery Capacity (m^3)",#REF!,0))),0),0)</f>
        <v>0</v>
      </c>
      <c r="L221" s="1066">
        <f>IFERROR(ROUND(L206*#REF!*MAX(1,(Baseline_Results_NOINDIRECT!L$187/#REF!)/INDEX(#REF!,MATCH(#REF!&amp;"Delivery Capacity (m^3)",#REF!,0))),0),0)</f>
        <v>0</v>
      </c>
      <c r="M221" s="1066">
        <f>IFERROR(ROUND(M206*#REF!*MAX(1,(Baseline_Results_NOINDIRECT!M$187/#REF!)/INDEX(#REF!,MATCH(#REF!&amp;"Delivery Capacity (m^3)",#REF!,0))),0),0)</f>
        <v>0</v>
      </c>
      <c r="N221" s="1066">
        <f>IFERROR(ROUND(N206*#REF!*MAX(1,(Baseline_Results_NOINDIRECT!N$187/#REF!)/INDEX(#REF!,MATCH(#REF!&amp;"Delivery Capacity (m^3)",#REF!,0))),0),0)</f>
        <v>0</v>
      </c>
      <c r="O221" s="838">
        <f>IFERROR(ROUND(O206*#REF!*MAX(1,(Baseline_Results_NOINDIRECT!O$187/#REF!)/INDEX(#REF!,MATCH(#REF!&amp;"Delivery Capacity (m^3)",#REF!,0))),0),0)</f>
        <v>0</v>
      </c>
      <c r="P221" s="838">
        <f>IFERROR(ROUND(P206*#REF!*MAX(1,(Baseline_Results_NOINDIRECT!P$187/#REF!)/INDEX(#REF!,MATCH(#REF!&amp;"Delivery Capacity (m^3)",#REF!,0))),0),0)</f>
        <v>0</v>
      </c>
      <c r="Q221" s="838">
        <f>IFERROR(ROUND(Q206*#REF!*MAX(1,(Baseline_Results_NOINDIRECT!Q$187/#REF!)/INDEX(#REF!,MATCH(#REF!&amp;"Delivery Capacity (m^3)",#REF!,0))),0),0)</f>
        <v>0</v>
      </c>
      <c r="R221" s="838">
        <f>IFERROR(ROUND(R206*#REF!*MAX(1,(Baseline_Results_NOINDIRECT!R$187/#REF!)/INDEX(#REF!,MATCH(#REF!&amp;"Delivery Capacity (m^3)",#REF!,0))),0),0)</f>
        <v>0</v>
      </c>
      <c r="S221" s="838">
        <f>IFERROR(ROUND(S206*#REF!*MAX(1,(Baseline_Results_NOINDIRECT!S$187/#REF!)/INDEX(#REF!,MATCH(#REF!&amp;"Delivery Capacity (m^3)",#REF!,0))),0),0)</f>
        <v>0</v>
      </c>
      <c r="T221" s="838">
        <f>IFERROR(ROUND(T206*#REF!*MAX(1,(Baseline_Results_NOINDIRECT!T$187/#REF!)/INDEX(#REF!,MATCH(#REF!&amp;"Delivery Capacity (m^3)",#REF!,0))),0),0)</f>
        <v>0</v>
      </c>
      <c r="U221" s="838">
        <f>IFERROR(ROUND(U206*#REF!*MAX(1,(Baseline_Results_NOINDIRECT!U$187/#REF!)/INDEX(#REF!,MATCH(#REF!&amp;"Delivery Capacity (m^3)",#REF!,0))),0),0)</f>
        <v>0</v>
      </c>
      <c r="V221" s="838">
        <f>IFERROR(ROUND(V206*#REF!*MAX(1,(Baseline_Results_NOINDIRECT!V$187/#REF!)/INDEX(#REF!,MATCH(#REF!&amp;"Delivery Capacity (m^3)",#REF!,0))),0),0)</f>
        <v>0</v>
      </c>
      <c r="W221" s="838">
        <f>IFERROR(ROUND(W206*#REF!*MAX(1,(Baseline_Results_NOINDIRECT!W$187/#REF!)/INDEX(#REF!,MATCH(#REF!&amp;"Delivery Capacity (m^3)",#REF!,0))),0),0)</f>
        <v>0</v>
      </c>
      <c r="X221" s="36"/>
      <c r="Y221" s="36"/>
      <c r="Z221" s="36"/>
      <c r="AA221" s="36" t="s">
        <v>192</v>
      </c>
      <c r="AB221" s="36"/>
      <c r="AC221" s="36" t="s">
        <v>193</v>
      </c>
      <c r="AD221" s="36"/>
      <c r="AE221" s="36"/>
      <c r="AF221" s="36"/>
      <c r="AG221" s="36"/>
      <c r="AH221" s="36"/>
      <c r="AI221" s="36"/>
      <c r="AJ221" s="36"/>
      <c r="AK221" s="36"/>
      <c r="AL221" s="36"/>
      <c r="AM221" s="36"/>
    </row>
    <row r="222" spans="6:39" ht="15" customHeight="1" outlineLevel="1">
      <c r="G222" s="6" t="s">
        <v>88</v>
      </c>
      <c r="H222" s="838"/>
      <c r="I222" s="838">
        <f>IFERROR(IF(I206=0,0,2*#REF!),0)</f>
        <v>0</v>
      </c>
      <c r="J222" s="838">
        <f>IFERROR(IF(J206=0,0,2*#REF!),0)</f>
        <v>0</v>
      </c>
      <c r="K222" s="1066">
        <f>IFERROR(IF(K206=0,0,2*#REF!),0)</f>
        <v>0</v>
      </c>
      <c r="L222" s="1066">
        <f>IFERROR(IF(L206=0,0,2*#REF!),0)</f>
        <v>0</v>
      </c>
      <c r="M222" s="1066">
        <f>IFERROR(IF(M206=0,0,2*#REF!),0)</f>
        <v>0</v>
      </c>
      <c r="N222" s="1066">
        <f>IFERROR(IF(N206=0,0,2*#REF!),0)</f>
        <v>0</v>
      </c>
      <c r="O222" s="838">
        <f>IFERROR(IF(O206=0,0,2*#REF!),0)</f>
        <v>0</v>
      </c>
      <c r="P222" s="838">
        <f>IFERROR(IF(P206=0,0,2*#REF!),0)</f>
        <v>0</v>
      </c>
      <c r="Q222" s="838">
        <f>IFERROR(IF(Q206=0,0,2*#REF!),0)</f>
        <v>0</v>
      </c>
      <c r="R222" s="838">
        <f>IFERROR(IF(R206=0,0,2*#REF!),0)</f>
        <v>0</v>
      </c>
      <c r="S222" s="838">
        <f>IFERROR(IF(S206=0,0,2*#REF!),0)</f>
        <v>0</v>
      </c>
      <c r="T222" s="838">
        <f>IFERROR(IF(T206=0,0,2*#REF!),0)</f>
        <v>0</v>
      </c>
      <c r="U222" s="838">
        <f>IFERROR(IF(U206=0,0,2*#REF!),0)</f>
        <v>0</v>
      </c>
      <c r="V222" s="838">
        <f>IFERROR(IF(V206=0,0,2*#REF!),0)</f>
        <v>0</v>
      </c>
      <c r="W222" s="838">
        <f>IFERROR(IF(W206=0,0,2*#REF!),0)</f>
        <v>0</v>
      </c>
      <c r="X222" s="36"/>
      <c r="Y222" s="36"/>
      <c r="Z222" s="36"/>
      <c r="AA222" s="36" t="s">
        <v>194</v>
      </c>
      <c r="AB222" s="36"/>
      <c r="AC222" s="36" t="s">
        <v>195</v>
      </c>
      <c r="AD222" s="36"/>
      <c r="AE222" s="36"/>
      <c r="AF222" s="36"/>
      <c r="AG222" s="36"/>
      <c r="AH222" s="36"/>
      <c r="AI222" s="36"/>
      <c r="AJ222" s="36"/>
      <c r="AK222" s="36"/>
      <c r="AL222" s="36"/>
      <c r="AM222" s="36"/>
    </row>
    <row r="223" spans="6:39" ht="15" customHeight="1" outlineLevel="1">
      <c r="G223" s="6" t="s">
        <v>200</v>
      </c>
      <c r="H223" s="850"/>
      <c r="I223" s="850">
        <f>IFERROR((#REF!*#REF!*#REF!)/((I222/#REF!)+((1/60)*(#REF!+#REF!*(#REF!+(#REF!*(MIN((Baseline_Results_NOINDIRECT!I$187/#REF!),INDEX(#REF!,MATCH(#REF!&amp;"Delivery Capacity (m^3)",#REF!,0)))/#REF!)))))),0)</f>
        <v>0</v>
      </c>
      <c r="J223" s="850">
        <f>IFERROR((#REF!*#REF!*#REF!)/((J222/#REF!)+((1/60)*(#REF!+#REF!*(#REF!+(#REF!*(MIN((Baseline_Results_NOINDIRECT!J$187/#REF!),INDEX(#REF!,MATCH(#REF!&amp;"Delivery Capacity (m^3)",#REF!,0)))/#REF!)))))),0)</f>
        <v>0</v>
      </c>
      <c r="K223" s="1068">
        <f>IFERROR((#REF!*#REF!*#REF!)/((K222/#REF!)+((1/60)*(#REF!+#REF!*(#REF!+(#REF!*(MIN((Baseline_Results_NOINDIRECT!K$187/#REF!),INDEX(#REF!,MATCH(#REF!&amp;"Delivery Capacity (m^3)",#REF!,0)))/#REF!)))))),0)</f>
        <v>0</v>
      </c>
      <c r="L223" s="1068">
        <f>IFERROR((#REF!*#REF!*#REF!)/((L222/#REF!)+((1/60)*(#REF!+#REF!*(#REF!+(#REF!*(MIN((Baseline_Results_NOINDIRECT!L$187/#REF!),INDEX(#REF!,MATCH(#REF!&amp;"Delivery Capacity (m^3)",#REF!,0)))/#REF!)))))),0)</f>
        <v>0</v>
      </c>
      <c r="M223" s="1068">
        <f>IFERROR((#REF!*#REF!*#REF!)/((M222/#REF!)+((1/60)*(#REF!+#REF!*(#REF!+(#REF!*(MIN((Baseline_Results_NOINDIRECT!M$187/#REF!),INDEX(#REF!,MATCH(#REF!&amp;"Delivery Capacity (m^3)",#REF!,0)))/#REF!)))))),0)</f>
        <v>0</v>
      </c>
      <c r="N223" s="1068">
        <f>IFERROR((#REF!*#REF!*#REF!)/((N222/#REF!)+((1/60)*(#REF!+#REF!*(#REF!+(#REF!*(MIN((Baseline_Results_NOINDIRECT!N$187/#REF!),INDEX(#REF!,MATCH(#REF!&amp;"Delivery Capacity (m^3)",#REF!,0)))/#REF!)))))),0)</f>
        <v>0</v>
      </c>
      <c r="O223" s="850">
        <f>IFERROR((#REF!*#REF!*#REF!)/((O222/#REF!)+((1/60)*(#REF!+#REF!*(#REF!+(#REF!*(MIN((Baseline_Results_NOINDIRECT!O$187/#REF!),INDEX(#REF!,MATCH(#REF!&amp;"Delivery Capacity (m^3)",#REF!,0)))/#REF!)))))),0)</f>
        <v>0</v>
      </c>
      <c r="P223" s="850">
        <f>IFERROR((#REF!*#REF!*#REF!)/((P222/#REF!)+((1/60)*(#REF!+#REF!*(#REF!+(#REF!*(MIN((Baseline_Results_NOINDIRECT!P$187/#REF!),INDEX(#REF!,MATCH(#REF!&amp;"Delivery Capacity (m^3)",#REF!,0)))/#REF!)))))),0)</f>
        <v>0</v>
      </c>
      <c r="Q223" s="850">
        <f>IFERROR((#REF!*#REF!*#REF!)/((Q222/#REF!)+((1/60)*(#REF!+#REF!*(#REF!+(#REF!*(MIN((Baseline_Results_NOINDIRECT!Q$187/#REF!),INDEX(#REF!,MATCH(#REF!&amp;"Delivery Capacity (m^3)",#REF!,0)))/#REF!)))))),0)</f>
        <v>0</v>
      </c>
      <c r="R223" s="850">
        <f>IFERROR((#REF!*#REF!*#REF!)/((R222/#REF!)+((1/60)*(#REF!+#REF!*(#REF!+(#REF!*(MIN((Baseline_Results_NOINDIRECT!R$187/#REF!),INDEX(#REF!,MATCH(#REF!&amp;"Delivery Capacity (m^3)",#REF!,0)))/#REF!)))))),0)</f>
        <v>0</v>
      </c>
      <c r="S223" s="850">
        <f>IFERROR((#REF!*#REF!*#REF!)/((S222/#REF!)+((1/60)*(#REF!+#REF!*(#REF!+(#REF!*(MIN((Baseline_Results_NOINDIRECT!S$187/#REF!),INDEX(#REF!,MATCH(#REF!&amp;"Delivery Capacity (m^3)",#REF!,0)))/#REF!)))))),0)</f>
        <v>0</v>
      </c>
      <c r="T223" s="850">
        <f>IFERROR((#REF!*#REF!*#REF!)/((T222/#REF!)+((1/60)*(#REF!+#REF!*(#REF!+(#REF!*(MIN((Baseline_Results_NOINDIRECT!T$187/#REF!),INDEX(#REF!,MATCH(#REF!&amp;"Delivery Capacity (m^3)",#REF!,0)))/#REF!)))))),0)</f>
        <v>0</v>
      </c>
      <c r="U223" s="850">
        <f>IFERROR((#REF!*#REF!*#REF!)/((U222/#REF!)+((1/60)*(#REF!+#REF!*(#REF!+(#REF!*(MIN((Baseline_Results_NOINDIRECT!U$187/#REF!),INDEX(#REF!,MATCH(#REF!&amp;"Delivery Capacity (m^3)",#REF!,0)))/#REF!)))))),0)</f>
        <v>0</v>
      </c>
      <c r="V223" s="850">
        <f>IFERROR((#REF!*#REF!*#REF!)/((V222/#REF!)+((1/60)*(#REF!+#REF!*(#REF!+(#REF!*(MIN((Baseline_Results_NOINDIRECT!V$187/#REF!),INDEX(#REF!,MATCH(#REF!&amp;"Delivery Capacity (m^3)",#REF!,0)))/#REF!)))))),0)</f>
        <v>0</v>
      </c>
      <c r="W223" s="850">
        <f>IFERROR((#REF!*#REF!*#REF!)/((W222/#REF!)+((1/60)*(#REF!+#REF!*(#REF!+(#REF!*(MIN((Baseline_Results_NOINDIRECT!W$187/#REF!),INDEX(#REF!,MATCH(#REF!&amp;"Delivery Capacity (m^3)",#REF!,0)))/#REF!)))))),0)</f>
        <v>0</v>
      </c>
      <c r="X223" s="36"/>
      <c r="Y223" s="36"/>
      <c r="Z223" s="36"/>
      <c r="AA223" s="36"/>
      <c r="AB223" s="36"/>
      <c r="AC223" s="36"/>
      <c r="AD223" s="36"/>
      <c r="AE223" s="36"/>
      <c r="AF223" s="36"/>
      <c r="AG223" s="36"/>
      <c r="AH223" s="36"/>
      <c r="AI223" s="36"/>
      <c r="AJ223" s="36"/>
      <c r="AK223" s="36"/>
      <c r="AL223" s="36"/>
      <c r="AM223" s="36"/>
    </row>
    <row r="224" spans="6:39" ht="15" customHeight="1">
      <c r="F224" s="867" t="s">
        <v>212</v>
      </c>
      <c r="G224" s="868"/>
      <c r="H224" s="871"/>
      <c r="I224" s="871"/>
      <c r="J224" s="871"/>
      <c r="K224" s="871" t="s">
        <v>842</v>
      </c>
      <c r="L224" s="871"/>
      <c r="M224" s="871"/>
      <c r="N224" s="871" t="s">
        <v>843</v>
      </c>
      <c r="O224" s="871"/>
      <c r="P224" s="871"/>
      <c r="Q224" s="872" t="s">
        <v>844</v>
      </c>
      <c r="R224" s="835"/>
      <c r="S224" s="835"/>
      <c r="T224" s="872" t="s">
        <v>845</v>
      </c>
      <c r="U224" s="873"/>
      <c r="V224" s="873"/>
      <c r="W224" s="872" t="s">
        <v>846</v>
      </c>
      <c r="X224" s="36"/>
      <c r="Y224" s="36"/>
      <c r="Z224" s="36"/>
      <c r="AA224" s="36"/>
      <c r="AB224" s="36"/>
      <c r="AC224" s="36"/>
      <c r="AD224" s="36"/>
      <c r="AE224" s="36"/>
      <c r="AF224" s="36"/>
      <c r="AG224" s="36"/>
      <c r="AH224" s="36"/>
      <c r="AI224" s="36"/>
      <c r="AJ224" s="242"/>
      <c r="AK224" s="36"/>
      <c r="AL224" s="36"/>
      <c r="AM224" s="36"/>
    </row>
    <row r="225" spans="6:39" ht="15" customHeight="1" outlineLevel="1">
      <c r="F225" s="36"/>
      <c r="G225" s="6" t="s">
        <v>414</v>
      </c>
      <c r="H225" s="838"/>
      <c r="I225" s="838">
        <f>IFERROR(IF(#REF!=0,0,IF(#REF!="Yes",Baseline_Results_NOINDIRECT!I64,IF(OR(AND(#REF!&gt;0,#REF!="Yes"),AND(#REF!&gt;1,#REF!="Yes")),Baseline_Results_NOINDIRECT!I57,Baseline_Results_NOINDIRECT!I52))),0)</f>
        <v>0</v>
      </c>
      <c r="J225" s="838">
        <f>IFERROR(IF(#REF!=0,0,IF(#REF!="Yes",Baseline_Results_NOINDIRECT!J64,IF(OR(AND(#REF!&gt;0,#REF!="Yes"),AND(#REF!&gt;1,#REF!="Yes")),Baseline_Results_NOINDIRECT!J57,Baseline_Results_NOINDIRECT!J52))),0)</f>
        <v>0</v>
      </c>
      <c r="K225" s="838">
        <f>IFERROR(IF(#REF!=0,0,IF(#REF!="Yes",Baseline_Results_NOINDIRECT!K64,IF(OR(AND(#REF!&gt;0,#REF!="Yes"),AND(#REF!&gt;1,#REF!="Yes")),Baseline_Results_NOINDIRECT!K57,Baseline_Results_NOINDIRECT!K52))),0)</f>
        <v>0</v>
      </c>
      <c r="L225" s="838">
        <f>IFERROR(IF(#REF!=0,0,IF(#REF!="Yes",Baseline_Results_NOINDIRECT!L64,IF(OR(AND(#REF!&gt;0,#REF!="Yes"),AND(#REF!&gt;1,#REF!="Yes")),Baseline_Results_NOINDIRECT!L57,Baseline_Results_NOINDIRECT!L52))),0)</f>
        <v>0</v>
      </c>
      <c r="M225" s="838">
        <f>IFERROR(IF(#REF!=0,0,IF(#REF!="Yes",Baseline_Results_NOINDIRECT!M64,IF(OR(AND(#REF!&gt;0,#REF!="Yes"),AND(#REF!&gt;1,#REF!="Yes")),Baseline_Results_NOINDIRECT!M57,Baseline_Results_NOINDIRECT!M52))),0)</f>
        <v>0</v>
      </c>
      <c r="N225" s="1069">
        <f>IFERROR(IF(#REF!=0,0,IF(#REF!="Yes",Baseline_Results_NOINDIRECT!N64,IF(OR(AND(#REF!&gt;0,#REF!="Yes"),AND(#REF!&gt;1,#REF!="Yes")),Baseline_Results_NOINDIRECT!N57,Baseline_Results_NOINDIRECT!N52))),0)</f>
        <v>0</v>
      </c>
      <c r="O225" s="838">
        <f>IFERROR(IF(#REF!=0,0,IF(#REF!="Yes",Baseline_Results_NOINDIRECT!O64,IF(OR(AND(#REF!&gt;0,#REF!="Yes"),AND(#REF!&gt;1,#REF!="Yes")),Baseline_Results_NOINDIRECT!O57,Baseline_Results_NOINDIRECT!O52))),0)</f>
        <v>0</v>
      </c>
      <c r="P225" s="838">
        <f>IFERROR(IF(#REF!=0,0,IF(#REF!="Yes",Baseline_Results_NOINDIRECT!P64,IF(OR(AND(#REF!&gt;0,#REF!="Yes"),AND(#REF!&gt;1,#REF!="Yes")),Baseline_Results_NOINDIRECT!P57,Baseline_Results_NOINDIRECT!P52))),0)</f>
        <v>0</v>
      </c>
      <c r="Q225" s="838">
        <f>IFERROR(IF(#REF!=0,0,IF(#REF!="Yes",Baseline_Results_NOINDIRECT!Q64,IF(OR(AND(#REF!&gt;0,#REF!="Yes"),AND(#REF!&gt;1,#REF!="Yes")),Baseline_Results_NOINDIRECT!Q57,Baseline_Results_NOINDIRECT!Q52))),0)</f>
        <v>0</v>
      </c>
      <c r="R225" s="838">
        <f>IFERROR(IF(#REF!=0,0,IF(#REF!="Yes",Baseline_Results_NOINDIRECT!R64,IF(OR(AND(#REF!&gt;0,#REF!="Yes"),AND(#REF!&gt;1,#REF!="Yes")),Baseline_Results_NOINDIRECT!R57,Baseline_Results_NOINDIRECT!R52))),0)</f>
        <v>0</v>
      </c>
      <c r="S225" s="838">
        <f>IFERROR(IF(#REF!=0,0,IF(#REF!="Yes",Baseline_Results_NOINDIRECT!S64,IF(OR(AND(#REF!&gt;0,#REF!="Yes"),AND(#REF!&gt;1,#REF!="Yes")),Baseline_Results_NOINDIRECT!S57,Baseline_Results_NOINDIRECT!S52))),0)</f>
        <v>0</v>
      </c>
      <c r="T225" s="838">
        <f>IFERROR(IF(#REF!=0,0,IF(#REF!="Yes",Baseline_Results_NOINDIRECT!T64,IF(OR(AND(#REF!&gt;0,#REF!="Yes"),AND(#REF!&gt;1,#REF!="Yes")),Baseline_Results_NOINDIRECT!T57,Baseline_Results_NOINDIRECT!T52))),0)</f>
        <v>0</v>
      </c>
      <c r="U225" s="838">
        <f>IFERROR(IF(#REF!=0,0,IF(#REF!="Yes",Baseline_Results_NOINDIRECT!U64,IF(OR(AND(#REF!&gt;0,#REF!="Yes"),AND(#REF!&gt;1,#REF!="Yes")),Baseline_Results_NOINDIRECT!U57,Baseline_Results_NOINDIRECT!U52))),0)</f>
        <v>0</v>
      </c>
      <c r="V225" s="838">
        <f>IFERROR(IF(#REF!=0,0,IF(#REF!="Yes",Baseline_Results_NOINDIRECT!V64,IF(OR(AND(#REF!&gt;0,#REF!="Yes"),AND(#REF!&gt;1,#REF!="Yes")),Baseline_Results_NOINDIRECT!V57,Baseline_Results_NOINDIRECT!V52))),0)</f>
        <v>0</v>
      </c>
      <c r="W225" s="838">
        <f>IFERROR(IF(#REF!=0,0,IF(#REF!="Yes",Baseline_Results_NOINDIRECT!W64,IF(OR(AND(#REF!&gt;0,#REF!="Yes"),AND(#REF!&gt;1,#REF!="Yes")),Baseline_Results_NOINDIRECT!W57,Baseline_Results_NOINDIRECT!W52))),0)</f>
        <v>0</v>
      </c>
      <c r="AJ225" s="1"/>
    </row>
    <row r="226" spans="6:39" ht="15" customHeight="1" outlineLevel="1">
      <c r="F226" s="844" t="s">
        <v>387</v>
      </c>
      <c r="G226" s="844"/>
      <c r="H226" s="880"/>
      <c r="I226" s="880"/>
      <c r="J226" s="880"/>
      <c r="K226" s="880"/>
      <c r="L226" s="880"/>
      <c r="M226" s="880"/>
      <c r="N226" s="880"/>
      <c r="O226" s="880"/>
      <c r="P226" s="880"/>
      <c r="Q226" s="881"/>
      <c r="R226" s="852"/>
      <c r="S226" s="852"/>
      <c r="T226" s="881"/>
      <c r="U226" s="852"/>
      <c r="V226" s="852"/>
      <c r="W226" s="881"/>
      <c r="AJ226" s="1"/>
    </row>
    <row r="227" spans="6:39" ht="15" customHeight="1" outlineLevel="1">
      <c r="G227" s="6" t="s">
        <v>390</v>
      </c>
      <c r="H227" s="838"/>
      <c r="I227" s="838">
        <f>IFERROR(((I$64*#REF!)*(IF(COUNTIF(#REF!,"Public Transport*")=1,I232,I244)/#REF!))/IF(COUNTIF(#REF!,"Public Transport*")=1,I230,I246),0)</f>
        <v>0</v>
      </c>
      <c r="J227" s="838">
        <f>IFERROR(((J$64*#REF!)*(IF(COUNTIF(#REF!,"Public Transport*")=1,J232,J244)/#REF!))/IF(COUNTIF(#REF!,"Public Transport*")=1,J230,J246),0)</f>
        <v>0</v>
      </c>
      <c r="K227" s="838">
        <f>IFERROR(((K$64*#REF!)*(IF(COUNTIF(#REF!,"Public Transport*")=1,K232,K244)/#REF!))/IF(COUNTIF(#REF!,"Public Transport*")=1,K230,K246),0)</f>
        <v>0</v>
      </c>
      <c r="L227" s="838">
        <f>IFERROR(((L$64*#REF!)*(IF(COUNTIF(#REF!,"Public Transport*")=1,L232,L244)/#REF!))/IF(COUNTIF(#REF!,"Public Transport*")=1,L230,L246),0)</f>
        <v>0</v>
      </c>
      <c r="M227" s="838">
        <f>IFERROR(((M$64*#REF!)*(IF(COUNTIF(#REF!,"Public Transport*")=1,M232,M244)/#REF!))/IF(COUNTIF(#REF!,"Public Transport*")=1,M230,M246),0)</f>
        <v>0</v>
      </c>
      <c r="N227" s="838">
        <f>IFERROR(((N$64*#REF!)*(IF(COUNTIF(#REF!,"Public Transport*")=1,N232,N244)/#REF!))/IF(COUNTIF(#REF!,"Public Transport*")=1,N230,N246),0)</f>
        <v>0</v>
      </c>
      <c r="O227" s="838">
        <f>IFERROR(((O$64*#REF!)*(IF(COUNTIF(#REF!,"Public Transport*")=1,O232,O244)/#REF!))/IF(COUNTIF(#REF!,"Public Transport*")=1,O230,O246),0)</f>
        <v>0</v>
      </c>
      <c r="P227" s="838">
        <f>IFERROR(((P$64*#REF!)*(IF(COUNTIF(#REF!,"Public Transport*")=1,P232,P244)/#REF!))/IF(COUNTIF(#REF!,"Public Transport*")=1,P230,P246),0)</f>
        <v>0</v>
      </c>
      <c r="Q227" s="838">
        <f>IFERROR(((Q$64*#REF!)*(IF(COUNTIF(#REF!,"Public Transport*")=1,Q232,Q244)/#REF!))/IF(COUNTIF(#REF!,"Public Transport*")=1,Q230,Q246),0)</f>
        <v>0</v>
      </c>
      <c r="R227" s="846"/>
      <c r="S227" s="846"/>
      <c r="T227" s="838">
        <f>IFERROR(((T$64*#REF!)*(IF(COUNTIF(#REF!,"Public Transport*")=1,T232,T244)/#REF!))/IF(COUNTIF(#REF!,"Public Transport*")=1,T230,T246),0)</f>
        <v>0</v>
      </c>
      <c r="U227" s="846"/>
      <c r="V227" s="846"/>
      <c r="W227" s="838">
        <f>IFERROR(((W$64*#REF!)*(IF(COUNTIF(#REF!,"Public Transport*")=1,W232,W244)/#REF!))/IF(COUNTIF(#REF!,"Public Transport*")=1,W230,W246),0)</f>
        <v>0</v>
      </c>
      <c r="X227" s="36"/>
      <c r="Y227" s="36"/>
      <c r="Z227" s="36"/>
      <c r="AA227" s="36"/>
      <c r="AB227" s="36"/>
      <c r="AC227" s="36"/>
      <c r="AD227" s="36"/>
      <c r="AE227" s="36"/>
      <c r="AF227" s="36"/>
      <c r="AG227" s="36"/>
      <c r="AH227" s="36"/>
      <c r="AI227" s="36"/>
      <c r="AJ227" s="242"/>
      <c r="AK227" s="36"/>
      <c r="AL227" s="36"/>
      <c r="AM227" s="36"/>
    </row>
    <row r="228" spans="6:39" ht="15" customHeight="1" outlineLevel="1">
      <c r="G228" s="6" t="s">
        <v>391</v>
      </c>
      <c r="H228" s="838"/>
      <c r="I228" s="838">
        <f>IFERROR(IF(COUNTIF(#REF!,"Public Transport*")=1,(I231/#REF!),(I247/#REF!)),0)</f>
        <v>0</v>
      </c>
      <c r="J228" s="838">
        <f>IFERROR(IF(COUNTIF(#REF!,"Public Transport*")=1,(J231/#REF!),(J247/#REF!)),0)</f>
        <v>0</v>
      </c>
      <c r="K228" s="838">
        <f>IFERROR(IF(COUNTIF(#REF!,"Public Transport*")=1,(K231/#REF!),(K247/#REF!)),0)</f>
        <v>0</v>
      </c>
      <c r="L228" s="838">
        <f>IFERROR(IF(COUNTIF(#REF!,"Public Transport*")=1,(L231/#REF!),(L247/#REF!)),0)</f>
        <v>0</v>
      </c>
      <c r="M228" s="838">
        <f>IFERROR(IF(COUNTIF(#REF!,"Public Transport*")=1,(M231/#REF!),(M247/#REF!)),0)</f>
        <v>0</v>
      </c>
      <c r="N228" s="838">
        <f>IFERROR(IF(COUNTIF(#REF!,"Public Transport*")=1,(N231/#REF!),(N247/#REF!)),0)</f>
        <v>0</v>
      </c>
      <c r="O228" s="838">
        <f>IFERROR(IF(COUNTIF(#REF!,"Public Transport*")=1,(O231/#REF!),(O247/#REF!)),0)</f>
        <v>0</v>
      </c>
      <c r="P228" s="838">
        <f>IFERROR(IF(COUNTIF(#REF!,"Public Transport*")=1,(P231/#REF!),(P247/#REF!)),0)</f>
        <v>0</v>
      </c>
      <c r="Q228" s="838">
        <f>IFERROR(IF(COUNTIF(#REF!,"Public Transport*")=1,(Q231/#REF!),(Q247/#REF!)),0)</f>
        <v>0</v>
      </c>
      <c r="R228" s="846"/>
      <c r="S228" s="846"/>
      <c r="T228" s="838">
        <f>IFERROR(IF(COUNTIF(#REF!,"Public Transport*")=1,(T231/#REF!),(T247/#REF!)),0)</f>
        <v>0</v>
      </c>
      <c r="U228" s="846"/>
      <c r="V228" s="846"/>
      <c r="W228" s="838">
        <f>IFERROR(IF(COUNTIF(#REF!,"Public Transport*")=1,(W231/#REF!),(W247/#REF!)),0)</f>
        <v>0</v>
      </c>
      <c r="X228" s="36"/>
      <c r="Y228" s="36"/>
      <c r="Z228" s="36"/>
      <c r="AA228" s="36"/>
      <c r="AB228" s="36"/>
      <c r="AC228" s="36"/>
      <c r="AD228" s="36"/>
      <c r="AE228" s="36"/>
      <c r="AF228" s="36"/>
      <c r="AG228" s="36"/>
      <c r="AH228" s="36"/>
      <c r="AI228" s="36"/>
      <c r="AJ228" s="242"/>
      <c r="AK228" s="36"/>
      <c r="AL228" s="36"/>
      <c r="AM228" s="36"/>
    </row>
    <row r="229" spans="6:39" ht="15" customHeight="1" outlineLevel="1">
      <c r="F229" s="76" t="s">
        <v>149</v>
      </c>
      <c r="G229" s="844"/>
      <c r="H229" s="848"/>
      <c r="I229" s="848"/>
      <c r="J229" s="848"/>
      <c r="K229" s="848"/>
      <c r="L229" s="848"/>
      <c r="M229" s="848"/>
      <c r="N229" s="848"/>
      <c r="O229" s="852"/>
      <c r="P229" s="852"/>
      <c r="Q229" s="847"/>
      <c r="R229" s="853"/>
      <c r="S229" s="853"/>
      <c r="T229" s="847"/>
      <c r="U229" s="853"/>
      <c r="V229" s="853"/>
      <c r="W229" s="847"/>
      <c r="X229" s="36"/>
      <c r="Y229" s="36"/>
      <c r="Z229" s="36"/>
      <c r="AA229" s="36"/>
      <c r="AB229" s="36"/>
      <c r="AC229" s="36"/>
      <c r="AD229" s="36"/>
      <c r="AE229" s="36"/>
      <c r="AF229" s="36"/>
      <c r="AG229" s="36"/>
      <c r="AH229" s="36"/>
      <c r="AI229" s="36"/>
      <c r="AJ229" s="242"/>
      <c r="AK229" s="36"/>
      <c r="AL229" s="36"/>
      <c r="AM229" s="36"/>
    </row>
    <row r="230" spans="6:39" ht="15" customHeight="1" outlineLevel="1">
      <c r="G230" s="6" t="s">
        <v>146</v>
      </c>
      <c r="H230" s="837"/>
      <c r="I230" s="837">
        <f>IFERROR(IF(COUNTIF(#REF!,"Public Transport*")=1,IF(#REF!="Route-based",I238*#REF!,IF(#REF!="Point-to-point",I241*#REF!,0)),0),0)</f>
        <v>0</v>
      </c>
      <c r="J230" s="837">
        <f>IFERROR(IF(COUNTIF(#REF!,"Public Transport*")=1,IF(#REF!="Route-based",J238*#REF!,IF(#REF!="Point-to-point",J241*#REF!,0)),0),0)</f>
        <v>0</v>
      </c>
      <c r="K230" s="837">
        <f>IFERROR(IF(COUNTIF(#REF!,"Public Transport*")=1,IF(#REF!="Route-based",K238*#REF!,IF(#REF!="Point-to-point",K241*#REF!,0)),0),0)</f>
        <v>0</v>
      </c>
      <c r="L230" s="837">
        <f>IFERROR(IF(COUNTIF(#REF!,"Public Transport*")=1,IF(#REF!="Route-based",L238*#REF!,IF(#REF!="Point-to-point",L241*#REF!,0)),0),0)</f>
        <v>0</v>
      </c>
      <c r="M230" s="837">
        <f>IFERROR(IF(COUNTIF(#REF!,"Public Transport*")=1,IF(#REF!="Route-based",M238*#REF!,IF(#REF!="Point-to-point",M241*#REF!,0)),0),0)</f>
        <v>0</v>
      </c>
      <c r="N230" s="837">
        <f>IFERROR(IF(COUNTIF(#REF!,"Public Transport*")=1,IF(#REF!="Route-based",N238*#REF!,IF(#REF!="Point-to-point",N241*#REF!,0)),0),0)</f>
        <v>0</v>
      </c>
      <c r="O230" s="837">
        <f>IFERROR(IF(COUNTIF(#REF!,"Public Transport*")=1,IF(#REF!="Route-based",O238*#REF!,IF(#REF!="Point-to-point",O241*#REF!,0)),0),0)</f>
        <v>0</v>
      </c>
      <c r="P230" s="837">
        <f>IFERROR(IF(COUNTIF(#REF!,"Public Transport*")=1,IF(#REF!="Route-based",P238*#REF!,IF(#REF!="Point-to-point",P241*#REF!,0)),0),0)</f>
        <v>0</v>
      </c>
      <c r="Q230" s="837">
        <f>IFERROR(IF(COUNTIF(#REF!,"Public Transport*")=1,IF(#REF!="Route-based",Q238*#REF!,IF(#REF!="Point-to-point",Q241*#REF!,0)),0),0)</f>
        <v>0</v>
      </c>
      <c r="R230" s="853" t="s">
        <v>596</v>
      </c>
      <c r="S230" s="853"/>
      <c r="T230" s="837">
        <f>IFERROR(IF(COUNTIF(#REF!,"Public Transport*")=1,IF(#REF!="Route-based",T238*#REF!,IF(#REF!="Point-to-point",T241*#REF!,0)),0),0)</f>
        <v>0</v>
      </c>
      <c r="U230" s="853"/>
      <c r="V230" s="853"/>
      <c r="W230" s="837">
        <f>IFERROR(IF(COUNTIF(#REF!,"Public Transport*")=1,IF(#REF!="Route-based",W238*#REF!,IF(#REF!="Point-to-point",W241*#REF!,0)),0),0)</f>
        <v>0</v>
      </c>
      <c r="X230" s="36"/>
      <c r="Y230" s="36"/>
      <c r="Z230" s="36"/>
      <c r="AA230" s="36"/>
      <c r="AB230" s="36"/>
      <c r="AC230" s="36"/>
      <c r="AD230" s="36"/>
      <c r="AE230" s="36"/>
      <c r="AF230" s="36"/>
      <c r="AG230" s="36"/>
      <c r="AH230" s="36"/>
      <c r="AI230" s="36"/>
      <c r="AJ230" s="242"/>
      <c r="AK230" s="36"/>
      <c r="AL230" s="36"/>
      <c r="AM230" s="36"/>
    </row>
    <row r="231" spans="6:39" ht="15" customHeight="1" outlineLevel="1">
      <c r="G231" s="6" t="s">
        <v>147</v>
      </c>
      <c r="H231" s="837"/>
      <c r="I231" s="837">
        <f>IFERROR(IF(#REF!="Route-based",I239*#REF!,IF(#REF!="Point-to-point",I242*#REF!,0)),0)</f>
        <v>0</v>
      </c>
      <c r="J231" s="837">
        <f>IFERROR(IF(#REF!="Route-based",J239*#REF!,IF(#REF!="Point-to-point",J242*#REF!,0)),0)</f>
        <v>0</v>
      </c>
      <c r="K231" s="837">
        <f>IFERROR(IF(#REF!="Route-based",K239*#REF!,IF(#REF!="Point-to-point",K242*#REF!,0)),0)</f>
        <v>0</v>
      </c>
      <c r="L231" s="837">
        <f>IFERROR(IF(#REF!="Route-based",L239*#REF!,IF(#REF!="Point-to-point",L242*#REF!,0)),0)</f>
        <v>0</v>
      </c>
      <c r="M231" s="837">
        <f>IFERROR(IF(#REF!="Route-based",M239*#REF!,IF(#REF!="Point-to-point",M242*#REF!,0)),0)</f>
        <v>0</v>
      </c>
      <c r="N231" s="837">
        <f>IFERROR(IF(#REF!="Route-based",N239*#REF!,IF(#REF!="Point-to-point",N242*#REF!,0)),0)</f>
        <v>0</v>
      </c>
      <c r="O231" s="837">
        <f>IFERROR(IF(#REF!="Route-based",O239*#REF!,IF(#REF!="Point-to-point",O242*#REF!,0)),0)</f>
        <v>0</v>
      </c>
      <c r="P231" s="837">
        <f>IFERROR(IF(#REF!="Route-based",P239*#REF!,IF(#REF!="Point-to-point",P242*#REF!,0)),0)</f>
        <v>0</v>
      </c>
      <c r="Q231" s="837">
        <f>IFERROR(IF(#REF!="Route-based",Q239*#REF!,IF(#REF!="Point-to-point",Q242*#REF!,0)),0)</f>
        <v>0</v>
      </c>
      <c r="R231" s="853" t="s">
        <v>597</v>
      </c>
      <c r="S231" s="853"/>
      <c r="T231" s="837">
        <f>IFERROR(IF(#REF!="Route-based",T239*#REF!,IF(#REF!="Point-to-point",T242*#REF!,0)),0)</f>
        <v>0</v>
      </c>
      <c r="U231" s="853"/>
      <c r="V231" s="853"/>
      <c r="W231" s="837">
        <f>IFERROR(IF(#REF!="Route-based",W239*#REF!,IF(#REF!="Point-to-point",W242*#REF!,0)),0)</f>
        <v>0</v>
      </c>
      <c r="X231" s="36"/>
      <c r="Y231" s="36"/>
      <c r="Z231" s="36"/>
      <c r="AA231" s="36"/>
      <c r="AB231" s="36"/>
      <c r="AC231" s="36"/>
      <c r="AD231" s="36"/>
      <c r="AE231" s="36"/>
      <c r="AF231" s="36"/>
      <c r="AG231" s="36"/>
      <c r="AH231" s="36"/>
      <c r="AI231" s="36"/>
      <c r="AJ231" s="36"/>
      <c r="AK231" s="36"/>
      <c r="AL231" s="36"/>
      <c r="AM231" s="36"/>
    </row>
    <row r="232" spans="6:39" ht="15" customHeight="1" outlineLevel="1">
      <c r="G232" s="6" t="s">
        <v>142</v>
      </c>
      <c r="H232" s="841"/>
      <c r="I232" s="841">
        <f>IFERROR(ROUND(#REF!*#REF!,0),0)</f>
        <v>0</v>
      </c>
      <c r="J232" s="841">
        <f>IFERROR(ROUND(#REF!*#REF!,0),0)</f>
        <v>0</v>
      </c>
      <c r="K232" s="841">
        <f>IFERROR(IF(COUNTIF(#REF!,"Public Transport*")=1,ROUND(#REF!*#REF!,0),0),0)</f>
        <v>0</v>
      </c>
      <c r="L232" s="841">
        <f>IFERROR(ROUND(#REF!*#REF!,0),0)</f>
        <v>0</v>
      </c>
      <c r="M232" s="841">
        <f>IFERROR(ROUND(#REF!*#REF!,0),0)</f>
        <v>0</v>
      </c>
      <c r="N232" s="841">
        <f>IFERROR(IF(COUNTIF(#REF!,"Public Transport*")=1,ROUND(#REF!*#REF!,0),0),0)</f>
        <v>0</v>
      </c>
      <c r="O232" s="841">
        <f>IFERROR(ROUND(#REF!*#REF!,0),0)</f>
        <v>0</v>
      </c>
      <c r="P232" s="841">
        <f>IFERROR(ROUND(#REF!*#REF!,0),0)</f>
        <v>0</v>
      </c>
      <c r="Q232" s="841">
        <f>IFERROR(IF(COUNTIF(#REF!,"Public Transport*")=1,ROUND(#REF!*#REF!,0),0),0)</f>
        <v>0</v>
      </c>
      <c r="R232" s="870" t="s">
        <v>598</v>
      </c>
      <c r="S232" s="870"/>
      <c r="T232" s="841">
        <f>IFERROR(IF(COUNTIF(#REF!,"Public Transport*")=1,ROUND(#REF!*#REF!,0),0),0)</f>
        <v>0</v>
      </c>
      <c r="U232" s="870"/>
      <c r="V232" s="870"/>
      <c r="W232" s="841">
        <f>IFERROR(IF(COUNTIF(#REF!,"Public Transport*")=1,ROUND(#REF!*#REF!,0),0),0)</f>
        <v>0</v>
      </c>
      <c r="X232" s="36"/>
      <c r="Y232" s="36"/>
      <c r="Z232" s="36"/>
      <c r="AA232" s="36"/>
      <c r="AB232" s="36"/>
      <c r="AC232" s="36"/>
      <c r="AD232" s="36"/>
      <c r="AE232" s="36"/>
      <c r="AF232" s="36"/>
      <c r="AG232" s="36"/>
      <c r="AH232" s="36"/>
      <c r="AI232" s="36"/>
      <c r="AJ232" s="36"/>
      <c r="AK232" s="36"/>
      <c r="AL232" s="36"/>
      <c r="AM232" s="36" t="s">
        <v>190</v>
      </c>
    </row>
    <row r="233" spans="6:39" ht="15" customHeight="1" outlineLevel="1">
      <c r="G233" s="6" t="s">
        <v>158</v>
      </c>
      <c r="H233" s="836"/>
      <c r="I233" s="836">
        <f>IFERROR(INDEX(#REF!,MATCH(#REF!&amp;"Average delivery capacity (m^3)",#REF!, 0))/(Baseline_Results_NOINDIRECT!I$225/#REF!),0)</f>
        <v>0</v>
      </c>
      <c r="J233" s="836">
        <f>IFERROR(INDEX(#REF!,MATCH(#REF!&amp;"Average delivery capacity (m^3)",#REF!, 0))/(Baseline_Results_NOINDIRECT!J$225/#REF!),0)</f>
        <v>0</v>
      </c>
      <c r="K233" s="836">
        <f>IFERROR(INDEX(#REF!,MATCH(#REF!&amp;"Average delivery capacity (m^3)",#REF!, 0))/(Baseline_Results_NOINDIRECT!K$225/#REF!),0)</f>
        <v>0</v>
      </c>
      <c r="L233" s="836">
        <f>IFERROR(INDEX(#REF!,MATCH(#REF!&amp;"Average delivery capacity (m^3)",#REF!, 0))/(Baseline_Results_NOINDIRECT!L$225/#REF!),0)</f>
        <v>0</v>
      </c>
      <c r="M233" s="836">
        <f>IFERROR(INDEX(#REF!,MATCH(#REF!&amp;"Average delivery capacity (m^3)",#REF!, 0))/(Baseline_Results_NOINDIRECT!M$225/#REF!),0)</f>
        <v>0</v>
      </c>
      <c r="N233" s="836">
        <f>IFERROR(INDEX(#REF!,MATCH(#REF!&amp;"Average delivery capacity (m^3)",#REF!, 0))/(Baseline_Results_NOINDIRECT!N$225/#REF!),0)</f>
        <v>0</v>
      </c>
      <c r="O233" s="836">
        <f>IFERROR(INDEX(#REF!,MATCH(#REF!&amp;"Average delivery capacity (m^3)",#REF!, 0))/(Baseline_Results_NOINDIRECT!O$225/#REF!),0)</f>
        <v>0</v>
      </c>
      <c r="P233" s="836">
        <f>IFERROR(INDEX(#REF!,MATCH(#REF!&amp;"Average delivery capacity (m^3)",#REF!, 0))/(Baseline_Results_NOINDIRECT!P$225/#REF!),0)</f>
        <v>0</v>
      </c>
      <c r="Q233" s="836">
        <f>IFERROR(INDEX(#REF!,MATCH(#REF!&amp;"Average delivery capacity (m^3)",#REF!, 0))/(Baseline_Results_NOINDIRECT!Q$225/#REF!),0)</f>
        <v>0</v>
      </c>
      <c r="R233" s="836">
        <f>IFERROR(INDEX(#REF!,MATCH(#REF!&amp;"Average delivery capacity (m^3)",#REF!, 0))/(Baseline_Results_NOINDIRECT!R$225/#REF!),0)</f>
        <v>0</v>
      </c>
      <c r="S233" s="836">
        <f>IFERROR(INDEX(#REF!,MATCH(#REF!&amp;"Average delivery capacity (m^3)",#REF!, 0))/(Baseline_Results_NOINDIRECT!S$225/#REF!),0)</f>
        <v>0</v>
      </c>
      <c r="T233" s="836">
        <f>IFERROR(INDEX(#REF!,MATCH(#REF!&amp;"Average delivery capacity (m^3)",#REF!, 0))/(Baseline_Results_NOINDIRECT!T$225/#REF!),0)</f>
        <v>0</v>
      </c>
      <c r="U233" s="836">
        <f>IFERROR(INDEX(#REF!,MATCH(#REF!&amp;"Average delivery capacity (m^3)",#REF!, 0))/(Baseline_Results_NOINDIRECT!U$225/#REF!),0)</f>
        <v>0</v>
      </c>
      <c r="V233" s="836">
        <f>IFERROR(INDEX(#REF!,MATCH(#REF!&amp;"Average delivery capacity (m^3)",#REF!, 0))/(Baseline_Results_NOINDIRECT!V$225/#REF!),0)</f>
        <v>0</v>
      </c>
      <c r="W233" s="836">
        <f>IFERROR(INDEX(#REF!,MATCH(#REF!&amp;"Average delivery capacity (m^3)",#REF!, 0))/(Baseline_Results_NOINDIRECT!W$225/#REF!),0)</f>
        <v>0</v>
      </c>
      <c r="X233" s="36"/>
      <c r="Y233" s="36"/>
      <c r="Z233" s="36"/>
      <c r="AA233" s="36"/>
      <c r="AB233" s="36"/>
      <c r="AC233" s="36"/>
      <c r="AD233" s="36"/>
      <c r="AE233" s="36"/>
      <c r="AF233" s="36"/>
      <c r="AG233" s="36"/>
      <c r="AH233" s="36"/>
      <c r="AI233" s="36"/>
      <c r="AJ233" s="36"/>
      <c r="AK233" s="36"/>
      <c r="AL233" s="36"/>
      <c r="AM233" s="36"/>
    </row>
    <row r="234" spans="6:39" ht="15" customHeight="1" outlineLevel="1">
      <c r="G234" s="241" t="s">
        <v>150</v>
      </c>
      <c r="H234" s="842"/>
      <c r="I234" s="842"/>
      <c r="J234" s="842"/>
      <c r="K234" s="842"/>
      <c r="L234" s="842"/>
      <c r="M234" s="842"/>
      <c r="N234" s="842"/>
      <c r="O234" s="842"/>
      <c r="P234" s="842"/>
      <c r="Q234" s="842"/>
      <c r="R234" s="853"/>
      <c r="S234" s="853"/>
      <c r="T234" s="842"/>
      <c r="U234" s="853"/>
      <c r="V234" s="853"/>
      <c r="W234" s="842"/>
      <c r="X234" s="36"/>
      <c r="Y234" s="36"/>
      <c r="Z234" s="36"/>
      <c r="AA234" s="36"/>
      <c r="AB234" s="36"/>
      <c r="AC234" s="36"/>
      <c r="AD234" s="36"/>
      <c r="AE234" s="36"/>
      <c r="AF234" s="36"/>
      <c r="AG234" s="36"/>
      <c r="AH234" s="36"/>
      <c r="AI234" s="36"/>
      <c r="AJ234" s="36"/>
      <c r="AK234" s="36"/>
      <c r="AL234" s="36"/>
      <c r="AM234" s="36"/>
    </row>
    <row r="235" spans="6:39" ht="15" customHeight="1" outlineLevel="1">
      <c r="G235" s="6" t="s">
        <v>140</v>
      </c>
      <c r="H235" s="836"/>
      <c r="I235" s="836">
        <f>IFERROR(ROUND(#REF!/(((1/60)*(#REF!+#REF!*(#REF!+(#REF!*(Baseline_Results_NOINDIRECT!I$225/#REF!/#REF!)))))+INDEX(#REF!,MATCH(#REF!&amp;"Average duration (hrs) per trip",#REF!,0))),1),0)</f>
        <v>0</v>
      </c>
      <c r="J235" s="836">
        <f>IFERROR(ROUND(#REF!/(((1/60)*(#REF!+#REF!*(#REF!+(#REF!*(Baseline_Results_NOINDIRECT!J$225/#REF!/#REF!)))))+INDEX(#REF!,MATCH(#REF!&amp;"Average duration (hrs) per trip",#REF!,0))),1),0)</f>
        <v>0</v>
      </c>
      <c r="K235" s="836">
        <f>IFERROR(ROUND(#REF!/(((1/60)*(#REF!+#REF!*(#REF!+(#REF!*(Baseline_Results_NOINDIRECT!K$225/#REF!/#REF!)))))+INDEX(#REF!,MATCH(#REF!&amp;"Average duration (hrs) per trip",#REF!,0))),1),0)</f>
        <v>0</v>
      </c>
      <c r="L235" s="836">
        <f>IFERROR(ROUND(#REF!/(((1/60)*(#REF!+#REF!*(#REF!+(#REF!*(Baseline_Results_NOINDIRECT!L$225/#REF!/#REF!)))))+INDEX(#REF!,MATCH(#REF!&amp;"Average duration (hrs) per trip",#REF!,0))),1),0)</f>
        <v>0</v>
      </c>
      <c r="M235" s="836">
        <f>IFERROR(ROUND(#REF!/(((1/60)*(#REF!+#REF!*(#REF!+(#REF!*(Baseline_Results_NOINDIRECT!M$225/#REF!/#REF!)))))+INDEX(#REF!,MATCH(#REF!&amp;"Average duration (hrs) per trip",#REF!,0))),1),0)</f>
        <v>0</v>
      </c>
      <c r="N235" s="836">
        <f>IFERROR(ROUND(#REF!/(((1/60)*(#REF!+#REF!*(#REF!+(#REF!*(Baseline_Results_NOINDIRECT!N$225/#REF!/#REF!)))))+INDEX(#REF!,MATCH(#REF!&amp;"Average duration (hrs) per trip",#REF!,0))),1),0)</f>
        <v>0</v>
      </c>
      <c r="O235" s="836">
        <f>IFERROR(ROUND(#REF!/(((1/60)*(#REF!+#REF!*(#REF!+(#REF!*(Baseline_Results_NOINDIRECT!O$225/#REF!/#REF!)))))+INDEX(#REF!,MATCH(#REF!&amp;"Average duration (hrs) per trip",#REF!,0))),1),0)</f>
        <v>0</v>
      </c>
      <c r="P235" s="836">
        <f>IFERROR(ROUND(#REF!/(((1/60)*(#REF!+#REF!*(#REF!+(#REF!*(Baseline_Results_NOINDIRECT!P$225/#REF!/#REF!)))))+INDEX(#REF!,MATCH(#REF!&amp;"Average duration (hrs) per trip",#REF!,0))),1),0)</f>
        <v>0</v>
      </c>
      <c r="Q235" s="836">
        <f>IFERROR(ROUND(#REF!/(((1/60)*(#REF!+#REF!*(#REF!+(#REF!*(Baseline_Results_NOINDIRECT!Q$225/#REF!/#REF!)))))+INDEX(#REF!,MATCH(#REF!&amp;"Average duration (hrs) per trip",#REF!,0))),1),0)</f>
        <v>0</v>
      </c>
      <c r="R235" s="836">
        <f>IFERROR(ROUND(#REF!/(((1/60)*(#REF!+#REF!*(#REF!+(#REF!*(Baseline_Results_NOINDIRECT!R$225/#REF!/#REF!)))))+INDEX(#REF!,MATCH(#REF!&amp;"Average duration (hrs) per trip",#REF!,0))),1),0)</f>
        <v>0</v>
      </c>
      <c r="S235" s="836">
        <f>IFERROR(ROUND(#REF!/(((1/60)*(#REF!+#REF!*(#REF!+(#REF!*(Baseline_Results_NOINDIRECT!S$225/#REF!/#REF!)))))+INDEX(#REF!,MATCH(#REF!&amp;"Average duration (hrs) per trip",#REF!,0))),1),0)</f>
        <v>0</v>
      </c>
      <c r="T235" s="836">
        <f>IFERROR(ROUND(#REF!/(((1/60)*(#REF!+#REF!*(#REF!+(#REF!*(Baseline_Results_NOINDIRECT!T$225/#REF!/#REF!)))))+INDEX(#REF!,MATCH(#REF!&amp;"Average duration (hrs) per trip",#REF!,0))),1),0)</f>
        <v>0</v>
      </c>
      <c r="U235" s="836">
        <f>IFERROR(ROUND(#REF!/(((1/60)*(#REF!+#REF!*(#REF!+(#REF!*(Baseline_Results_NOINDIRECT!U$225/#REF!/#REF!)))))+INDEX(#REF!,MATCH(#REF!&amp;"Average duration (hrs) per trip",#REF!,0))),1),0)</f>
        <v>0</v>
      </c>
      <c r="V235" s="836">
        <f>IFERROR(ROUND(#REF!/(((1/60)*(#REF!+#REF!*(#REF!+(#REF!*(Baseline_Results_NOINDIRECT!V$225/#REF!/#REF!)))))+INDEX(#REF!,MATCH(#REF!&amp;"Average duration (hrs) per trip",#REF!,0))),1),0)</f>
        <v>0</v>
      </c>
      <c r="W235" s="836">
        <f>IFERROR(ROUND(#REF!/(((1/60)*(#REF!+#REF!*(#REF!+(#REF!*(Baseline_Results_NOINDIRECT!W$225/#REF!/#REF!)))))+INDEX(#REF!,MATCH(#REF!&amp;"Average duration (hrs) per trip",#REF!,0))),1),0)</f>
        <v>0</v>
      </c>
      <c r="X235" s="36"/>
      <c r="Y235" s="36"/>
      <c r="Z235" s="36"/>
      <c r="AA235" s="36"/>
      <c r="AB235" s="36"/>
      <c r="AC235" s="36"/>
      <c r="AD235" s="36"/>
      <c r="AE235" s="36"/>
      <c r="AF235" s="36"/>
      <c r="AG235" s="36"/>
      <c r="AH235" s="36"/>
      <c r="AI235" s="36"/>
      <c r="AJ235" s="36"/>
      <c r="AK235" s="36"/>
      <c r="AL235" s="36"/>
      <c r="AM235" s="36"/>
    </row>
    <row r="236" spans="6:39" ht="15" customHeight="1" outlineLevel="1">
      <c r="G236" s="6" t="s">
        <v>141</v>
      </c>
      <c r="H236" s="836"/>
      <c r="I236" s="836">
        <f>IFERROR(MIN(ROUND(I235*#REF!,0),I233),0)</f>
        <v>0</v>
      </c>
      <c r="J236" s="836">
        <f>IFERROR(MIN(ROUND(J235*#REF!,0),J233),0)</f>
        <v>0</v>
      </c>
      <c r="K236" s="836">
        <f>IFERROR(MIN(ROUND(K235*#REF!,0),K233),0)</f>
        <v>0</v>
      </c>
      <c r="L236" s="836">
        <f>IFERROR(MIN(ROUND(L235*#REF!,0),L233),0)</f>
        <v>0</v>
      </c>
      <c r="M236" s="836">
        <f>IFERROR(MIN(ROUND(M235*#REF!,0),M233),0)</f>
        <v>0</v>
      </c>
      <c r="N236" s="836">
        <f>IFERROR(MIN(ROUND(N235*#REF!,0),N233),0)</f>
        <v>0</v>
      </c>
      <c r="O236" s="836">
        <f>IFERROR(MIN(ROUND(O235*#REF!,0),O233),0)</f>
        <v>0</v>
      </c>
      <c r="P236" s="836">
        <f>IFERROR(MIN(ROUND(P235*#REF!,0),P233),0)</f>
        <v>0</v>
      </c>
      <c r="Q236" s="836">
        <f>IFERROR(MIN(ROUND(Q235*#REF!,0),Q233),0)</f>
        <v>0</v>
      </c>
      <c r="R236" s="836">
        <f>IFERROR(MIN(ROUND(R235*#REF!,0),R233),0)</f>
        <v>0</v>
      </c>
      <c r="S236" s="836">
        <f>IFERROR(MIN(ROUND(S235*#REF!,0),S233),0)</f>
        <v>0</v>
      </c>
      <c r="T236" s="836">
        <f>IFERROR(MIN(ROUND(T235*#REF!,0),T233),0)</f>
        <v>0</v>
      </c>
      <c r="U236" s="836">
        <f>IFERROR(MIN(ROUND(U235*#REF!,0),U233),0)</f>
        <v>0</v>
      </c>
      <c r="V236" s="836">
        <f>IFERROR(MIN(ROUND(V235*#REF!,0),V233),0)</f>
        <v>0</v>
      </c>
      <c r="W236" s="836">
        <f>IFERROR(MIN(ROUND(W235*#REF!,0),W233),0)</f>
        <v>0</v>
      </c>
      <c r="X236" s="36"/>
      <c r="Y236" s="36"/>
      <c r="Z236" s="36"/>
      <c r="AA236" s="36"/>
      <c r="AB236" s="36"/>
      <c r="AC236" s="36"/>
      <c r="AD236" s="36"/>
      <c r="AE236" s="36"/>
      <c r="AF236" s="36"/>
      <c r="AG236" s="36"/>
      <c r="AH236" s="36"/>
      <c r="AI236" s="36"/>
      <c r="AJ236" s="36"/>
      <c r="AK236" s="36"/>
      <c r="AL236" s="36"/>
      <c r="AM236" s="36"/>
    </row>
    <row r="237" spans="6:39" ht="15" customHeight="1" outlineLevel="1">
      <c r="G237" s="6" t="s">
        <v>143</v>
      </c>
      <c r="H237" s="836"/>
      <c r="I237" s="836">
        <f t="shared" ref="I237:W237" si="34">IFERROR(ROUNDUP(I232/I236,0),0)</f>
        <v>0</v>
      </c>
      <c r="J237" s="836">
        <f t="shared" si="34"/>
        <v>0</v>
      </c>
      <c r="K237" s="836">
        <f t="shared" si="34"/>
        <v>0</v>
      </c>
      <c r="L237" s="836">
        <f t="shared" si="34"/>
        <v>0</v>
      </c>
      <c r="M237" s="836">
        <f t="shared" si="34"/>
        <v>0</v>
      </c>
      <c r="N237" s="836">
        <f t="shared" si="34"/>
        <v>0</v>
      </c>
      <c r="O237" s="836">
        <f t="shared" si="34"/>
        <v>0</v>
      </c>
      <c r="P237" s="836">
        <f t="shared" si="34"/>
        <v>0</v>
      </c>
      <c r="Q237" s="836">
        <f t="shared" si="34"/>
        <v>0</v>
      </c>
      <c r="R237" s="836">
        <f t="shared" si="34"/>
        <v>0</v>
      </c>
      <c r="S237" s="836">
        <f t="shared" si="34"/>
        <v>0</v>
      </c>
      <c r="T237" s="836">
        <f t="shared" si="34"/>
        <v>0</v>
      </c>
      <c r="U237" s="836">
        <f t="shared" si="34"/>
        <v>0</v>
      </c>
      <c r="V237" s="836">
        <f t="shared" si="34"/>
        <v>0</v>
      </c>
      <c r="W237" s="836">
        <f t="shared" si="34"/>
        <v>0</v>
      </c>
      <c r="X237" s="36"/>
      <c r="Y237" s="36"/>
      <c r="Z237" s="36"/>
      <c r="AA237" s="36"/>
      <c r="AB237" s="36"/>
      <c r="AC237" s="36"/>
      <c r="AD237" s="36"/>
      <c r="AE237" s="36"/>
      <c r="AF237" s="36"/>
      <c r="AG237" s="36"/>
      <c r="AH237" s="36"/>
      <c r="AI237" s="36"/>
      <c r="AJ237" s="242"/>
      <c r="AK237" s="36"/>
      <c r="AL237" s="36"/>
      <c r="AM237" s="36"/>
    </row>
    <row r="238" spans="6:39" ht="15" customHeight="1" outlineLevel="1">
      <c r="G238" s="6" t="s">
        <v>144</v>
      </c>
      <c r="H238" s="836"/>
      <c r="I238" s="836">
        <f t="shared" ref="I238:W238" si="35">IFERROR((I237*(MAX(I236,1)+1)),0)</f>
        <v>0</v>
      </c>
      <c r="J238" s="836">
        <f t="shared" si="35"/>
        <v>0</v>
      </c>
      <c r="K238" s="836">
        <f t="shared" si="35"/>
        <v>0</v>
      </c>
      <c r="L238" s="836">
        <f t="shared" si="35"/>
        <v>0</v>
      </c>
      <c r="M238" s="836">
        <f t="shared" si="35"/>
        <v>0</v>
      </c>
      <c r="N238" s="836">
        <f t="shared" si="35"/>
        <v>0</v>
      </c>
      <c r="O238" s="836">
        <f t="shared" si="35"/>
        <v>0</v>
      </c>
      <c r="P238" s="836">
        <f t="shared" si="35"/>
        <v>0</v>
      </c>
      <c r="Q238" s="836">
        <f t="shared" si="35"/>
        <v>0</v>
      </c>
      <c r="R238" s="836">
        <f t="shared" si="35"/>
        <v>0</v>
      </c>
      <c r="S238" s="836">
        <f t="shared" si="35"/>
        <v>0</v>
      </c>
      <c r="T238" s="836">
        <f t="shared" si="35"/>
        <v>0</v>
      </c>
      <c r="U238" s="836">
        <f t="shared" si="35"/>
        <v>0</v>
      </c>
      <c r="V238" s="836">
        <f t="shared" si="35"/>
        <v>0</v>
      </c>
      <c r="W238" s="836">
        <f t="shared" si="35"/>
        <v>0</v>
      </c>
      <c r="X238" s="36"/>
      <c r="Y238" s="36"/>
      <c r="Z238" s="36"/>
      <c r="AA238" s="36"/>
      <c r="AB238" s="36"/>
      <c r="AC238" s="36"/>
      <c r="AD238" s="36"/>
      <c r="AE238" s="36"/>
      <c r="AF238" s="36"/>
      <c r="AG238" s="36"/>
      <c r="AH238" s="36"/>
      <c r="AI238" s="36"/>
      <c r="AJ238" s="242"/>
      <c r="AK238" s="36"/>
      <c r="AL238" s="36"/>
      <c r="AM238" s="36"/>
    </row>
    <row r="239" spans="6:39" ht="15" customHeight="1" outlineLevel="1">
      <c r="G239" s="6" t="s">
        <v>145</v>
      </c>
      <c r="H239" s="836"/>
      <c r="I239" s="836">
        <f>IFERROR(ROUNDUP(((I238*INDEX(#REF!,MATCH(#REF!&amp;"Average duration (hrs) per trip",#REF!,0)))+(I232*((1/60)*(#REF!+#REF!*(#REF!+(#REF!*(Baseline_Results_NOINDIRECT!I$225/#REF!/#REF!)))))))/#REF!,0),0)</f>
        <v>0</v>
      </c>
      <c r="J239" s="836">
        <f>IFERROR(ROUNDUP(((J238*INDEX(#REF!,MATCH(#REF!&amp;"Average duration (hrs) per trip",#REF!,0)))+(J232*((1/60)*(#REF!+#REF!*(#REF!+(#REF!*(Baseline_Results_NOINDIRECT!J$225/#REF!/#REF!)))))))/#REF!,0),0)</f>
        <v>0</v>
      </c>
      <c r="K239" s="836">
        <f>IFERROR(ROUNDUP(((K238*INDEX(#REF!,MATCH(#REF!&amp;"Average duration (hrs) per trip",#REF!,0)))+(K232*((1/60)*(#REF!+#REF!*(#REF!+(#REF!*(Baseline_Results_NOINDIRECT!K$225/#REF!/#REF!)))))))/#REF!,0),0)</f>
        <v>0</v>
      </c>
      <c r="L239" s="836">
        <f>IFERROR(ROUNDUP(((L238*INDEX(#REF!,MATCH(#REF!&amp;"Average duration (hrs) per trip",#REF!,0)))+(L232*((1/60)*(#REF!+#REF!*(#REF!+(#REF!*(Baseline_Results_NOINDIRECT!L$225/#REF!/#REF!)))))))/#REF!,0),0)</f>
        <v>0</v>
      </c>
      <c r="M239" s="836">
        <f>IFERROR(ROUNDUP(((M238*INDEX(#REF!,MATCH(#REF!&amp;"Average duration (hrs) per trip",#REF!,0)))+(M232*((1/60)*(#REF!+#REF!*(#REF!+(#REF!*(Baseline_Results_NOINDIRECT!M$225/#REF!/#REF!)))))))/#REF!,0),0)</f>
        <v>0</v>
      </c>
      <c r="N239" s="836">
        <f>IFERROR(ROUNDUP(((N238*INDEX(#REF!,MATCH(#REF!&amp;"Average duration (hrs) per trip",#REF!,0)))+(N232*((1/60)*(#REF!+#REF!*(#REF!+(#REF!*(Baseline_Results_NOINDIRECT!N$225/#REF!/#REF!)))))))/#REF!,0),0)</f>
        <v>0</v>
      </c>
      <c r="O239" s="836">
        <f>IFERROR(ROUNDUP(((O238*INDEX(#REF!,MATCH(#REF!&amp;"Average duration (hrs) per trip",#REF!,0)))+(O232*((1/60)*(#REF!+#REF!*(#REF!+(#REF!*(Baseline_Results_NOINDIRECT!O$225/#REF!/#REF!)))))))/#REF!,0),0)</f>
        <v>0</v>
      </c>
      <c r="P239" s="836">
        <f>IFERROR(ROUNDUP(((P238*INDEX(#REF!,MATCH(#REF!&amp;"Average duration (hrs) per trip",#REF!,0)))+(P232*((1/60)*(#REF!+#REF!*(#REF!+(#REF!*(Baseline_Results_NOINDIRECT!P$225/#REF!/#REF!)))))))/#REF!,0),0)</f>
        <v>0</v>
      </c>
      <c r="Q239" s="836">
        <f>IFERROR(ROUNDUP(((Q238*INDEX(#REF!,MATCH(#REF!&amp;"Average duration (hrs) per trip",#REF!,0)))+(Q232*((1/60)*(#REF!+#REF!*(#REF!+(#REF!*(Baseline_Results_NOINDIRECT!Q$225/#REF!/#REF!)))))))/#REF!,0),0)</f>
        <v>0</v>
      </c>
      <c r="R239" s="836">
        <f>IFERROR(ROUNDUP(((R238*INDEX(#REF!,MATCH(#REF!&amp;"Average duration (hrs) per trip",#REF!,0)))+(R232*((1/60)*(#REF!+#REF!*(#REF!+(#REF!*(Baseline_Results_NOINDIRECT!R$225/#REF!/#REF!)))))))/#REF!,0),0)</f>
        <v>0</v>
      </c>
      <c r="S239" s="836">
        <f>IFERROR(ROUNDUP(((S238*INDEX(#REF!,MATCH(#REF!&amp;"Average duration (hrs) per trip",#REF!,0)))+(S232*((1/60)*(#REF!+#REF!*(#REF!+(#REF!*(Baseline_Results_NOINDIRECT!S$225/#REF!/#REF!)))))))/#REF!,0),0)</f>
        <v>0</v>
      </c>
      <c r="T239" s="836">
        <f>IFERROR(ROUNDUP(((T238*INDEX(#REF!,MATCH(#REF!&amp;"Average duration (hrs) per trip",#REF!,0)))+(T232*((1/60)*(#REF!+#REF!*(#REF!+(#REF!*(Baseline_Results_NOINDIRECT!T$225/#REF!/#REF!)))))))/#REF!,0),0)</f>
        <v>0</v>
      </c>
      <c r="U239" s="836">
        <f>IFERROR(ROUNDUP(((U238*INDEX(#REF!,MATCH(#REF!&amp;"Average duration (hrs) per trip",#REF!,0)))+(U232*((1/60)*(#REF!+#REF!*(#REF!+(#REF!*(Baseline_Results_NOINDIRECT!U$225/#REF!/#REF!)))))))/#REF!,0),0)</f>
        <v>0</v>
      </c>
      <c r="V239" s="836">
        <f>IFERROR(ROUNDUP(((V238*INDEX(#REF!,MATCH(#REF!&amp;"Average duration (hrs) per trip",#REF!,0)))+(V232*((1/60)*(#REF!+#REF!*(#REF!+(#REF!*(Baseline_Results_NOINDIRECT!V$225/#REF!/#REF!)))))))/#REF!,0),0)</f>
        <v>0</v>
      </c>
      <c r="W239" s="836">
        <f>IFERROR(ROUNDUP(((W238*INDEX(#REF!,MATCH(#REF!&amp;"Average duration (hrs) per trip",#REF!,0)))+(W232*((1/60)*(#REF!+#REF!*(#REF!+(#REF!*(Baseline_Results_NOINDIRECT!W$225/#REF!/#REF!)))))))/#REF!,0),0)</f>
        <v>0</v>
      </c>
      <c r="X239" s="36"/>
      <c r="Y239" s="36"/>
      <c r="Z239" s="36"/>
      <c r="AA239" s="36"/>
      <c r="AB239" s="36"/>
      <c r="AC239" s="36"/>
      <c r="AD239" s="36"/>
      <c r="AE239" s="36"/>
      <c r="AF239" s="36"/>
      <c r="AG239" s="36"/>
      <c r="AH239" s="36"/>
      <c r="AI239" s="36"/>
      <c r="AJ239" s="242"/>
      <c r="AK239" s="36"/>
      <c r="AL239" s="36"/>
      <c r="AM239" s="36"/>
    </row>
    <row r="240" spans="6:39" ht="15" customHeight="1" outlineLevel="1">
      <c r="G240" s="241" t="s">
        <v>841</v>
      </c>
      <c r="H240" s="842"/>
      <c r="I240" s="842"/>
      <c r="J240" s="842"/>
      <c r="K240" s="842"/>
      <c r="L240" s="842"/>
      <c r="M240" s="842"/>
      <c r="N240" s="842"/>
      <c r="O240" s="842"/>
      <c r="P240" s="842"/>
      <c r="Q240" s="842"/>
      <c r="R240" s="853"/>
      <c r="S240" s="853"/>
      <c r="T240" s="842"/>
      <c r="U240" s="853"/>
      <c r="V240" s="853"/>
      <c r="W240" s="842"/>
      <c r="X240" s="36"/>
      <c r="Y240" s="36"/>
      <c r="Z240" s="36"/>
      <c r="AA240" s="36"/>
      <c r="AB240" s="36"/>
      <c r="AC240" s="36"/>
      <c r="AD240" s="36"/>
      <c r="AE240" s="36"/>
      <c r="AF240" s="36"/>
      <c r="AG240" s="36"/>
      <c r="AH240" s="36"/>
      <c r="AI240" s="36"/>
      <c r="AJ240" s="36"/>
      <c r="AK240" s="36"/>
      <c r="AL240" s="36"/>
      <c r="AM240" s="36"/>
    </row>
    <row r="241" spans="6:39" ht="15" customHeight="1" outlineLevel="1">
      <c r="G241" s="6" t="s">
        <v>144</v>
      </c>
      <c r="H241" s="836"/>
      <c r="I241" s="836">
        <f t="shared" ref="I241:W241" si="36">IFERROR((I232/MIN(I233,1))*2,0)</f>
        <v>0</v>
      </c>
      <c r="J241" s="836">
        <f t="shared" si="36"/>
        <v>0</v>
      </c>
      <c r="K241" s="836">
        <f t="shared" si="36"/>
        <v>0</v>
      </c>
      <c r="L241" s="836">
        <f t="shared" si="36"/>
        <v>0</v>
      </c>
      <c r="M241" s="836">
        <f t="shared" si="36"/>
        <v>0</v>
      </c>
      <c r="N241" s="836">
        <f t="shared" si="36"/>
        <v>0</v>
      </c>
      <c r="O241" s="836">
        <f t="shared" si="36"/>
        <v>0</v>
      </c>
      <c r="P241" s="836">
        <f t="shared" si="36"/>
        <v>0</v>
      </c>
      <c r="Q241" s="836">
        <f t="shared" si="36"/>
        <v>0</v>
      </c>
      <c r="R241" s="836">
        <f t="shared" si="36"/>
        <v>0</v>
      </c>
      <c r="S241" s="836">
        <f t="shared" si="36"/>
        <v>0</v>
      </c>
      <c r="T241" s="836">
        <f t="shared" si="36"/>
        <v>0</v>
      </c>
      <c r="U241" s="836">
        <f t="shared" si="36"/>
        <v>0</v>
      </c>
      <c r="V241" s="836">
        <f t="shared" si="36"/>
        <v>0</v>
      </c>
      <c r="W241" s="836">
        <f t="shared" si="36"/>
        <v>0</v>
      </c>
      <c r="X241" s="36"/>
      <c r="Y241" s="36"/>
      <c r="Z241" s="36"/>
      <c r="AA241" s="36"/>
      <c r="AB241" s="36"/>
      <c r="AC241" s="36"/>
      <c r="AD241" s="36"/>
      <c r="AE241" s="36"/>
      <c r="AF241" s="36"/>
      <c r="AG241" s="36"/>
      <c r="AH241" s="36"/>
      <c r="AI241" s="36"/>
      <c r="AJ241" s="36"/>
      <c r="AK241" s="36"/>
      <c r="AL241" s="36"/>
      <c r="AM241" s="36"/>
    </row>
    <row r="242" spans="6:39" ht="15" customHeight="1" outlineLevel="1">
      <c r="G242" s="6" t="s">
        <v>145</v>
      </c>
      <c r="H242" s="837"/>
      <c r="I242" s="837">
        <f>IFERROR(MAX(I232,ROUNDUP(((I241*INDEX(#REF!,MATCH(#REF!&amp;"Average duration (hrs) per trip",#REF!,0)))+(I232*((1/60)*(#REF!+#REF!*(#REF!+(#REF!*(Baseline_Results_NOINDIRECT!I$225/#REF!/#REF!)))))))/#REF!,0)),0)</f>
        <v>0</v>
      </c>
      <c r="J242" s="837">
        <f>IFERROR(MAX(J232,ROUNDUP(((J241*INDEX(#REF!,MATCH(#REF!&amp;"Average duration (hrs) per trip",#REF!,0)))+(J232*((1/60)*(#REF!+#REF!*(#REF!+(#REF!*(Baseline_Results_NOINDIRECT!J$225/#REF!/#REF!)))))))/#REF!,0)),0)</f>
        <v>0</v>
      </c>
      <c r="K242" s="837">
        <f>IFERROR(MAX(K232,ROUNDUP(((K241*INDEX(#REF!,MATCH(#REF!&amp;"Average duration (hrs) per trip",#REF!,0)))+(K232*((1/60)*(#REF!+#REF!*(#REF!+(#REF!*(Baseline_Results_NOINDIRECT!K$225/#REF!/#REF!)))))))/#REF!,0)),0)</f>
        <v>0</v>
      </c>
      <c r="L242" s="837">
        <f>IFERROR(MAX(L232,ROUNDUP(((L241*INDEX(#REF!,MATCH(#REF!&amp;"Average duration (hrs) per trip",#REF!,0)))+(L232*((1/60)*(#REF!+#REF!*(#REF!+(#REF!*(Baseline_Results_NOINDIRECT!L$225/#REF!/#REF!)))))))/#REF!,0)),0)</f>
        <v>0</v>
      </c>
      <c r="M242" s="837">
        <f>IFERROR(MAX(M232,ROUNDUP(((M241*INDEX(#REF!,MATCH(#REF!&amp;"Average duration (hrs) per trip",#REF!,0)))+(M232*((1/60)*(#REF!+#REF!*(#REF!+(#REF!*(Baseline_Results_NOINDIRECT!M$225/#REF!/#REF!)))))))/#REF!,0)),0)</f>
        <v>0</v>
      </c>
      <c r="N242" s="837">
        <f>IFERROR(MAX(N232,ROUNDUP(((N241*INDEX(#REF!,MATCH(#REF!&amp;"Average duration (hrs) per trip",#REF!,0)))+(N232*((1/60)*(#REF!+#REF!*(#REF!+(#REF!*(Baseline_Results_NOINDIRECT!N$225/#REF!/#REF!)))))))/#REF!,0)),0)</f>
        <v>0</v>
      </c>
      <c r="O242" s="837">
        <f>IFERROR(MAX(O232,ROUNDUP(((O241*INDEX(#REF!,MATCH(#REF!&amp;"Average duration (hrs) per trip",#REF!,0)))+(O232*((1/60)*(#REF!+#REF!*(#REF!+(#REF!*(Baseline_Results_NOINDIRECT!O$225/#REF!/#REF!)))))))/#REF!,0)),0)</f>
        <v>0</v>
      </c>
      <c r="P242" s="837">
        <f>IFERROR(MAX(P232,ROUNDUP(((P241*INDEX(#REF!,MATCH(#REF!&amp;"Average duration (hrs) per trip",#REF!,0)))+(P232*((1/60)*(#REF!+#REF!*(#REF!+(#REF!*(Baseline_Results_NOINDIRECT!P$225/#REF!/#REF!)))))))/#REF!,0)),0)</f>
        <v>0</v>
      </c>
      <c r="Q242" s="837">
        <f>IFERROR(MAX(Q232,ROUNDUP(((Q241*INDEX(#REF!,MATCH(#REF!&amp;"Average duration (hrs) per trip",#REF!,0)))+(Q232*((1/60)*(#REF!+#REF!*(#REF!+(#REF!*(Baseline_Results_NOINDIRECT!Q$225/#REF!/#REF!)))))))/#REF!,0)),0)</f>
        <v>0</v>
      </c>
      <c r="R242" s="837">
        <f>IFERROR(MAX(R232,ROUNDUP(((R241*INDEX(#REF!,MATCH(#REF!&amp;"Average duration (hrs) per trip",#REF!,0)))+(R232*((1/60)*(#REF!+#REF!*(#REF!+(#REF!*(Baseline_Results_NOINDIRECT!R$225/#REF!/#REF!)))))))/#REF!,0)),0)</f>
        <v>0</v>
      </c>
      <c r="S242" s="837">
        <f>IFERROR(MAX(S232,ROUNDUP(((S241*INDEX(#REF!,MATCH(#REF!&amp;"Average duration (hrs) per trip",#REF!,0)))+(S232*((1/60)*(#REF!+#REF!*(#REF!+(#REF!*(Baseline_Results_NOINDIRECT!S$225/#REF!/#REF!)))))))/#REF!,0)),0)</f>
        <v>0</v>
      </c>
      <c r="T242" s="837">
        <f>IFERROR(MAX(T232,ROUNDUP(((T241*INDEX(#REF!,MATCH(#REF!&amp;"Average duration (hrs) per trip",#REF!,0)))+(T232*((1/60)*(#REF!+#REF!*(#REF!+(#REF!*(Baseline_Results_NOINDIRECT!T$225/#REF!/#REF!)))))))/#REF!,0)),0)</f>
        <v>0</v>
      </c>
      <c r="U242" s="837">
        <f>IFERROR(MAX(U232,ROUNDUP(((U241*INDEX(#REF!,MATCH(#REF!&amp;"Average duration (hrs) per trip",#REF!,0)))+(U232*((1/60)*(#REF!+#REF!*(#REF!+(#REF!*(Baseline_Results_NOINDIRECT!U$225/#REF!/#REF!)))))))/#REF!,0)),0)</f>
        <v>0</v>
      </c>
      <c r="V242" s="837">
        <f>IFERROR(MAX(V232,ROUNDUP(((V241*INDEX(#REF!,MATCH(#REF!&amp;"Average duration (hrs) per trip",#REF!,0)))+(V232*((1/60)*(#REF!+#REF!*(#REF!+(#REF!*(Baseline_Results_NOINDIRECT!V$225/#REF!/#REF!)))))))/#REF!,0)),0)</f>
        <v>0</v>
      </c>
      <c r="W242" s="837">
        <f>IFERROR(MAX(W232,ROUNDUP(((W241*INDEX(#REF!,MATCH(#REF!&amp;"Average duration (hrs) per trip",#REF!,0)))+(W232*((1/60)*(#REF!+#REF!*(#REF!+(#REF!*(Baseline_Results_NOINDIRECT!W$225/#REF!/#REF!)))))))/#REF!,0)),0)</f>
        <v>0</v>
      </c>
      <c r="X242" s="36"/>
      <c r="Y242" s="36"/>
      <c r="Z242" s="36"/>
      <c r="AA242" s="36"/>
      <c r="AB242" s="36"/>
      <c r="AC242" s="36"/>
      <c r="AD242" s="36"/>
      <c r="AE242" s="36"/>
      <c r="AF242" s="36"/>
      <c r="AG242" s="36"/>
      <c r="AH242" s="36"/>
      <c r="AI242" s="36"/>
      <c r="AJ242" s="242"/>
      <c r="AK242" s="36"/>
      <c r="AL242" s="36"/>
      <c r="AM242" s="36"/>
    </row>
    <row r="243" spans="6:39" ht="15" customHeight="1" outlineLevel="1">
      <c r="F243" s="76" t="s">
        <v>148</v>
      </c>
      <c r="G243" s="844"/>
      <c r="H243" s="848"/>
      <c r="I243" s="848"/>
      <c r="J243" s="848"/>
      <c r="K243" s="848"/>
      <c r="L243" s="848"/>
      <c r="M243" s="848"/>
      <c r="N243" s="848"/>
      <c r="O243" s="848"/>
      <c r="P243" s="848"/>
      <c r="Q243" s="848"/>
      <c r="R243" s="846"/>
      <c r="S243" s="846"/>
      <c r="T243" s="848"/>
      <c r="U243" s="846"/>
      <c r="V243" s="846"/>
      <c r="W243" s="848"/>
      <c r="X243" s="36"/>
      <c r="Y243" s="36"/>
      <c r="Z243" s="36"/>
      <c r="AA243" s="36"/>
      <c r="AB243" s="36"/>
      <c r="AC243" s="36"/>
      <c r="AD243" s="36"/>
      <c r="AE243" s="36"/>
      <c r="AF243" s="36"/>
      <c r="AG243" s="36"/>
      <c r="AH243" s="36"/>
      <c r="AI243" s="36"/>
      <c r="AJ243" s="242"/>
      <c r="AK243" s="36"/>
      <c r="AL243" s="36"/>
      <c r="AM243" s="36"/>
    </row>
    <row r="244" spans="6:39" ht="15" customHeight="1" outlineLevel="1">
      <c r="F244" s="1"/>
      <c r="G244" s="6" t="s">
        <v>151</v>
      </c>
      <c r="H244" s="836"/>
      <c r="I244" s="836">
        <f>IFERROR(IF(COUNTIF(#REF!,"Public Transport*")&lt;1,ROUND(#REF!*#REF!,0),0),0)</f>
        <v>0</v>
      </c>
      <c r="J244" s="836">
        <f>IFERROR(IF(COUNTIF(#REF!,"Public Transport*")&lt;1,ROUND(#REF!*#REF!,0),0),0)</f>
        <v>0</v>
      </c>
      <c r="K244" s="836">
        <f>IFERROR(IF(COUNTIF(#REF!,"Public Transport*")&lt;1,ROUND(#REF!*#REF!,0),0),0)</f>
        <v>0</v>
      </c>
      <c r="L244" s="836">
        <f>IFERROR(IF(COUNTIF(#REF!,"Public Transport*")&lt;1,ROUND(#REF!*#REF!,0),0),0)</f>
        <v>0</v>
      </c>
      <c r="M244" s="836">
        <f>IFERROR(IF(COUNTIF(#REF!,"Public Transport*")&lt;1,ROUND(#REF!*#REF!,0),0),0)</f>
        <v>0</v>
      </c>
      <c r="N244" s="836">
        <f>IFERROR(IF(COUNTIF(#REF!,"Public Transport*")&lt;1,ROUND(#REF!*#REF!,0),0),0)</f>
        <v>0</v>
      </c>
      <c r="O244" s="836">
        <f>IFERROR(IF(COUNTIF(#REF!,"Public Transport*")&lt;1,ROUND(#REF!*#REF!,0),0),0)</f>
        <v>0</v>
      </c>
      <c r="P244" s="836">
        <f>IFERROR(IF(COUNTIF(#REF!,"Public Transport*")&lt;1,ROUND(#REF!*#REF!,0),0),0)</f>
        <v>0</v>
      </c>
      <c r="Q244" s="836">
        <f>IFERROR(IF(COUNTIF(#REF!,"Public Transport*")&lt;1,ROUND(#REF!*#REF!,0),0),0)</f>
        <v>0</v>
      </c>
      <c r="R244" s="870"/>
      <c r="S244" s="870"/>
      <c r="T244" s="836">
        <f>IFERROR(IF(COUNTIF(#REF!,"Public Transport*")&lt;1,ROUND(#REF!*#REF!,0),0),0)</f>
        <v>0</v>
      </c>
      <c r="U244" s="870"/>
      <c r="V244" s="870"/>
      <c r="W244" s="836">
        <f>IFERROR(IF(COUNTIF(#REF!,"Public Transport*")&lt;1,ROUND(#REF!*#REF!,0),0),0)</f>
        <v>0</v>
      </c>
      <c r="X244" s="36"/>
      <c r="Y244" s="36"/>
      <c r="Z244" s="36"/>
      <c r="AA244" s="36"/>
      <c r="AB244" s="36"/>
      <c r="AC244" s="36"/>
      <c r="AD244" s="36"/>
      <c r="AE244" s="36"/>
      <c r="AF244" s="36"/>
      <c r="AG244" s="36"/>
      <c r="AH244" s="36"/>
      <c r="AI244" s="36"/>
      <c r="AJ244" s="242"/>
      <c r="AK244" s="36"/>
      <c r="AL244" s="36"/>
      <c r="AM244" s="36"/>
    </row>
    <row r="245" spans="6:39" ht="15" customHeight="1" outlineLevel="1">
      <c r="G245" s="6" t="s">
        <v>58</v>
      </c>
      <c r="H245" s="849"/>
      <c r="I245" s="849">
        <f>IFERROR(IF(#REF!="Route-based",#REF!*I254*I255,IF(#REF!="Point-to-point",I259*I260,0)),0)</f>
        <v>0</v>
      </c>
      <c r="J245" s="849">
        <f>IFERROR(IF(#REF!="Route-based",#REF!*J254*J255,IF(#REF!="Point-to-point",J259*J260,0)),0)</f>
        <v>0</v>
      </c>
      <c r="K245" s="849">
        <f>IFERROR(IF(#REF!="Route-based",K254*K255,IF(#REF!="Point-to-point",K259*K260,0)),0)</f>
        <v>0</v>
      </c>
      <c r="L245" s="849">
        <f>IFERROR(IF(#REF!="Route-based",#REF!*L254*L255,IF(#REF!="Point-to-point",L259*L260,0)),0)</f>
        <v>0</v>
      </c>
      <c r="M245" s="849">
        <f>IFERROR(IF(#REF!="Route-based",#REF!*M254*M255,IF(#REF!="Point-to-point",M259*M260,0)),0)</f>
        <v>0</v>
      </c>
      <c r="N245" s="849">
        <f>IFERROR(IF(#REF!="Route-based",N254*N255,IF(#REF!="Point-to-point",N259*N260,0)),0)</f>
        <v>0</v>
      </c>
      <c r="O245" s="849">
        <f>IFERROR(IF(#REF!="Route-based",O254*O255,IF(#REF!="Point-to-point",O259*O260,0)),0)</f>
        <v>0</v>
      </c>
      <c r="P245" s="849">
        <f>IFERROR(IF(#REF!="Route-based",P254*P255,IF(#REF!="Point-to-point",P259*P260,0)),0)</f>
        <v>0</v>
      </c>
      <c r="Q245" s="849">
        <f>IFERROR(IF(#REF!="Route-based",Q254*Q255,IF(#REF!="Point-to-point",Q259*Q260,0)),0)</f>
        <v>0</v>
      </c>
      <c r="R245" s="853" t="s">
        <v>594</v>
      </c>
      <c r="S245" s="853"/>
      <c r="T245" s="849">
        <f>IFERROR(IF(#REF!="Route-based",T254*T255,IF(#REF!="Point-to-point",T259*T260,0)),0)</f>
        <v>0</v>
      </c>
      <c r="U245" s="853"/>
      <c r="V245" s="853"/>
      <c r="W245" s="849">
        <f>IFERROR(IF(#REF!="Route-based",W254*W255,IF(#REF!="Point-to-point",W259*W260,0)),0)</f>
        <v>0</v>
      </c>
      <c r="X245" s="36"/>
      <c r="Y245" s="36"/>
      <c r="Z245" s="36"/>
      <c r="AA245" s="36"/>
      <c r="AB245" s="36"/>
      <c r="AC245" s="36"/>
      <c r="AD245" s="36"/>
      <c r="AE245" s="36"/>
      <c r="AF245" s="36"/>
      <c r="AG245" s="36"/>
      <c r="AH245" s="36"/>
      <c r="AI245" s="36"/>
      <c r="AJ245" s="242"/>
      <c r="AK245" s="36"/>
      <c r="AL245" s="36"/>
      <c r="AM245" s="36"/>
    </row>
    <row r="246" spans="6:39" ht="15" customHeight="1" outlineLevel="1">
      <c r="G246" s="6" t="s">
        <v>389</v>
      </c>
      <c r="H246" s="849"/>
      <c r="I246" s="849" t="str">
        <f>IFERROR(IF(#REF!="Route-based",I254,IF(#REF!="Point-to-point",I259,0)),"")</f>
        <v/>
      </c>
      <c r="J246" s="849" t="str">
        <f>IFERROR(IF(#REF!="Route-based",J254,IF(#REF!="Point-to-point",J259,0)),"")</f>
        <v/>
      </c>
      <c r="K246" s="849" t="str">
        <f>IFERROR(IF(#REF!="Route-based",K254,IF(#REF!="Point-to-point",K259,0)),"")</f>
        <v/>
      </c>
      <c r="L246" s="849" t="str">
        <f>IFERROR(IF(#REF!="Route-based",L254,IF(#REF!="Point-to-point",L259,0)),"")</f>
        <v/>
      </c>
      <c r="M246" s="849" t="str">
        <f>IFERROR(IF(#REF!="Route-based",M254,IF(#REF!="Point-to-point",M259,0)),"")</f>
        <v/>
      </c>
      <c r="N246" s="849" t="str">
        <f>IFERROR(IF(#REF!="Route-based",N254,IF(#REF!="Point-to-point",N259,0)),"")</f>
        <v/>
      </c>
      <c r="O246" s="849" t="str">
        <f>IFERROR(IF(#REF!="Route-based",O254,IF(#REF!="Point-to-point",O259,0)),"")</f>
        <v/>
      </c>
      <c r="P246" s="849" t="str">
        <f>IFERROR(IF(#REF!="Route-based",P254,IF(#REF!="Point-to-point",P259,0)),"")</f>
        <v/>
      </c>
      <c r="Q246" s="849" t="str">
        <f>IFERROR(IF(#REF!="Route-based",Q254,IF(#REF!="Point-to-point",Q259,0)),"")</f>
        <v/>
      </c>
      <c r="R246" s="853"/>
      <c r="S246" s="853"/>
      <c r="T246" s="849" t="str">
        <f>IFERROR(IF(#REF!="Route-based",T254,IF(#REF!="Point-to-point",T259,0)),"")</f>
        <v/>
      </c>
      <c r="U246" s="853"/>
      <c r="V246" s="853"/>
      <c r="W246" s="849" t="str">
        <f>IFERROR(IF(#REF!="Route-based",W254,IF(#REF!="Point-to-point",W259,0)),"")</f>
        <v/>
      </c>
      <c r="X246" s="36"/>
      <c r="Y246" s="36"/>
      <c r="Z246" s="36"/>
      <c r="AA246" s="36"/>
      <c r="AB246" s="36"/>
      <c r="AC246" s="36"/>
      <c r="AD246" s="36"/>
      <c r="AE246" s="36"/>
      <c r="AF246" s="36"/>
      <c r="AG246" s="36"/>
      <c r="AH246" s="36"/>
      <c r="AI246" s="36"/>
      <c r="AJ246" s="242"/>
      <c r="AK246" s="36"/>
      <c r="AL246" s="36"/>
      <c r="AM246" s="36"/>
    </row>
    <row r="247" spans="6:39" ht="15" customHeight="1" outlineLevel="1">
      <c r="G247" s="6" t="s">
        <v>49</v>
      </c>
      <c r="H247" s="849"/>
      <c r="I247" s="849">
        <f>IFERROR(IF(#REF!="Route-based",ROUND(I256*I254/#REF!,0),IF(#REF!="Point-to-point",ROUND(((I259*((1/60)*(#REF!+#REF!*(#REF!+(#REF!*(MIN((Baseline_Results_NOINDIRECT!I$225/#REF!),INDEX(#REF!,MATCH(#REF!&amp;"Delivery Capacity (m^3)",#REF!,0)))/#REF!))))))+(I245/#REF!))/#REF!,0),0)),0)</f>
        <v>0</v>
      </c>
      <c r="J247" s="849">
        <f>IFERROR(IF(#REF!="Route-based",ROUND(J256*J254/#REF!,0),IF(#REF!="Point-to-point",ROUND(((J259*((1/60)*(#REF!+#REF!*(#REF!+(#REF!*(MIN((Baseline_Results_NOINDIRECT!J$225/#REF!),INDEX(#REF!,MATCH(#REF!&amp;"Delivery Capacity (m^3)",#REF!,0)))/#REF!))))))+(J245/#REF!))/#REF!,0),0)),0)</f>
        <v>0</v>
      </c>
      <c r="K247" s="849">
        <f>IFERROR(IF(#REF!="Route-based",ROUND(K256*K254/#REF!,0),IF(#REF!="Point-to-point",ROUND(((K259*((1/60)*(#REF!+#REF!*(#REF!+(#REF!*(MIN((Baseline_Results_NOINDIRECT!K$225/#REF!),INDEX(#REF!,MATCH(#REF!&amp;"Delivery Capacity (m^3)",#REF!,0)))/#REF!))))))+(K245/#REF!))/#REF!,0),0)),0)</f>
        <v>0</v>
      </c>
      <c r="L247" s="849">
        <f>IFERROR(IF(#REF!="Route-based",ROUND(L256*L254/#REF!,0),IF(#REF!="Point-to-point",ROUND(((L259*((1/60)*(#REF!+#REF!*(#REF!+(#REF!*(MIN((Baseline_Results_NOINDIRECT!L$225/#REF!),INDEX(#REF!,MATCH(#REF!&amp;"Delivery Capacity (m^3)",#REF!,0)))/#REF!))))))+(L245/#REF!))/#REF!,0),0)),0)</f>
        <v>0</v>
      </c>
      <c r="M247" s="849">
        <f>IFERROR(IF(#REF!="Route-based",ROUND(M256*M254/#REF!,0),IF(#REF!="Point-to-point",ROUND(((M259*((1/60)*(#REF!+#REF!*(#REF!+(#REF!*(MIN((Baseline_Results_NOINDIRECT!M$225/#REF!),INDEX(#REF!,MATCH(#REF!&amp;"Delivery Capacity (m^3)",#REF!,0)))/#REF!))))))+(M245/#REF!))/#REF!,0),0)),0)</f>
        <v>0</v>
      </c>
      <c r="N247" s="849">
        <f>IFERROR(IF(#REF!="Route-based",ROUND(N256*N254/#REF!,0),IF(#REF!="Point-to-point",ROUND(((N259*((1/60)*(#REF!+#REF!*(#REF!+(#REF!*(MIN((Baseline_Results_NOINDIRECT!N$225/#REF!),INDEX(#REF!,MATCH(#REF!&amp;"Delivery Capacity (m^3)",#REF!,0)))/#REF!))))))+(N245/#REF!))/#REF!,0),0)),0)</f>
        <v>0</v>
      </c>
      <c r="O247" s="849">
        <f>IFERROR(IF(#REF!="Route-based",ROUND(O256*O254/#REF!,0),IF(#REF!="Point-to-point",ROUND(((O259*((1/60)*(#REF!+#REF!*(#REF!+(#REF!*(MIN((Baseline_Results_NOINDIRECT!O$225/#REF!),INDEX(#REF!,MATCH(#REF!&amp;"Delivery Capacity (m^3)",#REF!,0)))/#REF!))))))+(O245/#REF!))/#REF!,0),0)),0)</f>
        <v>0</v>
      </c>
      <c r="P247" s="849">
        <f>IFERROR(IF(#REF!="Route-based",ROUND(P256*P254/#REF!,0),IF(#REF!="Point-to-point",ROUND(((P259*((1/60)*(#REF!+#REF!*(#REF!+(#REF!*(MIN((Baseline_Results_NOINDIRECT!P$225/#REF!),INDEX(#REF!,MATCH(#REF!&amp;"Delivery Capacity (m^3)",#REF!,0)))/#REF!))))))+(P245/#REF!))/#REF!,0),0)),0)</f>
        <v>0</v>
      </c>
      <c r="Q247" s="849">
        <f>IFERROR(IF(#REF!="Route-based",ROUND(Q256*Q254/#REF!,0),IF(#REF!="Point-to-point",ROUND(((Q259*((1/60)*(#REF!+#REF!*(#REF!+(#REF!*(MIN((Baseline_Results_NOINDIRECT!Q$225/#REF!),INDEX(#REF!,MATCH(#REF!&amp;"Delivery Capacity (m^3)",#REF!,0)))/#REF!))))))+(Q245/#REF!))/#REF!,0),0)),0)</f>
        <v>0</v>
      </c>
      <c r="R247" s="849">
        <f>IFERROR(IF(#REF!="Route-based",ROUND(R256*R254/#REF!,0),IF(#REF!="Point-to-point",ROUND(((R259*((1/60)*(#REF!+#REF!*(#REF!+(#REF!*(MIN((Baseline_Results_NOINDIRECT!R$225/#REF!),INDEX(#REF!,MATCH(#REF!&amp;"Delivery Capacity (m^3)",#REF!,0)))/#REF!))))))+(R245/#REF!))/#REF!,0),0)),0)</f>
        <v>0</v>
      </c>
      <c r="S247" s="849">
        <f>IFERROR(IF(#REF!="Route-based",ROUND(S256*S254/#REF!,0),IF(#REF!="Point-to-point",ROUND(((S259*((1/60)*(#REF!+#REF!*(#REF!+(#REF!*(MIN((Baseline_Results_NOINDIRECT!S$225/#REF!),INDEX(#REF!,MATCH(#REF!&amp;"Delivery Capacity (m^3)",#REF!,0)))/#REF!))))))+(S245/#REF!))/#REF!,0),0)),0)</f>
        <v>0</v>
      </c>
      <c r="T247" s="849">
        <f>IFERROR(IF(#REF!="Route-based",ROUND(T256*T254/#REF!,0),IF(#REF!="Point-to-point",ROUND(((T259*((1/60)*(#REF!+#REF!*(#REF!+(#REF!*(MIN((Baseline_Results_NOINDIRECT!T$225/#REF!),INDEX(#REF!,MATCH(#REF!&amp;"Delivery Capacity (m^3)",#REF!,0)))/#REF!))))))+(T245/#REF!))/#REF!,0),0)),0)</f>
        <v>0</v>
      </c>
      <c r="U247" s="849">
        <f>IFERROR(IF(#REF!="Route-based",ROUND(U256*U254/#REF!,0),IF(#REF!="Point-to-point",ROUND(((U259*((1/60)*(#REF!+#REF!*(#REF!+(#REF!*(MIN((Baseline_Results_NOINDIRECT!U$225/#REF!),INDEX(#REF!,MATCH(#REF!&amp;"Delivery Capacity (m^3)",#REF!,0)))/#REF!))))))+(U245/#REF!))/#REF!,0),0)),0)</f>
        <v>0</v>
      </c>
      <c r="V247" s="849">
        <f>IFERROR(IF(#REF!="Route-based",ROUND(V256*V254/#REF!,0),IF(#REF!="Point-to-point",ROUND(((V259*((1/60)*(#REF!+#REF!*(#REF!+(#REF!*(MIN((Baseline_Results_NOINDIRECT!V$225/#REF!),INDEX(#REF!,MATCH(#REF!&amp;"Delivery Capacity (m^3)",#REF!,0)))/#REF!))))))+(V245/#REF!))/#REF!,0),0)),0)</f>
        <v>0</v>
      </c>
      <c r="W247" s="849">
        <f>IFERROR(IF(#REF!="Route-based",ROUND(W256*W254/#REF!,0),IF(#REF!="Point-to-point",ROUND(((W259*((1/60)*(#REF!+#REF!*(#REF!+(#REF!*(MIN((Baseline_Results_NOINDIRECT!W$225/#REF!),INDEX(#REF!,MATCH(#REF!&amp;"Delivery Capacity (m^3)",#REF!,0)))/#REF!))))))+(W245/#REF!))/#REF!,0),0)),0)</f>
        <v>0</v>
      </c>
      <c r="X247" s="36"/>
      <c r="Y247" s="36"/>
      <c r="Z247" s="36"/>
      <c r="AA247" s="36"/>
      <c r="AB247" s="36"/>
      <c r="AC247" s="36"/>
      <c r="AD247" s="36"/>
      <c r="AE247" s="36"/>
      <c r="AF247" s="36"/>
      <c r="AG247" s="36"/>
      <c r="AH247" s="36"/>
      <c r="AI247" s="36"/>
      <c r="AJ247" s="36"/>
      <c r="AK247" s="36"/>
      <c r="AL247" s="36"/>
      <c r="AM247" s="36"/>
    </row>
    <row r="248" spans="6:39" ht="15" customHeight="1" outlineLevel="1">
      <c r="G248" s="6" t="s">
        <v>189</v>
      </c>
      <c r="H248" s="850"/>
      <c r="I248" s="850">
        <f>IFERROR(IF(#REF!="Route-based",(Baseline_Results_NOINDIRECT!I$225*I244)/(I254*INDEX(#REF!,MATCH(#REF!&amp;"Delivery Capacity (m^3)",#REF!,0))),IF(#REF!="Point-to-point",(Baseline_Results_NOINDIRECT!I$225*I244)/(I259*INDEX(#REF!,MATCH(#REF!&amp;"Delivery Capacity (m^3)",#REF!,0))),0)),0)</f>
        <v>0</v>
      </c>
      <c r="J248" s="850">
        <f>IFERROR(IF(#REF!="Route-based",(Baseline_Results_NOINDIRECT!J$225*J244)/(J254*INDEX(#REF!,MATCH(#REF!&amp;"Delivery Capacity (m^3)",#REF!,0))),IF(#REF!="Point-to-point",(Baseline_Results_NOINDIRECT!J$225*J244)/(J259*INDEX(#REF!,MATCH(#REF!&amp;"Delivery Capacity (m^3)",#REF!,0))),0)),0)</f>
        <v>0</v>
      </c>
      <c r="K248" s="850">
        <f>IFERROR(IF(#REF!="Route-based",(Baseline_Results_NOINDIRECT!K$225*K244)/(K254*INDEX(#REF!,MATCH(#REF!&amp;"Delivery Capacity (m^3)",#REF!,0))),IF(#REF!="Point-to-point",(Baseline_Results_NOINDIRECT!K$225*K244)/(K259*INDEX(#REF!,MATCH(#REF!&amp;"Delivery Capacity (m^3)",#REF!,0))),0)),0)</f>
        <v>0</v>
      </c>
      <c r="L248" s="850">
        <f>IFERROR(IF(#REF!="Route-based",(Baseline_Results_NOINDIRECT!L$225*L244)/(L254*INDEX(#REF!,MATCH(#REF!&amp;"Delivery Capacity (m^3)",#REF!,0))),IF(#REF!="Point-to-point",(Baseline_Results_NOINDIRECT!L$225*L244)/(L259*INDEX(#REF!,MATCH(#REF!&amp;"Delivery Capacity (m^3)",#REF!,0))),0)),0)</f>
        <v>0</v>
      </c>
      <c r="M248" s="850">
        <f>IFERROR(IF(#REF!="Route-based",(Baseline_Results_NOINDIRECT!M$225*M244)/(M254*INDEX(#REF!,MATCH(#REF!&amp;"Delivery Capacity (m^3)",#REF!,0))),IF(#REF!="Point-to-point",(Baseline_Results_NOINDIRECT!M$225*M244)/(M259*INDEX(#REF!,MATCH(#REF!&amp;"Delivery Capacity (m^3)",#REF!,0))),0)),0)</f>
        <v>0</v>
      </c>
      <c r="N248" s="850">
        <f>IFERROR(IF(#REF!="Route-based",(Baseline_Results_NOINDIRECT!N$225*N244)/(N254*INDEX(#REF!,MATCH(#REF!&amp;"Delivery Capacity (m^3)",#REF!,0))),IF(#REF!="Point-to-point",(Baseline_Results_NOINDIRECT!N$225*N244)/(N259*INDEX(#REF!,MATCH(#REF!&amp;"Delivery Capacity (m^3)",#REF!,0))),0)),0)</f>
        <v>0</v>
      </c>
      <c r="O248" s="850">
        <f>IFERROR(IF(#REF!="Route-based",(Baseline_Results_NOINDIRECT!O$225*O244)/(O254*INDEX(#REF!,MATCH(#REF!&amp;"Delivery Capacity (m^3)",#REF!,0))),IF(#REF!="Point-to-point",(Baseline_Results_NOINDIRECT!O$225*O244)/(O259*INDEX(#REF!,MATCH(#REF!&amp;"Delivery Capacity (m^3)",#REF!,0))),0)),0)</f>
        <v>0</v>
      </c>
      <c r="P248" s="850">
        <f>IFERROR(IF(#REF!="Route-based",(Baseline_Results_NOINDIRECT!P$225*P244)/(P254*INDEX(#REF!,MATCH(#REF!&amp;"Delivery Capacity (m^3)",#REF!,0))),IF(#REF!="Point-to-point",(Baseline_Results_NOINDIRECT!P$225*P244)/(P259*INDEX(#REF!,MATCH(#REF!&amp;"Delivery Capacity (m^3)",#REF!,0))),0)),0)</f>
        <v>0</v>
      </c>
      <c r="Q248" s="850">
        <f>IFERROR(IF(#REF!="Route-based",(Baseline_Results_NOINDIRECT!Q$225*Q244)/(Q254*INDEX(#REF!,MATCH(#REF!&amp;"Delivery Capacity (m^3)",#REF!,0))),IF(#REF!="Point-to-point",(Baseline_Results_NOINDIRECT!Q$225*Q244)/(Q259*INDEX(#REF!,MATCH(#REF!&amp;"Delivery Capacity (m^3)",#REF!,0))),0)),0)</f>
        <v>0</v>
      </c>
      <c r="R248" s="850">
        <f>IFERROR(IF(#REF!="Route-based",(Baseline_Results_NOINDIRECT!R$225*R244)/(R254*INDEX(#REF!,MATCH(#REF!&amp;"Delivery Capacity (m^3)",#REF!,0))),IF(#REF!="Point-to-point",(Baseline_Results_NOINDIRECT!R$225*R244)/(R259*INDEX(#REF!,MATCH(#REF!&amp;"Delivery Capacity (m^3)",#REF!,0))),0)),0)</f>
        <v>0</v>
      </c>
      <c r="S248" s="850">
        <f>IFERROR(IF(#REF!="Route-based",(Baseline_Results_NOINDIRECT!S$225*S244)/(S254*INDEX(#REF!,MATCH(#REF!&amp;"Delivery Capacity (m^3)",#REF!,0))),IF(#REF!="Point-to-point",(Baseline_Results_NOINDIRECT!S$225*S244)/(S259*INDEX(#REF!,MATCH(#REF!&amp;"Delivery Capacity (m^3)",#REF!,0))),0)),0)</f>
        <v>0</v>
      </c>
      <c r="T248" s="850">
        <f>IFERROR(IF(#REF!="Route-based",(Baseline_Results_NOINDIRECT!T$225*T244)/(T254*INDEX(#REF!,MATCH(#REF!&amp;"Delivery Capacity (m^3)",#REF!,0))),IF(#REF!="Point-to-point",(Baseline_Results_NOINDIRECT!T$225*T244)/(T259*INDEX(#REF!,MATCH(#REF!&amp;"Delivery Capacity (m^3)",#REF!,0))),0)),0)</f>
        <v>0</v>
      </c>
      <c r="U248" s="850">
        <f>IFERROR(IF(#REF!="Route-based",(Baseline_Results_NOINDIRECT!U$225*U244)/(U254*INDEX(#REF!,MATCH(#REF!&amp;"Delivery Capacity (m^3)",#REF!,0))),IF(#REF!="Point-to-point",(Baseline_Results_NOINDIRECT!U$225*U244)/(U259*INDEX(#REF!,MATCH(#REF!&amp;"Delivery Capacity (m^3)",#REF!,0))),0)),0)</f>
        <v>0</v>
      </c>
      <c r="V248" s="850">
        <f>IFERROR(IF(#REF!="Route-based",(Baseline_Results_NOINDIRECT!V$225*V244)/(V254*INDEX(#REF!,MATCH(#REF!&amp;"Delivery Capacity (m^3)",#REF!,0))),IF(#REF!="Point-to-point",(Baseline_Results_NOINDIRECT!V$225*V244)/(V259*INDEX(#REF!,MATCH(#REF!&amp;"Delivery Capacity (m^3)",#REF!,0))),0)),0)</f>
        <v>0</v>
      </c>
      <c r="W248" s="850">
        <f>IFERROR(IF(#REF!="Route-based",(Baseline_Results_NOINDIRECT!W$225*W244)/(W254*INDEX(#REF!,MATCH(#REF!&amp;"Delivery Capacity (m^3)",#REF!,0))),IF(#REF!="Point-to-point",(Baseline_Results_NOINDIRECT!W$225*W244)/(W259*INDEX(#REF!,MATCH(#REF!&amp;"Delivery Capacity (m^3)",#REF!,0))),0)),0)</f>
        <v>0</v>
      </c>
      <c r="X248" s="36"/>
      <c r="Y248" s="36"/>
      <c r="Z248" s="36"/>
      <c r="AA248" s="36"/>
      <c r="AB248" s="36"/>
      <c r="AC248" s="36"/>
      <c r="AD248" s="36"/>
      <c r="AE248" s="36"/>
      <c r="AF248" s="36"/>
      <c r="AG248" s="36"/>
      <c r="AH248" s="36"/>
      <c r="AI248" s="36"/>
      <c r="AJ248" s="36" t="s">
        <v>191</v>
      </c>
      <c r="AK248" s="36"/>
      <c r="AL248" s="36"/>
      <c r="AM248" s="36"/>
    </row>
    <row r="249" spans="6:39" ht="15" customHeight="1" outlineLevel="1">
      <c r="G249" s="6" t="s">
        <v>201</v>
      </c>
      <c r="H249" s="850"/>
      <c r="I249" s="850">
        <f>IFERROR(IF(#REF!="Route-based",I254/I257,IF(#REF!="Point-to-point",I259/I261,0)),0)</f>
        <v>0</v>
      </c>
      <c r="J249" s="850">
        <f>IFERROR(IF(#REF!="Route-based",J254/J257,IF(#REF!="Point-to-point",J259/J261,0)),0)</f>
        <v>0</v>
      </c>
      <c r="K249" s="850">
        <f>IFERROR(IF(#REF!="Route-based",K254/K257,IF(#REF!="Point-to-point",K259/K261,0)),0)</f>
        <v>0</v>
      </c>
      <c r="L249" s="850">
        <f>IFERROR(IF(#REF!="Route-based",L254/L257,IF(#REF!="Point-to-point",L259/L261,0)),0)</f>
        <v>0</v>
      </c>
      <c r="M249" s="850">
        <f>IFERROR(IF(#REF!="Route-based",M254/M257,IF(#REF!="Point-to-point",M259/M261,0)),0)</f>
        <v>0</v>
      </c>
      <c r="N249" s="850">
        <f>IFERROR(IF(#REF!="Route-based",N254/N257,IF(#REF!="Point-to-point",N259/N261,0)),0)</f>
        <v>0</v>
      </c>
      <c r="O249" s="850">
        <f>IFERROR(IF(#REF!="Route-based",O254/O257,IF(#REF!="Point-to-point",O259/O261,0)),0)</f>
        <v>0</v>
      </c>
      <c r="P249" s="850">
        <f>IFERROR(IF(#REF!="Route-based",P254/P257,IF(#REF!="Point-to-point",P259/P261,0)),0)</f>
        <v>0</v>
      </c>
      <c r="Q249" s="850">
        <f>IFERROR(IF(#REF!="Route-based",Q254/Q257,IF(#REF!="Point-to-point",Q259/Q261,0)),0)</f>
        <v>0</v>
      </c>
      <c r="R249" s="850">
        <f>IFERROR(IF(#REF!="Route-based",R254/R257,IF(#REF!="Point-to-point",R259/R261,0)),0)</f>
        <v>0</v>
      </c>
      <c r="S249" s="850">
        <f>IFERROR(IF(#REF!="Route-based",S254/S257,IF(#REF!="Point-to-point",S259/S261,0)),0)</f>
        <v>0</v>
      </c>
      <c r="T249" s="850">
        <f>IFERROR(IF(#REF!="Route-based",T254/T257,IF(#REF!="Point-to-point",T259/T261,0)),0)</f>
        <v>0</v>
      </c>
      <c r="U249" s="850">
        <f>IFERROR(IF(#REF!="Route-based",U254/U257,IF(#REF!="Point-to-point",U259/U261,0)),0)</f>
        <v>0</v>
      </c>
      <c r="V249" s="850">
        <f>IFERROR(IF(#REF!="Route-based",V254/V257,IF(#REF!="Point-to-point",V259/V261,0)),0)</f>
        <v>0</v>
      </c>
      <c r="W249" s="850">
        <f>IFERROR(IF(#REF!="Route-based",W254/W257,IF(#REF!="Point-to-point",W259/W261,0)),0)</f>
        <v>0</v>
      </c>
      <c r="X249" s="36"/>
      <c r="Y249" s="36"/>
      <c r="Z249" s="36"/>
      <c r="AA249" s="36"/>
      <c r="AB249" s="36"/>
      <c r="AC249" s="36"/>
      <c r="AD249" s="36"/>
      <c r="AE249" s="36"/>
      <c r="AF249" s="36"/>
      <c r="AG249" s="36"/>
      <c r="AH249" s="36"/>
      <c r="AI249" s="36"/>
      <c r="AJ249" s="36"/>
      <c r="AK249" s="36"/>
      <c r="AL249" s="36"/>
      <c r="AM249" s="36"/>
    </row>
    <row r="250" spans="6:39" ht="15" customHeight="1" outlineLevel="1">
      <c r="G250" s="241" t="s">
        <v>133</v>
      </c>
      <c r="H250" s="842"/>
      <c r="I250" s="842"/>
      <c r="J250" s="842"/>
      <c r="K250" s="842"/>
      <c r="L250" s="842"/>
      <c r="M250" s="842"/>
      <c r="N250" s="842"/>
      <c r="O250" s="842"/>
      <c r="P250" s="842"/>
      <c r="Q250" s="842"/>
      <c r="R250" s="853"/>
      <c r="S250" s="853"/>
      <c r="T250" s="842"/>
      <c r="U250" s="853"/>
      <c r="V250" s="853"/>
      <c r="W250" s="842"/>
      <c r="X250" s="36"/>
      <c r="Y250" s="36"/>
      <c r="Z250" s="36"/>
      <c r="AA250" s="36"/>
      <c r="AB250" s="36"/>
      <c r="AC250" s="36"/>
      <c r="AD250" s="36"/>
      <c r="AE250" s="36"/>
      <c r="AF250" s="36"/>
      <c r="AG250" s="36"/>
      <c r="AH250" s="36"/>
      <c r="AI250" s="36"/>
      <c r="AJ250" s="36"/>
      <c r="AK250" s="36"/>
      <c r="AL250" s="36"/>
      <c r="AM250" s="36"/>
    </row>
    <row r="251" spans="6:39" ht="15" customHeight="1" outlineLevel="1">
      <c r="G251" s="6" t="s">
        <v>127</v>
      </c>
      <c r="H251" s="838"/>
      <c r="I251" s="838">
        <f>IFERROR(INDEX(#REF!,MATCH(#REF!&amp;"Delivery Capacity (m^3)",#REF!,0))/(Baseline_Results_NOINDIRECT!I$225/#REF!),0)</f>
        <v>0</v>
      </c>
      <c r="J251" s="838">
        <f>IFERROR(INDEX(#REF!,MATCH(#REF!&amp;"Delivery Capacity (m^3)",#REF!,0))/(Baseline_Results_NOINDIRECT!J$225/#REF!),0)</f>
        <v>0</v>
      </c>
      <c r="K251" s="838">
        <f>IFERROR(INDEX(#REF!,MATCH(#REF!&amp;"Delivery Capacity (m^3)",#REF!,0))/(Baseline_Results_NOINDIRECT!K$225/#REF!),0)</f>
        <v>0</v>
      </c>
      <c r="L251" s="838">
        <f>IFERROR(INDEX(#REF!,MATCH(#REF!&amp;"Delivery Capacity (m^3)",#REF!,0))/(Baseline_Results_NOINDIRECT!L$225/#REF!),0)</f>
        <v>0</v>
      </c>
      <c r="M251" s="838">
        <f>IFERROR(INDEX(#REF!,MATCH(#REF!&amp;"Delivery Capacity (m^3)",#REF!,0))/(Baseline_Results_NOINDIRECT!M$225/#REF!),0)</f>
        <v>0</v>
      </c>
      <c r="N251" s="838">
        <f>IFERROR(INDEX(#REF!,MATCH(#REF!&amp;"Delivery Capacity (m^3)",#REF!,0))/(Baseline_Results_NOINDIRECT!N$225/#REF!),0)</f>
        <v>0</v>
      </c>
      <c r="O251" s="838">
        <f>IFERROR(INDEX(#REF!,MATCH(#REF!&amp;"Delivery Capacity (m^3)",#REF!,0))/(Baseline_Results_NOINDIRECT!O$225/#REF!),0)</f>
        <v>0</v>
      </c>
      <c r="P251" s="838">
        <f>IFERROR(INDEX(#REF!,MATCH(#REF!&amp;"Delivery Capacity (m^3)",#REF!,0))/(Baseline_Results_NOINDIRECT!P$225/#REF!),0)</f>
        <v>0</v>
      </c>
      <c r="Q251" s="838">
        <f>IFERROR(INDEX(#REF!,MATCH(#REF!&amp;"Delivery Capacity (m^3)",#REF!,0))/(Baseline_Results_NOINDIRECT!Q$225/#REF!),0)</f>
        <v>0</v>
      </c>
      <c r="R251" s="838">
        <f>IFERROR(INDEX(#REF!,MATCH(#REF!&amp;"Delivery Capacity (m^3)",#REF!,0))/(Baseline_Results_NOINDIRECT!R$225/#REF!),0)</f>
        <v>0</v>
      </c>
      <c r="S251" s="838">
        <f>IFERROR(INDEX(#REF!,MATCH(#REF!&amp;"Delivery Capacity (m^3)",#REF!,0))/(Baseline_Results_NOINDIRECT!S$225/#REF!),0)</f>
        <v>0</v>
      </c>
      <c r="T251" s="838">
        <f>IFERROR(INDEX(#REF!,MATCH(#REF!&amp;"Delivery Capacity (m^3)",#REF!,0))/(Baseline_Results_NOINDIRECT!T$225/#REF!),0)</f>
        <v>0</v>
      </c>
      <c r="U251" s="838">
        <f>IFERROR(INDEX(#REF!,MATCH(#REF!&amp;"Delivery Capacity (m^3)",#REF!,0))/(Baseline_Results_NOINDIRECT!U$225/#REF!),0)</f>
        <v>0</v>
      </c>
      <c r="V251" s="838">
        <f>IFERROR(INDEX(#REF!,MATCH(#REF!&amp;"Delivery Capacity (m^3)",#REF!,0))/(Baseline_Results_NOINDIRECT!V$225/#REF!),0)</f>
        <v>0</v>
      </c>
      <c r="W251" s="838">
        <f>IFERROR(INDEX(#REF!,MATCH(#REF!&amp;"Delivery Capacity (m^3)",#REF!,0))/(Baseline_Results_NOINDIRECT!W$225/#REF!),0)</f>
        <v>0</v>
      </c>
      <c r="X251" s="36"/>
      <c r="Y251" s="36"/>
      <c r="Z251" s="36"/>
      <c r="AA251" s="36"/>
      <c r="AB251" s="36"/>
      <c r="AC251" s="36"/>
      <c r="AD251" s="36"/>
      <c r="AE251" s="36"/>
      <c r="AF251" s="36"/>
      <c r="AG251" s="36"/>
      <c r="AH251" s="36"/>
      <c r="AI251" s="36"/>
      <c r="AJ251" s="36"/>
      <c r="AK251" s="36"/>
      <c r="AL251" s="36"/>
      <c r="AM251" s="36"/>
    </row>
    <row r="252" spans="6:39" ht="15" customHeight="1" outlineLevel="1" collapsed="1">
      <c r="G252" s="6" t="s">
        <v>128</v>
      </c>
      <c r="H252" s="838"/>
      <c r="I252" s="838">
        <f>IFERROR(((#REF!*#REF!)-(2*#REF!/#REF!)+(#REF!/#REF!))/(((1/60)*(#REF!+#REF!*(#REF!+(#REF!*(Baseline_Results_NOINDIRECT!I$225/#REF!/#REF!)))))+(#REF!/#REF!)),0)</f>
        <v>0</v>
      </c>
      <c r="J252" s="838">
        <f>IFERROR(((#REF!*#REF!)-(2*#REF!/#REF!)+(#REF!/#REF!))/(((1/60)*(#REF!+#REF!*(#REF!+(#REF!*(Baseline_Results_NOINDIRECT!J$225/#REF!/#REF!)))))+(#REF!/#REF!)),0)</f>
        <v>0</v>
      </c>
      <c r="K252" s="838">
        <f>IFERROR(((#REF!*#REF!)-(2*#REF!/#REF!)+(#REF!/#REF!))/(((1/60)*(#REF!+#REF!*(#REF!+(#REF!*(Baseline_Results_NOINDIRECT!K$225/#REF!/#REF!)))))+(#REF!/#REF!)),0)</f>
        <v>0</v>
      </c>
      <c r="L252" s="838">
        <f>IFERROR(((#REF!*#REF!)-(2*#REF!/#REF!)+(#REF!/#REF!))/(((1/60)*(#REF!+#REF!*(#REF!+(#REF!*(Baseline_Results_NOINDIRECT!L$225/#REF!/#REF!)))))+(#REF!/#REF!)),0)</f>
        <v>0</v>
      </c>
      <c r="M252" s="838">
        <f>IFERROR(((#REF!*#REF!)-(2*#REF!/#REF!)+(#REF!/#REF!))/(((1/60)*(#REF!+#REF!*(#REF!+(#REF!*(Baseline_Results_NOINDIRECT!M$225/#REF!/#REF!)))))+(#REF!/#REF!)),0)</f>
        <v>0</v>
      </c>
      <c r="N252" s="838">
        <f>IFERROR(((#REF!*#REF!)-(2*#REF!/#REF!)+(#REF!/#REF!))/(((1/60)*(#REF!+#REF!*(#REF!+(#REF!*(Baseline_Results_NOINDIRECT!N$225/#REF!/#REF!)))))+(#REF!/#REF!)),0)</f>
        <v>0</v>
      </c>
      <c r="O252" s="838">
        <f>IFERROR(((#REF!*#REF!)-(2*#REF!/#REF!)+(#REF!/#REF!))/(((1/60)*(#REF!+#REF!*(#REF!+(#REF!*(Baseline_Results_NOINDIRECT!O$225/#REF!/#REF!)))))+(#REF!/#REF!)),0)</f>
        <v>0</v>
      </c>
      <c r="P252" s="838">
        <f>IFERROR(((#REF!*#REF!)-(2*#REF!/#REF!)+(#REF!/#REF!))/(((1/60)*(#REF!+#REF!*(#REF!+(#REF!*(Baseline_Results_NOINDIRECT!P$225/#REF!/#REF!)))))+(#REF!/#REF!)),0)</f>
        <v>0</v>
      </c>
      <c r="Q252" s="838">
        <f>IFERROR(((#REF!*#REF!)-(2*#REF!/#REF!)+(#REF!/#REF!))/(((1/60)*(#REF!+#REF!*(#REF!+(#REF!*(Baseline_Results_NOINDIRECT!Q$225/#REF!/#REF!)))))+(#REF!/#REF!)),0)</f>
        <v>0</v>
      </c>
      <c r="R252" s="838">
        <f>IFERROR(((#REF!*#REF!)-(2*#REF!/#REF!)+(#REF!/#REF!))/(((1/60)*(#REF!+#REF!*(#REF!+(#REF!*(Baseline_Results_NOINDIRECT!R$225/#REF!/#REF!)))))+(#REF!/#REF!)),0)</f>
        <v>0</v>
      </c>
      <c r="S252" s="838">
        <f>IFERROR(((#REF!*#REF!)-(2*#REF!/#REF!)+(#REF!/#REF!))/(((1/60)*(#REF!+#REF!*(#REF!+(#REF!*(Baseline_Results_NOINDIRECT!S$225/#REF!/#REF!)))))+(#REF!/#REF!)),0)</f>
        <v>0</v>
      </c>
      <c r="T252" s="838">
        <f>IFERROR(((#REF!*#REF!)-(2*#REF!/#REF!)+(#REF!/#REF!))/(((1/60)*(#REF!+#REF!*(#REF!+(#REF!*(Baseline_Results_NOINDIRECT!T$225/#REF!/#REF!)))))+(#REF!/#REF!)),0)</f>
        <v>0</v>
      </c>
      <c r="U252" s="838">
        <f>IFERROR(((#REF!*#REF!)-(2*#REF!/#REF!)+(#REF!/#REF!))/(((1/60)*(#REF!+#REF!*(#REF!+(#REF!*(Baseline_Results_NOINDIRECT!U$225/#REF!/#REF!)))))+(#REF!/#REF!)),0)</f>
        <v>0</v>
      </c>
      <c r="V252" s="838">
        <f>IFERROR(((#REF!*#REF!)-(2*#REF!/#REF!)+(#REF!/#REF!))/(((1/60)*(#REF!+#REF!*(#REF!+(#REF!*(Baseline_Results_NOINDIRECT!V$225/#REF!/#REF!)))))+(#REF!/#REF!)),0)</f>
        <v>0</v>
      </c>
      <c r="W252" s="838">
        <f>IFERROR(((#REF!*#REF!)-(2*#REF!/#REF!)+(#REF!/#REF!))/(((1/60)*(#REF!+#REF!*(#REF!+(#REF!*(Baseline_Results_NOINDIRECT!W$225/#REF!/#REF!)))))+(#REF!/#REF!)),0)</f>
        <v>0</v>
      </c>
      <c r="X252" s="36"/>
      <c r="Y252" s="36"/>
      <c r="Z252" s="36"/>
      <c r="AA252" s="36"/>
      <c r="AB252" s="36"/>
      <c r="AC252" s="36"/>
      <c r="AD252" s="36"/>
      <c r="AE252" s="36"/>
      <c r="AF252" s="36"/>
      <c r="AG252" s="36"/>
      <c r="AH252" s="36"/>
      <c r="AI252" s="36"/>
      <c r="AJ252" s="242"/>
      <c r="AK252" s="36"/>
      <c r="AL252" s="36"/>
      <c r="AM252" s="36"/>
    </row>
    <row r="253" spans="6:39" ht="15" customHeight="1" outlineLevel="1">
      <c r="G253" s="6" t="s">
        <v>129</v>
      </c>
      <c r="H253" s="838"/>
      <c r="I253" s="838">
        <f t="shared" ref="I253:W253" si="37">IFERROR(MIN(I252,I251),0)</f>
        <v>0</v>
      </c>
      <c r="J253" s="838">
        <f t="shared" si="37"/>
        <v>0</v>
      </c>
      <c r="K253" s="838">
        <f t="shared" si="37"/>
        <v>0</v>
      </c>
      <c r="L253" s="838">
        <f t="shared" si="37"/>
        <v>0</v>
      </c>
      <c r="M253" s="838">
        <f t="shared" si="37"/>
        <v>0</v>
      </c>
      <c r="N253" s="838">
        <f t="shared" si="37"/>
        <v>0</v>
      </c>
      <c r="O253" s="838">
        <f t="shared" si="37"/>
        <v>0</v>
      </c>
      <c r="P253" s="838">
        <f t="shared" si="37"/>
        <v>0</v>
      </c>
      <c r="Q253" s="838">
        <f t="shared" si="37"/>
        <v>0</v>
      </c>
      <c r="R253" s="838">
        <f t="shared" si="37"/>
        <v>0</v>
      </c>
      <c r="S253" s="838">
        <f t="shared" si="37"/>
        <v>0</v>
      </c>
      <c r="T253" s="838">
        <f t="shared" si="37"/>
        <v>0</v>
      </c>
      <c r="U253" s="838">
        <f t="shared" si="37"/>
        <v>0</v>
      </c>
      <c r="V253" s="838">
        <f t="shared" si="37"/>
        <v>0</v>
      </c>
      <c r="W253" s="838">
        <f t="shared" si="37"/>
        <v>0</v>
      </c>
      <c r="X253" s="36"/>
      <c r="Y253" s="36"/>
      <c r="Z253" s="36"/>
      <c r="AA253" s="36"/>
      <c r="AB253" s="36"/>
      <c r="AC253" s="36"/>
      <c r="AD253" s="36"/>
      <c r="AE253" s="36"/>
      <c r="AF253" s="36"/>
      <c r="AG253" s="36"/>
      <c r="AH253" s="36"/>
      <c r="AI253" s="36"/>
      <c r="AJ253" s="242"/>
      <c r="AK253" s="36"/>
      <c r="AL253" s="36"/>
      <c r="AM253" s="36"/>
    </row>
    <row r="254" spans="6:39" ht="15" customHeight="1" outlineLevel="1">
      <c r="G254" s="6" t="s">
        <v>188</v>
      </c>
      <c r="H254" s="838"/>
      <c r="I254" s="838">
        <f>IFERROR(ROUND(I244*#REF!/I253,0),0)</f>
        <v>0</v>
      </c>
      <c r="J254" s="838">
        <f>IFERROR(ROUND(J244*#REF!/J253,0),0)</f>
        <v>0</v>
      </c>
      <c r="K254" s="838">
        <f>IFERROR(ROUND(K244*#REF!/K253,0),0)</f>
        <v>0</v>
      </c>
      <c r="L254" s="838">
        <f>IFERROR(ROUND(L244*#REF!/L253,0),0)</f>
        <v>0</v>
      </c>
      <c r="M254" s="838">
        <f>IFERROR(ROUND(M244*#REF!/M253,0),0)</f>
        <v>0</v>
      </c>
      <c r="N254" s="838">
        <f>IFERROR(ROUND(N244*#REF!/N253,0),0)</f>
        <v>0</v>
      </c>
      <c r="O254" s="838">
        <f>IFERROR(ROUND(O244*#REF!/O253,0),0)</f>
        <v>0</v>
      </c>
      <c r="P254" s="838">
        <f>IFERROR(ROUND(P244*#REF!/P253,0),0)</f>
        <v>0</v>
      </c>
      <c r="Q254" s="838">
        <f>IFERROR(ROUND(Q244*#REF!/Q253,0),0)</f>
        <v>0</v>
      </c>
      <c r="R254" s="838">
        <f>IFERROR(ROUND(R244*#REF!/R253,0),0)</f>
        <v>0</v>
      </c>
      <c r="S254" s="838">
        <f>IFERROR(ROUND(S244*#REF!/S253,0),0)</f>
        <v>0</v>
      </c>
      <c r="T254" s="838">
        <f>IFERROR(ROUND(T244*#REF!/T253,0),0)</f>
        <v>0</v>
      </c>
      <c r="U254" s="838">
        <f>IFERROR(ROUND(U244*#REF!/U253,0),0)</f>
        <v>0</v>
      </c>
      <c r="V254" s="838">
        <f>IFERROR(ROUND(V244*#REF!/V253,0),0)</f>
        <v>0</v>
      </c>
      <c r="W254" s="838">
        <f>IFERROR(ROUND(W244*#REF!/W253,0),0)</f>
        <v>0</v>
      </c>
      <c r="X254" s="36"/>
      <c r="Y254" s="36"/>
      <c r="Z254" s="36"/>
      <c r="AA254" s="36"/>
      <c r="AB254" s="36"/>
      <c r="AC254" s="36"/>
      <c r="AD254" s="36"/>
      <c r="AE254" s="36"/>
      <c r="AF254" s="36"/>
      <c r="AG254" s="36"/>
      <c r="AH254" s="36"/>
      <c r="AI254" s="36"/>
      <c r="AJ254" s="242"/>
      <c r="AK254" s="36"/>
      <c r="AL254" s="36"/>
      <c r="AM254" s="36"/>
    </row>
    <row r="255" spans="6:39" ht="15" customHeight="1" outlineLevel="1">
      <c r="G255" s="6" t="s">
        <v>88</v>
      </c>
      <c r="H255" s="838"/>
      <c r="I255" s="838">
        <f>IFERROR(IF(I244=0,0,(2*#REF!)+((MAX(I253,1)-1)*#REF!)),0)</f>
        <v>0</v>
      </c>
      <c r="J255" s="838">
        <f>IFERROR(IF(J244=0,0,(2*#REF!)+((MAX(J253,1)-1)*#REF!)),0)</f>
        <v>0</v>
      </c>
      <c r="K255" s="838">
        <f>IFERROR(IF(K244=0,0,(2*#REF!)+((MAX(K253,1)-1)*#REF!)),0)</f>
        <v>0</v>
      </c>
      <c r="L255" s="838">
        <f>IFERROR(IF(L244=0,0,(2*#REF!)+((MAX(L253,1)-1)*#REF!)),0)</f>
        <v>0</v>
      </c>
      <c r="M255" s="838">
        <f>IFERROR(IF(M244=0,0,(2*#REF!)+((MAX(M253,1)-1)*#REF!)),0)</f>
        <v>0</v>
      </c>
      <c r="N255" s="838">
        <f>IFERROR(IF(N244=0,0,(2*#REF!)+((MAX(N253,1)-1)*#REF!)),0)</f>
        <v>0</v>
      </c>
      <c r="O255" s="838">
        <f>IFERROR(IF(O244=0,0,(2*#REF!)+((MAX(O253,1)-1)*#REF!)),0)</f>
        <v>0</v>
      </c>
      <c r="P255" s="838">
        <f>IFERROR(IF(P244=0,0,(2*#REF!)+((MAX(P253,1)-1)*#REF!)),0)</f>
        <v>0</v>
      </c>
      <c r="Q255" s="838">
        <f>IFERROR(IF(Q244=0,0,(2*#REF!)+((MAX(Q253,1)-1)*#REF!)),0)</f>
        <v>0</v>
      </c>
      <c r="R255" s="838">
        <f>IFERROR(IF(R244=0,0,(2*#REF!)+((MAX(R253,1)-1)*#REF!)),0)</f>
        <v>0</v>
      </c>
      <c r="S255" s="838">
        <f>IFERROR(IF(S244=0,0,(2*#REF!)+((MAX(S253,1)-1)*#REF!)),0)</f>
        <v>0</v>
      </c>
      <c r="T255" s="838">
        <f>IFERROR(IF(T244=0,0,(2*#REF!)+((MAX(T253,1)-1)*#REF!)),0)</f>
        <v>0</v>
      </c>
      <c r="U255" s="838">
        <f>IFERROR(IF(U244=0,0,(2*#REF!)+((MAX(U253,1)-1)*#REF!)),0)</f>
        <v>0</v>
      </c>
      <c r="V255" s="838">
        <f>IFERROR(IF(V244=0,0,(2*#REF!)+((MAX(V253,1)-1)*#REF!)),0)</f>
        <v>0</v>
      </c>
      <c r="W255" s="838">
        <f>IFERROR(IF(W244=0,0,(2*#REF!)+((MAX(W253,1)-1)*#REF!)),0)</f>
        <v>0</v>
      </c>
      <c r="X255" s="36"/>
      <c r="Y255" s="36"/>
      <c r="Z255" s="36"/>
      <c r="AA255" s="36"/>
      <c r="AB255" s="36"/>
      <c r="AC255" s="36"/>
      <c r="AD255" s="36"/>
      <c r="AE255" s="36"/>
      <c r="AF255" s="36"/>
      <c r="AG255" s="36"/>
      <c r="AH255" s="36"/>
      <c r="AI255" s="36"/>
      <c r="AJ255" s="242"/>
      <c r="AK255" s="36"/>
      <c r="AL255" s="36"/>
      <c r="AM255" s="36"/>
    </row>
    <row r="256" spans="6:39" ht="15" customHeight="1" outlineLevel="1">
      <c r="G256" s="6" t="s">
        <v>199</v>
      </c>
      <c r="H256" s="838"/>
      <c r="I256" s="838">
        <f>IFERROR((ROUNDUP(I253,0)*(1/60)*#REF!)+(I253*((1/60)*(#REF!*(#REF!+(#REF!*(Baseline_Results_NOINDIRECT!I$225/#REF!/#REF!))))))+((2*#REF!)/#REF!)+(((MAX(I253,1)-1)*#REF!)/#REF!),0)</f>
        <v>0</v>
      </c>
      <c r="J256" s="838">
        <f>IFERROR((ROUNDUP(J253,0)*(1/60)*#REF!)+(J253*((1/60)*(#REF!*(#REF!+(#REF!*(Baseline_Results_NOINDIRECT!J$225/#REF!/#REF!))))))+((2*#REF!)/#REF!)+(((MAX(J253,1)-1)*#REF!)/#REF!),0)</f>
        <v>0</v>
      </c>
      <c r="K256" s="838">
        <f>IFERROR((ROUNDUP(K253,0)*(1/60)*#REF!)+(K253*((1/60)*(#REF!*(#REF!+(#REF!*(Baseline_Results_NOINDIRECT!K$225/#REF!/#REF!))))))+((2*#REF!)/#REF!)+(((MAX(K253,1)-1)*#REF!)/#REF!),0)</f>
        <v>0</v>
      </c>
      <c r="L256" s="838">
        <f>IFERROR((ROUNDUP(L253,0)*(1/60)*#REF!)+(L253*((1/60)*(#REF!*(#REF!+(#REF!*(Baseline_Results_NOINDIRECT!L$225/#REF!/#REF!))))))+((2*#REF!)/#REF!)+(((MAX(L253,1)-1)*#REF!)/#REF!),0)</f>
        <v>0</v>
      </c>
      <c r="M256" s="838">
        <f>IFERROR((ROUNDUP(M253,0)*(1/60)*#REF!)+(M253*((1/60)*(#REF!*(#REF!+(#REF!*(Baseline_Results_NOINDIRECT!M$225/#REF!/#REF!))))))+((2*#REF!)/#REF!)+(((MAX(M253,1)-1)*#REF!)/#REF!),0)</f>
        <v>0</v>
      </c>
      <c r="N256" s="838">
        <f>IFERROR((ROUNDUP(N253,0)*(1/60)*#REF!)+(N253*((1/60)*(#REF!*(#REF!+(#REF!*(Baseline_Results_NOINDIRECT!N$225/#REF!/#REF!))))))+((2*#REF!)/#REF!)+(((MAX(N253,1)-1)*#REF!)/#REF!),0)</f>
        <v>0</v>
      </c>
      <c r="O256" s="838">
        <f>IFERROR((ROUNDUP(O253,0)*(1/60)*#REF!)+(O253*((1/60)*(#REF!*(#REF!+(#REF!*(Baseline_Results_NOINDIRECT!O$225/#REF!/#REF!))))))+((2*#REF!)/#REF!)+(((MAX(O253,1)-1)*#REF!)/#REF!),0)</f>
        <v>0</v>
      </c>
      <c r="P256" s="838">
        <f>IFERROR((ROUNDUP(P253,0)*(1/60)*#REF!)+(P253*((1/60)*(#REF!*(#REF!+(#REF!*(Baseline_Results_NOINDIRECT!P$225/#REF!/#REF!))))))+((2*#REF!)/#REF!)+(((MAX(P253,1)-1)*#REF!)/#REF!),0)</f>
        <v>0</v>
      </c>
      <c r="Q256" s="838">
        <f>IFERROR((ROUNDUP(Q253,0)*(1/60)*#REF!)+(Q253*((1/60)*(#REF!*(#REF!+(#REF!*(Baseline_Results_NOINDIRECT!Q$225/#REF!/#REF!))))))+((2*#REF!)/#REF!)+(((MAX(Q253,1)-1)*#REF!)/#REF!),0)</f>
        <v>0</v>
      </c>
      <c r="R256" s="838">
        <f>IFERROR((ROUNDUP(R253,0)*(1/60)*#REF!)+(R253*((1/60)*(#REF!*(#REF!+(#REF!*(Baseline_Results_NOINDIRECT!R$225/#REF!/#REF!))))))+((2*#REF!)/#REF!)+(((MAX(R253,1)-1)*#REF!)/#REF!),0)</f>
        <v>0</v>
      </c>
      <c r="S256" s="838">
        <f>IFERROR((ROUNDUP(S253,0)*(1/60)*#REF!)+(S253*((1/60)*(#REF!*(#REF!+(#REF!*(Baseline_Results_NOINDIRECT!S$225/#REF!/#REF!))))))+((2*#REF!)/#REF!)+(((MAX(S253,1)-1)*#REF!)/#REF!),0)</f>
        <v>0</v>
      </c>
      <c r="T256" s="838">
        <f>IFERROR((ROUNDUP(T253,0)*(1/60)*#REF!)+(T253*((1/60)*(#REF!*(#REF!+(#REF!*(Baseline_Results_NOINDIRECT!T$225/#REF!/#REF!))))))+((2*#REF!)/#REF!)+(((MAX(T253,1)-1)*#REF!)/#REF!),0)</f>
        <v>0</v>
      </c>
      <c r="U256" s="838">
        <f>IFERROR((ROUNDUP(U253,0)*(1/60)*#REF!)+(U253*((1/60)*(#REF!*(#REF!+(#REF!*(Baseline_Results_NOINDIRECT!U$225/#REF!/#REF!))))))+((2*#REF!)/#REF!)+(((MAX(U253,1)-1)*#REF!)/#REF!),0)</f>
        <v>0</v>
      </c>
      <c r="V256" s="838">
        <f>IFERROR((ROUNDUP(V253,0)*(1/60)*#REF!)+(V253*((1/60)*(#REF!*(#REF!+(#REF!*(Baseline_Results_NOINDIRECT!V$225/#REF!/#REF!))))))+((2*#REF!)/#REF!)+(((MAX(V253,1)-1)*#REF!)/#REF!),0)</f>
        <v>0</v>
      </c>
      <c r="W256" s="838">
        <f>IFERROR((ROUNDUP(W253,0)*(1/60)*#REF!)+(W253*((1/60)*(#REF!*(#REF!+(#REF!*(Baseline_Results_NOINDIRECT!W$225/#REF!/#REF!))))))+((2*#REF!)/#REF!)+(((MAX(W253,1)-1)*#REF!)/#REF!),0)</f>
        <v>0</v>
      </c>
      <c r="X256" s="36"/>
      <c r="Y256" s="36"/>
      <c r="Z256" s="36"/>
      <c r="AA256" s="36"/>
      <c r="AB256" s="36"/>
      <c r="AC256" s="36"/>
      <c r="AD256" s="36"/>
      <c r="AE256" s="36"/>
      <c r="AF256" s="36"/>
      <c r="AG256" s="36"/>
      <c r="AH256" s="36"/>
      <c r="AI256" s="36"/>
      <c r="AJ256" s="242"/>
      <c r="AK256" s="36"/>
      <c r="AL256" s="36"/>
      <c r="AM256" s="36"/>
    </row>
    <row r="257" spans="6:39" ht="15" customHeight="1" outlineLevel="1">
      <c r="G257" s="6" t="s">
        <v>200</v>
      </c>
      <c r="H257" s="838"/>
      <c r="I257" s="838">
        <f>IFERROR((#REF!*#REF!*#REF!)/I256,0)</f>
        <v>0</v>
      </c>
      <c r="J257" s="838">
        <f>IFERROR((#REF!*#REF!*#REF!)/J256,0)</f>
        <v>0</v>
      </c>
      <c r="K257" s="838">
        <f>IFERROR((#REF!*#REF!*#REF!)/K256,0)</f>
        <v>0</v>
      </c>
      <c r="L257" s="838">
        <f>IFERROR((#REF!*#REF!*#REF!)/L256,0)</f>
        <v>0</v>
      </c>
      <c r="M257" s="838">
        <f>IFERROR((#REF!*#REF!*#REF!)/M256,0)</f>
        <v>0</v>
      </c>
      <c r="N257" s="838">
        <f>IFERROR((#REF!*#REF!*#REF!)/N256,0)</f>
        <v>0</v>
      </c>
      <c r="O257" s="838">
        <f>IFERROR((#REF!*#REF!*#REF!)/O256,0)</f>
        <v>0</v>
      </c>
      <c r="P257" s="838">
        <f>IFERROR((#REF!*#REF!*#REF!)/P256,0)</f>
        <v>0</v>
      </c>
      <c r="Q257" s="838">
        <f>IFERROR((#REF!*#REF!*#REF!)/Q256,0)</f>
        <v>0</v>
      </c>
      <c r="R257" s="838">
        <f>IFERROR((#REF!*#REF!*#REF!)/R256,0)</f>
        <v>0</v>
      </c>
      <c r="S257" s="838">
        <f>IFERROR((#REF!*#REF!*#REF!)/S256,0)</f>
        <v>0</v>
      </c>
      <c r="T257" s="838">
        <f>IFERROR((#REF!*#REF!*#REF!)/T256,0)</f>
        <v>0</v>
      </c>
      <c r="U257" s="838">
        <f>IFERROR((#REF!*#REF!*#REF!)/U256,0)</f>
        <v>0</v>
      </c>
      <c r="V257" s="838">
        <f>IFERROR((#REF!*#REF!*#REF!)/V256,0)</f>
        <v>0</v>
      </c>
      <c r="W257" s="838">
        <f>IFERROR((#REF!*#REF!*#REF!)/W256,0)</f>
        <v>0</v>
      </c>
      <c r="X257" s="36"/>
      <c r="Y257" s="36"/>
      <c r="Z257" s="36"/>
      <c r="AA257" s="36"/>
      <c r="AB257" s="36"/>
      <c r="AC257" s="36"/>
      <c r="AD257" s="36"/>
      <c r="AE257" s="36"/>
      <c r="AF257" s="36"/>
      <c r="AG257" s="36"/>
      <c r="AH257" s="36"/>
      <c r="AI257" s="36"/>
      <c r="AJ257" s="242"/>
      <c r="AK257" s="36"/>
      <c r="AL257" s="36"/>
      <c r="AM257" s="36"/>
    </row>
    <row r="258" spans="6:39" ht="15" customHeight="1" outlineLevel="1">
      <c r="G258" s="241" t="s">
        <v>134</v>
      </c>
      <c r="H258" s="842"/>
      <c r="I258" s="842"/>
      <c r="J258" s="842"/>
      <c r="K258" s="842"/>
      <c r="L258" s="842"/>
      <c r="M258" s="842"/>
      <c r="N258" s="842"/>
      <c r="O258" s="842"/>
      <c r="P258" s="842"/>
      <c r="Q258" s="842"/>
      <c r="R258" s="853"/>
      <c r="S258" s="853"/>
      <c r="T258" s="842"/>
      <c r="U258" s="853"/>
      <c r="V258" s="853"/>
      <c r="W258" s="842"/>
      <c r="X258" s="36"/>
      <c r="Y258" s="36"/>
      <c r="Z258" s="36"/>
      <c r="AA258" s="36"/>
      <c r="AB258" s="36"/>
      <c r="AC258" s="36"/>
      <c r="AD258" s="36"/>
      <c r="AE258" s="36"/>
      <c r="AF258" s="36"/>
      <c r="AG258" s="36"/>
      <c r="AH258" s="36"/>
      <c r="AI258" s="36"/>
      <c r="AJ258" s="36"/>
      <c r="AK258" s="36"/>
      <c r="AL258" s="36"/>
      <c r="AM258" s="36"/>
    </row>
    <row r="259" spans="6:39" ht="15" customHeight="1" outlineLevel="1">
      <c r="G259" s="6" t="s">
        <v>188</v>
      </c>
      <c r="H259" s="838"/>
      <c r="I259" s="838">
        <f>IFERROR(I244*#REF!*MAX(1,ROUND((Baseline_Results_NOINDIRECT!I$225/#REF!)/INDEX(#REF!,MATCH(#REF!&amp;"Delivery Capacity (m^3)",#REF!,0)),0)),0)</f>
        <v>0</v>
      </c>
      <c r="J259" s="838">
        <f>IFERROR(J244*#REF!*MAX(1,ROUND((Baseline_Results_NOINDIRECT!J$225/#REF!)/INDEX(#REF!,MATCH(#REF!&amp;"Delivery Capacity (m^3)",#REF!,0)),0)),0)</f>
        <v>0</v>
      </c>
      <c r="K259" s="838">
        <f>IFERROR(K244*#REF!*MAX(1,ROUND((Baseline_Results_NOINDIRECT!K$225/#REF!)/INDEX(#REF!,MATCH(#REF!&amp;"Delivery Capacity (m^3)",#REF!,0)),0)),0)</f>
        <v>0</v>
      </c>
      <c r="L259" s="838">
        <f>IFERROR(L244*#REF!*MAX(1,ROUND((Baseline_Results_NOINDIRECT!L$225/#REF!)/INDEX(#REF!,MATCH(#REF!&amp;"Delivery Capacity (m^3)",#REF!,0)),0)),0)</f>
        <v>0</v>
      </c>
      <c r="M259" s="838">
        <f>IFERROR(M244*#REF!*MAX(1,ROUND((Baseline_Results_NOINDIRECT!M$225/#REF!)/INDEX(#REF!,MATCH(#REF!&amp;"Delivery Capacity (m^3)",#REF!,0)),0)),0)</f>
        <v>0</v>
      </c>
      <c r="N259" s="838">
        <f>IFERROR(N244*#REF!*MAX(1,ROUND((Baseline_Results_NOINDIRECT!N$225/#REF!)/INDEX(#REF!,MATCH(#REF!&amp;"Delivery Capacity (m^3)",#REF!,0)),0)),0)</f>
        <v>0</v>
      </c>
      <c r="O259" s="838">
        <f>IFERROR(O244*#REF!*MAX(1,ROUND((Baseline_Results_NOINDIRECT!O$225/#REF!)/INDEX(#REF!,MATCH(#REF!&amp;"Delivery Capacity (m^3)",#REF!,0)),0)),0)</f>
        <v>0</v>
      </c>
      <c r="P259" s="838">
        <f>IFERROR(P244*#REF!*MAX(1,ROUND((Baseline_Results_NOINDIRECT!P$225/#REF!)/INDEX(#REF!,MATCH(#REF!&amp;"Delivery Capacity (m^3)",#REF!,0)),0)),0)</f>
        <v>0</v>
      </c>
      <c r="Q259" s="838">
        <f>IFERROR(Q244*#REF!*MAX(1,ROUND((Baseline_Results_NOINDIRECT!Q$225/#REF!)/INDEX(#REF!,MATCH(#REF!&amp;"Delivery Capacity (m^3)",#REF!,0)),0)),0)</f>
        <v>0</v>
      </c>
      <c r="R259" s="838">
        <f>IFERROR(R244*#REF!*MAX(1,ROUND((Baseline_Results_NOINDIRECT!R$225/#REF!)/INDEX(#REF!,MATCH(#REF!&amp;"Delivery Capacity (m^3)",#REF!,0)),0)),0)</f>
        <v>0</v>
      </c>
      <c r="S259" s="838">
        <f>IFERROR(S244*#REF!*MAX(1,ROUND((Baseline_Results_NOINDIRECT!S$225/#REF!)/INDEX(#REF!,MATCH(#REF!&amp;"Delivery Capacity (m^3)",#REF!,0)),0)),0)</f>
        <v>0</v>
      </c>
      <c r="T259" s="838">
        <f>IFERROR(T244*#REF!*MAX(1,ROUND((Baseline_Results_NOINDIRECT!T$225/#REF!)/INDEX(#REF!,MATCH(#REF!&amp;"Delivery Capacity (m^3)",#REF!,0)),0)),0)</f>
        <v>0</v>
      </c>
      <c r="U259" s="838">
        <f>IFERROR(U244*#REF!*MAX(1,ROUND((Baseline_Results_NOINDIRECT!U$225/#REF!)/INDEX(#REF!,MATCH(#REF!&amp;"Delivery Capacity (m^3)",#REF!,0)),0)),0)</f>
        <v>0</v>
      </c>
      <c r="V259" s="838">
        <f>IFERROR(V244*#REF!*MAX(1,ROUND((Baseline_Results_NOINDIRECT!V$225/#REF!)/INDEX(#REF!,MATCH(#REF!&amp;"Delivery Capacity (m^3)",#REF!,0)),0)),0)</f>
        <v>0</v>
      </c>
      <c r="W259" s="838">
        <f>IFERROR(W244*#REF!*MAX(1,ROUND((Baseline_Results_NOINDIRECT!W$225/#REF!)/INDEX(#REF!,MATCH(#REF!&amp;"Delivery Capacity (m^3)",#REF!,0)),0)),0)</f>
        <v>0</v>
      </c>
      <c r="X259" s="36"/>
      <c r="Y259" s="36"/>
      <c r="Z259" s="36"/>
      <c r="AA259" s="36" t="s">
        <v>192</v>
      </c>
      <c r="AB259" s="36"/>
      <c r="AC259" s="36" t="s">
        <v>193</v>
      </c>
      <c r="AD259" s="36"/>
      <c r="AE259" s="36"/>
      <c r="AF259" s="36"/>
      <c r="AG259" s="36"/>
      <c r="AH259" s="36"/>
      <c r="AI259" s="36"/>
      <c r="AJ259" s="36"/>
      <c r="AK259" s="36"/>
      <c r="AL259" s="36"/>
      <c r="AM259" s="36"/>
    </row>
    <row r="260" spans="6:39" ht="15" customHeight="1" outlineLevel="1">
      <c r="G260" s="6" t="s">
        <v>88</v>
      </c>
      <c r="H260" s="838"/>
      <c r="I260" s="838">
        <f>IFERROR(IF(I244=0,0,2*#REF!),0)</f>
        <v>0</v>
      </c>
      <c r="J260" s="838">
        <f>IFERROR(IF(J244=0,0,2*#REF!),0)</f>
        <v>0</v>
      </c>
      <c r="K260" s="838">
        <f>IFERROR(IF(K244=0,0,2*#REF!),0)</f>
        <v>0</v>
      </c>
      <c r="L260" s="838">
        <f>IFERROR(IF(L244=0,0,2*#REF!),0)</f>
        <v>0</v>
      </c>
      <c r="M260" s="838">
        <f>IFERROR(IF(M244=0,0,2*#REF!),0)</f>
        <v>0</v>
      </c>
      <c r="N260" s="838">
        <f>IFERROR(IF(N244=0,0,2*#REF!),0)</f>
        <v>0</v>
      </c>
      <c r="O260" s="838">
        <f>IFERROR(IF(O244=0,0,2*#REF!),0)</f>
        <v>0</v>
      </c>
      <c r="P260" s="838">
        <f>IFERROR(IF(P244=0,0,2*#REF!),0)</f>
        <v>0</v>
      </c>
      <c r="Q260" s="838">
        <f>IFERROR(IF(Q244=0,0,2*#REF!),0)</f>
        <v>0</v>
      </c>
      <c r="R260" s="838">
        <f>IFERROR(IF(R244=0,0,2*#REF!),0)</f>
        <v>0</v>
      </c>
      <c r="S260" s="838">
        <f>IFERROR(IF(S244=0,0,2*#REF!),0)</f>
        <v>0</v>
      </c>
      <c r="T260" s="838">
        <f>IFERROR(IF(T244=0,0,2*#REF!),0)</f>
        <v>0</v>
      </c>
      <c r="U260" s="838">
        <f>IFERROR(IF(U244=0,0,2*#REF!),0)</f>
        <v>0</v>
      </c>
      <c r="V260" s="838">
        <f>IFERROR(IF(V244=0,0,2*#REF!),0)</f>
        <v>0</v>
      </c>
      <c r="W260" s="838">
        <f>IFERROR(IF(W244=0,0,2*#REF!),0)</f>
        <v>0</v>
      </c>
      <c r="X260" s="36"/>
      <c r="Y260" s="36"/>
      <c r="Z260" s="36"/>
      <c r="AA260" s="36" t="s">
        <v>194</v>
      </c>
      <c r="AB260" s="36"/>
      <c r="AC260" s="36" t="s">
        <v>195</v>
      </c>
      <c r="AD260" s="36"/>
      <c r="AE260" s="36"/>
      <c r="AF260" s="36"/>
      <c r="AG260" s="36"/>
      <c r="AH260" s="36"/>
      <c r="AI260" s="36"/>
      <c r="AJ260" s="36"/>
      <c r="AK260" s="36"/>
      <c r="AL260" s="36"/>
      <c r="AM260" s="36"/>
    </row>
    <row r="261" spans="6:39" ht="15" customHeight="1" outlineLevel="1">
      <c r="G261" s="6" t="s">
        <v>200</v>
      </c>
      <c r="H261" s="850"/>
      <c r="I261" s="850">
        <f>IFERROR((#REF!*#REF!*#REF!)/((I260/#REF!)+((1/60)*(#REF!+#REF!*(#REF!+(#REF!*(MIN((Baseline_Results_NOINDIRECT!I$225/#REF!),INDEX(#REF!,MATCH(#REF!&amp;"Delivery Capacity (m^3)",#REF!,0)))/#REF!)))))),0)</f>
        <v>0</v>
      </c>
      <c r="J261" s="850">
        <f>IFERROR((#REF!*#REF!*#REF!)/((J260/#REF!)+((1/60)*(#REF!+#REF!*(#REF!+(#REF!*(MIN((Baseline_Results_NOINDIRECT!J$225/#REF!),INDEX(#REF!,MATCH(#REF!&amp;"Delivery Capacity (m^3)",#REF!,0)))/#REF!)))))),0)</f>
        <v>0</v>
      </c>
      <c r="K261" s="850">
        <f>IFERROR((#REF!*#REF!*#REF!)/((K260/#REF!)+((1/60)*(#REF!+#REF!*(#REF!+(#REF!*(MIN((Baseline_Results_NOINDIRECT!K$225/#REF!),INDEX(#REF!,MATCH(#REF!&amp;"Delivery Capacity (m^3)",#REF!,0)))/#REF!)))))),0)</f>
        <v>0</v>
      </c>
      <c r="L261" s="850">
        <f>IFERROR((#REF!*#REF!*#REF!)/((L260/#REF!)+((1/60)*(#REF!+#REF!*(#REF!+(#REF!*(MIN((Baseline_Results_NOINDIRECT!L$225/#REF!),INDEX(#REF!,MATCH(#REF!&amp;"Delivery Capacity (m^3)",#REF!,0)))/#REF!)))))),0)</f>
        <v>0</v>
      </c>
      <c r="M261" s="850">
        <f>IFERROR((#REF!*#REF!*#REF!)/((M260/#REF!)+((1/60)*(#REF!+#REF!*(#REF!+(#REF!*(MIN((Baseline_Results_NOINDIRECT!M$225/#REF!),INDEX(#REF!,MATCH(#REF!&amp;"Delivery Capacity (m^3)",#REF!,0)))/#REF!)))))),0)</f>
        <v>0</v>
      </c>
      <c r="N261" s="850">
        <f>IFERROR((#REF!*#REF!*#REF!)/((N260/#REF!)+((1/60)*(#REF!+#REF!*(#REF!+(#REF!*(MIN((Baseline_Results_NOINDIRECT!N$225/#REF!),INDEX(#REF!,MATCH(#REF!&amp;"Delivery Capacity (m^3)",#REF!,0)))/#REF!)))))),0)</f>
        <v>0</v>
      </c>
      <c r="O261" s="850">
        <f>IFERROR((#REF!*#REF!*#REF!)/((O260/#REF!)+((1/60)*(#REF!+#REF!*(#REF!+(#REF!*(MIN((Baseline_Results_NOINDIRECT!O$225/#REF!),INDEX(#REF!,MATCH(#REF!&amp;"Delivery Capacity (m^3)",#REF!,0)))/#REF!)))))),0)</f>
        <v>0</v>
      </c>
      <c r="P261" s="850">
        <f>IFERROR((#REF!*#REF!*#REF!)/((P260/#REF!)+((1/60)*(#REF!+#REF!*(#REF!+(#REF!*(MIN((Baseline_Results_NOINDIRECT!P$225/#REF!),INDEX(#REF!,MATCH(#REF!&amp;"Delivery Capacity (m^3)",#REF!,0)))/#REF!)))))),0)</f>
        <v>0</v>
      </c>
      <c r="Q261" s="850">
        <f>IFERROR((#REF!*#REF!*#REF!)/((Q260/#REF!)+((1/60)*(#REF!+#REF!*(#REF!+(#REF!*(MIN((Baseline_Results_NOINDIRECT!Q$225/#REF!),INDEX(#REF!,MATCH(#REF!&amp;"Delivery Capacity (m^3)",#REF!,0)))/#REF!)))))),0)</f>
        <v>0</v>
      </c>
      <c r="R261" s="850">
        <f>IFERROR((#REF!*#REF!*#REF!)/((R260/#REF!)+((1/60)*(#REF!+#REF!*(#REF!+(#REF!*(MIN((Baseline_Results_NOINDIRECT!R$225/#REF!),INDEX(#REF!,MATCH(#REF!&amp;"Delivery Capacity (m^3)",#REF!,0)))/#REF!)))))),0)</f>
        <v>0</v>
      </c>
      <c r="S261" s="850">
        <f>IFERROR((#REF!*#REF!*#REF!)/((S260/#REF!)+((1/60)*(#REF!+#REF!*(#REF!+(#REF!*(MIN((Baseline_Results_NOINDIRECT!S$225/#REF!),INDEX(#REF!,MATCH(#REF!&amp;"Delivery Capacity (m^3)",#REF!,0)))/#REF!)))))),0)</f>
        <v>0</v>
      </c>
      <c r="T261" s="850">
        <f>IFERROR((#REF!*#REF!*#REF!)/((T260/#REF!)+((1/60)*(#REF!+#REF!*(#REF!+(#REF!*(MIN((Baseline_Results_NOINDIRECT!T$225/#REF!),INDEX(#REF!,MATCH(#REF!&amp;"Delivery Capacity (m^3)",#REF!,0)))/#REF!)))))),0)</f>
        <v>0</v>
      </c>
      <c r="U261" s="850">
        <f>IFERROR((#REF!*#REF!*#REF!)/((U260/#REF!)+((1/60)*(#REF!+#REF!*(#REF!+(#REF!*(MIN((Baseline_Results_NOINDIRECT!U$225/#REF!),INDEX(#REF!,MATCH(#REF!&amp;"Delivery Capacity (m^3)",#REF!,0)))/#REF!)))))),0)</f>
        <v>0</v>
      </c>
      <c r="V261" s="850">
        <f>IFERROR((#REF!*#REF!*#REF!)/((V260/#REF!)+((1/60)*(#REF!+#REF!*(#REF!+(#REF!*(MIN((Baseline_Results_NOINDIRECT!V$225/#REF!),INDEX(#REF!,MATCH(#REF!&amp;"Delivery Capacity (m^3)",#REF!,0)))/#REF!)))))),0)</f>
        <v>0</v>
      </c>
      <c r="W261" s="850">
        <f>IFERROR((#REF!*#REF!*#REF!)/((W260/#REF!)+((1/60)*(#REF!+#REF!*(#REF!+(#REF!*(MIN((Baseline_Results_NOINDIRECT!W$225/#REF!),INDEX(#REF!,MATCH(#REF!&amp;"Delivery Capacity (m^3)",#REF!,0)))/#REF!)))))),0)</f>
        <v>0</v>
      </c>
      <c r="X261" s="36"/>
      <c r="Y261" s="36"/>
      <c r="Z261" s="36"/>
      <c r="AA261" s="36"/>
      <c r="AB261" s="36"/>
      <c r="AC261" s="36"/>
      <c r="AD261" s="36"/>
      <c r="AE261" s="36"/>
      <c r="AF261" s="36"/>
      <c r="AG261" s="36"/>
      <c r="AH261" s="36"/>
      <c r="AI261" s="36"/>
      <c r="AJ261" s="36"/>
      <c r="AK261" s="36"/>
      <c r="AL261" s="36"/>
      <c r="AM261" s="36"/>
    </row>
    <row r="262" spans="6:39" ht="15" customHeight="1">
      <c r="R262" s="36"/>
      <c r="S262" s="36"/>
      <c r="T262" s="36"/>
      <c r="U262" s="36"/>
      <c r="V262" s="36"/>
      <c r="W262" s="36"/>
      <c r="X262" s="36"/>
      <c r="Y262" s="36"/>
      <c r="Z262" s="36"/>
      <c r="AA262" s="36"/>
      <c r="AB262" s="36"/>
      <c r="AC262" s="36"/>
      <c r="AD262" s="36"/>
      <c r="AE262" s="36"/>
      <c r="AF262" s="36"/>
      <c r="AG262" s="36"/>
      <c r="AH262" s="36"/>
      <c r="AI262" s="36"/>
      <c r="AJ262" s="36"/>
      <c r="AK262" s="36"/>
      <c r="AL262" s="36"/>
      <c r="AM262" s="36"/>
    </row>
    <row r="263" spans="6:39" ht="15" customHeight="1">
      <c r="R263" s="36"/>
      <c r="S263" s="36"/>
      <c r="T263" s="36"/>
      <c r="U263" s="36"/>
      <c r="V263" s="36"/>
      <c r="W263" s="36"/>
      <c r="X263" s="36"/>
      <c r="Y263" s="36"/>
      <c r="Z263" s="36"/>
      <c r="AA263" s="36"/>
      <c r="AB263" s="36"/>
      <c r="AC263" s="36"/>
      <c r="AD263" s="36"/>
      <c r="AE263" s="36"/>
      <c r="AF263" s="36"/>
      <c r="AG263" s="36"/>
      <c r="AH263" s="36"/>
      <c r="AI263" s="36"/>
      <c r="AJ263" s="36"/>
      <c r="AK263" s="36"/>
      <c r="AL263" s="36"/>
      <c r="AM263" s="36"/>
    </row>
    <row r="264" spans="6:39" ht="15" customHeight="1">
      <c r="F264" s="858" t="s">
        <v>152</v>
      </c>
      <c r="G264" s="859"/>
      <c r="H264" s="259"/>
      <c r="I264" s="259"/>
      <c r="J264" s="259"/>
      <c r="K264" s="259" t="s">
        <v>842</v>
      </c>
      <c r="L264" s="259"/>
      <c r="M264" s="259"/>
      <c r="N264" s="259" t="s">
        <v>843</v>
      </c>
      <c r="O264" s="259"/>
      <c r="P264" s="259"/>
      <c r="Q264" s="266" t="s">
        <v>844</v>
      </c>
      <c r="R264" s="259"/>
      <c r="S264" s="264"/>
      <c r="T264" s="266" t="s">
        <v>845</v>
      </c>
      <c r="U264" s="264"/>
      <c r="V264" s="264"/>
      <c r="W264" s="266" t="s">
        <v>846</v>
      </c>
      <c r="X264" s="264"/>
      <c r="Y264" s="264"/>
      <c r="Z264" s="264"/>
      <c r="AA264" s="36"/>
      <c r="AB264" s="36"/>
      <c r="AC264" s="36"/>
      <c r="AD264" s="36"/>
      <c r="AE264" s="36"/>
      <c r="AF264" s="36"/>
      <c r="AG264" s="36"/>
      <c r="AH264" s="36"/>
      <c r="AI264" s="36"/>
      <c r="AJ264" s="36"/>
      <c r="AK264" s="36"/>
      <c r="AL264" s="36"/>
      <c r="AM264" s="36"/>
    </row>
    <row r="265" spans="6:39" ht="15" customHeight="1" outlineLevel="1">
      <c r="F265" s="71" t="s">
        <v>149</v>
      </c>
      <c r="G265" s="71"/>
      <c r="H265" s="862"/>
      <c r="I265" s="862"/>
      <c r="J265" s="862"/>
      <c r="K265" s="862"/>
      <c r="L265" s="862"/>
      <c r="M265" s="862"/>
      <c r="N265" s="862"/>
      <c r="O265" s="71"/>
      <c r="P265" s="71"/>
      <c r="Q265" s="87"/>
      <c r="R265" s="267"/>
      <c r="S265" s="267"/>
      <c r="T265" s="87"/>
      <c r="U265" s="267"/>
      <c r="V265" s="267"/>
      <c r="W265" s="87"/>
      <c r="X265" s="36"/>
      <c r="Y265" s="36"/>
      <c r="Z265" s="36"/>
      <c r="AA265" s="36"/>
      <c r="AB265" s="36"/>
      <c r="AC265" s="36"/>
      <c r="AD265" s="36"/>
      <c r="AE265" s="36"/>
      <c r="AF265" s="36"/>
      <c r="AG265" s="36"/>
      <c r="AH265" s="36"/>
      <c r="AI265" s="36"/>
      <c r="AJ265" s="36"/>
      <c r="AK265" s="36"/>
      <c r="AL265" s="36"/>
      <c r="AM265" s="36"/>
    </row>
    <row r="266" spans="6:39" ht="15" customHeight="1" outlineLevel="1">
      <c r="G266" t="s">
        <v>146</v>
      </c>
      <c r="H266" s="822"/>
      <c r="I266" s="822">
        <f>IFERROR(IF(COUNTIF(#REF!,"Public Transport*")=1,IF(#REF!="Route-based",I273*#REF!,IF(#REF!="Point-to-point",I276*#REF!,0)),0),0)</f>
        <v>0</v>
      </c>
      <c r="J266" s="822">
        <f>IFERROR(IF(COUNTIF(#REF!,"Public Transport*")=1,IF(#REF!="Route-based",J273*#REF!,IF(#REF!="Point-to-point",J276*#REF!,0)),0),0)</f>
        <v>0</v>
      </c>
      <c r="K266" s="822">
        <f>IFERROR(IF(COUNTIF(#REF!,"Public Transport*")=1,IF(#REF!="Route-based",K273*#REF!,IF(#REF!="Point-to-point",K276*#REF!,0)),0),0)</f>
        <v>0</v>
      </c>
      <c r="L266" s="822">
        <f>IFERROR(IF(COUNTIF(#REF!,"Public Transport*")=1,IF(#REF!="Route-based",L273*#REF!,IF(#REF!="Point-to-point",L276*#REF!,0)),0),0)</f>
        <v>0</v>
      </c>
      <c r="M266" s="822">
        <f>IFERROR(IF(COUNTIF(#REF!,"Public Transport*")=1,IF(#REF!="Route-based",M273*#REF!,IF(#REF!="Point-to-point",M276*#REF!,0)),0),0)</f>
        <v>0</v>
      </c>
      <c r="N266" s="822">
        <f>IFERROR(IF(COUNTIF(#REF!,"Public Transport*")=1,IF(#REF!="Route-based",N273*#REF!,IF(#REF!="Point-to-point",N276*#REF!,0)),0),0)</f>
        <v>0</v>
      </c>
      <c r="O266" s="822">
        <f>IFERROR(IF(COUNTIF(#REF!,"Public Transport*")=1,IF(#REF!="Route-based",O273*#REF!,IF(#REF!="Point-to-point",O276*#REF!,0)),0),0)</f>
        <v>0</v>
      </c>
      <c r="P266" s="822">
        <f>IFERROR(IF(COUNTIF(#REF!,"Public Transport*")=1,IF(#REF!="Route-based",P273*#REF!,IF(#REF!="Point-to-point",P276*#REF!,0)),0),0)</f>
        <v>0</v>
      </c>
      <c r="Q266" s="822">
        <f>IFERROR(IF(COUNTIF(#REF!,"Public Transport*")=1,IF(#REF!="Route-based",Q273*#REF!,IF(#REF!="Point-to-point",Q276*#REF!,0)),0),0)</f>
        <v>0</v>
      </c>
      <c r="R266" s="863"/>
      <c r="S266" s="863"/>
      <c r="T266" s="822">
        <f>IFERROR(IF(COUNTIF(#REF!,"Public Transport*")=1,IF(#REF!="Route-based",T273*#REF!,IF(#REF!="Point-to-point",T276*#REF!,0)),0),0)</f>
        <v>0</v>
      </c>
      <c r="U266" s="863"/>
      <c r="V266" s="863"/>
      <c r="W266" s="822">
        <f>IFERROR(IF(COUNTIF(#REF!,"Public Transport*")=1,IF(#REF!="Route-based",W273*#REF!,IF(#REF!="Point-to-point",W276*#REF!,0)),0),0)</f>
        <v>0</v>
      </c>
      <c r="X266" s="36"/>
      <c r="Y266" s="36"/>
      <c r="Z266" s="36"/>
      <c r="AA266" s="36"/>
      <c r="AB266" s="36"/>
      <c r="AC266" s="36"/>
      <c r="AD266" s="36"/>
      <c r="AE266" s="36"/>
      <c r="AF266" s="36"/>
      <c r="AG266" s="36"/>
      <c r="AH266" s="36"/>
      <c r="AI266" s="36"/>
      <c r="AJ266" s="36"/>
      <c r="AK266" s="36"/>
      <c r="AL266" s="36"/>
      <c r="AM266" s="36"/>
    </row>
    <row r="267" spans="6:39" ht="15" customHeight="1" outlineLevel="1">
      <c r="G267" t="s">
        <v>147</v>
      </c>
      <c r="H267" s="822"/>
      <c r="I267" s="822">
        <f>IFERROR(IF(#REF!="Route-based",I274*#REF!,IF(#REF!="Point-to-point",I277*#REF!,0)),0)</f>
        <v>0</v>
      </c>
      <c r="J267" s="822">
        <f>IFERROR(IF(#REF!="Route-based",J274*#REF!,IF(#REF!="Point-to-point",J277*#REF!,0)),0)</f>
        <v>0</v>
      </c>
      <c r="K267" s="822">
        <f>IFERROR(IF(#REF!="Route-based",K274*#REF!,IF(#REF!="Point-to-point",K277*#REF!,0)),0)</f>
        <v>0</v>
      </c>
      <c r="L267" s="822">
        <f>IFERROR(IF(#REF!="Route-based",L274*#REF!,IF(#REF!="Point-to-point",L277*#REF!,0)),0)</f>
        <v>0</v>
      </c>
      <c r="M267" s="822">
        <f>IFERROR(IF(#REF!="Route-based",M274*#REF!,IF(#REF!="Point-to-point",M277*#REF!,0)),0)</f>
        <v>0</v>
      </c>
      <c r="N267" s="822">
        <f>IFERROR(IF(#REF!="Route-based",N274*#REF!,IF(#REF!="Point-to-point",N277*#REF!,0)),0)</f>
        <v>0</v>
      </c>
      <c r="O267" s="822">
        <f>IFERROR(IF(#REF!="Route-based",O274*#REF!,IF(#REF!="Point-to-point",O277*#REF!,0)),0)</f>
        <v>0</v>
      </c>
      <c r="P267" s="822">
        <f>IFERROR(IF(#REF!="Route-based",P274*#REF!,IF(#REF!="Point-to-point",P277*#REF!,0)),0)</f>
        <v>0</v>
      </c>
      <c r="Q267" s="822">
        <f>IFERROR(IF(#REF!="Route-based",Q274*#REF!,IF(#REF!="Point-to-point",Q277*#REF!,0)),0)</f>
        <v>0</v>
      </c>
      <c r="R267" s="863"/>
      <c r="S267" s="863"/>
      <c r="T267" s="822">
        <f>IFERROR(IF(#REF!="Route-based",T274*#REF!,IF(#REF!="Point-to-point",T277*#REF!,0)),0)</f>
        <v>0</v>
      </c>
      <c r="U267" s="863"/>
      <c r="V267" s="863"/>
      <c r="W267" s="822">
        <f>IFERROR(IF(#REF!="Route-based",W274*#REF!,IF(#REF!="Point-to-point",W277*#REF!,0)),0)</f>
        <v>0</v>
      </c>
      <c r="X267" s="36"/>
      <c r="Y267" s="36"/>
      <c r="Z267" s="36"/>
      <c r="AA267" s="36"/>
      <c r="AB267" s="36"/>
      <c r="AC267" s="36"/>
      <c r="AD267" s="36"/>
      <c r="AE267" s="36"/>
      <c r="AF267" s="36"/>
      <c r="AG267" s="36"/>
      <c r="AH267" s="36"/>
      <c r="AI267" s="36"/>
      <c r="AJ267" s="36"/>
      <c r="AK267" s="36"/>
      <c r="AL267" s="36"/>
      <c r="AM267" s="36"/>
    </row>
    <row r="268" spans="6:39" ht="15" customHeight="1" outlineLevel="1">
      <c r="G268" t="s">
        <v>142</v>
      </c>
      <c r="H268" s="823"/>
      <c r="I268" s="823">
        <f>IFERROR(IF(COUNTIF(#REF!,"Public Transport*")&gt;0,ROUND(#REF!*#REF!,0),0),0)</f>
        <v>0</v>
      </c>
      <c r="J268" s="823">
        <f>IFERROR(IF(COUNTIF(#REF!,"Public Transport*")&gt;0,ROUND(#REF!*#REF!,0),0),0)</f>
        <v>0</v>
      </c>
      <c r="K268" s="823">
        <f>IFERROR(IF(COUNTIF(#REF!,"Public Transport*")&gt;0,ROUND(#REF!*#REF!,0),0),0)</f>
        <v>0</v>
      </c>
      <c r="L268" s="823">
        <f>IFERROR(IF(COUNTIF(#REF!,"Public Transport*")&gt;0,ROUND(#REF!*#REF!,0),0),0)</f>
        <v>0</v>
      </c>
      <c r="M268" s="823">
        <f>IFERROR(IF(COUNTIF(#REF!,"Public Transport*")&gt;0,ROUND(#REF!*#REF!,0),0),0)</f>
        <v>0</v>
      </c>
      <c r="N268" s="823">
        <f>IFERROR(IF(COUNTIF(#REF!,"Public Transport*")&gt;0,ROUND(#REF!*#REF!,0),0),0)</f>
        <v>0</v>
      </c>
      <c r="O268" s="823">
        <f>IFERROR(IF(COUNTIF(#REF!,"Public Transport*")&gt;0,ROUND(#REF!*#REF!,0),0),0)</f>
        <v>0</v>
      </c>
      <c r="P268" s="823">
        <f>IFERROR(IF(COUNTIF(#REF!,"Public Transport*")&gt;0,ROUND(#REF!*#REF!,0),0),0)</f>
        <v>0</v>
      </c>
      <c r="Q268" s="823">
        <f>IFERROR(IF(COUNTIF(#REF!,"Public Transport*")&gt;0,ROUND(#REF!*#REF!,0),0),0)</f>
        <v>0</v>
      </c>
      <c r="R268" s="863"/>
      <c r="S268" s="863"/>
      <c r="T268" s="823">
        <f>IFERROR(IF(COUNTIF(#REF!,"Public Transport*")&gt;0,ROUND(#REF!*#REF!,0),0),0)</f>
        <v>0</v>
      </c>
      <c r="U268" s="863"/>
      <c r="V268" s="863"/>
      <c r="W268" s="823">
        <f>IFERROR(IF(COUNTIF(#REF!,"Public Transport*")&gt;0,ROUND(#REF!*#REF!,0),0),0)</f>
        <v>0</v>
      </c>
      <c r="X268" s="36"/>
      <c r="Y268" s="36"/>
      <c r="Z268" s="36"/>
      <c r="AA268" s="36"/>
      <c r="AB268" s="36"/>
      <c r="AC268" s="36"/>
      <c r="AD268" s="36"/>
      <c r="AE268" s="36"/>
      <c r="AF268" s="36"/>
      <c r="AG268" s="36"/>
      <c r="AH268" s="36"/>
      <c r="AI268" s="36"/>
      <c r="AJ268" s="36"/>
      <c r="AK268" s="36"/>
      <c r="AL268" s="36"/>
      <c r="AM268" s="36"/>
    </row>
    <row r="269" spans="6:39" ht="15" customHeight="1" outlineLevel="1">
      <c r="G269" s="70" t="s">
        <v>150</v>
      </c>
      <c r="H269" s="829"/>
      <c r="I269" s="829"/>
      <c r="J269" s="829"/>
      <c r="K269" s="829"/>
      <c r="L269" s="829"/>
      <c r="M269" s="829"/>
      <c r="N269" s="829"/>
      <c r="O269" s="829"/>
      <c r="P269" s="829"/>
      <c r="Q269" s="829"/>
      <c r="R269" s="863"/>
      <c r="S269" s="863"/>
      <c r="T269" s="829"/>
      <c r="U269" s="863"/>
      <c r="V269" s="863"/>
      <c r="W269" s="829"/>
      <c r="X269" s="36"/>
      <c r="Y269" s="36"/>
      <c r="Z269" s="36"/>
      <c r="AA269" s="36"/>
      <c r="AB269" s="36"/>
      <c r="AC269" s="36"/>
      <c r="AD269" s="36"/>
      <c r="AE269" s="36"/>
      <c r="AF269" s="36"/>
      <c r="AG269" s="36"/>
      <c r="AH269" s="36"/>
      <c r="AI269" s="36"/>
      <c r="AJ269" s="36"/>
      <c r="AK269" s="36"/>
      <c r="AL269" s="36"/>
      <c r="AM269" s="36"/>
    </row>
    <row r="270" spans="6:39" ht="15" customHeight="1" outlineLevel="1">
      <c r="G270" t="s">
        <v>140</v>
      </c>
      <c r="H270" s="824"/>
      <c r="I270" s="824">
        <f>IFERROR(ROUND(#REF!/(((1/60)*(#REF!+#REF!*(#REF!+(#REF!*(Baseline_Results_NOINDIRECT!I$52/#REF!/#REF!)))))+INDEX(#REF!,MATCH(#REF!&amp;"Average duration (hrs) per trip",#REF!,0))),1),0)</f>
        <v>0</v>
      </c>
      <c r="J270" s="824">
        <f>IFERROR(ROUND(#REF!/(((1/60)*(#REF!+#REF!*(#REF!+(#REF!*(Baseline_Results_NOINDIRECT!J$52/#REF!/#REF!)))))+INDEX(#REF!,MATCH(#REF!&amp;"Average duration (hrs) per trip",#REF!,0))),1),0)</f>
        <v>0</v>
      </c>
      <c r="K270" s="824">
        <f>IFERROR(ROUND(#REF!/(((1/60)*(#REF!+#REF!*(#REF!+(#REF!*(Baseline_Results_NOINDIRECT!K$52/#REF!/#REF!)))))+INDEX(#REF!,MATCH(#REF!&amp;"Average duration (hrs) per trip",#REF!,0))),1),0)</f>
        <v>0</v>
      </c>
      <c r="L270" s="824">
        <f>IFERROR(ROUND(#REF!/(((1/60)*(#REF!+#REF!*(#REF!+(#REF!*(Baseline_Results_NOINDIRECT!L$52/#REF!/#REF!)))))+INDEX(#REF!,MATCH(#REF!&amp;"Average duration (hrs) per trip",#REF!,0))),1),0)</f>
        <v>0</v>
      </c>
      <c r="M270" s="824">
        <f>IFERROR(ROUND(#REF!/(((1/60)*(#REF!+#REF!*(#REF!+(#REF!*(Baseline_Results_NOINDIRECT!M$52/#REF!/#REF!)))))+INDEX(#REF!,MATCH(#REF!&amp;"Average duration (hrs) per trip",#REF!,0))),1),0)</f>
        <v>0</v>
      </c>
      <c r="N270" s="824">
        <f>IFERROR(ROUND(#REF!/(((1/60)*(#REF!+#REF!*(#REF!+(#REF!*(Baseline_Results_NOINDIRECT!N$52/#REF!/#REF!)))))+INDEX(#REF!,MATCH(#REF!&amp;"Average duration (hrs) per trip",#REF!,0))),1),0)</f>
        <v>0</v>
      </c>
      <c r="O270" s="824">
        <f>IFERROR(ROUND(#REF!/(((1/60)*(#REF!+#REF!*(#REF!+(#REF!*(Baseline_Results_NOINDIRECT!O$52/#REF!/#REF!)))))+INDEX(#REF!,MATCH(#REF!&amp;"Average duration (hrs) per trip",#REF!,0))),1),0)</f>
        <v>0</v>
      </c>
      <c r="P270" s="824">
        <f>IFERROR(ROUND(#REF!/(((1/60)*(#REF!+#REF!*(#REF!+(#REF!*(Baseline_Results_NOINDIRECT!P$52/#REF!/#REF!)))))+INDEX(#REF!,MATCH(#REF!&amp;"Average duration (hrs) per trip",#REF!,0))),1),0)</f>
        <v>0</v>
      </c>
      <c r="Q270" s="824">
        <f>IFERROR(ROUND(#REF!/(((1/60)*(#REF!+#REF!*(#REF!+(#REF!*(Baseline_Results_NOINDIRECT!Q$52/#REF!/#REF!)))))+INDEX(#REF!,MATCH(#REF!&amp;"Average duration (hrs) per trip",#REF!,0))),1),0)</f>
        <v>0</v>
      </c>
      <c r="R270" s="863">
        <f>IFERROR(ROUND(#REF!/(((1/60)*(#REF!+#REF!*(#REF!+(#REF!*(Baseline_Results_NOINDIRECT!R$52/#REF!/#REF!)))))+INDEX(#REF!,MATCH(#REF!&amp;"Average duration (hrs) per trip",#REF!,0))),1),0)</f>
        <v>0</v>
      </c>
      <c r="S270" s="863">
        <f>IFERROR(ROUND(#REF!/(((1/60)*(#REF!+#REF!*(#REF!+(#REF!*(Baseline_Results_NOINDIRECT!S$52/#REF!/#REF!)))))+INDEX(#REF!,MATCH(#REF!&amp;"Average duration (hrs) per trip",#REF!,0))),1),0)</f>
        <v>0</v>
      </c>
      <c r="T270" s="824">
        <f>IFERROR(ROUND(#REF!/(((1/60)*(#REF!+#REF!*(#REF!+(#REF!*(Baseline_Results_NOINDIRECT!T$52/#REF!/#REF!)))))+INDEX(#REF!,MATCH(#REF!&amp;"Average duration (hrs) per trip",#REF!,0))),1),0)</f>
        <v>0</v>
      </c>
      <c r="U270" s="863">
        <f>IFERROR(ROUND(#REF!/(((1/60)*(#REF!+#REF!*(#REF!+(#REF!*(Baseline_Results_NOINDIRECT!U$52/#REF!/#REF!)))))+INDEX(#REF!,MATCH(#REF!&amp;"Average duration (hrs) per trip",#REF!,0))),1),0)</f>
        <v>0</v>
      </c>
      <c r="V270" s="863">
        <f>IFERROR(ROUND(#REF!/(((1/60)*(#REF!+#REF!*(#REF!+(#REF!*(Baseline_Results_NOINDIRECT!V$52/#REF!/#REF!)))))+INDEX(#REF!,MATCH(#REF!&amp;"Average duration (hrs) per trip",#REF!,0))),1),0)</f>
        <v>0</v>
      </c>
      <c r="W270" s="824">
        <f>IFERROR(ROUND(#REF!/(((1/60)*(#REF!+#REF!*(#REF!+(#REF!*(Baseline_Results_NOINDIRECT!W$52/#REF!/#REF!)))))+INDEX(#REF!,MATCH(#REF!&amp;"Average duration (hrs) per trip",#REF!,0))),1),0)</f>
        <v>0</v>
      </c>
      <c r="X270" s="36"/>
      <c r="Y270" s="36"/>
      <c r="Z270" s="36"/>
      <c r="AA270" s="36"/>
      <c r="AB270" s="36"/>
      <c r="AC270" s="36"/>
      <c r="AD270" s="36"/>
      <c r="AE270" s="36"/>
      <c r="AF270" s="36"/>
      <c r="AG270" s="36"/>
      <c r="AH270" s="36"/>
      <c r="AI270" s="36"/>
      <c r="AJ270" s="36"/>
      <c r="AK270" s="36"/>
      <c r="AL270" s="36"/>
      <c r="AM270" s="36"/>
    </row>
    <row r="271" spans="6:39" ht="15" customHeight="1" outlineLevel="1">
      <c r="G271" t="s">
        <v>141</v>
      </c>
      <c r="H271" s="824"/>
      <c r="I271" s="824">
        <f>IFERROR(ROUND(I270*#REF!,0),0)</f>
        <v>0</v>
      </c>
      <c r="J271" s="824">
        <f>IFERROR(ROUND(J270*#REF!,0),0)</f>
        <v>0</v>
      </c>
      <c r="K271" s="824">
        <f>IFERROR(ROUND(K270*#REF!,0),0)</f>
        <v>0</v>
      </c>
      <c r="L271" s="824">
        <f>IFERROR(ROUND(L270*#REF!,0),0)</f>
        <v>0</v>
      </c>
      <c r="M271" s="824">
        <f>IFERROR(ROUND(M270*#REF!,0),0)</f>
        <v>0</v>
      </c>
      <c r="N271" s="824">
        <f>IFERROR(ROUND(N270*#REF!,0),0)</f>
        <v>0</v>
      </c>
      <c r="O271" s="824">
        <f>IFERROR(ROUND(O270*#REF!,0),0)</f>
        <v>0</v>
      </c>
      <c r="P271" s="824">
        <f>IFERROR(ROUND(P270*#REF!,0),0)</f>
        <v>0</v>
      </c>
      <c r="Q271" s="824">
        <f>IFERROR(ROUND(Q270*#REF!,0),0)</f>
        <v>0</v>
      </c>
      <c r="R271" s="863">
        <f>IFERROR(ROUND(R270*#REF!,0),0)</f>
        <v>0</v>
      </c>
      <c r="S271" s="863">
        <f>IFERROR(ROUND(S270*#REF!,0),0)</f>
        <v>0</v>
      </c>
      <c r="T271" s="824">
        <f>IFERROR(ROUND(T270*#REF!,0),0)</f>
        <v>0</v>
      </c>
      <c r="U271" s="863">
        <f>IFERROR(ROUND(U270*#REF!,0),0)</f>
        <v>0</v>
      </c>
      <c r="V271" s="863">
        <f>IFERROR(ROUND(V270*#REF!,0),0)</f>
        <v>0</v>
      </c>
      <c r="W271" s="824">
        <f>IFERROR(ROUND(W270*#REF!,0),0)</f>
        <v>0</v>
      </c>
      <c r="X271" s="36"/>
      <c r="Y271" s="36"/>
      <c r="Z271" s="36"/>
      <c r="AA271" s="36"/>
      <c r="AB271" s="36"/>
      <c r="AC271" s="36"/>
      <c r="AD271" s="36"/>
      <c r="AE271" s="36"/>
      <c r="AF271" s="36"/>
      <c r="AG271" s="36"/>
      <c r="AH271" s="36"/>
      <c r="AI271" s="36"/>
      <c r="AJ271" s="36"/>
      <c r="AK271" s="36"/>
      <c r="AL271" s="36"/>
      <c r="AM271" s="36"/>
    </row>
    <row r="272" spans="6:39" ht="15" customHeight="1" outlineLevel="1">
      <c r="G272" t="s">
        <v>143</v>
      </c>
      <c r="H272" s="824"/>
      <c r="I272" s="824">
        <f t="shared" ref="I272:W272" si="38">IFERROR(I268/I271,0)</f>
        <v>0</v>
      </c>
      <c r="J272" s="824">
        <f t="shared" si="38"/>
        <v>0</v>
      </c>
      <c r="K272" s="824">
        <f t="shared" si="38"/>
        <v>0</v>
      </c>
      <c r="L272" s="824">
        <f t="shared" si="38"/>
        <v>0</v>
      </c>
      <c r="M272" s="824">
        <f t="shared" si="38"/>
        <v>0</v>
      </c>
      <c r="N272" s="824">
        <f t="shared" si="38"/>
        <v>0</v>
      </c>
      <c r="O272" s="824">
        <f t="shared" si="38"/>
        <v>0</v>
      </c>
      <c r="P272" s="824">
        <f t="shared" si="38"/>
        <v>0</v>
      </c>
      <c r="Q272" s="824">
        <f t="shared" si="38"/>
        <v>0</v>
      </c>
      <c r="R272" s="863">
        <f t="shared" si="38"/>
        <v>0</v>
      </c>
      <c r="S272" s="863">
        <f t="shared" si="38"/>
        <v>0</v>
      </c>
      <c r="T272" s="824">
        <f t="shared" si="38"/>
        <v>0</v>
      </c>
      <c r="U272" s="863">
        <f t="shared" si="38"/>
        <v>0</v>
      </c>
      <c r="V272" s="863">
        <f t="shared" si="38"/>
        <v>0</v>
      </c>
      <c r="W272" s="824">
        <f t="shared" si="38"/>
        <v>0</v>
      </c>
      <c r="X272" s="36"/>
      <c r="Y272" s="36"/>
      <c r="Z272" s="36"/>
      <c r="AA272" s="36"/>
      <c r="AB272" s="36"/>
      <c r="AC272" s="36"/>
      <c r="AD272" s="36"/>
      <c r="AE272" s="36"/>
      <c r="AF272" s="36"/>
      <c r="AG272" s="36"/>
      <c r="AH272" s="36"/>
      <c r="AI272" s="36"/>
      <c r="AJ272" s="36"/>
      <c r="AK272" s="36"/>
      <c r="AL272" s="36"/>
      <c r="AM272" s="36"/>
    </row>
    <row r="273" spans="6:39" ht="15" customHeight="1" outlineLevel="1">
      <c r="G273" t="s">
        <v>144</v>
      </c>
      <c r="H273" s="824"/>
      <c r="I273" s="824">
        <f t="shared" ref="I273:W273" si="39">IFERROR((I272*(I271+1)),0)</f>
        <v>0</v>
      </c>
      <c r="J273" s="824">
        <f t="shared" si="39"/>
        <v>0</v>
      </c>
      <c r="K273" s="824">
        <f t="shared" si="39"/>
        <v>0</v>
      </c>
      <c r="L273" s="824">
        <f t="shared" si="39"/>
        <v>0</v>
      </c>
      <c r="M273" s="824">
        <f t="shared" si="39"/>
        <v>0</v>
      </c>
      <c r="N273" s="824">
        <f t="shared" si="39"/>
        <v>0</v>
      </c>
      <c r="O273" s="824">
        <f t="shared" si="39"/>
        <v>0</v>
      </c>
      <c r="P273" s="824">
        <f t="shared" si="39"/>
        <v>0</v>
      </c>
      <c r="Q273" s="824">
        <f t="shared" si="39"/>
        <v>0</v>
      </c>
      <c r="R273" s="863">
        <f t="shared" si="39"/>
        <v>0</v>
      </c>
      <c r="S273" s="863">
        <f t="shared" si="39"/>
        <v>0</v>
      </c>
      <c r="T273" s="824">
        <f t="shared" si="39"/>
        <v>0</v>
      </c>
      <c r="U273" s="863">
        <f t="shared" si="39"/>
        <v>0</v>
      </c>
      <c r="V273" s="863">
        <f t="shared" si="39"/>
        <v>0</v>
      </c>
      <c r="W273" s="824">
        <f t="shared" si="39"/>
        <v>0</v>
      </c>
      <c r="X273" s="36"/>
      <c r="Y273" s="36"/>
      <c r="Z273" s="36"/>
      <c r="AA273" s="36"/>
      <c r="AB273" s="36"/>
      <c r="AC273" s="36"/>
      <c r="AD273" s="36"/>
      <c r="AE273" s="36"/>
      <c r="AF273" s="36"/>
      <c r="AG273" s="36"/>
      <c r="AH273" s="36"/>
      <c r="AI273" s="36"/>
      <c r="AJ273" s="36"/>
      <c r="AK273" s="242"/>
      <c r="AL273" s="36"/>
      <c r="AM273" s="36"/>
    </row>
    <row r="274" spans="6:39" ht="15" customHeight="1" outlineLevel="1">
      <c r="G274" t="s">
        <v>145</v>
      </c>
      <c r="H274" s="824"/>
      <c r="I274" s="824">
        <f>IFERROR(ROUNDUP(((I273*INDEX(#REF!,MATCH(#REF!&amp;"Average duration (hrs) per trip",#REF!,0)))+(I268*((1/60)*(#REF!+#REF!*(#REF!+(#REF!*(Baseline_Results_NOINDIRECT!I$52/#REF!/#REF!)))))))/#REF!,0),0)</f>
        <v>0</v>
      </c>
      <c r="J274" s="824">
        <f>IFERROR(ROUNDUP(((J273*INDEX(#REF!,MATCH(#REF!&amp;"Average duration (hrs) per trip",#REF!,0)))+(J268*((1/60)*(#REF!+#REF!*(#REF!+(#REF!*(Baseline_Results_NOINDIRECT!J$52/#REF!/#REF!)))))))/#REF!,0),0)</f>
        <v>0</v>
      </c>
      <c r="K274" s="824">
        <f>IFERROR(ROUNDUP(((K273*INDEX(#REF!,MATCH(#REF!&amp;"Average duration (hrs) per trip",#REF!,0)))+(K268*((1/60)*(#REF!+#REF!*(#REF!+(#REF!*(Baseline_Results_NOINDIRECT!K$52/#REF!/#REF!)))))))/#REF!,0),0)</f>
        <v>0</v>
      </c>
      <c r="L274" s="824">
        <f>IFERROR(ROUNDUP(((L273*INDEX(#REF!,MATCH(#REF!&amp;"Average duration (hrs) per trip",#REF!,0)))+(L268*((1/60)*(#REF!+#REF!*(#REF!+(#REF!*(Baseline_Results_NOINDIRECT!L$52/#REF!/#REF!)))))))/#REF!,0),0)</f>
        <v>0</v>
      </c>
      <c r="M274" s="824">
        <f>IFERROR(ROUNDUP(((M273*INDEX(#REF!,MATCH(#REF!&amp;"Average duration (hrs) per trip",#REF!,0)))+(M268*((1/60)*(#REF!+#REF!*(#REF!+(#REF!*(Baseline_Results_NOINDIRECT!M$52/#REF!/#REF!)))))))/#REF!,0),0)</f>
        <v>0</v>
      </c>
      <c r="N274" s="824">
        <f>IFERROR(ROUNDUP(((N273*INDEX(#REF!,MATCH(#REF!&amp;"Average duration (hrs) per trip",#REF!,0)))+(N268*((1/60)*(#REF!+#REF!*(#REF!+(#REF!*(Baseline_Results_NOINDIRECT!N$52/#REF!/#REF!)))))))/#REF!,0),0)</f>
        <v>0</v>
      </c>
      <c r="O274" s="824">
        <f>IFERROR(ROUNDUP(((O273*INDEX(#REF!,MATCH(#REF!&amp;"Average duration (hrs) per trip",#REF!,0)))+(O268*((1/60)*(#REF!+#REF!*(#REF!+(#REF!*(Baseline_Results_NOINDIRECT!O$52/#REF!/#REF!)))))))/#REF!,0),0)</f>
        <v>0</v>
      </c>
      <c r="P274" s="824">
        <f>IFERROR(ROUNDUP(((P273*INDEX(#REF!,MATCH(#REF!&amp;"Average duration (hrs) per trip",#REF!,0)))+(P268*((1/60)*(#REF!+#REF!*(#REF!+(#REF!*(Baseline_Results_NOINDIRECT!P$52/#REF!/#REF!)))))))/#REF!,0),0)</f>
        <v>0</v>
      </c>
      <c r="Q274" s="824">
        <f>IFERROR(ROUNDUP(((Q273*INDEX(#REF!,MATCH(#REF!&amp;"Average duration (hrs) per trip",#REF!,0)))+(Q268*((1/60)*(#REF!+#REF!*(#REF!+(#REF!*(Baseline_Results_NOINDIRECT!Q$52/#REF!/#REF!)))))))/#REF!,0),0)</f>
        <v>0</v>
      </c>
      <c r="R274" s="863">
        <f>IFERROR(ROUNDUP(((R273*INDEX(#REF!,MATCH(#REF!&amp;"Average duration (hrs) per trip",#REF!,0)))+(R268*((1/60)*(#REF!+#REF!*(#REF!+(#REF!*(Baseline_Results_NOINDIRECT!R$52/#REF!/#REF!)))))))/#REF!,0),0)</f>
        <v>0</v>
      </c>
      <c r="S274" s="863">
        <f>IFERROR(ROUNDUP(((S273*INDEX(#REF!,MATCH(#REF!&amp;"Average duration (hrs) per trip",#REF!,0)))+(S268*((1/60)*(#REF!+#REF!*(#REF!+(#REF!*(Baseline_Results_NOINDIRECT!S$52/#REF!/#REF!)))))))/#REF!,0),0)</f>
        <v>0</v>
      </c>
      <c r="T274" s="824">
        <f>IFERROR(ROUNDUP(((T273*INDEX(#REF!,MATCH(#REF!&amp;"Average duration (hrs) per trip",#REF!,0)))+(T268*((1/60)*(#REF!+#REF!*(#REF!+(#REF!*(Baseline_Results_NOINDIRECT!T$52/#REF!/#REF!)))))))/#REF!,0),0)</f>
        <v>0</v>
      </c>
      <c r="U274" s="863">
        <f>IFERROR(ROUNDUP(((U273*INDEX(#REF!,MATCH(#REF!&amp;"Average duration (hrs) per trip",#REF!,0)))+(U268*((1/60)*(#REF!+#REF!*(#REF!+(#REF!*(Baseline_Results_NOINDIRECT!U$52/#REF!/#REF!)))))))/#REF!,0),0)</f>
        <v>0</v>
      </c>
      <c r="V274" s="863">
        <f>IFERROR(ROUNDUP(((V273*INDEX(#REF!,MATCH(#REF!&amp;"Average duration (hrs) per trip",#REF!,0)))+(V268*((1/60)*(#REF!+#REF!*(#REF!+(#REF!*(Baseline_Results_NOINDIRECT!V$52/#REF!/#REF!)))))))/#REF!,0),0)</f>
        <v>0</v>
      </c>
      <c r="W274" s="824">
        <f>IFERROR(ROUNDUP(((W273*INDEX(#REF!,MATCH(#REF!&amp;"Average duration (hrs) per trip",#REF!,0)))+(W268*((1/60)*(#REF!+#REF!*(#REF!+(#REF!*(Baseline_Results_NOINDIRECT!W$52/#REF!/#REF!)))))))/#REF!,0),0)</f>
        <v>0</v>
      </c>
      <c r="X274" s="36"/>
      <c r="Y274" s="36"/>
      <c r="Z274" s="36"/>
      <c r="AA274" s="36"/>
      <c r="AB274" s="36"/>
      <c r="AC274" s="36"/>
      <c r="AD274" s="36"/>
      <c r="AE274" s="36"/>
      <c r="AF274" s="36"/>
      <c r="AG274" s="36"/>
      <c r="AH274" s="36"/>
      <c r="AI274" s="36"/>
      <c r="AJ274" s="36"/>
      <c r="AK274" s="242"/>
      <c r="AL274" s="36"/>
      <c r="AM274" s="36"/>
    </row>
    <row r="275" spans="6:39" ht="15" customHeight="1" outlineLevel="1">
      <c r="G275" s="70" t="s">
        <v>840</v>
      </c>
      <c r="H275" s="829"/>
      <c r="I275" s="829"/>
      <c r="J275" s="829"/>
      <c r="K275" s="829"/>
      <c r="L275" s="829"/>
      <c r="M275" s="829"/>
      <c r="N275" s="829"/>
      <c r="O275" s="829"/>
      <c r="P275" s="829"/>
      <c r="Q275" s="829"/>
      <c r="R275" s="863"/>
      <c r="S275" s="863"/>
      <c r="T275" s="829"/>
      <c r="U275" s="863"/>
      <c r="V275" s="863"/>
      <c r="W275" s="829"/>
      <c r="X275" s="36"/>
      <c r="Y275" s="36"/>
      <c r="Z275" s="36"/>
      <c r="AA275" s="36"/>
      <c r="AB275" s="36"/>
      <c r="AC275" s="36"/>
      <c r="AD275" s="36"/>
      <c r="AE275" s="36"/>
      <c r="AF275" s="36"/>
      <c r="AG275" s="36"/>
      <c r="AH275" s="36"/>
      <c r="AI275" s="36"/>
      <c r="AJ275" s="36"/>
      <c r="AK275" s="242"/>
      <c r="AL275" s="36"/>
      <c r="AM275" s="36"/>
    </row>
    <row r="276" spans="6:39" ht="15" customHeight="1" outlineLevel="1">
      <c r="G276" t="s">
        <v>144</v>
      </c>
      <c r="H276" s="824"/>
      <c r="I276" s="824">
        <f t="shared" ref="I276:W276" si="40">I268*2</f>
        <v>0</v>
      </c>
      <c r="J276" s="824">
        <f t="shared" si="40"/>
        <v>0</v>
      </c>
      <c r="K276" s="824">
        <f t="shared" si="40"/>
        <v>0</v>
      </c>
      <c r="L276" s="824">
        <f t="shared" si="40"/>
        <v>0</v>
      </c>
      <c r="M276" s="824">
        <f t="shared" si="40"/>
        <v>0</v>
      </c>
      <c r="N276" s="824">
        <f t="shared" si="40"/>
        <v>0</v>
      </c>
      <c r="O276" s="824">
        <f t="shared" si="40"/>
        <v>0</v>
      </c>
      <c r="P276" s="824">
        <f t="shared" si="40"/>
        <v>0</v>
      </c>
      <c r="Q276" s="824">
        <f t="shared" si="40"/>
        <v>0</v>
      </c>
      <c r="R276" s="863">
        <f t="shared" si="40"/>
        <v>0</v>
      </c>
      <c r="S276" s="863">
        <f t="shared" si="40"/>
        <v>0</v>
      </c>
      <c r="T276" s="824">
        <f t="shared" si="40"/>
        <v>0</v>
      </c>
      <c r="U276" s="863">
        <f t="shared" si="40"/>
        <v>0</v>
      </c>
      <c r="V276" s="863">
        <f t="shared" si="40"/>
        <v>0</v>
      </c>
      <c r="W276" s="824">
        <f t="shared" si="40"/>
        <v>0</v>
      </c>
      <c r="X276" s="36"/>
      <c r="Y276" s="36"/>
      <c r="Z276" s="36"/>
      <c r="AA276" s="36"/>
      <c r="AB276" s="36"/>
      <c r="AC276" s="36"/>
      <c r="AD276" s="36"/>
      <c r="AE276" s="36"/>
      <c r="AF276" s="36"/>
      <c r="AG276" s="36"/>
      <c r="AH276" s="36"/>
      <c r="AI276" s="36"/>
      <c r="AJ276" s="36"/>
      <c r="AK276" s="36"/>
      <c r="AL276" s="36"/>
      <c r="AM276" s="36"/>
    </row>
    <row r="277" spans="6:39" ht="15" customHeight="1" outlineLevel="1">
      <c r="G277" t="s">
        <v>145</v>
      </c>
      <c r="H277" s="822"/>
      <c r="I277" s="822">
        <f>IFERROR(MAX(I268,ROUNDUP(((I276*INDEX(#REF!,MATCH(#REF!&amp;"Average duration (hrs) per trip",#REF!,0)))+(I268*((1/60)*(#REF!+#REF!*(#REF!+(#REF!*(Baseline_Results_NOINDIRECT!I$52/#REF!/#REF!)))))))/#REF!,0)),0)</f>
        <v>0</v>
      </c>
      <c r="J277" s="822">
        <f>IFERROR(MAX(J268,ROUNDUP(((J276*INDEX(#REF!,MATCH(#REF!&amp;"Average duration (hrs) per trip",#REF!,0)))+(J268*((1/60)*(#REF!+#REF!*(#REF!+(#REF!*(Baseline_Results_NOINDIRECT!J$52/#REF!/#REF!)))))))/#REF!,0)),0)</f>
        <v>0</v>
      </c>
      <c r="K277" s="822">
        <f>IFERROR(MAX(K268,ROUNDUP(((K276*INDEX(#REF!,MATCH(#REF!&amp;"Average duration (hrs) per trip",#REF!,0)))+(K268*((1/60)*(#REF!+#REF!*(#REF!+(#REF!*(Baseline_Results_NOINDIRECT!K$52/#REF!/#REF!)))))))/#REF!,0)),0)</f>
        <v>0</v>
      </c>
      <c r="L277" s="822">
        <f>IFERROR(MAX(L268,ROUNDUP(((L276*INDEX(#REF!,MATCH(#REF!&amp;"Average duration (hrs) per trip",#REF!,0)))+(L268*((1/60)*(#REF!+#REF!*(#REF!+(#REF!*(Baseline_Results_NOINDIRECT!L$52/#REF!/#REF!)))))))/#REF!,0)),0)</f>
        <v>0</v>
      </c>
      <c r="M277" s="822">
        <f>IFERROR(MAX(M268,ROUNDUP(((M276*INDEX(#REF!,MATCH(#REF!&amp;"Average duration (hrs) per trip",#REF!,0)))+(M268*((1/60)*(#REF!+#REF!*(#REF!+(#REF!*(Baseline_Results_NOINDIRECT!M$52/#REF!/#REF!)))))))/#REF!,0)),0)</f>
        <v>0</v>
      </c>
      <c r="N277" s="822">
        <f>IFERROR(MAX(N268,ROUNDUP(((N276*INDEX(#REF!,MATCH(#REF!&amp;"Average duration (hrs) per trip",#REF!,0)))+(N268*((1/60)*(#REF!+#REF!*(#REF!+(#REF!*(Baseline_Results_NOINDIRECT!N$52/#REF!/#REF!)))))))/#REF!,0)),0)</f>
        <v>0</v>
      </c>
      <c r="O277" s="822">
        <f>IFERROR(MAX(O268,ROUNDUP(((O276*INDEX(#REF!,MATCH(#REF!&amp;"Average duration (hrs) per trip",#REF!,0)))+(O268*((1/60)*(#REF!+#REF!*(#REF!+(#REF!*(Baseline_Results_NOINDIRECT!O$52/#REF!/#REF!)))))))/#REF!,0)),0)</f>
        <v>0</v>
      </c>
      <c r="P277" s="822">
        <f>IFERROR(MAX(P268,ROUNDUP(((P276*INDEX(#REF!,MATCH(#REF!&amp;"Average duration (hrs) per trip",#REF!,0)))+(P268*((1/60)*(#REF!+#REF!*(#REF!+(#REF!*(Baseline_Results_NOINDIRECT!P$52/#REF!/#REF!)))))))/#REF!,0)),0)</f>
        <v>0</v>
      </c>
      <c r="Q277" s="822">
        <f>IFERROR(MAX(Q268,ROUNDUP(((Q276*INDEX(#REF!,MATCH(#REF!&amp;"Average duration (hrs) per trip",#REF!,0)))+(Q268*((1/60)*(#REF!+#REF!*(#REF!+(#REF!*(Baseline_Results_NOINDIRECT!Q$52/#REF!/#REF!)))))))/#REF!,0)),0)</f>
        <v>0</v>
      </c>
      <c r="R277" s="833">
        <f>IFERROR(MAX(R268,ROUNDUP(((R276*INDEX(#REF!,MATCH(#REF!&amp;"Average duration (hrs) per trip",#REF!,0)))+(R268*((1/60)*(#REF!+#REF!*(#REF!+(#REF!*(Baseline_Results_NOINDIRECT!R$52/#REF!/#REF!)))))))/#REF!,0)),0)</f>
        <v>0</v>
      </c>
      <c r="S277" s="833">
        <f>IFERROR(MAX(S268,ROUNDUP(((S276*INDEX(#REF!,MATCH(#REF!&amp;"Average duration (hrs) per trip",#REF!,0)))+(S268*((1/60)*(#REF!+#REF!*(#REF!+(#REF!*(Baseline_Results_NOINDIRECT!S$52/#REF!/#REF!)))))))/#REF!,0)),0)</f>
        <v>0</v>
      </c>
      <c r="T277" s="822">
        <f>IFERROR(MAX(T268,ROUNDUP(((T276*INDEX(#REF!,MATCH(#REF!&amp;"Average duration (hrs) per trip",#REF!,0)))+(T268*((1/60)*(#REF!+#REF!*(#REF!+(#REF!*(Baseline_Results_NOINDIRECT!T$52/#REF!/#REF!)))))))/#REF!,0)),0)</f>
        <v>0</v>
      </c>
      <c r="U277" s="833">
        <f>IFERROR(MAX(U268,ROUNDUP(((U276*INDEX(#REF!,MATCH(#REF!&amp;"Average duration (hrs) per trip",#REF!,0)))+(U268*((1/60)*(#REF!+#REF!*(#REF!+(#REF!*(Baseline_Results_NOINDIRECT!U$52/#REF!/#REF!)))))))/#REF!,0)),0)</f>
        <v>0</v>
      </c>
      <c r="V277" s="833">
        <f>IFERROR(MAX(V268,ROUNDUP(((V276*INDEX(#REF!,MATCH(#REF!&amp;"Average duration (hrs) per trip",#REF!,0)))+(V268*((1/60)*(#REF!+#REF!*(#REF!+(#REF!*(Baseline_Results_NOINDIRECT!V$52/#REF!/#REF!)))))))/#REF!,0)),0)</f>
        <v>0</v>
      </c>
      <c r="W277" s="822">
        <f>IFERROR(MAX(W268,ROUNDUP(((W276*INDEX(#REF!,MATCH(#REF!&amp;"Average duration (hrs) per trip",#REF!,0)))+(W268*((1/60)*(#REF!+#REF!*(#REF!+(#REF!*(Baseline_Results_NOINDIRECT!W$52/#REF!/#REF!)))))))/#REF!,0)),0)</f>
        <v>0</v>
      </c>
      <c r="X277" s="36"/>
      <c r="Y277" s="36"/>
      <c r="Z277" s="36"/>
      <c r="AA277" s="36"/>
      <c r="AB277" s="36"/>
      <c r="AC277" s="36"/>
      <c r="AD277" s="36"/>
      <c r="AE277" s="36"/>
      <c r="AF277" s="36"/>
      <c r="AG277" s="36"/>
      <c r="AH277" s="36"/>
      <c r="AI277" s="36"/>
      <c r="AJ277" s="36"/>
      <c r="AK277" s="36"/>
      <c r="AL277" s="36"/>
      <c r="AM277" s="36"/>
    </row>
    <row r="278" spans="6:39" ht="15" customHeight="1" outlineLevel="1">
      <c r="F278" s="71" t="s">
        <v>148</v>
      </c>
      <c r="G278" s="71"/>
      <c r="H278" s="825"/>
      <c r="I278" s="825"/>
      <c r="J278" s="825"/>
      <c r="K278" s="825"/>
      <c r="L278" s="825"/>
      <c r="M278" s="825"/>
      <c r="N278" s="825"/>
      <c r="O278" s="825"/>
      <c r="P278" s="825"/>
      <c r="Q278" s="825"/>
      <c r="R278" s="835"/>
      <c r="S278" s="835"/>
      <c r="T278" s="825"/>
      <c r="U278" s="835"/>
      <c r="V278" s="835"/>
      <c r="W278" s="825"/>
      <c r="X278" s="36"/>
      <c r="Y278" s="36"/>
      <c r="Z278" s="36"/>
      <c r="AA278" s="36"/>
      <c r="AB278" s="36"/>
      <c r="AC278" s="36"/>
      <c r="AD278" s="36"/>
      <c r="AE278" s="36"/>
      <c r="AF278" s="36"/>
      <c r="AG278" s="36"/>
      <c r="AH278" s="36"/>
      <c r="AI278" s="36"/>
      <c r="AJ278" s="242"/>
      <c r="AK278" s="36"/>
      <c r="AL278" s="36"/>
      <c r="AM278" s="36"/>
    </row>
    <row r="279" spans="6:39" ht="15" customHeight="1" outlineLevel="1">
      <c r="F279" s="1"/>
      <c r="G279" s="6" t="s">
        <v>151</v>
      </c>
      <c r="H279" s="826"/>
      <c r="I279" s="826">
        <f>IFERROR(IF(COUNTIF(#REF!,"Public Transport*")&lt;1,ROUND(#REF!*#REF!,0),0),0)</f>
        <v>0</v>
      </c>
      <c r="J279" s="826">
        <f>IFERROR(IF(COUNTIF(#REF!,"Public Transport*")&lt;1,ROUND(#REF!*#REF!,0),0),0)</f>
        <v>0</v>
      </c>
      <c r="K279" s="826">
        <f>IFERROR(IF(COUNTIF(#REF!,"Public Transport*")&lt;1,ROUND(#REF!*#REF!,0),0),0)</f>
        <v>0</v>
      </c>
      <c r="L279" s="826">
        <f>IFERROR(IF(COUNTIF(#REF!,"Public Transport*")&lt;1,ROUND(#REF!*#REF!,0),0),0)</f>
        <v>0</v>
      </c>
      <c r="M279" s="826">
        <f>IFERROR(IF(COUNTIF(#REF!,"Public Transport*")&lt;1,ROUND(#REF!*#REF!,0),0),0)</f>
        <v>0</v>
      </c>
      <c r="N279" s="826">
        <f>IFERROR(IF(COUNTIF(#REF!,"Public Transport*")&lt;1,ROUND(#REF!*#REF!,0),0),0)</f>
        <v>0</v>
      </c>
      <c r="O279" s="826">
        <f>IFERROR(IF(COUNTIF(#REF!,"Public Transport*")&lt;1,ROUND(#REF!*#REF!,0),0),0)</f>
        <v>0</v>
      </c>
      <c r="P279" s="826">
        <f>IFERROR(IF(COUNTIF(#REF!,"Public Transport*")&lt;1,ROUND(#REF!*#REF!,0),0),0)</f>
        <v>0</v>
      </c>
      <c r="Q279" s="826">
        <f>IFERROR(IF(COUNTIF(#REF!,"Public Transport*")&lt;1,ROUND(#REF!*#REF!,0),0),0)</f>
        <v>0</v>
      </c>
      <c r="R279" s="835"/>
      <c r="S279" s="835"/>
      <c r="T279" s="826">
        <f>IFERROR(IF(COUNTIF(#REF!,"Public Transport*")&lt;1,ROUND(#REF!*#REF!,0),0),0)</f>
        <v>0</v>
      </c>
      <c r="U279" s="835"/>
      <c r="V279" s="835"/>
      <c r="W279" s="826">
        <f>IFERROR(IF(COUNTIF(#REF!,"Public Transport*")&lt;1,ROUND(#REF!*#REF!,0),0),0)</f>
        <v>0</v>
      </c>
      <c r="X279" s="36"/>
      <c r="Y279" s="36"/>
      <c r="Z279" s="36"/>
      <c r="AA279" s="36"/>
      <c r="AB279" s="36"/>
      <c r="AC279" s="36"/>
      <c r="AD279" s="36"/>
      <c r="AE279" s="36"/>
      <c r="AF279" s="36"/>
      <c r="AG279" s="36"/>
      <c r="AH279" s="36"/>
      <c r="AI279" s="36"/>
      <c r="AJ279" s="242"/>
      <c r="AK279" s="36"/>
      <c r="AL279" s="36"/>
      <c r="AM279" s="36"/>
    </row>
    <row r="280" spans="6:39" ht="15" customHeight="1" outlineLevel="1">
      <c r="G280" s="6" t="s">
        <v>85</v>
      </c>
      <c r="H280" s="827"/>
      <c r="I280" s="827">
        <f>IFERROR(IF(#REF!="Route-based",I285*I286,IF(#REF!="Point-to-point",I290*I291,0)),0)</f>
        <v>0</v>
      </c>
      <c r="J280" s="827">
        <f>IFERROR(IF(#REF!="Route-based",J285*J286,IF(#REF!="Point-to-point",J290*J291,0)),0)</f>
        <v>0</v>
      </c>
      <c r="K280" s="827">
        <f>IFERROR(IF(#REF!="Route-based",K285*K286,IF(#REF!="Point-to-point",K290*K291,0)),0)</f>
        <v>0</v>
      </c>
      <c r="L280" s="827">
        <f>IFERROR(IF(#REF!="Route-based",L285*L286,IF(#REF!="Point-to-point",L290*L291,0)),0)</f>
        <v>0</v>
      </c>
      <c r="M280" s="827">
        <f>IFERROR(IF(#REF!="Route-based",M285*M286,IF(#REF!="Point-to-point",M290*M291,0)),0)</f>
        <v>0</v>
      </c>
      <c r="N280" s="827">
        <f>IFERROR(IF(#REF!="Route-based",N285*N286,IF(#REF!="Point-to-point",N290*N291,0)),0)</f>
        <v>0</v>
      </c>
      <c r="O280" s="827">
        <f>IFERROR(IF(#REF!="Route-based",O285*O286,IF(#REF!="Point-to-point",O290*O291,0)),0)</f>
        <v>0</v>
      </c>
      <c r="P280" s="827">
        <f>IFERROR(IF(#REF!="Route-based",P285*P286,IF(#REF!="Point-to-point",P290*P291,0)),0)</f>
        <v>0</v>
      </c>
      <c r="Q280" s="827">
        <f>IFERROR(IF(#REF!="Route-based",Q285*Q286,IF(#REF!="Point-to-point",Q290*Q291,0)),0)</f>
        <v>0</v>
      </c>
      <c r="R280" s="833" t="s">
        <v>594</v>
      </c>
      <c r="S280" s="833"/>
      <c r="T280" s="827">
        <f>IFERROR(IF(#REF!="Route-based",T285*T286,IF(#REF!="Point-to-point",T290*T291,0)),0)</f>
        <v>0</v>
      </c>
      <c r="U280" s="833"/>
      <c r="V280" s="833"/>
      <c r="W280" s="827">
        <f>IFERROR(IF(#REF!="Route-based",W285*W286,IF(#REF!="Point-to-point",W290*W291,0)),0)</f>
        <v>0</v>
      </c>
      <c r="X280" s="36"/>
      <c r="Y280" s="36"/>
      <c r="Z280" s="36"/>
      <c r="AA280" s="36"/>
      <c r="AB280" s="36"/>
      <c r="AC280" s="36"/>
      <c r="AD280" s="36" t="s">
        <v>202</v>
      </c>
      <c r="AE280" s="36"/>
      <c r="AF280" s="36"/>
      <c r="AG280" s="36"/>
      <c r="AH280" s="36"/>
      <c r="AI280" s="36"/>
      <c r="AJ280" s="242"/>
      <c r="AK280" s="36"/>
      <c r="AL280" s="36"/>
      <c r="AM280" s="36"/>
    </row>
    <row r="281" spans="6:39" ht="15" customHeight="1" outlineLevel="1">
      <c r="G281" s="6" t="s">
        <v>59</v>
      </c>
      <c r="H281" s="828"/>
      <c r="I281" s="828">
        <f>IFERROR(IF(#REF!="Route-based",ROUND(I285*I287/#REF!,0),IF(#REF!="Point-to-point",ROUND(((I279*#REF!*((1/60)*(#REF!+#REF!*(#REF!+(#REF!*(Baseline_Results_NOINDIRECT!I$52/#REF!/#REF!))))))+(I280/#REF!))/#REF!,0),0)),0)</f>
        <v>0</v>
      </c>
      <c r="J281" s="828">
        <f>IFERROR(IF(#REF!="Route-based",ROUND(J285*J287/#REF!,0),IF(#REF!="Point-to-point",ROUND(((J279*#REF!*((1/60)*(#REF!+#REF!*(#REF!+(#REF!*(Baseline_Results_NOINDIRECT!J$52/#REF!/#REF!))))))+(J280/#REF!))/#REF!,0),0)),0)</f>
        <v>0</v>
      </c>
      <c r="K281" s="828">
        <f>IFERROR(IF(#REF!="Route-based",ROUND(K285*K287/#REF!,0),IF(#REF!="Point-to-point",ROUND(((K279*#REF!*((1/60)*(#REF!+#REF!*(#REF!+(#REF!*(Baseline_Results_NOINDIRECT!K$52/#REF!/#REF!))))))+(K280/#REF!))/#REF!,0),0)),0)</f>
        <v>0</v>
      </c>
      <c r="L281" s="828">
        <f>IFERROR(IF(#REF!="Route-based",ROUND(L285*L287/#REF!,0),IF(#REF!="Point-to-point",ROUND(((L279*#REF!*((1/60)*(#REF!+#REF!*(#REF!+(#REF!*(Baseline_Results_NOINDIRECT!L$52/#REF!/#REF!))))))+(L280/#REF!))/#REF!,0),0)),0)</f>
        <v>0</v>
      </c>
      <c r="M281" s="828">
        <f>IFERROR(IF(#REF!="Route-based",ROUND(M285*M287/#REF!,0),IF(#REF!="Point-to-point",ROUND(((M279*#REF!*((1/60)*(#REF!+#REF!*(#REF!+(#REF!*(Baseline_Results_NOINDIRECT!M$52/#REF!/#REF!))))))+(M280/#REF!))/#REF!,0),0)),0)</f>
        <v>0</v>
      </c>
      <c r="N281" s="828">
        <f>IFERROR(IF(#REF!="Route-based",ROUND(N285*N287/#REF!,0),IF(#REF!="Point-to-point",ROUND(((N279*#REF!*((1/60)*(#REF!+#REF!*(#REF!+(#REF!*(Baseline_Results_NOINDIRECT!N$52/#REF!/#REF!))))))+(N280/#REF!))/#REF!,0),0)),0)</f>
        <v>0</v>
      </c>
      <c r="O281" s="828">
        <f>IFERROR(IF(#REF!="Route-based",ROUND(O285*O287/#REF!,0),IF(#REF!="Point-to-point",ROUND(((O279*#REF!*((1/60)*(#REF!+#REF!*(#REF!+(#REF!*(Baseline_Results_NOINDIRECT!O$52/#REF!/#REF!))))))+(O280/#REF!))/#REF!,0),0)),0)</f>
        <v>0</v>
      </c>
      <c r="P281" s="828">
        <f>IFERROR(IF(#REF!="Route-based",ROUND(P285*P287/#REF!,0),IF(#REF!="Point-to-point",ROUND(((P279*#REF!*((1/60)*(#REF!+#REF!*(#REF!+(#REF!*(Baseline_Results_NOINDIRECT!P$52/#REF!/#REF!))))))+(P280/#REF!))/#REF!,0),0)),0)</f>
        <v>0</v>
      </c>
      <c r="Q281" s="828">
        <f>IFERROR(IF(#REF!="Route-based",ROUND(Q285*Q287/#REF!,0),IF(#REF!="Point-to-point",ROUND(((Q279*#REF!*((1/60)*(#REF!+#REF!*(#REF!+(#REF!*(Baseline_Results_NOINDIRECT!Q$52/#REF!/#REF!))))))+(Q280/#REF!))/#REF!,0),0)),0)</f>
        <v>0</v>
      </c>
      <c r="R281" s="828">
        <f>IFERROR(IF(#REF!="Route-based",ROUND(R285*R287/#REF!,0),IF(#REF!="Point-to-point",ROUND(((R279*#REF!*((1/60)*(#REF!+#REF!*(#REF!+(#REF!*(Baseline_Results_NOINDIRECT!R$52/#REF!/#REF!))))))+(R280/#REF!))/#REF!,0),0)),0)</f>
        <v>0</v>
      </c>
      <c r="S281" s="828">
        <f>IFERROR(IF(#REF!="Route-based",ROUND(S285*S287/#REF!,0),IF(#REF!="Point-to-point",ROUND(((S279*#REF!*((1/60)*(#REF!+#REF!*(#REF!+(#REF!*(Baseline_Results_NOINDIRECT!S$52/#REF!/#REF!))))))+(S280/#REF!))/#REF!,0),0)),0)</f>
        <v>0</v>
      </c>
      <c r="T281" s="828">
        <f>IFERROR(IF(#REF!="Route-based",ROUND(T285*T287/#REF!,0),IF(#REF!="Point-to-point",ROUND(((T279*#REF!*((1/60)*(#REF!+#REF!*(#REF!+(#REF!*(Baseline_Results_NOINDIRECT!T$52/#REF!/#REF!))))))+(T280/#REF!))/#REF!,0),0)),0)</f>
        <v>0</v>
      </c>
      <c r="U281" s="828">
        <f>IFERROR(IF(#REF!="Route-based",ROUND(U285*U287/#REF!,0),IF(#REF!="Point-to-point",ROUND(((U279*#REF!*((1/60)*(#REF!+#REF!*(#REF!+(#REF!*(Baseline_Results_NOINDIRECT!U$52/#REF!/#REF!))))))+(U280/#REF!))/#REF!,0),0)),0)</f>
        <v>0</v>
      </c>
      <c r="V281" s="828">
        <f>IFERROR(IF(#REF!="Route-based",ROUND(V285*V287/#REF!,0),IF(#REF!="Point-to-point",ROUND(((V279*#REF!*((1/60)*(#REF!+#REF!*(#REF!+(#REF!*(Baseline_Results_NOINDIRECT!V$52/#REF!/#REF!))))))+(V280/#REF!))/#REF!,0),0)),0)</f>
        <v>0</v>
      </c>
      <c r="W281" s="828">
        <f>IFERROR(IF(#REF!="Route-based",ROUND(W285*W287/#REF!,0),IF(#REF!="Point-to-point",ROUND(((W279*#REF!*((1/60)*(#REF!+#REF!*(#REF!+(#REF!*(Baseline_Results_NOINDIRECT!W$52/#REF!/#REF!))))))+(W280/#REF!))/#REF!,0),0)),0)</f>
        <v>0</v>
      </c>
      <c r="X281" s="36"/>
      <c r="Y281" s="36"/>
      <c r="Z281" s="36"/>
      <c r="AA281" s="36"/>
      <c r="AB281" s="36"/>
      <c r="AC281" s="36"/>
      <c r="AD281" s="36" t="s">
        <v>202</v>
      </c>
      <c r="AE281" s="36"/>
      <c r="AF281" s="36"/>
      <c r="AG281" s="36"/>
      <c r="AH281" s="36"/>
      <c r="AI281" s="36"/>
      <c r="AJ281" s="242"/>
      <c r="AK281" s="36"/>
      <c r="AL281" s="36"/>
      <c r="AM281" s="36"/>
    </row>
    <row r="282" spans="6:39" ht="15" customHeight="1" outlineLevel="1">
      <c r="G282" s="6" t="s">
        <v>86</v>
      </c>
      <c r="H282" s="830"/>
      <c r="I282" s="830">
        <f>IFERROR(IF(#REF!="Route-based",IF(#REF!="Yes",I281/(#REF!*#REF!), IF(#REF!="No",I281/(#REF!*#REF!))),
IF(#REF!="Point-to-point",IF(#REF!="Yes",I281/(#REF!*#REF!),IF(#REF!="No",I281/(#REF!*#REF!))),0)),0)</f>
        <v>0</v>
      </c>
      <c r="J282" s="830">
        <f>IFERROR(IF(#REF!="Route-based",IF(#REF!="Yes",J281/(#REF!*#REF!), IF(#REF!="No",J281/(#REF!*#REF!))),
IF(#REF!="Point-to-point",IF(#REF!="Yes",J281/(#REF!*#REF!),IF(#REF!="No",J281/(#REF!*#REF!))),0)),0)</f>
        <v>0</v>
      </c>
      <c r="K282" s="830">
        <f>IFERROR(IF(#REF!="Route-based",IF(#REF!="Yes",K281/(#REF!*#REF!), IF(#REF!="No",K281/(#REF!*#REF!))),
IF(#REF!="Point-to-point",IF(#REF!="Yes",K281/(#REF!*#REF!),IF(#REF!="No",K281/(#REF!*#REF!))),0)),0)</f>
        <v>0</v>
      </c>
      <c r="L282" s="830">
        <f>IFERROR(IF(#REF!="Route-based",IF(#REF!="Yes",L281/(#REF!*#REF!), IF(#REF!="No",L281/(#REF!*#REF!))),
IF(#REF!="Point-to-point",IF(#REF!="Yes",L281/(#REF!*#REF!),IF(#REF!="No",L281/(#REF!*#REF!))),0)),0)</f>
        <v>0</v>
      </c>
      <c r="M282" s="830">
        <f>IFERROR(IF(#REF!="Route-based",IF(#REF!="Yes",M281/(#REF!*#REF!), IF(#REF!="No",M281/(#REF!*#REF!))),
IF(#REF!="Point-to-point",IF(#REF!="Yes",M281/(#REF!*#REF!),IF(#REF!="No",M281/(#REF!*#REF!))),0)),0)</f>
        <v>0</v>
      </c>
      <c r="N282" s="830">
        <f>IFERROR(IF(#REF!="Route-based",IF(#REF!="Yes",N281/(#REF!*#REF!), IF(#REF!="No",N281/(#REF!*#REF!))),
IF(#REF!="Point-to-point",IF(#REF!="Yes",N281/(#REF!*#REF!),IF(#REF!="No",N281/(#REF!*#REF!))),0)),0)</f>
        <v>0</v>
      </c>
      <c r="O282" s="830">
        <f>IFERROR(IF(#REF!="Route-based",IF(#REF!="Yes",O281/(#REF!*#REF!), IF(#REF!="No",O281/(#REF!*#REF!))),
IF(#REF!="Point-to-point",IF(#REF!="Yes",O281/(#REF!*#REF!),IF(#REF!="No",O281/(#REF!*#REF!))),0)),0)</f>
        <v>0</v>
      </c>
      <c r="P282" s="830">
        <f>IFERROR(IF(#REF!="Route-based",IF(#REF!="Yes",P281/(#REF!*#REF!), IF(#REF!="No",P281/(#REF!*#REF!))),
IF(#REF!="Point-to-point",IF(#REF!="Yes",P281/(#REF!*#REF!),IF(#REF!="No",P281/(#REF!*#REF!))),0)),0)</f>
        <v>0</v>
      </c>
      <c r="Q282" s="830">
        <f>IFERROR(IF(#REF!="Route-based",IF(#REF!="Yes",Q281/(#REF!*#REF!), IF(#REF!="No",Q281/(#REF!*#REF!))),
IF(#REF!="Point-to-point",IF(#REF!="Yes",Q281/(#REF!*#REF!),IF(#REF!="No",Q281/(#REF!*#REF!))),0)),0)</f>
        <v>0</v>
      </c>
      <c r="R282" s="830">
        <f>IFERROR(IF(#REF!="Route-based",IF(#REF!="Yes",R281/(#REF!*#REF!), IF(#REF!="No",R281/(#REF!*#REF!))),
IF(#REF!="Point-to-point",IF(#REF!="Yes",R281/(#REF!*#REF!),IF(#REF!="No",R281/(#REF!*#REF!))),0)),0)</f>
        <v>0</v>
      </c>
      <c r="S282" s="830">
        <f>IFERROR(IF(#REF!="Route-based",IF(#REF!="Yes",S281/(#REF!*#REF!), IF(#REF!="No",S281/(#REF!*#REF!))),
IF(#REF!="Point-to-point",IF(#REF!="Yes",S281/(#REF!*#REF!),IF(#REF!="No",S281/(#REF!*#REF!))),0)),0)</f>
        <v>0</v>
      </c>
      <c r="T282" s="830">
        <f>IFERROR(IF(#REF!="Route-based",IF(#REF!="Yes",T281/(#REF!*#REF!), IF(#REF!="No",T281/(#REF!*#REF!))),
IF(#REF!="Point-to-point",IF(#REF!="Yes",T281/(#REF!*#REF!),IF(#REF!="No",T281/(#REF!*#REF!))),0)),0)</f>
        <v>0</v>
      </c>
      <c r="U282" s="830">
        <f>IFERROR(IF(#REF!="Route-based",IF(#REF!="Yes",U281/(#REF!*#REF!), IF(#REF!="No",U281/(#REF!*#REF!))),
IF(#REF!="Point-to-point",IF(#REF!="Yes",U281/(#REF!*#REF!),IF(#REF!="No",U281/(#REF!*#REF!))),0)),0)</f>
        <v>0</v>
      </c>
      <c r="V282" s="830">
        <f>IFERROR(IF(#REF!="Route-based",IF(#REF!="Yes",V281/(#REF!*#REF!), IF(#REF!="No",V281/(#REF!*#REF!))),
IF(#REF!="Point-to-point",IF(#REF!="Yes",V281/(#REF!*#REF!),IF(#REF!="No",V281/(#REF!*#REF!))),0)),0)</f>
        <v>0</v>
      </c>
      <c r="W282" s="830">
        <f>IFERROR(IF(#REF!="Route-based",IF(#REF!="Yes",W281/(#REF!*#REF!), IF(#REF!="No",W281/(#REF!*#REF!))),
IF(#REF!="Point-to-point",IF(#REF!="Yes",W281/(#REF!*#REF!),IF(#REF!="No",W281/(#REF!*#REF!))),0)),0)</f>
        <v>0</v>
      </c>
      <c r="X282" s="36"/>
      <c r="Y282" s="36"/>
      <c r="Z282" s="36"/>
      <c r="AA282" s="36"/>
      <c r="AB282" s="36"/>
      <c r="AC282" s="36"/>
      <c r="AD282" s="36" t="s">
        <v>202</v>
      </c>
      <c r="AE282" s="36"/>
      <c r="AF282" s="36"/>
      <c r="AG282" s="36"/>
      <c r="AH282" s="36"/>
      <c r="AI282" s="36"/>
      <c r="AJ282" s="36" t="s">
        <v>191</v>
      </c>
      <c r="AK282" s="36"/>
      <c r="AL282" s="36"/>
      <c r="AM282" s="36"/>
    </row>
    <row r="283" spans="6:39" ht="15" customHeight="1" outlineLevel="1" collapsed="1">
      <c r="G283" s="70" t="s">
        <v>133</v>
      </c>
      <c r="H283" s="829"/>
      <c r="I283" s="829"/>
      <c r="J283" s="829"/>
      <c r="K283" s="829"/>
      <c r="L283" s="829"/>
      <c r="M283" s="829"/>
      <c r="N283" s="829"/>
      <c r="O283" s="829"/>
      <c r="P283" s="829"/>
      <c r="Q283" s="829"/>
      <c r="R283" s="833"/>
      <c r="S283" s="833"/>
      <c r="T283" s="829"/>
      <c r="U283" s="833"/>
      <c r="V283" s="833"/>
      <c r="W283" s="829"/>
      <c r="X283" s="36"/>
      <c r="Y283" s="36"/>
      <c r="Z283" s="36"/>
      <c r="AA283" s="36"/>
      <c r="AB283" s="36"/>
      <c r="AC283" s="36"/>
      <c r="AD283" s="36"/>
      <c r="AE283" s="36"/>
      <c r="AF283" s="36"/>
      <c r="AG283" s="36"/>
      <c r="AH283" s="36"/>
      <c r="AI283" s="36"/>
      <c r="AJ283" s="36"/>
      <c r="AK283" s="36"/>
      <c r="AL283" s="36"/>
      <c r="AM283" s="36"/>
    </row>
    <row r="284" spans="6:39" ht="15" customHeight="1" outlineLevel="1">
      <c r="G284" t="s">
        <v>129</v>
      </c>
      <c r="H284" s="826"/>
      <c r="I284" s="826">
        <f>IFERROR(((#REF!*#REF!)-(2*#REF!/#REF!)+(#REF!/#REF!))/(((1/60)*(#REF!+#REF!*(#REF!+(#REF!*(Baseline_Results_NOINDIRECT!I$52/#REF!/#REF!)))))+(#REF!/#REF!)),0)</f>
        <v>0</v>
      </c>
      <c r="J284" s="826">
        <f>IFERROR(((#REF!*#REF!)-(2*#REF!/#REF!)+(#REF!/#REF!))/(((1/60)*(#REF!+#REF!*(#REF!+(#REF!*(Baseline_Results_NOINDIRECT!J$52/#REF!/#REF!)))))+(#REF!/#REF!)),0)</f>
        <v>0</v>
      </c>
      <c r="K284" s="826">
        <f>IFERROR(((#REF!*#REF!)-(2*#REF!/#REF!)+(#REF!/#REF!))/(((1/60)*(#REF!+#REF!*(#REF!+(#REF!*(Baseline_Results_NOINDIRECT!K$52/#REF!/#REF!)))))+(#REF!/#REF!)),0)</f>
        <v>0</v>
      </c>
      <c r="L284" s="826">
        <f>IFERROR(((#REF!*#REF!)-(2*#REF!/#REF!)+(#REF!/#REF!))/(((1/60)*(#REF!+#REF!*(#REF!+(#REF!*(Baseline_Results_NOINDIRECT!L$52/#REF!/#REF!)))))+(#REF!/#REF!)),0)</f>
        <v>0</v>
      </c>
      <c r="M284" s="826">
        <f>IFERROR(((#REF!*#REF!)-(2*#REF!/#REF!)+(#REF!/#REF!))/(((1/60)*(#REF!+#REF!*(#REF!+(#REF!*(Baseline_Results_NOINDIRECT!M$52/#REF!/#REF!)))))+(#REF!/#REF!)),0)</f>
        <v>0</v>
      </c>
      <c r="N284" s="826">
        <f>IFERROR(((#REF!*#REF!)-(2*#REF!/#REF!)+(#REF!/#REF!))/(((1/60)*(#REF!+#REF!*(#REF!+(#REF!*(Baseline_Results_NOINDIRECT!N$52/#REF!/#REF!)))))+(#REF!/#REF!)),0)</f>
        <v>0</v>
      </c>
      <c r="O284" s="826">
        <f>IFERROR(((#REF!*#REF!)-(2*#REF!/#REF!)+(#REF!/#REF!))/(((1/60)*(#REF!+#REF!*(#REF!+(#REF!*(Baseline_Results_NOINDIRECT!O$52/#REF!/#REF!)))))+(#REF!/#REF!)),0)</f>
        <v>0</v>
      </c>
      <c r="P284" s="826">
        <f>IFERROR(((#REF!*#REF!)-(2*#REF!/#REF!)+(#REF!/#REF!))/(((1/60)*(#REF!+#REF!*(#REF!+(#REF!*(Baseline_Results_NOINDIRECT!P$52/#REF!/#REF!)))))+(#REF!/#REF!)),0)</f>
        <v>0</v>
      </c>
      <c r="Q284" s="826">
        <f>IFERROR(((#REF!*#REF!)-(2*#REF!/#REF!)+(#REF!/#REF!))/(((1/60)*(#REF!+#REF!*(#REF!+(#REF!*(Baseline_Results_NOINDIRECT!Q$52/#REF!/#REF!)))))+(#REF!/#REF!)),0)</f>
        <v>0</v>
      </c>
      <c r="R284" s="826">
        <f>IFERROR(((#REF!*#REF!)-(2*#REF!/#REF!)+(#REF!/#REF!))/(((1/60)*(#REF!+#REF!*(#REF!+(#REF!*(Baseline_Results_NOINDIRECT!R$52/#REF!/#REF!)))))+(#REF!/#REF!)),0)</f>
        <v>0</v>
      </c>
      <c r="S284" s="826">
        <f>IFERROR(((#REF!*#REF!)-(2*#REF!/#REF!)+(#REF!/#REF!))/(((1/60)*(#REF!+#REF!*(#REF!+(#REF!*(Baseline_Results_NOINDIRECT!S$52/#REF!/#REF!)))))+(#REF!/#REF!)),0)</f>
        <v>0</v>
      </c>
      <c r="T284" s="826">
        <f>IFERROR(((#REF!*#REF!)-(2*#REF!/#REF!)+(#REF!/#REF!))/(((1/60)*(#REF!+#REF!*(#REF!+(#REF!*(Baseline_Results_NOINDIRECT!T$52/#REF!/#REF!)))))+(#REF!/#REF!)),0)</f>
        <v>0</v>
      </c>
      <c r="U284" s="826">
        <f>IFERROR(((#REF!*#REF!)-(2*#REF!/#REF!)+(#REF!/#REF!))/(((1/60)*(#REF!+#REF!*(#REF!+(#REF!*(Baseline_Results_NOINDIRECT!U$52/#REF!/#REF!)))))+(#REF!/#REF!)),0)</f>
        <v>0</v>
      </c>
      <c r="V284" s="826">
        <f>IFERROR(((#REF!*#REF!)-(2*#REF!/#REF!)+(#REF!/#REF!))/(((1/60)*(#REF!+#REF!*(#REF!+(#REF!*(Baseline_Results_NOINDIRECT!V$52/#REF!/#REF!)))))+(#REF!/#REF!)),0)</f>
        <v>0</v>
      </c>
      <c r="W284" s="826">
        <f>IFERROR(((#REF!*#REF!)-(2*#REF!/#REF!)+(#REF!/#REF!))/(((1/60)*(#REF!+#REF!*(#REF!+(#REF!*(Baseline_Results_NOINDIRECT!W$52/#REF!/#REF!)))))+(#REF!/#REF!)),0)</f>
        <v>0</v>
      </c>
      <c r="X284" s="36"/>
      <c r="Y284" s="36"/>
      <c r="Z284" s="36"/>
      <c r="AA284" s="36"/>
      <c r="AB284" s="36"/>
      <c r="AC284" s="36"/>
      <c r="AD284" s="36"/>
      <c r="AE284" s="36"/>
      <c r="AF284" s="36"/>
      <c r="AG284" s="36"/>
      <c r="AH284" s="36"/>
      <c r="AI284" s="36"/>
      <c r="AJ284" s="36"/>
      <c r="AK284" s="36"/>
      <c r="AL284" s="36"/>
      <c r="AM284" s="36"/>
    </row>
    <row r="285" spans="6:39" ht="15" customHeight="1" outlineLevel="1">
      <c r="G285" t="s">
        <v>206</v>
      </c>
      <c r="H285" s="826"/>
      <c r="I285" s="826">
        <f>IFERROR(ROUND(I279*#REF!/I284,0),0)</f>
        <v>0</v>
      </c>
      <c r="J285" s="826">
        <f>IFERROR(ROUND(J279*#REF!/J284,0),0)</f>
        <v>0</v>
      </c>
      <c r="K285" s="826">
        <f>IFERROR(ROUND(K279*#REF!/K284,0),0)</f>
        <v>0</v>
      </c>
      <c r="L285" s="826">
        <f>IFERROR(ROUND(L279*#REF!/L284,0),0)</f>
        <v>0</v>
      </c>
      <c r="M285" s="826">
        <f>IFERROR(ROUND(M279*#REF!/M284,0),0)</f>
        <v>0</v>
      </c>
      <c r="N285" s="826">
        <f>IFERROR(ROUND(N279*#REF!/N284,0),0)</f>
        <v>0</v>
      </c>
      <c r="O285" s="826">
        <f>IFERROR(ROUND(O279*#REF!/O284,0),0)</f>
        <v>0</v>
      </c>
      <c r="P285" s="826">
        <f>IFERROR(ROUND(P279*#REF!/P284,0),0)</f>
        <v>0</v>
      </c>
      <c r="Q285" s="826">
        <f>IFERROR(ROUND(Q279*#REF!/Q284,0),0)</f>
        <v>0</v>
      </c>
      <c r="R285" s="826">
        <f>IFERROR(ROUND(R279*#REF!/R284,0),0)</f>
        <v>0</v>
      </c>
      <c r="S285" s="826">
        <f>IFERROR(ROUND(S279*#REF!/S284,0),0)</f>
        <v>0</v>
      </c>
      <c r="T285" s="826">
        <f>IFERROR(ROUND(T279*#REF!/T284,0),0)</f>
        <v>0</v>
      </c>
      <c r="U285" s="826">
        <f>IFERROR(ROUND(U279*#REF!/U284,0),0)</f>
        <v>0</v>
      </c>
      <c r="V285" s="826">
        <f>IFERROR(ROUND(V279*#REF!/V284,0),0)</f>
        <v>0</v>
      </c>
      <c r="W285" s="826">
        <f>IFERROR(ROUND(W279*#REF!/W284,0),0)</f>
        <v>0</v>
      </c>
      <c r="X285" s="36"/>
      <c r="Y285" s="36"/>
      <c r="Z285" s="36"/>
      <c r="AA285" s="36"/>
      <c r="AB285" s="36"/>
      <c r="AC285" s="36"/>
      <c r="AD285" s="36"/>
      <c r="AE285" s="36"/>
      <c r="AF285" s="36"/>
      <c r="AG285" s="36"/>
      <c r="AH285" s="36"/>
      <c r="AI285" s="36"/>
      <c r="AJ285" s="242"/>
      <c r="AK285" s="36"/>
      <c r="AL285" s="36"/>
      <c r="AM285" s="36"/>
    </row>
    <row r="286" spans="6:39" ht="15" customHeight="1" outlineLevel="1">
      <c r="G286" t="s">
        <v>87</v>
      </c>
      <c r="H286" s="826"/>
      <c r="I286" s="826">
        <f>IFERROR(IF(I279=0,0,(2*#REF!)+((MAX(I284, 1)-1)*#REF!)),0)</f>
        <v>0</v>
      </c>
      <c r="J286" s="826">
        <f>IFERROR(IF(J279=0,0,(2*#REF!)+((MAX(J284, 1)-1)*#REF!)),0)</f>
        <v>0</v>
      </c>
      <c r="K286" s="826">
        <f>IFERROR(IF(K279=0,0,(2*#REF!)+((MAX(K284, 1)-1)*#REF!)),0)</f>
        <v>0</v>
      </c>
      <c r="L286" s="826">
        <f>IFERROR(IF(L279=0,0,(2*#REF!)+((MAX(L284, 1)-1)*#REF!)),0)</f>
        <v>0</v>
      </c>
      <c r="M286" s="826">
        <f>IFERROR(IF(M279=0,0,(2*#REF!)+((MAX(M284, 1)-1)*#REF!)),0)</f>
        <v>0</v>
      </c>
      <c r="N286" s="826">
        <f>IFERROR(IF(N279=0,0,(2*#REF!)+((MAX(N284, 1)-1)*#REF!)),0)</f>
        <v>0</v>
      </c>
      <c r="O286" s="826">
        <f>IFERROR(IF(O279=0,0,(2*#REF!)+((MAX(O284, 1)-1)*#REF!)),0)</f>
        <v>0</v>
      </c>
      <c r="P286" s="826">
        <f>IFERROR(IF(P279=0,0,(2*#REF!)+((MAX(P284, 1)-1)*#REF!)),0)</f>
        <v>0</v>
      </c>
      <c r="Q286" s="826">
        <f>IFERROR(IF(Q279=0,0,(2*#REF!)+((MAX(Q284, 1)-1)*#REF!)),0)</f>
        <v>0</v>
      </c>
      <c r="R286" s="826">
        <f>IFERROR(IF(R279=0,0,(2*#REF!)+((MAX(R284, 1)-1)*#REF!)),0)</f>
        <v>0</v>
      </c>
      <c r="S286" s="826">
        <f>IFERROR(IF(S279=0,0,(2*#REF!)+((MAX(S284, 1)-1)*#REF!)),0)</f>
        <v>0</v>
      </c>
      <c r="T286" s="826">
        <f>IFERROR(IF(T279=0,0,(2*#REF!)+((MAX(T284, 1)-1)*#REF!)),0)</f>
        <v>0</v>
      </c>
      <c r="U286" s="826">
        <f>IFERROR(IF(U279=0,0,(2*#REF!)+((MAX(U284, 1)-1)*#REF!)),0)</f>
        <v>0</v>
      </c>
      <c r="V286" s="826">
        <f>IFERROR(IF(V279=0,0,(2*#REF!)+((MAX(V284, 1)-1)*#REF!)),0)</f>
        <v>0</v>
      </c>
      <c r="W286" s="826">
        <f>IFERROR(IF(W279=0,0,(2*#REF!)+((MAX(W284, 1)-1)*#REF!)),0)</f>
        <v>0</v>
      </c>
      <c r="X286" s="36"/>
      <c r="Y286" s="36"/>
      <c r="Z286" s="36"/>
      <c r="AA286" s="36"/>
      <c r="AB286" s="36"/>
      <c r="AC286" s="36"/>
      <c r="AD286" s="36"/>
      <c r="AE286" s="36"/>
      <c r="AF286" s="36"/>
      <c r="AG286" s="36"/>
      <c r="AH286" s="36"/>
      <c r="AI286" s="36"/>
      <c r="AJ286" s="242"/>
      <c r="AK286" s="36"/>
      <c r="AL286" s="36"/>
      <c r="AM286" s="36"/>
    </row>
    <row r="287" spans="6:39" ht="15" customHeight="1" outlineLevel="1">
      <c r="G287" s="6" t="s">
        <v>203</v>
      </c>
      <c r="H287" s="831"/>
      <c r="I287" s="831">
        <f>IFERROR((ROUNDUP(I284,1)*((1/60)*(#REF!+#REF!*(#REF!+(#REF!*(Baseline_Results_NOINDIRECT!I$52/#REF!/#REF!))))))+((2*#REF!)/#REF!)+(((MAX(I284,1)-1)*#REF!)/#REF!),0)</f>
        <v>0</v>
      </c>
      <c r="J287" s="831">
        <f>IFERROR((ROUNDUP(J284,1)*((1/60)*(#REF!+#REF!*(#REF!+(#REF!*(Baseline_Results_NOINDIRECT!J$52/#REF!/#REF!))))))+((2*#REF!)/#REF!)+(((MAX(J284,1)-1)*#REF!)/#REF!),0)</f>
        <v>0</v>
      </c>
      <c r="K287" s="831">
        <f>IFERROR((ROUNDUP(K284,1)*((1/60)*(#REF!+#REF!*(#REF!+(#REF!*(Baseline_Results_NOINDIRECT!K$52/#REF!/#REF!))))))+((2*#REF!)/#REF!)+(((MAX(K284,1)-1)*#REF!)/#REF!),0)</f>
        <v>0</v>
      </c>
      <c r="L287" s="831">
        <f>IFERROR((ROUNDUP(L284,1)*((1/60)*(#REF!+#REF!*(#REF!+(#REF!*(Baseline_Results_NOINDIRECT!L$52/#REF!/#REF!))))))+((2*#REF!)/#REF!)+(((MAX(L284,1)-1)*#REF!)/#REF!),0)</f>
        <v>0</v>
      </c>
      <c r="M287" s="831">
        <f>IFERROR((ROUNDUP(M284,1)*((1/60)*(#REF!+#REF!*(#REF!+(#REF!*(Baseline_Results_NOINDIRECT!M$52/#REF!/#REF!))))))+((2*#REF!)/#REF!)+(((MAX(M284,1)-1)*#REF!)/#REF!),0)</f>
        <v>0</v>
      </c>
      <c r="N287" s="831">
        <f>IFERROR((ROUNDUP(N284,1)*((1/60)*(#REF!+#REF!*(#REF!+(#REF!*(Baseline_Results_NOINDIRECT!N$52/#REF!/#REF!))))))+((2*#REF!)/#REF!)+(((MAX(N284,1)-1)*#REF!)/#REF!),0)</f>
        <v>0</v>
      </c>
      <c r="O287" s="831">
        <f>IFERROR((ROUNDUP(O284,1)*((1/60)*(#REF!+#REF!*(#REF!+(#REF!*(Baseline_Results_NOINDIRECT!O$52/#REF!/#REF!))))))+((2*#REF!)/#REF!)+(((MAX(O284,1)-1)*#REF!)/#REF!),0)</f>
        <v>0</v>
      </c>
      <c r="P287" s="831">
        <f>IFERROR((ROUNDUP(P284,1)*((1/60)*(#REF!+#REF!*(#REF!+(#REF!*(Baseline_Results_NOINDIRECT!P$52/#REF!/#REF!))))))+((2*#REF!)/#REF!)+(((MAX(P284,1)-1)*#REF!)/#REF!),0)</f>
        <v>0</v>
      </c>
      <c r="Q287" s="831">
        <f>IFERROR((ROUNDUP(Q284,1)*((1/60)*(#REF!+#REF!*(#REF!+(#REF!*(Baseline_Results_NOINDIRECT!Q$52/#REF!/#REF!))))))+((2*#REF!)/#REF!)+(((MAX(Q284,1)-1)*#REF!)/#REF!),0)</f>
        <v>0</v>
      </c>
      <c r="R287" s="831">
        <f>IFERROR((ROUNDUP(R284,1)*((1/60)*(#REF!+#REF!*(#REF!+(#REF!*(Baseline_Results_NOINDIRECT!R$52/#REF!/#REF!))))))+((2*#REF!)/#REF!)+(((MAX(R284,1)-1)*#REF!)/#REF!),0)</f>
        <v>0</v>
      </c>
      <c r="S287" s="831">
        <f>IFERROR((ROUNDUP(S284,1)*((1/60)*(#REF!+#REF!*(#REF!+(#REF!*(Baseline_Results_NOINDIRECT!S$52/#REF!/#REF!))))))+((2*#REF!)/#REF!)+(((MAX(S284,1)-1)*#REF!)/#REF!),0)</f>
        <v>0</v>
      </c>
      <c r="T287" s="831">
        <f>IFERROR((ROUNDUP(T284,1)*((1/60)*(#REF!+#REF!*(#REF!+(#REF!*(Baseline_Results_NOINDIRECT!T$52/#REF!/#REF!))))))+((2*#REF!)/#REF!)+(((MAX(T284,1)-1)*#REF!)/#REF!),0)</f>
        <v>0</v>
      </c>
      <c r="U287" s="831">
        <f>IFERROR((ROUNDUP(U284,1)*((1/60)*(#REF!+#REF!*(#REF!+(#REF!*(Baseline_Results_NOINDIRECT!U$52/#REF!/#REF!))))))+((2*#REF!)/#REF!)+(((MAX(U284,1)-1)*#REF!)/#REF!),0)</f>
        <v>0</v>
      </c>
      <c r="V287" s="831">
        <f>IFERROR((ROUNDUP(V284,1)*((1/60)*(#REF!+#REF!*(#REF!+(#REF!*(Baseline_Results_NOINDIRECT!V$52/#REF!/#REF!))))))+((2*#REF!)/#REF!)+(((MAX(V284,1)-1)*#REF!)/#REF!),0)</f>
        <v>0</v>
      </c>
      <c r="W287" s="831">
        <f>IFERROR((ROUNDUP(W284,1)*((1/60)*(#REF!+#REF!*(#REF!+(#REF!*(Baseline_Results_NOINDIRECT!W$52/#REF!/#REF!))))))+((2*#REF!)/#REF!)+(((MAX(W284,1)-1)*#REF!)/#REF!),0)</f>
        <v>0</v>
      </c>
      <c r="X287" s="36"/>
      <c r="Y287" s="36"/>
      <c r="Z287" s="36"/>
      <c r="AA287" s="36"/>
      <c r="AB287" s="36"/>
      <c r="AC287" s="36"/>
      <c r="AD287" s="36" t="s">
        <v>205</v>
      </c>
      <c r="AE287" s="36"/>
      <c r="AF287" s="36"/>
      <c r="AG287" s="36"/>
      <c r="AH287" s="36"/>
      <c r="AI287" s="36"/>
      <c r="AJ287" s="242"/>
      <c r="AK287" s="36"/>
      <c r="AL287" s="36"/>
      <c r="AM287" s="36"/>
    </row>
    <row r="288" spans="6:39" ht="15" customHeight="1" outlineLevel="1">
      <c r="G288" s="6" t="s">
        <v>204</v>
      </c>
      <c r="H288" s="831"/>
      <c r="I288" s="831">
        <f>IFERROR((#REF!*#REF!*#REF!)/I287,0)</f>
        <v>0</v>
      </c>
      <c r="J288" s="831">
        <f>IFERROR((#REF!*#REF!*#REF!)/J287,0)</f>
        <v>0</v>
      </c>
      <c r="K288" s="831">
        <f>IFERROR((#REF!*#REF!*#REF!)/K287,0)</f>
        <v>0</v>
      </c>
      <c r="L288" s="831">
        <f>IFERROR((#REF!*#REF!*#REF!)/L287,0)</f>
        <v>0</v>
      </c>
      <c r="M288" s="831">
        <f>IFERROR((#REF!*#REF!*#REF!)/M287,0)</f>
        <v>0</v>
      </c>
      <c r="N288" s="831">
        <f>IFERROR((#REF!*#REF!*#REF!)/N287,0)</f>
        <v>0</v>
      </c>
      <c r="O288" s="831">
        <f>IFERROR((#REF!*#REF!*#REF!)/O287,0)</f>
        <v>0</v>
      </c>
      <c r="P288" s="831">
        <f>IFERROR((#REF!*#REF!*#REF!)/P287,0)</f>
        <v>0</v>
      </c>
      <c r="Q288" s="831">
        <f>IFERROR((#REF!*#REF!*#REF!)/Q287,0)</f>
        <v>0</v>
      </c>
      <c r="R288" s="831">
        <f>IFERROR((#REF!*#REF!*#REF!)/R287,0)</f>
        <v>0</v>
      </c>
      <c r="S288" s="831">
        <f>IFERROR((#REF!*#REF!*#REF!)/S287,0)</f>
        <v>0</v>
      </c>
      <c r="T288" s="831">
        <f>IFERROR((#REF!*#REF!*#REF!)/T287,0)</f>
        <v>0</v>
      </c>
      <c r="U288" s="831">
        <f>IFERROR((#REF!*#REF!*#REF!)/U287,0)</f>
        <v>0</v>
      </c>
      <c r="V288" s="831">
        <f>IFERROR((#REF!*#REF!*#REF!)/V287,0)</f>
        <v>0</v>
      </c>
      <c r="W288" s="831">
        <f>IFERROR((#REF!*#REF!*#REF!)/W287,0)</f>
        <v>0</v>
      </c>
      <c r="X288" s="36"/>
      <c r="Y288" s="36"/>
      <c r="Z288" s="36"/>
      <c r="AA288" s="36"/>
      <c r="AB288" s="36"/>
      <c r="AC288" s="36"/>
      <c r="AD288" s="36"/>
      <c r="AE288" s="36"/>
      <c r="AF288" s="36"/>
      <c r="AG288" s="36"/>
      <c r="AH288" s="36"/>
      <c r="AI288" s="36"/>
      <c r="AJ288" s="242"/>
      <c r="AK288" s="36"/>
      <c r="AL288" s="36"/>
      <c r="AM288" s="36"/>
    </row>
    <row r="289" spans="6:39" ht="15" customHeight="1" outlineLevel="1">
      <c r="G289" s="70" t="s">
        <v>134</v>
      </c>
      <c r="H289" s="829"/>
      <c r="I289" s="829"/>
      <c r="J289" s="829"/>
      <c r="K289" s="829"/>
      <c r="L289" s="829"/>
      <c r="M289" s="829"/>
      <c r="N289" s="829"/>
      <c r="O289" s="829"/>
      <c r="P289" s="829"/>
      <c r="Q289" s="829"/>
      <c r="R289" s="833"/>
      <c r="S289" s="833"/>
      <c r="T289" s="829"/>
      <c r="U289" s="833"/>
      <c r="V289" s="833"/>
      <c r="W289" s="829"/>
      <c r="X289" s="36"/>
      <c r="Y289" s="36"/>
      <c r="Z289" s="36"/>
      <c r="AA289" s="36"/>
      <c r="AB289" s="36"/>
      <c r="AC289" s="36"/>
      <c r="AD289" s="36"/>
      <c r="AE289" s="36"/>
      <c r="AF289" s="36"/>
      <c r="AG289" s="36"/>
      <c r="AH289" s="36"/>
      <c r="AI289" s="36"/>
      <c r="AJ289" s="242"/>
      <c r="AK289" s="36"/>
      <c r="AL289" s="36"/>
      <c r="AM289" s="36"/>
    </row>
    <row r="290" spans="6:39" ht="15" customHeight="1" outlineLevel="1">
      <c r="G290" t="s">
        <v>206</v>
      </c>
      <c r="H290" s="826"/>
      <c r="I290" s="826">
        <f>IFERROR(I279*#REF!,0)</f>
        <v>0</v>
      </c>
      <c r="J290" s="826">
        <f>IFERROR(J279*#REF!,0)</f>
        <v>0</v>
      </c>
      <c r="K290" s="826">
        <f>IFERROR(K279*#REF!,0)</f>
        <v>0</v>
      </c>
      <c r="L290" s="826">
        <f>IFERROR(L279*#REF!,0)</f>
        <v>0</v>
      </c>
      <c r="M290" s="826">
        <f>IFERROR(M279*#REF!,0)</f>
        <v>0</v>
      </c>
      <c r="N290" s="826">
        <f>IFERROR(N279*#REF!,0)</f>
        <v>0</v>
      </c>
      <c r="O290" s="826">
        <f>IFERROR(O279*#REF!,0)</f>
        <v>0</v>
      </c>
      <c r="P290" s="826">
        <f>IFERROR(P279*#REF!,0)</f>
        <v>0</v>
      </c>
      <c r="Q290" s="826">
        <f>IFERROR(Q279*#REF!,0)</f>
        <v>0</v>
      </c>
      <c r="R290" s="833">
        <f>IFERROR(R279*#REF!,0)</f>
        <v>0</v>
      </c>
      <c r="S290" s="833">
        <f>IFERROR(S279*#REF!,0)</f>
        <v>0</v>
      </c>
      <c r="T290" s="826">
        <f>IFERROR(T279*#REF!,0)</f>
        <v>0</v>
      </c>
      <c r="U290" s="833">
        <f>IFERROR(U279*#REF!,0)</f>
        <v>0</v>
      </c>
      <c r="V290" s="833">
        <f>IFERROR(V279*#REF!,0)</f>
        <v>0</v>
      </c>
      <c r="W290" s="826">
        <f>IFERROR(W279*#REF!,0)</f>
        <v>0</v>
      </c>
      <c r="X290" s="36"/>
      <c r="Y290" s="36"/>
      <c r="Z290" s="36"/>
      <c r="AA290" s="36" t="s">
        <v>192</v>
      </c>
      <c r="AB290" s="36"/>
      <c r="AC290" s="36" t="s">
        <v>193</v>
      </c>
      <c r="AD290" s="36"/>
      <c r="AE290" s="36"/>
      <c r="AF290" s="36"/>
      <c r="AG290" s="36"/>
      <c r="AH290" s="36"/>
      <c r="AI290" s="36"/>
      <c r="AJ290" s="36"/>
      <c r="AK290" s="36"/>
      <c r="AL290" s="36"/>
      <c r="AM290" s="36"/>
    </row>
    <row r="291" spans="6:39" ht="15" customHeight="1" outlineLevel="1">
      <c r="G291" t="s">
        <v>87</v>
      </c>
      <c r="H291" s="826"/>
      <c r="I291" s="826">
        <f>IFERROR(IF(I279=0,0,2*#REF!),0)</f>
        <v>0</v>
      </c>
      <c r="J291" s="826">
        <f>IFERROR(IF(J279=0,0,2*#REF!),0)</f>
        <v>0</v>
      </c>
      <c r="K291" s="826">
        <f>IFERROR(IF(K279=0,0,2*#REF!),0)</f>
        <v>0</v>
      </c>
      <c r="L291" s="826">
        <f>IFERROR(IF(L279=0,0,2*#REF!),0)</f>
        <v>0</v>
      </c>
      <c r="M291" s="826">
        <f>IFERROR(IF(M279=0,0,2*#REF!),0)</f>
        <v>0</v>
      </c>
      <c r="N291" s="826">
        <f>IFERROR(IF(N279=0,0,2*#REF!),0)</f>
        <v>0</v>
      </c>
      <c r="O291" s="826">
        <f>IFERROR(IF(O279=0,0,2*#REF!),0)</f>
        <v>0</v>
      </c>
      <c r="P291" s="826">
        <f>IFERROR(IF(P279=0,0,2*#REF!),0)</f>
        <v>0</v>
      </c>
      <c r="Q291" s="826">
        <f>IFERROR(IF(Q279=0,0,2*#REF!),0)</f>
        <v>0</v>
      </c>
      <c r="R291" s="826">
        <f>IFERROR(IF(R279=0,0,2*#REF!),0)</f>
        <v>0</v>
      </c>
      <c r="S291" s="826">
        <f>IFERROR(IF(S279=0,0,2*#REF!),0)</f>
        <v>0</v>
      </c>
      <c r="T291" s="826">
        <f>IFERROR(IF(T279=0,0,2*#REF!),0)</f>
        <v>0</v>
      </c>
      <c r="U291" s="826">
        <f>IFERROR(IF(U279=0,0,2*#REF!),0)</f>
        <v>0</v>
      </c>
      <c r="V291" s="826">
        <f>IFERROR(IF(V279=0,0,2*#REF!),0)</f>
        <v>0</v>
      </c>
      <c r="W291" s="826">
        <f>IFERROR(IF(W279=0,0,2*#REF!),0)</f>
        <v>0</v>
      </c>
      <c r="X291" s="36"/>
      <c r="Y291" s="36"/>
      <c r="Z291" s="36"/>
      <c r="AA291" s="36" t="s">
        <v>194</v>
      </c>
      <c r="AB291" s="36"/>
      <c r="AC291" s="36" t="s">
        <v>195</v>
      </c>
      <c r="AD291" s="36"/>
      <c r="AE291" s="36"/>
      <c r="AF291" s="36"/>
      <c r="AG291" s="36"/>
      <c r="AH291" s="36"/>
      <c r="AI291" s="36"/>
      <c r="AJ291" s="36"/>
      <c r="AK291" s="36"/>
      <c r="AL291" s="36"/>
      <c r="AM291" s="36"/>
    </row>
    <row r="292" spans="6:39" ht="15" customHeight="1" outlineLevel="1">
      <c r="G292" s="6" t="s">
        <v>204</v>
      </c>
      <c r="H292" s="828"/>
      <c r="I292" s="828">
        <f>IFERROR((#REF!*#REF!*#REF!)/((I291/#REF!)+((1/60)*(#REF!+#REF!*(#REF!+(#REF!*(Baseline_Results_NOINDIRECT!I$52/#REF!/#REF!)))))),0)</f>
        <v>0</v>
      </c>
      <c r="J292" s="828">
        <f>IFERROR((#REF!*#REF!*#REF!)/((J291/#REF!)+((1/60)*(#REF!+#REF!*(#REF!+(#REF!*(Baseline_Results_NOINDIRECT!J$52/#REF!/#REF!)))))),0)</f>
        <v>0</v>
      </c>
      <c r="K292" s="828">
        <f>IFERROR((#REF!*#REF!*#REF!)/((K291/#REF!)+((1/60)*(#REF!+#REF!*(#REF!+(#REF!*(Baseline_Results_NOINDIRECT!K$52/#REF!/#REF!)))))),0)</f>
        <v>0</v>
      </c>
      <c r="L292" s="828">
        <f>IFERROR((#REF!*#REF!*#REF!)/((L291/#REF!)+((1/60)*(#REF!+#REF!*(#REF!+(#REF!*(Baseline_Results_NOINDIRECT!L$52/#REF!/#REF!)))))),0)</f>
        <v>0</v>
      </c>
      <c r="M292" s="828">
        <f>IFERROR((#REF!*#REF!*#REF!)/((M291/#REF!)+((1/60)*(#REF!+#REF!*(#REF!+(#REF!*(Baseline_Results_NOINDIRECT!M$52/#REF!/#REF!)))))),0)</f>
        <v>0</v>
      </c>
      <c r="N292" s="828">
        <f>IFERROR((#REF!*#REF!*#REF!)/((N291/#REF!)+((1/60)*(#REF!+#REF!*(#REF!+(#REF!*(Baseline_Results_NOINDIRECT!N$52/#REF!/#REF!)))))),0)</f>
        <v>0</v>
      </c>
      <c r="O292" s="828">
        <f>IFERROR((#REF!*#REF!*#REF!)/((O291/#REF!)+((1/60)*(#REF!+#REF!*(#REF!+(#REF!*(Baseline_Results_NOINDIRECT!O$52/#REF!/#REF!)))))),0)</f>
        <v>0</v>
      </c>
      <c r="P292" s="828">
        <f>IFERROR((#REF!*#REF!*#REF!)/((P291/#REF!)+((1/60)*(#REF!+#REF!*(#REF!+(#REF!*(Baseline_Results_NOINDIRECT!P$52/#REF!/#REF!)))))),0)</f>
        <v>0</v>
      </c>
      <c r="Q292" s="828">
        <f>IFERROR((#REF!*#REF!*#REF!)/((Q291/#REF!)+((1/60)*(#REF!+#REF!*(#REF!+(#REF!*(Baseline_Results_NOINDIRECT!Q$52/#REF!/#REF!)))))),0)</f>
        <v>0</v>
      </c>
      <c r="R292" s="833">
        <f>IFERROR((#REF!*#REF!*#REF!)/((R291/#REF!)+((1/60)*(#REF!+#REF!*(#REF!+(#REF!*(Baseline_Results_NOINDIRECT!R$52/#REF!/#REF!)))))),0)</f>
        <v>0</v>
      </c>
      <c r="S292" s="833">
        <f>IFERROR((#REF!*#REF!*#REF!)/((S291/#REF!)+((1/60)*(#REF!+#REF!*(#REF!+(#REF!*(Baseline_Results_NOINDIRECT!S$52/#REF!/#REF!)))))),0)</f>
        <v>0</v>
      </c>
      <c r="T292" s="828">
        <f>IFERROR((#REF!*#REF!*#REF!)/((T291/#REF!)+((1/60)*(#REF!+#REF!*(#REF!+(#REF!*(Baseline_Results_NOINDIRECT!T$52/#REF!/#REF!)))))),0)</f>
        <v>0</v>
      </c>
      <c r="U292" s="833">
        <f>IFERROR((#REF!*#REF!*#REF!)/((U291/#REF!)+((1/60)*(#REF!+#REF!*(#REF!+(#REF!*(Baseline_Results_NOINDIRECT!U$52/#REF!/#REF!)))))),0)</f>
        <v>0</v>
      </c>
      <c r="V292" s="833">
        <f>IFERROR((#REF!*#REF!*#REF!)/((V291/#REF!)+((1/60)*(#REF!+#REF!*(#REF!+(#REF!*(Baseline_Results_NOINDIRECT!V$52/#REF!/#REF!)))))),0)</f>
        <v>0</v>
      </c>
      <c r="W292" s="828">
        <f>IFERROR((#REF!*#REF!*#REF!)/((W291/#REF!)+((1/60)*(#REF!+#REF!*(#REF!+(#REF!*(Baseline_Results_NOINDIRECT!W$52/#REF!/#REF!)))))),0)</f>
        <v>0</v>
      </c>
      <c r="X292" s="36"/>
      <c r="Y292" s="36"/>
      <c r="Z292" s="36"/>
      <c r="AA292" s="36" t="s">
        <v>196</v>
      </c>
      <c r="AB292" s="36"/>
      <c r="AC292" s="36" t="s">
        <v>197</v>
      </c>
      <c r="AD292" s="36"/>
      <c r="AE292" s="36"/>
      <c r="AF292" s="36"/>
      <c r="AG292" s="36"/>
      <c r="AH292" s="36"/>
      <c r="AI292" s="36"/>
      <c r="AJ292" s="36"/>
      <c r="AK292" s="36"/>
      <c r="AL292" s="36"/>
      <c r="AM292" s="36"/>
    </row>
    <row r="293" spans="6:39" ht="15" customHeight="1">
      <c r="F293" s="858" t="s">
        <v>153</v>
      </c>
      <c r="G293" s="859"/>
      <c r="H293" s="864"/>
      <c r="I293" s="864"/>
      <c r="J293" s="864"/>
      <c r="K293" s="864" t="s">
        <v>842</v>
      </c>
      <c r="L293" s="864"/>
      <c r="M293" s="864"/>
      <c r="N293" s="864" t="s">
        <v>843</v>
      </c>
      <c r="O293" s="864"/>
      <c r="P293" s="864"/>
      <c r="Q293" s="832" t="s">
        <v>844</v>
      </c>
      <c r="R293" s="833"/>
      <c r="S293" s="833"/>
      <c r="T293" s="832" t="s">
        <v>845</v>
      </c>
      <c r="U293" s="834"/>
      <c r="V293" s="834"/>
      <c r="W293" s="832" t="s">
        <v>846</v>
      </c>
      <c r="X293" s="36"/>
      <c r="Y293" s="36"/>
      <c r="Z293" s="36"/>
      <c r="AA293" s="36" t="s">
        <v>230</v>
      </c>
      <c r="AB293" s="36"/>
      <c r="AC293" s="36" t="s">
        <v>229</v>
      </c>
      <c r="AD293" s="36"/>
      <c r="AE293" s="36"/>
      <c r="AF293" s="36"/>
      <c r="AG293" s="36"/>
      <c r="AH293" s="36"/>
      <c r="AI293" s="36"/>
      <c r="AJ293" s="36"/>
      <c r="AK293" s="36"/>
      <c r="AL293" s="36"/>
      <c r="AM293" s="36"/>
    </row>
    <row r="294" spans="6:39" ht="15" customHeight="1" outlineLevel="1">
      <c r="F294" s="71" t="s">
        <v>149</v>
      </c>
      <c r="G294" s="71"/>
      <c r="H294" s="865"/>
      <c r="I294" s="865"/>
      <c r="J294" s="865"/>
      <c r="K294" s="865"/>
      <c r="L294" s="865"/>
      <c r="M294" s="865"/>
      <c r="N294" s="865"/>
      <c r="O294" s="866"/>
      <c r="P294" s="866"/>
      <c r="Q294" s="825"/>
      <c r="R294" s="835"/>
      <c r="S294" s="835"/>
      <c r="T294" s="825"/>
      <c r="U294" s="835"/>
      <c r="V294" s="835"/>
      <c r="W294" s="825"/>
      <c r="X294" s="36"/>
      <c r="Y294" s="36"/>
      <c r="Z294" s="36"/>
      <c r="AA294" s="36"/>
      <c r="AB294" s="36"/>
      <c r="AC294" s="36"/>
      <c r="AD294" s="36"/>
      <c r="AE294" s="36"/>
      <c r="AF294" s="36"/>
      <c r="AG294" s="36"/>
      <c r="AH294" s="36"/>
      <c r="AI294" s="36"/>
      <c r="AJ294" s="242"/>
      <c r="AK294" s="36"/>
      <c r="AL294" s="36"/>
      <c r="AM294" s="36"/>
    </row>
    <row r="295" spans="6:39" ht="15" customHeight="1" outlineLevel="1">
      <c r="G295" s="6" t="s">
        <v>146</v>
      </c>
      <c r="H295" s="837"/>
      <c r="I295" s="837">
        <f>IFERROR(IF(COUNTIF(#REF!,"Public Transport*")=1,IF(#REF!="Route-based",I302*#REF!,IF(#REF!="Point-to-point",I305*#REF!,0)),0),0)</f>
        <v>0</v>
      </c>
      <c r="J295" s="837">
        <f>IFERROR(IF(COUNTIF(#REF!,"Public Transport*")=1,IF(#REF!="Route-based",J302*#REF!,IF(#REF!="Point-to-point",J305*#REF!,0)),0),0)</f>
        <v>0</v>
      </c>
      <c r="K295" s="837">
        <f>IFERROR(IF(COUNTIF(#REF!,"Public Transport*")=1,IF(#REF!="Route-based",K302*#REF!,IF(#REF!="Point-to-point",K305*#REF!,0)),0),0)</f>
        <v>0</v>
      </c>
      <c r="L295" s="837">
        <f>IFERROR(IF(COUNTIF(#REF!,"Public Transport*")=1,IF(#REF!="Route-based",L302*#REF!,IF(#REF!="Point-to-point",L305*#REF!,0)),0),0)</f>
        <v>0</v>
      </c>
      <c r="M295" s="837">
        <f>IFERROR(IF(COUNTIF(#REF!,"Public Transport*")=1,IF(#REF!="Route-based",M302*#REF!,IF(#REF!="Point-to-point",M305*#REF!,0)),0),0)</f>
        <v>0</v>
      </c>
      <c r="N295" s="837">
        <f>IFERROR(IF(COUNTIF(#REF!,"Public Transport*")=1,IF(#REF!="Route-based",N302*#REF!,IF(#REF!="Point-to-point",N305*#REF!,0)),0),0)</f>
        <v>0</v>
      </c>
      <c r="O295" s="837">
        <f>IFERROR(IF(COUNTIF(#REF!,"Public Transport*")=1,IF(#REF!="Route-based",O302*#REF!,IF(#REF!="Point-to-point",O305*#REF!,0)),0),0)</f>
        <v>0</v>
      </c>
      <c r="P295" s="837">
        <f>IFERROR(IF(COUNTIF(#REF!,"Public Transport*")=1,IF(#REF!="Route-based",P302*#REF!,IF(#REF!="Point-to-point",P305*#REF!,0)),0),0)</f>
        <v>0</v>
      </c>
      <c r="Q295" s="837">
        <f>IFERROR(IF(COUNTIF(#REF!,"Public Transport*")=1,IF(#REF!="Route-based",Q302*#REF!,IF(#REF!="Point-to-point",Q305*#REF!,0)),0),0)</f>
        <v>0</v>
      </c>
      <c r="R295" s="853"/>
      <c r="S295" s="853"/>
      <c r="T295" s="837">
        <f>IFERROR(IF(COUNTIF(#REF!,"Public Transport*")=1,IF(#REF!="Route-based",T302*#REF!,IF(#REF!="Point-to-point",T305*#REF!,0)),0),0)</f>
        <v>0</v>
      </c>
      <c r="U295" s="853"/>
      <c r="V295" s="853"/>
      <c r="W295" s="837">
        <f>IFERROR(IF(COUNTIF(#REF!,"Public Transport*")=1,IF(#REF!="Route-based",W302*#REF!,IF(#REF!="Point-to-point",W305*#REF!,0)),0),0)</f>
        <v>0</v>
      </c>
      <c r="X295" s="36"/>
      <c r="Y295" s="36"/>
      <c r="Z295" s="36"/>
      <c r="AA295" s="36"/>
      <c r="AB295" s="36"/>
      <c r="AC295" s="36"/>
      <c r="AD295" s="36"/>
      <c r="AE295" s="36"/>
      <c r="AF295" s="36"/>
      <c r="AG295" s="36"/>
      <c r="AH295" s="36"/>
      <c r="AI295" s="36"/>
      <c r="AJ295" s="242"/>
      <c r="AK295" s="36"/>
      <c r="AL295" s="36"/>
      <c r="AM295" s="36"/>
    </row>
    <row r="296" spans="6:39" ht="15" customHeight="1" outlineLevel="1">
      <c r="G296" s="6" t="s">
        <v>147</v>
      </c>
      <c r="H296" s="837"/>
      <c r="I296" s="837">
        <f>IFERROR(IF(#REF!="Route-based",I303*#REF!,IF(#REF!="Point-to-point",I306*#REF!,0)),0)</f>
        <v>0</v>
      </c>
      <c r="J296" s="837">
        <f>IFERROR(IF(#REF!="Route-based",J303*#REF!,IF(#REF!="Point-to-point",J306*#REF!,0)),0)</f>
        <v>0</v>
      </c>
      <c r="K296" s="837">
        <f>IFERROR(IF(#REF!="Route-based",K303*#REF!,IF(#REF!="Point-to-point",K306*#REF!,0)),0)</f>
        <v>0</v>
      </c>
      <c r="L296" s="837">
        <f>IFERROR(IF(#REF!="Route-based",L303*#REF!,IF(#REF!="Point-to-point",L306*#REF!,0)),0)</f>
        <v>0</v>
      </c>
      <c r="M296" s="837">
        <f>IFERROR(IF(#REF!="Route-based",M303*#REF!,IF(#REF!="Point-to-point",M306*#REF!,0)),0)</f>
        <v>0</v>
      </c>
      <c r="N296" s="837">
        <f>IFERROR(IF(#REF!="Route-based",N303*#REF!,IF(#REF!="Point-to-point",N306*#REF!,0)),0)</f>
        <v>0</v>
      </c>
      <c r="O296" s="837">
        <f>IFERROR(IF(#REF!="Route-based",O303*#REF!,IF(#REF!="Point-to-point",O306*#REF!,0)),0)</f>
        <v>0</v>
      </c>
      <c r="P296" s="837">
        <f>IFERROR(IF(#REF!="Route-based",P303*#REF!,IF(#REF!="Point-to-point",P306*#REF!,0)),0)</f>
        <v>0</v>
      </c>
      <c r="Q296" s="837">
        <f>IFERROR(IF(#REF!="Route-based",Q303*#REF!,IF(#REF!="Point-to-point",Q306*#REF!,0)),0)</f>
        <v>0</v>
      </c>
      <c r="R296" s="853"/>
      <c r="S296" s="853"/>
      <c r="T296" s="837">
        <f>IFERROR(IF(#REF!="Route-based",T303*#REF!,IF(#REF!="Point-to-point",T306*#REF!,0)),0)</f>
        <v>0</v>
      </c>
      <c r="U296" s="853"/>
      <c r="V296" s="853"/>
      <c r="W296" s="837">
        <f>IFERROR(IF(#REF!="Route-based",W303*#REF!,IF(#REF!="Point-to-point",W306*#REF!,0)),0)</f>
        <v>0</v>
      </c>
      <c r="X296" s="36"/>
      <c r="Y296" s="36"/>
      <c r="Z296" s="36"/>
      <c r="AA296" s="36"/>
      <c r="AB296" s="36"/>
      <c r="AC296" s="36"/>
      <c r="AD296" s="36"/>
      <c r="AE296" s="36"/>
      <c r="AF296" s="36"/>
      <c r="AG296" s="36"/>
      <c r="AH296" s="36"/>
      <c r="AI296" s="36"/>
      <c r="AJ296" s="242"/>
      <c r="AK296" s="36"/>
      <c r="AL296" s="36"/>
      <c r="AM296" s="36"/>
    </row>
    <row r="297" spans="6:39" ht="15" customHeight="1" outlineLevel="1">
      <c r="G297" s="6" t="s">
        <v>142</v>
      </c>
      <c r="H297" s="841"/>
      <c r="I297" s="841">
        <f>IFERROR(IF(COUNTIF(#REF!,"Public Transport*")&gt;0,ROUND(#REF!*#REF!,0),0),0)</f>
        <v>0</v>
      </c>
      <c r="J297" s="841">
        <f>IFERROR(IF(COUNTIF(#REF!,"Public Transport*")&gt;0,ROUND(#REF!*#REF!,0),0),0)</f>
        <v>0</v>
      </c>
      <c r="K297" s="841">
        <f>IFERROR(IF(COUNTIF(#REF!,"Public Transport*")&gt;0,ROUND(#REF!*#REF!,0),0),0)</f>
        <v>0</v>
      </c>
      <c r="L297" s="841">
        <f>IFERROR(IF(COUNTIF(#REF!,"Public Transport*")&gt;0,ROUND(#REF!*#REF!,0),0),0)</f>
        <v>0</v>
      </c>
      <c r="M297" s="841">
        <f>IFERROR(IF(COUNTIF(#REF!,"Public Transport*")&gt;0,ROUND(#REF!*#REF!,0),0),0)</f>
        <v>0</v>
      </c>
      <c r="N297" s="841">
        <f>IFERROR(IF(COUNTIF(#REF!,"Public Transport*")&gt;0,ROUND(#REF!*#REF!,0),0),0)</f>
        <v>0</v>
      </c>
      <c r="O297" s="841">
        <f>IFERROR(IF(COUNTIF(#REF!,"Public Transport*")&gt;0,ROUND(#REF!*#REF!,0),0),0)</f>
        <v>0</v>
      </c>
      <c r="P297" s="841">
        <f>IFERROR(IF(COUNTIF(#REF!,"Public Transport*")&gt;0,ROUND(#REF!*#REF!,0),0),0)</f>
        <v>0</v>
      </c>
      <c r="Q297" s="841">
        <f>IFERROR(IF(COUNTIF(#REF!,"Public Transport*")&gt;0,ROUND(#REF!*#REF!,0),0),0)</f>
        <v>0</v>
      </c>
      <c r="R297" s="853"/>
      <c r="S297" s="853"/>
      <c r="T297" s="841">
        <f>IFERROR(IF(COUNTIF(#REF!,"Public Transport*")&gt;0,ROUND(#REF!*#REF!,0),0),0)</f>
        <v>0</v>
      </c>
      <c r="U297" s="853"/>
      <c r="V297" s="853"/>
      <c r="W297" s="841">
        <f>IFERROR(IF(COUNTIF(#REF!,"Public Transport*")&gt;0,ROUND(#REF!*#REF!,0),0),0)</f>
        <v>0</v>
      </c>
      <c r="X297" s="36"/>
      <c r="Y297" s="36"/>
      <c r="Z297" s="36"/>
      <c r="AA297" s="36"/>
      <c r="AB297" s="36"/>
      <c r="AC297" s="36"/>
      <c r="AD297" s="36"/>
      <c r="AE297" s="36"/>
      <c r="AF297" s="36"/>
      <c r="AG297" s="36"/>
      <c r="AH297" s="36"/>
      <c r="AI297" s="36"/>
      <c r="AJ297" s="36"/>
      <c r="AK297" s="36"/>
      <c r="AL297" s="36"/>
      <c r="AM297" s="36"/>
    </row>
    <row r="298" spans="6:39" ht="15" customHeight="1" outlineLevel="1">
      <c r="G298" s="241" t="s">
        <v>150</v>
      </c>
      <c r="H298" s="842"/>
      <c r="I298" s="842"/>
      <c r="J298" s="842"/>
      <c r="K298" s="842"/>
      <c r="L298" s="842"/>
      <c r="M298" s="842"/>
      <c r="N298" s="842"/>
      <c r="O298" s="842"/>
      <c r="P298" s="842"/>
      <c r="Q298" s="842"/>
      <c r="R298" s="853"/>
      <c r="S298" s="853"/>
      <c r="T298" s="842"/>
      <c r="U298" s="853"/>
      <c r="V298" s="853"/>
      <c r="W298" s="842"/>
      <c r="X298" s="36"/>
      <c r="Y298" s="36"/>
      <c r="Z298" s="36"/>
      <c r="AA298" s="36"/>
      <c r="AB298" s="36"/>
      <c r="AC298" s="36"/>
      <c r="AD298" s="36"/>
      <c r="AE298" s="36"/>
      <c r="AF298" s="36"/>
      <c r="AG298" s="36"/>
      <c r="AH298" s="36"/>
      <c r="AI298" s="36"/>
      <c r="AJ298" s="36"/>
      <c r="AK298" s="36"/>
      <c r="AL298" s="36"/>
      <c r="AM298" s="36"/>
    </row>
    <row r="299" spans="6:39" ht="15" customHeight="1" outlineLevel="1">
      <c r="G299" s="6" t="s">
        <v>140</v>
      </c>
      <c r="H299" s="836"/>
      <c r="I299" s="836">
        <f>IFERROR(ROUND(#REF!/(((1/60)*(#REF!+#REF!*(#REF!+(#REF!*(Baseline_Results_NOINDIRECT!I$52/#REF!/#REF!)))))+INDEX(#REF!,MATCH(#REF!&amp;"Average duration (hrs) per trip",#REF!,0))),1),0)</f>
        <v>0</v>
      </c>
      <c r="J299" s="836">
        <f>IFERROR(ROUND(#REF!/(((1/60)*(#REF!+#REF!*(#REF!+(#REF!*(Baseline_Results_NOINDIRECT!J$52/#REF!/#REF!)))))+INDEX(#REF!,MATCH(#REF!&amp;"Average duration (hrs) per trip",#REF!,0))),1),0)</f>
        <v>0</v>
      </c>
      <c r="K299" s="836">
        <f>IFERROR(ROUND(#REF!/(((1/60)*(#REF!+#REF!*(#REF!+(#REF!*(Baseline_Results_NOINDIRECT!K$52/#REF!/#REF!)))))+INDEX(#REF!,MATCH(#REF!&amp;"Average duration (hrs) per trip",#REF!,0))),1),0)</f>
        <v>0</v>
      </c>
      <c r="L299" s="836">
        <f>IFERROR(ROUND(#REF!/(((1/60)*(#REF!+#REF!*(#REF!+(#REF!*(Baseline_Results_NOINDIRECT!L$52/#REF!/#REF!)))))+INDEX(#REF!,MATCH(#REF!&amp;"Average duration (hrs) per trip",#REF!,0))),1),0)</f>
        <v>0</v>
      </c>
      <c r="M299" s="836">
        <f>IFERROR(ROUND(#REF!/(((1/60)*(#REF!+#REF!*(#REF!+(#REF!*(Baseline_Results_NOINDIRECT!M$52/#REF!/#REF!)))))+INDEX(#REF!,MATCH(#REF!&amp;"Average duration (hrs) per trip",#REF!,0))),1),0)</f>
        <v>0</v>
      </c>
      <c r="N299" s="836">
        <f>IFERROR(ROUND(#REF!/(((1/60)*(#REF!+#REF!*(#REF!+(#REF!*(Baseline_Results_NOINDIRECT!N$52/#REF!/#REF!)))))+INDEX(#REF!,MATCH(#REF!&amp;"Average duration (hrs) per trip",#REF!,0))),1),0)</f>
        <v>0</v>
      </c>
      <c r="O299" s="836">
        <f>IFERROR(ROUND(#REF!/(((1/60)*(#REF!+#REF!*(#REF!+(#REF!*(Baseline_Results_NOINDIRECT!O$52/#REF!/#REF!)))))+INDEX(#REF!,MATCH(#REF!&amp;"Average duration (hrs) per trip",#REF!,0))),1),0)</f>
        <v>0</v>
      </c>
      <c r="P299" s="836">
        <f>IFERROR(ROUND(#REF!/(((1/60)*(#REF!+#REF!*(#REF!+(#REF!*(Baseline_Results_NOINDIRECT!P$52/#REF!/#REF!)))))+INDEX(#REF!,MATCH(#REF!&amp;"Average duration (hrs) per trip",#REF!,0))),1),0)</f>
        <v>0</v>
      </c>
      <c r="Q299" s="836">
        <f>IFERROR(ROUND(#REF!/(((1/60)*(#REF!+#REF!*(#REF!+(#REF!*(Baseline_Results_NOINDIRECT!Q$52/#REF!/#REF!)))))+INDEX(#REF!,MATCH(#REF!&amp;"Average duration (hrs) per trip",#REF!,0))),1),0)</f>
        <v>0</v>
      </c>
      <c r="R299" s="836">
        <f>IFERROR(ROUND(#REF!/(((1/60)*(#REF!+#REF!*(#REF!+(#REF!*(Baseline_Results_NOINDIRECT!R$52/#REF!/#REF!)))))+INDEX(#REF!,MATCH(#REF!&amp;"Average duration (hrs) per trip",#REF!,0))),1),0)</f>
        <v>0</v>
      </c>
      <c r="S299" s="836">
        <f>IFERROR(ROUND(#REF!/(((1/60)*(#REF!+#REF!*(#REF!+(#REF!*(Baseline_Results_NOINDIRECT!S$52/#REF!/#REF!)))))+INDEX(#REF!,MATCH(#REF!&amp;"Average duration (hrs) per trip",#REF!,0))),1),0)</f>
        <v>0</v>
      </c>
      <c r="T299" s="836">
        <f>IFERROR(ROUND(#REF!/(((1/60)*(#REF!+#REF!*(#REF!+(#REF!*(Baseline_Results_NOINDIRECT!T$52/#REF!/#REF!)))))+INDEX(#REF!,MATCH(#REF!&amp;"Average duration (hrs) per trip",#REF!,0))),1),0)</f>
        <v>0</v>
      </c>
      <c r="U299" s="836">
        <f>IFERROR(ROUND(#REF!/(((1/60)*(#REF!+#REF!*(#REF!+(#REF!*(Baseline_Results_NOINDIRECT!U$52/#REF!/#REF!)))))+INDEX(#REF!,MATCH(#REF!&amp;"Average duration (hrs) per trip",#REF!,0))),1),0)</f>
        <v>0</v>
      </c>
      <c r="V299" s="836">
        <f>IFERROR(ROUND(#REF!/(((1/60)*(#REF!+#REF!*(#REF!+(#REF!*(Baseline_Results_NOINDIRECT!V$52/#REF!/#REF!)))))+INDEX(#REF!,MATCH(#REF!&amp;"Average duration (hrs) per trip",#REF!,0))),1),0)</f>
        <v>0</v>
      </c>
      <c r="W299" s="836">
        <f>IFERROR(ROUND(#REF!/(((1/60)*(#REF!+#REF!*(#REF!+(#REF!*(Baseline_Results_NOINDIRECT!W$52/#REF!/#REF!)))))+INDEX(#REF!,MATCH(#REF!&amp;"Average duration (hrs) per trip",#REF!,0))),1),0)</f>
        <v>0</v>
      </c>
      <c r="X299" s="36"/>
      <c r="Y299" s="36"/>
      <c r="Z299" s="36"/>
      <c r="AA299" s="36"/>
      <c r="AB299" s="36"/>
      <c r="AC299" s="36"/>
      <c r="AD299" s="36"/>
      <c r="AE299" s="36"/>
      <c r="AF299" s="36"/>
      <c r="AG299" s="36"/>
      <c r="AH299" s="36"/>
      <c r="AI299" s="36"/>
      <c r="AJ299" s="36"/>
      <c r="AK299" s="36"/>
      <c r="AL299" s="36"/>
      <c r="AM299" s="36"/>
    </row>
    <row r="300" spans="6:39" ht="15" customHeight="1" outlineLevel="1">
      <c r="G300" s="6" t="s">
        <v>141</v>
      </c>
      <c r="H300" s="836"/>
      <c r="I300" s="836">
        <f>IFERROR(ROUND(I299*#REF!,0),0)</f>
        <v>0</v>
      </c>
      <c r="J300" s="836">
        <f>IFERROR(ROUND(J299*#REF!,0),0)</f>
        <v>0</v>
      </c>
      <c r="K300" s="836">
        <f>IFERROR(ROUND(K299*#REF!,0),0)</f>
        <v>0</v>
      </c>
      <c r="L300" s="836">
        <f>IFERROR(ROUND(L299*#REF!,0),0)</f>
        <v>0</v>
      </c>
      <c r="M300" s="836">
        <f>IFERROR(ROUND(M299*#REF!,0),0)</f>
        <v>0</v>
      </c>
      <c r="N300" s="836">
        <f>IFERROR(ROUND(N299*#REF!,0),0)</f>
        <v>0</v>
      </c>
      <c r="O300" s="836">
        <f>IFERROR(ROUND(O299*#REF!,0),0)</f>
        <v>0</v>
      </c>
      <c r="P300" s="836">
        <f>IFERROR(ROUND(P299*#REF!,0),0)</f>
        <v>0</v>
      </c>
      <c r="Q300" s="836">
        <f>IFERROR(ROUND(Q299*#REF!,0),0)</f>
        <v>0</v>
      </c>
      <c r="R300" s="836">
        <f>IFERROR(ROUND(R299*#REF!,0),0)</f>
        <v>0</v>
      </c>
      <c r="S300" s="836">
        <f>IFERROR(ROUND(S299*#REF!,0),0)</f>
        <v>0</v>
      </c>
      <c r="T300" s="836">
        <f>IFERROR(ROUND(T299*#REF!,0),0)</f>
        <v>0</v>
      </c>
      <c r="U300" s="836">
        <f>IFERROR(ROUND(U299*#REF!,0),0)</f>
        <v>0</v>
      </c>
      <c r="V300" s="836">
        <f>IFERROR(ROUND(V299*#REF!,0),0)</f>
        <v>0</v>
      </c>
      <c r="W300" s="836">
        <f>IFERROR(ROUND(W299*#REF!,0),0)</f>
        <v>0</v>
      </c>
      <c r="X300" s="36"/>
      <c r="Y300" s="36"/>
      <c r="Z300" s="36"/>
      <c r="AA300" s="36"/>
      <c r="AB300" s="36"/>
      <c r="AC300" s="36"/>
      <c r="AD300" s="36"/>
      <c r="AE300" s="36"/>
      <c r="AF300" s="36"/>
      <c r="AG300" s="36"/>
      <c r="AH300" s="36"/>
      <c r="AI300" s="36"/>
      <c r="AJ300" s="36"/>
      <c r="AK300" s="36"/>
      <c r="AL300" s="36"/>
      <c r="AM300" s="36"/>
    </row>
    <row r="301" spans="6:39" ht="15" customHeight="1" outlineLevel="1">
      <c r="G301" s="6" t="s">
        <v>143</v>
      </c>
      <c r="H301" s="836"/>
      <c r="I301" s="836">
        <f t="shared" ref="I301:W301" si="41">IFERROR(I297/I300,0)</f>
        <v>0</v>
      </c>
      <c r="J301" s="836">
        <f t="shared" si="41"/>
        <v>0</v>
      </c>
      <c r="K301" s="836">
        <f t="shared" si="41"/>
        <v>0</v>
      </c>
      <c r="L301" s="836">
        <f t="shared" si="41"/>
        <v>0</v>
      </c>
      <c r="M301" s="836">
        <f t="shared" si="41"/>
        <v>0</v>
      </c>
      <c r="N301" s="836">
        <f t="shared" si="41"/>
        <v>0</v>
      </c>
      <c r="O301" s="836">
        <f t="shared" si="41"/>
        <v>0</v>
      </c>
      <c r="P301" s="836">
        <f t="shared" si="41"/>
        <v>0</v>
      </c>
      <c r="Q301" s="836">
        <f t="shared" si="41"/>
        <v>0</v>
      </c>
      <c r="R301" s="836">
        <f t="shared" si="41"/>
        <v>0</v>
      </c>
      <c r="S301" s="836">
        <f t="shared" si="41"/>
        <v>0</v>
      </c>
      <c r="T301" s="836">
        <f t="shared" si="41"/>
        <v>0</v>
      </c>
      <c r="U301" s="836">
        <f t="shared" si="41"/>
        <v>0</v>
      </c>
      <c r="V301" s="836">
        <f t="shared" si="41"/>
        <v>0</v>
      </c>
      <c r="W301" s="836">
        <f t="shared" si="41"/>
        <v>0</v>
      </c>
      <c r="X301" s="36"/>
      <c r="Y301" s="36"/>
      <c r="Z301" s="36"/>
      <c r="AA301" s="36"/>
      <c r="AB301" s="36"/>
      <c r="AC301" s="36"/>
      <c r="AD301" s="36"/>
      <c r="AE301" s="36"/>
      <c r="AF301" s="36"/>
      <c r="AG301" s="36"/>
      <c r="AH301" s="36"/>
      <c r="AI301" s="36"/>
      <c r="AJ301" s="36"/>
      <c r="AK301" s="36"/>
      <c r="AL301" s="36"/>
      <c r="AM301" s="36"/>
    </row>
    <row r="302" spans="6:39" ht="15" customHeight="1" outlineLevel="1">
      <c r="G302" s="6" t="s">
        <v>144</v>
      </c>
      <c r="H302" s="836"/>
      <c r="I302" s="836">
        <f t="shared" ref="I302:W302" si="42">IFERROR((I301*(I300+1)),0)</f>
        <v>0</v>
      </c>
      <c r="J302" s="836">
        <f t="shared" si="42"/>
        <v>0</v>
      </c>
      <c r="K302" s="836">
        <f t="shared" si="42"/>
        <v>0</v>
      </c>
      <c r="L302" s="836">
        <f t="shared" si="42"/>
        <v>0</v>
      </c>
      <c r="M302" s="836">
        <f t="shared" si="42"/>
        <v>0</v>
      </c>
      <c r="N302" s="836">
        <f t="shared" si="42"/>
        <v>0</v>
      </c>
      <c r="O302" s="836">
        <f t="shared" si="42"/>
        <v>0</v>
      </c>
      <c r="P302" s="836">
        <f t="shared" si="42"/>
        <v>0</v>
      </c>
      <c r="Q302" s="836">
        <f t="shared" si="42"/>
        <v>0</v>
      </c>
      <c r="R302" s="836">
        <f t="shared" si="42"/>
        <v>0</v>
      </c>
      <c r="S302" s="836">
        <f t="shared" si="42"/>
        <v>0</v>
      </c>
      <c r="T302" s="836">
        <f t="shared" si="42"/>
        <v>0</v>
      </c>
      <c r="U302" s="836">
        <f t="shared" si="42"/>
        <v>0</v>
      </c>
      <c r="V302" s="836">
        <f t="shared" si="42"/>
        <v>0</v>
      </c>
      <c r="W302" s="836">
        <f t="shared" si="42"/>
        <v>0</v>
      </c>
      <c r="X302" s="36"/>
      <c r="Y302" s="36"/>
      <c r="Z302" s="36"/>
      <c r="AA302" s="36"/>
      <c r="AB302" s="36"/>
      <c r="AC302" s="36"/>
      <c r="AD302" s="36"/>
      <c r="AE302" s="36"/>
      <c r="AF302" s="36"/>
      <c r="AG302" s="36"/>
      <c r="AH302" s="36"/>
      <c r="AI302" s="36"/>
      <c r="AJ302" s="242"/>
      <c r="AK302" s="36"/>
      <c r="AL302" s="36"/>
      <c r="AM302" s="36"/>
    </row>
    <row r="303" spans="6:39" ht="15" customHeight="1" outlineLevel="1">
      <c r="G303" s="6" t="s">
        <v>145</v>
      </c>
      <c r="H303" s="836"/>
      <c r="I303" s="836">
        <f>IFERROR(ROUNDUP(((I302*INDEX(#REF!,MATCH(#REF!&amp;"Average duration (hrs) per trip",#REF!,0)))+(I297*((1/60)*(#REF!+#REF!*(#REF!+(#REF!*(Baseline_Results_NOINDIRECT!I$52/#REF!/#REF!)))))))/#REF!,0),0)</f>
        <v>0</v>
      </c>
      <c r="J303" s="836">
        <f>IFERROR(ROUNDUP(((J302*INDEX(#REF!,MATCH(#REF!&amp;"Average duration (hrs) per trip",#REF!,0)))+(J297*((1/60)*(#REF!+#REF!*(#REF!+(#REF!*(Baseline_Results_NOINDIRECT!J$52/#REF!/#REF!)))))))/#REF!,0),0)</f>
        <v>0</v>
      </c>
      <c r="K303" s="836">
        <f>IFERROR(ROUNDUP(((K302*INDEX(#REF!,MATCH(#REF!&amp;"Average duration (hrs) per trip",#REF!,0)))+(K297*((1/60)*(#REF!+#REF!*(#REF!+(#REF!*(Baseline_Results_NOINDIRECT!K$52/#REF!/#REF!)))))))/#REF!,0),0)</f>
        <v>0</v>
      </c>
      <c r="L303" s="836">
        <f>IFERROR(ROUNDUP(((L302*INDEX(#REF!,MATCH(#REF!&amp;"Average duration (hrs) per trip",#REF!,0)))+(L297*((1/60)*(#REF!+#REF!*(#REF!+(#REF!*(Baseline_Results_NOINDIRECT!L$52/#REF!/#REF!)))))))/#REF!,0),0)</f>
        <v>0</v>
      </c>
      <c r="M303" s="836">
        <f>IFERROR(ROUNDUP(((M302*INDEX(#REF!,MATCH(#REF!&amp;"Average duration (hrs) per trip",#REF!,0)))+(M297*((1/60)*(#REF!+#REF!*(#REF!+(#REF!*(Baseline_Results_NOINDIRECT!M$52/#REF!/#REF!)))))))/#REF!,0),0)</f>
        <v>0</v>
      </c>
      <c r="N303" s="836">
        <f>IFERROR(ROUNDUP(((N302*INDEX(#REF!,MATCH(#REF!&amp;"Average duration (hrs) per trip",#REF!,0)))+(N297*((1/60)*(#REF!+#REF!*(#REF!+(#REF!*(Baseline_Results_NOINDIRECT!N$52/#REF!/#REF!)))))))/#REF!,0),0)</f>
        <v>0</v>
      </c>
      <c r="O303" s="836">
        <f>IFERROR(ROUNDUP(((O302*INDEX(#REF!,MATCH(#REF!&amp;"Average duration (hrs) per trip",#REF!,0)))+(O297*((1/60)*(#REF!+#REF!*(#REF!+(#REF!*(Baseline_Results_NOINDIRECT!O$52/#REF!/#REF!)))))))/#REF!,0),0)</f>
        <v>0</v>
      </c>
      <c r="P303" s="836">
        <f>IFERROR(ROUNDUP(((P302*INDEX(#REF!,MATCH(#REF!&amp;"Average duration (hrs) per trip",#REF!,0)))+(P297*((1/60)*(#REF!+#REF!*(#REF!+(#REF!*(Baseline_Results_NOINDIRECT!P$52/#REF!/#REF!)))))))/#REF!,0),0)</f>
        <v>0</v>
      </c>
      <c r="Q303" s="836">
        <f>IFERROR(ROUNDUP(((Q302*INDEX(#REF!,MATCH(#REF!&amp;"Average duration (hrs) per trip",#REF!,0)))+(Q297*((1/60)*(#REF!+#REF!*(#REF!+(#REF!*(Baseline_Results_NOINDIRECT!Q$52/#REF!/#REF!)))))))/#REF!,0),0)</f>
        <v>0</v>
      </c>
      <c r="R303" s="836">
        <f>IFERROR(ROUNDUP(((R302*INDEX(#REF!,MATCH(#REF!&amp;"Average duration (hrs) per trip",#REF!,0)))+(R297*((1/60)*(#REF!+#REF!*(#REF!+(#REF!*(Baseline_Results_NOINDIRECT!R$52/#REF!/#REF!)))))))/#REF!,0),0)</f>
        <v>0</v>
      </c>
      <c r="S303" s="836">
        <f>IFERROR(ROUNDUP(((S302*INDEX(#REF!,MATCH(#REF!&amp;"Average duration (hrs) per trip",#REF!,0)))+(S297*((1/60)*(#REF!+#REF!*(#REF!+(#REF!*(Baseline_Results_NOINDIRECT!S$52/#REF!/#REF!)))))))/#REF!,0),0)</f>
        <v>0</v>
      </c>
      <c r="T303" s="836">
        <f>IFERROR(ROUNDUP(((T302*INDEX(#REF!,MATCH(#REF!&amp;"Average duration (hrs) per trip",#REF!,0)))+(T297*((1/60)*(#REF!+#REF!*(#REF!+(#REF!*(Baseline_Results_NOINDIRECT!T$52/#REF!/#REF!)))))))/#REF!,0),0)</f>
        <v>0</v>
      </c>
      <c r="U303" s="836">
        <f>IFERROR(ROUNDUP(((U302*INDEX(#REF!,MATCH(#REF!&amp;"Average duration (hrs) per trip",#REF!,0)))+(U297*((1/60)*(#REF!+#REF!*(#REF!+(#REF!*(Baseline_Results_NOINDIRECT!U$52/#REF!/#REF!)))))))/#REF!,0),0)</f>
        <v>0</v>
      </c>
      <c r="V303" s="836">
        <f>IFERROR(ROUNDUP(((V302*INDEX(#REF!,MATCH(#REF!&amp;"Average duration (hrs) per trip",#REF!,0)))+(V297*((1/60)*(#REF!+#REF!*(#REF!+(#REF!*(Baseline_Results_NOINDIRECT!V$52/#REF!/#REF!)))))))/#REF!,0),0)</f>
        <v>0</v>
      </c>
      <c r="W303" s="836">
        <f>IFERROR(ROUNDUP(((W302*INDEX(#REF!,MATCH(#REF!&amp;"Average duration (hrs) per trip",#REF!,0)))+(W297*((1/60)*(#REF!+#REF!*(#REF!+(#REF!*(Baseline_Results_NOINDIRECT!W$52/#REF!/#REF!)))))))/#REF!,0),0)</f>
        <v>0</v>
      </c>
      <c r="X303" s="36"/>
      <c r="Y303" s="36"/>
      <c r="Z303" s="36"/>
      <c r="AA303" s="36"/>
      <c r="AB303" s="36"/>
      <c r="AC303" s="36"/>
      <c r="AD303" s="36"/>
      <c r="AE303" s="36"/>
      <c r="AF303" s="36"/>
      <c r="AG303" s="36"/>
      <c r="AH303" s="36"/>
      <c r="AI303" s="36"/>
      <c r="AJ303" s="242"/>
      <c r="AK303" s="36"/>
      <c r="AL303" s="36"/>
      <c r="AM303" s="36"/>
    </row>
    <row r="304" spans="6:39" ht="15" customHeight="1" outlineLevel="1">
      <c r="G304" s="241" t="s">
        <v>841</v>
      </c>
      <c r="H304" s="842"/>
      <c r="I304" s="842"/>
      <c r="J304" s="842"/>
      <c r="K304" s="842"/>
      <c r="L304" s="842"/>
      <c r="M304" s="842"/>
      <c r="N304" s="842"/>
      <c r="O304" s="842"/>
      <c r="P304" s="842"/>
      <c r="Q304" s="842"/>
      <c r="R304" s="853"/>
      <c r="S304" s="853"/>
      <c r="T304" s="842"/>
      <c r="U304" s="853"/>
      <c r="V304" s="853"/>
      <c r="W304" s="842"/>
      <c r="X304" s="36"/>
      <c r="Y304" s="36"/>
      <c r="Z304" s="36"/>
      <c r="AA304" s="36"/>
      <c r="AB304" s="36"/>
      <c r="AC304" s="36"/>
      <c r="AD304" s="36"/>
      <c r="AE304" s="36"/>
      <c r="AF304" s="36"/>
      <c r="AG304" s="36"/>
      <c r="AH304" s="36"/>
      <c r="AI304" s="36"/>
      <c r="AJ304" s="242"/>
      <c r="AK304" s="36"/>
      <c r="AL304" s="36"/>
      <c r="AM304" s="36"/>
    </row>
    <row r="305" spans="6:39" ht="15" customHeight="1" outlineLevel="1">
      <c r="G305" s="6" t="s">
        <v>144</v>
      </c>
      <c r="H305" s="836"/>
      <c r="I305" s="836">
        <f t="shared" ref="I305:W305" si="43">IFERROR(I297*2,0)</f>
        <v>0</v>
      </c>
      <c r="J305" s="836">
        <f t="shared" si="43"/>
        <v>0</v>
      </c>
      <c r="K305" s="836">
        <f t="shared" si="43"/>
        <v>0</v>
      </c>
      <c r="L305" s="836">
        <f t="shared" si="43"/>
        <v>0</v>
      </c>
      <c r="M305" s="836">
        <f t="shared" si="43"/>
        <v>0</v>
      </c>
      <c r="N305" s="836">
        <f t="shared" si="43"/>
        <v>0</v>
      </c>
      <c r="O305" s="836">
        <f t="shared" si="43"/>
        <v>0</v>
      </c>
      <c r="P305" s="836">
        <f t="shared" si="43"/>
        <v>0</v>
      </c>
      <c r="Q305" s="836">
        <f t="shared" si="43"/>
        <v>0</v>
      </c>
      <c r="R305" s="836">
        <f t="shared" si="43"/>
        <v>0</v>
      </c>
      <c r="S305" s="836">
        <f t="shared" si="43"/>
        <v>0</v>
      </c>
      <c r="T305" s="836">
        <f t="shared" si="43"/>
        <v>0</v>
      </c>
      <c r="U305" s="836">
        <f t="shared" si="43"/>
        <v>0</v>
      </c>
      <c r="V305" s="836">
        <f t="shared" si="43"/>
        <v>0</v>
      </c>
      <c r="W305" s="836">
        <f t="shared" si="43"/>
        <v>0</v>
      </c>
      <c r="X305" s="36"/>
      <c r="Y305" s="36"/>
      <c r="Z305" s="36"/>
      <c r="AA305" s="36"/>
      <c r="AB305" s="36"/>
      <c r="AC305" s="36"/>
      <c r="AD305" s="36"/>
      <c r="AE305" s="36"/>
      <c r="AF305" s="36"/>
      <c r="AG305" s="36"/>
      <c r="AH305" s="36"/>
      <c r="AI305" s="36"/>
      <c r="AJ305" s="36"/>
      <c r="AK305" s="36"/>
      <c r="AL305" s="36"/>
      <c r="AM305" s="36"/>
    </row>
    <row r="306" spans="6:39" ht="15" customHeight="1" outlineLevel="1">
      <c r="G306" s="6" t="s">
        <v>145</v>
      </c>
      <c r="H306" s="837"/>
      <c r="I306" s="837">
        <f>IFERROR(MAX(I297,ROUNDUP(((I305*INDEX(#REF!,MATCH(#REF!&amp;"Average duration (hrs) per trip",#REF!,0)))+(I297*((1/60)*(#REF!+#REF!*(#REF!+(#REF!*(Baseline_Results_NOINDIRECT!I$52/#REF!/#REF!)))))))/#REF!,0)),0)</f>
        <v>0</v>
      </c>
      <c r="J306" s="837">
        <f>IFERROR(MAX(J297,ROUNDUP(((J305*INDEX(#REF!,MATCH(#REF!&amp;"Average duration (hrs) per trip",#REF!,0)))+(J297*((1/60)*(#REF!+#REF!*(#REF!+(#REF!*(Baseline_Results_NOINDIRECT!J$52/#REF!/#REF!)))))))/#REF!,0)),0)</f>
        <v>0</v>
      </c>
      <c r="K306" s="837">
        <f>IFERROR(MAX(K297,ROUNDUP(((K305*INDEX(#REF!,MATCH(#REF!&amp;"Average duration (hrs) per trip",#REF!,0)))+(K297*((1/60)*(#REF!+#REF!*(#REF!+(#REF!*(Baseline_Results_NOINDIRECT!K$52/#REF!/#REF!)))))))/#REF!,0)),0)</f>
        <v>0</v>
      </c>
      <c r="L306" s="837">
        <f>IFERROR(MAX(L297,ROUNDUP(((L305*INDEX(#REF!,MATCH(#REF!&amp;"Average duration (hrs) per trip",#REF!,0)))+(L297*((1/60)*(#REF!+#REF!*(#REF!+(#REF!*(Baseline_Results_NOINDIRECT!L$52/#REF!/#REF!)))))))/#REF!,0)),0)</f>
        <v>0</v>
      </c>
      <c r="M306" s="837">
        <f>IFERROR(MAX(M297,ROUNDUP(((M305*INDEX(#REF!,MATCH(#REF!&amp;"Average duration (hrs) per trip",#REF!,0)))+(M297*((1/60)*(#REF!+#REF!*(#REF!+(#REF!*(Baseline_Results_NOINDIRECT!M$52/#REF!/#REF!)))))))/#REF!,0)),0)</f>
        <v>0</v>
      </c>
      <c r="N306" s="837">
        <f>IFERROR(MAX(N297,ROUNDUP(((N305*INDEX(#REF!,MATCH(#REF!&amp;"Average duration (hrs) per trip",#REF!,0)))+(N297*((1/60)*(#REF!+#REF!*(#REF!+(#REF!*(Baseline_Results_NOINDIRECT!N$52/#REF!/#REF!)))))))/#REF!,0)),0)</f>
        <v>0</v>
      </c>
      <c r="O306" s="837">
        <f>IFERROR(MAX(O297,ROUNDUP(((O305*INDEX(#REF!,MATCH(#REF!&amp;"Average duration (hrs) per trip",#REF!,0)))+(O297*((1/60)*(#REF!+#REF!*(#REF!+(#REF!*(Baseline_Results_NOINDIRECT!O$52/#REF!/#REF!)))))))/#REF!,0)),0)</f>
        <v>0</v>
      </c>
      <c r="P306" s="837">
        <f>IFERROR(MAX(P297,ROUNDUP(((P305*INDEX(#REF!,MATCH(#REF!&amp;"Average duration (hrs) per trip",#REF!,0)))+(P297*((1/60)*(#REF!+#REF!*(#REF!+(#REF!*(Baseline_Results_NOINDIRECT!P$52/#REF!/#REF!)))))))/#REF!,0)),0)</f>
        <v>0</v>
      </c>
      <c r="Q306" s="837">
        <f>IFERROR(MAX(Q297,ROUNDUP(((Q305*INDEX(#REF!,MATCH(#REF!&amp;"Average duration (hrs) per trip",#REF!,0)))+(Q297*((1/60)*(#REF!+#REF!*(#REF!+(#REF!*(Baseline_Results_NOINDIRECT!Q$52/#REF!/#REF!)))))))/#REF!,0)),0)</f>
        <v>0</v>
      </c>
      <c r="R306" s="837">
        <f>IFERROR(MAX(R297,ROUNDUP(((R305*INDEX(#REF!,MATCH(#REF!&amp;"Average duration (hrs) per trip",#REF!,0)))+(R297*((1/60)*(#REF!+#REF!*(#REF!+(#REF!*(Baseline_Results_NOINDIRECT!R$52/#REF!/#REF!)))))))/#REF!,0)),0)</f>
        <v>0</v>
      </c>
      <c r="S306" s="837">
        <f>IFERROR(MAX(S297,ROUNDUP(((S305*INDEX(#REF!,MATCH(#REF!&amp;"Average duration (hrs) per trip",#REF!,0)))+(S297*((1/60)*(#REF!+#REF!*(#REF!+(#REF!*(Baseline_Results_NOINDIRECT!S$52/#REF!/#REF!)))))))/#REF!,0)),0)</f>
        <v>0</v>
      </c>
      <c r="T306" s="837">
        <f>IFERROR(MAX(T297,ROUNDUP(((T305*INDEX(#REF!,MATCH(#REF!&amp;"Average duration (hrs) per trip",#REF!,0)))+(T297*((1/60)*(#REF!+#REF!*(#REF!+(#REF!*(Baseline_Results_NOINDIRECT!T$52/#REF!/#REF!)))))))/#REF!,0)),0)</f>
        <v>0</v>
      </c>
      <c r="U306" s="837">
        <f>IFERROR(MAX(U297,ROUNDUP(((U305*INDEX(#REF!,MATCH(#REF!&amp;"Average duration (hrs) per trip",#REF!,0)))+(U297*((1/60)*(#REF!+#REF!*(#REF!+(#REF!*(Baseline_Results_NOINDIRECT!U$52/#REF!/#REF!)))))))/#REF!,0)),0)</f>
        <v>0</v>
      </c>
      <c r="V306" s="837">
        <f>IFERROR(MAX(V297,ROUNDUP(((V305*INDEX(#REF!,MATCH(#REF!&amp;"Average duration (hrs) per trip",#REF!,0)))+(V297*((1/60)*(#REF!+#REF!*(#REF!+(#REF!*(Baseline_Results_NOINDIRECT!V$52/#REF!/#REF!)))))))/#REF!,0)),0)</f>
        <v>0</v>
      </c>
      <c r="W306" s="837">
        <f>IFERROR(MAX(W297,ROUNDUP(((W305*INDEX(#REF!,MATCH(#REF!&amp;"Average duration (hrs) per trip",#REF!,0)))+(W297*((1/60)*(#REF!+#REF!*(#REF!+(#REF!*(Baseline_Results_NOINDIRECT!W$52/#REF!/#REF!)))))))/#REF!,0)),0)</f>
        <v>0</v>
      </c>
      <c r="X306" s="36"/>
      <c r="Y306" s="36"/>
      <c r="Z306" s="36"/>
      <c r="AA306" s="36"/>
      <c r="AB306" s="36"/>
      <c r="AC306" s="36"/>
      <c r="AD306" s="36"/>
      <c r="AE306" s="36"/>
      <c r="AF306" s="36"/>
      <c r="AG306" s="36"/>
      <c r="AH306" s="36"/>
      <c r="AI306" s="36"/>
      <c r="AJ306" s="36"/>
      <c r="AK306" s="36"/>
      <c r="AL306" s="36"/>
      <c r="AM306" s="36"/>
    </row>
    <row r="307" spans="6:39" ht="15" customHeight="1" outlineLevel="1">
      <c r="F307" s="71" t="s">
        <v>148</v>
      </c>
      <c r="G307" s="840"/>
      <c r="H307" s="843"/>
      <c r="I307" s="843"/>
      <c r="J307" s="843"/>
      <c r="K307" s="843"/>
      <c r="L307" s="843"/>
      <c r="M307" s="843"/>
      <c r="N307" s="843"/>
      <c r="O307" s="843"/>
      <c r="P307" s="843"/>
      <c r="Q307" s="843"/>
      <c r="R307" s="846"/>
      <c r="S307" s="846"/>
      <c r="T307" s="843"/>
      <c r="U307" s="846"/>
      <c r="V307" s="846"/>
      <c r="W307" s="843"/>
      <c r="X307" s="36"/>
      <c r="Y307" s="36"/>
      <c r="Z307" s="36"/>
      <c r="AA307" s="36"/>
      <c r="AB307" s="36"/>
      <c r="AC307" s="36"/>
      <c r="AD307" s="36"/>
      <c r="AE307" s="36"/>
      <c r="AF307" s="36"/>
      <c r="AG307" s="36"/>
      <c r="AH307" s="36"/>
      <c r="AI307" s="36"/>
      <c r="AJ307" s="242"/>
      <c r="AK307" s="36"/>
      <c r="AL307" s="36"/>
      <c r="AM307" s="36"/>
    </row>
    <row r="308" spans="6:39" ht="15" customHeight="1" outlineLevel="1">
      <c r="F308" s="1"/>
      <c r="G308" s="6" t="s">
        <v>151</v>
      </c>
      <c r="H308" s="836"/>
      <c r="I308" s="836">
        <f>IFERROR(IF(COUNTIF(#REF!,"Public Transport*")&lt;1,ROUND(#REF!*#REF!,0),0),0)</f>
        <v>0</v>
      </c>
      <c r="J308" s="836">
        <f>IFERROR(IF(COUNTIF(#REF!,"Public Transport*")&lt;1,ROUND(#REF!*#REF!,0),0),0)</f>
        <v>0</v>
      </c>
      <c r="K308" s="836">
        <f>IFERROR(IF(COUNTIF(#REF!,"Public Transport*")&lt;1,ROUND(#REF!*#REF!,0),0),0)</f>
        <v>0</v>
      </c>
      <c r="L308" s="836">
        <f>IFERROR(IF(COUNTIF(#REF!,"Public Transport*")&lt;1,ROUND(#REF!*#REF!,0),0),0)</f>
        <v>0</v>
      </c>
      <c r="M308" s="836">
        <f>IFERROR(IF(COUNTIF(#REF!,"Public Transport*")&lt;1,ROUND(#REF!*#REF!,0),0),0)</f>
        <v>0</v>
      </c>
      <c r="N308" s="836">
        <f>IFERROR(IF(COUNTIF(#REF!,"Public Transport*")&lt;1,ROUND(#REF!*#REF!,0),0),0)</f>
        <v>0</v>
      </c>
      <c r="O308" s="836">
        <f>IFERROR(IF(COUNTIF(#REF!,"Public Transport*")&lt;1,ROUND(#REF!*#REF!,0),0),0)</f>
        <v>0</v>
      </c>
      <c r="P308" s="836">
        <f>IFERROR(IF(COUNTIF(#REF!,"Public Transport*")&lt;1,ROUND(#REF!*#REF!,0),0),0)</f>
        <v>0</v>
      </c>
      <c r="Q308" s="836">
        <f>IFERROR(IF(COUNTIF(#REF!,"Public Transport*")&lt;1,ROUND(#REF!*#REF!,0),0),0)</f>
        <v>0</v>
      </c>
      <c r="R308" s="846"/>
      <c r="S308" s="846"/>
      <c r="T308" s="836">
        <f>IFERROR(IF(COUNTIF(#REF!,"Public Transport*")&lt;1,ROUND(#REF!*#REF!,0),0),0)</f>
        <v>0</v>
      </c>
      <c r="U308" s="846"/>
      <c r="V308" s="846"/>
      <c r="W308" s="836">
        <f>IFERROR(IF(COUNTIF(#REF!,"Public Transport*")&lt;1,ROUND(#REF!*#REF!,0),0),0)</f>
        <v>0</v>
      </c>
      <c r="X308" s="36"/>
      <c r="Y308" s="36"/>
      <c r="Z308" s="36"/>
      <c r="AA308" s="36"/>
      <c r="AB308" s="36"/>
      <c r="AC308" s="36"/>
      <c r="AD308" s="36"/>
      <c r="AE308" s="36"/>
      <c r="AF308" s="36"/>
      <c r="AG308" s="36"/>
      <c r="AH308" s="36"/>
      <c r="AI308" s="36"/>
      <c r="AJ308" s="242"/>
      <c r="AK308" s="36"/>
      <c r="AL308" s="36"/>
      <c r="AM308" s="36"/>
    </row>
    <row r="309" spans="6:39" ht="15" customHeight="1" outlineLevel="1">
      <c r="G309" s="6" t="s">
        <v>85</v>
      </c>
      <c r="H309" s="837"/>
      <c r="I309" s="837">
        <f>IFERROR(IF(#REF!="Route-based",I314*I315,IF(#REF!="Point-to-point",I319*I320,0)),0)</f>
        <v>0</v>
      </c>
      <c r="J309" s="837">
        <f>IFERROR(IF(#REF!="Route-based",J314*J315,IF(#REF!="Point-to-point",J319*J320,0)),0)</f>
        <v>0</v>
      </c>
      <c r="K309" s="837">
        <f>IFERROR(IF(#REF!="Route-based",K314*K315,IF(#REF!="Point-to-point",K319*K320,0)),0)</f>
        <v>0</v>
      </c>
      <c r="L309" s="837">
        <f>IFERROR(IF(#REF!="Route-based",L314*L315,IF(#REF!="Point-to-point",L319*L320,0)),0)</f>
        <v>0</v>
      </c>
      <c r="M309" s="837">
        <f>IFERROR(IF(#REF!="Route-based",M314*M315,IF(#REF!="Point-to-point",M319*M320,0)),0)</f>
        <v>0</v>
      </c>
      <c r="N309" s="837">
        <f>IFERROR(IF(#REF!="Route-based",N314*N315,IF(#REF!="Point-to-point",N319*N320,0)),0)</f>
        <v>0</v>
      </c>
      <c r="O309" s="837">
        <f>IFERROR(IF(#REF!="Route-based",O314*O315,IF(#REF!="Point-to-point",O319*O320,0)),0)</f>
        <v>0</v>
      </c>
      <c r="P309" s="837">
        <f>IFERROR(IF(#REF!="Route-based",P314*P315,IF(#REF!="Point-to-point",P319*P320,0)),0)</f>
        <v>0</v>
      </c>
      <c r="Q309" s="837">
        <f>IFERROR(IF(#REF!="Route-based",Q314*Q315,IF(#REF!="Point-to-point",Q319*Q320,0)),0)</f>
        <v>0</v>
      </c>
      <c r="R309" s="853" t="s">
        <v>594</v>
      </c>
      <c r="S309" s="853"/>
      <c r="T309" s="837">
        <f>IFERROR(IF(#REF!="Route-based",T314*T315,IF(#REF!="Point-to-point",T319*T320,0)),0)</f>
        <v>0</v>
      </c>
      <c r="U309" s="853"/>
      <c r="V309" s="853"/>
      <c r="W309" s="837">
        <f>IFERROR(IF(#REF!="Route-based",W314*W315,IF(#REF!="Point-to-point",W319*W320,0)),0)</f>
        <v>0</v>
      </c>
      <c r="X309" s="36"/>
      <c r="Y309" s="36"/>
      <c r="Z309" s="36"/>
      <c r="AA309" s="36"/>
      <c r="AB309" s="36"/>
      <c r="AC309" s="36"/>
      <c r="AD309" s="36"/>
      <c r="AE309" s="36"/>
      <c r="AF309" s="36"/>
      <c r="AG309" s="36"/>
      <c r="AH309" s="36"/>
      <c r="AI309" s="36"/>
      <c r="AJ309" s="242"/>
      <c r="AK309" s="36"/>
      <c r="AL309" s="36"/>
      <c r="AM309" s="36"/>
    </row>
    <row r="310" spans="6:39" ht="15" customHeight="1" outlineLevel="1">
      <c r="G310" s="6" t="s">
        <v>59</v>
      </c>
      <c r="H310" s="837"/>
      <c r="I310" s="837">
        <f>IFERROR(IF(#REF!="Route-based",ROUND(I314*I316/#REF!,0),IF(#REF!="Point-to-point",ROUND(((I308*#REF!*((1/60)*(#REF!+#REF!*(#REF!+(#REF!*(Baseline_Results_NOINDIRECT!I$52/#REF!/#REF!))))))+(I309/#REF!))/#REF!,0),0)),0)</f>
        <v>0</v>
      </c>
      <c r="J310" s="837">
        <f>IFERROR(IF(#REF!="Route-based",ROUND(J314*J316/#REF!,0),IF(#REF!="Point-to-point",ROUND(((J308*#REF!*((1/60)*(#REF!+#REF!*(#REF!+(#REF!*(Baseline_Results_NOINDIRECT!J$52/#REF!/#REF!))))))+(J309/#REF!))/#REF!,0),0)),0)</f>
        <v>0</v>
      </c>
      <c r="K310" s="837">
        <f>IFERROR(IF(#REF!="Route-based",ROUND(K314*K316/#REF!,0),IF(#REF!="Point-to-point",ROUND(((K308*#REF!*((1/60)*(#REF!+#REF!*(#REF!+(#REF!*(Baseline_Results_NOINDIRECT!K$52/#REF!/#REF!))))))+(K309/#REF!))/#REF!,0),0)),0)</f>
        <v>0</v>
      </c>
      <c r="L310" s="837">
        <f>IFERROR(IF(#REF!="Route-based",ROUND(L314*L316/#REF!,0),IF(#REF!="Point-to-point",ROUND(((L308*#REF!*((1/60)*(#REF!+#REF!*(#REF!+(#REF!*(Baseline_Results_NOINDIRECT!L$52/#REF!/#REF!))))))+(L309/#REF!))/#REF!,0),0)),0)</f>
        <v>0</v>
      </c>
      <c r="M310" s="837">
        <f>IFERROR(IF(#REF!="Route-based",ROUND(M314*M316/#REF!,0),IF(#REF!="Point-to-point",ROUND(((M308*#REF!*((1/60)*(#REF!+#REF!*(#REF!+(#REF!*(Baseline_Results_NOINDIRECT!M$52/#REF!/#REF!))))))+(M309/#REF!))/#REF!,0),0)),0)</f>
        <v>0</v>
      </c>
      <c r="N310" s="837">
        <f>IFERROR(IF(#REF!="Route-based",ROUND(N314*N316/#REF!,0),IF(#REF!="Point-to-point",ROUND(((N308*#REF!*((1/60)*(#REF!+#REF!*(#REF!+(#REF!*(Baseline_Results_NOINDIRECT!N$52/#REF!/#REF!))))))+(N309/#REF!))/#REF!,0),0)),0)</f>
        <v>0</v>
      </c>
      <c r="O310" s="837">
        <f>IFERROR(IF(#REF!="Route-based",ROUND(O314*O316/#REF!,0),IF(#REF!="Point-to-point",ROUND(((O308*#REF!*((1/60)*(#REF!+#REF!*(#REF!+(#REF!*(Baseline_Results_NOINDIRECT!O$52/#REF!/#REF!))))))+(O309/#REF!))/#REF!,0),0)),0)</f>
        <v>0</v>
      </c>
      <c r="P310" s="837">
        <f>IFERROR(IF(#REF!="Route-based",ROUND(P314*P316/#REF!,0),IF(#REF!="Point-to-point",ROUND(((P308*#REF!*((1/60)*(#REF!+#REF!*(#REF!+(#REF!*(Baseline_Results_NOINDIRECT!P$52/#REF!/#REF!))))))+(P309/#REF!))/#REF!,0),0)),0)</f>
        <v>0</v>
      </c>
      <c r="Q310" s="837">
        <f>IFERROR(IF(#REF!="Route-based",ROUND(Q314*Q316/#REF!,0),IF(#REF!="Point-to-point",ROUND(((Q308*#REF!*((1/60)*(#REF!+#REF!*(#REF!+(#REF!*(Baseline_Results_NOINDIRECT!Q$52/#REF!/#REF!))))))+(Q309/#REF!))/#REF!,0),0)),0)</f>
        <v>0</v>
      </c>
      <c r="R310" s="837">
        <f>IFERROR(IF(#REF!="Route-based",ROUND(R314*R316/#REF!,0),IF(#REF!="Point-to-point",ROUND(((R308*#REF!*((1/60)*(#REF!+#REF!*(#REF!+(#REF!*(Baseline_Results_NOINDIRECT!R$52/#REF!/#REF!))))))+(R309/#REF!))/#REF!,0),0)),0)</f>
        <v>0</v>
      </c>
      <c r="S310" s="837">
        <f>IFERROR(IF(#REF!="Route-based",ROUND(S314*S316/#REF!,0),IF(#REF!="Point-to-point",ROUND(((S308*#REF!*((1/60)*(#REF!+#REF!*(#REF!+(#REF!*(Baseline_Results_NOINDIRECT!S$52/#REF!/#REF!))))))+(S309/#REF!))/#REF!,0),0)),0)</f>
        <v>0</v>
      </c>
      <c r="T310" s="837">
        <f>IFERROR(IF(#REF!="Route-based",ROUND(T314*T316/#REF!,0),IF(#REF!="Point-to-point",ROUND(((T308*#REF!*((1/60)*(#REF!+#REF!*(#REF!+(#REF!*(Baseline_Results_NOINDIRECT!T$52/#REF!/#REF!))))))+(T309/#REF!))/#REF!,0),0)),0)</f>
        <v>0</v>
      </c>
      <c r="U310" s="837">
        <f>IFERROR(IF(#REF!="Route-based",ROUND(U314*U316/#REF!,0),IF(#REF!="Point-to-point",ROUND(((U308*#REF!*((1/60)*(#REF!+#REF!*(#REF!+(#REF!*(Baseline_Results_NOINDIRECT!U$52/#REF!/#REF!))))))+(U309/#REF!))/#REF!,0),0)),0)</f>
        <v>0</v>
      </c>
      <c r="V310" s="837">
        <f>IFERROR(IF(#REF!="Route-based",ROUND(V314*V316/#REF!,0),IF(#REF!="Point-to-point",ROUND(((V308*#REF!*((1/60)*(#REF!+#REF!*(#REF!+(#REF!*(Baseline_Results_NOINDIRECT!V$52/#REF!/#REF!))))))+(V309/#REF!))/#REF!,0),0)),0)</f>
        <v>0</v>
      </c>
      <c r="W310" s="837">
        <f>IFERROR(IF(#REF!="Route-based",ROUND(W314*W316/#REF!,0),IF(#REF!="Point-to-point",ROUND(((W308*#REF!*((1/60)*(#REF!+#REF!*(#REF!+(#REF!*(Baseline_Results_NOINDIRECT!W$52/#REF!/#REF!))))))+(W309/#REF!))/#REF!,0),0)),0)</f>
        <v>0</v>
      </c>
      <c r="X310" s="36"/>
      <c r="Y310" s="36"/>
      <c r="Z310" s="36"/>
      <c r="AA310" s="36"/>
      <c r="AB310" s="36"/>
      <c r="AC310" s="36"/>
      <c r="AD310" s="36"/>
      <c r="AE310" s="36"/>
      <c r="AF310" s="36"/>
      <c r="AG310" s="36"/>
      <c r="AH310" s="36"/>
      <c r="AI310" s="36"/>
      <c r="AJ310" s="242"/>
      <c r="AK310" s="36"/>
      <c r="AL310" s="36"/>
      <c r="AM310" s="36"/>
    </row>
    <row r="311" spans="6:39" ht="15" customHeight="1" outlineLevel="1">
      <c r="G311" s="6" t="s">
        <v>86</v>
      </c>
      <c r="H311" s="839"/>
      <c r="I311" s="839">
        <f>IFERROR(IF(#REF!="Route-based",IF(#REF!="Yes",I310/(#REF!*#REF!), IF(#REF!="No",I310/(#REF!*#REF!))),
IF(#REF!="Point-to-point",IF(#REF!="Yes",I310/(#REF!*#REF!),IF(#REF!="No",I310/(#REF!*#REF!))),0)),0)</f>
        <v>0</v>
      </c>
      <c r="J311" s="839">
        <f>IFERROR(IF(#REF!="Route-based",IF(#REF!="Yes",J310/(#REF!*#REF!), IF(#REF!="No",J310/(#REF!*#REF!))),
IF(#REF!="Point-to-point",IF(#REF!="Yes",J310/(#REF!*#REF!),IF(#REF!="No",J310/(#REF!*#REF!))),0)),0)</f>
        <v>0</v>
      </c>
      <c r="K311" s="839">
        <f>IFERROR(IF(#REF!="Route-based",IF(#REF!="Yes",K310/(#REF!*#REF!), IF(#REF!="No",K310/(#REF!*#REF!))),
IF(#REF!="Point-to-point",IF(#REF!="Yes",K310/(#REF!*#REF!),IF(#REF!="No",K310/(#REF!*#REF!))),0)),0)</f>
        <v>0</v>
      </c>
      <c r="L311" s="839">
        <f>IFERROR(IF(#REF!="Route-based",IF(#REF!="Yes",L310/(#REF!*#REF!), IF(#REF!="No",L310/(#REF!*#REF!))),
IF(#REF!="Point-to-point",IF(#REF!="Yes",L310/(#REF!*#REF!),IF(#REF!="No",L310/(#REF!*#REF!))),0)),0)</f>
        <v>0</v>
      </c>
      <c r="M311" s="839">
        <f>IFERROR(IF(#REF!="Route-based",IF(#REF!="Yes",M310/(#REF!*#REF!), IF(#REF!="No",M310/(#REF!*#REF!))),
IF(#REF!="Point-to-point",IF(#REF!="Yes",M310/(#REF!*#REF!),IF(#REF!="No",M310/(#REF!*#REF!))),0)),0)</f>
        <v>0</v>
      </c>
      <c r="N311" s="839">
        <f>IFERROR(IF(#REF!="Route-based",IF(#REF!="Yes",N310/(#REF!*#REF!), IF(#REF!="No",N310/(#REF!*#REF!))),
IF(#REF!="Point-to-point",IF(#REF!="Yes",N310/(#REF!*#REF!),IF(#REF!="No",N310/(#REF!*#REF!))),0)),0)</f>
        <v>0</v>
      </c>
      <c r="O311" s="839">
        <f>IFERROR(IF(#REF!="Route-based",IF(#REF!="Yes",O310/(#REF!*#REF!), IF(#REF!="No",O310/(#REF!*#REF!))),
IF(#REF!="Point-to-point",IF(#REF!="Yes",O310/(#REF!*#REF!),IF(#REF!="No",O310/(#REF!*#REF!))),0)),0)</f>
        <v>0</v>
      </c>
      <c r="P311" s="839">
        <f>IFERROR(IF(#REF!="Route-based",IF(#REF!="Yes",P310/(#REF!*#REF!), IF(#REF!="No",P310/(#REF!*#REF!))),
IF(#REF!="Point-to-point",IF(#REF!="Yes",P310/(#REF!*#REF!),IF(#REF!="No",P310/(#REF!*#REF!))),0)),0)</f>
        <v>0</v>
      </c>
      <c r="Q311" s="839">
        <f>IFERROR(IF(#REF!="Route-based",IF(#REF!="Yes",Q310/(#REF!*#REF!), IF(#REF!="No",Q310/(#REF!*#REF!))),
IF(#REF!="Point-to-point",IF(#REF!="Yes",Q310/(#REF!*#REF!),IF(#REF!="No",Q310/(#REF!*#REF!))),0)),0)</f>
        <v>0</v>
      </c>
      <c r="R311" s="839">
        <f>IFERROR(IF(#REF!="Route-based",IF(#REF!="Yes",R310/(#REF!*#REF!), IF(#REF!="No",R310/(#REF!*#REF!))),
IF(#REF!="Point-to-point",IF(#REF!="Yes",R310/(#REF!*#REF!),IF(#REF!="No",R310/(#REF!*#REF!))),0)),0)</f>
        <v>0</v>
      </c>
      <c r="S311" s="839">
        <f>IFERROR(IF(#REF!="Route-based",IF(#REF!="Yes",S310/(#REF!*#REF!), IF(#REF!="No",S310/(#REF!*#REF!))),
IF(#REF!="Point-to-point",IF(#REF!="Yes",S310/(#REF!*#REF!),IF(#REF!="No",S310/(#REF!*#REF!))),0)),0)</f>
        <v>0</v>
      </c>
      <c r="T311" s="839">
        <f>IFERROR(IF(#REF!="Route-based",IF(#REF!="Yes",T310/(#REF!*#REF!), IF(#REF!="No",T310/(#REF!*#REF!))),
IF(#REF!="Point-to-point",IF(#REF!="Yes",T310/(#REF!*#REF!),IF(#REF!="No",T310/(#REF!*#REF!))),0)),0)</f>
        <v>0</v>
      </c>
      <c r="U311" s="839">
        <f>IFERROR(IF(#REF!="Route-based",IF(#REF!="Yes",U310/(#REF!*#REF!), IF(#REF!="No",U310/(#REF!*#REF!))),
IF(#REF!="Point-to-point",IF(#REF!="Yes",U310/(#REF!*#REF!),IF(#REF!="No",U310/(#REF!*#REF!))),0)),0)</f>
        <v>0</v>
      </c>
      <c r="V311" s="839">
        <f>IFERROR(IF(#REF!="Route-based",IF(#REF!="Yes",V310/(#REF!*#REF!), IF(#REF!="No",V310/(#REF!*#REF!))),
IF(#REF!="Point-to-point",IF(#REF!="Yes",V310/(#REF!*#REF!),IF(#REF!="No",V310/(#REF!*#REF!))),0)),0)</f>
        <v>0</v>
      </c>
      <c r="W311" s="839">
        <f>IFERROR(IF(#REF!="Route-based",IF(#REF!="Yes",W310/(#REF!*#REF!), IF(#REF!="No",W310/(#REF!*#REF!))),
IF(#REF!="Point-to-point",IF(#REF!="Yes",W310/(#REF!*#REF!),IF(#REF!="No",W310/(#REF!*#REF!))),0)),0)</f>
        <v>0</v>
      </c>
      <c r="X311" s="36"/>
      <c r="Y311" s="36"/>
      <c r="Z311" s="36"/>
      <c r="AA311" s="36"/>
      <c r="AB311" s="36"/>
      <c r="AC311" s="36"/>
      <c r="AD311" s="36"/>
      <c r="AE311" s="36"/>
      <c r="AF311" s="36"/>
      <c r="AG311" s="36"/>
      <c r="AH311" s="36"/>
      <c r="AI311" s="36"/>
      <c r="AJ311" s="36" t="s">
        <v>191</v>
      </c>
      <c r="AK311" s="36"/>
      <c r="AL311" s="36"/>
      <c r="AM311" s="36"/>
    </row>
    <row r="312" spans="6:39" ht="15" customHeight="1" outlineLevel="1" collapsed="1">
      <c r="G312" s="241" t="s">
        <v>133</v>
      </c>
      <c r="H312" s="842"/>
      <c r="I312" s="842"/>
      <c r="J312" s="842"/>
      <c r="K312" s="842"/>
      <c r="L312" s="842"/>
      <c r="M312" s="842"/>
      <c r="N312" s="842"/>
      <c r="O312" s="842"/>
      <c r="P312" s="842"/>
      <c r="Q312" s="842"/>
      <c r="R312" s="853"/>
      <c r="S312" s="853"/>
      <c r="T312" s="842"/>
      <c r="U312" s="853"/>
      <c r="V312" s="853"/>
      <c r="W312" s="842"/>
      <c r="X312" s="36"/>
      <c r="Y312" s="36"/>
      <c r="Z312" s="36"/>
      <c r="AA312" s="36"/>
      <c r="AB312" s="36"/>
      <c r="AC312" s="36"/>
      <c r="AD312" s="36"/>
      <c r="AE312" s="36"/>
      <c r="AF312" s="36"/>
      <c r="AG312" s="36"/>
      <c r="AH312" s="36"/>
      <c r="AI312" s="36"/>
      <c r="AJ312" s="36"/>
      <c r="AK312" s="36"/>
      <c r="AL312" s="36"/>
      <c r="AM312" s="36"/>
    </row>
    <row r="313" spans="6:39" ht="15" customHeight="1" outlineLevel="1">
      <c r="G313" s="6" t="s">
        <v>129</v>
      </c>
      <c r="H313" s="836"/>
      <c r="I313" s="836">
        <f>IFERROR(((#REF!*#REF!)-(2*#REF!/#REF!)+(#REF!/#REF!))/(((1/60)*(#REF!+#REF!*(#REF!+(#REF!*(Baseline_Results_NOINDIRECT!I$52/#REF!/#REF!)))))+(#REF!/#REF!)),0)</f>
        <v>0</v>
      </c>
      <c r="J313" s="836">
        <f>IFERROR(((#REF!*#REF!)-(2*#REF!/#REF!)+(#REF!/#REF!))/(((1/60)*(#REF!+#REF!*(#REF!+(#REF!*(Baseline_Results_NOINDIRECT!J$52/#REF!/#REF!)))))+(#REF!/#REF!)),0)</f>
        <v>0</v>
      </c>
      <c r="K313" s="836">
        <f>IFERROR(((#REF!*#REF!)-(2*#REF!/#REF!)+(#REF!/#REF!))/(((1/60)*(#REF!+#REF!*(#REF!+(#REF!*(Baseline_Results_NOINDIRECT!K$52/#REF!/#REF!)))))+(#REF!/#REF!)),0)</f>
        <v>0</v>
      </c>
      <c r="L313" s="836">
        <f>IFERROR(((#REF!*#REF!)-(2*#REF!/#REF!)+(#REF!/#REF!))/(((1/60)*(#REF!+#REF!*(#REF!+(#REF!*(Baseline_Results_NOINDIRECT!L$52/#REF!/#REF!)))))+(#REF!/#REF!)),0)</f>
        <v>0</v>
      </c>
      <c r="M313" s="836">
        <f>IFERROR(((#REF!*#REF!)-(2*#REF!/#REF!)+(#REF!/#REF!))/(((1/60)*(#REF!+#REF!*(#REF!+(#REF!*(Baseline_Results_NOINDIRECT!M$52/#REF!/#REF!)))))+(#REF!/#REF!)),0)</f>
        <v>0</v>
      </c>
      <c r="N313" s="836">
        <f>IFERROR(((#REF!*#REF!)-(2*#REF!/#REF!)+(#REF!/#REF!))/(((1/60)*(#REF!+#REF!*(#REF!+(#REF!*(Baseline_Results_NOINDIRECT!N$52/#REF!/#REF!)))))+(#REF!/#REF!)),0)</f>
        <v>0</v>
      </c>
      <c r="O313" s="836">
        <f>IFERROR(((#REF!*#REF!)-(2*#REF!/#REF!)+(#REF!/#REF!))/(((1/60)*(#REF!+#REF!*(#REF!+(#REF!*(Baseline_Results_NOINDIRECT!O$52/#REF!/#REF!)))))+(#REF!/#REF!)),0)</f>
        <v>0</v>
      </c>
      <c r="P313" s="836">
        <f>IFERROR(((#REF!*#REF!)-(2*#REF!/#REF!)+(#REF!/#REF!))/(((1/60)*(#REF!+#REF!*(#REF!+(#REF!*(Baseline_Results_NOINDIRECT!P$52/#REF!/#REF!)))))+(#REF!/#REF!)),0)</f>
        <v>0</v>
      </c>
      <c r="Q313" s="836">
        <f>IFERROR(((#REF!*#REF!)-(2*#REF!/#REF!)+(#REF!/#REF!))/(((1/60)*(#REF!+#REF!*(#REF!+(#REF!*(Baseline_Results_NOINDIRECT!Q$52/#REF!/#REF!)))))+(#REF!/#REF!)),0)</f>
        <v>0</v>
      </c>
      <c r="R313" s="836">
        <f>IFERROR(((#REF!*#REF!)-(2*#REF!/#REF!)+(#REF!/#REF!))/(((1/60)*(#REF!+#REF!*(#REF!+(#REF!*(Baseline_Results_NOINDIRECT!R$52/#REF!/#REF!)))))+(#REF!/#REF!)),0)</f>
        <v>0</v>
      </c>
      <c r="S313" s="836">
        <f>IFERROR(((#REF!*#REF!)-(2*#REF!/#REF!)+(#REF!/#REF!))/(((1/60)*(#REF!+#REF!*(#REF!+(#REF!*(Baseline_Results_NOINDIRECT!S$52/#REF!/#REF!)))))+(#REF!/#REF!)),0)</f>
        <v>0</v>
      </c>
      <c r="T313" s="836">
        <f>IFERROR(((#REF!*#REF!)-(2*#REF!/#REF!)+(#REF!/#REF!))/(((1/60)*(#REF!+#REF!*(#REF!+(#REF!*(Baseline_Results_NOINDIRECT!T$52/#REF!/#REF!)))))+(#REF!/#REF!)),0)</f>
        <v>0</v>
      </c>
      <c r="U313" s="836">
        <f>IFERROR(((#REF!*#REF!)-(2*#REF!/#REF!)+(#REF!/#REF!))/(((1/60)*(#REF!+#REF!*(#REF!+(#REF!*(Baseline_Results_NOINDIRECT!U$52/#REF!/#REF!)))))+(#REF!/#REF!)),0)</f>
        <v>0</v>
      </c>
      <c r="V313" s="836">
        <f>IFERROR(((#REF!*#REF!)-(2*#REF!/#REF!)+(#REF!/#REF!))/(((1/60)*(#REF!+#REF!*(#REF!+(#REF!*(Baseline_Results_NOINDIRECT!V$52/#REF!/#REF!)))))+(#REF!/#REF!)),0)</f>
        <v>0</v>
      </c>
      <c r="W313" s="836">
        <f>IFERROR(((#REF!*#REF!)-(2*#REF!/#REF!)+(#REF!/#REF!))/(((1/60)*(#REF!+#REF!*(#REF!+(#REF!*(Baseline_Results_NOINDIRECT!W$52/#REF!/#REF!)))))+(#REF!/#REF!)),0)</f>
        <v>0</v>
      </c>
      <c r="X313" s="36"/>
      <c r="Y313" s="36"/>
      <c r="Z313" s="36"/>
      <c r="AA313" s="36"/>
      <c r="AB313" s="36"/>
      <c r="AC313" s="36"/>
      <c r="AD313" s="36"/>
      <c r="AE313" s="36"/>
      <c r="AF313" s="36"/>
      <c r="AG313" s="36"/>
      <c r="AH313" s="36"/>
      <c r="AI313" s="36"/>
      <c r="AJ313" s="36"/>
      <c r="AK313" s="36"/>
      <c r="AL313" s="36"/>
      <c r="AM313" s="36"/>
    </row>
    <row r="314" spans="6:39" ht="15" customHeight="1" outlineLevel="1">
      <c r="G314" s="6" t="s">
        <v>206</v>
      </c>
      <c r="H314" s="836"/>
      <c r="I314" s="836">
        <f>IFERROR(ROUND(I308*#REF!/I313,0),0)</f>
        <v>0</v>
      </c>
      <c r="J314" s="836">
        <f>IFERROR(ROUND(J308*#REF!/J313,0),0)</f>
        <v>0</v>
      </c>
      <c r="K314" s="836">
        <f>IFERROR(ROUND(K308*#REF!/K313,0),0)</f>
        <v>0</v>
      </c>
      <c r="L314" s="836">
        <f>IFERROR(ROUND(L308*#REF!/L313,0),0)</f>
        <v>0</v>
      </c>
      <c r="M314" s="836">
        <f>IFERROR(ROUND(M308*#REF!/M313,0),0)</f>
        <v>0</v>
      </c>
      <c r="N314" s="836">
        <f>IFERROR(ROUND(N308*#REF!/N313,0),0)</f>
        <v>0</v>
      </c>
      <c r="O314" s="836">
        <f>IFERROR(ROUND(O308*#REF!/O313,0),0)</f>
        <v>0</v>
      </c>
      <c r="P314" s="836">
        <f>IFERROR(ROUND(P308*#REF!/P313,0),0)</f>
        <v>0</v>
      </c>
      <c r="Q314" s="836">
        <f>IFERROR(ROUND(Q308*#REF!/Q313,0),0)</f>
        <v>0</v>
      </c>
      <c r="R314" s="836">
        <f>IFERROR(ROUND(R308*#REF!/R313,0),0)</f>
        <v>0</v>
      </c>
      <c r="S314" s="836">
        <f>IFERROR(ROUND(S308*#REF!/S313,0),0)</f>
        <v>0</v>
      </c>
      <c r="T314" s="836">
        <f>IFERROR(ROUND(T308*#REF!/T313,0),0)</f>
        <v>0</v>
      </c>
      <c r="U314" s="836">
        <f>IFERROR(ROUND(U308*#REF!/U313,0),0)</f>
        <v>0</v>
      </c>
      <c r="V314" s="836">
        <f>IFERROR(ROUND(V308*#REF!/V313,0),0)</f>
        <v>0</v>
      </c>
      <c r="W314" s="836">
        <f>IFERROR(ROUND(W308*#REF!/W313,0),0)</f>
        <v>0</v>
      </c>
      <c r="X314" s="36"/>
      <c r="Y314" s="36"/>
      <c r="Z314" s="36"/>
      <c r="AA314" s="36"/>
      <c r="AB314" s="36"/>
      <c r="AC314" s="36"/>
      <c r="AD314" s="36"/>
      <c r="AE314" s="36"/>
      <c r="AF314" s="36"/>
      <c r="AG314" s="36"/>
      <c r="AH314" s="36"/>
      <c r="AI314" s="36"/>
      <c r="AJ314" s="36"/>
      <c r="AK314" s="36"/>
      <c r="AL314" s="36"/>
      <c r="AM314" s="36"/>
    </row>
    <row r="315" spans="6:39" ht="15" customHeight="1" outlineLevel="1">
      <c r="G315" s="6" t="s">
        <v>87</v>
      </c>
      <c r="H315" s="836"/>
      <c r="I315" s="836">
        <f>IFERROR(IF(I308=0,0,(2*#REF!)+((MAX(I313, 1)-1)*#REF!)),0)</f>
        <v>0</v>
      </c>
      <c r="J315" s="836">
        <f>IFERROR(IF(J308=0,0,(2*#REF!)+((MAX(J313, 1)-1)*#REF!)),0)</f>
        <v>0</v>
      </c>
      <c r="K315" s="836">
        <f>IFERROR(IF(K308=0,0,(2*#REF!)+((MAX(K313, 1)-1)*#REF!)),0)</f>
        <v>0</v>
      </c>
      <c r="L315" s="836">
        <f>IFERROR(IF(L308=0,0,(2*#REF!)+((MAX(L313, 1)-1)*#REF!)),0)</f>
        <v>0</v>
      </c>
      <c r="M315" s="836">
        <f>IFERROR(IF(M308=0,0,(2*#REF!)+((MAX(M313, 1)-1)*#REF!)),0)</f>
        <v>0</v>
      </c>
      <c r="N315" s="836">
        <f>IFERROR(IF(N308=0,0,(2*#REF!)+((MAX(N313, 1)-1)*#REF!)),0)</f>
        <v>0</v>
      </c>
      <c r="O315" s="836">
        <f>IFERROR(IF(O308=0,0,(2*#REF!)+((MAX(O313, 1)-1)*#REF!)),0)</f>
        <v>0</v>
      </c>
      <c r="P315" s="836">
        <f>IFERROR(IF(P308=0,0,(2*#REF!)+((MAX(P313, 1)-1)*#REF!)),0)</f>
        <v>0</v>
      </c>
      <c r="Q315" s="836">
        <f>IFERROR(IF(Q308=0,0,(2*#REF!)+((MAX(Q313, 1)-1)*#REF!)),0)</f>
        <v>0</v>
      </c>
      <c r="R315" s="836">
        <f>IFERROR(IF(R308=0,0,(2*#REF!)+((MAX(R313, 1)-1)*#REF!)),0)</f>
        <v>0</v>
      </c>
      <c r="S315" s="836">
        <f>IFERROR(IF(S308=0,0,(2*#REF!)+((MAX(S313, 1)-1)*#REF!)),0)</f>
        <v>0</v>
      </c>
      <c r="T315" s="836">
        <f>IFERROR(IF(T308=0,0,(2*#REF!)+((MAX(T313, 1)-1)*#REF!)),0)</f>
        <v>0</v>
      </c>
      <c r="U315" s="836">
        <f>IFERROR(IF(U308=0,0,(2*#REF!)+((MAX(U313, 1)-1)*#REF!)),0)</f>
        <v>0</v>
      </c>
      <c r="V315" s="836">
        <f>IFERROR(IF(V308=0,0,(2*#REF!)+((MAX(V313, 1)-1)*#REF!)),0)</f>
        <v>0</v>
      </c>
      <c r="W315" s="836">
        <f>IFERROR(IF(W308=0,0,(2*#REF!)+((MAX(W313, 1)-1)*#REF!)),0)</f>
        <v>0</v>
      </c>
      <c r="X315" s="36"/>
      <c r="Y315" s="36"/>
      <c r="Z315" s="36"/>
      <c r="AA315" s="36"/>
      <c r="AB315" s="36"/>
      <c r="AC315" s="36"/>
      <c r="AD315" s="36"/>
      <c r="AE315" s="36"/>
      <c r="AF315" s="36"/>
      <c r="AG315" s="36"/>
      <c r="AH315" s="36"/>
      <c r="AI315" s="36"/>
      <c r="AJ315" s="36"/>
      <c r="AK315" s="36"/>
      <c r="AL315" s="36"/>
      <c r="AM315" s="36"/>
    </row>
    <row r="316" spans="6:39" ht="15" customHeight="1" outlineLevel="1">
      <c r="G316" s="6" t="s">
        <v>203</v>
      </c>
      <c r="H316" s="838"/>
      <c r="I316" s="838">
        <f>IFERROR((ROUNDUP(I313,1)*((1/60)*(#REF!+#REF!*(#REF!+(#REF!*(Baseline_Results_NOINDIRECT!I$52/#REF!/#REF!))))))+((2*#REF!)/#REF!)+(((MAX(I313,1)-1)*#REF!)/#REF!),0)</f>
        <v>0</v>
      </c>
      <c r="J316" s="838">
        <f>IFERROR((ROUNDUP(J313,1)*((1/60)*(#REF!+#REF!*(#REF!+(#REF!*(Baseline_Results_NOINDIRECT!J$52/#REF!/#REF!))))))+((2*#REF!)/#REF!)+(((MAX(J313,1)-1)*#REF!)/#REF!),0)</f>
        <v>0</v>
      </c>
      <c r="K316" s="838">
        <f>IFERROR((ROUNDUP(K313,1)*((1/60)*(#REF!+#REF!*(#REF!+(#REF!*(Baseline_Results_NOINDIRECT!K$52/#REF!/#REF!))))))+((2*#REF!)/#REF!)+(((MAX(K313,1)-1)*#REF!)/#REF!),0)</f>
        <v>0</v>
      </c>
      <c r="L316" s="838">
        <f>IFERROR((ROUNDUP(L313,1)*((1/60)*(#REF!+#REF!*(#REF!+(#REF!*(Baseline_Results_NOINDIRECT!L$52/#REF!/#REF!))))))+((2*#REF!)/#REF!)+(((MAX(L313,1)-1)*#REF!)/#REF!),0)</f>
        <v>0</v>
      </c>
      <c r="M316" s="838">
        <f>IFERROR((ROUNDUP(M313,1)*((1/60)*(#REF!+#REF!*(#REF!+(#REF!*(Baseline_Results_NOINDIRECT!M$52/#REF!/#REF!))))))+((2*#REF!)/#REF!)+(((MAX(M313,1)-1)*#REF!)/#REF!),0)</f>
        <v>0</v>
      </c>
      <c r="N316" s="838">
        <f>IFERROR((ROUNDUP(N313,1)*((1/60)*(#REF!+#REF!*(#REF!+(#REF!*(Baseline_Results_NOINDIRECT!N$52/#REF!/#REF!))))))+((2*#REF!)/#REF!)+(((MAX(N313,1)-1)*#REF!)/#REF!),0)</f>
        <v>0</v>
      </c>
      <c r="O316" s="838">
        <f>IFERROR((ROUNDUP(O313,1)*((1/60)*(#REF!+#REF!*(#REF!+(#REF!*(Baseline_Results_NOINDIRECT!O$52/#REF!/#REF!))))))+((2*#REF!)/#REF!)+(((MAX(O313,1)-1)*#REF!)/#REF!),0)</f>
        <v>0</v>
      </c>
      <c r="P316" s="838">
        <f>IFERROR((ROUNDUP(P313,1)*((1/60)*(#REF!+#REF!*(#REF!+(#REF!*(Baseline_Results_NOINDIRECT!P$52/#REF!/#REF!))))))+((2*#REF!)/#REF!)+(((MAX(P313,1)-1)*#REF!)/#REF!),0)</f>
        <v>0</v>
      </c>
      <c r="Q316" s="838">
        <f>IFERROR((ROUNDUP(Q313,1)*((1/60)*(#REF!+#REF!*(#REF!+(#REF!*(Baseline_Results_NOINDIRECT!Q$52/#REF!/#REF!))))))+((2*#REF!)/#REF!)+(((MAX(Q313,1)-1)*#REF!)/#REF!),0)</f>
        <v>0</v>
      </c>
      <c r="R316" s="838">
        <f>IFERROR((ROUNDUP(R313,1)*((1/60)*(#REF!+#REF!*(#REF!+(#REF!*(Baseline_Results_NOINDIRECT!R$52/#REF!/#REF!))))))+((2*#REF!)/#REF!)+(((MAX(R313,1)-1)*#REF!)/#REF!),0)</f>
        <v>0</v>
      </c>
      <c r="S316" s="838">
        <f>IFERROR((ROUNDUP(S313,1)*((1/60)*(#REF!+#REF!*(#REF!+(#REF!*(Baseline_Results_NOINDIRECT!S$52/#REF!/#REF!))))))+((2*#REF!)/#REF!)+(((MAX(S313,1)-1)*#REF!)/#REF!),0)</f>
        <v>0</v>
      </c>
      <c r="T316" s="838">
        <f>IFERROR((ROUNDUP(T313,1)*((1/60)*(#REF!+#REF!*(#REF!+(#REF!*(Baseline_Results_NOINDIRECT!T$52/#REF!/#REF!))))))+((2*#REF!)/#REF!)+(((MAX(T313,1)-1)*#REF!)/#REF!),0)</f>
        <v>0</v>
      </c>
      <c r="U316" s="838">
        <f>IFERROR((ROUNDUP(U313,1)*((1/60)*(#REF!+#REF!*(#REF!+(#REF!*(Baseline_Results_NOINDIRECT!U$52/#REF!/#REF!))))))+((2*#REF!)/#REF!)+(((MAX(U313,1)-1)*#REF!)/#REF!),0)</f>
        <v>0</v>
      </c>
      <c r="V316" s="838">
        <f>IFERROR((ROUNDUP(V313,1)*((1/60)*(#REF!+#REF!*(#REF!+(#REF!*(Baseline_Results_NOINDIRECT!V$52/#REF!/#REF!))))))+((2*#REF!)/#REF!)+(((MAX(V313,1)-1)*#REF!)/#REF!),0)</f>
        <v>0</v>
      </c>
      <c r="W316" s="838">
        <f>IFERROR((ROUNDUP(W313,1)*((1/60)*(#REF!+#REF!*(#REF!+(#REF!*(Baseline_Results_NOINDIRECT!W$52/#REF!/#REF!))))))+((2*#REF!)/#REF!)+(((MAX(W313,1)-1)*#REF!)/#REF!),0)</f>
        <v>0</v>
      </c>
      <c r="X316" s="36"/>
      <c r="Y316" s="36"/>
      <c r="Z316" s="36"/>
      <c r="AA316" s="36"/>
      <c r="AB316" s="36"/>
      <c r="AC316" s="36"/>
      <c r="AD316" s="36"/>
      <c r="AE316" s="36"/>
      <c r="AF316" s="36"/>
      <c r="AG316" s="36"/>
      <c r="AH316" s="36"/>
      <c r="AI316" s="36"/>
      <c r="AJ316" s="36"/>
      <c r="AK316" s="36"/>
      <c r="AL316" s="36"/>
      <c r="AM316" s="36"/>
    </row>
    <row r="317" spans="6:39" ht="15" customHeight="1" outlineLevel="1">
      <c r="G317" s="6" t="s">
        <v>204</v>
      </c>
      <c r="H317" s="838"/>
      <c r="I317" s="838">
        <f>IFERROR((#REF!*#REF!*#REF!)/I316,0)</f>
        <v>0</v>
      </c>
      <c r="J317" s="838">
        <f>IFERROR((#REF!*#REF!*#REF!)/J316,0)</f>
        <v>0</v>
      </c>
      <c r="K317" s="838">
        <f>IFERROR((#REF!*#REF!*#REF!)/K316,0)</f>
        <v>0</v>
      </c>
      <c r="L317" s="838">
        <f>IFERROR((#REF!*#REF!*#REF!)/L316,0)</f>
        <v>0</v>
      </c>
      <c r="M317" s="838">
        <f>IFERROR((#REF!*#REF!*#REF!)/M316,0)</f>
        <v>0</v>
      </c>
      <c r="N317" s="838">
        <f>IFERROR((#REF!*#REF!*#REF!)/N316,0)</f>
        <v>0</v>
      </c>
      <c r="O317" s="838">
        <f>IFERROR((#REF!*#REF!*#REF!)/O316,0)</f>
        <v>0</v>
      </c>
      <c r="P317" s="838">
        <f>IFERROR((#REF!*#REF!*#REF!)/P316,0)</f>
        <v>0</v>
      </c>
      <c r="Q317" s="838">
        <f>IFERROR((#REF!*#REF!*#REF!)/Q316,0)</f>
        <v>0</v>
      </c>
      <c r="R317" s="838">
        <f>IFERROR((#REF!*#REF!*#REF!)/R316,0)</f>
        <v>0</v>
      </c>
      <c r="S317" s="838">
        <f>IFERROR((#REF!*#REF!*#REF!)/S316,0)</f>
        <v>0</v>
      </c>
      <c r="T317" s="838">
        <f>IFERROR((#REF!*#REF!*#REF!)/T316,0)</f>
        <v>0</v>
      </c>
      <c r="U317" s="838">
        <f>IFERROR((#REF!*#REF!*#REF!)/U316,0)</f>
        <v>0</v>
      </c>
      <c r="V317" s="838">
        <f>IFERROR((#REF!*#REF!*#REF!)/V316,0)</f>
        <v>0</v>
      </c>
      <c r="W317" s="838">
        <f>IFERROR((#REF!*#REF!*#REF!)/W316,0)</f>
        <v>0</v>
      </c>
      <c r="X317" s="36"/>
      <c r="Y317" s="36"/>
      <c r="Z317" s="36"/>
      <c r="AA317" s="36"/>
      <c r="AB317" s="36"/>
      <c r="AC317" s="36"/>
      <c r="AD317" s="36"/>
      <c r="AE317" s="36"/>
      <c r="AF317" s="36"/>
      <c r="AG317" s="36"/>
      <c r="AH317" s="36"/>
      <c r="AI317" s="36"/>
      <c r="AJ317" s="242"/>
      <c r="AK317" s="36"/>
      <c r="AL317" s="36"/>
      <c r="AM317" s="36"/>
    </row>
    <row r="318" spans="6:39" ht="15" customHeight="1" outlineLevel="1">
      <c r="G318" s="241" t="s">
        <v>134</v>
      </c>
      <c r="H318" s="842"/>
      <c r="I318" s="842"/>
      <c r="J318" s="842"/>
      <c r="K318" s="842"/>
      <c r="L318" s="842"/>
      <c r="M318" s="842"/>
      <c r="N318" s="842"/>
      <c r="O318" s="842"/>
      <c r="P318" s="842"/>
      <c r="Q318" s="842"/>
      <c r="R318" s="853"/>
      <c r="S318" s="853"/>
      <c r="T318" s="842"/>
      <c r="U318" s="853"/>
      <c r="V318" s="853"/>
      <c r="W318" s="842"/>
      <c r="X318" s="36"/>
      <c r="Y318" s="36"/>
      <c r="Z318" s="36"/>
      <c r="AA318" s="36"/>
      <c r="AB318" s="36"/>
      <c r="AC318" s="36"/>
      <c r="AD318" s="36"/>
      <c r="AE318" s="36"/>
      <c r="AF318" s="36"/>
      <c r="AG318" s="36"/>
      <c r="AH318" s="36"/>
      <c r="AI318" s="36"/>
      <c r="AJ318" s="242"/>
      <c r="AK318" s="36"/>
      <c r="AL318" s="36"/>
      <c r="AM318" s="36"/>
    </row>
    <row r="319" spans="6:39" ht="15" customHeight="1" outlineLevel="1">
      <c r="G319" s="6" t="s">
        <v>206</v>
      </c>
      <c r="H319" s="836"/>
      <c r="I319" s="836">
        <f>IFERROR(I308*#REF!,0)</f>
        <v>0</v>
      </c>
      <c r="J319" s="836">
        <f>IFERROR(J308*#REF!,0)</f>
        <v>0</v>
      </c>
      <c r="K319" s="836">
        <f>IFERROR(K308*#REF!,0)</f>
        <v>0</v>
      </c>
      <c r="L319" s="836">
        <f>IFERROR(L308*#REF!,0)</f>
        <v>0</v>
      </c>
      <c r="M319" s="836">
        <f>IFERROR(M308*#REF!,0)</f>
        <v>0</v>
      </c>
      <c r="N319" s="836">
        <f>IFERROR(N308*#REF!,0)</f>
        <v>0</v>
      </c>
      <c r="O319" s="836">
        <f>IFERROR(O308*#REF!,0)</f>
        <v>0</v>
      </c>
      <c r="P319" s="836">
        <f>IFERROR(P308*#REF!,0)</f>
        <v>0</v>
      </c>
      <c r="Q319" s="836">
        <f>IFERROR(Q308*#REF!,0)</f>
        <v>0</v>
      </c>
      <c r="R319" s="836">
        <f>IFERROR(R308*#REF!,0)</f>
        <v>0</v>
      </c>
      <c r="S319" s="836">
        <f>IFERROR(S308*#REF!,0)</f>
        <v>0</v>
      </c>
      <c r="T319" s="836">
        <f>IFERROR(T308*#REF!,0)</f>
        <v>0</v>
      </c>
      <c r="U319" s="836">
        <f>IFERROR(U308*#REF!,0)</f>
        <v>0</v>
      </c>
      <c r="V319" s="836">
        <f>IFERROR(V308*#REF!,0)</f>
        <v>0</v>
      </c>
      <c r="W319" s="836">
        <f>IFERROR(W308*#REF!,0)</f>
        <v>0</v>
      </c>
      <c r="X319" s="36"/>
      <c r="Y319" s="36"/>
      <c r="Z319" s="36"/>
      <c r="AA319" s="36" t="s">
        <v>192</v>
      </c>
      <c r="AB319" s="36"/>
      <c r="AC319" s="36" t="s">
        <v>193</v>
      </c>
      <c r="AD319" s="36"/>
      <c r="AE319" s="36"/>
      <c r="AF319" s="36"/>
      <c r="AG319" s="36"/>
      <c r="AH319" s="36"/>
      <c r="AI319" s="36"/>
      <c r="AJ319" s="36"/>
      <c r="AK319" s="36"/>
      <c r="AL319" s="36"/>
      <c r="AM319" s="36"/>
    </row>
    <row r="320" spans="6:39" ht="15" customHeight="1" outlineLevel="1">
      <c r="G320" s="6" t="s">
        <v>87</v>
      </c>
      <c r="H320" s="836"/>
      <c r="I320" s="836">
        <f>IFERROR(IF(I308=0,0,2*#REF!),0)</f>
        <v>0</v>
      </c>
      <c r="J320" s="836">
        <f>IFERROR(IF(J308=0,0,2*#REF!),0)</f>
        <v>0</v>
      </c>
      <c r="K320" s="836">
        <f>IFERROR(IF(K308=0,0,2*#REF!),0)</f>
        <v>0</v>
      </c>
      <c r="L320" s="836">
        <f>IFERROR(IF(L308=0,0,2*#REF!),0)</f>
        <v>0</v>
      </c>
      <c r="M320" s="836">
        <f>IFERROR(IF(M308=0,0,2*#REF!),0)</f>
        <v>0</v>
      </c>
      <c r="N320" s="836">
        <f>IFERROR(IF(N308=0,0,2*#REF!),0)</f>
        <v>0</v>
      </c>
      <c r="O320" s="836">
        <f>IFERROR(IF(O308=0,0,2*#REF!),0)</f>
        <v>0</v>
      </c>
      <c r="P320" s="836">
        <f>IFERROR(IF(P308=0,0,2*#REF!),0)</f>
        <v>0</v>
      </c>
      <c r="Q320" s="836">
        <f>IFERROR(IF(Q308=0,0,2*#REF!),0)</f>
        <v>0</v>
      </c>
      <c r="R320" s="836">
        <f>IFERROR(IF(R308=0,0,2*#REF!),0)</f>
        <v>0</v>
      </c>
      <c r="S320" s="836">
        <f>IFERROR(IF(S308=0,0,2*#REF!),0)</f>
        <v>0</v>
      </c>
      <c r="T320" s="836">
        <f>IFERROR(IF(T308=0,0,2*#REF!),0)</f>
        <v>0</v>
      </c>
      <c r="U320" s="836">
        <f>IFERROR(IF(U308=0,0,2*#REF!),0)</f>
        <v>0</v>
      </c>
      <c r="V320" s="836">
        <f>IFERROR(IF(V308=0,0,2*#REF!),0)</f>
        <v>0</v>
      </c>
      <c r="W320" s="836">
        <f>IFERROR(IF(W308=0,0,2*#REF!),0)</f>
        <v>0</v>
      </c>
      <c r="X320" s="36"/>
      <c r="Y320" s="36"/>
      <c r="Z320" s="36"/>
      <c r="AA320" s="36" t="s">
        <v>194</v>
      </c>
      <c r="AB320" s="36"/>
      <c r="AC320" s="36" t="s">
        <v>195</v>
      </c>
      <c r="AD320" s="36"/>
      <c r="AE320" s="36"/>
      <c r="AF320" s="36"/>
      <c r="AG320" s="36"/>
      <c r="AH320" s="36"/>
      <c r="AI320" s="36"/>
      <c r="AJ320" s="36"/>
      <c r="AK320" s="36"/>
      <c r="AL320" s="36"/>
      <c r="AM320" s="36"/>
    </row>
    <row r="321" spans="6:39" ht="15" customHeight="1" outlineLevel="1">
      <c r="G321" s="6" t="s">
        <v>204</v>
      </c>
      <c r="H321" s="837"/>
      <c r="I321" s="837">
        <f>IFERROR((#REF!*#REF!*#REF!)/((I320/#REF!)+((1/60)*(#REF!+#REF!*(#REF!+(#REF!*(Baseline_Results_NOINDIRECT!I$52/#REF!/#REF!)))))),0)</f>
        <v>0</v>
      </c>
      <c r="J321" s="837">
        <f>IFERROR((#REF!*#REF!*#REF!)/((J320/#REF!)+((1/60)*(#REF!+#REF!*(#REF!+(#REF!*(Baseline_Results_NOINDIRECT!J$52/#REF!/#REF!)))))),0)</f>
        <v>0</v>
      </c>
      <c r="K321" s="837">
        <f>IFERROR((#REF!*#REF!*#REF!)/((K320/#REF!)+((1/60)*(#REF!+#REF!*(#REF!+(#REF!*(Baseline_Results_NOINDIRECT!K$52/#REF!/#REF!)))))),0)</f>
        <v>0</v>
      </c>
      <c r="L321" s="837">
        <f>IFERROR((#REF!*#REF!*#REF!)/((L320/#REF!)+((1/60)*(#REF!+#REF!*(#REF!+(#REF!*(Baseline_Results_NOINDIRECT!L$52/#REF!/#REF!)))))),0)</f>
        <v>0</v>
      </c>
      <c r="M321" s="837">
        <f>IFERROR((#REF!*#REF!*#REF!)/((M320/#REF!)+((1/60)*(#REF!+#REF!*(#REF!+(#REF!*(Baseline_Results_NOINDIRECT!M$52/#REF!/#REF!)))))),0)</f>
        <v>0</v>
      </c>
      <c r="N321" s="837">
        <f>IFERROR((#REF!*#REF!*#REF!)/((N320/#REF!)+((1/60)*(#REF!+#REF!*(#REF!+(#REF!*(Baseline_Results_NOINDIRECT!N$52/#REF!/#REF!)))))),0)</f>
        <v>0</v>
      </c>
      <c r="O321" s="837">
        <f>IFERROR((#REF!*#REF!*#REF!)/((O320/#REF!)+((1/60)*(#REF!+#REF!*(#REF!+(#REF!*(Baseline_Results_NOINDIRECT!O$52/#REF!/#REF!)))))),0)</f>
        <v>0</v>
      </c>
      <c r="P321" s="837">
        <f>IFERROR((#REF!*#REF!*#REF!)/((P320/#REF!)+((1/60)*(#REF!+#REF!*(#REF!+(#REF!*(Baseline_Results_NOINDIRECT!P$52/#REF!/#REF!)))))),0)</f>
        <v>0</v>
      </c>
      <c r="Q321" s="837">
        <f>IFERROR((#REF!*#REF!*#REF!)/((Q320/#REF!)+((1/60)*(#REF!+#REF!*(#REF!+(#REF!*(Baseline_Results_NOINDIRECT!Q$52/#REF!/#REF!)))))),0)</f>
        <v>0</v>
      </c>
      <c r="R321" s="837">
        <f>IFERROR((#REF!*#REF!*#REF!)/((R320/#REF!)+((1/60)*(#REF!+#REF!*(#REF!+(#REF!*(Baseline_Results_NOINDIRECT!R$52/#REF!/#REF!)))))),0)</f>
        <v>0</v>
      </c>
      <c r="S321" s="837">
        <f>IFERROR((#REF!*#REF!*#REF!)/((S320/#REF!)+((1/60)*(#REF!+#REF!*(#REF!+(#REF!*(Baseline_Results_NOINDIRECT!S$52/#REF!/#REF!)))))),0)</f>
        <v>0</v>
      </c>
      <c r="T321" s="837">
        <f>IFERROR((#REF!*#REF!*#REF!)/((T320/#REF!)+((1/60)*(#REF!+#REF!*(#REF!+(#REF!*(Baseline_Results_NOINDIRECT!T$52/#REF!/#REF!)))))),0)</f>
        <v>0</v>
      </c>
      <c r="U321" s="837">
        <f>IFERROR((#REF!*#REF!*#REF!)/((U320/#REF!)+((1/60)*(#REF!+#REF!*(#REF!+(#REF!*(Baseline_Results_NOINDIRECT!U$52/#REF!/#REF!)))))),0)</f>
        <v>0</v>
      </c>
      <c r="V321" s="837">
        <f>IFERROR((#REF!*#REF!*#REF!)/((V320/#REF!)+((1/60)*(#REF!+#REF!*(#REF!+(#REF!*(Baseline_Results_NOINDIRECT!V$52/#REF!/#REF!)))))),0)</f>
        <v>0</v>
      </c>
      <c r="W321" s="837">
        <f>IFERROR((#REF!*#REF!*#REF!)/((W320/#REF!)+((1/60)*(#REF!+#REF!*(#REF!+(#REF!*(Baseline_Results_NOINDIRECT!W$52/#REF!/#REF!)))))),0)</f>
        <v>0</v>
      </c>
      <c r="X321" s="36"/>
      <c r="Y321" s="36"/>
      <c r="Z321" s="36"/>
      <c r="AA321" s="36" t="s">
        <v>196</v>
      </c>
      <c r="AB321" s="36"/>
      <c r="AC321" s="36" t="s">
        <v>197</v>
      </c>
      <c r="AD321" s="36"/>
      <c r="AE321" s="36"/>
      <c r="AF321" s="36"/>
      <c r="AG321" s="36"/>
      <c r="AH321" s="36"/>
      <c r="AI321" s="36"/>
      <c r="AJ321" s="36"/>
      <c r="AK321" s="36"/>
      <c r="AL321" s="36"/>
      <c r="AM321" s="36"/>
    </row>
    <row r="322" spans="6:39" ht="15" customHeight="1">
      <c r="F322" s="858" t="s">
        <v>213</v>
      </c>
      <c r="G322" s="859"/>
      <c r="H322" s="864"/>
      <c r="I322" s="864"/>
      <c r="J322" s="864"/>
      <c r="K322" s="864" t="s">
        <v>842</v>
      </c>
      <c r="L322" s="864"/>
      <c r="M322" s="864"/>
      <c r="N322" s="864" t="s">
        <v>843</v>
      </c>
      <c r="O322" s="864"/>
      <c r="P322" s="864"/>
      <c r="Q322" s="832" t="s">
        <v>844</v>
      </c>
      <c r="R322" s="833"/>
      <c r="S322" s="833"/>
      <c r="T322" s="832" t="s">
        <v>845</v>
      </c>
      <c r="U322" s="834"/>
      <c r="V322" s="834"/>
      <c r="W322" s="832" t="s">
        <v>846</v>
      </c>
      <c r="X322" s="36"/>
      <c r="Y322" s="36"/>
      <c r="Z322" s="36"/>
      <c r="AA322" s="36"/>
      <c r="AB322" s="36"/>
      <c r="AC322" s="36"/>
      <c r="AD322" s="36"/>
      <c r="AE322" s="36"/>
      <c r="AF322" s="36"/>
      <c r="AG322" s="36"/>
      <c r="AH322" s="36"/>
      <c r="AI322" s="36"/>
      <c r="AJ322" s="36"/>
      <c r="AK322" s="36"/>
      <c r="AL322" s="36"/>
      <c r="AM322" s="36"/>
    </row>
    <row r="323" spans="6:39" ht="15" customHeight="1" outlineLevel="1">
      <c r="F323" s="71" t="s">
        <v>149</v>
      </c>
      <c r="G323" s="71"/>
      <c r="H323" s="865"/>
      <c r="I323" s="865"/>
      <c r="J323" s="865"/>
      <c r="K323" s="865"/>
      <c r="L323" s="865"/>
      <c r="M323" s="865"/>
      <c r="N323" s="865"/>
      <c r="O323" s="866"/>
      <c r="P323" s="866"/>
      <c r="Q323" s="825"/>
      <c r="R323" s="835"/>
      <c r="S323" s="835"/>
      <c r="T323" s="825"/>
      <c r="U323" s="835"/>
      <c r="V323" s="835"/>
      <c r="W323" s="825"/>
      <c r="X323" s="36"/>
      <c r="Y323" s="36"/>
      <c r="Z323" s="36"/>
      <c r="AA323" s="36"/>
      <c r="AB323" s="36"/>
      <c r="AC323" s="36"/>
      <c r="AD323" s="36"/>
      <c r="AE323" s="36"/>
      <c r="AF323" s="36"/>
      <c r="AG323" s="36"/>
      <c r="AH323" s="36"/>
      <c r="AI323" s="36"/>
      <c r="AJ323" s="242"/>
      <c r="AK323" s="36"/>
      <c r="AL323" s="36"/>
      <c r="AM323" s="36"/>
    </row>
    <row r="324" spans="6:39" ht="15" customHeight="1" outlineLevel="1">
      <c r="G324" s="6" t="s">
        <v>146</v>
      </c>
      <c r="H324" s="837"/>
      <c r="I324" s="837">
        <f>IFERROR(IF(COUNTIF(#REF!,"Public Transport*")=1,IF(#REF!="Route-based",I331*#REF!,IF(#REF!="Point-to-point",I334*#REF!,0)),0),0)</f>
        <v>0</v>
      </c>
      <c r="J324" s="837">
        <f>IFERROR(IF(COUNTIF(#REF!,"Public Transport*")=1,IF(#REF!="Route-based",J331*#REF!,IF(#REF!="Point-to-point",J334*#REF!,0)),0),0)</f>
        <v>0</v>
      </c>
      <c r="K324" s="837">
        <f>IFERROR(IF(COUNTIF(#REF!,"Public Transport*")=1,IF(#REF!="Route-based",K331*#REF!,IF(#REF!="Point-to-point",K334*#REF!,0)),0),0)</f>
        <v>0</v>
      </c>
      <c r="L324" s="837">
        <f>IFERROR(IF(COUNTIF(#REF!,"Public Transport*")=1,IF(#REF!="Route-based",L331*#REF!,IF(#REF!="Point-to-point",L334*#REF!,0)),0),0)</f>
        <v>0</v>
      </c>
      <c r="M324" s="837">
        <f>IFERROR(IF(COUNTIF(#REF!,"Public Transport*")=1,IF(#REF!="Route-based",M331*#REF!,IF(#REF!="Point-to-point",M334*#REF!,0)),0),0)</f>
        <v>0</v>
      </c>
      <c r="N324" s="837">
        <f>IFERROR(IF(COUNTIF(#REF!,"Public Transport*")=1,IF(#REF!="Route-based",N331*#REF!,IF(#REF!="Point-to-point",N334*#REF!,0)),0),0)</f>
        <v>0</v>
      </c>
      <c r="O324" s="837">
        <f>IFERROR(IF(COUNTIF(#REF!,"Public Transport*")=1,IF(#REF!="Route-based",O331*#REF!,IF(#REF!="Point-to-point",O334*#REF!,0)),0),0)</f>
        <v>0</v>
      </c>
      <c r="P324" s="837">
        <f>IFERROR(IF(COUNTIF(#REF!,"Public Transport*")=1,IF(#REF!="Route-based",P331*#REF!,IF(#REF!="Point-to-point",P334*#REF!,0)),0),0)</f>
        <v>0</v>
      </c>
      <c r="Q324" s="837">
        <f>IFERROR(IF(COUNTIF(#REF!,"Public Transport*")=1,IF(#REF!="Route-based",Q331*#REF!,IF(#REF!="Point-to-point",Q334*#REF!,0)),0),0)</f>
        <v>0</v>
      </c>
      <c r="R324" s="853"/>
      <c r="S324" s="853"/>
      <c r="T324" s="837">
        <f>IFERROR(IF(COUNTIF(#REF!,"Public Transport*")=1,IF(#REF!="Route-based",T331*#REF!,IF(#REF!="Point-to-point",T334*#REF!,0)),0),0)</f>
        <v>0</v>
      </c>
      <c r="U324" s="853"/>
      <c r="V324" s="853"/>
      <c r="W324" s="837">
        <f>IFERROR(IF(COUNTIF(#REF!,"Public Transport*")=1,IF(#REF!="Route-based",W331*#REF!,IF(#REF!="Point-to-point",W334*#REF!,0)),0),0)</f>
        <v>0</v>
      </c>
      <c r="X324" s="36"/>
      <c r="Y324" s="36"/>
      <c r="Z324" s="36"/>
      <c r="AA324" s="36"/>
      <c r="AB324" s="36"/>
      <c r="AC324" s="36"/>
      <c r="AD324" s="36"/>
      <c r="AE324" s="36"/>
      <c r="AF324" s="36"/>
      <c r="AG324" s="36"/>
      <c r="AH324" s="36"/>
      <c r="AI324" s="36"/>
      <c r="AJ324" s="242"/>
      <c r="AK324" s="36"/>
      <c r="AL324" s="36"/>
      <c r="AM324" s="36"/>
    </row>
    <row r="325" spans="6:39" ht="15" customHeight="1" outlineLevel="1">
      <c r="G325" s="6" t="s">
        <v>147</v>
      </c>
      <c r="H325" s="837"/>
      <c r="I325" s="837">
        <f>IFERROR(IF(#REF!="Route-based",I332*#REF!,IF(#REF!="Point-to-point",I335*#REF!,0)),0)</f>
        <v>0</v>
      </c>
      <c r="J325" s="837">
        <f>IFERROR(IF(#REF!="Route-based",J332*#REF!,IF(#REF!="Point-to-point",J335*#REF!,0)),0)</f>
        <v>0</v>
      </c>
      <c r="K325" s="837">
        <f>IFERROR(IF(#REF!="Route-based",K332*#REF!,IF(#REF!="Point-to-point",K335*#REF!,0)),0)</f>
        <v>0</v>
      </c>
      <c r="L325" s="837">
        <f>IFERROR(IF(#REF!="Route-based",L332*#REF!,IF(#REF!="Point-to-point",L335*#REF!,0)),0)</f>
        <v>0</v>
      </c>
      <c r="M325" s="837">
        <f>IFERROR(IF(#REF!="Route-based",M332*#REF!,IF(#REF!="Point-to-point",M335*#REF!,0)),0)</f>
        <v>0</v>
      </c>
      <c r="N325" s="837">
        <f>IFERROR(IF(#REF!="Route-based",N332*#REF!,IF(#REF!="Point-to-point",N335*#REF!,0)),0)</f>
        <v>0</v>
      </c>
      <c r="O325" s="837">
        <f>IFERROR(IF(#REF!="Route-based",O332*#REF!,IF(#REF!="Point-to-point",O335*#REF!,0)),0)</f>
        <v>0</v>
      </c>
      <c r="P325" s="837">
        <f>IFERROR(IF(#REF!="Route-based",P332*#REF!,IF(#REF!="Point-to-point",P335*#REF!,0)),0)</f>
        <v>0</v>
      </c>
      <c r="Q325" s="837">
        <f>IFERROR(IF(#REF!="Route-based",Q332*#REF!,IF(#REF!="Point-to-point",Q335*#REF!,0)),0)</f>
        <v>0</v>
      </c>
      <c r="R325" s="853"/>
      <c r="S325" s="853"/>
      <c r="T325" s="837">
        <f>IFERROR(IF(#REF!="Route-based",T332*#REF!,IF(#REF!="Point-to-point",T335*#REF!,0)),0)</f>
        <v>0</v>
      </c>
      <c r="U325" s="853"/>
      <c r="V325" s="853"/>
      <c r="W325" s="837">
        <f>IFERROR(IF(#REF!="Route-based",W332*#REF!,IF(#REF!="Point-to-point",W335*#REF!,0)),0)</f>
        <v>0</v>
      </c>
      <c r="X325" s="36"/>
      <c r="Y325" s="36"/>
      <c r="Z325" s="36"/>
      <c r="AA325" s="36"/>
      <c r="AB325" s="36"/>
      <c r="AC325" s="36"/>
      <c r="AD325" s="36"/>
      <c r="AE325" s="36"/>
      <c r="AF325" s="36"/>
      <c r="AG325" s="36"/>
      <c r="AH325" s="36"/>
      <c r="AI325" s="36"/>
      <c r="AJ325" s="242"/>
      <c r="AK325" s="36"/>
      <c r="AL325" s="36"/>
      <c r="AM325" s="36"/>
    </row>
    <row r="326" spans="6:39" ht="15" customHeight="1" outlineLevel="1">
      <c r="G326" s="6" t="s">
        <v>142</v>
      </c>
      <c r="H326" s="841"/>
      <c r="I326" s="841">
        <f>IFERROR(IF(COUNTIF(#REF!,"Public Transport*")&gt;0,ROUND(#REF!*#REF!,0),0),0)</f>
        <v>0</v>
      </c>
      <c r="J326" s="841">
        <f>IFERROR(IF(COUNTIF(#REF!,"Public Transport*")&gt;0,ROUND(#REF!*#REF!,0),0),0)</f>
        <v>0</v>
      </c>
      <c r="K326" s="841">
        <f>IFERROR(IF(COUNTIF(#REF!,"Public Transport*")&gt;0,ROUND(#REF!*#REF!,0),0),0)</f>
        <v>0</v>
      </c>
      <c r="L326" s="841">
        <f>IFERROR(IF(COUNTIF(#REF!,"Public Transport*")&gt;0,ROUND(#REF!*#REF!,0),0),0)</f>
        <v>0</v>
      </c>
      <c r="M326" s="841">
        <f>IFERROR(IF(COUNTIF(#REF!,"Public Transport*")&gt;0,ROUND(#REF!*#REF!,0),0),0)</f>
        <v>0</v>
      </c>
      <c r="N326" s="841">
        <f>IFERROR(IF(COUNTIF(#REF!,"Public Transport*")&gt;0,ROUND(#REF!*#REF!,0),0),0)</f>
        <v>0</v>
      </c>
      <c r="O326" s="841">
        <f>IFERROR(IF(COUNTIF(#REF!,"Public Transport*")&gt;0,ROUND(#REF!*#REF!,0),0),0)</f>
        <v>0</v>
      </c>
      <c r="P326" s="841">
        <f>IFERROR(IF(COUNTIF(#REF!,"Public Transport*")&gt;0,ROUND(#REF!*#REF!,0),0),0)</f>
        <v>0</v>
      </c>
      <c r="Q326" s="841">
        <f>IFERROR(IF(COUNTIF(#REF!,"Public Transport*")&gt;0,ROUND(#REF!*#REF!,0),0),0)</f>
        <v>0</v>
      </c>
      <c r="R326" s="853"/>
      <c r="S326" s="853"/>
      <c r="T326" s="841">
        <f>IFERROR(IF(COUNTIF(#REF!,"Public Transport*")&gt;0,ROUND(#REF!*#REF!,0),0),0)</f>
        <v>0</v>
      </c>
      <c r="U326" s="853"/>
      <c r="V326" s="853"/>
      <c r="W326" s="841">
        <f>IFERROR(IF(COUNTIF(#REF!,"Public Transport*")&gt;0,ROUND(#REF!*#REF!,0),0),0)</f>
        <v>0</v>
      </c>
      <c r="X326" s="36"/>
      <c r="Y326" s="36"/>
      <c r="Z326" s="36"/>
      <c r="AA326" s="36"/>
      <c r="AB326" s="36"/>
      <c r="AC326" s="36"/>
      <c r="AD326" s="36"/>
      <c r="AE326" s="36"/>
      <c r="AF326" s="36"/>
      <c r="AG326" s="36"/>
      <c r="AH326" s="36"/>
      <c r="AI326" s="36"/>
      <c r="AJ326" s="36"/>
      <c r="AK326" s="36"/>
      <c r="AL326" s="36"/>
      <c r="AM326" s="36"/>
    </row>
    <row r="327" spans="6:39" ht="15" customHeight="1" outlineLevel="1">
      <c r="G327" s="241" t="s">
        <v>150</v>
      </c>
      <c r="H327" s="842"/>
      <c r="I327" s="842"/>
      <c r="J327" s="842"/>
      <c r="K327" s="842"/>
      <c r="L327" s="842"/>
      <c r="M327" s="842"/>
      <c r="N327" s="842"/>
      <c r="O327" s="842"/>
      <c r="P327" s="842"/>
      <c r="Q327" s="842"/>
      <c r="R327" s="853"/>
      <c r="S327" s="853"/>
      <c r="T327" s="842"/>
      <c r="U327" s="853"/>
      <c r="V327" s="853"/>
      <c r="W327" s="842"/>
      <c r="X327" s="36"/>
      <c r="Y327" s="36"/>
      <c r="Z327" s="36"/>
      <c r="AA327" s="36"/>
      <c r="AB327" s="36"/>
      <c r="AC327" s="36"/>
      <c r="AD327" s="36"/>
      <c r="AE327" s="36"/>
      <c r="AF327" s="36"/>
      <c r="AG327" s="36"/>
      <c r="AH327" s="36"/>
      <c r="AI327" s="36"/>
      <c r="AJ327" s="36"/>
      <c r="AK327" s="36"/>
      <c r="AL327" s="36"/>
      <c r="AM327" s="36"/>
    </row>
    <row r="328" spans="6:39" ht="15" customHeight="1" outlineLevel="1">
      <c r="G328" s="6" t="s">
        <v>140</v>
      </c>
      <c r="H328" s="836"/>
      <c r="I328" s="836">
        <f>IFERROR(ROUND(#REF!/(((1/60)*(#REF!+#REF!*(#REF!+(#REF!*(Baseline_Results_NOINDIRECT!I$52/#REF!/#REF!)))))+INDEX(#REF!,MATCH(#REF!&amp;"Average duration (hrs) per trip",#REF!,0))),1),0)</f>
        <v>0</v>
      </c>
      <c r="J328" s="836">
        <f>IFERROR(ROUND(#REF!/(((1/60)*(#REF!+#REF!*(#REF!+(#REF!*(Baseline_Results_NOINDIRECT!J$52/#REF!/#REF!)))))+INDEX(#REF!,MATCH(#REF!&amp;"Average duration (hrs) per trip",#REF!,0))),1),0)</f>
        <v>0</v>
      </c>
      <c r="K328" s="836">
        <f>IFERROR(ROUND(#REF!/(((1/60)*(#REF!+#REF!*(#REF!+(#REF!*(Baseline_Results_NOINDIRECT!K$52/#REF!/#REF!)))))+INDEX(#REF!,MATCH(#REF!&amp;"Average duration (hrs) per trip",#REF!,0))),1),0)</f>
        <v>0</v>
      </c>
      <c r="L328" s="836">
        <f>IFERROR(ROUND(#REF!/(((1/60)*(#REF!+#REF!*(#REF!+(#REF!*(Baseline_Results_NOINDIRECT!L$52/#REF!/#REF!)))))+INDEX(#REF!,MATCH(#REF!&amp;"Average duration (hrs) per trip",#REF!,0))),1),0)</f>
        <v>0</v>
      </c>
      <c r="M328" s="836">
        <f>IFERROR(ROUND(#REF!/(((1/60)*(#REF!+#REF!*(#REF!+(#REF!*(Baseline_Results_NOINDIRECT!M$52/#REF!/#REF!)))))+INDEX(#REF!,MATCH(#REF!&amp;"Average duration (hrs) per trip",#REF!,0))),1),0)</f>
        <v>0</v>
      </c>
      <c r="N328" s="836">
        <f>IFERROR(ROUND(#REF!/(((1/60)*(#REF!+#REF!*(#REF!+(#REF!*(Baseline_Results_NOINDIRECT!N$52/#REF!/#REF!)))))+INDEX(#REF!,MATCH(#REF!&amp;"Average duration (hrs) per trip",#REF!,0))),1),0)</f>
        <v>0</v>
      </c>
      <c r="O328" s="836">
        <f>IFERROR(ROUND(#REF!/(((1/60)*(#REF!+#REF!*(#REF!+(#REF!*(Baseline_Results_NOINDIRECT!O$52/#REF!/#REF!)))))+INDEX(#REF!,MATCH(#REF!&amp;"Average duration (hrs) per trip",#REF!,0))),1),0)</f>
        <v>0</v>
      </c>
      <c r="P328" s="836">
        <f>IFERROR(ROUND(#REF!/(((1/60)*(#REF!+#REF!*(#REF!+(#REF!*(Baseline_Results_NOINDIRECT!P$52/#REF!/#REF!)))))+INDEX(#REF!,MATCH(#REF!&amp;"Average duration (hrs) per trip",#REF!,0))),1),0)</f>
        <v>0</v>
      </c>
      <c r="Q328" s="836">
        <f>IFERROR(ROUND(#REF!/(((1/60)*(#REF!+#REF!*(#REF!+(#REF!*(Baseline_Results_NOINDIRECT!Q$52/#REF!/#REF!)))))+INDEX(#REF!,MATCH(#REF!&amp;"Average duration (hrs) per trip",#REF!,0))),1),0)</f>
        <v>0</v>
      </c>
      <c r="R328" s="836">
        <f>IFERROR(ROUND(#REF!/(((1/60)*(#REF!+#REF!*(#REF!+(#REF!*(Baseline_Results_NOINDIRECT!R$52/#REF!/#REF!)))))+INDEX(#REF!,MATCH(#REF!&amp;"Average duration (hrs) per trip",#REF!,0))),1),0)</f>
        <v>0</v>
      </c>
      <c r="S328" s="836">
        <f>IFERROR(ROUND(#REF!/(((1/60)*(#REF!+#REF!*(#REF!+(#REF!*(Baseline_Results_NOINDIRECT!S$52/#REF!/#REF!)))))+INDEX(#REF!,MATCH(#REF!&amp;"Average duration (hrs) per trip",#REF!,0))),1),0)</f>
        <v>0</v>
      </c>
      <c r="T328" s="836">
        <f>IFERROR(ROUND(#REF!/(((1/60)*(#REF!+#REF!*(#REF!+(#REF!*(Baseline_Results_NOINDIRECT!T$52/#REF!/#REF!)))))+INDEX(#REF!,MATCH(#REF!&amp;"Average duration (hrs) per trip",#REF!,0))),1),0)</f>
        <v>0</v>
      </c>
      <c r="U328" s="836">
        <f>IFERROR(ROUND(#REF!/(((1/60)*(#REF!+#REF!*(#REF!+(#REF!*(Baseline_Results_NOINDIRECT!U$52/#REF!/#REF!)))))+INDEX(#REF!,MATCH(#REF!&amp;"Average duration (hrs) per trip",#REF!,0))),1),0)</f>
        <v>0</v>
      </c>
      <c r="V328" s="836">
        <f>IFERROR(ROUND(#REF!/(((1/60)*(#REF!+#REF!*(#REF!+(#REF!*(Baseline_Results_NOINDIRECT!V$52/#REF!/#REF!)))))+INDEX(#REF!,MATCH(#REF!&amp;"Average duration (hrs) per trip",#REF!,0))),1),0)</f>
        <v>0</v>
      </c>
      <c r="W328" s="836">
        <f>IFERROR(ROUND(#REF!/(((1/60)*(#REF!+#REF!*(#REF!+(#REF!*(Baseline_Results_NOINDIRECT!W$52/#REF!/#REF!)))))+INDEX(#REF!,MATCH(#REF!&amp;"Average duration (hrs) per trip",#REF!,0))),1),0)</f>
        <v>0</v>
      </c>
      <c r="X328" s="36"/>
      <c r="Y328" s="36"/>
      <c r="Z328" s="36"/>
      <c r="AA328" s="36"/>
      <c r="AB328" s="36"/>
      <c r="AC328" s="36"/>
      <c r="AD328" s="36"/>
      <c r="AE328" s="36"/>
      <c r="AF328" s="36"/>
      <c r="AG328" s="36"/>
      <c r="AH328" s="36"/>
      <c r="AI328" s="36"/>
      <c r="AJ328" s="36"/>
      <c r="AK328" s="36"/>
      <c r="AL328" s="36"/>
      <c r="AM328" s="36"/>
    </row>
    <row r="329" spans="6:39" ht="15" customHeight="1" outlineLevel="1">
      <c r="G329" s="6" t="s">
        <v>141</v>
      </c>
      <c r="H329" s="836"/>
      <c r="I329" s="836">
        <f>IFERROR(ROUND(I328*#REF!,0),0)</f>
        <v>0</v>
      </c>
      <c r="J329" s="836">
        <f>IFERROR(ROUND(J328*#REF!,0),0)</f>
        <v>0</v>
      </c>
      <c r="K329" s="836">
        <f>IFERROR(ROUND(K328*#REF!,0),0)</f>
        <v>0</v>
      </c>
      <c r="L329" s="836">
        <f>IFERROR(ROUND(L328*#REF!,0),0)</f>
        <v>0</v>
      </c>
      <c r="M329" s="836">
        <f>IFERROR(ROUND(M328*#REF!,0),0)</f>
        <v>0</v>
      </c>
      <c r="N329" s="836">
        <f>IFERROR(ROUND(N328*#REF!,0),0)</f>
        <v>0</v>
      </c>
      <c r="O329" s="836">
        <f>IFERROR(ROUND(O328*#REF!,0),0)</f>
        <v>0</v>
      </c>
      <c r="P329" s="836">
        <f>IFERROR(ROUND(P328*#REF!,0),0)</f>
        <v>0</v>
      </c>
      <c r="Q329" s="836">
        <f>IFERROR(ROUND(Q328*#REF!,0),0)</f>
        <v>0</v>
      </c>
      <c r="R329" s="836">
        <f>IFERROR(ROUND(R328*#REF!,0),0)</f>
        <v>0</v>
      </c>
      <c r="S329" s="836">
        <f>IFERROR(ROUND(S328*#REF!,0),0)</f>
        <v>0</v>
      </c>
      <c r="T329" s="836">
        <f>IFERROR(ROUND(T328*#REF!,0),0)</f>
        <v>0</v>
      </c>
      <c r="U329" s="836">
        <f>IFERROR(ROUND(U328*#REF!,0),0)</f>
        <v>0</v>
      </c>
      <c r="V329" s="836">
        <f>IFERROR(ROUND(V328*#REF!,0),0)</f>
        <v>0</v>
      </c>
      <c r="W329" s="836">
        <f>IFERROR(ROUND(W328*#REF!,0),0)</f>
        <v>0</v>
      </c>
      <c r="X329" s="36"/>
      <c r="Y329" s="36"/>
      <c r="Z329" s="36"/>
      <c r="AA329" s="36"/>
      <c r="AB329" s="36"/>
      <c r="AC329" s="36"/>
      <c r="AD329" s="36"/>
      <c r="AE329" s="36"/>
      <c r="AF329" s="36"/>
      <c r="AG329" s="36"/>
      <c r="AH329" s="36"/>
      <c r="AI329" s="36"/>
      <c r="AJ329" s="36"/>
      <c r="AK329" s="36"/>
      <c r="AL329" s="36"/>
      <c r="AM329" s="36"/>
    </row>
    <row r="330" spans="6:39" ht="15" customHeight="1" outlineLevel="1">
      <c r="G330" s="6" t="s">
        <v>143</v>
      </c>
      <c r="H330" s="836"/>
      <c r="I330" s="836">
        <f t="shared" ref="I330:W330" si="44">IFERROR(I326/I329,0)</f>
        <v>0</v>
      </c>
      <c r="J330" s="836">
        <f t="shared" si="44"/>
        <v>0</v>
      </c>
      <c r="K330" s="836">
        <f t="shared" si="44"/>
        <v>0</v>
      </c>
      <c r="L330" s="836">
        <f t="shared" si="44"/>
        <v>0</v>
      </c>
      <c r="M330" s="836">
        <f t="shared" si="44"/>
        <v>0</v>
      </c>
      <c r="N330" s="836">
        <f t="shared" si="44"/>
        <v>0</v>
      </c>
      <c r="O330" s="836">
        <f t="shared" si="44"/>
        <v>0</v>
      </c>
      <c r="P330" s="836">
        <f t="shared" si="44"/>
        <v>0</v>
      </c>
      <c r="Q330" s="836">
        <f t="shared" si="44"/>
        <v>0</v>
      </c>
      <c r="R330" s="836">
        <f t="shared" si="44"/>
        <v>0</v>
      </c>
      <c r="S330" s="836">
        <f t="shared" si="44"/>
        <v>0</v>
      </c>
      <c r="T330" s="836">
        <f t="shared" si="44"/>
        <v>0</v>
      </c>
      <c r="U330" s="836">
        <f t="shared" si="44"/>
        <v>0</v>
      </c>
      <c r="V330" s="836">
        <f t="shared" si="44"/>
        <v>0</v>
      </c>
      <c r="W330" s="836">
        <f t="shared" si="44"/>
        <v>0</v>
      </c>
      <c r="X330" s="36"/>
      <c r="Y330" s="36"/>
      <c r="Z330" s="36"/>
      <c r="AA330" s="36"/>
      <c r="AB330" s="36"/>
      <c r="AC330" s="36"/>
      <c r="AD330" s="36"/>
      <c r="AE330" s="36"/>
      <c r="AF330" s="36"/>
      <c r="AG330" s="36"/>
      <c r="AH330" s="36"/>
      <c r="AI330" s="36"/>
      <c r="AJ330" s="36"/>
      <c r="AK330" s="36"/>
      <c r="AL330" s="36"/>
      <c r="AM330" s="36"/>
    </row>
    <row r="331" spans="6:39" ht="15" customHeight="1" outlineLevel="1">
      <c r="G331" s="6" t="s">
        <v>144</v>
      </c>
      <c r="H331" s="836"/>
      <c r="I331" s="836">
        <f t="shared" ref="I331:W331" si="45">IFERROR((I330*(I329+1)),0)</f>
        <v>0</v>
      </c>
      <c r="J331" s="836">
        <f t="shared" si="45"/>
        <v>0</v>
      </c>
      <c r="K331" s="836">
        <f t="shared" si="45"/>
        <v>0</v>
      </c>
      <c r="L331" s="836">
        <f t="shared" si="45"/>
        <v>0</v>
      </c>
      <c r="M331" s="836">
        <f t="shared" si="45"/>
        <v>0</v>
      </c>
      <c r="N331" s="836">
        <f t="shared" si="45"/>
        <v>0</v>
      </c>
      <c r="O331" s="836">
        <f t="shared" si="45"/>
        <v>0</v>
      </c>
      <c r="P331" s="836">
        <f t="shared" si="45"/>
        <v>0</v>
      </c>
      <c r="Q331" s="836">
        <f t="shared" si="45"/>
        <v>0</v>
      </c>
      <c r="R331" s="836">
        <f t="shared" si="45"/>
        <v>0</v>
      </c>
      <c r="S331" s="836">
        <f t="shared" si="45"/>
        <v>0</v>
      </c>
      <c r="T331" s="836">
        <f t="shared" si="45"/>
        <v>0</v>
      </c>
      <c r="U331" s="836">
        <f t="shared" si="45"/>
        <v>0</v>
      </c>
      <c r="V331" s="836">
        <f t="shared" si="45"/>
        <v>0</v>
      </c>
      <c r="W331" s="836">
        <f t="shared" si="45"/>
        <v>0</v>
      </c>
      <c r="X331" s="36"/>
      <c r="Y331" s="36"/>
      <c r="Z331" s="36"/>
      <c r="AA331" s="36"/>
      <c r="AB331" s="36"/>
      <c r="AC331" s="36"/>
      <c r="AD331" s="36"/>
      <c r="AE331" s="36"/>
      <c r="AF331" s="36"/>
      <c r="AG331" s="36"/>
      <c r="AH331" s="36"/>
      <c r="AI331" s="36"/>
      <c r="AJ331" s="242"/>
      <c r="AK331" s="36"/>
      <c r="AL331" s="36"/>
      <c r="AM331" s="36"/>
    </row>
    <row r="332" spans="6:39" ht="15" customHeight="1" outlineLevel="1">
      <c r="G332" s="6" t="s">
        <v>145</v>
      </c>
      <c r="H332" s="836"/>
      <c r="I332" s="836">
        <f>IFERROR(ROUNDUP(((I331*INDEX(#REF!,MATCH(#REF!&amp;"Average duration (hrs) per trip",#REF!,0)))+(I326*((1/60)*(#REF!+#REF!*(#REF!+(#REF!*(Baseline_Results_NOINDIRECT!I$52/#REF!/#REF!)))))))/#REF!,0),0)</f>
        <v>0</v>
      </c>
      <c r="J332" s="836">
        <f>IFERROR(ROUNDUP(((J331*INDEX(#REF!,MATCH(#REF!&amp;"Average duration (hrs) per trip",#REF!,0)))+(J326*((1/60)*(#REF!+#REF!*(#REF!+(#REF!*(Baseline_Results_NOINDIRECT!J$52/#REF!/#REF!)))))))/#REF!,0),0)</f>
        <v>0</v>
      </c>
      <c r="K332" s="836">
        <f>IFERROR(ROUNDUP(((K331*INDEX(#REF!,MATCH(#REF!&amp;"Average duration (hrs) per trip",#REF!,0)))+(K326*((1/60)*(#REF!+#REF!*(#REF!+(#REF!*(Baseline_Results_NOINDIRECT!K$52/#REF!/#REF!)))))))/#REF!,0),0)</f>
        <v>0</v>
      </c>
      <c r="L332" s="836">
        <f>IFERROR(ROUNDUP(((L331*INDEX(#REF!,MATCH(#REF!&amp;"Average duration (hrs) per trip",#REF!,0)))+(L326*((1/60)*(#REF!+#REF!*(#REF!+(#REF!*(Baseline_Results_NOINDIRECT!L$52/#REF!/#REF!)))))))/#REF!,0),0)</f>
        <v>0</v>
      </c>
      <c r="M332" s="836">
        <f>IFERROR(ROUNDUP(((M331*INDEX(#REF!,MATCH(#REF!&amp;"Average duration (hrs) per trip",#REF!,0)))+(M326*((1/60)*(#REF!+#REF!*(#REF!+(#REF!*(Baseline_Results_NOINDIRECT!M$52/#REF!/#REF!)))))))/#REF!,0),0)</f>
        <v>0</v>
      </c>
      <c r="N332" s="836">
        <f>IFERROR(ROUNDUP(((N331*INDEX(#REF!,MATCH(#REF!&amp;"Average duration (hrs) per trip",#REF!,0)))+(N326*((1/60)*(#REF!+#REF!*(#REF!+(#REF!*(Baseline_Results_NOINDIRECT!N$52/#REF!/#REF!)))))))/#REF!,0),0)</f>
        <v>0</v>
      </c>
      <c r="O332" s="836">
        <f>IFERROR(ROUNDUP(((O331*INDEX(#REF!,MATCH(#REF!&amp;"Average duration (hrs) per trip",#REF!,0)))+(O326*((1/60)*(#REF!+#REF!*(#REF!+(#REF!*(Baseline_Results_NOINDIRECT!O$52/#REF!/#REF!)))))))/#REF!,0),0)</f>
        <v>0</v>
      </c>
      <c r="P332" s="836">
        <f>IFERROR(ROUNDUP(((P331*INDEX(#REF!,MATCH(#REF!&amp;"Average duration (hrs) per trip",#REF!,0)))+(P326*((1/60)*(#REF!+#REF!*(#REF!+(#REF!*(Baseline_Results_NOINDIRECT!P$52/#REF!/#REF!)))))))/#REF!,0),0)</f>
        <v>0</v>
      </c>
      <c r="Q332" s="836">
        <f>IFERROR(ROUNDUP(((Q331*INDEX(#REF!,MATCH(#REF!&amp;"Average duration (hrs) per trip",#REF!,0)))+(Q326*((1/60)*(#REF!+#REF!*(#REF!+(#REF!*(Baseline_Results_NOINDIRECT!Q$52/#REF!/#REF!)))))))/#REF!,0),0)</f>
        <v>0</v>
      </c>
      <c r="R332" s="836">
        <f>IFERROR(ROUNDUP(((R331*INDEX(#REF!,MATCH(#REF!&amp;"Average duration (hrs) per trip",#REF!,0)))+(R326*((1/60)*(#REF!+#REF!*(#REF!+(#REF!*(Baseline_Results_NOINDIRECT!R$52/#REF!/#REF!)))))))/#REF!,0),0)</f>
        <v>0</v>
      </c>
      <c r="S332" s="836">
        <f>IFERROR(ROUNDUP(((S331*INDEX(#REF!,MATCH(#REF!&amp;"Average duration (hrs) per trip",#REF!,0)))+(S326*((1/60)*(#REF!+#REF!*(#REF!+(#REF!*(Baseline_Results_NOINDIRECT!S$52/#REF!/#REF!)))))))/#REF!,0),0)</f>
        <v>0</v>
      </c>
      <c r="T332" s="836">
        <f>IFERROR(ROUNDUP(((T331*INDEX(#REF!,MATCH(#REF!&amp;"Average duration (hrs) per trip",#REF!,0)))+(T326*((1/60)*(#REF!+#REF!*(#REF!+(#REF!*(Baseline_Results_NOINDIRECT!T$52/#REF!/#REF!)))))))/#REF!,0),0)</f>
        <v>0</v>
      </c>
      <c r="U332" s="836">
        <f>IFERROR(ROUNDUP(((U331*INDEX(#REF!,MATCH(#REF!&amp;"Average duration (hrs) per trip",#REF!,0)))+(U326*((1/60)*(#REF!+#REF!*(#REF!+(#REF!*(Baseline_Results_NOINDIRECT!U$52/#REF!/#REF!)))))))/#REF!,0),0)</f>
        <v>0</v>
      </c>
      <c r="V332" s="836">
        <f>IFERROR(ROUNDUP(((V331*INDEX(#REF!,MATCH(#REF!&amp;"Average duration (hrs) per trip",#REF!,0)))+(V326*((1/60)*(#REF!+#REF!*(#REF!+(#REF!*(Baseline_Results_NOINDIRECT!V$52/#REF!/#REF!)))))))/#REF!,0),0)</f>
        <v>0</v>
      </c>
      <c r="W332" s="836">
        <f>IFERROR(ROUNDUP(((W331*INDEX(#REF!,MATCH(#REF!&amp;"Average duration (hrs) per trip",#REF!,0)))+(W326*((1/60)*(#REF!+#REF!*(#REF!+(#REF!*(Baseline_Results_NOINDIRECT!W$52/#REF!/#REF!)))))))/#REF!,0),0)</f>
        <v>0</v>
      </c>
      <c r="X332" s="36"/>
      <c r="Y332" s="36"/>
      <c r="Z332" s="36"/>
      <c r="AA332" s="36"/>
      <c r="AB332" s="36"/>
      <c r="AC332" s="36"/>
      <c r="AD332" s="36"/>
      <c r="AE332" s="36"/>
      <c r="AF332" s="36"/>
      <c r="AG332" s="36"/>
      <c r="AH332" s="36"/>
      <c r="AI332" s="36"/>
      <c r="AJ332" s="242"/>
      <c r="AK332" s="36"/>
      <c r="AL332" s="36"/>
      <c r="AM332" s="36"/>
    </row>
    <row r="333" spans="6:39" ht="15" customHeight="1" outlineLevel="1">
      <c r="G333" s="241" t="s">
        <v>841</v>
      </c>
      <c r="H333" s="842"/>
      <c r="I333" s="842"/>
      <c r="J333" s="842"/>
      <c r="K333" s="842"/>
      <c r="L333" s="842"/>
      <c r="M333" s="842"/>
      <c r="N333" s="842"/>
      <c r="O333" s="842"/>
      <c r="P333" s="842"/>
      <c r="Q333" s="842"/>
      <c r="R333" s="853"/>
      <c r="S333" s="853"/>
      <c r="T333" s="842"/>
      <c r="U333" s="853"/>
      <c r="V333" s="853"/>
      <c r="W333" s="842"/>
      <c r="X333" s="36"/>
      <c r="Y333" s="36"/>
      <c r="Z333" s="36"/>
      <c r="AA333" s="36"/>
      <c r="AB333" s="36"/>
      <c r="AC333" s="36"/>
      <c r="AD333" s="36"/>
      <c r="AE333" s="36"/>
      <c r="AF333" s="36"/>
      <c r="AG333" s="36"/>
      <c r="AH333" s="36"/>
      <c r="AI333" s="36"/>
      <c r="AJ333" s="242"/>
      <c r="AK333" s="36"/>
      <c r="AL333" s="36"/>
      <c r="AM333" s="36"/>
    </row>
    <row r="334" spans="6:39" ht="15" customHeight="1" outlineLevel="1">
      <c r="G334" s="6" t="s">
        <v>144</v>
      </c>
      <c r="H334" s="836"/>
      <c r="I334" s="836">
        <f t="shared" ref="I334:W334" si="46">IFERROR(I326*2,0)</f>
        <v>0</v>
      </c>
      <c r="J334" s="836">
        <f t="shared" si="46"/>
        <v>0</v>
      </c>
      <c r="K334" s="836">
        <f t="shared" si="46"/>
        <v>0</v>
      </c>
      <c r="L334" s="836">
        <f t="shared" si="46"/>
        <v>0</v>
      </c>
      <c r="M334" s="836">
        <f t="shared" si="46"/>
        <v>0</v>
      </c>
      <c r="N334" s="836">
        <f t="shared" si="46"/>
        <v>0</v>
      </c>
      <c r="O334" s="836">
        <f t="shared" si="46"/>
        <v>0</v>
      </c>
      <c r="P334" s="836">
        <f t="shared" si="46"/>
        <v>0</v>
      </c>
      <c r="Q334" s="836">
        <f t="shared" si="46"/>
        <v>0</v>
      </c>
      <c r="R334" s="836">
        <f t="shared" si="46"/>
        <v>0</v>
      </c>
      <c r="S334" s="836">
        <f t="shared" si="46"/>
        <v>0</v>
      </c>
      <c r="T334" s="836">
        <f t="shared" si="46"/>
        <v>0</v>
      </c>
      <c r="U334" s="836">
        <f t="shared" si="46"/>
        <v>0</v>
      </c>
      <c r="V334" s="836">
        <f t="shared" si="46"/>
        <v>0</v>
      </c>
      <c r="W334" s="836">
        <f t="shared" si="46"/>
        <v>0</v>
      </c>
      <c r="X334" s="36"/>
      <c r="Y334" s="36"/>
      <c r="Z334" s="36"/>
      <c r="AA334" s="36"/>
      <c r="AB334" s="36"/>
      <c r="AC334" s="36"/>
      <c r="AD334" s="36"/>
      <c r="AE334" s="36"/>
      <c r="AF334" s="36"/>
      <c r="AG334" s="36"/>
      <c r="AH334" s="36"/>
      <c r="AI334" s="36"/>
      <c r="AJ334" s="36"/>
      <c r="AK334" s="36"/>
      <c r="AL334" s="36"/>
      <c r="AM334" s="36"/>
    </row>
    <row r="335" spans="6:39" ht="15" customHeight="1" outlineLevel="1">
      <c r="G335" s="6" t="s">
        <v>145</v>
      </c>
      <c r="H335" s="837"/>
      <c r="I335" s="837">
        <f>IFERROR(MAX(I326,ROUNDUP(((I334*INDEX(#REF!,MATCH(#REF!&amp;"Average duration (hrs) per trip",#REF!,0)))+(I326*((1/60)*(#REF!+#REF!*(#REF!+(#REF!*(Baseline_Results_NOINDIRECT!I$52/#REF!/#REF!)))))))/#REF!,0)),0)</f>
        <v>0</v>
      </c>
      <c r="J335" s="837">
        <f>IFERROR(MAX(J326,ROUNDUP(((J334*INDEX(#REF!,MATCH(#REF!&amp;"Average duration (hrs) per trip",#REF!,0)))+(J326*((1/60)*(#REF!+#REF!*(#REF!+(#REF!*(Baseline_Results_NOINDIRECT!J$52/#REF!/#REF!)))))))/#REF!,0)),0)</f>
        <v>0</v>
      </c>
      <c r="K335" s="837">
        <f>IFERROR(MAX(K326,ROUNDUP(((K334*INDEX(#REF!,MATCH(#REF!&amp;"Average duration (hrs) per trip",#REF!,0)))+(K326*((1/60)*(#REF!+#REF!*(#REF!+(#REF!*(Baseline_Results_NOINDIRECT!K$52/#REF!/#REF!)))))))/#REF!,0)),0)</f>
        <v>0</v>
      </c>
      <c r="L335" s="837">
        <f>IFERROR(MAX(L326,ROUNDUP(((L334*INDEX(#REF!,MATCH(#REF!&amp;"Average duration (hrs) per trip",#REF!,0)))+(L326*((1/60)*(#REF!+#REF!*(#REF!+(#REF!*(Baseline_Results_NOINDIRECT!L$52/#REF!/#REF!)))))))/#REF!,0)),0)</f>
        <v>0</v>
      </c>
      <c r="M335" s="837">
        <f>IFERROR(MAX(M326,ROUNDUP(((M334*INDEX(#REF!,MATCH(#REF!&amp;"Average duration (hrs) per trip",#REF!,0)))+(M326*((1/60)*(#REF!+#REF!*(#REF!+(#REF!*(Baseline_Results_NOINDIRECT!M$52/#REF!/#REF!)))))))/#REF!,0)),0)</f>
        <v>0</v>
      </c>
      <c r="N335" s="837">
        <f>IFERROR(MAX(N326,ROUNDUP(((N334*INDEX(#REF!,MATCH(#REF!&amp;"Average duration (hrs) per trip",#REF!,0)))+(N326*((1/60)*(#REF!+#REF!*(#REF!+(#REF!*(Baseline_Results_NOINDIRECT!N$52/#REF!/#REF!)))))))/#REF!,0)),0)</f>
        <v>0</v>
      </c>
      <c r="O335" s="837">
        <f>IFERROR(MAX(O326,ROUNDUP(((O334*INDEX(#REF!,MATCH(#REF!&amp;"Average duration (hrs) per trip",#REF!,0)))+(O326*((1/60)*(#REF!+#REF!*(#REF!+(#REF!*(Baseline_Results_NOINDIRECT!O$52/#REF!/#REF!)))))))/#REF!,0)),0)</f>
        <v>0</v>
      </c>
      <c r="P335" s="837">
        <f>IFERROR(MAX(P326,ROUNDUP(((P334*INDEX(#REF!,MATCH(#REF!&amp;"Average duration (hrs) per trip",#REF!,0)))+(P326*((1/60)*(#REF!+#REF!*(#REF!+(#REF!*(Baseline_Results_NOINDIRECT!P$52/#REF!/#REF!)))))))/#REF!,0)),0)</f>
        <v>0</v>
      </c>
      <c r="Q335" s="837">
        <f>IFERROR(MAX(Q326,ROUNDUP(((Q334*INDEX(#REF!,MATCH(#REF!&amp;"Average duration (hrs) per trip",#REF!,0)))+(Q326*((1/60)*(#REF!+#REF!*(#REF!+(#REF!*(Baseline_Results_NOINDIRECT!Q$52/#REF!/#REF!)))))))/#REF!,0)),0)</f>
        <v>0</v>
      </c>
      <c r="R335" s="837">
        <f>IFERROR(MAX(R326,ROUNDUP(((R334*INDEX(#REF!,MATCH(#REF!&amp;"Average duration (hrs) per trip",#REF!,0)))+(R326*((1/60)*(#REF!+#REF!*(#REF!+(#REF!*(Baseline_Results_NOINDIRECT!R$52/#REF!/#REF!)))))))/#REF!,0)),0)</f>
        <v>0</v>
      </c>
      <c r="S335" s="837">
        <f>IFERROR(MAX(S326,ROUNDUP(((S334*INDEX(#REF!,MATCH(#REF!&amp;"Average duration (hrs) per trip",#REF!,0)))+(S326*((1/60)*(#REF!+#REF!*(#REF!+(#REF!*(Baseline_Results_NOINDIRECT!S$52/#REF!/#REF!)))))))/#REF!,0)),0)</f>
        <v>0</v>
      </c>
      <c r="T335" s="837">
        <f>IFERROR(MAX(T326,ROUNDUP(((T334*INDEX(#REF!,MATCH(#REF!&amp;"Average duration (hrs) per trip",#REF!,0)))+(T326*((1/60)*(#REF!+#REF!*(#REF!+(#REF!*(Baseline_Results_NOINDIRECT!T$52/#REF!/#REF!)))))))/#REF!,0)),0)</f>
        <v>0</v>
      </c>
      <c r="U335" s="837">
        <f>IFERROR(MAX(U326,ROUNDUP(((U334*INDEX(#REF!,MATCH(#REF!&amp;"Average duration (hrs) per trip",#REF!,0)))+(U326*((1/60)*(#REF!+#REF!*(#REF!+(#REF!*(Baseline_Results_NOINDIRECT!U$52/#REF!/#REF!)))))))/#REF!,0)),0)</f>
        <v>0</v>
      </c>
      <c r="V335" s="837">
        <f>IFERROR(MAX(V326,ROUNDUP(((V334*INDEX(#REF!,MATCH(#REF!&amp;"Average duration (hrs) per trip",#REF!,0)))+(V326*((1/60)*(#REF!+#REF!*(#REF!+(#REF!*(Baseline_Results_NOINDIRECT!V$52/#REF!/#REF!)))))))/#REF!,0)),0)</f>
        <v>0</v>
      </c>
      <c r="W335" s="837">
        <f>IFERROR(MAX(W326,ROUNDUP(((W334*INDEX(#REF!,MATCH(#REF!&amp;"Average duration (hrs) per trip",#REF!,0)))+(W326*((1/60)*(#REF!+#REF!*(#REF!+(#REF!*(Baseline_Results_NOINDIRECT!W$52/#REF!/#REF!)))))))/#REF!,0)),0)</f>
        <v>0</v>
      </c>
      <c r="X335" s="36"/>
      <c r="Y335" s="36"/>
      <c r="Z335" s="36"/>
      <c r="AA335" s="36"/>
      <c r="AB335" s="36"/>
      <c r="AC335" s="36"/>
      <c r="AD335" s="36"/>
      <c r="AE335" s="36"/>
      <c r="AF335" s="36"/>
      <c r="AG335" s="36"/>
      <c r="AH335" s="36"/>
      <c r="AI335" s="36"/>
      <c r="AJ335" s="36"/>
      <c r="AK335" s="36"/>
      <c r="AL335" s="36"/>
      <c r="AM335" s="36"/>
    </row>
    <row r="336" spans="6:39" ht="15" customHeight="1" outlineLevel="1">
      <c r="F336" s="71" t="s">
        <v>148</v>
      </c>
      <c r="G336" s="840"/>
      <c r="H336" s="843"/>
      <c r="I336" s="843"/>
      <c r="J336" s="843"/>
      <c r="K336" s="843"/>
      <c r="L336" s="843"/>
      <c r="M336" s="843"/>
      <c r="N336" s="843"/>
      <c r="O336" s="843"/>
      <c r="P336" s="843"/>
      <c r="Q336" s="843"/>
      <c r="R336" s="846"/>
      <c r="S336" s="846"/>
      <c r="T336" s="843"/>
      <c r="U336" s="846"/>
      <c r="V336" s="846"/>
      <c r="W336" s="843"/>
      <c r="X336" s="36"/>
      <c r="Y336" s="36"/>
      <c r="Z336" s="36"/>
      <c r="AA336" s="36"/>
      <c r="AB336" s="36"/>
      <c r="AC336" s="36"/>
      <c r="AD336" s="36"/>
      <c r="AE336" s="36"/>
      <c r="AF336" s="36"/>
      <c r="AG336" s="36"/>
      <c r="AH336" s="36"/>
      <c r="AI336" s="36"/>
      <c r="AJ336" s="242"/>
      <c r="AK336" s="36"/>
      <c r="AL336" s="36"/>
      <c r="AM336" s="36"/>
    </row>
    <row r="337" spans="6:39" ht="15" customHeight="1" outlineLevel="1">
      <c r="F337" s="1"/>
      <c r="G337" s="6" t="s">
        <v>151</v>
      </c>
      <c r="H337" s="836"/>
      <c r="I337" s="836">
        <f>IFERROR(IF(COUNTIF(#REF!,"Public Transport*")&lt;1,ROUND(#REF!*#REF!,0),0),0)</f>
        <v>0</v>
      </c>
      <c r="J337" s="836">
        <f>IFERROR(IF(COUNTIF(#REF!,"Public Transport*")&lt;1,ROUND(#REF!*#REF!,0),0),0)</f>
        <v>0</v>
      </c>
      <c r="K337" s="836">
        <f>IFERROR(IF(COUNTIF(#REF!,"Public Transport*")&lt;1,ROUND(#REF!*#REF!,0),0),0)</f>
        <v>0</v>
      </c>
      <c r="L337" s="836">
        <f>IFERROR(IF(COUNTIF(#REF!,"Public Transport*")&lt;1,ROUND(#REF!*#REF!,0),0),0)</f>
        <v>0</v>
      </c>
      <c r="M337" s="836">
        <f>IFERROR(IF(COUNTIF(#REF!,"Public Transport*")&lt;1,ROUND(#REF!*#REF!,0),0),0)</f>
        <v>0</v>
      </c>
      <c r="N337" s="836">
        <f>IFERROR(IF(COUNTIF(#REF!,"Public Transport*")&lt;1,ROUND(#REF!*#REF!,0),0),0)</f>
        <v>0</v>
      </c>
      <c r="O337" s="836">
        <f>IFERROR(IF(COUNTIF(#REF!,"Public Transport*")&lt;1,ROUND(#REF!*#REF!,0),0),0)</f>
        <v>0</v>
      </c>
      <c r="P337" s="836">
        <f>IFERROR(IF(COUNTIF(#REF!,"Public Transport*")&lt;1,ROUND(#REF!*#REF!,0),0),0)</f>
        <v>0</v>
      </c>
      <c r="Q337" s="836">
        <f>IFERROR(IF(COUNTIF(#REF!,"Public Transport*")&lt;1,ROUND(#REF!*#REF!,0),0),0)</f>
        <v>0</v>
      </c>
      <c r="R337" s="846"/>
      <c r="S337" s="846"/>
      <c r="T337" s="836">
        <f>IFERROR(IF(COUNTIF(#REF!,"Public Transport*")&lt;1,ROUND(#REF!*#REF!,0),0),0)</f>
        <v>0</v>
      </c>
      <c r="U337" s="846"/>
      <c r="V337" s="846"/>
      <c r="W337" s="836">
        <f>IFERROR(IF(COUNTIF(#REF!,"Public Transport*")&lt;1,ROUND(#REF!*#REF!,0),0),0)</f>
        <v>0</v>
      </c>
      <c r="X337" s="36"/>
      <c r="Y337" s="36"/>
      <c r="Z337" s="36"/>
      <c r="AA337" s="36"/>
      <c r="AB337" s="36"/>
      <c r="AC337" s="36"/>
      <c r="AD337" s="36"/>
      <c r="AE337" s="36"/>
      <c r="AF337" s="36"/>
      <c r="AG337" s="36"/>
      <c r="AH337" s="36"/>
      <c r="AI337" s="36"/>
      <c r="AJ337" s="242"/>
      <c r="AK337" s="36"/>
      <c r="AL337" s="36"/>
      <c r="AM337" s="36"/>
    </row>
    <row r="338" spans="6:39" ht="15" customHeight="1" outlineLevel="1">
      <c r="G338" s="6" t="s">
        <v>85</v>
      </c>
      <c r="H338" s="837"/>
      <c r="I338" s="837">
        <f>IFERROR(IF(#REF!="Route-based",I343*I344,IF(#REF!="Point-to-point",I348*I349,0)),0)</f>
        <v>0</v>
      </c>
      <c r="J338" s="837">
        <f>IFERROR(IF(#REF!="Route-based",J343*J344,IF(#REF!="Point-to-point",J348*J349,0)),0)</f>
        <v>0</v>
      </c>
      <c r="K338" s="837">
        <f>IFERROR(IF(#REF!="Route-based",K343*K344,IF(#REF!="Point-to-point",K348*K349,0)),0)</f>
        <v>0</v>
      </c>
      <c r="L338" s="837">
        <f>IFERROR(IF(#REF!="Route-based",L343*L344,IF(#REF!="Point-to-point",L348*L349,0)),0)</f>
        <v>0</v>
      </c>
      <c r="M338" s="837">
        <f>IFERROR(IF(#REF!="Route-based",M343*M344,IF(#REF!="Point-to-point",M348*M349,0)),0)</f>
        <v>0</v>
      </c>
      <c r="N338" s="837">
        <f>IFERROR(IF(#REF!="Route-based",N343*N344,IF(#REF!="Point-to-point",N348*N349,0)),0)</f>
        <v>0</v>
      </c>
      <c r="O338" s="837">
        <f>IFERROR(IF(#REF!="Route-based",O343*O344,IF(#REF!="Point-to-point",O348*O349,0)),0)</f>
        <v>0</v>
      </c>
      <c r="P338" s="837">
        <f>IFERROR(IF(#REF!="Route-based",P343*P344,IF(#REF!="Point-to-point",P348*P349,0)),0)</f>
        <v>0</v>
      </c>
      <c r="Q338" s="837">
        <f>IFERROR(IF(#REF!="Route-based",Q343*Q344,IF(#REF!="Point-to-point",Q348*Q349,0)),0)</f>
        <v>0</v>
      </c>
      <c r="R338" s="853" t="s">
        <v>594</v>
      </c>
      <c r="S338" s="853"/>
      <c r="T338" s="837">
        <f>IFERROR(IF(#REF!="Route-based",T343*T344,IF(#REF!="Point-to-point",T348*T349,0)),0)</f>
        <v>0</v>
      </c>
      <c r="U338" s="853"/>
      <c r="V338" s="853"/>
      <c r="W338" s="837">
        <f>IFERROR(IF(#REF!="Route-based",W343*W344,IF(#REF!="Point-to-point",W348*W349,0)),0)</f>
        <v>0</v>
      </c>
      <c r="X338" s="36"/>
      <c r="Y338" s="36"/>
      <c r="Z338" s="36"/>
      <c r="AA338" s="36"/>
      <c r="AB338" s="36"/>
      <c r="AC338" s="36"/>
      <c r="AD338" s="36"/>
      <c r="AE338" s="36"/>
      <c r="AF338" s="36"/>
      <c r="AG338" s="36"/>
      <c r="AH338" s="36"/>
      <c r="AI338" s="36"/>
      <c r="AJ338" s="242"/>
      <c r="AK338" s="36"/>
      <c r="AL338" s="36"/>
      <c r="AM338" s="36"/>
    </row>
    <row r="339" spans="6:39" ht="15" customHeight="1" outlineLevel="1">
      <c r="G339" s="6" t="s">
        <v>59</v>
      </c>
      <c r="H339" s="837"/>
      <c r="I339" s="837">
        <f>IFERROR(IF(#REF!="Route-based",ROUND(I343*I345/#REF!,0),IF(#REF!="Point-to-point",ROUND(((I337*#REF!*((1/60)*(#REF!+#REF!*(#REF!+(#REF!*(Baseline_Results_NOINDIRECT!I$52/#REF!/#REF!))))))+(I338/#REF!))/#REF!,0),0)),0)</f>
        <v>0</v>
      </c>
      <c r="J339" s="837">
        <f>IFERROR(IF(#REF!="Route-based",ROUND(J343*J345/#REF!,0),IF(#REF!="Point-to-point",ROUND(((J337*#REF!*((1/60)*(#REF!+#REF!*(#REF!+(#REF!*(Baseline_Results_NOINDIRECT!J$52/#REF!/#REF!))))))+(J338/#REF!))/#REF!,0),0)),0)</f>
        <v>0</v>
      </c>
      <c r="K339" s="837">
        <f>IFERROR(IF(#REF!="Route-based",ROUND(K343*K345/#REF!,0),IF(#REF!="Point-to-point",ROUND(((K337*#REF!*((1/60)*(#REF!+#REF!*(#REF!+(#REF!*(Baseline_Results_NOINDIRECT!K$52/#REF!/#REF!))))))+(K338/#REF!))/#REF!,0),0)),0)</f>
        <v>0</v>
      </c>
      <c r="L339" s="837">
        <f>IFERROR(IF(#REF!="Route-based",ROUND(L343*L345/#REF!,0),IF(#REF!="Point-to-point",ROUND(((L337*#REF!*((1/60)*(#REF!+#REF!*(#REF!+(#REF!*(Baseline_Results_NOINDIRECT!L$52/#REF!/#REF!))))))+(L338/#REF!))/#REF!,0),0)),0)</f>
        <v>0</v>
      </c>
      <c r="M339" s="837">
        <f>IFERROR(IF(#REF!="Route-based",ROUND(M343*M345/#REF!,0),IF(#REF!="Point-to-point",ROUND(((M337*#REF!*((1/60)*(#REF!+#REF!*(#REF!+(#REF!*(Baseline_Results_NOINDIRECT!M$52/#REF!/#REF!))))))+(M338/#REF!))/#REF!,0),0)),0)</f>
        <v>0</v>
      </c>
      <c r="N339" s="837">
        <f>IFERROR(IF(#REF!="Route-based",ROUND(N343*N345/#REF!,0),IF(#REF!="Point-to-point",ROUND(((N337*#REF!*((1/60)*(#REF!+#REF!*(#REF!+(#REF!*(Baseline_Results_NOINDIRECT!N$52/#REF!/#REF!))))))+(N338/#REF!))/#REF!,0),0)),0)</f>
        <v>0</v>
      </c>
      <c r="O339" s="837">
        <f>IFERROR(IF(#REF!="Route-based",ROUND(O343*O345/#REF!,0),IF(#REF!="Point-to-point",ROUND(((O337*#REF!*((1/60)*(#REF!+#REF!*(#REF!+(#REF!*(Baseline_Results_NOINDIRECT!O$52/#REF!/#REF!))))))+(O338/#REF!))/#REF!,0),0)),0)</f>
        <v>0</v>
      </c>
      <c r="P339" s="837">
        <f>IFERROR(IF(#REF!="Route-based",ROUND(P343*P345/#REF!,0),IF(#REF!="Point-to-point",ROUND(((P337*#REF!*((1/60)*(#REF!+#REF!*(#REF!+(#REF!*(Baseline_Results_NOINDIRECT!P$52/#REF!/#REF!))))))+(P338/#REF!))/#REF!,0),0)),0)</f>
        <v>0</v>
      </c>
      <c r="Q339" s="837">
        <f>IFERROR(IF(#REF!="Route-based",ROUND(Q343*Q345/#REF!,0),IF(#REF!="Point-to-point",ROUND(((Q337*#REF!*((1/60)*(#REF!+#REF!*(#REF!+(#REF!*(Baseline_Results_NOINDIRECT!Q$52/#REF!/#REF!))))))+(Q338/#REF!))/#REF!,0),0)),0)</f>
        <v>0</v>
      </c>
      <c r="R339" s="837">
        <f>IFERROR(IF(#REF!="Route-based",ROUND(R343*R345/#REF!,0),IF(#REF!="Point-to-point",ROUND(((R337*#REF!*((1/60)*(#REF!+#REF!*(#REF!+(#REF!*(Baseline_Results_NOINDIRECT!R$52/#REF!/#REF!))))))+(R338/#REF!))/#REF!,0),0)),0)</f>
        <v>0</v>
      </c>
      <c r="S339" s="837">
        <f>IFERROR(IF(#REF!="Route-based",ROUND(S343*S345/#REF!,0),IF(#REF!="Point-to-point",ROUND(((S337*#REF!*((1/60)*(#REF!+#REF!*(#REF!+(#REF!*(Baseline_Results_NOINDIRECT!S$52/#REF!/#REF!))))))+(S338/#REF!))/#REF!,0),0)),0)</f>
        <v>0</v>
      </c>
      <c r="T339" s="837">
        <f>IFERROR(IF(#REF!="Route-based",ROUND(T343*T345/#REF!,0),IF(#REF!="Point-to-point",ROUND(((T337*#REF!*((1/60)*(#REF!+#REF!*(#REF!+(#REF!*(Baseline_Results_NOINDIRECT!T$52/#REF!/#REF!))))))+(T338/#REF!))/#REF!,0),0)),0)</f>
        <v>0</v>
      </c>
      <c r="U339" s="837">
        <f>IFERROR(IF(#REF!="Route-based",ROUND(U343*U345/#REF!,0),IF(#REF!="Point-to-point",ROUND(((U337*#REF!*((1/60)*(#REF!+#REF!*(#REF!+(#REF!*(Baseline_Results_NOINDIRECT!U$52/#REF!/#REF!))))))+(U338/#REF!))/#REF!,0),0)),0)</f>
        <v>0</v>
      </c>
      <c r="V339" s="837">
        <f>IFERROR(IF(#REF!="Route-based",ROUND(V343*V345/#REF!,0),IF(#REF!="Point-to-point",ROUND(((V337*#REF!*((1/60)*(#REF!+#REF!*(#REF!+(#REF!*(Baseline_Results_NOINDIRECT!V$52/#REF!/#REF!))))))+(V338/#REF!))/#REF!,0),0)),0)</f>
        <v>0</v>
      </c>
      <c r="W339" s="837">
        <f>IFERROR(IF(#REF!="Route-based",ROUND(W343*W345/#REF!,0),IF(#REF!="Point-to-point",ROUND(((W337*#REF!*((1/60)*(#REF!+#REF!*(#REF!+(#REF!*(Baseline_Results_NOINDIRECT!W$52/#REF!/#REF!))))))+(W338/#REF!))/#REF!,0),0)),0)</f>
        <v>0</v>
      </c>
      <c r="X339" s="36"/>
      <c r="Y339" s="36"/>
      <c r="Z339" s="36"/>
      <c r="AA339" s="36"/>
      <c r="AB339" s="36"/>
      <c r="AC339" s="36"/>
      <c r="AD339" s="36"/>
      <c r="AE339" s="36"/>
      <c r="AF339" s="36"/>
      <c r="AG339" s="36"/>
      <c r="AH339" s="36"/>
      <c r="AI339" s="36"/>
      <c r="AJ339" s="242"/>
      <c r="AK339" s="36"/>
      <c r="AL339" s="36"/>
      <c r="AM339" s="36"/>
    </row>
    <row r="340" spans="6:39" ht="15" customHeight="1" outlineLevel="1">
      <c r="G340" s="6" t="s">
        <v>86</v>
      </c>
      <c r="H340" s="839"/>
      <c r="I340" s="839">
        <f>IFERROR(IF(#REF!="Route-based",IF(#REF!="Yes",I339/(#REF!*#REF!), IF(#REF!="No",I339/(#REF!*#REF!))),
IF(#REF!="Point-to-point",IF(#REF!="Yes",I339/(#REF!*#REF!),IF(#REF!="No",I339/(#REF!*#REF!))),0)),0)</f>
        <v>0</v>
      </c>
      <c r="J340" s="839">
        <f>IFERROR(IF(#REF!="Route-based",IF(#REF!="Yes",J339/(#REF!*#REF!), IF(#REF!="No",J339/(#REF!*#REF!))),
IF(#REF!="Point-to-point",IF(#REF!="Yes",J339/(#REF!*#REF!),IF(#REF!="No",J339/(#REF!*#REF!))),0)),0)</f>
        <v>0</v>
      </c>
      <c r="K340" s="839">
        <f>IFERROR(IF(#REF!="Route-based",IF(#REF!="Yes",K339/(#REF!*#REF!), IF(#REF!="No",K339/(#REF!*#REF!))),
IF(#REF!="Point-to-point",IF(#REF!="Yes",K339/(#REF!*#REF!),IF(#REF!="No",K339/(#REF!*#REF!))),0)),0)</f>
        <v>0</v>
      </c>
      <c r="L340" s="839">
        <f>IFERROR(IF(#REF!="Route-based",IF(#REF!="Yes",L339/(#REF!*#REF!), IF(#REF!="No",L339/(#REF!*#REF!))),
IF(#REF!="Point-to-point",IF(#REF!="Yes",L339/(#REF!*#REF!),IF(#REF!="No",L339/(#REF!*#REF!))),0)),0)</f>
        <v>0</v>
      </c>
      <c r="M340" s="839">
        <f>IFERROR(IF(#REF!="Route-based",IF(#REF!="Yes",M339/(#REF!*#REF!), IF(#REF!="No",M339/(#REF!*#REF!))),
IF(#REF!="Point-to-point",IF(#REF!="Yes",M339/(#REF!*#REF!),IF(#REF!="No",M339/(#REF!*#REF!))),0)),0)</f>
        <v>0</v>
      </c>
      <c r="N340" s="839">
        <f>IFERROR(IF(#REF!="Route-based",IF(#REF!="Yes",N339/(#REF!*#REF!), IF(#REF!="No",N339/(#REF!*#REF!))),
IF(#REF!="Point-to-point",IF(#REF!="Yes",N339/(#REF!*#REF!),IF(#REF!="No",N339/(#REF!*#REF!))),0)),0)</f>
        <v>0</v>
      </c>
      <c r="O340" s="839">
        <f>IFERROR(IF(#REF!="Route-based",IF(#REF!="Yes",O339/(#REF!*#REF!), IF(#REF!="No",O339/(#REF!*#REF!))),
IF(#REF!="Point-to-point",IF(#REF!="Yes",O339/(#REF!*#REF!),IF(#REF!="No",O339/(#REF!*#REF!))),0)),0)</f>
        <v>0</v>
      </c>
      <c r="P340" s="839">
        <f>IFERROR(IF(#REF!="Route-based",IF(#REF!="Yes",P339/(#REF!*#REF!), IF(#REF!="No",P339/(#REF!*#REF!))),
IF(#REF!="Point-to-point",IF(#REF!="Yes",P339/(#REF!*#REF!),IF(#REF!="No",P339/(#REF!*#REF!))),0)),0)</f>
        <v>0</v>
      </c>
      <c r="Q340" s="839">
        <f>IFERROR(IF(#REF!="Route-based",IF(#REF!="Yes",Q339/(#REF!*#REF!), IF(#REF!="No",Q339/(#REF!*#REF!))),
IF(#REF!="Point-to-point",IF(#REF!="Yes",Q339/(#REF!*#REF!),IF(#REF!="No",Q339/(#REF!*#REF!))),0)),0)</f>
        <v>0</v>
      </c>
      <c r="R340" s="839">
        <f>IFERROR(IF(#REF!="Route-based",IF(#REF!="Yes",R339/(#REF!*#REF!), IF(#REF!="No",R339/(#REF!*#REF!))),
IF(#REF!="Point-to-point",IF(#REF!="Yes",R339/(#REF!*#REF!),IF(#REF!="No",R339/(#REF!*#REF!))),0)),0)</f>
        <v>0</v>
      </c>
      <c r="S340" s="839">
        <f>IFERROR(IF(#REF!="Route-based",IF(#REF!="Yes",S339/(#REF!*#REF!), IF(#REF!="No",S339/(#REF!*#REF!))),
IF(#REF!="Point-to-point",IF(#REF!="Yes",S339/(#REF!*#REF!),IF(#REF!="No",S339/(#REF!*#REF!))),0)),0)</f>
        <v>0</v>
      </c>
      <c r="T340" s="839">
        <f>IFERROR(IF(#REF!="Route-based",IF(#REF!="Yes",T339/(#REF!*#REF!), IF(#REF!="No",T339/(#REF!*#REF!))),
IF(#REF!="Point-to-point",IF(#REF!="Yes",T339/(#REF!*#REF!),IF(#REF!="No",T339/(#REF!*#REF!))),0)),0)</f>
        <v>0</v>
      </c>
      <c r="U340" s="839">
        <f>IFERROR(IF(#REF!="Route-based",IF(#REF!="Yes",U339/(#REF!*#REF!), IF(#REF!="No",U339/(#REF!*#REF!))),
IF(#REF!="Point-to-point",IF(#REF!="Yes",U339/(#REF!*#REF!),IF(#REF!="No",U339/(#REF!*#REF!))),0)),0)</f>
        <v>0</v>
      </c>
      <c r="V340" s="839">
        <f>IFERROR(IF(#REF!="Route-based",IF(#REF!="Yes",V339/(#REF!*#REF!), IF(#REF!="No",V339/(#REF!*#REF!))),
IF(#REF!="Point-to-point",IF(#REF!="Yes",V339/(#REF!*#REF!),IF(#REF!="No",V339/(#REF!*#REF!))),0)),0)</f>
        <v>0</v>
      </c>
      <c r="W340" s="839">
        <f>IFERROR(IF(#REF!="Route-based",IF(#REF!="Yes",W339/(#REF!*#REF!), IF(#REF!="No",W339/(#REF!*#REF!))),
IF(#REF!="Point-to-point",IF(#REF!="Yes",W339/(#REF!*#REF!),IF(#REF!="No",W339/(#REF!*#REF!))),0)),0)</f>
        <v>0</v>
      </c>
      <c r="X340" s="36"/>
      <c r="Y340" s="36"/>
      <c r="Z340" s="36"/>
      <c r="AA340" s="36"/>
      <c r="AB340" s="36"/>
      <c r="AC340" s="36"/>
      <c r="AD340" s="36"/>
      <c r="AE340" s="36"/>
      <c r="AF340" s="36"/>
      <c r="AG340" s="36"/>
      <c r="AH340" s="36"/>
      <c r="AI340" s="36"/>
      <c r="AJ340" s="36" t="s">
        <v>191</v>
      </c>
      <c r="AK340" s="36"/>
      <c r="AL340" s="36"/>
      <c r="AM340" s="36"/>
    </row>
    <row r="341" spans="6:39" ht="15" customHeight="1" outlineLevel="1" collapsed="1">
      <c r="G341" s="241" t="s">
        <v>133</v>
      </c>
      <c r="H341" s="842"/>
      <c r="I341" s="842"/>
      <c r="J341" s="842"/>
      <c r="K341" s="842"/>
      <c r="L341" s="842"/>
      <c r="M341" s="842"/>
      <c r="N341" s="842"/>
      <c r="O341" s="842"/>
      <c r="P341" s="842"/>
      <c r="Q341" s="842"/>
      <c r="R341" s="853"/>
      <c r="S341" s="853"/>
      <c r="T341" s="842"/>
      <c r="U341" s="853"/>
      <c r="V341" s="853"/>
      <c r="W341" s="842"/>
      <c r="X341" s="36"/>
      <c r="Y341" s="36"/>
      <c r="Z341" s="36"/>
      <c r="AA341" s="36"/>
      <c r="AB341" s="36"/>
      <c r="AC341" s="36"/>
      <c r="AD341" s="36"/>
      <c r="AE341" s="36"/>
      <c r="AF341" s="36"/>
      <c r="AG341" s="36"/>
      <c r="AH341" s="36"/>
      <c r="AI341" s="36"/>
      <c r="AJ341" s="36"/>
      <c r="AK341" s="36"/>
      <c r="AL341" s="36"/>
      <c r="AM341" s="36"/>
    </row>
    <row r="342" spans="6:39" ht="15" customHeight="1" outlineLevel="1">
      <c r="G342" s="6" t="s">
        <v>129</v>
      </c>
      <c r="H342" s="836"/>
      <c r="I342" s="836">
        <f>IFERROR(((#REF!*#REF!)-(2*#REF!/#REF!)+(#REF!/#REF!))/(((1/60)*(#REF!+#REF!*(#REF!+(#REF!*(Baseline_Results_NOINDIRECT!I$52/#REF!/#REF!)))))+(#REF!/#REF!)),0)</f>
        <v>0</v>
      </c>
      <c r="J342" s="836">
        <f>IFERROR(((#REF!*#REF!)-(2*#REF!/#REF!)+(#REF!/#REF!))/(((1/60)*(#REF!+#REF!*(#REF!+(#REF!*(Baseline_Results_NOINDIRECT!J$52/#REF!/#REF!)))))+(#REF!/#REF!)),0)</f>
        <v>0</v>
      </c>
      <c r="K342" s="836">
        <f>IFERROR(((#REF!*#REF!)-(2*#REF!/#REF!)+(#REF!/#REF!))/(((1/60)*(#REF!+#REF!*(#REF!+(#REF!*(Baseline_Results_NOINDIRECT!K$52/#REF!/#REF!)))))+(#REF!/#REF!)),0)</f>
        <v>0</v>
      </c>
      <c r="L342" s="836">
        <f>IFERROR(((#REF!*#REF!)-(2*#REF!/#REF!)+(#REF!/#REF!))/(((1/60)*(#REF!+#REF!*(#REF!+(#REF!*(Baseline_Results_NOINDIRECT!L$52/#REF!/#REF!)))))+(#REF!/#REF!)),0)</f>
        <v>0</v>
      </c>
      <c r="M342" s="836">
        <f>IFERROR(((#REF!*#REF!)-(2*#REF!/#REF!)+(#REF!/#REF!))/(((1/60)*(#REF!+#REF!*(#REF!+(#REF!*(Baseline_Results_NOINDIRECT!M$52/#REF!/#REF!)))))+(#REF!/#REF!)),0)</f>
        <v>0</v>
      </c>
      <c r="N342" s="836">
        <f>IFERROR(((#REF!*#REF!)-(2*#REF!/#REF!)+(#REF!/#REF!))/(((1/60)*(#REF!+#REF!*(#REF!+(#REF!*(Baseline_Results_NOINDIRECT!N$52/#REF!/#REF!)))))+(#REF!/#REF!)),0)</f>
        <v>0</v>
      </c>
      <c r="O342" s="836">
        <f>IFERROR(((#REF!*#REF!)-(2*#REF!/#REF!)+(#REF!/#REF!))/(((1/60)*(#REF!+#REF!*(#REF!+(#REF!*(Baseline_Results_NOINDIRECT!O$52/#REF!/#REF!)))))+(#REF!/#REF!)),0)</f>
        <v>0</v>
      </c>
      <c r="P342" s="836">
        <f>IFERROR(((#REF!*#REF!)-(2*#REF!/#REF!)+(#REF!/#REF!))/(((1/60)*(#REF!+#REF!*(#REF!+(#REF!*(Baseline_Results_NOINDIRECT!P$52/#REF!/#REF!)))))+(#REF!/#REF!)),0)</f>
        <v>0</v>
      </c>
      <c r="Q342" s="836">
        <f>IFERROR(((#REF!*#REF!)-(2*#REF!/#REF!)+(#REF!/#REF!))/(((1/60)*(#REF!+#REF!*(#REF!+(#REF!*(Baseline_Results_NOINDIRECT!Q$52/#REF!/#REF!)))))+(#REF!/#REF!)),0)</f>
        <v>0</v>
      </c>
      <c r="R342" s="836">
        <f>IFERROR(((#REF!*#REF!)-(2*#REF!/#REF!)+(#REF!/#REF!))/(((1/60)*(#REF!+#REF!*(#REF!+(#REF!*(Baseline_Results_NOINDIRECT!R$52/#REF!/#REF!)))))+(#REF!/#REF!)),0)</f>
        <v>0</v>
      </c>
      <c r="S342" s="836">
        <f>IFERROR(((#REF!*#REF!)-(2*#REF!/#REF!)+(#REF!/#REF!))/(((1/60)*(#REF!+#REF!*(#REF!+(#REF!*(Baseline_Results_NOINDIRECT!S$52/#REF!/#REF!)))))+(#REF!/#REF!)),0)</f>
        <v>0</v>
      </c>
      <c r="T342" s="836">
        <f>IFERROR(((#REF!*#REF!)-(2*#REF!/#REF!)+(#REF!/#REF!))/(((1/60)*(#REF!+#REF!*(#REF!+(#REF!*(Baseline_Results_NOINDIRECT!T$52/#REF!/#REF!)))))+(#REF!/#REF!)),0)</f>
        <v>0</v>
      </c>
      <c r="U342" s="836">
        <f>IFERROR(((#REF!*#REF!)-(2*#REF!/#REF!)+(#REF!/#REF!))/(((1/60)*(#REF!+#REF!*(#REF!+(#REF!*(Baseline_Results_NOINDIRECT!U$52/#REF!/#REF!)))))+(#REF!/#REF!)),0)</f>
        <v>0</v>
      </c>
      <c r="V342" s="836">
        <f>IFERROR(((#REF!*#REF!)-(2*#REF!/#REF!)+(#REF!/#REF!))/(((1/60)*(#REF!+#REF!*(#REF!+(#REF!*(Baseline_Results_NOINDIRECT!V$52/#REF!/#REF!)))))+(#REF!/#REF!)),0)</f>
        <v>0</v>
      </c>
      <c r="W342" s="836">
        <f>IFERROR(((#REF!*#REF!)-(2*#REF!/#REF!)+(#REF!/#REF!))/(((1/60)*(#REF!+#REF!*(#REF!+(#REF!*(Baseline_Results_NOINDIRECT!W$52/#REF!/#REF!)))))+(#REF!/#REF!)),0)</f>
        <v>0</v>
      </c>
      <c r="X342" s="36"/>
      <c r="Y342" s="36"/>
      <c r="Z342" s="36"/>
      <c r="AA342" s="36"/>
      <c r="AB342" s="36"/>
      <c r="AC342" s="36"/>
      <c r="AD342" s="36"/>
      <c r="AE342" s="36"/>
      <c r="AF342" s="36"/>
      <c r="AG342" s="36"/>
      <c r="AH342" s="36"/>
      <c r="AI342" s="36"/>
      <c r="AJ342" s="36"/>
      <c r="AK342" s="36"/>
      <c r="AL342" s="36"/>
      <c r="AM342" s="36"/>
    </row>
    <row r="343" spans="6:39" ht="15" customHeight="1" outlineLevel="1">
      <c r="G343" s="6" t="s">
        <v>206</v>
      </c>
      <c r="H343" s="836"/>
      <c r="I343" s="836">
        <f>IFERROR(ROUND(I337*#REF!/I342,0),0)</f>
        <v>0</v>
      </c>
      <c r="J343" s="836">
        <f>IFERROR(ROUND(J337*#REF!/J342,0),0)</f>
        <v>0</v>
      </c>
      <c r="K343" s="836">
        <f>IFERROR(ROUND(K337*#REF!/K342,0),0)</f>
        <v>0</v>
      </c>
      <c r="L343" s="836">
        <f>IFERROR(ROUND(L337*#REF!/L342,0),0)</f>
        <v>0</v>
      </c>
      <c r="M343" s="836">
        <f>IFERROR(ROUND(M337*#REF!/M342,0),0)</f>
        <v>0</v>
      </c>
      <c r="N343" s="836">
        <f>IFERROR(ROUND(N337*#REF!/N342,0),0)</f>
        <v>0</v>
      </c>
      <c r="O343" s="836">
        <f>IFERROR(ROUND(O337*#REF!/O342,0),0)</f>
        <v>0</v>
      </c>
      <c r="P343" s="836">
        <f>IFERROR(ROUND(P337*#REF!/P342,0),0)</f>
        <v>0</v>
      </c>
      <c r="Q343" s="836">
        <f>IFERROR(ROUND(Q337*#REF!/Q342,0),0)</f>
        <v>0</v>
      </c>
      <c r="R343" s="836">
        <f>IFERROR(ROUND(R337*#REF!/R342,0),0)</f>
        <v>0</v>
      </c>
      <c r="S343" s="836">
        <f>IFERROR(ROUND(S337*#REF!/S342,0),0)</f>
        <v>0</v>
      </c>
      <c r="T343" s="836">
        <f>IFERROR(ROUND(T337*#REF!/T342,0),0)</f>
        <v>0</v>
      </c>
      <c r="U343" s="836">
        <f>IFERROR(ROUND(U337*#REF!/U342,0),0)</f>
        <v>0</v>
      </c>
      <c r="V343" s="836">
        <f>IFERROR(ROUND(V337*#REF!/V342,0),0)</f>
        <v>0</v>
      </c>
      <c r="W343" s="836">
        <f>IFERROR(ROUND(W337*#REF!/W342,0),0)</f>
        <v>0</v>
      </c>
      <c r="X343" s="36"/>
      <c r="Y343" s="36"/>
      <c r="Z343" s="36"/>
      <c r="AA343" s="36"/>
      <c r="AB343" s="36"/>
      <c r="AC343" s="36"/>
      <c r="AD343" s="36"/>
      <c r="AE343" s="36"/>
      <c r="AF343" s="36"/>
      <c r="AG343" s="36"/>
      <c r="AH343" s="36"/>
      <c r="AI343" s="36"/>
      <c r="AJ343" s="36"/>
      <c r="AK343" s="36"/>
      <c r="AL343" s="36"/>
      <c r="AM343" s="36"/>
    </row>
    <row r="344" spans="6:39" ht="15" customHeight="1" outlineLevel="1">
      <c r="G344" s="6" t="s">
        <v>87</v>
      </c>
      <c r="H344" s="836"/>
      <c r="I344" s="836">
        <f>IFERROR(IF(I337=0,0,(2*#REF!)+((MAX(I342, 1)-1)*#REF!)),0)</f>
        <v>0</v>
      </c>
      <c r="J344" s="836">
        <f>IFERROR(IF(J337=0,0,(2*#REF!)+((MAX(J342, 1)-1)*#REF!)),0)</f>
        <v>0</v>
      </c>
      <c r="K344" s="836">
        <f>IFERROR(IF(K337=0,0,(2*#REF!)+((MAX(K342, 1)-1)*#REF!)),0)</f>
        <v>0</v>
      </c>
      <c r="L344" s="836">
        <f>IFERROR(IF(L337=0,0,(2*#REF!)+((MAX(L342, 1)-1)*#REF!)),0)</f>
        <v>0</v>
      </c>
      <c r="M344" s="836">
        <f>IFERROR(IF(M337=0,0,(2*#REF!)+((MAX(M342, 1)-1)*#REF!)),0)</f>
        <v>0</v>
      </c>
      <c r="N344" s="836">
        <f>IFERROR(IF(N337=0,0,(2*#REF!)+((MAX(N342, 1)-1)*#REF!)),0)</f>
        <v>0</v>
      </c>
      <c r="O344" s="836">
        <f>IFERROR(IF(O337=0,0,(2*#REF!)+((MAX(O342, 1)-1)*#REF!)),0)</f>
        <v>0</v>
      </c>
      <c r="P344" s="836">
        <f>IFERROR(IF(P337=0,0,(2*#REF!)+((MAX(P342, 1)-1)*#REF!)),0)</f>
        <v>0</v>
      </c>
      <c r="Q344" s="836">
        <f>IFERROR(IF(Q337=0,0,(2*#REF!)+((MAX(Q342, 1)-1)*#REF!)),0)</f>
        <v>0</v>
      </c>
      <c r="R344" s="836">
        <f>IFERROR(IF(R337=0,0,(2*#REF!)+((MAX(R342, 1)-1)*#REF!)),0)</f>
        <v>0</v>
      </c>
      <c r="S344" s="836">
        <f>IFERROR(IF(S337=0,0,(2*#REF!)+((MAX(S342, 1)-1)*#REF!)),0)</f>
        <v>0</v>
      </c>
      <c r="T344" s="836">
        <f>IFERROR(IF(T337=0,0,(2*#REF!)+((MAX(T342, 1)-1)*#REF!)),0)</f>
        <v>0</v>
      </c>
      <c r="U344" s="836">
        <f>IFERROR(IF(U337=0,0,(2*#REF!)+((MAX(U342, 1)-1)*#REF!)),0)</f>
        <v>0</v>
      </c>
      <c r="V344" s="836">
        <f>IFERROR(IF(V337=0,0,(2*#REF!)+((MAX(V342, 1)-1)*#REF!)),0)</f>
        <v>0</v>
      </c>
      <c r="W344" s="836">
        <f>IFERROR(IF(W337=0,0,(2*#REF!)+((MAX(W342, 1)-1)*#REF!)),0)</f>
        <v>0</v>
      </c>
      <c r="X344" s="36"/>
      <c r="Y344" s="36"/>
      <c r="Z344" s="36"/>
      <c r="AA344" s="36"/>
      <c r="AB344" s="36"/>
      <c r="AC344" s="36"/>
      <c r="AD344" s="36"/>
      <c r="AE344" s="36"/>
      <c r="AF344" s="36"/>
      <c r="AG344" s="36"/>
      <c r="AH344" s="36"/>
      <c r="AI344" s="36"/>
      <c r="AJ344" s="36"/>
      <c r="AK344" s="36"/>
      <c r="AL344" s="36"/>
      <c r="AM344" s="36"/>
    </row>
    <row r="345" spans="6:39" ht="15" customHeight="1" outlineLevel="1">
      <c r="G345" s="6" t="s">
        <v>203</v>
      </c>
      <c r="H345" s="838"/>
      <c r="I345" s="838">
        <f>IFERROR((ROUNDUP(I342,1)*((1/60)*(#REF!+#REF!*(#REF!+(#REF!*(Baseline_Results_NOINDIRECT!I$52/#REF!/#REF!))))))+((2*#REF!)/#REF!)+(((MAX(I342,1)-1)*#REF!)/#REF!),0)</f>
        <v>0</v>
      </c>
      <c r="J345" s="838">
        <f>IFERROR((ROUNDUP(J342,1)*((1/60)*(#REF!+#REF!*(#REF!+(#REF!*(Baseline_Results_NOINDIRECT!J$52/#REF!/#REF!))))))+((2*#REF!)/#REF!)+(((MAX(J342,1)-1)*#REF!)/#REF!),0)</f>
        <v>0</v>
      </c>
      <c r="K345" s="838">
        <f>IFERROR((ROUNDUP(K342,1)*((1/60)*(#REF!+#REF!*(#REF!+(#REF!*(Baseline_Results_NOINDIRECT!K$52/#REF!/#REF!))))))+((2*#REF!)/#REF!)+(((MAX(K342,1)-1)*#REF!)/#REF!),0)</f>
        <v>0</v>
      </c>
      <c r="L345" s="838">
        <f>IFERROR((ROUNDUP(L342,1)*((1/60)*(#REF!+#REF!*(#REF!+(#REF!*(Baseline_Results_NOINDIRECT!L$52/#REF!/#REF!))))))+((2*#REF!)/#REF!)+(((MAX(L342,1)-1)*#REF!)/#REF!),0)</f>
        <v>0</v>
      </c>
      <c r="M345" s="838">
        <f>IFERROR((ROUNDUP(M342,1)*((1/60)*(#REF!+#REF!*(#REF!+(#REF!*(Baseline_Results_NOINDIRECT!M$52/#REF!/#REF!))))))+((2*#REF!)/#REF!)+(((MAX(M342,1)-1)*#REF!)/#REF!),0)</f>
        <v>0</v>
      </c>
      <c r="N345" s="838">
        <f>IFERROR((ROUNDUP(N342,1)*((1/60)*(#REF!+#REF!*(#REF!+(#REF!*(Baseline_Results_NOINDIRECT!N$52/#REF!/#REF!))))))+((2*#REF!)/#REF!)+(((MAX(N342,1)-1)*#REF!)/#REF!),0)</f>
        <v>0</v>
      </c>
      <c r="O345" s="838">
        <f>IFERROR((ROUNDUP(O342,1)*((1/60)*(#REF!+#REF!*(#REF!+(#REF!*(Baseline_Results_NOINDIRECT!O$52/#REF!/#REF!))))))+((2*#REF!)/#REF!)+(((MAX(O342,1)-1)*#REF!)/#REF!),0)</f>
        <v>0</v>
      </c>
      <c r="P345" s="838">
        <f>IFERROR((ROUNDUP(P342,1)*((1/60)*(#REF!+#REF!*(#REF!+(#REF!*(Baseline_Results_NOINDIRECT!P$52/#REF!/#REF!))))))+((2*#REF!)/#REF!)+(((MAX(P342,1)-1)*#REF!)/#REF!),0)</f>
        <v>0</v>
      </c>
      <c r="Q345" s="838">
        <f>IFERROR((ROUNDUP(Q342,1)*((1/60)*(#REF!+#REF!*(#REF!+(#REF!*(Baseline_Results_NOINDIRECT!Q$52/#REF!/#REF!))))))+((2*#REF!)/#REF!)+(((MAX(Q342,1)-1)*#REF!)/#REF!),0)</f>
        <v>0</v>
      </c>
      <c r="R345" s="838">
        <f>IFERROR((ROUNDUP(R342,1)*((1/60)*(#REF!+#REF!*(#REF!+(#REF!*(Baseline_Results_NOINDIRECT!R$52/#REF!/#REF!))))))+((2*#REF!)/#REF!)+(((MAX(R342,1)-1)*#REF!)/#REF!),0)</f>
        <v>0</v>
      </c>
      <c r="S345" s="838">
        <f>IFERROR((ROUNDUP(S342,1)*((1/60)*(#REF!+#REF!*(#REF!+(#REF!*(Baseline_Results_NOINDIRECT!S$52/#REF!/#REF!))))))+((2*#REF!)/#REF!)+(((MAX(S342,1)-1)*#REF!)/#REF!),0)</f>
        <v>0</v>
      </c>
      <c r="T345" s="838">
        <f>IFERROR((ROUNDUP(T342,1)*((1/60)*(#REF!+#REF!*(#REF!+(#REF!*(Baseline_Results_NOINDIRECT!T$52/#REF!/#REF!))))))+((2*#REF!)/#REF!)+(((MAX(T342,1)-1)*#REF!)/#REF!),0)</f>
        <v>0</v>
      </c>
      <c r="U345" s="838">
        <f>IFERROR((ROUNDUP(U342,1)*((1/60)*(#REF!+#REF!*(#REF!+(#REF!*(Baseline_Results_NOINDIRECT!U$52/#REF!/#REF!))))))+((2*#REF!)/#REF!)+(((MAX(U342,1)-1)*#REF!)/#REF!),0)</f>
        <v>0</v>
      </c>
      <c r="V345" s="838">
        <f>IFERROR((ROUNDUP(V342,1)*((1/60)*(#REF!+#REF!*(#REF!+(#REF!*(Baseline_Results_NOINDIRECT!V$52/#REF!/#REF!))))))+((2*#REF!)/#REF!)+(((MAX(V342,1)-1)*#REF!)/#REF!),0)</f>
        <v>0</v>
      </c>
      <c r="W345" s="838">
        <f>IFERROR((ROUNDUP(W342,1)*((1/60)*(#REF!+#REF!*(#REF!+(#REF!*(Baseline_Results_NOINDIRECT!W$52/#REF!/#REF!))))))+((2*#REF!)/#REF!)+(((MAX(W342,1)-1)*#REF!)/#REF!),0)</f>
        <v>0</v>
      </c>
      <c r="X345" s="36"/>
      <c r="Y345" s="36"/>
      <c r="Z345" s="36"/>
      <c r="AA345" s="36"/>
      <c r="AB345" s="36"/>
      <c r="AC345" s="36"/>
      <c r="AD345" s="36"/>
      <c r="AE345" s="36"/>
      <c r="AF345" s="36"/>
      <c r="AG345" s="36"/>
      <c r="AH345" s="36"/>
      <c r="AI345" s="36"/>
      <c r="AJ345" s="36"/>
      <c r="AK345" s="36"/>
      <c r="AL345" s="36"/>
      <c r="AM345" s="36"/>
    </row>
    <row r="346" spans="6:39" ht="15" customHeight="1" outlineLevel="1">
      <c r="G346" s="6" t="s">
        <v>204</v>
      </c>
      <c r="H346" s="838"/>
      <c r="I346" s="838">
        <f>IFERROR((#REF!*#REF!*#REF!)/I345,0)</f>
        <v>0</v>
      </c>
      <c r="J346" s="838">
        <f>IFERROR((#REF!*#REF!*#REF!)/J345,0)</f>
        <v>0</v>
      </c>
      <c r="K346" s="838">
        <f>IFERROR((#REF!*#REF!*#REF!)/K345,0)</f>
        <v>0</v>
      </c>
      <c r="L346" s="838">
        <f>IFERROR((#REF!*#REF!*#REF!)/L345,0)</f>
        <v>0</v>
      </c>
      <c r="M346" s="838">
        <f>IFERROR((#REF!*#REF!*#REF!)/M345,0)</f>
        <v>0</v>
      </c>
      <c r="N346" s="838">
        <f>IFERROR((#REF!*#REF!*#REF!)/N345,0)</f>
        <v>0</v>
      </c>
      <c r="O346" s="838">
        <f>IFERROR((#REF!*#REF!*#REF!)/O345,0)</f>
        <v>0</v>
      </c>
      <c r="P346" s="838">
        <f>IFERROR((#REF!*#REF!*#REF!)/P345,0)</f>
        <v>0</v>
      </c>
      <c r="Q346" s="838">
        <f>IFERROR((#REF!*#REF!*#REF!)/Q345,0)</f>
        <v>0</v>
      </c>
      <c r="R346" s="838">
        <f>IFERROR((#REF!*#REF!*#REF!)/R345,0)</f>
        <v>0</v>
      </c>
      <c r="S346" s="838">
        <f>IFERROR((#REF!*#REF!*#REF!)/S345,0)</f>
        <v>0</v>
      </c>
      <c r="T346" s="838">
        <f>IFERROR((#REF!*#REF!*#REF!)/T345,0)</f>
        <v>0</v>
      </c>
      <c r="U346" s="838">
        <f>IFERROR((#REF!*#REF!*#REF!)/U345,0)</f>
        <v>0</v>
      </c>
      <c r="V346" s="838">
        <f>IFERROR((#REF!*#REF!*#REF!)/V345,0)</f>
        <v>0</v>
      </c>
      <c r="W346" s="838">
        <f>IFERROR((#REF!*#REF!*#REF!)/W345,0)</f>
        <v>0</v>
      </c>
      <c r="X346" s="36"/>
      <c r="Y346" s="36"/>
      <c r="Z346" s="36"/>
      <c r="AA346" s="36"/>
      <c r="AB346" s="36"/>
      <c r="AC346" s="36"/>
      <c r="AD346" s="36"/>
      <c r="AE346" s="36"/>
      <c r="AF346" s="36"/>
      <c r="AG346" s="36"/>
      <c r="AH346" s="36"/>
      <c r="AI346" s="36"/>
      <c r="AJ346" s="242"/>
      <c r="AK346" s="36"/>
      <c r="AL346" s="36"/>
      <c r="AM346" s="36"/>
    </row>
    <row r="347" spans="6:39" ht="15" customHeight="1" outlineLevel="1">
      <c r="G347" s="241" t="s">
        <v>134</v>
      </c>
      <c r="H347" s="842"/>
      <c r="I347" s="842"/>
      <c r="J347" s="842"/>
      <c r="K347" s="842"/>
      <c r="L347" s="842"/>
      <c r="M347" s="842"/>
      <c r="N347" s="842"/>
      <c r="O347" s="842"/>
      <c r="P347" s="842"/>
      <c r="Q347" s="842"/>
      <c r="R347" s="853"/>
      <c r="S347" s="853"/>
      <c r="T347" s="842"/>
      <c r="U347" s="853"/>
      <c r="V347" s="853"/>
      <c r="W347" s="842"/>
      <c r="X347" s="36"/>
      <c r="Y347" s="36"/>
      <c r="Z347" s="36"/>
      <c r="AA347" s="36"/>
      <c r="AB347" s="36"/>
      <c r="AC347" s="36"/>
      <c r="AD347" s="36"/>
      <c r="AE347" s="36"/>
      <c r="AF347" s="36"/>
      <c r="AG347" s="36"/>
      <c r="AH347" s="36"/>
      <c r="AI347" s="36"/>
      <c r="AJ347" s="242"/>
      <c r="AK347" s="36"/>
      <c r="AL347" s="36"/>
      <c r="AM347" s="36"/>
    </row>
    <row r="348" spans="6:39" ht="15" customHeight="1" outlineLevel="1">
      <c r="G348" s="6" t="s">
        <v>206</v>
      </c>
      <c r="H348" s="836"/>
      <c r="I348" s="836">
        <f>IFERROR(I337*#REF!,0)</f>
        <v>0</v>
      </c>
      <c r="J348" s="836">
        <f>IFERROR(J337*#REF!,0)</f>
        <v>0</v>
      </c>
      <c r="K348" s="836">
        <f>IFERROR(K337*#REF!,0)</f>
        <v>0</v>
      </c>
      <c r="L348" s="836">
        <f>IFERROR(L337*#REF!,0)</f>
        <v>0</v>
      </c>
      <c r="M348" s="836">
        <f>IFERROR(M337*#REF!,0)</f>
        <v>0</v>
      </c>
      <c r="N348" s="836">
        <f>IFERROR(N337*#REF!,0)</f>
        <v>0</v>
      </c>
      <c r="O348" s="836">
        <f>IFERROR(O337*#REF!,0)</f>
        <v>0</v>
      </c>
      <c r="P348" s="836">
        <f>IFERROR(P337*#REF!,0)</f>
        <v>0</v>
      </c>
      <c r="Q348" s="836">
        <f>IFERROR(Q337*#REF!,0)</f>
        <v>0</v>
      </c>
      <c r="R348" s="836">
        <f>IFERROR(R337*#REF!,0)</f>
        <v>0</v>
      </c>
      <c r="S348" s="836">
        <f>IFERROR(S337*#REF!,0)</f>
        <v>0</v>
      </c>
      <c r="T348" s="836">
        <f>IFERROR(T337*#REF!,0)</f>
        <v>0</v>
      </c>
      <c r="U348" s="836">
        <f>IFERROR(U337*#REF!,0)</f>
        <v>0</v>
      </c>
      <c r="V348" s="836">
        <f>IFERROR(V337*#REF!,0)</f>
        <v>0</v>
      </c>
      <c r="W348" s="836">
        <f>IFERROR(W337*#REF!,0)</f>
        <v>0</v>
      </c>
      <c r="X348" s="36"/>
      <c r="Y348" s="36"/>
      <c r="Z348" s="36"/>
      <c r="AA348" s="36" t="s">
        <v>192</v>
      </c>
      <c r="AB348" s="36"/>
      <c r="AC348" s="36" t="s">
        <v>193</v>
      </c>
      <c r="AD348" s="36"/>
      <c r="AE348" s="36"/>
      <c r="AF348" s="36"/>
      <c r="AG348" s="36"/>
      <c r="AH348" s="36"/>
      <c r="AI348" s="36"/>
      <c r="AJ348" s="36"/>
      <c r="AK348" s="36"/>
      <c r="AL348" s="36"/>
      <c r="AM348" s="36"/>
    </row>
    <row r="349" spans="6:39" ht="15" customHeight="1" outlineLevel="1">
      <c r="G349" s="6" t="s">
        <v>87</v>
      </c>
      <c r="H349" s="836"/>
      <c r="I349" s="836">
        <f>IFERROR(IF(I337=0,0,2*#REF!),0)</f>
        <v>0</v>
      </c>
      <c r="J349" s="836">
        <f>IFERROR(IF(J337=0,0,2*#REF!),0)</f>
        <v>0</v>
      </c>
      <c r="K349" s="836">
        <f>IFERROR(IF(K337=0,0,2*#REF!),0)</f>
        <v>0</v>
      </c>
      <c r="L349" s="836">
        <f>IFERROR(IF(L337=0,0,2*#REF!),0)</f>
        <v>0</v>
      </c>
      <c r="M349" s="836">
        <f>IFERROR(IF(M337=0,0,2*#REF!),0)</f>
        <v>0</v>
      </c>
      <c r="N349" s="836">
        <f>IFERROR(IF(N337=0,0,2*#REF!),0)</f>
        <v>0</v>
      </c>
      <c r="O349" s="836">
        <f>IFERROR(IF(O337=0,0,2*#REF!),0)</f>
        <v>0</v>
      </c>
      <c r="P349" s="836">
        <f>IFERROR(IF(P337=0,0,2*#REF!),0)</f>
        <v>0</v>
      </c>
      <c r="Q349" s="836">
        <f>IFERROR(IF(Q337=0,0,2*#REF!),0)</f>
        <v>0</v>
      </c>
      <c r="R349" s="836">
        <f>IFERROR(IF(R337=0,0,2*#REF!),0)</f>
        <v>0</v>
      </c>
      <c r="S349" s="836">
        <f>IFERROR(IF(S337=0,0,2*#REF!),0)</f>
        <v>0</v>
      </c>
      <c r="T349" s="836">
        <f>IFERROR(IF(T337=0,0,2*#REF!),0)</f>
        <v>0</v>
      </c>
      <c r="U349" s="836">
        <f>IFERROR(IF(U337=0,0,2*#REF!),0)</f>
        <v>0</v>
      </c>
      <c r="V349" s="836">
        <f>IFERROR(IF(V337=0,0,2*#REF!),0)</f>
        <v>0</v>
      </c>
      <c r="W349" s="836">
        <f>IFERROR(IF(W337=0,0,2*#REF!),0)</f>
        <v>0</v>
      </c>
      <c r="X349" s="36"/>
      <c r="Y349" s="36"/>
      <c r="Z349" s="36"/>
      <c r="AA349" s="36" t="s">
        <v>194</v>
      </c>
      <c r="AB349" s="36"/>
      <c r="AC349" s="36" t="s">
        <v>195</v>
      </c>
      <c r="AD349" s="36"/>
      <c r="AE349" s="36"/>
      <c r="AF349" s="36"/>
      <c r="AG349" s="36"/>
      <c r="AH349" s="36"/>
      <c r="AI349" s="36"/>
      <c r="AJ349" s="36"/>
      <c r="AK349" s="36"/>
      <c r="AL349" s="36"/>
      <c r="AM349" s="36"/>
    </row>
    <row r="350" spans="6:39" ht="15" customHeight="1" outlineLevel="1">
      <c r="G350" s="6" t="s">
        <v>204</v>
      </c>
      <c r="H350" s="837"/>
      <c r="I350" s="837">
        <f>IFERROR((#REF!*#REF!*#REF!)/((I349/#REF!)+((1/60)*(#REF!+#REF!*(#REF!+(#REF!*(Baseline_Results_NOINDIRECT!I$52/#REF!/#REF!)))))),0)</f>
        <v>0</v>
      </c>
      <c r="J350" s="837">
        <f>IFERROR((#REF!*#REF!*#REF!)/((J349/#REF!)+((1/60)*(#REF!+#REF!*(#REF!+(#REF!*(Baseline_Results_NOINDIRECT!J$52/#REF!/#REF!)))))),0)</f>
        <v>0</v>
      </c>
      <c r="K350" s="837">
        <f>IFERROR((#REF!*#REF!*#REF!)/((K349/#REF!)+((1/60)*(#REF!+#REF!*(#REF!+(#REF!*(Baseline_Results_NOINDIRECT!K$52/#REF!/#REF!)))))),0)</f>
        <v>0</v>
      </c>
      <c r="L350" s="837">
        <f>IFERROR((#REF!*#REF!*#REF!)/((L349/#REF!)+((1/60)*(#REF!+#REF!*(#REF!+(#REF!*(Baseline_Results_NOINDIRECT!L$52/#REF!/#REF!)))))),0)</f>
        <v>0</v>
      </c>
      <c r="M350" s="837">
        <f>IFERROR((#REF!*#REF!*#REF!)/((M349/#REF!)+((1/60)*(#REF!+#REF!*(#REF!+(#REF!*(Baseline_Results_NOINDIRECT!M$52/#REF!/#REF!)))))),0)</f>
        <v>0</v>
      </c>
      <c r="N350" s="837">
        <f>IFERROR((#REF!*#REF!*#REF!)/((N349/#REF!)+((1/60)*(#REF!+#REF!*(#REF!+(#REF!*(Baseline_Results_NOINDIRECT!N$52/#REF!/#REF!)))))),0)</f>
        <v>0</v>
      </c>
      <c r="O350" s="837">
        <f>IFERROR((#REF!*#REF!*#REF!)/((O349/#REF!)+((1/60)*(#REF!+#REF!*(#REF!+(#REF!*(Baseline_Results_NOINDIRECT!O$52/#REF!/#REF!)))))),0)</f>
        <v>0</v>
      </c>
      <c r="P350" s="837">
        <f>IFERROR((#REF!*#REF!*#REF!)/((P349/#REF!)+((1/60)*(#REF!+#REF!*(#REF!+(#REF!*(Baseline_Results_NOINDIRECT!P$52/#REF!/#REF!)))))),0)</f>
        <v>0</v>
      </c>
      <c r="Q350" s="837">
        <f>IFERROR((#REF!*#REF!*#REF!)/((Q349/#REF!)+((1/60)*(#REF!+#REF!*(#REF!+(#REF!*(Baseline_Results_NOINDIRECT!Q$52/#REF!/#REF!)))))),0)</f>
        <v>0</v>
      </c>
      <c r="R350" s="837">
        <f>IFERROR((#REF!*#REF!*#REF!)/((R349/#REF!)+((1/60)*(#REF!+#REF!*(#REF!+(#REF!*(Baseline_Results_NOINDIRECT!R$52/#REF!/#REF!)))))),0)</f>
        <v>0</v>
      </c>
      <c r="S350" s="837">
        <f>IFERROR((#REF!*#REF!*#REF!)/((S349/#REF!)+((1/60)*(#REF!+#REF!*(#REF!+(#REF!*(Baseline_Results_NOINDIRECT!S$52/#REF!/#REF!)))))),0)</f>
        <v>0</v>
      </c>
      <c r="T350" s="837">
        <f>IFERROR((#REF!*#REF!*#REF!)/((T349/#REF!)+((1/60)*(#REF!+#REF!*(#REF!+(#REF!*(Baseline_Results_NOINDIRECT!T$52/#REF!/#REF!)))))),0)</f>
        <v>0</v>
      </c>
      <c r="U350" s="837">
        <f>IFERROR((#REF!*#REF!*#REF!)/((U349/#REF!)+((1/60)*(#REF!+#REF!*(#REF!+(#REF!*(Baseline_Results_NOINDIRECT!U$52/#REF!/#REF!)))))),0)</f>
        <v>0</v>
      </c>
      <c r="V350" s="837">
        <f>IFERROR((#REF!*#REF!*#REF!)/((V349/#REF!)+((1/60)*(#REF!+#REF!*(#REF!+(#REF!*(Baseline_Results_NOINDIRECT!V$52/#REF!/#REF!)))))),0)</f>
        <v>0</v>
      </c>
      <c r="W350" s="837">
        <f>IFERROR((#REF!*#REF!*#REF!)/((W349/#REF!)+((1/60)*(#REF!+#REF!*(#REF!+(#REF!*(Baseline_Results_NOINDIRECT!W$52/#REF!/#REF!)))))),0)</f>
        <v>0</v>
      </c>
      <c r="X350" s="36"/>
      <c r="Y350" s="36"/>
      <c r="Z350" s="36"/>
      <c r="AA350" s="36" t="s">
        <v>196</v>
      </c>
      <c r="AB350" s="36"/>
      <c r="AC350" s="36" t="s">
        <v>197</v>
      </c>
      <c r="AD350" s="36"/>
      <c r="AE350" s="36"/>
      <c r="AF350" s="36"/>
      <c r="AG350" s="36"/>
      <c r="AH350" s="36"/>
      <c r="AI350" s="36"/>
      <c r="AJ350" s="36"/>
      <c r="AK350" s="36"/>
      <c r="AL350" s="36"/>
      <c r="AM350" s="36"/>
    </row>
    <row r="351" spans="6:39" ht="15" customHeight="1">
      <c r="R351" s="269"/>
      <c r="S351" s="269"/>
      <c r="T351" s="269"/>
      <c r="U351" s="269"/>
      <c r="V351" s="269"/>
      <c r="W351" s="269"/>
      <c r="X351" s="36"/>
      <c r="Y351" s="36"/>
      <c r="Z351" s="36"/>
      <c r="AA351" s="36"/>
      <c r="AB351" s="36"/>
      <c r="AC351" s="36"/>
      <c r="AD351" s="36"/>
      <c r="AE351" s="36"/>
      <c r="AF351" s="36"/>
      <c r="AG351" s="36"/>
      <c r="AH351" s="36"/>
      <c r="AI351" s="36"/>
      <c r="AJ351" s="36"/>
      <c r="AK351" s="36"/>
      <c r="AL351" s="36"/>
      <c r="AM351" s="36"/>
    </row>
    <row r="352" spans="6:39" ht="15" customHeight="1">
      <c r="R352" s="36"/>
      <c r="S352" s="36"/>
      <c r="T352" s="36"/>
      <c r="U352" s="36"/>
      <c r="V352" s="36"/>
      <c r="W352" s="36"/>
      <c r="X352" s="36"/>
      <c r="Y352" s="36"/>
      <c r="Z352" s="36"/>
      <c r="AA352" s="36"/>
      <c r="AB352" s="36"/>
      <c r="AC352" s="36"/>
      <c r="AD352" s="36"/>
      <c r="AE352" s="36"/>
      <c r="AF352" s="36"/>
      <c r="AG352" s="36"/>
      <c r="AH352" s="36"/>
      <c r="AI352" s="36"/>
      <c r="AJ352" s="36"/>
      <c r="AK352" s="36"/>
      <c r="AL352" s="36"/>
      <c r="AM352" s="36"/>
    </row>
    <row r="353" spans="6:39" ht="15" customHeight="1">
      <c r="F353" s="854" t="s">
        <v>156</v>
      </c>
      <c r="G353" s="855"/>
      <c r="H353" s="856"/>
      <c r="I353" s="856"/>
      <c r="J353" s="856"/>
      <c r="K353" s="856" t="s">
        <v>842</v>
      </c>
      <c r="L353" s="856"/>
      <c r="M353" s="856"/>
      <c r="N353" s="856" t="s">
        <v>843</v>
      </c>
      <c r="O353" s="856"/>
      <c r="P353" s="856"/>
      <c r="Q353" s="857" t="s">
        <v>844</v>
      </c>
      <c r="R353" s="242"/>
      <c r="S353" s="242"/>
      <c r="T353" s="857" t="s">
        <v>845</v>
      </c>
      <c r="U353" s="242"/>
      <c r="V353" s="242"/>
      <c r="W353" s="857" t="s">
        <v>846</v>
      </c>
      <c r="X353" s="36"/>
      <c r="Y353" s="36"/>
      <c r="Z353" s="36"/>
      <c r="AA353" s="36"/>
      <c r="AB353" s="36"/>
      <c r="AC353" s="36"/>
      <c r="AD353" s="36"/>
      <c r="AE353" s="36"/>
      <c r="AF353" s="36"/>
      <c r="AG353" s="36"/>
      <c r="AH353" s="36"/>
      <c r="AI353" s="36"/>
      <c r="AJ353" s="242"/>
      <c r="AK353" s="36"/>
      <c r="AL353" s="36"/>
      <c r="AM353" s="36"/>
    </row>
    <row r="354" spans="6:39" ht="15" customHeight="1" outlineLevel="1">
      <c r="F354" s="77" t="s">
        <v>149</v>
      </c>
      <c r="G354" s="77"/>
      <c r="H354" s="78"/>
      <c r="I354" s="78"/>
      <c r="J354" s="78"/>
      <c r="K354" s="78"/>
      <c r="L354" s="78"/>
      <c r="M354" s="78"/>
      <c r="N354" s="78"/>
      <c r="O354" s="77"/>
      <c r="P354" s="77"/>
      <c r="Q354" s="874"/>
      <c r="R354" s="36"/>
      <c r="S354" s="36"/>
      <c r="T354" s="874"/>
      <c r="U354" s="36"/>
      <c r="V354" s="36"/>
      <c r="W354" s="874"/>
      <c r="X354" s="36"/>
      <c r="Y354" s="36"/>
      <c r="Z354" s="36"/>
      <c r="AA354" s="36"/>
      <c r="AB354" s="36"/>
      <c r="AC354" s="36"/>
      <c r="AD354" s="36"/>
      <c r="AE354" s="36"/>
      <c r="AF354" s="36"/>
      <c r="AG354" s="36"/>
      <c r="AH354" s="36"/>
      <c r="AI354" s="36"/>
      <c r="AJ354" s="242"/>
      <c r="AK354" s="36"/>
      <c r="AL354" s="36"/>
      <c r="AM354" s="36"/>
    </row>
    <row r="355" spans="6:39" ht="15" customHeight="1" outlineLevel="1">
      <c r="G355" s="6" t="s">
        <v>146</v>
      </c>
      <c r="H355" s="837"/>
      <c r="I355" s="837">
        <f>IFERROR(IF(COUNTIF(#REF!,"Public Transport*")=1,IF(#REF!="Route-based",I362*#REF!,IF(#REF!="Point-to-point",I365*#REF!,0)),0),0)</f>
        <v>0</v>
      </c>
      <c r="J355" s="837">
        <f>IFERROR(IF(COUNTIF(#REF!,"Public Transport*")=1,IF(#REF!="Route-based",J362*#REF!,IF(#REF!="Point-to-point",J365*#REF!,0)),0),0)</f>
        <v>0</v>
      </c>
      <c r="K355" s="837">
        <f>IFERROR(IF(COUNTIF(#REF!,"Public Transport*")=1,IF(#REF!="Route-based",K362*#REF!,IF(#REF!="Point-to-point",K365*#REF!,0)),0),0)</f>
        <v>0</v>
      </c>
      <c r="L355" s="837">
        <f>IFERROR(IF(COUNTIF(#REF!,"Public Transport*")=1,IF(#REF!="Route-based",L362*#REF!,IF(#REF!="Point-to-point",L365*#REF!,0)),0),0)</f>
        <v>0</v>
      </c>
      <c r="M355" s="837">
        <f>IFERROR(IF(COUNTIF(#REF!,"Public Transport*")=1,IF(#REF!="Route-based",M362*#REF!,IF(#REF!="Point-to-point",M365*#REF!,0)),0),0)</f>
        <v>0</v>
      </c>
      <c r="N355" s="837">
        <f>IFERROR(IF(COUNTIF(#REF!,"Public Transport*")=1,IF(#REF!="Route-based",N362*#REF!,IF(#REF!="Point-to-point",N365*#REF!,0)),0),0)</f>
        <v>0</v>
      </c>
      <c r="O355" s="837">
        <f>IFERROR(IF(COUNTIF(#REF!,"Public Transport*")=1,IF(#REF!="Route-based",O362*#REF!,IF(#REF!="Point-to-point",O365*#REF!,0)),0),0)</f>
        <v>0</v>
      </c>
      <c r="P355" s="837">
        <f>IFERROR(IF(COUNTIF(#REF!,"Public Transport*")=1,IF(#REF!="Route-based",P362*#REF!,IF(#REF!="Point-to-point",P365*#REF!,0)),0),0)</f>
        <v>0</v>
      </c>
      <c r="Q355" s="837">
        <f>IFERROR(IF(COUNTIF(#REF!,"Public Transport*")=1,IF(#REF!="Route-based",Q362*#REF!,IF(#REF!="Point-to-point",Q365*#REF!,0)),0),0)</f>
        <v>0</v>
      </c>
      <c r="R355" s="853"/>
      <c r="S355" s="853"/>
      <c r="T355" s="837">
        <f>IFERROR(IF(COUNTIF(#REF!,"Public Transport*")=1,IF(#REF!="Route-based",T362*#REF!,IF(#REF!="Point-to-point",T365*#REF!,0)),0),0)</f>
        <v>0</v>
      </c>
      <c r="U355" s="853"/>
      <c r="V355" s="853"/>
      <c r="W355" s="837">
        <f>IFERROR(IF(COUNTIF(#REF!,"Public Transport*")=1,IF(#REF!="Route-based",W362*#REF!,IF(#REF!="Point-to-point",W365*#REF!,0)),0),0)</f>
        <v>0</v>
      </c>
      <c r="X355" s="36"/>
      <c r="Y355" s="36"/>
      <c r="Z355" s="36"/>
      <c r="AA355" s="36"/>
      <c r="AB355" s="36"/>
      <c r="AC355" s="36"/>
      <c r="AD355" s="36"/>
      <c r="AE355" s="36"/>
      <c r="AF355" s="36"/>
      <c r="AG355" s="36"/>
      <c r="AH355" s="36"/>
      <c r="AI355" s="36"/>
      <c r="AJ355" s="242"/>
      <c r="AK355" s="36"/>
      <c r="AL355" s="36"/>
      <c r="AM355" s="36"/>
    </row>
    <row r="356" spans="6:39" ht="15" customHeight="1" outlineLevel="1">
      <c r="G356" s="6" t="s">
        <v>147</v>
      </c>
      <c r="H356" s="837"/>
      <c r="I356" s="837">
        <f>IFERROR(IF(#REF!="Route-based",I363*#REF!,IF(#REF!="Point-to-point",I366*#REF!,0)),0)</f>
        <v>0</v>
      </c>
      <c r="J356" s="837">
        <f>IFERROR(IF(#REF!="Route-based",J363*#REF!,IF(#REF!="Point-to-point",J366*#REF!,0)),0)</f>
        <v>0</v>
      </c>
      <c r="K356" s="837">
        <f>IFERROR(IF(#REF!="Route-based",K363*#REF!,IF(#REF!="Point-to-point",K366*#REF!,0)),0)</f>
        <v>0</v>
      </c>
      <c r="L356" s="837">
        <f>IFERROR(IF(#REF!="Route-based",L363*#REF!,IF(#REF!="Point-to-point",L366*#REF!,0)),0)</f>
        <v>0</v>
      </c>
      <c r="M356" s="837">
        <f>IFERROR(IF(#REF!="Route-based",M363*#REF!,IF(#REF!="Point-to-point",M366*#REF!,0)),0)</f>
        <v>0</v>
      </c>
      <c r="N356" s="837">
        <f>IFERROR(IF(#REF!="Route-based",N363*#REF!,IF(#REF!="Point-to-point",N366*#REF!,0)),0)</f>
        <v>0</v>
      </c>
      <c r="O356" s="837">
        <f>IFERROR(IF(#REF!="Route-based",O363*#REF!,IF(#REF!="Point-to-point",O366*#REF!,0)),0)</f>
        <v>0</v>
      </c>
      <c r="P356" s="837">
        <f>IFERROR(IF(#REF!="Route-based",P363*#REF!,IF(#REF!="Point-to-point",P366*#REF!,0)),0)</f>
        <v>0</v>
      </c>
      <c r="Q356" s="837">
        <f>IFERROR(IF(#REF!="Route-based",Q363*#REF!,IF(#REF!="Point-to-point",Q366*#REF!,0)),0)</f>
        <v>0</v>
      </c>
      <c r="R356" s="853"/>
      <c r="S356" s="853"/>
      <c r="T356" s="837">
        <f>IFERROR(IF(#REF!="Route-based",T363*#REF!,IF(#REF!="Point-to-point",T366*#REF!,0)),0)</f>
        <v>0</v>
      </c>
      <c r="U356" s="853"/>
      <c r="V356" s="853"/>
      <c r="W356" s="837">
        <f>IFERROR(IF(#REF!="Route-based",W363*#REF!,IF(#REF!="Point-to-point",W366*#REF!,0)),0)</f>
        <v>0</v>
      </c>
      <c r="X356" s="36"/>
      <c r="Y356" s="36"/>
      <c r="Z356" s="36"/>
      <c r="AA356" s="36"/>
      <c r="AB356" s="36"/>
      <c r="AC356" s="36"/>
      <c r="AD356" s="36"/>
      <c r="AE356" s="36"/>
      <c r="AF356" s="36"/>
      <c r="AG356" s="36"/>
      <c r="AH356" s="36"/>
      <c r="AI356" s="36"/>
      <c r="AJ356" s="36"/>
      <c r="AK356" s="36"/>
      <c r="AL356" s="36"/>
      <c r="AM356" s="36"/>
    </row>
    <row r="357" spans="6:39" ht="15" customHeight="1" outlineLevel="1">
      <c r="G357" s="6" t="s">
        <v>142</v>
      </c>
      <c r="H357" s="841"/>
      <c r="I357" s="841">
        <f>IFERROR(IF(COUNTIF(#REF!,"Public Transport*")&gt;0,ROUND(#REF!*#REF!,0),0),0)</f>
        <v>0</v>
      </c>
      <c r="J357" s="841">
        <f>IFERROR(IF(COUNTIF(#REF!,"Public Transport*")&gt;0,ROUND(#REF!*#REF!,0),0),0)</f>
        <v>0</v>
      </c>
      <c r="K357" s="841">
        <f>IFERROR(IF(COUNTIF(#REF!,"Public Transport*")&gt;0,ROUND(#REF!*#REF!,0),0),0)</f>
        <v>0</v>
      </c>
      <c r="L357" s="841">
        <f>IFERROR(IF(COUNTIF(#REF!,"Public Transport*")&gt;0,ROUND(#REF!*#REF!,0),0),0)</f>
        <v>0</v>
      </c>
      <c r="M357" s="841">
        <f>IFERROR(IF(COUNTIF(#REF!,"Public Transport*")&gt;0,ROUND(#REF!*#REF!,0),0),0)</f>
        <v>0</v>
      </c>
      <c r="N357" s="841">
        <f>IFERROR(IF(COUNTIF(#REF!,"Public Transport*")&gt;0,ROUND(#REF!*#REF!,0),0),0)</f>
        <v>0</v>
      </c>
      <c r="O357" s="841">
        <f>IFERROR(IF(COUNTIF(#REF!,"Public Transport*")&gt;0,ROUND(#REF!*#REF!,0),0),0)</f>
        <v>0</v>
      </c>
      <c r="P357" s="841">
        <f>IFERROR(IF(COUNTIF(#REF!,"Public Transport*")&gt;0,ROUND(#REF!*#REF!,0),0),0)</f>
        <v>0</v>
      </c>
      <c r="Q357" s="841">
        <f>IFERROR(IF(COUNTIF(#REF!,"Public Transport*")&gt;0,ROUND(#REF!*#REF!,0),0),0)</f>
        <v>0</v>
      </c>
      <c r="R357" s="853"/>
      <c r="S357" s="853"/>
      <c r="T357" s="841">
        <f>IFERROR(IF(COUNTIF(#REF!,"Public Transport*")&gt;0,ROUND(#REF!*#REF!,0),0),0)</f>
        <v>0</v>
      </c>
      <c r="U357" s="853"/>
      <c r="V357" s="853"/>
      <c r="W357" s="841">
        <f>IFERROR(IF(COUNTIF(#REF!,"Public Transport*")&gt;0,ROUND(#REF!*#REF!,0),0),0)</f>
        <v>0</v>
      </c>
      <c r="X357" s="36"/>
      <c r="Y357" s="36"/>
      <c r="Z357" s="36"/>
      <c r="AA357" s="36"/>
      <c r="AB357" s="36"/>
      <c r="AC357" s="36"/>
      <c r="AD357" s="36"/>
      <c r="AE357" s="36"/>
      <c r="AF357" s="36"/>
      <c r="AG357" s="36"/>
      <c r="AH357" s="36"/>
      <c r="AI357" s="36"/>
      <c r="AJ357" s="36"/>
      <c r="AK357" s="36"/>
      <c r="AL357" s="36"/>
      <c r="AM357" s="36"/>
    </row>
    <row r="358" spans="6:39" ht="15" customHeight="1" outlineLevel="1">
      <c r="G358" s="241" t="s">
        <v>150</v>
      </c>
      <c r="H358" s="842"/>
      <c r="I358" s="842"/>
      <c r="J358" s="842"/>
      <c r="K358" s="842"/>
      <c r="L358" s="842"/>
      <c r="M358" s="842"/>
      <c r="N358" s="842"/>
      <c r="O358" s="842"/>
      <c r="P358" s="842"/>
      <c r="Q358" s="842"/>
      <c r="R358" s="853"/>
      <c r="S358" s="853"/>
      <c r="T358" s="842"/>
      <c r="U358" s="853"/>
      <c r="V358" s="853"/>
      <c r="W358" s="842"/>
      <c r="X358" s="36"/>
      <c r="Y358" s="36"/>
      <c r="Z358" s="36"/>
      <c r="AA358" s="36"/>
      <c r="AB358" s="36"/>
      <c r="AC358" s="36"/>
      <c r="AD358" s="36"/>
      <c r="AE358" s="36"/>
      <c r="AF358" s="36"/>
      <c r="AG358" s="36"/>
      <c r="AH358" s="36"/>
      <c r="AI358" s="36"/>
      <c r="AJ358" s="36"/>
      <c r="AK358" s="36"/>
      <c r="AL358" s="36"/>
      <c r="AM358" s="36"/>
    </row>
    <row r="359" spans="6:39" ht="15" customHeight="1" outlineLevel="1">
      <c r="G359" s="6" t="s">
        <v>140</v>
      </c>
      <c r="H359" s="836"/>
      <c r="I359" s="836">
        <f>IFERROR(ROUND(#REF!/(((1/60)*(#REF!+#REF!*(#REF!+(#REF!*(Baseline_Results_NOINDIRECT!I$52/#REF!/#REF!)))))+INDEX(#REF!,MATCH(#REF!&amp;"Average duration (hrs) per trip",#REF!,0))),1),0)</f>
        <v>0</v>
      </c>
      <c r="J359" s="836">
        <f>IFERROR(ROUND(#REF!/(((1/60)*(#REF!+#REF!*(#REF!+(#REF!*(Baseline_Results_NOINDIRECT!J$52/#REF!/#REF!)))))+INDEX(#REF!,MATCH(#REF!&amp;"Average duration (hrs) per trip",#REF!,0))),1),0)</f>
        <v>0</v>
      </c>
      <c r="K359" s="836">
        <f>IFERROR(ROUND(#REF!/(((1/60)*(#REF!+#REF!*(#REF!+(#REF!*(Baseline_Results_NOINDIRECT!K$52/#REF!/#REF!)))))+INDEX(#REF!,MATCH(#REF!&amp;"Average duration (hrs) per trip",#REF!,0))),1),0)</f>
        <v>0</v>
      </c>
      <c r="L359" s="836">
        <f>IFERROR(ROUND(#REF!/(((1/60)*(#REF!+#REF!*(#REF!+(#REF!*(Baseline_Results_NOINDIRECT!L$52/#REF!/#REF!)))))+INDEX(#REF!,MATCH(#REF!&amp;"Average duration (hrs) per trip",#REF!,0))),1),0)</f>
        <v>0</v>
      </c>
      <c r="M359" s="836">
        <f>IFERROR(ROUND(#REF!/(((1/60)*(#REF!+#REF!*(#REF!+(#REF!*(Baseline_Results_NOINDIRECT!M$52/#REF!/#REF!)))))+INDEX(#REF!,MATCH(#REF!&amp;"Average duration (hrs) per trip",#REF!,0))),1),0)</f>
        <v>0</v>
      </c>
      <c r="N359" s="836">
        <f>IFERROR(ROUND(#REF!/(((1/60)*(#REF!+#REF!*(#REF!+(#REF!*(Baseline_Results_NOINDIRECT!N$52/#REF!/#REF!)))))+INDEX(#REF!,MATCH(#REF!&amp;"Average duration (hrs) per trip",#REF!,0))),1),0)</f>
        <v>0</v>
      </c>
      <c r="O359" s="836">
        <f>IFERROR(ROUND(#REF!/(((1/60)*(#REF!+#REF!*(#REF!+(#REF!*(Baseline_Results_NOINDIRECT!O$52/#REF!/#REF!)))))+INDEX(#REF!,MATCH(#REF!&amp;"Average duration (hrs) per trip",#REF!,0))),1),0)</f>
        <v>0</v>
      </c>
      <c r="P359" s="836">
        <f>IFERROR(ROUND(#REF!/(((1/60)*(#REF!+#REF!*(#REF!+(#REF!*(Baseline_Results_NOINDIRECT!P$52/#REF!/#REF!)))))+INDEX(#REF!,MATCH(#REF!&amp;"Average duration (hrs) per trip",#REF!,0))),1),0)</f>
        <v>0</v>
      </c>
      <c r="Q359" s="836">
        <f>IFERROR(ROUND(#REF!/(((1/60)*(#REF!+#REF!*(#REF!+(#REF!*(Baseline_Results_NOINDIRECT!Q$52/#REF!/#REF!)))))+INDEX(#REF!,MATCH(#REF!&amp;"Average duration (hrs) per trip",#REF!,0))),1),0)</f>
        <v>0</v>
      </c>
      <c r="R359" s="836">
        <f>IFERROR(ROUND(#REF!/(((1/60)*(#REF!+#REF!*(#REF!+(#REF!*(Baseline_Results_NOINDIRECT!R$52/#REF!/#REF!)))))+INDEX(#REF!,MATCH(#REF!&amp;"Average duration (hrs) per trip",#REF!,0))),1),0)</f>
        <v>0</v>
      </c>
      <c r="S359" s="836">
        <f>IFERROR(ROUND(#REF!/(((1/60)*(#REF!+#REF!*(#REF!+(#REF!*(Baseline_Results_NOINDIRECT!S$52/#REF!/#REF!)))))+INDEX(#REF!,MATCH(#REF!&amp;"Average duration (hrs) per trip",#REF!,0))),1),0)</f>
        <v>0</v>
      </c>
      <c r="T359" s="836">
        <f>IFERROR(ROUND(#REF!/(((1/60)*(#REF!+#REF!*(#REF!+(#REF!*(Baseline_Results_NOINDIRECT!T$52/#REF!/#REF!)))))+INDEX(#REF!,MATCH(#REF!&amp;"Average duration (hrs) per trip",#REF!,0))),1),0)</f>
        <v>0</v>
      </c>
      <c r="U359" s="836">
        <f>IFERROR(ROUND(#REF!/(((1/60)*(#REF!+#REF!*(#REF!+(#REF!*(Baseline_Results_NOINDIRECT!U$52/#REF!/#REF!)))))+INDEX(#REF!,MATCH(#REF!&amp;"Average duration (hrs) per trip",#REF!,0))),1),0)</f>
        <v>0</v>
      </c>
      <c r="V359" s="836">
        <f>IFERROR(ROUND(#REF!/(((1/60)*(#REF!+#REF!*(#REF!+(#REF!*(Baseline_Results_NOINDIRECT!V$52/#REF!/#REF!)))))+INDEX(#REF!,MATCH(#REF!&amp;"Average duration (hrs) per trip",#REF!,0))),1),0)</f>
        <v>0</v>
      </c>
      <c r="W359" s="836">
        <f>IFERROR(ROUND(#REF!/(((1/60)*(#REF!+#REF!*(#REF!+(#REF!*(Baseline_Results_NOINDIRECT!W$52/#REF!/#REF!)))))+INDEX(#REF!,MATCH(#REF!&amp;"Average duration (hrs) per trip",#REF!,0))),1),0)</f>
        <v>0</v>
      </c>
      <c r="X359" s="36"/>
      <c r="Y359" s="36"/>
      <c r="Z359" s="36"/>
      <c r="AA359" s="36"/>
      <c r="AB359" s="36"/>
      <c r="AC359" s="36"/>
      <c r="AD359" s="36"/>
      <c r="AE359" s="36"/>
      <c r="AF359" s="36"/>
      <c r="AG359" s="36"/>
      <c r="AH359" s="36"/>
      <c r="AI359" s="36"/>
      <c r="AJ359" s="36"/>
      <c r="AK359" s="36"/>
      <c r="AL359" s="36"/>
      <c r="AM359" s="36"/>
    </row>
    <row r="360" spans="6:39" ht="15" customHeight="1" outlineLevel="1">
      <c r="G360" s="6" t="s">
        <v>141</v>
      </c>
      <c r="H360" s="836"/>
      <c r="I360" s="836">
        <f>IFERROR(ROUND(I359*#REF!,0),0)</f>
        <v>0</v>
      </c>
      <c r="J360" s="836">
        <f>IFERROR(ROUND(J359*#REF!,0),0)</f>
        <v>0</v>
      </c>
      <c r="K360" s="836">
        <f>IFERROR(ROUND(K359*#REF!,0),0)</f>
        <v>0</v>
      </c>
      <c r="L360" s="836">
        <f>IFERROR(ROUND(L359*#REF!,0),0)</f>
        <v>0</v>
      </c>
      <c r="M360" s="836">
        <f>IFERROR(ROUND(M359*#REF!,0),0)</f>
        <v>0</v>
      </c>
      <c r="N360" s="836">
        <f>IFERROR(ROUND(N359*#REF!,0),0)</f>
        <v>0</v>
      </c>
      <c r="O360" s="836">
        <f>IFERROR(ROUND(O359*#REF!,0),0)</f>
        <v>0</v>
      </c>
      <c r="P360" s="836">
        <f>IFERROR(ROUND(P359*#REF!,0),0)</f>
        <v>0</v>
      </c>
      <c r="Q360" s="836">
        <f>IFERROR(ROUND(Q359*#REF!,0),0)</f>
        <v>0</v>
      </c>
      <c r="R360" s="836">
        <f>IFERROR(ROUND(R359*#REF!,0),0)</f>
        <v>0</v>
      </c>
      <c r="S360" s="836">
        <f>IFERROR(ROUND(S359*#REF!,0),0)</f>
        <v>0</v>
      </c>
      <c r="T360" s="836">
        <f>IFERROR(ROUND(T359*#REF!,0),0)</f>
        <v>0</v>
      </c>
      <c r="U360" s="836">
        <f>IFERROR(ROUND(U359*#REF!,0),0)</f>
        <v>0</v>
      </c>
      <c r="V360" s="836">
        <f>IFERROR(ROUND(V359*#REF!,0),0)</f>
        <v>0</v>
      </c>
      <c r="W360" s="836">
        <f>IFERROR(ROUND(W359*#REF!,0),0)</f>
        <v>0</v>
      </c>
      <c r="X360" s="36"/>
      <c r="Y360" s="36"/>
      <c r="Z360" s="36"/>
      <c r="AA360" s="36"/>
      <c r="AB360" s="36"/>
      <c r="AC360" s="36"/>
      <c r="AD360" s="36"/>
      <c r="AE360" s="36"/>
      <c r="AF360" s="36"/>
      <c r="AG360" s="36"/>
      <c r="AH360" s="36"/>
      <c r="AI360" s="36"/>
      <c r="AJ360" s="36"/>
      <c r="AK360" s="36"/>
      <c r="AL360" s="36"/>
      <c r="AM360" s="36"/>
    </row>
    <row r="361" spans="6:39" ht="15" customHeight="1" outlineLevel="1">
      <c r="G361" s="6" t="s">
        <v>143</v>
      </c>
      <c r="H361" s="836"/>
      <c r="I361" s="836">
        <f t="shared" ref="I361:W361" si="47">IFERROR(ROUNDUP(I357/I360,0),0)</f>
        <v>0</v>
      </c>
      <c r="J361" s="836">
        <f t="shared" si="47"/>
        <v>0</v>
      </c>
      <c r="K361" s="836">
        <f t="shared" si="47"/>
        <v>0</v>
      </c>
      <c r="L361" s="836">
        <f t="shared" si="47"/>
        <v>0</v>
      </c>
      <c r="M361" s="836">
        <f t="shared" si="47"/>
        <v>0</v>
      </c>
      <c r="N361" s="836">
        <f t="shared" si="47"/>
        <v>0</v>
      </c>
      <c r="O361" s="836">
        <f t="shared" si="47"/>
        <v>0</v>
      </c>
      <c r="P361" s="836">
        <f t="shared" si="47"/>
        <v>0</v>
      </c>
      <c r="Q361" s="836">
        <f t="shared" si="47"/>
        <v>0</v>
      </c>
      <c r="R361" s="836">
        <f t="shared" si="47"/>
        <v>0</v>
      </c>
      <c r="S361" s="836">
        <f t="shared" si="47"/>
        <v>0</v>
      </c>
      <c r="T361" s="836">
        <f t="shared" si="47"/>
        <v>0</v>
      </c>
      <c r="U361" s="836">
        <f t="shared" si="47"/>
        <v>0</v>
      </c>
      <c r="V361" s="836">
        <f t="shared" si="47"/>
        <v>0</v>
      </c>
      <c r="W361" s="836">
        <f t="shared" si="47"/>
        <v>0</v>
      </c>
      <c r="X361" s="36"/>
      <c r="Y361" s="36"/>
      <c r="Z361" s="36"/>
      <c r="AA361" s="36"/>
      <c r="AB361" s="36"/>
      <c r="AC361" s="36"/>
      <c r="AD361" s="36"/>
      <c r="AE361" s="36"/>
      <c r="AF361" s="36"/>
      <c r="AG361" s="36"/>
      <c r="AH361" s="36"/>
      <c r="AI361" s="36"/>
      <c r="AJ361" s="242"/>
      <c r="AK361" s="36"/>
      <c r="AL361" s="36"/>
      <c r="AM361" s="36"/>
    </row>
    <row r="362" spans="6:39" ht="15" customHeight="1" outlineLevel="1">
      <c r="G362" s="6" t="s">
        <v>144</v>
      </c>
      <c r="H362" s="836"/>
      <c r="I362" s="836">
        <f t="shared" ref="I362:W362" si="48">IFERROR((I361*(I360+1)),0)</f>
        <v>0</v>
      </c>
      <c r="J362" s="836">
        <f t="shared" si="48"/>
        <v>0</v>
      </c>
      <c r="K362" s="836">
        <f t="shared" si="48"/>
        <v>0</v>
      </c>
      <c r="L362" s="836">
        <f t="shared" si="48"/>
        <v>0</v>
      </c>
      <c r="M362" s="836">
        <f t="shared" si="48"/>
        <v>0</v>
      </c>
      <c r="N362" s="836">
        <f t="shared" si="48"/>
        <v>0</v>
      </c>
      <c r="O362" s="836">
        <f t="shared" si="48"/>
        <v>0</v>
      </c>
      <c r="P362" s="836">
        <f t="shared" si="48"/>
        <v>0</v>
      </c>
      <c r="Q362" s="836">
        <f t="shared" si="48"/>
        <v>0</v>
      </c>
      <c r="R362" s="836">
        <f t="shared" si="48"/>
        <v>0</v>
      </c>
      <c r="S362" s="836">
        <f t="shared" si="48"/>
        <v>0</v>
      </c>
      <c r="T362" s="836">
        <f t="shared" si="48"/>
        <v>0</v>
      </c>
      <c r="U362" s="836">
        <f t="shared" si="48"/>
        <v>0</v>
      </c>
      <c r="V362" s="836">
        <f t="shared" si="48"/>
        <v>0</v>
      </c>
      <c r="W362" s="836">
        <f t="shared" si="48"/>
        <v>0</v>
      </c>
      <c r="X362" s="36"/>
      <c r="Y362" s="36"/>
      <c r="Z362" s="36"/>
      <c r="AA362" s="36"/>
      <c r="AB362" s="36"/>
      <c r="AC362" s="36"/>
      <c r="AD362" s="36"/>
      <c r="AE362" s="36"/>
      <c r="AF362" s="36"/>
      <c r="AG362" s="36"/>
      <c r="AH362" s="36"/>
      <c r="AI362" s="36"/>
      <c r="AJ362" s="242"/>
      <c r="AK362" s="36"/>
      <c r="AL362" s="36"/>
      <c r="AM362" s="36"/>
    </row>
    <row r="363" spans="6:39" ht="15" customHeight="1" outlineLevel="1">
      <c r="G363" s="6" t="s">
        <v>145</v>
      </c>
      <c r="H363" s="836"/>
      <c r="I363" s="836">
        <f>IFERROR(ROUNDUP(((I362*INDEX(#REF!,MATCH(#REF!&amp;"Average duration (hrs) per trip",#REF!,0)))+(I357*((1/60)*(#REF!+#REF!*(#REF!+(#REF!*(Baseline_Results_NOINDIRECT!I$52/#REF!/#REF!)))))))/#REF!,0),0)</f>
        <v>0</v>
      </c>
      <c r="J363" s="836">
        <f>IFERROR(ROUNDUP(((J362*INDEX(#REF!,MATCH(#REF!&amp;"Average duration (hrs) per trip",#REF!,0)))+(J357*((1/60)*(#REF!+#REF!*(#REF!+(#REF!*(Baseline_Results_NOINDIRECT!J$52/#REF!/#REF!)))))))/#REF!,0),0)</f>
        <v>0</v>
      </c>
      <c r="K363" s="836">
        <f>IFERROR(ROUNDUP(((K362*INDEX(#REF!,MATCH(#REF!&amp;"Average duration (hrs) per trip",#REF!,0)))+(K357*((1/60)*(#REF!+#REF!*(#REF!+(#REF!*(Baseline_Results_NOINDIRECT!K$52/#REF!/#REF!)))))))/#REF!,0),0)</f>
        <v>0</v>
      </c>
      <c r="L363" s="836">
        <f>IFERROR(ROUNDUP(((L362*INDEX(#REF!,MATCH(#REF!&amp;"Average duration (hrs) per trip",#REF!,0)))+(L357*((1/60)*(#REF!+#REF!*(#REF!+(#REF!*(Baseline_Results_NOINDIRECT!L$52/#REF!/#REF!)))))))/#REF!,0),0)</f>
        <v>0</v>
      </c>
      <c r="M363" s="836">
        <f>IFERROR(ROUNDUP(((M362*INDEX(#REF!,MATCH(#REF!&amp;"Average duration (hrs) per trip",#REF!,0)))+(M357*((1/60)*(#REF!+#REF!*(#REF!+(#REF!*(Baseline_Results_NOINDIRECT!M$52/#REF!/#REF!)))))))/#REF!,0),0)</f>
        <v>0</v>
      </c>
      <c r="N363" s="836">
        <f>IFERROR(ROUNDUP(((N362*INDEX(#REF!,MATCH(#REF!&amp;"Average duration (hrs) per trip",#REF!,0)))+(N357*((1/60)*(#REF!+#REF!*(#REF!+(#REF!*(Baseline_Results_NOINDIRECT!N$52/#REF!/#REF!)))))))/#REF!,0),0)</f>
        <v>0</v>
      </c>
      <c r="O363" s="836">
        <f>IFERROR(ROUNDUP(((O362*INDEX(#REF!,MATCH(#REF!&amp;"Average duration (hrs) per trip",#REF!,0)))+(O357*((1/60)*(#REF!+#REF!*(#REF!+(#REF!*(Baseline_Results_NOINDIRECT!O$52/#REF!/#REF!)))))))/#REF!,0),0)</f>
        <v>0</v>
      </c>
      <c r="P363" s="836">
        <f>IFERROR(ROUNDUP(((P362*INDEX(#REF!,MATCH(#REF!&amp;"Average duration (hrs) per trip",#REF!,0)))+(P357*((1/60)*(#REF!+#REF!*(#REF!+(#REF!*(Baseline_Results_NOINDIRECT!P$52/#REF!/#REF!)))))))/#REF!,0),0)</f>
        <v>0</v>
      </c>
      <c r="Q363" s="836">
        <f>IFERROR(ROUNDUP(((Q362*INDEX(#REF!,MATCH(#REF!&amp;"Average duration (hrs) per trip",#REF!,0)))+(Q357*((1/60)*(#REF!+#REF!*(#REF!+(#REF!*(Baseline_Results_NOINDIRECT!Q$52/#REF!/#REF!)))))))/#REF!,0),0)</f>
        <v>0</v>
      </c>
      <c r="R363" s="836">
        <f>IFERROR(ROUNDUP(((R362*INDEX(#REF!,MATCH(#REF!&amp;"Average duration (hrs) per trip",#REF!,0)))+(R357*((1/60)*(#REF!+#REF!*(#REF!+(#REF!*(Baseline_Results_NOINDIRECT!R$52/#REF!/#REF!)))))))/#REF!,0),0)</f>
        <v>0</v>
      </c>
      <c r="S363" s="836">
        <f>IFERROR(ROUNDUP(((S362*INDEX(#REF!,MATCH(#REF!&amp;"Average duration (hrs) per trip",#REF!,0)))+(S357*((1/60)*(#REF!+#REF!*(#REF!+(#REF!*(Baseline_Results_NOINDIRECT!S$52/#REF!/#REF!)))))))/#REF!,0),0)</f>
        <v>0</v>
      </c>
      <c r="T363" s="836">
        <f>IFERROR(ROUNDUP(((T362*INDEX(#REF!,MATCH(#REF!&amp;"Average duration (hrs) per trip",#REF!,0)))+(T357*((1/60)*(#REF!+#REF!*(#REF!+(#REF!*(Baseline_Results_NOINDIRECT!T$52/#REF!/#REF!)))))))/#REF!,0),0)</f>
        <v>0</v>
      </c>
      <c r="U363" s="836">
        <f>IFERROR(ROUNDUP(((U362*INDEX(#REF!,MATCH(#REF!&amp;"Average duration (hrs) per trip",#REF!,0)))+(U357*((1/60)*(#REF!+#REF!*(#REF!+(#REF!*(Baseline_Results_NOINDIRECT!U$52/#REF!/#REF!)))))))/#REF!,0),0)</f>
        <v>0</v>
      </c>
      <c r="V363" s="836">
        <f>IFERROR(ROUNDUP(((V362*INDEX(#REF!,MATCH(#REF!&amp;"Average duration (hrs) per trip",#REF!,0)))+(V357*((1/60)*(#REF!+#REF!*(#REF!+(#REF!*(Baseline_Results_NOINDIRECT!V$52/#REF!/#REF!)))))))/#REF!,0),0)</f>
        <v>0</v>
      </c>
      <c r="W363" s="836">
        <f>IFERROR(ROUNDUP(((W362*INDEX(#REF!,MATCH(#REF!&amp;"Average duration (hrs) per trip",#REF!,0)))+(W357*((1/60)*(#REF!+#REF!*(#REF!+(#REF!*(Baseline_Results_NOINDIRECT!W$52/#REF!/#REF!)))))))/#REF!,0),0)</f>
        <v>0</v>
      </c>
      <c r="X363" s="36"/>
      <c r="Y363" s="36"/>
      <c r="Z363" s="36"/>
      <c r="AA363" s="36"/>
      <c r="AB363" s="36"/>
      <c r="AC363" s="36"/>
      <c r="AD363" s="36"/>
      <c r="AE363" s="36"/>
      <c r="AF363" s="36"/>
      <c r="AG363" s="36"/>
      <c r="AH363" s="36"/>
      <c r="AI363" s="36"/>
      <c r="AJ363" s="242"/>
      <c r="AK363" s="36"/>
      <c r="AL363" s="36"/>
      <c r="AM363" s="36"/>
    </row>
    <row r="364" spans="6:39" ht="15" customHeight="1" outlineLevel="1">
      <c r="G364" s="241" t="s">
        <v>841</v>
      </c>
      <c r="H364" s="842"/>
      <c r="I364" s="842"/>
      <c r="J364" s="842"/>
      <c r="K364" s="842"/>
      <c r="L364" s="842"/>
      <c r="M364" s="842"/>
      <c r="N364" s="842"/>
      <c r="O364" s="842"/>
      <c r="P364" s="842"/>
      <c r="Q364" s="842"/>
      <c r="R364" s="853"/>
      <c r="S364" s="853"/>
      <c r="T364" s="842"/>
      <c r="U364" s="853"/>
      <c r="V364" s="853"/>
      <c r="W364" s="842"/>
      <c r="X364" s="36"/>
      <c r="Y364" s="36"/>
      <c r="Z364" s="36"/>
      <c r="AA364" s="36"/>
      <c r="AB364" s="36"/>
      <c r="AC364" s="36"/>
      <c r="AD364" s="36"/>
      <c r="AE364" s="36"/>
      <c r="AF364" s="36"/>
      <c r="AG364" s="36"/>
      <c r="AH364" s="36"/>
      <c r="AI364" s="36"/>
      <c r="AJ364" s="36"/>
      <c r="AK364" s="36"/>
      <c r="AL364" s="36"/>
      <c r="AM364" s="36"/>
    </row>
    <row r="365" spans="6:39" ht="15" customHeight="1" outlineLevel="1">
      <c r="G365" s="6" t="s">
        <v>144</v>
      </c>
      <c r="H365" s="836"/>
      <c r="I365" s="836">
        <f t="shared" ref="I365:W365" si="49">IFERROR(I357*2,0)</f>
        <v>0</v>
      </c>
      <c r="J365" s="836">
        <f t="shared" si="49"/>
        <v>0</v>
      </c>
      <c r="K365" s="836">
        <f t="shared" si="49"/>
        <v>0</v>
      </c>
      <c r="L365" s="836">
        <f t="shared" si="49"/>
        <v>0</v>
      </c>
      <c r="M365" s="836">
        <f t="shared" si="49"/>
        <v>0</v>
      </c>
      <c r="N365" s="836">
        <f t="shared" si="49"/>
        <v>0</v>
      </c>
      <c r="O365" s="836">
        <f t="shared" si="49"/>
        <v>0</v>
      </c>
      <c r="P365" s="836">
        <f t="shared" si="49"/>
        <v>0</v>
      </c>
      <c r="Q365" s="836">
        <f t="shared" si="49"/>
        <v>0</v>
      </c>
      <c r="R365" s="836">
        <f t="shared" si="49"/>
        <v>0</v>
      </c>
      <c r="S365" s="836">
        <f t="shared" si="49"/>
        <v>0</v>
      </c>
      <c r="T365" s="836">
        <f t="shared" si="49"/>
        <v>0</v>
      </c>
      <c r="U365" s="836">
        <f t="shared" si="49"/>
        <v>0</v>
      </c>
      <c r="V365" s="836">
        <f t="shared" si="49"/>
        <v>0</v>
      </c>
      <c r="W365" s="836">
        <f t="shared" si="49"/>
        <v>0</v>
      </c>
      <c r="X365" s="36"/>
      <c r="Y365" s="36"/>
      <c r="Z365" s="36"/>
      <c r="AA365" s="36"/>
      <c r="AB365" s="36"/>
      <c r="AC365" s="36"/>
      <c r="AD365" s="36"/>
      <c r="AE365" s="36"/>
      <c r="AF365" s="36"/>
      <c r="AG365" s="36"/>
      <c r="AH365" s="36"/>
      <c r="AI365" s="36"/>
      <c r="AJ365" s="36"/>
      <c r="AK365" s="36"/>
      <c r="AL365" s="36"/>
      <c r="AM365" s="36"/>
    </row>
    <row r="366" spans="6:39" ht="15" customHeight="1" outlineLevel="1">
      <c r="G366" s="6" t="s">
        <v>145</v>
      </c>
      <c r="H366" s="837"/>
      <c r="I366" s="837">
        <f>IFERROR(MAX(I357,ROUNDUP(((I365*INDEX(#REF!,MATCH(#REF!&amp;"Average duration (hrs) per trip",#REF!,0)))+(I357*((1/60)*(#REF!+#REF!*(#REF!+(#REF!*(Baseline_Results_NOINDIRECT!I$52/#REF!/#REF!)))))))/#REF!,0)),0)</f>
        <v>0</v>
      </c>
      <c r="J366" s="837">
        <f>IFERROR(MAX(J357,ROUNDUP(((J365*INDEX(#REF!,MATCH(#REF!&amp;"Average duration (hrs) per trip",#REF!,0)))+(J357*((1/60)*(#REF!+#REF!*(#REF!+(#REF!*(Baseline_Results_NOINDIRECT!J$52/#REF!/#REF!)))))))/#REF!,0)),0)</f>
        <v>0</v>
      </c>
      <c r="K366" s="837">
        <f>IFERROR(MAX(K357,ROUNDUP(((K365*INDEX(#REF!,MATCH(#REF!&amp;"Average duration (hrs) per trip",#REF!,0)))+(K357*((1/60)*(#REF!+#REF!*(#REF!+(#REF!*(Baseline_Results_NOINDIRECT!K$52/#REF!/#REF!)))))))/#REF!,0)),0)</f>
        <v>0</v>
      </c>
      <c r="L366" s="837">
        <f>IFERROR(MAX(L357,ROUNDUP(((L365*INDEX(#REF!,MATCH(#REF!&amp;"Average duration (hrs) per trip",#REF!,0)))+(L357*((1/60)*(#REF!+#REF!*(#REF!+(#REF!*(Baseline_Results_NOINDIRECT!L$52/#REF!/#REF!)))))))/#REF!,0)),0)</f>
        <v>0</v>
      </c>
      <c r="M366" s="837">
        <f>IFERROR(MAX(M357,ROUNDUP(((M365*INDEX(#REF!,MATCH(#REF!&amp;"Average duration (hrs) per trip",#REF!,0)))+(M357*((1/60)*(#REF!+#REF!*(#REF!+(#REF!*(Baseline_Results_NOINDIRECT!M$52/#REF!/#REF!)))))))/#REF!,0)),0)</f>
        <v>0</v>
      </c>
      <c r="N366" s="837">
        <f>IFERROR(MAX(N357,ROUNDUP(((N365*INDEX(#REF!,MATCH(#REF!&amp;"Average duration (hrs) per trip",#REF!,0)))+(N357*((1/60)*(#REF!+#REF!*(#REF!+(#REF!*(Baseline_Results_NOINDIRECT!N$52/#REF!/#REF!)))))))/#REF!,0)),0)</f>
        <v>0</v>
      </c>
      <c r="O366" s="837">
        <f>IFERROR(MAX(O357,ROUNDUP(((O365*INDEX(#REF!,MATCH(#REF!&amp;"Average duration (hrs) per trip",#REF!,0)))+(O357*((1/60)*(#REF!+#REF!*(#REF!+(#REF!*(Baseline_Results_NOINDIRECT!O$52/#REF!/#REF!)))))))/#REF!,0)),0)</f>
        <v>0</v>
      </c>
      <c r="P366" s="837">
        <f>IFERROR(MAX(P357,ROUNDUP(((P365*INDEX(#REF!,MATCH(#REF!&amp;"Average duration (hrs) per trip",#REF!,0)))+(P357*((1/60)*(#REF!+#REF!*(#REF!+(#REF!*(Baseline_Results_NOINDIRECT!P$52/#REF!/#REF!)))))))/#REF!,0)),0)</f>
        <v>0</v>
      </c>
      <c r="Q366" s="837">
        <f>IFERROR(MAX(Q357,ROUNDUP(((Q365*INDEX(#REF!,MATCH(#REF!&amp;"Average duration (hrs) per trip",#REF!,0)))+(Q357*((1/60)*(#REF!+#REF!*(#REF!+(#REF!*(Baseline_Results_NOINDIRECT!Q$52/#REF!/#REF!)))))))/#REF!,0)),0)</f>
        <v>0</v>
      </c>
      <c r="R366" s="837">
        <f>IFERROR(MAX(R357,ROUNDUP(((R365*INDEX(#REF!,MATCH(#REF!&amp;"Average duration (hrs) per trip",#REF!,0)))+(R357*((1/60)*(#REF!+#REF!*(#REF!+(#REF!*(Baseline_Results_NOINDIRECT!R$52/#REF!/#REF!)))))))/#REF!,0)),0)</f>
        <v>0</v>
      </c>
      <c r="S366" s="837">
        <f>IFERROR(MAX(S357,ROUNDUP(((S365*INDEX(#REF!,MATCH(#REF!&amp;"Average duration (hrs) per trip",#REF!,0)))+(S357*((1/60)*(#REF!+#REF!*(#REF!+(#REF!*(Baseline_Results_NOINDIRECT!S$52/#REF!/#REF!)))))))/#REF!,0)),0)</f>
        <v>0</v>
      </c>
      <c r="T366" s="837">
        <f>IFERROR(MAX(T357,ROUNDUP(((T365*INDEX(#REF!,MATCH(#REF!&amp;"Average duration (hrs) per trip",#REF!,0)))+(T357*((1/60)*(#REF!+#REF!*(#REF!+(#REF!*(Baseline_Results_NOINDIRECT!T$52/#REF!/#REF!)))))))/#REF!,0)),0)</f>
        <v>0</v>
      </c>
      <c r="U366" s="837">
        <f>IFERROR(MAX(U357,ROUNDUP(((U365*INDEX(#REF!,MATCH(#REF!&amp;"Average duration (hrs) per trip",#REF!,0)))+(U357*((1/60)*(#REF!+#REF!*(#REF!+(#REF!*(Baseline_Results_NOINDIRECT!U$52/#REF!/#REF!)))))))/#REF!,0)),0)</f>
        <v>0</v>
      </c>
      <c r="V366" s="837">
        <f>IFERROR(MAX(V357,ROUNDUP(((V365*INDEX(#REF!,MATCH(#REF!&amp;"Average duration (hrs) per trip",#REF!,0)))+(V357*((1/60)*(#REF!+#REF!*(#REF!+(#REF!*(Baseline_Results_NOINDIRECT!V$52/#REF!/#REF!)))))))/#REF!,0)),0)</f>
        <v>0</v>
      </c>
      <c r="W366" s="837">
        <f>IFERROR(MAX(W357,ROUNDUP(((W365*INDEX(#REF!,MATCH(#REF!&amp;"Average duration (hrs) per trip",#REF!,0)))+(W357*((1/60)*(#REF!+#REF!*(#REF!+(#REF!*(Baseline_Results_NOINDIRECT!W$52/#REF!/#REF!)))))))/#REF!,0)),0)</f>
        <v>0</v>
      </c>
      <c r="X366" s="36"/>
      <c r="Y366" s="36"/>
      <c r="Z366" s="36"/>
      <c r="AA366" s="36"/>
      <c r="AB366" s="36"/>
      <c r="AC366" s="36"/>
      <c r="AD366" s="36"/>
      <c r="AE366" s="36"/>
      <c r="AF366" s="36"/>
      <c r="AG366" s="36"/>
      <c r="AH366" s="36"/>
      <c r="AI366" s="36"/>
      <c r="AJ366" s="36"/>
      <c r="AK366" s="36"/>
      <c r="AL366" s="36"/>
      <c r="AM366" s="36"/>
    </row>
    <row r="367" spans="6:39" ht="15" customHeight="1" outlineLevel="1">
      <c r="F367" s="77" t="s">
        <v>148</v>
      </c>
      <c r="G367" s="845"/>
      <c r="H367" s="851"/>
      <c r="I367" s="851"/>
      <c r="J367" s="851"/>
      <c r="K367" s="851"/>
      <c r="L367" s="851"/>
      <c r="M367" s="851"/>
      <c r="N367" s="851"/>
      <c r="O367" s="851"/>
      <c r="P367" s="851"/>
      <c r="Q367" s="851"/>
      <c r="R367" s="846"/>
      <c r="S367" s="846"/>
      <c r="T367" s="851"/>
      <c r="U367" s="846"/>
      <c r="V367" s="846"/>
      <c r="W367" s="851"/>
      <c r="X367" s="36"/>
      <c r="Y367" s="36"/>
      <c r="Z367" s="36"/>
      <c r="AA367" s="36"/>
      <c r="AB367" s="36"/>
      <c r="AC367" s="36"/>
      <c r="AD367" s="36"/>
      <c r="AE367" s="36"/>
      <c r="AF367" s="36"/>
      <c r="AG367" s="36"/>
      <c r="AH367" s="36"/>
      <c r="AI367" s="36"/>
      <c r="AJ367" s="242"/>
      <c r="AK367" s="36"/>
      <c r="AL367" s="36"/>
      <c r="AM367" s="36"/>
    </row>
    <row r="368" spans="6:39" ht="15" customHeight="1" outlineLevel="1">
      <c r="F368" s="1"/>
      <c r="G368" s="6" t="s">
        <v>151</v>
      </c>
      <c r="H368" s="836"/>
      <c r="I368" s="836">
        <f>IFERROR(IF(COUNTIF(#REF!,"Public Transport*")&lt;1,ROUND(#REF!*#REF!,0),0),0)</f>
        <v>0</v>
      </c>
      <c r="J368" s="836">
        <f>IFERROR(IF(COUNTIF(#REF!,"Public Transport*")&lt;1,ROUND(#REF!*#REF!,0),0),0)</f>
        <v>0</v>
      </c>
      <c r="K368" s="836">
        <f>IFERROR(IF(COUNTIF(#REF!,"Public Transport*")&lt;1,ROUND(#REF!*#REF!,0),0),0)</f>
        <v>0</v>
      </c>
      <c r="L368" s="836">
        <f>IFERROR(IF(COUNTIF(#REF!,"Public Transport*")&lt;1,ROUND(#REF!*#REF!,0),0),0)</f>
        <v>0</v>
      </c>
      <c r="M368" s="836">
        <f>IFERROR(IF(COUNTIF(#REF!,"Public Transport*")&lt;1,ROUND(#REF!*#REF!,0),0),0)</f>
        <v>0</v>
      </c>
      <c r="N368" s="836">
        <f>IFERROR(IF(COUNTIF(#REF!,"Public Transport*")&lt;1,ROUND(#REF!*#REF!,0),0),0)</f>
        <v>0</v>
      </c>
      <c r="O368" s="836">
        <f>IFERROR(IF(COUNTIF(#REF!,"Public Transport*")&lt;1,ROUND(#REF!*#REF!,0),0),0)</f>
        <v>0</v>
      </c>
      <c r="P368" s="836">
        <f>IFERROR(IF(COUNTIF(#REF!,"Public Transport*")&lt;1,ROUND(#REF!*#REF!,0),0),0)</f>
        <v>0</v>
      </c>
      <c r="Q368" s="836">
        <f>IFERROR(IF(COUNTIF(#REF!,"Public Transport*")&lt;1,ROUND(#REF!*#REF!,0),0),0)</f>
        <v>0</v>
      </c>
      <c r="R368" s="846"/>
      <c r="S368" s="846"/>
      <c r="T368" s="836">
        <f>IFERROR(IF(COUNTIF(#REF!,"Public Transport*")&lt;1,ROUND(#REF!*#REF!,0),0),0)</f>
        <v>0</v>
      </c>
      <c r="U368" s="846"/>
      <c r="V368" s="846"/>
      <c r="W368" s="836">
        <f>IFERROR(IF(COUNTIF(#REF!,"Public Transport*")&lt;1,ROUND(#REF!*#REF!,0),0),0)</f>
        <v>0</v>
      </c>
      <c r="X368" s="36"/>
      <c r="Y368" s="36"/>
      <c r="Z368" s="36"/>
      <c r="AA368" s="36"/>
      <c r="AB368" s="36"/>
      <c r="AC368" s="36"/>
      <c r="AD368" s="36"/>
      <c r="AE368" s="36"/>
      <c r="AF368" s="36"/>
      <c r="AG368" s="36"/>
      <c r="AH368" s="36"/>
      <c r="AI368" s="36"/>
      <c r="AJ368" s="242"/>
      <c r="AK368" s="36"/>
      <c r="AL368" s="36"/>
      <c r="AM368" s="36"/>
    </row>
    <row r="369" spans="6:39" ht="15" customHeight="1" outlineLevel="1">
      <c r="G369" s="6" t="s">
        <v>85</v>
      </c>
      <c r="H369" s="837"/>
      <c r="I369" s="837">
        <f>IFERROR(IF(#REF!="Route-based",I374*I375,IF(#REF!="Point-to-point",I379*I380,0)),0)</f>
        <v>0</v>
      </c>
      <c r="J369" s="837">
        <f>IFERROR(IF(#REF!="Route-based",J374*J375,IF(#REF!="Point-to-point",J379*J380,0)),0)</f>
        <v>0</v>
      </c>
      <c r="K369" s="837">
        <f>IFERROR(IF(#REF!="Route-based",K374*K375,IF(#REF!="Point-to-point",K379*K380,0)),0)</f>
        <v>0</v>
      </c>
      <c r="L369" s="837">
        <f>IFERROR(IF(#REF!="Route-based",L374*L375,IF(#REF!="Point-to-point",L379*L380,0)),0)</f>
        <v>0</v>
      </c>
      <c r="M369" s="837">
        <f>IFERROR(IF(#REF!="Route-based",M374*M375,IF(#REF!="Point-to-point",M379*M380,0)),0)</f>
        <v>0</v>
      </c>
      <c r="N369" s="837">
        <f>IFERROR(IF(#REF!="Route-based",N374*N375,IF(#REF!="Point-to-point",N379*N380,0)),0)</f>
        <v>0</v>
      </c>
      <c r="O369" s="837">
        <f>IFERROR(IF(#REF!="Route-based",O374*O375,IF(#REF!="Point-to-point",O379*O380,0)),0)</f>
        <v>0</v>
      </c>
      <c r="P369" s="837">
        <f>IFERROR(IF(#REF!="Route-based",P374*P375,IF(#REF!="Point-to-point",P379*P380,0)),0)</f>
        <v>0</v>
      </c>
      <c r="Q369" s="837">
        <f>IFERROR(IF(#REF!="Route-based",Q374*Q375,IF(#REF!="Point-to-point",Q379*Q380,0)),0)</f>
        <v>0</v>
      </c>
      <c r="R369" s="853" t="s">
        <v>594</v>
      </c>
      <c r="S369" s="853"/>
      <c r="T369" s="837">
        <f>IFERROR(IF(#REF!="Route-based",T374*T375,IF(#REF!="Point-to-point",T379*T380,0)),0)</f>
        <v>0</v>
      </c>
      <c r="U369" s="853"/>
      <c r="V369" s="853"/>
      <c r="W369" s="837">
        <f>IFERROR(IF(#REF!="Route-based",W374*W375,IF(#REF!="Point-to-point",W379*W380,0)),0)</f>
        <v>0</v>
      </c>
      <c r="X369" s="36"/>
      <c r="Y369" s="36"/>
      <c r="Z369" s="36"/>
      <c r="AA369" s="36"/>
      <c r="AB369" s="36"/>
      <c r="AC369" s="36"/>
      <c r="AD369" s="36"/>
      <c r="AE369" s="36"/>
      <c r="AF369" s="36"/>
      <c r="AG369" s="36"/>
      <c r="AH369" s="36"/>
      <c r="AI369" s="36"/>
      <c r="AJ369" s="242"/>
      <c r="AK369" s="36"/>
      <c r="AL369" s="36"/>
      <c r="AM369" s="36"/>
    </row>
    <row r="370" spans="6:39" ht="15" customHeight="1" outlineLevel="1">
      <c r="G370" s="6" t="s">
        <v>59</v>
      </c>
      <c r="H370" s="837"/>
      <c r="I370" s="837">
        <f>IFERROR(IF(#REF!="Route-based",ROUND(I374*I376/#REF!,0),IF(#REF!="Point-to-point",ROUND(((I368*#REF!*((1/60)*(#REF!+#REF!*(#REF!+(#REF!*(Baseline_Results_NOINDIRECT!I$52/#REF!/#REF!))))))+(I369/#REF!))/#REF!,0),0)),0)</f>
        <v>0</v>
      </c>
      <c r="J370" s="837">
        <f>IFERROR(IF(#REF!="Route-based",ROUND(J374*J376/#REF!,0),IF(#REF!="Point-to-point",ROUND(((J368*#REF!*((1/60)*(#REF!+#REF!*(#REF!+(#REF!*(Baseline_Results_NOINDIRECT!J$52/#REF!/#REF!))))))+(J369/#REF!))/#REF!,0),0)),0)</f>
        <v>0</v>
      </c>
      <c r="K370" s="837">
        <f>IFERROR(IF(#REF!="Route-based",ROUND(K374*K376/#REF!,0),IF(#REF!="Point-to-point",ROUND(((K368*#REF!*((1/60)*(#REF!+#REF!*(#REF!+(#REF!*(Baseline_Results_NOINDIRECT!K$52/#REF!/#REF!))))))+(K369/#REF!))/#REF!,0),0)),0)</f>
        <v>0</v>
      </c>
      <c r="L370" s="837">
        <f>IFERROR(IF(#REF!="Route-based",ROUND(L374*L376/#REF!,0),IF(#REF!="Point-to-point",ROUND(((L368*#REF!*((1/60)*(#REF!+#REF!*(#REF!+(#REF!*(Baseline_Results_NOINDIRECT!L$52/#REF!/#REF!))))))+(L369/#REF!))/#REF!,0),0)),0)</f>
        <v>0</v>
      </c>
      <c r="M370" s="837">
        <f>IFERROR(IF(#REF!="Route-based",ROUND(M374*M376/#REF!,0),IF(#REF!="Point-to-point",ROUND(((M368*#REF!*((1/60)*(#REF!+#REF!*(#REF!+(#REF!*(Baseline_Results_NOINDIRECT!M$52/#REF!/#REF!))))))+(M369/#REF!))/#REF!,0),0)),0)</f>
        <v>0</v>
      </c>
      <c r="N370" s="837">
        <f>IFERROR(IF(#REF!="Route-based",ROUND(N374*N376/#REF!,0),IF(#REF!="Point-to-point",ROUND(((N368*#REF!*((1/60)*(#REF!+#REF!*(#REF!+(#REF!*(Baseline_Results_NOINDIRECT!N$52/#REF!/#REF!))))))+(N369/#REF!))/#REF!,0),0)),0)</f>
        <v>0</v>
      </c>
      <c r="O370" s="837">
        <f>IFERROR(IF(#REF!="Route-based",ROUND(O374*O376/#REF!,0),IF(#REF!="Point-to-point",ROUND(((O368*#REF!*((1/60)*(#REF!+#REF!*(#REF!+(#REF!*(Baseline_Results_NOINDIRECT!O$52/#REF!/#REF!))))))+(O369/#REF!))/#REF!,0),0)),0)</f>
        <v>0</v>
      </c>
      <c r="P370" s="837">
        <f>IFERROR(IF(#REF!="Route-based",ROUND(P374*P376/#REF!,0),IF(#REF!="Point-to-point",ROUND(((P368*#REF!*((1/60)*(#REF!+#REF!*(#REF!+(#REF!*(Baseline_Results_NOINDIRECT!P$52/#REF!/#REF!))))))+(P369/#REF!))/#REF!,0),0)),0)</f>
        <v>0</v>
      </c>
      <c r="Q370" s="837">
        <f>IFERROR(IF(#REF!="Route-based",ROUND(Q374*Q376/#REF!,0),IF(#REF!="Point-to-point",ROUND(((Q368*#REF!*((1/60)*(#REF!+#REF!*(#REF!+(#REF!*(Baseline_Results_NOINDIRECT!Q$52/#REF!/#REF!))))))+(Q369/#REF!))/#REF!,0),0)),0)</f>
        <v>0</v>
      </c>
      <c r="R370" s="837">
        <f>IFERROR(IF(#REF!="Route-based",ROUND(R374*R376/#REF!,0),IF(#REF!="Point-to-point",ROUND(((R368*#REF!*((1/60)*(#REF!+#REF!*(#REF!+(#REF!*(Baseline_Results_NOINDIRECT!R$52/#REF!/#REF!))))))+(R369/#REF!))/#REF!,0),0)),0)</f>
        <v>0</v>
      </c>
      <c r="S370" s="837">
        <f>IFERROR(IF(#REF!="Route-based",ROUND(S374*S376/#REF!,0),IF(#REF!="Point-to-point",ROUND(((S368*#REF!*((1/60)*(#REF!+#REF!*(#REF!+(#REF!*(Baseline_Results_NOINDIRECT!S$52/#REF!/#REF!))))))+(S369/#REF!))/#REF!,0),0)),0)</f>
        <v>0</v>
      </c>
      <c r="T370" s="837">
        <f>IFERROR(IF(#REF!="Route-based",ROUND(T374*T376/#REF!,0),IF(#REF!="Point-to-point",ROUND(((T368*#REF!*((1/60)*(#REF!+#REF!*(#REF!+(#REF!*(Baseline_Results_NOINDIRECT!T$52/#REF!/#REF!))))))+(T369/#REF!))/#REF!,0),0)),0)</f>
        <v>0</v>
      </c>
      <c r="U370" s="837">
        <f>IFERROR(IF(#REF!="Route-based",ROUND(U374*U376/#REF!,0),IF(#REF!="Point-to-point",ROUND(((U368*#REF!*((1/60)*(#REF!+#REF!*(#REF!+(#REF!*(Baseline_Results_NOINDIRECT!U$52/#REF!/#REF!))))))+(U369/#REF!))/#REF!,0),0)),0)</f>
        <v>0</v>
      </c>
      <c r="V370" s="837">
        <f>IFERROR(IF(#REF!="Route-based",ROUND(V374*V376/#REF!,0),IF(#REF!="Point-to-point",ROUND(((V368*#REF!*((1/60)*(#REF!+#REF!*(#REF!+(#REF!*(Baseline_Results_NOINDIRECT!V$52/#REF!/#REF!))))))+(V369/#REF!))/#REF!,0),0)),0)</f>
        <v>0</v>
      </c>
      <c r="W370" s="837">
        <f>IFERROR(IF(#REF!="Route-based",ROUND(W374*W376/#REF!,0),IF(#REF!="Point-to-point",ROUND(((W368*#REF!*((1/60)*(#REF!+#REF!*(#REF!+(#REF!*(Baseline_Results_NOINDIRECT!W$52/#REF!/#REF!))))))+(W369/#REF!))/#REF!,0),0)),0)</f>
        <v>0</v>
      </c>
      <c r="X370" s="36"/>
      <c r="Y370" s="36"/>
      <c r="Z370" s="36"/>
      <c r="AA370" s="36"/>
      <c r="AB370" s="36"/>
      <c r="AC370" s="36"/>
      <c r="AD370" s="36"/>
      <c r="AE370" s="36"/>
      <c r="AF370" s="36"/>
      <c r="AG370" s="36"/>
      <c r="AH370" s="36"/>
      <c r="AI370" s="36"/>
      <c r="AJ370" s="242"/>
      <c r="AK370" s="36"/>
      <c r="AL370" s="36"/>
      <c r="AM370" s="36"/>
    </row>
    <row r="371" spans="6:39" ht="15" customHeight="1" outlineLevel="1">
      <c r="G371" s="6" t="s">
        <v>86</v>
      </c>
      <c r="H371" s="839"/>
      <c r="I371" s="839">
        <f>IFERROR(IF(#REF!="Route-based",IF(#REF!="Yes",I370/(#REF!*#REF!), IF(#REF!="No",I370/(#REF!*#REF!))),
IF(#REF!="Point-to-point",IF(#REF!="Yes",I370/(#REF!*#REF!),IF(#REF!="No",I370/(#REF!*#REF!))),0)),0)</f>
        <v>0</v>
      </c>
      <c r="J371" s="839">
        <f>IFERROR(IF(#REF!="Route-based",IF(#REF!="Yes",J370/(#REF!*#REF!), IF(#REF!="No",J370/(#REF!*#REF!))),
IF(#REF!="Point-to-point",IF(#REF!="Yes",J370/(#REF!*#REF!),IF(#REF!="No",J370/(#REF!*#REF!))),0)),0)</f>
        <v>0</v>
      </c>
      <c r="K371" s="839">
        <f>IFERROR(IF(#REF!="Route-based",IF(#REF!="Yes",K370/(#REF!*#REF!), IF(#REF!="No",K370/(#REF!*#REF!))),
IF(#REF!="Point-to-point",IF(#REF!="Yes",K370/(#REF!*#REF!),IF(#REF!="No",K370/(#REF!*#REF!))),0)),0)</f>
        <v>0</v>
      </c>
      <c r="L371" s="839">
        <f>IFERROR(IF(#REF!="Route-based",IF(#REF!="Yes",L370/(#REF!*#REF!), IF(#REF!="No",L370/(#REF!*#REF!))),
IF(#REF!="Point-to-point",IF(#REF!="Yes",L370/(#REF!*#REF!),IF(#REF!="No",L370/(#REF!*#REF!))),0)),0)</f>
        <v>0</v>
      </c>
      <c r="M371" s="839">
        <f>IFERROR(IF(#REF!="Route-based",IF(#REF!="Yes",M370/(#REF!*#REF!), IF(#REF!="No",M370/(#REF!*#REF!))),
IF(#REF!="Point-to-point",IF(#REF!="Yes",M370/(#REF!*#REF!),IF(#REF!="No",M370/(#REF!*#REF!))),0)),0)</f>
        <v>0</v>
      </c>
      <c r="N371" s="839">
        <f>IFERROR(IF(#REF!="Route-based",IF(#REF!="Yes",N370/(#REF!*#REF!), IF(#REF!="No",N370/(#REF!*#REF!))),
IF(#REF!="Point-to-point",IF(#REF!="Yes",N370/(#REF!*#REF!),IF(#REF!="No",N370/(#REF!*#REF!))),0)),0)</f>
        <v>0</v>
      </c>
      <c r="O371" s="839">
        <f>IFERROR(IF(#REF!="Route-based",IF(#REF!="Yes",O370/(#REF!*#REF!), IF(#REF!="No",O370/(#REF!*#REF!))),
IF(#REF!="Point-to-point",IF(#REF!="Yes",O370/(#REF!*#REF!),IF(#REF!="No",O370/(#REF!*#REF!))),0)),0)</f>
        <v>0</v>
      </c>
      <c r="P371" s="839">
        <f>IFERROR(IF(#REF!="Route-based",IF(#REF!="Yes",P370/(#REF!*#REF!), IF(#REF!="No",P370/(#REF!*#REF!))),
IF(#REF!="Point-to-point",IF(#REF!="Yes",P370/(#REF!*#REF!),IF(#REF!="No",P370/(#REF!*#REF!))),0)),0)</f>
        <v>0</v>
      </c>
      <c r="Q371" s="839">
        <f>IFERROR(IF(#REF!="Route-based",IF(#REF!="Yes",Q370/(#REF!*#REF!), IF(#REF!="No",Q370/(#REF!*#REF!))),
IF(#REF!="Point-to-point",IF(#REF!="Yes",Q370/(#REF!*#REF!),IF(#REF!="No",Q370/(#REF!*#REF!))),0)),0)</f>
        <v>0</v>
      </c>
      <c r="R371" s="839">
        <f>IFERROR(IF(#REF!="Route-based",IF(#REF!="Yes",R370/(#REF!*#REF!), IF(#REF!="No",R370/(#REF!*#REF!))),
IF(#REF!="Point-to-point",IF(#REF!="Yes",R370/(#REF!*#REF!),IF(#REF!="No",R370/(#REF!*#REF!))),0)),0)</f>
        <v>0</v>
      </c>
      <c r="S371" s="839">
        <f>IFERROR(IF(#REF!="Route-based",IF(#REF!="Yes",S370/(#REF!*#REF!), IF(#REF!="No",S370/(#REF!*#REF!))),
IF(#REF!="Point-to-point",IF(#REF!="Yes",S370/(#REF!*#REF!),IF(#REF!="No",S370/(#REF!*#REF!))),0)),0)</f>
        <v>0</v>
      </c>
      <c r="T371" s="839">
        <f>IFERROR(IF(#REF!="Route-based",IF(#REF!="Yes",T370/(#REF!*#REF!), IF(#REF!="No",T370/(#REF!*#REF!))),
IF(#REF!="Point-to-point",IF(#REF!="Yes",T370/(#REF!*#REF!),IF(#REF!="No",T370/(#REF!*#REF!))),0)),0)</f>
        <v>0</v>
      </c>
      <c r="U371" s="839">
        <f>IFERROR(IF(#REF!="Route-based",IF(#REF!="Yes",U370/(#REF!*#REF!), IF(#REF!="No",U370/(#REF!*#REF!))),
IF(#REF!="Point-to-point",IF(#REF!="Yes",U370/(#REF!*#REF!),IF(#REF!="No",U370/(#REF!*#REF!))),0)),0)</f>
        <v>0</v>
      </c>
      <c r="V371" s="839">
        <f>IFERROR(IF(#REF!="Route-based",IF(#REF!="Yes",V370/(#REF!*#REF!), IF(#REF!="No",V370/(#REF!*#REF!))),
IF(#REF!="Point-to-point",IF(#REF!="Yes",V370/(#REF!*#REF!),IF(#REF!="No",V370/(#REF!*#REF!))),0)),0)</f>
        <v>0</v>
      </c>
      <c r="W371" s="839">
        <f>IFERROR(IF(#REF!="Route-based",IF(#REF!="Yes",W370/(#REF!*#REF!), IF(#REF!="No",W370/(#REF!*#REF!))),
IF(#REF!="Point-to-point",IF(#REF!="Yes",W370/(#REF!*#REF!),IF(#REF!="No",W370/(#REF!*#REF!))),0)),0)</f>
        <v>0</v>
      </c>
      <c r="X371" s="36"/>
      <c r="Y371" s="36"/>
      <c r="Z371" s="36"/>
      <c r="AA371" s="36"/>
      <c r="AB371" s="36"/>
      <c r="AC371" s="36"/>
      <c r="AD371" s="36"/>
      <c r="AE371" s="36"/>
      <c r="AF371" s="36"/>
      <c r="AG371" s="36"/>
      <c r="AH371" s="36"/>
      <c r="AI371" s="36"/>
      <c r="AJ371" s="36" t="s">
        <v>191</v>
      </c>
      <c r="AK371" s="36"/>
      <c r="AL371" s="36"/>
      <c r="AM371" s="36"/>
    </row>
    <row r="372" spans="6:39" ht="15" customHeight="1" outlineLevel="1" collapsed="1">
      <c r="G372" s="241" t="s">
        <v>133</v>
      </c>
      <c r="H372" s="842"/>
      <c r="I372" s="842"/>
      <c r="J372" s="842"/>
      <c r="K372" s="842"/>
      <c r="L372" s="842"/>
      <c r="M372" s="842"/>
      <c r="N372" s="842"/>
      <c r="O372" s="842"/>
      <c r="P372" s="842"/>
      <c r="Q372" s="842"/>
      <c r="R372" s="853"/>
      <c r="S372" s="853"/>
      <c r="T372" s="842"/>
      <c r="U372" s="853"/>
      <c r="V372" s="853"/>
      <c r="W372" s="842"/>
      <c r="X372" s="36"/>
      <c r="Y372" s="36"/>
      <c r="Z372" s="36"/>
      <c r="AA372" s="36"/>
      <c r="AB372" s="36"/>
      <c r="AC372" s="36"/>
      <c r="AD372" s="36"/>
      <c r="AE372" s="36"/>
      <c r="AF372" s="36"/>
      <c r="AG372" s="36"/>
      <c r="AH372" s="36"/>
      <c r="AI372" s="36"/>
      <c r="AJ372" s="36"/>
      <c r="AK372" s="36"/>
      <c r="AL372" s="36"/>
      <c r="AM372" s="36"/>
    </row>
    <row r="373" spans="6:39" ht="15" customHeight="1" outlineLevel="1">
      <c r="G373" s="6" t="s">
        <v>129</v>
      </c>
      <c r="H373" s="836"/>
      <c r="I373" s="836">
        <f>IFERROR(((#REF!*#REF!)-(2*#REF!/#REF!)+(#REF!/#REF!))/(((1/60)*(#REF!+#REF!*(#REF!+(#REF!*(Baseline_Results_NOINDIRECT!I$52/#REF!/#REF!)))))+(#REF!/#REF!)),0)</f>
        <v>0</v>
      </c>
      <c r="J373" s="836">
        <f>IFERROR(((#REF!*#REF!)-(2*#REF!/#REF!)+(#REF!/#REF!))/(((1/60)*(#REF!+#REF!*(#REF!+(#REF!*(Baseline_Results_NOINDIRECT!J$52/#REF!/#REF!)))))+(#REF!/#REF!)),0)</f>
        <v>0</v>
      </c>
      <c r="K373" s="836">
        <f>IFERROR(((#REF!*#REF!)-(2*#REF!/#REF!)+(#REF!/#REF!))/(((1/60)*(#REF!+#REF!*(#REF!+(#REF!*(Baseline_Results_NOINDIRECT!K$52/#REF!/#REF!)))))+(#REF!/#REF!)),0)</f>
        <v>0</v>
      </c>
      <c r="L373" s="836">
        <f>IFERROR(((#REF!*#REF!)-(2*#REF!/#REF!)+(#REF!/#REF!))/(((1/60)*(#REF!+#REF!*(#REF!+(#REF!*(Baseline_Results_NOINDIRECT!L$52/#REF!/#REF!)))))+(#REF!/#REF!)),0)</f>
        <v>0</v>
      </c>
      <c r="M373" s="836">
        <f>IFERROR(((#REF!*#REF!)-(2*#REF!/#REF!)+(#REF!/#REF!))/(((1/60)*(#REF!+#REF!*(#REF!+(#REF!*(Baseline_Results_NOINDIRECT!M$52/#REF!/#REF!)))))+(#REF!/#REF!)),0)</f>
        <v>0</v>
      </c>
      <c r="N373" s="836">
        <f>IFERROR(((#REF!*#REF!)-(2*#REF!/#REF!)+(#REF!/#REF!))/(((1/60)*(#REF!+#REF!*(#REF!+(#REF!*(Baseline_Results_NOINDIRECT!N$52/#REF!/#REF!)))))+(#REF!/#REF!)),0)</f>
        <v>0</v>
      </c>
      <c r="O373" s="836">
        <f>IFERROR(((#REF!*#REF!)-(2*#REF!/#REF!)+(#REF!/#REF!))/(((1/60)*(#REF!+#REF!*(#REF!+(#REF!*(Baseline_Results_NOINDIRECT!O$52/#REF!/#REF!)))))+(#REF!/#REF!)),0)</f>
        <v>0</v>
      </c>
      <c r="P373" s="836">
        <f>IFERROR(((#REF!*#REF!)-(2*#REF!/#REF!)+(#REF!/#REF!))/(((1/60)*(#REF!+#REF!*(#REF!+(#REF!*(Baseline_Results_NOINDIRECT!P$52/#REF!/#REF!)))))+(#REF!/#REF!)),0)</f>
        <v>0</v>
      </c>
      <c r="Q373" s="836">
        <f>IFERROR(((#REF!*#REF!)-(2*#REF!/#REF!)+(#REF!/#REF!))/(((1/60)*(#REF!+#REF!*(#REF!+(#REF!*(Baseline_Results_NOINDIRECT!Q$52/#REF!/#REF!)))))+(#REF!/#REF!)),0)</f>
        <v>0</v>
      </c>
      <c r="R373" s="836">
        <f>IFERROR(((#REF!*#REF!)-(2*#REF!/#REF!)+(#REF!/#REF!))/(((1/60)*(#REF!+#REF!*(#REF!+(#REF!*(Baseline_Results_NOINDIRECT!R$52/#REF!/#REF!)))))+(#REF!/#REF!)),0)</f>
        <v>0</v>
      </c>
      <c r="S373" s="836">
        <f>IFERROR(((#REF!*#REF!)-(2*#REF!/#REF!)+(#REF!/#REF!))/(((1/60)*(#REF!+#REF!*(#REF!+(#REF!*(Baseline_Results_NOINDIRECT!S$52/#REF!/#REF!)))))+(#REF!/#REF!)),0)</f>
        <v>0</v>
      </c>
      <c r="T373" s="836">
        <f>IFERROR(((#REF!*#REF!)-(2*#REF!/#REF!)+(#REF!/#REF!))/(((1/60)*(#REF!+#REF!*(#REF!+(#REF!*(Baseline_Results_NOINDIRECT!T$52/#REF!/#REF!)))))+(#REF!/#REF!)),0)</f>
        <v>0</v>
      </c>
      <c r="U373" s="836">
        <f>IFERROR(((#REF!*#REF!)-(2*#REF!/#REF!)+(#REF!/#REF!))/(((1/60)*(#REF!+#REF!*(#REF!+(#REF!*(Baseline_Results_NOINDIRECT!U$52/#REF!/#REF!)))))+(#REF!/#REF!)),0)</f>
        <v>0</v>
      </c>
      <c r="V373" s="836">
        <f>IFERROR(((#REF!*#REF!)-(2*#REF!/#REF!)+(#REF!/#REF!))/(((1/60)*(#REF!+#REF!*(#REF!+(#REF!*(Baseline_Results_NOINDIRECT!V$52/#REF!/#REF!)))))+(#REF!/#REF!)),0)</f>
        <v>0</v>
      </c>
      <c r="W373" s="836">
        <f>IFERROR(((#REF!*#REF!)-(2*#REF!/#REF!)+(#REF!/#REF!))/(((1/60)*(#REF!+#REF!*(#REF!+(#REF!*(Baseline_Results_NOINDIRECT!W$52/#REF!/#REF!)))))+(#REF!/#REF!)),0)</f>
        <v>0</v>
      </c>
      <c r="X373" s="36"/>
      <c r="Y373" s="36"/>
      <c r="Z373" s="36"/>
      <c r="AA373" s="36"/>
      <c r="AB373" s="36"/>
      <c r="AC373" s="36"/>
      <c r="AD373" s="36"/>
      <c r="AE373" s="36"/>
      <c r="AF373" s="36"/>
      <c r="AG373" s="36"/>
      <c r="AH373" s="36"/>
      <c r="AI373" s="36"/>
      <c r="AJ373" s="36"/>
      <c r="AK373" s="36"/>
      <c r="AL373" s="36"/>
      <c r="AM373" s="36"/>
    </row>
    <row r="374" spans="6:39" ht="15" customHeight="1" outlineLevel="1">
      <c r="G374" s="6" t="s">
        <v>206</v>
      </c>
      <c r="H374" s="836"/>
      <c r="I374" s="836">
        <f>IFERROR(ROUND(I368*#REF!/I373,0),0)</f>
        <v>0</v>
      </c>
      <c r="J374" s="836">
        <f>IFERROR(ROUND(J368*#REF!/J373,0),0)</f>
        <v>0</v>
      </c>
      <c r="K374" s="836">
        <f>IFERROR(ROUND(K368*#REF!/K373,0),0)</f>
        <v>0</v>
      </c>
      <c r="L374" s="836">
        <f>IFERROR(ROUND(L368*#REF!/L373,0),0)</f>
        <v>0</v>
      </c>
      <c r="M374" s="836">
        <f>IFERROR(ROUND(M368*#REF!/M373,0),0)</f>
        <v>0</v>
      </c>
      <c r="N374" s="836">
        <f>IFERROR(ROUND(N368*#REF!/N373,0),0)</f>
        <v>0</v>
      </c>
      <c r="O374" s="836">
        <f>IFERROR(ROUND(O368*#REF!/O373,0),0)</f>
        <v>0</v>
      </c>
      <c r="P374" s="836">
        <f>IFERROR(ROUND(P368*#REF!/P373,0),0)</f>
        <v>0</v>
      </c>
      <c r="Q374" s="836">
        <f>IFERROR(ROUND(Q368*#REF!/Q373,0),0)</f>
        <v>0</v>
      </c>
      <c r="R374" s="836">
        <f>IFERROR(ROUND(R368*#REF!/R373,0),0)</f>
        <v>0</v>
      </c>
      <c r="S374" s="836">
        <f>IFERROR(ROUND(S368*#REF!/S373,0),0)</f>
        <v>0</v>
      </c>
      <c r="T374" s="836">
        <f>IFERROR(ROUND(T368*#REF!/T373,0),0)</f>
        <v>0</v>
      </c>
      <c r="U374" s="836">
        <f>IFERROR(ROUND(U368*#REF!/U373,0),0)</f>
        <v>0</v>
      </c>
      <c r="V374" s="836">
        <f>IFERROR(ROUND(V368*#REF!/V373,0),0)</f>
        <v>0</v>
      </c>
      <c r="W374" s="836">
        <f>IFERROR(ROUND(W368*#REF!/W373,0),0)</f>
        <v>0</v>
      </c>
      <c r="X374" s="36"/>
      <c r="Y374" s="36"/>
      <c r="Z374" s="36"/>
      <c r="AA374" s="36"/>
      <c r="AB374" s="36"/>
      <c r="AC374" s="36"/>
      <c r="AD374" s="36"/>
      <c r="AE374" s="36"/>
      <c r="AF374" s="36"/>
      <c r="AG374" s="36"/>
      <c r="AH374" s="36"/>
      <c r="AI374" s="36"/>
      <c r="AJ374" s="36"/>
      <c r="AK374" s="36"/>
      <c r="AL374" s="36"/>
      <c r="AM374" s="36"/>
    </row>
    <row r="375" spans="6:39" ht="15" customHeight="1" outlineLevel="1">
      <c r="G375" s="6" t="s">
        <v>87</v>
      </c>
      <c r="H375" s="836"/>
      <c r="I375" s="836">
        <f>IFERROR(IF(I368=0,0,(2*#REF!)+((MAX(I373, 1)-1)*#REF!)),0)</f>
        <v>0</v>
      </c>
      <c r="J375" s="836">
        <f>IFERROR(IF(J368=0,0,(2*#REF!)+((MAX(J373, 1)-1)*#REF!)),0)</f>
        <v>0</v>
      </c>
      <c r="K375" s="836">
        <f>IFERROR(IF(K368=0,0,(2*#REF!)+((MAX(K373, 1)-1)*#REF!)),0)</f>
        <v>0</v>
      </c>
      <c r="L375" s="836">
        <f>IFERROR(IF(L368=0,0,(2*#REF!)+((MAX(L373, 1)-1)*#REF!)),0)</f>
        <v>0</v>
      </c>
      <c r="M375" s="836">
        <f>IFERROR(IF(M368=0,0,(2*#REF!)+((MAX(M373, 1)-1)*#REF!)),0)</f>
        <v>0</v>
      </c>
      <c r="N375" s="836">
        <f>IFERROR(IF(N368=0,0,(2*#REF!)+((MAX(N373, 1)-1)*#REF!)),0)</f>
        <v>0</v>
      </c>
      <c r="O375" s="836">
        <f>IFERROR(IF(O368=0,0,(2*#REF!)+((MAX(O373, 1)-1)*#REF!)),0)</f>
        <v>0</v>
      </c>
      <c r="P375" s="836">
        <f>IFERROR(IF(P368=0,0,(2*#REF!)+((MAX(P373, 1)-1)*#REF!)),0)</f>
        <v>0</v>
      </c>
      <c r="Q375" s="836">
        <f>IFERROR(IF(Q368=0,0,(2*#REF!)+((MAX(Q373, 1)-1)*#REF!)),0)</f>
        <v>0</v>
      </c>
      <c r="R375" s="836">
        <f>IFERROR(IF(R368=0,0,(2*#REF!)+((MAX(R373, 1)-1)*#REF!)),0)</f>
        <v>0</v>
      </c>
      <c r="S375" s="836">
        <f>IFERROR(IF(S368=0,0,(2*#REF!)+((MAX(S373, 1)-1)*#REF!)),0)</f>
        <v>0</v>
      </c>
      <c r="T375" s="836">
        <f>IFERROR(IF(T368=0,0,(2*#REF!)+((MAX(T373, 1)-1)*#REF!)),0)</f>
        <v>0</v>
      </c>
      <c r="U375" s="836">
        <f>IFERROR(IF(U368=0,0,(2*#REF!)+((MAX(U373, 1)-1)*#REF!)),0)</f>
        <v>0</v>
      </c>
      <c r="V375" s="836">
        <f>IFERROR(IF(V368=0,0,(2*#REF!)+((MAX(V373, 1)-1)*#REF!)),0)</f>
        <v>0</v>
      </c>
      <c r="W375" s="836">
        <f>IFERROR(IF(W368=0,0,(2*#REF!)+((MAX(W373, 1)-1)*#REF!)),0)</f>
        <v>0</v>
      </c>
      <c r="X375" s="36"/>
      <c r="Y375" s="36"/>
      <c r="Z375" s="36"/>
      <c r="AA375" s="36"/>
      <c r="AB375" s="36"/>
      <c r="AC375" s="36"/>
      <c r="AD375" s="36"/>
      <c r="AE375" s="36"/>
      <c r="AF375" s="36"/>
      <c r="AG375" s="36"/>
      <c r="AH375" s="36"/>
      <c r="AI375" s="36"/>
      <c r="AJ375" s="36"/>
      <c r="AK375" s="36"/>
      <c r="AL375" s="36"/>
      <c r="AM375" s="36"/>
    </row>
    <row r="376" spans="6:39" ht="15" customHeight="1" outlineLevel="1">
      <c r="G376" s="6" t="s">
        <v>203</v>
      </c>
      <c r="H376" s="838"/>
      <c r="I376" s="838">
        <f>IFERROR((ROUNDUP(I373,1)*((1/60)*(#REF!+#REF!*(#REF!+(#REF!*(Baseline_Results_NOINDIRECT!I$52/#REF!/#REF!))))))+((2*#REF!)/#REF!)+(((MAX(I373,1)-1)*#REF!)/#REF!),0)</f>
        <v>0</v>
      </c>
      <c r="J376" s="838">
        <f>IFERROR((ROUNDUP(J373,1)*((1/60)*(#REF!+#REF!*(#REF!+(#REF!*(Baseline_Results_NOINDIRECT!J$52/#REF!/#REF!))))))+((2*#REF!)/#REF!)+(((MAX(J373,1)-1)*#REF!)/#REF!),0)</f>
        <v>0</v>
      </c>
      <c r="K376" s="838">
        <f>IFERROR((ROUNDUP(K373,1)*((1/60)*(#REF!+#REF!*(#REF!+(#REF!*(Baseline_Results_NOINDIRECT!K$52/#REF!/#REF!))))))+((2*#REF!)/#REF!)+(((MAX(K373,1)-1)*#REF!)/#REF!),0)</f>
        <v>0</v>
      </c>
      <c r="L376" s="838">
        <f>IFERROR((ROUNDUP(L373,1)*((1/60)*(#REF!+#REF!*(#REF!+(#REF!*(Baseline_Results_NOINDIRECT!L$52/#REF!/#REF!))))))+((2*#REF!)/#REF!)+(((MAX(L373,1)-1)*#REF!)/#REF!),0)</f>
        <v>0</v>
      </c>
      <c r="M376" s="838">
        <f>IFERROR((ROUNDUP(M373,1)*((1/60)*(#REF!+#REF!*(#REF!+(#REF!*(Baseline_Results_NOINDIRECT!M$52/#REF!/#REF!))))))+((2*#REF!)/#REF!)+(((MAX(M373,1)-1)*#REF!)/#REF!),0)</f>
        <v>0</v>
      </c>
      <c r="N376" s="838">
        <f>IFERROR((ROUNDUP(N373,1)*((1/60)*(#REF!+#REF!*(#REF!+(#REF!*(Baseline_Results_NOINDIRECT!N$52/#REF!/#REF!))))))+((2*#REF!)/#REF!)+(((MAX(N373,1)-1)*#REF!)/#REF!),0)</f>
        <v>0</v>
      </c>
      <c r="O376" s="838">
        <f>IFERROR((ROUNDUP(O373,1)*((1/60)*(#REF!+#REF!*(#REF!+(#REF!*(Baseline_Results_NOINDIRECT!O$52/#REF!/#REF!))))))+((2*#REF!)/#REF!)+(((MAX(O373,1)-1)*#REF!)/#REF!),0)</f>
        <v>0</v>
      </c>
      <c r="P376" s="838">
        <f>IFERROR((ROUNDUP(P373,1)*((1/60)*(#REF!+#REF!*(#REF!+(#REF!*(Baseline_Results_NOINDIRECT!P$52/#REF!/#REF!))))))+((2*#REF!)/#REF!)+(((MAX(P373,1)-1)*#REF!)/#REF!),0)</f>
        <v>0</v>
      </c>
      <c r="Q376" s="838">
        <f>IFERROR((ROUNDUP(Q373,1)*((1/60)*(#REF!+#REF!*(#REF!+(#REF!*(Baseline_Results_NOINDIRECT!Q$52/#REF!/#REF!))))))+((2*#REF!)/#REF!)+(((MAX(Q373,1)-1)*#REF!)/#REF!),0)</f>
        <v>0</v>
      </c>
      <c r="R376" s="838">
        <f>IFERROR((ROUNDUP(R373,1)*((1/60)*(#REF!+#REF!*(#REF!+(#REF!*(Baseline_Results_NOINDIRECT!R$52/#REF!/#REF!))))))+((2*#REF!)/#REF!)+(((MAX(R373,1)-1)*#REF!)/#REF!),0)</f>
        <v>0</v>
      </c>
      <c r="S376" s="838">
        <f>IFERROR((ROUNDUP(S373,1)*((1/60)*(#REF!+#REF!*(#REF!+(#REF!*(Baseline_Results_NOINDIRECT!S$52/#REF!/#REF!))))))+((2*#REF!)/#REF!)+(((MAX(S373,1)-1)*#REF!)/#REF!),0)</f>
        <v>0</v>
      </c>
      <c r="T376" s="838">
        <f>IFERROR((ROUNDUP(T373,1)*((1/60)*(#REF!+#REF!*(#REF!+(#REF!*(Baseline_Results_NOINDIRECT!T$52/#REF!/#REF!))))))+((2*#REF!)/#REF!)+(((MAX(T373,1)-1)*#REF!)/#REF!),0)</f>
        <v>0</v>
      </c>
      <c r="U376" s="838">
        <f>IFERROR((ROUNDUP(U373,1)*((1/60)*(#REF!+#REF!*(#REF!+(#REF!*(Baseline_Results_NOINDIRECT!U$52/#REF!/#REF!))))))+((2*#REF!)/#REF!)+(((MAX(U373,1)-1)*#REF!)/#REF!),0)</f>
        <v>0</v>
      </c>
      <c r="V376" s="838">
        <f>IFERROR((ROUNDUP(V373,1)*((1/60)*(#REF!+#REF!*(#REF!+(#REF!*(Baseline_Results_NOINDIRECT!V$52/#REF!/#REF!))))))+((2*#REF!)/#REF!)+(((MAX(V373,1)-1)*#REF!)/#REF!),0)</f>
        <v>0</v>
      </c>
      <c r="W376" s="838">
        <f>IFERROR((ROUNDUP(W373,1)*((1/60)*(#REF!+#REF!*(#REF!+(#REF!*(Baseline_Results_NOINDIRECT!W$52/#REF!/#REF!))))))+((2*#REF!)/#REF!)+(((MAX(W373,1)-1)*#REF!)/#REF!),0)</f>
        <v>0</v>
      </c>
      <c r="X376" s="36"/>
      <c r="Y376" s="36"/>
      <c r="Z376" s="36"/>
      <c r="AA376" s="36"/>
      <c r="AB376" s="36"/>
      <c r="AC376" s="36"/>
      <c r="AD376" s="36"/>
      <c r="AE376" s="36"/>
      <c r="AF376" s="36"/>
      <c r="AG376" s="36"/>
      <c r="AH376" s="36"/>
      <c r="AI376" s="36"/>
      <c r="AJ376" s="36"/>
      <c r="AK376" s="36"/>
      <c r="AL376" s="36"/>
      <c r="AM376" s="36"/>
    </row>
    <row r="377" spans="6:39" ht="15" customHeight="1" outlineLevel="1">
      <c r="G377" s="6" t="s">
        <v>204</v>
      </c>
      <c r="H377" s="838"/>
      <c r="I377" s="838">
        <f>IFERROR((#REF!*#REF!*#REF!)/I376,0)</f>
        <v>0</v>
      </c>
      <c r="J377" s="838">
        <f>IFERROR((#REF!*#REF!*#REF!)/J376,0)</f>
        <v>0</v>
      </c>
      <c r="K377" s="838">
        <f>IFERROR((#REF!*#REF!*#REF!)/K376,0)</f>
        <v>0</v>
      </c>
      <c r="L377" s="838">
        <f>IFERROR((#REF!*#REF!*#REF!)/L376,0)</f>
        <v>0</v>
      </c>
      <c r="M377" s="838">
        <f>IFERROR((#REF!*#REF!*#REF!)/M376,0)</f>
        <v>0</v>
      </c>
      <c r="N377" s="838">
        <f>IFERROR((#REF!*#REF!*#REF!)/N376,0)</f>
        <v>0</v>
      </c>
      <c r="O377" s="838">
        <f>IFERROR((#REF!*#REF!*#REF!)/O376,0)</f>
        <v>0</v>
      </c>
      <c r="P377" s="838">
        <f>IFERROR((#REF!*#REF!*#REF!)/P376,0)</f>
        <v>0</v>
      </c>
      <c r="Q377" s="838">
        <f>IFERROR((#REF!*#REF!*#REF!)/Q376,0)</f>
        <v>0</v>
      </c>
      <c r="R377" s="838">
        <f>IFERROR((#REF!*#REF!*#REF!)/R376,0)</f>
        <v>0</v>
      </c>
      <c r="S377" s="838">
        <f>IFERROR((#REF!*#REF!*#REF!)/S376,0)</f>
        <v>0</v>
      </c>
      <c r="T377" s="838">
        <f>IFERROR((#REF!*#REF!*#REF!)/T376,0)</f>
        <v>0</v>
      </c>
      <c r="U377" s="838">
        <f>IFERROR((#REF!*#REF!*#REF!)/U376,0)</f>
        <v>0</v>
      </c>
      <c r="V377" s="838">
        <f>IFERROR((#REF!*#REF!*#REF!)/V376,0)</f>
        <v>0</v>
      </c>
      <c r="W377" s="838">
        <f>IFERROR((#REF!*#REF!*#REF!)/W376,0)</f>
        <v>0</v>
      </c>
      <c r="X377" s="36"/>
      <c r="Y377" s="36"/>
      <c r="Z377" s="36"/>
      <c r="AA377" s="36"/>
      <c r="AB377" s="36"/>
      <c r="AC377" s="36"/>
      <c r="AD377" s="36"/>
      <c r="AE377" s="36"/>
      <c r="AF377" s="36"/>
      <c r="AG377" s="36"/>
      <c r="AH377" s="36"/>
      <c r="AI377" s="36"/>
      <c r="AJ377" s="242"/>
      <c r="AK377" s="36"/>
      <c r="AL377" s="36"/>
      <c r="AM377" s="36"/>
    </row>
    <row r="378" spans="6:39" ht="15" customHeight="1" outlineLevel="1">
      <c r="G378" s="241" t="s">
        <v>134</v>
      </c>
      <c r="H378" s="842"/>
      <c r="I378" s="842"/>
      <c r="J378" s="842"/>
      <c r="K378" s="842"/>
      <c r="L378" s="842"/>
      <c r="M378" s="842"/>
      <c r="N378" s="842"/>
      <c r="O378" s="842"/>
      <c r="P378" s="842"/>
      <c r="Q378" s="842"/>
      <c r="R378" s="853"/>
      <c r="S378" s="853"/>
      <c r="T378" s="842"/>
      <c r="U378" s="853"/>
      <c r="V378" s="853"/>
      <c r="W378" s="842"/>
      <c r="X378" s="36"/>
      <c r="Y378" s="36"/>
      <c r="Z378" s="36"/>
      <c r="AA378" s="36"/>
      <c r="AB378" s="36"/>
      <c r="AC378" s="36"/>
      <c r="AD378" s="36"/>
      <c r="AE378" s="36"/>
      <c r="AF378" s="36"/>
      <c r="AG378" s="36"/>
      <c r="AH378" s="36"/>
      <c r="AI378" s="36"/>
      <c r="AJ378" s="242"/>
      <c r="AK378" s="36"/>
      <c r="AL378" s="36"/>
      <c r="AM378" s="36"/>
    </row>
    <row r="379" spans="6:39" ht="15" customHeight="1" outlineLevel="1">
      <c r="G379" s="6" t="s">
        <v>206</v>
      </c>
      <c r="H379" s="836"/>
      <c r="I379" s="836">
        <f>IFERROR(I368*#REF!,0)</f>
        <v>0</v>
      </c>
      <c r="J379" s="836">
        <f>IFERROR(J368*#REF!,0)</f>
        <v>0</v>
      </c>
      <c r="K379" s="836">
        <f>IFERROR(K368*#REF!,0)</f>
        <v>0</v>
      </c>
      <c r="L379" s="836">
        <f>IFERROR(L368*#REF!,0)</f>
        <v>0</v>
      </c>
      <c r="M379" s="836">
        <f>IFERROR(M368*#REF!,0)</f>
        <v>0</v>
      </c>
      <c r="N379" s="836">
        <f>IFERROR(N368*#REF!,0)</f>
        <v>0</v>
      </c>
      <c r="O379" s="836">
        <f>IFERROR(O368*#REF!,0)</f>
        <v>0</v>
      </c>
      <c r="P379" s="836">
        <f>IFERROR(P368*#REF!,0)</f>
        <v>0</v>
      </c>
      <c r="Q379" s="836">
        <f>IFERROR(Q368*#REF!,0)</f>
        <v>0</v>
      </c>
      <c r="R379" s="836">
        <f>IFERROR(R368*#REF!,0)</f>
        <v>0</v>
      </c>
      <c r="S379" s="836">
        <f>IFERROR(S368*#REF!,0)</f>
        <v>0</v>
      </c>
      <c r="T379" s="836">
        <f>IFERROR(T368*#REF!,0)</f>
        <v>0</v>
      </c>
      <c r="U379" s="836">
        <f>IFERROR(U368*#REF!,0)</f>
        <v>0</v>
      </c>
      <c r="V379" s="836">
        <f>IFERROR(V368*#REF!,0)</f>
        <v>0</v>
      </c>
      <c r="W379" s="836">
        <f>IFERROR(W368*#REF!,0)</f>
        <v>0</v>
      </c>
      <c r="X379" s="36"/>
      <c r="Y379" s="36"/>
      <c r="Z379" s="36"/>
      <c r="AA379" s="36" t="s">
        <v>192</v>
      </c>
      <c r="AB379" s="36"/>
      <c r="AC379" s="36" t="s">
        <v>193</v>
      </c>
      <c r="AD379" s="36"/>
      <c r="AE379" s="36"/>
      <c r="AF379" s="36"/>
      <c r="AG379" s="36"/>
      <c r="AH379" s="36"/>
      <c r="AI379" s="36"/>
      <c r="AJ379" s="36"/>
      <c r="AK379" s="36"/>
      <c r="AL379" s="36"/>
      <c r="AM379" s="36"/>
    </row>
    <row r="380" spans="6:39" ht="15" customHeight="1" outlineLevel="1">
      <c r="G380" s="6" t="s">
        <v>87</v>
      </c>
      <c r="H380" s="836"/>
      <c r="I380" s="836">
        <f>IFERROR(IF(I368=0,0,2*#REF!),0)</f>
        <v>0</v>
      </c>
      <c r="J380" s="836">
        <f>IFERROR(IF(J368=0,0,2*#REF!),0)</f>
        <v>0</v>
      </c>
      <c r="K380" s="836">
        <f>IFERROR(IF(K368=0,0,2*#REF!),0)</f>
        <v>0</v>
      </c>
      <c r="L380" s="836">
        <f>IFERROR(IF(L368=0,0,2*#REF!),0)</f>
        <v>0</v>
      </c>
      <c r="M380" s="836">
        <f>IFERROR(IF(M368=0,0,2*#REF!),0)</f>
        <v>0</v>
      </c>
      <c r="N380" s="836">
        <f>IFERROR(IF(N368=0,0,2*#REF!),0)</f>
        <v>0</v>
      </c>
      <c r="O380" s="836">
        <f>IFERROR(IF(O368=0,0,2*#REF!),0)</f>
        <v>0</v>
      </c>
      <c r="P380" s="836">
        <f>IFERROR(IF(P368=0,0,2*#REF!),0)</f>
        <v>0</v>
      </c>
      <c r="Q380" s="836">
        <f>IFERROR(IF(Q368=0,0,2*#REF!),0)</f>
        <v>0</v>
      </c>
      <c r="R380" s="836">
        <f>IFERROR(IF(R368=0,0,2*#REF!),0)</f>
        <v>0</v>
      </c>
      <c r="S380" s="836">
        <f>IFERROR(IF(S368=0,0,2*#REF!),0)</f>
        <v>0</v>
      </c>
      <c r="T380" s="836">
        <f>IFERROR(IF(T368=0,0,2*#REF!),0)</f>
        <v>0</v>
      </c>
      <c r="U380" s="836">
        <f>IFERROR(IF(U368=0,0,2*#REF!),0)</f>
        <v>0</v>
      </c>
      <c r="V380" s="836">
        <f>IFERROR(IF(V368=0,0,2*#REF!),0)</f>
        <v>0</v>
      </c>
      <c r="W380" s="836">
        <f>IFERROR(IF(W368=0,0,2*#REF!),0)</f>
        <v>0</v>
      </c>
      <c r="X380" s="36"/>
      <c r="Y380" s="36"/>
      <c r="Z380" s="36"/>
      <c r="AA380" s="36" t="s">
        <v>194</v>
      </c>
      <c r="AB380" s="36"/>
      <c r="AC380" s="36" t="s">
        <v>195</v>
      </c>
      <c r="AD380" s="36"/>
      <c r="AE380" s="36"/>
      <c r="AF380" s="36"/>
      <c r="AG380" s="36"/>
      <c r="AH380" s="36"/>
      <c r="AI380" s="36"/>
      <c r="AJ380" s="36"/>
      <c r="AK380" s="36"/>
      <c r="AL380" s="36"/>
      <c r="AM380" s="36"/>
    </row>
    <row r="381" spans="6:39" ht="15" customHeight="1" outlineLevel="1">
      <c r="G381" s="6" t="s">
        <v>204</v>
      </c>
      <c r="H381" s="837"/>
      <c r="I381" s="837">
        <f>IFERROR((#REF!*#REF!*#REF!)/((I380/#REF!)+((1/60)*(#REF!+#REF!*(#REF!+(#REF!*(Baseline_Results_NOINDIRECT!I$52/#REF!/#REF!)))))),0)</f>
        <v>0</v>
      </c>
      <c r="J381" s="837">
        <f>IFERROR((#REF!*#REF!*#REF!)/((J380/#REF!)+((1/60)*(#REF!+#REF!*(#REF!+(#REF!*(Baseline_Results_NOINDIRECT!J$52/#REF!/#REF!)))))),0)</f>
        <v>0</v>
      </c>
      <c r="K381" s="837">
        <f>IFERROR((#REF!*#REF!*#REF!)/((K380/#REF!)+((1/60)*(#REF!+#REF!*(#REF!+(#REF!*(Baseline_Results_NOINDIRECT!K$52/#REF!/#REF!)))))),0)</f>
        <v>0</v>
      </c>
      <c r="L381" s="837">
        <f>IFERROR((#REF!*#REF!*#REF!)/((L380/#REF!)+((1/60)*(#REF!+#REF!*(#REF!+(#REF!*(Baseline_Results_NOINDIRECT!L$52/#REF!/#REF!)))))),0)</f>
        <v>0</v>
      </c>
      <c r="M381" s="837">
        <f>IFERROR((#REF!*#REF!*#REF!)/((M380/#REF!)+((1/60)*(#REF!+#REF!*(#REF!+(#REF!*(Baseline_Results_NOINDIRECT!M$52/#REF!/#REF!)))))),0)</f>
        <v>0</v>
      </c>
      <c r="N381" s="837">
        <f>IFERROR((#REF!*#REF!*#REF!)/((N380/#REF!)+((1/60)*(#REF!+#REF!*(#REF!+(#REF!*(Baseline_Results_NOINDIRECT!N$52/#REF!/#REF!)))))),0)</f>
        <v>0</v>
      </c>
      <c r="O381" s="837">
        <f>IFERROR((#REF!*#REF!*#REF!)/((O380/#REF!)+((1/60)*(#REF!+#REF!*(#REF!+(#REF!*(Baseline_Results_NOINDIRECT!O$52/#REF!/#REF!)))))),0)</f>
        <v>0</v>
      </c>
      <c r="P381" s="837">
        <f>IFERROR((#REF!*#REF!*#REF!)/((P380/#REF!)+((1/60)*(#REF!+#REF!*(#REF!+(#REF!*(Baseline_Results_NOINDIRECT!P$52/#REF!/#REF!)))))),0)</f>
        <v>0</v>
      </c>
      <c r="Q381" s="837">
        <f>IFERROR((#REF!*#REF!*#REF!)/((Q380/#REF!)+((1/60)*(#REF!+#REF!*(#REF!+(#REF!*(Baseline_Results_NOINDIRECT!Q$52/#REF!/#REF!)))))),0)</f>
        <v>0</v>
      </c>
      <c r="R381" s="837">
        <f>IFERROR((#REF!*#REF!*#REF!)/((R380/#REF!)+((1/60)*(#REF!+#REF!*(#REF!+(#REF!*(Baseline_Results_NOINDIRECT!R$52/#REF!/#REF!)))))),0)</f>
        <v>0</v>
      </c>
      <c r="S381" s="837">
        <f>IFERROR((#REF!*#REF!*#REF!)/((S380/#REF!)+((1/60)*(#REF!+#REF!*(#REF!+(#REF!*(Baseline_Results_NOINDIRECT!S$52/#REF!/#REF!)))))),0)</f>
        <v>0</v>
      </c>
      <c r="T381" s="837">
        <f>IFERROR((#REF!*#REF!*#REF!)/((T380/#REF!)+((1/60)*(#REF!+#REF!*(#REF!+(#REF!*(Baseline_Results_NOINDIRECT!T$52/#REF!/#REF!)))))),0)</f>
        <v>0</v>
      </c>
      <c r="U381" s="837">
        <f>IFERROR((#REF!*#REF!*#REF!)/((U380/#REF!)+((1/60)*(#REF!+#REF!*(#REF!+(#REF!*(Baseline_Results_NOINDIRECT!U$52/#REF!/#REF!)))))),0)</f>
        <v>0</v>
      </c>
      <c r="V381" s="837">
        <f>IFERROR((#REF!*#REF!*#REF!)/((V380/#REF!)+((1/60)*(#REF!+#REF!*(#REF!+(#REF!*(Baseline_Results_NOINDIRECT!V$52/#REF!/#REF!)))))),0)</f>
        <v>0</v>
      </c>
      <c r="W381" s="837">
        <f>IFERROR((#REF!*#REF!*#REF!)/((W380/#REF!)+((1/60)*(#REF!+#REF!*(#REF!+(#REF!*(Baseline_Results_NOINDIRECT!W$52/#REF!/#REF!)))))),0)</f>
        <v>0</v>
      </c>
      <c r="X381" s="36"/>
      <c r="Y381" s="36"/>
      <c r="Z381" s="36"/>
      <c r="AA381" s="36" t="s">
        <v>196</v>
      </c>
      <c r="AB381" s="36"/>
      <c r="AC381" s="36" t="s">
        <v>197</v>
      </c>
      <c r="AD381" s="36"/>
      <c r="AE381" s="36"/>
      <c r="AF381" s="36"/>
      <c r="AG381" s="36"/>
      <c r="AH381" s="36"/>
      <c r="AI381" s="36"/>
      <c r="AJ381" s="36"/>
      <c r="AK381" s="36"/>
      <c r="AL381" s="36"/>
      <c r="AM381" s="36"/>
    </row>
    <row r="382" spans="6:39" ht="15" customHeight="1">
      <c r="F382" s="854" t="s">
        <v>157</v>
      </c>
      <c r="G382" s="855"/>
      <c r="H382" s="875"/>
      <c r="I382" s="875"/>
      <c r="J382" s="875"/>
      <c r="K382" s="875" t="s">
        <v>842</v>
      </c>
      <c r="L382" s="875"/>
      <c r="M382" s="875"/>
      <c r="N382" s="875" t="s">
        <v>843</v>
      </c>
      <c r="O382" s="875"/>
      <c r="P382" s="875"/>
      <c r="Q382" s="876" t="s">
        <v>844</v>
      </c>
      <c r="R382" s="833"/>
      <c r="S382" s="833"/>
      <c r="T382" s="876" t="s">
        <v>845</v>
      </c>
      <c r="U382" s="835"/>
      <c r="V382" s="835"/>
      <c r="W382" s="876" t="s">
        <v>846</v>
      </c>
      <c r="X382" s="36"/>
      <c r="Y382" s="36"/>
      <c r="Z382" s="36"/>
      <c r="AA382" s="36"/>
      <c r="AB382" s="36"/>
      <c r="AC382" s="36"/>
      <c r="AD382" s="36"/>
      <c r="AE382" s="36"/>
      <c r="AF382" s="36"/>
      <c r="AG382" s="36"/>
      <c r="AH382" s="36"/>
      <c r="AI382" s="36"/>
      <c r="AJ382" s="36"/>
      <c r="AK382" s="36"/>
      <c r="AL382" s="36"/>
      <c r="AM382" s="36"/>
    </row>
    <row r="383" spans="6:39" ht="15" customHeight="1" outlineLevel="1">
      <c r="F383" s="77" t="s">
        <v>149</v>
      </c>
      <c r="G383" s="77"/>
      <c r="H383" s="877"/>
      <c r="I383" s="877"/>
      <c r="J383" s="877"/>
      <c r="K383" s="877"/>
      <c r="L383" s="877"/>
      <c r="M383" s="877"/>
      <c r="N383" s="877"/>
      <c r="O383" s="878"/>
      <c r="P383" s="878"/>
      <c r="Q383" s="879"/>
      <c r="R383" s="835"/>
      <c r="S383" s="835"/>
      <c r="T383" s="879"/>
      <c r="U383" s="835"/>
      <c r="V383" s="835"/>
      <c r="W383" s="879"/>
      <c r="X383" s="36"/>
      <c r="Y383" s="36"/>
      <c r="Z383" s="36"/>
      <c r="AA383" s="36"/>
      <c r="AB383" s="36"/>
      <c r="AC383" s="36"/>
      <c r="AD383" s="36"/>
      <c r="AE383" s="36"/>
      <c r="AF383" s="36"/>
      <c r="AG383" s="36"/>
      <c r="AH383" s="36"/>
      <c r="AI383" s="36"/>
      <c r="AJ383" s="242"/>
      <c r="AK383" s="36"/>
      <c r="AL383" s="36"/>
      <c r="AM383" s="36"/>
    </row>
    <row r="384" spans="6:39" ht="15" customHeight="1" outlineLevel="1">
      <c r="G384" s="6" t="s">
        <v>146</v>
      </c>
      <c r="H384" s="837"/>
      <c r="I384" s="837">
        <f>IFERROR(IF(COUNTIF(#REF!,"Public Transport*")=1,IF(#REF!="Route-based",I391*#REF!,IF(#REF!="Point-to-point",I394*#REF!,0)),0),0)</f>
        <v>0</v>
      </c>
      <c r="J384" s="837">
        <f>IFERROR(IF(COUNTIF(#REF!,"Public Transport*")=1,IF(#REF!="Route-based",J391*#REF!,IF(#REF!="Point-to-point",J394*#REF!,0)),0),0)</f>
        <v>0</v>
      </c>
      <c r="K384" s="837">
        <f>IFERROR(IF(COUNTIF(#REF!,"Public Transport*")=1,IF(#REF!="Route-based",K391*#REF!,IF(#REF!="Point-to-point",K394*#REF!,0)),0),0)</f>
        <v>0</v>
      </c>
      <c r="L384" s="837">
        <f>IFERROR(IF(COUNTIF(#REF!,"Public Transport*")=1,IF(#REF!="Route-based",L391*#REF!,IF(#REF!="Point-to-point",L394*#REF!,0)),0),0)</f>
        <v>0</v>
      </c>
      <c r="M384" s="837">
        <f>IFERROR(IF(COUNTIF(#REF!,"Public Transport*")=1,IF(#REF!="Route-based",M391*#REF!,IF(#REF!="Point-to-point",M394*#REF!,0)),0),0)</f>
        <v>0</v>
      </c>
      <c r="N384" s="837">
        <f>IFERROR(IF(COUNTIF(#REF!,"Public Transport*")=1,IF(#REF!="Route-based",N391*#REF!,IF(#REF!="Point-to-point",N394*#REF!,0)),0),0)</f>
        <v>0</v>
      </c>
      <c r="O384" s="837">
        <f>IFERROR(IF(COUNTIF(#REF!,"Public Transport*")=1,IF(#REF!="Route-based",O391*#REF!,IF(#REF!="Point-to-point",O394*#REF!,0)),0),0)</f>
        <v>0</v>
      </c>
      <c r="P384" s="837">
        <f>IFERROR(IF(COUNTIF(#REF!,"Public Transport*")=1,IF(#REF!="Route-based",P391*#REF!,IF(#REF!="Point-to-point",P394*#REF!,0)),0),0)</f>
        <v>0</v>
      </c>
      <c r="Q384" s="837">
        <f>IFERROR(IF(COUNTIF(#REF!,"Public Transport*")=1,IF(#REF!="Route-based",Q391*#REF!,IF(#REF!="Point-to-point",Q394*#REF!,0)),0),0)</f>
        <v>0</v>
      </c>
      <c r="R384" s="853"/>
      <c r="S384" s="853"/>
      <c r="T384" s="837">
        <f>IFERROR(IF(COUNTIF(#REF!,"Public Transport*")=1,IF(#REF!="Route-based",T391*#REF!,IF(#REF!="Point-to-point",T394*#REF!,0)),0),0)</f>
        <v>0</v>
      </c>
      <c r="U384" s="853"/>
      <c r="V384" s="853"/>
      <c r="W384" s="837">
        <f>IFERROR(IF(COUNTIF(#REF!,"Public Transport*")=1,IF(#REF!="Route-based",W391*#REF!,IF(#REF!="Point-to-point",W394*#REF!,0)),0),0)</f>
        <v>0</v>
      </c>
      <c r="X384" s="36"/>
      <c r="Y384" s="36"/>
      <c r="Z384" s="36"/>
      <c r="AA384" s="36"/>
      <c r="AB384" s="36"/>
      <c r="AC384" s="36"/>
      <c r="AD384" s="36"/>
      <c r="AE384" s="36"/>
      <c r="AF384" s="36"/>
      <c r="AG384" s="36"/>
      <c r="AH384" s="36"/>
      <c r="AI384" s="36"/>
      <c r="AJ384" s="242"/>
      <c r="AK384" s="36"/>
      <c r="AL384" s="36"/>
      <c r="AM384" s="36"/>
    </row>
    <row r="385" spans="6:39" ht="15" customHeight="1" outlineLevel="1">
      <c r="G385" s="6" t="s">
        <v>147</v>
      </c>
      <c r="H385" s="837"/>
      <c r="I385" s="837">
        <f>IFERROR(IF(#REF!="Route-based",I392*#REF!,IF(#REF!="Point-to-point",I395*#REF!,0)),0)</f>
        <v>0</v>
      </c>
      <c r="J385" s="837">
        <f>IFERROR(IF(#REF!="Route-based",J392*#REF!,IF(#REF!="Point-to-point",J395*#REF!,0)),0)</f>
        <v>0</v>
      </c>
      <c r="K385" s="837">
        <f>IFERROR(IF(#REF!="Route-based",K392*#REF!,IF(#REF!="Point-to-point",K395*#REF!,0)),0)</f>
        <v>0</v>
      </c>
      <c r="L385" s="837">
        <f>IFERROR(IF(#REF!="Route-based",L392*#REF!,IF(#REF!="Point-to-point",L395*#REF!,0)),0)</f>
        <v>0</v>
      </c>
      <c r="M385" s="837">
        <f>IFERROR(IF(#REF!="Route-based",M392*#REF!,IF(#REF!="Point-to-point",M395*#REF!,0)),0)</f>
        <v>0</v>
      </c>
      <c r="N385" s="837">
        <f>IFERROR(IF(#REF!="Route-based",N392*#REF!,IF(#REF!="Point-to-point",N395*#REF!,0)),0)</f>
        <v>0</v>
      </c>
      <c r="O385" s="837">
        <f>IFERROR(IF(#REF!="Route-based",O392*#REF!,IF(#REF!="Point-to-point",O395*#REF!,0)),0)</f>
        <v>0</v>
      </c>
      <c r="P385" s="837">
        <f>IFERROR(IF(#REF!="Route-based",P392*#REF!,IF(#REF!="Point-to-point",P395*#REF!,0)),0)</f>
        <v>0</v>
      </c>
      <c r="Q385" s="837">
        <f>IFERROR(IF(#REF!="Route-based",Q392*#REF!,IF(#REF!="Point-to-point",Q395*#REF!,0)),0)</f>
        <v>0</v>
      </c>
      <c r="R385" s="853"/>
      <c r="S385" s="853"/>
      <c r="T385" s="837">
        <f>IFERROR(IF(#REF!="Route-based",T392*#REF!,IF(#REF!="Point-to-point",T395*#REF!,0)),0)</f>
        <v>0</v>
      </c>
      <c r="U385" s="853"/>
      <c r="V385" s="853"/>
      <c r="W385" s="837">
        <f>IFERROR(IF(#REF!="Route-based",W392*#REF!,IF(#REF!="Point-to-point",W395*#REF!,0)),0)</f>
        <v>0</v>
      </c>
      <c r="X385" s="36"/>
      <c r="Y385" s="36"/>
      <c r="Z385" s="36"/>
      <c r="AA385" s="36"/>
      <c r="AB385" s="36"/>
      <c r="AC385" s="36"/>
      <c r="AD385" s="36"/>
      <c r="AE385" s="36"/>
      <c r="AF385" s="36"/>
      <c r="AG385" s="36"/>
      <c r="AH385" s="36"/>
      <c r="AI385" s="36"/>
      <c r="AJ385" s="242"/>
      <c r="AK385" s="36"/>
      <c r="AL385" s="36"/>
      <c r="AM385" s="36"/>
    </row>
    <row r="386" spans="6:39" ht="15" customHeight="1" outlineLevel="1">
      <c r="G386" s="6" t="s">
        <v>142</v>
      </c>
      <c r="H386" s="841"/>
      <c r="I386" s="841">
        <f>IFERROR(IF(COUNTIF(#REF!,"Public Transport*")&gt;0,ROUND(#REF!*#REF!,0),0),0)</f>
        <v>0</v>
      </c>
      <c r="J386" s="841">
        <f>IFERROR(IF(COUNTIF(#REF!,"Public Transport*")&gt;0,ROUND(#REF!*#REF!,0),0),0)</f>
        <v>0</v>
      </c>
      <c r="K386" s="841">
        <f>IFERROR(IF(COUNTIF(#REF!,"Public Transport*")&gt;0,ROUND(#REF!*#REF!,0),0),0)</f>
        <v>0</v>
      </c>
      <c r="L386" s="841">
        <f>IFERROR(IF(COUNTIF(#REF!,"Public Transport*")&gt;0,ROUND(#REF!*#REF!,0),0),0)</f>
        <v>0</v>
      </c>
      <c r="M386" s="841">
        <f>IFERROR(IF(COUNTIF(#REF!,"Public Transport*")&gt;0,ROUND(#REF!*#REF!,0),0),0)</f>
        <v>0</v>
      </c>
      <c r="N386" s="841">
        <f>IFERROR(IF(COUNTIF(#REF!,"Public Transport*")&gt;0,ROUND(#REF!*#REF!,0),0),0)</f>
        <v>0</v>
      </c>
      <c r="O386" s="841">
        <f>IFERROR(IF(COUNTIF(#REF!,"Public Transport*")&gt;0,ROUND(#REF!*#REF!,0),0),0)</f>
        <v>0</v>
      </c>
      <c r="P386" s="841">
        <f>IFERROR(IF(COUNTIF(#REF!,"Public Transport*")&gt;0,ROUND(#REF!*#REF!,0),0),0)</f>
        <v>0</v>
      </c>
      <c r="Q386" s="841">
        <f>IFERROR(IF(COUNTIF(#REF!,"Public Transport*")&gt;0,ROUND(#REF!*#REF!,0),0),0)</f>
        <v>0</v>
      </c>
      <c r="R386" s="853"/>
      <c r="S386" s="853"/>
      <c r="T386" s="841">
        <f>IFERROR(IF(COUNTIF(#REF!,"Public Transport*")&gt;0,ROUND(#REF!*#REF!,0),0),0)</f>
        <v>0</v>
      </c>
      <c r="U386" s="853"/>
      <c r="V386" s="853"/>
      <c r="W386" s="841">
        <f>IFERROR(IF(COUNTIF(#REF!,"Public Transport*")&gt;0,ROUND(#REF!*#REF!,0),0),0)</f>
        <v>0</v>
      </c>
      <c r="X386" s="36"/>
      <c r="Y386" s="36"/>
      <c r="Z386" s="36"/>
      <c r="AA386" s="36"/>
      <c r="AB386" s="36"/>
      <c r="AC386" s="36"/>
      <c r="AD386" s="36"/>
      <c r="AE386" s="36"/>
      <c r="AF386" s="36"/>
      <c r="AG386" s="36"/>
      <c r="AH386" s="36"/>
      <c r="AI386" s="36"/>
      <c r="AJ386" s="36"/>
      <c r="AK386" s="36"/>
      <c r="AL386" s="36"/>
      <c r="AM386" s="36"/>
    </row>
    <row r="387" spans="6:39" ht="15" customHeight="1" outlineLevel="1">
      <c r="G387" s="241" t="s">
        <v>150</v>
      </c>
      <c r="H387" s="842"/>
      <c r="I387" s="842"/>
      <c r="J387" s="842"/>
      <c r="K387" s="842"/>
      <c r="L387" s="842"/>
      <c r="M387" s="842"/>
      <c r="N387" s="842"/>
      <c r="O387" s="842"/>
      <c r="P387" s="842"/>
      <c r="Q387" s="842"/>
      <c r="R387" s="853"/>
      <c r="S387" s="853"/>
      <c r="T387" s="842"/>
      <c r="U387" s="853"/>
      <c r="V387" s="853"/>
      <c r="W387" s="842"/>
      <c r="X387" s="36"/>
      <c r="Y387" s="36"/>
      <c r="Z387" s="36"/>
      <c r="AA387" s="36"/>
      <c r="AB387" s="36"/>
      <c r="AC387" s="36"/>
      <c r="AD387" s="36"/>
      <c r="AE387" s="36"/>
      <c r="AF387" s="36"/>
      <c r="AG387" s="36"/>
      <c r="AH387" s="36"/>
      <c r="AI387" s="36"/>
      <c r="AJ387" s="36"/>
      <c r="AK387" s="36"/>
      <c r="AL387" s="36"/>
      <c r="AM387" s="36"/>
    </row>
    <row r="388" spans="6:39" ht="15" customHeight="1" outlineLevel="1">
      <c r="G388" s="6" t="s">
        <v>140</v>
      </c>
      <c r="H388" s="836"/>
      <c r="I388" s="836">
        <f>IFERROR(ROUND(#REF!/(((1/60)*(#REF!+#REF!*(#REF!+(#REF!*(Baseline_Results_NOINDIRECT!I$52/#REF!/#REF!)))))+INDEX(#REF!,MATCH(#REF!&amp;"Average duration (hrs) per trip",#REF!,0))),1),0)</f>
        <v>0</v>
      </c>
      <c r="J388" s="836">
        <f>IFERROR(ROUND(#REF!/(((1/60)*(#REF!+#REF!*(#REF!+(#REF!*(Baseline_Results_NOINDIRECT!J$52/#REF!/#REF!)))))+INDEX(#REF!,MATCH(#REF!&amp;"Average duration (hrs) per trip",#REF!,0))),1),0)</f>
        <v>0</v>
      </c>
      <c r="K388" s="836">
        <f>IFERROR(ROUND(#REF!/(((1/60)*(#REF!+#REF!*(#REF!+(#REF!*(Baseline_Results_NOINDIRECT!K$52/#REF!/#REF!)))))+INDEX(#REF!,MATCH(#REF!&amp;"Average duration (hrs) per trip",#REF!,0))),1),0)</f>
        <v>0</v>
      </c>
      <c r="L388" s="836">
        <f>IFERROR(ROUND(#REF!/(((1/60)*(#REF!+#REF!*(#REF!+(#REF!*(Baseline_Results_NOINDIRECT!L$52/#REF!/#REF!)))))+INDEX(#REF!,MATCH(#REF!&amp;"Average duration (hrs) per trip",#REF!,0))),1),0)</f>
        <v>0</v>
      </c>
      <c r="M388" s="836">
        <f>IFERROR(ROUND(#REF!/(((1/60)*(#REF!+#REF!*(#REF!+(#REF!*(Baseline_Results_NOINDIRECT!M$52/#REF!/#REF!)))))+INDEX(#REF!,MATCH(#REF!&amp;"Average duration (hrs) per trip",#REF!,0))),1),0)</f>
        <v>0</v>
      </c>
      <c r="N388" s="836">
        <f>IFERROR(ROUND(#REF!/(((1/60)*(#REF!+#REF!*(#REF!+(#REF!*(Baseline_Results_NOINDIRECT!N$52/#REF!/#REF!)))))+INDEX(#REF!,MATCH(#REF!&amp;"Average duration (hrs) per trip",#REF!,0))),1),0)</f>
        <v>0</v>
      </c>
      <c r="O388" s="836">
        <f>IFERROR(ROUND(#REF!/(((1/60)*(#REF!+#REF!*(#REF!+(#REF!*(Baseline_Results_NOINDIRECT!O$52/#REF!/#REF!)))))+INDEX(#REF!,MATCH(#REF!&amp;"Average duration (hrs) per trip",#REF!,0))),1),0)</f>
        <v>0</v>
      </c>
      <c r="P388" s="836">
        <f>IFERROR(ROUND(#REF!/(((1/60)*(#REF!+#REF!*(#REF!+(#REF!*(Baseline_Results_NOINDIRECT!P$52/#REF!/#REF!)))))+INDEX(#REF!,MATCH(#REF!&amp;"Average duration (hrs) per trip",#REF!,0))),1),0)</f>
        <v>0</v>
      </c>
      <c r="Q388" s="836">
        <f>IFERROR(ROUND(#REF!/(((1/60)*(#REF!+#REF!*(#REF!+(#REF!*(Baseline_Results_NOINDIRECT!Q$52/#REF!/#REF!)))))+INDEX(#REF!,MATCH(#REF!&amp;"Average duration (hrs) per trip",#REF!,0))),1),0)</f>
        <v>0</v>
      </c>
      <c r="R388" s="836">
        <f>IFERROR(ROUND(#REF!/(((1/60)*(#REF!+#REF!*(#REF!+(#REF!*(Baseline_Results_NOINDIRECT!R$52/#REF!/#REF!)))))+INDEX(#REF!,MATCH(#REF!&amp;"Average duration (hrs) per trip",#REF!,0))),1),0)</f>
        <v>0</v>
      </c>
      <c r="S388" s="836">
        <f>IFERROR(ROUND(#REF!/(((1/60)*(#REF!+#REF!*(#REF!+(#REF!*(Baseline_Results_NOINDIRECT!S$52/#REF!/#REF!)))))+INDEX(#REF!,MATCH(#REF!&amp;"Average duration (hrs) per trip",#REF!,0))),1),0)</f>
        <v>0</v>
      </c>
      <c r="T388" s="836">
        <f>IFERROR(ROUND(#REF!/(((1/60)*(#REF!+#REF!*(#REF!+(#REF!*(Baseline_Results_NOINDIRECT!T$52/#REF!/#REF!)))))+INDEX(#REF!,MATCH(#REF!&amp;"Average duration (hrs) per trip",#REF!,0))),1),0)</f>
        <v>0</v>
      </c>
      <c r="U388" s="836">
        <f>IFERROR(ROUND(#REF!/(((1/60)*(#REF!+#REF!*(#REF!+(#REF!*(Baseline_Results_NOINDIRECT!U$52/#REF!/#REF!)))))+INDEX(#REF!,MATCH(#REF!&amp;"Average duration (hrs) per trip",#REF!,0))),1),0)</f>
        <v>0</v>
      </c>
      <c r="V388" s="836">
        <f>IFERROR(ROUND(#REF!/(((1/60)*(#REF!+#REF!*(#REF!+(#REF!*(Baseline_Results_NOINDIRECT!V$52/#REF!/#REF!)))))+INDEX(#REF!,MATCH(#REF!&amp;"Average duration (hrs) per trip",#REF!,0))),1),0)</f>
        <v>0</v>
      </c>
      <c r="W388" s="836">
        <f>IFERROR(ROUND(#REF!/(((1/60)*(#REF!+#REF!*(#REF!+(#REF!*(Baseline_Results_NOINDIRECT!W$52/#REF!/#REF!)))))+INDEX(#REF!,MATCH(#REF!&amp;"Average duration (hrs) per trip",#REF!,0))),1),0)</f>
        <v>0</v>
      </c>
      <c r="X388" s="36"/>
      <c r="Y388" s="36"/>
      <c r="Z388" s="36"/>
      <c r="AA388" s="36"/>
      <c r="AB388" s="36"/>
      <c r="AC388" s="36"/>
      <c r="AD388" s="36"/>
      <c r="AE388" s="36"/>
      <c r="AF388" s="36"/>
      <c r="AG388" s="36"/>
      <c r="AH388" s="36"/>
      <c r="AI388" s="36"/>
      <c r="AJ388" s="36"/>
      <c r="AK388" s="36"/>
      <c r="AL388" s="36"/>
      <c r="AM388" s="36"/>
    </row>
    <row r="389" spans="6:39" ht="15" customHeight="1" outlineLevel="1">
      <c r="G389" s="6" t="s">
        <v>141</v>
      </c>
      <c r="H389" s="836"/>
      <c r="I389" s="836">
        <f>IFERROR(ROUND(I388*#REF!,0),0)</f>
        <v>0</v>
      </c>
      <c r="J389" s="836">
        <f>IFERROR(ROUND(J388*#REF!,0),0)</f>
        <v>0</v>
      </c>
      <c r="K389" s="836">
        <f>IFERROR(ROUND(K388*#REF!,0),0)</f>
        <v>0</v>
      </c>
      <c r="L389" s="836">
        <f>IFERROR(ROUND(L388*#REF!,0),0)</f>
        <v>0</v>
      </c>
      <c r="M389" s="836">
        <f>IFERROR(ROUND(M388*#REF!,0),0)</f>
        <v>0</v>
      </c>
      <c r="N389" s="836">
        <f>IFERROR(ROUND(N388*#REF!,0),0)</f>
        <v>0</v>
      </c>
      <c r="O389" s="836">
        <f>IFERROR(ROUND(O388*#REF!,0),0)</f>
        <v>0</v>
      </c>
      <c r="P389" s="836">
        <f>IFERROR(ROUND(P388*#REF!,0),0)</f>
        <v>0</v>
      </c>
      <c r="Q389" s="836">
        <f>IFERROR(ROUND(Q388*#REF!,0),0)</f>
        <v>0</v>
      </c>
      <c r="R389" s="836">
        <f>IFERROR(ROUND(R388*#REF!,0),0)</f>
        <v>0</v>
      </c>
      <c r="S389" s="836">
        <f>IFERROR(ROUND(S388*#REF!,0),0)</f>
        <v>0</v>
      </c>
      <c r="T389" s="836">
        <f>IFERROR(ROUND(T388*#REF!,0),0)</f>
        <v>0</v>
      </c>
      <c r="U389" s="836">
        <f>IFERROR(ROUND(U388*#REF!,0),0)</f>
        <v>0</v>
      </c>
      <c r="V389" s="836">
        <f>IFERROR(ROUND(V388*#REF!,0),0)</f>
        <v>0</v>
      </c>
      <c r="W389" s="836">
        <f>IFERROR(ROUND(W388*#REF!,0),0)</f>
        <v>0</v>
      </c>
      <c r="X389" s="36"/>
      <c r="Y389" s="36"/>
      <c r="Z389" s="36"/>
      <c r="AA389" s="36"/>
      <c r="AB389" s="36"/>
      <c r="AC389" s="36"/>
      <c r="AD389" s="36"/>
      <c r="AE389" s="36"/>
      <c r="AF389" s="36"/>
      <c r="AG389" s="36"/>
      <c r="AH389" s="36"/>
      <c r="AI389" s="36"/>
      <c r="AJ389" s="36"/>
      <c r="AK389" s="36"/>
      <c r="AL389" s="36"/>
      <c r="AM389" s="36"/>
    </row>
    <row r="390" spans="6:39" ht="15" customHeight="1" outlineLevel="1">
      <c r="G390" s="6" t="s">
        <v>143</v>
      </c>
      <c r="H390" s="836"/>
      <c r="I390" s="836">
        <f t="shared" ref="I390:W390" si="50">IFERROR(ROUNDUP(I386/I389,0),0)</f>
        <v>0</v>
      </c>
      <c r="J390" s="836">
        <f t="shared" si="50"/>
        <v>0</v>
      </c>
      <c r="K390" s="836">
        <f t="shared" si="50"/>
        <v>0</v>
      </c>
      <c r="L390" s="836">
        <f t="shared" si="50"/>
        <v>0</v>
      </c>
      <c r="M390" s="836">
        <f t="shared" si="50"/>
        <v>0</v>
      </c>
      <c r="N390" s="836">
        <f t="shared" si="50"/>
        <v>0</v>
      </c>
      <c r="O390" s="836">
        <f t="shared" si="50"/>
        <v>0</v>
      </c>
      <c r="P390" s="836">
        <f t="shared" si="50"/>
        <v>0</v>
      </c>
      <c r="Q390" s="836">
        <f t="shared" si="50"/>
        <v>0</v>
      </c>
      <c r="R390" s="836">
        <f t="shared" si="50"/>
        <v>0</v>
      </c>
      <c r="S390" s="836">
        <f t="shared" si="50"/>
        <v>0</v>
      </c>
      <c r="T390" s="836">
        <f t="shared" si="50"/>
        <v>0</v>
      </c>
      <c r="U390" s="836">
        <f t="shared" si="50"/>
        <v>0</v>
      </c>
      <c r="V390" s="836">
        <f t="shared" si="50"/>
        <v>0</v>
      </c>
      <c r="W390" s="836">
        <f t="shared" si="50"/>
        <v>0</v>
      </c>
      <c r="X390" s="36"/>
      <c r="Y390" s="36"/>
      <c r="Z390" s="36"/>
      <c r="AA390" s="36"/>
      <c r="AB390" s="36"/>
      <c r="AC390" s="36"/>
      <c r="AD390" s="36"/>
      <c r="AE390" s="36"/>
      <c r="AF390" s="36"/>
      <c r="AG390" s="36"/>
      <c r="AH390" s="36"/>
      <c r="AI390" s="36"/>
      <c r="AJ390" s="36"/>
      <c r="AK390" s="36"/>
      <c r="AL390" s="36"/>
      <c r="AM390" s="36"/>
    </row>
    <row r="391" spans="6:39" ht="15" customHeight="1" outlineLevel="1">
      <c r="G391" s="6" t="s">
        <v>144</v>
      </c>
      <c r="H391" s="836"/>
      <c r="I391" s="836">
        <f t="shared" ref="I391:W391" si="51">IFERROR((I390*(I389+1)),0)</f>
        <v>0</v>
      </c>
      <c r="J391" s="836">
        <f t="shared" si="51"/>
        <v>0</v>
      </c>
      <c r="K391" s="836">
        <f t="shared" si="51"/>
        <v>0</v>
      </c>
      <c r="L391" s="836">
        <f t="shared" si="51"/>
        <v>0</v>
      </c>
      <c r="M391" s="836">
        <f t="shared" si="51"/>
        <v>0</v>
      </c>
      <c r="N391" s="836">
        <f t="shared" si="51"/>
        <v>0</v>
      </c>
      <c r="O391" s="836">
        <f t="shared" si="51"/>
        <v>0</v>
      </c>
      <c r="P391" s="836">
        <f t="shared" si="51"/>
        <v>0</v>
      </c>
      <c r="Q391" s="836">
        <f t="shared" si="51"/>
        <v>0</v>
      </c>
      <c r="R391" s="836">
        <f t="shared" si="51"/>
        <v>0</v>
      </c>
      <c r="S391" s="836">
        <f t="shared" si="51"/>
        <v>0</v>
      </c>
      <c r="T391" s="836">
        <f t="shared" si="51"/>
        <v>0</v>
      </c>
      <c r="U391" s="836">
        <f t="shared" si="51"/>
        <v>0</v>
      </c>
      <c r="V391" s="836">
        <f t="shared" si="51"/>
        <v>0</v>
      </c>
      <c r="W391" s="836">
        <f t="shared" si="51"/>
        <v>0</v>
      </c>
      <c r="X391" s="36"/>
      <c r="Y391" s="36"/>
      <c r="Z391" s="36"/>
      <c r="AA391" s="36"/>
      <c r="AB391" s="36"/>
      <c r="AC391" s="36"/>
      <c r="AD391" s="36"/>
      <c r="AE391" s="36"/>
      <c r="AF391" s="36"/>
      <c r="AG391" s="36"/>
      <c r="AH391" s="36"/>
      <c r="AI391" s="36"/>
      <c r="AJ391" s="242"/>
      <c r="AK391" s="36"/>
      <c r="AL391" s="36"/>
      <c r="AM391" s="36"/>
    </row>
    <row r="392" spans="6:39" ht="15" customHeight="1" outlineLevel="1">
      <c r="G392" s="6" t="s">
        <v>145</v>
      </c>
      <c r="H392" s="836"/>
      <c r="I392" s="836">
        <f>IFERROR(ROUNDUP(((I391*INDEX(#REF!,MATCH(#REF!&amp;"Average duration (hrs) per trip",#REF!,0)))+(I386*((1/60)*(#REF!+#REF!*(#REF!+(#REF!*(Baseline_Results_NOINDIRECT!I$52/#REF!/#REF!)))))))/#REF!,0),0)</f>
        <v>0</v>
      </c>
      <c r="J392" s="836">
        <f>IFERROR(ROUNDUP(((J391*INDEX(#REF!,MATCH(#REF!&amp;"Average duration (hrs) per trip",#REF!,0)))+(J386*((1/60)*(#REF!+#REF!*(#REF!+(#REF!*(Baseline_Results_NOINDIRECT!J$52/#REF!/#REF!)))))))/#REF!,0),0)</f>
        <v>0</v>
      </c>
      <c r="K392" s="836">
        <f>IFERROR(ROUNDUP(((K391*INDEX(#REF!,MATCH(#REF!&amp;"Average duration (hrs) per trip",#REF!,0)))+(K386*((1/60)*(#REF!+#REF!*(#REF!+(#REF!*(Baseline_Results_NOINDIRECT!K$52/#REF!/#REF!)))))))/#REF!,0),0)</f>
        <v>0</v>
      </c>
      <c r="L392" s="836">
        <f>IFERROR(ROUNDUP(((L391*INDEX(#REF!,MATCH(#REF!&amp;"Average duration (hrs) per trip",#REF!,0)))+(L386*((1/60)*(#REF!+#REF!*(#REF!+(#REF!*(Baseline_Results_NOINDIRECT!L$52/#REF!/#REF!)))))))/#REF!,0),0)</f>
        <v>0</v>
      </c>
      <c r="M392" s="836">
        <f>IFERROR(ROUNDUP(((M391*INDEX(#REF!,MATCH(#REF!&amp;"Average duration (hrs) per trip",#REF!,0)))+(M386*((1/60)*(#REF!+#REF!*(#REF!+(#REF!*(Baseline_Results_NOINDIRECT!M$52/#REF!/#REF!)))))))/#REF!,0),0)</f>
        <v>0</v>
      </c>
      <c r="N392" s="836">
        <f>IFERROR(ROUNDUP(((N391*INDEX(#REF!,MATCH(#REF!&amp;"Average duration (hrs) per trip",#REF!,0)))+(N386*((1/60)*(#REF!+#REF!*(#REF!+(#REF!*(Baseline_Results_NOINDIRECT!N$52/#REF!/#REF!)))))))/#REF!,0),0)</f>
        <v>0</v>
      </c>
      <c r="O392" s="836">
        <f>IFERROR(ROUNDUP(((O391*INDEX(#REF!,MATCH(#REF!&amp;"Average duration (hrs) per trip",#REF!,0)))+(O386*((1/60)*(#REF!+#REF!*(#REF!+(#REF!*(Baseline_Results_NOINDIRECT!O$52/#REF!/#REF!)))))))/#REF!,0),0)</f>
        <v>0</v>
      </c>
      <c r="P392" s="836">
        <f>IFERROR(ROUNDUP(((P391*INDEX(#REF!,MATCH(#REF!&amp;"Average duration (hrs) per trip",#REF!,0)))+(P386*((1/60)*(#REF!+#REF!*(#REF!+(#REF!*(Baseline_Results_NOINDIRECT!P$52/#REF!/#REF!)))))))/#REF!,0),0)</f>
        <v>0</v>
      </c>
      <c r="Q392" s="836">
        <f>IFERROR(ROUNDUP(((Q391*INDEX(#REF!,MATCH(#REF!&amp;"Average duration (hrs) per trip",#REF!,0)))+(Q386*((1/60)*(#REF!+#REF!*(#REF!+(#REF!*(Baseline_Results_NOINDIRECT!Q$52/#REF!/#REF!)))))))/#REF!,0),0)</f>
        <v>0</v>
      </c>
      <c r="R392" s="836">
        <f>IFERROR(ROUNDUP(((R391*INDEX(#REF!,MATCH(#REF!&amp;"Average duration (hrs) per trip",#REF!,0)))+(R386*((1/60)*(#REF!+#REF!*(#REF!+(#REF!*(Baseline_Results_NOINDIRECT!R$52/#REF!/#REF!)))))))/#REF!,0),0)</f>
        <v>0</v>
      </c>
      <c r="S392" s="836">
        <f>IFERROR(ROUNDUP(((S391*INDEX(#REF!,MATCH(#REF!&amp;"Average duration (hrs) per trip",#REF!,0)))+(S386*((1/60)*(#REF!+#REF!*(#REF!+(#REF!*(Baseline_Results_NOINDIRECT!S$52/#REF!/#REF!)))))))/#REF!,0),0)</f>
        <v>0</v>
      </c>
      <c r="T392" s="836">
        <f>IFERROR(ROUNDUP(((T391*INDEX(#REF!,MATCH(#REF!&amp;"Average duration (hrs) per trip",#REF!,0)))+(T386*((1/60)*(#REF!+#REF!*(#REF!+(#REF!*(Baseline_Results_NOINDIRECT!T$52/#REF!/#REF!)))))))/#REF!,0),0)</f>
        <v>0</v>
      </c>
      <c r="U392" s="836">
        <f>IFERROR(ROUNDUP(((U391*INDEX(#REF!,MATCH(#REF!&amp;"Average duration (hrs) per trip",#REF!,0)))+(U386*((1/60)*(#REF!+#REF!*(#REF!+(#REF!*(Baseline_Results_NOINDIRECT!U$52/#REF!/#REF!)))))))/#REF!,0),0)</f>
        <v>0</v>
      </c>
      <c r="V392" s="836">
        <f>IFERROR(ROUNDUP(((V391*INDEX(#REF!,MATCH(#REF!&amp;"Average duration (hrs) per trip",#REF!,0)))+(V386*((1/60)*(#REF!+#REF!*(#REF!+(#REF!*(Baseline_Results_NOINDIRECT!V$52/#REF!/#REF!)))))))/#REF!,0),0)</f>
        <v>0</v>
      </c>
      <c r="W392" s="836">
        <f>IFERROR(ROUNDUP(((W391*INDEX(#REF!,MATCH(#REF!&amp;"Average duration (hrs) per trip",#REF!,0)))+(W386*((1/60)*(#REF!+#REF!*(#REF!+(#REF!*(Baseline_Results_NOINDIRECT!W$52/#REF!/#REF!)))))))/#REF!,0),0)</f>
        <v>0</v>
      </c>
      <c r="X392" s="36"/>
      <c r="Y392" s="36"/>
      <c r="Z392" s="36"/>
      <c r="AA392" s="36"/>
      <c r="AB392" s="36"/>
      <c r="AC392" s="36"/>
      <c r="AD392" s="36"/>
      <c r="AE392" s="36"/>
      <c r="AF392" s="36"/>
      <c r="AG392" s="36"/>
      <c r="AH392" s="36"/>
      <c r="AI392" s="36"/>
      <c r="AJ392" s="242"/>
      <c r="AK392" s="36"/>
      <c r="AL392" s="36"/>
      <c r="AM392" s="36"/>
    </row>
    <row r="393" spans="6:39" ht="15" customHeight="1" outlineLevel="1">
      <c r="G393" s="241" t="s">
        <v>841</v>
      </c>
      <c r="H393" s="842"/>
      <c r="I393" s="842"/>
      <c r="J393" s="842"/>
      <c r="K393" s="842"/>
      <c r="L393" s="842"/>
      <c r="M393" s="842"/>
      <c r="N393" s="842"/>
      <c r="O393" s="842"/>
      <c r="P393" s="842"/>
      <c r="Q393" s="842"/>
      <c r="R393" s="853"/>
      <c r="S393" s="853"/>
      <c r="T393" s="842"/>
      <c r="U393" s="853"/>
      <c r="V393" s="853"/>
      <c r="W393" s="842"/>
      <c r="X393" s="36"/>
      <c r="Y393" s="36"/>
      <c r="Z393" s="36"/>
      <c r="AA393" s="36"/>
      <c r="AB393" s="36"/>
      <c r="AC393" s="36"/>
      <c r="AD393" s="36"/>
      <c r="AE393" s="36"/>
      <c r="AF393" s="36"/>
      <c r="AG393" s="36"/>
      <c r="AH393" s="36"/>
      <c r="AI393" s="36"/>
      <c r="AJ393" s="242"/>
      <c r="AK393" s="36"/>
      <c r="AL393" s="36"/>
      <c r="AM393" s="36"/>
    </row>
    <row r="394" spans="6:39" ht="15" customHeight="1" outlineLevel="1">
      <c r="G394" s="6" t="s">
        <v>144</v>
      </c>
      <c r="H394" s="836"/>
      <c r="I394" s="836">
        <f t="shared" ref="I394:W394" si="52">IFERROR(I386*2,0)</f>
        <v>0</v>
      </c>
      <c r="J394" s="836">
        <f t="shared" si="52"/>
        <v>0</v>
      </c>
      <c r="K394" s="836">
        <f t="shared" si="52"/>
        <v>0</v>
      </c>
      <c r="L394" s="836">
        <f t="shared" si="52"/>
        <v>0</v>
      </c>
      <c r="M394" s="836">
        <f t="shared" si="52"/>
        <v>0</v>
      </c>
      <c r="N394" s="836">
        <f t="shared" si="52"/>
        <v>0</v>
      </c>
      <c r="O394" s="836">
        <f t="shared" si="52"/>
        <v>0</v>
      </c>
      <c r="P394" s="836">
        <f t="shared" si="52"/>
        <v>0</v>
      </c>
      <c r="Q394" s="836">
        <f t="shared" si="52"/>
        <v>0</v>
      </c>
      <c r="R394" s="836">
        <f t="shared" si="52"/>
        <v>0</v>
      </c>
      <c r="S394" s="836">
        <f t="shared" si="52"/>
        <v>0</v>
      </c>
      <c r="T394" s="836">
        <f t="shared" si="52"/>
        <v>0</v>
      </c>
      <c r="U394" s="836">
        <f t="shared" si="52"/>
        <v>0</v>
      </c>
      <c r="V394" s="836">
        <f t="shared" si="52"/>
        <v>0</v>
      </c>
      <c r="W394" s="836">
        <f t="shared" si="52"/>
        <v>0</v>
      </c>
      <c r="X394" s="36"/>
      <c r="Y394" s="36"/>
      <c r="Z394" s="36"/>
      <c r="AA394" s="36"/>
      <c r="AB394" s="36"/>
      <c r="AC394" s="36"/>
      <c r="AD394" s="36"/>
      <c r="AE394" s="36"/>
      <c r="AF394" s="36"/>
      <c r="AG394" s="36"/>
      <c r="AH394" s="36"/>
      <c r="AI394" s="36"/>
      <c r="AJ394" s="36"/>
      <c r="AK394" s="36"/>
      <c r="AL394" s="36"/>
      <c r="AM394" s="36"/>
    </row>
    <row r="395" spans="6:39" ht="15" customHeight="1" outlineLevel="1">
      <c r="G395" s="6" t="s">
        <v>145</v>
      </c>
      <c r="H395" s="837"/>
      <c r="I395" s="837">
        <f>IFERROR(MAX(I386,ROUNDUP(((I394*INDEX(#REF!,MATCH(#REF!&amp;"Average duration (hrs) per trip",#REF!,0)))+(I386*((1/60)*(#REF!+#REF!*(#REF!+(#REF!*(Baseline_Results_NOINDIRECT!I$52/#REF!/#REF!)))))))/#REF!,0)),0)</f>
        <v>0</v>
      </c>
      <c r="J395" s="837">
        <f>IFERROR(MAX(J386,ROUNDUP(((J394*INDEX(#REF!,MATCH(#REF!&amp;"Average duration (hrs) per trip",#REF!,0)))+(J386*((1/60)*(#REF!+#REF!*(#REF!+(#REF!*(Baseline_Results_NOINDIRECT!J$52/#REF!/#REF!)))))))/#REF!,0)),0)</f>
        <v>0</v>
      </c>
      <c r="K395" s="837">
        <f>IFERROR(MAX(K386,ROUNDUP(((K394*INDEX(#REF!,MATCH(#REF!&amp;"Average duration (hrs) per trip",#REF!,0)))+(K386*((1/60)*(#REF!+#REF!*(#REF!+(#REF!*(Baseline_Results_NOINDIRECT!K$52/#REF!/#REF!)))))))/#REF!,0)),0)</f>
        <v>0</v>
      </c>
      <c r="L395" s="837">
        <f>IFERROR(MAX(L386,ROUNDUP(((L394*INDEX(#REF!,MATCH(#REF!&amp;"Average duration (hrs) per trip",#REF!,0)))+(L386*((1/60)*(#REF!+#REF!*(#REF!+(#REF!*(Baseline_Results_NOINDIRECT!L$52/#REF!/#REF!)))))))/#REF!,0)),0)</f>
        <v>0</v>
      </c>
      <c r="M395" s="837">
        <f>IFERROR(MAX(M386,ROUNDUP(((M394*INDEX(#REF!,MATCH(#REF!&amp;"Average duration (hrs) per trip",#REF!,0)))+(M386*((1/60)*(#REF!+#REF!*(#REF!+(#REF!*(Baseline_Results_NOINDIRECT!M$52/#REF!/#REF!)))))))/#REF!,0)),0)</f>
        <v>0</v>
      </c>
      <c r="N395" s="837">
        <f>IFERROR(MAX(N386,ROUNDUP(((N394*INDEX(#REF!,MATCH(#REF!&amp;"Average duration (hrs) per trip",#REF!,0)))+(N386*((1/60)*(#REF!+#REF!*(#REF!+(#REF!*(Baseline_Results_NOINDIRECT!N$52/#REF!/#REF!)))))))/#REF!,0)),0)</f>
        <v>0</v>
      </c>
      <c r="O395" s="837">
        <f>IFERROR(MAX(O386,ROUNDUP(((O394*INDEX(#REF!,MATCH(#REF!&amp;"Average duration (hrs) per trip",#REF!,0)))+(O386*((1/60)*(#REF!+#REF!*(#REF!+(#REF!*(Baseline_Results_NOINDIRECT!O$52/#REF!/#REF!)))))))/#REF!,0)),0)</f>
        <v>0</v>
      </c>
      <c r="P395" s="837">
        <f>IFERROR(MAX(P386,ROUNDUP(((P394*INDEX(#REF!,MATCH(#REF!&amp;"Average duration (hrs) per trip",#REF!,0)))+(P386*((1/60)*(#REF!+#REF!*(#REF!+(#REF!*(Baseline_Results_NOINDIRECT!P$52/#REF!/#REF!)))))))/#REF!,0)),0)</f>
        <v>0</v>
      </c>
      <c r="Q395" s="837">
        <f>IFERROR(MAX(Q386,ROUNDUP(((Q394*INDEX(#REF!,MATCH(#REF!&amp;"Average duration (hrs) per trip",#REF!,0)))+(Q386*((1/60)*(#REF!+#REF!*(#REF!+(#REF!*(Baseline_Results_NOINDIRECT!Q$52/#REF!/#REF!)))))))/#REF!,0)),0)</f>
        <v>0</v>
      </c>
      <c r="R395" s="837">
        <f>IFERROR(MAX(R386,ROUNDUP(((R394*INDEX(#REF!,MATCH(#REF!&amp;"Average duration (hrs) per trip",#REF!,0)))+(R386*((1/60)*(#REF!+#REF!*(#REF!+(#REF!*(Baseline_Results_NOINDIRECT!R$52/#REF!/#REF!)))))))/#REF!,0)),0)</f>
        <v>0</v>
      </c>
      <c r="S395" s="837">
        <f>IFERROR(MAX(S386,ROUNDUP(((S394*INDEX(#REF!,MATCH(#REF!&amp;"Average duration (hrs) per trip",#REF!,0)))+(S386*((1/60)*(#REF!+#REF!*(#REF!+(#REF!*(Baseline_Results_NOINDIRECT!S$52/#REF!/#REF!)))))))/#REF!,0)),0)</f>
        <v>0</v>
      </c>
      <c r="T395" s="837">
        <f>IFERROR(MAX(T386,ROUNDUP(((T394*INDEX(#REF!,MATCH(#REF!&amp;"Average duration (hrs) per trip",#REF!,0)))+(T386*((1/60)*(#REF!+#REF!*(#REF!+(#REF!*(Baseline_Results_NOINDIRECT!T$52/#REF!/#REF!)))))))/#REF!,0)),0)</f>
        <v>0</v>
      </c>
      <c r="U395" s="837">
        <f>IFERROR(MAX(U386,ROUNDUP(((U394*INDEX(#REF!,MATCH(#REF!&amp;"Average duration (hrs) per trip",#REF!,0)))+(U386*((1/60)*(#REF!+#REF!*(#REF!+(#REF!*(Baseline_Results_NOINDIRECT!U$52/#REF!/#REF!)))))))/#REF!,0)),0)</f>
        <v>0</v>
      </c>
      <c r="V395" s="837">
        <f>IFERROR(MAX(V386,ROUNDUP(((V394*INDEX(#REF!,MATCH(#REF!&amp;"Average duration (hrs) per trip",#REF!,0)))+(V386*((1/60)*(#REF!+#REF!*(#REF!+(#REF!*(Baseline_Results_NOINDIRECT!V$52/#REF!/#REF!)))))))/#REF!,0)),0)</f>
        <v>0</v>
      </c>
      <c r="W395" s="837">
        <f>IFERROR(MAX(W386,ROUNDUP(((W394*INDEX(#REF!,MATCH(#REF!&amp;"Average duration (hrs) per trip",#REF!,0)))+(W386*((1/60)*(#REF!+#REF!*(#REF!+(#REF!*(Baseline_Results_NOINDIRECT!W$52/#REF!/#REF!)))))))/#REF!,0)),0)</f>
        <v>0</v>
      </c>
      <c r="X395" s="36"/>
      <c r="Y395" s="36"/>
      <c r="Z395" s="36"/>
      <c r="AA395" s="36"/>
      <c r="AB395" s="36"/>
      <c r="AC395" s="36"/>
      <c r="AD395" s="36"/>
      <c r="AE395" s="36"/>
      <c r="AF395" s="36"/>
      <c r="AG395" s="36"/>
      <c r="AH395" s="36"/>
      <c r="AI395" s="36"/>
      <c r="AJ395" s="36"/>
      <c r="AK395" s="36"/>
      <c r="AL395" s="36"/>
      <c r="AM395" s="36"/>
    </row>
    <row r="396" spans="6:39" ht="15" customHeight="1" outlineLevel="1">
      <c r="F396" s="77" t="s">
        <v>148</v>
      </c>
      <c r="G396" s="845"/>
      <c r="H396" s="851"/>
      <c r="I396" s="851"/>
      <c r="J396" s="851"/>
      <c r="K396" s="851"/>
      <c r="L396" s="851"/>
      <c r="M396" s="851"/>
      <c r="N396" s="851"/>
      <c r="O396" s="851"/>
      <c r="P396" s="851"/>
      <c r="Q396" s="851"/>
      <c r="R396" s="846"/>
      <c r="S396" s="846"/>
      <c r="T396" s="851"/>
      <c r="U396" s="846"/>
      <c r="V396" s="846"/>
      <c r="W396" s="851"/>
      <c r="X396" s="36"/>
      <c r="Y396" s="36"/>
      <c r="Z396" s="36"/>
      <c r="AA396" s="36"/>
      <c r="AB396" s="36"/>
      <c r="AC396" s="36"/>
      <c r="AD396" s="36"/>
      <c r="AE396" s="36"/>
      <c r="AF396" s="36"/>
      <c r="AG396" s="36"/>
      <c r="AH396" s="36"/>
      <c r="AI396" s="36"/>
      <c r="AJ396" s="242"/>
      <c r="AK396" s="36"/>
      <c r="AL396" s="36"/>
      <c r="AM396" s="36"/>
    </row>
    <row r="397" spans="6:39" ht="15" customHeight="1" outlineLevel="1">
      <c r="F397" s="1"/>
      <c r="G397" s="6" t="s">
        <v>151</v>
      </c>
      <c r="H397" s="836"/>
      <c r="I397" s="836">
        <f>IFERROR(IF(COUNTIF(#REF!,"Public Transport*")&lt;1,ROUND(#REF!*#REF!,0),0),0)</f>
        <v>0</v>
      </c>
      <c r="J397" s="836">
        <f>IFERROR(IF(COUNTIF(#REF!,"Public Transport*")&lt;1,ROUND(#REF!*#REF!,0),0),0)</f>
        <v>0</v>
      </c>
      <c r="K397" s="836">
        <f>IFERROR(IF(COUNTIF(#REF!,"Public Transport*")&lt;1,ROUND(#REF!*#REF!,0),0),0)</f>
        <v>0</v>
      </c>
      <c r="L397" s="836">
        <f>IFERROR(IF(COUNTIF(#REF!,"Public Transport*")&lt;1,ROUND(#REF!*#REF!,0),0),0)</f>
        <v>0</v>
      </c>
      <c r="M397" s="836">
        <f>IFERROR(IF(COUNTIF(#REF!,"Public Transport*")&lt;1,ROUND(#REF!*#REF!,0),0),0)</f>
        <v>0</v>
      </c>
      <c r="N397" s="836">
        <f>IFERROR(IF(COUNTIF(#REF!,"Public Transport*")&lt;1,ROUND(#REF!*#REF!,0),0),0)</f>
        <v>0</v>
      </c>
      <c r="O397" s="836">
        <f>IFERROR(IF(COUNTIF(#REF!,"Public Transport*")&lt;1,ROUND(#REF!*#REF!,0),0),0)</f>
        <v>0</v>
      </c>
      <c r="P397" s="836">
        <f>IFERROR(IF(COUNTIF(#REF!,"Public Transport*")&lt;1,ROUND(#REF!*#REF!,0),0),0)</f>
        <v>0</v>
      </c>
      <c r="Q397" s="836">
        <f>IFERROR(IF(COUNTIF(#REF!,"Public Transport*")&lt;1,ROUND(#REF!*#REF!,0),0),0)</f>
        <v>0</v>
      </c>
      <c r="R397" s="836">
        <f>IFERROR(IF(COUNTIF(#REF!,"Public Transport*")&lt;1,ROUND(#REF!*#REF!,0),0),0)</f>
        <v>0</v>
      </c>
      <c r="S397" s="836">
        <f>IFERROR(IF(COUNTIF(#REF!,"Public Transport*")&lt;1,ROUND(#REF!*#REF!,0),0),0)</f>
        <v>0</v>
      </c>
      <c r="T397" s="836">
        <f>IFERROR(IF(COUNTIF(#REF!,"Public Transport*")&lt;1,ROUND(#REF!*#REF!,0),0),0)</f>
        <v>0</v>
      </c>
      <c r="U397" s="836">
        <f>IFERROR(IF(COUNTIF(#REF!,"Public Transport*")&lt;1,ROUND(#REF!*#REF!,0),0),0)</f>
        <v>0</v>
      </c>
      <c r="V397" s="836">
        <f>IFERROR(IF(COUNTIF(#REF!,"Public Transport*")&lt;1,ROUND(#REF!*#REF!,0),0),0)</f>
        <v>0</v>
      </c>
      <c r="W397" s="836">
        <f>IFERROR(IF(COUNTIF(#REF!,"Public Transport*")&lt;1,ROUND(#REF!*#REF!,0),0),0)</f>
        <v>0</v>
      </c>
      <c r="X397" s="36"/>
      <c r="Y397" s="36"/>
      <c r="Z397" s="36"/>
      <c r="AA397" s="36"/>
      <c r="AB397" s="36"/>
      <c r="AC397" s="36"/>
      <c r="AD397" s="36"/>
      <c r="AE397" s="36"/>
      <c r="AF397" s="36"/>
      <c r="AG397" s="36"/>
      <c r="AH397" s="36"/>
      <c r="AI397" s="36"/>
      <c r="AJ397" s="242"/>
      <c r="AK397" s="36"/>
      <c r="AL397" s="36"/>
      <c r="AM397" s="36"/>
    </row>
    <row r="398" spans="6:39" ht="15" customHeight="1" outlineLevel="1">
      <c r="G398" s="6" t="s">
        <v>85</v>
      </c>
      <c r="H398" s="837"/>
      <c r="I398" s="837">
        <f>IFERROR(IF(#REF!="Route-based",I403*I404,IF(#REF!="Point-to-point",I408*I409,0)),0)</f>
        <v>0</v>
      </c>
      <c r="J398" s="837">
        <f>IFERROR(IF(#REF!="Route-based",J403*J404,IF(#REF!="Point-to-point",J408*J409,0)),0)</f>
        <v>0</v>
      </c>
      <c r="K398" s="837">
        <f>IFERROR(IF(#REF!="Route-based",K403*K404,IF(#REF!="Point-to-point",K408*K409,0)),0)</f>
        <v>0</v>
      </c>
      <c r="L398" s="837">
        <f>IFERROR(IF(#REF!="Route-based",L403*L404,IF(#REF!="Point-to-point",L408*L409,0)),0)</f>
        <v>0</v>
      </c>
      <c r="M398" s="837">
        <f>IFERROR(IF(#REF!="Route-based",M403*M404,IF(#REF!="Point-to-point",M408*M409,0)),0)</f>
        <v>0</v>
      </c>
      <c r="N398" s="837">
        <f>IFERROR(IF(#REF!="Route-based",N403*N404,IF(#REF!="Point-to-point",N408*N409,0)),0)</f>
        <v>0</v>
      </c>
      <c r="O398" s="837">
        <f>IFERROR(IF(#REF!="Route-based",O403*O404,IF(#REF!="Point-to-point",O408*O409,0)),0)</f>
        <v>0</v>
      </c>
      <c r="P398" s="837">
        <f>IFERROR(IF(#REF!="Route-based",P403*P404,IF(#REF!="Point-to-point",P408*P409,0)),0)</f>
        <v>0</v>
      </c>
      <c r="Q398" s="837">
        <f>IFERROR(IF(#REF!="Route-based",Q403*Q404,IF(#REF!="Point-to-point",Q408*Q409,0)),0)</f>
        <v>0</v>
      </c>
      <c r="R398" s="837">
        <f>IFERROR(IF(#REF!="Route-based",R403*R404,IF(#REF!="Point-to-point",R408*R409,0)),0)</f>
        <v>0</v>
      </c>
      <c r="S398" s="837">
        <f>IFERROR(IF(#REF!="Route-based",S403*S404,IF(#REF!="Point-to-point",S408*S409,0)),0)</f>
        <v>0</v>
      </c>
      <c r="T398" s="837">
        <f>IFERROR(IF(#REF!="Route-based",T403*T404,IF(#REF!="Point-to-point",T408*T409,0)),0)</f>
        <v>0</v>
      </c>
      <c r="U398" s="837">
        <f>IFERROR(IF(#REF!="Route-based",U403*U404,IF(#REF!="Point-to-point",U408*U409,0)),0)</f>
        <v>0</v>
      </c>
      <c r="V398" s="837">
        <f>IFERROR(IF(#REF!="Route-based",V403*V404,IF(#REF!="Point-to-point",V408*V409,0)),0)</f>
        <v>0</v>
      </c>
      <c r="W398" s="837">
        <f>IFERROR(IF(#REF!="Route-based",W403*W404,IF(#REF!="Point-to-point",W408*W409,0)),0)</f>
        <v>0</v>
      </c>
      <c r="X398" s="36"/>
      <c r="Y398" s="36"/>
      <c r="Z398" s="36"/>
      <c r="AA398" s="36"/>
      <c r="AB398" s="36"/>
      <c r="AC398" s="36"/>
      <c r="AD398" s="36"/>
      <c r="AE398" s="36"/>
      <c r="AF398" s="36"/>
      <c r="AG398" s="36"/>
      <c r="AH398" s="36"/>
      <c r="AI398" s="36"/>
      <c r="AJ398" s="242"/>
      <c r="AK398" s="36"/>
      <c r="AL398" s="36"/>
      <c r="AM398" s="36"/>
    </row>
    <row r="399" spans="6:39" ht="15" customHeight="1" outlineLevel="1">
      <c r="G399" s="6" t="s">
        <v>59</v>
      </c>
      <c r="H399" s="837"/>
      <c r="I399" s="837">
        <f>IFERROR(IF(#REF!="Route-based",ROUND(I403*I405/#REF!,0),IF(#REF!="Point-to-point",ROUND(((I397*#REF!*((1/60)*(#REF!+#REF!*(#REF!+(#REF!*(Baseline_Results_NOINDIRECT!I$52/#REF!/#REF!))))))+(I398/#REF!))/#REF!,0),0)),0)</f>
        <v>0</v>
      </c>
      <c r="J399" s="837">
        <f>IFERROR(IF(#REF!="Route-based",ROUND(J403*J405/#REF!,0),IF(#REF!="Point-to-point",ROUND(((J397*#REF!*((1/60)*(#REF!+#REF!*(#REF!+(#REF!*(Baseline_Results_NOINDIRECT!J$52/#REF!/#REF!))))))+(J398/#REF!))/#REF!,0),0)),0)</f>
        <v>0</v>
      </c>
      <c r="K399" s="837">
        <f>IFERROR(IF(#REF!="Route-based",ROUND(K403*K405/#REF!,0),IF(#REF!="Point-to-point",ROUND(((K397*#REF!*((1/60)*(#REF!+#REF!*(#REF!+(#REF!*(Baseline_Results_NOINDIRECT!K$52/#REF!/#REF!))))))+(K398/#REF!))/#REF!,0),0)),0)</f>
        <v>0</v>
      </c>
      <c r="L399" s="837">
        <f>IFERROR(IF(#REF!="Route-based",ROUND(L403*L405/#REF!,0),IF(#REF!="Point-to-point",ROUND(((L397*#REF!*((1/60)*(#REF!+#REF!*(#REF!+(#REF!*(Baseline_Results_NOINDIRECT!L$52/#REF!/#REF!))))))+(L398/#REF!))/#REF!,0),0)),0)</f>
        <v>0</v>
      </c>
      <c r="M399" s="837">
        <f>IFERROR(IF(#REF!="Route-based",ROUND(M403*M405/#REF!,0),IF(#REF!="Point-to-point",ROUND(((M397*#REF!*((1/60)*(#REF!+#REF!*(#REF!+(#REF!*(Baseline_Results_NOINDIRECT!M$52/#REF!/#REF!))))))+(M398/#REF!))/#REF!,0),0)),0)</f>
        <v>0</v>
      </c>
      <c r="N399" s="837">
        <f>IFERROR(IF(#REF!="Route-based",ROUND(N403*N405/#REF!,0),IF(#REF!="Point-to-point",ROUND(((N397*#REF!*((1/60)*(#REF!+#REF!*(#REF!+(#REF!*(Baseline_Results_NOINDIRECT!N$52/#REF!/#REF!))))))+(N398/#REF!))/#REF!,0),0)),0)</f>
        <v>0</v>
      </c>
      <c r="O399" s="837">
        <f>IFERROR(IF(#REF!="Route-based",ROUND(O403*O405/#REF!,0),IF(#REF!="Point-to-point",ROUND(((O397*#REF!*((1/60)*(#REF!+#REF!*(#REF!+(#REF!*(Baseline_Results_NOINDIRECT!O$52/#REF!/#REF!))))))+(O398/#REF!))/#REF!,0),0)),0)</f>
        <v>0</v>
      </c>
      <c r="P399" s="837">
        <f>IFERROR(IF(#REF!="Route-based",ROUND(P403*P405/#REF!,0),IF(#REF!="Point-to-point",ROUND(((P397*#REF!*((1/60)*(#REF!+#REF!*(#REF!+(#REF!*(Baseline_Results_NOINDIRECT!P$52/#REF!/#REF!))))))+(P398/#REF!))/#REF!,0),0)),0)</f>
        <v>0</v>
      </c>
      <c r="Q399" s="837">
        <f>IFERROR(IF(#REF!="Route-based",ROUND(Q403*Q405/#REF!,0),IF(#REF!="Point-to-point",ROUND(((Q397*#REF!*((1/60)*(#REF!+#REF!*(#REF!+(#REF!*(Baseline_Results_NOINDIRECT!Q$52/#REF!/#REF!))))))+(Q398/#REF!))/#REF!,0),0)),0)</f>
        <v>0</v>
      </c>
      <c r="R399" s="837">
        <f>IFERROR(IF(#REF!="Route-based",ROUND(R403*R405/#REF!,0),IF(#REF!="Point-to-point",ROUND(((R397*#REF!*((1/60)*(#REF!+#REF!*(#REF!+(#REF!*(Baseline_Results_NOINDIRECT!R$52/#REF!/#REF!))))))+(R398/#REF!))/#REF!,0),0)),0)</f>
        <v>0</v>
      </c>
      <c r="S399" s="837">
        <f>IFERROR(IF(#REF!="Route-based",ROUND(S403*S405/#REF!,0),IF(#REF!="Point-to-point",ROUND(((S397*#REF!*((1/60)*(#REF!+#REF!*(#REF!+(#REF!*(Baseline_Results_NOINDIRECT!S$52/#REF!/#REF!))))))+(S398/#REF!))/#REF!,0),0)),0)</f>
        <v>0</v>
      </c>
      <c r="T399" s="837">
        <f>IFERROR(IF(#REF!="Route-based",ROUND(T403*T405/#REF!,0),IF(#REF!="Point-to-point",ROUND(((T397*#REF!*((1/60)*(#REF!+#REF!*(#REF!+(#REF!*(Baseline_Results_NOINDIRECT!T$52/#REF!/#REF!))))))+(T398/#REF!))/#REF!,0),0)),0)</f>
        <v>0</v>
      </c>
      <c r="U399" s="837">
        <f>IFERROR(IF(#REF!="Route-based",ROUND(U403*U405/#REF!,0),IF(#REF!="Point-to-point",ROUND(((U397*#REF!*((1/60)*(#REF!+#REF!*(#REF!+(#REF!*(Baseline_Results_NOINDIRECT!U$52/#REF!/#REF!))))))+(U398/#REF!))/#REF!,0),0)),0)</f>
        <v>0</v>
      </c>
      <c r="V399" s="837">
        <f>IFERROR(IF(#REF!="Route-based",ROUND(V403*V405/#REF!,0),IF(#REF!="Point-to-point",ROUND(((V397*#REF!*((1/60)*(#REF!+#REF!*(#REF!+(#REF!*(Baseline_Results_NOINDIRECT!V$52/#REF!/#REF!))))))+(V398/#REF!))/#REF!,0),0)),0)</f>
        <v>0</v>
      </c>
      <c r="W399" s="837">
        <f>IFERROR(IF(#REF!="Route-based",ROUND(W403*W405/#REF!,0),IF(#REF!="Point-to-point",ROUND(((W397*#REF!*((1/60)*(#REF!+#REF!*(#REF!+(#REF!*(Baseline_Results_NOINDIRECT!W$52/#REF!/#REF!))))))+(W398/#REF!))/#REF!,0),0)),0)</f>
        <v>0</v>
      </c>
      <c r="X399" s="36"/>
      <c r="Y399" s="36"/>
      <c r="Z399" s="36"/>
      <c r="AA399" s="36"/>
      <c r="AB399" s="36"/>
      <c r="AC399" s="36"/>
      <c r="AD399" s="36"/>
      <c r="AE399" s="36"/>
      <c r="AF399" s="36"/>
      <c r="AG399" s="36"/>
      <c r="AH399" s="36"/>
      <c r="AI399" s="36"/>
      <c r="AJ399" s="242"/>
      <c r="AK399" s="36"/>
      <c r="AL399" s="36"/>
      <c r="AM399" s="36"/>
    </row>
    <row r="400" spans="6:39" ht="15" customHeight="1" outlineLevel="1">
      <c r="G400" s="6" t="s">
        <v>86</v>
      </c>
      <c r="H400" s="839"/>
      <c r="I400" s="839">
        <f>IFERROR(IF(#REF!="Route-based",IF(#REF!="Yes",I399/(#REF!*#REF!), IF(#REF!="No",I399/(#REF!*#REF!))),
IF(#REF!="Point-to-point",IF(#REF!="Yes",I399/(#REF!*#REF!),IF(#REF!="No",I399/(#REF!*#REF!))),0)),0)</f>
        <v>0</v>
      </c>
      <c r="J400" s="839">
        <f>IFERROR(IF(#REF!="Route-based",IF(#REF!="Yes",J399/(#REF!*#REF!), IF(#REF!="No",J399/(#REF!*#REF!))),
IF(#REF!="Point-to-point",IF(#REF!="Yes",J399/(#REF!*#REF!),IF(#REF!="No",J399/(#REF!*#REF!))),0)),0)</f>
        <v>0</v>
      </c>
      <c r="K400" s="839">
        <f>IFERROR(IF(#REF!="Route-based",IF(#REF!="Yes",K399/(#REF!*#REF!), IF(#REF!="No",K399/(#REF!*#REF!))),
IF(#REF!="Point-to-point",IF(#REF!="Yes",K399/(#REF!*#REF!),IF(#REF!="No",K399/(#REF!*#REF!))),0)),0)</f>
        <v>0</v>
      </c>
      <c r="L400" s="839">
        <f>IFERROR(IF(#REF!="Route-based",IF(#REF!="Yes",L399/(#REF!*#REF!), IF(#REF!="No",L399/(#REF!*#REF!))),
IF(#REF!="Point-to-point",IF(#REF!="Yes",L399/(#REF!*#REF!),IF(#REF!="No",L399/(#REF!*#REF!))),0)),0)</f>
        <v>0</v>
      </c>
      <c r="M400" s="839">
        <f>IFERROR(IF(#REF!="Route-based",IF(#REF!="Yes",M399/(#REF!*#REF!), IF(#REF!="No",M399/(#REF!*#REF!))),
IF(#REF!="Point-to-point",IF(#REF!="Yes",M399/(#REF!*#REF!),IF(#REF!="No",M399/(#REF!*#REF!))),0)),0)</f>
        <v>0</v>
      </c>
      <c r="N400" s="839">
        <f>IFERROR(IF(#REF!="Route-based",IF(#REF!="Yes",N399/(#REF!*#REF!), IF(#REF!="No",N399/(#REF!*#REF!))),
IF(#REF!="Point-to-point",IF(#REF!="Yes",N399/(#REF!*#REF!),IF(#REF!="No",N399/(#REF!*#REF!))),0)),0)</f>
        <v>0</v>
      </c>
      <c r="O400" s="839">
        <f>IFERROR(IF(#REF!="Route-based",IF(#REF!="Yes",O399/(#REF!*#REF!), IF(#REF!="No",O399/(#REF!*#REF!))),
IF(#REF!="Point-to-point",IF(#REF!="Yes",O399/(#REF!*#REF!),IF(#REF!="No",O399/(#REF!*#REF!))),0)),0)</f>
        <v>0</v>
      </c>
      <c r="P400" s="839">
        <f>IFERROR(IF(#REF!="Route-based",IF(#REF!="Yes",P399/(#REF!*#REF!), IF(#REF!="No",P399/(#REF!*#REF!))),
IF(#REF!="Point-to-point",IF(#REF!="Yes",P399/(#REF!*#REF!),IF(#REF!="No",P399/(#REF!*#REF!))),0)),0)</f>
        <v>0</v>
      </c>
      <c r="Q400" s="839">
        <f>IFERROR(IF(#REF!="Route-based",IF(#REF!="Yes",Q399/(#REF!*#REF!), IF(#REF!="No",Q399/(#REF!*#REF!))),
IF(#REF!="Point-to-point",IF(#REF!="Yes",Q399/(#REF!*#REF!),IF(#REF!="No",Q399/(#REF!*#REF!))),0)),0)</f>
        <v>0</v>
      </c>
      <c r="R400" s="839">
        <f>IFERROR(IF(#REF!="Route-based",IF(#REF!="Yes",R399/(#REF!*#REF!), IF(#REF!="No",R399/(#REF!*#REF!))),
IF(#REF!="Point-to-point",IF(#REF!="Yes",R399/(#REF!*#REF!),IF(#REF!="No",R399/(#REF!*#REF!))),0)),0)</f>
        <v>0</v>
      </c>
      <c r="S400" s="839">
        <f>IFERROR(IF(#REF!="Route-based",IF(#REF!="Yes",S399/(#REF!*#REF!), IF(#REF!="No",S399/(#REF!*#REF!))),
IF(#REF!="Point-to-point",IF(#REF!="Yes",S399/(#REF!*#REF!),IF(#REF!="No",S399/(#REF!*#REF!))),0)),0)</f>
        <v>0</v>
      </c>
      <c r="T400" s="839">
        <f>IFERROR(IF(#REF!="Route-based",IF(#REF!="Yes",T399/(#REF!*#REF!), IF(#REF!="No",T399/(#REF!*#REF!))),
IF(#REF!="Point-to-point",IF(#REF!="Yes",T399/(#REF!*#REF!),IF(#REF!="No",T399/(#REF!*#REF!))),0)),0)</f>
        <v>0</v>
      </c>
      <c r="U400" s="839">
        <f>IFERROR(IF(#REF!="Route-based",IF(#REF!="Yes",U399/(#REF!*#REF!), IF(#REF!="No",U399/(#REF!*#REF!))),
IF(#REF!="Point-to-point",IF(#REF!="Yes",U399/(#REF!*#REF!),IF(#REF!="No",U399/(#REF!*#REF!))),0)),0)</f>
        <v>0</v>
      </c>
      <c r="V400" s="839">
        <f>IFERROR(IF(#REF!="Route-based",IF(#REF!="Yes",V399/(#REF!*#REF!), IF(#REF!="No",V399/(#REF!*#REF!))),
IF(#REF!="Point-to-point",IF(#REF!="Yes",V399/(#REF!*#REF!),IF(#REF!="No",V399/(#REF!*#REF!))),0)),0)</f>
        <v>0</v>
      </c>
      <c r="W400" s="839">
        <f>IFERROR(IF(#REF!="Route-based",IF(#REF!="Yes",W399/(#REF!*#REF!), IF(#REF!="No",W399/(#REF!*#REF!))),
IF(#REF!="Point-to-point",IF(#REF!="Yes",W399/(#REF!*#REF!),IF(#REF!="No",W399/(#REF!*#REF!))),0)),0)</f>
        <v>0</v>
      </c>
      <c r="X400" s="36"/>
      <c r="Y400" s="36"/>
      <c r="Z400" s="36"/>
      <c r="AA400" s="36"/>
      <c r="AB400" s="36"/>
      <c r="AC400" s="36"/>
      <c r="AD400" s="36"/>
      <c r="AE400" s="36"/>
      <c r="AF400" s="36"/>
      <c r="AG400" s="36"/>
      <c r="AH400" s="36"/>
      <c r="AI400" s="36"/>
      <c r="AJ400" s="36" t="s">
        <v>191</v>
      </c>
      <c r="AK400" s="36"/>
      <c r="AL400" s="36"/>
      <c r="AM400" s="36"/>
    </row>
    <row r="401" spans="6:39" ht="15" customHeight="1" outlineLevel="1" collapsed="1">
      <c r="G401" s="241" t="s">
        <v>133</v>
      </c>
      <c r="H401" s="842"/>
      <c r="I401" s="842"/>
      <c r="J401" s="842"/>
      <c r="K401" s="842"/>
      <c r="L401" s="842"/>
      <c r="M401" s="842"/>
      <c r="N401" s="842"/>
      <c r="O401" s="842"/>
      <c r="P401" s="842"/>
      <c r="Q401" s="842"/>
      <c r="R401" s="853"/>
      <c r="S401" s="853"/>
      <c r="T401" s="842"/>
      <c r="U401" s="853"/>
      <c r="V401" s="853"/>
      <c r="W401" s="842"/>
      <c r="X401" s="36"/>
      <c r="Y401" s="36"/>
      <c r="Z401" s="36"/>
      <c r="AA401" s="36"/>
      <c r="AB401" s="36"/>
      <c r="AC401" s="36"/>
      <c r="AD401" s="36"/>
      <c r="AE401" s="36"/>
      <c r="AF401" s="36"/>
      <c r="AG401" s="36"/>
      <c r="AH401" s="36"/>
      <c r="AI401" s="36"/>
      <c r="AJ401" s="36"/>
      <c r="AK401" s="36"/>
      <c r="AL401" s="36"/>
      <c r="AM401" s="36"/>
    </row>
    <row r="402" spans="6:39" ht="15" customHeight="1" outlineLevel="1">
      <c r="G402" s="6" t="s">
        <v>129</v>
      </c>
      <c r="H402" s="836"/>
      <c r="I402" s="836">
        <f>IFERROR(((#REF!*#REF!)-(2*#REF!/#REF!)+(#REF!/#REF!))/(((1/60)*(#REF!+#REF!*(#REF!+(#REF!*(Baseline_Results_NOINDIRECT!I$52/#REF!/#REF!)))))+(#REF!/#REF!)),0)</f>
        <v>0</v>
      </c>
      <c r="J402" s="836">
        <f>IFERROR(((#REF!*#REF!)-(2*#REF!/#REF!)+(#REF!/#REF!))/(((1/60)*(#REF!+#REF!*(#REF!+(#REF!*(Baseline_Results_NOINDIRECT!J$52/#REF!/#REF!)))))+(#REF!/#REF!)),0)</f>
        <v>0</v>
      </c>
      <c r="K402" s="836">
        <f>IFERROR(((#REF!*#REF!)-(2*#REF!/#REF!)+(#REF!/#REF!))/(((1/60)*(#REF!+#REF!*(#REF!+(#REF!*(Baseline_Results_NOINDIRECT!K$52/#REF!/#REF!)))))+(#REF!/#REF!)),0)</f>
        <v>0</v>
      </c>
      <c r="L402" s="836">
        <f>IFERROR(((#REF!*#REF!)-(2*#REF!/#REF!)+(#REF!/#REF!))/(((1/60)*(#REF!+#REF!*(#REF!+(#REF!*(Baseline_Results_NOINDIRECT!L$52/#REF!/#REF!)))))+(#REF!/#REF!)),0)</f>
        <v>0</v>
      </c>
      <c r="M402" s="836">
        <f>IFERROR(((#REF!*#REF!)-(2*#REF!/#REF!)+(#REF!/#REF!))/(((1/60)*(#REF!+#REF!*(#REF!+(#REF!*(Baseline_Results_NOINDIRECT!M$52/#REF!/#REF!)))))+(#REF!/#REF!)),0)</f>
        <v>0</v>
      </c>
      <c r="N402" s="836">
        <f>IFERROR(((#REF!*#REF!)-(2*#REF!/#REF!)+(#REF!/#REF!))/(((1/60)*(#REF!+#REF!*(#REF!+(#REF!*(Baseline_Results_NOINDIRECT!N$52/#REF!/#REF!)))))+(#REF!/#REF!)),0)</f>
        <v>0</v>
      </c>
      <c r="O402" s="836">
        <f>IFERROR(((#REF!*#REF!)-(2*#REF!/#REF!)+(#REF!/#REF!))/(((1/60)*(#REF!+#REF!*(#REF!+(#REF!*(Baseline_Results_NOINDIRECT!O$52/#REF!/#REF!)))))+(#REF!/#REF!)),0)</f>
        <v>0</v>
      </c>
      <c r="P402" s="836">
        <f>IFERROR(((#REF!*#REF!)-(2*#REF!/#REF!)+(#REF!/#REF!))/(((1/60)*(#REF!+#REF!*(#REF!+(#REF!*(Baseline_Results_NOINDIRECT!P$52/#REF!/#REF!)))))+(#REF!/#REF!)),0)</f>
        <v>0</v>
      </c>
      <c r="Q402" s="836">
        <f>IFERROR(((#REF!*#REF!)-(2*#REF!/#REF!)+(#REF!/#REF!))/(((1/60)*(#REF!+#REF!*(#REF!+(#REF!*(Baseline_Results_NOINDIRECT!Q$52/#REF!/#REF!)))))+(#REF!/#REF!)),0)</f>
        <v>0</v>
      </c>
      <c r="R402" s="836">
        <f>IFERROR(((#REF!*#REF!)-(2*#REF!/#REF!)+(#REF!/#REF!))/(((1/60)*(#REF!+#REF!*(#REF!+(#REF!*(Baseline_Results_NOINDIRECT!R$52/#REF!/#REF!)))))+(#REF!/#REF!)),0)</f>
        <v>0</v>
      </c>
      <c r="S402" s="836">
        <f>IFERROR(((#REF!*#REF!)-(2*#REF!/#REF!)+(#REF!/#REF!))/(((1/60)*(#REF!+#REF!*(#REF!+(#REF!*(Baseline_Results_NOINDIRECT!S$52/#REF!/#REF!)))))+(#REF!/#REF!)),0)</f>
        <v>0</v>
      </c>
      <c r="T402" s="836">
        <f>IFERROR(((#REF!*#REF!)-(2*#REF!/#REF!)+(#REF!/#REF!))/(((1/60)*(#REF!+#REF!*(#REF!+(#REF!*(Baseline_Results_NOINDIRECT!T$52/#REF!/#REF!)))))+(#REF!/#REF!)),0)</f>
        <v>0</v>
      </c>
      <c r="U402" s="836">
        <f>IFERROR(((#REF!*#REF!)-(2*#REF!/#REF!)+(#REF!/#REF!))/(((1/60)*(#REF!+#REF!*(#REF!+(#REF!*(Baseline_Results_NOINDIRECT!U$52/#REF!/#REF!)))))+(#REF!/#REF!)),0)</f>
        <v>0</v>
      </c>
      <c r="V402" s="836">
        <f>IFERROR(((#REF!*#REF!)-(2*#REF!/#REF!)+(#REF!/#REF!))/(((1/60)*(#REF!+#REF!*(#REF!+(#REF!*(Baseline_Results_NOINDIRECT!V$52/#REF!/#REF!)))))+(#REF!/#REF!)),0)</f>
        <v>0</v>
      </c>
      <c r="W402" s="836">
        <f>IFERROR(((#REF!*#REF!)-(2*#REF!/#REF!)+(#REF!/#REF!))/(((1/60)*(#REF!+#REF!*(#REF!+(#REF!*(Baseline_Results_NOINDIRECT!W$52/#REF!/#REF!)))))+(#REF!/#REF!)),0)</f>
        <v>0</v>
      </c>
      <c r="X402" s="36"/>
      <c r="Y402" s="36"/>
      <c r="Z402" s="36"/>
      <c r="AA402" s="36"/>
      <c r="AB402" s="36"/>
      <c r="AC402" s="36"/>
      <c r="AD402" s="36"/>
      <c r="AE402" s="36"/>
      <c r="AF402" s="36"/>
      <c r="AG402" s="36"/>
      <c r="AH402" s="36"/>
      <c r="AI402" s="36"/>
      <c r="AJ402" s="36"/>
      <c r="AK402" s="36"/>
      <c r="AL402" s="36"/>
      <c r="AM402" s="36"/>
    </row>
    <row r="403" spans="6:39" ht="15" customHeight="1" outlineLevel="1">
      <c r="G403" s="6" t="s">
        <v>206</v>
      </c>
      <c r="H403" s="836"/>
      <c r="I403" s="836">
        <f>IFERROR(ROUND(I397*#REF!/I402,0),0)</f>
        <v>0</v>
      </c>
      <c r="J403" s="836">
        <f>IFERROR(ROUND(J397*#REF!/J402,0),0)</f>
        <v>0</v>
      </c>
      <c r="K403" s="836">
        <f>IFERROR(ROUND(K397*#REF!/K402,0),0)</f>
        <v>0</v>
      </c>
      <c r="L403" s="836">
        <f>IFERROR(ROUND(L397*#REF!/L402,0),0)</f>
        <v>0</v>
      </c>
      <c r="M403" s="836">
        <f>IFERROR(ROUND(M397*#REF!/M402,0),0)</f>
        <v>0</v>
      </c>
      <c r="N403" s="836">
        <f>IFERROR(ROUND(N397*#REF!/N402,0),0)</f>
        <v>0</v>
      </c>
      <c r="O403" s="836">
        <f>IFERROR(ROUND(O397*#REF!/O402,0),0)</f>
        <v>0</v>
      </c>
      <c r="P403" s="836">
        <f>IFERROR(ROUND(P397*#REF!/P402,0),0)</f>
        <v>0</v>
      </c>
      <c r="Q403" s="836">
        <f>IFERROR(ROUND(Q397*#REF!/Q402,0),0)</f>
        <v>0</v>
      </c>
      <c r="R403" s="836">
        <f>IFERROR(ROUND(R397*#REF!/R402,0),0)</f>
        <v>0</v>
      </c>
      <c r="S403" s="836">
        <f>IFERROR(ROUND(S397*#REF!/S402,0),0)</f>
        <v>0</v>
      </c>
      <c r="T403" s="836">
        <f>IFERROR(ROUND(T397*#REF!/T402,0),0)</f>
        <v>0</v>
      </c>
      <c r="U403" s="836">
        <f>IFERROR(ROUND(U397*#REF!/U402,0),0)</f>
        <v>0</v>
      </c>
      <c r="V403" s="836">
        <f>IFERROR(ROUND(V397*#REF!/V402,0),0)</f>
        <v>0</v>
      </c>
      <c r="W403" s="836">
        <f>IFERROR(ROUND(W397*#REF!/W402,0),0)</f>
        <v>0</v>
      </c>
      <c r="X403" s="36"/>
      <c r="Y403" s="36"/>
      <c r="Z403" s="36"/>
      <c r="AA403" s="36"/>
      <c r="AB403" s="36"/>
      <c r="AC403" s="36"/>
      <c r="AD403" s="36"/>
      <c r="AE403" s="36"/>
      <c r="AF403" s="36"/>
      <c r="AG403" s="36"/>
      <c r="AH403" s="36"/>
      <c r="AI403" s="36"/>
      <c r="AJ403" s="36"/>
      <c r="AK403" s="36"/>
      <c r="AL403" s="36"/>
      <c r="AM403" s="36"/>
    </row>
    <row r="404" spans="6:39" ht="15" customHeight="1" outlineLevel="1">
      <c r="G404" s="6" t="s">
        <v>87</v>
      </c>
      <c r="H404" s="836"/>
      <c r="I404" s="836">
        <f>IFERROR(IF(I397=0,0,(2*#REF!)+((MAX(I402, 1)-1)*#REF!)),0)</f>
        <v>0</v>
      </c>
      <c r="J404" s="836">
        <f>IFERROR(IF(J397=0,0,(2*#REF!)+((MAX(J402, 1)-1)*#REF!)),0)</f>
        <v>0</v>
      </c>
      <c r="K404" s="836">
        <f>IFERROR(IF(K397=0,0,(2*#REF!)+((MAX(K402, 1)-1)*#REF!)),0)</f>
        <v>0</v>
      </c>
      <c r="L404" s="836">
        <f>IFERROR(IF(L397=0,0,(2*#REF!)+((MAX(L402, 1)-1)*#REF!)),0)</f>
        <v>0</v>
      </c>
      <c r="M404" s="836">
        <f>IFERROR(IF(M397=0,0,(2*#REF!)+((MAX(M402, 1)-1)*#REF!)),0)</f>
        <v>0</v>
      </c>
      <c r="N404" s="836">
        <f>IFERROR(IF(N397=0,0,(2*#REF!)+((MAX(N402, 1)-1)*#REF!)),0)</f>
        <v>0</v>
      </c>
      <c r="O404" s="836">
        <f>IFERROR(IF(O397=0,0,(2*#REF!)+((MAX(O402, 1)-1)*#REF!)),0)</f>
        <v>0</v>
      </c>
      <c r="P404" s="836">
        <f>IFERROR(IF(P397=0,0,(2*#REF!)+((MAX(P402, 1)-1)*#REF!)),0)</f>
        <v>0</v>
      </c>
      <c r="Q404" s="836">
        <f>IFERROR(IF(Q397=0,0,(2*#REF!)+((MAX(Q402, 1)-1)*#REF!)),0)</f>
        <v>0</v>
      </c>
      <c r="R404" s="836">
        <f>IFERROR(IF(R397=0,0,(2*#REF!)+((MAX(R402, 1)-1)*#REF!)),0)</f>
        <v>0</v>
      </c>
      <c r="S404" s="836">
        <f>IFERROR(IF(S397=0,0,(2*#REF!)+((MAX(S402, 1)-1)*#REF!)),0)</f>
        <v>0</v>
      </c>
      <c r="T404" s="836">
        <f>IFERROR(IF(T397=0,0,(2*#REF!)+((MAX(T402, 1)-1)*#REF!)),0)</f>
        <v>0</v>
      </c>
      <c r="U404" s="836">
        <f>IFERROR(IF(U397=0,0,(2*#REF!)+((MAX(U402, 1)-1)*#REF!)),0)</f>
        <v>0</v>
      </c>
      <c r="V404" s="836">
        <f>IFERROR(IF(V397=0,0,(2*#REF!)+((MAX(V402, 1)-1)*#REF!)),0)</f>
        <v>0</v>
      </c>
      <c r="W404" s="836">
        <f>IFERROR(IF(W397=0,0,(2*#REF!)+((MAX(W402, 1)-1)*#REF!)),0)</f>
        <v>0</v>
      </c>
      <c r="X404" s="36"/>
      <c r="Y404" s="36"/>
      <c r="Z404" s="36"/>
      <c r="AA404" s="36"/>
      <c r="AB404" s="36"/>
      <c r="AC404" s="36"/>
      <c r="AD404" s="36"/>
      <c r="AE404" s="36"/>
      <c r="AF404" s="36"/>
      <c r="AG404" s="36"/>
      <c r="AH404" s="36"/>
      <c r="AI404" s="36"/>
      <c r="AJ404" s="36"/>
      <c r="AK404" s="36"/>
      <c r="AL404" s="36"/>
      <c r="AM404" s="36"/>
    </row>
    <row r="405" spans="6:39" ht="15" customHeight="1" outlineLevel="1">
      <c r="G405" s="6" t="s">
        <v>203</v>
      </c>
      <c r="H405" s="838"/>
      <c r="I405" s="838">
        <f>IFERROR((ROUNDUP(I402,1)*((1/60)*(#REF!+#REF!*(#REF!+(#REF!*(Baseline_Results_NOINDIRECT!I$52/#REF!/#REF!))))))+((2*#REF!)/#REF!)+(((MAX(I402,1)-1)*#REF!)/#REF!),0)</f>
        <v>0</v>
      </c>
      <c r="J405" s="838">
        <f>IFERROR((ROUNDUP(J402,1)*((1/60)*(#REF!+#REF!*(#REF!+(#REF!*(Baseline_Results_NOINDIRECT!J$52/#REF!/#REF!))))))+((2*#REF!)/#REF!)+(((MAX(J402,1)-1)*#REF!)/#REF!),0)</f>
        <v>0</v>
      </c>
      <c r="K405" s="838">
        <f>IFERROR((ROUNDUP(K402,1)*((1/60)*(#REF!+#REF!*(#REF!+(#REF!*(Baseline_Results_NOINDIRECT!K$52/#REF!/#REF!))))))+((2*#REF!)/#REF!)+(((MAX(K402,1)-1)*#REF!)/#REF!),0)</f>
        <v>0</v>
      </c>
      <c r="L405" s="838">
        <f>IFERROR((ROUNDUP(L402,1)*((1/60)*(#REF!+#REF!*(#REF!+(#REF!*(Baseline_Results_NOINDIRECT!L$52/#REF!/#REF!))))))+((2*#REF!)/#REF!)+(((MAX(L402,1)-1)*#REF!)/#REF!),0)</f>
        <v>0</v>
      </c>
      <c r="M405" s="838">
        <f>IFERROR((ROUNDUP(M402,1)*((1/60)*(#REF!+#REF!*(#REF!+(#REF!*(Baseline_Results_NOINDIRECT!M$52/#REF!/#REF!))))))+((2*#REF!)/#REF!)+(((MAX(M402,1)-1)*#REF!)/#REF!),0)</f>
        <v>0</v>
      </c>
      <c r="N405" s="838">
        <f>IFERROR((ROUNDUP(N402,1)*((1/60)*(#REF!+#REF!*(#REF!+(#REF!*(Baseline_Results_NOINDIRECT!N$52/#REF!/#REF!))))))+((2*#REF!)/#REF!)+(((MAX(N402,1)-1)*#REF!)/#REF!),0)</f>
        <v>0</v>
      </c>
      <c r="O405" s="838">
        <f>IFERROR((ROUNDUP(O402,1)*((1/60)*(#REF!+#REF!*(#REF!+(#REF!*(Baseline_Results_NOINDIRECT!O$52/#REF!/#REF!))))))+((2*#REF!)/#REF!)+(((MAX(O402,1)-1)*#REF!)/#REF!),0)</f>
        <v>0</v>
      </c>
      <c r="P405" s="838">
        <f>IFERROR((ROUNDUP(P402,1)*((1/60)*(#REF!+#REF!*(#REF!+(#REF!*(Baseline_Results_NOINDIRECT!P$52/#REF!/#REF!))))))+((2*#REF!)/#REF!)+(((MAX(P402,1)-1)*#REF!)/#REF!),0)</f>
        <v>0</v>
      </c>
      <c r="Q405" s="838">
        <f>IFERROR((ROUNDUP(Q402,1)*((1/60)*(#REF!+#REF!*(#REF!+(#REF!*(Baseline_Results_NOINDIRECT!Q$52/#REF!/#REF!))))))+((2*#REF!)/#REF!)+(((MAX(Q402,1)-1)*#REF!)/#REF!),0)</f>
        <v>0</v>
      </c>
      <c r="R405" s="838">
        <f>IFERROR((ROUNDUP(R402,1)*((1/60)*(#REF!+#REF!*(#REF!+(#REF!*(Baseline_Results_NOINDIRECT!R$52/#REF!/#REF!))))))+((2*#REF!)/#REF!)+(((MAX(R402,1)-1)*#REF!)/#REF!),0)</f>
        <v>0</v>
      </c>
      <c r="S405" s="838">
        <f>IFERROR((ROUNDUP(S402,1)*((1/60)*(#REF!+#REF!*(#REF!+(#REF!*(Baseline_Results_NOINDIRECT!S$52/#REF!/#REF!))))))+((2*#REF!)/#REF!)+(((MAX(S402,1)-1)*#REF!)/#REF!),0)</f>
        <v>0</v>
      </c>
      <c r="T405" s="838">
        <f>IFERROR((ROUNDUP(T402,1)*((1/60)*(#REF!+#REF!*(#REF!+(#REF!*(Baseline_Results_NOINDIRECT!T$52/#REF!/#REF!))))))+((2*#REF!)/#REF!)+(((MAX(T402,1)-1)*#REF!)/#REF!),0)</f>
        <v>0</v>
      </c>
      <c r="U405" s="838">
        <f>IFERROR((ROUNDUP(U402,1)*((1/60)*(#REF!+#REF!*(#REF!+(#REF!*(Baseline_Results_NOINDIRECT!U$52/#REF!/#REF!))))))+((2*#REF!)/#REF!)+(((MAX(U402,1)-1)*#REF!)/#REF!),0)</f>
        <v>0</v>
      </c>
      <c r="V405" s="838">
        <f>IFERROR((ROUNDUP(V402,1)*((1/60)*(#REF!+#REF!*(#REF!+(#REF!*(Baseline_Results_NOINDIRECT!V$52/#REF!/#REF!))))))+((2*#REF!)/#REF!)+(((MAX(V402,1)-1)*#REF!)/#REF!),0)</f>
        <v>0</v>
      </c>
      <c r="W405" s="838">
        <f>IFERROR((ROUNDUP(W402,1)*((1/60)*(#REF!+#REF!*(#REF!+(#REF!*(Baseline_Results_NOINDIRECT!W$52/#REF!/#REF!))))))+((2*#REF!)/#REF!)+(((MAX(W402,1)-1)*#REF!)/#REF!),0)</f>
        <v>0</v>
      </c>
      <c r="X405" s="36"/>
      <c r="Y405" s="36"/>
      <c r="Z405" s="36"/>
      <c r="AA405" s="36"/>
      <c r="AB405" s="36"/>
      <c r="AC405" s="36"/>
      <c r="AD405" s="36"/>
      <c r="AE405" s="36"/>
      <c r="AF405" s="36"/>
      <c r="AG405" s="36"/>
      <c r="AH405" s="36"/>
      <c r="AI405" s="36"/>
      <c r="AJ405" s="36"/>
      <c r="AK405" s="36"/>
      <c r="AL405" s="36"/>
      <c r="AM405" s="36"/>
    </row>
    <row r="406" spans="6:39" ht="15" customHeight="1" outlineLevel="1">
      <c r="G406" s="6" t="s">
        <v>204</v>
      </c>
      <c r="H406" s="838"/>
      <c r="I406" s="838">
        <f>IFERROR((#REF!*#REF!*#REF!)/I405,0)</f>
        <v>0</v>
      </c>
      <c r="J406" s="838">
        <f>IFERROR((#REF!*#REF!*#REF!)/J405,0)</f>
        <v>0</v>
      </c>
      <c r="K406" s="838">
        <f>IFERROR((#REF!*#REF!*#REF!)/K405,0)</f>
        <v>0</v>
      </c>
      <c r="L406" s="838">
        <f>IFERROR((#REF!*#REF!*#REF!)/L405,0)</f>
        <v>0</v>
      </c>
      <c r="M406" s="838">
        <f>IFERROR((#REF!*#REF!*#REF!)/M405,0)</f>
        <v>0</v>
      </c>
      <c r="N406" s="838">
        <f>IFERROR((#REF!*#REF!*#REF!)/N405,0)</f>
        <v>0</v>
      </c>
      <c r="O406" s="838">
        <f>IFERROR((#REF!*#REF!*#REF!)/O405,0)</f>
        <v>0</v>
      </c>
      <c r="P406" s="838">
        <f>IFERROR((#REF!*#REF!*#REF!)/P405,0)</f>
        <v>0</v>
      </c>
      <c r="Q406" s="838">
        <f>IFERROR((#REF!*#REF!*#REF!)/Q405,0)</f>
        <v>0</v>
      </c>
      <c r="R406" s="838">
        <f>IFERROR((#REF!*#REF!*#REF!)/R405,0)</f>
        <v>0</v>
      </c>
      <c r="S406" s="838">
        <f>IFERROR((#REF!*#REF!*#REF!)/S405,0)</f>
        <v>0</v>
      </c>
      <c r="T406" s="838">
        <f>IFERROR((#REF!*#REF!*#REF!)/T405,0)</f>
        <v>0</v>
      </c>
      <c r="U406" s="838">
        <f>IFERROR((#REF!*#REF!*#REF!)/U405,0)</f>
        <v>0</v>
      </c>
      <c r="V406" s="838">
        <f>IFERROR((#REF!*#REF!*#REF!)/V405,0)</f>
        <v>0</v>
      </c>
      <c r="W406" s="838">
        <f>IFERROR((#REF!*#REF!*#REF!)/W405,0)</f>
        <v>0</v>
      </c>
      <c r="X406" s="36"/>
      <c r="Y406" s="36"/>
      <c r="Z406" s="36"/>
      <c r="AA406" s="36"/>
      <c r="AB406" s="36"/>
      <c r="AC406" s="36"/>
      <c r="AD406" s="36"/>
      <c r="AE406" s="36"/>
      <c r="AF406" s="36"/>
      <c r="AG406" s="36"/>
      <c r="AH406" s="36"/>
      <c r="AI406" s="36"/>
      <c r="AJ406" s="242"/>
      <c r="AK406" s="36"/>
      <c r="AL406" s="36"/>
      <c r="AM406" s="36"/>
    </row>
    <row r="407" spans="6:39" ht="15" customHeight="1" outlineLevel="1">
      <c r="G407" s="241" t="s">
        <v>134</v>
      </c>
      <c r="H407" s="842"/>
      <c r="I407" s="842"/>
      <c r="J407" s="842"/>
      <c r="K407" s="842"/>
      <c r="L407" s="842"/>
      <c r="M407" s="842"/>
      <c r="N407" s="842"/>
      <c r="O407" s="842"/>
      <c r="P407" s="842"/>
      <c r="Q407" s="842"/>
      <c r="R407" s="853"/>
      <c r="S407" s="853"/>
      <c r="T407" s="842"/>
      <c r="U407" s="853"/>
      <c r="V407" s="853"/>
      <c r="W407" s="842"/>
      <c r="X407" s="36"/>
      <c r="Y407" s="36"/>
      <c r="Z407" s="36"/>
      <c r="AA407" s="36"/>
      <c r="AB407" s="36"/>
      <c r="AC407" s="36"/>
      <c r="AD407" s="36"/>
      <c r="AE407" s="36"/>
      <c r="AF407" s="36"/>
      <c r="AG407" s="36"/>
      <c r="AH407" s="36"/>
      <c r="AI407" s="36"/>
      <c r="AJ407" s="242"/>
      <c r="AK407" s="36"/>
      <c r="AL407" s="36"/>
      <c r="AM407" s="36"/>
    </row>
    <row r="408" spans="6:39" ht="15" customHeight="1" outlineLevel="1">
      <c r="G408" s="6" t="s">
        <v>206</v>
      </c>
      <c r="H408" s="836"/>
      <c r="I408" s="836">
        <f>IFERROR(I397*#REF!,0)</f>
        <v>0</v>
      </c>
      <c r="J408" s="836">
        <f>IFERROR(J397*#REF!,0)</f>
        <v>0</v>
      </c>
      <c r="K408" s="836">
        <f>IFERROR(K397*#REF!,0)</f>
        <v>0</v>
      </c>
      <c r="L408" s="836">
        <f>IFERROR(L397*#REF!,0)</f>
        <v>0</v>
      </c>
      <c r="M408" s="836">
        <f>IFERROR(M397*#REF!,0)</f>
        <v>0</v>
      </c>
      <c r="N408" s="836">
        <f>IFERROR(N397*#REF!,0)</f>
        <v>0</v>
      </c>
      <c r="O408" s="836">
        <f>IFERROR(O397*#REF!,0)</f>
        <v>0</v>
      </c>
      <c r="P408" s="836">
        <f>IFERROR(P397*#REF!,0)</f>
        <v>0</v>
      </c>
      <c r="Q408" s="836">
        <f>IFERROR(Q397*#REF!,0)</f>
        <v>0</v>
      </c>
      <c r="R408" s="836">
        <f>IFERROR(R397*#REF!,0)</f>
        <v>0</v>
      </c>
      <c r="S408" s="836">
        <f>IFERROR(S397*#REF!,0)</f>
        <v>0</v>
      </c>
      <c r="T408" s="836">
        <f>IFERROR(T397*#REF!,0)</f>
        <v>0</v>
      </c>
      <c r="U408" s="836">
        <f>IFERROR(U397*#REF!,0)</f>
        <v>0</v>
      </c>
      <c r="V408" s="836">
        <f>IFERROR(V397*#REF!,0)</f>
        <v>0</v>
      </c>
      <c r="W408" s="836">
        <f>IFERROR(W397*#REF!,0)</f>
        <v>0</v>
      </c>
      <c r="X408" s="36"/>
      <c r="Y408" s="36"/>
      <c r="Z408" s="36"/>
      <c r="AA408" s="36" t="s">
        <v>192</v>
      </c>
      <c r="AB408" s="36"/>
      <c r="AC408" s="36" t="s">
        <v>193</v>
      </c>
      <c r="AD408" s="36"/>
      <c r="AE408" s="36"/>
      <c r="AF408" s="36"/>
      <c r="AG408" s="36"/>
      <c r="AH408" s="36"/>
      <c r="AI408" s="36"/>
      <c r="AJ408" s="36"/>
      <c r="AK408" s="36"/>
      <c r="AL408" s="36"/>
      <c r="AM408" s="36"/>
    </row>
    <row r="409" spans="6:39" ht="15" customHeight="1" outlineLevel="1">
      <c r="G409" s="6" t="s">
        <v>87</v>
      </c>
      <c r="H409" s="836"/>
      <c r="I409" s="836">
        <f>IFERROR(IF(I397=0,0,2*#REF!),0)</f>
        <v>0</v>
      </c>
      <c r="J409" s="836">
        <f>IFERROR(IF(J397=0,0,2*#REF!),0)</f>
        <v>0</v>
      </c>
      <c r="K409" s="836">
        <f>IFERROR(IF(K397=0,0,2*#REF!),0)</f>
        <v>0</v>
      </c>
      <c r="L409" s="836">
        <f>IFERROR(IF(L397=0,0,2*#REF!),0)</f>
        <v>0</v>
      </c>
      <c r="M409" s="836">
        <f>IFERROR(IF(M397=0,0,2*#REF!),0)</f>
        <v>0</v>
      </c>
      <c r="N409" s="836">
        <f>IFERROR(IF(N397=0,0,2*#REF!),0)</f>
        <v>0</v>
      </c>
      <c r="O409" s="836">
        <f>IFERROR(IF(O397=0,0,2*#REF!),0)</f>
        <v>0</v>
      </c>
      <c r="P409" s="836">
        <f>IFERROR(IF(P397=0,0,2*#REF!),0)</f>
        <v>0</v>
      </c>
      <c r="Q409" s="836">
        <f>IFERROR(IF(Q397=0,0,2*#REF!),0)</f>
        <v>0</v>
      </c>
      <c r="R409" s="836">
        <f>IFERROR(IF(R397=0,0,2*#REF!),0)</f>
        <v>0</v>
      </c>
      <c r="S409" s="836">
        <f>IFERROR(IF(S397=0,0,2*#REF!),0)</f>
        <v>0</v>
      </c>
      <c r="T409" s="836">
        <f>IFERROR(IF(T397=0,0,2*#REF!),0)</f>
        <v>0</v>
      </c>
      <c r="U409" s="836">
        <f>IFERROR(IF(U397=0,0,2*#REF!),0)</f>
        <v>0</v>
      </c>
      <c r="V409" s="836">
        <f>IFERROR(IF(V397=0,0,2*#REF!),0)</f>
        <v>0</v>
      </c>
      <c r="W409" s="836">
        <f>IFERROR(IF(W397=0,0,2*#REF!),0)</f>
        <v>0</v>
      </c>
      <c r="X409" s="36"/>
      <c r="Y409" s="36"/>
      <c r="Z409" s="36"/>
      <c r="AA409" s="36" t="s">
        <v>194</v>
      </c>
      <c r="AB409" s="36"/>
      <c r="AC409" s="36" t="s">
        <v>195</v>
      </c>
      <c r="AD409" s="36"/>
      <c r="AE409" s="36"/>
      <c r="AF409" s="36"/>
      <c r="AG409" s="36"/>
      <c r="AH409" s="36"/>
      <c r="AI409" s="36"/>
      <c r="AJ409" s="36"/>
      <c r="AK409" s="36"/>
      <c r="AL409" s="36"/>
      <c r="AM409" s="36"/>
    </row>
    <row r="410" spans="6:39" ht="15" customHeight="1" outlineLevel="1">
      <c r="G410" s="6" t="s">
        <v>204</v>
      </c>
      <c r="H410" s="837"/>
      <c r="I410" s="837">
        <f>IFERROR((#REF!*#REF!*#REF!)/((I409/#REF!)+((1/60)*(#REF!+#REF!*(#REF!+(#REF!*(Baseline_Results_NOINDIRECT!I$52/#REF!/#REF!)))))),0)</f>
        <v>0</v>
      </c>
      <c r="J410" s="837">
        <f>IFERROR((#REF!*#REF!*#REF!)/((J409/#REF!)+((1/60)*(#REF!+#REF!*(#REF!+(#REF!*(Baseline_Results_NOINDIRECT!J$52/#REF!/#REF!)))))),0)</f>
        <v>0</v>
      </c>
      <c r="K410" s="837">
        <f>IFERROR((#REF!*#REF!*#REF!)/((K409/#REF!)+((1/60)*(#REF!+#REF!*(#REF!+(#REF!*(Baseline_Results_NOINDIRECT!K$52/#REF!/#REF!)))))),0)</f>
        <v>0</v>
      </c>
      <c r="L410" s="837">
        <f>IFERROR((#REF!*#REF!*#REF!)/((L409/#REF!)+((1/60)*(#REF!+#REF!*(#REF!+(#REF!*(Baseline_Results_NOINDIRECT!L$52/#REF!/#REF!)))))),0)</f>
        <v>0</v>
      </c>
      <c r="M410" s="837">
        <f>IFERROR((#REF!*#REF!*#REF!)/((M409/#REF!)+((1/60)*(#REF!+#REF!*(#REF!+(#REF!*(Baseline_Results_NOINDIRECT!M$52/#REF!/#REF!)))))),0)</f>
        <v>0</v>
      </c>
      <c r="N410" s="837">
        <f>IFERROR((#REF!*#REF!*#REF!)/((N409/#REF!)+((1/60)*(#REF!+#REF!*(#REF!+(#REF!*(Baseline_Results_NOINDIRECT!N$52/#REF!/#REF!)))))),0)</f>
        <v>0</v>
      </c>
      <c r="O410" s="837">
        <f>IFERROR((#REF!*#REF!*#REF!)/((O409/#REF!)+((1/60)*(#REF!+#REF!*(#REF!+(#REF!*(Baseline_Results_NOINDIRECT!O$52/#REF!/#REF!)))))),0)</f>
        <v>0</v>
      </c>
      <c r="P410" s="837">
        <f>IFERROR((#REF!*#REF!*#REF!)/((P409/#REF!)+((1/60)*(#REF!+#REF!*(#REF!+(#REF!*(Baseline_Results_NOINDIRECT!P$52/#REF!/#REF!)))))),0)</f>
        <v>0</v>
      </c>
      <c r="Q410" s="837">
        <f>IFERROR((#REF!*#REF!*#REF!)/((Q409/#REF!)+((1/60)*(#REF!+#REF!*(#REF!+(#REF!*(Baseline_Results_NOINDIRECT!Q$52/#REF!/#REF!)))))),0)</f>
        <v>0</v>
      </c>
      <c r="R410" s="837">
        <f>IFERROR((#REF!*#REF!*#REF!)/((R409/#REF!)+((1/60)*(#REF!+#REF!*(#REF!+(#REF!*(Baseline_Results_NOINDIRECT!R$52/#REF!/#REF!)))))),0)</f>
        <v>0</v>
      </c>
      <c r="S410" s="837">
        <f>IFERROR((#REF!*#REF!*#REF!)/((S409/#REF!)+((1/60)*(#REF!+#REF!*(#REF!+(#REF!*(Baseline_Results_NOINDIRECT!S$52/#REF!/#REF!)))))),0)</f>
        <v>0</v>
      </c>
      <c r="T410" s="837">
        <f>IFERROR((#REF!*#REF!*#REF!)/((T409/#REF!)+((1/60)*(#REF!+#REF!*(#REF!+(#REF!*(Baseline_Results_NOINDIRECT!T$52/#REF!/#REF!)))))),0)</f>
        <v>0</v>
      </c>
      <c r="U410" s="837">
        <f>IFERROR((#REF!*#REF!*#REF!)/((U409/#REF!)+((1/60)*(#REF!+#REF!*(#REF!+(#REF!*(Baseline_Results_NOINDIRECT!U$52/#REF!/#REF!)))))),0)</f>
        <v>0</v>
      </c>
      <c r="V410" s="837">
        <f>IFERROR((#REF!*#REF!*#REF!)/((V409/#REF!)+((1/60)*(#REF!+#REF!*(#REF!+(#REF!*(Baseline_Results_NOINDIRECT!V$52/#REF!/#REF!)))))),0)</f>
        <v>0</v>
      </c>
      <c r="W410" s="837">
        <f>IFERROR((#REF!*#REF!*#REF!)/((W409/#REF!)+((1/60)*(#REF!+#REF!*(#REF!+(#REF!*(Baseline_Results_NOINDIRECT!W$52/#REF!/#REF!)))))),0)</f>
        <v>0</v>
      </c>
      <c r="X410" s="36"/>
      <c r="Y410" s="36"/>
      <c r="Z410" s="36"/>
      <c r="AA410" s="36" t="s">
        <v>196</v>
      </c>
      <c r="AB410" s="36"/>
      <c r="AC410" s="36" t="s">
        <v>197</v>
      </c>
      <c r="AD410" s="36"/>
      <c r="AE410" s="36"/>
      <c r="AF410" s="36"/>
      <c r="AG410" s="36"/>
      <c r="AH410" s="36"/>
      <c r="AI410" s="36"/>
      <c r="AJ410" s="36"/>
      <c r="AK410" s="36"/>
      <c r="AL410" s="36"/>
      <c r="AM410" s="36"/>
    </row>
    <row r="411" spans="6:39" ht="15" customHeight="1">
      <c r="F411" s="854" t="s">
        <v>214</v>
      </c>
      <c r="G411" s="855"/>
      <c r="H411" s="875"/>
      <c r="I411" s="875"/>
      <c r="J411" s="875"/>
      <c r="K411" s="875" t="s">
        <v>842</v>
      </c>
      <c r="L411" s="875"/>
      <c r="M411" s="875"/>
      <c r="N411" s="875" t="s">
        <v>843</v>
      </c>
      <c r="O411" s="875"/>
      <c r="P411" s="875"/>
      <c r="Q411" s="876" t="s">
        <v>844</v>
      </c>
      <c r="R411" s="833"/>
      <c r="S411" s="833"/>
      <c r="T411" s="876" t="s">
        <v>845</v>
      </c>
      <c r="U411" s="835"/>
      <c r="V411" s="835"/>
      <c r="W411" s="876" t="s">
        <v>846</v>
      </c>
      <c r="X411" s="36"/>
      <c r="Y411" s="36"/>
      <c r="Z411" s="36"/>
      <c r="AA411" s="36"/>
      <c r="AB411" s="36"/>
      <c r="AC411" s="36"/>
      <c r="AD411" s="36"/>
      <c r="AE411" s="36"/>
      <c r="AF411" s="36"/>
      <c r="AG411" s="36"/>
      <c r="AH411" s="36"/>
      <c r="AI411" s="36"/>
      <c r="AJ411" s="36"/>
      <c r="AK411" s="36"/>
      <c r="AL411" s="36"/>
      <c r="AM411" s="36"/>
    </row>
    <row r="412" spans="6:39" ht="15" customHeight="1" outlineLevel="1">
      <c r="F412" s="77" t="s">
        <v>149</v>
      </c>
      <c r="G412" s="77"/>
      <c r="H412" s="877"/>
      <c r="I412" s="877"/>
      <c r="J412" s="877"/>
      <c r="K412" s="877"/>
      <c r="L412" s="877"/>
      <c r="M412" s="877"/>
      <c r="N412" s="877"/>
      <c r="O412" s="878"/>
      <c r="P412" s="878"/>
      <c r="Q412" s="879"/>
      <c r="R412" s="835"/>
      <c r="S412" s="835"/>
      <c r="T412" s="879"/>
      <c r="U412" s="835"/>
      <c r="V412" s="835"/>
      <c r="W412" s="879"/>
      <c r="X412" s="36"/>
      <c r="Y412" s="36"/>
      <c r="Z412" s="36"/>
      <c r="AA412" s="36"/>
      <c r="AB412" s="36"/>
      <c r="AC412" s="36"/>
      <c r="AD412" s="36"/>
      <c r="AE412" s="36"/>
      <c r="AF412" s="36"/>
      <c r="AG412" s="36"/>
      <c r="AH412" s="36"/>
      <c r="AI412" s="36"/>
      <c r="AJ412" s="242"/>
      <c r="AK412" s="36"/>
      <c r="AL412" s="36"/>
      <c r="AM412" s="36"/>
    </row>
    <row r="413" spans="6:39" ht="15" customHeight="1" outlineLevel="1">
      <c r="G413" s="6" t="s">
        <v>146</v>
      </c>
      <c r="H413" s="837"/>
      <c r="I413" s="837">
        <f>IFERROR(IF(COUNTIF(#REF!,"Public Transport*")=1,IF(#REF!="Route-based",I420*#REF!,IF(#REF!="Point-to-point",I423*#REF!,0)),0),0)</f>
        <v>0</v>
      </c>
      <c r="J413" s="837">
        <f>IFERROR(IF(COUNTIF(#REF!,"Public Transport*")=1,IF(#REF!="Route-based",J420*#REF!,IF(#REF!="Point-to-point",J423*#REF!,0)),0),0)</f>
        <v>0</v>
      </c>
      <c r="K413" s="837">
        <f>IFERROR(IF(COUNTIF(#REF!,"Public Transport*")=1,IF(#REF!="Route-based",K420*#REF!,IF(#REF!="Point-to-point",K423*#REF!,0)),0),0)</f>
        <v>0</v>
      </c>
      <c r="L413" s="837">
        <f>IFERROR(IF(COUNTIF(#REF!,"Public Transport*")=1,IF(#REF!="Route-based",L420*#REF!,IF(#REF!="Point-to-point",L423*#REF!,0)),0),0)</f>
        <v>0</v>
      </c>
      <c r="M413" s="837">
        <f>IFERROR(IF(COUNTIF(#REF!,"Public Transport*")=1,IF(#REF!="Route-based",M420*#REF!,IF(#REF!="Point-to-point",M423*#REF!,0)),0),0)</f>
        <v>0</v>
      </c>
      <c r="N413" s="837">
        <f>IFERROR(IF(COUNTIF(#REF!,"Public Transport*")=1,IF(#REF!="Route-based",N420*#REF!,IF(#REF!="Point-to-point",N423*#REF!,0)),0),0)</f>
        <v>0</v>
      </c>
      <c r="O413" s="837">
        <f>IFERROR(IF(COUNTIF(#REF!,"Public Transport*")=1,IF(#REF!="Route-based",O420*#REF!,IF(#REF!="Point-to-point",O423*#REF!,0)),0),0)</f>
        <v>0</v>
      </c>
      <c r="P413" s="837">
        <f>IFERROR(IF(COUNTIF(#REF!,"Public Transport*")=1,IF(#REF!="Route-based",P420*#REF!,IF(#REF!="Point-to-point",P423*#REF!,0)),0),0)</f>
        <v>0</v>
      </c>
      <c r="Q413" s="837">
        <f>IFERROR(IF(COUNTIF(#REF!,"Public Transport*")=1,IF(#REF!="Route-based",Q420*#REF!,IF(#REF!="Point-to-point",Q423*#REF!,0)),0),0)</f>
        <v>0</v>
      </c>
      <c r="R413" s="837">
        <f>IFERROR(IF(COUNTIF(#REF!,"Public Transport*")=1,IF(#REF!="Route-based",R420*#REF!,IF(#REF!="Point-to-point",R423*#REF!,0)),0),0)</f>
        <v>0</v>
      </c>
      <c r="S413" s="837">
        <f>IFERROR(IF(COUNTIF(#REF!,"Public Transport*")=1,IF(#REF!="Route-based",S420*#REF!,IF(#REF!="Point-to-point",S423*#REF!,0)),0),0)</f>
        <v>0</v>
      </c>
      <c r="T413" s="837">
        <f>IFERROR(IF(COUNTIF(#REF!,"Public Transport*")=1,IF(#REF!="Route-based",T420*#REF!,IF(#REF!="Point-to-point",T423*#REF!,0)),0),0)</f>
        <v>0</v>
      </c>
      <c r="U413" s="837">
        <f>IFERROR(IF(COUNTIF(#REF!,"Public Transport*")=1,IF(#REF!="Route-based",U420*#REF!,IF(#REF!="Point-to-point",U423*#REF!,0)),0),0)</f>
        <v>0</v>
      </c>
      <c r="V413" s="837">
        <f>IFERROR(IF(COUNTIF(#REF!,"Public Transport*")=1,IF(#REF!="Route-based",V420*#REF!,IF(#REF!="Point-to-point",V423*#REF!,0)),0),0)</f>
        <v>0</v>
      </c>
      <c r="W413" s="837">
        <f>IFERROR(IF(COUNTIF(#REF!,"Public Transport*")=1,IF(#REF!="Route-based",W420*#REF!,IF(#REF!="Point-to-point",W423*#REF!,0)),0),0)</f>
        <v>0</v>
      </c>
      <c r="X413" s="36"/>
      <c r="Y413" s="36"/>
      <c r="Z413" s="36"/>
      <c r="AA413" s="36"/>
      <c r="AB413" s="36"/>
      <c r="AC413" s="36"/>
      <c r="AD413" s="36"/>
      <c r="AE413" s="36"/>
      <c r="AF413" s="36"/>
      <c r="AG413" s="36"/>
      <c r="AH413" s="36"/>
      <c r="AI413" s="36"/>
      <c r="AJ413" s="242"/>
      <c r="AK413" s="36"/>
      <c r="AL413" s="36"/>
      <c r="AM413" s="36"/>
    </row>
    <row r="414" spans="6:39" ht="15" customHeight="1" outlineLevel="1">
      <c r="G414" s="6" t="s">
        <v>147</v>
      </c>
      <c r="H414" s="837"/>
      <c r="I414" s="837">
        <f>IFERROR(IF(#REF!="Route-based",I421*#REF!,IF(#REF!="Point-to-point",I424*#REF!,0)),0)</f>
        <v>0</v>
      </c>
      <c r="J414" s="837">
        <f>IFERROR(IF(#REF!="Route-based",J421*#REF!,IF(#REF!="Point-to-point",J424*#REF!,0)),0)</f>
        <v>0</v>
      </c>
      <c r="K414" s="837">
        <f>IFERROR(IF(#REF!="Route-based",K421*#REF!,IF(#REF!="Point-to-point",K424*#REF!,0)),0)</f>
        <v>0</v>
      </c>
      <c r="L414" s="837">
        <f>IFERROR(IF(#REF!="Route-based",L421*#REF!,IF(#REF!="Point-to-point",L424*#REF!,0)),0)</f>
        <v>0</v>
      </c>
      <c r="M414" s="837">
        <f>IFERROR(IF(#REF!="Route-based",M421*#REF!,IF(#REF!="Point-to-point",M424*#REF!,0)),0)</f>
        <v>0</v>
      </c>
      <c r="N414" s="837">
        <f>IFERROR(IF(#REF!="Route-based",N421*#REF!,IF(#REF!="Point-to-point",N424*#REF!,0)),0)</f>
        <v>0</v>
      </c>
      <c r="O414" s="837">
        <f>IFERROR(IF(#REF!="Route-based",O421*#REF!,IF(#REF!="Point-to-point",O424*#REF!,0)),0)</f>
        <v>0</v>
      </c>
      <c r="P414" s="837">
        <f>IFERROR(IF(#REF!="Route-based",P421*#REF!,IF(#REF!="Point-to-point",P424*#REF!,0)),0)</f>
        <v>0</v>
      </c>
      <c r="Q414" s="837">
        <f>IFERROR(IF(#REF!="Route-based",Q421*#REF!,IF(#REF!="Point-to-point",Q424*#REF!,0)),0)</f>
        <v>0</v>
      </c>
      <c r="R414" s="837">
        <f>IFERROR(IF(#REF!="Route-based",R421*#REF!,IF(#REF!="Point-to-point",R424*#REF!,0)),0)</f>
        <v>0</v>
      </c>
      <c r="S414" s="837">
        <f>IFERROR(IF(#REF!="Route-based",S421*#REF!,IF(#REF!="Point-to-point",S424*#REF!,0)),0)</f>
        <v>0</v>
      </c>
      <c r="T414" s="837">
        <f>IFERROR(IF(#REF!="Route-based",T421*#REF!,IF(#REF!="Point-to-point",T424*#REF!,0)),0)</f>
        <v>0</v>
      </c>
      <c r="U414" s="837">
        <f>IFERROR(IF(#REF!="Route-based",U421*#REF!,IF(#REF!="Point-to-point",U424*#REF!,0)),0)</f>
        <v>0</v>
      </c>
      <c r="V414" s="837">
        <f>IFERROR(IF(#REF!="Route-based",V421*#REF!,IF(#REF!="Point-to-point",V424*#REF!,0)),0)</f>
        <v>0</v>
      </c>
      <c r="W414" s="837">
        <f>IFERROR(IF(#REF!="Route-based",W421*#REF!,IF(#REF!="Point-to-point",W424*#REF!,0)),0)</f>
        <v>0</v>
      </c>
      <c r="X414" s="36"/>
      <c r="Y414" s="36"/>
      <c r="Z414" s="36"/>
      <c r="AA414" s="36"/>
      <c r="AB414" s="36"/>
      <c r="AC414" s="36"/>
      <c r="AD414" s="36"/>
      <c r="AE414" s="36"/>
      <c r="AF414" s="36"/>
      <c r="AG414" s="36"/>
      <c r="AH414" s="36"/>
      <c r="AI414" s="36"/>
      <c r="AJ414" s="242"/>
      <c r="AK414" s="36"/>
      <c r="AL414" s="36"/>
      <c r="AM414" s="36"/>
    </row>
    <row r="415" spans="6:39" ht="15" customHeight="1" outlineLevel="1">
      <c r="G415" s="6" t="s">
        <v>142</v>
      </c>
      <c r="H415" s="841"/>
      <c r="I415" s="841">
        <f>IFERROR(IF(COUNTIF(#REF!,"Public Transport*")&gt;0,ROUND(#REF!*#REF!,0),0),0)</f>
        <v>0</v>
      </c>
      <c r="J415" s="841">
        <f>IFERROR(IF(COUNTIF(#REF!,"Public Transport*")&gt;0,ROUND(#REF!*#REF!,0),0),0)</f>
        <v>0</v>
      </c>
      <c r="K415" s="841">
        <f>IFERROR(IF(COUNTIF(#REF!,"Public Transport*")&gt;0,ROUND(#REF!*#REF!,0),0),0)</f>
        <v>0</v>
      </c>
      <c r="L415" s="841">
        <f>IFERROR(IF(COUNTIF(#REF!,"Public Transport*")&gt;0,ROUND(#REF!*#REF!,0),0),0)</f>
        <v>0</v>
      </c>
      <c r="M415" s="841">
        <f>IFERROR(IF(COUNTIF(#REF!,"Public Transport*")&gt;0,ROUND(#REF!*#REF!,0),0),0)</f>
        <v>0</v>
      </c>
      <c r="N415" s="841">
        <f>IFERROR(IF(COUNTIF(#REF!,"Public Transport*")&gt;0,ROUND(#REF!*#REF!,0),0),0)</f>
        <v>0</v>
      </c>
      <c r="O415" s="841">
        <f>IFERROR(IF(COUNTIF(#REF!,"Public Transport*")&gt;0,ROUND(#REF!*#REF!,0),0),0)</f>
        <v>0</v>
      </c>
      <c r="P415" s="841">
        <f>IFERROR(IF(COUNTIF(#REF!,"Public Transport*")&gt;0,ROUND(#REF!*#REF!,0),0),0)</f>
        <v>0</v>
      </c>
      <c r="Q415" s="841">
        <f>IFERROR(IF(COUNTIF(#REF!,"Public Transport*")&gt;0,ROUND(#REF!*#REF!,0),0),0)</f>
        <v>0</v>
      </c>
      <c r="R415" s="841">
        <f>IFERROR(IF(COUNTIF(#REF!,"Public Transport*")&gt;0,ROUND(#REF!*#REF!,0),0),0)</f>
        <v>0</v>
      </c>
      <c r="S415" s="841">
        <f>IFERROR(IF(COUNTIF(#REF!,"Public Transport*")&gt;0,ROUND(#REF!*#REF!,0),0),0)</f>
        <v>0</v>
      </c>
      <c r="T415" s="841">
        <f>IFERROR(IF(COUNTIF(#REF!,"Public Transport*")&gt;0,ROUND(#REF!*#REF!,0),0),0)</f>
        <v>0</v>
      </c>
      <c r="U415" s="841">
        <f>IFERROR(IF(COUNTIF(#REF!,"Public Transport*")&gt;0,ROUND(#REF!*#REF!,0),0),0)</f>
        <v>0</v>
      </c>
      <c r="V415" s="841">
        <f>IFERROR(IF(COUNTIF(#REF!,"Public Transport*")&gt;0,ROUND(#REF!*#REF!,0),0),0)</f>
        <v>0</v>
      </c>
      <c r="W415" s="841">
        <f>IFERROR(IF(COUNTIF(#REF!,"Public Transport*")&gt;0,ROUND(#REF!*#REF!,0),0),0)</f>
        <v>0</v>
      </c>
      <c r="X415" s="36"/>
      <c r="Y415" s="36"/>
      <c r="Z415" s="36"/>
      <c r="AA415" s="36"/>
      <c r="AB415" s="36"/>
      <c r="AC415" s="36"/>
      <c r="AD415" s="36"/>
      <c r="AE415" s="36"/>
      <c r="AF415" s="36"/>
      <c r="AG415" s="36"/>
      <c r="AH415" s="36"/>
      <c r="AI415" s="36"/>
      <c r="AJ415" s="36"/>
      <c r="AK415" s="36"/>
      <c r="AL415" s="36"/>
      <c r="AM415" s="36"/>
    </row>
    <row r="416" spans="6:39" ht="15" customHeight="1" outlineLevel="1">
      <c r="G416" s="241" t="s">
        <v>150</v>
      </c>
      <c r="H416" s="842"/>
      <c r="I416" s="842"/>
      <c r="J416" s="842"/>
      <c r="K416" s="842"/>
      <c r="L416" s="842"/>
      <c r="M416" s="842"/>
      <c r="N416" s="842"/>
      <c r="O416" s="842"/>
      <c r="P416" s="842"/>
      <c r="Q416" s="842"/>
      <c r="R416" s="853"/>
      <c r="S416" s="853"/>
      <c r="T416" s="842"/>
      <c r="U416" s="853"/>
      <c r="V416" s="853"/>
      <c r="W416" s="842"/>
      <c r="X416" s="36"/>
      <c r="Y416" s="36"/>
      <c r="Z416" s="36"/>
      <c r="AA416" s="36"/>
      <c r="AB416" s="36"/>
      <c r="AC416" s="36"/>
      <c r="AD416" s="36"/>
      <c r="AE416" s="36"/>
      <c r="AF416" s="36"/>
      <c r="AG416" s="36"/>
      <c r="AH416" s="36"/>
      <c r="AI416" s="36"/>
      <c r="AJ416" s="36"/>
      <c r="AK416" s="36"/>
      <c r="AL416" s="36"/>
      <c r="AM416" s="36"/>
    </row>
    <row r="417" spans="6:39" ht="15" customHeight="1" outlineLevel="1">
      <c r="G417" s="6" t="s">
        <v>140</v>
      </c>
      <c r="H417" s="836"/>
      <c r="I417" s="836">
        <f>IFERROR(ROUND(#REF!/(((1/60)*(#REF!+#REF!*(#REF!+(#REF!*(Baseline_Results_NOINDIRECT!I$52/#REF!/#REF!)))))+INDEX(#REF!,MATCH(#REF!&amp;"Average duration (hrs) per trip",#REF!,0))),1),0)</f>
        <v>0</v>
      </c>
      <c r="J417" s="836">
        <f>IFERROR(ROUND(#REF!/(((1/60)*(#REF!+#REF!*(#REF!+(#REF!*(Baseline_Results_NOINDIRECT!J$52/#REF!/#REF!)))))+INDEX(#REF!,MATCH(#REF!&amp;"Average duration (hrs) per trip",#REF!,0))),1),0)</f>
        <v>0</v>
      </c>
      <c r="K417" s="836">
        <f>IFERROR(ROUND(#REF!/(((1/60)*(#REF!+#REF!*(#REF!+(#REF!*(Baseline_Results_NOINDIRECT!K$52/#REF!/#REF!)))))+INDEX(#REF!,MATCH(#REF!&amp;"Average duration (hrs) per trip",#REF!,0))),1),0)</f>
        <v>0</v>
      </c>
      <c r="L417" s="836">
        <f>IFERROR(ROUND(#REF!/(((1/60)*(#REF!+#REF!*(#REF!+(#REF!*(Baseline_Results_NOINDIRECT!L$52/#REF!/#REF!)))))+INDEX(#REF!,MATCH(#REF!&amp;"Average duration (hrs) per trip",#REF!,0))),1),0)</f>
        <v>0</v>
      </c>
      <c r="M417" s="836">
        <f>IFERROR(ROUND(#REF!/(((1/60)*(#REF!+#REF!*(#REF!+(#REF!*(Baseline_Results_NOINDIRECT!M$52/#REF!/#REF!)))))+INDEX(#REF!,MATCH(#REF!&amp;"Average duration (hrs) per trip",#REF!,0))),1),0)</f>
        <v>0</v>
      </c>
      <c r="N417" s="836">
        <f>IFERROR(ROUND(#REF!/(((1/60)*(#REF!+#REF!*(#REF!+(#REF!*(Baseline_Results_NOINDIRECT!N$52/#REF!/#REF!)))))+INDEX(#REF!,MATCH(#REF!&amp;"Average duration (hrs) per trip",#REF!,0))),1),0)</f>
        <v>0</v>
      </c>
      <c r="O417" s="836">
        <f>IFERROR(ROUND(#REF!/(((1/60)*(#REF!+#REF!*(#REF!+(#REF!*(Baseline_Results_NOINDIRECT!O$52/#REF!/#REF!)))))+INDEX(#REF!,MATCH(#REF!&amp;"Average duration (hrs) per trip",#REF!,0))),1),0)</f>
        <v>0</v>
      </c>
      <c r="P417" s="836">
        <f>IFERROR(ROUND(#REF!/(((1/60)*(#REF!+#REF!*(#REF!+(#REF!*(Baseline_Results_NOINDIRECT!P$52/#REF!/#REF!)))))+INDEX(#REF!,MATCH(#REF!&amp;"Average duration (hrs) per trip",#REF!,0))),1),0)</f>
        <v>0</v>
      </c>
      <c r="Q417" s="836">
        <f>IFERROR(ROUND(#REF!/(((1/60)*(#REF!+#REF!*(#REF!+(#REF!*(Baseline_Results_NOINDIRECT!Q$52/#REF!/#REF!)))))+INDEX(#REF!,MATCH(#REF!&amp;"Average duration (hrs) per trip",#REF!,0))),1),0)</f>
        <v>0</v>
      </c>
      <c r="R417" s="836">
        <f>IFERROR(ROUND(#REF!/(((1/60)*(#REF!+#REF!*(#REF!+(#REF!*(Baseline_Results_NOINDIRECT!R$52/#REF!/#REF!)))))+INDEX(#REF!,MATCH(#REF!&amp;"Average duration (hrs) per trip",#REF!,0))),1),0)</f>
        <v>0</v>
      </c>
      <c r="S417" s="836">
        <f>IFERROR(ROUND(#REF!/(((1/60)*(#REF!+#REF!*(#REF!+(#REF!*(Baseline_Results_NOINDIRECT!S$52/#REF!/#REF!)))))+INDEX(#REF!,MATCH(#REF!&amp;"Average duration (hrs) per trip",#REF!,0))),1),0)</f>
        <v>0</v>
      </c>
      <c r="T417" s="836">
        <f>IFERROR(ROUND(#REF!/(((1/60)*(#REF!+#REF!*(#REF!+(#REF!*(Baseline_Results_NOINDIRECT!T$52/#REF!/#REF!)))))+INDEX(#REF!,MATCH(#REF!&amp;"Average duration (hrs) per trip",#REF!,0))),1),0)</f>
        <v>0</v>
      </c>
      <c r="U417" s="836">
        <f>IFERROR(ROUND(#REF!/(((1/60)*(#REF!+#REF!*(#REF!+(#REF!*(Baseline_Results_NOINDIRECT!U$52/#REF!/#REF!)))))+INDEX(#REF!,MATCH(#REF!&amp;"Average duration (hrs) per trip",#REF!,0))),1),0)</f>
        <v>0</v>
      </c>
      <c r="V417" s="836">
        <f>IFERROR(ROUND(#REF!/(((1/60)*(#REF!+#REF!*(#REF!+(#REF!*(Baseline_Results_NOINDIRECT!V$52/#REF!/#REF!)))))+INDEX(#REF!,MATCH(#REF!&amp;"Average duration (hrs) per trip",#REF!,0))),1),0)</f>
        <v>0</v>
      </c>
      <c r="W417" s="836">
        <f>IFERROR(ROUND(#REF!/(((1/60)*(#REF!+#REF!*(#REF!+(#REF!*(Baseline_Results_NOINDIRECT!W$52/#REF!/#REF!)))))+INDEX(#REF!,MATCH(#REF!&amp;"Average duration (hrs) per trip",#REF!,0))),1),0)</f>
        <v>0</v>
      </c>
      <c r="X417" s="36"/>
      <c r="Y417" s="36"/>
      <c r="Z417" s="36"/>
      <c r="AA417" s="36"/>
      <c r="AB417" s="36"/>
      <c r="AC417" s="36"/>
      <c r="AD417" s="36"/>
      <c r="AE417" s="36"/>
      <c r="AF417" s="36"/>
      <c r="AG417" s="36"/>
      <c r="AH417" s="36"/>
      <c r="AI417" s="36"/>
      <c r="AJ417" s="36"/>
      <c r="AK417" s="36"/>
      <c r="AL417" s="36"/>
      <c r="AM417" s="36"/>
    </row>
    <row r="418" spans="6:39" ht="15" customHeight="1" outlineLevel="1">
      <c r="G418" s="6" t="s">
        <v>141</v>
      </c>
      <c r="H418" s="836"/>
      <c r="I418" s="836">
        <f>IFERROR(ROUND(I417*#REF!,0),0)</f>
        <v>0</v>
      </c>
      <c r="J418" s="836">
        <f>IFERROR(ROUND(J417*#REF!,0),0)</f>
        <v>0</v>
      </c>
      <c r="K418" s="836">
        <f>IFERROR(ROUND(K417*#REF!,0),0)</f>
        <v>0</v>
      </c>
      <c r="L418" s="836">
        <f>IFERROR(ROUND(L417*#REF!,0),0)</f>
        <v>0</v>
      </c>
      <c r="M418" s="836">
        <f>IFERROR(ROUND(M417*#REF!,0),0)</f>
        <v>0</v>
      </c>
      <c r="N418" s="836">
        <f>IFERROR(ROUND(N417*#REF!,0),0)</f>
        <v>0</v>
      </c>
      <c r="O418" s="836">
        <f>IFERROR(ROUND(O417*#REF!,0),0)</f>
        <v>0</v>
      </c>
      <c r="P418" s="836">
        <f>IFERROR(ROUND(P417*#REF!,0),0)</f>
        <v>0</v>
      </c>
      <c r="Q418" s="836">
        <f>IFERROR(ROUND(Q417*#REF!,0),0)</f>
        <v>0</v>
      </c>
      <c r="R418" s="836">
        <f>IFERROR(ROUND(R417*#REF!,0),0)</f>
        <v>0</v>
      </c>
      <c r="S418" s="836">
        <f>IFERROR(ROUND(S417*#REF!,0),0)</f>
        <v>0</v>
      </c>
      <c r="T418" s="836">
        <f>IFERROR(ROUND(T417*#REF!,0),0)</f>
        <v>0</v>
      </c>
      <c r="U418" s="836">
        <f>IFERROR(ROUND(U417*#REF!,0),0)</f>
        <v>0</v>
      </c>
      <c r="V418" s="836">
        <f>IFERROR(ROUND(V417*#REF!,0),0)</f>
        <v>0</v>
      </c>
      <c r="W418" s="836">
        <f>IFERROR(ROUND(W417*#REF!,0),0)</f>
        <v>0</v>
      </c>
      <c r="X418" s="36"/>
      <c r="Y418" s="36"/>
      <c r="Z418" s="36"/>
      <c r="AA418" s="36"/>
      <c r="AB418" s="36"/>
      <c r="AC418" s="36"/>
      <c r="AD418" s="36"/>
      <c r="AE418" s="36"/>
      <c r="AF418" s="36"/>
      <c r="AG418" s="36"/>
      <c r="AH418" s="36"/>
      <c r="AI418" s="36"/>
      <c r="AJ418" s="36"/>
      <c r="AK418" s="36"/>
      <c r="AL418" s="36"/>
      <c r="AM418" s="36"/>
    </row>
    <row r="419" spans="6:39" ht="15" customHeight="1" outlineLevel="1">
      <c r="G419" s="6" t="s">
        <v>143</v>
      </c>
      <c r="H419" s="836"/>
      <c r="I419" s="836">
        <f t="shared" ref="I419:W419" si="53">IFERROR(ROUNDUP(I415/I418,0),0)</f>
        <v>0</v>
      </c>
      <c r="J419" s="836">
        <f t="shared" si="53"/>
        <v>0</v>
      </c>
      <c r="K419" s="836">
        <f t="shared" si="53"/>
        <v>0</v>
      </c>
      <c r="L419" s="836">
        <f t="shared" si="53"/>
        <v>0</v>
      </c>
      <c r="M419" s="836">
        <f t="shared" si="53"/>
        <v>0</v>
      </c>
      <c r="N419" s="836">
        <f t="shared" si="53"/>
        <v>0</v>
      </c>
      <c r="O419" s="836">
        <f t="shared" si="53"/>
        <v>0</v>
      </c>
      <c r="P419" s="836">
        <f t="shared" si="53"/>
        <v>0</v>
      </c>
      <c r="Q419" s="836">
        <f t="shared" si="53"/>
        <v>0</v>
      </c>
      <c r="R419" s="836">
        <f t="shared" si="53"/>
        <v>0</v>
      </c>
      <c r="S419" s="836">
        <f t="shared" si="53"/>
        <v>0</v>
      </c>
      <c r="T419" s="836">
        <f t="shared" si="53"/>
        <v>0</v>
      </c>
      <c r="U419" s="836">
        <f t="shared" si="53"/>
        <v>0</v>
      </c>
      <c r="V419" s="836">
        <f t="shared" si="53"/>
        <v>0</v>
      </c>
      <c r="W419" s="836">
        <f t="shared" si="53"/>
        <v>0</v>
      </c>
      <c r="X419" s="36"/>
      <c r="Y419" s="36"/>
      <c r="Z419" s="36"/>
      <c r="AA419" s="36"/>
      <c r="AB419" s="36"/>
      <c r="AC419" s="36"/>
      <c r="AD419" s="36"/>
      <c r="AE419" s="36"/>
      <c r="AF419" s="36"/>
      <c r="AG419" s="36"/>
      <c r="AH419" s="36"/>
      <c r="AI419" s="36"/>
      <c r="AJ419" s="36"/>
      <c r="AK419" s="36"/>
      <c r="AL419" s="36"/>
      <c r="AM419" s="36"/>
    </row>
    <row r="420" spans="6:39" ht="15" customHeight="1" outlineLevel="1">
      <c r="G420" s="6" t="s">
        <v>144</v>
      </c>
      <c r="H420" s="836"/>
      <c r="I420" s="836">
        <f t="shared" ref="I420:W420" si="54">IFERROR((I419*(I418+1)),0)</f>
        <v>0</v>
      </c>
      <c r="J420" s="836">
        <f t="shared" si="54"/>
        <v>0</v>
      </c>
      <c r="K420" s="836">
        <f t="shared" si="54"/>
        <v>0</v>
      </c>
      <c r="L420" s="836">
        <f t="shared" si="54"/>
        <v>0</v>
      </c>
      <c r="M420" s="836">
        <f t="shared" si="54"/>
        <v>0</v>
      </c>
      <c r="N420" s="836">
        <f t="shared" si="54"/>
        <v>0</v>
      </c>
      <c r="O420" s="836">
        <f t="shared" si="54"/>
        <v>0</v>
      </c>
      <c r="P420" s="836">
        <f t="shared" si="54"/>
        <v>0</v>
      </c>
      <c r="Q420" s="836">
        <f t="shared" si="54"/>
        <v>0</v>
      </c>
      <c r="R420" s="836">
        <f t="shared" si="54"/>
        <v>0</v>
      </c>
      <c r="S420" s="836">
        <f t="shared" si="54"/>
        <v>0</v>
      </c>
      <c r="T420" s="836">
        <f t="shared" si="54"/>
        <v>0</v>
      </c>
      <c r="U420" s="836">
        <f t="shared" si="54"/>
        <v>0</v>
      </c>
      <c r="V420" s="836">
        <f t="shared" si="54"/>
        <v>0</v>
      </c>
      <c r="W420" s="836">
        <f t="shared" si="54"/>
        <v>0</v>
      </c>
      <c r="X420" s="36"/>
      <c r="Y420" s="36"/>
      <c r="Z420" s="36"/>
      <c r="AA420" s="36"/>
      <c r="AB420" s="36"/>
      <c r="AC420" s="36"/>
      <c r="AD420" s="36"/>
      <c r="AE420" s="36"/>
      <c r="AF420" s="36"/>
      <c r="AG420" s="36"/>
      <c r="AH420" s="36"/>
      <c r="AI420" s="36"/>
      <c r="AJ420" s="242"/>
      <c r="AK420" s="36"/>
      <c r="AL420" s="36"/>
      <c r="AM420" s="36"/>
    </row>
    <row r="421" spans="6:39" ht="15" customHeight="1" outlineLevel="1">
      <c r="G421" s="6" t="s">
        <v>145</v>
      </c>
      <c r="H421" s="836"/>
      <c r="I421" s="836">
        <f>IFERROR(ROUNDUP(((I420*INDEX(#REF!,MATCH(#REF!&amp;"Average duration (hrs) per trip",#REF!,0)))+(I415*((1/60)*(#REF!+#REF!*(#REF!+(#REF!*(Baseline_Results_NOINDIRECT!I$52/#REF!/#REF!)))))))/#REF!,0),0)</f>
        <v>0</v>
      </c>
      <c r="J421" s="836">
        <f>IFERROR(ROUNDUP(((J420*INDEX(#REF!,MATCH(#REF!&amp;"Average duration (hrs) per trip",#REF!,0)))+(J415*((1/60)*(#REF!+#REF!*(#REF!+(#REF!*(Baseline_Results_NOINDIRECT!J$52/#REF!/#REF!)))))))/#REF!,0),0)</f>
        <v>0</v>
      </c>
      <c r="K421" s="836">
        <f>IFERROR(ROUNDUP(((K420*INDEX(#REF!,MATCH(#REF!&amp;"Average duration (hrs) per trip",#REF!,0)))+(K415*((1/60)*(#REF!+#REF!*(#REF!+(#REF!*(Baseline_Results_NOINDIRECT!K$52/#REF!/#REF!)))))))/#REF!,0),0)</f>
        <v>0</v>
      </c>
      <c r="L421" s="836">
        <f>IFERROR(ROUNDUP(((L420*INDEX(#REF!,MATCH(#REF!&amp;"Average duration (hrs) per trip",#REF!,0)))+(L415*((1/60)*(#REF!+#REF!*(#REF!+(#REF!*(Baseline_Results_NOINDIRECT!L$52/#REF!/#REF!)))))))/#REF!,0),0)</f>
        <v>0</v>
      </c>
      <c r="M421" s="836">
        <f>IFERROR(ROUNDUP(((M420*INDEX(#REF!,MATCH(#REF!&amp;"Average duration (hrs) per trip",#REF!,0)))+(M415*((1/60)*(#REF!+#REF!*(#REF!+(#REF!*(Baseline_Results_NOINDIRECT!M$52/#REF!/#REF!)))))))/#REF!,0),0)</f>
        <v>0</v>
      </c>
      <c r="N421" s="836">
        <f>IFERROR(ROUNDUP(((N420*INDEX(#REF!,MATCH(#REF!&amp;"Average duration (hrs) per trip",#REF!,0)))+(N415*((1/60)*(#REF!+#REF!*(#REF!+(#REF!*(Baseline_Results_NOINDIRECT!N$52/#REF!/#REF!)))))))/#REF!,0),0)</f>
        <v>0</v>
      </c>
      <c r="O421" s="836">
        <f>IFERROR(ROUNDUP(((O420*INDEX(#REF!,MATCH(#REF!&amp;"Average duration (hrs) per trip",#REF!,0)))+(O415*((1/60)*(#REF!+#REF!*(#REF!+(#REF!*(Baseline_Results_NOINDIRECT!O$52/#REF!/#REF!)))))))/#REF!,0),0)</f>
        <v>0</v>
      </c>
      <c r="P421" s="836">
        <f>IFERROR(ROUNDUP(((P420*INDEX(#REF!,MATCH(#REF!&amp;"Average duration (hrs) per trip",#REF!,0)))+(P415*((1/60)*(#REF!+#REF!*(#REF!+(#REF!*(Baseline_Results_NOINDIRECT!P$52/#REF!/#REF!)))))))/#REF!,0),0)</f>
        <v>0</v>
      </c>
      <c r="Q421" s="836">
        <f>IFERROR(ROUNDUP(((Q420*INDEX(#REF!,MATCH(#REF!&amp;"Average duration (hrs) per trip",#REF!,0)))+(Q415*((1/60)*(#REF!+#REF!*(#REF!+(#REF!*(Baseline_Results_NOINDIRECT!Q$52/#REF!/#REF!)))))))/#REF!,0),0)</f>
        <v>0</v>
      </c>
      <c r="R421" s="836">
        <f>IFERROR(ROUNDUP(((R420*INDEX(#REF!,MATCH(#REF!&amp;"Average duration (hrs) per trip",#REF!,0)))+(R415*((1/60)*(#REF!+#REF!*(#REF!+(#REF!*(Baseline_Results_NOINDIRECT!R$52/#REF!/#REF!)))))))/#REF!,0),0)</f>
        <v>0</v>
      </c>
      <c r="S421" s="836">
        <f>IFERROR(ROUNDUP(((S420*INDEX(#REF!,MATCH(#REF!&amp;"Average duration (hrs) per trip",#REF!,0)))+(S415*((1/60)*(#REF!+#REF!*(#REF!+(#REF!*(Baseline_Results_NOINDIRECT!S$52/#REF!/#REF!)))))))/#REF!,0),0)</f>
        <v>0</v>
      </c>
      <c r="T421" s="836">
        <f>IFERROR(ROUNDUP(((T420*INDEX(#REF!,MATCH(#REF!&amp;"Average duration (hrs) per trip",#REF!,0)))+(T415*((1/60)*(#REF!+#REF!*(#REF!+(#REF!*(Baseline_Results_NOINDIRECT!T$52/#REF!/#REF!)))))))/#REF!,0),0)</f>
        <v>0</v>
      </c>
      <c r="U421" s="836">
        <f>IFERROR(ROUNDUP(((U420*INDEX(#REF!,MATCH(#REF!&amp;"Average duration (hrs) per trip",#REF!,0)))+(U415*((1/60)*(#REF!+#REF!*(#REF!+(#REF!*(Baseline_Results_NOINDIRECT!U$52/#REF!/#REF!)))))))/#REF!,0),0)</f>
        <v>0</v>
      </c>
      <c r="V421" s="836">
        <f>IFERROR(ROUNDUP(((V420*INDEX(#REF!,MATCH(#REF!&amp;"Average duration (hrs) per trip",#REF!,0)))+(V415*((1/60)*(#REF!+#REF!*(#REF!+(#REF!*(Baseline_Results_NOINDIRECT!V$52/#REF!/#REF!)))))))/#REF!,0),0)</f>
        <v>0</v>
      </c>
      <c r="W421" s="836">
        <f>IFERROR(ROUNDUP(((W420*INDEX(#REF!,MATCH(#REF!&amp;"Average duration (hrs) per trip",#REF!,0)))+(W415*((1/60)*(#REF!+#REF!*(#REF!+(#REF!*(Baseline_Results_NOINDIRECT!W$52/#REF!/#REF!)))))))/#REF!,0),0)</f>
        <v>0</v>
      </c>
      <c r="X421" s="36"/>
      <c r="Y421" s="36"/>
      <c r="Z421" s="36"/>
      <c r="AA421" s="36"/>
      <c r="AB421" s="36"/>
      <c r="AC421" s="36"/>
      <c r="AD421" s="36"/>
      <c r="AE421" s="36"/>
      <c r="AF421" s="36"/>
      <c r="AG421" s="36"/>
      <c r="AH421" s="36"/>
      <c r="AI421" s="36"/>
      <c r="AJ421" s="242"/>
      <c r="AK421" s="36"/>
      <c r="AL421" s="36"/>
      <c r="AM421" s="36"/>
    </row>
    <row r="422" spans="6:39" ht="15" customHeight="1" outlineLevel="1">
      <c r="G422" s="241" t="s">
        <v>841</v>
      </c>
      <c r="H422" s="842"/>
      <c r="I422" s="842"/>
      <c r="J422" s="842"/>
      <c r="K422" s="842"/>
      <c r="L422" s="842"/>
      <c r="M422" s="842"/>
      <c r="N422" s="842"/>
      <c r="O422" s="842"/>
      <c r="P422" s="842"/>
      <c r="Q422" s="842"/>
      <c r="R422" s="853"/>
      <c r="S422" s="853"/>
      <c r="T422" s="842"/>
      <c r="U422" s="853"/>
      <c r="V422" s="853"/>
      <c r="W422" s="842"/>
      <c r="X422" s="36"/>
      <c r="Y422" s="36"/>
      <c r="Z422" s="36"/>
      <c r="AA422" s="36"/>
      <c r="AB422" s="36"/>
      <c r="AC422" s="36"/>
      <c r="AD422" s="36"/>
      <c r="AE422" s="36"/>
      <c r="AF422" s="36"/>
      <c r="AG422" s="36"/>
      <c r="AH422" s="36"/>
      <c r="AI422" s="36"/>
      <c r="AJ422" s="242"/>
      <c r="AK422" s="36"/>
      <c r="AL422" s="36"/>
      <c r="AM422" s="36"/>
    </row>
    <row r="423" spans="6:39" ht="15" customHeight="1" outlineLevel="1">
      <c r="G423" s="6" t="s">
        <v>144</v>
      </c>
      <c r="H423" s="836"/>
      <c r="I423" s="836">
        <f t="shared" ref="I423:W423" si="55">IFERROR(I415*2,0)</f>
        <v>0</v>
      </c>
      <c r="J423" s="836">
        <f t="shared" si="55"/>
        <v>0</v>
      </c>
      <c r="K423" s="836">
        <f t="shared" si="55"/>
        <v>0</v>
      </c>
      <c r="L423" s="836">
        <f t="shared" si="55"/>
        <v>0</v>
      </c>
      <c r="M423" s="836">
        <f t="shared" si="55"/>
        <v>0</v>
      </c>
      <c r="N423" s="836">
        <f t="shared" si="55"/>
        <v>0</v>
      </c>
      <c r="O423" s="836">
        <f t="shared" si="55"/>
        <v>0</v>
      </c>
      <c r="P423" s="836">
        <f t="shared" si="55"/>
        <v>0</v>
      </c>
      <c r="Q423" s="836">
        <f t="shared" si="55"/>
        <v>0</v>
      </c>
      <c r="R423" s="836">
        <f t="shared" si="55"/>
        <v>0</v>
      </c>
      <c r="S423" s="836">
        <f t="shared" si="55"/>
        <v>0</v>
      </c>
      <c r="T423" s="836">
        <f t="shared" si="55"/>
        <v>0</v>
      </c>
      <c r="U423" s="836">
        <f t="shared" si="55"/>
        <v>0</v>
      </c>
      <c r="V423" s="836">
        <f t="shared" si="55"/>
        <v>0</v>
      </c>
      <c r="W423" s="836">
        <f t="shared" si="55"/>
        <v>0</v>
      </c>
      <c r="X423" s="36"/>
      <c r="Y423" s="36"/>
      <c r="Z423" s="36"/>
      <c r="AA423" s="36"/>
      <c r="AB423" s="36"/>
      <c r="AC423" s="36"/>
      <c r="AD423" s="36"/>
      <c r="AE423" s="36"/>
      <c r="AF423" s="36"/>
      <c r="AG423" s="36"/>
      <c r="AH423" s="36"/>
      <c r="AI423" s="36"/>
      <c r="AJ423" s="36"/>
      <c r="AK423" s="36"/>
      <c r="AL423" s="36"/>
      <c r="AM423" s="36"/>
    </row>
    <row r="424" spans="6:39" ht="15" customHeight="1" outlineLevel="1">
      <c r="G424" s="6" t="s">
        <v>145</v>
      </c>
      <c r="H424" s="837"/>
      <c r="I424" s="837">
        <f>IFERROR(MAX(I415,ROUNDUP(((I423*INDEX(#REF!,MATCH(#REF!&amp;"Average duration (hrs) per trip",#REF!,0)))+(I415*((1/60)*(#REF!+#REF!*(#REF!+(#REF!*(Baseline_Results_NOINDIRECT!I$52/#REF!/#REF!)))))))/#REF!,0)),0)</f>
        <v>0</v>
      </c>
      <c r="J424" s="837">
        <f>IFERROR(MAX(J415,ROUNDUP(((J423*INDEX(#REF!,MATCH(#REF!&amp;"Average duration (hrs) per trip",#REF!,0)))+(J415*((1/60)*(#REF!+#REF!*(#REF!+(#REF!*(Baseline_Results_NOINDIRECT!J$52/#REF!/#REF!)))))))/#REF!,0)),0)</f>
        <v>0</v>
      </c>
      <c r="K424" s="837">
        <f>IFERROR(MAX(K415,ROUNDUP(((K423*INDEX(#REF!,MATCH(#REF!&amp;"Average duration (hrs) per trip",#REF!,0)))+(K415*((1/60)*(#REF!+#REF!*(#REF!+(#REF!*(Baseline_Results_NOINDIRECT!K$52/#REF!/#REF!)))))))/#REF!,0)),0)</f>
        <v>0</v>
      </c>
      <c r="L424" s="837">
        <f>IFERROR(MAX(L415,ROUNDUP(((L423*INDEX(#REF!,MATCH(#REF!&amp;"Average duration (hrs) per trip",#REF!,0)))+(L415*((1/60)*(#REF!+#REF!*(#REF!+(#REF!*(Baseline_Results_NOINDIRECT!L$52/#REF!/#REF!)))))))/#REF!,0)),0)</f>
        <v>0</v>
      </c>
      <c r="M424" s="837">
        <f>IFERROR(MAX(M415,ROUNDUP(((M423*INDEX(#REF!,MATCH(#REF!&amp;"Average duration (hrs) per trip",#REF!,0)))+(M415*((1/60)*(#REF!+#REF!*(#REF!+(#REF!*(Baseline_Results_NOINDIRECT!M$52/#REF!/#REF!)))))))/#REF!,0)),0)</f>
        <v>0</v>
      </c>
      <c r="N424" s="837">
        <f>IFERROR(MAX(N415,ROUNDUP(((N423*INDEX(#REF!,MATCH(#REF!&amp;"Average duration (hrs) per trip",#REF!,0)))+(N415*((1/60)*(#REF!+#REF!*(#REF!+(#REF!*(Baseline_Results_NOINDIRECT!N$52/#REF!/#REF!)))))))/#REF!,0)),0)</f>
        <v>0</v>
      </c>
      <c r="O424" s="837">
        <f>IFERROR(MAX(O415,ROUNDUP(((O423*INDEX(#REF!,MATCH(#REF!&amp;"Average duration (hrs) per trip",#REF!,0)))+(O415*((1/60)*(#REF!+#REF!*(#REF!+(#REF!*(Baseline_Results_NOINDIRECT!O$52/#REF!/#REF!)))))))/#REF!,0)),0)</f>
        <v>0</v>
      </c>
      <c r="P424" s="837">
        <f>IFERROR(MAX(P415,ROUNDUP(((P423*INDEX(#REF!,MATCH(#REF!&amp;"Average duration (hrs) per trip",#REF!,0)))+(P415*((1/60)*(#REF!+#REF!*(#REF!+(#REF!*(Baseline_Results_NOINDIRECT!P$52/#REF!/#REF!)))))))/#REF!,0)),0)</f>
        <v>0</v>
      </c>
      <c r="Q424" s="837">
        <f>IFERROR(MAX(Q415,ROUNDUP(((Q423*INDEX(#REF!,MATCH(#REF!&amp;"Average duration (hrs) per trip",#REF!,0)))+(Q415*((1/60)*(#REF!+#REF!*(#REF!+(#REF!*(Baseline_Results_NOINDIRECT!Q$52/#REF!/#REF!)))))))/#REF!,0)),0)</f>
        <v>0</v>
      </c>
      <c r="R424" s="837">
        <f>IFERROR(MAX(R415,ROUNDUP(((R423*INDEX(#REF!,MATCH(#REF!&amp;"Average duration (hrs) per trip",#REF!,0)))+(R415*((1/60)*(#REF!+#REF!*(#REF!+(#REF!*(Baseline_Results_NOINDIRECT!R$52/#REF!/#REF!)))))))/#REF!,0)),0)</f>
        <v>0</v>
      </c>
      <c r="S424" s="837">
        <f>IFERROR(MAX(S415,ROUNDUP(((S423*INDEX(#REF!,MATCH(#REF!&amp;"Average duration (hrs) per trip",#REF!,0)))+(S415*((1/60)*(#REF!+#REF!*(#REF!+(#REF!*(Baseline_Results_NOINDIRECT!S$52/#REF!/#REF!)))))))/#REF!,0)),0)</f>
        <v>0</v>
      </c>
      <c r="T424" s="837">
        <f>IFERROR(MAX(T415,ROUNDUP(((T423*INDEX(#REF!,MATCH(#REF!&amp;"Average duration (hrs) per trip",#REF!,0)))+(T415*((1/60)*(#REF!+#REF!*(#REF!+(#REF!*(Baseline_Results_NOINDIRECT!T$52/#REF!/#REF!)))))))/#REF!,0)),0)</f>
        <v>0</v>
      </c>
      <c r="U424" s="837">
        <f>IFERROR(MAX(U415,ROUNDUP(((U423*INDEX(#REF!,MATCH(#REF!&amp;"Average duration (hrs) per trip",#REF!,0)))+(U415*((1/60)*(#REF!+#REF!*(#REF!+(#REF!*(Baseline_Results_NOINDIRECT!U$52/#REF!/#REF!)))))))/#REF!,0)),0)</f>
        <v>0</v>
      </c>
      <c r="V424" s="837">
        <f>IFERROR(MAX(V415,ROUNDUP(((V423*INDEX(#REF!,MATCH(#REF!&amp;"Average duration (hrs) per trip",#REF!,0)))+(V415*((1/60)*(#REF!+#REF!*(#REF!+(#REF!*(Baseline_Results_NOINDIRECT!V$52/#REF!/#REF!)))))))/#REF!,0)),0)</f>
        <v>0</v>
      </c>
      <c r="W424" s="837">
        <f>IFERROR(MAX(W415,ROUNDUP(((W423*INDEX(#REF!,MATCH(#REF!&amp;"Average duration (hrs) per trip",#REF!,0)))+(W415*((1/60)*(#REF!+#REF!*(#REF!+(#REF!*(Baseline_Results_NOINDIRECT!W$52/#REF!/#REF!)))))))/#REF!,0)),0)</f>
        <v>0</v>
      </c>
      <c r="X424" s="36"/>
      <c r="Y424" s="36"/>
      <c r="Z424" s="36"/>
      <c r="AA424" s="36"/>
      <c r="AB424" s="36"/>
      <c r="AC424" s="36"/>
      <c r="AD424" s="36"/>
      <c r="AE424" s="36"/>
      <c r="AF424" s="36"/>
      <c r="AG424" s="36"/>
      <c r="AH424" s="36"/>
      <c r="AI424" s="36"/>
      <c r="AJ424" s="36"/>
      <c r="AK424" s="36"/>
      <c r="AL424" s="36"/>
      <c r="AM424" s="36"/>
    </row>
    <row r="425" spans="6:39" ht="15" customHeight="1" outlineLevel="1">
      <c r="F425" s="77" t="s">
        <v>148</v>
      </c>
      <c r="G425" s="845"/>
      <c r="H425" s="851"/>
      <c r="I425" s="851"/>
      <c r="J425" s="851"/>
      <c r="K425" s="851"/>
      <c r="L425" s="851"/>
      <c r="M425" s="851"/>
      <c r="N425" s="851"/>
      <c r="O425" s="851"/>
      <c r="P425" s="851"/>
      <c r="Q425" s="851"/>
      <c r="R425" s="846"/>
      <c r="S425" s="846"/>
      <c r="T425" s="851"/>
      <c r="U425" s="846"/>
      <c r="V425" s="846"/>
      <c r="W425" s="851"/>
      <c r="X425" s="36"/>
      <c r="Y425" s="36"/>
      <c r="Z425" s="36"/>
      <c r="AA425" s="36"/>
      <c r="AB425" s="36"/>
      <c r="AC425" s="36"/>
      <c r="AD425" s="36"/>
      <c r="AE425" s="36"/>
      <c r="AF425" s="36"/>
      <c r="AG425" s="36"/>
      <c r="AH425" s="36"/>
      <c r="AI425" s="36"/>
      <c r="AJ425" s="242"/>
      <c r="AK425" s="36"/>
      <c r="AL425" s="36"/>
      <c r="AM425" s="36"/>
    </row>
    <row r="426" spans="6:39" ht="15" customHeight="1" outlineLevel="1">
      <c r="F426" s="1"/>
      <c r="G426" s="6" t="s">
        <v>151</v>
      </c>
      <c r="H426" s="836"/>
      <c r="I426" s="836">
        <f>IFERROR(IF(COUNTIF(#REF!,"Public Transport*")&lt;1,ROUND(#REF!*#REF!,0),0),0)</f>
        <v>0</v>
      </c>
      <c r="J426" s="836">
        <f>IFERROR(IF(COUNTIF(#REF!,"Public Transport*")&lt;1,ROUND(#REF!*#REF!,0),0),0)</f>
        <v>0</v>
      </c>
      <c r="K426" s="836">
        <f>IFERROR(IF(COUNTIF(#REF!,"Public Transport*")&lt;1,ROUND(#REF!*#REF!,0),0),0)</f>
        <v>0</v>
      </c>
      <c r="L426" s="836">
        <f>IFERROR(IF(COUNTIF(#REF!,"Public Transport*")&lt;1,ROUND(#REF!*#REF!,0),0),0)</f>
        <v>0</v>
      </c>
      <c r="M426" s="836">
        <f>IFERROR(IF(COUNTIF(#REF!,"Public Transport*")&lt;1,ROUND(#REF!*#REF!,0),0),0)</f>
        <v>0</v>
      </c>
      <c r="N426" s="836">
        <f>IFERROR(IF(COUNTIF(#REF!,"Public Transport*")&lt;1,ROUND(#REF!*#REF!,0),0),0)</f>
        <v>0</v>
      </c>
      <c r="O426" s="836">
        <f>IFERROR(IF(COUNTIF(#REF!,"Public Transport*")&lt;1,ROUND(#REF!*#REF!,0),0),0)</f>
        <v>0</v>
      </c>
      <c r="P426" s="836">
        <f>IFERROR(IF(COUNTIF(#REF!,"Public Transport*")&lt;1,ROUND(#REF!*#REF!,0),0),0)</f>
        <v>0</v>
      </c>
      <c r="Q426" s="836">
        <f>IFERROR(IF(COUNTIF(#REF!,"Public Transport*")&lt;1,ROUND(#REF!*#REF!,0),0),0)</f>
        <v>0</v>
      </c>
      <c r="R426" s="836">
        <f>IFERROR(IF(COUNTIF(#REF!,"Public Transport*")&lt;1,ROUND(#REF!*#REF!,0),0),0)</f>
        <v>0</v>
      </c>
      <c r="S426" s="836">
        <f>IFERROR(IF(COUNTIF(#REF!,"Public Transport*")&lt;1,ROUND(#REF!*#REF!,0),0),0)</f>
        <v>0</v>
      </c>
      <c r="T426" s="836">
        <f>IFERROR(IF(COUNTIF(#REF!,"Public Transport*")&lt;1,ROUND(#REF!*#REF!,0),0),0)</f>
        <v>0</v>
      </c>
      <c r="U426" s="836">
        <f>IFERROR(IF(COUNTIF(#REF!,"Public Transport*")&lt;1,ROUND(#REF!*#REF!,0),0),0)</f>
        <v>0</v>
      </c>
      <c r="V426" s="836">
        <f>IFERROR(IF(COUNTIF(#REF!,"Public Transport*")&lt;1,ROUND(#REF!*#REF!,0),0),0)</f>
        <v>0</v>
      </c>
      <c r="W426" s="836">
        <f>IFERROR(IF(COUNTIF(#REF!,"Public Transport*")&lt;1,ROUND(#REF!*#REF!,0),0),0)</f>
        <v>0</v>
      </c>
      <c r="X426" s="36"/>
      <c r="Y426" s="36"/>
      <c r="Z426" s="36"/>
      <c r="AA426" s="36"/>
      <c r="AB426" s="36"/>
      <c r="AC426" s="36"/>
      <c r="AD426" s="36"/>
      <c r="AE426" s="36"/>
      <c r="AF426" s="36"/>
      <c r="AG426" s="36"/>
      <c r="AH426" s="36"/>
      <c r="AI426" s="36"/>
      <c r="AJ426" s="242"/>
      <c r="AK426" s="36"/>
      <c r="AL426" s="36"/>
      <c r="AM426" s="36"/>
    </row>
    <row r="427" spans="6:39" ht="15" customHeight="1" outlineLevel="1">
      <c r="G427" s="6" t="s">
        <v>85</v>
      </c>
      <c r="H427" s="837"/>
      <c r="I427" s="837">
        <f>IFERROR(IF(#REF!="Route-based",I432*I433,IF(#REF!="Point-to-point",I437*I438,0)),0)</f>
        <v>0</v>
      </c>
      <c r="J427" s="837">
        <f>IFERROR(IF(#REF!="Route-based",J432*J433,IF(#REF!="Point-to-point",J437*J438,0)),0)</f>
        <v>0</v>
      </c>
      <c r="K427" s="837">
        <f>IFERROR(IF(#REF!="Route-based",K432*K433,IF(#REF!="Point-to-point",K437*K438,0)),0)</f>
        <v>0</v>
      </c>
      <c r="L427" s="837">
        <f>IFERROR(IF(#REF!="Route-based",L432*L433,IF(#REF!="Point-to-point",L437*L438,0)),0)</f>
        <v>0</v>
      </c>
      <c r="M427" s="837">
        <f>IFERROR(IF(#REF!="Route-based",M432*M433,IF(#REF!="Point-to-point",M437*M438,0)),0)</f>
        <v>0</v>
      </c>
      <c r="N427" s="837">
        <f>IFERROR(IF(#REF!="Route-based",N432*N433,IF(#REF!="Point-to-point",N437*N438,0)),0)</f>
        <v>0</v>
      </c>
      <c r="O427" s="837">
        <f>IFERROR(IF(#REF!="Route-based",O432*O433,IF(#REF!="Point-to-point",O437*O438,0)),0)</f>
        <v>0</v>
      </c>
      <c r="P427" s="837">
        <f>IFERROR(IF(#REF!="Route-based",P432*P433,IF(#REF!="Point-to-point",P437*P438,0)),0)</f>
        <v>0</v>
      </c>
      <c r="Q427" s="837">
        <f>IFERROR(IF(#REF!="Route-based",Q432*Q433,IF(#REF!="Point-to-point",Q437*Q438,0)),0)</f>
        <v>0</v>
      </c>
      <c r="R427" s="837">
        <f>IFERROR(IF(#REF!="Route-based",R432*R433,IF(#REF!="Point-to-point",R437*R438,0)),0)</f>
        <v>0</v>
      </c>
      <c r="S427" s="837">
        <f>IFERROR(IF(#REF!="Route-based",S432*S433,IF(#REF!="Point-to-point",S437*S438,0)),0)</f>
        <v>0</v>
      </c>
      <c r="T427" s="837">
        <f>IFERROR(IF(#REF!="Route-based",T432*T433,IF(#REF!="Point-to-point",T437*T438,0)),0)</f>
        <v>0</v>
      </c>
      <c r="U427" s="837">
        <f>IFERROR(IF(#REF!="Route-based",U432*U433,IF(#REF!="Point-to-point",U437*U438,0)),0)</f>
        <v>0</v>
      </c>
      <c r="V427" s="837">
        <f>IFERROR(IF(#REF!="Route-based",V432*V433,IF(#REF!="Point-to-point",V437*V438,0)),0)</f>
        <v>0</v>
      </c>
      <c r="W427" s="837">
        <f>IFERROR(IF(#REF!="Route-based",W432*W433,IF(#REF!="Point-to-point",W437*W438,0)),0)</f>
        <v>0</v>
      </c>
      <c r="X427" s="36"/>
      <c r="Y427" s="36"/>
      <c r="Z427" s="36"/>
      <c r="AA427" s="36"/>
      <c r="AB427" s="36"/>
      <c r="AC427" s="36"/>
      <c r="AD427" s="36"/>
      <c r="AE427" s="36"/>
      <c r="AF427" s="36"/>
      <c r="AG427" s="36"/>
      <c r="AH427" s="36"/>
      <c r="AI427" s="36"/>
      <c r="AJ427" s="242"/>
      <c r="AK427" s="36"/>
      <c r="AL427" s="36"/>
      <c r="AM427" s="36"/>
    </row>
    <row r="428" spans="6:39" ht="15" customHeight="1" outlineLevel="1">
      <c r="G428" s="6" t="s">
        <v>59</v>
      </c>
      <c r="H428" s="837"/>
      <c r="I428" s="837">
        <f>IFERROR(IF(#REF!="Route-based",ROUND(I432*I434/#REF!,0),IF(#REF!="Point-to-point",ROUND(((I426*#REF!*((1/60)*(#REF!+#REF!*(#REF!+(#REF!*(Baseline_Results_NOINDIRECT!I$52/#REF!/#REF!))))))+(I427/#REF!))/#REF!,0),0)),0)</f>
        <v>0</v>
      </c>
      <c r="J428" s="837">
        <f>IFERROR(IF(#REF!="Route-based",ROUND(J432*J434/#REF!,0),IF(#REF!="Point-to-point",ROUND(((J426*#REF!*((1/60)*(#REF!+#REF!*(#REF!+(#REF!*(Baseline_Results_NOINDIRECT!J$52/#REF!/#REF!))))))+(J427/#REF!))/#REF!,0),0)),0)</f>
        <v>0</v>
      </c>
      <c r="K428" s="837">
        <f>IFERROR(IF(#REF!="Route-based",ROUND(K432*K434/#REF!,0),IF(#REF!="Point-to-point",ROUND(((K426*#REF!*((1/60)*(#REF!+#REF!*(#REF!+(#REF!*(Baseline_Results_NOINDIRECT!K$52/#REF!/#REF!))))))+(K427/#REF!))/#REF!,0),0)),0)</f>
        <v>0</v>
      </c>
      <c r="L428" s="837">
        <f>IFERROR(IF(#REF!="Route-based",ROUND(L432*L434/#REF!,0),IF(#REF!="Point-to-point",ROUND(((L426*#REF!*((1/60)*(#REF!+#REF!*(#REF!+(#REF!*(Baseline_Results_NOINDIRECT!L$52/#REF!/#REF!))))))+(L427/#REF!))/#REF!,0),0)),0)</f>
        <v>0</v>
      </c>
      <c r="M428" s="837">
        <f>IFERROR(IF(#REF!="Route-based",ROUND(M432*M434/#REF!,0),IF(#REF!="Point-to-point",ROUND(((M426*#REF!*((1/60)*(#REF!+#REF!*(#REF!+(#REF!*(Baseline_Results_NOINDIRECT!M$52/#REF!/#REF!))))))+(M427/#REF!))/#REF!,0),0)),0)</f>
        <v>0</v>
      </c>
      <c r="N428" s="837">
        <f>IFERROR(IF(#REF!="Route-based",ROUND(N432*N434/#REF!,0),IF(#REF!="Point-to-point",ROUND(((N426*#REF!*((1/60)*(#REF!+#REF!*(#REF!+(#REF!*(Baseline_Results_NOINDIRECT!N$52/#REF!/#REF!))))))+(N427/#REF!))/#REF!,0),0)),0)</f>
        <v>0</v>
      </c>
      <c r="O428" s="837">
        <f>IFERROR(IF(#REF!="Route-based",ROUND(O432*O434/#REF!,0),IF(#REF!="Point-to-point",ROUND(((O426*#REF!*((1/60)*(#REF!+#REF!*(#REF!+(#REF!*(Baseline_Results_NOINDIRECT!O$52/#REF!/#REF!))))))+(O427/#REF!))/#REF!,0),0)),0)</f>
        <v>0</v>
      </c>
      <c r="P428" s="837">
        <f>IFERROR(IF(#REF!="Route-based",ROUND(P432*P434/#REF!,0),IF(#REF!="Point-to-point",ROUND(((P426*#REF!*((1/60)*(#REF!+#REF!*(#REF!+(#REF!*(Baseline_Results_NOINDIRECT!P$52/#REF!/#REF!))))))+(P427/#REF!))/#REF!,0),0)),0)</f>
        <v>0</v>
      </c>
      <c r="Q428" s="837">
        <f>IFERROR(IF(#REF!="Route-based",ROUND(Q432*Q434/#REF!,0),IF(#REF!="Point-to-point",ROUND(((Q426*#REF!*((1/60)*(#REF!+#REF!*(#REF!+(#REF!*(Baseline_Results_NOINDIRECT!Q$52/#REF!/#REF!))))))+(Q427/#REF!))/#REF!,0),0)),0)</f>
        <v>0</v>
      </c>
      <c r="R428" s="837">
        <f>IFERROR(IF(#REF!="Route-based",ROUND(R432*R434/#REF!,0),IF(#REF!="Point-to-point",ROUND(((R426*#REF!*((1/60)*(#REF!+#REF!*(#REF!+(#REF!*(Baseline_Results_NOINDIRECT!R$52/#REF!/#REF!))))))+(R427/#REF!))/#REF!,0),0)),0)</f>
        <v>0</v>
      </c>
      <c r="S428" s="837">
        <f>IFERROR(IF(#REF!="Route-based",ROUND(S432*S434/#REF!,0),IF(#REF!="Point-to-point",ROUND(((S426*#REF!*((1/60)*(#REF!+#REF!*(#REF!+(#REF!*(Baseline_Results_NOINDIRECT!S$52/#REF!/#REF!))))))+(S427/#REF!))/#REF!,0),0)),0)</f>
        <v>0</v>
      </c>
      <c r="T428" s="837">
        <f>IFERROR(IF(#REF!="Route-based",ROUND(T432*T434/#REF!,0),IF(#REF!="Point-to-point",ROUND(((T426*#REF!*((1/60)*(#REF!+#REF!*(#REF!+(#REF!*(Baseline_Results_NOINDIRECT!T$52/#REF!/#REF!))))))+(T427/#REF!))/#REF!,0),0)),0)</f>
        <v>0</v>
      </c>
      <c r="U428" s="837">
        <f>IFERROR(IF(#REF!="Route-based",ROUND(U432*U434/#REF!,0),IF(#REF!="Point-to-point",ROUND(((U426*#REF!*((1/60)*(#REF!+#REF!*(#REF!+(#REF!*(Baseline_Results_NOINDIRECT!U$52/#REF!/#REF!))))))+(U427/#REF!))/#REF!,0),0)),0)</f>
        <v>0</v>
      </c>
      <c r="V428" s="837">
        <f>IFERROR(IF(#REF!="Route-based",ROUND(V432*V434/#REF!,0),IF(#REF!="Point-to-point",ROUND(((V426*#REF!*((1/60)*(#REF!+#REF!*(#REF!+(#REF!*(Baseline_Results_NOINDIRECT!V$52/#REF!/#REF!))))))+(V427/#REF!))/#REF!,0),0)),0)</f>
        <v>0</v>
      </c>
      <c r="W428" s="837">
        <f>IFERROR(IF(#REF!="Route-based",ROUND(W432*W434/#REF!,0),IF(#REF!="Point-to-point",ROUND(((W426*#REF!*((1/60)*(#REF!+#REF!*(#REF!+(#REF!*(Baseline_Results_NOINDIRECT!W$52/#REF!/#REF!))))))+(W427/#REF!))/#REF!,0),0)),0)</f>
        <v>0</v>
      </c>
      <c r="X428" s="36"/>
      <c r="Y428" s="36"/>
      <c r="Z428" s="36"/>
      <c r="AA428" s="36"/>
      <c r="AB428" s="36"/>
      <c r="AC428" s="36"/>
      <c r="AD428" s="36"/>
      <c r="AE428" s="36"/>
      <c r="AF428" s="36"/>
      <c r="AG428" s="36"/>
      <c r="AH428" s="36"/>
      <c r="AI428" s="36"/>
      <c r="AJ428" s="242"/>
      <c r="AK428" s="36"/>
      <c r="AL428" s="36"/>
      <c r="AM428" s="36"/>
    </row>
    <row r="429" spans="6:39" ht="15" customHeight="1" outlineLevel="1">
      <c r="G429" s="6" t="s">
        <v>86</v>
      </c>
      <c r="H429" s="839"/>
      <c r="I429" s="839">
        <f>IFERROR(IF(#REF!="Route-based",IF(#REF!="Yes",I428/(#REF!*#REF!), IF(#REF!="No",I428/(#REF!*#REF!))),
IF(#REF!="Point-to-point",IF(#REF!="Yes",I428/(#REF!*#REF!),IF(#REF!="No",I428/(#REF!*#REF!))),0)),0)</f>
        <v>0</v>
      </c>
      <c r="J429" s="839">
        <f>IFERROR(IF(#REF!="Route-based",IF(#REF!="Yes",J428/(#REF!*#REF!), IF(#REF!="No",J428/(#REF!*#REF!))),
IF(#REF!="Point-to-point",IF(#REF!="Yes",J428/(#REF!*#REF!),IF(#REF!="No",J428/(#REF!*#REF!))),0)),0)</f>
        <v>0</v>
      </c>
      <c r="K429" s="839">
        <f>IFERROR(IF(#REF!="Route-based",IF(#REF!="Yes",K428/(#REF!*#REF!), IF(#REF!="No",K428/(#REF!*#REF!))),
IF(#REF!="Point-to-point",IF(#REF!="Yes",K428/(#REF!*#REF!),IF(#REF!="No",K428/(#REF!*#REF!))),0)),0)</f>
        <v>0</v>
      </c>
      <c r="L429" s="839">
        <f>IFERROR(IF(#REF!="Route-based",IF(#REF!="Yes",L428/(#REF!*#REF!), IF(#REF!="No",L428/(#REF!*#REF!))),
IF(#REF!="Point-to-point",IF(#REF!="Yes",L428/(#REF!*#REF!),IF(#REF!="No",L428/(#REF!*#REF!))),0)),0)</f>
        <v>0</v>
      </c>
      <c r="M429" s="839">
        <f>IFERROR(IF(#REF!="Route-based",IF(#REF!="Yes",M428/(#REF!*#REF!), IF(#REF!="No",M428/(#REF!*#REF!))),
IF(#REF!="Point-to-point",IF(#REF!="Yes",M428/(#REF!*#REF!),IF(#REF!="No",M428/(#REF!*#REF!))),0)),0)</f>
        <v>0</v>
      </c>
      <c r="N429" s="839">
        <f>IFERROR(IF(#REF!="Route-based",IF(#REF!="Yes",N428/(#REF!*#REF!), IF(#REF!="No",N428/(#REF!*#REF!))),
IF(#REF!="Point-to-point",IF(#REF!="Yes",N428/(#REF!*#REF!),IF(#REF!="No",N428/(#REF!*#REF!))),0)),0)</f>
        <v>0</v>
      </c>
      <c r="O429" s="839">
        <f>IFERROR(IF(#REF!="Route-based",IF(#REF!="Yes",O428/(#REF!*#REF!), IF(#REF!="No",O428/(#REF!*#REF!))),
IF(#REF!="Point-to-point",IF(#REF!="Yes",O428/(#REF!*#REF!),IF(#REF!="No",O428/(#REF!*#REF!))),0)),0)</f>
        <v>0</v>
      </c>
      <c r="P429" s="839">
        <f>IFERROR(IF(#REF!="Route-based",IF(#REF!="Yes",P428/(#REF!*#REF!), IF(#REF!="No",P428/(#REF!*#REF!))),
IF(#REF!="Point-to-point",IF(#REF!="Yes",P428/(#REF!*#REF!),IF(#REF!="No",P428/(#REF!*#REF!))),0)),0)</f>
        <v>0</v>
      </c>
      <c r="Q429" s="839">
        <f>IFERROR(IF(#REF!="Route-based",IF(#REF!="Yes",Q428/(#REF!*#REF!), IF(#REF!="No",Q428/(#REF!*#REF!))),
IF(#REF!="Point-to-point",IF(#REF!="Yes",Q428/(#REF!*#REF!),IF(#REF!="No",Q428/(#REF!*#REF!))),0)),0)</f>
        <v>0</v>
      </c>
      <c r="R429" s="839">
        <f>IFERROR(IF(#REF!="Route-based",IF(#REF!="Yes",R428/(#REF!*#REF!), IF(#REF!="No",R428/(#REF!*#REF!))),
IF(#REF!="Point-to-point",IF(#REF!="Yes",R428/(#REF!*#REF!),IF(#REF!="No",R428/(#REF!*#REF!))),0)),0)</f>
        <v>0</v>
      </c>
      <c r="S429" s="839">
        <f>IFERROR(IF(#REF!="Route-based",IF(#REF!="Yes",S428/(#REF!*#REF!), IF(#REF!="No",S428/(#REF!*#REF!))),
IF(#REF!="Point-to-point",IF(#REF!="Yes",S428/(#REF!*#REF!),IF(#REF!="No",S428/(#REF!*#REF!))),0)),0)</f>
        <v>0</v>
      </c>
      <c r="T429" s="839">
        <f>IFERROR(IF(#REF!="Route-based",IF(#REF!="Yes",T428/(#REF!*#REF!), IF(#REF!="No",T428/(#REF!*#REF!))),
IF(#REF!="Point-to-point",IF(#REF!="Yes",T428/(#REF!*#REF!),IF(#REF!="No",T428/(#REF!*#REF!))),0)),0)</f>
        <v>0</v>
      </c>
      <c r="U429" s="839">
        <f>IFERROR(IF(#REF!="Route-based",IF(#REF!="Yes",U428/(#REF!*#REF!), IF(#REF!="No",U428/(#REF!*#REF!))),
IF(#REF!="Point-to-point",IF(#REF!="Yes",U428/(#REF!*#REF!),IF(#REF!="No",U428/(#REF!*#REF!))),0)),0)</f>
        <v>0</v>
      </c>
      <c r="V429" s="839">
        <f>IFERROR(IF(#REF!="Route-based",IF(#REF!="Yes",V428/(#REF!*#REF!), IF(#REF!="No",V428/(#REF!*#REF!))),
IF(#REF!="Point-to-point",IF(#REF!="Yes",V428/(#REF!*#REF!),IF(#REF!="No",V428/(#REF!*#REF!))),0)),0)</f>
        <v>0</v>
      </c>
      <c r="W429" s="839">
        <f>IFERROR(IF(#REF!="Route-based",IF(#REF!="Yes",W428/(#REF!*#REF!), IF(#REF!="No",W428/(#REF!*#REF!))),
IF(#REF!="Point-to-point",IF(#REF!="Yes",W428/(#REF!*#REF!),IF(#REF!="No",W428/(#REF!*#REF!))),0)),0)</f>
        <v>0</v>
      </c>
      <c r="X429" s="36"/>
      <c r="Y429" s="36"/>
      <c r="Z429" s="36"/>
      <c r="AA429" s="36"/>
      <c r="AB429" s="36"/>
      <c r="AC429" s="36"/>
      <c r="AD429" s="36"/>
      <c r="AE429" s="36"/>
      <c r="AF429" s="36"/>
      <c r="AG429" s="36"/>
      <c r="AH429" s="36"/>
      <c r="AI429" s="36"/>
      <c r="AJ429" s="36" t="s">
        <v>191</v>
      </c>
      <c r="AK429" s="36"/>
      <c r="AL429" s="36"/>
      <c r="AM429" s="36"/>
    </row>
    <row r="430" spans="6:39" ht="15" customHeight="1" outlineLevel="1" collapsed="1">
      <c r="G430" s="241" t="s">
        <v>133</v>
      </c>
      <c r="H430" s="842"/>
      <c r="I430" s="842"/>
      <c r="J430" s="842"/>
      <c r="K430" s="842"/>
      <c r="L430" s="842"/>
      <c r="M430" s="842"/>
      <c r="N430" s="842"/>
      <c r="O430" s="842"/>
      <c r="P430" s="842"/>
      <c r="Q430" s="842"/>
      <c r="R430" s="853"/>
      <c r="S430" s="853"/>
      <c r="T430" s="842"/>
      <c r="U430" s="853"/>
      <c r="V430" s="853"/>
      <c r="W430" s="842"/>
      <c r="X430" s="36"/>
      <c r="Y430" s="36"/>
      <c r="Z430" s="36"/>
      <c r="AA430" s="36"/>
      <c r="AB430" s="36"/>
      <c r="AC430" s="36"/>
      <c r="AD430" s="36"/>
      <c r="AE430" s="36"/>
      <c r="AF430" s="36"/>
      <c r="AG430" s="36"/>
      <c r="AH430" s="36"/>
      <c r="AI430" s="36"/>
      <c r="AJ430" s="36"/>
      <c r="AK430" s="36"/>
      <c r="AL430" s="36"/>
      <c r="AM430" s="36"/>
    </row>
    <row r="431" spans="6:39" outlineLevel="1">
      <c r="G431" s="6" t="s">
        <v>129</v>
      </c>
      <c r="H431" s="836"/>
      <c r="I431" s="836">
        <f>IFERROR(((#REF!*#REF!)-(2*#REF!/#REF!)+(#REF!/#REF!))/(((1/60)*(#REF!+#REF!*(#REF!+(#REF!*(Baseline_Results_NOINDIRECT!I$52/#REF!/#REF!)))))+(#REF!/#REF!)),0)</f>
        <v>0</v>
      </c>
      <c r="J431" s="836">
        <f>IFERROR(((#REF!*#REF!)-(2*#REF!/#REF!)+(#REF!/#REF!))/(((1/60)*(#REF!+#REF!*(#REF!+(#REF!*(Baseline_Results_NOINDIRECT!J$52/#REF!/#REF!)))))+(#REF!/#REF!)),0)</f>
        <v>0</v>
      </c>
      <c r="K431" s="836">
        <f>IFERROR(((#REF!*#REF!)-(2*#REF!/#REF!)+(#REF!/#REF!))/(((1/60)*(#REF!+#REF!*(#REF!+(#REF!*(Baseline_Results_NOINDIRECT!K$52/#REF!/#REF!)))))+(#REF!/#REF!)),0)</f>
        <v>0</v>
      </c>
      <c r="L431" s="836">
        <f>IFERROR(((#REF!*#REF!)-(2*#REF!/#REF!)+(#REF!/#REF!))/(((1/60)*(#REF!+#REF!*(#REF!+(#REF!*(Baseline_Results_NOINDIRECT!L$52/#REF!/#REF!)))))+(#REF!/#REF!)),0)</f>
        <v>0</v>
      </c>
      <c r="M431" s="836">
        <f>IFERROR(((#REF!*#REF!)-(2*#REF!/#REF!)+(#REF!/#REF!))/(((1/60)*(#REF!+#REF!*(#REF!+(#REF!*(Baseline_Results_NOINDIRECT!M$52/#REF!/#REF!)))))+(#REF!/#REF!)),0)</f>
        <v>0</v>
      </c>
      <c r="N431" s="836">
        <f>IFERROR(((#REF!*#REF!)-(2*#REF!/#REF!)+(#REF!/#REF!))/(((1/60)*(#REF!+#REF!*(#REF!+(#REF!*(Baseline_Results_NOINDIRECT!N$52/#REF!/#REF!)))))+(#REF!/#REF!)),0)</f>
        <v>0</v>
      </c>
      <c r="O431" s="836">
        <f>IFERROR(((#REF!*#REF!)-(2*#REF!/#REF!)+(#REF!/#REF!))/(((1/60)*(#REF!+#REF!*(#REF!+(#REF!*(Baseline_Results_NOINDIRECT!O$52/#REF!/#REF!)))))+(#REF!/#REF!)),0)</f>
        <v>0</v>
      </c>
      <c r="P431" s="836">
        <f>IFERROR(((#REF!*#REF!)-(2*#REF!/#REF!)+(#REF!/#REF!))/(((1/60)*(#REF!+#REF!*(#REF!+(#REF!*(Baseline_Results_NOINDIRECT!P$52/#REF!/#REF!)))))+(#REF!/#REF!)),0)</f>
        <v>0</v>
      </c>
      <c r="Q431" s="836">
        <f>IFERROR(((#REF!*#REF!)-(2*#REF!/#REF!)+(#REF!/#REF!))/(((1/60)*(#REF!+#REF!*(#REF!+(#REF!*(Baseline_Results_NOINDIRECT!Q$52/#REF!/#REF!)))))+(#REF!/#REF!)),0)</f>
        <v>0</v>
      </c>
      <c r="R431" s="836">
        <f>IFERROR(((#REF!*#REF!)-(2*#REF!/#REF!)+(#REF!/#REF!))/(((1/60)*(#REF!+#REF!*(#REF!+(#REF!*(Baseline_Results_NOINDIRECT!R$52/#REF!/#REF!)))))+(#REF!/#REF!)),0)</f>
        <v>0</v>
      </c>
      <c r="S431" s="836">
        <f>IFERROR(((#REF!*#REF!)-(2*#REF!/#REF!)+(#REF!/#REF!))/(((1/60)*(#REF!+#REF!*(#REF!+(#REF!*(Baseline_Results_NOINDIRECT!S$52/#REF!/#REF!)))))+(#REF!/#REF!)),0)</f>
        <v>0</v>
      </c>
      <c r="T431" s="836">
        <f>IFERROR(((#REF!*#REF!)-(2*#REF!/#REF!)+(#REF!/#REF!))/(((1/60)*(#REF!+#REF!*(#REF!+(#REF!*(Baseline_Results_NOINDIRECT!T$52/#REF!/#REF!)))))+(#REF!/#REF!)),0)</f>
        <v>0</v>
      </c>
      <c r="U431" s="836">
        <f>IFERROR(((#REF!*#REF!)-(2*#REF!/#REF!)+(#REF!/#REF!))/(((1/60)*(#REF!+#REF!*(#REF!+(#REF!*(Baseline_Results_NOINDIRECT!U$52/#REF!/#REF!)))))+(#REF!/#REF!)),0)</f>
        <v>0</v>
      </c>
      <c r="V431" s="836">
        <f>IFERROR(((#REF!*#REF!)-(2*#REF!/#REF!)+(#REF!/#REF!))/(((1/60)*(#REF!+#REF!*(#REF!+(#REF!*(Baseline_Results_NOINDIRECT!V$52/#REF!/#REF!)))))+(#REF!/#REF!)),0)</f>
        <v>0</v>
      </c>
      <c r="W431" s="836">
        <f>IFERROR(((#REF!*#REF!)-(2*#REF!/#REF!)+(#REF!/#REF!))/(((1/60)*(#REF!+#REF!*(#REF!+(#REF!*(Baseline_Results_NOINDIRECT!W$52/#REF!/#REF!)))))+(#REF!/#REF!)),0)</f>
        <v>0</v>
      </c>
      <c r="X431" s="36"/>
      <c r="Y431" s="36"/>
      <c r="Z431" s="36"/>
      <c r="AA431" s="36"/>
      <c r="AB431" s="36"/>
      <c r="AC431" s="36"/>
      <c r="AD431" s="36"/>
      <c r="AE431" s="36"/>
      <c r="AF431" s="36"/>
      <c r="AG431" s="36"/>
      <c r="AH431" s="36"/>
      <c r="AI431" s="36"/>
      <c r="AJ431" s="36"/>
      <c r="AK431" s="36"/>
      <c r="AL431" s="36"/>
      <c r="AM431" s="36"/>
    </row>
    <row r="432" spans="6:39" outlineLevel="1">
      <c r="G432" s="6" t="s">
        <v>206</v>
      </c>
      <c r="H432" s="836"/>
      <c r="I432" s="836">
        <f>IFERROR(ROUND(I426*#REF!/I431,0),0)</f>
        <v>0</v>
      </c>
      <c r="J432" s="836">
        <f>IFERROR(ROUND(J426*#REF!/J431,0),0)</f>
        <v>0</v>
      </c>
      <c r="K432" s="836">
        <f>IFERROR(ROUND(K426*#REF!/K431,0),0)</f>
        <v>0</v>
      </c>
      <c r="L432" s="836">
        <f>IFERROR(ROUND(L426*#REF!/L431,0),0)</f>
        <v>0</v>
      </c>
      <c r="M432" s="836">
        <f>IFERROR(ROUND(M426*#REF!/M431,0),0)</f>
        <v>0</v>
      </c>
      <c r="N432" s="836">
        <f>IFERROR(ROUND(N426*#REF!/N431,0),0)</f>
        <v>0</v>
      </c>
      <c r="O432" s="836">
        <f>IFERROR(ROUND(O426*#REF!/O431,0),0)</f>
        <v>0</v>
      </c>
      <c r="P432" s="836">
        <f>IFERROR(ROUND(P426*#REF!/P431,0),0)</f>
        <v>0</v>
      </c>
      <c r="Q432" s="836">
        <f>IFERROR(ROUND(Q426*#REF!/Q431,0),0)</f>
        <v>0</v>
      </c>
      <c r="R432" s="836">
        <f>IFERROR(ROUND(R426*#REF!/R431,0),0)</f>
        <v>0</v>
      </c>
      <c r="S432" s="836">
        <f>IFERROR(ROUND(S426*#REF!/S431,0),0)</f>
        <v>0</v>
      </c>
      <c r="T432" s="836">
        <f>IFERROR(ROUND(T426*#REF!/T431,0),0)</f>
        <v>0</v>
      </c>
      <c r="U432" s="836">
        <f>IFERROR(ROUND(U426*#REF!/U431,0),0)</f>
        <v>0</v>
      </c>
      <c r="V432" s="836">
        <f>IFERROR(ROUND(V426*#REF!/V431,0),0)</f>
        <v>0</v>
      </c>
      <c r="W432" s="836">
        <f>IFERROR(ROUND(W426*#REF!/W431,0),0)</f>
        <v>0</v>
      </c>
      <c r="X432" s="36"/>
      <c r="Y432" s="36"/>
      <c r="Z432" s="36"/>
      <c r="AA432" s="36"/>
      <c r="AB432" s="36"/>
      <c r="AC432" s="36"/>
      <c r="AD432" s="36"/>
      <c r="AE432" s="36"/>
      <c r="AF432" s="36"/>
      <c r="AG432" s="36"/>
      <c r="AH432" s="36"/>
      <c r="AI432" s="36"/>
      <c r="AJ432" s="36"/>
      <c r="AK432" s="36"/>
      <c r="AL432" s="36"/>
      <c r="AM432" s="36"/>
    </row>
    <row r="433" spans="7:39" outlineLevel="1">
      <c r="G433" s="6" t="s">
        <v>87</v>
      </c>
      <c r="H433" s="836"/>
      <c r="I433" s="836">
        <f>IFERROR(IF(I426=0,0,(2*#REF!)+((MAX(I431, 1)-1)*#REF!)),0)</f>
        <v>0</v>
      </c>
      <c r="J433" s="836">
        <f>IFERROR(IF(J426=0,0,(2*#REF!)+((MAX(J431, 1)-1)*#REF!)),0)</f>
        <v>0</v>
      </c>
      <c r="K433" s="836">
        <f>IFERROR(IF(K426=0,0,(2*#REF!)+((MAX(K431, 1)-1)*#REF!)),0)</f>
        <v>0</v>
      </c>
      <c r="L433" s="836">
        <f>IFERROR(IF(L426=0,0,(2*#REF!)+((MAX(L431, 1)-1)*#REF!)),0)</f>
        <v>0</v>
      </c>
      <c r="M433" s="836">
        <f>IFERROR(IF(M426=0,0,(2*#REF!)+((MAX(M431, 1)-1)*#REF!)),0)</f>
        <v>0</v>
      </c>
      <c r="N433" s="836">
        <f>IFERROR(IF(N426=0,0,(2*#REF!)+((MAX(N431, 1)-1)*#REF!)),0)</f>
        <v>0</v>
      </c>
      <c r="O433" s="836">
        <f>IFERROR(IF(O426=0,0,(2*#REF!)+((MAX(O431, 1)-1)*#REF!)),0)</f>
        <v>0</v>
      </c>
      <c r="P433" s="836">
        <f>IFERROR(IF(P426=0,0,(2*#REF!)+((MAX(P431, 1)-1)*#REF!)),0)</f>
        <v>0</v>
      </c>
      <c r="Q433" s="836">
        <f>IFERROR(IF(Q426=0,0,(2*#REF!)+((MAX(Q431, 1)-1)*#REF!)),0)</f>
        <v>0</v>
      </c>
      <c r="R433" s="836">
        <f>IFERROR(IF(R426=0,0,(2*#REF!)+((MAX(R431, 1)-1)*#REF!)),0)</f>
        <v>0</v>
      </c>
      <c r="S433" s="836">
        <f>IFERROR(IF(S426=0,0,(2*#REF!)+((MAX(S431, 1)-1)*#REF!)),0)</f>
        <v>0</v>
      </c>
      <c r="T433" s="836">
        <f>IFERROR(IF(T426=0,0,(2*#REF!)+((MAX(T431, 1)-1)*#REF!)),0)</f>
        <v>0</v>
      </c>
      <c r="U433" s="836">
        <f>IFERROR(IF(U426=0,0,(2*#REF!)+((MAX(U431, 1)-1)*#REF!)),0)</f>
        <v>0</v>
      </c>
      <c r="V433" s="836">
        <f>IFERROR(IF(V426=0,0,(2*#REF!)+((MAX(V431, 1)-1)*#REF!)),0)</f>
        <v>0</v>
      </c>
      <c r="W433" s="836">
        <f>IFERROR(IF(W426=0,0,(2*#REF!)+((MAX(W431, 1)-1)*#REF!)),0)</f>
        <v>0</v>
      </c>
      <c r="X433" s="36"/>
      <c r="Y433" s="36"/>
      <c r="Z433" s="36"/>
      <c r="AA433" s="36"/>
      <c r="AB433" s="36"/>
      <c r="AC433" s="36"/>
      <c r="AD433" s="36"/>
      <c r="AE433" s="36"/>
      <c r="AF433" s="36"/>
      <c r="AG433" s="36"/>
      <c r="AH433" s="36"/>
      <c r="AI433" s="36"/>
      <c r="AJ433" s="36"/>
      <c r="AK433" s="36"/>
      <c r="AL433" s="36"/>
      <c r="AM433" s="36"/>
    </row>
    <row r="434" spans="7:39" outlineLevel="1">
      <c r="G434" s="6" t="s">
        <v>203</v>
      </c>
      <c r="H434" s="838"/>
      <c r="I434" s="838">
        <f>IFERROR((ROUNDUP(I431,1)*((1/60)*(#REF!+#REF!*(#REF!+(#REF!*(Baseline_Results_NOINDIRECT!I$52/#REF!/#REF!))))))+((2*#REF!)/#REF!)+(((MAX(I431,1)-1)*#REF!)/#REF!),0)</f>
        <v>0</v>
      </c>
      <c r="J434" s="838">
        <f>IFERROR((ROUNDUP(J431,1)*((1/60)*(#REF!+#REF!*(#REF!+(#REF!*(Baseline_Results_NOINDIRECT!J$52/#REF!/#REF!))))))+((2*#REF!)/#REF!)+(((MAX(J431,1)-1)*#REF!)/#REF!),0)</f>
        <v>0</v>
      </c>
      <c r="K434" s="838">
        <f>IFERROR((ROUNDUP(K431,1)*((1/60)*(#REF!+#REF!*(#REF!+(#REF!*(Baseline_Results_NOINDIRECT!K$52/#REF!/#REF!))))))+((2*#REF!)/#REF!)+(((MAX(K431,1)-1)*#REF!)/#REF!),0)</f>
        <v>0</v>
      </c>
      <c r="L434" s="838">
        <f>IFERROR((ROUNDUP(L431,1)*((1/60)*(#REF!+#REF!*(#REF!+(#REF!*(Baseline_Results_NOINDIRECT!L$52/#REF!/#REF!))))))+((2*#REF!)/#REF!)+(((MAX(L431,1)-1)*#REF!)/#REF!),0)</f>
        <v>0</v>
      </c>
      <c r="M434" s="838">
        <f>IFERROR((ROUNDUP(M431,1)*((1/60)*(#REF!+#REF!*(#REF!+(#REF!*(Baseline_Results_NOINDIRECT!M$52/#REF!/#REF!))))))+((2*#REF!)/#REF!)+(((MAX(M431,1)-1)*#REF!)/#REF!),0)</f>
        <v>0</v>
      </c>
      <c r="N434" s="838">
        <f>IFERROR((ROUNDUP(N431,1)*((1/60)*(#REF!+#REF!*(#REF!+(#REF!*(Baseline_Results_NOINDIRECT!N$52/#REF!/#REF!))))))+((2*#REF!)/#REF!)+(((MAX(N431,1)-1)*#REF!)/#REF!),0)</f>
        <v>0</v>
      </c>
      <c r="O434" s="838">
        <f>IFERROR((ROUNDUP(O431,1)*((1/60)*(#REF!+#REF!*(#REF!+(#REF!*(Baseline_Results_NOINDIRECT!O$52/#REF!/#REF!))))))+((2*#REF!)/#REF!)+(((MAX(O431,1)-1)*#REF!)/#REF!),0)</f>
        <v>0</v>
      </c>
      <c r="P434" s="838">
        <f>IFERROR((ROUNDUP(P431,1)*((1/60)*(#REF!+#REF!*(#REF!+(#REF!*(Baseline_Results_NOINDIRECT!P$52/#REF!/#REF!))))))+((2*#REF!)/#REF!)+(((MAX(P431,1)-1)*#REF!)/#REF!),0)</f>
        <v>0</v>
      </c>
      <c r="Q434" s="838">
        <f>IFERROR((ROUNDUP(Q431,1)*((1/60)*(#REF!+#REF!*(#REF!+(#REF!*(Baseline_Results_NOINDIRECT!Q$52/#REF!/#REF!))))))+((2*#REF!)/#REF!)+(((MAX(Q431,1)-1)*#REF!)/#REF!),0)</f>
        <v>0</v>
      </c>
      <c r="R434" s="838">
        <f>IFERROR((ROUNDUP(R431,1)*((1/60)*(#REF!+#REF!*(#REF!+(#REF!*(Baseline_Results_NOINDIRECT!R$52/#REF!/#REF!))))))+((2*#REF!)/#REF!)+(((MAX(R431,1)-1)*#REF!)/#REF!),0)</f>
        <v>0</v>
      </c>
      <c r="S434" s="838">
        <f>IFERROR((ROUNDUP(S431,1)*((1/60)*(#REF!+#REF!*(#REF!+(#REF!*(Baseline_Results_NOINDIRECT!S$52/#REF!/#REF!))))))+((2*#REF!)/#REF!)+(((MAX(S431,1)-1)*#REF!)/#REF!),0)</f>
        <v>0</v>
      </c>
      <c r="T434" s="838">
        <f>IFERROR((ROUNDUP(T431,1)*((1/60)*(#REF!+#REF!*(#REF!+(#REF!*(Baseline_Results_NOINDIRECT!T$52/#REF!/#REF!))))))+((2*#REF!)/#REF!)+(((MAX(T431,1)-1)*#REF!)/#REF!),0)</f>
        <v>0</v>
      </c>
      <c r="U434" s="838">
        <f>IFERROR((ROUNDUP(U431,1)*((1/60)*(#REF!+#REF!*(#REF!+(#REF!*(Baseline_Results_NOINDIRECT!U$52/#REF!/#REF!))))))+((2*#REF!)/#REF!)+(((MAX(U431,1)-1)*#REF!)/#REF!),0)</f>
        <v>0</v>
      </c>
      <c r="V434" s="838">
        <f>IFERROR((ROUNDUP(V431,1)*((1/60)*(#REF!+#REF!*(#REF!+(#REF!*(Baseline_Results_NOINDIRECT!V$52/#REF!/#REF!))))))+((2*#REF!)/#REF!)+(((MAX(V431,1)-1)*#REF!)/#REF!),0)</f>
        <v>0</v>
      </c>
      <c r="W434" s="838">
        <f>IFERROR((ROUNDUP(W431,1)*((1/60)*(#REF!+#REF!*(#REF!+(#REF!*(Baseline_Results_NOINDIRECT!W$52/#REF!/#REF!))))))+((2*#REF!)/#REF!)+(((MAX(W431,1)-1)*#REF!)/#REF!),0)</f>
        <v>0</v>
      </c>
      <c r="X434" s="36"/>
      <c r="Y434" s="36"/>
      <c r="Z434" s="36"/>
      <c r="AA434" s="36"/>
      <c r="AB434" s="36"/>
      <c r="AC434" s="36"/>
      <c r="AD434" s="36"/>
      <c r="AE434" s="36"/>
      <c r="AF434" s="36"/>
      <c r="AG434" s="36"/>
      <c r="AH434" s="36"/>
      <c r="AI434" s="36"/>
      <c r="AJ434" s="36"/>
      <c r="AK434" s="36"/>
      <c r="AL434" s="36"/>
      <c r="AM434" s="36"/>
    </row>
    <row r="435" spans="7:39" outlineLevel="1">
      <c r="G435" s="6" t="s">
        <v>204</v>
      </c>
      <c r="H435" s="838"/>
      <c r="I435" s="838">
        <f>IFERROR((#REF!*#REF!*#REF!)/I434,0)</f>
        <v>0</v>
      </c>
      <c r="J435" s="838">
        <f>IFERROR((#REF!*#REF!*#REF!)/J434,0)</f>
        <v>0</v>
      </c>
      <c r="K435" s="838">
        <f>IFERROR((#REF!*#REF!*#REF!)/K434,0)</f>
        <v>0</v>
      </c>
      <c r="L435" s="838">
        <f>IFERROR((#REF!*#REF!*#REF!)/L434,0)</f>
        <v>0</v>
      </c>
      <c r="M435" s="838">
        <f>IFERROR((#REF!*#REF!*#REF!)/M434,0)</f>
        <v>0</v>
      </c>
      <c r="N435" s="838">
        <f>IFERROR((#REF!*#REF!*#REF!)/N434,0)</f>
        <v>0</v>
      </c>
      <c r="O435" s="838">
        <f>IFERROR((#REF!*#REF!*#REF!)/O434,0)</f>
        <v>0</v>
      </c>
      <c r="P435" s="838">
        <f>IFERROR((#REF!*#REF!*#REF!)/P434,0)</f>
        <v>0</v>
      </c>
      <c r="Q435" s="838">
        <f>IFERROR((#REF!*#REF!*#REF!)/Q434,0)</f>
        <v>0</v>
      </c>
      <c r="R435" s="838">
        <f>IFERROR((#REF!*#REF!*#REF!)/R434,0)</f>
        <v>0</v>
      </c>
      <c r="S435" s="838">
        <f>IFERROR((#REF!*#REF!*#REF!)/S434,0)</f>
        <v>0</v>
      </c>
      <c r="T435" s="838">
        <f>IFERROR((#REF!*#REF!*#REF!)/T434,0)</f>
        <v>0</v>
      </c>
      <c r="U435" s="838">
        <f>IFERROR((#REF!*#REF!*#REF!)/U434,0)</f>
        <v>0</v>
      </c>
      <c r="V435" s="838">
        <f>IFERROR((#REF!*#REF!*#REF!)/V434,0)</f>
        <v>0</v>
      </c>
      <c r="W435" s="838">
        <f>IFERROR((#REF!*#REF!*#REF!)/W434,0)</f>
        <v>0</v>
      </c>
      <c r="X435" s="36"/>
      <c r="Y435" s="36"/>
      <c r="Z435" s="36"/>
      <c r="AA435" s="36"/>
      <c r="AB435" s="36"/>
      <c r="AC435" s="36"/>
      <c r="AD435" s="36"/>
      <c r="AE435" s="36"/>
      <c r="AF435" s="36"/>
      <c r="AG435" s="36"/>
      <c r="AH435" s="36"/>
      <c r="AI435" s="36"/>
      <c r="AJ435" s="242"/>
      <c r="AK435" s="36"/>
      <c r="AL435" s="36"/>
      <c r="AM435" s="36"/>
    </row>
    <row r="436" spans="7:39" outlineLevel="1">
      <c r="G436" s="241" t="s">
        <v>134</v>
      </c>
      <c r="H436" s="842"/>
      <c r="I436" s="842"/>
      <c r="J436" s="842"/>
      <c r="K436" s="842"/>
      <c r="L436" s="842"/>
      <c r="M436" s="842"/>
      <c r="N436" s="842"/>
      <c r="O436" s="842"/>
      <c r="P436" s="842"/>
      <c r="Q436" s="842"/>
      <c r="R436" s="853"/>
      <c r="S436" s="853"/>
      <c r="T436" s="842"/>
      <c r="U436" s="853"/>
      <c r="V436" s="853"/>
      <c r="W436" s="842"/>
      <c r="X436" s="36"/>
      <c r="Y436" s="36"/>
      <c r="Z436" s="36"/>
      <c r="AA436" s="36"/>
      <c r="AB436" s="36"/>
      <c r="AC436" s="36"/>
      <c r="AD436" s="36"/>
      <c r="AE436" s="36"/>
      <c r="AF436" s="36"/>
      <c r="AG436" s="36"/>
      <c r="AH436" s="36"/>
      <c r="AI436" s="36"/>
      <c r="AJ436" s="242"/>
      <c r="AK436" s="36"/>
      <c r="AL436" s="36"/>
      <c r="AM436" s="36"/>
    </row>
    <row r="437" spans="7:39" outlineLevel="1">
      <c r="G437" s="6" t="s">
        <v>206</v>
      </c>
      <c r="H437" s="836"/>
      <c r="I437" s="836">
        <f>IFERROR(I426*#REF!,0)</f>
        <v>0</v>
      </c>
      <c r="J437" s="836">
        <f>IFERROR(J426*#REF!,0)</f>
        <v>0</v>
      </c>
      <c r="K437" s="836">
        <f>IFERROR(K426*#REF!,0)</f>
        <v>0</v>
      </c>
      <c r="L437" s="836">
        <f>IFERROR(L426*#REF!,0)</f>
        <v>0</v>
      </c>
      <c r="M437" s="836">
        <f>IFERROR(M426*#REF!,0)</f>
        <v>0</v>
      </c>
      <c r="N437" s="836">
        <f>IFERROR(N426*#REF!,0)</f>
        <v>0</v>
      </c>
      <c r="O437" s="836">
        <f>IFERROR(O426*#REF!,0)</f>
        <v>0</v>
      </c>
      <c r="P437" s="836">
        <f>IFERROR(P426*#REF!,0)</f>
        <v>0</v>
      </c>
      <c r="Q437" s="836">
        <f>IFERROR(Q426*#REF!,0)</f>
        <v>0</v>
      </c>
      <c r="R437" s="836">
        <f>IFERROR(R426*#REF!,0)</f>
        <v>0</v>
      </c>
      <c r="S437" s="836">
        <f>IFERROR(S426*#REF!,0)</f>
        <v>0</v>
      </c>
      <c r="T437" s="836">
        <f>IFERROR(T426*#REF!,0)</f>
        <v>0</v>
      </c>
      <c r="U437" s="836">
        <f>IFERROR(U426*#REF!,0)</f>
        <v>0</v>
      </c>
      <c r="V437" s="836">
        <f>IFERROR(V426*#REF!,0)</f>
        <v>0</v>
      </c>
      <c r="W437" s="836">
        <f>IFERROR(W426*#REF!,0)</f>
        <v>0</v>
      </c>
      <c r="X437" s="36"/>
      <c r="Y437" s="36"/>
      <c r="Z437" s="36"/>
      <c r="AA437" s="36" t="s">
        <v>192</v>
      </c>
      <c r="AB437" s="36"/>
      <c r="AC437" s="36" t="s">
        <v>193</v>
      </c>
      <c r="AD437" s="36"/>
      <c r="AE437" s="36"/>
      <c r="AF437" s="36"/>
      <c r="AG437" s="36"/>
      <c r="AH437" s="36"/>
      <c r="AI437" s="36"/>
      <c r="AJ437" s="36"/>
      <c r="AK437" s="36"/>
      <c r="AL437" s="36"/>
      <c r="AM437" s="36"/>
    </row>
    <row r="438" spans="7:39" outlineLevel="1">
      <c r="G438" s="6" t="s">
        <v>87</v>
      </c>
      <c r="H438" s="836"/>
      <c r="I438" s="836">
        <f>IFERROR(IF(I426=0,0,2*#REF!),0)</f>
        <v>0</v>
      </c>
      <c r="J438" s="836">
        <f>IFERROR(IF(J426=0,0,2*#REF!),0)</f>
        <v>0</v>
      </c>
      <c r="K438" s="836">
        <f>IFERROR(IF(K426=0,0,2*#REF!),0)</f>
        <v>0</v>
      </c>
      <c r="L438" s="836">
        <f>IFERROR(IF(L426=0,0,2*#REF!),0)</f>
        <v>0</v>
      </c>
      <c r="M438" s="836">
        <f>IFERROR(IF(M426=0,0,2*#REF!),0)</f>
        <v>0</v>
      </c>
      <c r="N438" s="836">
        <f>IFERROR(IF(N426=0,0,2*#REF!),0)</f>
        <v>0</v>
      </c>
      <c r="O438" s="836">
        <f>IFERROR(IF(O426=0,0,2*#REF!),0)</f>
        <v>0</v>
      </c>
      <c r="P438" s="836">
        <f>IFERROR(IF(P426=0,0,2*#REF!),0)</f>
        <v>0</v>
      </c>
      <c r="Q438" s="836">
        <f>IFERROR(IF(Q426=0,0,2*#REF!),0)</f>
        <v>0</v>
      </c>
      <c r="R438" s="836">
        <f>IFERROR(IF(R426=0,0,2*#REF!),0)</f>
        <v>0</v>
      </c>
      <c r="S438" s="836">
        <f>IFERROR(IF(S426=0,0,2*#REF!),0)</f>
        <v>0</v>
      </c>
      <c r="T438" s="836">
        <f>IFERROR(IF(T426=0,0,2*#REF!),0)</f>
        <v>0</v>
      </c>
      <c r="U438" s="836">
        <f>IFERROR(IF(U426=0,0,2*#REF!),0)</f>
        <v>0</v>
      </c>
      <c r="V438" s="836">
        <f>IFERROR(IF(V426=0,0,2*#REF!),0)</f>
        <v>0</v>
      </c>
      <c r="W438" s="836">
        <f>IFERROR(IF(W426=0,0,2*#REF!),0)</f>
        <v>0</v>
      </c>
      <c r="X438" s="36"/>
      <c r="Y438" s="36"/>
      <c r="Z438" s="36"/>
      <c r="AA438" s="36" t="s">
        <v>194</v>
      </c>
      <c r="AB438" s="36"/>
      <c r="AC438" s="36" t="s">
        <v>195</v>
      </c>
      <c r="AD438" s="36"/>
      <c r="AE438" s="36"/>
      <c r="AF438" s="36"/>
      <c r="AG438" s="36"/>
      <c r="AH438" s="36"/>
      <c r="AI438" s="36"/>
      <c r="AJ438" s="36"/>
      <c r="AK438" s="36"/>
      <c r="AL438" s="36"/>
      <c r="AM438" s="36"/>
    </row>
    <row r="439" spans="7:39" outlineLevel="1">
      <c r="G439" s="6" t="s">
        <v>204</v>
      </c>
      <c r="H439" s="837"/>
      <c r="I439" s="837">
        <f>IFERROR((#REF!*#REF!*#REF!)/((I438/#REF!)+((1/60)*(#REF!+#REF!*(#REF!+(#REF!*(Baseline_Results_NOINDIRECT!I$52/#REF!/#REF!)))))),0)</f>
        <v>0</v>
      </c>
      <c r="J439" s="837">
        <f>IFERROR((#REF!*#REF!*#REF!)/((J438/#REF!)+((1/60)*(#REF!+#REF!*(#REF!+(#REF!*(Baseline_Results_NOINDIRECT!J$52/#REF!/#REF!)))))),0)</f>
        <v>0</v>
      </c>
      <c r="K439" s="837">
        <f>IFERROR((#REF!*#REF!*#REF!)/((K438/#REF!)+((1/60)*(#REF!+#REF!*(#REF!+(#REF!*(Baseline_Results_NOINDIRECT!K$52/#REF!/#REF!)))))),0)</f>
        <v>0</v>
      </c>
      <c r="L439" s="837">
        <f>IFERROR((#REF!*#REF!*#REF!)/((L438/#REF!)+((1/60)*(#REF!+#REF!*(#REF!+(#REF!*(Baseline_Results_NOINDIRECT!L$52/#REF!/#REF!)))))),0)</f>
        <v>0</v>
      </c>
      <c r="M439" s="837">
        <f>IFERROR((#REF!*#REF!*#REF!)/((M438/#REF!)+((1/60)*(#REF!+#REF!*(#REF!+(#REF!*(Baseline_Results_NOINDIRECT!M$52/#REF!/#REF!)))))),0)</f>
        <v>0</v>
      </c>
      <c r="N439" s="837">
        <f>IFERROR((#REF!*#REF!*#REF!)/((N438/#REF!)+((1/60)*(#REF!+#REF!*(#REF!+(#REF!*(Baseline_Results_NOINDIRECT!N$52/#REF!/#REF!)))))),0)</f>
        <v>0</v>
      </c>
      <c r="O439" s="837">
        <f>IFERROR((#REF!*#REF!*#REF!)/((O438/#REF!)+((1/60)*(#REF!+#REF!*(#REF!+(#REF!*(Baseline_Results_NOINDIRECT!O$52/#REF!/#REF!)))))),0)</f>
        <v>0</v>
      </c>
      <c r="P439" s="837">
        <f>IFERROR((#REF!*#REF!*#REF!)/((P438/#REF!)+((1/60)*(#REF!+#REF!*(#REF!+(#REF!*(Baseline_Results_NOINDIRECT!P$52/#REF!/#REF!)))))),0)</f>
        <v>0</v>
      </c>
      <c r="Q439" s="837">
        <f>IFERROR((#REF!*#REF!*#REF!)/((Q438/#REF!)+((1/60)*(#REF!+#REF!*(#REF!+(#REF!*(Baseline_Results_NOINDIRECT!Q$52/#REF!/#REF!)))))),0)</f>
        <v>0</v>
      </c>
      <c r="R439" s="837">
        <f>IFERROR((#REF!*#REF!*#REF!)/((R438/#REF!)+((1/60)*(#REF!+#REF!*(#REF!+(#REF!*(Baseline_Results_NOINDIRECT!R$52/#REF!/#REF!)))))),0)</f>
        <v>0</v>
      </c>
      <c r="S439" s="837">
        <f>IFERROR((#REF!*#REF!*#REF!)/((S438/#REF!)+((1/60)*(#REF!+#REF!*(#REF!+(#REF!*(Baseline_Results_NOINDIRECT!S$52/#REF!/#REF!)))))),0)</f>
        <v>0</v>
      </c>
      <c r="T439" s="837">
        <f>IFERROR((#REF!*#REF!*#REF!)/((T438/#REF!)+((1/60)*(#REF!+#REF!*(#REF!+(#REF!*(Baseline_Results_NOINDIRECT!T$52/#REF!/#REF!)))))),0)</f>
        <v>0</v>
      </c>
      <c r="U439" s="837">
        <f>IFERROR((#REF!*#REF!*#REF!)/((U438/#REF!)+((1/60)*(#REF!+#REF!*(#REF!+(#REF!*(Baseline_Results_NOINDIRECT!U$52/#REF!/#REF!)))))),0)</f>
        <v>0</v>
      </c>
      <c r="V439" s="837">
        <f>IFERROR((#REF!*#REF!*#REF!)/((V438/#REF!)+((1/60)*(#REF!+#REF!*(#REF!+(#REF!*(Baseline_Results_NOINDIRECT!V$52/#REF!/#REF!)))))),0)</f>
        <v>0</v>
      </c>
      <c r="W439" s="837">
        <f>IFERROR((#REF!*#REF!*#REF!)/((W438/#REF!)+((1/60)*(#REF!+#REF!*(#REF!+(#REF!*(Baseline_Results_NOINDIRECT!W$52/#REF!/#REF!)))))),0)</f>
        <v>0</v>
      </c>
      <c r="X439" s="36"/>
      <c r="Y439" s="36"/>
      <c r="Z439" s="36"/>
      <c r="AA439" s="36" t="s">
        <v>196</v>
      </c>
      <c r="AB439" s="36"/>
      <c r="AC439" s="36" t="s">
        <v>197</v>
      </c>
      <c r="AD439" s="36"/>
      <c r="AE439" s="36"/>
      <c r="AF439" s="36"/>
      <c r="AG439" s="36"/>
      <c r="AH439" s="36"/>
      <c r="AI439" s="36"/>
      <c r="AJ439" s="36"/>
      <c r="AK439" s="36"/>
      <c r="AL439" s="36"/>
      <c r="AM439" s="36"/>
    </row>
    <row r="440" spans="7:39" outlineLevel="1">
      <c r="R440" s="36"/>
      <c r="S440" s="36"/>
      <c r="T440" s="36"/>
      <c r="U440" s="36"/>
      <c r="V440" s="36"/>
      <c r="W440" s="36"/>
      <c r="X440" s="36"/>
      <c r="Y440" s="36"/>
      <c r="Z440" s="36"/>
      <c r="AA440" s="36"/>
      <c r="AB440" s="36"/>
      <c r="AC440" s="36"/>
      <c r="AD440" s="36"/>
      <c r="AE440" s="36"/>
      <c r="AF440" s="36"/>
      <c r="AG440" s="36"/>
      <c r="AH440" s="36"/>
      <c r="AI440" s="36"/>
      <c r="AJ440" s="36"/>
      <c r="AK440" s="36"/>
      <c r="AL440" s="36"/>
      <c r="AM440" s="36"/>
    </row>
    <row r="441" spans="7:39" outlineLevel="1">
      <c r="R441" s="36"/>
      <c r="S441" s="36"/>
      <c r="T441" s="36"/>
      <c r="U441" s="36"/>
      <c r="V441" s="36"/>
      <c r="W441" s="36"/>
      <c r="X441" s="36"/>
      <c r="Y441" s="36"/>
      <c r="Z441" s="36"/>
      <c r="AA441" s="36"/>
      <c r="AB441" s="36"/>
      <c r="AC441" s="36"/>
      <c r="AD441" s="36"/>
      <c r="AE441" s="36"/>
      <c r="AF441" s="36"/>
      <c r="AG441" s="36"/>
      <c r="AH441" s="36"/>
      <c r="AI441" s="36"/>
      <c r="AJ441" s="36"/>
      <c r="AK441" s="36"/>
      <c r="AL441" s="36"/>
      <c r="AM441" s="36"/>
    </row>
    <row r="442" spans="7:39">
      <c r="H442" s="67"/>
      <c r="I442" s="67"/>
      <c r="J442" s="67"/>
      <c r="K442" s="67"/>
      <c r="L442" s="67"/>
      <c r="M442" s="67"/>
      <c r="N442" s="67"/>
      <c r="O442" s="67"/>
      <c r="P442" s="67"/>
      <c r="R442" s="243"/>
      <c r="S442" s="243"/>
      <c r="T442" s="243"/>
      <c r="U442" s="243"/>
      <c r="V442" s="243"/>
      <c r="W442" s="243"/>
      <c r="X442" s="36"/>
      <c r="Y442" s="36"/>
      <c r="Z442" s="36"/>
      <c r="AA442" s="36"/>
      <c r="AB442" s="36"/>
      <c r="AC442" s="36"/>
      <c r="AD442" s="36"/>
      <c r="AE442" s="36"/>
      <c r="AF442" s="36"/>
      <c r="AG442" s="36"/>
      <c r="AH442" s="36"/>
      <c r="AI442" s="36"/>
      <c r="AJ442" s="36"/>
      <c r="AK442" s="36"/>
      <c r="AL442" s="36"/>
      <c r="AM442" s="36"/>
    </row>
    <row r="443" spans="7:39">
      <c r="H443" s="67"/>
      <c r="I443" s="67"/>
      <c r="J443" s="67"/>
      <c r="K443" s="67"/>
      <c r="L443" s="67"/>
      <c r="M443" s="67"/>
      <c r="N443" s="67"/>
      <c r="O443" s="67"/>
      <c r="P443" s="67"/>
      <c r="R443" s="243"/>
      <c r="S443" s="243"/>
      <c r="T443" s="243"/>
      <c r="U443" s="243"/>
      <c r="V443" s="243"/>
      <c r="W443" s="243"/>
      <c r="X443" s="36"/>
      <c r="Y443" s="36"/>
      <c r="Z443" s="36"/>
      <c r="AA443" s="36"/>
      <c r="AB443" s="36"/>
      <c r="AC443" s="36"/>
      <c r="AD443" s="36"/>
      <c r="AE443" s="36"/>
      <c r="AF443" s="36"/>
      <c r="AG443" s="36"/>
      <c r="AH443" s="36"/>
      <c r="AI443" s="36"/>
      <c r="AJ443" s="242"/>
      <c r="AK443" s="36"/>
      <c r="AL443" s="36"/>
      <c r="AM443" s="36"/>
    </row>
    <row r="444" spans="7:39">
      <c r="R444" s="243"/>
      <c r="S444" s="243"/>
      <c r="T444" s="243"/>
      <c r="U444" s="243"/>
      <c r="V444" s="243"/>
      <c r="W444" s="243"/>
      <c r="X444" s="36"/>
      <c r="Y444" s="36"/>
      <c r="Z444" s="36"/>
      <c r="AA444" s="36"/>
      <c r="AB444" s="36"/>
      <c r="AC444" s="36"/>
      <c r="AD444" s="36"/>
      <c r="AE444" s="36"/>
      <c r="AF444" s="36"/>
      <c r="AG444" s="36"/>
      <c r="AH444" s="36"/>
      <c r="AI444" s="36"/>
      <c r="AJ444" s="36"/>
      <c r="AK444" s="36"/>
      <c r="AL444" s="36"/>
      <c r="AM444" s="36"/>
    </row>
    <row r="445" spans="7:39">
      <c r="R445" s="243"/>
      <c r="S445" s="243"/>
      <c r="T445" s="243"/>
      <c r="U445" s="243"/>
      <c r="V445" s="243"/>
      <c r="W445" s="243"/>
      <c r="X445" s="36"/>
      <c r="Y445" s="36"/>
      <c r="Z445" s="36"/>
      <c r="AA445" s="36"/>
      <c r="AB445" s="36"/>
      <c r="AC445" s="36"/>
      <c r="AD445" s="36"/>
      <c r="AE445" s="36"/>
      <c r="AF445" s="36"/>
      <c r="AG445" s="36"/>
      <c r="AH445" s="36"/>
      <c r="AI445" s="36"/>
      <c r="AJ445" s="36"/>
      <c r="AK445" s="36"/>
      <c r="AL445" s="36"/>
      <c r="AM445" s="36"/>
    </row>
    <row r="446" spans="7:39">
      <c r="R446" s="243"/>
      <c r="S446" s="243"/>
      <c r="T446" s="243"/>
      <c r="U446" s="243"/>
      <c r="V446" s="243"/>
      <c r="W446" s="243"/>
      <c r="X446" s="36"/>
      <c r="Y446" s="36"/>
      <c r="Z446" s="36"/>
      <c r="AA446" s="36"/>
      <c r="AB446" s="36"/>
      <c r="AC446" s="36"/>
      <c r="AD446" s="36"/>
      <c r="AE446" s="36"/>
      <c r="AF446" s="36"/>
      <c r="AG446" s="36"/>
      <c r="AH446" s="36"/>
      <c r="AI446" s="36"/>
      <c r="AJ446" s="36"/>
      <c r="AK446" s="36"/>
      <c r="AL446" s="36"/>
      <c r="AM446" s="36"/>
    </row>
    <row r="447" spans="7:39">
      <c r="R447" s="243"/>
      <c r="S447" s="243"/>
      <c r="T447" s="243"/>
      <c r="U447" s="243"/>
      <c r="V447" s="243"/>
      <c r="W447" s="243"/>
      <c r="X447" s="36"/>
      <c r="Y447" s="36"/>
      <c r="Z447" s="36"/>
      <c r="AA447" s="36"/>
      <c r="AB447" s="36"/>
      <c r="AC447" s="36"/>
      <c r="AD447" s="36"/>
      <c r="AE447" s="36"/>
      <c r="AF447" s="36"/>
      <c r="AG447" s="36"/>
      <c r="AH447" s="36"/>
      <c r="AI447" s="36"/>
      <c r="AJ447" s="36"/>
      <c r="AK447" s="36"/>
      <c r="AL447" s="36"/>
      <c r="AM447" s="36"/>
    </row>
  </sheetData>
  <mergeCells count="32">
    <mergeCell ref="F72:O72"/>
    <mergeCell ref="AO48:AT48"/>
    <mergeCell ref="AO50:AR51"/>
    <mergeCell ref="AS50:AS51"/>
    <mergeCell ref="AT50:AT51"/>
    <mergeCell ref="AO52:AR53"/>
    <mergeCell ref="AS52:AS53"/>
    <mergeCell ref="AT52:AT53"/>
    <mergeCell ref="F38:F41"/>
    <mergeCell ref="X38:X41"/>
    <mergeCell ref="Y38:Y41"/>
    <mergeCell ref="F42:F45"/>
    <mergeCell ref="X42:X45"/>
    <mergeCell ref="Y42:Y45"/>
    <mergeCell ref="X31:X33"/>
    <mergeCell ref="Y31:Y33"/>
    <mergeCell ref="F34:F37"/>
    <mergeCell ref="X34:X37"/>
    <mergeCell ref="Y34:Y37"/>
    <mergeCell ref="F14:G14"/>
    <mergeCell ref="H14:K14"/>
    <mergeCell ref="H15:K15"/>
    <mergeCell ref="H16:K16"/>
    <mergeCell ref="F31:F33"/>
    <mergeCell ref="H18:K18"/>
    <mergeCell ref="H12:K12"/>
    <mergeCell ref="H13:K13"/>
    <mergeCell ref="H3:K3"/>
    <mergeCell ref="H4:K4"/>
    <mergeCell ref="H9:K9"/>
    <mergeCell ref="H10:K10"/>
    <mergeCell ref="H11:K11"/>
  </mergeCells>
  <conditionalFormatting sqref="H265:N265 H293:N294 I279:J292 I266:J277 H382:N383 L266:P277 L279:P292 I355:J367 L355:P367 O174:Q185 O154:Q171 H191:N191 H174:N186 R157:W157 H150:N171 R171:W173 H172:Q173 R165:W166 R159:W163 H149:W149 R175:W181 R183:W185 H351:N354 H148:N148 H262:N263">
    <cfRule type="expression" dxfId="941" priority="106">
      <formula>ISERROR(H148)</formula>
    </cfRule>
  </conditionalFormatting>
  <conditionalFormatting sqref="I368:J381 L368:P381">
    <cfRule type="expression" dxfId="940" priority="105">
      <formula>ISERROR(I368)</formula>
    </cfRule>
  </conditionalFormatting>
  <conditionalFormatting sqref="H224:N224 H229:N229">
    <cfRule type="expression" dxfId="939" priority="104">
      <formula>ISERROR(H224)</formula>
    </cfRule>
  </conditionalFormatting>
  <conditionalFormatting sqref="H322:N323">
    <cfRule type="expression" dxfId="938" priority="103">
      <formula>ISERROR(H322)</formula>
    </cfRule>
  </conditionalFormatting>
  <conditionalFormatting sqref="H411:N412">
    <cfRule type="expression" dxfId="937" priority="102">
      <formula>ISERROR(H411)</formula>
    </cfRule>
  </conditionalFormatting>
  <conditionalFormatting sqref="Q279:Q292 Q266:Q277">
    <cfRule type="expression" dxfId="936" priority="101">
      <formula>ISERROR(Q266)</formula>
    </cfRule>
  </conditionalFormatting>
  <conditionalFormatting sqref="K266:K277 K279:K292">
    <cfRule type="expression" dxfId="935" priority="100">
      <formula>ISERROR(K266)</formula>
    </cfRule>
  </conditionalFormatting>
  <conditionalFormatting sqref="H266:H277 H279:H292 I281:W282 I284:W288 I291:W291">
    <cfRule type="expression" dxfId="934" priority="99">
      <formula>ISERROR(H266)</formula>
    </cfRule>
  </conditionalFormatting>
  <conditionalFormatting sqref="I308:J321 I295:J306 L295:P306 L308:P321">
    <cfRule type="expression" dxfId="933" priority="98">
      <formula>ISERROR(I295)</formula>
    </cfRule>
  </conditionalFormatting>
  <conditionalFormatting sqref="Q308:Q321 Q295:Q306">
    <cfRule type="expression" dxfId="932" priority="97">
      <formula>ISERROR(Q295)</formula>
    </cfRule>
  </conditionalFormatting>
  <conditionalFormatting sqref="K295:K306 K308:K321">
    <cfRule type="expression" dxfId="931" priority="96">
      <formula>ISERROR(K295)</formula>
    </cfRule>
  </conditionalFormatting>
  <conditionalFormatting sqref="H295:H306 H308:H321 I310:W311 I305:W306 I299:W303 I313:W317 I319:W321">
    <cfRule type="expression" dxfId="930" priority="95">
      <formula>ISERROR(H295)</formula>
    </cfRule>
  </conditionalFormatting>
  <conditionalFormatting sqref="I337:J350 I324:J335 L324:P335 L337:P350">
    <cfRule type="expression" dxfId="929" priority="94">
      <formula>ISERROR(I324)</formula>
    </cfRule>
  </conditionalFormatting>
  <conditionalFormatting sqref="Q337:Q350 Q324:Q335">
    <cfRule type="expression" dxfId="928" priority="93">
      <formula>ISERROR(Q324)</formula>
    </cfRule>
  </conditionalFormatting>
  <conditionalFormatting sqref="K324:K335 K337:K350">
    <cfRule type="expression" dxfId="927" priority="92">
      <formula>ISERROR(K324)</formula>
    </cfRule>
  </conditionalFormatting>
  <conditionalFormatting sqref="H324:H335 H337:H350 I339:W340 I334:W335 I328:W332 I342:W346 I348:W350">
    <cfRule type="expression" dxfId="926" priority="91">
      <formula>ISERROR(H324)</formula>
    </cfRule>
  </conditionalFormatting>
  <conditionalFormatting sqref="H192:Q207 H209:Q223 R195:W195 R209:W211 R203:W204 R197:W201 R213:W219 R221:W223">
    <cfRule type="expression" dxfId="925" priority="90">
      <formula>ISERROR(H192)</formula>
    </cfRule>
  </conditionalFormatting>
  <conditionalFormatting sqref="H230:Q245 H247:Q261 R233:W233 R247:W249 R241:W242 R235:W239 R251:W257 R259:W261">
    <cfRule type="expression" dxfId="924" priority="89">
      <formula>ISERROR(H230)</formula>
    </cfRule>
  </conditionalFormatting>
  <conditionalFormatting sqref="K355:K367">
    <cfRule type="expression" dxfId="923" priority="88">
      <formula>ISERROR(K355)</formula>
    </cfRule>
  </conditionalFormatting>
  <conditionalFormatting sqref="K368:K381">
    <cfRule type="expression" dxfId="922" priority="87">
      <formula>ISERROR(K368)</formula>
    </cfRule>
  </conditionalFormatting>
  <conditionalFormatting sqref="H355:H367 I365:W366 I359:W363">
    <cfRule type="expression" dxfId="921" priority="86">
      <formula>ISERROR(H355)</formula>
    </cfRule>
  </conditionalFormatting>
  <conditionalFormatting sqref="H368:H381 I370:W371 I373:W377 I379:W381">
    <cfRule type="expression" dxfId="920" priority="85">
      <formula>ISERROR(H368)</formula>
    </cfRule>
  </conditionalFormatting>
  <conditionalFormatting sqref="Q355:Q367">
    <cfRule type="expression" dxfId="919" priority="84">
      <formula>ISERROR(Q355)</formula>
    </cfRule>
  </conditionalFormatting>
  <conditionalFormatting sqref="Q368:Q381">
    <cfRule type="expression" dxfId="918" priority="83">
      <formula>ISERROR(Q368)</formula>
    </cfRule>
  </conditionalFormatting>
  <conditionalFormatting sqref="I384:J396 L384:P396">
    <cfRule type="expression" dxfId="917" priority="82">
      <formula>ISERROR(I384)</formula>
    </cfRule>
  </conditionalFormatting>
  <conditionalFormatting sqref="I397:J410 L397:P410">
    <cfRule type="expression" dxfId="916" priority="81">
      <formula>ISERROR(I397)</formula>
    </cfRule>
  </conditionalFormatting>
  <conditionalFormatting sqref="K384:K396">
    <cfRule type="expression" dxfId="915" priority="80">
      <formula>ISERROR(K384)</formula>
    </cfRule>
  </conditionalFormatting>
  <conditionalFormatting sqref="K397:K410">
    <cfRule type="expression" dxfId="914" priority="79">
      <formula>ISERROR(K397)</formula>
    </cfRule>
  </conditionalFormatting>
  <conditionalFormatting sqref="H384:H396 I394:W395 I388:W392">
    <cfRule type="expression" dxfId="913" priority="78">
      <formula>ISERROR(H384)</formula>
    </cfRule>
  </conditionalFormatting>
  <conditionalFormatting sqref="H397:H410 I397:W400 I402:W406 I408:W410">
    <cfRule type="expression" dxfId="912" priority="77">
      <formula>ISERROR(H397)</formula>
    </cfRule>
  </conditionalFormatting>
  <conditionalFormatting sqref="Q384:Q396">
    <cfRule type="expression" dxfId="911" priority="76">
      <formula>ISERROR(Q384)</formula>
    </cfRule>
  </conditionalFormatting>
  <conditionalFormatting sqref="Q397:Q410">
    <cfRule type="expression" dxfId="910" priority="75">
      <formula>ISERROR(Q397)</formula>
    </cfRule>
  </conditionalFormatting>
  <conditionalFormatting sqref="I413:J425 L413:P425">
    <cfRule type="expression" dxfId="909" priority="74">
      <formula>ISERROR(I413)</formula>
    </cfRule>
  </conditionalFormatting>
  <conditionalFormatting sqref="I426:J439 L426:P439">
    <cfRule type="expression" dxfId="908" priority="73">
      <formula>ISERROR(I426)</formula>
    </cfRule>
  </conditionalFormatting>
  <conditionalFormatting sqref="K413:K425">
    <cfRule type="expression" dxfId="907" priority="72">
      <formula>ISERROR(K413)</formula>
    </cfRule>
  </conditionalFormatting>
  <conditionalFormatting sqref="K426:K439">
    <cfRule type="expression" dxfId="906" priority="71">
      <formula>ISERROR(K426)</formula>
    </cfRule>
  </conditionalFormatting>
  <conditionalFormatting sqref="H413:H425 I423:W424 I417:W421 I413:W415">
    <cfRule type="expression" dxfId="905" priority="70">
      <formula>ISERROR(H413)</formula>
    </cfRule>
  </conditionalFormatting>
  <conditionalFormatting sqref="H426:H439 I426:W429 I431:W435 I437:W439">
    <cfRule type="expression" dxfId="904" priority="69">
      <formula>ISERROR(H426)</formula>
    </cfRule>
  </conditionalFormatting>
  <conditionalFormatting sqref="Q413:Q425">
    <cfRule type="expression" dxfId="903" priority="68">
      <formula>ISERROR(Q413)</formula>
    </cfRule>
  </conditionalFormatting>
  <conditionalFormatting sqref="Q426:Q439">
    <cfRule type="expression" dxfId="902" priority="67">
      <formula>ISERROR(Q426)</formula>
    </cfRule>
  </conditionalFormatting>
  <conditionalFormatting sqref="H208:Q208">
    <cfRule type="expression" dxfId="901" priority="66">
      <formula>ISERROR(H208)</formula>
    </cfRule>
  </conditionalFormatting>
  <conditionalFormatting sqref="H246:Q246">
    <cfRule type="expression" dxfId="900" priority="65">
      <formula>ISERROR(H246)</formula>
    </cfRule>
  </conditionalFormatting>
  <conditionalFormatting sqref="Q152">
    <cfRule type="expression" dxfId="899" priority="64">
      <formula>ISERROR(Q152)</formula>
    </cfRule>
  </conditionalFormatting>
  <conditionalFormatting sqref="H189:Q190">
    <cfRule type="expression" dxfId="898" priority="63">
      <formula>ISERROR(H189)</formula>
    </cfRule>
  </conditionalFormatting>
  <conditionalFormatting sqref="Q189:Q190">
    <cfRule type="expression" dxfId="897" priority="62">
      <formula>ISERROR(Q189)</formula>
    </cfRule>
  </conditionalFormatting>
  <conditionalFormatting sqref="I227:Q228">
    <cfRule type="expression" dxfId="896" priority="61">
      <formula>ISERROR(I227)</formula>
    </cfRule>
  </conditionalFormatting>
  <conditionalFormatting sqref="H227:Q228">
    <cfRule type="expression" dxfId="895" priority="60">
      <formula>ISERROR(H227)</formula>
    </cfRule>
  </conditionalFormatting>
  <conditionalFormatting sqref="Q151">
    <cfRule type="expression" dxfId="894" priority="59">
      <formula>ISERROR(Q151)</formula>
    </cfRule>
  </conditionalFormatting>
  <conditionalFormatting sqref="T279:T292 T266:T277">
    <cfRule type="expression" dxfId="893" priority="58">
      <formula>ISERROR(T266)</formula>
    </cfRule>
  </conditionalFormatting>
  <conditionalFormatting sqref="T282">
    <cfRule type="expression" dxfId="892" priority="57">
      <formula>ISERROR(T282)</formula>
    </cfRule>
  </conditionalFormatting>
  <conditionalFormatting sqref="T308:T321 T295:T306">
    <cfRule type="expression" dxfId="891" priority="56">
      <formula>ISERROR(T295)</formula>
    </cfRule>
  </conditionalFormatting>
  <conditionalFormatting sqref="T311">
    <cfRule type="expression" dxfId="890" priority="55">
      <formula>ISERROR(T311)</formula>
    </cfRule>
  </conditionalFormatting>
  <conditionalFormatting sqref="T337:T350 T324:T335">
    <cfRule type="expression" dxfId="889" priority="54">
      <formula>ISERROR(T324)</formula>
    </cfRule>
  </conditionalFormatting>
  <conditionalFormatting sqref="T340">
    <cfRule type="expression" dxfId="888" priority="53">
      <formula>ISERROR(T340)</formula>
    </cfRule>
  </conditionalFormatting>
  <conditionalFormatting sqref="W279:W292 W266:W277">
    <cfRule type="expression" dxfId="887" priority="52">
      <formula>ISERROR(W266)</formula>
    </cfRule>
  </conditionalFormatting>
  <conditionalFormatting sqref="W282">
    <cfRule type="expression" dxfId="886" priority="51">
      <formula>ISERROR(W282)</formula>
    </cfRule>
  </conditionalFormatting>
  <conditionalFormatting sqref="W308:W321 W295:W306">
    <cfRule type="expression" dxfId="885" priority="50">
      <formula>ISERROR(W295)</formula>
    </cfRule>
  </conditionalFormatting>
  <conditionalFormatting sqref="W311">
    <cfRule type="expression" dxfId="884" priority="49">
      <formula>ISERROR(W311)</formula>
    </cfRule>
  </conditionalFormatting>
  <conditionalFormatting sqref="W337:W350 W324:W335">
    <cfRule type="expression" dxfId="883" priority="48">
      <formula>ISERROR(W324)</formula>
    </cfRule>
  </conditionalFormatting>
  <conditionalFormatting sqref="W340">
    <cfRule type="expression" dxfId="882" priority="47">
      <formula>ISERROR(W340)</formula>
    </cfRule>
  </conditionalFormatting>
  <conditionalFormatting sqref="T154:T185">
    <cfRule type="expression" dxfId="881" priority="46">
      <formula>ISERROR(T154)</formula>
    </cfRule>
  </conditionalFormatting>
  <conditionalFormatting sqref="T192:T207 T209:T223">
    <cfRule type="expression" dxfId="880" priority="45">
      <formula>ISERROR(T192)</formula>
    </cfRule>
  </conditionalFormatting>
  <conditionalFormatting sqref="T230:T245 T247:T261">
    <cfRule type="expression" dxfId="879" priority="44">
      <formula>ISERROR(T230)</formula>
    </cfRule>
  </conditionalFormatting>
  <conditionalFormatting sqref="T208">
    <cfRule type="expression" dxfId="878" priority="43">
      <formula>ISERROR(T208)</formula>
    </cfRule>
  </conditionalFormatting>
  <conditionalFormatting sqref="T246">
    <cfRule type="expression" dxfId="877" priority="42">
      <formula>ISERROR(T246)</formula>
    </cfRule>
  </conditionalFormatting>
  <conditionalFormatting sqref="T152">
    <cfRule type="expression" dxfId="876" priority="41">
      <formula>ISERROR(T152)</formula>
    </cfRule>
  </conditionalFormatting>
  <conditionalFormatting sqref="T189:T190">
    <cfRule type="expression" dxfId="875" priority="40">
      <formula>ISERROR(T189)</formula>
    </cfRule>
  </conditionalFormatting>
  <conditionalFormatting sqref="T189:T190">
    <cfRule type="expression" dxfId="874" priority="39">
      <formula>ISERROR(T189)</formula>
    </cfRule>
  </conditionalFormatting>
  <conditionalFormatting sqref="T227:T228">
    <cfRule type="expression" dxfId="873" priority="38">
      <formula>ISERROR(T227)</formula>
    </cfRule>
  </conditionalFormatting>
  <conditionalFormatting sqref="T227:T228">
    <cfRule type="expression" dxfId="872" priority="37">
      <formula>ISERROR(T227)</formula>
    </cfRule>
  </conditionalFormatting>
  <conditionalFormatting sqref="T151">
    <cfRule type="expression" dxfId="871" priority="36">
      <formula>ISERROR(T151)</formula>
    </cfRule>
  </conditionalFormatting>
  <conditionalFormatting sqref="W154:W185">
    <cfRule type="expression" dxfId="870" priority="35">
      <formula>ISERROR(W154)</formula>
    </cfRule>
  </conditionalFormatting>
  <conditionalFormatting sqref="W192:W207 W209:W223">
    <cfRule type="expression" dxfId="869" priority="34">
      <formula>ISERROR(W192)</formula>
    </cfRule>
  </conditionalFormatting>
  <conditionalFormatting sqref="W230:W245 W247:W261">
    <cfRule type="expression" dxfId="868" priority="33">
      <formula>ISERROR(W230)</formula>
    </cfRule>
  </conditionalFormatting>
  <conditionalFormatting sqref="W208">
    <cfRule type="expression" dxfId="867" priority="32">
      <formula>ISERROR(W208)</formula>
    </cfRule>
  </conditionalFormatting>
  <conditionalFormatting sqref="W246">
    <cfRule type="expression" dxfId="866" priority="31">
      <formula>ISERROR(W246)</formula>
    </cfRule>
  </conditionalFormatting>
  <conditionalFormatting sqref="W152">
    <cfRule type="expression" dxfId="865" priority="30">
      <formula>ISERROR(W152)</formula>
    </cfRule>
  </conditionalFormatting>
  <conditionalFormatting sqref="W189:W190">
    <cfRule type="expression" dxfId="864" priority="29">
      <formula>ISERROR(W189)</formula>
    </cfRule>
  </conditionalFormatting>
  <conditionalFormatting sqref="W189:W190">
    <cfRule type="expression" dxfId="863" priority="28">
      <formula>ISERROR(W189)</formula>
    </cfRule>
  </conditionalFormatting>
  <conditionalFormatting sqref="W227:W228">
    <cfRule type="expression" dxfId="862" priority="27">
      <formula>ISERROR(W227)</formula>
    </cfRule>
  </conditionalFormatting>
  <conditionalFormatting sqref="W227:W228">
    <cfRule type="expression" dxfId="861" priority="26">
      <formula>ISERROR(W227)</formula>
    </cfRule>
  </conditionalFormatting>
  <conditionalFormatting sqref="W151">
    <cfRule type="expression" dxfId="860" priority="25">
      <formula>ISERROR(W151)</formula>
    </cfRule>
  </conditionalFormatting>
  <conditionalFormatting sqref="T371">
    <cfRule type="expression" dxfId="859" priority="24">
      <formula>ISERROR(T371)</formula>
    </cfRule>
  </conditionalFormatting>
  <conditionalFormatting sqref="T355:T367">
    <cfRule type="expression" dxfId="858" priority="23">
      <formula>ISERROR(T355)</formula>
    </cfRule>
  </conditionalFormatting>
  <conditionalFormatting sqref="T368:T381">
    <cfRule type="expression" dxfId="857" priority="22">
      <formula>ISERROR(T368)</formula>
    </cfRule>
  </conditionalFormatting>
  <conditionalFormatting sqref="T400">
    <cfRule type="expression" dxfId="856" priority="21">
      <formula>ISERROR(T400)</formula>
    </cfRule>
  </conditionalFormatting>
  <conditionalFormatting sqref="T384:T396">
    <cfRule type="expression" dxfId="855" priority="20">
      <formula>ISERROR(T384)</formula>
    </cfRule>
  </conditionalFormatting>
  <conditionalFormatting sqref="T397:T410">
    <cfRule type="expression" dxfId="854" priority="19">
      <formula>ISERROR(T397)</formula>
    </cfRule>
  </conditionalFormatting>
  <conditionalFormatting sqref="T429">
    <cfRule type="expression" dxfId="853" priority="18">
      <formula>ISERROR(T429)</formula>
    </cfRule>
  </conditionalFormatting>
  <conditionalFormatting sqref="T413:T425">
    <cfRule type="expression" dxfId="852" priority="17">
      <formula>ISERROR(T413)</formula>
    </cfRule>
  </conditionalFormatting>
  <conditionalFormatting sqref="T426:T439">
    <cfRule type="expression" dxfId="851" priority="16">
      <formula>ISERROR(T426)</formula>
    </cfRule>
  </conditionalFormatting>
  <conditionalFormatting sqref="W371">
    <cfRule type="expression" dxfId="850" priority="15">
      <formula>ISERROR(W371)</formula>
    </cfRule>
  </conditionalFormatting>
  <conditionalFormatting sqref="W355:W367">
    <cfRule type="expression" dxfId="849" priority="14">
      <formula>ISERROR(W355)</formula>
    </cfRule>
  </conditionalFormatting>
  <conditionalFormatting sqref="W368:W381">
    <cfRule type="expression" dxfId="848" priority="13">
      <formula>ISERROR(W368)</formula>
    </cfRule>
  </conditionalFormatting>
  <conditionalFormatting sqref="W400">
    <cfRule type="expression" dxfId="847" priority="12">
      <formula>ISERROR(W400)</formula>
    </cfRule>
  </conditionalFormatting>
  <conditionalFormatting sqref="W384:W396">
    <cfRule type="expression" dxfId="846" priority="11">
      <formula>ISERROR(W384)</formula>
    </cfRule>
  </conditionalFormatting>
  <conditionalFormatting sqref="W397:W410">
    <cfRule type="expression" dxfId="845" priority="10">
      <formula>ISERROR(W397)</formula>
    </cfRule>
  </conditionalFormatting>
  <conditionalFormatting sqref="W429">
    <cfRule type="expression" dxfId="844" priority="9">
      <formula>ISERROR(W429)</formula>
    </cfRule>
  </conditionalFormatting>
  <conditionalFormatting sqref="W413:W425">
    <cfRule type="expression" dxfId="843" priority="8">
      <formula>ISERROR(W413)</formula>
    </cfRule>
  </conditionalFormatting>
  <conditionalFormatting sqref="W426:W439">
    <cfRule type="expression" dxfId="842" priority="7">
      <formula>ISERROR(W426)</formula>
    </cfRule>
  </conditionalFormatting>
  <conditionalFormatting sqref="H187:W187">
    <cfRule type="expression" dxfId="841" priority="6">
      <formula>ISERROR(H187)</formula>
    </cfRule>
  </conditionalFormatting>
  <conditionalFormatting sqref="H188:N188">
    <cfRule type="expression" dxfId="840" priority="5">
      <formula>ISERROR(H188)</formula>
    </cfRule>
  </conditionalFormatting>
  <conditionalFormatting sqref="H225:W225">
    <cfRule type="expression" dxfId="839" priority="4">
      <formula>ISERROR(H225)</formula>
    </cfRule>
  </conditionalFormatting>
  <conditionalFormatting sqref="H226:N226">
    <cfRule type="expression" dxfId="838" priority="3">
      <formula>ISERROR(H226)</formula>
    </cfRule>
  </conditionalFormatting>
  <conditionalFormatting sqref="AO52">
    <cfRule type="expression" dxfId="837" priority="2">
      <formula>$A10&gt;$B$4</formula>
    </cfRule>
  </conditionalFormatting>
  <conditionalFormatting sqref="Y31:Y46">
    <cfRule type="expression" dxfId="836" priority="1">
      <formula>Y31&gt;0</formula>
    </cfRule>
  </conditionalFormatting>
  <conditionalFormatting sqref="H62:W62 H69:W69 H71:W71 H54:W54 W53 T53 Q53 N53 K53 H53">
    <cfRule type="expression" dxfId="835" priority="107">
      <formula>OR(H53=0,H53="",H53="N/A for this mode")</formula>
    </cfRule>
    <cfRule type="expression" dxfId="834" priority="108">
      <formula>H53&gt;$AS$50</formula>
    </cfRule>
    <cfRule type="expression" dxfId="833" priority="109">
      <formula>H53&lt;$AS$52</formula>
    </cfRule>
  </conditionalFormatting>
  <conditionalFormatting sqref="H31:X45 H46:W46">
    <cfRule type="expression" dxfId="832" priority="110">
      <formula>OR(H31=0,H31="",H31="N/A for this mode")</formula>
    </cfRule>
    <cfRule type="expression" dxfId="831" priority="111">
      <formula>H31&gt;$AT$50</formula>
    </cfRule>
    <cfRule type="expression" dxfId="830" priority="112">
      <formula>H31&lt;=$AT$52</formula>
    </cfRule>
  </conditionalFormatting>
  <dataValidations count="3">
    <dataValidation type="decimal" allowBlank="1" showInputMessage="1" showErrorMessage="1" sqref="AS50:AT50" xr:uid="{00000000-0002-0000-0B00-000000000000}">
      <formula1>0</formula1>
      <formula2>1</formula2>
    </dataValidation>
    <dataValidation type="decimal" allowBlank="1" showInputMessage="1" showErrorMessage="1" sqref="AS52:AT52" xr:uid="{00000000-0002-0000-0B00-000001000000}">
      <formula1>0</formula1>
      <formula2>AS50</formula2>
    </dataValidation>
    <dataValidation type="list" allowBlank="1" showInputMessage="1" showErrorMessage="1" sqref="H3:K3" xr:uid="{00000000-0002-0000-0B00-000002000000}">
      <formula1>#REF!</formula1>
    </dataValidation>
  </dataValidation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dimension ref="A1"/>
  <sheetViews>
    <sheetView workbookViewId="0"/>
  </sheetViews>
  <sheetFormatPr defaultColWidth="8.84375" defaultRowHeight="14.6"/>
  <cols>
    <col min="1" max="1" width="222.15234375" customWidth="1"/>
  </cols>
  <sheetData>
    <row r="1" spans="1:1" ht="409.5" customHeight="1">
      <c r="A1" s="240" t="s">
        <v>582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theme="1" tint="0.34998626667073579"/>
  </sheetPr>
  <dimension ref="A1"/>
  <sheetViews>
    <sheetView showGridLines="0" workbookViewId="0">
      <selection activeCell="M28" sqref="M28"/>
    </sheetView>
  </sheetViews>
  <sheetFormatPr defaultColWidth="8.84375" defaultRowHeight="14.6"/>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outlinePr summaryBelow="0"/>
  </sheetPr>
  <dimension ref="A1:AF330"/>
  <sheetViews>
    <sheetView showGridLines="0" zoomScale="80" zoomScaleNormal="80" zoomScalePageLayoutView="80" workbookViewId="0">
      <pane xSplit="4" ySplit="2" topLeftCell="E3" activePane="bottomRight" state="frozen"/>
      <selection pane="topRight" activeCell="E1" sqref="E1"/>
      <selection pane="bottomLeft" activeCell="A3" sqref="A3"/>
      <selection pane="bottomRight" activeCell="G41" sqref="G41"/>
    </sheetView>
  </sheetViews>
  <sheetFormatPr defaultColWidth="8.84375" defaultRowHeight="14.6" outlineLevelRow="1"/>
  <cols>
    <col min="1" max="1" width="7.69140625" customWidth="1"/>
    <col min="2" max="2" width="13.69140625" customWidth="1"/>
    <col min="3" max="3" width="34.15234375" customWidth="1"/>
    <col min="4" max="4" width="46.3828125" customWidth="1"/>
    <col min="5" max="5" width="0.69140625" customWidth="1"/>
    <col min="6" max="6" width="0.3828125" customWidth="1"/>
    <col min="7" max="7" width="18.3828125" style="6" customWidth="1"/>
    <col min="8" max="8" width="21.84375" customWidth="1"/>
    <col min="9" max="9" width="0.3828125" customWidth="1"/>
    <col min="10" max="10" width="21.3828125" style="6" customWidth="1"/>
    <col min="11" max="11" width="25" customWidth="1"/>
    <col min="12" max="12" width="0.3828125" customWidth="1"/>
    <col min="13" max="13" width="24.69140625" style="6" customWidth="1"/>
    <col min="14" max="14" width="20.3828125" customWidth="1"/>
    <col min="15" max="15" width="0.3046875" customWidth="1"/>
    <col min="16" max="16" width="20.15234375" style="6" customWidth="1"/>
    <col min="17" max="17" width="18.84375" customWidth="1"/>
    <col min="18" max="18" width="0.3046875" customWidth="1"/>
    <col min="19" max="19" width="18.15234375" customWidth="1"/>
    <col min="20" max="20" width="19.15234375" customWidth="1"/>
    <col min="21" max="21" width="0.3046875" customWidth="1"/>
    <col min="22" max="22" width="17" customWidth="1"/>
    <col min="23" max="23" width="20" customWidth="1"/>
    <col min="25" max="25" width="26.3046875" customWidth="1"/>
    <col min="26" max="26" width="14.84375" customWidth="1"/>
    <col min="27" max="27" width="21.3046875" customWidth="1"/>
    <col min="28" max="28" width="18.84375" customWidth="1"/>
    <col min="30" max="30" width="8.84375" customWidth="1"/>
  </cols>
  <sheetData>
    <row r="1" spans="1:32" ht="36.75" customHeight="1">
      <c r="A1" s="2688" t="s">
        <v>5799</v>
      </c>
      <c r="B1" s="2689"/>
      <c r="C1" s="2689"/>
      <c r="D1" s="2689"/>
      <c r="E1" s="2689"/>
      <c r="F1" s="2689"/>
      <c r="G1" s="2689"/>
      <c r="H1" s="2689"/>
      <c r="I1" s="2689"/>
      <c r="J1" s="2689"/>
      <c r="K1" s="2689"/>
      <c r="X1" s="6"/>
    </row>
    <row r="2" spans="1:32" ht="9" customHeight="1">
      <c r="X2" s="6"/>
    </row>
    <row r="3" spans="1:32" ht="33" customHeight="1">
      <c r="B3" s="2391" t="s">
        <v>304</v>
      </c>
      <c r="C3" s="2391"/>
      <c r="D3" s="2391"/>
      <c r="E3" s="2391"/>
      <c r="V3" s="36"/>
      <c r="W3" s="36"/>
      <c r="X3" s="6"/>
      <c r="Y3" s="36"/>
      <c r="Z3" s="36"/>
      <c r="AA3" s="36"/>
      <c r="AB3" s="36"/>
      <c r="AC3" s="36"/>
      <c r="AD3" s="36"/>
      <c r="AE3" s="36"/>
      <c r="AF3" s="36"/>
    </row>
    <row r="4" spans="1:32" ht="30" customHeight="1" outlineLevel="1">
      <c r="B4" s="54"/>
      <c r="C4" s="236"/>
      <c r="D4" s="236"/>
      <c r="E4" s="5"/>
      <c r="G4" s="255" t="s">
        <v>17</v>
      </c>
      <c r="H4" s="924" t="s">
        <v>2510</v>
      </c>
      <c r="V4" s="36"/>
      <c r="W4" s="36"/>
      <c r="X4" s="6"/>
      <c r="Y4" s="2619" t="s">
        <v>673</v>
      </c>
      <c r="Z4" s="2620"/>
      <c r="AA4" s="2620"/>
      <c r="AB4" s="2621"/>
      <c r="AC4" s="36"/>
      <c r="AD4" s="36"/>
      <c r="AE4" s="36"/>
      <c r="AF4" s="36"/>
    </row>
    <row r="5" spans="1:32" ht="33" customHeight="1" outlineLevel="1">
      <c r="B5" s="2561" t="s">
        <v>2516</v>
      </c>
      <c r="C5" s="2562"/>
      <c r="D5" s="2562"/>
      <c r="E5" s="2563"/>
      <c r="G5" s="521" t="s">
        <v>5547</v>
      </c>
      <c r="H5" s="928"/>
      <c r="V5" s="36"/>
      <c r="W5" s="36"/>
      <c r="X5" s="6"/>
      <c r="Y5" s="2643" t="s">
        <v>2334</v>
      </c>
      <c r="Z5" s="2644"/>
      <c r="AA5" s="2644"/>
      <c r="AB5" s="2645"/>
      <c r="AC5" s="36"/>
      <c r="AD5" s="36"/>
      <c r="AE5" s="36"/>
      <c r="AF5" s="36"/>
    </row>
    <row r="6" spans="1:32" ht="30.75" customHeight="1" outlineLevel="1">
      <c r="B6" s="2564" t="s">
        <v>5544</v>
      </c>
      <c r="C6" s="2565"/>
      <c r="D6" s="2565"/>
      <c r="E6" s="2566"/>
      <c r="G6" s="522"/>
      <c r="H6" s="918">
        <f ca="1">IF(G6&lt;&gt;"",G6,IFERROR(IF(INDIRECT("'"&amp;$G$5&amp;"'!"&amp;ADDRESS(ROW(H6),COLUMN(H6)))="","",INDIRECT("'"&amp;G$5&amp;"'!"&amp;ADDRESS(ROW(H6),COLUMN(H6)))),IF($G$5&lt;&gt;"","Data Source Error","")))</f>
        <v>1</v>
      </c>
      <c r="V6" s="36"/>
      <c r="W6" s="36"/>
      <c r="X6" s="6"/>
      <c r="Y6" s="2643"/>
      <c r="Z6" s="2644"/>
      <c r="AA6" s="2644"/>
      <c r="AB6" s="2645"/>
      <c r="AC6" s="36"/>
      <c r="AD6" s="36"/>
      <c r="AE6" s="36"/>
      <c r="AF6" s="36"/>
    </row>
    <row r="7" spans="1:32" ht="16.5" customHeight="1" outlineLevel="1">
      <c r="B7" s="2567" t="s">
        <v>413</v>
      </c>
      <c r="C7" s="2568"/>
      <c r="D7" s="2568"/>
      <c r="E7" s="2569"/>
      <c r="G7" s="523"/>
      <c r="H7" s="918">
        <f ca="1">IF(G7&lt;&gt;"",G7,IFERROR(IF(INDIRECT("'"&amp;$G$5&amp;"'!"&amp;ADDRESS(ROW(H7),COLUMN(H7)))="","",INDIRECT("'"&amp;$G$5&amp;"'!"&amp;ADDRESS(ROW(H7),COLUMN(H7)))),IF($G$5&lt;&gt;"","Data Source Error","")))</f>
        <v>3</v>
      </c>
      <c r="V7" s="36"/>
      <c r="W7" s="36"/>
      <c r="X7" s="6"/>
      <c r="Y7" s="2643"/>
      <c r="Z7" s="2644"/>
      <c r="AA7" s="2644"/>
      <c r="AB7" s="2645"/>
      <c r="AC7" s="36"/>
      <c r="AD7" s="36"/>
      <c r="AE7" s="36"/>
      <c r="AF7" s="36"/>
    </row>
    <row r="8" spans="1:32" ht="15" customHeight="1" outlineLevel="1">
      <c r="B8" s="2567" t="s">
        <v>11</v>
      </c>
      <c r="C8" s="2568"/>
      <c r="D8" s="2568"/>
      <c r="E8" s="2569"/>
      <c r="G8" s="524"/>
      <c r="H8" s="1065">
        <f ca="1">IF(G8&lt;&gt;"",G8,IFERROR(IF(INDIRECT("'"&amp;$G$5&amp;"'!"&amp;ADDRESS(ROW(H8),COLUMN(H8)))="","",INDIRECT("'"&amp;$G$5&amp;"'!"&amp;ADDRESS(ROW(H8),COLUMN(H8)))*$H$6),IF($G$5&lt;&gt;"","Data Source Error","")))</f>
        <v>1.37</v>
      </c>
      <c r="N8" s="6"/>
      <c r="O8" s="6"/>
      <c r="Q8" s="6"/>
      <c r="R8" s="6"/>
      <c r="S8" s="6"/>
      <c r="T8" s="6"/>
      <c r="V8" s="36"/>
      <c r="W8" s="36"/>
      <c r="X8" s="6"/>
      <c r="Y8" s="2643"/>
      <c r="Z8" s="2644"/>
      <c r="AA8" s="2644"/>
      <c r="AB8" s="2645"/>
      <c r="AC8" s="36"/>
      <c r="AD8" s="36"/>
      <c r="AE8" s="36"/>
      <c r="AF8" s="36"/>
    </row>
    <row r="9" spans="1:32" ht="15" customHeight="1" outlineLevel="1">
      <c r="B9" s="2567" t="s">
        <v>12</v>
      </c>
      <c r="C9" s="2568"/>
      <c r="D9" s="2568"/>
      <c r="E9" s="2569"/>
      <c r="G9" s="523"/>
      <c r="H9" s="918">
        <f ca="1">IF(G9&lt;&gt;"",G9,IFERROR(IF(INDIRECT("'"&amp;$G$5&amp;"'!"&amp;ADDRESS(ROW(H9),COLUMN(H9)))="","",INDIRECT("'"&amp;$G$5&amp;"'!"&amp;ADDRESS(ROW(H9),COLUMN(H9)))),IF($G$5&lt;&gt;"","Data Source Error","")))</f>
        <v>240</v>
      </c>
      <c r="V9" s="36"/>
      <c r="W9" s="36"/>
      <c r="X9" s="6"/>
      <c r="Y9" s="2643"/>
      <c r="Z9" s="2644"/>
      <c r="AA9" s="2644"/>
      <c r="AB9" s="2645"/>
      <c r="AC9" s="36"/>
      <c r="AD9" s="36"/>
      <c r="AE9" s="36"/>
      <c r="AF9" s="36"/>
    </row>
    <row r="10" spans="1:32" ht="15" customHeight="1" outlineLevel="1">
      <c r="B10" s="2567" t="s">
        <v>13</v>
      </c>
      <c r="C10" s="2568"/>
      <c r="D10" s="2568"/>
      <c r="E10" s="2569"/>
      <c r="G10" s="523"/>
      <c r="H10" s="918">
        <f ca="1">IF(G10&lt;&gt;"",G10,IFERROR(IF(INDIRECT("'"&amp;$G$5&amp;"'!"&amp;ADDRESS(ROW(H10),COLUMN(H10)))="","",INDIRECT("'"&amp;$G$5&amp;"'!"&amp;ADDRESS(ROW(H10),COLUMN(H10)))),IF($G$5&lt;&gt;"","Data Source Error","")))</f>
        <v>8</v>
      </c>
      <c r="V10" s="36"/>
      <c r="W10" s="36"/>
      <c r="X10" s="6"/>
      <c r="Y10" s="2643"/>
      <c r="Z10" s="2644"/>
      <c r="AA10" s="2644"/>
      <c r="AB10" s="2645"/>
      <c r="AC10" s="36"/>
      <c r="AD10" s="36"/>
      <c r="AE10" s="36"/>
      <c r="AF10" s="36"/>
    </row>
    <row r="11" spans="1:32" ht="15" customHeight="1" outlineLevel="1">
      <c r="B11" s="2567" t="s">
        <v>388</v>
      </c>
      <c r="C11" s="2568"/>
      <c r="D11" s="2568"/>
      <c r="E11" s="2569"/>
      <c r="G11" s="523"/>
      <c r="H11" s="918">
        <f ca="1">IF(G11&lt;&gt;"",G11,IFERROR(IF(INDIRECT("'"&amp;$G$5&amp;"'!"&amp;ADDRESS(ROW(H11),COLUMN(H11)))="","",INDIRECT("'"&amp;$G$5&amp;"'!"&amp;ADDRESS(ROW(H11),COLUMN(H11)))),IF($G$5&lt;&gt;"","Data Source Error","")))</f>
        <v>5</v>
      </c>
      <c r="V11" s="36"/>
      <c r="W11" s="36"/>
      <c r="X11" s="6"/>
      <c r="Y11" s="2643"/>
      <c r="Z11" s="2644"/>
      <c r="AA11" s="2644"/>
      <c r="AB11" s="2645"/>
      <c r="AC11" s="36"/>
      <c r="AD11" s="36"/>
      <c r="AE11" s="36"/>
      <c r="AF11" s="36"/>
    </row>
    <row r="12" spans="1:32" ht="14.25" customHeight="1" outlineLevel="1">
      <c r="B12" s="2570" t="s">
        <v>399</v>
      </c>
      <c r="C12" s="2571"/>
      <c r="D12" s="2571"/>
      <c r="E12" s="2572"/>
      <c r="G12" s="2036"/>
      <c r="H12" s="920">
        <f ca="1">IF(G12&lt;&gt;"",G12,IFERROR(IF(INDIRECT("'"&amp;$G$5&amp;"'!"&amp;ADDRESS(ROW(H12),COLUMN(H12)))="","",INDIRECT("'"&amp;$G$5&amp;"'!"&amp;ADDRESS(ROW(H12),COLUMN(H12)))),IF($G$5&lt;&gt;"","Data Source Error","")))</f>
        <v>5</v>
      </c>
      <c r="V12" s="36"/>
      <c r="W12" s="36"/>
      <c r="X12" s="6"/>
      <c r="Y12" s="2643"/>
      <c r="Z12" s="2644"/>
      <c r="AA12" s="2644"/>
      <c r="AB12" s="2645"/>
      <c r="AC12" s="36"/>
      <c r="AD12" s="36"/>
      <c r="AE12" s="36"/>
      <c r="AF12" s="36"/>
    </row>
    <row r="13" spans="1:32" ht="36.75" customHeight="1">
      <c r="A13" s="630" t="s">
        <v>355</v>
      </c>
      <c r="C13" s="39"/>
      <c r="D13" s="39"/>
      <c r="E13" s="39"/>
      <c r="G13" s="121"/>
      <c r="H13" s="11"/>
      <c r="N13" s="6"/>
      <c r="P13"/>
      <c r="T13" s="36"/>
      <c r="U13" s="36"/>
      <c r="V13" s="6"/>
      <c r="W13" s="36"/>
      <c r="X13" s="36"/>
      <c r="Y13" s="36"/>
      <c r="Z13" s="36"/>
      <c r="AA13" s="36"/>
      <c r="AB13" s="36"/>
      <c r="AC13" s="36"/>
      <c r="AD13" s="36"/>
    </row>
    <row r="14" spans="1:32" ht="35.25" customHeight="1">
      <c r="B14" s="2391" t="s">
        <v>296</v>
      </c>
      <c r="C14" s="2391"/>
      <c r="D14" s="2391"/>
      <c r="E14" s="2391"/>
      <c r="G14" s="121"/>
      <c r="H14" s="11"/>
      <c r="AD14" s="36"/>
      <c r="AE14" s="36"/>
      <c r="AF14" s="36"/>
    </row>
    <row r="15" spans="1:32" ht="33.65" customHeight="1" outlineLevel="1">
      <c r="B15" s="54"/>
      <c r="C15" s="236"/>
      <c r="D15" s="236"/>
      <c r="E15" s="5"/>
      <c r="G15" s="255" t="s">
        <v>17</v>
      </c>
      <c r="H15" s="924" t="s">
        <v>2510</v>
      </c>
      <c r="J15" s="274"/>
      <c r="K15" s="2589" t="s">
        <v>5500</v>
      </c>
      <c r="M15" s="2573" t="s">
        <v>5506</v>
      </c>
      <c r="N15" s="2574"/>
      <c r="O15" s="2574"/>
      <c r="P15" s="2575"/>
      <c r="Q15" s="2574"/>
      <c r="R15" s="2574"/>
      <c r="S15" s="2576"/>
      <c r="T15" s="1690"/>
      <c r="U15" s="1690"/>
      <c r="V15" s="1690"/>
      <c r="Y15" s="2619" t="s">
        <v>673</v>
      </c>
      <c r="Z15" s="2620"/>
      <c r="AA15" s="2620"/>
      <c r="AB15" s="2621"/>
      <c r="AD15" s="36"/>
      <c r="AE15" s="36"/>
      <c r="AF15" s="36"/>
    </row>
    <row r="16" spans="1:32" ht="18.75" customHeight="1" outlineLevel="1" collapsed="1">
      <c r="B16" s="2579" t="s">
        <v>5471</v>
      </c>
      <c r="C16" s="2580"/>
      <c r="D16" s="2580"/>
      <c r="E16" s="2581"/>
      <c r="G16" s="521"/>
      <c r="H16" s="1687"/>
      <c r="J16" s="1690" t="s">
        <v>2440</v>
      </c>
      <c r="K16" s="2589"/>
      <c r="M16" s="1874" t="s">
        <v>2507</v>
      </c>
      <c r="N16" s="44"/>
      <c r="O16" s="1875"/>
      <c r="P16" s="1885" t="s">
        <v>2062</v>
      </c>
      <c r="Q16" s="2590" t="s">
        <v>5507</v>
      </c>
      <c r="R16" s="2591"/>
      <c r="S16" s="2592"/>
      <c r="T16" s="1688"/>
      <c r="U16" s="1688"/>
      <c r="V16" s="1688"/>
      <c r="Y16" s="2643"/>
      <c r="Z16" s="2644"/>
      <c r="AA16" s="2644"/>
      <c r="AB16" s="2645"/>
      <c r="AD16" s="36"/>
      <c r="AE16" s="36"/>
      <c r="AF16" s="36"/>
    </row>
    <row r="17" spans="1:32" ht="15" customHeight="1" outlineLevel="1">
      <c r="B17" s="2555" t="s">
        <v>367</v>
      </c>
      <c r="C17" s="2556"/>
      <c r="D17" s="2556"/>
      <c r="E17" s="2557"/>
      <c r="G17" s="553"/>
      <c r="H17" s="925">
        <f ca="1">IF(G17&lt;&gt;"",G17,IFERROR(IF($G$16="Yes",$P$17,IF(INDIRECT("'"&amp;$G$5&amp;"'!"&amp;ADDRESS(ROW(H17),COLUMN(H17)))="","",INDIRECT("'"&amp;$G$5&amp;"'!"&amp;ADDRESS(ROW(H17),COLUMN(H17))))),IF($G$5&lt;&gt;"","Data Source Error","")))</f>
        <v>1955</v>
      </c>
      <c r="K17" s="2589" t="s">
        <v>5508</v>
      </c>
      <c r="M17" s="1873" t="s">
        <v>5503</v>
      </c>
      <c r="N17" s="1873"/>
      <c r="O17" s="1873"/>
      <c r="P17" s="1868">
        <f ca="1">IF($P$16="Vaccines",'Vaccine Demand Volume &amp; Value'!$G$82,IF($P$16="Reproductive Health",'RH Demand Volume &amp; Value'!$J$67, IF($P$16="General",'General Demand Volume'!$AB$9,"")))</f>
        <v>119.95700266668503</v>
      </c>
      <c r="Q17" s="2593"/>
      <c r="R17" s="2594"/>
      <c r="S17" s="2595"/>
      <c r="T17" s="1688"/>
      <c r="U17" s="1688"/>
      <c r="V17" s="1688"/>
      <c r="Y17" s="2643"/>
      <c r="Z17" s="2644"/>
      <c r="AA17" s="2644"/>
      <c r="AB17" s="2645"/>
      <c r="AD17" s="36"/>
      <c r="AE17" s="36"/>
    </row>
    <row r="18" spans="1:32" ht="15" customHeight="1" outlineLevel="1">
      <c r="B18" s="2558" t="s">
        <v>678</v>
      </c>
      <c r="C18" s="2559"/>
      <c r="D18" s="2559"/>
      <c r="E18" s="2560"/>
      <c r="G18" s="523"/>
      <c r="H18" s="918">
        <f ca="1">IF(G18&lt;&gt;"",G18,IFERROR(IF($G$16="Yes",$P$18,IF(INDIRECT("'"&amp;$G$5&amp;"'!"&amp;ADDRESS(ROW(H18),COLUMN(H18)))="","",INDIRECT("'"&amp;$G$5&amp;"'!"&amp;ADDRESS(ROW(H18),COLUMN(H18))))),IF($G$5&lt;&gt;"","Data Source Error","")))</f>
        <v>0</v>
      </c>
      <c r="K18" s="2589"/>
      <c r="M18" s="1876" t="s">
        <v>5504</v>
      </c>
      <c r="N18" s="1877"/>
      <c r="O18" s="1878"/>
      <c r="P18" s="1872">
        <f>IF($P$16="Vaccines",'Vaccine Demand Volume &amp; Value'!$G$81,IF($P$16="Reproductive Health",0, IF($P$16="General",'General Demand Volume'!$AB$11,"")))</f>
        <v>0</v>
      </c>
      <c r="Q18" s="2593"/>
      <c r="R18" s="2594"/>
      <c r="S18" s="2595"/>
      <c r="T18" s="1688"/>
      <c r="U18" s="1688"/>
      <c r="V18" s="1688"/>
      <c r="Y18" s="2643"/>
      <c r="Z18" s="2644"/>
      <c r="AA18" s="2644"/>
      <c r="AB18" s="2645"/>
      <c r="AD18" s="36"/>
      <c r="AE18" s="36"/>
      <c r="AF18" s="36"/>
    </row>
    <row r="19" spans="1:32" ht="15" customHeight="1" outlineLevel="1">
      <c r="B19" s="2558" t="s">
        <v>130</v>
      </c>
      <c r="C19" s="2559"/>
      <c r="D19" s="2559"/>
      <c r="E19" s="2560"/>
      <c r="G19" s="523"/>
      <c r="H19" s="918">
        <f ca="1">IF(G19&lt;&gt;"",G19,IFERROR(IF($G$16="Yes",$P$19,IF(INDIRECT("'"&amp;$G$5&amp;"'!"&amp;ADDRESS(ROW(H19),COLUMN(H19)))="","",INDIRECT("'"&amp;$G$5&amp;"'!"&amp;ADDRESS(ROW(H19),COLUMN(H19))))),IF($G$5&lt;&gt;"","Data Source Error","")))</f>
        <v>109</v>
      </c>
      <c r="K19" s="2589"/>
      <c r="M19" s="1876" t="s">
        <v>2508</v>
      </c>
      <c r="N19" s="1879"/>
      <c r="O19" s="1880"/>
      <c r="P19" s="1871">
        <f>IF($P$16="Vaccines",'Vaccine Demand Volume &amp; Value'!$G$83 + 'Vaccine Demand Volume &amp; Value'!$G$84,IF($P$16="Reproductive Health",'RH Demand Volume &amp; Value'!$L$47,IF($P$16="General",'General Demand Volume'!$AB$17,"")))</f>
        <v>10</v>
      </c>
      <c r="Q19" s="2593"/>
      <c r="R19" s="2594"/>
      <c r="S19" s="2595"/>
      <c r="T19" s="1688"/>
      <c r="U19" s="1688"/>
      <c r="V19" s="1688"/>
      <c r="Y19" s="2643"/>
      <c r="Z19" s="2644"/>
      <c r="AA19" s="2644"/>
      <c r="AB19" s="2645"/>
      <c r="AD19" s="36"/>
      <c r="AE19" s="36"/>
      <c r="AF19" s="36"/>
    </row>
    <row r="20" spans="1:32" ht="30" customHeight="1" outlineLevel="1">
      <c r="B20" s="2582" t="s">
        <v>373</v>
      </c>
      <c r="C20" s="2583"/>
      <c r="D20" s="2583"/>
      <c r="E20" s="2584"/>
      <c r="G20" s="526"/>
      <c r="H20" s="926" t="str">
        <f ca="1">IF(G20&lt;&gt;"",G20,IFERROR(IF($G$16="Yes",$P$20,IF(INDIRECT("'"&amp;$G$5&amp;"'!"&amp;ADDRESS(ROW(H20),COLUMN(H20)))="","",INDIRECT("'"&amp;$G$5&amp;"'!"&amp;ADDRESS(ROW(H20),COLUMN(H20))))),IF($G$5&lt;&gt;"","Data Source Error","")))</f>
        <v>Delivered</v>
      </c>
      <c r="K20" s="1882" t="s">
        <v>5439</v>
      </c>
      <c r="M20" s="2102" t="s">
        <v>5505</v>
      </c>
      <c r="N20" s="2250"/>
      <c r="O20" s="1881"/>
      <c r="P20" s="1870" t="s">
        <v>370</v>
      </c>
      <c r="Q20" s="2596" t="s">
        <v>5441</v>
      </c>
      <c r="R20" s="2597"/>
      <c r="S20" s="2598"/>
      <c r="T20" s="1688"/>
      <c r="U20" s="1688"/>
      <c r="V20" s="1688"/>
      <c r="Y20" s="2643"/>
      <c r="Z20" s="2644"/>
      <c r="AA20" s="2644"/>
      <c r="AB20" s="2645"/>
      <c r="AD20" s="36"/>
      <c r="AE20" s="36"/>
      <c r="AF20" s="36"/>
    </row>
    <row r="21" spans="1:32" ht="15" customHeight="1" outlineLevel="1">
      <c r="B21" s="2585" t="s">
        <v>2512</v>
      </c>
      <c r="C21" s="2586"/>
      <c r="D21" s="2586"/>
      <c r="E21" s="2587"/>
      <c r="G21" s="527"/>
      <c r="H21" s="927">
        <f ca="1">IF(G21&lt;&gt;"",G21,IFERROR(IF($G$16="Yes",$P$21,IF(INDIRECT("'"&amp;$G$5&amp;"'!"&amp;ADDRESS(ROW(H21),COLUMN(H21)))="","",INDIRECT("'"&amp;$G$5&amp;"'!"&amp;ADDRESS(ROW(H21),COLUMN(H21)))*$H$6)),IF($G$5&lt;&gt;"","Data Source Error","")))</f>
        <v>12300000</v>
      </c>
      <c r="J21" s="251"/>
      <c r="K21" s="1883" t="s">
        <v>5440</v>
      </c>
      <c r="M21" s="2602" t="s">
        <v>838</v>
      </c>
      <c r="N21" s="2603"/>
      <c r="O21" s="1867"/>
      <c r="P21" s="2606">
        <f ca="1">IF($P$16="Vaccines",'Vaccine Demand Volume &amp; Value'!$G$85,IF($P$16="Reproductive Health",'RH Demand Volume &amp; Value'!$K$67,IF($P$16="General","","")))</f>
        <v>5458781.7452971619</v>
      </c>
      <c r="Q21" s="2599" t="s">
        <v>5442</v>
      </c>
      <c r="R21" s="2600"/>
      <c r="S21" s="2601"/>
      <c r="T21" s="1688"/>
      <c r="U21" s="1688"/>
      <c r="V21" s="1688"/>
      <c r="W21" s="36"/>
      <c r="X21" s="6"/>
      <c r="Y21" s="2643"/>
      <c r="Z21" s="2644"/>
      <c r="AA21" s="2644"/>
      <c r="AB21" s="2645"/>
      <c r="AC21" s="36"/>
      <c r="AD21" s="36"/>
      <c r="AE21" s="36"/>
      <c r="AF21" s="36"/>
    </row>
    <row r="22" spans="1:32" ht="16.5" customHeight="1">
      <c r="A22" s="212" t="s">
        <v>354</v>
      </c>
      <c r="C22" s="50"/>
      <c r="D22" s="50"/>
      <c r="E22" s="50"/>
      <c r="G22" s="110"/>
      <c r="H22" s="50"/>
      <c r="I22" s="50"/>
      <c r="J22" s="110"/>
      <c r="K22" s="1884" t="s">
        <v>5501</v>
      </c>
      <c r="M22" s="2604"/>
      <c r="N22" s="2605"/>
      <c r="O22" s="236"/>
      <c r="P22" s="2607"/>
      <c r="Q22" s="1869" t="s">
        <v>5502</v>
      </c>
      <c r="R22" s="236"/>
      <c r="S22" s="5"/>
      <c r="W22" s="36"/>
      <c r="X22" s="6"/>
      <c r="Y22" s="36"/>
      <c r="Z22" s="36"/>
      <c r="AA22" s="36"/>
      <c r="AB22" s="36"/>
      <c r="AC22" s="36"/>
      <c r="AD22" s="36"/>
      <c r="AE22" s="36"/>
      <c r="AF22" s="36"/>
    </row>
    <row r="23" spans="1:32" ht="16.5" customHeight="1">
      <c r="W23" s="36"/>
      <c r="X23" s="6"/>
      <c r="Y23" s="36"/>
      <c r="Z23" s="36"/>
      <c r="AA23" s="36"/>
      <c r="AB23" s="36"/>
      <c r="AC23" s="36"/>
      <c r="AD23" s="36"/>
      <c r="AE23" s="36"/>
      <c r="AF23" s="36"/>
    </row>
    <row r="24" spans="1:32" ht="37.5" customHeight="1" collapsed="1">
      <c r="B24" s="2588" t="s">
        <v>5810</v>
      </c>
      <c r="C24" s="2588"/>
      <c r="D24" s="2588"/>
      <c r="E24" s="2588"/>
      <c r="G24" s="252"/>
      <c r="H24" s="86"/>
      <c r="I24" s="1"/>
      <c r="J24" s="252"/>
      <c r="K24" s="86"/>
      <c r="V24" s="36"/>
      <c r="W24" s="36"/>
      <c r="X24" s="36"/>
      <c r="Y24" s="36"/>
      <c r="Z24" s="36"/>
      <c r="AA24" s="36"/>
      <c r="AB24" s="36"/>
      <c r="AC24" s="36"/>
      <c r="AD24" s="36"/>
      <c r="AE24" s="36"/>
      <c r="AF24" s="36"/>
    </row>
    <row r="25" spans="1:32" ht="16" hidden="1" customHeight="1" outlineLevel="1">
      <c r="B25" s="2608" t="s">
        <v>23</v>
      </c>
      <c r="C25" s="2609"/>
      <c r="D25" s="2609"/>
      <c r="E25" s="2610"/>
      <c r="G25" s="2614" t="s">
        <v>72</v>
      </c>
      <c r="H25" s="2615"/>
      <c r="J25" s="2614" t="s">
        <v>24</v>
      </c>
      <c r="K25" s="2615"/>
      <c r="M25" s="2629" t="s">
        <v>405</v>
      </c>
      <c r="N25" s="2630"/>
      <c r="O25" s="2630"/>
      <c r="P25" s="2631"/>
      <c r="V25" s="36"/>
      <c r="W25" s="36"/>
      <c r="X25" s="36"/>
      <c r="Y25" s="36"/>
      <c r="Z25" s="36"/>
      <c r="AA25" s="36"/>
      <c r="AB25" s="36"/>
      <c r="AC25" s="36"/>
      <c r="AD25" s="36"/>
      <c r="AE25" s="36"/>
      <c r="AF25" s="36"/>
    </row>
    <row r="26" spans="1:32" ht="36.75" hidden="1" customHeight="1" outlineLevel="1">
      <c r="B26" s="2611"/>
      <c r="C26" s="2612"/>
      <c r="D26" s="2612"/>
      <c r="E26" s="2613"/>
      <c r="G26" s="253" t="s">
        <v>17</v>
      </c>
      <c r="H26" s="921" t="s">
        <v>2510</v>
      </c>
      <c r="J26" s="255" t="s">
        <v>17</v>
      </c>
      <c r="K26" s="921" t="s">
        <v>2510</v>
      </c>
      <c r="M26" s="2619" t="s">
        <v>419</v>
      </c>
      <c r="N26" s="2620"/>
      <c r="O26" s="2620"/>
      <c r="P26" s="2621"/>
      <c r="V26" s="36"/>
      <c r="W26" s="36"/>
      <c r="X26" s="36"/>
      <c r="Y26" s="2619" t="s">
        <v>673</v>
      </c>
      <c r="Z26" s="2620"/>
      <c r="AA26" s="2620"/>
      <c r="AB26" s="2621"/>
      <c r="AC26" s="36"/>
      <c r="AD26" s="36"/>
      <c r="AE26" s="36"/>
      <c r="AF26" s="36"/>
    </row>
    <row r="27" spans="1:32" ht="14.25" hidden="1" customHeight="1" outlineLevel="1">
      <c r="B27" s="2622" t="s">
        <v>604</v>
      </c>
      <c r="C27" s="2623"/>
      <c r="D27" s="2623"/>
      <c r="E27" s="618"/>
      <c r="F27">
        <f t="shared" ref="F27:F38" ca="1" si="0">IF(OR(
$H$105=B27,$K$105=B27,$N$105=B27,$Q$105=B27,$T$105=B27,$W$105=B27,
$K$145=B27,$N$145=B27,$Q$145=B27,$T$145=B27,$W$145=B27,$K$147=B27,$N$147=B27,$Q$147=B27,$T$147=B27,$W$147=B27,
$K$165=B27,$N$165=B27,$Q$165=B27,$T$165=B27,$W$165=B27,$K$167=B27,$N$167=B27,$Q$167=B27,$T$167=B27,$W$167=B27,
$K$185=B27,$N$185=B27,$Q$185=B27,$T$185=B27,$W$185=B27,$K$187=B27,$N$187=B27,$Q$187=B27,$T$187=B27,$W$187=B27,
$K$210=B27,$N$210=B27,$Q$210=B27,$T$210=B27,$W$210=B27,$K$212=B27,$N$212=B27,$Q$212=B27,$T$212=B27,$W$212=B27,
$K$230=B27,,$N$230=B27,$Q$230=B27,$T$230=B27,$W$230=B27,$K$232=B27,$N$232=B27,$Q$232=B27,$T$232=B27,$W$232=B27,
$K$250=B27,$N$250=B27,$Q$250=B27,$T$250=B27,$W$250=B27,$K$252=B27,$N$252=B27,$Q$252=B27,$T$252=B27,$W$252=B27,
$K$274=B27,$N$274=B27,$Q$274=B27,$T$274=B27,$W$274=B27,$K$276=B27,$N$276=B27,$Q$276=B27,$T$276=B27,$W$276=B27,
$K$294=B27,$N$294=B27,$Q$294=B27,$T$294=B27,$W$294=B27,$K$296=B27,$N$296=B27,$Q$296=B27,$T$296=B27,$W$296=B27,
$K$314=B27,$N$314=B27,$Q$314=B27,$T$314=B27,$W$314=B27,$K$316=B27,$N$316=B27,$Q$316=B27,$T$316=B27,$W$316=B27),1,0)</f>
        <v>0</v>
      </c>
      <c r="G27" s="688"/>
      <c r="H27" s="922">
        <v>0</v>
      </c>
      <c r="J27" s="688"/>
      <c r="K27" s="922">
        <v>0</v>
      </c>
      <c r="M27" s="528"/>
      <c r="N27" s="532"/>
      <c r="O27" s="532"/>
      <c r="P27" s="533"/>
      <c r="V27" s="36"/>
      <c r="W27" s="36"/>
      <c r="X27" s="36"/>
      <c r="Y27" s="2643"/>
      <c r="Z27" s="2644"/>
      <c r="AA27" s="2644"/>
      <c r="AB27" s="2645"/>
      <c r="AC27" s="36"/>
      <c r="AD27" s="36"/>
      <c r="AE27" s="36"/>
      <c r="AF27" s="36"/>
    </row>
    <row r="28" spans="1:32" ht="16" hidden="1" customHeight="1" outlineLevel="1">
      <c r="B28" s="2577" t="s">
        <v>19</v>
      </c>
      <c r="C28" s="2578"/>
      <c r="D28" s="2578"/>
      <c r="E28" s="617"/>
      <c r="F28">
        <f t="shared" ca="1" si="0"/>
        <v>1</v>
      </c>
      <c r="G28" s="689"/>
      <c r="H28" s="919">
        <f ca="1">IF(G28&lt;&gt;"",G28,IFERROR(IF(INDIRECT("'"&amp;$G$5&amp;"'!"&amp;ADDRESS(ROW(H28),COLUMN(H28)))="","",INDIRECT("'"&amp;$G$5&amp;"'!"&amp;ADDRESS(ROW(H28),COLUMN(H28)))*$H$6),IF($G$5&lt;&gt;"","Data Source Error","")))</f>
        <v>2.7965144230769217</v>
      </c>
      <c r="I28" s="183"/>
      <c r="J28" s="689"/>
      <c r="K28" s="919">
        <f ca="1">IF(J28&lt;&gt;"",J28,IFERROR(IF(INDIRECT("'"&amp;$G$5&amp;"'!"&amp;ADDRESS(ROW(K28),COLUMN(K28)))="","",INDIRECT("'"&amp;$G$5&amp;"'!"&amp;ADDRESS(ROW(K28),COLUMN(K28)))*$H$6),IF($G$5&lt;&gt;"","Data Source Error","")))</f>
        <v>30</v>
      </c>
      <c r="M28" s="528"/>
      <c r="N28" s="532"/>
      <c r="O28" s="532"/>
      <c r="P28" s="533"/>
      <c r="V28" s="36"/>
      <c r="W28" s="36"/>
      <c r="X28" s="36"/>
      <c r="Y28" s="2643"/>
      <c r="Z28" s="2644"/>
      <c r="AA28" s="2644"/>
      <c r="AB28" s="2645"/>
      <c r="AC28" s="36" t="s">
        <v>166</v>
      </c>
      <c r="AD28" s="36"/>
      <c r="AE28" s="36"/>
      <c r="AF28" s="36"/>
    </row>
    <row r="29" spans="1:32" hidden="1" outlineLevel="1">
      <c r="B29" s="2577" t="s">
        <v>20</v>
      </c>
      <c r="C29" s="2578"/>
      <c r="D29" s="2578"/>
      <c r="E29" s="2045"/>
      <c r="F29">
        <f t="shared" ca="1" si="0"/>
        <v>0</v>
      </c>
      <c r="G29" s="689"/>
      <c r="H29" s="919">
        <f t="shared" ref="H29:H38" ca="1" si="1">IF(G29&lt;&gt;"",G29,IFERROR(IF(INDIRECT("'"&amp;$G$5&amp;"'!"&amp;ADDRESS(ROW(H29),COLUMN(H29)))="","",INDIRECT("'"&amp;$G$5&amp;"'!"&amp;ADDRESS(ROW(H29),COLUMN(H29)))*$H$6),IF($G$5&lt;&gt;"","Data Source Error","")))</f>
        <v>2.36</v>
      </c>
      <c r="I29" s="187"/>
      <c r="J29" s="689"/>
      <c r="K29" s="919">
        <f t="shared" ref="K29:K38" ca="1" si="2">IF(J29&lt;&gt;"",J29,IFERROR(IF(INDIRECT("'"&amp;$G$5&amp;"'!"&amp;ADDRESS(ROW(K29),COLUMN(K29)))="","",INDIRECT("'"&amp;$G$5&amp;"'!"&amp;ADDRESS(ROW(K29),COLUMN(K29)))*$H$6),IF($G$5&lt;&gt;"","Data Source Error","")))</f>
        <v>30</v>
      </c>
      <c r="M29" s="528"/>
      <c r="N29" s="532"/>
      <c r="O29" s="532"/>
      <c r="P29" s="533"/>
      <c r="V29" s="36"/>
      <c r="W29" s="36"/>
      <c r="X29" s="36"/>
      <c r="Y29" s="2643"/>
      <c r="Z29" s="2644"/>
      <c r="AA29" s="2644"/>
      <c r="AB29" s="2645"/>
      <c r="AC29" s="36" t="s">
        <v>168</v>
      </c>
      <c r="AD29" s="36"/>
      <c r="AE29" s="36"/>
      <c r="AF29" s="36"/>
    </row>
    <row r="30" spans="1:32" hidden="1" outlineLevel="1">
      <c r="B30" s="2577" t="s">
        <v>21</v>
      </c>
      <c r="C30" s="2578"/>
      <c r="D30" s="2578"/>
      <c r="E30" s="2045"/>
      <c r="F30">
        <f t="shared" ca="1" si="0"/>
        <v>0</v>
      </c>
      <c r="G30" s="689"/>
      <c r="H30" s="919">
        <f t="shared" ca="1" si="1"/>
        <v>4.915775</v>
      </c>
      <c r="I30" s="187"/>
      <c r="J30" s="689"/>
      <c r="K30" s="919">
        <f t="shared" ca="1" si="2"/>
        <v>31.65</v>
      </c>
      <c r="M30" s="528"/>
      <c r="N30" s="532"/>
      <c r="O30" s="532"/>
      <c r="P30" s="533"/>
      <c r="V30" s="36"/>
      <c r="W30" s="36"/>
      <c r="X30" s="36"/>
      <c r="Y30" s="2643"/>
      <c r="Z30" s="2644"/>
      <c r="AA30" s="2644"/>
      <c r="AB30" s="2645"/>
      <c r="AC30" s="36" t="s">
        <v>170</v>
      </c>
      <c r="AD30" s="36"/>
      <c r="AE30" s="36"/>
      <c r="AF30" s="36"/>
    </row>
    <row r="31" spans="1:32" hidden="1" outlineLevel="1">
      <c r="B31" s="2577" t="s">
        <v>22</v>
      </c>
      <c r="C31" s="2578"/>
      <c r="D31" s="2578"/>
      <c r="E31" s="2045"/>
      <c r="F31">
        <f t="shared" ca="1" si="0"/>
        <v>1</v>
      </c>
      <c r="G31" s="689"/>
      <c r="H31" s="919">
        <f t="shared" ca="1" si="1"/>
        <v>5.91</v>
      </c>
      <c r="I31" s="187"/>
      <c r="J31" s="689"/>
      <c r="K31" s="919">
        <f t="shared" ca="1" si="2"/>
        <v>30</v>
      </c>
      <c r="M31" s="528"/>
      <c r="N31" s="532"/>
      <c r="O31" s="532"/>
      <c r="P31" s="533"/>
      <c r="V31" s="36"/>
      <c r="W31" s="36"/>
      <c r="X31" s="36"/>
      <c r="Y31" s="2643"/>
      <c r="Z31" s="2644"/>
      <c r="AA31" s="2644"/>
      <c r="AB31" s="2645"/>
      <c r="AC31" s="36"/>
      <c r="AD31" s="36"/>
      <c r="AE31" s="36"/>
      <c r="AF31" s="36"/>
    </row>
    <row r="32" spans="1:32" hidden="1" outlineLevel="1">
      <c r="B32" s="2577" t="s">
        <v>402</v>
      </c>
      <c r="C32" s="2578"/>
      <c r="D32" s="2578"/>
      <c r="E32" s="2045"/>
      <c r="F32">
        <f t="shared" ca="1" si="0"/>
        <v>1</v>
      </c>
      <c r="G32" s="689"/>
      <c r="H32" s="919">
        <f t="shared" ca="1" si="1"/>
        <v>5</v>
      </c>
      <c r="I32" s="187"/>
      <c r="J32" s="689"/>
      <c r="K32" s="919">
        <f t="shared" ca="1" si="2"/>
        <v>30</v>
      </c>
      <c r="M32" s="528"/>
      <c r="N32" s="532"/>
      <c r="O32" s="532"/>
      <c r="P32" s="533"/>
      <c r="V32" s="36"/>
      <c r="W32" s="36"/>
      <c r="X32" s="36"/>
      <c r="Y32" s="2643"/>
      <c r="Z32" s="2644"/>
      <c r="AA32" s="2644"/>
      <c r="AB32" s="2645"/>
      <c r="AC32" s="36"/>
      <c r="AD32" s="36"/>
      <c r="AE32" s="36"/>
      <c r="AF32" s="36"/>
    </row>
    <row r="33" spans="1:32" hidden="1" outlineLevel="1">
      <c r="B33" s="2577" t="s">
        <v>401</v>
      </c>
      <c r="C33" s="2578"/>
      <c r="D33" s="2578"/>
      <c r="E33" s="2045"/>
      <c r="F33">
        <f t="shared" ca="1" si="0"/>
        <v>0</v>
      </c>
      <c r="G33" s="689"/>
      <c r="H33" s="919">
        <f t="shared" ca="1" si="1"/>
        <v>5.91</v>
      </c>
      <c r="I33" s="187"/>
      <c r="J33" s="689"/>
      <c r="K33" s="919">
        <f t="shared" ca="1" si="2"/>
        <v>30</v>
      </c>
      <c r="M33" s="528"/>
      <c r="N33" s="532"/>
      <c r="O33" s="532"/>
      <c r="P33" s="533"/>
      <c r="V33" s="36"/>
      <c r="W33" s="36"/>
      <c r="X33" s="36"/>
      <c r="Y33" s="2643"/>
      <c r="Z33" s="2644"/>
      <c r="AA33" s="2644"/>
      <c r="AB33" s="2645"/>
      <c r="AC33" s="36"/>
      <c r="AD33" s="36"/>
      <c r="AE33" s="36"/>
      <c r="AF33" s="36"/>
    </row>
    <row r="34" spans="1:32" hidden="1" outlineLevel="1">
      <c r="B34" s="2577" t="s">
        <v>403</v>
      </c>
      <c r="C34" s="2578"/>
      <c r="D34" s="2578"/>
      <c r="E34" s="2045"/>
      <c r="F34">
        <f t="shared" ca="1" si="0"/>
        <v>0</v>
      </c>
      <c r="G34" s="689"/>
      <c r="H34" s="919">
        <f t="shared" ca="1" si="1"/>
        <v>5.91</v>
      </c>
      <c r="I34" s="187"/>
      <c r="J34" s="689"/>
      <c r="K34" s="919">
        <f t="shared" ca="1" si="2"/>
        <v>30</v>
      </c>
      <c r="M34" s="528"/>
      <c r="N34" s="532"/>
      <c r="O34" s="532"/>
      <c r="P34" s="533"/>
      <c r="V34" s="36"/>
      <c r="W34" s="36"/>
      <c r="X34" s="36"/>
      <c r="Y34" s="2643"/>
      <c r="Z34" s="2644"/>
      <c r="AA34" s="2644"/>
      <c r="AB34" s="2645"/>
      <c r="AC34" s="36" t="s">
        <v>169</v>
      </c>
      <c r="AD34" s="36"/>
      <c r="AE34" s="36"/>
      <c r="AF34" s="36"/>
    </row>
    <row r="35" spans="1:32" hidden="1" outlineLevel="1">
      <c r="B35" s="2577" t="s">
        <v>404</v>
      </c>
      <c r="C35" s="2578"/>
      <c r="D35" s="2578"/>
      <c r="E35" s="2045"/>
      <c r="F35">
        <f t="shared" ca="1" si="0"/>
        <v>0</v>
      </c>
      <c r="G35" s="689"/>
      <c r="H35" s="919">
        <f t="shared" ca="1" si="1"/>
        <v>5</v>
      </c>
      <c r="I35" s="187"/>
      <c r="J35" s="689"/>
      <c r="K35" s="919">
        <f t="shared" ca="1" si="2"/>
        <v>30</v>
      </c>
      <c r="M35" s="528"/>
      <c r="N35" s="532"/>
      <c r="O35" s="532"/>
      <c r="P35" s="533"/>
      <c r="V35" s="36"/>
      <c r="W35" s="36"/>
      <c r="X35" s="36"/>
      <c r="Y35" s="2643"/>
      <c r="Z35" s="2644"/>
      <c r="AA35" s="2644"/>
      <c r="AB35" s="2645"/>
      <c r="AC35" s="36" t="s">
        <v>167</v>
      </c>
      <c r="AD35" s="36"/>
      <c r="AE35" s="36"/>
      <c r="AF35" s="36"/>
    </row>
    <row r="36" spans="1:32" hidden="1" outlineLevel="1">
      <c r="B36" s="2577" t="s">
        <v>416</v>
      </c>
      <c r="C36" s="2578"/>
      <c r="D36" s="2578"/>
      <c r="E36" s="276"/>
      <c r="F36">
        <f t="shared" ca="1" si="0"/>
        <v>0</v>
      </c>
      <c r="G36" s="690"/>
      <c r="H36" s="919" t="str">
        <f t="shared" ca="1" si="1"/>
        <v/>
      </c>
      <c r="I36" s="184"/>
      <c r="J36" s="690"/>
      <c r="K36" s="919" t="str">
        <f t="shared" ca="1" si="2"/>
        <v/>
      </c>
      <c r="M36" s="529"/>
      <c r="N36" s="534"/>
      <c r="O36" s="534"/>
      <c r="P36" s="535"/>
      <c r="V36" s="36"/>
      <c r="W36" s="36"/>
      <c r="X36" s="36"/>
      <c r="Y36" s="2643"/>
      <c r="Z36" s="2644"/>
      <c r="AA36" s="2644"/>
      <c r="AB36" s="2645"/>
      <c r="AC36" s="36"/>
      <c r="AD36" s="36"/>
      <c r="AE36" s="36"/>
      <c r="AF36" s="36"/>
    </row>
    <row r="37" spans="1:32" hidden="1" outlineLevel="1">
      <c r="B37" s="2577" t="s">
        <v>417</v>
      </c>
      <c r="C37" s="2578"/>
      <c r="D37" s="2578"/>
      <c r="E37" s="276"/>
      <c r="F37">
        <f t="shared" ca="1" si="0"/>
        <v>0</v>
      </c>
      <c r="G37" s="690"/>
      <c r="H37" s="919" t="str">
        <f t="shared" ca="1" si="1"/>
        <v/>
      </c>
      <c r="I37" s="184"/>
      <c r="J37" s="690"/>
      <c r="K37" s="919" t="str">
        <f t="shared" ca="1" si="2"/>
        <v/>
      </c>
      <c r="M37" s="529"/>
      <c r="N37" s="534"/>
      <c r="O37" s="534"/>
      <c r="P37" s="535"/>
      <c r="V37" s="36"/>
      <c r="W37" s="36"/>
      <c r="X37" s="36"/>
      <c r="Y37" s="2643"/>
      <c r="Z37" s="2644"/>
      <c r="AA37" s="2644"/>
      <c r="AB37" s="2645"/>
      <c r="AC37" s="36"/>
      <c r="AD37" s="36"/>
      <c r="AE37" s="36"/>
      <c r="AF37" s="36"/>
    </row>
    <row r="38" spans="1:32" hidden="1" outlineLevel="1">
      <c r="B38" s="2632" t="s">
        <v>418</v>
      </c>
      <c r="C38" s="2633"/>
      <c r="D38" s="2633"/>
      <c r="E38" s="210"/>
      <c r="F38">
        <f t="shared" ca="1" si="0"/>
        <v>0</v>
      </c>
      <c r="G38" s="691"/>
      <c r="H38" s="923">
        <f t="shared" ca="1" si="1"/>
        <v>7.8750999999999998</v>
      </c>
      <c r="I38" s="184"/>
      <c r="J38" s="691"/>
      <c r="K38" s="923">
        <f t="shared" ca="1" si="2"/>
        <v>75</v>
      </c>
      <c r="M38" s="530"/>
      <c r="N38" s="536"/>
      <c r="O38" s="536"/>
      <c r="P38" s="537"/>
      <c r="V38" s="36"/>
      <c r="W38" s="36"/>
      <c r="X38" s="36"/>
      <c r="Y38" s="2657"/>
      <c r="Z38" s="2658"/>
      <c r="AA38" s="2658"/>
      <c r="AB38" s="2659"/>
      <c r="AC38" s="36"/>
      <c r="AD38" s="36"/>
      <c r="AE38" s="36"/>
      <c r="AF38" s="36"/>
    </row>
    <row r="39" spans="1:32">
      <c r="A39" s="212" t="s">
        <v>353</v>
      </c>
      <c r="V39" s="36"/>
      <c r="W39" s="36"/>
      <c r="X39" s="36"/>
      <c r="Y39" s="36"/>
      <c r="Z39" s="36"/>
      <c r="AA39" s="36"/>
      <c r="AB39" s="36"/>
      <c r="AC39" s="36"/>
      <c r="AD39" s="36"/>
      <c r="AE39" s="36"/>
      <c r="AF39" s="36"/>
    </row>
    <row r="40" spans="1:32">
      <c r="A40" s="10"/>
      <c r="B40" s="2032"/>
      <c r="C40" s="2032"/>
      <c r="V40" s="36"/>
      <c r="W40" s="36"/>
      <c r="X40" s="36"/>
      <c r="Y40" s="36"/>
      <c r="Z40" s="36"/>
      <c r="AA40" s="36"/>
      <c r="AB40" s="36"/>
      <c r="AC40" s="36"/>
      <c r="AD40" s="36"/>
      <c r="AE40" s="36"/>
      <c r="AF40" s="36"/>
    </row>
    <row r="41" spans="1:32" ht="37.5" customHeight="1" collapsed="1">
      <c r="B41" s="2588" t="s">
        <v>5811</v>
      </c>
      <c r="C41" s="2588"/>
      <c r="D41" s="2588"/>
      <c r="E41" s="2588"/>
      <c r="F41" s="148"/>
      <c r="J41" s="2616"/>
      <c r="K41" s="2616"/>
      <c r="L41" s="2616"/>
      <c r="M41" s="2616"/>
      <c r="V41" s="36"/>
      <c r="W41" s="36"/>
      <c r="X41" s="36"/>
      <c r="Y41" s="2690"/>
      <c r="Z41" s="2690"/>
      <c r="AA41" s="2690"/>
      <c r="AB41" s="2690"/>
      <c r="AC41" s="36"/>
      <c r="AD41" s="36"/>
      <c r="AE41" s="36"/>
      <c r="AF41" s="36"/>
    </row>
    <row r="42" spans="1:32" ht="29.15" hidden="1" outlineLevel="1">
      <c r="A42" s="10"/>
      <c r="B42" s="2617" t="s">
        <v>34</v>
      </c>
      <c r="C42" s="2618"/>
      <c r="D42" s="1636" t="s">
        <v>35</v>
      </c>
      <c r="E42" s="1637"/>
      <c r="F42" s="616"/>
      <c r="G42" s="253" t="s">
        <v>17</v>
      </c>
      <c r="H42" s="2042" t="s">
        <v>2510</v>
      </c>
      <c r="J42" s="2619" t="s">
        <v>420</v>
      </c>
      <c r="K42" s="2620"/>
      <c r="L42" s="2620"/>
      <c r="M42" s="2621"/>
      <c r="V42" s="36"/>
      <c r="W42" s="36"/>
      <c r="X42" s="36"/>
      <c r="Y42" s="2687"/>
      <c r="Z42" s="2687"/>
      <c r="AA42" s="2687"/>
      <c r="AB42" s="2687"/>
      <c r="AC42" s="36"/>
      <c r="AD42" s="36"/>
      <c r="AE42" s="36"/>
      <c r="AF42" s="36"/>
    </row>
    <row r="43" spans="1:32" hidden="1" outlineLevel="1">
      <c r="A43" s="10"/>
      <c r="B43" s="2624" t="s">
        <v>136</v>
      </c>
      <c r="C43" s="2625"/>
      <c r="D43" s="2044" t="s">
        <v>164</v>
      </c>
      <c r="E43" s="205">
        <f t="shared" ref="E43:E78" ca="1" si="3">IF(OR($K$136=B43,$N$136=B43,$Q$136=B43,$T$136=B43,$W$136=B43,
$K$156=B43,$N$156=B43,$Q$156=B43,$T$156=B43,$W$156=B43,
$K$176=B43,$N$176=B43,$Q$176=B43,$T$176=B43,$W$176=B43,
$K$200=B43,$N$200=B43,$Q$200=B43,$T$200=B43,$W$200=B43,
$K$220=B43,$N$220=B43,$Q$220=B43,$T$220=B43,$W$220=B43,
$K$240=B43,$N$240=B43,$Q$240=B43,$T$240=B43,$W$240=B43,
$K$264=B43,$N$264=B43,$Q$264=B43,$T$264=B43,$W$264=B43,
$K$284=B43,$N$284=B43,$Q$284=B43,$T$284=B43,$W$284=B43,
$K$304=B43,$N$304=B43,$Q$304=B43,$T$304=B43,$W$304=B43),1,0)</f>
        <v>0</v>
      </c>
      <c r="F43" s="549" t="str">
        <f t="shared" ref="F43:F78" si="4">B43&amp;D43</f>
        <v>Public Transport 1Average cost ($) per trip (one-way)</v>
      </c>
      <c r="G43" s="538"/>
      <c r="H43" s="917">
        <f ca="1">IF(G43&lt;&gt;"",G43,IFERROR(IF(INDIRECT("'"&amp;$G$5&amp;"'!"&amp;ADDRESS(ROW(H43),COLUMN(H43)))="","",INDIRECT("'"&amp;$G$5&amp;"'!"&amp;ADDRESS(ROW(H43),COLUMN(H43)))*$H$6),IF($G$5&lt;&gt;"","Data Source Error","")))</f>
        <v>0</v>
      </c>
      <c r="J43" s="2626"/>
      <c r="K43" s="2627"/>
      <c r="L43" s="2627"/>
      <c r="M43" s="2628"/>
      <c r="V43" s="36"/>
      <c r="W43" s="36"/>
      <c r="X43" s="36"/>
      <c r="Y43" s="2687"/>
      <c r="Z43" s="2687"/>
      <c r="AA43" s="2687"/>
      <c r="AB43" s="2687"/>
      <c r="AC43" s="36"/>
      <c r="AD43" s="36"/>
      <c r="AE43" s="36"/>
      <c r="AF43" s="36"/>
    </row>
    <row r="44" spans="1:32" hidden="1" outlineLevel="1">
      <c r="A44" s="10"/>
      <c r="B44" s="2558" t="s">
        <v>136</v>
      </c>
      <c r="C44" s="2559"/>
      <c r="D44" s="2043" t="s">
        <v>135</v>
      </c>
      <c r="E44" s="205">
        <f t="shared" ca="1" si="3"/>
        <v>0</v>
      </c>
      <c r="F44" s="549" t="str">
        <f t="shared" si="4"/>
        <v>Public Transport 1Average duration (hrs) per trip</v>
      </c>
      <c r="G44" s="539"/>
      <c r="H44" s="918">
        <f ca="1">IF(G44&lt;&gt;"",G44,IFERROR(IF(INDIRECT("'"&amp;$G$5&amp;"'!"&amp;ADDRESS(ROW(H44),COLUMN(H44)))="","",INDIRECT("'"&amp;$G$5&amp;"'!"&amp;ADDRESS(ROW(H44),COLUMN(H44)))),IF($G$5&lt;&gt;"","Data Source Error","")))</f>
        <v>0</v>
      </c>
      <c r="J44" s="523"/>
      <c r="K44" s="545"/>
      <c r="L44" s="545"/>
      <c r="M44" s="546"/>
      <c r="V44" s="36"/>
      <c r="W44" s="36"/>
      <c r="X44" s="36"/>
      <c r="Y44" s="2687"/>
      <c r="Z44" s="2687"/>
      <c r="AA44" s="2687"/>
      <c r="AB44" s="2687"/>
      <c r="AC44" s="36"/>
      <c r="AD44" s="36"/>
      <c r="AE44" s="36"/>
      <c r="AF44" s="36"/>
    </row>
    <row r="45" spans="1:32" hidden="1" outlineLevel="1">
      <c r="A45" s="10"/>
      <c r="B45" s="2558" t="s">
        <v>136</v>
      </c>
      <c r="C45" s="2559"/>
      <c r="D45" s="2035" t="s">
        <v>2511</v>
      </c>
      <c r="E45" s="205">
        <f t="shared" ca="1" si="3"/>
        <v>0</v>
      </c>
      <c r="F45" s="549" t="str">
        <f t="shared" si="4"/>
        <v>Public Transport 1Maximum delivery capacity (m^3)</v>
      </c>
      <c r="G45" s="539"/>
      <c r="H45" s="918">
        <f ca="1">IF(G45&lt;&gt;"",G45,IFERROR(IF(INDIRECT("'"&amp;$G$5&amp;"'!"&amp;ADDRESS(ROW(H45),COLUMN(H45)))="","",INDIRECT("'"&amp;$G$5&amp;"'!"&amp;ADDRESS(ROW(H45),COLUMN(H45)))),IF($G$5&lt;&gt;"","Data Source Error","")))</f>
        <v>0</v>
      </c>
      <c r="J45" s="523"/>
      <c r="K45" s="545"/>
      <c r="L45" s="545"/>
      <c r="M45" s="546"/>
      <c r="Y45" s="2687"/>
      <c r="Z45" s="2687"/>
      <c r="AA45" s="2687"/>
      <c r="AB45" s="2687"/>
    </row>
    <row r="46" spans="1:32" hidden="1" outlineLevel="1">
      <c r="A46" s="10"/>
      <c r="B46" s="2624" t="s">
        <v>137</v>
      </c>
      <c r="C46" s="2625"/>
      <c r="D46" s="1822" t="s">
        <v>164</v>
      </c>
      <c r="E46" s="205">
        <f t="shared" ca="1" si="3"/>
        <v>0</v>
      </c>
      <c r="F46" s="549" t="str">
        <f t="shared" si="4"/>
        <v>Public Transport 2Average cost ($) per trip (one-way)</v>
      </c>
      <c r="G46" s="538"/>
      <c r="H46" s="917">
        <f ca="1">IF(G46&lt;&gt;"",G46,IFERROR(IF(INDIRECT("'"&amp;$G$5&amp;"'!"&amp;ADDRESS(ROW(H46),COLUMN(H46)))="","",INDIRECT("'"&amp;$G$5&amp;"'!"&amp;ADDRESS(ROW(H46),COLUMN(H46)))*$H$6),IF($G$5&lt;&gt;"","Data Source Error","")))</f>
        <v>0</v>
      </c>
      <c r="J46" s="523"/>
      <c r="K46" s="545"/>
      <c r="L46" s="545"/>
      <c r="M46" s="546"/>
      <c r="Y46" s="2687"/>
      <c r="Z46" s="2687"/>
      <c r="AA46" s="2687"/>
      <c r="AB46" s="2687"/>
    </row>
    <row r="47" spans="1:32" hidden="1" outlineLevel="1">
      <c r="A47" s="10"/>
      <c r="B47" s="2558" t="s">
        <v>137</v>
      </c>
      <c r="C47" s="2559"/>
      <c r="D47" s="2035" t="s">
        <v>135</v>
      </c>
      <c r="E47" s="205">
        <f t="shared" ca="1" si="3"/>
        <v>0</v>
      </c>
      <c r="F47" s="549" t="str">
        <f t="shared" si="4"/>
        <v>Public Transport 2Average duration (hrs) per trip</v>
      </c>
      <c r="G47" s="539"/>
      <c r="H47" s="918">
        <f ca="1">IF(G47&lt;&gt;"",G47,IFERROR(IF(INDIRECT("'"&amp;$G$5&amp;"'!"&amp;ADDRESS(ROW(H47),COLUMN(H47)))="","",INDIRECT("'"&amp;$G$5&amp;"'!"&amp;ADDRESS(ROW(H47),COLUMN(H47)))),IF($G$5&lt;&gt;"","Data Source Error","")))</f>
        <v>0</v>
      </c>
      <c r="J47" s="523"/>
      <c r="K47" s="545"/>
      <c r="L47" s="545"/>
      <c r="M47" s="546"/>
      <c r="Y47" s="2687"/>
      <c r="Z47" s="2687"/>
      <c r="AA47" s="2687"/>
      <c r="AB47" s="2687"/>
    </row>
    <row r="48" spans="1:32" hidden="1" outlineLevel="1">
      <c r="A48" s="10"/>
      <c r="B48" s="2558" t="s">
        <v>137</v>
      </c>
      <c r="C48" s="2559"/>
      <c r="D48" s="2035" t="s">
        <v>2511</v>
      </c>
      <c r="E48" s="205">
        <f t="shared" ca="1" si="3"/>
        <v>0</v>
      </c>
      <c r="F48" s="549" t="str">
        <f t="shared" si="4"/>
        <v>Public Transport 2Maximum delivery capacity (m^3)</v>
      </c>
      <c r="G48" s="539"/>
      <c r="H48" s="918">
        <f ca="1">IF(G48&lt;&gt;"",G48,IFERROR(IF(INDIRECT("'"&amp;$G$5&amp;"'!"&amp;ADDRESS(ROW(H48),COLUMN(H48)))="","",INDIRECT("'"&amp;$G$5&amp;"'!"&amp;ADDRESS(ROW(H48),COLUMN(H48)))),IF($G$5&lt;&gt;"","Data Source Error","")))</f>
        <v>0</v>
      </c>
      <c r="J48" s="523"/>
      <c r="K48" s="545"/>
      <c r="L48" s="545"/>
      <c r="M48" s="546"/>
      <c r="Y48" s="2687"/>
      <c r="Z48" s="2687"/>
      <c r="AA48" s="2687"/>
      <c r="AB48" s="2687"/>
    </row>
    <row r="49" spans="1:28" ht="18" hidden="1" customHeight="1" outlineLevel="1">
      <c r="A49" s="10"/>
      <c r="B49" s="2624" t="s">
        <v>36</v>
      </c>
      <c r="C49" s="2625"/>
      <c r="D49" s="208" t="s">
        <v>1545</v>
      </c>
      <c r="E49" s="205">
        <f t="shared" ca="1" si="3"/>
        <v>0</v>
      </c>
      <c r="F49" s="549" t="str">
        <f t="shared" si="4"/>
        <v>MotorcyclePurchase Price ($)</v>
      </c>
      <c r="G49" s="540"/>
      <c r="H49" s="917" t="str">
        <f ca="1">IF(G49&lt;&gt;"",G49,IFERROR(IF(INDIRECT("'"&amp;$G$5&amp;"'!"&amp;ADDRESS(ROW(H49),COLUMN(H49)))="","",INDIRECT("'"&amp;$G$5&amp;"'!"&amp;ADDRESS(ROW(H49),COLUMN(H49)))*$H$6),IF($G$5&lt;&gt;"","Data Source Error","")))</f>
        <v/>
      </c>
      <c r="J49" s="523"/>
      <c r="K49" s="545"/>
      <c r="L49" s="545"/>
      <c r="M49" s="546"/>
      <c r="Y49" s="2687"/>
      <c r="Z49" s="2687"/>
      <c r="AA49" s="2687"/>
      <c r="AB49" s="2687"/>
    </row>
    <row r="50" spans="1:28" hidden="1" outlineLevel="1">
      <c r="A50" s="10"/>
      <c r="B50" s="2558" t="s">
        <v>36</v>
      </c>
      <c r="C50" s="2559"/>
      <c r="D50" s="191" t="s">
        <v>2513</v>
      </c>
      <c r="E50" s="1064">
        <f t="shared" ca="1" si="3"/>
        <v>0</v>
      </c>
      <c r="F50" s="549" t="str">
        <f t="shared" si="4"/>
        <v>MotorcycleDepreciation Cost / yr ($)</v>
      </c>
      <c r="G50" s="541"/>
      <c r="H50" s="919" t="str">
        <f ca="1">IF(G50&lt;&gt;"",G50,IFERROR(IF(G49&lt;&gt;"",H49/$H$11,IF(INDIRECT("'"&amp;$G$5&amp;"'!"&amp;ADDRESS(ROW(H50),COLUMN(H50)))="",IF(H49="","",H49/$H$11),INDIRECT("'"&amp;$G$5&amp;"'!"&amp;ADDRESS(ROW(H50),COLUMN(H50))))*$H$6),IF(INDIRECT("'"&amp;$G$5&amp;"'!"&amp;ADDRESS(ROW(H50),COLUMN(H50)))="","",IF($G$5&lt;&gt;"","Data Source Error",""))))</f>
        <v/>
      </c>
      <c r="J50" s="523"/>
      <c r="K50" s="545"/>
      <c r="L50" s="545"/>
      <c r="M50" s="546"/>
      <c r="Y50" s="2687"/>
      <c r="Z50" s="2687"/>
      <c r="AA50" s="2687"/>
      <c r="AB50" s="2687"/>
    </row>
    <row r="51" spans="1:28" hidden="1" outlineLevel="1">
      <c r="A51" s="10"/>
      <c r="B51" s="2558" t="s">
        <v>36</v>
      </c>
      <c r="C51" s="2559"/>
      <c r="D51" s="191" t="s">
        <v>2514</v>
      </c>
      <c r="E51" s="205">
        <f t="shared" ca="1" si="3"/>
        <v>0</v>
      </c>
      <c r="F51" s="549" t="str">
        <f t="shared" si="4"/>
        <v>MotorcycleInsurance cost /yr ($)</v>
      </c>
      <c r="G51" s="542"/>
      <c r="H51" s="919" t="str">
        <f ca="1">IF(G51&lt;&gt;"",G51,IFERROR(IF(INDIRECT("'"&amp;$G$5&amp;"'!"&amp;ADDRESS(ROW(H51),COLUMN(H51)))="","",INDIRECT("'"&amp;$G$5&amp;"'!"&amp;ADDRESS(ROW(H51),COLUMN(H51)))*$H$6),IF($G$5&lt;&gt;"","Data Source Error","")))</f>
        <v/>
      </c>
      <c r="J51" s="523"/>
      <c r="K51" s="545"/>
      <c r="L51" s="545"/>
      <c r="M51" s="546"/>
      <c r="Y51" s="2687"/>
      <c r="Z51" s="2687"/>
      <c r="AA51" s="2687"/>
      <c r="AB51" s="2687"/>
    </row>
    <row r="52" spans="1:28" hidden="1" outlineLevel="1">
      <c r="A52" s="10"/>
      <c r="B52" s="2558" t="s">
        <v>36</v>
      </c>
      <c r="C52" s="2559"/>
      <c r="D52" s="191" t="s">
        <v>2515</v>
      </c>
      <c r="E52" s="205">
        <f t="shared" ca="1" si="3"/>
        <v>0</v>
      </c>
      <c r="F52" s="549" t="str">
        <f t="shared" si="4"/>
        <v>MotorcycleMaintenance cost/km ($)</v>
      </c>
      <c r="G52" s="542"/>
      <c r="H52" s="919" t="str">
        <f ca="1">IF(G52&lt;&gt;"",G52,IFERROR(IF(INDIRECT("'"&amp;$G$5&amp;"'!"&amp;ADDRESS(ROW(H52),COLUMN(H52)))="","",INDIRECT("'"&amp;$G$5&amp;"'!"&amp;ADDRESS(ROW(H52),COLUMN(H52)))*$H$6),IF($G$5&lt;&gt;"","Data Source Error","")))</f>
        <v/>
      </c>
      <c r="J52" s="523"/>
      <c r="K52" s="545"/>
      <c r="L52" s="545"/>
      <c r="M52" s="546"/>
      <c r="Y52" s="2687"/>
      <c r="Z52" s="2687"/>
      <c r="AA52" s="2687"/>
      <c r="AB52" s="2687"/>
    </row>
    <row r="53" spans="1:28" hidden="1" outlineLevel="1">
      <c r="A53" s="10"/>
      <c r="B53" s="2558" t="s">
        <v>36</v>
      </c>
      <c r="C53" s="2559"/>
      <c r="D53" s="191" t="s">
        <v>41</v>
      </c>
      <c r="E53" s="205">
        <f t="shared" ca="1" si="3"/>
        <v>0</v>
      </c>
      <c r="F53" s="549" t="str">
        <f t="shared" si="4"/>
        <v>MotorcycleFuel Efficiency (km/liter)</v>
      </c>
      <c r="G53" s="543"/>
      <c r="H53" s="918" t="str">
        <f ca="1">IF(G53&lt;&gt;"",G53,IFERROR(IF(INDIRECT("'"&amp;$G$5&amp;"'!"&amp;ADDRESS(ROW(H53),COLUMN(H53)))="","",INDIRECT("'"&amp;$G$5&amp;"'!"&amp;ADDRESS(ROW(H53),COLUMN(H53)))),IF($G$5&lt;&gt;"","Data Source Error","")))</f>
        <v/>
      </c>
      <c r="J53" s="523"/>
      <c r="K53" s="545"/>
      <c r="L53" s="545"/>
      <c r="M53" s="546"/>
      <c r="Y53" s="2687"/>
      <c r="Z53" s="2687"/>
      <c r="AA53" s="2687"/>
      <c r="AB53" s="2687"/>
    </row>
    <row r="54" spans="1:28" ht="15.45" hidden="1" outlineLevel="1">
      <c r="A54" s="10"/>
      <c r="B54" s="2585" t="s">
        <v>36</v>
      </c>
      <c r="C54" s="2586"/>
      <c r="D54" s="207" t="s">
        <v>43</v>
      </c>
      <c r="E54" s="205">
        <f t="shared" ca="1" si="3"/>
        <v>0</v>
      </c>
      <c r="F54" s="549" t="str">
        <f t="shared" si="4"/>
        <v>MotorcycleDelivery Capacity (m^3)</v>
      </c>
      <c r="G54" s="544"/>
      <c r="H54" s="920" t="str">
        <f ca="1">IF(G54&lt;&gt;"",G54,IFERROR(IF(INDIRECT("'"&amp;$G$5&amp;"'!"&amp;ADDRESS(ROW(H54),COLUMN(H54)))="","",INDIRECT("'"&amp;$G$5&amp;"'!"&amp;ADDRESS(ROW(H54),COLUMN(H54)))),IF($G$5&lt;&gt;"","Data Source Error","")))</f>
        <v/>
      </c>
      <c r="J54" s="523"/>
      <c r="K54" s="545"/>
      <c r="L54" s="545"/>
      <c r="M54" s="546"/>
      <c r="O54" s="218"/>
      <c r="Y54" s="2687"/>
      <c r="Z54" s="2687"/>
      <c r="AA54" s="2687"/>
      <c r="AB54" s="2687"/>
    </row>
    <row r="55" spans="1:28" hidden="1" outlineLevel="1">
      <c r="A55" s="10"/>
      <c r="B55" s="2624" t="s">
        <v>407</v>
      </c>
      <c r="C55" s="2625"/>
      <c r="D55" s="208" t="s">
        <v>1545</v>
      </c>
      <c r="E55" s="205">
        <f t="shared" ca="1" si="3"/>
        <v>1</v>
      </c>
      <c r="F55" s="549" t="str">
        <f t="shared" si="4"/>
        <v>Car/Sport Utility/Consumer VehiclePurchase Price ($)</v>
      </c>
      <c r="G55" s="540"/>
      <c r="H55" s="917">
        <f ca="1">IF(G55&lt;&gt;"",G55,IFERROR(IF(INDIRECT("'"&amp;$G$5&amp;"'!"&amp;ADDRESS(ROW(H55),COLUMN(H55)))="","",INDIRECT("'"&amp;$G$5&amp;"'!"&amp;ADDRESS(ROW(H55),COLUMN(H55)))*$H$6),IF($G$5&lt;&gt;"","Data Source Error","")))</f>
        <v>60939.499795095864</v>
      </c>
      <c r="J55" s="523"/>
      <c r="K55" s="545"/>
      <c r="L55" s="545"/>
      <c r="M55" s="546"/>
      <c r="Y55" s="2687"/>
      <c r="Z55" s="2687"/>
      <c r="AA55" s="2687"/>
      <c r="AB55" s="2687"/>
    </row>
    <row r="56" spans="1:28" hidden="1" outlineLevel="1">
      <c r="A56" s="10"/>
      <c r="B56" s="2558" t="s">
        <v>407</v>
      </c>
      <c r="C56" s="2559"/>
      <c r="D56" s="191" t="s">
        <v>2513</v>
      </c>
      <c r="E56" s="205">
        <f t="shared" ca="1" si="3"/>
        <v>1</v>
      </c>
      <c r="F56" s="549" t="str">
        <f t="shared" si="4"/>
        <v>Car/Sport Utility/Consumer VehicleDepreciation Cost / yr ($)</v>
      </c>
      <c r="G56" s="541"/>
      <c r="H56" s="919">
        <f ca="1">IF(G56&lt;&gt;"",G56,IFERROR(IF(G55&lt;&gt;"",H55/$H$11,IF(INDIRECT("'"&amp;$G$5&amp;"'!"&amp;ADDRESS(ROW(H56),COLUMN(H56)))="",IF(H55="","",H55/$H$11),INDIRECT("'"&amp;$G$5&amp;"'!"&amp;ADDRESS(ROW(H56),COLUMN(H56))))*$H$6),IF(INDIRECT("'"&amp;$G$5&amp;"'!"&amp;ADDRESS(ROW(H56),COLUMN(H56)))="","",IF($G$5&lt;&gt;"","Data Source Error",""))))</f>
        <v>12187.899959019172</v>
      </c>
      <c r="J56" s="523"/>
      <c r="K56" s="545"/>
      <c r="L56" s="545"/>
      <c r="M56" s="546"/>
      <c r="Y56" s="2687"/>
      <c r="Z56" s="2687"/>
      <c r="AA56" s="2687"/>
      <c r="AB56" s="2687"/>
    </row>
    <row r="57" spans="1:28" hidden="1" outlineLevel="1">
      <c r="A57" s="10"/>
      <c r="B57" s="2558" t="s">
        <v>407</v>
      </c>
      <c r="C57" s="2559"/>
      <c r="D57" s="191" t="s">
        <v>2514</v>
      </c>
      <c r="E57" s="205">
        <f t="shared" ca="1" si="3"/>
        <v>1</v>
      </c>
      <c r="F57" s="549" t="str">
        <f t="shared" si="4"/>
        <v>Car/Sport Utility/Consumer VehicleInsurance cost /yr ($)</v>
      </c>
      <c r="G57" s="542"/>
      <c r="H57" s="919">
        <f ca="1">IF(G57&lt;&gt;"",G57,IFERROR(IF(INDIRECT("'"&amp;$G$5&amp;"'!"&amp;ADDRESS(ROW(H57),COLUMN(H57)))="","",INDIRECT("'"&amp;$G$5&amp;"'!"&amp;ADDRESS(ROW(H57),COLUMN(H57)))*$H$6),IF($G$5&lt;&gt;"","Data Source Error","")))</f>
        <v>2323.9499999999998</v>
      </c>
      <c r="J57" s="523"/>
      <c r="K57" s="545"/>
      <c r="L57" s="545"/>
      <c r="M57" s="546"/>
      <c r="Y57" s="2687"/>
      <c r="Z57" s="2687"/>
      <c r="AA57" s="2687"/>
      <c r="AB57" s="2687"/>
    </row>
    <row r="58" spans="1:28" hidden="1" outlineLevel="1">
      <c r="A58" s="10"/>
      <c r="B58" s="2558" t="s">
        <v>407</v>
      </c>
      <c r="C58" s="2559"/>
      <c r="D58" s="191" t="s">
        <v>2515</v>
      </c>
      <c r="E58" s="205">
        <f t="shared" ca="1" si="3"/>
        <v>1</v>
      </c>
      <c r="F58" s="549" t="str">
        <f t="shared" si="4"/>
        <v>Car/Sport Utility/Consumer VehicleMaintenance cost/km ($)</v>
      </c>
      <c r="G58" s="542"/>
      <c r="H58" s="919">
        <f ca="1">IF(G58&lt;&gt;"",G58,IFERROR(IF(INDIRECT("'"&amp;$G$5&amp;"'!"&amp;ADDRESS(ROW(H58),COLUMN(H58)))="","",INDIRECT("'"&amp;$G$5&amp;"'!"&amp;ADDRESS(ROW(H58),COLUMN(H58)))*$H$6),IF($G$5&lt;&gt;"","Data Source Error","")))</f>
        <v>0.12</v>
      </c>
      <c r="J58" s="523"/>
      <c r="K58" s="545"/>
      <c r="L58" s="545"/>
      <c r="M58" s="546"/>
      <c r="Y58" s="2687"/>
      <c r="Z58" s="2687"/>
      <c r="AA58" s="2687"/>
      <c r="AB58" s="2687"/>
    </row>
    <row r="59" spans="1:28" hidden="1" outlineLevel="1">
      <c r="A59" s="10"/>
      <c r="B59" s="2558" t="s">
        <v>407</v>
      </c>
      <c r="C59" s="2559"/>
      <c r="D59" s="191" t="s">
        <v>41</v>
      </c>
      <c r="E59" s="205">
        <f t="shared" ca="1" si="3"/>
        <v>1</v>
      </c>
      <c r="F59" s="549" t="str">
        <f t="shared" si="4"/>
        <v>Car/Sport Utility/Consumer VehicleFuel Efficiency (km/liter)</v>
      </c>
      <c r="G59" s="543"/>
      <c r="H59" s="918">
        <f ca="1">IF(G59&lt;&gt;"",G59,IFERROR(IF(INDIRECT("'"&amp;$G$5&amp;"'!"&amp;ADDRESS(ROW(H59),COLUMN(H59)))="","",INDIRECT("'"&amp;$G$5&amp;"'!"&amp;ADDRESS(ROW(H59),COLUMN(H59)))),IF($G$5&lt;&gt;"","Data Source Error","")))</f>
        <v>6.9</v>
      </c>
      <c r="J59" s="523"/>
      <c r="K59" s="545"/>
      <c r="L59" s="545"/>
      <c r="M59" s="546"/>
      <c r="Y59" s="2687"/>
      <c r="Z59" s="2687"/>
      <c r="AA59" s="2687"/>
      <c r="AB59" s="2687"/>
    </row>
    <row r="60" spans="1:28" hidden="1" outlineLevel="1">
      <c r="A60" s="10"/>
      <c r="B60" s="2585" t="s">
        <v>407</v>
      </c>
      <c r="C60" s="2586"/>
      <c r="D60" s="207" t="s">
        <v>43</v>
      </c>
      <c r="E60" s="205">
        <f t="shared" ca="1" si="3"/>
        <v>1</v>
      </c>
      <c r="F60" s="549" t="str">
        <f t="shared" si="4"/>
        <v>Car/Sport Utility/Consumer VehicleDelivery Capacity (m^3)</v>
      </c>
      <c r="G60" s="544"/>
      <c r="H60" s="920">
        <f ca="1">IF(G60&lt;&gt;"",G60,IFERROR(IF(INDIRECT("'"&amp;$G$5&amp;"'!"&amp;ADDRESS(ROW(H60),COLUMN(H60)))="","",INDIRECT("'"&amp;$G$5&amp;"'!"&amp;ADDRESS(ROW(H60),COLUMN(H60)))),IF($G$5&lt;&gt;"","Data Source Error","")))</f>
        <v>2</v>
      </c>
      <c r="J60" s="523"/>
      <c r="K60" s="545"/>
      <c r="L60" s="545"/>
      <c r="M60" s="546"/>
      <c r="Y60" s="2687"/>
      <c r="Z60" s="2687"/>
      <c r="AA60" s="2687"/>
      <c r="AB60" s="2687"/>
    </row>
    <row r="61" spans="1:28" hidden="1" outlineLevel="1">
      <c r="A61" s="10"/>
      <c r="B61" s="2624" t="s">
        <v>279</v>
      </c>
      <c r="C61" s="2625"/>
      <c r="D61" s="208" t="s">
        <v>1545</v>
      </c>
      <c r="E61" s="205">
        <f t="shared" ca="1" si="3"/>
        <v>1</v>
      </c>
      <c r="F61" s="549" t="str">
        <f t="shared" si="4"/>
        <v>Commercial TruckPurchase Price ($)</v>
      </c>
      <c r="G61" s="540"/>
      <c r="H61" s="917">
        <f ca="1">IF(G61&lt;&gt;"",G61,IFERROR(IF(INDIRECT("'"&amp;$G$5&amp;"'!"&amp;ADDRESS(ROW(H61),COLUMN(H61)))="","",INDIRECT("'"&amp;$G$5&amp;"'!"&amp;ADDRESS(ROW(H61),COLUMN(H61)))*$H$6),IF($G$5&lt;&gt;"","Data Source Error","")))</f>
        <v>70448.990000000005</v>
      </c>
      <c r="J61" s="523"/>
      <c r="K61" s="545"/>
      <c r="L61" s="545"/>
      <c r="M61" s="546"/>
      <c r="Y61" s="2687"/>
      <c r="Z61" s="2687"/>
      <c r="AA61" s="2687"/>
      <c r="AB61" s="2687"/>
    </row>
    <row r="62" spans="1:28" hidden="1" outlineLevel="1">
      <c r="A62" s="10"/>
      <c r="B62" s="2558" t="s">
        <v>279</v>
      </c>
      <c r="C62" s="2559"/>
      <c r="D62" s="191" t="s">
        <v>2513</v>
      </c>
      <c r="E62" s="1064">
        <f t="shared" ca="1" si="3"/>
        <v>1</v>
      </c>
      <c r="F62" s="549" t="str">
        <f t="shared" si="4"/>
        <v>Commercial TruckDepreciation Cost / yr ($)</v>
      </c>
      <c r="G62" s="541"/>
      <c r="H62" s="919">
        <f ca="1">IF(G62&lt;&gt;"",G62,IFERROR(IF(G61&lt;&gt;"",H61/$H$11,IF(INDIRECT("'"&amp;$G$5&amp;"'!"&amp;ADDRESS(ROW(H62),COLUMN(H62)))="",IF(H61="","",H61/$H$11),INDIRECT("'"&amp;$G$5&amp;"'!"&amp;ADDRESS(ROW(H62),COLUMN(H62))))*$H$6),IF(INDIRECT("'"&amp;$G$5&amp;"'!"&amp;ADDRESS(ROW(H62),COLUMN(H62)))="","",IF($G$5&lt;&gt;"","Data Source Error",""))))</f>
        <v>14089.798000000001</v>
      </c>
      <c r="J62" s="523"/>
      <c r="K62" s="545"/>
      <c r="L62" s="545"/>
      <c r="M62" s="546"/>
      <c r="Y62" s="2687"/>
      <c r="Z62" s="2687"/>
      <c r="AA62" s="2687"/>
      <c r="AB62" s="2687"/>
    </row>
    <row r="63" spans="1:28" hidden="1" outlineLevel="1">
      <c r="A63" s="10"/>
      <c r="B63" s="2558" t="s">
        <v>279</v>
      </c>
      <c r="C63" s="2559"/>
      <c r="D63" s="191" t="s">
        <v>2514</v>
      </c>
      <c r="E63" s="205">
        <f t="shared" ca="1" si="3"/>
        <v>1</v>
      </c>
      <c r="F63" s="549" t="str">
        <f t="shared" si="4"/>
        <v>Commercial TruckInsurance cost /yr ($)</v>
      </c>
      <c r="G63" s="542"/>
      <c r="H63" s="919">
        <f ca="1">IF(G63&lt;&gt;"",G63,IFERROR(IF(INDIRECT("'"&amp;$G$5&amp;"'!"&amp;ADDRESS(ROW(H63),COLUMN(H63)))="","",INDIRECT("'"&amp;$G$5&amp;"'!"&amp;ADDRESS(ROW(H63),COLUMN(H63)))*$H$6),IF($G$5&lt;&gt;"","Data Source Error","")))</f>
        <v>2575.86</v>
      </c>
      <c r="J63" s="523"/>
      <c r="K63" s="545"/>
      <c r="L63" s="545"/>
      <c r="M63" s="546"/>
      <c r="Y63" s="2687"/>
      <c r="Z63" s="2687"/>
      <c r="AA63" s="2687"/>
      <c r="AB63" s="2687"/>
    </row>
    <row r="64" spans="1:28" hidden="1" outlineLevel="1">
      <c r="A64" s="10"/>
      <c r="B64" s="2558" t="s">
        <v>279</v>
      </c>
      <c r="C64" s="2559"/>
      <c r="D64" s="191" t="s">
        <v>2515</v>
      </c>
      <c r="E64" s="205">
        <f t="shared" ca="1" si="3"/>
        <v>1</v>
      </c>
      <c r="F64" s="549" t="str">
        <f t="shared" si="4"/>
        <v>Commercial TruckMaintenance cost/km ($)</v>
      </c>
      <c r="G64" s="542"/>
      <c r="H64" s="919">
        <f ca="1">IF(G64&lt;&gt;"",G64,IFERROR(IF(INDIRECT("'"&amp;$G$5&amp;"'!"&amp;ADDRESS(ROW(H64),COLUMN(H64)))="","",INDIRECT("'"&amp;$G$5&amp;"'!"&amp;ADDRESS(ROW(H64),COLUMN(H64)))*$H$6),IF($G$5&lt;&gt;"","Data Source Error","")))</f>
        <v>0.38</v>
      </c>
      <c r="J64" s="523"/>
      <c r="K64" s="545"/>
      <c r="L64" s="545"/>
      <c r="M64" s="546"/>
      <c r="Y64" s="2687"/>
      <c r="Z64" s="2687"/>
      <c r="AA64" s="2687"/>
      <c r="AB64" s="2687"/>
    </row>
    <row r="65" spans="1:28" hidden="1" outlineLevel="1">
      <c r="A65" s="10"/>
      <c r="B65" s="2558" t="s">
        <v>279</v>
      </c>
      <c r="C65" s="2559"/>
      <c r="D65" s="191" t="s">
        <v>41</v>
      </c>
      <c r="E65" s="205">
        <f t="shared" ca="1" si="3"/>
        <v>1</v>
      </c>
      <c r="F65" s="549" t="str">
        <f t="shared" si="4"/>
        <v>Commercial TruckFuel Efficiency (km/liter)</v>
      </c>
      <c r="G65" s="543"/>
      <c r="H65" s="918">
        <f ca="1">IF(G65&lt;&gt;"",G65,IFERROR(IF(INDIRECT("'"&amp;$G$5&amp;"'!"&amp;ADDRESS(ROW(H65),COLUMN(H65)))="","",INDIRECT("'"&amp;$G$5&amp;"'!"&amp;ADDRESS(ROW(H65),COLUMN(H65)))),IF($G$5&lt;&gt;"","Data Source Error","")))</f>
        <v>3.86</v>
      </c>
      <c r="J65" s="523"/>
      <c r="K65" s="545"/>
      <c r="L65" s="545"/>
      <c r="M65" s="546"/>
      <c r="Y65" s="2687"/>
      <c r="Z65" s="2687"/>
      <c r="AA65" s="2687"/>
      <c r="AB65" s="2687"/>
    </row>
    <row r="66" spans="1:28" hidden="1" outlineLevel="1">
      <c r="A66" s="10"/>
      <c r="B66" s="2585" t="s">
        <v>279</v>
      </c>
      <c r="C66" s="2586"/>
      <c r="D66" s="207" t="s">
        <v>43</v>
      </c>
      <c r="E66" s="205">
        <f t="shared" ca="1" si="3"/>
        <v>1</v>
      </c>
      <c r="F66" s="549" t="str">
        <f t="shared" si="4"/>
        <v>Commercial TruckDelivery Capacity (m^3)</v>
      </c>
      <c r="G66" s="544"/>
      <c r="H66" s="920">
        <f ca="1">IF(G66&lt;&gt;"",G66,IFERROR(IF(INDIRECT("'"&amp;$G$5&amp;"'!"&amp;ADDRESS(ROW(H66),COLUMN(H66)))="","",INDIRECT("'"&amp;$G$5&amp;"'!"&amp;ADDRESS(ROW(H66),COLUMN(H66)))),IF($G$5&lt;&gt;"","Data Source Error","")))</f>
        <v>12</v>
      </c>
      <c r="J66" s="523"/>
      <c r="K66" s="545"/>
      <c r="L66" s="545"/>
      <c r="M66" s="546"/>
      <c r="Y66" s="2687"/>
      <c r="Z66" s="2687"/>
      <c r="AA66" s="2687"/>
      <c r="AB66" s="2687"/>
    </row>
    <row r="67" spans="1:28" hidden="1" outlineLevel="1">
      <c r="A67" s="10"/>
      <c r="B67" s="2624" t="s">
        <v>410</v>
      </c>
      <c r="C67" s="2625"/>
      <c r="D67" s="208" t="s">
        <v>1545</v>
      </c>
      <c r="E67" s="205">
        <f t="shared" ca="1" si="3"/>
        <v>0</v>
      </c>
      <c r="F67" s="549" t="str">
        <f t="shared" si="4"/>
        <v>Refrigerated VehiclePurchase Price ($)</v>
      </c>
      <c r="G67" s="540"/>
      <c r="H67" s="917" t="str">
        <f ca="1">IF(G67&lt;&gt;"",G67,IFERROR(IF(INDIRECT("'"&amp;$G$5&amp;"'!"&amp;ADDRESS(ROW(H67),COLUMN(H67)))="","",INDIRECT("'"&amp;$G$5&amp;"'!"&amp;ADDRESS(ROW(H67),COLUMN(H67)))*$H$6),IF($G$5&lt;&gt;"","Data Source Error","")))</f>
        <v/>
      </c>
      <c r="J67" s="523"/>
      <c r="K67" s="545"/>
      <c r="L67" s="545"/>
      <c r="M67" s="546"/>
      <c r="Y67" s="2687"/>
      <c r="Z67" s="2687"/>
      <c r="AA67" s="2687"/>
      <c r="AB67" s="2687"/>
    </row>
    <row r="68" spans="1:28" hidden="1" outlineLevel="1">
      <c r="A68" s="10"/>
      <c r="B68" s="2558" t="s">
        <v>410</v>
      </c>
      <c r="C68" s="2559"/>
      <c r="D68" s="191" t="s">
        <v>2513</v>
      </c>
      <c r="E68" s="1064">
        <f t="shared" ca="1" si="3"/>
        <v>0</v>
      </c>
      <c r="F68" s="549" t="str">
        <f t="shared" si="4"/>
        <v>Refrigerated VehicleDepreciation Cost / yr ($)</v>
      </c>
      <c r="G68" s="541"/>
      <c r="H68" s="919" t="str">
        <f ca="1">IF(G68&lt;&gt;"",G68,IFERROR(IF(G67&lt;&gt;"",H67/$H$11,IF(INDIRECT("'"&amp;$G$5&amp;"'!"&amp;ADDRESS(ROW(H68),COLUMN(H68)))="",IF(H67="","",H67/$H$11),INDIRECT("'"&amp;$G$5&amp;"'!"&amp;ADDRESS(ROW(H68),COLUMN(H68))))*$H$6),IF(INDIRECT("'"&amp;$G$5&amp;"'!"&amp;ADDRESS(ROW(H68),COLUMN(H68)))="","",IF($G$5&lt;&gt;"","Data Source Error",""))))</f>
        <v/>
      </c>
      <c r="J68" s="1797"/>
      <c r="K68" s="545"/>
      <c r="L68" s="545"/>
      <c r="M68" s="546"/>
      <c r="Y68" s="2687"/>
      <c r="Z68" s="2687"/>
      <c r="AA68" s="2687"/>
      <c r="AB68" s="2687"/>
    </row>
    <row r="69" spans="1:28" hidden="1" outlineLevel="1">
      <c r="A69" s="10"/>
      <c r="B69" s="2558" t="s">
        <v>410</v>
      </c>
      <c r="C69" s="2559"/>
      <c r="D69" s="191" t="s">
        <v>2514</v>
      </c>
      <c r="E69" s="205">
        <f t="shared" ca="1" si="3"/>
        <v>0</v>
      </c>
      <c r="F69" s="549" t="str">
        <f t="shared" si="4"/>
        <v>Refrigerated VehicleInsurance cost /yr ($)</v>
      </c>
      <c r="G69" s="542"/>
      <c r="H69" s="919" t="str">
        <f ca="1">IF(G69&lt;&gt;"",G69,IFERROR(IF(INDIRECT("'"&amp;$G$5&amp;"'!"&amp;ADDRESS(ROW(H69),COLUMN(H69)))="","",INDIRECT("'"&amp;$G$5&amp;"'!"&amp;ADDRESS(ROW(H69),COLUMN(H69)))*$H$6),IF($G$5&lt;&gt;"","Data Source Error","")))</f>
        <v/>
      </c>
      <c r="J69" s="523"/>
      <c r="K69" s="545"/>
      <c r="L69" s="545"/>
      <c r="M69" s="546"/>
      <c r="Y69" s="2687"/>
      <c r="Z69" s="2687"/>
      <c r="AA69" s="2687"/>
      <c r="AB69" s="2687"/>
    </row>
    <row r="70" spans="1:28" hidden="1" outlineLevel="1">
      <c r="A70" s="10"/>
      <c r="B70" s="2558" t="s">
        <v>410</v>
      </c>
      <c r="C70" s="2559"/>
      <c r="D70" s="191" t="s">
        <v>2515</v>
      </c>
      <c r="E70" s="205">
        <f t="shared" ca="1" si="3"/>
        <v>0</v>
      </c>
      <c r="F70" s="549" t="str">
        <f t="shared" si="4"/>
        <v>Refrigerated VehicleMaintenance cost/km ($)</v>
      </c>
      <c r="G70" s="542"/>
      <c r="H70" s="919" t="str">
        <f ca="1">IF(G70&lt;&gt;"",G70,IFERROR(IF(INDIRECT("'"&amp;$G$5&amp;"'!"&amp;ADDRESS(ROW(H70),COLUMN(H70)))="","",INDIRECT("'"&amp;$G$5&amp;"'!"&amp;ADDRESS(ROW(H70),COLUMN(H70)))*$H$6),IF($G$5&lt;&gt;"","Data Source Error","")))</f>
        <v/>
      </c>
      <c r="J70" s="523"/>
      <c r="K70" s="545"/>
      <c r="L70" s="545"/>
      <c r="M70" s="546"/>
      <c r="Y70" s="2687"/>
      <c r="Z70" s="2687"/>
      <c r="AA70" s="2687"/>
      <c r="AB70" s="2687"/>
    </row>
    <row r="71" spans="1:28" hidden="1" outlineLevel="1">
      <c r="A71" s="10"/>
      <c r="B71" s="2558" t="s">
        <v>410</v>
      </c>
      <c r="C71" s="2559"/>
      <c r="D71" s="191" t="s">
        <v>41</v>
      </c>
      <c r="E71" s="205">
        <f t="shared" ca="1" si="3"/>
        <v>0</v>
      </c>
      <c r="F71" s="549" t="str">
        <f t="shared" si="4"/>
        <v>Refrigerated VehicleFuel Efficiency (km/liter)</v>
      </c>
      <c r="G71" s="543"/>
      <c r="H71" s="918" t="str">
        <f ca="1">IF(G71&lt;&gt;"",G71,IFERROR(IF(INDIRECT("'"&amp;$G$5&amp;"'!"&amp;ADDRESS(ROW(H71),COLUMN(H71)))="","",INDIRECT("'"&amp;$G$5&amp;"'!"&amp;ADDRESS(ROW(H71),COLUMN(H71)))),IF($G$5&lt;&gt;"","Data Source Error","")))</f>
        <v/>
      </c>
      <c r="J71" s="523"/>
      <c r="K71" s="545"/>
      <c r="L71" s="545"/>
      <c r="M71" s="546"/>
      <c r="Y71" s="2687"/>
      <c r="Z71" s="2687"/>
      <c r="AA71" s="2687"/>
      <c r="AB71" s="2687"/>
    </row>
    <row r="72" spans="1:28" hidden="1" outlineLevel="1">
      <c r="A72" s="10"/>
      <c r="B72" s="2585" t="s">
        <v>410</v>
      </c>
      <c r="C72" s="2586"/>
      <c r="D72" s="207" t="s">
        <v>43</v>
      </c>
      <c r="E72" s="205">
        <f t="shared" ca="1" si="3"/>
        <v>0</v>
      </c>
      <c r="F72" s="549" t="str">
        <f t="shared" si="4"/>
        <v>Refrigerated VehicleDelivery Capacity (m^3)</v>
      </c>
      <c r="G72" s="544"/>
      <c r="H72" s="920" t="str">
        <f ca="1">IF(G72&lt;&gt;"",G72,IFERROR(IF(INDIRECT("'"&amp;$G$5&amp;"'!"&amp;ADDRESS(ROW(H72),COLUMN(H72)))="","",INDIRECT("'"&amp;$G$5&amp;"'!"&amp;ADDRESS(ROW(H72),COLUMN(H72)))),IF($G$5&lt;&gt;"","Data Source Error","")))</f>
        <v/>
      </c>
      <c r="J72" s="523"/>
      <c r="K72" s="545"/>
      <c r="L72" s="545"/>
      <c r="M72" s="546"/>
      <c r="Y72" s="2687"/>
      <c r="Z72" s="2687"/>
      <c r="AA72" s="2687"/>
      <c r="AB72" s="2687"/>
    </row>
    <row r="73" spans="1:28" hidden="1" outlineLevel="1">
      <c r="A73" s="10"/>
      <c r="B73" s="2624" t="s">
        <v>406</v>
      </c>
      <c r="C73" s="2625"/>
      <c r="D73" s="208" t="s">
        <v>1545</v>
      </c>
      <c r="E73" s="205">
        <f t="shared" ca="1" si="3"/>
        <v>0</v>
      </c>
      <c r="F73" s="549" t="str">
        <f t="shared" si="4"/>
        <v>Other Vehicle TypePurchase Price ($)</v>
      </c>
      <c r="G73" s="540"/>
      <c r="H73" s="917" t="str">
        <f ca="1">IF(G73&lt;&gt;"",G73,IFERROR(IF(INDIRECT("'"&amp;$G$5&amp;"'!"&amp;ADDRESS(ROW(H73),COLUMN(H73)))="","",INDIRECT("'"&amp;$G$5&amp;"'!"&amp;ADDRESS(ROW(H73),COLUMN(H73)))*$H$6),IF($G$5&lt;&gt;"","Data Source Error","")))</f>
        <v/>
      </c>
      <c r="J73" s="523"/>
      <c r="K73" s="545"/>
      <c r="L73" s="545"/>
      <c r="M73" s="546"/>
      <c r="Y73" s="2687"/>
      <c r="Z73" s="2687"/>
      <c r="AA73" s="2687"/>
      <c r="AB73" s="2687"/>
    </row>
    <row r="74" spans="1:28" hidden="1" outlineLevel="1">
      <c r="A74" s="10"/>
      <c r="B74" s="2558" t="s">
        <v>406</v>
      </c>
      <c r="C74" s="2559"/>
      <c r="D74" s="191" t="s">
        <v>2513</v>
      </c>
      <c r="E74" s="1064">
        <f t="shared" ca="1" si="3"/>
        <v>0</v>
      </c>
      <c r="F74" s="549" t="str">
        <f t="shared" si="4"/>
        <v>Other Vehicle TypeDepreciation Cost / yr ($)</v>
      </c>
      <c r="G74" s="541"/>
      <c r="H74" s="919" t="str">
        <f ca="1">IF(G74&lt;&gt;"",G74,IFERROR(IF(G73&lt;&gt;"",H73/$H$11,IF(INDIRECT("'"&amp;$G$5&amp;"'!"&amp;ADDRESS(ROW(H74),COLUMN(H74)))="",IF(H73="","",H73/$H$11),INDIRECT("'"&amp;$G$5&amp;"'!"&amp;ADDRESS(ROW(H74),COLUMN(H74))))*$H$6),IF(INDIRECT("'"&amp;$G$5&amp;"'!"&amp;ADDRESS(ROW(H74),COLUMN(H74)))="","",IF($G$5&lt;&gt;"","Data Source Error",""))))</f>
        <v/>
      </c>
      <c r="J74" s="523"/>
      <c r="K74" s="545"/>
      <c r="L74" s="545"/>
      <c r="M74" s="546"/>
      <c r="Y74" s="2687"/>
      <c r="Z74" s="2687"/>
      <c r="AA74" s="2687"/>
      <c r="AB74" s="2687"/>
    </row>
    <row r="75" spans="1:28" hidden="1" outlineLevel="1">
      <c r="A75" s="10"/>
      <c r="B75" s="2558" t="s">
        <v>406</v>
      </c>
      <c r="C75" s="2559"/>
      <c r="D75" s="191" t="s">
        <v>2514</v>
      </c>
      <c r="E75" s="205">
        <f t="shared" ca="1" si="3"/>
        <v>0</v>
      </c>
      <c r="F75" s="549" t="str">
        <f t="shared" si="4"/>
        <v>Other Vehicle TypeInsurance cost /yr ($)</v>
      </c>
      <c r="G75" s="542"/>
      <c r="H75" s="919" t="str">
        <f ca="1">IF(G75&lt;&gt;"",G75,IFERROR(IF(INDIRECT("'"&amp;$G$5&amp;"'!"&amp;ADDRESS(ROW(H75),COLUMN(H75)))="","",INDIRECT("'"&amp;$G$5&amp;"'!"&amp;ADDRESS(ROW(H75),COLUMN(H75)))*$H$6),IF($G$5&lt;&gt;"","Data Source Error","")))</f>
        <v/>
      </c>
      <c r="J75" s="523"/>
      <c r="K75" s="545"/>
      <c r="L75" s="545"/>
      <c r="M75" s="546"/>
      <c r="Y75" s="2687"/>
      <c r="Z75" s="2687"/>
      <c r="AA75" s="2687"/>
      <c r="AB75" s="2687"/>
    </row>
    <row r="76" spans="1:28" hidden="1" outlineLevel="1">
      <c r="A76" s="10"/>
      <c r="B76" s="2558" t="s">
        <v>406</v>
      </c>
      <c r="C76" s="2559"/>
      <c r="D76" s="191" t="s">
        <v>2515</v>
      </c>
      <c r="E76" s="205">
        <f t="shared" ca="1" si="3"/>
        <v>0</v>
      </c>
      <c r="F76" s="549" t="str">
        <f t="shared" si="4"/>
        <v>Other Vehicle TypeMaintenance cost/km ($)</v>
      </c>
      <c r="G76" s="542"/>
      <c r="H76" s="919" t="str">
        <f ca="1">IF(G76&lt;&gt;"",G76,IFERROR(IF(INDIRECT("'"&amp;$G$5&amp;"'!"&amp;ADDRESS(ROW(H76),COLUMN(H76)))="","",INDIRECT("'"&amp;$G$5&amp;"'!"&amp;ADDRESS(ROW(H76),COLUMN(H76)))*$H$6),IF($G$5&lt;&gt;"","Data Source Error","")))</f>
        <v/>
      </c>
      <c r="J76" s="523"/>
      <c r="K76" s="545"/>
      <c r="L76" s="545"/>
      <c r="M76" s="546"/>
      <c r="Y76" s="2687"/>
      <c r="Z76" s="2687"/>
      <c r="AA76" s="2687"/>
      <c r="AB76" s="2687"/>
    </row>
    <row r="77" spans="1:28" hidden="1" outlineLevel="1">
      <c r="A77" s="10"/>
      <c r="B77" s="2558" t="s">
        <v>406</v>
      </c>
      <c r="C77" s="2559"/>
      <c r="D77" s="191" t="s">
        <v>41</v>
      </c>
      <c r="E77" s="205">
        <f t="shared" ca="1" si="3"/>
        <v>0</v>
      </c>
      <c r="F77" s="549" t="str">
        <f t="shared" si="4"/>
        <v>Other Vehicle TypeFuel Efficiency (km/liter)</v>
      </c>
      <c r="G77" s="543"/>
      <c r="H77" s="918" t="str">
        <f ca="1">IF(G77&lt;&gt;"",G77,IFERROR(IF(INDIRECT("'"&amp;$G$5&amp;"'!"&amp;ADDRESS(ROW(H77),COLUMN(H77)))="","",INDIRECT("'"&amp;$G$5&amp;"'!"&amp;ADDRESS(ROW(H77),COLUMN(H77)))),IF($G$5&lt;&gt;"","Data Source Error","")))</f>
        <v/>
      </c>
      <c r="J77" s="523"/>
      <c r="K77" s="545"/>
      <c r="L77" s="545"/>
      <c r="M77" s="546"/>
      <c r="Y77" s="2687"/>
      <c r="Z77" s="2687"/>
      <c r="AA77" s="2687"/>
      <c r="AB77" s="2687"/>
    </row>
    <row r="78" spans="1:28" hidden="1" outlineLevel="1">
      <c r="A78" s="10"/>
      <c r="B78" s="2585" t="s">
        <v>406</v>
      </c>
      <c r="C78" s="2586"/>
      <c r="D78" s="207" t="s">
        <v>43</v>
      </c>
      <c r="E78" s="205">
        <f t="shared" ca="1" si="3"/>
        <v>0</v>
      </c>
      <c r="F78" s="549" t="str">
        <f t="shared" si="4"/>
        <v>Other Vehicle TypeDelivery Capacity (m^3)</v>
      </c>
      <c r="G78" s="544"/>
      <c r="H78" s="920" t="str">
        <f ca="1">IF(G78&lt;&gt;"",G78,IFERROR(IF(INDIRECT("'"&amp;$G$5&amp;"'!"&amp;ADDRESS(ROW(H78),COLUMN(H78)))="","",INDIRECT("'"&amp;$G$5&amp;"'!"&amp;ADDRESS(ROW(H78),COLUMN(H78)))),IF($G$5&lt;&gt;"","Data Source Error","")))</f>
        <v/>
      </c>
      <c r="J78" s="2036"/>
      <c r="K78" s="2037"/>
      <c r="L78" s="2037"/>
      <c r="M78" s="2038"/>
      <c r="Y78" s="2687"/>
      <c r="Z78" s="2687"/>
      <c r="AA78" s="2687"/>
      <c r="AB78" s="2687"/>
    </row>
    <row r="79" spans="1:28">
      <c r="A79" s="212" t="s">
        <v>647</v>
      </c>
      <c r="C79" s="2032"/>
    </row>
    <row r="80" spans="1:28">
      <c r="A80" s="10"/>
      <c r="B80" s="2032"/>
      <c r="C80" s="2032"/>
      <c r="H80" s="34"/>
    </row>
    <row r="81" spans="1:30" ht="29.25" customHeight="1">
      <c r="A81" s="10"/>
      <c r="B81" s="2318" t="s">
        <v>607</v>
      </c>
      <c r="C81" s="2318"/>
      <c r="D81" s="2318"/>
      <c r="E81" s="496"/>
      <c r="G81" s="212" t="s">
        <v>674</v>
      </c>
      <c r="H81" s="34"/>
    </row>
    <row r="82" spans="1:30" ht="25.5" customHeight="1" collapsed="1">
      <c r="B82" s="2047" t="s">
        <v>613</v>
      </c>
      <c r="C82" s="592"/>
      <c r="D82" s="592"/>
      <c r="E82" s="592"/>
      <c r="F82" s="592"/>
      <c r="G82" s="593"/>
      <c r="H82" s="592"/>
      <c r="I82" s="592"/>
      <c r="J82" s="593"/>
      <c r="K82" s="592"/>
      <c r="L82" s="592"/>
      <c r="M82" s="593"/>
      <c r="N82" s="592"/>
      <c r="O82" s="592"/>
      <c r="P82" s="593"/>
      <c r="Q82" s="592"/>
      <c r="R82" s="594"/>
      <c r="S82" s="593"/>
      <c r="T82" s="592"/>
      <c r="U82" s="594"/>
      <c r="V82" s="593"/>
      <c r="W82" s="592"/>
    </row>
    <row r="83" spans="1:30" ht="35.25" hidden="1" customHeight="1" outlineLevel="1">
      <c r="A83" s="148"/>
      <c r="B83" s="109"/>
      <c r="C83" s="109"/>
      <c r="D83" s="109"/>
      <c r="E83" s="499"/>
      <c r="F83" s="21"/>
      <c r="G83" s="2634" t="s">
        <v>31</v>
      </c>
      <c r="H83" s="2635"/>
      <c r="I83" s="983"/>
      <c r="J83" s="2634" t="s">
        <v>6</v>
      </c>
      <c r="K83" s="2635"/>
      <c r="L83" s="983"/>
      <c r="M83" s="2634" t="s">
        <v>7</v>
      </c>
      <c r="N83" s="2635"/>
      <c r="O83" s="983"/>
      <c r="P83" s="2634" t="s">
        <v>8</v>
      </c>
      <c r="Q83" s="2635"/>
      <c r="R83" s="983"/>
      <c r="S83" s="2634" t="s">
        <v>411</v>
      </c>
      <c r="T83" s="2635"/>
      <c r="U83" s="983"/>
      <c r="V83" s="2634" t="s">
        <v>412</v>
      </c>
      <c r="W83" s="2636"/>
    </row>
    <row r="84" spans="1:30" ht="15" hidden="1" customHeight="1" outlineLevel="1">
      <c r="A84" s="148"/>
      <c r="B84" s="499"/>
      <c r="C84" s="499"/>
      <c r="D84" s="499"/>
      <c r="E84" s="499"/>
      <c r="F84" s="21"/>
      <c r="G84" s="2637" t="s">
        <v>17</v>
      </c>
      <c r="H84" s="2639" t="s">
        <v>10</v>
      </c>
      <c r="J84" s="2637" t="s">
        <v>17</v>
      </c>
      <c r="K84" s="2639" t="s">
        <v>10</v>
      </c>
      <c r="M84" s="2637" t="s">
        <v>17</v>
      </c>
      <c r="N84" s="2639" t="s">
        <v>10</v>
      </c>
      <c r="P84" s="2637" t="s">
        <v>17</v>
      </c>
      <c r="Q84" s="2639" t="s">
        <v>10</v>
      </c>
      <c r="S84" s="2637" t="s">
        <v>17</v>
      </c>
      <c r="T84" s="2639" t="s">
        <v>10</v>
      </c>
      <c r="V84" s="2637" t="s">
        <v>17</v>
      </c>
      <c r="W84" s="2641" t="s">
        <v>10</v>
      </c>
    </row>
    <row r="85" spans="1:30" ht="15" hidden="1" customHeight="1" outlineLevel="1">
      <c r="A85" s="148"/>
      <c r="B85" s="2651"/>
      <c r="C85" s="2651"/>
      <c r="D85" s="2651"/>
      <c r="E85" s="2040"/>
      <c r="F85" s="19"/>
      <c r="G85" s="2638"/>
      <c r="H85" s="2640"/>
      <c r="I85" s="236"/>
      <c r="J85" s="2638"/>
      <c r="K85" s="2640"/>
      <c r="L85" s="236"/>
      <c r="M85" s="2638"/>
      <c r="N85" s="2640"/>
      <c r="O85" s="236"/>
      <c r="P85" s="2638"/>
      <c r="Q85" s="2640"/>
      <c r="R85" s="236"/>
      <c r="S85" s="2638"/>
      <c r="T85" s="2640"/>
      <c r="U85" s="236"/>
      <c r="V85" s="2638"/>
      <c r="W85" s="2642"/>
      <c r="Y85" s="2619" t="s">
        <v>673</v>
      </c>
      <c r="Z85" s="2620"/>
      <c r="AA85" s="2620"/>
      <c r="AB85" s="2621"/>
    </row>
    <row r="86" spans="1:30" ht="36.75" hidden="1" customHeight="1" outlineLevel="1">
      <c r="B86" s="2650" t="s">
        <v>5472</v>
      </c>
      <c r="C86" s="2650"/>
      <c r="D86" s="2650"/>
      <c r="E86" s="182"/>
      <c r="F86" s="183"/>
      <c r="G86" s="561" t="s">
        <v>5547</v>
      </c>
      <c r="H86" s="914"/>
      <c r="I86" s="182"/>
      <c r="J86" s="628" t="s">
        <v>5547</v>
      </c>
      <c r="K86" s="914"/>
      <c r="L86" s="182"/>
      <c r="M86" s="628" t="s">
        <v>5547</v>
      </c>
      <c r="N86" s="914"/>
      <c r="O86" s="182"/>
      <c r="P86" s="552"/>
      <c r="Q86" s="891"/>
      <c r="R86" s="52"/>
      <c r="S86" s="810"/>
      <c r="T86" s="891"/>
      <c r="U86" s="52"/>
      <c r="V86" s="552"/>
      <c r="W86" s="894"/>
      <c r="Y86" s="2643"/>
      <c r="Z86" s="2644"/>
      <c r="AA86" s="2644"/>
      <c r="AB86" s="2645"/>
      <c r="AD86" s="52"/>
    </row>
    <row r="87" spans="1:30" ht="20.25" hidden="1" customHeight="1" outlineLevel="1">
      <c r="B87" s="2652" t="s">
        <v>5473</v>
      </c>
      <c r="C87" s="2652"/>
      <c r="D87" s="2652"/>
      <c r="E87" s="191"/>
      <c r="F87" s="187"/>
      <c r="G87" s="552" t="s">
        <v>31</v>
      </c>
      <c r="H87" s="915"/>
      <c r="I87" s="187"/>
      <c r="J87" s="551" t="s">
        <v>6</v>
      </c>
      <c r="K87" s="915"/>
      <c r="L87" s="187"/>
      <c r="M87" s="551" t="s">
        <v>7</v>
      </c>
      <c r="N87" s="915"/>
      <c r="O87" s="187"/>
      <c r="P87" s="552"/>
      <c r="Q87" s="892"/>
      <c r="R87" s="183"/>
      <c r="S87" s="552"/>
      <c r="T87" s="892"/>
      <c r="U87" s="183"/>
      <c r="V87" s="552"/>
      <c r="W87" s="895"/>
      <c r="Y87" s="2643"/>
      <c r="Z87" s="2644"/>
      <c r="AA87" s="2644"/>
      <c r="AB87" s="2645"/>
      <c r="AD87" s="52"/>
    </row>
    <row r="88" spans="1:30" s="52" customFormat="1" ht="17.899999999999999" hidden="1" customHeight="1" outlineLevel="1">
      <c r="B88" s="2646" t="s">
        <v>640</v>
      </c>
      <c r="C88" s="2646"/>
      <c r="D88" s="2646"/>
      <c r="E88" s="812"/>
      <c r="F88" s="207"/>
      <c r="G88" s="769"/>
      <c r="H88" s="893" t="str">
        <f ca="1">IF(G88&lt;&gt;"",G88,IFERROR(IF(INDIRECT("'"&amp;G$86&amp;"'!"&amp;VLOOKUP(G$87,'List Values'!$C$3:$D$6,2,FALSE)&amp;ROW(G88))="","",INDIRECT("'"&amp;G$86&amp;"'!"&amp;VLOOKUP(G$87,'List Values'!$C$3:$D$6,2,FALSE)&amp;ROW(G88))),IF($G$86&lt;&gt;"","Data Source Error","")))</f>
        <v>CMS</v>
      </c>
      <c r="I88" s="207"/>
      <c r="J88" s="769"/>
      <c r="K88" s="893" t="str">
        <f ca="1">IF($H$7&lt;2,"",IF(J88&lt;&gt;"",J88,IFERROR(IF(INDIRECT("'"&amp;J$86&amp;"'!"&amp;VLOOKUP(J$87,'List Values'!$C$3:$D$6,2,FALSE)&amp;ROW(J88))="","",INDIRECT("'"&amp;J$86&amp;"'!"&amp;VLOOKUP(J$87,'List Values'!$C$3:$D$6,2,FALSE)&amp;ROW(J88))),IF($J$86&lt;&gt;"","Data Source Error",""))))</f>
        <v>Regional WH</v>
      </c>
      <c r="L88" s="207"/>
      <c r="M88" s="769"/>
      <c r="N88" s="893" t="str">
        <f ca="1">IF($H$7&lt;3,"",IF(M88&lt;&gt;"",M88,IFERROR(IF(INDIRECT("'"&amp;M$86&amp;"'!"&amp;VLOOKUP(M$87,'List Values'!$C$3:$D$6,2,FALSE)&amp;ROW(M88))="","",INDIRECT("'"&amp;M$86&amp;"'!"&amp;VLOOKUP(M$87,'List Values'!$C$3:$D$6,2,FALSE)&amp;ROW(M88))),IF($M$86&lt;&gt;"","Data Source Error",""))))</f>
        <v>Health Facility</v>
      </c>
      <c r="O88" s="207"/>
      <c r="P88" s="813"/>
      <c r="Q88" s="893" t="str">
        <f ca="1">IF($H$7&lt;4,"",IF(P88&lt;&gt;"",P88,IFERROR(IF(INDIRECT("'"&amp;P$86&amp;"'!"&amp;VLOOKUP(P$87,'List Values'!$C$3:$D$6,2,FALSE)&amp;ROW(P88))="","",INDIRECT("'"&amp;P$86&amp;"'!"&amp;VLOOKUP(P$87,'List Values'!$C$3:$D$6,2,FALSE)&amp;ROW(P88))),IF($P$86&lt;&gt;"","Data Source Error",""))))</f>
        <v/>
      </c>
      <c r="R88" s="207"/>
      <c r="S88" s="813"/>
      <c r="T88" s="893" t="str">
        <f ca="1">IF($H$7&lt;5,"",IF(S88&lt;&gt;"",S88,IFERROR(IF(INDIRECT("'"&amp;S$86&amp;"'!"&amp;VLOOKUP(S$87,'List Values'!$C$3:$D$6,2,FALSE)&amp;ROW(S88))="","",INDIRECT("'"&amp;S$86&amp;"'!"&amp;VLOOKUP(S$87,'List Values'!$C$3:$D$6,2,FALSE)&amp;ROW(S88))),IF($S$86&lt;&gt;"","Data Source Error",""))))</f>
        <v/>
      </c>
      <c r="U88" s="207"/>
      <c r="V88" s="813"/>
      <c r="W88" s="896" t="str">
        <f ca="1">IF($H$7&lt;6,"",IF(V88&lt;&gt;"",V88,IFERROR(IF(INDIRECT("'"&amp;V$86&amp;"'!"&amp;VLOOKUP(V$87,'List Values'!$C$3:$D$6,2,FALSE)&amp;ROW(V88))="","",INDIRECT("'"&amp;V$86&amp;"'!"&amp;VLOOKUP(V$87,'List Values'!$C$3:$D$6,2,FALSE)&amp;ROW(V88))),IF($V$86&lt;&gt;"","Data Source Error",""))))</f>
        <v/>
      </c>
      <c r="Y88" s="2647"/>
      <c r="Z88" s="2648"/>
      <c r="AA88" s="2648"/>
      <c r="AB88" s="2649"/>
    </row>
    <row r="89" spans="1:30" ht="34.5" customHeight="1">
      <c r="A89" s="630" t="s">
        <v>652</v>
      </c>
      <c r="C89" s="52"/>
      <c r="D89" s="52"/>
      <c r="E89" s="52"/>
      <c r="G89" s="2046"/>
      <c r="H89" s="504"/>
      <c r="J89" s="2046"/>
      <c r="K89" s="504"/>
      <c r="M89" s="2046"/>
      <c r="N89" s="504"/>
      <c r="P89" s="2046"/>
      <c r="Q89" s="504"/>
      <c r="S89" s="2046"/>
      <c r="T89" s="504"/>
      <c r="V89" s="2046"/>
      <c r="W89" s="504"/>
    </row>
    <row r="90" spans="1:30" ht="27.75" customHeight="1" collapsed="1">
      <c r="B90" s="2047" t="s">
        <v>608</v>
      </c>
      <c r="C90" s="595"/>
      <c r="D90" s="595"/>
      <c r="E90" s="595"/>
      <c r="F90" s="596"/>
      <c r="G90" s="597"/>
      <c r="H90" s="594"/>
      <c r="I90" s="598"/>
      <c r="J90" s="597"/>
      <c r="K90" s="594"/>
      <c r="L90" s="598"/>
      <c r="M90" s="597"/>
      <c r="N90" s="594"/>
      <c r="O90" s="598"/>
      <c r="P90" s="597"/>
      <c r="Q90" s="594"/>
      <c r="R90" s="599"/>
      <c r="S90" s="594"/>
      <c r="T90" s="594"/>
      <c r="U90" s="599"/>
      <c r="V90" s="594"/>
      <c r="W90" s="594"/>
    </row>
    <row r="91" spans="1:30" ht="19.5" hidden="1" customHeight="1" outlineLevel="1">
      <c r="B91" s="505"/>
      <c r="C91" s="50"/>
      <c r="D91" s="50"/>
      <c r="E91" s="50"/>
      <c r="F91" s="36"/>
      <c r="G91" s="2654" t="str">
        <f ca="1">IF(H88="",G83,H88)&amp;" Tier"</f>
        <v>CMS Tier</v>
      </c>
      <c r="H91" s="2655"/>
      <c r="I91" s="508"/>
      <c r="J91" s="2654" t="str">
        <f ca="1">IF(K88="",J83,K88)&amp;" Tier"</f>
        <v>Regional WH Tier</v>
      </c>
      <c r="K91" s="2655"/>
      <c r="L91" s="508"/>
      <c r="M91" s="2654" t="str">
        <f ca="1">IF(N88="",M83,N88)&amp;" Tier"</f>
        <v>Health Facility Tier</v>
      </c>
      <c r="N91" s="2655"/>
      <c r="O91" s="507"/>
      <c r="P91" s="2654" t="str">
        <f ca="1">IF(Q88="",P83,Q88)&amp;" Tier"</f>
        <v>Tier 4 Tier</v>
      </c>
      <c r="Q91" s="2655"/>
      <c r="R91" s="507"/>
      <c r="S91" s="2654" t="str">
        <f ca="1">IF(T88="",S83,T88)&amp;" Tier"</f>
        <v>Tier 5 Tier</v>
      </c>
      <c r="T91" s="2655"/>
      <c r="U91" s="507"/>
      <c r="V91" s="2654" t="str">
        <f ca="1">IF(W88="",V83,W88)&amp;" Tier"</f>
        <v>Tier 6 Tier</v>
      </c>
      <c r="W91" s="2655"/>
      <c r="Y91" s="2619" t="s">
        <v>673</v>
      </c>
      <c r="Z91" s="2620"/>
      <c r="AA91" s="2620"/>
      <c r="AB91" s="2621"/>
    </row>
    <row r="92" spans="1:30" ht="14.25" hidden="1" customHeight="1" outlineLevel="1">
      <c r="B92" s="2653" t="s">
        <v>2371</v>
      </c>
      <c r="C92" s="2653"/>
      <c r="D92" s="2653"/>
      <c r="E92" s="186"/>
      <c r="F92" s="187"/>
      <c r="G92" s="553"/>
      <c r="H92" s="897">
        <f ca="1">IF(G92&lt;&gt;"",G92,IFERROR(IF(INDIRECT("'"&amp;G$86&amp;"'!"&amp;VLOOKUP(G$87,'List Values'!$C$3:$D$6,2,FALSE)&amp;ROW(G92))="","",INDIRECT("'"&amp;G$86&amp;"'!"&amp;VLOOKUP(G$87,'List Values'!$C$3:$D$6,2,FALSE)&amp;ROW(G92))),IF($G$86&lt;&gt;"","Data Source Error","")))</f>
        <v>390757</v>
      </c>
      <c r="I92" s="183"/>
      <c r="J92" s="553"/>
      <c r="K92" s="897">
        <f ca="1">IF($H$7&lt;2,"",IF(J92&lt;&gt;"",J92,IFERROR(IF(INDIRECT("'"&amp;J$86&amp;"'!"&amp;VLOOKUP(J$87,'List Values'!$C$3:$D$6,2,FALSE)&amp;ROW(J92))="","",INDIRECT("'"&amp;J$86&amp;"'!"&amp;VLOOKUP(J$87,'List Values'!$C$3:$D$6,2,FALSE)&amp;ROW(J92))),IF($J$86&lt;&gt;"","Data Source Error",""))))</f>
        <v>36459</v>
      </c>
      <c r="L92" s="183"/>
      <c r="M92" s="553"/>
      <c r="N92" s="897">
        <f ca="1">IF($H$7&lt;3,"",IF(M92&lt;&gt;"",M92,IFERROR(IF(INDIRECT("'"&amp;M$86&amp;"'!"&amp;VLOOKUP(M$87,'List Values'!$C$3:$D$6,2,FALSE)&amp;ROW(M92))="","",INDIRECT("'"&amp;M$86&amp;"'!"&amp;VLOOKUP(M$87,'List Values'!$C$3:$D$6,2,FALSE)&amp;ROW(M92))),IF($M$86&lt;&gt;"","Data Source Error",""))))</f>
        <v>36459</v>
      </c>
      <c r="O92" s="183"/>
      <c r="P92" s="587"/>
      <c r="Q92" s="907" t="str">
        <f ca="1">IF($H$7&lt;4,"",IF(P92&lt;&gt;"",P92,IFERROR(IF(INDIRECT("'"&amp;P$86&amp;"'!"&amp;VLOOKUP(P$87,'List Values'!$C$3:$D$6,2,FALSE)&amp;ROW(P92))="","",INDIRECT("'"&amp;P$86&amp;"'!"&amp;VLOOKUP(P$87,'List Values'!$C$3:$D$6,2,FALSE)&amp;ROW(P92))),IF($P$86&lt;&gt;"","Data Source Error",""))))</f>
        <v/>
      </c>
      <c r="R92" s="509"/>
      <c r="S92" s="558"/>
      <c r="T92" s="897" t="str">
        <f ca="1">IF($H$7&lt;5,"",IF(S92&lt;&gt;"",S92,IFERROR(IF(INDIRECT("'"&amp;S$86&amp;"'!"&amp;VLOOKUP(S$87,'List Values'!$C$3:$D$6,2,FALSE)&amp;ROW(S92))="","",INDIRECT("'"&amp;S$86&amp;"'!"&amp;VLOOKUP(S$87,'List Values'!$C$3:$D$6,2,FALSE)&amp;ROW(S92))),IF($S$86&lt;&gt;"","Data Source Error",""))))</f>
        <v/>
      </c>
      <c r="V92" s="558"/>
      <c r="W92" s="908" t="str">
        <f ca="1">IF($H$7&lt;6,"",IF(V92&lt;&gt;"",V92,IFERROR(IF(INDIRECT("'"&amp;V$86&amp;"'!"&amp;VLOOKUP(V$87,'List Values'!$C$3:$D$6,2,FALSE)&amp;ROW(V92))="","",INDIRECT("'"&amp;V$86&amp;"'!"&amp;VLOOKUP(V$87,'List Values'!$C$3:$D$6,2,FALSE)&amp;ROW(V92))),IF($V$86&lt;&gt;"","Data Source Error",""))))</f>
        <v/>
      </c>
      <c r="Y92" s="2643"/>
      <c r="Z92" s="2644"/>
      <c r="AA92" s="2644"/>
      <c r="AB92" s="2645"/>
      <c r="AD92" s="52"/>
    </row>
    <row r="93" spans="1:30" s="6" customFormat="1" ht="14.25" hidden="1" customHeight="1" outlineLevel="1">
      <c r="B93" s="2653" t="s">
        <v>5446</v>
      </c>
      <c r="C93" s="2653"/>
      <c r="D93" s="2653"/>
      <c r="E93" s="188"/>
      <c r="F93" s="189"/>
      <c r="G93" s="554"/>
      <c r="H93" s="898">
        <f ca="1">IF(G93&lt;&gt;"",G93,IFERROR(IF(INDIRECT("'"&amp;G$86&amp;"'!"&amp;VLOOKUP(G$87,'List Values'!$C$3:$D$6,2,FALSE)&amp;ROW(G93))="","",INDIRECT("'"&amp;G$86&amp;"'!"&amp;VLOOKUP(G$87,'List Values'!$C$3:$D$6,2,FALSE)&amp;ROW(G93))),IF($G$86&lt;&gt;"","Data Source Error","")))</f>
        <v>1</v>
      </c>
      <c r="I93" s="189"/>
      <c r="J93" s="554"/>
      <c r="K93" s="898">
        <f ca="1">IF($H$7&lt;2,"",IF(J93&lt;&gt;"",J93,IFERROR(IF(INDIRECT("'"&amp;J$86&amp;"'!"&amp;VLOOKUP(J$87,'List Values'!$C$3:$D$6,2,FALSE)&amp;ROW(J93))="","",INDIRECT("'"&amp;J$86&amp;"'!"&amp;VLOOKUP(J$87,'List Values'!$C$3:$D$6,2,FALSE)&amp;ROW(J93))),IF($J$86&lt;&gt;"","Data Source Error",""))))</f>
        <v>1</v>
      </c>
      <c r="L93" s="189"/>
      <c r="M93" s="554"/>
      <c r="N93" s="898">
        <f ca="1">IF($H$7&lt;3,"",IF(M93&lt;&gt;"",M93,IFERROR(IF(INDIRECT("'"&amp;M$86&amp;"'!"&amp;VLOOKUP(M$87,'List Values'!$C$3:$D$6,2,FALSE)&amp;ROW(M93))="","",INDIRECT("'"&amp;M$86&amp;"'!"&amp;VLOOKUP(M$87,'List Values'!$C$3:$D$6,2,FALSE)&amp;ROW(M93))),IF($M$86&lt;&gt;"","Data Source Error",""))))</f>
        <v>1</v>
      </c>
      <c r="O93" s="189"/>
      <c r="P93" s="559"/>
      <c r="Q93" s="898" t="str">
        <f ca="1">IF($H$7&lt;4,"",IF(P93&lt;&gt;"",P93,IFERROR(IF(INDIRECT("'"&amp;P$86&amp;"'!"&amp;VLOOKUP(P$87,'List Values'!$C$3:$D$6,2,FALSE)&amp;ROW(P93))="","",INDIRECT("'"&amp;P$86&amp;"'!"&amp;VLOOKUP(P$87,'List Values'!$C$3:$D$6,2,FALSE)&amp;ROW(P93))),IF($P$86&lt;&gt;"","Data Source Error",""))))</f>
        <v/>
      </c>
      <c r="S93" s="559"/>
      <c r="T93" s="898" t="str">
        <f ca="1">IF($H$7&lt;5,"",IF(S93&lt;&gt;"",S93,IFERROR(IF(INDIRECT("'"&amp;S$86&amp;"'!"&amp;VLOOKUP(S$87,'List Values'!$C$3:$D$6,2,FALSE)&amp;ROW(S93))="","",INDIRECT("'"&amp;S$86&amp;"'!"&amp;VLOOKUP(S$87,'List Values'!$C$3:$D$6,2,FALSE)&amp;ROW(S93))),IF($S$86&lt;&gt;"","Data Source Error",""))))</f>
        <v/>
      </c>
      <c r="V93" s="559"/>
      <c r="W93" s="909" t="str">
        <f ca="1">IF($H$7&lt;6,"",IF(V93&lt;&gt;"",V93,IFERROR(IF(INDIRECT("'"&amp;V$86&amp;"'!"&amp;VLOOKUP(V$87,'List Values'!$C$3:$D$6,2,FALSE)&amp;ROW(V93))="","",INDIRECT("'"&amp;V$86&amp;"'!"&amp;VLOOKUP(V$87,'List Values'!$C$3:$D$6,2,FALSE)&amp;ROW(V93))),IF($V$86&lt;&gt;"","Data Source Error",""))))</f>
        <v/>
      </c>
      <c r="Y93" s="2643"/>
      <c r="Z93" s="2644"/>
      <c r="AA93" s="2644"/>
      <c r="AB93" s="2645"/>
      <c r="AD93" s="52"/>
    </row>
    <row r="94" spans="1:30" s="6" customFormat="1" ht="14.25" hidden="1" customHeight="1" outlineLevel="1">
      <c r="B94" s="2653" t="s">
        <v>5447</v>
      </c>
      <c r="C94" s="2653"/>
      <c r="D94" s="2653"/>
      <c r="E94" s="188"/>
      <c r="F94" s="189"/>
      <c r="G94" s="493"/>
      <c r="H94" s="899"/>
      <c r="I94" s="190"/>
      <c r="J94" s="551"/>
      <c r="K94" s="903">
        <f ca="1">IF($H$7&lt;2,"",IF(J94&lt;&gt;"",J94,IFERROR(IF(INDIRECT("'"&amp;J$86&amp;"'!"&amp;VLOOKUP(J$87,'List Values'!$C$3:$D$6,2,FALSE)&amp;ROW(J94))="","",INDIRECT("'"&amp;J$86&amp;"'!"&amp;VLOOKUP(J$87,'List Values'!$C$3:$D$6,2,FALSE)&amp;ROW(J94))),IF($J$86&lt;&gt;"","Data Source Error",""))))</f>
        <v>0.05</v>
      </c>
      <c r="L94" s="190"/>
      <c r="M94" s="551"/>
      <c r="N94" s="905">
        <f ca="1">IF($H$7&lt;3,"",IF(M94&lt;&gt;"",M94,IFERROR(IF(INDIRECT("'"&amp;M$86&amp;"'!"&amp;VLOOKUP(M$87,'List Values'!$C$3:$D$6,2,FALSE)&amp;ROW(M94))="","",INDIRECT("'"&amp;M$86&amp;"'!"&amp;VLOOKUP(M$87,'List Values'!$C$3:$D$6,2,FALSE)&amp;ROW(M94))),IF($M$86&lt;&gt;"","Data Source Error",""))))</f>
        <v>0.05</v>
      </c>
      <c r="O94" s="189"/>
      <c r="P94" s="559"/>
      <c r="Q94" s="903" t="str">
        <f ca="1">IF($H$7&lt;4,"",IF(P94&lt;&gt;"",P94,IFERROR(IF(INDIRECT("'"&amp;P$86&amp;"'!"&amp;VLOOKUP(P$87,'List Values'!$C$3:$D$6,2,FALSE)&amp;ROW(P94))="","",INDIRECT("'"&amp;P$86&amp;"'!"&amp;VLOOKUP(P$87,'List Values'!$C$3:$D$6,2,FALSE)&amp;ROW(P94))),IF($P$86&lt;&gt;"","Data Source Error",""))))</f>
        <v/>
      </c>
      <c r="S94" s="559"/>
      <c r="T94" s="903" t="str">
        <f ca="1">IF($H$7&lt;5,"",IF(S94&lt;&gt;"",S94,IFERROR(IF(INDIRECT("'"&amp;S$86&amp;"'!"&amp;VLOOKUP(S$87,'List Values'!$C$3:$D$6,2,FALSE)&amp;ROW(S94))="","",INDIRECT("'"&amp;S$86&amp;"'!"&amp;VLOOKUP(S$87,'List Values'!$C$3:$D$6,2,FALSE)&amp;ROW(S94))),IF($S$86&lt;&gt;"","Data Source Error",""))))</f>
        <v/>
      </c>
      <c r="V94" s="559"/>
      <c r="W94" s="910" t="str">
        <f ca="1">IF($H$7&lt;6,"",IF(V94&lt;&gt;"",V94,IFERROR(IF(INDIRECT("'"&amp;V$86&amp;"'!"&amp;VLOOKUP(V$87,'List Values'!$C$3:$D$6,2,FALSE)&amp;ROW(V94))="","",INDIRECT("'"&amp;V$86&amp;"'!"&amp;VLOOKUP(V$87,'List Values'!$C$3:$D$6,2,FALSE)&amp;ROW(V94))),IF($V$86&lt;&gt;"","Data Source Error",""))))</f>
        <v/>
      </c>
      <c r="Y94" s="2643"/>
      <c r="Z94" s="2644"/>
      <c r="AA94" s="2644"/>
      <c r="AB94" s="2645"/>
      <c r="AD94" s="52"/>
    </row>
    <row r="95" spans="1:30" ht="15" hidden="1" customHeight="1" outlineLevel="1">
      <c r="B95" s="2653" t="s">
        <v>642</v>
      </c>
      <c r="C95" s="2653"/>
      <c r="D95" s="2653"/>
      <c r="E95" s="186"/>
      <c r="F95" s="187"/>
      <c r="G95" s="523"/>
      <c r="H95" s="900">
        <f ca="1">IF(G95&lt;&gt;"",G95,IFERROR(IF(INDIRECT("'"&amp;G$86&amp;"'!"&amp;VLOOKUP(G$87,'List Values'!$C$3:$D$6,2,FALSE)&amp;ROW(G95))="","",INDIRECT("'"&amp;G$86&amp;"'!"&amp;VLOOKUP(G$87,'List Values'!$C$3:$D$6,2,FALSE)&amp;ROW(G95))),IF($G$86&lt;&gt;"","Data Source Error","")))</f>
        <v>1</v>
      </c>
      <c r="I95" s="187"/>
      <c r="J95" s="523"/>
      <c r="K95" s="900">
        <f ca="1">IF($H$7&lt;2,"",IF(J95&lt;&gt;"",J95,IFERROR(IF(INDIRECT("'"&amp;J$86&amp;"'!"&amp;VLOOKUP(J$87,'List Values'!$C$3:$D$6,2,FALSE)&amp;ROW(J95))="","",INDIRECT("'"&amp;J$86&amp;"'!"&amp;VLOOKUP(J$87,'List Values'!$C$3:$D$6,2,FALSE)&amp;ROW(J95))),IF($J$86&lt;&gt;"","Data Source Error",""))))</f>
        <v>1</v>
      </c>
      <c r="L95" s="187"/>
      <c r="M95" s="523"/>
      <c r="N95" s="900">
        <f ca="1">IF($H$7&lt;3,"",IF(M95&lt;&gt;"",M95,IFERROR(IF(INDIRECT("'"&amp;M$86&amp;"'!"&amp;VLOOKUP(M$87,'List Values'!$C$3:$D$6,2,FALSE)&amp;ROW(M95))="","",INDIRECT("'"&amp;M$86&amp;"'!"&amp;VLOOKUP(M$87,'List Values'!$C$3:$D$6,2,FALSE)&amp;ROW(M95))),IF($M$86&lt;&gt;"","Data Source Error",""))))</f>
        <v>345</v>
      </c>
      <c r="O95" s="187"/>
      <c r="P95" s="560"/>
      <c r="Q95" s="900" t="str">
        <f ca="1">IF($H$7&lt;4,"",IF(P95&lt;&gt;"",P95,IFERROR(IF(INDIRECT("'"&amp;P$86&amp;"'!"&amp;VLOOKUP(P$87,'List Values'!$C$3:$D$6,2,FALSE)&amp;ROW(P95))="","",INDIRECT("'"&amp;P$86&amp;"'!"&amp;VLOOKUP(P$87,'List Values'!$C$3:$D$6,2,FALSE)&amp;ROW(P95))),IF($P$86&lt;&gt;"","Data Source Error",""))))</f>
        <v/>
      </c>
      <c r="R95" s="509" t="str">
        <f>IF(OR(G92&gt;0, J92&gt;0,M92&gt;0),"&lt;-- Land Area Changed - Check # of facilities","")</f>
        <v/>
      </c>
      <c r="S95" s="560"/>
      <c r="T95" s="900" t="str">
        <f ca="1">IF($H$7&lt;5,"",IF(S95&lt;&gt;"",S95,IFERROR(IF(INDIRECT("'"&amp;S$86&amp;"'!"&amp;VLOOKUP(S$87,'List Values'!$C$3:$D$6,2,FALSE)&amp;ROW(S95))="","",INDIRECT("'"&amp;S$86&amp;"'!"&amp;VLOOKUP(S$87,'List Values'!$C$3:$D$6,2,FALSE)&amp;ROW(S95))),IF($S$86&lt;&gt;"","Data Source Error",""))))</f>
        <v/>
      </c>
      <c r="V95" s="560"/>
      <c r="W95" s="911" t="str">
        <f ca="1">IF($H$7&lt;6,"",IF(V95&lt;&gt;"",V95,IFERROR(IF(INDIRECT("'"&amp;V$86&amp;"'!"&amp;VLOOKUP(V$87,'List Values'!$C$3:$D$6,2,FALSE)&amp;ROW(V95))="","",INDIRECT("'"&amp;V$86&amp;"'!"&amp;VLOOKUP(V$87,'List Values'!$C$3:$D$6,2,FALSE)&amp;ROW(V95))),IF($V$86&lt;&gt;"","Data Source Error",""))))</f>
        <v/>
      </c>
      <c r="Y95" s="2643"/>
      <c r="Z95" s="2644"/>
      <c r="AA95" s="2644"/>
      <c r="AB95" s="2645"/>
      <c r="AD95" s="52"/>
    </row>
    <row r="96" spans="1:30" ht="15" hidden="1" customHeight="1" outlineLevel="1">
      <c r="B96" s="2653" t="s">
        <v>5448</v>
      </c>
      <c r="C96" s="2653"/>
      <c r="D96" s="2653"/>
      <c r="E96" s="186"/>
      <c r="F96" s="187"/>
      <c r="G96" s="523"/>
      <c r="H96" s="900">
        <f ca="1">IF(G96&lt;&gt;"",G96,IFERROR(IF(INDIRECT("'"&amp;G$86&amp;"'!"&amp;VLOOKUP(G$87,'List Values'!$C$3:$D$6,2,FALSE)&amp;ROW(G96))="","",INDIRECT("'"&amp;G$86&amp;"'!"&amp;VLOOKUP(G$87,'List Values'!$C$3:$D$6,2,FALSE)&amp;ROW(G96))),IF($G$86&lt;&gt;"","Data Source Error","")))</f>
        <v>4</v>
      </c>
      <c r="I96" s="187"/>
      <c r="J96" s="523"/>
      <c r="K96" s="900">
        <f ca="1">IF($H$7&lt;2,"",IF(J96&lt;&gt;"",J96,IFERROR(IF(INDIRECT("'"&amp;J$86&amp;"'!"&amp;VLOOKUP(J$87,'List Values'!$C$3:$D$6,2,FALSE)&amp;ROW(J96))="","",INDIRECT("'"&amp;J$86&amp;"'!"&amp;VLOOKUP(J$87,'List Values'!$C$3:$D$6,2,FALSE)&amp;ROW(J96))),IF($J$86&lt;&gt;"","Data Source Error",""))))</f>
        <v>4</v>
      </c>
      <c r="L96" s="187"/>
      <c r="M96" s="523"/>
      <c r="N96" s="900">
        <f ca="1">IF($H$7&lt;3,"",IF(M96&lt;&gt;"",M96,IFERROR(IF(INDIRECT("'"&amp;M$86&amp;"'!"&amp;VLOOKUP(M$87,'List Values'!$C$3:$D$6,2,FALSE)&amp;ROW(M96))="","",INDIRECT("'"&amp;M$86&amp;"'!"&amp;VLOOKUP(M$87,'List Values'!$C$3:$D$6,2,FALSE)&amp;ROW(M96))),IF($M$86&lt;&gt;"","Data Source Error",""))))</f>
        <v>4</v>
      </c>
      <c r="O96" s="187"/>
      <c r="P96" s="560"/>
      <c r="Q96" s="900" t="str">
        <f ca="1">IF($H$7&lt;4,"",IF(P96&lt;&gt;"",P96,IFERROR(IF(INDIRECT("'"&amp;P$86&amp;"'!"&amp;VLOOKUP(P$87,'List Values'!$C$3:$D$6,2,FALSE)&amp;ROW(P96))="","",INDIRECT("'"&amp;P$86&amp;"'!"&amp;VLOOKUP(P$87,'List Values'!$C$3:$D$6,2,FALSE)&amp;ROW(P96))),IF($P$86&lt;&gt;"","Data Source Error",""))))</f>
        <v/>
      </c>
      <c r="S96" s="560"/>
      <c r="T96" s="900" t="str">
        <f ca="1">IF($H$7&lt;5,"",IF(S96&lt;&gt;"",S96,IFERROR(IF(INDIRECT("'"&amp;S$86&amp;"'!"&amp;VLOOKUP(S$87,'List Values'!$C$3:$D$6,2,FALSE)&amp;ROW(S96))="","",INDIRECT("'"&amp;S$86&amp;"'!"&amp;VLOOKUP(S$87,'List Values'!$C$3:$D$6,2,FALSE)&amp;ROW(S96))),IF($S$86&lt;&gt;"","Data Source Error",""))))</f>
        <v/>
      </c>
      <c r="V96" s="560"/>
      <c r="W96" s="911" t="str">
        <f ca="1">IF($H$7&lt;6,"",IF(V96&lt;&gt;"",V96,IFERROR(IF(INDIRECT("'"&amp;V$86&amp;"'!"&amp;VLOOKUP(V$87,'List Values'!$C$3:$D$6,2,FALSE)&amp;ROW(V96))="","",INDIRECT("'"&amp;V$86&amp;"'!"&amp;VLOOKUP(V$87,'List Values'!$C$3:$D$6,2,FALSE)&amp;ROW(V96))),IF($V$86&lt;&gt;"","Data Source Error",""))))</f>
        <v/>
      </c>
      <c r="Y96" s="2643"/>
      <c r="Z96" s="2644"/>
      <c r="AA96" s="2644"/>
      <c r="AB96" s="2645"/>
      <c r="AD96" s="52"/>
    </row>
    <row r="97" spans="1:30" ht="15" hidden="1" customHeight="1" outlineLevel="1">
      <c r="B97" s="2653" t="s">
        <v>602</v>
      </c>
      <c r="C97" s="2653"/>
      <c r="D97" s="2653"/>
      <c r="E97" s="186"/>
      <c r="F97" s="187"/>
      <c r="G97" s="523"/>
      <c r="H97" s="900">
        <f ca="1">IF(G97&lt;&gt;"",G97,IFERROR(IF(INDIRECT("'"&amp;G$86&amp;"'!"&amp;VLOOKUP(G$87,'List Values'!$C$3:$D$6,2,FALSE)&amp;ROW(G97))="","",INDIRECT("'"&amp;G$86&amp;"'!"&amp;VLOOKUP(G$87,'List Values'!$C$3:$D$6,2,FALSE)&amp;ROW(G97))),IF($G$86&lt;&gt;"","Data Source Error","")))</f>
        <v>1.3</v>
      </c>
      <c r="I97" s="187"/>
      <c r="J97" s="523"/>
      <c r="K97" s="900">
        <f ca="1">IF($H$7&lt;2,"",IF(J97&lt;&gt;"",J97,IFERROR(IF(INDIRECT("'"&amp;J$86&amp;"'!"&amp;VLOOKUP(J$87,'List Values'!$C$3:$D$6,2,FALSE)&amp;ROW(J97))="","",INDIRECT("'"&amp;J$86&amp;"'!"&amp;VLOOKUP(J$87,'List Values'!$C$3:$D$6,2,FALSE)&amp;ROW(J97))),IF($J$86&lt;&gt;"","Data Source Error",""))))</f>
        <v>1.5</v>
      </c>
      <c r="L97" s="187"/>
      <c r="M97" s="523"/>
      <c r="N97" s="900">
        <f ca="1">IF($H$7&lt;3,"",IF(M97&lt;&gt;"",M97,IFERROR(IF(INDIRECT("'"&amp;M$86&amp;"'!"&amp;VLOOKUP(M$87,'List Values'!$C$3:$D$6,2,FALSE)&amp;ROW(M97))="","",INDIRECT("'"&amp;M$86&amp;"'!"&amp;VLOOKUP(M$87,'List Values'!$C$3:$D$6,2,FALSE)&amp;ROW(M97))),IF($M$86&lt;&gt;"","Data Source Error",""))))</f>
        <v>1.7</v>
      </c>
      <c r="O97" s="187"/>
      <c r="P97" s="560"/>
      <c r="Q97" s="900" t="str">
        <f ca="1">IF($H$7&lt;4,"",IF(P97&lt;&gt;"",P97,IFERROR(IF(INDIRECT("'"&amp;P$86&amp;"'!"&amp;VLOOKUP(P$87,'List Values'!$C$3:$D$6,2,FALSE)&amp;ROW(P97))="","",INDIRECT("'"&amp;P$86&amp;"'!"&amp;VLOOKUP(P$87,'List Values'!$C$3:$D$6,2,FALSE)&amp;ROW(P97))),IF($P$86&lt;&gt;"","Data Source Error",""))))</f>
        <v/>
      </c>
      <c r="S97" s="560"/>
      <c r="T97" s="900" t="str">
        <f ca="1">IF($H$7&lt;5,"",IF(S97&lt;&gt;"",S97,IFERROR(IF(INDIRECT("'"&amp;S$86&amp;"'!"&amp;VLOOKUP(S$87,'List Values'!$C$3:$D$6,2,FALSE)&amp;ROW(S97))="","",INDIRECT("'"&amp;S$86&amp;"'!"&amp;VLOOKUP(S$87,'List Values'!$C$3:$D$6,2,FALSE)&amp;ROW(S97))),IF($S$86&lt;&gt;"","Data Source Error",""))))</f>
        <v/>
      </c>
      <c r="V97" s="560"/>
      <c r="W97" s="911" t="str">
        <f ca="1">IF($H$7&lt;6,"",IF(V97&lt;&gt;"",V97,IFERROR(IF(INDIRECT("'"&amp;V$86&amp;"'!"&amp;VLOOKUP(V$87,'List Values'!$C$3:$D$6,2,FALSE)&amp;ROW(V97))="","",INDIRECT("'"&amp;V$86&amp;"'!"&amp;VLOOKUP(V$87,'List Values'!$C$3:$D$6,2,FALSE)&amp;ROW(V97))),IF($V$86&lt;&gt;"","Data Source Error",""))))</f>
        <v/>
      </c>
      <c r="Y97" s="2643"/>
      <c r="Z97" s="2644"/>
      <c r="AA97" s="2644"/>
      <c r="AB97" s="2645"/>
      <c r="AD97" s="52"/>
    </row>
    <row r="98" spans="1:30" ht="15" hidden="1" customHeight="1" outlineLevel="1">
      <c r="B98" s="2653" t="s">
        <v>644</v>
      </c>
      <c r="C98" s="2653"/>
      <c r="D98" s="2653"/>
      <c r="E98" s="2041"/>
      <c r="F98" s="187"/>
      <c r="G98" s="482"/>
      <c r="H98" s="901"/>
      <c r="I98" s="187"/>
      <c r="J98" s="523"/>
      <c r="K98" s="904">
        <f ca="1">IF($H$7&lt;2,"",IF(J$98&lt;&gt;"",J$98,
IF(AND(J$97="",J$95="",J$92=""),IFERROR(IF(INDIRECT("'"&amp;J$86&amp;"'!"&amp;VLOOKUP(J$87,'List Values'!$C$3:$D$6,2,FALSE)&amp;ROW(J98))="",K$97*(SQRT(H$92/H$95)/6)*(SQRT(2)+LN(1+SQRT(2))),INDIRECT("'"&amp;J$86&amp;"'!"&amp;VLOOKUP(J$87,'List Values'!$C$3:$D$6,2,FALSE)&amp;ROW(J98))),IF($J$86&lt;&gt;"","Data Source Error","")),
K$97*(SQRT(H$92/H$95)/6)*(SQRT(2)+LN(1+SQRT(2))))))</f>
        <v>289</v>
      </c>
      <c r="L98" s="193"/>
      <c r="M98" s="555"/>
      <c r="N98" s="904">
        <f ca="1">IF($H$7&lt;3,"",IF(M$98&lt;&gt;"",M$98,
IF(AND(M$97="",M$95="",M$92=""),IFERROR(IF(INDIRECT("'"&amp;M$86&amp;"'!"&amp;VLOOKUP(M$87,'List Values'!$C$3:$D$6,2,FALSE)&amp;ROW(M98))="",N$97*(SQRT(K$92/K$95)/6)*(SQRT(2)+LN(1+SQRT(2))),INDIRECT("'"&amp;M$86&amp;"'!"&amp;VLOOKUP(M$87,'List Values'!$C$3:$D$6,2,FALSE)&amp;ROW(M98))),IF($M$86&lt;&gt;"","Data Source Error","")),
N$97*(SQRT(K$92/K$95)/6)*(SQRT(2)+LN(1+SQRT(2))))))</f>
        <v>124.19206038512104</v>
      </c>
      <c r="O98" s="187"/>
      <c r="P98" s="523"/>
      <c r="Q98" s="1177" t="str">
        <f ca="1">IF($H$7&lt;4,"",IF(P$98&lt;&gt;"",P$98,
IF(AND(P$97="",P$95="",P$92=""),IFERROR(IF(INDIRECT("'"&amp;P$86&amp;"'!"&amp;VLOOKUP(P$87,'List Values'!$C$3:$D$6,2,FALSE)&amp;ROW(P98))="",Q$97*(SQRT(N$92/N$95)/6)*(SQRT(2)+LN(1+SQRT(2))),INDIRECT("'"&amp;P$86&amp;"'!"&amp;VLOOKUP(P$87,'List Values'!$C$3:$D$6,2,FALSE)&amp;ROW(P98))),IF($P$86&lt;&gt;"","Data Source Error","")),
Q$97*(SQRT(N$92/N$95)/6)*(SQRT(2)+LN(1+SQRT(2))))))</f>
        <v/>
      </c>
      <c r="S98" s="523"/>
      <c r="T98" s="904" t="str">
        <f ca="1">IF($H$7&lt;5,"",IF(S$98&lt;&gt;"",S$98,
IF(AND(S$97="",S$95="",S$92=""),IFERROR(IF(INDIRECT("'"&amp;S$86&amp;"'!"&amp;VLOOKUP(S$87,'List Values'!$C$3:$D$6,2,FALSE)&amp;ROW(S98))="",T$97*(SQRT(Q$92/Q$95)/6)*(SQRT(2)+LN(1+SQRT(2))),INDIRECT("'"&amp;S$86&amp;"'!"&amp;VLOOKUP(S$87,'List Values'!$C$3:$D$6,2,FALSE)&amp;ROW(S98))),IF($S$86&lt;&gt;"","Data Source Error","")),
T$97*(SQRT(Q$92/Q$95)/6)*(SQRT(2)+LN(1+SQRT(2))))))</f>
        <v/>
      </c>
      <c r="V98" s="523"/>
      <c r="W98" s="912" t="str">
        <f ca="1">IF($H$7&lt;6,"",IF(V$98&lt;&gt;"",V$98,
IF(AND(V$97="",V$95="",V$92=""),IFERROR(IF(INDIRECT("'"&amp;V$86&amp;"'!"&amp;VLOOKUP(V$87,'List Values'!$C$3:$D$6,2,FALSE)&amp;ROW(V98))="",W$97*(SQRT(T$92/T$95)/6)*(SQRT(2)+LN(1+SQRT(2))),INDIRECT("'"&amp;V$86&amp;"'!"&amp;VLOOKUP(V$87,'List Values'!$C$3:$D$6,2,FALSE)&amp;ROW(V98))),IF($V$86&lt;&gt;"","Data Source Error","")),
W$97*(SQRT(T$92/T$95)/6)*(SQRT(2)+LN(1+SQRT(2))))))</f>
        <v/>
      </c>
      <c r="Y98" s="2643"/>
      <c r="Z98" s="2644"/>
      <c r="AA98" s="2644"/>
      <c r="AB98" s="2645"/>
      <c r="AD98" s="52"/>
    </row>
    <row r="99" spans="1:30" hidden="1" outlineLevel="1">
      <c r="B99" s="2656" t="s">
        <v>645</v>
      </c>
      <c r="C99" s="2656"/>
      <c r="D99" s="2656"/>
      <c r="E99" s="196"/>
      <c r="F99" s="196"/>
      <c r="G99" s="2036"/>
      <c r="H99" s="902">
        <f ca="1">IF(G$99&lt;&gt;"",G$99,
IF(AND(G$97="",G$95="",G$92=""),IFERROR(IF(INDIRECT("'"&amp;G$86&amp;"'!"&amp;VLOOKUP(G$87,'List Values'!$C$3:$D$6,2,FALSE)&amp;ROW(G99))="",IF(H$95=1,0,0.5*H$97*(SQRT(H$92/H$95)+SQRT(2*H$92/H$95))),INDIRECT("'"&amp;G$86&amp;"'!"&amp;VLOOKUP(G$87,'List Values'!$C$3:$D$6,2,FALSE)&amp;ROW(G99))),IF($G$86&lt;&gt;"","Data Source Error","")),
IF(H$95=1,0,0.5*H$97*(SQRT(H$92/H$95)+SQRT(2*H$92/H$95)))))</f>
        <v>0</v>
      </c>
      <c r="I99" s="196"/>
      <c r="J99" s="530"/>
      <c r="K99" s="943">
        <f ca="1">IF($H$7&lt;2,"",IF(J$99&lt;&gt;"",J$99,
IF(AND(J$97="",J$95="",J$92=""),IFERROR(IF(INDIRECT("'"&amp;J$86&amp;"'!"&amp;VLOOKUP(J$87,'List Values'!$C$3:$D$6,2,FALSE)&amp;ROW(J99))="",IF(K$95=1,0,0.5*K$97*(SQRT(K$92/K$95)+SQRT(2*K$92/K$95))),INDIRECT("'"&amp;J$86&amp;"'!"&amp;VLOOKUP(J$87,'List Values'!$C$3:$D$6,2,FALSE)&amp;ROW(J99))),IF($J$86&lt;&gt;"","Data Source Error","")),
IF(K$95=1,0,0.5*K$97*(SQRT(K$92/K$95)+SQRT(2*K$92/K$95))))))</f>
        <v>0</v>
      </c>
      <c r="L99" s="196"/>
      <c r="M99" s="556"/>
      <c r="N99" s="906">
        <f ca="1">IF($H$7&lt;3,"",IF(M$99&lt;&gt;"",M$99,
IF(AND(M$97="",M$95="",M$92=""),IFERROR(IF(INDIRECT("'"&amp;M$86&amp;"'!"&amp;VLOOKUP(M$87,'List Values'!$C$3:$D$6,2,FALSE)&amp;ROW(M99))="",IF(N$95=1,0,0.5*N$97*(SQRT(N$92/N$95)+SQRT(2*N$92/N$95))),INDIRECT("'"&amp;M$86&amp;"'!"&amp;VLOOKUP(M$87,'List Values'!$C$3:$D$6,2,FALSE)&amp;ROW(M99))),IF($M$86&lt;&gt;"","Data Source Error","")),
IF(N$95=1,0,0.5*N$97*(SQRT(N$92/N$95)+SQRT(2*N$92/N$95))))))</f>
        <v>21.09538422148453</v>
      </c>
      <c r="O99" s="196"/>
      <c r="P99" s="530"/>
      <c r="Q99" s="906" t="str">
        <f ca="1">IF($H$7&lt;4,"",IF(P$99&lt;&gt;"",P$99,
IF(AND(P$97="",P$95="",P$92=""),IFERROR(IF(INDIRECT("'"&amp;P$86&amp;"'!"&amp;VLOOKUP(P$87,'List Values'!$C$3:$D$6,2,FALSE)&amp;ROW(P99))="",IF(Q$95=1,0,0.5*Q$97*(SQRT(Q$92/Q$95)+SQRT(2*Q$92/Q$95))),INDIRECT("'"&amp;P$86&amp;"'!"&amp;VLOOKUP(P$87,'List Values'!$C$3:$D$6,2,FALSE)&amp;ROW(P99))),IF($P$86&lt;&gt;"","Data Source Error","")),
IF(Q$95=1,0,0.5*Q$97*(SQRT(Q$92/Q$95)+SQRT(2*Q$92/Q$95))))))</f>
        <v/>
      </c>
      <c r="S99" s="530"/>
      <c r="T99" s="906" t="str">
        <f ca="1">IF($H$7&lt;5,"",IF(S$99&lt;&gt;"",S$99,
IF(AND(S$97="",S$95="",S$92=""),IFERROR(IF(INDIRECT("'"&amp;S$86&amp;"'!"&amp;VLOOKUP(S$87,'List Values'!$C$3:$D$6,2,FALSE)&amp;ROW(S99))="",IF(T$95=1,0,0.5*T$97*(SQRT(T$92/T$95)+SQRT(2*T$92/T$95))),INDIRECT("'"&amp;S$86&amp;"'!"&amp;VLOOKUP(S$87,'List Values'!$C$3:$D$6,2,FALSE)&amp;ROW(S99))),IF($S$86&lt;&gt;"","Data Source Error","")),
IF(T$95=1,0,0.5*T$97*(SQRT(T$92/T$95)+SQRT(2*T$92/T$95))))))</f>
        <v/>
      </c>
      <c r="V99" s="530"/>
      <c r="W99" s="913" t="str">
        <f ca="1">IF($H$7&lt;6,"",IF(V$99&lt;&gt;"",V$99,
IF(AND(V$97="",V$95="",V$92=""),IFERROR(IF(INDIRECT("'"&amp;V$86&amp;"'!"&amp;VLOOKUP(V$87,'List Values'!$C$3:$D$6,2,FALSE)&amp;ROW(V99))="",IF(W$95=1,0,0.5*W$97*(SQRT(W$92/W$95)+SQRT(2*W$92/W$95))),INDIRECT("'"&amp;V$86&amp;"'!"&amp;VLOOKUP(V$87,'List Values'!$C$3:$D$6,2,FALSE)&amp;ROW(V99))),IF($V$86&lt;&gt;"","Data Source Error","")),
IF(W$95=1,0,0.5*W$97*(SQRT(W$92/W$95)+SQRT(2*W$92/W$95))))))</f>
        <v/>
      </c>
      <c r="Y99" s="2657"/>
      <c r="Z99" s="2658"/>
      <c r="AA99" s="2658"/>
      <c r="AB99" s="2659"/>
      <c r="AD99" s="52"/>
    </row>
    <row r="100" spans="1:30" ht="30" customHeight="1">
      <c r="A100" s="630" t="s">
        <v>653</v>
      </c>
      <c r="C100" s="130"/>
      <c r="D100" s="130"/>
      <c r="E100" s="130"/>
      <c r="G100" s="121"/>
      <c r="H100" s="69"/>
      <c r="K100" s="69"/>
      <c r="N100" s="69"/>
      <c r="Q100" s="69"/>
      <c r="S100" s="6"/>
      <c r="T100" s="69"/>
      <c r="V100" s="6"/>
      <c r="W100" s="69"/>
    </row>
    <row r="101" spans="1:30" ht="30.75" customHeight="1" collapsed="1">
      <c r="B101" s="2047" t="s">
        <v>614</v>
      </c>
      <c r="C101" s="596"/>
      <c r="D101" s="596"/>
      <c r="E101" s="596"/>
      <c r="F101" s="596"/>
      <c r="G101" s="597"/>
      <c r="H101" s="594"/>
      <c r="I101" s="596"/>
      <c r="J101" s="597"/>
      <c r="K101" s="594"/>
      <c r="L101" s="596"/>
      <c r="M101" s="597"/>
      <c r="N101" s="594"/>
      <c r="O101" s="596"/>
      <c r="P101" s="2660"/>
      <c r="Q101" s="2660"/>
      <c r="R101" s="594"/>
      <c r="S101" s="2660"/>
      <c r="T101" s="2660"/>
      <c r="U101" s="594"/>
      <c r="V101" s="2660"/>
      <c r="W101" s="2660"/>
    </row>
    <row r="102" spans="1:30" ht="19.5" hidden="1" customHeight="1" outlineLevel="1">
      <c r="B102" s="505"/>
      <c r="C102" s="36"/>
      <c r="D102" s="36"/>
      <c r="E102" s="36"/>
      <c r="F102" s="36"/>
      <c r="G102" s="2665" t="str">
        <f ca="1">"Storage at "&amp;H88</f>
        <v>Storage at CMS</v>
      </c>
      <c r="H102" s="2666"/>
      <c r="I102" s="129"/>
      <c r="J102" s="2665" t="str">
        <f ca="1">"Storage at "&amp;K88</f>
        <v>Storage at Regional WH</v>
      </c>
      <c r="K102" s="2666"/>
      <c r="L102" s="506"/>
      <c r="M102" s="2665" t="str">
        <f ca="1">"Storage at "&amp;N88</f>
        <v>Storage at Health Facility</v>
      </c>
      <c r="N102" s="2666"/>
      <c r="O102" s="506"/>
      <c r="P102" s="2665" t="str">
        <f ca="1">"Storage at "&amp;Q88</f>
        <v xml:space="preserve">Storage at </v>
      </c>
      <c r="Q102" s="2666"/>
      <c r="R102" s="129"/>
      <c r="S102" s="2665" t="str">
        <f ca="1">"Storage at "&amp;T88</f>
        <v xml:space="preserve">Storage at </v>
      </c>
      <c r="T102" s="2666"/>
      <c r="U102" s="129"/>
      <c r="V102" s="2665" t="str">
        <f ca="1">"Storage at "&amp;W88</f>
        <v xml:space="preserve">Storage at </v>
      </c>
      <c r="W102" s="2669"/>
      <c r="Y102" s="2619" t="s">
        <v>673</v>
      </c>
      <c r="Z102" s="2620"/>
      <c r="AA102" s="2620"/>
      <c r="AB102" s="2621"/>
    </row>
    <row r="103" spans="1:30" ht="11.25" hidden="1" customHeight="1" outlineLevel="1">
      <c r="A103" s="75"/>
      <c r="B103" s="1347"/>
      <c r="C103" s="2512"/>
      <c r="D103" s="2512"/>
      <c r="E103" s="185"/>
      <c r="F103" s="183"/>
      <c r="G103" s="2667"/>
      <c r="H103" s="2668"/>
      <c r="I103" s="1395"/>
      <c r="J103" s="2667"/>
      <c r="K103" s="2668"/>
      <c r="L103" s="1395"/>
      <c r="M103" s="2667"/>
      <c r="N103" s="2668"/>
      <c r="O103" s="1396"/>
      <c r="P103" s="2667"/>
      <c r="Q103" s="2668"/>
      <c r="R103" s="1396"/>
      <c r="S103" s="2667"/>
      <c r="T103" s="2668"/>
      <c r="U103" s="1396"/>
      <c r="V103" s="2667"/>
      <c r="W103" s="2670"/>
      <c r="Y103" s="2643"/>
      <c r="Z103" s="2644"/>
      <c r="AA103" s="2644"/>
      <c r="AB103" s="2645"/>
      <c r="AD103" s="52"/>
    </row>
    <row r="104" spans="1:30" ht="46.5" hidden="1" customHeight="1" outlineLevel="1">
      <c r="A104" s="75"/>
      <c r="B104" s="2034" t="s">
        <v>341</v>
      </c>
      <c r="C104" s="2512" t="s">
        <v>2373</v>
      </c>
      <c r="D104" s="2512"/>
      <c r="E104" s="197"/>
      <c r="F104" s="184"/>
      <c r="G104" s="586"/>
      <c r="H104" s="1391">
        <f ca="1">IF(G104&lt;&gt;"",G104,IFERROR(IF(INDIRECT("'"&amp;G$86&amp;"'!"&amp;VLOOKUP(G$87,'List Values'!$C$3:$D$6,2,FALSE)&amp;ROW(G104))="","",INDIRECT("'"&amp;G$86&amp;"'!"&amp;VLOOKUP(G$87,'List Values'!$C$3:$D$6,2,FALSE)&amp;ROW(G104))),IF($G$86&lt;&gt;"","Data Source Error","")))</f>
        <v>3</v>
      </c>
      <c r="I104" s="1392"/>
      <c r="J104" s="586"/>
      <c r="K104" s="1391">
        <f ca="1">IF($H$7&lt;2,"",IF(J104&lt;&gt;"",J104,IFERROR(IF(INDIRECT("'"&amp;J$86&amp;"'!"&amp;VLOOKUP(J$87,'List Values'!$C$3:$D$6,2,FALSE)&amp;ROW(J104))="","",INDIRECT("'"&amp;J$86&amp;"'!"&amp;VLOOKUP(J$87,'List Values'!$C$3:$D$6,2,FALSE)&amp;ROW(J104))),IF($J$86&lt;&gt;"","Data Source Error",""))))</f>
        <v>3</v>
      </c>
      <c r="L104" s="1392"/>
      <c r="M104" s="586"/>
      <c r="N104" s="1391">
        <f ca="1">IF($H$7&lt;3,"",IF(M104&lt;&gt;"",M104,IFERROR(IF(INDIRECT("'"&amp;M$86&amp;"'!"&amp;VLOOKUP(M$87,'List Values'!$C$3:$D$6,2,FALSE)&amp;ROW(M104))="","",INDIRECT("'"&amp;M$86&amp;"'!"&amp;VLOOKUP(M$87,'List Values'!$C$3:$D$6,2,FALSE)&amp;ROW(M104))),IF($M$86&lt;&gt;"","Data Source Error",""))))</f>
        <v>3</v>
      </c>
      <c r="O104" s="1393"/>
      <c r="P104" s="712"/>
      <c r="Q104" s="1394" t="str">
        <f ca="1">IF($H$7&lt;4,"",IF(P104&lt;&gt;"",P104,IFERROR(IF(INDIRECT("'"&amp;P$86&amp;"'!"&amp;VLOOKUP(P$87,'List Values'!$C$3:$D$6,2,FALSE)&amp;ROW(P104))="","",INDIRECT("'"&amp;P$86&amp;"'!"&amp;VLOOKUP(P$87,'List Values'!$C$3:$D$6,2,FALSE)&amp;ROW(P104))),IF($P$86&lt;&gt;"","Data Source Error",""))))</f>
        <v/>
      </c>
      <c r="S104" s="712"/>
      <c r="T104" s="1394" t="str">
        <f ca="1">IF($H$7&lt;5,"",IF(S104&lt;&gt;"",S104,IFERROR(IF(INDIRECT("'"&amp;S$86&amp;"'!"&amp;VLOOKUP(S$87,'List Values'!$C$3:$D$6,2,FALSE)&amp;ROW(S104))="","",INDIRECT("'"&amp;S$86&amp;"'!"&amp;VLOOKUP(S$87,'List Values'!$C$3:$D$6,2,FALSE)&amp;ROW(S104))),IF($S$86&lt;&gt;"","Data Source Error",""))))</f>
        <v/>
      </c>
      <c r="V104" s="712"/>
      <c r="W104" s="976" t="str">
        <f ca="1">IF($H$7&lt;6,"",IF(V104&lt;&gt;"",V104,IFERROR(IF(INDIRECT("'"&amp;V$86&amp;"'!"&amp;VLOOKUP(V$87,'List Values'!$C$3:$D$6,2,FALSE)&amp;ROW(V104))="","",INDIRECT("'"&amp;V$86&amp;"'!"&amp;VLOOKUP(V$87,'List Values'!$C$3:$D$6,2,FALSE)&amp;ROW(V104))),IF($V$86&lt;&gt;"","Data Source Error",""))))</f>
        <v/>
      </c>
      <c r="Y104" s="2643"/>
      <c r="Z104" s="2644"/>
      <c r="AA104" s="2644"/>
      <c r="AB104" s="2645"/>
      <c r="AD104" s="52"/>
    </row>
    <row r="105" spans="1:30" ht="29.25" hidden="1" customHeight="1" outlineLevel="1">
      <c r="A105" s="86"/>
      <c r="B105" s="2661" t="s">
        <v>185</v>
      </c>
      <c r="C105" s="2663" t="s">
        <v>231</v>
      </c>
      <c r="D105" s="2663"/>
      <c r="E105" s="198"/>
      <c r="F105" s="198"/>
      <c r="G105" s="563"/>
      <c r="H105" s="931" t="str">
        <f ca="1">IF(G105&lt;&gt;"",G105,IFERROR(IF(INDIRECT("'"&amp;G$86&amp;"'!"&amp;VLOOKUP(G$87,'List Values'!$C$3:$D$6,2,FALSE)&amp;ROW(G105))="","",INDIRECT("'"&amp;G$86&amp;"'!"&amp;VLOOKUP(G$87,'List Values'!$C$3:$D$6,2,FALSE)&amp;ROW(G105))),IF($G$86&lt;&gt;"","Data Source Error","")))</f>
        <v>Warehouse Staff - Floor worker</v>
      </c>
      <c r="I105" s="213"/>
      <c r="J105" s="563"/>
      <c r="K105" s="931" t="str">
        <f ca="1">IF($H$7&lt;2,"",IF(J105&lt;&gt;"",J105,IFERROR(IF(INDIRECT("'"&amp;J$86&amp;"'!"&amp;VLOOKUP(J$87,'List Values'!$C$3:$D$6,2,FALSE)&amp;ROW(J105))="","",INDIRECT("'"&amp;J$86&amp;"'!"&amp;VLOOKUP(J$87,'List Values'!$C$3:$D$6,2,FALSE)&amp;ROW(J105))),IF($J$86&lt;&gt;"","Data Source Error",""))))</f>
        <v>Warehouse Staff - Floor worker</v>
      </c>
      <c r="L105" s="213"/>
      <c r="M105" s="563"/>
      <c r="N105" s="931" t="str">
        <f ca="1">IF($H$7&lt;3,"",IF(M105&lt;&gt;"",M105,IFERROR(IF(INDIRECT("'"&amp;M$86&amp;"'!"&amp;VLOOKUP(M$87,'List Values'!$C$3:$D$6,2,FALSE)&amp;ROW(M105))="","",INDIRECT("'"&amp;M$86&amp;"'!"&amp;VLOOKUP(M$87,'List Values'!$C$3:$D$6,2,FALSE)&amp;ROW(M105))),IF($M$86&lt;&gt;"","Data Source Error",""))))</f>
        <v>Health Clinic - Nurse/Pharmacist in-charge</v>
      </c>
      <c r="O105" s="198"/>
      <c r="P105" s="531"/>
      <c r="Q105" s="942" t="str">
        <f ca="1">IF($H$7&lt;4,"",IF(P105&lt;&gt;"",P105,IFERROR(IF(INDIRECT("'"&amp;P$86&amp;"'!"&amp;VLOOKUP(P$87,'List Values'!$C$3:$D$6,2,FALSE)&amp;ROW(P105))="","",INDIRECT("'"&amp;P$86&amp;"'!"&amp;VLOOKUP(P$87,'List Values'!$C$3:$D$6,2,FALSE)&amp;ROW(P105))),IF($P$86&lt;&gt;"","Data Source Error",""))))</f>
        <v/>
      </c>
      <c r="S105" s="531"/>
      <c r="T105" s="942" t="str">
        <f ca="1">IF($H$7&lt;5,"",IF(S105&lt;&gt;"",S105,IFERROR(IF(INDIRECT("'"&amp;S$86&amp;"'!"&amp;VLOOKUP(S$87,'List Values'!$C$3:$D$6,2,FALSE)&amp;ROW(S105))="","",INDIRECT("'"&amp;S$86&amp;"'!"&amp;VLOOKUP(S$87,'List Values'!$C$3:$D$6,2,FALSE)&amp;ROW(S105))),IF($S$86&lt;&gt;"","Data Source Error",""))))</f>
        <v/>
      </c>
      <c r="V105" s="531"/>
      <c r="W105" s="948" t="str">
        <f ca="1">IF($H$7&lt;6,"",IF(V105&lt;&gt;"",V105,IFERROR(IF(INDIRECT("'"&amp;V$86&amp;"'!"&amp;VLOOKUP(V$87,'List Values'!$C$3:$D$6,2,FALSE)&amp;ROW(V105))="","",INDIRECT("'"&amp;V$86&amp;"'!"&amp;VLOOKUP(V$87,'List Values'!$C$3:$D$6,2,FALSE)&amp;ROW(V105))),IF($V$86&lt;&gt;"","Data Source Error",""))))</f>
        <v/>
      </c>
      <c r="Y105" s="2643"/>
      <c r="Z105" s="2644"/>
      <c r="AA105" s="2644"/>
      <c r="AB105" s="2645"/>
      <c r="AD105" s="52"/>
    </row>
    <row r="106" spans="1:30" ht="36" hidden="1" customHeight="1" outlineLevel="1">
      <c r="A106" s="86"/>
      <c r="B106" s="2662"/>
      <c r="C106" s="2583" t="s">
        <v>356</v>
      </c>
      <c r="D106" s="2583"/>
      <c r="E106" s="187"/>
      <c r="F106" s="187"/>
      <c r="G106" s="564"/>
      <c r="H106" s="932">
        <f ca="1">IF(G106&lt;&gt;"",G106,IFERROR(IF(INDIRECT("'"&amp;G$86&amp;"'!"&amp;VLOOKUP(G$87,'List Values'!$C$3:$D$6,2,FALSE)&amp;ROW(G106))="","",INDIRECT("'"&amp;G$86&amp;"'!"&amp;VLOOKUP(G$87,'List Values'!$C$3:$D$6,2,FALSE)&amp;ROW(G106))),IF($G$86&lt;&gt;"","Data Source Error","")))</f>
        <v>19.597765590762666</v>
      </c>
      <c r="I106" s="214"/>
      <c r="J106" s="564"/>
      <c r="K106" s="932">
        <f ca="1">IF($H$7&lt;2,"",IF(J106&lt;&gt;"",J106,IFERROR(IF(INDIRECT("'"&amp;J$86&amp;"'!"&amp;VLOOKUP(J$87,'List Values'!$C$3:$D$6,2,FALSE)&amp;ROW(J106))="","",INDIRECT("'"&amp;J$86&amp;"'!"&amp;VLOOKUP(J$87,'List Values'!$C$3:$D$6,2,FALSE)&amp;ROW(J106))),IF($J$86&lt;&gt;"","Data Source Error",""))))</f>
        <v>18.526926845386743</v>
      </c>
      <c r="L106" s="214"/>
      <c r="M106" s="573"/>
      <c r="N106" s="939">
        <f ca="1">IF($H$7&lt;3,"",IF(M106&lt;&gt;"",M106,IFERROR(IF(INDIRECT("'"&amp;M$86&amp;"'!"&amp;VLOOKUP(M$87,'List Values'!$C$3:$D$6,2,FALSE)&amp;ROW(M106))="","",INDIRECT("'"&amp;M$86&amp;"'!"&amp;VLOOKUP(M$87,'List Values'!$C$3:$D$6,2,FALSE)&amp;ROW(M106))),IF($M$86&lt;&gt;"","Data Source Error",""))))</f>
        <v>3.3288989356378036E-2</v>
      </c>
      <c r="O106" s="187"/>
      <c r="P106" s="528"/>
      <c r="Q106" s="904" t="str">
        <f ca="1">IF($H$7&lt;4,"",IF(P106&lt;&gt;"",P106,IFERROR(IF(INDIRECT("'"&amp;P$86&amp;"'!"&amp;VLOOKUP(P$87,'List Values'!$C$3:$D$6,2,FALSE)&amp;ROW(P106))="","",INDIRECT("'"&amp;P$86&amp;"'!"&amp;VLOOKUP(P$87,'List Values'!$C$3:$D$6,2,FALSE)&amp;ROW(P106))),IF($P$86&lt;&gt;"","Data Source Error",""))))</f>
        <v/>
      </c>
      <c r="S106" s="528"/>
      <c r="T106" s="904" t="str">
        <f ca="1">IF($H$7&lt;5,"",IF(S106&lt;&gt;"",S106,IFERROR(IF(INDIRECT("'"&amp;S$86&amp;"'!"&amp;VLOOKUP(S$87,'List Values'!$C$3:$D$6,2,FALSE)&amp;ROW(S106))="","",INDIRECT("'"&amp;S$86&amp;"'!"&amp;VLOOKUP(S$87,'List Values'!$C$3:$D$6,2,FALSE)&amp;ROW(S106))),IF($S$86&lt;&gt;"","Data Source Error",""))))</f>
        <v/>
      </c>
      <c r="V106" s="528"/>
      <c r="W106" s="912" t="str">
        <f ca="1">IF($H$7&lt;6,"",IF(V106&lt;&gt;"",V106,IFERROR(IF(INDIRECT("'"&amp;V$86&amp;"'!"&amp;VLOOKUP(V$87,'List Values'!$C$3:$D$6,2,FALSE)&amp;ROW(V106))="","",INDIRECT("'"&amp;V$86&amp;"'!"&amp;VLOOKUP(V$87,'List Values'!$C$3:$D$6,2,FALSE)&amp;ROW(V106))),IF($V$86&lt;&gt;"","Data Source Error",""))))</f>
        <v/>
      </c>
      <c r="Y106" s="2643"/>
      <c r="Z106" s="2644"/>
      <c r="AA106" s="2644"/>
      <c r="AB106" s="2645"/>
      <c r="AD106" s="52"/>
    </row>
    <row r="107" spans="1:30" ht="36.75" hidden="1" customHeight="1" outlineLevel="1">
      <c r="A107" s="86"/>
      <c r="B107" s="2612"/>
      <c r="C107" s="2664" t="s">
        <v>599</v>
      </c>
      <c r="D107" s="2664"/>
      <c r="E107" s="200"/>
      <c r="F107" s="200"/>
      <c r="G107" s="565"/>
      <c r="H107" s="933">
        <f ca="1">IF(G107&lt;&gt;"",G107,IFERROR(IF(INDIRECT("'"&amp;G$86&amp;"'!"&amp;VLOOKUP(G$87,'List Values'!$C$3:$D$6,2,FALSE)&amp;ROW(G107))="","",INDIRECT("'"&amp;G$86&amp;"'!"&amp;VLOOKUP(G$87,'List Values'!$C$3:$D$6,2,FALSE)&amp;ROW(G107))),IF($G$86&lt;&gt;"","Data Source Error","")))</f>
        <v>0.51956390740105851</v>
      </c>
      <c r="I107" s="492"/>
      <c r="J107" s="571"/>
      <c r="K107" s="933">
        <f ca="1">IF($H$7&lt;2,"",IF(J107&lt;&gt;"",J107,IFERROR(IF(INDIRECT("'"&amp;J$86&amp;"'!"&amp;VLOOKUP(J$87,'List Values'!$C$3:$D$6,2,FALSE)&amp;ROW(J107))="","",INDIRECT("'"&amp;J$86&amp;"'!"&amp;VLOOKUP(J$87,'List Values'!$C$3:$D$6,2,FALSE)&amp;ROW(J107))),IF($J$86&lt;&gt;"","Data Source Error",""))))</f>
        <v>0.54959420694220995</v>
      </c>
      <c r="L107" s="215"/>
      <c r="M107" s="565"/>
      <c r="N107" s="940">
        <f ca="1">IF($H$7&lt;3,"",IF(M107&lt;&gt;"",M107,IFERROR(IF(INDIRECT("'"&amp;M$86&amp;"'!"&amp;VLOOKUP(M$87,'List Values'!$C$3:$D$6,2,FALSE)&amp;ROW(M107))="","",INDIRECT("'"&amp;M$86&amp;"'!"&amp;VLOOKUP(M$87,'List Values'!$C$3:$D$6,2,FALSE)&amp;ROW(M107))),IF($M$86&lt;&gt;"","Data Source Error",""))))</f>
        <v>0.88659612260755372</v>
      </c>
      <c r="O107" s="187"/>
      <c r="P107" s="530"/>
      <c r="Q107" s="943" t="str">
        <f ca="1">IF($H$7&lt;4,"",IF(P107&lt;&gt;"",P107,IFERROR(IF(INDIRECT("'"&amp;P$86&amp;"'!"&amp;VLOOKUP(P$87,'List Values'!$C$3:$D$6,2,FALSE)&amp;ROW(P107))="","",INDIRECT("'"&amp;P$86&amp;"'!"&amp;VLOOKUP(P$87,'List Values'!$C$3:$D$6,2,FALSE)&amp;ROW(P107))),IF($P$86&lt;&gt;"","Data Source Error",""))))</f>
        <v/>
      </c>
      <c r="S107" s="530"/>
      <c r="T107" s="943" t="str">
        <f ca="1">IF($H$7&lt;5,"",IF(S107&lt;&gt;"",S107,IFERROR(IF(INDIRECT("'"&amp;S$86&amp;"'!"&amp;VLOOKUP(S$87,'List Values'!$C$3:$D$6,2,FALSE)&amp;ROW(S107))="","",INDIRECT("'"&amp;S$86&amp;"'!"&amp;VLOOKUP(S$87,'List Values'!$C$3:$D$6,2,FALSE)&amp;ROW(S107))),IF($S$86&lt;&gt;"","Data Source Error",""))))</f>
        <v/>
      </c>
      <c r="V107" s="530"/>
      <c r="W107" s="949" t="str">
        <f ca="1">IF($H$7&lt;6,"",IF(V107&lt;&gt;"",V107,IFERROR(IF(INDIRECT("'"&amp;V$86&amp;"'!"&amp;VLOOKUP(V$87,'List Values'!$C$3:$D$6,2,FALSE)&amp;ROW(V107))="","",INDIRECT("'"&amp;V$86&amp;"'!"&amp;VLOOKUP(V$87,'List Values'!$C$3:$D$6,2,FALSE)&amp;ROW(V107))),IF($V$86&lt;&gt;"","Data Source Error",""))))</f>
        <v/>
      </c>
      <c r="Y107" s="2643"/>
      <c r="Z107" s="2644"/>
      <c r="AA107" s="2644"/>
      <c r="AB107" s="2645"/>
      <c r="AD107" s="52"/>
    </row>
    <row r="108" spans="1:30" ht="19.5" hidden="1" customHeight="1" outlineLevel="1">
      <c r="A108" s="86"/>
      <c r="B108" s="2671" t="s">
        <v>394</v>
      </c>
      <c r="C108" s="2663" t="s">
        <v>375</v>
      </c>
      <c r="D108" s="2663"/>
      <c r="E108" s="199"/>
      <c r="F108" s="199"/>
      <c r="G108" s="1926"/>
      <c r="H108" s="934">
        <f ca="1">IF(G108&lt;&gt;"",G108,IFERROR(IF(INDIRECT("'"&amp;G$86&amp;"'!"&amp;VLOOKUP(G$87,'List Values'!$C$3:$D$6,2,FALSE)&amp;ROW(G108))="","",INDIRECT("'"&amp;G$86&amp;"'!"&amp;VLOOKUP(G$87,'List Values'!$C$3:$D$6,2,FALSE)&amp;ROW(G108))),IF($G$86&lt;&gt;"","Data Source Error","")))</f>
        <v>916.40625</v>
      </c>
      <c r="I108" s="216"/>
      <c r="J108" s="566"/>
      <c r="K108" s="934">
        <f ca="1">IF($H$7&lt;2,"",IF(J108&lt;&gt;"",J108,IFERROR(IF(INDIRECT("'"&amp;J$86&amp;"'!"&amp;VLOOKUP(J$87,'List Values'!$C$3:$D$6,2,FALSE)&amp;ROW(J108))="","",INDIRECT("'"&amp;J$86&amp;"'!"&amp;VLOOKUP(J$87,'List Values'!$C$3:$D$6,2,FALSE)&amp;ROW(J108))),IF($J$86&lt;&gt;"","Data Source Error",""))))</f>
        <v>916.40625</v>
      </c>
      <c r="L108" s="216"/>
      <c r="M108" s="566"/>
      <c r="N108" s="934">
        <f ca="1">IF($H$7&lt;3,"",IF(M108&lt;&gt;"",M108,IFERROR(IF(INDIRECT("'"&amp;M$86&amp;"'!"&amp;VLOOKUP(M$87,'List Values'!$C$3:$D$6,2,FALSE)&amp;ROW(M108))="","",INDIRECT("'"&amp;M$86&amp;"'!"&amp;VLOOKUP(M$87,'List Values'!$C$3:$D$6,2,FALSE)&amp;ROW(M108))),IF($M$86&lt;&gt;"","Data Source Error",""))))</f>
        <v>2.66</v>
      </c>
      <c r="O108" s="183"/>
      <c r="P108" s="574"/>
      <c r="Q108" s="944" t="str">
        <f ca="1">IF($H$7&lt;4,"",IF(P108&lt;&gt;"",P108,IFERROR(IF(INDIRECT("'"&amp;P$86&amp;"'!"&amp;VLOOKUP(P$87,'List Values'!$C$3:$D$6,2,FALSE)&amp;ROW(P108))="","",INDIRECT("'"&amp;P$86&amp;"'!"&amp;VLOOKUP(P$87,'List Values'!$C$3:$D$6,2,FALSE)&amp;ROW(P108))),IF($P$86&lt;&gt;"","Data Source Error",""))))</f>
        <v/>
      </c>
      <c r="S108" s="574"/>
      <c r="T108" s="944" t="str">
        <f ca="1">IF($H$7&lt;5,"",IF(S108&lt;&gt;"",S108,IFERROR(IF(INDIRECT("'"&amp;S$86&amp;"'!"&amp;VLOOKUP(S$87,'List Values'!$C$3:$D$6,2,FALSE)&amp;ROW(S108))="","",INDIRECT("'"&amp;S$86&amp;"'!"&amp;VLOOKUP(S$87,'List Values'!$C$3:$D$6,2,FALSE)&amp;ROW(S108))),IF($S$86&lt;&gt;"","Data Source Error",""))))</f>
        <v/>
      </c>
      <c r="V108" s="574"/>
      <c r="W108" s="950" t="str">
        <f ca="1">IF($H$7&lt;6,"",IF(V108&lt;&gt;"",V108,IFERROR(IF(INDIRECT("'"&amp;V$86&amp;"'!"&amp;VLOOKUP(V$87,'List Values'!$C$3:$D$6,2,FALSE)&amp;ROW(V108))="","",INDIRECT("'"&amp;V$86&amp;"'!"&amp;VLOOKUP(V$87,'List Values'!$C$3:$D$6,2,FALSE)&amp;ROW(V108))),IF($V$86&lt;&gt;"","Data Source Error",""))))</f>
        <v/>
      </c>
      <c r="Y108" s="2643"/>
      <c r="Z108" s="2644"/>
      <c r="AA108" s="2644"/>
      <c r="AB108" s="2645"/>
      <c r="AD108" s="52"/>
    </row>
    <row r="109" spans="1:30" ht="34.5" hidden="1" customHeight="1" outlineLevel="1">
      <c r="A109" s="86"/>
      <c r="B109" s="2672"/>
      <c r="C109" s="2583" t="s">
        <v>395</v>
      </c>
      <c r="D109" s="2583"/>
      <c r="E109" s="199"/>
      <c r="F109" s="199"/>
      <c r="G109" s="567"/>
      <c r="H109" s="935" t="str">
        <f ca="1">IF(G109&lt;&gt;"",G109,IFERROR(IF(INDIRECT("'"&amp;G$86&amp;"'!"&amp;VLOOKUP(G$87,'List Values'!$C$3:$D$6,2,FALSE)&amp;ROW(G109))="","",INDIRECT("'"&amp;G$86&amp;"'!"&amp;VLOOKUP(G$87,'List Values'!$C$3:$D$6,2,FALSE)&amp;ROW(G109))),IF($G$86&lt;&gt;"","Data Source Error","")))</f>
        <v/>
      </c>
      <c r="I109" s="248"/>
      <c r="J109" s="567"/>
      <c r="K109" s="935" t="str">
        <f ca="1">IF($H$7&lt;2,"",IF(J109&lt;&gt;"",J109,IFERROR(IF(INDIRECT("'"&amp;J$86&amp;"'!"&amp;VLOOKUP(J$87,'List Values'!$C$3:$D$6,2,FALSE)&amp;ROW(J109))="","",INDIRECT("'"&amp;J$86&amp;"'!"&amp;VLOOKUP(J$87,'List Values'!$C$3:$D$6,2,FALSE)&amp;ROW(J109))),IF($J$86&lt;&gt;"","Data Source Error",""))))</f>
        <v/>
      </c>
      <c r="L109" s="248"/>
      <c r="M109" s="567"/>
      <c r="N109" s="929" t="str">
        <f ca="1">IF($H$7&lt;3,"",IF(M109&lt;&gt;"",M109,IFERROR(IF(INDIRECT("'"&amp;M$86&amp;"'!"&amp;VLOOKUP(M$87,'List Values'!$C$3:$D$6,2,FALSE)&amp;ROW(M109))="","",INDIRECT("'"&amp;M$86&amp;"'!"&amp;VLOOKUP(M$87,'List Values'!$C$3:$D$6,2,FALSE)&amp;ROW(M109))),IF($M$86&lt;&gt;"","Data Source Error",""))))</f>
        <v/>
      </c>
      <c r="O109" s="183"/>
      <c r="P109" s="574"/>
      <c r="Q109" s="934" t="str">
        <f ca="1">IF($H$7&lt;4,"",IF(P109&lt;&gt;"",P109,IFERROR(IF(INDIRECT("'"&amp;P$86&amp;"'!"&amp;VLOOKUP(P$87,'List Values'!$C$3:$D$6,2,FALSE)&amp;ROW(P109))="","",INDIRECT("'"&amp;P$86&amp;"'!"&amp;VLOOKUP(P$87,'List Values'!$C$3:$D$6,2,FALSE)&amp;ROW(P109))),IF($P$86&lt;&gt;"","Data Source Error",""))))</f>
        <v/>
      </c>
      <c r="S109" s="574"/>
      <c r="T109" s="934" t="str">
        <f ca="1">IF($H$7&lt;5,"",IF(S109&lt;&gt;"",S109,IFERROR(IF(INDIRECT("'"&amp;S$86&amp;"'!"&amp;VLOOKUP(S$87,'List Values'!$C$3:$D$6,2,FALSE)&amp;ROW(S109))="","",INDIRECT("'"&amp;S$86&amp;"'!"&amp;VLOOKUP(S$87,'List Values'!$C$3:$D$6,2,FALSE)&amp;ROW(S109))),IF($S$86&lt;&gt;"","Data Source Error",""))))</f>
        <v/>
      </c>
      <c r="V109" s="574"/>
      <c r="W109" s="951" t="str">
        <f ca="1">IF($H$7&lt;6,"",IF(V109&lt;&gt;"",V109,IFERROR(IF(INDIRECT("'"&amp;V$86&amp;"'!"&amp;VLOOKUP(V$87,'List Values'!$C$3:$D$6,2,FALSE)&amp;ROW(V109))="","",INDIRECT("'"&amp;V$86&amp;"'!"&amp;VLOOKUP(V$87,'List Values'!$C$3:$D$6,2,FALSE)&amp;ROW(V109))),IF($V$86&lt;&gt;"","Data Source Error",""))))</f>
        <v/>
      </c>
      <c r="Y109" s="2643"/>
      <c r="Z109" s="2644"/>
      <c r="AA109" s="2644"/>
      <c r="AB109" s="2645"/>
      <c r="AD109" s="52"/>
    </row>
    <row r="110" spans="1:30" ht="34.5" hidden="1" customHeight="1" outlineLevel="1">
      <c r="A110" s="86"/>
      <c r="B110" s="2672"/>
      <c r="C110" s="2583" t="s">
        <v>5443</v>
      </c>
      <c r="D110" s="2583"/>
      <c r="E110" s="187"/>
      <c r="F110" s="187"/>
      <c r="G110" s="568"/>
      <c r="H110" s="1070">
        <f ca="1">IF(G110&lt;&gt;"",G110,IFERROR(IF(INDIRECT("'"&amp;G$86&amp;"'!"&amp;VLOOKUP(G$87,'List Values'!$C$3:$D$6,2,FALSE)&amp;ROW(G110))="","",INDIRECT("'"&amp;G$86&amp;"'!"&amp;VLOOKUP(G$87,'List Values'!$C$3:$D$6,2,FALSE)&amp;ROW(G110))*$H$6),IF($G$86&lt;&gt;"","Data Source Error","")))</f>
        <v>169.65084425619176</v>
      </c>
      <c r="I110" s="195"/>
      <c r="J110" s="568"/>
      <c r="K110" s="1070">
        <f ca="1">IF($H$7&lt;2,"",IF(J110&lt;&gt;"",J110,IFERROR(IF(INDIRECT("'"&amp;J$86&amp;"'!"&amp;VLOOKUP(J$87,'List Values'!$C$3:$D$6,2,FALSE)&amp;ROW(J110))="","",INDIRECT("'"&amp;J$86&amp;"'!"&amp;VLOOKUP(J$87,'List Values'!$C$3:$D$6,2,FALSE)&amp;ROW(J110))*$H$6),IF($J$86&lt;&gt;"","Data Source Error",""))))</f>
        <v>84.709602195082624</v>
      </c>
      <c r="L110" s="195"/>
      <c r="M110" s="568"/>
      <c r="N110" s="936">
        <f ca="1">IF($H$7&lt;3,"",IF(M110&lt;&gt;"",M110,IFERROR(IF(INDIRECT("'"&amp;M$86&amp;"'!"&amp;VLOOKUP(M$87,'List Values'!$C$3:$D$6,2,FALSE)&amp;ROW(M110))="","",INDIRECT("'"&amp;M$86&amp;"'!"&amp;VLOOKUP(M$87,'List Values'!$C$3:$D$6,2,FALSE)&amp;ROW(M110))*$H$6),IF($M$86&lt;&gt;"","Data Source Error",""))))</f>
        <v>187.45983087332772</v>
      </c>
      <c r="O110" s="187"/>
      <c r="P110" s="528"/>
      <c r="Q110" s="945" t="str">
        <f ca="1">IF($H$7&lt;4,"",IF(P110&lt;&gt;"",P110,IFERROR(IF(INDIRECT("'"&amp;P$86&amp;"'!"&amp;VLOOKUP(P$87,'List Values'!$C$3:$D$6,2,FALSE)&amp;ROW(P110))="","",INDIRECT("'"&amp;P$86&amp;"'!"&amp;VLOOKUP(P$87,'List Values'!$C$3:$D$6,2,FALSE)&amp;ROW(P110))*$H$6),IF($P$86&lt;&gt;"","Data Source Error",""))))</f>
        <v/>
      </c>
      <c r="S110" s="528"/>
      <c r="T110" s="945" t="str">
        <f ca="1">IF($H$7&lt;5,"",IF(S110&lt;&gt;"",S110,IFERROR(IF(INDIRECT("'"&amp;S$86&amp;"'!"&amp;VLOOKUP(S$87,'List Values'!$C$3:$D$6,2,FALSE)&amp;ROW(S110))="","",INDIRECT("'"&amp;S$86&amp;"'!"&amp;VLOOKUP(S$87,'List Values'!$C$3:$D$6,2,FALSE)&amp;ROW(S110))*$H$6),IF($S$86&lt;&gt;"","Data Source Error",""))))</f>
        <v/>
      </c>
      <c r="V110" s="528"/>
      <c r="W110" s="952" t="str">
        <f ca="1">IF($H$7&lt;6,"",IF(V110&lt;&gt;"",V110,IFERROR(IF(INDIRECT("'"&amp;V$86&amp;"'!"&amp;VLOOKUP(V$87,'List Values'!$C$3:$D$6,2,FALSE)&amp;ROW(V110))="","",INDIRECT("'"&amp;V$86&amp;"'!"&amp;VLOOKUP(V$87,'List Values'!$C$3:$D$6,2,FALSE)&amp;ROW(V110))*$H$6),IF($V$86&lt;&gt;"","Data Source Error",""))))</f>
        <v/>
      </c>
      <c r="Y110" s="2643"/>
      <c r="Z110" s="2644"/>
      <c r="AA110" s="2644"/>
      <c r="AB110" s="2645"/>
      <c r="AD110" s="52"/>
    </row>
    <row r="111" spans="1:30" ht="36" hidden="1" customHeight="1" outlineLevel="1">
      <c r="A111" s="86"/>
      <c r="B111" s="2672"/>
      <c r="C111" s="2583" t="s">
        <v>5444</v>
      </c>
      <c r="D111" s="2583"/>
      <c r="E111" s="187"/>
      <c r="F111" s="187"/>
      <c r="G111" s="568"/>
      <c r="H111" s="936">
        <f ca="1">IF(G111&lt;&gt;"",G111,IFERROR(IF(INDIRECT("'"&amp;G$86&amp;"'!"&amp;VLOOKUP(G$87,'List Values'!$C$3:$D$6,2,FALSE)&amp;ROW(G111))="","",INDIRECT("'"&amp;G$86&amp;"'!"&amp;VLOOKUP(G$87,'List Values'!$C$3:$D$6,2,FALSE)&amp;ROW(G111))*$H$6),IF($G$86&lt;&gt;"","Data Source Error","")))</f>
        <v>13.891187860080294</v>
      </c>
      <c r="I111" s="195"/>
      <c r="J111" s="568"/>
      <c r="K111" s="936">
        <f ca="1">IF($H$7&lt;2,"",IF(J111&lt;&gt;"",J111,IFERROR(IF(INDIRECT("'"&amp;J$86&amp;"'!"&amp;VLOOKUP(J$87,'List Values'!$C$3:$D$6,2,FALSE)&amp;ROW(J111))="","",INDIRECT("'"&amp;J$86&amp;"'!"&amp;VLOOKUP(J$87,'List Values'!$C$3:$D$6,2,FALSE)&amp;ROW(J111))*$H$6),IF($J$86&lt;&gt;"","Data Source Error",""))))</f>
        <v>28.152463822514672</v>
      </c>
      <c r="L111" s="195"/>
      <c r="M111" s="568"/>
      <c r="N111" s="936">
        <f ca="1">IF($H$7&lt;3,"",IF(M111&lt;&gt;"",M111,IFERROR(IF(INDIRECT("'"&amp;M$86&amp;"'!"&amp;VLOOKUP(M$87,'List Values'!$C$3:$D$6,2,FALSE)&amp;ROW(M111))="","",INDIRECT("'"&amp;M$86&amp;"'!"&amp;VLOOKUP(M$87,'List Values'!$C$3:$D$6,2,FALSE)&amp;ROW(M111))*$H$6),IF($M$86&lt;&gt;"","Data Source Error",""))))</f>
        <v>0</v>
      </c>
      <c r="O111" s="184"/>
      <c r="P111" s="529"/>
      <c r="Q111" s="945" t="str">
        <f ca="1">IF($H$7&lt;4,"",IF(P111&lt;&gt;"",P111,IFERROR(IF(INDIRECT("'"&amp;P$86&amp;"'!"&amp;VLOOKUP(P$87,'List Values'!$C$3:$D$6,2,FALSE)&amp;ROW(P111))="","",INDIRECT("'"&amp;P$86&amp;"'!"&amp;VLOOKUP(P$87,'List Values'!$C$3:$D$6,2,FALSE)&amp;ROW(P111))*$H$6),IF($P$86&lt;&gt;"","Data Source Error",""))))</f>
        <v/>
      </c>
      <c r="S111" s="529"/>
      <c r="T111" s="945" t="str">
        <f ca="1">IF($H$7&lt;5,"",IF(S111&lt;&gt;"",S111,IFERROR(IF(INDIRECT("'"&amp;S$86&amp;"'!"&amp;VLOOKUP(S$87,'List Values'!$C$3:$D$6,2,FALSE)&amp;ROW(S111))="","",INDIRECT("'"&amp;S$86&amp;"'!"&amp;VLOOKUP(S$87,'List Values'!$C$3:$D$6,2,FALSE)&amp;ROW(S111))*$H$6),IF($S$86&lt;&gt;"","Data Source Error",""))))</f>
        <v/>
      </c>
      <c r="U111" s="258"/>
      <c r="V111" s="529"/>
      <c r="W111" s="952" t="str">
        <f ca="1">IF($H$7&lt;6,"",IF(V111&lt;&gt;"",V111,IFERROR(IF(INDIRECT("'"&amp;V$86&amp;"'!"&amp;VLOOKUP(V$87,'List Values'!$C$3:$D$6,2,FALSE)&amp;ROW(V111))="","",INDIRECT("'"&amp;V$86&amp;"'!"&amp;VLOOKUP(V$87,'List Values'!$C$3:$D$6,2,FALSE)&amp;ROW(V111))*$H$6),IF($V$86&lt;&gt;"","Data Source Error",""))))</f>
        <v/>
      </c>
      <c r="X111" s="86"/>
      <c r="Y111" s="2643"/>
      <c r="Z111" s="2644"/>
      <c r="AA111" s="2644"/>
      <c r="AB111" s="2645"/>
      <c r="AD111" s="52"/>
    </row>
    <row r="112" spans="1:30" ht="33.75" hidden="1" customHeight="1" outlineLevel="1">
      <c r="B112" s="2673"/>
      <c r="C112" s="2664" t="s">
        <v>5445</v>
      </c>
      <c r="D112" s="2664"/>
      <c r="E112" s="196"/>
      <c r="F112" s="196"/>
      <c r="G112" s="569"/>
      <c r="H112" s="937">
        <f ca="1">IF(G112&lt;&gt;"",G112,IFERROR(IF(INDIRECT("'"&amp;G$86&amp;"'!"&amp;VLOOKUP(G$87,'List Values'!$C$3:$D$6,2,FALSE)&amp;ROW(G112))="","",INDIRECT("'"&amp;G$86&amp;"'!"&amp;VLOOKUP(G$87,'List Values'!$C$3:$D$6,2,FALSE)&amp;ROW(G112))*$H$6),IF($G$86&lt;&gt;"","Data Source Error","")))</f>
        <v>15</v>
      </c>
      <c r="I112" s="247"/>
      <c r="J112" s="569"/>
      <c r="K112" s="937">
        <f ca="1">IF($H$7&lt;2,"",IF(J112&lt;&gt;"",J112,IFERROR(IF(INDIRECT("'"&amp;J$86&amp;"'!"&amp;VLOOKUP(J$87,'List Values'!$C$3:$D$6,2,FALSE)&amp;ROW(J112))="","",INDIRECT("'"&amp;J$86&amp;"'!"&amp;VLOOKUP(J$87,'List Values'!$C$3:$D$6,2,FALSE)&amp;ROW(J112))*$H$6),IF($J$86&lt;&gt;"","Data Source Error",""))))</f>
        <v>15</v>
      </c>
      <c r="L112" s="247"/>
      <c r="M112" s="569"/>
      <c r="N112" s="937">
        <f ca="1">IF($H$7&lt;3,"",IF(M112&lt;&gt;"",M112,IFERROR(IF(INDIRECT("'"&amp;M$86&amp;"'!"&amp;VLOOKUP(M$87,'List Values'!$C$3:$D$6,2,FALSE)&amp;ROW(M112))="","",INDIRECT("'"&amp;M$86&amp;"'!"&amp;VLOOKUP(M$87,'List Values'!$C$3:$D$6,2,FALSE)&amp;ROW(M112))*$H$6),IF($M$86&lt;&gt;"","Data Source Error",""))))</f>
        <v>15</v>
      </c>
      <c r="O112" s="196"/>
      <c r="P112" s="530"/>
      <c r="Q112" s="946" t="str">
        <f ca="1">IF($H$7&lt;4,"",IF(P112&lt;&gt;"",P112,IFERROR(IF(INDIRECT("'"&amp;P$86&amp;"'!"&amp;VLOOKUP(P$87,'List Values'!$C$3:$D$6,2,FALSE)&amp;ROW(P112))="","",INDIRECT("'"&amp;P$86&amp;"'!"&amp;VLOOKUP(P$87,'List Values'!$C$3:$D$6,2,FALSE)&amp;ROW(P112))*$H$6),IF($P$86&lt;&gt;"","Data Source Error",""))))</f>
        <v/>
      </c>
      <c r="S112" s="530"/>
      <c r="T112" s="946" t="str">
        <f ca="1">IF($H$7&lt;5,"",IF(S112&lt;&gt;"",S112,IFERROR(IF(INDIRECT("'"&amp;S$86&amp;"'!"&amp;VLOOKUP(S$87,'List Values'!$C$3:$D$6,2,FALSE)&amp;ROW(S112))="","",INDIRECT("'"&amp;S$86&amp;"'!"&amp;VLOOKUP(S$87,'List Values'!$C$3:$D$6,2,FALSE)&amp;ROW(S112))*$H$6),IF($S$86&lt;&gt;"","Data Source Error",""))))</f>
        <v/>
      </c>
      <c r="V112" s="530"/>
      <c r="W112" s="953" t="str">
        <f ca="1">IF($H$7&lt;6,"",IF(V112&lt;&gt;"",V112,IFERROR(IF(INDIRECT("'"&amp;V$86&amp;"'!"&amp;VLOOKUP(V$87,'List Values'!$C$3:$D$6,2,FALSE)&amp;ROW(V112))="","",INDIRECT("'"&amp;V$86&amp;"'!"&amp;VLOOKUP(V$87,'List Values'!$C$3:$D$6,2,FALSE)&amp;ROW(V112))*$H$6),IF($V$86&lt;&gt;"","Data Source Error",""))))</f>
        <v/>
      </c>
      <c r="Y112" s="2643"/>
      <c r="Z112" s="2644"/>
      <c r="AA112" s="2644"/>
      <c r="AB112" s="2645"/>
      <c r="AD112" s="52"/>
    </row>
    <row r="113" spans="1:30" ht="33.75" hidden="1" customHeight="1" outlineLevel="1">
      <c r="B113" s="2671" t="s">
        <v>824</v>
      </c>
      <c r="C113" s="2663" t="s">
        <v>825</v>
      </c>
      <c r="D113" s="2663"/>
      <c r="E113" s="61"/>
      <c r="F113" s="61"/>
      <c r="G113" s="563"/>
      <c r="H113" s="938">
        <f ca="1">IF(G113&lt;&gt;"",G113,IFERROR(IF(INDIRECT("'"&amp;G$86&amp;"'!"&amp;VLOOKUP(G$87,'List Values'!$C$3:$D$6,2,FALSE)&amp;ROW(G113))="","",INDIRECT("'"&amp;G$86&amp;"'!"&amp;VLOOKUP(G$87,'List Values'!$C$3:$D$6,2,FALSE)&amp;ROW(G113))),IF($G$86&lt;&gt;"","Data Source Error","")))</f>
        <v>20</v>
      </c>
      <c r="I113" s="249"/>
      <c r="J113" s="572"/>
      <c r="K113" s="938">
        <f ca="1">IF($H$7&lt;2,"",IF(J113&lt;&gt;"",J113,IFERROR(IF(INDIRECT("'"&amp;J$86&amp;"'!"&amp;VLOOKUP(J$87,'List Values'!$C$3:$D$6,2,FALSE)&amp;ROW(J113))="","",INDIRECT("'"&amp;J$86&amp;"'!"&amp;VLOOKUP(J$87,'List Values'!$C$3:$D$6,2,FALSE)&amp;ROW(J113))),IF($J$86&lt;&gt;"","Data Source Error",""))))</f>
        <v>10</v>
      </c>
      <c r="L113" s="249"/>
      <c r="M113" s="572"/>
      <c r="N113" s="938">
        <f ca="1">IF($H$7&lt;3,"",IF(M113&lt;&gt;"",M113,IFERROR(IF(INDIRECT("'"&amp;M$86&amp;"'!"&amp;VLOOKUP(M$87,'List Values'!$C$3:$D$6,2,FALSE)&amp;ROW(M113))="","",INDIRECT("'"&amp;M$86&amp;"'!"&amp;VLOOKUP(M$87,'List Values'!$C$3:$D$6,2,FALSE)&amp;ROW(M113))),IF($M$86&lt;&gt;"","Data Source Error",""))))</f>
        <v>1</v>
      </c>
      <c r="O113" s="198"/>
      <c r="P113" s="531"/>
      <c r="Q113" s="942" t="str">
        <f ca="1">IF($H$7&lt;4,"",IF(P113&lt;&gt;"",P113,IFERROR(IF(INDIRECT("'"&amp;P$86&amp;"'!"&amp;VLOOKUP(P$87,'List Values'!$C$3:$D$6,2,FALSE)&amp;ROW(P113))="","",INDIRECT("'"&amp;P$86&amp;"'!"&amp;VLOOKUP(P$87,'List Values'!$C$3:$D$6,2,FALSE)&amp;ROW(P113))),IF($P$86&lt;&gt;"","Data Source Error",""))))</f>
        <v/>
      </c>
      <c r="S113" s="531"/>
      <c r="T113" s="942" t="str">
        <f ca="1">IF($H$7&lt;5,"",IF(S113&lt;&gt;"",S113,IFERROR(IF(INDIRECT("'"&amp;S$86&amp;"'!"&amp;VLOOKUP(S$87,'List Values'!$C$3:$D$6,2,FALSE)&amp;ROW(S113))="","",INDIRECT("'"&amp;S$86&amp;"'!"&amp;VLOOKUP(S$87,'List Values'!$C$3:$D$6,2,FALSE)&amp;ROW(S113))),IF($S$86&lt;&gt;"","Data Source Error",""))))</f>
        <v/>
      </c>
      <c r="V113" s="531"/>
      <c r="W113" s="948" t="str">
        <f ca="1">IF($H$7&lt;6,"",IF(V113&lt;&gt;"",V113,IFERROR(IF(INDIRECT("'"&amp;V$86&amp;"'!"&amp;VLOOKUP(V$87,'List Values'!$C$3:$D$6,2,FALSE)&amp;ROW(V113))="","",INDIRECT("'"&amp;V$86&amp;"'!"&amp;VLOOKUP(V$87,'List Values'!$C$3:$D$6,2,FALSE)&amp;ROW(V113))),IF($V$86&lt;&gt;"","Data Source Error",""))))</f>
        <v/>
      </c>
      <c r="Y113" s="2643"/>
      <c r="Z113" s="2644"/>
      <c r="AA113" s="2644"/>
      <c r="AB113" s="2645"/>
      <c r="AD113" s="52"/>
    </row>
    <row r="114" spans="1:30" ht="20.25" hidden="1" customHeight="1" outlineLevel="1">
      <c r="B114" s="2672"/>
      <c r="C114" s="2583" t="s">
        <v>826</v>
      </c>
      <c r="D114" s="2583"/>
      <c r="G114" s="564"/>
      <c r="H114" s="939">
        <f ca="1">IF(G114&lt;&gt;"",G114,IFERROR(IF(INDIRECT("'"&amp;G$86&amp;"'!"&amp;VLOOKUP(G$87,'List Values'!$C$3:$D$6,2,FALSE)&amp;ROW(G114))="","",INDIRECT("'"&amp;G$86&amp;"'!"&amp;VLOOKUP(G$87,'List Values'!$C$3:$D$6,2,FALSE)&amp;ROW(G114))),IF($G$86&lt;&gt;"","Data Source Error","")))</f>
        <v>0.01</v>
      </c>
      <c r="I114" s="214"/>
      <c r="J114" s="573"/>
      <c r="K114" s="939">
        <f ca="1">IF($H$7&lt;2,"",IF(J114&lt;&gt;"",J114,IFERROR(IF(INDIRECT("'"&amp;J$86&amp;"'!"&amp;VLOOKUP(J$87,'List Values'!$C$3:$D$6,2,FALSE)&amp;ROW(J114))="","",INDIRECT("'"&amp;J$86&amp;"'!"&amp;VLOOKUP(J$87,'List Values'!$C$3:$D$6,2,FALSE)&amp;ROW(J114))),IF($J$86&lt;&gt;"","Data Source Error",""))))</f>
        <v>0.01</v>
      </c>
      <c r="L114" s="214"/>
      <c r="M114" s="573"/>
      <c r="N114" s="939">
        <f ca="1">IF($H$7&lt;3,"",IF(M114&lt;&gt;"",M114,IFERROR(IF(INDIRECT("'"&amp;M$86&amp;"'!"&amp;VLOOKUP(M$87,'List Values'!$C$3:$D$6,2,FALSE)&amp;ROW(M114))="","",INDIRECT("'"&amp;M$86&amp;"'!"&amp;VLOOKUP(M$87,'List Values'!$C$3:$D$6,2,FALSE)&amp;ROW(M114))),IF($M$86&lt;&gt;"","Data Source Error",""))))</f>
        <v>0.01</v>
      </c>
      <c r="O114" s="187"/>
      <c r="P114" s="528"/>
      <c r="Q114" s="904" t="str">
        <f ca="1">IF($H$7&lt;4,"",IF(P114&lt;&gt;"",P114,IFERROR(IF(INDIRECT("'"&amp;P$86&amp;"'!"&amp;VLOOKUP(P$87,'List Values'!$C$3:$D$6,2,FALSE)&amp;ROW(P114))="","",INDIRECT("'"&amp;P$86&amp;"'!"&amp;VLOOKUP(P$87,'List Values'!$C$3:$D$6,2,FALSE)&amp;ROW(P114))),IF($P$86&lt;&gt;"","Data Source Error",""))))</f>
        <v/>
      </c>
      <c r="S114" s="528"/>
      <c r="T114" s="904" t="str">
        <f ca="1">IF($H$7&lt;5,"",IF(S114&lt;&gt;"",S114,IFERROR(IF(INDIRECT("'"&amp;S$86&amp;"'!"&amp;VLOOKUP(S$87,'List Values'!$C$3:$D$6,2,FALSE)&amp;ROW(S114))="","",INDIRECT("'"&amp;S$86&amp;"'!"&amp;VLOOKUP(S$87,'List Values'!$C$3:$D$6,2,FALSE)&amp;ROW(S114))),IF($S$86&lt;&gt;"","Data Source Error",""))))</f>
        <v/>
      </c>
      <c r="V114" s="528"/>
      <c r="W114" s="912" t="str">
        <f ca="1">IF($H$7&lt;6,"",IF(V114&lt;&gt;"",V114,IFERROR(IF(INDIRECT("'"&amp;V$86&amp;"'!"&amp;VLOOKUP(V$87,'List Values'!$C$3:$D$6,2,FALSE)&amp;ROW(V114))="","",INDIRECT("'"&amp;V$86&amp;"'!"&amp;VLOOKUP(V$87,'List Values'!$C$3:$D$6,2,FALSE)&amp;ROW(V114))),IF($V$86&lt;&gt;"","Data Source Error",""))))</f>
        <v/>
      </c>
      <c r="Y114" s="2643"/>
      <c r="Z114" s="2644"/>
      <c r="AA114" s="2644"/>
      <c r="AB114" s="2645"/>
      <c r="AD114" s="52"/>
    </row>
    <row r="115" spans="1:30" ht="20.25" hidden="1" customHeight="1" outlineLevel="1">
      <c r="B115" s="2672"/>
      <c r="C115" s="2583" t="s">
        <v>827</v>
      </c>
      <c r="D115" s="2583"/>
      <c r="G115" s="564"/>
      <c r="H115" s="936">
        <f ca="1">IF(G115&lt;&gt;"",G115,IFERROR(IF(INDIRECT("'"&amp;G$86&amp;"'!"&amp;VLOOKUP(G$87,'List Values'!$C$3:$D$6,2,FALSE)&amp;ROW(G115))="","",INDIRECT("'"&amp;G$86&amp;"'!"&amp;VLOOKUP(G$87,'List Values'!$C$3:$D$6,2,FALSE)&amp;ROW(G115))*$H$6),IF($G$86&lt;&gt;"","Data Source Error","")))</f>
        <v>150</v>
      </c>
      <c r="I115" s="250"/>
      <c r="J115" s="568"/>
      <c r="K115" s="936">
        <f ca="1">IF($H$7&lt;2,"",IF(J115&lt;&gt;"",J115,IFERROR(IF(INDIRECT("'"&amp;J$86&amp;"'!"&amp;VLOOKUP(J$87,'List Values'!$C$3:$D$6,2,FALSE)&amp;ROW(J115))="","",INDIRECT("'"&amp;J$86&amp;"'!"&amp;VLOOKUP(J$87,'List Values'!$C$3:$D$6,2,FALSE)&amp;ROW(J115))*$H$6),IF($J$86&lt;&gt;"","Data Source Error",""))))</f>
        <v>150</v>
      </c>
      <c r="L115" s="250"/>
      <c r="M115" s="568"/>
      <c r="N115" s="936">
        <f ca="1">IF($H$7&lt;3,"",IF(M115&lt;&gt;"",M115,IFERROR(IF(INDIRECT("'"&amp;M$86&amp;"'!"&amp;VLOOKUP(M$87,'List Values'!$C$3:$D$6,2,FALSE)&amp;ROW(M115))="","",INDIRECT("'"&amp;M$86&amp;"'!"&amp;VLOOKUP(M$87,'List Values'!$C$3:$D$6,2,FALSE)&amp;ROW(M115))*$H$6),IF($M$86&lt;&gt;"","Data Source Error",""))))</f>
        <v>150</v>
      </c>
      <c r="O115" s="187"/>
      <c r="P115" s="528"/>
      <c r="Q115" s="904" t="str">
        <f ca="1">IF($H$7&lt;4,"",IF(P115&lt;&gt;"",P115,IFERROR(IF(INDIRECT("'"&amp;P$86&amp;"'!"&amp;VLOOKUP(P$87,'List Values'!$C$3:$D$6,2,FALSE)&amp;ROW(P115))="","",INDIRECT("'"&amp;P$86&amp;"'!"&amp;VLOOKUP(P$87,'List Values'!$C$3:$D$6,2,FALSE)&amp;ROW(P115))*$H$6),IF($P$86&lt;&gt;"","Data Source Error",""))))</f>
        <v/>
      </c>
      <c r="S115" s="528"/>
      <c r="T115" s="904" t="str">
        <f ca="1">IF($H$7&lt;5,"",IF(S115&lt;&gt;"",S115,IFERROR(IF(INDIRECT("'"&amp;S$86&amp;"'!"&amp;VLOOKUP(S$87,'List Values'!$C$3:$D$6,2,FALSE)&amp;ROW(S115))="","",INDIRECT("'"&amp;S$86&amp;"'!"&amp;VLOOKUP(S$87,'List Values'!$C$3:$D$6,2,FALSE)&amp;ROW(S115))*$H$6),IF($S$86&lt;&gt;"","Data Source Error",""))))</f>
        <v/>
      </c>
      <c r="V115" s="528"/>
      <c r="W115" s="912" t="str">
        <f ca="1">IF($H$7&lt;6,"",IF(V115&lt;&gt;"",V115,IFERROR(IF(INDIRECT("'"&amp;V$86&amp;"'!"&amp;VLOOKUP(V$87,'List Values'!$C$3:$D$6,2,FALSE)&amp;ROW(V115))="","",INDIRECT("'"&amp;V$86&amp;"'!"&amp;VLOOKUP(V$87,'List Values'!$C$3:$D$6,2,FALSE)&amp;ROW(V115))*$H$6),IF($V$86&lt;&gt;"","Data Source Error",""))))</f>
        <v/>
      </c>
      <c r="Y115" s="2643"/>
      <c r="Z115" s="2644"/>
      <c r="AA115" s="2644"/>
      <c r="AB115" s="2645"/>
      <c r="AD115" s="52"/>
    </row>
    <row r="116" spans="1:30" ht="20.25" hidden="1" customHeight="1" outlineLevel="1">
      <c r="B116" s="2672"/>
      <c r="C116" s="2583" t="s">
        <v>828</v>
      </c>
      <c r="D116" s="2583"/>
      <c r="G116" s="564"/>
      <c r="H116" s="939">
        <f ca="1">IF(G116&lt;&gt;"",G116,IFERROR(IF(INDIRECT("'"&amp;G$86&amp;"'!"&amp;VLOOKUP(G$87,'List Values'!$C$3:$D$6,2,FALSE)&amp;ROW(G116))="","",INDIRECT("'"&amp;G$86&amp;"'!"&amp;VLOOKUP(G$87,'List Values'!$C$3:$D$6,2,FALSE)&amp;ROW(G116))*$H$6),IF($G$86&lt;&gt;"","Data Source Error","")))</f>
        <v>0</v>
      </c>
      <c r="I116" s="214"/>
      <c r="J116" s="573"/>
      <c r="K116" s="939">
        <f ca="1">IF($H$7&lt;2,"",IF(J116&lt;&gt;"",J116,IFERROR(IF(INDIRECT("'"&amp;J$86&amp;"'!"&amp;VLOOKUP(J$87,'List Values'!$C$3:$D$6,2,FALSE)&amp;ROW(J116))="","",INDIRECT("'"&amp;J$86&amp;"'!"&amp;VLOOKUP(J$87,'List Values'!$C$3:$D$6,2,FALSE)&amp;ROW(J116))*$H$6),IF($J$86&lt;&gt;"","Data Source Error",""))))</f>
        <v>0</v>
      </c>
      <c r="L116" s="214"/>
      <c r="M116" s="573"/>
      <c r="N116" s="939">
        <f ca="1">IF($H$7&lt;3,"",IF(M116&lt;&gt;"",M116,IFERROR(IF(INDIRECT("'"&amp;M$86&amp;"'!"&amp;VLOOKUP(M$87,'List Values'!$C$3:$D$6,2,FALSE)&amp;ROW(M116))="","",INDIRECT("'"&amp;M$86&amp;"'!"&amp;VLOOKUP(M$87,'List Values'!$C$3:$D$6,2,FALSE)&amp;ROW(M116))*$H$6),IF($M$86&lt;&gt;"","Data Source Error",""))))</f>
        <v>0</v>
      </c>
      <c r="O116" s="187"/>
      <c r="P116" s="528"/>
      <c r="Q116" s="904" t="str">
        <f ca="1">IF($H$7&lt;4,"",IF(P116&lt;&gt;"",P116,IFERROR(IF(INDIRECT("'"&amp;P$86&amp;"'!"&amp;VLOOKUP(P$87,'List Values'!$C$3:$D$6,2,FALSE)&amp;ROW(P116))="","",INDIRECT("'"&amp;P$86&amp;"'!"&amp;VLOOKUP(P$87,'List Values'!$C$3:$D$6,2,FALSE)&amp;ROW(P116))*$H$6),IF($P$86&lt;&gt;"","Data Source Error",""))))</f>
        <v/>
      </c>
      <c r="S116" s="528"/>
      <c r="T116" s="904" t="str">
        <f ca="1">IF($H$7&lt;5,"",IF(S116&lt;&gt;"",S116,IFERROR(IF(INDIRECT("'"&amp;S$86&amp;"'!"&amp;VLOOKUP(S$87,'List Values'!$C$3:$D$6,2,FALSE)&amp;ROW(S116))="","",INDIRECT("'"&amp;S$86&amp;"'!"&amp;VLOOKUP(S$87,'List Values'!$C$3:$D$6,2,FALSE)&amp;ROW(S116))*$H$6),IF($S$86&lt;&gt;"","Data Source Error",""))))</f>
        <v/>
      </c>
      <c r="V116" s="528"/>
      <c r="W116" s="912" t="str">
        <f ca="1">IF($H$7&lt;6,"",IF(V116&lt;&gt;"",V116,IFERROR(IF(INDIRECT("'"&amp;V$86&amp;"'!"&amp;VLOOKUP(V$87,'List Values'!$C$3:$D$6,2,FALSE)&amp;ROW(V116))="","",INDIRECT("'"&amp;V$86&amp;"'!"&amp;VLOOKUP(V$87,'List Values'!$C$3:$D$6,2,FALSE)&amp;ROW(V116))*$H$6),IF($V$86&lt;&gt;"","Data Source Error",""))))</f>
        <v/>
      </c>
      <c r="Y116" s="2643"/>
      <c r="Z116" s="2644"/>
      <c r="AA116" s="2644"/>
      <c r="AB116" s="2645"/>
      <c r="AD116" s="52"/>
    </row>
    <row r="117" spans="1:30" ht="35.25" hidden="1" customHeight="1" outlineLevel="1">
      <c r="B117" s="2673"/>
      <c r="C117" s="2664" t="s">
        <v>829</v>
      </c>
      <c r="D117" s="2664"/>
      <c r="E117" s="236"/>
      <c r="F117" s="236"/>
      <c r="G117" s="570"/>
      <c r="H117" s="893" t="str">
        <f ca="1">IF(G117&lt;&gt;"",G117,IFERROR(IF(INDIRECT("'"&amp;G$86&amp;"'!"&amp;VLOOKUP(G$87,'List Values'!$C$3:$D$6,2,FALSE)&amp;ROW(G117))="","",INDIRECT("'"&amp;G$86&amp;"'!"&amp;VLOOKUP(G$87,'List Values'!$C$3:$D$6,2,FALSE)&amp;ROW(G117))),IF($G$86&lt;&gt;"","Data Source Error","")))</f>
        <v>Downstream</v>
      </c>
      <c r="I117" s="275"/>
      <c r="J117" s="570"/>
      <c r="K117" s="893" t="str">
        <f ca="1">IF($H$7&lt;2,"",IF(J117&lt;&gt;"",J117,IFERROR(IF(INDIRECT("'"&amp;J$86&amp;"'!"&amp;VLOOKUP(J$87,'List Values'!$C$3:$D$6,2,FALSE)&amp;ROW(J117))="","",INDIRECT("'"&amp;J$86&amp;"'!"&amp;VLOOKUP(J$87,'List Values'!$C$3:$D$6,2,FALSE)&amp;ROW(J117))),IF($J$86&lt;&gt;"","Data Source Error",""))))</f>
        <v>Downstream</v>
      </c>
      <c r="L117" s="275"/>
      <c r="M117" s="570"/>
      <c r="N117" s="933" t="str">
        <f ca="1">IF($H$7&lt;3,"",IF(M117&lt;&gt;"",M117,IFERROR(IF(INDIRECT("'"&amp;M$86&amp;"'!"&amp;VLOOKUP(M$87,'List Values'!$C$3:$D$6,2,FALSE)&amp;ROW(M117))="","",INDIRECT("'"&amp;M$86&amp;"'!"&amp;VLOOKUP(M$87,'List Values'!$C$3:$D$6,2,FALSE)&amp;ROW(M117))),IF($M$86&lt;&gt;"","Data Source Error",""))))</f>
        <v>Upstream</v>
      </c>
      <c r="O117" s="236"/>
      <c r="P117" s="570"/>
      <c r="Q117" s="940" t="str">
        <f ca="1">IF($H$7&lt;4,"",IF(P117&lt;&gt;"",P117,IFERROR(IF(INDIRECT("'"&amp;P$86&amp;"'!"&amp;VLOOKUP(P$87,'List Values'!$C$3:$D$6,2,FALSE)&amp;ROW(P117))="","",INDIRECT("'"&amp;P$86&amp;"'!"&amp;VLOOKUP(P$87,'List Values'!$C$3:$D$6,2,FALSE)&amp;ROW(P117))),IF($P$86&lt;&gt;"","Data Source Error",""))))</f>
        <v/>
      </c>
      <c r="S117" s="570"/>
      <c r="T117" s="940" t="str">
        <f ca="1">IF($H$7&lt;5,"",IF(S117&lt;&gt;"",S117,IFERROR(IF(INDIRECT("'"&amp;S$86&amp;"'!"&amp;VLOOKUP(S$87,'List Values'!$C$3:$D$6,2,FALSE)&amp;ROW(S117))="","",INDIRECT("'"&amp;S$86&amp;"'!"&amp;VLOOKUP(S$87,'List Values'!$C$3:$D$6,2,FALSE)&amp;ROW(S117))),IF($S$86&lt;&gt;"","Data Source Error",""))))</f>
        <v/>
      </c>
      <c r="V117" s="570"/>
      <c r="W117" s="954" t="str">
        <f ca="1">IF($H$7&lt;6,"",IF(V117&lt;&gt;"",V117,IFERROR(IF(INDIRECT("'"&amp;V$86&amp;"'!"&amp;VLOOKUP(V$87,'List Values'!$C$3:$D$6,2,FALSE)&amp;ROW(V117))="","",INDIRECT("'"&amp;V$86&amp;"'!"&amp;VLOOKUP(V$87,'List Values'!$C$3:$D$6,2,FALSE)&amp;ROW(V117))),IF($V$86&lt;&gt;"","Data Source Error",""))))</f>
        <v/>
      </c>
      <c r="Y117" s="2657"/>
      <c r="Z117" s="2658"/>
      <c r="AA117" s="2658"/>
      <c r="AB117" s="2659"/>
      <c r="AD117" s="52"/>
    </row>
    <row r="118" spans="1:30" ht="28.5" customHeight="1">
      <c r="A118" s="630" t="s">
        <v>654</v>
      </c>
      <c r="C118" s="130"/>
      <c r="D118" s="130"/>
      <c r="E118" s="130"/>
      <c r="G118" s="121"/>
      <c r="H118" s="69"/>
      <c r="K118" s="69"/>
      <c r="N118" s="69"/>
      <c r="Q118" s="69"/>
    </row>
    <row r="119" spans="1:30" ht="26.25" customHeight="1" collapsed="1">
      <c r="B119" s="2048" t="s">
        <v>603</v>
      </c>
      <c r="C119" s="596"/>
      <c r="D119" s="596"/>
      <c r="E119" s="596"/>
      <c r="F119" s="596"/>
      <c r="G119" s="597"/>
      <c r="H119" s="594"/>
      <c r="I119" s="596"/>
      <c r="J119" s="597"/>
      <c r="K119" s="594"/>
      <c r="L119" s="596"/>
      <c r="M119" s="597"/>
      <c r="N119" s="594"/>
      <c r="O119" s="596"/>
      <c r="P119" s="2660"/>
      <c r="Q119" s="2660"/>
      <c r="R119" s="594"/>
      <c r="S119" s="2660"/>
      <c r="T119" s="2660"/>
      <c r="U119" s="594"/>
      <c r="V119" s="2660"/>
      <c r="W119" s="2660"/>
      <c r="X119" s="86"/>
    </row>
    <row r="120" spans="1:30" ht="19.5" hidden="1" customHeight="1" outlineLevel="1">
      <c r="B120" s="505"/>
      <c r="C120" s="36"/>
      <c r="D120" s="36"/>
      <c r="E120" s="36"/>
      <c r="F120" s="36"/>
      <c r="G120" s="2674" t="str">
        <f ca="1">"Management at "&amp;H88</f>
        <v>Management at CMS</v>
      </c>
      <c r="H120" s="2678"/>
      <c r="I120" s="129"/>
      <c r="J120" s="2674" t="str">
        <f ca="1">"Management at "&amp;K88</f>
        <v>Management at Regional WH</v>
      </c>
      <c r="K120" s="2678"/>
      <c r="L120" s="129"/>
      <c r="M120" s="2674" t="str">
        <f ca="1">"Management at "&amp;N88</f>
        <v>Management at Health Facility</v>
      </c>
      <c r="N120" s="2678"/>
      <c r="O120" s="506"/>
      <c r="P120" s="2674" t="str">
        <f ca="1">"Management at "&amp;Q88</f>
        <v xml:space="preserve">Management at </v>
      </c>
      <c r="Q120" s="2678"/>
      <c r="R120" s="236"/>
      <c r="S120" s="2674" t="str">
        <f ca="1">"Management at "&amp;T88</f>
        <v xml:space="preserve">Management at </v>
      </c>
      <c r="T120" s="2678"/>
      <c r="U120" s="236"/>
      <c r="V120" s="2674" t="str">
        <f ca="1">"Management at "&amp;W88</f>
        <v xml:space="preserve">Management at </v>
      </c>
      <c r="W120" s="2675"/>
      <c r="X120" s="86"/>
      <c r="Y120" s="2619" t="s">
        <v>673</v>
      </c>
      <c r="Z120" s="2620"/>
      <c r="AA120" s="2620"/>
      <c r="AB120" s="2621"/>
    </row>
    <row r="121" spans="1:30" ht="52.5" hidden="1" customHeight="1" outlineLevel="1">
      <c r="A121" s="1"/>
      <c r="B121" s="2676" t="s">
        <v>5462</v>
      </c>
      <c r="C121" s="2676"/>
      <c r="D121" s="2676"/>
      <c r="E121" s="183"/>
      <c r="F121" s="183"/>
      <c r="G121" s="575"/>
      <c r="H121" s="955" t="str">
        <f ca="1">IF(G121&lt;&gt;"",G121,IFERROR(IF(INDIRECT("'"&amp;G$86&amp;"'!"&amp;VLOOKUP(G$87,'List Values'!$C$3:$D$6,2,FALSE)&amp;ROW(G121))="","",INDIRECT("'"&amp;G$86&amp;"'!"&amp;VLOOKUP(G$87,'List Values'!$C$3:$D$6,2,FALSE)&amp;ROW(G121))),IF($G$86&lt;&gt;"","Data Source Error","")))</f>
        <v>Cost per facility</v>
      </c>
      <c r="I121" s="201"/>
      <c r="J121" s="575"/>
      <c r="K121" s="955" t="str">
        <f ca="1">IF($H$7&lt;2,"",IF(J121&lt;&gt;"",J121,IFERROR(IF(INDIRECT("'"&amp;J$86&amp;"'!"&amp;VLOOKUP(J$87,'List Values'!$C$3:$D$6,2,FALSE)&amp;ROW(J121))="","",INDIRECT("'"&amp;J$86&amp;"'!"&amp;VLOOKUP(J$87,'List Values'!$C$3:$D$6,2,FALSE)&amp;ROW(J121))),IF($J$86&lt;&gt;"","Data Source Error",""))))</f>
        <v>Cost per facility</v>
      </c>
      <c r="L121" s="201"/>
      <c r="M121" s="575"/>
      <c r="N121" s="955" t="str">
        <f ca="1">IF($H$7&lt;3,"",IF(M121&lt;&gt;"",M121,IFERROR(IF(INDIRECT("'"&amp;M$86&amp;"'!"&amp;VLOOKUP(M$87,'List Values'!$C$3:$D$6,2,FALSE)&amp;ROW(M121))="","",INDIRECT("'"&amp;M$86&amp;"'!"&amp;VLOOKUP(M$87,'List Values'!$C$3:$D$6,2,FALSE)&amp;ROW(M121))),IF($M$86&lt;&gt;"","Data Source Error",""))))</f>
        <v>Cost per facility</v>
      </c>
      <c r="O121" s="183"/>
      <c r="P121" s="578"/>
      <c r="Q121" s="955" t="str">
        <f ca="1">IF($H$7&lt;4,"",IF(P121&lt;&gt;"",P121,IFERROR(IF(INDIRECT("'"&amp;P$86&amp;"'!"&amp;VLOOKUP(P$87,'List Values'!$C$3:$D$6,2,FALSE)&amp;ROW(P121))="","",INDIRECT("'"&amp;P$86&amp;"'!"&amp;VLOOKUP(P$87,'List Values'!$C$3:$D$6,2,FALSE)&amp;ROW(P121))),IF($P$86&lt;&gt;"","Data Source Error",""))))</f>
        <v/>
      </c>
      <c r="S121" s="578"/>
      <c r="T121" s="955" t="str">
        <f ca="1">IF($H$7&lt;5,"",IF(S121&lt;&gt;"",S121,IFERROR(IF(INDIRECT("'"&amp;S$86&amp;"'!"&amp;VLOOKUP(S$87,'List Values'!$C$3:$D$6,2,FALSE)&amp;ROW(S121))="","",INDIRECT("'"&amp;S$86&amp;"'!"&amp;VLOOKUP(S$87,'List Values'!$C$3:$D$6,2,FALSE)&amp;ROW(S121))),IF($S$86&lt;&gt;"","Data Source Error",""))))</f>
        <v/>
      </c>
      <c r="V121" s="578"/>
      <c r="W121" s="958" t="str">
        <f ca="1">IF($H$7&lt;6,"",IF(V121&lt;&gt;"",V121,IFERROR(IF(INDIRECT("'"&amp;V$86&amp;"'!"&amp;VLOOKUP(V$87,'List Values'!$C$3:$D$6,2,FALSE)&amp;ROW(V121))="","",INDIRECT("'"&amp;V$86&amp;"'!"&amp;VLOOKUP(V$87,'List Values'!$C$3:$D$6,2,FALSE)&amp;ROW(V121))),IF($V$86&lt;&gt;"","Data Source Error",""))))</f>
        <v/>
      </c>
      <c r="Y121" s="2643"/>
      <c r="Z121" s="2644"/>
      <c r="AA121" s="2644"/>
      <c r="AB121" s="2645"/>
    </row>
    <row r="122" spans="1:30" ht="30" hidden="1" customHeight="1" outlineLevel="1">
      <c r="B122" s="2677" t="s">
        <v>5463</v>
      </c>
      <c r="C122" s="2677"/>
      <c r="D122" s="2677"/>
      <c r="E122" s="187"/>
      <c r="F122" s="187"/>
      <c r="G122" s="576"/>
      <c r="H122" s="956">
        <f ca="1">IF(G122&lt;&gt;"",G122,IFERROR(IF(INDIRECT("'"&amp;G$86&amp;"'!"&amp;VLOOKUP(G$87,'List Values'!$C$3:$D$6,2,FALSE)&amp;ROW(G122))="","",INDIRECT("'"&amp;G$86&amp;"'!"&amp;VLOOKUP(G$87,'List Values'!$C$3:$D$6,2,FALSE)&amp;ROW(G122))*$H$6),IF($G$86&lt;&gt;"","Data Source Error","")))</f>
        <v>68518.335535384278</v>
      </c>
      <c r="I122" s="217"/>
      <c r="J122" s="576"/>
      <c r="K122" s="956">
        <f ca="1">IF($H$7&lt;2,"",IF(J122&lt;&gt;"",J122,IFERROR(IF(INDIRECT("'"&amp;J$86&amp;"'!"&amp;VLOOKUP(J$87,'List Values'!$C$3:$D$6,2,FALSE)&amp;ROW(J122))="","",INDIRECT("'"&amp;J$86&amp;"'!"&amp;VLOOKUP(J$87,'List Values'!$C$3:$D$6,2,FALSE)&amp;ROW(J122))*$H$6),IF($J$86&lt;&gt;"","Data Source Error",""))))</f>
        <v>13104</v>
      </c>
      <c r="L122" s="217"/>
      <c r="M122" s="576"/>
      <c r="N122" s="956">
        <f ca="1">IF($H$7&lt;3,"",IF(M122&lt;&gt;"",M122,IFERROR(IF(INDIRECT("'"&amp;M$86&amp;"'!"&amp;VLOOKUP(M$87,'List Values'!$C$3:$D$6,2,FALSE)&amp;ROW(M122))="","",INDIRECT("'"&amp;M$86&amp;"'!"&amp;VLOOKUP(M$87,'List Values'!$C$3:$D$6,2,FALSE)&amp;ROW(M122))*$H$6),IF($M$86&lt;&gt;"","Data Source Error",""))))</f>
        <v>146.23868975562249</v>
      </c>
      <c r="O122" s="187"/>
      <c r="P122" s="528"/>
      <c r="Q122" s="956" t="str">
        <f ca="1">IF($H$7&lt;4,"",IF(P122&lt;&gt;"",P122,IFERROR(IF(INDIRECT("'"&amp;P$86&amp;"'!"&amp;VLOOKUP(P$87,'List Values'!$C$3:$D$6,2,FALSE)&amp;ROW(P122))="","",INDIRECT("'"&amp;P$86&amp;"'!"&amp;VLOOKUP(P$87,'List Values'!$C$3:$D$6,2,FALSE)&amp;ROW(P122))*$H$6),IF($P$86&lt;&gt;"","Data Source Error",""))))</f>
        <v/>
      </c>
      <c r="S122" s="528"/>
      <c r="T122" s="956" t="str">
        <f ca="1">IF($H$7&lt;5,"",IF(S122&lt;&gt;"",S122,IFERROR(IF(INDIRECT("'"&amp;S$86&amp;"'!"&amp;VLOOKUP(S$87,'List Values'!$C$3:$D$6,2,FALSE)&amp;ROW(S122))="","",INDIRECT("'"&amp;S$86&amp;"'!"&amp;VLOOKUP(S$87,'List Values'!$C$3:$D$6,2,FALSE)&amp;ROW(S122))*$H$6),IF($S$86&lt;&gt;"","Data Source Error",""))))</f>
        <v/>
      </c>
      <c r="V122" s="528"/>
      <c r="W122" s="959" t="str">
        <f ca="1">IF($H$7&lt;6,"",IF(V122&lt;&gt;"",V122,IFERROR(IF(INDIRECT("'"&amp;V$86&amp;"'!"&amp;VLOOKUP(V$87,'List Values'!$C$3:$D$6,2,FALSE)&amp;ROW(V122))="","",INDIRECT("'"&amp;V$86&amp;"'!"&amp;VLOOKUP(V$87,'List Values'!$C$3:$D$6,2,FALSE)&amp;ROW(V122))*$H$6),IF($V$86&lt;&gt;"","Data Source Error",""))))</f>
        <v/>
      </c>
      <c r="Y122" s="2643"/>
      <c r="Z122" s="2644"/>
      <c r="AA122" s="2644"/>
      <c r="AB122" s="2645"/>
    </row>
    <row r="123" spans="1:30" ht="30.45" hidden="1" customHeight="1" outlineLevel="1">
      <c r="B123" s="2681" t="s">
        <v>5464</v>
      </c>
      <c r="C123" s="2681"/>
      <c r="D123" s="2681"/>
      <c r="E123" s="196"/>
      <c r="F123" s="196"/>
      <c r="G123" s="577"/>
      <c r="H123" s="957">
        <f ca="1">IF(G123&lt;&gt;"",G123,IFERROR(IF(INDIRECT("'"&amp;G$86&amp;"'!"&amp;VLOOKUP(G$87,'List Values'!$C$3:$D$6,2,FALSE)&amp;ROW(G123))="","",INDIRECT("'"&amp;G$86&amp;"'!"&amp;VLOOKUP(G$87,'List Values'!$C$3:$D$6,2,FALSE)&amp;ROW(G123))),IF($G$86&lt;&gt;"","Data Source Error","")))</f>
        <v>5.5705963849905903E-3</v>
      </c>
      <c r="I123" s="510"/>
      <c r="J123" s="577"/>
      <c r="K123" s="957">
        <f ca="1">IF($H$7&lt;2,"",IF(J123&lt;&gt;"",J123,IFERROR(IF(INDIRECT("'"&amp;J$86&amp;"'!"&amp;VLOOKUP(J$87,'List Values'!$C$3:$D$6,2,FALSE)&amp;ROW(J123))="","",INDIRECT("'"&amp;J$86&amp;"'!"&amp;VLOOKUP(J$87,'List Values'!$C$3:$D$6,2,FALSE)&amp;ROW(J123))),IF($J$86&lt;&gt;"","Data Source Error",""))))</f>
        <v>1.0653658536585366E-3</v>
      </c>
      <c r="L123" s="510"/>
      <c r="M123" s="577"/>
      <c r="N123" s="957">
        <f ca="1">IF($H$7&lt;3,"",IF(M123&lt;&gt;"",M123,IFERROR(IF(INDIRECT("'"&amp;M$86&amp;"'!"&amp;VLOOKUP(M$87,'List Values'!$C$3:$D$6,2,FALSE)&amp;ROW(M123))="","",INDIRECT("'"&amp;M$86&amp;"'!"&amp;VLOOKUP(M$87,'List Values'!$C$3:$D$6,2,FALSE)&amp;ROW(M123))),IF($M$86&lt;&gt;"","Data Source Error",""))))</f>
        <v>4.1018169077796547E-3</v>
      </c>
      <c r="O123" s="196"/>
      <c r="P123" s="530"/>
      <c r="Q123" s="957" t="str">
        <f ca="1">IF($H$7&lt;4,"",IF(P123&lt;&gt;"",P123,IFERROR(IF(INDIRECT("'"&amp;P$86&amp;"'!"&amp;VLOOKUP(P$87,'List Values'!$C$3:$D$6,2,FALSE)&amp;ROW(P123))="","",INDIRECT("'"&amp;P$86&amp;"'!"&amp;VLOOKUP(P$87,'List Values'!$C$3:$D$6,2,FALSE)&amp;ROW(P123))),IF($P$86&lt;&gt;"","Data Source Error",""))))</f>
        <v/>
      </c>
      <c r="R123" s="236"/>
      <c r="S123" s="530"/>
      <c r="T123" s="957" t="str">
        <f ca="1">IF($H$7&lt;5,"",IF(S123&lt;&gt;"",S123,IFERROR(IF(INDIRECT("'"&amp;S$86&amp;"'!"&amp;VLOOKUP(S$87,'List Values'!$C$3:$D$6,2,FALSE)&amp;ROW(S123))="","",INDIRECT("'"&amp;S$86&amp;"'!"&amp;VLOOKUP(S$87,'List Values'!$C$3:$D$6,2,FALSE)&amp;ROW(S123))),IF($S$86&lt;&gt;"","Data Source Error",""))))</f>
        <v/>
      </c>
      <c r="U123" s="236"/>
      <c r="V123" s="530"/>
      <c r="W123" s="960" t="str">
        <f ca="1">IF($H$7&lt;6,"",IF(V123&lt;&gt;"",V123,IFERROR(IF(INDIRECT("'"&amp;V$86&amp;"'!"&amp;VLOOKUP(V$87,'List Values'!$C$3:$D$6,2,FALSE)&amp;ROW(V123))="","",INDIRECT("'"&amp;V$86&amp;"'!"&amp;VLOOKUP(V$87,'List Values'!$C$3:$D$6,2,FALSE)&amp;ROW(V123))),IF($V$86&lt;&gt;"","Data Source Error",""))))</f>
        <v/>
      </c>
      <c r="Y123" s="2657"/>
      <c r="Z123" s="2658"/>
      <c r="AA123" s="2658"/>
      <c r="AB123" s="2659"/>
    </row>
    <row r="124" spans="1:30" ht="21" customHeight="1">
      <c r="A124" s="212" t="s">
        <v>352</v>
      </c>
      <c r="C124" s="130"/>
      <c r="D124" s="130"/>
      <c r="E124" s="130"/>
      <c r="G124" s="121"/>
      <c r="H124" s="69"/>
      <c r="K124" s="69"/>
      <c r="N124" s="69"/>
      <c r="Q124" s="69"/>
    </row>
    <row r="125" spans="1:30" ht="16" customHeight="1">
      <c r="A125" s="1"/>
      <c r="W125" s="4"/>
    </row>
    <row r="126" spans="1:30" ht="16" customHeight="1">
      <c r="A126" s="1"/>
      <c r="H126" s="147"/>
      <c r="W126" s="4"/>
    </row>
    <row r="127" spans="1:30" ht="16" customHeight="1">
      <c r="A127" s="1"/>
      <c r="W127" s="4"/>
    </row>
    <row r="128" spans="1:30" ht="16" customHeight="1">
      <c r="A128" s="1"/>
      <c r="W128" s="4"/>
    </row>
    <row r="129" spans="1:28" ht="41.25" customHeight="1">
      <c r="B129" s="2318" t="s">
        <v>606</v>
      </c>
      <c r="C129" s="2318"/>
      <c r="D129" s="2318"/>
      <c r="E129" s="496"/>
      <c r="F129" s="496"/>
      <c r="G129" s="497"/>
      <c r="H129" s="498"/>
      <c r="I129" s="2032"/>
      <c r="J129" s="212" t="s">
        <v>674</v>
      </c>
    </row>
    <row r="130" spans="1:28" s="52" customFormat="1" ht="24" customHeight="1" collapsed="1">
      <c r="B130" s="2727" t="s">
        <v>2498</v>
      </c>
      <c r="C130" s="2727"/>
      <c r="D130" s="2727"/>
      <c r="E130" s="2727"/>
      <c r="F130" s="2727"/>
      <c r="G130" s="2727"/>
      <c r="H130" s="2727"/>
      <c r="I130" s="601"/>
      <c r="J130" s="2683" t="str">
        <f ca="1">H88&amp;"  to  "&amp;K88</f>
        <v>CMS  to  Regional WH</v>
      </c>
      <c r="K130" s="2683"/>
      <c r="L130" s="601"/>
      <c r="M130" s="2683" t="str">
        <f ca="1">K88&amp;"  to  "&amp;N88</f>
        <v>Regional WH  to  Health Facility</v>
      </c>
      <c r="N130" s="2683"/>
      <c r="O130" s="601"/>
      <c r="P130" s="2683" t="str">
        <f ca="1">N88&amp;"  to  "&amp;Q88</f>
        <v xml:space="preserve">Health Facility  to  </v>
      </c>
      <c r="Q130" s="2683"/>
      <c r="R130" s="601"/>
      <c r="S130" s="2683" t="str">
        <f ca="1">Q88&amp;"  to  "&amp;T88</f>
        <v xml:space="preserve">  to  </v>
      </c>
      <c r="T130" s="2683"/>
      <c r="U130" s="601"/>
      <c r="V130" s="2683" t="str">
        <f ca="1">T88&amp;"  to  "&amp;W88</f>
        <v xml:space="preserve">  to  </v>
      </c>
      <c r="W130" s="2683"/>
    </row>
    <row r="131" spans="1:28" s="52" customFormat="1" ht="1.5" hidden="1" customHeight="1" outlineLevel="1">
      <c r="B131" s="2727"/>
      <c r="C131" s="2727"/>
      <c r="D131" s="2727"/>
      <c r="E131" s="2727"/>
      <c r="F131" s="2727"/>
      <c r="G131" s="2727"/>
      <c r="H131" s="2727"/>
      <c r="I131" s="601"/>
      <c r="J131" s="602"/>
      <c r="K131" s="602"/>
      <c r="L131" s="1207"/>
      <c r="M131" s="602"/>
      <c r="N131" s="602"/>
      <c r="O131" s="601"/>
      <c r="P131" s="602"/>
      <c r="Q131" s="602"/>
      <c r="R131" s="603"/>
      <c r="S131" s="602"/>
      <c r="T131" s="602"/>
      <c r="U131" s="603"/>
      <c r="V131" s="602"/>
      <c r="W131" s="602"/>
    </row>
    <row r="132" spans="1:28" s="52" customFormat="1" ht="30.75" hidden="1" customHeight="1" outlineLevel="1">
      <c r="B132" s="2727"/>
      <c r="C132" s="2727"/>
      <c r="D132" s="2727"/>
      <c r="E132" s="2727"/>
      <c r="F132" s="2727"/>
      <c r="G132" s="2727"/>
      <c r="H132" s="2727"/>
      <c r="I132" s="1206"/>
      <c r="J132" s="2046" t="s">
        <v>17</v>
      </c>
      <c r="K132" s="1208" t="s">
        <v>10</v>
      </c>
      <c r="L132" s="2032"/>
      <c r="M132" s="2046" t="s">
        <v>17</v>
      </c>
      <c r="N132" s="1208" t="s">
        <v>10</v>
      </c>
      <c r="O132"/>
      <c r="P132" s="1209" t="s">
        <v>17</v>
      </c>
      <c r="Q132" s="1210" t="s">
        <v>10</v>
      </c>
      <c r="R132"/>
      <c r="S132" s="1209" t="s">
        <v>17</v>
      </c>
      <c r="T132" s="1210" t="s">
        <v>10</v>
      </c>
      <c r="U132"/>
      <c r="V132" s="1209" t="s">
        <v>17</v>
      </c>
      <c r="W132" s="1210" t="s">
        <v>10</v>
      </c>
      <c r="Y132" s="2619" t="s">
        <v>673</v>
      </c>
      <c r="Z132" s="2620"/>
      <c r="AA132" s="2620"/>
      <c r="AB132" s="2621"/>
    </row>
    <row r="133" spans="1:28" ht="32.25" hidden="1" customHeight="1" outlineLevel="1">
      <c r="A133" s="1"/>
      <c r="B133" s="2679" t="s">
        <v>2509</v>
      </c>
      <c r="C133" s="2679"/>
      <c r="D133" s="2679"/>
      <c r="E133" s="35"/>
      <c r="F133" s="35"/>
      <c r="G133" s="646"/>
      <c r="H133" s="647"/>
      <c r="I133" s="51"/>
      <c r="J133" s="586"/>
      <c r="K133" s="1203">
        <f ca="1">IF($H$7&lt;2,0,IF(J133&lt;&gt;"",J133,IFERROR(IF(INDIRECT("'"&amp;J$86&amp;"'!"&amp;VLOOKUP(J$87,'List Values'!$C$3:$D$6,2,FALSE)&amp;ROW(J133))="",0,INDIRECT("'"&amp;J$86&amp;"'!"&amp;VLOOKUP(J$87,'List Values'!$C$3:$D$6,2,FALSE)&amp;ROW(J133))),IF(J$86&lt;&gt;"","Data Source Error",0))))</f>
        <v>1</v>
      </c>
      <c r="L133" s="51"/>
      <c r="M133" s="586"/>
      <c r="N133" s="1203">
        <f ca="1">IF($H$7&lt;3,0,IF(M133&lt;&gt;"",M133,IFERROR(IF(INDIRECT("'"&amp;M$86&amp;"'!"&amp;VLOOKUP(M$87,'List Values'!$C$3:$D$6,2,FALSE)&amp;ROW(M133))="",0,INDIRECT("'"&amp;M$86&amp;"'!"&amp;VLOOKUP(M$87,'List Values'!$C$3:$D$6,2,FALSE)&amp;ROW(M133))),IF(M$86&lt;&gt;"","Data Source Error",0))))</f>
        <v>1</v>
      </c>
      <c r="O133" s="51"/>
      <c r="P133" s="1204">
        <v>3</v>
      </c>
      <c r="Q133" s="1203">
        <f ca="1">IF($H$7&lt;4,0,IF(P133&lt;&gt;"",P133,IFERROR(IF(INDIRECT("'"&amp;P$86&amp;"'!"&amp;VLOOKUP(P$87,'List Values'!$C$3:$D$6,2,FALSE)&amp;ROW(P133))="",0,INDIRECT("'"&amp;P$86&amp;"'!"&amp;VLOOKUP(P$87,'List Values'!$C$3:$D$6,2,FALSE)&amp;ROW(P133))),IF(P$86&lt;&gt;"","Data Source Error",0))))</f>
        <v>0</v>
      </c>
      <c r="S133" s="1204">
        <v>3</v>
      </c>
      <c r="T133" s="1203">
        <f ca="1">IF($H$7&lt;5,0,IF(S133&lt;&gt;"",S133,IFERROR(IF(INDIRECT("'"&amp;S$86&amp;"'!"&amp;VLOOKUP(S$87,'List Values'!$C$3:$D$6,2,FALSE)&amp;ROW(S133))="",0,INDIRECT("'"&amp;S$86&amp;"'!"&amp;VLOOKUP(S$87,'List Values'!$C$3:$D$6,2,FALSE)&amp;ROW(S133))),IF(S$86&lt;&gt;"","Data Source Error",0))))</f>
        <v>0</v>
      </c>
      <c r="V133" s="1204">
        <v>3</v>
      </c>
      <c r="W133" s="1205">
        <f ca="1">IF($H$7&lt;6,0,IF(V133&lt;&gt;"",V133,IFERROR(IF(INDIRECT("'"&amp;V$86&amp;"'!"&amp;VLOOKUP(V$87,'List Values'!$C$3:$D$6,2,FALSE)&amp;ROW(V133))="",0,INDIRECT("'"&amp;V$86&amp;"'!"&amp;VLOOKUP(V$87,'List Values'!$C$3:$D$6,2,FALSE)&amp;ROW(V133))),IF(V$86&lt;&gt;"","Data Source Error",0))))</f>
        <v>0</v>
      </c>
      <c r="Y133" s="2643"/>
      <c r="Z133" s="2644"/>
      <c r="AA133" s="2644"/>
      <c r="AB133" s="2645"/>
    </row>
    <row r="134" spans="1:28" ht="21" customHeight="1" collapsed="1">
      <c r="A134" s="1"/>
      <c r="B134" s="2049" t="s">
        <v>609</v>
      </c>
      <c r="C134" s="2050"/>
      <c r="D134" s="2050"/>
      <c r="E134" s="604"/>
      <c r="F134" s="604"/>
      <c r="G134" s="604"/>
      <c r="H134" s="604"/>
      <c r="I134" s="605"/>
      <c r="J134" s="606"/>
      <c r="K134" s="961"/>
      <c r="L134" s="605"/>
      <c r="M134" s="606"/>
      <c r="N134" s="961"/>
      <c r="O134" s="605"/>
      <c r="P134" s="607"/>
      <c r="Q134" s="961"/>
      <c r="R134" s="608"/>
      <c r="S134" s="607"/>
      <c r="T134" s="961"/>
      <c r="U134" s="608"/>
      <c r="V134" s="607"/>
      <c r="W134" s="961"/>
      <c r="Y134" s="631"/>
      <c r="Z134" s="631"/>
      <c r="AA134" s="631"/>
      <c r="AB134" s="631"/>
    </row>
    <row r="135" spans="1:28" ht="18.75" hidden="1" customHeight="1" outlineLevel="1">
      <c r="A135" s="252"/>
      <c r="B135" s="2051"/>
      <c r="C135" s="2726" t="s">
        <v>631</v>
      </c>
      <c r="D135" s="2726"/>
      <c r="E135" s="202"/>
      <c r="F135" s="202"/>
      <c r="G135" s="634"/>
      <c r="H135" s="635"/>
      <c r="I135" s="52"/>
      <c r="J135" s="581"/>
      <c r="K135" s="962">
        <f ca="1">IF(OR($H$7&lt;2,K$133&lt;1),"",IF(J135&lt;&gt;"",J135,IFERROR(IF(INDIRECT("'"&amp;J$86&amp;"'!"&amp;VLOOKUP(J$87,'List Values'!$C$3:$D$6,2,FALSE)&amp;ROW(J135))="","",INDIRECT("'"&amp;J$86&amp;"'!"&amp;VLOOKUP(J$87,'List Values'!$C$3:$D$6,2,FALSE)&amp;ROW(J135))),IF(J$86&lt;&gt;"","Data Source Error",""))))</f>
        <v>1</v>
      </c>
      <c r="L135" s="626"/>
      <c r="M135" s="581"/>
      <c r="N135" s="962">
        <f ca="1">IF(OR($H$7&lt;3,N$133&lt;1),"",IF(M135&lt;&gt;"",M135,IFERROR(IF(INDIRECT("'"&amp;M$86&amp;"'!"&amp;VLOOKUP(M$87,'List Values'!$C$3:$D$6,2,FALSE)&amp;ROW(M135))="","",INDIRECT("'"&amp;M$86&amp;"'!"&amp;VLOOKUP(M$87,'List Values'!$C$3:$D$6,2,FALSE)&amp;ROW(M135))),IF(M$86&lt;&gt;"","Data Source Error",""))))</f>
        <v>1</v>
      </c>
      <c r="O135" s="627"/>
      <c r="P135" s="585"/>
      <c r="Q135" s="967" t="str">
        <f ca="1">IF(OR($H$7&lt;4,Q$133&lt;1),"",IF(P135&lt;&gt;"",P135,IFERROR(IF(INDIRECT("'"&amp;P$86&amp;"'!"&amp;VLOOKUP(P$87,'List Values'!$C$3:$D$6,2,FALSE)&amp;ROW(P135))="","",INDIRECT("'"&amp;P$86&amp;"'!"&amp;VLOOKUP(P$87,'List Values'!$C$3:$D$6,2,FALSE)&amp;ROW(P135))),IF(P$86&lt;&gt;"","Data Source Error",""))))</f>
        <v/>
      </c>
      <c r="R135" s="460"/>
      <c r="S135" s="585"/>
      <c r="T135" s="967" t="str">
        <f ca="1">IF(OR($H$7&lt;5,T$133&lt;1),"",IF(S135&lt;&gt;"",S135,IFERROR(IF(INDIRECT("'"&amp;S$86&amp;"'!"&amp;VLOOKUP(S$87,'List Values'!$C$3:$D$6,2,FALSE)&amp;ROW(S135))="","",INDIRECT("'"&amp;S$86&amp;"'!"&amp;VLOOKUP(S$87,'List Values'!$C$3:$D$6,2,FALSE)&amp;ROW(S135))),IF(S$86&lt;&gt;"","Data Source Error",""))))</f>
        <v/>
      </c>
      <c r="U135" s="460"/>
      <c r="V135" s="585"/>
      <c r="W135" s="973" t="str">
        <f ca="1">IF(OR($H$7&lt;6,W$133&lt;1),"",IF(V135&lt;&gt;"",V135,IFERROR(IF(INDIRECT("'"&amp;V$86&amp;"'!"&amp;VLOOKUP(V$87,'List Values'!$C$3:$D$6,2,FALSE)&amp;ROW(V135))="","",INDIRECT("'"&amp;V$86&amp;"'!"&amp;VLOOKUP(V$87,'List Values'!$C$3:$D$6,2,FALSE)&amp;ROW(V135))),IF(V$86&lt;&gt;"","Data Source Error",""))))</f>
        <v/>
      </c>
      <c r="Y135" s="2643"/>
      <c r="Z135" s="2644"/>
      <c r="AA135" s="2644"/>
      <c r="AB135" s="2645"/>
    </row>
    <row r="136" spans="1:28" ht="28.5" hidden="1" customHeight="1" outlineLevel="1">
      <c r="A136" s="252"/>
      <c r="B136" s="2051"/>
      <c r="C136" s="2729" t="s">
        <v>633</v>
      </c>
      <c r="D136" s="2729"/>
      <c r="E136" s="2041"/>
      <c r="F136" s="2041"/>
      <c r="G136" s="636"/>
      <c r="H136" s="636"/>
      <c r="I136" s="520"/>
      <c r="J136" s="526"/>
      <c r="K136" s="963" t="str">
        <f ca="1">IF(OR($H$7&lt;2,K$133&lt;1),"",IF(J136&lt;&gt;"",J136,IFERROR(IF(INDIRECT("'"&amp;J$86&amp;"'!"&amp;VLOOKUP(J$87,'List Values'!$C$3:$D$6,2,FALSE)&amp;ROW(J136))="","",INDIRECT("'"&amp;J$86&amp;"'!"&amp;VLOOKUP(J$87,'List Values'!$C$3:$D$6,2,FALSE)&amp;ROW(J136))),IF(J$86&lt;&gt;"","Data Source Error",""))))</f>
        <v>Commercial Truck</v>
      </c>
      <c r="L136" s="52"/>
      <c r="M136" s="526"/>
      <c r="N136" s="963" t="str">
        <f ca="1">IF(OR($H$7&lt;3,N$133&lt;1),"",IF(M136&lt;&gt;"",M136,IFERROR(IF(INDIRECT("'"&amp;M$86&amp;"'!"&amp;VLOOKUP(M$87,'List Values'!$C$3:$D$6,2,FALSE)&amp;ROW(M136))="","",INDIRECT("'"&amp;M$86&amp;"'!"&amp;VLOOKUP(M$87,'List Values'!$C$3:$D$6,2,FALSE)&amp;ROW(M136))),IF(M$86&lt;&gt;"","Data Source Error",""))))</f>
        <v>Commercial Truck</v>
      </c>
      <c r="O136" s="187"/>
      <c r="P136" s="560"/>
      <c r="Q136" s="900" t="str">
        <f ca="1">IF(OR($H$7&lt;4,Q$133&lt;1),"",IF(P136&lt;&gt;"",P136,IFERROR(IF(INDIRECT("'"&amp;P$86&amp;"'!"&amp;VLOOKUP(P$87,'List Values'!$C$3:$D$6,2,FALSE)&amp;ROW(P136))="","",INDIRECT("'"&amp;P$86&amp;"'!"&amp;VLOOKUP(P$87,'List Values'!$C$3:$D$6,2,FALSE)&amp;ROW(P136))),IF(P$86&lt;&gt;"","Data Source Error",""))))</f>
        <v/>
      </c>
      <c r="S136" s="560"/>
      <c r="T136" s="900" t="str">
        <f ca="1">IF(OR($H$7&lt;5,T$133&lt;1),"",IF(S136&lt;&gt;"",S136,IFERROR(IF(INDIRECT("'"&amp;S$86&amp;"'!"&amp;VLOOKUP(S$87,'List Values'!$C$3:$D$6,2,FALSE)&amp;ROW(S136))="","",INDIRECT("'"&amp;S$86&amp;"'!"&amp;VLOOKUP(S$87,'List Values'!$C$3:$D$6,2,FALSE)&amp;ROW(S136))),IF(S$86&lt;&gt;"","Data Source Error",""))))</f>
        <v/>
      </c>
      <c r="V136" s="560"/>
      <c r="W136" s="911" t="str">
        <f ca="1">IF(OR($H$7&lt;6,W$133&lt;1),"",IF(V136&lt;&gt;"",V136,IFERROR(IF(INDIRECT("'"&amp;V$86&amp;"'!"&amp;VLOOKUP(V$87,'List Values'!$C$3:$D$6,2,FALSE)&amp;ROW(V136))="","",INDIRECT("'"&amp;V$86&amp;"'!"&amp;VLOOKUP(V$87,'List Values'!$C$3:$D$6,2,FALSE)&amp;ROW(V136))),IF(V$86&lt;&gt;"","Data Source Error",""))))</f>
        <v/>
      </c>
      <c r="Y136" s="2643"/>
      <c r="Z136" s="2644"/>
      <c r="AA136" s="2644"/>
      <c r="AB136" s="2645"/>
    </row>
    <row r="137" spans="1:28" ht="33.75" hidden="1" customHeight="1" outlineLevel="1">
      <c r="A137" s="252"/>
      <c r="B137" s="2051"/>
      <c r="C137" s="2729" t="s">
        <v>2517</v>
      </c>
      <c r="D137" s="2729"/>
      <c r="E137" s="2041"/>
      <c r="F137" s="2041"/>
      <c r="G137" s="636"/>
      <c r="H137" s="637"/>
      <c r="I137" s="182"/>
      <c r="J137" s="561"/>
      <c r="K137" s="962" t="str">
        <f ca="1">IF(OR($H$7&lt;2,K$133&lt;1),"",IF(J137&lt;&gt;"",J137,IFERROR(IF(INDIRECT("'"&amp;J$86&amp;"'!"&amp;VLOOKUP(J$87,'List Values'!$C$3:$D$6,2,FALSE)&amp;ROW(J137))="","",INDIRECT("'"&amp;J$86&amp;"'!"&amp;VLOOKUP(J$87,'List Values'!$C$3:$D$6,2,FALSE)&amp;ROW(J137))),IF(J$86&lt;&gt;"","Data Source Error",""))))</f>
        <v>Owned</v>
      </c>
      <c r="L137" s="182"/>
      <c r="M137" s="561"/>
      <c r="N137" s="969" t="str">
        <f ca="1">IF(OR($H$7&lt;3,N$133&lt;1),"",IF(M137&lt;&gt;"",M137,IFERROR(IF(INDIRECT("'"&amp;M$86&amp;"'!"&amp;VLOOKUP(M$87,'List Values'!$C$3:$D$6,2,FALSE)&amp;ROW(M137))="","",INDIRECT("'"&amp;M$86&amp;"'!"&amp;VLOOKUP(M$87,'List Values'!$C$3:$D$6,2,FALSE)&amp;ROW(M137))),IF(M$86&lt;&gt;"","Data Source Error",""))))</f>
        <v>Owned</v>
      </c>
      <c r="O137" s="183"/>
      <c r="P137" s="558"/>
      <c r="Q137" s="897" t="str">
        <f ca="1">IF(OR($H$7&lt;4,Q$133&lt;1),"",IF(P137&lt;&gt;"",P137,IFERROR(IF(INDIRECT("'"&amp;P$86&amp;"'!"&amp;VLOOKUP(P$87,'List Values'!$C$3:$D$6,2,FALSE)&amp;ROW(P137))="","",INDIRECT("'"&amp;P$86&amp;"'!"&amp;VLOOKUP(P$87,'List Values'!$C$3:$D$6,2,FALSE)&amp;ROW(P137))),IF(P$86&lt;&gt;"","Data Source Error",""))))</f>
        <v/>
      </c>
      <c r="S137" s="558"/>
      <c r="T137" s="897" t="str">
        <f ca="1">IF(OR($H$7&lt;5,T$133&lt;1),"",IF(S137&lt;&gt;"",S137,IFERROR(IF(INDIRECT("'"&amp;S$86&amp;"'!"&amp;VLOOKUP(S$87,'List Values'!$C$3:$D$6,2,FALSE)&amp;ROW(S137))="","",INDIRECT("'"&amp;S$86&amp;"'!"&amp;VLOOKUP(S$87,'List Values'!$C$3:$D$6,2,FALSE)&amp;ROW(S137))),IF(S$86&lt;&gt;"","Data Source Error",""))))</f>
        <v/>
      </c>
      <c r="V137" s="558"/>
      <c r="W137" s="908" t="str">
        <f ca="1">IF(OR($H$7&lt;6,W$133&lt;1),"",IF(V137&lt;&gt;"",V137,IFERROR(IF(INDIRECT("'"&amp;V$86&amp;"'!"&amp;VLOOKUP(V$87,'List Values'!$C$3:$D$6,2,FALSE)&amp;ROW(V137))="","",INDIRECT("'"&amp;V$86&amp;"'!"&amp;VLOOKUP(V$87,'List Values'!$C$3:$D$6,2,FALSE)&amp;ROW(V137))),IF(V$86&lt;&gt;"","Data Source Error",""))))</f>
        <v/>
      </c>
      <c r="Y137" s="2643"/>
      <c r="Z137" s="2644"/>
      <c r="AA137" s="2644"/>
      <c r="AB137" s="2645"/>
    </row>
    <row r="138" spans="1:28" ht="33.75" hidden="1" customHeight="1" outlineLevel="1">
      <c r="A138" s="252"/>
      <c r="B138" s="2051"/>
      <c r="C138" s="2728" t="s">
        <v>628</v>
      </c>
      <c r="D138" s="2728"/>
      <c r="E138" s="2041"/>
      <c r="F138" s="2041"/>
      <c r="G138" s="636"/>
      <c r="H138" s="637"/>
      <c r="I138" s="191"/>
      <c r="J138" s="526"/>
      <c r="K138" s="964" t="str">
        <f ca="1">IF(OR($H$7&lt;2,K$133&lt;1),"",IF(J138&lt;&gt;"",J138,IFERROR(IF(INDIRECT("'"&amp;J$86&amp;"'!"&amp;VLOOKUP(J$87,'List Values'!$C$3:$D$6,2,FALSE)&amp;ROW(J138))="","",INDIRECT("'"&amp;J$86&amp;"'!"&amp;VLOOKUP(J$87,'List Values'!$C$3:$D$6,2,FALSE)&amp;ROW(J138))),IF(J$86&lt;&gt;"","Data Source Error",""))))</f>
        <v xml:space="preserve">$ per km </v>
      </c>
      <c r="L138" s="191"/>
      <c r="M138" s="526"/>
      <c r="N138" s="963" t="str">
        <f ca="1">IF(OR($H$7&lt;3,N$133&lt;1),"",IF(M138&lt;&gt;"",M138,IFERROR(IF(INDIRECT("'"&amp;M$86&amp;"'!"&amp;VLOOKUP(M$87,'List Values'!$C$3:$D$6,2,FALSE)&amp;ROW(M138))="","",INDIRECT("'"&amp;M$86&amp;"'!"&amp;VLOOKUP(M$87,'List Values'!$C$3:$D$6,2,FALSE)&amp;ROW(M138))),IF(M$86&lt;&gt;"","Data Source Error",""))))</f>
        <v xml:space="preserve">$ per km </v>
      </c>
      <c r="O138" s="187"/>
      <c r="P138" s="560"/>
      <c r="Q138" s="900" t="str">
        <f ca="1">IF(OR($H$7&lt;4,Q$133&lt;1),"",IF(P138&lt;&gt;"",P138,IFERROR(IF(INDIRECT("'"&amp;P$86&amp;"'!"&amp;VLOOKUP(P$87,'List Values'!$C$3:$D$6,2,FALSE)&amp;ROW(P138))="","",INDIRECT("'"&amp;P$86&amp;"'!"&amp;VLOOKUP(P$87,'List Values'!$C$3:$D$6,2,FALSE)&amp;ROW(P138))),IF(P$86&lt;&gt;"","Data Source Error",""))))</f>
        <v/>
      </c>
      <c r="S138" s="560"/>
      <c r="T138" s="900" t="str">
        <f ca="1">IF(OR($H$7&lt;5,T$133&lt;1),"",IF(S138&lt;&gt;"",S138,IFERROR(IF(INDIRECT("'"&amp;S$86&amp;"'!"&amp;VLOOKUP(S$87,'List Values'!$C$3:$D$6,2,FALSE)&amp;ROW(S138))="","",INDIRECT("'"&amp;S$86&amp;"'!"&amp;VLOOKUP(S$87,'List Values'!$C$3:$D$6,2,FALSE)&amp;ROW(S138))),IF(S$86&lt;&gt;"","Data Source Error",""))))</f>
        <v/>
      </c>
      <c r="V138" s="560"/>
      <c r="W138" s="911" t="str">
        <f ca="1">IF(OR($H$7&lt;6,W$133&lt;1),"",IF(V138&lt;&gt;"",V138,IFERROR(IF(INDIRECT("'"&amp;V$86&amp;"'!"&amp;VLOOKUP(V$87,'List Values'!$C$3:$D$6,2,FALSE)&amp;ROW(V138))="","",INDIRECT("'"&amp;V$86&amp;"'!"&amp;VLOOKUP(V$87,'List Values'!$C$3:$D$6,2,FALSE)&amp;ROW(V138))),IF(V$86&lt;&gt;"","Data Source Error",""))))</f>
        <v/>
      </c>
      <c r="Y138" s="2643"/>
      <c r="Z138" s="2644"/>
      <c r="AA138" s="2644"/>
      <c r="AB138" s="2645"/>
    </row>
    <row r="139" spans="1:28" ht="33.75" hidden="1" customHeight="1" outlineLevel="1">
      <c r="A139" s="252"/>
      <c r="B139" s="2051"/>
      <c r="C139" s="2728" t="s">
        <v>629</v>
      </c>
      <c r="D139" s="2728"/>
      <c r="E139" s="2041"/>
      <c r="F139" s="2041"/>
      <c r="G139" s="636"/>
      <c r="H139" s="637"/>
      <c r="I139" s="191"/>
      <c r="J139" s="568"/>
      <c r="K139" s="956">
        <f ca="1">IF(OR($H$7&lt;2,K$133&lt;1),"",IF(J139&lt;&gt;"",J139,IFERROR(IF(INDIRECT("'"&amp;J$86&amp;"'!"&amp;VLOOKUP(J$87,'List Values'!$C$3:$D$6,2,FALSE)&amp;ROW(J139))="","",INDIRECT("'"&amp;J$86&amp;"'!"&amp;VLOOKUP(J$87,'List Values'!$C$3:$D$6,2,FALSE)&amp;ROW(J139))*$H$6),IF(J$86&lt;&gt;"","Data Source Error",""))))</f>
        <v>1</v>
      </c>
      <c r="L139" s="622"/>
      <c r="M139" s="568"/>
      <c r="N139" s="956">
        <f ca="1">IF(OR($H$7&lt;3,N$133&lt;1),"",IF(M139&lt;&gt;"",M139,IFERROR(IF(INDIRECT("'"&amp;M$86&amp;"'!"&amp;VLOOKUP(M$87,'List Values'!$C$3:$D$6,2,FALSE)&amp;ROW(M139))="","",INDIRECT("'"&amp;M$86&amp;"'!"&amp;VLOOKUP(M$87,'List Values'!$C$3:$D$6,2,FALSE)&amp;ROW(M139))*$H$6),IF(M$86&lt;&gt;"","Data Source Error",""))))</f>
        <v>1</v>
      </c>
      <c r="O139" s="339"/>
      <c r="P139" s="623"/>
      <c r="Q139" s="936" t="str">
        <f ca="1">IF(OR($H$7&lt;4,Q$133&lt;1),"",IF(P139&lt;&gt;"",P139,IFERROR(IF(INDIRECT("'"&amp;P$86&amp;"'!"&amp;VLOOKUP(P$87,'List Values'!$C$3:$D$6,2,FALSE)&amp;ROW(P139))="","",INDIRECT("'"&amp;P$86&amp;"'!"&amp;VLOOKUP(P$87,'List Values'!$C$3:$D$6,2,FALSE)&amp;ROW(P139))*$H$6),IF(P$86&lt;&gt;"","Data Source Error",""))))</f>
        <v/>
      </c>
      <c r="R139" s="7"/>
      <c r="S139" s="623"/>
      <c r="T139" s="936" t="str">
        <f ca="1">IF(OR($H$7&lt;5,T$133&lt;1),"",IF(S139&lt;&gt;"",S139,IFERROR(IF(INDIRECT("'"&amp;S$86&amp;"'!"&amp;VLOOKUP(S$87,'List Values'!$C$3:$D$6,2,FALSE)&amp;ROW(S139))="","",INDIRECT("'"&amp;S$86&amp;"'!"&amp;VLOOKUP(S$87,'List Values'!$C$3:$D$6,2,FALSE)&amp;ROW(S139))*$H$6),IF(S$86&lt;&gt;"","Data Source Error",""))))</f>
        <v/>
      </c>
      <c r="U139" s="7"/>
      <c r="V139" s="623"/>
      <c r="W139" s="974" t="str">
        <f ca="1">IF(OR($H$7&lt;6,W$133&lt;1),"",IF(V139&lt;&gt;"",V139,IFERROR(IF(INDIRECT("'"&amp;V$86&amp;"'!"&amp;VLOOKUP(V$87,'List Values'!$C$3:$D$6,2,FALSE)&amp;ROW(V139))="","",INDIRECT("'"&amp;V$86&amp;"'!"&amp;VLOOKUP(V$87,'List Values'!$C$3:$D$6,2,FALSE)&amp;ROW(V139))*$H$6),IF(V$86&lt;&gt;"","Data Source Error",""))))</f>
        <v/>
      </c>
      <c r="Y139" s="2643"/>
      <c r="Z139" s="2644"/>
      <c r="AA139" s="2644"/>
      <c r="AB139" s="2645"/>
    </row>
    <row r="140" spans="1:28" ht="18.75" hidden="1" customHeight="1" outlineLevel="1">
      <c r="A140" s="252"/>
      <c r="B140" s="2051"/>
      <c r="C140" s="2729" t="s">
        <v>632</v>
      </c>
      <c r="D140" s="2729"/>
      <c r="E140" s="2041"/>
      <c r="F140" s="2041"/>
      <c r="G140" s="636"/>
      <c r="H140" s="637"/>
      <c r="I140" s="191"/>
      <c r="J140" s="526"/>
      <c r="K140" s="963">
        <f ca="1">IF(OR($H$7&lt;2,K$133&lt;1),"",IF(J140&lt;&gt;"",J140,IFERROR(IF(INDIRECT("'"&amp;J$86&amp;"'!"&amp;VLOOKUP(J$87,'List Values'!$C$3:$D$6,2,FALSE)&amp;ROW(J140))="","",INDIRECT("'"&amp;J$86&amp;"'!"&amp;VLOOKUP(J$87,'List Values'!$C$3:$D$6,2,FALSE)&amp;ROW(J140))),IF(J$86&lt;&gt;"","Data Source Error",""))))</f>
        <v>1</v>
      </c>
      <c r="L140" s="191"/>
      <c r="M140" s="526"/>
      <c r="N140" s="963">
        <f ca="1">IF(OR($H$7&lt;3,N$133&lt;1),"",IF(M140&lt;&gt;"",M140,IFERROR(IF(INDIRECT("'"&amp;M$86&amp;"'!"&amp;VLOOKUP(M$87,'List Values'!$C$3:$D$6,2,FALSE)&amp;ROW(M140))="","",INDIRECT("'"&amp;M$86&amp;"'!"&amp;VLOOKUP(M$87,'List Values'!$C$3:$D$6,2,FALSE)&amp;ROW(M140))),IF(M$86&lt;&gt;"","Data Source Error",""))))</f>
        <v>1.5</v>
      </c>
      <c r="O140" s="187"/>
      <c r="P140" s="560"/>
      <c r="Q140" s="900" t="str">
        <f ca="1">IF(OR($H$7&lt;4,Q$133&lt;1),"",IF(P140&lt;&gt;"",P140,IFERROR(IF(INDIRECT("'"&amp;P$86&amp;"'!"&amp;VLOOKUP(P$87,'List Values'!$C$3:$D$6,2,FALSE)&amp;ROW(P140))="","",INDIRECT("'"&amp;P$86&amp;"'!"&amp;VLOOKUP(P$87,'List Values'!$C$3:$D$6,2,FALSE)&amp;ROW(P140))),IF(P$86&lt;&gt;"","Data Source Error",""))))</f>
        <v/>
      </c>
      <c r="S140" s="560"/>
      <c r="T140" s="900" t="str">
        <f ca="1">IF(OR($H$7&lt;5,T$133&lt;1),"",IF(S140&lt;&gt;"",S140,IFERROR(IF(INDIRECT("'"&amp;S$86&amp;"'!"&amp;VLOOKUP(S$87,'List Values'!$C$3:$D$6,2,FALSE)&amp;ROW(S140))="","",INDIRECT("'"&amp;S$86&amp;"'!"&amp;VLOOKUP(S$87,'List Values'!$C$3:$D$6,2,FALSE)&amp;ROW(S140))),IF(S$86&lt;&gt;"","Data Source Error",""))))</f>
        <v/>
      </c>
      <c r="V140" s="560"/>
      <c r="W140" s="911" t="str">
        <f ca="1">IF(OR($H$7&lt;6,W$133&lt;1),"",IF(V140&lt;&gt;"",V140,IFERROR(IF(INDIRECT("'"&amp;V$86&amp;"'!"&amp;VLOOKUP(V$87,'List Values'!$C$3:$D$6,2,FALSE)&amp;ROW(V140))="","",INDIRECT("'"&amp;V$86&amp;"'!"&amp;VLOOKUP(V$87,'List Values'!$C$3:$D$6,2,FALSE)&amp;ROW(V140))),IF(V$86&lt;&gt;"","Data Source Error",""))))</f>
        <v/>
      </c>
      <c r="Y140" s="2643"/>
      <c r="Z140" s="2644"/>
      <c r="AA140" s="2644"/>
      <c r="AB140" s="2645"/>
    </row>
    <row r="141" spans="1:28" ht="49.5" hidden="1" customHeight="1" outlineLevel="1">
      <c r="A141" s="252"/>
      <c r="B141" s="2051"/>
      <c r="C141" s="2729" t="s">
        <v>5476</v>
      </c>
      <c r="D141" s="2729"/>
      <c r="E141" s="2041"/>
      <c r="F141" s="2041"/>
      <c r="G141" s="636"/>
      <c r="H141" s="637"/>
      <c r="I141" s="191"/>
      <c r="J141" s="619"/>
      <c r="K141" s="964">
        <f ca="1">IF(OR($H$7&lt;2,K$133&lt;1),"",IF(J141&lt;&gt;"",J141,IFERROR(IF(INDIRECT("'"&amp;J$86&amp;"'!"&amp;VLOOKUP(J$87,'List Values'!$C$3:$D$6,2,FALSE)&amp;ROW(J141))="","",INDIRECT("'"&amp;J$86&amp;"'!"&amp;VLOOKUP(J$87,'List Values'!$C$3:$D$6,2,FALSE)&amp;ROW(J141))),IF(J$86&lt;&gt;"","Data Source Error",""))))</f>
        <v>0</v>
      </c>
      <c r="L141" s="620"/>
      <c r="M141" s="619"/>
      <c r="N141" s="964">
        <f ca="1">IF(OR($H$7&lt;3,N$133&lt;1),"",IF(M141&lt;&gt;"",M141,IFERROR(IF(INDIRECT("'"&amp;M$86&amp;"'!"&amp;VLOOKUP(M$87,'List Values'!$C$3:$D$6,2,FALSE)&amp;ROW(M141))="","",INDIRECT("'"&amp;M$86&amp;"'!"&amp;VLOOKUP(M$87,'List Values'!$C$3:$D$6,2,FALSE)&amp;ROW(M141))),IF(M$86&lt;&gt;"","Data Source Error",""))))</f>
        <v>0</v>
      </c>
      <c r="O141" s="621"/>
      <c r="P141" s="619"/>
      <c r="Q141" s="971" t="str">
        <f ca="1">IF(OR($H$7&lt;4,Q$133&lt;1),"",IF(P141&lt;&gt;"",P141,IFERROR(IF(INDIRECT("'"&amp;P$86&amp;"'!"&amp;VLOOKUP(P$87,'List Values'!$C$3:$D$6,2,FALSE)&amp;ROW(P141))="","",INDIRECT("'"&amp;P$86&amp;"'!"&amp;VLOOKUP(P$87,'List Values'!$C$3:$D$6,2,FALSE)&amp;ROW(P141))),IF(P$86&lt;&gt;"","Data Source Error",""))))</f>
        <v/>
      </c>
      <c r="R141" s="147"/>
      <c r="S141" s="619"/>
      <c r="T141" s="971" t="str">
        <f ca="1">IF(OR($H$7&lt;5,T$133&lt;1),"",IF(S141&lt;&gt;"",S141,IFERROR(IF(INDIRECT("'"&amp;S$86&amp;"'!"&amp;VLOOKUP(S$87,'List Values'!$C$3:$D$6,2,FALSE)&amp;ROW(S141))="","",INDIRECT("'"&amp;S$86&amp;"'!"&amp;VLOOKUP(S$87,'List Values'!$C$3:$D$6,2,FALSE)&amp;ROW(S141))),IF(S$86&lt;&gt;"","Data Source Error",""))))</f>
        <v/>
      </c>
      <c r="U141" s="147"/>
      <c r="V141" s="619"/>
      <c r="W141" s="975" t="str">
        <f ca="1">IF(OR($H$7&lt;6,W$133&lt;1),"",IF(V141&lt;&gt;"",V141,IFERROR(IF(INDIRECT("'"&amp;V$86&amp;"'!"&amp;VLOOKUP(V$87,'List Values'!$C$3:$D$6,2,FALSE)&amp;ROW(V141))="","",INDIRECT("'"&amp;V$86&amp;"'!"&amp;VLOOKUP(V$87,'List Values'!$C$3:$D$6,2,FALSE)&amp;ROW(V141))),IF(V$86&lt;&gt;"","Data Source Error",""))))</f>
        <v/>
      </c>
      <c r="Y141" s="2643"/>
      <c r="Z141" s="2644"/>
      <c r="AA141" s="2644"/>
      <c r="AB141" s="2645"/>
    </row>
    <row r="142" spans="1:28" ht="55.5" hidden="1" customHeight="1" outlineLevel="1">
      <c r="A142" s="252"/>
      <c r="B142" s="2051"/>
      <c r="C142" s="2729" t="s">
        <v>5477</v>
      </c>
      <c r="D142" s="2729"/>
      <c r="E142" s="2041"/>
      <c r="F142" s="2041"/>
      <c r="G142" s="636"/>
      <c r="H142" s="637"/>
      <c r="I142" s="191"/>
      <c r="J142" s="619"/>
      <c r="K142" s="964">
        <f ca="1">IF(OR($H$7&lt;2,K$133&lt;1),"",IF(J142&lt;&gt;"",J142,IFERROR(IF(INDIRECT("'"&amp;J$86&amp;"'!"&amp;VLOOKUP(J$87,'List Values'!$C$3:$D$6,2,FALSE)&amp;ROW(J142))="","",INDIRECT("'"&amp;J$86&amp;"'!"&amp;VLOOKUP(J$87,'List Values'!$C$3:$D$6,2,FALSE)&amp;ROW(J142))),IF(J$86&lt;&gt;"","Data Source Error",""))))</f>
        <v>0</v>
      </c>
      <c r="L142" s="620"/>
      <c r="M142" s="619"/>
      <c r="N142" s="964">
        <f ca="1">IF(OR($H$7&lt;3,N$133&lt;1),"",IF(M142&lt;&gt;"",M142,IFERROR(IF(INDIRECT("'"&amp;M$86&amp;"'!"&amp;VLOOKUP(M$87,'List Values'!$C$3:$D$6,2,FALSE)&amp;ROW(M142))="","",INDIRECT("'"&amp;M$86&amp;"'!"&amp;VLOOKUP(M$87,'List Values'!$C$3:$D$6,2,FALSE)&amp;ROW(M142))),IF(M$86&lt;&gt;"","Data Source Error",""))))</f>
        <v>0</v>
      </c>
      <c r="O142" s="621"/>
      <c r="P142" s="619"/>
      <c r="Q142" s="971" t="str">
        <f ca="1">IF(OR($H$7&lt;4,Q$133&lt;1),"",IF(P142&lt;&gt;"",P142,IFERROR(IF(INDIRECT("'"&amp;P$86&amp;"'!"&amp;VLOOKUP(P$87,'List Values'!$C$3:$D$6,2,FALSE)&amp;ROW(P142))="","",INDIRECT("'"&amp;P$86&amp;"'!"&amp;VLOOKUP(P$87,'List Values'!$C$3:$D$6,2,FALSE)&amp;ROW(P142))),IF(P$86&lt;&gt;"","Data Source Error",""))))</f>
        <v/>
      </c>
      <c r="R142" s="147"/>
      <c r="S142" s="619"/>
      <c r="T142" s="971" t="str">
        <f ca="1">IF(OR($H$7&lt;5,T$133&lt;1),"",IF(S142&lt;&gt;"",S142,IFERROR(IF(INDIRECT("'"&amp;S$86&amp;"'!"&amp;VLOOKUP(S$87,'List Values'!$C$3:$D$6,2,FALSE)&amp;ROW(S142))="","",INDIRECT("'"&amp;S$86&amp;"'!"&amp;VLOOKUP(S$87,'List Values'!$C$3:$D$6,2,FALSE)&amp;ROW(S142))),IF(S$86&lt;&gt;"","Data Source Error",""))))</f>
        <v/>
      </c>
      <c r="U142" s="147"/>
      <c r="V142" s="619"/>
      <c r="W142" s="975" t="str">
        <f ca="1">IF(OR($H$7&lt;6,W$133&lt;1),"",IF(V142&lt;&gt;"",V142,IFERROR(IF(INDIRECT("'"&amp;V$86&amp;"'!"&amp;VLOOKUP(V$87,'List Values'!$C$3:$D$6,2,FALSE)&amp;ROW(V142))="","",INDIRECT("'"&amp;V$86&amp;"'!"&amp;VLOOKUP(V$87,'List Values'!$C$3:$D$6,2,FALSE)&amp;ROW(V142))),IF(V$86&lt;&gt;"","Data Source Error",""))))</f>
        <v/>
      </c>
      <c r="Y142" s="2643"/>
      <c r="Z142" s="2644"/>
      <c r="AA142" s="2644"/>
      <c r="AB142" s="2645"/>
    </row>
    <row r="143" spans="1:28" ht="33.75" hidden="1" customHeight="1" outlineLevel="1">
      <c r="A143" s="252"/>
      <c r="B143" s="2051"/>
      <c r="C143" s="2729" t="s">
        <v>331</v>
      </c>
      <c r="D143" s="2729"/>
      <c r="E143" s="2041"/>
      <c r="F143" s="2041"/>
      <c r="G143" s="636"/>
      <c r="H143" s="637"/>
      <c r="I143" s="191"/>
      <c r="J143" s="526"/>
      <c r="K143" s="963" t="str">
        <f ca="1">IF(OR($H$7&lt;2,K$133&lt;1),"",IF(J143&lt;&gt;"",J143,IFERROR(IF(INDIRECT("'"&amp;J$86&amp;"'!"&amp;VLOOKUP(J$87,'List Values'!$C$3:$D$6,2,FALSE)&amp;ROW(J143))="","",INDIRECT("'"&amp;J$86&amp;"'!"&amp;VLOOKUP(J$87,'List Values'!$C$3:$D$6,2,FALSE)&amp;ROW(J143))),IF(J$86&lt;&gt;"","Data Source Error",""))))</f>
        <v>Point-to-point</v>
      </c>
      <c r="L143" s="191"/>
      <c r="M143" s="526"/>
      <c r="N143" s="963" t="str">
        <f ca="1">IF(OR($H$7&lt;3,N$133&lt;1),"",IF(M143&lt;&gt;"",M143,IFERROR(IF(INDIRECT("'"&amp;M$86&amp;"'!"&amp;VLOOKUP(M$87,'List Values'!$C$3:$D$6,2,FALSE)&amp;ROW(M143))="","",INDIRECT("'"&amp;M$86&amp;"'!"&amp;VLOOKUP(M$87,'List Values'!$C$3:$D$6,2,FALSE)&amp;ROW(M143))),IF(M$86&lt;&gt;"","Data Source Error",""))))</f>
        <v>Route-based</v>
      </c>
      <c r="O143" s="187"/>
      <c r="P143" s="523"/>
      <c r="Q143" s="900" t="str">
        <f ca="1">IF(OR($H$7&lt;4,Q$133&lt;1),"",IF(P143&lt;&gt;"",P143,IFERROR(IF(INDIRECT("'"&amp;P$86&amp;"'!"&amp;VLOOKUP(P$87,'List Values'!$C$3:$D$6,2,FALSE)&amp;ROW(P143))="","",INDIRECT("'"&amp;P$86&amp;"'!"&amp;VLOOKUP(P$87,'List Values'!$C$3:$D$6,2,FALSE)&amp;ROW(P143))),IF(P$86&lt;&gt;"","Data Source Error",""))))</f>
        <v/>
      </c>
      <c r="S143" s="523"/>
      <c r="T143" s="900" t="str">
        <f ca="1">IF(OR($H$7&lt;5,T$133&lt;1),"",IF(S143&lt;&gt;"",S143,IFERROR(IF(INDIRECT("'"&amp;S$86&amp;"'!"&amp;VLOOKUP(S$87,'List Values'!$C$3:$D$6,2,FALSE)&amp;ROW(S143))="","",INDIRECT("'"&amp;S$86&amp;"'!"&amp;VLOOKUP(S$87,'List Values'!$C$3:$D$6,2,FALSE)&amp;ROW(S143))),IF(S$86&lt;&gt;"","Data Source Error",""))))</f>
        <v/>
      </c>
      <c r="V143" s="523"/>
      <c r="W143" s="911" t="str">
        <f ca="1">IF(OR($H$7&lt;6,W$133&lt;1),"",IF(V143&lt;&gt;"",V143,IFERROR(IF(INDIRECT("'"&amp;V$86&amp;"'!"&amp;VLOOKUP(V$87,'List Values'!$C$3:$D$6,2,FALSE)&amp;ROW(V143))="","",INDIRECT("'"&amp;V$86&amp;"'!"&amp;VLOOKUP(V$87,'List Values'!$C$3:$D$6,2,FALSE)&amp;ROW(V143))),IF(V$86&lt;&gt;"","Data Source Error",""))))</f>
        <v/>
      </c>
      <c r="Y143" s="2643"/>
      <c r="Z143" s="2644"/>
      <c r="AA143" s="2644"/>
      <c r="AB143" s="2645"/>
    </row>
    <row r="144" spans="1:28" ht="18.75" hidden="1" customHeight="1" outlineLevel="1">
      <c r="A144" s="252"/>
      <c r="B144" s="2051"/>
      <c r="C144" s="2728" t="s">
        <v>332</v>
      </c>
      <c r="D144" s="2728"/>
      <c r="E144" s="2041"/>
      <c r="F144" s="2041"/>
      <c r="G144" s="636"/>
      <c r="H144" s="637"/>
      <c r="I144" s="191"/>
      <c r="J144" s="580"/>
      <c r="K144" s="963">
        <f ca="1">IF(OR($H$7&lt;2,K$133&lt;1),"",IF(J144&lt;&gt;"",J144,IFERROR(IF(INDIRECT("'"&amp;J$86&amp;"'!"&amp;VLOOKUP(J$87,'List Values'!$C$3:$D$6,2,FALSE)&amp;ROW(J144))="","",INDIRECT("'"&amp;J$86&amp;"'!"&amp;VLOOKUP(J$87,'List Values'!$C$3:$D$6,2,FALSE)&amp;ROW(J144))),IF(J$86&lt;&gt;"","Data Source Error",""))))</f>
        <v>2</v>
      </c>
      <c r="L144" s="191"/>
      <c r="M144" s="580"/>
      <c r="N144" s="963">
        <f ca="1">IF(OR($H$7&lt;3,N$133&lt;1),"",IF(M144&lt;&gt;"",M144,IFERROR(IF(INDIRECT("'"&amp;M$86&amp;"'!"&amp;VLOOKUP(M$87,'List Values'!$C$3:$D$6,2,FALSE)&amp;ROW(M144))="","",INDIRECT("'"&amp;M$86&amp;"'!"&amp;VLOOKUP(M$87,'List Values'!$C$3:$D$6,2,FALSE)&amp;ROW(M144))),IF(M$86&lt;&gt;"","Data Source Error",""))))</f>
        <v>2</v>
      </c>
      <c r="O144" s="187"/>
      <c r="P144" s="528"/>
      <c r="Q144" s="900" t="str">
        <f ca="1">IF(OR($H$7&lt;4,Q$133&lt;1),"",IF(P144&lt;&gt;"",P144,IFERROR(IF(INDIRECT("'"&amp;P$86&amp;"'!"&amp;VLOOKUP(P$87,'List Values'!$C$3:$D$6,2,FALSE)&amp;ROW(P144))="","",INDIRECT("'"&amp;P$86&amp;"'!"&amp;VLOOKUP(P$87,'List Values'!$C$3:$D$6,2,FALSE)&amp;ROW(P144))),IF(P$86&lt;&gt;"","Data Source Error",""))))</f>
        <v/>
      </c>
      <c r="S144" s="528"/>
      <c r="T144" s="900" t="str">
        <f ca="1">IF(OR($H$7&lt;5,T$133&lt;1),"",IF(S144&lt;&gt;"",S144,IFERROR(IF(INDIRECT("'"&amp;S$86&amp;"'!"&amp;VLOOKUP(S$87,'List Values'!$C$3:$D$6,2,FALSE)&amp;ROW(S144))="","",INDIRECT("'"&amp;S$86&amp;"'!"&amp;VLOOKUP(S$87,'List Values'!$C$3:$D$6,2,FALSE)&amp;ROW(S144))),IF(S$86&lt;&gt;"","Data Source Error",""))))</f>
        <v/>
      </c>
      <c r="V144" s="528"/>
      <c r="W144" s="911" t="str">
        <f ca="1">IF(OR($H$7&lt;6,W$133&lt;1),"",IF(V144&lt;&gt;"",V144,IFERROR(IF(INDIRECT("'"&amp;V$86&amp;"'!"&amp;VLOOKUP(V$87,'List Values'!$C$3:$D$6,2,FALSE)&amp;ROW(V144))="","",INDIRECT("'"&amp;V$86&amp;"'!"&amp;VLOOKUP(V$87,'List Values'!$C$3:$D$6,2,FALSE)&amp;ROW(V144))),IF(V$86&lt;&gt;"","Data Source Error",""))))</f>
        <v/>
      </c>
      <c r="Y144" s="2643"/>
      <c r="Z144" s="2644"/>
      <c r="AA144" s="2644"/>
      <c r="AB144" s="2645"/>
    </row>
    <row r="145" spans="1:28" ht="30" hidden="1" customHeight="1" outlineLevel="1">
      <c r="A145" s="252"/>
      <c r="B145" s="2051"/>
      <c r="C145" s="2729" t="s">
        <v>2519</v>
      </c>
      <c r="D145" s="2729"/>
      <c r="E145" s="2041"/>
      <c r="F145" s="2041"/>
      <c r="G145" s="636"/>
      <c r="H145" s="637"/>
      <c r="I145" s="191"/>
      <c r="J145" s="580"/>
      <c r="K145" s="963" t="str">
        <f ca="1">IF(OR($H$7&lt;2,K$133&lt;1),"",IF(J145&lt;&gt;"",J145,IFERROR(IF(INDIRECT("'"&amp;J$86&amp;"'!"&amp;VLOOKUP(J$87,'List Values'!$C$3:$D$6,2,FALSE)&amp;ROW(J145))="","",INDIRECT("'"&amp;J$86&amp;"'!"&amp;VLOOKUP(J$87,'List Values'!$C$3:$D$6,2,FALSE)&amp;ROW(J145))),IF(J$86&lt;&gt;"","Data Source Error",""))))</f>
        <v>Transport team - Driver</v>
      </c>
      <c r="L145" s="191"/>
      <c r="M145" s="580"/>
      <c r="N145" s="963" t="str">
        <f ca="1">IF(OR($H$7&lt;3,N$133&lt;1),"",IF(M145&lt;&gt;"",M145,IFERROR(IF(INDIRECT("'"&amp;M$86&amp;"'!"&amp;VLOOKUP(M$87,'List Values'!$C$3:$D$6,2,FALSE)&amp;ROW(M145))="","",INDIRECT("'"&amp;M$86&amp;"'!"&amp;VLOOKUP(M$87,'List Values'!$C$3:$D$6,2,FALSE)&amp;ROW(M145))),IF(M$86&lt;&gt;"","Data Source Error",""))))</f>
        <v>Transport team - Driver</v>
      </c>
      <c r="O145" s="187"/>
      <c r="P145" s="528"/>
      <c r="Q145" s="900" t="str">
        <f ca="1">IF(OR($H$7&lt;4,Q$133&lt;1),"",IF(P145&lt;&gt;"",P145,IFERROR(IF(INDIRECT("'"&amp;P$86&amp;"'!"&amp;VLOOKUP(P$87,'List Values'!$C$3:$D$6,2,FALSE)&amp;ROW(P145))="","",INDIRECT("'"&amp;P$86&amp;"'!"&amp;VLOOKUP(P$87,'List Values'!$C$3:$D$6,2,FALSE)&amp;ROW(P145))),IF(P$86&lt;&gt;"","Data Source Error",""))))</f>
        <v/>
      </c>
      <c r="S145" s="528"/>
      <c r="T145" s="900" t="str">
        <f ca="1">IF(OR($H$7&lt;5,T$133&lt;1),"",IF(S145&lt;&gt;"",S145,IFERROR(IF(INDIRECT("'"&amp;S$86&amp;"'!"&amp;VLOOKUP(S$87,'List Values'!$C$3:$D$6,2,FALSE)&amp;ROW(S145))="","",INDIRECT("'"&amp;S$86&amp;"'!"&amp;VLOOKUP(S$87,'List Values'!$C$3:$D$6,2,FALSE)&amp;ROW(S145))),IF(S$86&lt;&gt;"","Data Source Error",""))))</f>
        <v/>
      </c>
      <c r="V145" s="528"/>
      <c r="W145" s="911" t="str">
        <f ca="1">IF(OR($H$7&lt;6,W$133&lt;1),"",IF(V145&lt;&gt;"",V145,IFERROR(IF(INDIRECT("'"&amp;V$86&amp;"'!"&amp;VLOOKUP(V$87,'List Values'!$C$3:$D$6,2,FALSE)&amp;ROW(V145))="","",INDIRECT("'"&amp;V$86&amp;"'!"&amp;VLOOKUP(V$87,'List Values'!$C$3:$D$6,2,FALSE)&amp;ROW(V145))),IF(V$86&lt;&gt;"","Data Source Error",""))))</f>
        <v/>
      </c>
      <c r="Y145" s="2643"/>
      <c r="Z145" s="2644"/>
      <c r="AA145" s="2644"/>
      <c r="AB145" s="2645"/>
    </row>
    <row r="146" spans="1:28" ht="36" hidden="1" customHeight="1" outlineLevel="1">
      <c r="A146" s="252"/>
      <c r="B146" s="2051"/>
      <c r="C146" s="2729" t="s">
        <v>5474</v>
      </c>
      <c r="D146" s="2729"/>
      <c r="E146" s="2041"/>
      <c r="F146" s="2041"/>
      <c r="G146" s="636"/>
      <c r="H146" s="637"/>
      <c r="I146" s="191"/>
      <c r="J146" s="580"/>
      <c r="K146" s="963">
        <f ca="1">IF(OR($H$7&lt;2,K$133&lt;1),"",IF(J146&lt;&gt;"",J146,IFERROR(IF(INDIRECT("'"&amp;J$86&amp;"'!"&amp;VLOOKUP(J$87,'List Values'!$C$3:$D$6,2,FALSE)&amp;ROW(J146))="","",INDIRECT("'"&amp;J$86&amp;"'!"&amp;VLOOKUP(J$87,'List Values'!$C$3:$D$6,2,FALSE)&amp;ROW(J146))),IF(J$86&lt;&gt;"","Data Source Error",""))))</f>
        <v>0</v>
      </c>
      <c r="L146" s="191"/>
      <c r="M146" s="580"/>
      <c r="N146" s="963">
        <f ca="1">IF(OR($H$7&lt;3,N$133&lt;1),"",IF(M146&lt;&gt;"",M146,IFERROR(IF(INDIRECT("'"&amp;M$86&amp;"'!"&amp;VLOOKUP(M$87,'List Values'!$C$3:$D$6,2,FALSE)&amp;ROW(M146))="","",INDIRECT("'"&amp;M$86&amp;"'!"&amp;VLOOKUP(M$87,'List Values'!$C$3:$D$6,2,FALSE)&amp;ROW(M146))),IF(M$86&lt;&gt;"","Data Source Error",""))))</f>
        <v>0</v>
      </c>
      <c r="O146" s="187"/>
      <c r="P146" s="528"/>
      <c r="Q146" s="900" t="str">
        <f ca="1">IF(OR($H$7&lt;4,Q$133&lt;1),"",IF(P146&lt;&gt;"",P146,IFERROR(IF(INDIRECT("'"&amp;P$86&amp;"'!"&amp;VLOOKUP(P$87,'List Values'!$C$3:$D$6,2,FALSE)&amp;ROW(P146))="","",INDIRECT("'"&amp;P$86&amp;"'!"&amp;VLOOKUP(P$87,'List Values'!$C$3:$D$6,2,FALSE)&amp;ROW(P146))),IF(P$86&lt;&gt;"","Data Source Error",""))))</f>
        <v/>
      </c>
      <c r="S146" s="528"/>
      <c r="T146" s="900" t="str">
        <f ca="1">IF(OR($H$7&lt;5,T$133&lt;1),"",IF(S146&lt;&gt;"",S146,IFERROR(IF(INDIRECT("'"&amp;S$86&amp;"'!"&amp;VLOOKUP(S$87,'List Values'!$C$3:$D$6,2,FALSE)&amp;ROW(S146))="","",INDIRECT("'"&amp;S$86&amp;"'!"&amp;VLOOKUP(S$87,'List Values'!$C$3:$D$6,2,FALSE)&amp;ROW(S146))),IF(S$86&lt;&gt;"","Data Source Error",""))))</f>
        <v/>
      </c>
      <c r="V146" s="528"/>
      <c r="W146" s="911" t="str">
        <f ca="1">IF(OR($H$7&lt;6,W$133&lt;1),"",IF(V146&lt;&gt;"",V146,IFERROR(IF(INDIRECT("'"&amp;V$86&amp;"'!"&amp;VLOOKUP(V$87,'List Values'!$C$3:$D$6,2,FALSE)&amp;ROW(V146))="","",INDIRECT("'"&amp;V$86&amp;"'!"&amp;VLOOKUP(V$87,'List Values'!$C$3:$D$6,2,FALSE)&amp;ROW(V146))),IF(V$86&lt;&gt;"","Data Source Error",""))))</f>
        <v/>
      </c>
      <c r="Y146" s="2643"/>
      <c r="Z146" s="2644"/>
      <c r="AA146" s="2644"/>
      <c r="AB146" s="2645"/>
    </row>
    <row r="147" spans="1:28" ht="28.5" hidden="1" customHeight="1" outlineLevel="1">
      <c r="A147" s="252"/>
      <c r="B147" s="2051"/>
      <c r="C147" s="2728" t="s">
        <v>5475</v>
      </c>
      <c r="D147" s="2728"/>
      <c r="E147" s="2041"/>
      <c r="F147" s="2041"/>
      <c r="G147" s="636"/>
      <c r="H147" s="637"/>
      <c r="I147" s="191"/>
      <c r="J147" s="580"/>
      <c r="K147" s="963" t="str">
        <f ca="1">IF(OR($H$7&lt;2,K$133&lt;1),"",IF(J147&lt;&gt;"",J147,IFERROR(IF(INDIRECT("'"&amp;J$86&amp;"'!"&amp;VLOOKUP(J$87,'List Values'!$C$3:$D$6,2,FALSE)&amp;ROW(J147))="","",INDIRECT("'"&amp;J$86&amp;"'!"&amp;VLOOKUP(J$87,'List Values'!$C$3:$D$6,2,FALSE)&amp;ROW(J147))),IF(J$86&lt;&gt;"","Data Source Error",""))))</f>
        <v/>
      </c>
      <c r="L147" s="191"/>
      <c r="M147" s="580"/>
      <c r="N147" s="963" t="str">
        <f ca="1">IF(OR($H$7&lt;3,N$133&lt;1),"",IF(M147&lt;&gt;"",M147,IFERROR(IF(INDIRECT("'"&amp;M$86&amp;"'!"&amp;VLOOKUP(M$87,'List Values'!$C$3:$D$6,2,FALSE)&amp;ROW(M147))="","",INDIRECT("'"&amp;M$86&amp;"'!"&amp;VLOOKUP(M$87,'List Values'!$C$3:$D$6,2,FALSE)&amp;ROW(M147))),IF(M$86&lt;&gt;"","Data Source Error",""))))</f>
        <v/>
      </c>
      <c r="O147" s="187"/>
      <c r="P147" s="528"/>
      <c r="Q147" s="900" t="str">
        <f ca="1">IF(OR($H$7&lt;4,Q$133&lt;1),"",IF(P147&lt;&gt;"",P147,IFERROR(IF(INDIRECT("'"&amp;P$86&amp;"'!"&amp;VLOOKUP(P$87,'List Values'!$C$3:$D$6,2,FALSE)&amp;ROW(P147))="","",INDIRECT("'"&amp;P$86&amp;"'!"&amp;VLOOKUP(P$87,'List Values'!$C$3:$D$6,2,FALSE)&amp;ROW(P147))),IF(P$86&lt;&gt;"","Data Source Error",""))))</f>
        <v/>
      </c>
      <c r="S147" s="528"/>
      <c r="T147" s="900" t="str">
        <f ca="1">IF(OR($H$7&lt;5,T$133&lt;1),"",IF(S147&lt;&gt;"",S147,IFERROR(IF(INDIRECT("'"&amp;S$86&amp;"'!"&amp;VLOOKUP(S$87,'List Values'!$C$3:$D$6,2,FALSE)&amp;ROW(S147))="","",INDIRECT("'"&amp;S$86&amp;"'!"&amp;VLOOKUP(S$87,'List Values'!$C$3:$D$6,2,FALSE)&amp;ROW(S147))),IF(S$86&lt;&gt;"","Data Source Error",""))))</f>
        <v/>
      </c>
      <c r="V147" s="528"/>
      <c r="W147" s="911" t="str">
        <f ca="1">IF(OR($H$7&lt;6,W$133&lt;1),"",IF(V147&lt;&gt;"",V147,IFERROR(IF(INDIRECT("'"&amp;V$86&amp;"'!"&amp;VLOOKUP(V$87,'List Values'!$C$3:$D$6,2,FALSE)&amp;ROW(V147))="","",INDIRECT("'"&amp;V$86&amp;"'!"&amp;VLOOKUP(V$87,'List Values'!$C$3:$D$6,2,FALSE)&amp;ROW(V147))),IF(V$86&lt;&gt;"","Data Source Error",""))))</f>
        <v/>
      </c>
      <c r="Y147" s="2643"/>
      <c r="Z147" s="2644"/>
      <c r="AA147" s="2644"/>
      <c r="AB147" s="2645"/>
    </row>
    <row r="148" spans="1:28" ht="37.5" hidden="1" customHeight="1" outlineLevel="1">
      <c r="A148" s="252"/>
      <c r="B148" s="2051"/>
      <c r="C148" s="2729" t="s">
        <v>5478</v>
      </c>
      <c r="D148" s="2729"/>
      <c r="E148" s="2041"/>
      <c r="F148" s="2041"/>
      <c r="G148" s="636"/>
      <c r="H148" s="637"/>
      <c r="I148" s="191"/>
      <c r="J148" s="580"/>
      <c r="K148" s="963">
        <f ca="1">IF(OR($H$7&lt;2,K$133&lt;1),"",IF(J148&lt;&gt;"",J148,IFERROR(IF(INDIRECT("'"&amp;J$86&amp;"'!"&amp;VLOOKUP(J$87,'List Values'!$C$3:$D$6,2,FALSE)&amp;ROW(J148))="","",INDIRECT("'"&amp;J$86&amp;"'!"&amp;VLOOKUP(J$87,'List Values'!$C$3:$D$6,2,FALSE)&amp;ROW(J148))),IF(J$86&lt;&gt;"","Data Source Error",""))))</f>
        <v>60</v>
      </c>
      <c r="L148" s="191"/>
      <c r="M148" s="580"/>
      <c r="N148" s="963">
        <f ca="1">IF(OR($H$7&lt;3,N$133&lt;1),"",IF(M148&lt;&gt;"",M148,IFERROR(IF(INDIRECT("'"&amp;M$86&amp;"'!"&amp;VLOOKUP(M$87,'List Values'!$C$3:$D$6,2,FALSE)&amp;ROW(M148))="","",INDIRECT("'"&amp;M$86&amp;"'!"&amp;VLOOKUP(M$87,'List Values'!$C$3:$D$6,2,FALSE)&amp;ROW(M148))),IF(M$86&lt;&gt;"","Data Source Error",""))))</f>
        <v>20</v>
      </c>
      <c r="O148" s="187"/>
      <c r="P148" s="528"/>
      <c r="Q148" s="900" t="str">
        <f ca="1">IF(OR($H$7&lt;4,Q$133&lt;1),"",IF(P148&lt;&gt;"",P148,IFERROR(IF(INDIRECT("'"&amp;P$86&amp;"'!"&amp;VLOOKUP(P$87,'List Values'!$C$3:$D$6,2,FALSE)&amp;ROW(P148))="","",INDIRECT("'"&amp;P$86&amp;"'!"&amp;VLOOKUP(P$87,'List Values'!$C$3:$D$6,2,FALSE)&amp;ROW(P148))),IF(P$86&lt;&gt;"","Data Source Error",""))))</f>
        <v/>
      </c>
      <c r="S148" s="528"/>
      <c r="T148" s="900" t="str">
        <f ca="1">IF(OR($H$7&lt;5,T$133&lt;1),"",IF(S148&lt;&gt;"",S148,IFERROR(IF(INDIRECT("'"&amp;S$86&amp;"'!"&amp;VLOOKUP(S$87,'List Values'!$C$3:$D$6,2,FALSE)&amp;ROW(S148))="","",INDIRECT("'"&amp;S$86&amp;"'!"&amp;VLOOKUP(S$87,'List Values'!$C$3:$D$6,2,FALSE)&amp;ROW(S148))),IF(S$86&lt;&gt;"","Data Source Error",""))))</f>
        <v/>
      </c>
      <c r="V148" s="528"/>
      <c r="W148" s="911" t="str">
        <f ca="1">IF(OR($H$7&lt;6,W$133&lt;1),"",IF(V148&lt;&gt;"",V148,IFERROR(IF(INDIRECT("'"&amp;V$86&amp;"'!"&amp;VLOOKUP(V$87,'List Values'!$C$3:$D$6,2,FALSE)&amp;ROW(V148))="","",INDIRECT("'"&amp;V$86&amp;"'!"&amp;VLOOKUP(V$87,'List Values'!$C$3:$D$6,2,FALSE)&amp;ROW(V148))),IF(V$86&lt;&gt;"","Data Source Error",""))))</f>
        <v/>
      </c>
      <c r="Y148" s="2643"/>
      <c r="Z148" s="2644"/>
      <c r="AA148" s="2644"/>
      <c r="AB148" s="2645"/>
    </row>
    <row r="149" spans="1:28" ht="56.25" hidden="1" customHeight="1" outlineLevel="1">
      <c r="A149" s="252"/>
      <c r="B149" s="2051"/>
      <c r="C149" s="2729" t="s">
        <v>5479</v>
      </c>
      <c r="D149" s="2729"/>
      <c r="E149" s="2041"/>
      <c r="F149" s="2041"/>
      <c r="G149" s="636"/>
      <c r="H149" s="637"/>
      <c r="I149" s="191"/>
      <c r="J149" s="580"/>
      <c r="K149" s="963">
        <f ca="1">IF(OR($H$7&lt;2,K$133&lt;1),"",IF(J149&lt;&gt;"",J149,IFERROR(IF(INDIRECT("'"&amp;J$86&amp;"'!"&amp;VLOOKUP(J$87,'List Values'!$C$3:$D$6,2,FALSE)&amp;ROW(J149))="","",INDIRECT("'"&amp;J$86&amp;"'!"&amp;VLOOKUP(J$87,'List Values'!$C$3:$D$6,2,FALSE)&amp;ROW(J149))),IF(J$86&lt;&gt;"","Data Source Error",""))))</f>
        <v>0</v>
      </c>
      <c r="L149" s="191"/>
      <c r="M149" s="580"/>
      <c r="N149" s="963">
        <f ca="1">IF(OR($H$7&lt;3,N$133&lt;1),"",IF(M149&lt;&gt;"",M149,IFERROR(IF(INDIRECT("'"&amp;M$86&amp;"'!"&amp;VLOOKUP(M$87,'List Values'!$C$3:$D$6,2,FALSE)&amp;ROW(M149))="","",INDIRECT("'"&amp;M$86&amp;"'!"&amp;VLOOKUP(M$87,'List Values'!$C$3:$D$6,2,FALSE)&amp;ROW(M149))),IF(M$86&lt;&gt;"","Data Source Error",""))))</f>
        <v>0</v>
      </c>
      <c r="O149" s="187"/>
      <c r="P149" s="528"/>
      <c r="Q149" s="900" t="str">
        <f ca="1">IF(OR($H$7&lt;4,Q$133&lt;1),"",IF(P149&lt;&gt;"",P149,IFERROR(IF(INDIRECT("'"&amp;P$86&amp;"'!"&amp;VLOOKUP(P$87,'List Values'!$C$3:$D$6,2,FALSE)&amp;ROW(P149))="","",INDIRECT("'"&amp;P$86&amp;"'!"&amp;VLOOKUP(P$87,'List Values'!$C$3:$D$6,2,FALSE)&amp;ROW(P149))),IF(P$86&lt;&gt;"","Data Source Error",""))))</f>
        <v/>
      </c>
      <c r="S149" s="528"/>
      <c r="T149" s="900" t="str">
        <f ca="1">IF(OR($H$7&lt;5,T$133&lt;1),"",IF(S149&lt;&gt;"",S149,IFERROR(IF(INDIRECT("'"&amp;S$86&amp;"'!"&amp;VLOOKUP(S$87,'List Values'!$C$3:$D$6,2,FALSE)&amp;ROW(S149))="","",INDIRECT("'"&amp;S$86&amp;"'!"&amp;VLOOKUP(S$87,'List Values'!$C$3:$D$6,2,FALSE)&amp;ROW(S149))),IF(S$86&lt;&gt;"","Data Source Error",""))))</f>
        <v/>
      </c>
      <c r="V149" s="528"/>
      <c r="W149" s="911" t="str">
        <f ca="1">IF(OR($H$7&lt;6,W$133&lt;1),"",IF(V149&lt;&gt;"",V149,IFERROR(IF(INDIRECT("'"&amp;V$86&amp;"'!"&amp;VLOOKUP(V$87,'List Values'!$C$3:$D$6,2,FALSE)&amp;ROW(V149))="","",INDIRECT("'"&amp;V$86&amp;"'!"&amp;VLOOKUP(V$87,'List Values'!$C$3:$D$6,2,FALSE)&amp;ROW(V149))),IF(V$86&lt;&gt;"","Data Source Error",""))))</f>
        <v/>
      </c>
      <c r="Y149" s="2643"/>
      <c r="Z149" s="2644"/>
      <c r="AA149" s="2644"/>
      <c r="AB149" s="2645"/>
    </row>
    <row r="150" spans="1:28" ht="51.75" hidden="1" customHeight="1" outlineLevel="1">
      <c r="A150" s="252"/>
      <c r="B150" s="2051"/>
      <c r="C150" s="2729" t="s">
        <v>5480</v>
      </c>
      <c r="D150" s="2729"/>
      <c r="E150" s="2041"/>
      <c r="F150" s="2041"/>
      <c r="G150" s="636"/>
      <c r="H150" s="637"/>
      <c r="I150" s="191"/>
      <c r="J150" s="580"/>
      <c r="K150" s="963">
        <f ca="1">IF(OR($H$7&lt;2,K$133&lt;1),"",IF(J150&lt;&gt;"",J150,IFERROR(IF(INDIRECT("'"&amp;J$86&amp;"'!"&amp;VLOOKUP(J$87,'List Values'!$C$3:$D$6,2,FALSE)&amp;ROW(J150))="","",INDIRECT("'"&amp;J$86&amp;"'!"&amp;VLOOKUP(J$87,'List Values'!$C$3:$D$6,2,FALSE)&amp;ROW(J150))),IF(J$86&lt;&gt;"","Data Source Error",""))))</f>
        <v>0</v>
      </c>
      <c r="L150" s="191"/>
      <c r="M150" s="580"/>
      <c r="N150" s="963">
        <f ca="1">IF(OR($H$7&lt;3,N$133&lt;1),"",IF(M150&lt;&gt;"",M150,IFERROR(IF(INDIRECT("'"&amp;M$86&amp;"'!"&amp;VLOOKUP(M$87,'List Values'!$C$3:$D$6,2,FALSE)&amp;ROW(M150))="","",INDIRECT("'"&amp;M$86&amp;"'!"&amp;VLOOKUP(M$87,'List Values'!$C$3:$D$6,2,FALSE)&amp;ROW(M150))),IF(M$86&lt;&gt;"","Data Source Error",""))))</f>
        <v>0</v>
      </c>
      <c r="O150" s="187"/>
      <c r="P150" s="528"/>
      <c r="Q150" s="900" t="str">
        <f ca="1">IF(OR($H$7&lt;4,Q$133&lt;1),"",IF(P150&lt;&gt;"",P150,IFERROR(IF(INDIRECT("'"&amp;P$86&amp;"'!"&amp;VLOOKUP(P$87,'List Values'!$C$3:$D$6,2,FALSE)&amp;ROW(P150))="","",INDIRECT("'"&amp;P$86&amp;"'!"&amp;VLOOKUP(P$87,'List Values'!$C$3:$D$6,2,FALSE)&amp;ROW(P150))),IF(P$86&lt;&gt;"","Data Source Error",""))))</f>
        <v/>
      </c>
      <c r="S150" s="528"/>
      <c r="T150" s="900" t="str">
        <f ca="1">IF(OR($H$7&lt;5,T$133&lt;1),"",IF(S150&lt;&gt;"",S150,IFERROR(IF(INDIRECT("'"&amp;S$86&amp;"'!"&amp;VLOOKUP(S$87,'List Values'!$C$3:$D$6,2,FALSE)&amp;ROW(S150))="","",INDIRECT("'"&amp;S$86&amp;"'!"&amp;VLOOKUP(S$87,'List Values'!$C$3:$D$6,2,FALSE)&amp;ROW(S150))),IF(S$86&lt;&gt;"","Data Source Error",""))))</f>
        <v/>
      </c>
      <c r="V150" s="528"/>
      <c r="W150" s="911" t="str">
        <f ca="1">IF(OR($H$7&lt;6,W$133&lt;1),"",IF(V150&lt;&gt;"",V150,IFERROR(IF(INDIRECT("'"&amp;V$86&amp;"'!"&amp;VLOOKUP(V$87,'List Values'!$C$3:$D$6,2,FALSE)&amp;ROW(V150))="","",INDIRECT("'"&amp;V$86&amp;"'!"&amp;VLOOKUP(V$87,'List Values'!$C$3:$D$6,2,FALSE)&amp;ROW(V150))),IF(V$86&lt;&gt;"","Data Source Error",""))))</f>
        <v/>
      </c>
      <c r="Y150" s="2643"/>
      <c r="Z150" s="2644"/>
      <c r="AA150" s="2644"/>
      <c r="AB150" s="2645"/>
    </row>
    <row r="151" spans="1:28" ht="18.75" hidden="1" customHeight="1" outlineLevel="1">
      <c r="A151" s="252"/>
      <c r="B151" s="2051"/>
      <c r="C151" s="2729" t="s">
        <v>648</v>
      </c>
      <c r="D151" s="2729"/>
      <c r="E151" s="2041"/>
      <c r="F151" s="2041"/>
      <c r="G151" s="636"/>
      <c r="H151" s="637"/>
      <c r="I151" s="191"/>
      <c r="J151" s="580"/>
      <c r="K151" s="963">
        <f ca="1">IF(OR($H$7&lt;2,K$133&lt;1),"",IF(J151&lt;&gt;"",J151,IFERROR(IF(INDIRECT("'"&amp;J$86&amp;"'!"&amp;VLOOKUP(J$87,'List Values'!$C$3:$D$6,2,FALSE)&amp;ROW(J151))="","",INDIRECT("'"&amp;J$86&amp;"'!"&amp;VLOOKUP(J$87,'List Values'!$C$3:$D$6,2,FALSE)&amp;ROW(J151))),IF(J$86&lt;&gt;"","Data Source Error",""))))</f>
        <v>100</v>
      </c>
      <c r="L151" s="191"/>
      <c r="M151" s="580"/>
      <c r="N151" s="963">
        <f ca="1">IF(OR($H$7&lt;3,N$133&lt;1),"",IF(M151&lt;&gt;"",M151,IFERROR(IF(INDIRECT("'"&amp;M$86&amp;"'!"&amp;VLOOKUP(M$87,'List Values'!$C$3:$D$6,2,FALSE)&amp;ROW(M151))="","",INDIRECT("'"&amp;M$86&amp;"'!"&amp;VLOOKUP(M$87,'List Values'!$C$3:$D$6,2,FALSE)&amp;ROW(M151))),IF(M$86&lt;&gt;"","Data Source Error",""))))</f>
        <v>25</v>
      </c>
      <c r="O151" s="187"/>
      <c r="P151" s="528"/>
      <c r="Q151" s="900" t="str">
        <f ca="1">IF(OR($H$7&lt;4,Q$133&lt;1),"",IF(P151&lt;&gt;"",P151,IFERROR(IF(INDIRECT("'"&amp;P$86&amp;"'!"&amp;VLOOKUP(P$87,'List Values'!$C$3:$D$6,2,FALSE)&amp;ROW(P151))="","",INDIRECT("'"&amp;P$86&amp;"'!"&amp;VLOOKUP(P$87,'List Values'!$C$3:$D$6,2,FALSE)&amp;ROW(P151))),IF(P$86&lt;&gt;"","Data Source Error",""))))</f>
        <v/>
      </c>
      <c r="S151" s="528"/>
      <c r="T151" s="900" t="str">
        <f ca="1">IF(OR($H$7&lt;5,T$133&lt;1),"",IF(S151&lt;&gt;"",S151,IFERROR(IF(INDIRECT("'"&amp;S$86&amp;"'!"&amp;VLOOKUP(S$87,'List Values'!$C$3:$D$6,2,FALSE)&amp;ROW(S151))="","",INDIRECT("'"&amp;S$86&amp;"'!"&amp;VLOOKUP(S$87,'List Values'!$C$3:$D$6,2,FALSE)&amp;ROW(S151))),IF(S$86&lt;&gt;"","Data Source Error",""))))</f>
        <v/>
      </c>
      <c r="V151" s="528"/>
      <c r="W151" s="911" t="str">
        <f ca="1">IF(OR($H$7&lt;6,W$133&lt;1),"",IF(V151&lt;&gt;"",V151,IFERROR(IF(INDIRECT("'"&amp;V$86&amp;"'!"&amp;VLOOKUP(V$87,'List Values'!$C$3:$D$6,2,FALSE)&amp;ROW(V151))="","",INDIRECT("'"&amp;V$86&amp;"'!"&amp;VLOOKUP(V$87,'List Values'!$C$3:$D$6,2,FALSE)&amp;ROW(V151))),IF(V$86&lt;&gt;"","Data Source Error",""))))</f>
        <v/>
      </c>
      <c r="Y151" s="2643"/>
      <c r="Z151" s="2644"/>
      <c r="AA151" s="2644"/>
      <c r="AB151" s="2645"/>
    </row>
    <row r="152" spans="1:28" ht="33.75" hidden="1" customHeight="1" outlineLevel="1" thickBot="1">
      <c r="A152" s="252"/>
      <c r="B152" s="2051"/>
      <c r="C152" s="2729" t="s">
        <v>649</v>
      </c>
      <c r="D152" s="2729"/>
      <c r="E152" s="2041"/>
      <c r="F152" s="2041"/>
      <c r="G152" s="636"/>
      <c r="H152" s="637"/>
      <c r="I152" s="239"/>
      <c r="J152" s="624"/>
      <c r="K152" s="965">
        <f ca="1">IF(OR($H$7&lt;2,K$133&lt;1),"",IF(J152&lt;&gt;"",J152,IFERROR(IF(INDIRECT("'"&amp;J$86&amp;"'!"&amp;VLOOKUP(J$87,'List Values'!$C$3:$D$6,2,FALSE)&amp;ROW(J152))="","",INDIRECT("'"&amp;J$86&amp;"'!"&amp;VLOOKUP(J$87,'List Values'!$C$3:$D$6,2,FALSE)&amp;ROW(J152))),IF(J$86&lt;&gt;"","Data Source Error",""))))</f>
        <v>100</v>
      </c>
      <c r="L152" s="239"/>
      <c r="M152" s="624"/>
      <c r="N152" s="965">
        <f ca="1">IF(OR($H$7&lt;3,N$133&lt;1),"",IF(M152&lt;&gt;"",M152,IFERROR(IF(INDIRECT("'"&amp;M$86&amp;"'!"&amp;VLOOKUP(M$87,'List Values'!$C$3:$D$6,2,FALSE)&amp;ROW(M152))="","",INDIRECT("'"&amp;M$86&amp;"'!"&amp;VLOOKUP(M$87,'List Values'!$C$3:$D$6,2,FALSE)&amp;ROW(M152))),IF(M$86&lt;&gt;"","Data Source Error",""))))</f>
        <v>100</v>
      </c>
      <c r="O152" s="625"/>
      <c r="P152" s="528"/>
      <c r="Q152" s="900" t="str">
        <f ca="1">IF(OR($H$7&lt;4,Q$133&lt;1),"",IF(P152&lt;&gt;"",P152,IFERROR(IF(INDIRECT("'"&amp;P$86&amp;"'!"&amp;VLOOKUP(P$87,'List Values'!$C$3:$D$6,2,FALSE)&amp;ROW(P152))="","",INDIRECT("'"&amp;P$86&amp;"'!"&amp;VLOOKUP(P$87,'List Values'!$C$3:$D$6,2,FALSE)&amp;ROW(P152))),IF(P$86&lt;&gt;"","Data Source Error",""))))</f>
        <v/>
      </c>
      <c r="S152" s="528"/>
      <c r="T152" s="900" t="str">
        <f ca="1">IF(OR($H$7&lt;5,T$133&lt;1),"",IF(S152&lt;&gt;"",S152,IFERROR(IF(INDIRECT("'"&amp;S$86&amp;"'!"&amp;VLOOKUP(S$87,'List Values'!$C$3:$D$6,2,FALSE)&amp;ROW(S152))="","",INDIRECT("'"&amp;S$86&amp;"'!"&amp;VLOOKUP(S$87,'List Values'!$C$3:$D$6,2,FALSE)&amp;ROW(S152))),IF(S$86&lt;&gt;"","Data Source Error",""))))</f>
        <v/>
      </c>
      <c r="V152" s="528"/>
      <c r="W152" s="911" t="str">
        <f ca="1">IF(OR($H$7&lt;6,W$133&lt;1),"",IF(V152&lt;&gt;"",V152,IFERROR(IF(INDIRECT("'"&amp;V$86&amp;"'!"&amp;VLOOKUP(V$87,'List Values'!$C$3:$D$6,2,FALSE)&amp;ROW(V152))="","",INDIRECT("'"&amp;V$86&amp;"'!"&amp;VLOOKUP(V$87,'List Values'!$C$3:$D$6,2,FALSE)&amp;ROW(V152))),IF(V$86&lt;&gt;"","Data Source Error",""))))</f>
        <v/>
      </c>
      <c r="Y152" s="2643"/>
      <c r="Z152" s="2644"/>
      <c r="AA152" s="2644"/>
      <c r="AB152" s="2645"/>
    </row>
    <row r="153" spans="1:28" ht="33.75" hidden="1" customHeight="1" outlineLevel="1">
      <c r="A153" s="237"/>
      <c r="B153" s="2051"/>
      <c r="C153" s="2729" t="s">
        <v>415</v>
      </c>
      <c r="D153" s="2729"/>
      <c r="E153" s="238"/>
      <c r="F153" s="238"/>
      <c r="G153" s="638"/>
      <c r="H153" s="639"/>
      <c r="I153" s="52"/>
      <c r="J153" s="583"/>
      <c r="K153" s="965" t="str">
        <f ca="1">IF(OR($H$7&lt;2,K$133&lt;1),"",IF(J153&lt;&gt;"",J153,IFERROR(IF(INDIRECT("'"&amp;J$86&amp;"'!"&amp;VLOOKUP(J$87,'List Values'!$C$3:$D$6,2,FALSE)&amp;ROW(J153))="","",INDIRECT("'"&amp;J$86&amp;"'!"&amp;VLOOKUP(J$87,'List Values'!$C$3:$D$6,2,FALSE)&amp;ROW(J153))),IF(J$86&lt;&gt;"","Data Source Error",""))))</f>
        <v>No</v>
      </c>
      <c r="L153" s="52"/>
      <c r="M153" s="583"/>
      <c r="N153" s="965" t="str">
        <f ca="1">IF(OR($H$7&lt;3,N$133&lt;1),"",IF(M153&lt;&gt;"",M153,IFERROR(IF(INDIRECT("'"&amp;M$86&amp;"'!"&amp;VLOOKUP(M$87,'List Values'!$C$3:$D$6,2,FALSE)&amp;ROW(M153))="","",INDIRECT("'"&amp;M$86&amp;"'!"&amp;VLOOKUP(M$87,'List Values'!$C$3:$D$6,2,FALSE)&amp;ROW(M153))),IF(M$86&lt;&gt;"","Data Source Error",""))))</f>
        <v>No</v>
      </c>
      <c r="P153" s="582"/>
      <c r="Q153" s="941" t="str">
        <f ca="1">IF(OR($H$7&lt;4,Q$133&lt;1),"",IF(P153&lt;&gt;"",P153,IFERROR(IF(INDIRECT("'"&amp;P$86&amp;"'!"&amp;VLOOKUP(P$87,'List Values'!$C$3:$D$6,2,FALSE)&amp;ROW(P153))="","",INDIRECT("'"&amp;P$86&amp;"'!"&amp;VLOOKUP(P$87,'List Values'!$C$3:$D$6,2,FALSE)&amp;ROW(P153))),IF(P$86&lt;&gt;"","Data Source Error",""))))</f>
        <v/>
      </c>
      <c r="S153" s="582"/>
      <c r="T153" s="972" t="str">
        <f ca="1">IF(OR($H$7&lt;5,T$133&lt;1),"",IF(S153&lt;&gt;"",S153,IFERROR(IF(INDIRECT("'"&amp;S$86&amp;"'!"&amp;VLOOKUP(S$87,'List Values'!$C$3:$D$6,2,FALSE)&amp;ROW(S153))="","",INDIRECT("'"&amp;S$86&amp;"'!"&amp;VLOOKUP(S$87,'List Values'!$C$3:$D$6,2,FALSE)&amp;ROW(S153))),IF(S$86&lt;&gt;"","Data Source Error",""))))</f>
        <v/>
      </c>
      <c r="V153" s="582"/>
      <c r="W153" s="976" t="str">
        <f ca="1">IF(OR($H$7&lt;6,W$133&lt;1),"",IF(V153&lt;&gt;"",V153,IFERROR(IF(INDIRECT("'"&amp;V$86&amp;"'!"&amp;VLOOKUP(V$87,'List Values'!$C$3:$D$6,2,FALSE)&amp;ROW(V153))="","",INDIRECT("'"&amp;V$86&amp;"'!"&amp;VLOOKUP(V$87,'List Values'!$C$3:$D$6,2,FALSE)&amp;ROW(V153))),IF(V$86&lt;&gt;"","Data Source Error",""))))</f>
        <v/>
      </c>
      <c r="Y153" s="2643"/>
      <c r="Z153" s="2644"/>
      <c r="AA153" s="2644"/>
      <c r="AB153" s="2645"/>
    </row>
    <row r="154" spans="1:28" ht="18.75" customHeight="1" collapsed="1">
      <c r="A154" s="237"/>
      <c r="B154" s="2049" t="s">
        <v>610</v>
      </c>
      <c r="C154" s="2050"/>
      <c r="D154" s="2050"/>
      <c r="E154" s="604"/>
      <c r="F154" s="604"/>
      <c r="G154" s="604"/>
      <c r="H154" s="604"/>
      <c r="I154" s="609"/>
      <c r="J154" s="605"/>
      <c r="K154" s="966"/>
      <c r="L154" s="609"/>
      <c r="M154" s="605"/>
      <c r="N154" s="961"/>
      <c r="O154" s="608"/>
      <c r="P154" s="610"/>
      <c r="Q154" s="970"/>
      <c r="R154" s="608"/>
      <c r="S154" s="610"/>
      <c r="T154" s="970"/>
      <c r="U154" s="608"/>
      <c r="V154" s="610"/>
      <c r="W154" s="970"/>
      <c r="Y154" s="631"/>
      <c r="Z154" s="631"/>
      <c r="AA154" s="631"/>
      <c r="AB154" s="631"/>
    </row>
    <row r="155" spans="1:28" ht="15.75" hidden="1" customHeight="1" outlineLevel="1">
      <c r="A155" s="252"/>
      <c r="B155" s="2051"/>
      <c r="C155" s="2726" t="s">
        <v>731</v>
      </c>
      <c r="D155" s="2726"/>
      <c r="E155" s="202"/>
      <c r="F155" s="202"/>
      <c r="G155" s="634"/>
      <c r="H155" s="635"/>
      <c r="I155" s="183"/>
      <c r="J155" s="628"/>
      <c r="K155" s="967" t="str">
        <f ca="1">IF(OR($H$7&lt;2,K$133&lt;2),"",IF(J155&lt;&gt;"",J155,IFERROR(IF(INDIRECT("'"&amp;J$86&amp;"'!"&amp;VLOOKUP(J$87,'List Values'!$C$3:$D$6,2,FALSE)&amp;ROW(J155))="","",INDIRECT("'"&amp;J$86&amp;"'!"&amp;VLOOKUP(J$87,'List Values'!$C$3:$D$6,2,FALSE)&amp;ROW(J155))),IF(J$86&lt;&gt;"","Data Source Error",""))))</f>
        <v/>
      </c>
      <c r="L155" s="629"/>
      <c r="M155" s="628"/>
      <c r="N155" s="967" t="str">
        <f ca="1">IF(OR($H$7&lt;3,N$133&lt;2),"",IF(M155&lt;&gt;"",M155,IFERROR(IF(INDIRECT("'"&amp;M$86&amp;"'!"&amp;VLOOKUP(M$87,'List Values'!$C$3:$D$6,2,FALSE)&amp;ROW(M155))="","",INDIRECT("'"&amp;M$86&amp;"'!"&amp;VLOOKUP(M$87,'List Values'!$C$3:$D$6,2,FALSE)&amp;ROW(M155))),IF(M$86&lt;&gt;"","Data Source Error",""))))</f>
        <v/>
      </c>
      <c r="O155" s="629"/>
      <c r="P155" s="590"/>
      <c r="Q155" s="967" t="str">
        <f ca="1">IF(OR($H$7&lt;4,Q$133&lt;2),"",IF(P155&lt;&gt;"",P155,IFERROR(IF(INDIRECT("'"&amp;P$86&amp;"'!"&amp;VLOOKUP(P$87,'List Values'!$C$3:$D$6,2,FALSE)&amp;ROW(P155))="","",INDIRECT("'"&amp;P$86&amp;"'!"&amp;VLOOKUP(P$87,'List Values'!$C$3:$D$6,2,FALSE)&amp;ROW(P155))),IF(P$86&lt;&gt;"","Data Source Error",""))))</f>
        <v/>
      </c>
      <c r="R155" s="147"/>
      <c r="S155" s="590"/>
      <c r="T155" s="967" t="str">
        <f ca="1">IF(OR($H$7&lt;5,T$133&lt;2),"",IF(S155&lt;&gt;"",S155,IFERROR(IF(INDIRECT("'"&amp;S$86&amp;"'!"&amp;VLOOKUP(S$87,'List Values'!$C$3:$D$6,2,FALSE)&amp;ROW(S155))="","",INDIRECT("'"&amp;S$86&amp;"'!"&amp;VLOOKUP(S$87,'List Values'!$C$3:$D$6,2,FALSE)&amp;ROW(S155))),IF(S$86&lt;&gt;"","Data Source Error",""))))</f>
        <v/>
      </c>
      <c r="U155" s="147"/>
      <c r="V155" s="590"/>
      <c r="W155" s="973" t="str">
        <f ca="1">IF(OR($H$7&lt;6,W$133&lt;2),"",IF(V155&lt;&gt;"",V155,IFERROR(IF(INDIRECT("'"&amp;V$86&amp;"'!"&amp;VLOOKUP(V$87,'List Values'!$C$3:$D$6,2,FALSE)&amp;ROW(V155))="","",INDIRECT("'"&amp;V$86&amp;"'!"&amp;VLOOKUP(V$87,'List Values'!$C$3:$D$6,2,FALSE)&amp;ROW(V155))),IF(V$86&lt;&gt;"","Data Source Error",""))))</f>
        <v/>
      </c>
      <c r="Y155" s="2643"/>
      <c r="Z155" s="2644"/>
      <c r="AA155" s="2644"/>
      <c r="AB155" s="2645"/>
    </row>
    <row r="156" spans="1:28" ht="15.75" hidden="1" customHeight="1" outlineLevel="1">
      <c r="A156" s="252"/>
      <c r="B156" s="2051"/>
      <c r="C156" s="2729" t="s">
        <v>626</v>
      </c>
      <c r="D156" s="2729"/>
      <c r="E156" s="2041"/>
      <c r="F156" s="2041"/>
      <c r="G156" s="636"/>
      <c r="H156" s="637"/>
      <c r="I156" s="187"/>
      <c r="J156" s="526"/>
      <c r="K156" s="900" t="str">
        <f ca="1">IF(OR($H$7&lt;2,K$133&lt;2),"",IF(J156&lt;&gt;"",J156,IFERROR(IF(INDIRECT("'"&amp;J$86&amp;"'!"&amp;VLOOKUP(J$87,'List Values'!$C$3:$D$6,2,FALSE)&amp;ROW(J156))="","",INDIRECT("'"&amp;J$86&amp;"'!"&amp;VLOOKUP(J$87,'List Values'!$C$3:$D$6,2,FALSE)&amp;ROW(J156))),IF(J$86&lt;&gt;"","Data Source Error",""))))</f>
        <v/>
      </c>
      <c r="L156" s="187"/>
      <c r="M156" s="526"/>
      <c r="N156" s="900" t="str">
        <f ca="1">IF(OR($H$7&lt;3,N$133&lt;2),"",IF(M156&lt;&gt;"",M156,IFERROR(IF(INDIRECT("'"&amp;M$86&amp;"'!"&amp;VLOOKUP(M$87,'List Values'!$C$3:$D$6,2,FALSE)&amp;ROW(M156))="","",INDIRECT("'"&amp;M$86&amp;"'!"&amp;VLOOKUP(M$87,'List Values'!$C$3:$D$6,2,FALSE)&amp;ROW(M156))),IF(M$86&lt;&gt;"","Data Source Error",""))))</f>
        <v/>
      </c>
      <c r="O156" s="187"/>
      <c r="P156" s="560"/>
      <c r="Q156" s="900" t="str">
        <f ca="1">IF(OR($H$7&lt;4,Q$133&lt;2),"",IF(P156&lt;&gt;"",P156,IFERROR(IF(INDIRECT("'"&amp;P$86&amp;"'!"&amp;VLOOKUP(P$87,'List Values'!$C$3:$D$6,2,FALSE)&amp;ROW(P156))="","",INDIRECT("'"&amp;P$86&amp;"'!"&amp;VLOOKUP(P$87,'List Values'!$C$3:$D$6,2,FALSE)&amp;ROW(P156))),IF(P$86&lt;&gt;"","Data Source Error",""))))</f>
        <v/>
      </c>
      <c r="S156" s="560"/>
      <c r="T156" s="900" t="str">
        <f ca="1">IF(OR($H$7&lt;5,T$133&lt;2),"",IF(S156&lt;&gt;"",S156,IFERROR(IF(INDIRECT("'"&amp;S$86&amp;"'!"&amp;VLOOKUP(S$87,'List Values'!$C$3:$D$6,2,FALSE)&amp;ROW(S156))="","",INDIRECT("'"&amp;S$86&amp;"'!"&amp;VLOOKUP(S$87,'List Values'!$C$3:$D$6,2,FALSE)&amp;ROW(S156))),IF(S$86&lt;&gt;"","Data Source Error",""))))</f>
        <v/>
      </c>
      <c r="V156" s="560"/>
      <c r="W156" s="911" t="str">
        <f ca="1">IF(OR($H$7&lt;6,W$133&lt;2),"",IF(V156&lt;&gt;"",V156,IFERROR(IF(INDIRECT("'"&amp;V$86&amp;"'!"&amp;VLOOKUP(V$87,'List Values'!$C$3:$D$6,2,FALSE)&amp;ROW(V156))="","",INDIRECT("'"&amp;V$86&amp;"'!"&amp;VLOOKUP(V$87,'List Values'!$C$3:$D$6,2,FALSE)&amp;ROW(V156))),IF(V$86&lt;&gt;"","Data Source Error",""))))</f>
        <v/>
      </c>
      <c r="Y156" s="2643"/>
      <c r="Z156" s="2644"/>
      <c r="AA156" s="2644"/>
      <c r="AB156" s="2645"/>
    </row>
    <row r="157" spans="1:28" ht="31.5" hidden="1" customHeight="1" outlineLevel="1">
      <c r="A157" s="252"/>
      <c r="B157" s="2051"/>
      <c r="C157" s="2729" t="s">
        <v>2520</v>
      </c>
      <c r="D157" s="2729"/>
      <c r="E157" s="2041"/>
      <c r="F157" s="2041"/>
      <c r="G157" s="636"/>
      <c r="H157" s="637"/>
      <c r="I157" s="183"/>
      <c r="J157" s="561"/>
      <c r="K157" s="897" t="str">
        <f ca="1">IF(OR($H$7&lt;2,K$133&lt;2),"",IF(J157&lt;&gt;"",J157,IFERROR(IF(INDIRECT("'"&amp;J$86&amp;"'!"&amp;VLOOKUP(J$87,'List Values'!$C$3:$D$6,2,FALSE)&amp;ROW(J157))="","",INDIRECT("'"&amp;J$86&amp;"'!"&amp;VLOOKUP(J$87,'List Values'!$C$3:$D$6,2,FALSE)&amp;ROW(J157))),IF(J$86&lt;&gt;"","Data Source Error",""))))</f>
        <v/>
      </c>
      <c r="L157" s="183"/>
      <c r="M157" s="561"/>
      <c r="N157" s="897" t="str">
        <f ca="1">IF(OR($H$7&lt;3,N$133&lt;2),"",IF(M157&lt;&gt;"",M157,IFERROR(IF(INDIRECT("'"&amp;M$86&amp;"'!"&amp;VLOOKUP(M$87,'List Values'!$C$3:$D$6,2,FALSE)&amp;ROW(M157))="","",INDIRECT("'"&amp;M$86&amp;"'!"&amp;VLOOKUP(M$87,'List Values'!$C$3:$D$6,2,FALSE)&amp;ROW(M157))),IF(M$86&lt;&gt;"","Data Source Error",""))))</f>
        <v/>
      </c>
      <c r="O157" s="183"/>
      <c r="P157" s="558"/>
      <c r="Q157" s="897" t="str">
        <f ca="1">IF(OR($H$7&lt;4,Q$133&lt;2),"",IF(P157&lt;&gt;"",P157,IFERROR(IF(INDIRECT("'"&amp;P$86&amp;"'!"&amp;VLOOKUP(P$87,'List Values'!$C$3:$D$6,2,FALSE)&amp;ROW(P157))="","",INDIRECT("'"&amp;P$86&amp;"'!"&amp;VLOOKUP(P$87,'List Values'!$C$3:$D$6,2,FALSE)&amp;ROW(P157))),IF(P$86&lt;&gt;"","Data Source Error",""))))</f>
        <v/>
      </c>
      <c r="S157" s="558"/>
      <c r="T157" s="897" t="str">
        <f ca="1">IF(OR($H$7&lt;5,T$133&lt;2),"",IF(S157&lt;&gt;"",S157,IFERROR(IF(INDIRECT("'"&amp;S$86&amp;"'!"&amp;VLOOKUP(S$87,'List Values'!$C$3:$D$6,2,FALSE)&amp;ROW(S157))="","",INDIRECT("'"&amp;S$86&amp;"'!"&amp;VLOOKUP(S$87,'List Values'!$C$3:$D$6,2,FALSE)&amp;ROW(S157))),IF(S$86&lt;&gt;"","Data Source Error",""))))</f>
        <v/>
      </c>
      <c r="V157" s="558"/>
      <c r="W157" s="908" t="str">
        <f ca="1">IF(OR($H$7&lt;6,W$133&lt;2),"",IF(V157&lt;&gt;"",V157,IFERROR(IF(INDIRECT("'"&amp;V$86&amp;"'!"&amp;VLOOKUP(V$87,'List Values'!$C$3:$D$6,2,FALSE)&amp;ROW(V157))="","",INDIRECT("'"&amp;V$86&amp;"'!"&amp;VLOOKUP(V$87,'List Values'!$C$3:$D$6,2,FALSE)&amp;ROW(V157))),IF(V$86&lt;&gt;"","Data Source Error",""))))</f>
        <v/>
      </c>
      <c r="Y157" s="2643"/>
      <c r="Z157" s="2644"/>
      <c r="AA157" s="2644"/>
      <c r="AB157" s="2645"/>
    </row>
    <row r="158" spans="1:28" ht="31.5" hidden="1" customHeight="1" outlineLevel="1">
      <c r="A158" s="252"/>
      <c r="B158" s="2051"/>
      <c r="C158" s="2728" t="s">
        <v>726</v>
      </c>
      <c r="D158" s="2728"/>
      <c r="E158" s="2041"/>
      <c r="F158" s="2041"/>
      <c r="G158" s="636"/>
      <c r="H158" s="637"/>
      <c r="I158" s="187"/>
      <c r="J158" s="526"/>
      <c r="K158" s="900" t="str">
        <f ca="1">IF(OR($H$7&lt;2,K$133&lt;2),"",IF(J158&lt;&gt;"",J158,IFERROR(IF(INDIRECT("'"&amp;J$86&amp;"'!"&amp;VLOOKUP(J$87,'List Values'!$C$3:$D$6,2,FALSE)&amp;ROW(J158))="","",INDIRECT("'"&amp;J$86&amp;"'!"&amp;VLOOKUP(J$87,'List Values'!$C$3:$D$6,2,FALSE)&amp;ROW(J158))),IF(J$86&lt;&gt;"","Data Source Error",""))))</f>
        <v/>
      </c>
      <c r="L158" s="187"/>
      <c r="M158" s="526"/>
      <c r="N158" s="900" t="str">
        <f ca="1">IF(OR($H$7&lt;3,N$133&lt;2),"",IF(M158&lt;&gt;"",M158,IFERROR(IF(INDIRECT("'"&amp;M$86&amp;"'!"&amp;VLOOKUP(M$87,'List Values'!$C$3:$D$6,2,FALSE)&amp;ROW(M158))="","",INDIRECT("'"&amp;M$86&amp;"'!"&amp;VLOOKUP(M$87,'List Values'!$C$3:$D$6,2,FALSE)&amp;ROW(M158))),IF(M$86&lt;&gt;"","Data Source Error",""))))</f>
        <v/>
      </c>
      <c r="O158" s="187"/>
      <c r="P158" s="560"/>
      <c r="Q158" s="900" t="str">
        <f ca="1">IF(OR($H$7&lt;4,Q$133&lt;2),"",IF(P158&lt;&gt;"",P158,IFERROR(IF(INDIRECT("'"&amp;P$86&amp;"'!"&amp;VLOOKUP(P$87,'List Values'!$C$3:$D$6,2,FALSE)&amp;ROW(P158))="","",INDIRECT("'"&amp;P$86&amp;"'!"&amp;VLOOKUP(P$87,'List Values'!$C$3:$D$6,2,FALSE)&amp;ROW(P158))),IF(P$86&lt;&gt;"","Data Source Error",""))))</f>
        <v/>
      </c>
      <c r="S158" s="560"/>
      <c r="T158" s="900" t="str">
        <f ca="1">IF(OR($H$7&lt;5,T$133&lt;2),"",IF(S158&lt;&gt;"",S158,IFERROR(IF(INDIRECT("'"&amp;S$86&amp;"'!"&amp;VLOOKUP(S$87,'List Values'!$C$3:$D$6,2,FALSE)&amp;ROW(S158))="","",INDIRECT("'"&amp;S$86&amp;"'!"&amp;VLOOKUP(S$87,'List Values'!$C$3:$D$6,2,FALSE)&amp;ROW(S158))),IF(S$86&lt;&gt;"","Data Source Error",""))))</f>
        <v/>
      </c>
      <c r="V158" s="560"/>
      <c r="W158" s="911" t="str">
        <f ca="1">IF(OR($H$7&lt;6,W$133&lt;2),"",IF(V158&lt;&gt;"",V158,IFERROR(IF(INDIRECT("'"&amp;V$86&amp;"'!"&amp;VLOOKUP(V$87,'List Values'!$C$3:$D$6,2,FALSE)&amp;ROW(V158))="","",INDIRECT("'"&amp;V$86&amp;"'!"&amp;VLOOKUP(V$87,'List Values'!$C$3:$D$6,2,FALSE)&amp;ROW(V158))),IF(V$86&lt;&gt;"","Data Source Error",""))))</f>
        <v/>
      </c>
      <c r="Y158" s="2643"/>
      <c r="Z158" s="2644"/>
      <c r="AA158" s="2644"/>
      <c r="AB158" s="2645"/>
    </row>
    <row r="159" spans="1:28" ht="31.5" hidden="1" customHeight="1" outlineLevel="1">
      <c r="A159" s="252"/>
      <c r="B159" s="2051"/>
      <c r="C159" s="2728" t="s">
        <v>727</v>
      </c>
      <c r="D159" s="2728"/>
      <c r="E159" s="2041"/>
      <c r="F159" s="2041"/>
      <c r="G159" s="636"/>
      <c r="H159" s="637"/>
      <c r="I159" s="187"/>
      <c r="J159" s="568"/>
      <c r="K159" s="945" t="str">
        <f ca="1">IF(OR($H$7&lt;2,K$133&lt;2),"",IF(J159&lt;&gt;"",J159,IFERROR(IF(INDIRECT("'"&amp;J$86&amp;"'!"&amp;VLOOKUP(J$87,'List Values'!$C$3:$D$6,2,FALSE)&amp;ROW(J159))="","",INDIRECT("'"&amp;J$86&amp;"'!"&amp;VLOOKUP(J$87,'List Values'!$C$3:$D$6,2,FALSE)&amp;ROW(J159))*$H$6),IF(J$86&lt;&gt;"","Data Source Error",""))))</f>
        <v/>
      </c>
      <c r="L159" s="339"/>
      <c r="M159" s="568"/>
      <c r="N159" s="945" t="str">
        <f ca="1">IF(OR($H$7&lt;3,N$133&lt;2),"",IF(M159&lt;&gt;"",M159,IFERROR(IF(INDIRECT("'"&amp;M$86&amp;"'!"&amp;VLOOKUP(M$87,'List Values'!$C$3:$D$6,2,FALSE)&amp;ROW(M159))="","",INDIRECT("'"&amp;M$86&amp;"'!"&amp;VLOOKUP(M$87,'List Values'!$C$3:$D$6,2,FALSE)&amp;ROW(M159))*$H$6),IF(M$86&lt;&gt;"","Data Source Error",""))))</f>
        <v/>
      </c>
      <c r="O159" s="339"/>
      <c r="P159" s="623"/>
      <c r="Q159" s="945" t="str">
        <f ca="1">IF(OR($H$7&lt;4,Q$133&lt;2),"",IF(P159&lt;&gt;"",P159,IFERROR(IF(INDIRECT("'"&amp;P$86&amp;"'!"&amp;VLOOKUP(P$87,'List Values'!$C$3:$D$6,2,FALSE)&amp;ROW(P159))="","",INDIRECT("'"&amp;P$86&amp;"'!"&amp;VLOOKUP(P$87,'List Values'!$C$3:$D$6,2,FALSE)&amp;ROW(P159))*$H$6),IF(P$86&lt;&gt;"","Data Source Error",""))))</f>
        <v/>
      </c>
      <c r="R159" s="7"/>
      <c r="S159" s="623"/>
      <c r="T159" s="945" t="str">
        <f ca="1">IF(OR($H$7&lt;5,T$133&lt;2),"",IF(S159&lt;&gt;"",S159,IFERROR(IF(INDIRECT("'"&amp;S$86&amp;"'!"&amp;VLOOKUP(S$87,'List Values'!$C$3:$D$6,2,FALSE)&amp;ROW(S159))="","",INDIRECT("'"&amp;S$86&amp;"'!"&amp;VLOOKUP(S$87,'List Values'!$C$3:$D$6,2,FALSE)&amp;ROW(S159))*$H$6),IF(S$86&lt;&gt;"","Data Source Error",""))))</f>
        <v/>
      </c>
      <c r="U159" s="7"/>
      <c r="V159" s="623"/>
      <c r="W159" s="952" t="str">
        <f ca="1">IF(OR($H$7&lt;6,W$133&lt;2),"",IF(V159&lt;&gt;"",V159,IFERROR(IF(INDIRECT("'"&amp;V$86&amp;"'!"&amp;VLOOKUP(V$87,'List Values'!$C$3:$D$6,2,FALSE)&amp;ROW(V159))="","",INDIRECT("'"&amp;V$86&amp;"'!"&amp;VLOOKUP(V$87,'List Values'!$C$3:$D$6,2,FALSE)&amp;ROW(V159))*$H$6),IF(V$86&lt;&gt;"","Data Source Error",""))))</f>
        <v/>
      </c>
      <c r="Y159" s="2643"/>
      <c r="Z159" s="2644"/>
      <c r="AA159" s="2644"/>
      <c r="AB159" s="2645"/>
    </row>
    <row r="160" spans="1:28" ht="15.75" hidden="1" customHeight="1" outlineLevel="1">
      <c r="A160" s="252"/>
      <c r="B160" s="2051"/>
      <c r="C160" s="2729" t="s">
        <v>732</v>
      </c>
      <c r="D160" s="2729"/>
      <c r="E160" s="2041"/>
      <c r="F160" s="2041"/>
      <c r="G160" s="636"/>
      <c r="H160" s="637"/>
      <c r="I160" s="187"/>
      <c r="J160" s="526"/>
      <c r="K160" s="900" t="str">
        <f ca="1">IF(OR($H$7&lt;2,K$133&lt;2),"",IF(J160&lt;&gt;"",J160,IFERROR(IF(INDIRECT("'"&amp;J$86&amp;"'!"&amp;VLOOKUP(J$87,'List Values'!$C$3:$D$6,2,FALSE)&amp;ROW(J160))="","",INDIRECT("'"&amp;J$86&amp;"'!"&amp;VLOOKUP(J$87,'List Values'!$C$3:$D$6,2,FALSE)&amp;ROW(J160))),IF(J$86&lt;&gt;"","Data Source Error",""))))</f>
        <v/>
      </c>
      <c r="L160" s="187"/>
      <c r="M160" s="526"/>
      <c r="N160" s="900" t="str">
        <f ca="1">IF(OR($H$7&lt;3,N$133&lt;2),"",IF(M160&lt;&gt;"",M160,IFERROR(IF(INDIRECT("'"&amp;M$86&amp;"'!"&amp;VLOOKUP(M$87,'List Values'!$C$3:$D$6,2,FALSE)&amp;ROW(M160))="","",INDIRECT("'"&amp;M$86&amp;"'!"&amp;VLOOKUP(M$87,'List Values'!$C$3:$D$6,2,FALSE)&amp;ROW(M160))),IF(M$86&lt;&gt;"","Data Source Error",""))))</f>
        <v/>
      </c>
      <c r="O160" s="187"/>
      <c r="P160" s="560"/>
      <c r="Q160" s="900" t="str">
        <f ca="1">IF(OR($H$7&lt;4,Q$133&lt;2),"",IF(P160&lt;&gt;"",P160,IFERROR(IF(INDIRECT("'"&amp;P$86&amp;"'!"&amp;VLOOKUP(P$87,'List Values'!$C$3:$D$6,2,FALSE)&amp;ROW(P160))="","",INDIRECT("'"&amp;P$86&amp;"'!"&amp;VLOOKUP(P$87,'List Values'!$C$3:$D$6,2,FALSE)&amp;ROW(P160))),IF(P$86&lt;&gt;"","Data Source Error",""))))</f>
        <v/>
      </c>
      <c r="S160" s="560"/>
      <c r="T160" s="900" t="str">
        <f ca="1">IF(OR($H$7&lt;5,T$133&lt;2),"",IF(S160&lt;&gt;"",S160,IFERROR(IF(INDIRECT("'"&amp;S$86&amp;"'!"&amp;VLOOKUP(S$87,'List Values'!$C$3:$D$6,2,FALSE)&amp;ROW(S160))="","",INDIRECT("'"&amp;S$86&amp;"'!"&amp;VLOOKUP(S$87,'List Values'!$C$3:$D$6,2,FALSE)&amp;ROW(S160))),IF(S$86&lt;&gt;"","Data Source Error",""))))</f>
        <v/>
      </c>
      <c r="V160" s="560"/>
      <c r="W160" s="911" t="str">
        <f ca="1">IF(OR($H$7&lt;6,W$133&lt;2),"",IF(V160&lt;&gt;"",V160,IFERROR(IF(INDIRECT("'"&amp;V$86&amp;"'!"&amp;VLOOKUP(V$87,'List Values'!$C$3:$D$6,2,FALSE)&amp;ROW(V160))="","",INDIRECT("'"&amp;V$86&amp;"'!"&amp;VLOOKUP(V$87,'List Values'!$C$3:$D$6,2,FALSE)&amp;ROW(V160))),IF(V$86&lt;&gt;"","Data Source Error",""))))</f>
        <v/>
      </c>
      <c r="Y160" s="2643"/>
      <c r="Z160" s="2644"/>
      <c r="AA160" s="2644"/>
      <c r="AB160" s="2645"/>
    </row>
    <row r="161" spans="1:28" ht="31.5" hidden="1" customHeight="1" outlineLevel="1">
      <c r="A161" s="252"/>
      <c r="B161" s="2051"/>
      <c r="C161" s="2729" t="s">
        <v>2521</v>
      </c>
      <c r="D161" s="2729"/>
      <c r="E161" s="2041"/>
      <c r="F161" s="2041"/>
      <c r="G161" s="636"/>
      <c r="H161" s="637"/>
      <c r="I161" s="187"/>
      <c r="J161" s="619"/>
      <c r="K161" s="898" t="str">
        <f ca="1">IF(OR($H$7&lt;2,K$133&lt;2),"",IF(J161&lt;&gt;"",J161,IFERROR(IF(INDIRECT("'"&amp;J$86&amp;"'!"&amp;VLOOKUP(J$87,'List Values'!$C$3:$D$6,2,FALSE)&amp;ROW(J161))="","",INDIRECT("'"&amp;J$86&amp;"'!"&amp;VLOOKUP(J$87,'List Values'!$C$3:$D$6,2,FALSE)&amp;ROW(J161))),IF(J$86&lt;&gt;"","Data Source Error",""))))</f>
        <v/>
      </c>
      <c r="L161" s="621"/>
      <c r="M161" s="619"/>
      <c r="N161" s="898" t="str">
        <f ca="1">IF(OR($H$7&lt;3,N$133&lt;2),"",IF(M161&lt;&gt;"",M161,IFERROR(IF(INDIRECT("'"&amp;M$86&amp;"'!"&amp;VLOOKUP(M$87,'List Values'!$C$3:$D$6,2,FALSE)&amp;ROW(M161))="","",INDIRECT("'"&amp;M$86&amp;"'!"&amp;VLOOKUP(M$87,'List Values'!$C$3:$D$6,2,FALSE)&amp;ROW(M161))),IF(M$86&lt;&gt;"","Data Source Error",""))))</f>
        <v/>
      </c>
      <c r="O161" s="621"/>
      <c r="P161" s="619"/>
      <c r="Q161" s="898" t="str">
        <f ca="1">IF(OR($H$7&lt;4,Q$133&lt;2),"",IF(P161&lt;&gt;"",P161,IFERROR(IF(INDIRECT("'"&amp;P$86&amp;"'!"&amp;VLOOKUP(P$87,'List Values'!$C$3:$D$6,2,FALSE)&amp;ROW(P161))="","",INDIRECT("'"&amp;P$86&amp;"'!"&amp;VLOOKUP(P$87,'List Values'!$C$3:$D$6,2,FALSE)&amp;ROW(P161))),IF(P$86&lt;&gt;"","Data Source Error",""))))</f>
        <v/>
      </c>
      <c r="R161" s="147"/>
      <c r="S161" s="619"/>
      <c r="T161" s="898" t="str">
        <f ca="1">IF(OR($H$7&lt;5,T$133&lt;2),"",IF(S161&lt;&gt;"",S161,IFERROR(IF(INDIRECT("'"&amp;S$86&amp;"'!"&amp;VLOOKUP(S$87,'List Values'!$C$3:$D$6,2,FALSE)&amp;ROW(S161))="","",INDIRECT("'"&amp;S$86&amp;"'!"&amp;VLOOKUP(S$87,'List Values'!$C$3:$D$6,2,FALSE)&amp;ROW(S161))),IF(S$86&lt;&gt;"","Data Source Error",""))))</f>
        <v/>
      </c>
      <c r="U161" s="147"/>
      <c r="V161" s="619"/>
      <c r="W161" s="909" t="str">
        <f ca="1">IF(OR($H$7&lt;6,W$133&lt;2),"",IF(V161&lt;&gt;"",V161,IFERROR(IF(INDIRECT("'"&amp;V$86&amp;"'!"&amp;VLOOKUP(V$87,'List Values'!$C$3:$D$6,2,FALSE)&amp;ROW(V161))="","",INDIRECT("'"&amp;V$86&amp;"'!"&amp;VLOOKUP(V$87,'List Values'!$C$3:$D$6,2,FALSE)&amp;ROW(V161))),IF(V$86&lt;&gt;"","Data Source Error",""))))</f>
        <v/>
      </c>
      <c r="Y161" s="2643"/>
      <c r="Z161" s="2644"/>
      <c r="AA161" s="2644"/>
      <c r="AB161" s="2645"/>
    </row>
    <row r="162" spans="1:28" ht="31.5" hidden="1" customHeight="1" outlineLevel="1">
      <c r="A162" s="252"/>
      <c r="B162" s="2051"/>
      <c r="C162" s="2729" t="s">
        <v>2522</v>
      </c>
      <c r="D162" s="2729"/>
      <c r="E162" s="2041"/>
      <c r="F162" s="2041"/>
      <c r="G162" s="636"/>
      <c r="H162" s="637"/>
      <c r="I162" s="187"/>
      <c r="J162" s="619"/>
      <c r="K162" s="898" t="str">
        <f ca="1">IF(OR($H$7&lt;2,K$133&lt;2),"",IF(J162&lt;&gt;"",J162,IFERROR(IF(INDIRECT("'"&amp;J$86&amp;"'!"&amp;VLOOKUP(J$87,'List Values'!$C$3:$D$6,2,FALSE)&amp;ROW(J162))="","",INDIRECT("'"&amp;J$86&amp;"'!"&amp;VLOOKUP(J$87,'List Values'!$C$3:$D$6,2,FALSE)&amp;ROW(J162))),IF(J$86&lt;&gt;"","Data Source Error",""))))</f>
        <v/>
      </c>
      <c r="L162" s="621"/>
      <c r="M162" s="619"/>
      <c r="N162" s="898" t="str">
        <f ca="1">IF(OR($H$7&lt;3,N$133&lt;2),"",IF(M162&lt;&gt;"",M162,IFERROR(IF(INDIRECT("'"&amp;M$86&amp;"'!"&amp;VLOOKUP(M$87,'List Values'!$C$3:$D$6,2,FALSE)&amp;ROW(M162))="","",INDIRECT("'"&amp;M$86&amp;"'!"&amp;VLOOKUP(M$87,'List Values'!$C$3:$D$6,2,FALSE)&amp;ROW(M162))),IF(M$86&lt;&gt;"","Data Source Error",""))))</f>
        <v/>
      </c>
      <c r="O162" s="621"/>
      <c r="P162" s="619"/>
      <c r="Q162" s="898" t="str">
        <f ca="1">IF(OR($H$7&lt;4,Q$133&lt;2),"",IF(P162&lt;&gt;"",P162,IFERROR(IF(INDIRECT("'"&amp;P$86&amp;"'!"&amp;VLOOKUP(P$87,'List Values'!$C$3:$D$6,2,FALSE)&amp;ROW(P162))="","",INDIRECT("'"&amp;P$86&amp;"'!"&amp;VLOOKUP(P$87,'List Values'!$C$3:$D$6,2,FALSE)&amp;ROW(P162))),IF(P$86&lt;&gt;"","Data Source Error",""))))</f>
        <v/>
      </c>
      <c r="R162" s="147"/>
      <c r="S162" s="619"/>
      <c r="T162" s="898" t="str">
        <f ca="1">IF(OR($H$7&lt;5,T$133&lt;2),"",IF(S162&lt;&gt;"",S162,IFERROR(IF(INDIRECT("'"&amp;S$86&amp;"'!"&amp;VLOOKUP(S$87,'List Values'!$C$3:$D$6,2,FALSE)&amp;ROW(S162))="","",INDIRECT("'"&amp;S$86&amp;"'!"&amp;VLOOKUP(S$87,'List Values'!$C$3:$D$6,2,FALSE)&amp;ROW(S162))),IF(S$86&lt;&gt;"","Data Source Error",""))))</f>
        <v/>
      </c>
      <c r="U162" s="147"/>
      <c r="V162" s="619"/>
      <c r="W162" s="909" t="str">
        <f ca="1">IF(OR($H$7&lt;6,W$133&lt;2),"",IF(V162&lt;&gt;"",V162,IFERROR(IF(INDIRECT("'"&amp;V$86&amp;"'!"&amp;VLOOKUP(V$87,'List Values'!$C$3:$D$6,2,FALSE)&amp;ROW(V162))="","",INDIRECT("'"&amp;V$86&amp;"'!"&amp;VLOOKUP(V$87,'List Values'!$C$3:$D$6,2,FALSE)&amp;ROW(V162))),IF(V$86&lt;&gt;"","Data Source Error",""))))</f>
        <v/>
      </c>
      <c r="Y162" s="2643"/>
      <c r="Z162" s="2644"/>
      <c r="AA162" s="2644"/>
      <c r="AB162" s="2645"/>
    </row>
    <row r="163" spans="1:28" ht="31.5" hidden="1" customHeight="1" outlineLevel="1">
      <c r="A163" s="252"/>
      <c r="B163" s="2051"/>
      <c r="C163" s="2729" t="s">
        <v>253</v>
      </c>
      <c r="D163" s="2729"/>
      <c r="E163" s="2041"/>
      <c r="F163" s="2041"/>
      <c r="G163" s="636"/>
      <c r="H163" s="637"/>
      <c r="I163" s="187"/>
      <c r="J163" s="526"/>
      <c r="K163" s="900" t="str">
        <f ca="1">IF(OR($H$7&lt;2,K$133&lt;2),"",IF(J163&lt;&gt;"",J163,IFERROR(IF(INDIRECT("'"&amp;J$86&amp;"'!"&amp;VLOOKUP(J$87,'List Values'!$C$3:$D$6,2,FALSE)&amp;ROW(J163))="","",INDIRECT("'"&amp;J$86&amp;"'!"&amp;VLOOKUP(J$87,'List Values'!$C$3:$D$6,2,FALSE)&amp;ROW(J163))),IF(J$86&lt;&gt;"","Data Source Error",""))))</f>
        <v/>
      </c>
      <c r="L163" s="187"/>
      <c r="M163" s="526"/>
      <c r="N163" s="900" t="str">
        <f ca="1">IF(OR($H$7&lt;3,N$133&lt;2),"",IF(M163&lt;&gt;"",M163,IFERROR(IF(INDIRECT("'"&amp;M$86&amp;"'!"&amp;VLOOKUP(M$87,'List Values'!$C$3:$D$6,2,FALSE)&amp;ROW(M163))="","",INDIRECT("'"&amp;M$86&amp;"'!"&amp;VLOOKUP(M$87,'List Values'!$C$3:$D$6,2,FALSE)&amp;ROW(M163))),IF(M$86&lt;&gt;"","Data Source Error",""))))</f>
        <v/>
      </c>
      <c r="O163" s="187"/>
      <c r="P163" s="523"/>
      <c r="Q163" s="900" t="str">
        <f ca="1">IF(OR($H$7&lt;4,Q$133&lt;2),"",IF(P163&lt;&gt;"",P163,IFERROR(IF(INDIRECT("'"&amp;P$86&amp;"'!"&amp;VLOOKUP(P$87,'List Values'!$C$3:$D$6,2,FALSE)&amp;ROW(P163))="","",INDIRECT("'"&amp;P$86&amp;"'!"&amp;VLOOKUP(P$87,'List Values'!$C$3:$D$6,2,FALSE)&amp;ROW(P163))),IF(P$86&lt;&gt;"","Data Source Error",""))))</f>
        <v/>
      </c>
      <c r="S163" s="523"/>
      <c r="T163" s="900" t="str">
        <f ca="1">IF(OR($H$7&lt;5,T$133&lt;2),"",IF(S163&lt;&gt;"",S163,IFERROR(IF(INDIRECT("'"&amp;S$86&amp;"'!"&amp;VLOOKUP(S$87,'List Values'!$C$3:$D$6,2,FALSE)&amp;ROW(S163))="","",INDIRECT("'"&amp;S$86&amp;"'!"&amp;VLOOKUP(S$87,'List Values'!$C$3:$D$6,2,FALSE)&amp;ROW(S163))),IF(S$86&lt;&gt;"","Data Source Error",""))))</f>
        <v/>
      </c>
      <c r="V163" s="523"/>
      <c r="W163" s="911" t="str">
        <f ca="1">IF(OR($H$7&lt;6,W$133&lt;2),"",IF(V163&lt;&gt;"",V163,IFERROR(IF(INDIRECT("'"&amp;V$86&amp;"'!"&amp;VLOOKUP(V$87,'List Values'!$C$3:$D$6,2,FALSE)&amp;ROW(V163))="","",INDIRECT("'"&amp;V$86&amp;"'!"&amp;VLOOKUP(V$87,'List Values'!$C$3:$D$6,2,FALSE)&amp;ROW(V163))),IF(V$86&lt;&gt;"","Data Source Error",""))))</f>
        <v/>
      </c>
      <c r="Y163" s="2643"/>
      <c r="Z163" s="2644"/>
      <c r="AA163" s="2644"/>
      <c r="AB163" s="2645"/>
    </row>
    <row r="164" spans="1:28" ht="15.75" hidden="1" customHeight="1" outlineLevel="1">
      <c r="A164" s="252"/>
      <c r="B164" s="2051"/>
      <c r="C164" s="2728" t="s">
        <v>244</v>
      </c>
      <c r="D164" s="2728"/>
      <c r="E164" s="2041"/>
      <c r="F164" s="2041"/>
      <c r="G164" s="636"/>
      <c r="H164" s="637"/>
      <c r="I164" s="187"/>
      <c r="J164" s="580"/>
      <c r="K164" s="900" t="str">
        <f ca="1">IF(OR($H$7&lt;2,K$133&lt;2),"",IF(J164&lt;&gt;"",J164,IFERROR(IF(INDIRECT("'"&amp;J$86&amp;"'!"&amp;VLOOKUP(J$87,'List Values'!$C$3:$D$6,2,FALSE)&amp;ROW(J164))="","",INDIRECT("'"&amp;J$86&amp;"'!"&amp;VLOOKUP(J$87,'List Values'!$C$3:$D$6,2,FALSE)&amp;ROW(J164))),IF(J$86&lt;&gt;"","Data Source Error",""))))</f>
        <v/>
      </c>
      <c r="L164" s="187"/>
      <c r="M164" s="580"/>
      <c r="N164" s="900" t="str">
        <f ca="1">IF(OR($H$7&lt;3,N$133&lt;2),"",IF(M164&lt;&gt;"",M164,IFERROR(IF(INDIRECT("'"&amp;M$86&amp;"'!"&amp;VLOOKUP(M$87,'List Values'!$C$3:$D$6,2,FALSE)&amp;ROW(M164))="","",INDIRECT("'"&amp;M$86&amp;"'!"&amp;VLOOKUP(M$87,'List Values'!$C$3:$D$6,2,FALSE)&amp;ROW(M164))),IF(M$86&lt;&gt;"","Data Source Error",""))))</f>
        <v/>
      </c>
      <c r="O164" s="187"/>
      <c r="P164" s="528"/>
      <c r="Q164" s="900" t="str">
        <f ca="1">IF(OR($H$7&lt;4,Q$133&lt;2),"",IF(P164&lt;&gt;"",P164,IFERROR(IF(INDIRECT("'"&amp;P$86&amp;"'!"&amp;VLOOKUP(P$87,'List Values'!$C$3:$D$6,2,FALSE)&amp;ROW(P164))="","",INDIRECT("'"&amp;P$86&amp;"'!"&amp;VLOOKUP(P$87,'List Values'!$C$3:$D$6,2,FALSE)&amp;ROW(P164))),IF(P$86&lt;&gt;"","Data Source Error",""))))</f>
        <v/>
      </c>
      <c r="S164" s="528"/>
      <c r="T164" s="900" t="str">
        <f ca="1">IF(OR($H$7&lt;5,T$133&lt;2),"",IF(S164&lt;&gt;"",S164,IFERROR(IF(INDIRECT("'"&amp;S$86&amp;"'!"&amp;VLOOKUP(S$87,'List Values'!$C$3:$D$6,2,FALSE)&amp;ROW(S164))="","",INDIRECT("'"&amp;S$86&amp;"'!"&amp;VLOOKUP(S$87,'List Values'!$C$3:$D$6,2,FALSE)&amp;ROW(S164))),IF(S$86&lt;&gt;"","Data Source Error",""))))</f>
        <v/>
      </c>
      <c r="V164" s="528"/>
      <c r="W164" s="911" t="str">
        <f ca="1">IF(OR($H$7&lt;6,W$133&lt;2),"",IF(V164&lt;&gt;"",V164,IFERROR(IF(INDIRECT("'"&amp;V$86&amp;"'!"&amp;VLOOKUP(V$87,'List Values'!$C$3:$D$6,2,FALSE)&amp;ROW(V164))="","",INDIRECT("'"&amp;V$86&amp;"'!"&amp;VLOOKUP(V$87,'List Values'!$C$3:$D$6,2,FALSE)&amp;ROW(V164))),IF(V$86&lt;&gt;"","Data Source Error",""))))</f>
        <v/>
      </c>
      <c r="Y164" s="2643"/>
      <c r="Z164" s="2644"/>
      <c r="AA164" s="2644"/>
      <c r="AB164" s="2645"/>
    </row>
    <row r="165" spans="1:28" ht="33" hidden="1" customHeight="1" outlineLevel="1">
      <c r="A165" s="252"/>
      <c r="B165" s="2051"/>
      <c r="C165" s="2729" t="s">
        <v>2523</v>
      </c>
      <c r="D165" s="2729"/>
      <c r="E165" s="2041"/>
      <c r="F165" s="2041"/>
      <c r="G165" s="636"/>
      <c r="H165" s="637"/>
      <c r="I165" s="187"/>
      <c r="J165" s="580"/>
      <c r="K165" s="900" t="str">
        <f ca="1">IF(OR($H$7&lt;2,K$133&lt;2),"",IF(J165&lt;&gt;"",J165,IFERROR(IF(INDIRECT("'"&amp;J$86&amp;"'!"&amp;VLOOKUP(J$87,'List Values'!$C$3:$D$6,2,FALSE)&amp;ROW(J165))="","",INDIRECT("'"&amp;J$86&amp;"'!"&amp;VLOOKUP(J$87,'List Values'!$C$3:$D$6,2,FALSE)&amp;ROW(J165))),IF(J$86&lt;&gt;"","Data Source Error",""))))</f>
        <v/>
      </c>
      <c r="L165" s="187"/>
      <c r="M165" s="580"/>
      <c r="N165" s="900" t="str">
        <f ca="1">IF(OR($H$7&lt;3,N$133&lt;2),"",IF(M165&lt;&gt;"",M165,IFERROR(IF(INDIRECT("'"&amp;M$86&amp;"'!"&amp;VLOOKUP(M$87,'List Values'!$C$3:$D$6,2,FALSE)&amp;ROW(M165))="","",INDIRECT("'"&amp;M$86&amp;"'!"&amp;VLOOKUP(M$87,'List Values'!$C$3:$D$6,2,FALSE)&amp;ROW(M165))),IF(M$86&lt;&gt;"","Data Source Error",""))))</f>
        <v/>
      </c>
      <c r="O165" s="187"/>
      <c r="P165" s="528"/>
      <c r="Q165" s="900" t="str">
        <f ca="1">IF(OR($H$7&lt;4,Q$133&lt;2),"",IF(P165&lt;&gt;"",P165,IFERROR(IF(INDIRECT("'"&amp;P$86&amp;"'!"&amp;VLOOKUP(P$87,'List Values'!$C$3:$D$6,2,FALSE)&amp;ROW(P165))="","",INDIRECT("'"&amp;P$86&amp;"'!"&amp;VLOOKUP(P$87,'List Values'!$C$3:$D$6,2,FALSE)&amp;ROW(P165))),IF(P$86&lt;&gt;"","Data Source Error",""))))</f>
        <v/>
      </c>
      <c r="S165" s="528"/>
      <c r="T165" s="900" t="str">
        <f ca="1">IF(OR($H$7&lt;5,T$133&lt;2),"",IF(S165&lt;&gt;"",S165,IFERROR(IF(INDIRECT("'"&amp;S$86&amp;"'!"&amp;VLOOKUP(S$87,'List Values'!$C$3:$D$6,2,FALSE)&amp;ROW(S165))="","",INDIRECT("'"&amp;S$86&amp;"'!"&amp;VLOOKUP(S$87,'List Values'!$C$3:$D$6,2,FALSE)&amp;ROW(S165))),IF(S$86&lt;&gt;"","Data Source Error",""))))</f>
        <v/>
      </c>
      <c r="V165" s="528"/>
      <c r="W165" s="911" t="str">
        <f ca="1">IF(OR($H$7&lt;6,W$133&lt;2),"",IF(V165&lt;&gt;"",V165,IFERROR(IF(INDIRECT("'"&amp;V$86&amp;"'!"&amp;VLOOKUP(V$87,'List Values'!$C$3:$D$6,2,FALSE)&amp;ROW(V165))="","",INDIRECT("'"&amp;V$86&amp;"'!"&amp;VLOOKUP(V$87,'List Values'!$C$3:$D$6,2,FALSE)&amp;ROW(V165))),IF(V$86&lt;&gt;"","Data Source Error",""))))</f>
        <v/>
      </c>
      <c r="Y165" s="2643"/>
      <c r="Z165" s="2644"/>
      <c r="AA165" s="2644"/>
      <c r="AB165" s="2645"/>
    </row>
    <row r="166" spans="1:28" ht="15.75" hidden="1" customHeight="1" outlineLevel="1">
      <c r="A166" s="252"/>
      <c r="B166" s="2051"/>
      <c r="C166" s="2729" t="s">
        <v>2524</v>
      </c>
      <c r="D166" s="2729"/>
      <c r="E166" s="2041"/>
      <c r="F166" s="2041"/>
      <c r="G166" s="636"/>
      <c r="H166" s="637"/>
      <c r="I166" s="187"/>
      <c r="J166" s="580"/>
      <c r="K166" s="900" t="str">
        <f ca="1">IF(OR($H$7&lt;2,K$133&lt;2),"",IF(J166&lt;&gt;"",J166,IFERROR(IF(INDIRECT("'"&amp;J$86&amp;"'!"&amp;VLOOKUP(J$87,'List Values'!$C$3:$D$6,2,FALSE)&amp;ROW(J166))="","",INDIRECT("'"&amp;J$86&amp;"'!"&amp;VLOOKUP(J$87,'List Values'!$C$3:$D$6,2,FALSE)&amp;ROW(J166))),IF(J$86&lt;&gt;"","Data Source Error",""))))</f>
        <v/>
      </c>
      <c r="L166" s="187"/>
      <c r="M166" s="580"/>
      <c r="N166" s="900" t="str">
        <f ca="1">IF(OR($H$7&lt;3,N$133&lt;2),"",IF(M166&lt;&gt;"",M166,IFERROR(IF(INDIRECT("'"&amp;M$86&amp;"'!"&amp;VLOOKUP(M$87,'List Values'!$C$3:$D$6,2,FALSE)&amp;ROW(M166))="","",INDIRECT("'"&amp;M$86&amp;"'!"&amp;VLOOKUP(M$87,'List Values'!$C$3:$D$6,2,FALSE)&amp;ROW(M166))),IF(M$86&lt;&gt;"","Data Source Error",""))))</f>
        <v/>
      </c>
      <c r="O166" s="187"/>
      <c r="P166" s="528"/>
      <c r="Q166" s="900" t="str">
        <f ca="1">IF(OR($H$7&lt;4,Q$133&lt;2),"",IF(P166&lt;&gt;"",P166,IFERROR(IF(INDIRECT("'"&amp;P$86&amp;"'!"&amp;VLOOKUP(P$87,'List Values'!$C$3:$D$6,2,FALSE)&amp;ROW(P166))="","",INDIRECT("'"&amp;P$86&amp;"'!"&amp;VLOOKUP(P$87,'List Values'!$C$3:$D$6,2,FALSE)&amp;ROW(P166))),IF(P$86&lt;&gt;"","Data Source Error",""))))</f>
        <v/>
      </c>
      <c r="S166" s="528"/>
      <c r="T166" s="900" t="str">
        <f ca="1">IF(OR($H$7&lt;5,T$133&lt;2),"",IF(S166&lt;&gt;"",S166,IFERROR(IF(INDIRECT("'"&amp;S$86&amp;"'!"&amp;VLOOKUP(S$87,'List Values'!$C$3:$D$6,2,FALSE)&amp;ROW(S166))="","",INDIRECT("'"&amp;S$86&amp;"'!"&amp;VLOOKUP(S$87,'List Values'!$C$3:$D$6,2,FALSE)&amp;ROW(S166))),IF(S$86&lt;&gt;"","Data Source Error",""))))</f>
        <v/>
      </c>
      <c r="V166" s="528"/>
      <c r="W166" s="911" t="str">
        <f ca="1">IF(OR($H$7&lt;6,W$133&lt;2),"",IF(V166&lt;&gt;"",V166,IFERROR(IF(INDIRECT("'"&amp;V$86&amp;"'!"&amp;VLOOKUP(V$87,'List Values'!$C$3:$D$6,2,FALSE)&amp;ROW(V166))="","",INDIRECT("'"&amp;V$86&amp;"'!"&amp;VLOOKUP(V$87,'List Values'!$C$3:$D$6,2,FALSE)&amp;ROW(V166))),IF(V$86&lt;&gt;"","Data Source Error",""))))</f>
        <v/>
      </c>
      <c r="Y166" s="2643"/>
      <c r="Z166" s="2644"/>
      <c r="AA166" s="2644"/>
      <c r="AB166" s="2645"/>
    </row>
    <row r="167" spans="1:28" ht="15.75" hidden="1" customHeight="1" outlineLevel="1">
      <c r="A167" s="252"/>
      <c r="B167" s="2051"/>
      <c r="C167" s="2728" t="s">
        <v>2525</v>
      </c>
      <c r="D167" s="2728"/>
      <c r="E167" s="2041"/>
      <c r="F167" s="2041"/>
      <c r="G167" s="636"/>
      <c r="H167" s="637"/>
      <c r="I167" s="187"/>
      <c r="J167" s="580"/>
      <c r="K167" s="900" t="str">
        <f ca="1">IF(OR($H$7&lt;2,K$133&lt;2),"",IF(J167&lt;&gt;"",J167,IFERROR(IF(INDIRECT("'"&amp;J$86&amp;"'!"&amp;VLOOKUP(J$87,'List Values'!$C$3:$D$6,2,FALSE)&amp;ROW(J167))="","",INDIRECT("'"&amp;J$86&amp;"'!"&amp;VLOOKUP(J$87,'List Values'!$C$3:$D$6,2,FALSE)&amp;ROW(J167))),IF(J$86&lt;&gt;"","Data Source Error",""))))</f>
        <v/>
      </c>
      <c r="L167" s="187"/>
      <c r="M167" s="580"/>
      <c r="N167" s="900" t="str">
        <f ca="1">IF(OR($H$7&lt;3,N$133&lt;2),"",IF(M167&lt;&gt;"",M167,IFERROR(IF(INDIRECT("'"&amp;M$86&amp;"'!"&amp;VLOOKUP(M$87,'List Values'!$C$3:$D$6,2,FALSE)&amp;ROW(M167))="","",INDIRECT("'"&amp;M$86&amp;"'!"&amp;VLOOKUP(M$87,'List Values'!$C$3:$D$6,2,FALSE)&amp;ROW(M167))),IF(M$86&lt;&gt;"","Data Source Error",""))))</f>
        <v/>
      </c>
      <c r="O167" s="187"/>
      <c r="P167" s="528"/>
      <c r="Q167" s="900" t="str">
        <f ca="1">IF(OR($H$7&lt;4,Q$133&lt;2),"",IF(P167&lt;&gt;"",P167,IFERROR(IF(INDIRECT("'"&amp;P$86&amp;"'!"&amp;VLOOKUP(P$87,'List Values'!$C$3:$D$6,2,FALSE)&amp;ROW(P167))="","",INDIRECT("'"&amp;P$86&amp;"'!"&amp;VLOOKUP(P$87,'List Values'!$C$3:$D$6,2,FALSE)&amp;ROW(P167))),IF(P$86&lt;&gt;"","Data Source Error",""))))</f>
        <v/>
      </c>
      <c r="S167" s="528"/>
      <c r="T167" s="900" t="str">
        <f ca="1">IF(OR($H$7&lt;5,T$133&lt;2),"",IF(S167&lt;&gt;"",S167,IFERROR(IF(INDIRECT("'"&amp;S$86&amp;"'!"&amp;VLOOKUP(S$87,'List Values'!$C$3:$D$6,2,FALSE)&amp;ROW(S167))="","",INDIRECT("'"&amp;S$86&amp;"'!"&amp;VLOOKUP(S$87,'List Values'!$C$3:$D$6,2,FALSE)&amp;ROW(S167))),IF(S$86&lt;&gt;"","Data Source Error",""))))</f>
        <v/>
      </c>
      <c r="V167" s="528"/>
      <c r="W167" s="911" t="str">
        <f ca="1">IF(OR($H$7&lt;6,W$133&lt;2),"",IF(V167&lt;&gt;"",V167,IFERROR(IF(INDIRECT("'"&amp;V$86&amp;"'!"&amp;VLOOKUP(V$87,'List Values'!$C$3:$D$6,2,FALSE)&amp;ROW(V167))="","",INDIRECT("'"&amp;V$86&amp;"'!"&amp;VLOOKUP(V$87,'List Values'!$C$3:$D$6,2,FALSE)&amp;ROW(V167))),IF(V$86&lt;&gt;"","Data Source Error",""))))</f>
        <v/>
      </c>
      <c r="Y167" s="2643"/>
      <c r="Z167" s="2644"/>
      <c r="AA167" s="2644"/>
      <c r="AB167" s="2645"/>
    </row>
    <row r="168" spans="1:28" ht="31.5" hidden="1" customHeight="1" outlineLevel="1">
      <c r="A168" s="252"/>
      <c r="B168" s="2051"/>
      <c r="C168" s="2729" t="s">
        <v>2526</v>
      </c>
      <c r="D168" s="2729"/>
      <c r="E168" s="2041"/>
      <c r="F168" s="2041"/>
      <c r="G168" s="636"/>
      <c r="H168" s="637"/>
      <c r="I168" s="187"/>
      <c r="J168" s="580"/>
      <c r="K168" s="900" t="str">
        <f ca="1">IF(OR($H$7&lt;2,K$133&lt;2),"",IF(J168&lt;&gt;"",J168,IFERROR(IF(INDIRECT("'"&amp;J$86&amp;"'!"&amp;VLOOKUP(J$87,'List Values'!$C$3:$D$6,2,FALSE)&amp;ROW(J168))="","",INDIRECT("'"&amp;J$86&amp;"'!"&amp;VLOOKUP(J$87,'List Values'!$C$3:$D$6,2,FALSE)&amp;ROW(J168))),IF(J$86&lt;&gt;"","Data Source Error",""))))</f>
        <v/>
      </c>
      <c r="L168" s="187"/>
      <c r="M168" s="580"/>
      <c r="N168" s="900" t="str">
        <f ca="1">IF(OR($H$7&lt;3,N$133&lt;2),"",IF(M168&lt;&gt;"",M168,IFERROR(IF(INDIRECT("'"&amp;M$86&amp;"'!"&amp;VLOOKUP(M$87,'List Values'!$C$3:$D$6,2,FALSE)&amp;ROW(M168))="","",INDIRECT("'"&amp;M$86&amp;"'!"&amp;VLOOKUP(M$87,'List Values'!$C$3:$D$6,2,FALSE)&amp;ROW(M168))),IF(M$86&lt;&gt;"","Data Source Error",""))))</f>
        <v/>
      </c>
      <c r="O168" s="187"/>
      <c r="P168" s="528"/>
      <c r="Q168" s="900" t="str">
        <f ca="1">IF(OR($H$7&lt;4,Q$133&lt;2),"",IF(P168&lt;&gt;"",P168,IFERROR(IF(INDIRECT("'"&amp;P$86&amp;"'!"&amp;VLOOKUP(P$87,'List Values'!$C$3:$D$6,2,FALSE)&amp;ROW(P168))="","",INDIRECT("'"&amp;P$86&amp;"'!"&amp;VLOOKUP(P$87,'List Values'!$C$3:$D$6,2,FALSE)&amp;ROW(P168))),IF(P$86&lt;&gt;"","Data Source Error",""))))</f>
        <v/>
      </c>
      <c r="S168" s="528"/>
      <c r="T168" s="900" t="str">
        <f ca="1">IF(OR($H$7&lt;5,T$133&lt;2),"",IF(S168&lt;&gt;"",S168,IFERROR(IF(INDIRECT("'"&amp;S$86&amp;"'!"&amp;VLOOKUP(S$87,'List Values'!$C$3:$D$6,2,FALSE)&amp;ROW(S168))="","",INDIRECT("'"&amp;S$86&amp;"'!"&amp;VLOOKUP(S$87,'List Values'!$C$3:$D$6,2,FALSE)&amp;ROW(S168))),IF(S$86&lt;&gt;"","Data Source Error",""))))</f>
        <v/>
      </c>
      <c r="V168" s="528"/>
      <c r="W168" s="911" t="str">
        <f ca="1">IF(OR($H$7&lt;6,W$133&lt;2),"",IF(V168&lt;&gt;"",V168,IFERROR(IF(INDIRECT("'"&amp;V$86&amp;"'!"&amp;VLOOKUP(V$87,'List Values'!$C$3:$D$6,2,FALSE)&amp;ROW(V168))="","",INDIRECT("'"&amp;V$86&amp;"'!"&amp;VLOOKUP(V$87,'List Values'!$C$3:$D$6,2,FALSE)&amp;ROW(V168))),IF(V$86&lt;&gt;"","Data Source Error",""))))</f>
        <v/>
      </c>
      <c r="Y168" s="2643"/>
      <c r="Z168" s="2644"/>
      <c r="AA168" s="2644"/>
      <c r="AB168" s="2645"/>
    </row>
    <row r="169" spans="1:28" ht="48" hidden="1" customHeight="1" outlineLevel="1">
      <c r="A169" s="252"/>
      <c r="B169" s="2051"/>
      <c r="C169" s="2729" t="s">
        <v>2527</v>
      </c>
      <c r="D169" s="2729"/>
      <c r="E169" s="2041"/>
      <c r="F169" s="2041"/>
      <c r="G169" s="636"/>
      <c r="H169" s="637"/>
      <c r="I169" s="187"/>
      <c r="J169" s="580"/>
      <c r="K169" s="900" t="str">
        <f ca="1">IF(OR($H$7&lt;2,K$133&lt;2),"",IF(J169&lt;&gt;"",J169,IFERROR(IF(INDIRECT("'"&amp;J$86&amp;"'!"&amp;VLOOKUP(J$87,'List Values'!$C$3:$D$6,2,FALSE)&amp;ROW(J169))="","",INDIRECT("'"&amp;J$86&amp;"'!"&amp;VLOOKUP(J$87,'List Values'!$C$3:$D$6,2,FALSE)&amp;ROW(J169))),IF(J$86&lt;&gt;"","Data Source Error",""))))</f>
        <v/>
      </c>
      <c r="L169" s="187"/>
      <c r="M169" s="580"/>
      <c r="N169" s="900" t="str">
        <f ca="1">IF(OR($H$7&lt;3,N$133&lt;2),"",IF(M169&lt;&gt;"",M169,IFERROR(IF(INDIRECT("'"&amp;M$86&amp;"'!"&amp;VLOOKUP(M$87,'List Values'!$C$3:$D$6,2,FALSE)&amp;ROW(M169))="","",INDIRECT("'"&amp;M$86&amp;"'!"&amp;VLOOKUP(M$87,'List Values'!$C$3:$D$6,2,FALSE)&amp;ROW(M169))),IF(M$86&lt;&gt;"","Data Source Error",""))))</f>
        <v/>
      </c>
      <c r="O169" s="187"/>
      <c r="P169" s="528"/>
      <c r="Q169" s="900" t="str">
        <f ca="1">IF(OR($H$7&lt;4,Q$133&lt;2),"",IF(P169&lt;&gt;"",P169,IFERROR(IF(INDIRECT("'"&amp;P$86&amp;"'!"&amp;VLOOKUP(P$87,'List Values'!$C$3:$D$6,2,FALSE)&amp;ROW(P169))="","",INDIRECT("'"&amp;P$86&amp;"'!"&amp;VLOOKUP(P$87,'List Values'!$C$3:$D$6,2,FALSE)&amp;ROW(P169))),IF(P$86&lt;&gt;"","Data Source Error",""))))</f>
        <v/>
      </c>
      <c r="S169" s="528"/>
      <c r="T169" s="900" t="str">
        <f ca="1">IF(OR($H$7&lt;5,T$133&lt;2),"",IF(S169&lt;&gt;"",S169,IFERROR(IF(INDIRECT("'"&amp;S$86&amp;"'!"&amp;VLOOKUP(S$87,'List Values'!$C$3:$D$6,2,FALSE)&amp;ROW(S169))="","",INDIRECT("'"&amp;S$86&amp;"'!"&amp;VLOOKUP(S$87,'List Values'!$C$3:$D$6,2,FALSE)&amp;ROW(S169))),IF(S$86&lt;&gt;"","Data Source Error",""))))</f>
        <v/>
      </c>
      <c r="V169" s="528"/>
      <c r="W169" s="911" t="str">
        <f ca="1">IF(OR($H$7&lt;6,W$133&lt;2),"",IF(V169&lt;&gt;"",V169,IFERROR(IF(INDIRECT("'"&amp;V$86&amp;"'!"&amp;VLOOKUP(V$87,'List Values'!$C$3:$D$6,2,FALSE)&amp;ROW(V169))="","",INDIRECT("'"&amp;V$86&amp;"'!"&amp;VLOOKUP(V$87,'List Values'!$C$3:$D$6,2,FALSE)&amp;ROW(V169))),IF(V$86&lt;&gt;"","Data Source Error",""))))</f>
        <v/>
      </c>
      <c r="Y169" s="2643"/>
      <c r="Z169" s="2644"/>
      <c r="AA169" s="2644"/>
      <c r="AB169" s="2645"/>
    </row>
    <row r="170" spans="1:28" ht="46.5" hidden="1" customHeight="1" outlineLevel="1">
      <c r="A170" s="252"/>
      <c r="B170" s="2051"/>
      <c r="C170" s="2729" t="s">
        <v>2528</v>
      </c>
      <c r="D170" s="2729"/>
      <c r="E170" s="2041"/>
      <c r="F170" s="2041"/>
      <c r="G170" s="636"/>
      <c r="H170" s="637"/>
      <c r="I170" s="187"/>
      <c r="J170" s="580"/>
      <c r="K170" s="900" t="str">
        <f ca="1">IF(OR($H$7&lt;2,K$133&lt;2),"",IF(J170&lt;&gt;"",J170,IFERROR(IF(INDIRECT("'"&amp;J$86&amp;"'!"&amp;VLOOKUP(J$87,'List Values'!$C$3:$D$6,2,FALSE)&amp;ROW(J170))="","",INDIRECT("'"&amp;J$86&amp;"'!"&amp;VLOOKUP(J$87,'List Values'!$C$3:$D$6,2,FALSE)&amp;ROW(J170))),IF(J$86&lt;&gt;"","Data Source Error",""))))</f>
        <v/>
      </c>
      <c r="L170" s="187"/>
      <c r="M170" s="580"/>
      <c r="N170" s="900" t="str">
        <f ca="1">IF(OR($H$7&lt;3,N$133&lt;2),"",IF(M170&lt;&gt;"",M170,IFERROR(IF(INDIRECT("'"&amp;M$86&amp;"'!"&amp;VLOOKUP(M$87,'List Values'!$C$3:$D$6,2,FALSE)&amp;ROW(M170))="","",INDIRECT("'"&amp;M$86&amp;"'!"&amp;VLOOKUP(M$87,'List Values'!$C$3:$D$6,2,FALSE)&amp;ROW(M170))),IF(M$86&lt;&gt;"","Data Source Error",""))))</f>
        <v/>
      </c>
      <c r="O170" s="187"/>
      <c r="P170" s="528"/>
      <c r="Q170" s="900" t="str">
        <f ca="1">IF(OR($H$7&lt;4,Q$133&lt;2),"",IF(P170&lt;&gt;"",P170,IFERROR(IF(INDIRECT("'"&amp;P$86&amp;"'!"&amp;VLOOKUP(P$87,'List Values'!$C$3:$D$6,2,FALSE)&amp;ROW(P170))="","",INDIRECT("'"&amp;P$86&amp;"'!"&amp;VLOOKUP(P$87,'List Values'!$C$3:$D$6,2,FALSE)&amp;ROW(P170))),IF(P$86&lt;&gt;"","Data Source Error",""))))</f>
        <v/>
      </c>
      <c r="S170" s="528"/>
      <c r="T170" s="900" t="str">
        <f ca="1">IF(OR($H$7&lt;5,T$133&lt;2),"",IF(S170&lt;&gt;"",S170,IFERROR(IF(INDIRECT("'"&amp;S$86&amp;"'!"&amp;VLOOKUP(S$87,'List Values'!$C$3:$D$6,2,FALSE)&amp;ROW(S170))="","",INDIRECT("'"&amp;S$86&amp;"'!"&amp;VLOOKUP(S$87,'List Values'!$C$3:$D$6,2,FALSE)&amp;ROW(S170))),IF(S$86&lt;&gt;"","Data Source Error",""))))</f>
        <v/>
      </c>
      <c r="V170" s="528"/>
      <c r="W170" s="911" t="str">
        <f ca="1">IF(OR($H$7&lt;6,W$133&lt;2),"",IF(V170&lt;&gt;"",V170,IFERROR(IF(INDIRECT("'"&amp;V$86&amp;"'!"&amp;VLOOKUP(V$87,'List Values'!$C$3:$D$6,2,FALSE)&amp;ROW(V170))="","",INDIRECT("'"&amp;V$86&amp;"'!"&amp;VLOOKUP(V$87,'List Values'!$C$3:$D$6,2,FALSE)&amp;ROW(V170))),IF(V$86&lt;&gt;"","Data Source Error",""))))</f>
        <v/>
      </c>
      <c r="Y170" s="2643"/>
      <c r="Z170" s="2644"/>
      <c r="AA170" s="2644"/>
      <c r="AB170" s="2645"/>
    </row>
    <row r="171" spans="1:28" ht="15.75" hidden="1" customHeight="1" outlineLevel="1">
      <c r="A171" s="252"/>
      <c r="B171" s="2051"/>
      <c r="C171" s="2729" t="s">
        <v>650</v>
      </c>
      <c r="D171" s="2729"/>
      <c r="E171" s="2041"/>
      <c r="F171" s="2041"/>
      <c r="G171" s="636"/>
      <c r="H171" s="637"/>
      <c r="I171" s="187"/>
      <c r="J171" s="580"/>
      <c r="K171" s="900" t="str">
        <f ca="1">IF(OR($H$7&lt;2,K$133&lt;2),"",IF(J171&lt;&gt;"",J171,IFERROR(IF(INDIRECT("'"&amp;J$86&amp;"'!"&amp;VLOOKUP(J$87,'List Values'!$C$3:$D$6,2,FALSE)&amp;ROW(J171))="","",INDIRECT("'"&amp;J$86&amp;"'!"&amp;VLOOKUP(J$87,'List Values'!$C$3:$D$6,2,FALSE)&amp;ROW(J171))),IF(J$86&lt;&gt;"","Data Source Error",""))))</f>
        <v/>
      </c>
      <c r="L171" s="187"/>
      <c r="M171" s="580"/>
      <c r="N171" s="900" t="str">
        <f ca="1">IF(OR($H$7&lt;3,N$133&lt;2),"",IF(M171&lt;&gt;"",M171,IFERROR(IF(INDIRECT("'"&amp;M$86&amp;"'!"&amp;VLOOKUP(M$87,'List Values'!$C$3:$D$6,2,FALSE)&amp;ROW(M171))="","",INDIRECT("'"&amp;M$86&amp;"'!"&amp;VLOOKUP(M$87,'List Values'!$C$3:$D$6,2,FALSE)&amp;ROW(M171))),IF(M$86&lt;&gt;"","Data Source Error",""))))</f>
        <v/>
      </c>
      <c r="O171" s="187"/>
      <c r="P171" s="528"/>
      <c r="Q171" s="900" t="str">
        <f ca="1">IF(OR($H$7&lt;4,Q$133&lt;2),"",IF(P171&lt;&gt;"",P171,IFERROR(IF(INDIRECT("'"&amp;P$86&amp;"'!"&amp;VLOOKUP(P$87,'List Values'!$C$3:$D$6,2,FALSE)&amp;ROW(P171))="","",INDIRECT("'"&amp;P$86&amp;"'!"&amp;VLOOKUP(P$87,'List Values'!$C$3:$D$6,2,FALSE)&amp;ROW(P171))),IF(P$86&lt;&gt;"","Data Source Error",""))))</f>
        <v/>
      </c>
      <c r="S171" s="528"/>
      <c r="T171" s="900" t="str">
        <f ca="1">IF(OR($H$7&lt;5,T$133&lt;2),"",IF(S171&lt;&gt;"",S171,IFERROR(IF(INDIRECT("'"&amp;S$86&amp;"'!"&amp;VLOOKUP(S$87,'List Values'!$C$3:$D$6,2,FALSE)&amp;ROW(S171))="","",INDIRECT("'"&amp;S$86&amp;"'!"&amp;VLOOKUP(S$87,'List Values'!$C$3:$D$6,2,FALSE)&amp;ROW(S171))),IF(S$86&lt;&gt;"","Data Source Error",""))))</f>
        <v/>
      </c>
      <c r="V171" s="528"/>
      <c r="W171" s="911" t="str">
        <f ca="1">IF(OR($H$7&lt;6,W$133&lt;2),"",IF(V171&lt;&gt;"",V171,IFERROR(IF(INDIRECT("'"&amp;V$86&amp;"'!"&amp;VLOOKUP(V$87,'List Values'!$C$3:$D$6,2,FALSE)&amp;ROW(V171))="","",INDIRECT("'"&amp;V$86&amp;"'!"&amp;VLOOKUP(V$87,'List Values'!$C$3:$D$6,2,FALSE)&amp;ROW(V171))),IF(V$86&lt;&gt;"","Data Source Error",""))))</f>
        <v/>
      </c>
      <c r="Y171" s="2643"/>
      <c r="Z171" s="2644"/>
      <c r="AA171" s="2644"/>
      <c r="AB171" s="2645"/>
    </row>
    <row r="172" spans="1:28" ht="31.5" hidden="1" customHeight="1" outlineLevel="1">
      <c r="A172" s="252"/>
      <c r="B172" s="2051"/>
      <c r="C172" s="2729" t="s">
        <v>651</v>
      </c>
      <c r="D172" s="2729"/>
      <c r="E172" s="2041"/>
      <c r="F172" s="2041"/>
      <c r="G172" s="636"/>
      <c r="H172" s="637"/>
      <c r="I172" s="184"/>
      <c r="J172" s="624"/>
      <c r="K172" s="941" t="str">
        <f ca="1">IF(OR($H$7&lt;2,K$133&lt;2),"",IF(J172&lt;&gt;"",J172,IFERROR(IF(INDIRECT("'"&amp;J$86&amp;"'!"&amp;VLOOKUP(J$87,'List Values'!$C$3:$D$6,2,FALSE)&amp;ROW(J172))="","",INDIRECT("'"&amp;J$86&amp;"'!"&amp;VLOOKUP(J$87,'List Values'!$C$3:$D$6,2,FALSE)&amp;ROW(J172))),IF(J$86&lt;&gt;"","Data Source Error",""))))</f>
        <v/>
      </c>
      <c r="L172" s="184"/>
      <c r="M172" s="624"/>
      <c r="N172" s="941" t="str">
        <f ca="1">IF(OR($H$7&lt;3,N$133&lt;2),"",IF(M172&lt;&gt;"",M172,IFERROR(IF(INDIRECT("'"&amp;M$86&amp;"'!"&amp;VLOOKUP(M$87,'List Values'!$C$3:$D$6,2,FALSE)&amp;ROW(M172))="","",INDIRECT("'"&amp;M$86&amp;"'!"&amp;VLOOKUP(M$87,'List Values'!$C$3:$D$6,2,FALSE)&amp;ROW(M172))),IF(M$86&lt;&gt;"","Data Source Error",""))))</f>
        <v/>
      </c>
      <c r="O172" s="184"/>
      <c r="P172" s="528"/>
      <c r="Q172" s="941" t="str">
        <f ca="1">IF(OR($H$7&lt;4,Q$133&lt;2),"",IF(P172&lt;&gt;"",P172,IFERROR(IF(INDIRECT("'"&amp;P$86&amp;"'!"&amp;VLOOKUP(P$87,'List Values'!$C$3:$D$6,2,FALSE)&amp;ROW(P172))="","",INDIRECT("'"&amp;P$86&amp;"'!"&amp;VLOOKUP(P$87,'List Values'!$C$3:$D$6,2,FALSE)&amp;ROW(P172))),IF(P$86&lt;&gt;"","Data Source Error",""))))</f>
        <v/>
      </c>
      <c r="S172" s="528"/>
      <c r="T172" s="941" t="str">
        <f ca="1">IF(OR($H$7&lt;5,T$133&lt;2),"",IF(S172&lt;&gt;"",S172,IFERROR(IF(INDIRECT("'"&amp;S$86&amp;"'!"&amp;VLOOKUP(S$87,'List Values'!$C$3:$D$6,2,FALSE)&amp;ROW(S172))="","",INDIRECT("'"&amp;S$86&amp;"'!"&amp;VLOOKUP(S$87,'List Values'!$C$3:$D$6,2,FALSE)&amp;ROW(S172))),IF(S$86&lt;&gt;"","Data Source Error",""))))</f>
        <v/>
      </c>
      <c r="V172" s="528"/>
      <c r="W172" s="947" t="str">
        <f ca="1">IF(OR($H$7&lt;6,W$133&lt;2),"",IF(V172&lt;&gt;"",V172,IFERROR(IF(INDIRECT("'"&amp;V$86&amp;"'!"&amp;VLOOKUP(V$87,'List Values'!$C$3:$D$6,2,FALSE)&amp;ROW(V172))="","",INDIRECT("'"&amp;V$86&amp;"'!"&amp;VLOOKUP(V$87,'List Values'!$C$3:$D$6,2,FALSE)&amp;ROW(V172))),IF(V$86&lt;&gt;"","Data Source Error",""))))</f>
        <v/>
      </c>
      <c r="Y172" s="2643"/>
      <c r="Z172" s="2644"/>
      <c r="AA172" s="2644"/>
      <c r="AB172" s="2645"/>
    </row>
    <row r="173" spans="1:28" ht="31.5" hidden="1" customHeight="1" outlineLevel="1">
      <c r="A173" s="237"/>
      <c r="B173" s="2051"/>
      <c r="C173" s="2729" t="s">
        <v>684</v>
      </c>
      <c r="D173" s="2729"/>
      <c r="E173" s="238"/>
      <c r="F173" s="238"/>
      <c r="G173" s="638"/>
      <c r="H173" s="639"/>
      <c r="J173" s="583"/>
      <c r="K173" s="930" t="str">
        <f ca="1">IF(OR($H$7&lt;2,K$133&lt;2),"",IF(J173&lt;&gt;"",J173,IFERROR(IF(INDIRECT("'"&amp;J$86&amp;"'!"&amp;VLOOKUP(J$87,'List Values'!$C$3:$D$6,2,FALSE)&amp;ROW(J173))="","",INDIRECT("'"&amp;J$86&amp;"'!"&amp;VLOOKUP(J$87,'List Values'!$C$3:$D$6,2,FALSE)&amp;ROW(J173))),IF(J$86&lt;&gt;"","Data Source Error",""))))</f>
        <v/>
      </c>
      <c r="M173" s="583"/>
      <c r="N173" s="941" t="str">
        <f ca="1">IF(OR($H$7&lt;3,N$133&lt;2),"",IF(M173&lt;&gt;"",M173,IFERROR(IF(INDIRECT("'"&amp;M$86&amp;"'!"&amp;VLOOKUP(M$87,'List Values'!$C$3:$D$6,2,FALSE)&amp;ROW(M173))="","",INDIRECT("'"&amp;M$86&amp;"'!"&amp;VLOOKUP(M$87,'List Values'!$C$3:$D$6,2,FALSE)&amp;ROW(M173))),IF(M$86&lt;&gt;"","Data Source Error",""))))</f>
        <v/>
      </c>
      <c r="P173" s="582"/>
      <c r="Q173" s="941" t="str">
        <f ca="1">IF(OR($H$7&lt;4,Q$133&lt;2),"",IF(P173&lt;&gt;"",P173,IFERROR(IF(INDIRECT("'"&amp;P$86&amp;"'!"&amp;VLOOKUP(P$87,'List Values'!$C$3:$D$6,2,FALSE)&amp;ROW(P173))="","",INDIRECT("'"&amp;P$86&amp;"'!"&amp;VLOOKUP(P$87,'List Values'!$C$3:$D$6,2,FALSE)&amp;ROW(P173))),IF(P$86&lt;&gt;"","Data Source Error",""))))</f>
        <v/>
      </c>
      <c r="S173" s="582"/>
      <c r="T173" s="972" t="str">
        <f ca="1">IF(OR($H$7&lt;5,T$133&lt;2),"",IF(S173&lt;&gt;"",S173,IFERROR(IF(INDIRECT("'"&amp;S$86&amp;"'!"&amp;VLOOKUP(S$87,'List Values'!$C$3:$D$6,2,FALSE)&amp;ROW(S173))="","",INDIRECT("'"&amp;S$86&amp;"'!"&amp;VLOOKUP(S$87,'List Values'!$C$3:$D$6,2,FALSE)&amp;ROW(S173))),IF(S$86&lt;&gt;"","Data Source Error",""))))</f>
        <v/>
      </c>
      <c r="V173" s="582"/>
      <c r="W173" s="976" t="str">
        <f ca="1">IF(OR($H$7&lt;6,W$133&lt;2),"",IF(V173&lt;&gt;"",V173,IFERROR(IF(INDIRECT("'"&amp;V$86&amp;"'!"&amp;VLOOKUP(V$87,'List Values'!$C$3:$D$6,2,FALSE)&amp;ROW(V173))="","",INDIRECT("'"&amp;V$86&amp;"'!"&amp;VLOOKUP(V$87,'List Values'!$C$3:$D$6,2,FALSE)&amp;ROW(V173))),IF(V$86&lt;&gt;"","Data Source Error",""))))</f>
        <v/>
      </c>
      <c r="Y173" s="2643"/>
      <c r="Z173" s="2644"/>
      <c r="AA173" s="2644"/>
      <c r="AB173" s="2645"/>
    </row>
    <row r="174" spans="1:28" ht="18.75" customHeight="1" collapsed="1">
      <c r="A174" s="237"/>
      <c r="B174" s="2049" t="s">
        <v>611</v>
      </c>
      <c r="C174" s="2050"/>
      <c r="D174" s="2050"/>
      <c r="E174" s="604"/>
      <c r="F174" s="604"/>
      <c r="G174" s="604"/>
      <c r="H174" s="604"/>
      <c r="I174" s="608"/>
      <c r="J174" s="606"/>
      <c r="K174" s="961"/>
      <c r="L174" s="608"/>
      <c r="M174" s="610"/>
      <c r="N174" s="970"/>
      <c r="O174" s="608"/>
      <c r="P174" s="610"/>
      <c r="Q174" s="970"/>
      <c r="R174" s="608"/>
      <c r="S174" s="610"/>
      <c r="T174" s="970"/>
      <c r="U174" s="608"/>
      <c r="V174" s="610"/>
      <c r="W174" s="970"/>
      <c r="Y174" s="631"/>
      <c r="Z174" s="631"/>
      <c r="AA174" s="631"/>
      <c r="AB174" s="631"/>
    </row>
    <row r="175" spans="1:28" ht="15.75" hidden="1" customHeight="1" outlineLevel="1">
      <c r="A175" s="252"/>
      <c r="B175" s="252"/>
      <c r="C175" s="2680" t="s">
        <v>731</v>
      </c>
      <c r="D175" s="2680"/>
      <c r="E175" s="2039"/>
      <c r="F175" s="2039"/>
      <c r="G175" s="640"/>
      <c r="H175" s="641"/>
      <c r="I175" s="183"/>
      <c r="J175" s="628"/>
      <c r="K175" s="967" t="str">
        <f ca="1">IF(OR($H$7&lt;2,K$133&lt;3),"",IF(J175&lt;&gt;"",J175,IFERROR(IF(INDIRECT("'"&amp;J$86&amp;"'!"&amp;VLOOKUP(J$87,'List Values'!$C$3:$D$6,2,FALSE)&amp;ROW(J175))="","",INDIRECT("'"&amp;J$86&amp;"'!"&amp;VLOOKUP(J$87,'List Values'!$C$3:$D$6,2,FALSE)&amp;ROW(J175))),IF(J$86&lt;&gt;"","Data Source Error",""))))</f>
        <v/>
      </c>
      <c r="L175" s="629"/>
      <c r="M175" s="628"/>
      <c r="N175" s="967" t="str">
        <f ca="1">IF(OR($H$7&lt;3,N$133&lt;3),"",IF(M175&lt;&gt;"",M175,IFERROR(IF(INDIRECT("'"&amp;M$86&amp;"'!"&amp;VLOOKUP(M$87,'List Values'!$C$3:$D$6,2,FALSE)&amp;ROW(M175))="","",INDIRECT("'"&amp;M$86&amp;"'!"&amp;VLOOKUP(M$87,'List Values'!$C$3:$D$6,2,FALSE)&amp;ROW(M175))),IF(M$86&lt;&gt;"","Data Source Error",""))))</f>
        <v/>
      </c>
      <c r="O175" s="629"/>
      <c r="P175" s="590"/>
      <c r="Q175" s="967" t="str">
        <f ca="1">IF(OR($H$7&lt;4,Q$133&lt;3),"",IF(P175&lt;&gt;"",P175,IFERROR(IF(INDIRECT("'"&amp;P$86&amp;"'!"&amp;VLOOKUP(P$87,'List Values'!$C$3:$D$6,2,FALSE)&amp;ROW(P175))="","",INDIRECT("'"&amp;P$86&amp;"'!"&amp;VLOOKUP(P$87,'List Values'!$C$3:$D$6,2,FALSE)&amp;ROW(P175))),IF(P$86&lt;&gt;"","Data Source Error",""))))</f>
        <v/>
      </c>
      <c r="R175" s="147"/>
      <c r="S175" s="590"/>
      <c r="T175" s="967" t="str">
        <f ca="1">IF(OR($H$7&lt;5,T$133&lt;3),"",IF(S175&lt;&gt;"",S175,IFERROR(IF(INDIRECT("'"&amp;S$86&amp;"'!"&amp;VLOOKUP(S$87,'List Values'!$C$3:$D$6,2,FALSE)&amp;ROW(S175))="","",INDIRECT("'"&amp;S$86&amp;"'!"&amp;VLOOKUP(S$87,'List Values'!$C$3:$D$6,2,FALSE)&amp;ROW(S175))),IF(S$86&lt;&gt;"","Data Source Error",""))))</f>
        <v/>
      </c>
      <c r="U175" s="147"/>
      <c r="V175" s="590"/>
      <c r="W175" s="973" t="str">
        <f ca="1">IF(OR($H$7&lt;6,W$133&lt;3),"",IF(V175&lt;&gt;"",V175,IFERROR(IF(INDIRECT("'"&amp;V$86&amp;"'!"&amp;VLOOKUP(V$87,'List Values'!$C$3:$D$6,2,FALSE)&amp;ROW(V175))="","",INDIRECT("'"&amp;V$86&amp;"'!"&amp;VLOOKUP(V$87,'List Values'!$C$3:$D$6,2,FALSE)&amp;ROW(V175))),IF(V$86&lt;&gt;"","Data Source Error",""))))</f>
        <v/>
      </c>
      <c r="Y175" s="2643"/>
      <c r="Z175" s="2644"/>
      <c r="AA175" s="2644"/>
      <c r="AB175" s="2645"/>
    </row>
    <row r="176" spans="1:28" ht="15.75" hidden="1" customHeight="1" outlineLevel="1">
      <c r="A176" s="252"/>
      <c r="B176" s="252"/>
      <c r="C176" s="2680" t="s">
        <v>626</v>
      </c>
      <c r="D176" s="2680"/>
      <c r="E176" s="2041"/>
      <c r="F176" s="2041"/>
      <c r="G176" s="636"/>
      <c r="H176" s="637"/>
      <c r="I176" s="187"/>
      <c r="J176" s="526"/>
      <c r="K176" s="900" t="str">
        <f ca="1">IF(OR($H$7&lt;2,K$133&lt;3),"",IF(J176&lt;&gt;"",J176,IFERROR(IF(INDIRECT("'"&amp;J$86&amp;"'!"&amp;VLOOKUP(J$87,'List Values'!$C$3:$D$6,2,FALSE)&amp;ROW(J176))="","",INDIRECT("'"&amp;J$86&amp;"'!"&amp;VLOOKUP(J$87,'List Values'!$C$3:$D$6,2,FALSE)&amp;ROW(J176))),IF(J$86&lt;&gt;"","Data Source Error",""))))</f>
        <v/>
      </c>
      <c r="L176" s="187"/>
      <c r="M176" s="526"/>
      <c r="N176" s="900" t="str">
        <f ca="1">IF(OR($H$7&lt;3,N$133&lt;3),"",IF(M176&lt;&gt;"",M176,IFERROR(IF(INDIRECT("'"&amp;M$86&amp;"'!"&amp;VLOOKUP(M$87,'List Values'!$C$3:$D$6,2,FALSE)&amp;ROW(M176))="","",INDIRECT("'"&amp;M$86&amp;"'!"&amp;VLOOKUP(M$87,'List Values'!$C$3:$D$6,2,FALSE)&amp;ROW(M176))),IF(M$86&lt;&gt;"","Data Source Error",""))))</f>
        <v/>
      </c>
      <c r="O176" s="187"/>
      <c r="P176" s="560"/>
      <c r="Q176" s="900" t="str">
        <f ca="1">IF(OR($H$7&lt;4,Q$133&lt;3),"",IF(P176&lt;&gt;"",P176,IFERROR(IF(INDIRECT("'"&amp;P$86&amp;"'!"&amp;VLOOKUP(P$87,'List Values'!$C$3:$D$6,2,FALSE)&amp;ROW(P176))="","",INDIRECT("'"&amp;P$86&amp;"'!"&amp;VLOOKUP(P$87,'List Values'!$C$3:$D$6,2,FALSE)&amp;ROW(P176))),IF(P$86&lt;&gt;"","Data Source Error",""))))</f>
        <v/>
      </c>
      <c r="S176" s="560"/>
      <c r="T176" s="900" t="str">
        <f ca="1">IF(OR($H$7&lt;5,T$133&lt;3),"",IF(S176&lt;&gt;"",S176,IFERROR(IF(INDIRECT("'"&amp;S$86&amp;"'!"&amp;VLOOKUP(S$87,'List Values'!$C$3:$D$6,2,FALSE)&amp;ROW(S176))="","",INDIRECT("'"&amp;S$86&amp;"'!"&amp;VLOOKUP(S$87,'List Values'!$C$3:$D$6,2,FALSE)&amp;ROW(S176))),IF(S$86&lt;&gt;"","Data Source Error",""))))</f>
        <v/>
      </c>
      <c r="V176" s="560"/>
      <c r="W176" s="911" t="str">
        <f ca="1">IF(OR($H$7&lt;6,W$133&lt;3),"",IF(V176&lt;&gt;"",V176,IFERROR(IF(INDIRECT("'"&amp;V$86&amp;"'!"&amp;VLOOKUP(V$87,'List Values'!$C$3:$D$6,2,FALSE)&amp;ROW(V176))="","",INDIRECT("'"&amp;V$86&amp;"'!"&amp;VLOOKUP(V$87,'List Values'!$C$3:$D$6,2,FALSE)&amp;ROW(V176))),IF(V$86&lt;&gt;"","Data Source Error",""))))</f>
        <v/>
      </c>
      <c r="Y176" s="2643"/>
      <c r="Z176" s="2644"/>
      <c r="AA176" s="2644"/>
      <c r="AB176" s="2645"/>
    </row>
    <row r="177" spans="1:28" ht="30.75" hidden="1" customHeight="1" outlineLevel="1">
      <c r="A177" s="252"/>
      <c r="B177" s="252"/>
      <c r="C177" s="2680" t="s">
        <v>2520</v>
      </c>
      <c r="D177" s="2680"/>
      <c r="E177" s="2041"/>
      <c r="F177" s="2041"/>
      <c r="G177" s="636"/>
      <c r="H177" s="637"/>
      <c r="I177" s="183"/>
      <c r="J177" s="561"/>
      <c r="K177" s="897" t="str">
        <f ca="1">IF(OR($H$7&lt;2,K$133&lt;3),"",IF(J177&lt;&gt;"",J177,IFERROR(IF(INDIRECT("'"&amp;J$86&amp;"'!"&amp;VLOOKUP(J$87,'List Values'!$C$3:$D$6,2,FALSE)&amp;ROW(J177))="","",INDIRECT("'"&amp;J$86&amp;"'!"&amp;VLOOKUP(J$87,'List Values'!$C$3:$D$6,2,FALSE)&amp;ROW(J177))),IF(J$86&lt;&gt;"","Data Source Error",""))))</f>
        <v/>
      </c>
      <c r="L177" s="183"/>
      <c r="M177" s="561"/>
      <c r="N177" s="897" t="str">
        <f ca="1">IF(OR($H$7&lt;3,N$133&lt;3),"",IF(M177&lt;&gt;"",M177,IFERROR(IF(INDIRECT("'"&amp;M$86&amp;"'!"&amp;VLOOKUP(M$87,'List Values'!$C$3:$D$6,2,FALSE)&amp;ROW(M177))="","",INDIRECT("'"&amp;M$86&amp;"'!"&amp;VLOOKUP(M$87,'List Values'!$C$3:$D$6,2,FALSE)&amp;ROW(M177))),IF(M$86&lt;&gt;"","Data Source Error",""))))</f>
        <v/>
      </c>
      <c r="O177" s="183"/>
      <c r="P177" s="558"/>
      <c r="Q177" s="897" t="str">
        <f ca="1">IF(OR($H$7&lt;4,Q$133&lt;3),"",IF(P177&lt;&gt;"",P177,IFERROR(IF(INDIRECT("'"&amp;P$86&amp;"'!"&amp;VLOOKUP(P$87,'List Values'!$C$3:$D$6,2,FALSE)&amp;ROW(P177))="","",INDIRECT("'"&amp;P$86&amp;"'!"&amp;VLOOKUP(P$87,'List Values'!$C$3:$D$6,2,FALSE)&amp;ROW(P177))),IF(P$86&lt;&gt;"","Data Source Error",""))))</f>
        <v/>
      </c>
      <c r="S177" s="558"/>
      <c r="T177" s="897" t="str">
        <f ca="1">IF(OR($H$7&lt;5,T$133&lt;3),"",IF(S177&lt;&gt;"",S177,IFERROR(IF(INDIRECT("'"&amp;S$86&amp;"'!"&amp;VLOOKUP(S$87,'List Values'!$C$3:$D$6,2,FALSE)&amp;ROW(S177))="","",INDIRECT("'"&amp;S$86&amp;"'!"&amp;VLOOKUP(S$87,'List Values'!$C$3:$D$6,2,FALSE)&amp;ROW(S177))),IF(S$86&lt;&gt;"","Data Source Error",""))))</f>
        <v/>
      </c>
      <c r="V177" s="558"/>
      <c r="W177" s="908" t="str">
        <f ca="1">IF(OR($H$7&lt;6,W$133&lt;3),"",IF(V177&lt;&gt;"",V177,IFERROR(IF(INDIRECT("'"&amp;V$86&amp;"'!"&amp;VLOOKUP(V$87,'List Values'!$C$3:$D$6,2,FALSE)&amp;ROW(V177))="","",INDIRECT("'"&amp;V$86&amp;"'!"&amp;VLOOKUP(V$87,'List Values'!$C$3:$D$6,2,FALSE)&amp;ROW(V177))),IF(V$86&lt;&gt;"","Data Source Error",""))))</f>
        <v/>
      </c>
      <c r="Y177" s="2643"/>
      <c r="Z177" s="2644"/>
      <c r="AA177" s="2644"/>
      <c r="AB177" s="2645"/>
    </row>
    <row r="178" spans="1:28" ht="30.75" hidden="1" customHeight="1" outlineLevel="1">
      <c r="A178" s="252"/>
      <c r="B178" s="252"/>
      <c r="C178" s="2684" t="s">
        <v>726</v>
      </c>
      <c r="D178" s="2684"/>
      <c r="E178" s="2041"/>
      <c r="F178" s="2041"/>
      <c r="G178" s="636"/>
      <c r="H178" s="637"/>
      <c r="I178" s="187"/>
      <c r="J178" s="526"/>
      <c r="K178" s="900" t="str">
        <f ca="1">IF(OR($H$7&lt;2,K$133&lt;3),"",IF(J178&lt;&gt;"",J178,IFERROR(IF(INDIRECT("'"&amp;J$86&amp;"'!"&amp;VLOOKUP(J$87,'List Values'!$C$3:$D$6,2,FALSE)&amp;ROW(J178))="","",INDIRECT("'"&amp;J$86&amp;"'!"&amp;VLOOKUP(J$87,'List Values'!$C$3:$D$6,2,FALSE)&amp;ROW(J178))),IF(J$86&lt;&gt;"","Data Source Error",""))))</f>
        <v/>
      </c>
      <c r="L178" s="187"/>
      <c r="M178" s="526"/>
      <c r="N178" s="900" t="str">
        <f ca="1">IF(OR($H$7&lt;3,N$133&lt;3),"",IF(M178&lt;&gt;"",M178,IFERROR(IF(INDIRECT("'"&amp;M$86&amp;"'!"&amp;VLOOKUP(M$87,'List Values'!$C$3:$D$6,2,FALSE)&amp;ROW(M178))="","",INDIRECT("'"&amp;M$86&amp;"'!"&amp;VLOOKUP(M$87,'List Values'!$C$3:$D$6,2,FALSE)&amp;ROW(M178))),IF(M$86&lt;&gt;"","Data Source Error",""))))</f>
        <v/>
      </c>
      <c r="O178" s="187"/>
      <c r="P178" s="560"/>
      <c r="Q178" s="900" t="str">
        <f ca="1">IF(OR($H$7&lt;4,Q$133&lt;3),"",IF(P178&lt;&gt;"",P178,IFERROR(IF(INDIRECT("'"&amp;P$86&amp;"'!"&amp;VLOOKUP(P$87,'List Values'!$C$3:$D$6,2,FALSE)&amp;ROW(P178))="","",INDIRECT("'"&amp;P$86&amp;"'!"&amp;VLOOKUP(P$87,'List Values'!$C$3:$D$6,2,FALSE)&amp;ROW(P178))),IF(P$86&lt;&gt;"","Data Source Error",""))))</f>
        <v/>
      </c>
      <c r="S178" s="560"/>
      <c r="T178" s="900" t="str">
        <f ca="1">IF(OR($H$7&lt;5,T$133&lt;3),"",IF(S178&lt;&gt;"",S178,IFERROR(IF(INDIRECT("'"&amp;S$86&amp;"'!"&amp;VLOOKUP(S$87,'List Values'!$C$3:$D$6,2,FALSE)&amp;ROW(S178))="","",INDIRECT("'"&amp;S$86&amp;"'!"&amp;VLOOKUP(S$87,'List Values'!$C$3:$D$6,2,FALSE)&amp;ROW(S178))),IF(S$86&lt;&gt;"","Data Source Error",""))))</f>
        <v/>
      </c>
      <c r="V178" s="560"/>
      <c r="W178" s="911" t="str">
        <f ca="1">IF(OR($H$7&lt;6,W$133&lt;3),"",IF(V178&lt;&gt;"",V178,IFERROR(IF(INDIRECT("'"&amp;V$86&amp;"'!"&amp;VLOOKUP(V$87,'List Values'!$C$3:$D$6,2,FALSE)&amp;ROW(V178))="","",INDIRECT("'"&amp;V$86&amp;"'!"&amp;VLOOKUP(V$87,'List Values'!$C$3:$D$6,2,FALSE)&amp;ROW(V178))),IF(V$86&lt;&gt;"","Data Source Error",""))))</f>
        <v/>
      </c>
      <c r="Y178" s="2643"/>
      <c r="Z178" s="2644"/>
      <c r="AA178" s="2644"/>
      <c r="AB178" s="2645"/>
    </row>
    <row r="179" spans="1:28" ht="30.75" hidden="1" customHeight="1" outlineLevel="1">
      <c r="A179" s="252"/>
      <c r="B179" s="252"/>
      <c r="C179" s="2684" t="s">
        <v>727</v>
      </c>
      <c r="D179" s="2684"/>
      <c r="E179" s="2041"/>
      <c r="F179" s="2041"/>
      <c r="G179" s="636"/>
      <c r="H179" s="637"/>
      <c r="I179" s="187"/>
      <c r="J179" s="568"/>
      <c r="K179" s="945" t="str">
        <f ca="1">IF(OR($H$7&lt;2,K$133&lt;3),"",IF(J179&lt;&gt;"",J179,IFERROR(IF(INDIRECT("'"&amp;J$86&amp;"'!"&amp;VLOOKUP(J$87,'List Values'!$C$3:$D$6,2,FALSE)&amp;ROW(J179))="","",INDIRECT("'"&amp;J$86&amp;"'!"&amp;VLOOKUP(J$87,'List Values'!$C$3:$D$6,2,FALSE)&amp;ROW(J179))*$H$6),IF(J$86&lt;&gt;"","Data Source Error",""))))</f>
        <v/>
      </c>
      <c r="L179" s="339"/>
      <c r="M179" s="568"/>
      <c r="N179" s="945" t="str">
        <f ca="1">IF(OR($H$7&lt;3,N$133&lt;3),"",IF(M179&lt;&gt;"",M179,IFERROR(IF(INDIRECT("'"&amp;M$86&amp;"'!"&amp;VLOOKUP(M$87,'List Values'!$C$3:$D$6,2,FALSE)&amp;ROW(M179))="","",INDIRECT("'"&amp;M$86&amp;"'!"&amp;VLOOKUP(M$87,'List Values'!$C$3:$D$6,2,FALSE)&amp;ROW(M179))*$H$6),IF(M$86&lt;&gt;"","Data Source Error",""))))</f>
        <v/>
      </c>
      <c r="O179" s="339"/>
      <c r="P179" s="623"/>
      <c r="Q179" s="945" t="str">
        <f ca="1">IF(OR($H$7&lt;4,Q$133&lt;3),"",IF(P179&lt;&gt;"",P179,IFERROR(IF(INDIRECT("'"&amp;P$86&amp;"'!"&amp;VLOOKUP(P$87,'List Values'!$C$3:$D$6,2,FALSE)&amp;ROW(P179))="","",INDIRECT("'"&amp;P$86&amp;"'!"&amp;VLOOKUP(P$87,'List Values'!$C$3:$D$6,2,FALSE)&amp;ROW(P179))*$H$6),IF(P$86&lt;&gt;"","Data Source Error",""))))</f>
        <v/>
      </c>
      <c r="R179" s="7"/>
      <c r="S179" s="623"/>
      <c r="T179" s="945" t="str">
        <f ca="1">IF(OR($H$7&lt;5,T$133&lt;3),"",IF(S179&lt;&gt;"",S179,IFERROR(IF(INDIRECT("'"&amp;S$86&amp;"'!"&amp;VLOOKUP(S$87,'List Values'!$C$3:$D$6,2,FALSE)&amp;ROW(S179))="","",INDIRECT("'"&amp;S$86&amp;"'!"&amp;VLOOKUP(S$87,'List Values'!$C$3:$D$6,2,FALSE)&amp;ROW(S179))*$H$6),IF(S$86&lt;&gt;"","Data Source Error",""))))</f>
        <v/>
      </c>
      <c r="U179" s="7"/>
      <c r="V179" s="623"/>
      <c r="W179" s="952" t="str">
        <f ca="1">IF(OR($H$7&lt;6,W$133&lt;3),"",IF(V179&lt;&gt;"",V179,IFERROR(IF(INDIRECT("'"&amp;V$86&amp;"'!"&amp;VLOOKUP(V$87,'List Values'!$C$3:$D$6,2,FALSE)&amp;ROW(V179))="","",INDIRECT("'"&amp;V$86&amp;"'!"&amp;VLOOKUP(V$87,'List Values'!$C$3:$D$6,2,FALSE)&amp;ROW(V179))*$H$6),IF(V$86&lt;&gt;"","Data Source Error",""))))</f>
        <v/>
      </c>
      <c r="Y179" s="2643"/>
      <c r="Z179" s="2644"/>
      <c r="AA179" s="2644"/>
      <c r="AB179" s="2645"/>
    </row>
    <row r="180" spans="1:28" ht="15.75" hidden="1" customHeight="1" outlineLevel="1">
      <c r="A180" s="252"/>
      <c r="B180" s="252"/>
      <c r="C180" s="2680" t="s">
        <v>732</v>
      </c>
      <c r="D180" s="2680"/>
      <c r="E180" s="2041"/>
      <c r="F180" s="2041"/>
      <c r="G180" s="636"/>
      <c r="H180" s="637"/>
      <c r="I180" s="187"/>
      <c r="J180" s="526"/>
      <c r="K180" s="900" t="str">
        <f ca="1">IF(OR($H$7&lt;2,K$133&lt;3),"",IF(J180&lt;&gt;"",J180,IFERROR(IF(INDIRECT("'"&amp;J$86&amp;"'!"&amp;VLOOKUP(J$87,'List Values'!$C$3:$D$6,2,FALSE)&amp;ROW(J180))="","",INDIRECT("'"&amp;J$86&amp;"'!"&amp;VLOOKUP(J$87,'List Values'!$C$3:$D$6,2,FALSE)&amp;ROW(J180))),IF(J$86&lt;&gt;"","Data Source Error",""))))</f>
        <v/>
      </c>
      <c r="L180" s="187"/>
      <c r="M180" s="526"/>
      <c r="N180" s="900" t="str">
        <f ca="1">IF(OR($H$7&lt;3,N$133&lt;3),"",IF(M180&lt;&gt;"",M180,IFERROR(IF(INDIRECT("'"&amp;M$86&amp;"'!"&amp;VLOOKUP(M$87,'List Values'!$C$3:$D$6,2,FALSE)&amp;ROW(M180))="","",INDIRECT("'"&amp;M$86&amp;"'!"&amp;VLOOKUP(M$87,'List Values'!$C$3:$D$6,2,FALSE)&amp;ROW(M180))),IF(M$86&lt;&gt;"","Data Source Error",""))))</f>
        <v/>
      </c>
      <c r="O180" s="187"/>
      <c r="P180" s="560"/>
      <c r="Q180" s="900" t="str">
        <f ca="1">IF(OR($H$7&lt;4,Q$133&lt;3),"",IF(P180&lt;&gt;"",P180,IFERROR(IF(INDIRECT("'"&amp;P$86&amp;"'!"&amp;VLOOKUP(P$87,'List Values'!$C$3:$D$6,2,FALSE)&amp;ROW(P180))="","",INDIRECT("'"&amp;P$86&amp;"'!"&amp;VLOOKUP(P$87,'List Values'!$C$3:$D$6,2,FALSE)&amp;ROW(P180))),IF(P$86&lt;&gt;"","Data Source Error",""))))</f>
        <v/>
      </c>
      <c r="S180" s="560"/>
      <c r="T180" s="900" t="str">
        <f ca="1">IF(OR($H$7&lt;5,T$133&lt;3),"",IF(S180&lt;&gt;"",S180,IFERROR(IF(INDIRECT("'"&amp;S$86&amp;"'!"&amp;VLOOKUP(S$87,'List Values'!$C$3:$D$6,2,FALSE)&amp;ROW(S180))="","",INDIRECT("'"&amp;S$86&amp;"'!"&amp;VLOOKUP(S$87,'List Values'!$C$3:$D$6,2,FALSE)&amp;ROW(S180))),IF(S$86&lt;&gt;"","Data Source Error",""))))</f>
        <v/>
      </c>
      <c r="V180" s="560"/>
      <c r="W180" s="911" t="str">
        <f ca="1">IF(OR($H$7&lt;6,W$133&lt;3),"",IF(V180&lt;&gt;"",V180,IFERROR(IF(INDIRECT("'"&amp;V$86&amp;"'!"&amp;VLOOKUP(V$87,'List Values'!$C$3:$D$6,2,FALSE)&amp;ROW(V180))="","",INDIRECT("'"&amp;V$86&amp;"'!"&amp;VLOOKUP(V$87,'List Values'!$C$3:$D$6,2,FALSE)&amp;ROW(V180))),IF(V$86&lt;&gt;"","Data Source Error",""))))</f>
        <v/>
      </c>
      <c r="Y180" s="2643"/>
      <c r="Z180" s="2644"/>
      <c r="AA180" s="2644"/>
      <c r="AB180" s="2645"/>
    </row>
    <row r="181" spans="1:28" ht="30.75" hidden="1" customHeight="1" outlineLevel="1">
      <c r="A181" s="252"/>
      <c r="B181" s="252"/>
      <c r="C181" s="2680" t="s">
        <v>2521</v>
      </c>
      <c r="D181" s="2680"/>
      <c r="E181" s="2041"/>
      <c r="F181" s="2041"/>
      <c r="G181" s="636"/>
      <c r="H181" s="637"/>
      <c r="I181" s="187"/>
      <c r="J181" s="619"/>
      <c r="K181" s="898" t="str">
        <f ca="1">IF(OR($H$7&lt;2,K$133&lt;3),"",IF(J181&lt;&gt;"",J181,IFERROR(IF(INDIRECT("'"&amp;J$86&amp;"'!"&amp;VLOOKUP(J$87,'List Values'!$C$3:$D$6,2,FALSE)&amp;ROW(J181))="","",INDIRECT("'"&amp;J$86&amp;"'!"&amp;VLOOKUP(J$87,'List Values'!$C$3:$D$6,2,FALSE)&amp;ROW(J181))),IF(J$86&lt;&gt;"","Data Source Error",""))))</f>
        <v/>
      </c>
      <c r="L181" s="621"/>
      <c r="M181" s="619"/>
      <c r="N181" s="898" t="str">
        <f ca="1">IF(OR($H$7&lt;3,N$133&lt;3),"",IF(M181&lt;&gt;"",M181,IFERROR(IF(INDIRECT("'"&amp;M$86&amp;"'!"&amp;VLOOKUP(M$87,'List Values'!$C$3:$D$6,2,FALSE)&amp;ROW(M181))="","",INDIRECT("'"&amp;M$86&amp;"'!"&amp;VLOOKUP(M$87,'List Values'!$C$3:$D$6,2,FALSE)&amp;ROW(M181))),IF(M$86&lt;&gt;"","Data Source Error",""))))</f>
        <v/>
      </c>
      <c r="O181" s="621"/>
      <c r="P181" s="619"/>
      <c r="Q181" s="898" t="str">
        <f ca="1">IF(OR($H$7&lt;4,Q$133&lt;3),"",IF(P181&lt;&gt;"",P181,IFERROR(IF(INDIRECT("'"&amp;P$86&amp;"'!"&amp;VLOOKUP(P$87,'List Values'!$C$3:$D$6,2,FALSE)&amp;ROW(P181))="","",INDIRECT("'"&amp;P$86&amp;"'!"&amp;VLOOKUP(P$87,'List Values'!$C$3:$D$6,2,FALSE)&amp;ROW(P181))),IF(P$86&lt;&gt;"","Data Source Error",""))))</f>
        <v/>
      </c>
      <c r="R181" s="147"/>
      <c r="S181" s="619"/>
      <c r="T181" s="898" t="str">
        <f ca="1">IF(OR($H$7&lt;5,T$133&lt;3),"",IF(S181&lt;&gt;"",S181,IFERROR(IF(INDIRECT("'"&amp;S$86&amp;"'!"&amp;VLOOKUP(S$87,'List Values'!$C$3:$D$6,2,FALSE)&amp;ROW(S181))="","",INDIRECT("'"&amp;S$86&amp;"'!"&amp;VLOOKUP(S$87,'List Values'!$C$3:$D$6,2,FALSE)&amp;ROW(S181))),IF(S$86&lt;&gt;"","Data Source Error",""))))</f>
        <v/>
      </c>
      <c r="U181" s="147"/>
      <c r="V181" s="619"/>
      <c r="W181" s="909" t="str">
        <f ca="1">IF(OR($H$7&lt;6,W$133&lt;3),"",IF(V181&lt;&gt;"",V181,IFERROR(IF(INDIRECT("'"&amp;V$86&amp;"'!"&amp;VLOOKUP(V$87,'List Values'!$C$3:$D$6,2,FALSE)&amp;ROW(V181))="","",INDIRECT("'"&amp;V$86&amp;"'!"&amp;VLOOKUP(V$87,'List Values'!$C$3:$D$6,2,FALSE)&amp;ROW(V181))),IF(V$86&lt;&gt;"","Data Source Error",""))))</f>
        <v/>
      </c>
      <c r="Y181" s="2643"/>
      <c r="Z181" s="2644"/>
      <c r="AA181" s="2644"/>
      <c r="AB181" s="2645"/>
    </row>
    <row r="182" spans="1:28" ht="30.75" hidden="1" customHeight="1" outlineLevel="1">
      <c r="A182" s="252"/>
      <c r="B182" s="252"/>
      <c r="C182" s="2680" t="s">
        <v>2522</v>
      </c>
      <c r="D182" s="2680"/>
      <c r="E182" s="2041"/>
      <c r="F182" s="2041"/>
      <c r="G182" s="636"/>
      <c r="H182" s="637"/>
      <c r="I182" s="187"/>
      <c r="J182" s="619"/>
      <c r="K182" s="898" t="str">
        <f ca="1">IF(OR($H$7&lt;2,K$133&lt;3),"",IF(J182&lt;&gt;"",J182,IFERROR(IF(INDIRECT("'"&amp;J$86&amp;"'!"&amp;VLOOKUP(J$87,'List Values'!$C$3:$D$6,2,FALSE)&amp;ROW(J182))="","",INDIRECT("'"&amp;J$86&amp;"'!"&amp;VLOOKUP(J$87,'List Values'!$C$3:$D$6,2,FALSE)&amp;ROW(J182))),IF(J$86&lt;&gt;"","Data Source Error",""))))</f>
        <v/>
      </c>
      <c r="L182" s="621"/>
      <c r="M182" s="619"/>
      <c r="N182" s="971" t="str">
        <f ca="1">IF(OR($H$7&lt;3,N$133&lt;3),"",IF(M182&lt;&gt;"",M182,IFERROR(IF(INDIRECT("'"&amp;M$86&amp;"'!"&amp;VLOOKUP(M$87,'List Values'!$C$3:$D$6,2,FALSE)&amp;ROW(M182))="","",INDIRECT("'"&amp;M$86&amp;"'!"&amp;VLOOKUP(M$87,'List Values'!$C$3:$D$6,2,FALSE)&amp;ROW(M182))),IF(M$86&lt;&gt;"","Data Source Error",""))))</f>
        <v/>
      </c>
      <c r="O182" s="621"/>
      <c r="P182" s="619"/>
      <c r="Q182" s="898" t="str">
        <f ca="1">IF(OR($H$7&lt;4,Q$133&lt;3),"",IF(P182&lt;&gt;"",P182,IFERROR(IF(INDIRECT("'"&amp;P$86&amp;"'!"&amp;VLOOKUP(P$87,'List Values'!$C$3:$D$6,2,FALSE)&amp;ROW(P182))="","",INDIRECT("'"&amp;P$86&amp;"'!"&amp;VLOOKUP(P$87,'List Values'!$C$3:$D$6,2,FALSE)&amp;ROW(P182))),IF(P$86&lt;&gt;"","Data Source Error",""))))</f>
        <v/>
      </c>
      <c r="R182" s="147"/>
      <c r="S182" s="619"/>
      <c r="T182" s="898" t="str">
        <f ca="1">IF(OR($H$7&lt;5,T$133&lt;3),"",IF(S182&lt;&gt;"",S182,IFERROR(IF(INDIRECT("'"&amp;S$86&amp;"'!"&amp;VLOOKUP(S$87,'List Values'!$C$3:$D$6,2,FALSE)&amp;ROW(S182))="","",INDIRECT("'"&amp;S$86&amp;"'!"&amp;VLOOKUP(S$87,'List Values'!$C$3:$D$6,2,FALSE)&amp;ROW(S182))),IF(S$86&lt;&gt;"","Data Source Error",""))))</f>
        <v/>
      </c>
      <c r="U182" s="147"/>
      <c r="V182" s="619"/>
      <c r="W182" s="909" t="str">
        <f ca="1">IF(OR($H$7&lt;6,W$133&lt;3),"",IF(V182&lt;&gt;"",V182,IFERROR(IF(INDIRECT("'"&amp;V$86&amp;"'!"&amp;VLOOKUP(V$87,'List Values'!$C$3:$D$6,2,FALSE)&amp;ROW(V182))="","",INDIRECT("'"&amp;V$86&amp;"'!"&amp;VLOOKUP(V$87,'List Values'!$C$3:$D$6,2,FALSE)&amp;ROW(V182))),IF(V$86&lt;&gt;"","Data Source Error",""))))</f>
        <v/>
      </c>
      <c r="Y182" s="2643"/>
      <c r="Z182" s="2644"/>
      <c r="AA182" s="2644"/>
      <c r="AB182" s="2645"/>
    </row>
    <row r="183" spans="1:28" ht="31.5" hidden="1" customHeight="1" outlineLevel="1">
      <c r="A183" s="252"/>
      <c r="B183" s="252"/>
      <c r="C183" s="2680" t="s">
        <v>253</v>
      </c>
      <c r="D183" s="2680"/>
      <c r="E183" s="2041"/>
      <c r="F183" s="2041"/>
      <c r="G183" s="636"/>
      <c r="H183" s="637"/>
      <c r="I183" s="187"/>
      <c r="J183" s="526"/>
      <c r="K183" s="900" t="str">
        <f ca="1">IF(OR($H$7&lt;2,K$133&lt;3),"",IF(J183&lt;&gt;"",J183,IFERROR(IF(INDIRECT("'"&amp;J$86&amp;"'!"&amp;VLOOKUP(J$87,'List Values'!$C$3:$D$6,2,FALSE)&amp;ROW(J183))="","",INDIRECT("'"&amp;J$86&amp;"'!"&amp;VLOOKUP(J$87,'List Values'!$C$3:$D$6,2,FALSE)&amp;ROW(J183))),IF(J$86&lt;&gt;"","Data Source Error",""))))</f>
        <v/>
      </c>
      <c r="L183" s="187"/>
      <c r="M183" s="526"/>
      <c r="N183" s="900" t="str">
        <f ca="1">IF(OR($H$7&lt;3,N$133&lt;3),"",IF(M183&lt;&gt;"",M183,IFERROR(IF(INDIRECT("'"&amp;M$86&amp;"'!"&amp;VLOOKUP(M$87,'List Values'!$C$3:$D$6,2,FALSE)&amp;ROW(M183))="","",INDIRECT("'"&amp;M$86&amp;"'!"&amp;VLOOKUP(M$87,'List Values'!$C$3:$D$6,2,FALSE)&amp;ROW(M183))),IF(M$86&lt;&gt;"","Data Source Error",""))))</f>
        <v/>
      </c>
      <c r="O183" s="187"/>
      <c r="P183" s="523"/>
      <c r="Q183" s="900" t="str">
        <f ca="1">IF(OR($H$7&lt;4,Q$133&lt;3),"",IF(P183&lt;&gt;"",P183,IFERROR(IF(INDIRECT("'"&amp;P$86&amp;"'!"&amp;VLOOKUP(P$87,'List Values'!$C$3:$D$6,2,FALSE)&amp;ROW(P183))="","",INDIRECT("'"&amp;P$86&amp;"'!"&amp;VLOOKUP(P$87,'List Values'!$C$3:$D$6,2,FALSE)&amp;ROW(P183))),IF(P$86&lt;&gt;"","Data Source Error",""))))</f>
        <v/>
      </c>
      <c r="S183" s="523"/>
      <c r="T183" s="900" t="str">
        <f ca="1">IF(OR($H$7&lt;5,T$133&lt;3),"",IF(S183&lt;&gt;"",S183,IFERROR(IF(INDIRECT("'"&amp;S$86&amp;"'!"&amp;VLOOKUP(S$87,'List Values'!$C$3:$D$6,2,FALSE)&amp;ROW(S183))="","",INDIRECT("'"&amp;S$86&amp;"'!"&amp;VLOOKUP(S$87,'List Values'!$C$3:$D$6,2,FALSE)&amp;ROW(S183))),IF(S$86&lt;&gt;"","Data Source Error",""))))</f>
        <v/>
      </c>
      <c r="V183" s="523"/>
      <c r="W183" s="911" t="str">
        <f ca="1">IF(OR($H$7&lt;6,W$133&lt;3),"",IF(V183&lt;&gt;"",V183,IFERROR(IF(INDIRECT("'"&amp;V$86&amp;"'!"&amp;VLOOKUP(V$87,'List Values'!$C$3:$D$6,2,FALSE)&amp;ROW(V183))="","",INDIRECT("'"&amp;V$86&amp;"'!"&amp;VLOOKUP(V$87,'List Values'!$C$3:$D$6,2,FALSE)&amp;ROW(V183))),IF(V$86&lt;&gt;"","Data Source Error",""))))</f>
        <v/>
      </c>
      <c r="Y183" s="2643"/>
      <c r="Z183" s="2644"/>
      <c r="AA183" s="2644"/>
      <c r="AB183" s="2645"/>
    </row>
    <row r="184" spans="1:28" ht="15.75" hidden="1" customHeight="1" outlineLevel="1">
      <c r="A184" s="252"/>
      <c r="B184" s="252"/>
      <c r="C184" s="2684" t="s">
        <v>244</v>
      </c>
      <c r="D184" s="2684"/>
      <c r="E184" s="2041"/>
      <c r="F184" s="2041"/>
      <c r="G184" s="636"/>
      <c r="H184" s="637"/>
      <c r="I184" s="187"/>
      <c r="J184" s="580"/>
      <c r="K184" s="900" t="str">
        <f ca="1">IF(OR($H$7&lt;2,K$133&lt;3),"",IF(J184&lt;&gt;"",J184,IFERROR(IF(INDIRECT("'"&amp;J$86&amp;"'!"&amp;VLOOKUP(J$87,'List Values'!$C$3:$D$6,2,FALSE)&amp;ROW(J184))="","",INDIRECT("'"&amp;J$86&amp;"'!"&amp;VLOOKUP(J$87,'List Values'!$C$3:$D$6,2,FALSE)&amp;ROW(J184))),IF(J$86&lt;&gt;"","Data Source Error",""))))</f>
        <v/>
      </c>
      <c r="L184" s="187"/>
      <c r="M184" s="580"/>
      <c r="N184" s="900" t="str">
        <f ca="1">IF(OR($H$7&lt;3,N$133&lt;3),"",IF(M184&lt;&gt;"",M184,IFERROR(IF(INDIRECT("'"&amp;M$86&amp;"'!"&amp;VLOOKUP(M$87,'List Values'!$C$3:$D$6,2,FALSE)&amp;ROW(M184))="","",INDIRECT("'"&amp;M$86&amp;"'!"&amp;VLOOKUP(M$87,'List Values'!$C$3:$D$6,2,FALSE)&amp;ROW(M184))),IF(M$86&lt;&gt;"","Data Source Error",""))))</f>
        <v/>
      </c>
      <c r="O184" s="187"/>
      <c r="P184" s="528"/>
      <c r="Q184" s="900" t="str">
        <f ca="1">IF(OR($H$7&lt;4,Q$133&lt;3),"",IF(P184&lt;&gt;"",P184,IFERROR(IF(INDIRECT("'"&amp;P$86&amp;"'!"&amp;VLOOKUP(P$87,'List Values'!$C$3:$D$6,2,FALSE)&amp;ROW(P184))="","",INDIRECT("'"&amp;P$86&amp;"'!"&amp;VLOOKUP(P$87,'List Values'!$C$3:$D$6,2,FALSE)&amp;ROW(P184))),IF(P$86&lt;&gt;"","Data Source Error",""))))</f>
        <v/>
      </c>
      <c r="S184" s="528"/>
      <c r="T184" s="900" t="str">
        <f ca="1">IF(OR($H$7&lt;5,T$133&lt;3),"",IF(S184&lt;&gt;"",S184,IFERROR(IF(INDIRECT("'"&amp;S$86&amp;"'!"&amp;VLOOKUP(S$87,'List Values'!$C$3:$D$6,2,FALSE)&amp;ROW(S184))="","",INDIRECT("'"&amp;S$86&amp;"'!"&amp;VLOOKUP(S$87,'List Values'!$C$3:$D$6,2,FALSE)&amp;ROW(S184))),IF(S$86&lt;&gt;"","Data Source Error",""))))</f>
        <v/>
      </c>
      <c r="V184" s="528"/>
      <c r="W184" s="911" t="str">
        <f ca="1">IF(OR($H$7&lt;6,W$133&lt;3),"",IF(V184&lt;&gt;"",V184,IFERROR(IF(INDIRECT("'"&amp;V$86&amp;"'!"&amp;VLOOKUP(V$87,'List Values'!$C$3:$D$6,2,FALSE)&amp;ROW(V184))="","",INDIRECT("'"&amp;V$86&amp;"'!"&amp;VLOOKUP(V$87,'List Values'!$C$3:$D$6,2,FALSE)&amp;ROW(V184))),IF(V$86&lt;&gt;"","Data Source Error",""))))</f>
        <v/>
      </c>
      <c r="Y184" s="2643"/>
      <c r="Z184" s="2644"/>
      <c r="AA184" s="2644"/>
      <c r="AB184" s="2645"/>
    </row>
    <row r="185" spans="1:28" ht="30.75" hidden="1" customHeight="1" outlineLevel="1">
      <c r="A185" s="252"/>
      <c r="B185" s="252"/>
      <c r="C185" s="2680" t="s">
        <v>2523</v>
      </c>
      <c r="D185" s="2680"/>
      <c r="E185" s="2041"/>
      <c r="F185" s="2041"/>
      <c r="G185" s="636"/>
      <c r="H185" s="637"/>
      <c r="I185" s="187"/>
      <c r="J185" s="580"/>
      <c r="K185" s="900" t="str">
        <f ca="1">IF(OR($H$7&lt;2,K$133&lt;3),"",IF(J185&lt;&gt;"",J185,IFERROR(IF(INDIRECT("'"&amp;J$86&amp;"'!"&amp;VLOOKUP(J$87,'List Values'!$C$3:$D$6,2,FALSE)&amp;ROW(J185))="","",INDIRECT("'"&amp;J$86&amp;"'!"&amp;VLOOKUP(J$87,'List Values'!$C$3:$D$6,2,FALSE)&amp;ROW(J185))),IF(J$86&lt;&gt;"","Data Source Error",""))))</f>
        <v/>
      </c>
      <c r="L185" s="187"/>
      <c r="M185" s="580"/>
      <c r="N185" s="900" t="str">
        <f ca="1">IF(OR($H$7&lt;3,N$133&lt;3),"",IF(M185&lt;&gt;"",M185,IFERROR(IF(INDIRECT("'"&amp;M$86&amp;"'!"&amp;VLOOKUP(M$87,'List Values'!$C$3:$D$6,2,FALSE)&amp;ROW(M185))="","",INDIRECT("'"&amp;M$86&amp;"'!"&amp;VLOOKUP(M$87,'List Values'!$C$3:$D$6,2,FALSE)&amp;ROW(M185))),IF(M$86&lt;&gt;"","Data Source Error",""))))</f>
        <v/>
      </c>
      <c r="O185" s="187"/>
      <c r="P185" s="528"/>
      <c r="Q185" s="900" t="str">
        <f ca="1">IF(OR($H$7&lt;4,Q$133&lt;3),"",IF(P185&lt;&gt;"",P185,IFERROR(IF(INDIRECT("'"&amp;P$86&amp;"'!"&amp;VLOOKUP(P$87,'List Values'!$C$3:$D$6,2,FALSE)&amp;ROW(P185))="","",INDIRECT("'"&amp;P$86&amp;"'!"&amp;VLOOKUP(P$87,'List Values'!$C$3:$D$6,2,FALSE)&amp;ROW(P185))),IF(P$86&lt;&gt;"","Data Source Error",""))))</f>
        <v/>
      </c>
      <c r="S185" s="528"/>
      <c r="T185" s="900" t="str">
        <f ca="1">IF(OR($H$7&lt;5,T$133&lt;3),"",IF(S185&lt;&gt;"",S185,IFERROR(IF(INDIRECT("'"&amp;S$86&amp;"'!"&amp;VLOOKUP(S$87,'List Values'!$C$3:$D$6,2,FALSE)&amp;ROW(S185))="","",INDIRECT("'"&amp;S$86&amp;"'!"&amp;VLOOKUP(S$87,'List Values'!$C$3:$D$6,2,FALSE)&amp;ROW(S185))),IF(S$86&lt;&gt;"","Data Source Error",""))))</f>
        <v/>
      </c>
      <c r="V185" s="528"/>
      <c r="W185" s="911" t="str">
        <f ca="1">IF(OR($H$7&lt;6,W$133&lt;3),"",IF(V185&lt;&gt;"",V185,IFERROR(IF(INDIRECT("'"&amp;V$86&amp;"'!"&amp;VLOOKUP(V$87,'List Values'!$C$3:$D$6,2,FALSE)&amp;ROW(V185))="","",INDIRECT("'"&amp;V$86&amp;"'!"&amp;VLOOKUP(V$87,'List Values'!$C$3:$D$6,2,FALSE)&amp;ROW(V185))),IF(V$86&lt;&gt;"","Data Source Error",""))))</f>
        <v/>
      </c>
      <c r="Y185" s="2643"/>
      <c r="Z185" s="2644"/>
      <c r="AA185" s="2644"/>
      <c r="AB185" s="2645"/>
    </row>
    <row r="186" spans="1:28" ht="15.75" hidden="1" customHeight="1" outlineLevel="1">
      <c r="A186" s="252"/>
      <c r="B186" s="252"/>
      <c r="C186" s="2680" t="s">
        <v>2524</v>
      </c>
      <c r="D186" s="2680"/>
      <c r="E186" s="2041"/>
      <c r="F186" s="2041"/>
      <c r="G186" s="636"/>
      <c r="H186" s="637"/>
      <c r="I186" s="187"/>
      <c r="J186" s="580"/>
      <c r="K186" s="900" t="str">
        <f ca="1">IF(OR($H$7&lt;2,K$133&lt;3),"",IF(J186&lt;&gt;"",J186,IFERROR(IF(INDIRECT("'"&amp;J$86&amp;"'!"&amp;VLOOKUP(J$87,'List Values'!$C$3:$D$6,2,FALSE)&amp;ROW(J186))="","",INDIRECT("'"&amp;J$86&amp;"'!"&amp;VLOOKUP(J$87,'List Values'!$C$3:$D$6,2,FALSE)&amp;ROW(J186))),IF(J$86&lt;&gt;"","Data Source Error",""))))</f>
        <v/>
      </c>
      <c r="L186" s="187"/>
      <c r="M186" s="580"/>
      <c r="N186" s="900" t="str">
        <f ca="1">IF(OR($H$7&lt;3,N$133&lt;3),"",IF(M186&lt;&gt;"",M186,IFERROR(IF(INDIRECT("'"&amp;M$86&amp;"'!"&amp;VLOOKUP(M$87,'List Values'!$C$3:$D$6,2,FALSE)&amp;ROW(M186))="","",INDIRECT("'"&amp;M$86&amp;"'!"&amp;VLOOKUP(M$87,'List Values'!$C$3:$D$6,2,FALSE)&amp;ROW(M186))),IF(M$86&lt;&gt;"","Data Source Error",""))))</f>
        <v/>
      </c>
      <c r="O186" s="187"/>
      <c r="P186" s="528"/>
      <c r="Q186" s="900" t="str">
        <f ca="1">IF(OR($H$7&lt;4,Q$133&lt;3),"",IF(P186&lt;&gt;"",P186,IFERROR(IF(INDIRECT("'"&amp;P$86&amp;"'!"&amp;VLOOKUP(P$87,'List Values'!$C$3:$D$6,2,FALSE)&amp;ROW(P186))="","",INDIRECT("'"&amp;P$86&amp;"'!"&amp;VLOOKUP(P$87,'List Values'!$C$3:$D$6,2,FALSE)&amp;ROW(P186))),IF(P$86&lt;&gt;"","Data Source Error",""))))</f>
        <v/>
      </c>
      <c r="S186" s="528"/>
      <c r="T186" s="900" t="str">
        <f ca="1">IF(OR($H$7&lt;5,T$133&lt;3),"",IF(S186&lt;&gt;"",S186,IFERROR(IF(INDIRECT("'"&amp;S$86&amp;"'!"&amp;VLOOKUP(S$87,'List Values'!$C$3:$D$6,2,FALSE)&amp;ROW(S186))="","",INDIRECT("'"&amp;S$86&amp;"'!"&amp;VLOOKUP(S$87,'List Values'!$C$3:$D$6,2,FALSE)&amp;ROW(S186))),IF(S$86&lt;&gt;"","Data Source Error",""))))</f>
        <v/>
      </c>
      <c r="V186" s="528"/>
      <c r="W186" s="911" t="str">
        <f ca="1">IF(OR($H$7&lt;6,W$133&lt;3),"",IF(V186&lt;&gt;"",V186,IFERROR(IF(INDIRECT("'"&amp;V$86&amp;"'!"&amp;VLOOKUP(V$87,'List Values'!$C$3:$D$6,2,FALSE)&amp;ROW(V186))="","",INDIRECT("'"&amp;V$86&amp;"'!"&amp;VLOOKUP(V$87,'List Values'!$C$3:$D$6,2,FALSE)&amp;ROW(V186))),IF(V$86&lt;&gt;"","Data Source Error",""))))</f>
        <v/>
      </c>
      <c r="Y186" s="2643"/>
      <c r="Z186" s="2644"/>
      <c r="AA186" s="2644"/>
      <c r="AB186" s="2645"/>
    </row>
    <row r="187" spans="1:28" ht="15.65" hidden="1" customHeight="1" outlineLevel="1">
      <c r="A187" s="252"/>
      <c r="B187" s="252"/>
      <c r="C187" s="2684" t="s">
        <v>2525</v>
      </c>
      <c r="D187" s="2684"/>
      <c r="E187" s="2041"/>
      <c r="F187" s="2041"/>
      <c r="G187" s="636"/>
      <c r="H187" s="637"/>
      <c r="I187" s="187"/>
      <c r="J187" s="580"/>
      <c r="K187" s="900" t="str">
        <f ca="1">IF(OR($H$7&lt;2,K$133&lt;3),"",IF(J187&lt;&gt;"",J187,IFERROR(IF(INDIRECT("'"&amp;J$86&amp;"'!"&amp;VLOOKUP(J$87,'List Values'!$C$3:$D$6,2,FALSE)&amp;ROW(J187))="","",INDIRECT("'"&amp;J$86&amp;"'!"&amp;VLOOKUP(J$87,'List Values'!$C$3:$D$6,2,FALSE)&amp;ROW(J187))),IF(J$86&lt;&gt;"","Data Source Error",""))))</f>
        <v/>
      </c>
      <c r="L187" s="187"/>
      <c r="M187" s="580"/>
      <c r="N187" s="900" t="str">
        <f ca="1">IF(OR($H$7&lt;3,N$133&lt;3),"",IF(M187&lt;&gt;"",M187,IFERROR(IF(INDIRECT("'"&amp;M$86&amp;"'!"&amp;VLOOKUP(M$87,'List Values'!$C$3:$D$6,2,FALSE)&amp;ROW(M187))="","",INDIRECT("'"&amp;M$86&amp;"'!"&amp;VLOOKUP(M$87,'List Values'!$C$3:$D$6,2,FALSE)&amp;ROW(M187))),IF(M$86&lt;&gt;"","Data Source Error",""))))</f>
        <v/>
      </c>
      <c r="O187" s="187"/>
      <c r="P187" s="528"/>
      <c r="Q187" s="900" t="str">
        <f ca="1">IF(OR($H$7&lt;4,Q$133&lt;3),"",IF(P187&lt;&gt;"",P187,IFERROR(IF(INDIRECT("'"&amp;P$86&amp;"'!"&amp;VLOOKUP(P$87,'List Values'!$C$3:$D$6,2,FALSE)&amp;ROW(P187))="","",INDIRECT("'"&amp;P$86&amp;"'!"&amp;VLOOKUP(P$87,'List Values'!$C$3:$D$6,2,FALSE)&amp;ROW(P187))),IF(P$86&lt;&gt;"","Data Source Error",""))))</f>
        <v/>
      </c>
      <c r="S187" s="528"/>
      <c r="T187" s="900" t="str">
        <f ca="1">IF(OR($H$7&lt;5,T$133&lt;3),"",IF(S187&lt;&gt;"",S187,IFERROR(IF(INDIRECT("'"&amp;S$86&amp;"'!"&amp;VLOOKUP(S$87,'List Values'!$C$3:$D$6,2,FALSE)&amp;ROW(S187))="","",INDIRECT("'"&amp;S$86&amp;"'!"&amp;VLOOKUP(S$87,'List Values'!$C$3:$D$6,2,FALSE)&amp;ROW(S187))),IF(S$86&lt;&gt;"","Data Source Error",""))))</f>
        <v/>
      </c>
      <c r="V187" s="528"/>
      <c r="W187" s="911" t="str">
        <f ca="1">IF(OR($H$7&lt;6,W$133&lt;3),"",IF(V187&lt;&gt;"",V187,IFERROR(IF(INDIRECT("'"&amp;V$86&amp;"'!"&amp;VLOOKUP(V$87,'List Values'!$C$3:$D$6,2,FALSE)&amp;ROW(V187))="","",INDIRECT("'"&amp;V$86&amp;"'!"&amp;VLOOKUP(V$87,'List Values'!$C$3:$D$6,2,FALSE)&amp;ROW(V187))),IF(V$86&lt;&gt;"","Data Source Error",""))))</f>
        <v/>
      </c>
      <c r="Y187" s="2643"/>
      <c r="Z187" s="2644"/>
      <c r="AA187" s="2644"/>
      <c r="AB187" s="2645"/>
    </row>
    <row r="188" spans="1:28" ht="30.75" hidden="1" customHeight="1" outlineLevel="1">
      <c r="A188" s="252"/>
      <c r="B188" s="252"/>
      <c r="C188" s="2680" t="s">
        <v>2526</v>
      </c>
      <c r="D188" s="2680"/>
      <c r="E188" s="2041"/>
      <c r="F188" s="2041"/>
      <c r="G188" s="636"/>
      <c r="H188" s="637"/>
      <c r="I188" s="187"/>
      <c r="J188" s="580"/>
      <c r="K188" s="900" t="str">
        <f ca="1">IF(OR($H$7&lt;2,K$133&lt;3),"",IF(J188&lt;&gt;"",J188,IFERROR(IF(INDIRECT("'"&amp;J$86&amp;"'!"&amp;VLOOKUP(J$87,'List Values'!$C$3:$D$6,2,FALSE)&amp;ROW(J188))="","",INDIRECT("'"&amp;J$86&amp;"'!"&amp;VLOOKUP(J$87,'List Values'!$C$3:$D$6,2,FALSE)&amp;ROW(J188))),IF(J$86&lt;&gt;"","Data Source Error",""))))</f>
        <v/>
      </c>
      <c r="L188" s="187"/>
      <c r="M188" s="580"/>
      <c r="N188" s="900" t="str">
        <f ca="1">IF(OR($H$7&lt;3,N$133&lt;3),"",IF(M188&lt;&gt;"",M188,IFERROR(IF(INDIRECT("'"&amp;M$86&amp;"'!"&amp;VLOOKUP(M$87,'List Values'!$C$3:$D$6,2,FALSE)&amp;ROW(M188))="","",INDIRECT("'"&amp;M$86&amp;"'!"&amp;VLOOKUP(M$87,'List Values'!$C$3:$D$6,2,FALSE)&amp;ROW(M188))),IF(M$86&lt;&gt;"","Data Source Error",""))))</f>
        <v/>
      </c>
      <c r="O188" s="187"/>
      <c r="P188" s="528"/>
      <c r="Q188" s="900" t="str">
        <f ca="1">IF(OR($H$7&lt;4,Q$133&lt;3),"",IF(P188&lt;&gt;"",P188,IFERROR(IF(INDIRECT("'"&amp;P$86&amp;"'!"&amp;VLOOKUP(P$87,'List Values'!$C$3:$D$6,2,FALSE)&amp;ROW(P188))="","",INDIRECT("'"&amp;P$86&amp;"'!"&amp;VLOOKUP(P$87,'List Values'!$C$3:$D$6,2,FALSE)&amp;ROW(P188))),IF(P$86&lt;&gt;"","Data Source Error",""))))</f>
        <v/>
      </c>
      <c r="S188" s="528"/>
      <c r="T188" s="900" t="str">
        <f ca="1">IF(OR($H$7&lt;5,T$133&lt;3),"",IF(S188&lt;&gt;"",S188,IFERROR(IF(INDIRECT("'"&amp;S$86&amp;"'!"&amp;VLOOKUP(S$87,'List Values'!$C$3:$D$6,2,FALSE)&amp;ROW(S188))="","",INDIRECT("'"&amp;S$86&amp;"'!"&amp;VLOOKUP(S$87,'List Values'!$C$3:$D$6,2,FALSE)&amp;ROW(S188))),IF(S$86&lt;&gt;"","Data Source Error",""))))</f>
        <v/>
      </c>
      <c r="V188" s="528"/>
      <c r="W188" s="911" t="str">
        <f ca="1">IF(OR($H$7&lt;6,W$133&lt;3),"",IF(V188&lt;&gt;"",V188,IFERROR(IF(INDIRECT("'"&amp;V$86&amp;"'!"&amp;VLOOKUP(V$87,'List Values'!$C$3:$D$6,2,FALSE)&amp;ROW(V188))="","",INDIRECT("'"&amp;V$86&amp;"'!"&amp;VLOOKUP(V$87,'List Values'!$C$3:$D$6,2,FALSE)&amp;ROW(V188))),IF(V$86&lt;&gt;"","Data Source Error",""))))</f>
        <v/>
      </c>
      <c r="Y188" s="2643"/>
      <c r="Z188" s="2644"/>
      <c r="AA188" s="2644"/>
      <c r="AB188" s="2645"/>
    </row>
    <row r="189" spans="1:28" ht="30.75" hidden="1" customHeight="1" outlineLevel="1">
      <c r="A189" s="252"/>
      <c r="B189" s="252"/>
      <c r="C189" s="2680" t="s">
        <v>2527</v>
      </c>
      <c r="D189" s="2680"/>
      <c r="E189" s="2041"/>
      <c r="F189" s="2041"/>
      <c r="G189" s="636"/>
      <c r="H189" s="637"/>
      <c r="I189" s="187"/>
      <c r="J189" s="580"/>
      <c r="K189" s="900" t="str">
        <f ca="1">IF(OR($H$7&lt;2,K$133&lt;3),"",IF(J189&lt;&gt;"",J189,IFERROR(IF(INDIRECT("'"&amp;J$86&amp;"'!"&amp;VLOOKUP(J$87,'List Values'!$C$3:$D$6,2,FALSE)&amp;ROW(J189))="","",INDIRECT("'"&amp;J$86&amp;"'!"&amp;VLOOKUP(J$87,'List Values'!$C$3:$D$6,2,FALSE)&amp;ROW(J189))),IF(J$86&lt;&gt;"","Data Source Error",""))))</f>
        <v/>
      </c>
      <c r="L189" s="187"/>
      <c r="M189" s="580"/>
      <c r="N189" s="900" t="str">
        <f ca="1">IF(OR($H$7&lt;3,N$133&lt;3),"",IF(M189&lt;&gt;"",M189,IFERROR(IF(INDIRECT("'"&amp;M$86&amp;"'!"&amp;VLOOKUP(M$87,'List Values'!$C$3:$D$6,2,FALSE)&amp;ROW(M189))="","",INDIRECT("'"&amp;M$86&amp;"'!"&amp;VLOOKUP(M$87,'List Values'!$C$3:$D$6,2,FALSE)&amp;ROW(M189))),IF(M$86&lt;&gt;"","Data Source Error",""))))</f>
        <v/>
      </c>
      <c r="O189" s="187"/>
      <c r="P189" s="528"/>
      <c r="Q189" s="900" t="str">
        <f ca="1">IF(OR($H$7&lt;4,Q$133&lt;3),"",IF(P189&lt;&gt;"",P189,IFERROR(IF(INDIRECT("'"&amp;P$86&amp;"'!"&amp;VLOOKUP(P$87,'List Values'!$C$3:$D$6,2,FALSE)&amp;ROW(P189))="","",INDIRECT("'"&amp;P$86&amp;"'!"&amp;VLOOKUP(P$87,'List Values'!$C$3:$D$6,2,FALSE)&amp;ROW(P189))),IF(P$86&lt;&gt;"","Data Source Error",""))))</f>
        <v/>
      </c>
      <c r="S189" s="528"/>
      <c r="T189" s="900" t="str">
        <f ca="1">IF(OR($H$7&lt;5,T$133&lt;3),"",IF(S189&lt;&gt;"",S189,IFERROR(IF(INDIRECT("'"&amp;S$86&amp;"'!"&amp;VLOOKUP(S$87,'List Values'!$C$3:$D$6,2,FALSE)&amp;ROW(S189))="","",INDIRECT("'"&amp;S$86&amp;"'!"&amp;VLOOKUP(S$87,'List Values'!$C$3:$D$6,2,FALSE)&amp;ROW(S189))),IF(S$86&lt;&gt;"","Data Source Error",""))))</f>
        <v/>
      </c>
      <c r="V189" s="528"/>
      <c r="W189" s="911" t="str">
        <f ca="1">IF(OR($H$7&lt;6,W$133&lt;3),"",IF(V189&lt;&gt;"",V189,IFERROR(IF(INDIRECT("'"&amp;V$86&amp;"'!"&amp;VLOOKUP(V$87,'List Values'!$C$3:$D$6,2,FALSE)&amp;ROW(V189))="","",INDIRECT("'"&amp;V$86&amp;"'!"&amp;VLOOKUP(V$87,'List Values'!$C$3:$D$6,2,FALSE)&amp;ROW(V189))),IF(V$86&lt;&gt;"","Data Source Error",""))))</f>
        <v/>
      </c>
      <c r="Y189" s="2643"/>
      <c r="Z189" s="2644"/>
      <c r="AA189" s="2644"/>
      <c r="AB189" s="2645"/>
    </row>
    <row r="190" spans="1:28" ht="30.75" hidden="1" customHeight="1" outlineLevel="1">
      <c r="A190" s="252"/>
      <c r="B190" s="252"/>
      <c r="C190" s="2680" t="s">
        <v>2528</v>
      </c>
      <c r="D190" s="2680"/>
      <c r="E190" s="2041"/>
      <c r="F190" s="2041"/>
      <c r="G190" s="636"/>
      <c r="H190" s="637"/>
      <c r="I190" s="187"/>
      <c r="J190" s="580"/>
      <c r="K190" s="900" t="str">
        <f ca="1">IF(OR($H$7&lt;2,K$133&lt;3),"",IF(J190&lt;&gt;"",J190,IFERROR(IF(INDIRECT("'"&amp;J$86&amp;"'!"&amp;VLOOKUP(J$87,'List Values'!$C$3:$D$6,2,FALSE)&amp;ROW(J190))="","",INDIRECT("'"&amp;J$86&amp;"'!"&amp;VLOOKUP(J$87,'List Values'!$C$3:$D$6,2,FALSE)&amp;ROW(J190))),IF(J$86&lt;&gt;"","Data Source Error",""))))</f>
        <v/>
      </c>
      <c r="L190" s="187"/>
      <c r="M190" s="580"/>
      <c r="N190" s="900" t="str">
        <f ca="1">IF(OR($H$7&lt;3,N$133&lt;3),"",IF(M190&lt;&gt;"",M190,IFERROR(IF(INDIRECT("'"&amp;M$86&amp;"'!"&amp;VLOOKUP(M$87,'List Values'!$C$3:$D$6,2,FALSE)&amp;ROW(M190))="","",INDIRECT("'"&amp;M$86&amp;"'!"&amp;VLOOKUP(M$87,'List Values'!$C$3:$D$6,2,FALSE)&amp;ROW(M190))),IF(M$86&lt;&gt;"","Data Source Error",""))))</f>
        <v/>
      </c>
      <c r="O190" s="187"/>
      <c r="P190" s="528"/>
      <c r="Q190" s="900" t="str">
        <f ca="1">IF(OR($H$7&lt;4,Q$133&lt;3),"",IF(P190&lt;&gt;"",P190,IFERROR(IF(INDIRECT("'"&amp;P$86&amp;"'!"&amp;VLOOKUP(P$87,'List Values'!$C$3:$D$6,2,FALSE)&amp;ROW(P190))="","",INDIRECT("'"&amp;P$86&amp;"'!"&amp;VLOOKUP(P$87,'List Values'!$C$3:$D$6,2,FALSE)&amp;ROW(P190))),IF(P$86&lt;&gt;"","Data Source Error",""))))</f>
        <v/>
      </c>
      <c r="S190" s="528"/>
      <c r="T190" s="900" t="str">
        <f ca="1">IF(OR($H$7&lt;5,T$133&lt;3),"",IF(S190&lt;&gt;"",S190,IFERROR(IF(INDIRECT("'"&amp;S$86&amp;"'!"&amp;VLOOKUP(S$87,'List Values'!$C$3:$D$6,2,FALSE)&amp;ROW(S190))="","",INDIRECT("'"&amp;S$86&amp;"'!"&amp;VLOOKUP(S$87,'List Values'!$C$3:$D$6,2,FALSE)&amp;ROW(S190))),IF(S$86&lt;&gt;"","Data Source Error",""))))</f>
        <v/>
      </c>
      <c r="V190" s="528"/>
      <c r="W190" s="911" t="str">
        <f ca="1">IF(OR($H$7&lt;6,W$133&lt;3),"",IF(V190&lt;&gt;"",V190,IFERROR(IF(INDIRECT("'"&amp;V$86&amp;"'!"&amp;VLOOKUP(V$87,'List Values'!$C$3:$D$6,2,FALSE)&amp;ROW(V190))="","",INDIRECT("'"&amp;V$86&amp;"'!"&amp;VLOOKUP(V$87,'List Values'!$C$3:$D$6,2,FALSE)&amp;ROW(V190))),IF(V$86&lt;&gt;"","Data Source Error",""))))</f>
        <v/>
      </c>
      <c r="Y190" s="2643"/>
      <c r="Z190" s="2644"/>
      <c r="AA190" s="2644"/>
      <c r="AB190" s="2645"/>
    </row>
    <row r="191" spans="1:28" ht="15.75" hidden="1" customHeight="1" outlineLevel="1">
      <c r="A191" s="252"/>
      <c r="B191" s="252"/>
      <c r="C191" s="2680" t="s">
        <v>650</v>
      </c>
      <c r="D191" s="2680"/>
      <c r="E191" s="2041"/>
      <c r="F191" s="2041"/>
      <c r="G191" s="636"/>
      <c r="H191" s="637"/>
      <c r="I191" s="187"/>
      <c r="J191" s="580"/>
      <c r="K191" s="900" t="str">
        <f ca="1">IF(OR($H$7&lt;2,K$133&lt;3),"",IF(J191&lt;&gt;"",J191,IFERROR(IF(INDIRECT("'"&amp;J$86&amp;"'!"&amp;VLOOKUP(J$87,'List Values'!$C$3:$D$6,2,FALSE)&amp;ROW(J191))="","",INDIRECT("'"&amp;J$86&amp;"'!"&amp;VLOOKUP(J$87,'List Values'!$C$3:$D$6,2,FALSE)&amp;ROW(J191))),IF(J$86&lt;&gt;"","Data Source Error",""))))</f>
        <v/>
      </c>
      <c r="L191" s="187"/>
      <c r="M191" s="580"/>
      <c r="N191" s="900" t="str">
        <f ca="1">IF(OR($H$7&lt;3,N$133&lt;3),"",IF(M191&lt;&gt;"",M191,IFERROR(IF(INDIRECT("'"&amp;M$86&amp;"'!"&amp;VLOOKUP(M$87,'List Values'!$C$3:$D$6,2,FALSE)&amp;ROW(M191))="","",INDIRECT("'"&amp;M$86&amp;"'!"&amp;VLOOKUP(M$87,'List Values'!$C$3:$D$6,2,FALSE)&amp;ROW(M191))),IF(M$86&lt;&gt;"","Data Source Error",""))))</f>
        <v/>
      </c>
      <c r="O191" s="187"/>
      <c r="P191" s="528"/>
      <c r="Q191" s="900" t="str">
        <f ca="1">IF(OR($H$7&lt;4,Q$133&lt;3),"",IF(P191&lt;&gt;"",P191,IFERROR(IF(INDIRECT("'"&amp;P$86&amp;"'!"&amp;VLOOKUP(P$87,'List Values'!$C$3:$D$6,2,FALSE)&amp;ROW(P191))="","",INDIRECT("'"&amp;P$86&amp;"'!"&amp;VLOOKUP(P$87,'List Values'!$C$3:$D$6,2,FALSE)&amp;ROW(P191))),IF(P$86&lt;&gt;"","Data Source Error",""))))</f>
        <v/>
      </c>
      <c r="S191" s="528"/>
      <c r="T191" s="900" t="str">
        <f ca="1">IF(OR($H$7&lt;5,T$133&lt;3),"",IF(S191&lt;&gt;"",S191,IFERROR(IF(INDIRECT("'"&amp;S$86&amp;"'!"&amp;VLOOKUP(S$87,'List Values'!$C$3:$D$6,2,FALSE)&amp;ROW(S191))="","",INDIRECT("'"&amp;S$86&amp;"'!"&amp;VLOOKUP(S$87,'List Values'!$C$3:$D$6,2,FALSE)&amp;ROW(S191))),IF(S$86&lt;&gt;"","Data Source Error",""))))</f>
        <v/>
      </c>
      <c r="V191" s="528"/>
      <c r="W191" s="911" t="str">
        <f ca="1">IF(OR($H$7&lt;6,W$133&lt;3),"",IF(V191&lt;&gt;"",V191,IFERROR(IF(INDIRECT("'"&amp;V$86&amp;"'!"&amp;VLOOKUP(V$87,'List Values'!$C$3:$D$6,2,FALSE)&amp;ROW(V191))="","",INDIRECT("'"&amp;V$86&amp;"'!"&amp;VLOOKUP(V$87,'List Values'!$C$3:$D$6,2,FALSE)&amp;ROW(V191))),IF(V$86&lt;&gt;"","Data Source Error",""))))</f>
        <v/>
      </c>
      <c r="Y191" s="2643"/>
      <c r="Z191" s="2644"/>
      <c r="AA191" s="2644"/>
      <c r="AB191" s="2645"/>
    </row>
    <row r="192" spans="1:28" ht="30.75" hidden="1" customHeight="1" outlineLevel="1">
      <c r="A192" s="252"/>
      <c r="B192" s="252"/>
      <c r="C192" s="2680" t="s">
        <v>651</v>
      </c>
      <c r="D192" s="2680"/>
      <c r="E192" s="2041"/>
      <c r="F192" s="2041"/>
      <c r="G192" s="636"/>
      <c r="H192" s="637"/>
      <c r="I192" s="184"/>
      <c r="J192" s="624"/>
      <c r="K192" s="941" t="str">
        <f ca="1">IF(OR($H$7&lt;2,K$133&lt;3),"",IF(J192&lt;&gt;"",J192,IFERROR(IF(INDIRECT("'"&amp;J$86&amp;"'!"&amp;VLOOKUP(J$87,'List Values'!$C$3:$D$6,2,FALSE)&amp;ROW(J192))="","",INDIRECT("'"&amp;J$86&amp;"'!"&amp;VLOOKUP(J$87,'List Values'!$C$3:$D$6,2,FALSE)&amp;ROW(J192))),IF(J$86&lt;&gt;"","Data Source Error",""))))</f>
        <v/>
      </c>
      <c r="L192" s="184"/>
      <c r="M192" s="624"/>
      <c r="N192" s="941" t="str">
        <f ca="1">IF(OR($H$7&lt;3,N$133&lt;3),"",IF(M192&lt;&gt;"",M192,IFERROR(IF(INDIRECT("'"&amp;M$86&amp;"'!"&amp;VLOOKUP(M$87,'List Values'!$C$3:$D$6,2,FALSE)&amp;ROW(M192))="","",INDIRECT("'"&amp;M$86&amp;"'!"&amp;VLOOKUP(M$87,'List Values'!$C$3:$D$6,2,FALSE)&amp;ROW(M192))),IF(M$86&lt;&gt;"","Data Source Error",""))))</f>
        <v/>
      </c>
      <c r="O192" s="184"/>
      <c r="P192" s="528"/>
      <c r="Q192" s="941" t="str">
        <f ca="1">IF(OR($H$7&lt;4,Q$133&lt;3),"",IF(P192&lt;&gt;"",P192,IFERROR(IF(INDIRECT("'"&amp;P$86&amp;"'!"&amp;VLOOKUP(P$87,'List Values'!$C$3:$D$6,2,FALSE)&amp;ROW(P192))="","",INDIRECT("'"&amp;P$86&amp;"'!"&amp;VLOOKUP(P$87,'List Values'!$C$3:$D$6,2,FALSE)&amp;ROW(P192))),IF(P$86&lt;&gt;"","Data Source Error",""))))</f>
        <v/>
      </c>
      <c r="S192" s="528"/>
      <c r="T192" s="941" t="str">
        <f ca="1">IF(OR($H$7&lt;5,T$133&lt;3),"",IF(S192&lt;&gt;"",S192,IFERROR(IF(INDIRECT("'"&amp;S$86&amp;"'!"&amp;VLOOKUP(S$87,'List Values'!$C$3:$D$6,2,FALSE)&amp;ROW(S192))="","",INDIRECT("'"&amp;S$86&amp;"'!"&amp;VLOOKUP(S$87,'List Values'!$C$3:$D$6,2,FALSE)&amp;ROW(S192))),IF(S$86&lt;&gt;"","Data Source Error",""))))</f>
        <v/>
      </c>
      <c r="V192" s="528"/>
      <c r="W192" s="947" t="str">
        <f ca="1">IF(OR($H$7&lt;6,W$133&lt;3),"",IF(V192&lt;&gt;"",V192,IFERROR(IF(INDIRECT("'"&amp;V$86&amp;"'!"&amp;VLOOKUP(V$87,'List Values'!$C$3:$D$6,2,FALSE)&amp;ROW(V192))="","",INDIRECT("'"&amp;V$86&amp;"'!"&amp;VLOOKUP(V$87,'List Values'!$C$3:$D$6,2,FALSE)&amp;ROW(V192))),IF(V$86&lt;&gt;"","Data Source Error",""))))</f>
        <v/>
      </c>
      <c r="Y192" s="2643"/>
      <c r="Z192" s="2644"/>
      <c r="AA192" s="2644"/>
      <c r="AB192" s="2645"/>
    </row>
    <row r="193" spans="1:28" ht="30.75" hidden="1" customHeight="1" outlineLevel="1">
      <c r="A193" s="237"/>
      <c r="B193" s="511"/>
      <c r="C193" s="2680" t="s">
        <v>684</v>
      </c>
      <c r="D193" s="2680"/>
      <c r="E193" s="494"/>
      <c r="F193" s="494"/>
      <c r="G193" s="642"/>
      <c r="H193" s="643"/>
      <c r="I193" s="236"/>
      <c r="J193" s="583"/>
      <c r="K193" s="968" t="str">
        <f ca="1">IF(OR($H$7&lt;2,K$133&lt;3),"",IF(J193&lt;&gt;"",J193,IFERROR(IF(INDIRECT("'"&amp;J$86&amp;"'!"&amp;VLOOKUP(J$87,'List Values'!$C$3:$D$6,2,FALSE)&amp;ROW(J193))="","",INDIRECT("'"&amp;J$86&amp;"'!"&amp;VLOOKUP(J$87,'List Values'!$C$3:$D$6,2,FALSE)&amp;ROW(J193))),IF(J$86&lt;&gt;"","Data Source Error",""))))</f>
        <v/>
      </c>
      <c r="L193" s="236"/>
      <c r="M193" s="583"/>
      <c r="N193" s="968" t="str">
        <f ca="1">IF(OR($H$7&lt;3,N$133&lt;3),"",IF(M193&lt;&gt;"",M193,IFERROR(IF(INDIRECT("'"&amp;M$86&amp;"'!"&amp;VLOOKUP(M$87,'List Values'!$C$3:$D$6,2,FALSE)&amp;ROW(M193))="","",INDIRECT("'"&amp;M$86&amp;"'!"&amp;VLOOKUP(M$87,'List Values'!$C$3:$D$6,2,FALSE)&amp;ROW(M193))),IF(M$86&lt;&gt;"","Data Source Error",""))))</f>
        <v/>
      </c>
      <c r="O193" s="236"/>
      <c r="P193" s="582"/>
      <c r="Q193" s="968" t="str">
        <f ca="1">IF(OR($H$7&lt;4,Q$133&lt;3),"",IF(P193&lt;&gt;"",P193,IFERROR(IF(INDIRECT("'"&amp;P$86&amp;"'!"&amp;VLOOKUP(P$87,'List Values'!$C$3:$D$6,2,FALSE)&amp;ROW(P193))="","",INDIRECT("'"&amp;P$86&amp;"'!"&amp;VLOOKUP(P$87,'List Values'!$C$3:$D$6,2,FALSE)&amp;ROW(P193))),IF(P$86&lt;&gt;"","Data Source Error",""))))</f>
        <v/>
      </c>
      <c r="R193" s="236"/>
      <c r="S193" s="582"/>
      <c r="T193" s="968" t="str">
        <f ca="1">IF(OR($H$7&lt;5,T$133&lt;3),"",IF(S193&lt;&gt;"",S193,IFERROR(IF(INDIRECT("'"&amp;S$86&amp;"'!"&amp;VLOOKUP(S$87,'List Values'!$C$3:$D$6,2,FALSE)&amp;ROW(S193))="","",INDIRECT("'"&amp;S$86&amp;"'!"&amp;VLOOKUP(S$87,'List Values'!$C$3:$D$6,2,FALSE)&amp;ROW(S193))),IF(S$86&lt;&gt;"","Data Source Error",""))))</f>
        <v/>
      </c>
      <c r="U193" s="236"/>
      <c r="V193" s="582"/>
      <c r="W193" s="977" t="str">
        <f ca="1">IF(OR($H$7&lt;6,W$133&lt;3),"",IF(V193&lt;&gt;"",V193,IFERROR(IF(INDIRECT("'"&amp;V$86&amp;"'!"&amp;VLOOKUP(V$87,'List Values'!$C$3:$D$6,2,FALSE)&amp;ROW(V193))="","",INDIRECT("'"&amp;V$86&amp;"'!"&amp;VLOOKUP(V$87,'List Values'!$C$3:$D$6,2,FALSE)&amp;ROW(V193))),IF(V$86&lt;&gt;"","Data Source Error",""))))</f>
        <v/>
      </c>
      <c r="Y193" s="2657"/>
      <c r="Z193" s="2658"/>
      <c r="AA193" s="2658"/>
      <c r="AB193" s="2659"/>
    </row>
    <row r="194" spans="1:28" ht="27" customHeight="1">
      <c r="A194" s="212"/>
      <c r="B194" s="1211"/>
      <c r="C194" s="1212"/>
      <c r="D194" s="1212"/>
      <c r="E194" s="1212"/>
      <c r="F194" s="1211"/>
      <c r="G194" s="1213"/>
      <c r="H194" s="1214"/>
      <c r="I194" s="1211"/>
      <c r="J194" s="1215"/>
      <c r="K194" s="1214"/>
      <c r="L194" s="1211"/>
      <c r="M194" s="1215"/>
      <c r="N194" s="1214"/>
      <c r="O194" s="1211"/>
      <c r="P194" s="1215"/>
      <c r="Q194" s="1214"/>
      <c r="R194" s="1211"/>
      <c r="S194" s="1215"/>
      <c r="T194" s="1214"/>
      <c r="U194" s="1211"/>
      <c r="V194" s="1215"/>
      <c r="W194" s="1214"/>
    </row>
    <row r="195" spans="1:28" ht="25.5" customHeight="1" collapsed="1">
      <c r="B195" s="2727" t="s">
        <v>2530</v>
      </c>
      <c r="C195" s="2727"/>
      <c r="D195" s="2727"/>
      <c r="E195" s="2727"/>
      <c r="F195" s="2727"/>
      <c r="G195" s="2727"/>
      <c r="H195" s="2727"/>
      <c r="I195" s="596"/>
      <c r="J195" s="2683" t="str">
        <f ca="1">H88&amp;" to "&amp;K88</f>
        <v>CMS to Regional WH</v>
      </c>
      <c r="K195" s="2683"/>
      <c r="L195" s="1219"/>
      <c r="M195" s="2683" t="str">
        <f ca="1">K88&amp;" to "&amp;N88</f>
        <v>Regional WH to Health Facility</v>
      </c>
      <c r="N195" s="2683"/>
      <c r="O195" s="1219"/>
      <c r="P195" s="2683" t="str">
        <f ca="1">N88&amp;" to "&amp;Q88</f>
        <v xml:space="preserve">Health Facility to </v>
      </c>
      <c r="Q195" s="2683"/>
      <c r="R195" s="1219"/>
      <c r="S195" s="2683" t="str">
        <f ca="1">Q88&amp;" to "&amp;T88</f>
        <v xml:space="preserve"> to </v>
      </c>
      <c r="T195" s="2683"/>
      <c r="U195" s="1219"/>
      <c r="V195" s="2683" t="str">
        <f ca="1">T88&amp;" to "&amp;W88</f>
        <v xml:space="preserve"> to </v>
      </c>
      <c r="W195" s="2683"/>
    </row>
    <row r="196" spans="1:28" ht="9.75" hidden="1" customHeight="1" outlineLevel="1">
      <c r="B196" s="2727"/>
      <c r="C196" s="2727"/>
      <c r="D196" s="2727"/>
      <c r="E196" s="2727"/>
      <c r="F196" s="2727"/>
      <c r="G196" s="2727"/>
      <c r="H196" s="2727"/>
      <c r="I196" s="596"/>
      <c r="J196" s="594"/>
      <c r="K196" s="594"/>
      <c r="L196" s="596"/>
      <c r="M196" s="594"/>
      <c r="N196" s="594"/>
      <c r="O196" s="596"/>
      <c r="P196" s="594"/>
      <c r="Q196" s="594"/>
      <c r="R196" s="594"/>
      <c r="S196" s="594"/>
      <c r="T196" s="594"/>
      <c r="U196" s="594"/>
      <c r="V196" s="594"/>
      <c r="W196" s="594"/>
      <c r="Y196" s="2619" t="s">
        <v>673</v>
      </c>
      <c r="Z196" s="2620"/>
      <c r="AA196" s="2620"/>
      <c r="AB196" s="2621"/>
    </row>
    <row r="197" spans="1:28" ht="32.15" hidden="1" customHeight="1" outlineLevel="1">
      <c r="A197" s="1"/>
      <c r="B197" s="2685" t="s">
        <v>2518</v>
      </c>
      <c r="C197" s="2685"/>
      <c r="D197" s="2685"/>
      <c r="E197" s="1691"/>
      <c r="F197" s="1691"/>
      <c r="G197" s="646"/>
      <c r="H197" s="647"/>
      <c r="I197" s="1216"/>
      <c r="J197" s="766"/>
      <c r="K197" s="1217">
        <f ca="1">IF($H$7&lt;2,0,IF(J197&lt;&gt;"",J197,IFERROR(IF(INDIRECT("'"&amp;J$86&amp;"'!"&amp;VLOOKUP(J$87,'List Values'!$C$3:$D$6,2,FALSE)&amp;ROW(J197))="",0,INDIRECT("'"&amp;J$86&amp;"'!"&amp;VLOOKUP(J$87,'List Values'!$C$3:$D$6,2,FALSE)&amp;ROW(J197))),IF(J$86&lt;&gt;"","Data Source Error",0))))</f>
        <v>0</v>
      </c>
      <c r="L197" s="1216"/>
      <c r="M197" s="766"/>
      <c r="N197" s="1217">
        <f ca="1">IF($H$7&lt;3,0,IF(M197&lt;&gt;"",M197,IFERROR(IF(INDIRECT("'"&amp;M$86&amp;"'!"&amp;VLOOKUP(M$87,'List Values'!$C$3:$D$6,2,FALSE)&amp;ROW(M197))="",0,INDIRECT("'"&amp;M$86&amp;"'!"&amp;VLOOKUP(M$87,'List Values'!$C$3:$D$6,2,FALSE)&amp;ROW(M197))),IF(M$86&lt;&gt;"","Data Source Error",0))))</f>
        <v>1</v>
      </c>
      <c r="O197" s="236"/>
      <c r="P197" s="767">
        <v>3</v>
      </c>
      <c r="Q197" s="1217">
        <f ca="1">IF($H$7&lt;4,0,IF(P197&lt;&gt;"",P197,IFERROR(IF(INDIRECT("'"&amp;P$86&amp;"'!"&amp;VLOOKUP(P$87,'List Values'!$C$3:$D$6,2,FALSE)&amp;ROW(P197))="",0,INDIRECT("'"&amp;P$86&amp;"'!"&amp;VLOOKUP(P$87,'List Values'!$C$3:$D$6,2,FALSE)&amp;ROW(P197))),IF(P$86&lt;&gt;"","Data Source Error",0))))</f>
        <v>0</v>
      </c>
      <c r="R197" s="236"/>
      <c r="S197" s="767">
        <v>3</v>
      </c>
      <c r="T197" s="1217">
        <f ca="1">IF($H$7&lt;5,0,IF(S197&lt;&gt;"",S197,IFERROR(IF(INDIRECT("'"&amp;S$86&amp;"'!"&amp;VLOOKUP(S$87,'List Values'!$C$3:$D$6,2,FALSE)&amp;ROW(S197))="",0,INDIRECT("'"&amp;S$86&amp;"'!"&amp;VLOOKUP(S$87,'List Values'!$C$3:$D$6,2,FALSE)&amp;ROW(S197))),IF(S$86&lt;&gt;"","Data Source Error",0))))</f>
        <v>0</v>
      </c>
      <c r="U197" s="236"/>
      <c r="V197" s="767">
        <v>3</v>
      </c>
      <c r="W197" s="1218">
        <f ca="1">IF($H$7&lt;6,0,IF(V197&lt;&gt;"",V197,IFERROR(IF(INDIRECT("'"&amp;V$86&amp;"'!"&amp;VLOOKUP(V$87,'List Values'!$C$3:$D$6,2,FALSE)&amp;ROW(V197))="",0,INDIRECT("'"&amp;V$86&amp;"'!"&amp;VLOOKUP(V$87,'List Values'!$C$3:$D$6,2,FALSE)&amp;ROW(V197))),IF(V$86&lt;&gt;"","Data Source Error",0))))</f>
        <v>0</v>
      </c>
      <c r="Y197" s="2643"/>
      <c r="Z197" s="2644"/>
      <c r="AA197" s="2644"/>
      <c r="AB197" s="2645"/>
    </row>
    <row r="198" spans="1:28" ht="21" customHeight="1" collapsed="1">
      <c r="A198" s="1"/>
      <c r="B198" s="2049" t="s">
        <v>616</v>
      </c>
      <c r="C198" s="607"/>
      <c r="D198" s="607"/>
      <c r="E198" s="607"/>
      <c r="F198" s="607"/>
      <c r="G198" s="607"/>
      <c r="H198" s="607"/>
      <c r="I198" s="609"/>
      <c r="J198" s="606"/>
      <c r="K198" s="961"/>
      <c r="L198" s="609"/>
      <c r="M198" s="606"/>
      <c r="N198" s="961"/>
      <c r="O198" s="608"/>
      <c r="P198" s="613"/>
      <c r="Q198" s="961"/>
      <c r="R198" s="608"/>
      <c r="S198" s="613"/>
      <c r="T198" s="961"/>
      <c r="U198" s="608"/>
      <c r="V198" s="613"/>
      <c r="W198" s="961"/>
      <c r="Y198" s="631"/>
      <c r="Z198" s="631"/>
      <c r="AA198" s="631"/>
      <c r="AB198" s="631"/>
    </row>
    <row r="199" spans="1:28" ht="15.75" hidden="1" customHeight="1" outlineLevel="1">
      <c r="A199" s="512"/>
      <c r="B199" s="2051"/>
      <c r="C199" s="2580" t="s">
        <v>731</v>
      </c>
      <c r="D199" s="2580"/>
      <c r="E199" s="202"/>
      <c r="F199" s="202"/>
      <c r="G199" s="634"/>
      <c r="H199" s="635"/>
      <c r="I199" s="183"/>
      <c r="J199" s="628"/>
      <c r="K199" s="967" t="str">
        <f ca="1">IF(OR($H$7&lt;2,K$197&lt;1),"",IF(J199&lt;&gt;"",J199,IFERROR(IF(INDIRECT("'"&amp;J$86&amp;"'!"&amp;VLOOKUP(J$87,'List Values'!$C$3:$D$6,2,FALSE)&amp;ROW(J199))="","",INDIRECT("'"&amp;J$86&amp;"'!"&amp;VLOOKUP(J$87,'List Values'!$C$3:$D$6,2,FALSE)&amp;ROW(J199))),IF(J$86&lt;&gt;"","Data Source Error",""))))</f>
        <v/>
      </c>
      <c r="L199" s="629"/>
      <c r="M199" s="628"/>
      <c r="N199" s="967">
        <f ca="1">IF(OR($H$7&lt;3,N$197&lt;1),"",IF(M199&lt;&gt;"",M199,IFERROR(IF(INDIRECT("'"&amp;M$86&amp;"'!"&amp;VLOOKUP(M$87,'List Values'!$C$3:$D$6,2,FALSE)&amp;ROW(M199))="","",INDIRECT("'"&amp;M$86&amp;"'!"&amp;VLOOKUP(M$87,'List Values'!$C$3:$D$6,2,FALSE)&amp;ROW(M199))),IF(M$86&lt;&gt;"","Data Source Error",""))))</f>
        <v>1</v>
      </c>
      <c r="O199" s="629"/>
      <c r="P199" s="628"/>
      <c r="Q199" s="967" t="str">
        <f ca="1">IF(OR($H$7&lt;4,Q$197&lt;1),"",IF(P199&lt;&gt;"",P199,IFERROR(IF(INDIRECT("'"&amp;P$86&amp;"'!"&amp;VLOOKUP(P$87,'List Values'!$C$3:$D$6,2,FALSE)&amp;ROW(P199))="","",INDIRECT("'"&amp;P$86&amp;"'!"&amp;VLOOKUP(P$87,'List Values'!$C$3:$D$6,2,FALSE)&amp;ROW(P199))),IF(P$86&lt;&gt;"","Data Source Error",""))))</f>
        <v/>
      </c>
      <c r="R199" s="147"/>
      <c r="S199" s="628"/>
      <c r="T199" s="967" t="str">
        <f ca="1">IF(OR($H$7&lt;5,T$197&lt;1),"",IF(S199&lt;&gt;"",S199,IFERROR(IF(INDIRECT("'"&amp;S$86&amp;"'!"&amp;VLOOKUP(S$87,'List Values'!$C$3:$D$6,2,FALSE)&amp;ROW(S199))="","",INDIRECT("'"&amp;S$86&amp;"'!"&amp;VLOOKUP(S$87,'List Values'!$C$3:$D$6,2,FALSE)&amp;ROW(S199))),IF(S$86&lt;&gt;"","Data Source Error",""))))</f>
        <v/>
      </c>
      <c r="U199" s="147"/>
      <c r="V199" s="628"/>
      <c r="W199" s="973" t="str">
        <f ca="1">IF(OR($H$7&lt;6,W$197&lt;1),"",IF(V199&lt;&gt;"",V199,IFERROR(IF(INDIRECT("'"&amp;V$86&amp;"'!"&amp;VLOOKUP(V$87,'List Values'!$C$3:$D$6,2,FALSE)&amp;ROW(V199))="","",INDIRECT("'"&amp;V$86&amp;"'!"&amp;VLOOKUP(V$87,'List Values'!$C$3:$D$6,2,FALSE)&amp;ROW(V199))),IF(V$86&lt;&gt;"","Data Source Error",""))))</f>
        <v/>
      </c>
      <c r="Y199" s="2643"/>
      <c r="Z199" s="2644"/>
      <c r="AA199" s="2644"/>
      <c r="AB199" s="2645"/>
    </row>
    <row r="200" spans="1:28" ht="15.65" hidden="1" customHeight="1" outlineLevel="1">
      <c r="A200" s="512"/>
      <c r="B200" s="2051"/>
      <c r="C200" s="2680" t="s">
        <v>626</v>
      </c>
      <c r="D200" s="2680"/>
      <c r="E200" s="2041"/>
      <c r="F200" s="2041"/>
      <c r="G200" s="636"/>
      <c r="H200" s="637"/>
      <c r="I200" s="187"/>
      <c r="J200" s="526"/>
      <c r="K200" s="979" t="str">
        <f ca="1">IF(OR($H$7&lt;2,K$197&lt;1),"",IF(J200&lt;&gt;"",J200,IFERROR(IF(INDIRECT("'"&amp;J$86&amp;"'!"&amp;VLOOKUP(J$87,'List Values'!$C$3:$D$6,2,FALSE)&amp;ROW(J200))="","",INDIRECT("'"&amp;J$86&amp;"'!"&amp;VLOOKUP(J$87,'List Values'!$C$3:$D$6,2,FALSE)&amp;ROW(J200))),IF(J$86&lt;&gt;"","Data Source Error",""))))</f>
        <v/>
      </c>
      <c r="L200" s="187"/>
      <c r="M200" s="526"/>
      <c r="N200" s="900" t="str">
        <f ca="1">IF(OR($H$7&lt;3,N$197&lt;1),"",IF(M200&lt;&gt;"",M200,IFERROR(IF(INDIRECT("'"&amp;M$86&amp;"'!"&amp;VLOOKUP(M$87,'List Values'!$C$3:$D$6,2,FALSE)&amp;ROW(M200))="","",INDIRECT("'"&amp;M$86&amp;"'!"&amp;VLOOKUP(M$87,'List Values'!$C$3:$D$6,2,FALSE)&amp;ROW(M200))),IF(M$86&lt;&gt;"","Data Source Error",""))))</f>
        <v>Car/Sport Utility/Consumer Vehicle</v>
      </c>
      <c r="O200" s="187"/>
      <c r="P200" s="526"/>
      <c r="Q200" s="900" t="str">
        <f ca="1">IF(OR($H$7&lt;4,Q$197&lt;1),"",IF(P200&lt;&gt;"",P200,IFERROR(IF(INDIRECT("'"&amp;P$86&amp;"'!"&amp;VLOOKUP(P$87,'List Values'!$C$3:$D$6,2,FALSE)&amp;ROW(P200))="","",INDIRECT("'"&amp;P$86&amp;"'!"&amp;VLOOKUP(P$87,'List Values'!$C$3:$D$6,2,FALSE)&amp;ROW(P200))),IF(P$86&lt;&gt;"","Data Source Error",""))))</f>
        <v/>
      </c>
      <c r="S200" s="526"/>
      <c r="T200" s="900" t="str">
        <f ca="1">IF(OR($H$7&lt;5,T$197&lt;1),"",IF(S200&lt;&gt;"",S200,IFERROR(IF(INDIRECT("'"&amp;S$86&amp;"'!"&amp;VLOOKUP(S$87,'List Values'!$C$3:$D$6,2,FALSE)&amp;ROW(S200))="","",INDIRECT("'"&amp;S$86&amp;"'!"&amp;VLOOKUP(S$87,'List Values'!$C$3:$D$6,2,FALSE)&amp;ROW(S200))),IF(S$86&lt;&gt;"","Data Source Error",""))))</f>
        <v/>
      </c>
      <c r="V200" s="526"/>
      <c r="W200" s="911" t="str">
        <f ca="1">IF(OR($H$7&lt;6,W$197&lt;1),"",IF(V200&lt;&gt;"",V200,IFERROR(IF(INDIRECT("'"&amp;V$86&amp;"'!"&amp;VLOOKUP(V$87,'List Values'!$C$3:$D$6,2,FALSE)&amp;ROW(V200))="","",INDIRECT("'"&amp;V$86&amp;"'!"&amp;VLOOKUP(V$87,'List Values'!$C$3:$D$6,2,FALSE)&amp;ROW(V200))),IF(V$86&lt;&gt;"","Data Source Error",""))))</f>
        <v/>
      </c>
      <c r="Y200" s="2643"/>
      <c r="Z200" s="2644"/>
      <c r="AA200" s="2644"/>
      <c r="AB200" s="2645"/>
    </row>
    <row r="201" spans="1:28" ht="31.5" hidden="1" customHeight="1" outlineLevel="1">
      <c r="A201" s="512"/>
      <c r="B201" s="2051"/>
      <c r="C201" s="2680" t="s">
        <v>2520</v>
      </c>
      <c r="D201" s="2680"/>
      <c r="E201" s="2041"/>
      <c r="F201" s="2041"/>
      <c r="G201" s="636"/>
      <c r="H201" s="637"/>
      <c r="I201" s="187"/>
      <c r="J201" s="561" t="s">
        <v>218</v>
      </c>
      <c r="K201" s="900" t="str">
        <f ca="1">IF(OR($H$7&lt;2,K$197&lt;1),"",IF(J201&lt;&gt;"",J201,IFERROR(IF(INDIRECT("'"&amp;J$86&amp;"'!"&amp;VLOOKUP(J$87,'List Values'!$C$3:$D$6,2,FALSE)&amp;ROW(J201))="","",INDIRECT("'"&amp;J$86&amp;"'!"&amp;VLOOKUP(J$87,'List Values'!$C$3:$D$6,2,FALSE)&amp;ROW(J201))),IF(J$86&lt;&gt;"","Data Source Error",""))))</f>
        <v/>
      </c>
      <c r="L201" s="187"/>
      <c r="M201" s="561"/>
      <c r="N201" s="900" t="str">
        <f ca="1">IF(OR($H$7&lt;3,N$197&lt;1),"",IF(M201&lt;&gt;"",M201,IFERROR(IF(INDIRECT("'"&amp;M$86&amp;"'!"&amp;VLOOKUP(M$87,'List Values'!$C$3:$D$6,2,FALSE)&amp;ROW(M201))="","",INDIRECT("'"&amp;M$86&amp;"'!"&amp;VLOOKUP(M$87,'List Values'!$C$3:$D$6,2,FALSE)&amp;ROW(M201))),IF(M$86&lt;&gt;"","Data Source Error",""))))</f>
        <v>Owned</v>
      </c>
      <c r="O201" s="187"/>
      <c r="P201" s="561"/>
      <c r="Q201" s="900" t="str">
        <f ca="1">IF(OR($H$7&lt;4,Q$197&lt;1),"",IF(P201&lt;&gt;"",P201,IFERROR(IF(INDIRECT("'"&amp;P$86&amp;"'!"&amp;VLOOKUP(P$87,'List Values'!$C$3:$D$6,2,FALSE)&amp;ROW(P201))="","",INDIRECT("'"&amp;P$86&amp;"'!"&amp;VLOOKUP(P$87,'List Values'!$C$3:$D$6,2,FALSE)&amp;ROW(P201))),IF(P$86&lt;&gt;"","Data Source Error",""))))</f>
        <v/>
      </c>
      <c r="S201" s="561"/>
      <c r="T201" s="900" t="str">
        <f ca="1">IF(OR($H$7&lt;5,T$197&lt;1),"",IF(S201&lt;&gt;"",S201,IFERROR(IF(INDIRECT("'"&amp;S$86&amp;"'!"&amp;VLOOKUP(S$87,'List Values'!$C$3:$D$6,2,FALSE)&amp;ROW(S201))="","",INDIRECT("'"&amp;S$86&amp;"'!"&amp;VLOOKUP(S$87,'List Values'!$C$3:$D$6,2,FALSE)&amp;ROW(S201))),IF(S$86&lt;&gt;"","Data Source Error",""))))</f>
        <v/>
      </c>
      <c r="V201" s="561"/>
      <c r="W201" s="911" t="str">
        <f ca="1">IF(OR($H$7&lt;6,W$197&lt;1),"",IF(V201&lt;&gt;"",V201,IFERROR(IF(INDIRECT("'"&amp;V$86&amp;"'!"&amp;VLOOKUP(V$87,'List Values'!$C$3:$D$6,2,FALSE)&amp;ROW(V201))="","",INDIRECT("'"&amp;V$86&amp;"'!"&amp;VLOOKUP(V$87,'List Values'!$C$3:$D$6,2,FALSE)&amp;ROW(V201))),IF(V$86&lt;&gt;"","Data Source Error",""))))</f>
        <v/>
      </c>
      <c r="Y201" s="2643"/>
      <c r="Z201" s="2644"/>
      <c r="AA201" s="2644"/>
      <c r="AB201" s="2645"/>
    </row>
    <row r="202" spans="1:28" ht="31.5" hidden="1" customHeight="1" outlineLevel="1">
      <c r="A202" s="512"/>
      <c r="B202" s="2051"/>
      <c r="C202" s="2684" t="s">
        <v>726</v>
      </c>
      <c r="D202" s="2684"/>
      <c r="E202" s="2041"/>
      <c r="F202" s="2041"/>
      <c r="G202" s="636"/>
      <c r="H202" s="637"/>
      <c r="I202" s="187"/>
      <c r="J202" s="526"/>
      <c r="K202" s="900" t="str">
        <f ca="1">IF(OR($H$7&lt;2,K$197&lt;1),"",IF(J202&lt;&gt;"",J202,IFERROR(IF(INDIRECT("'"&amp;J$86&amp;"'!"&amp;VLOOKUP(J$87,'List Values'!$C$3:$D$6,2,FALSE)&amp;ROW(J202))="","",INDIRECT("'"&amp;J$86&amp;"'!"&amp;VLOOKUP(J$87,'List Values'!$C$3:$D$6,2,FALSE)&amp;ROW(J202))),IF(J$86&lt;&gt;"","Data Source Error",""))))</f>
        <v/>
      </c>
      <c r="L202" s="187"/>
      <c r="M202" s="526"/>
      <c r="N202" s="900" t="str">
        <f ca="1">IF(OR($H$7&lt;3,N$197&lt;1),"",IF(M202&lt;&gt;"",M202,IFERROR(IF(INDIRECT("'"&amp;M$86&amp;"'!"&amp;VLOOKUP(M$87,'List Values'!$C$3:$D$6,2,FALSE)&amp;ROW(M202))="","",INDIRECT("'"&amp;M$86&amp;"'!"&amp;VLOOKUP(M$87,'List Values'!$C$3:$D$6,2,FALSE)&amp;ROW(M202))),IF(M$86&lt;&gt;"","Data Source Error",""))))</f>
        <v>#</v>
      </c>
      <c r="O202" s="187"/>
      <c r="P202" s="526"/>
      <c r="Q202" s="900" t="str">
        <f ca="1">IF(OR($H$7&lt;4,Q$197&lt;1),"",IF(P202&lt;&gt;"",P202,IFERROR(IF(INDIRECT("'"&amp;P$86&amp;"'!"&amp;VLOOKUP(P$87,'List Values'!$C$3:$D$6,2,FALSE)&amp;ROW(P202))="","",INDIRECT("'"&amp;P$86&amp;"'!"&amp;VLOOKUP(P$87,'List Values'!$C$3:$D$6,2,FALSE)&amp;ROW(P202))),IF(P$86&lt;&gt;"","Data Source Error",""))))</f>
        <v/>
      </c>
      <c r="S202" s="526"/>
      <c r="T202" s="900" t="str">
        <f ca="1">IF(OR($H$7&lt;5,T$197&lt;1),"",IF(S202&lt;&gt;"",S202,IFERROR(IF(INDIRECT("'"&amp;S$86&amp;"'!"&amp;VLOOKUP(S$87,'List Values'!$C$3:$D$6,2,FALSE)&amp;ROW(S202))="","",INDIRECT("'"&amp;S$86&amp;"'!"&amp;VLOOKUP(S$87,'List Values'!$C$3:$D$6,2,FALSE)&amp;ROW(S202))),IF(S$86&lt;&gt;"","Data Source Error",""))))</f>
        <v/>
      </c>
      <c r="V202" s="526"/>
      <c r="W202" s="911" t="str">
        <f ca="1">IF(OR($H$7&lt;6,W$197&lt;1),"",IF(V202&lt;&gt;"",V202,IFERROR(IF(INDIRECT("'"&amp;V$86&amp;"'!"&amp;VLOOKUP(V$87,'List Values'!$C$3:$D$6,2,FALSE)&amp;ROW(V202))="","",INDIRECT("'"&amp;V$86&amp;"'!"&amp;VLOOKUP(V$87,'List Values'!$C$3:$D$6,2,FALSE)&amp;ROW(V202))),IF(V$86&lt;&gt;"","Data Source Error",""))))</f>
        <v/>
      </c>
      <c r="Y202" s="2643"/>
      <c r="Z202" s="2644"/>
      <c r="AA202" s="2644"/>
      <c r="AB202" s="2645"/>
    </row>
    <row r="203" spans="1:28" ht="31.5" hidden="1" customHeight="1" outlineLevel="1">
      <c r="A203" s="512"/>
      <c r="B203" s="2051"/>
      <c r="C203" s="2684" t="s">
        <v>727</v>
      </c>
      <c r="D203" s="2684"/>
      <c r="E203" s="2041"/>
      <c r="F203" s="2041"/>
      <c r="G203" s="636"/>
      <c r="H203" s="637"/>
      <c r="I203" s="187"/>
      <c r="J203" s="568"/>
      <c r="K203" s="945" t="str">
        <f ca="1">IF(OR($H$7&lt;2,K$197&lt;1),"",IF(J203&lt;&gt;"",J203,IFERROR(IF(INDIRECT("'"&amp;J$86&amp;"'!"&amp;VLOOKUP(J$87,'List Values'!$C$3:$D$6,2,FALSE)&amp;ROW(J203))="","",INDIRECT("'"&amp;J$86&amp;"'!"&amp;VLOOKUP(J$87,'List Values'!$C$3:$D$6,2,FALSE)&amp;ROW(J203))*$H$6),IF(J$86&lt;&gt;"","Data Source Error",""))))</f>
        <v/>
      </c>
      <c r="L203" s="339"/>
      <c r="M203" s="568"/>
      <c r="N203" s="945" t="str">
        <f ca="1">IF(OR($H$7&lt;3,N$197&lt;1),"",IF(M203&lt;&gt;"",M203,IFERROR(IF(INDIRECT("'"&amp;M$86&amp;"'!"&amp;VLOOKUP(M$87,'List Values'!$C$3:$D$6,2,FALSE)&amp;ROW(M203))="","",INDIRECT("'"&amp;M$86&amp;"'!"&amp;VLOOKUP(M$87,'List Values'!$C$3:$D$6,2,FALSE)&amp;ROW(M203))*$H$6),IF(M$86&lt;&gt;"","Data Source Error",""))))</f>
        <v>Data Source Error</v>
      </c>
      <c r="O203" s="339"/>
      <c r="P203" s="568"/>
      <c r="Q203" s="945" t="str">
        <f ca="1">IF(OR($H$7&lt;4,Q$197&lt;1),"",IF(P203&lt;&gt;"",P203,IFERROR(IF(INDIRECT("'"&amp;P$86&amp;"'!"&amp;VLOOKUP(P$87,'List Values'!$C$3:$D$6,2,FALSE)&amp;ROW(P203))="","",INDIRECT("'"&amp;P$86&amp;"'!"&amp;VLOOKUP(P$87,'List Values'!$C$3:$D$6,2,FALSE)&amp;ROW(P203))*$H$6),IF(P$86&lt;&gt;"","Data Source Error",""))))</f>
        <v/>
      </c>
      <c r="R203" s="7"/>
      <c r="S203" s="568"/>
      <c r="T203" s="945" t="str">
        <f ca="1">IF(OR($H$7&lt;5,T$197&lt;1),"",IF(S203&lt;&gt;"",S203,IFERROR(IF(INDIRECT("'"&amp;S$86&amp;"'!"&amp;VLOOKUP(S$87,'List Values'!$C$3:$D$6,2,FALSE)&amp;ROW(S203))="","",INDIRECT("'"&amp;S$86&amp;"'!"&amp;VLOOKUP(S$87,'List Values'!$C$3:$D$6,2,FALSE)&amp;ROW(S203))*$H$6),IF(S$86&lt;&gt;"","Data Source Error",""))))</f>
        <v/>
      </c>
      <c r="U203" s="7"/>
      <c r="V203" s="568"/>
      <c r="W203" s="952" t="str">
        <f ca="1">IF(OR($H$7&lt;6,W$197&lt;1),"",IF(V203&lt;&gt;"",V203,IFERROR(IF(INDIRECT("'"&amp;V$86&amp;"'!"&amp;VLOOKUP(V$87,'List Values'!$C$3:$D$6,2,FALSE)&amp;ROW(V203))="","",INDIRECT("'"&amp;V$86&amp;"'!"&amp;VLOOKUP(V$87,'List Values'!$C$3:$D$6,2,FALSE)&amp;ROW(V203))*$H$6),IF(V$86&lt;&gt;"","Data Source Error",""))))</f>
        <v/>
      </c>
      <c r="Y203" s="2643"/>
      <c r="Z203" s="2644"/>
      <c r="AA203" s="2644"/>
      <c r="AB203" s="2645"/>
    </row>
    <row r="204" spans="1:28" ht="15.75" hidden="1" customHeight="1" outlineLevel="1">
      <c r="A204" s="512"/>
      <c r="B204" s="2051"/>
      <c r="C204" s="2680" t="s">
        <v>732</v>
      </c>
      <c r="D204" s="2680"/>
      <c r="E204" s="2041"/>
      <c r="F204" s="2041"/>
      <c r="G204" s="636"/>
      <c r="H204" s="637"/>
      <c r="I204" s="187"/>
      <c r="J204" s="526"/>
      <c r="K204" s="900" t="str">
        <f ca="1">IF(OR($H$7&lt;2,K$197&lt;1),"",IF(J204&lt;&gt;"",J204,IFERROR(IF(INDIRECT("'"&amp;J$86&amp;"'!"&amp;VLOOKUP(J$87,'List Values'!$C$3:$D$6,2,FALSE)&amp;ROW(J204))="","",INDIRECT("'"&amp;J$86&amp;"'!"&amp;VLOOKUP(J$87,'List Values'!$C$3:$D$6,2,FALSE)&amp;ROW(J204))),IF(J$86&lt;&gt;"","Data Source Error",""))))</f>
        <v/>
      </c>
      <c r="L204" s="187"/>
      <c r="M204" s="526"/>
      <c r="N204" s="900">
        <f ca="1">IF(OR($H$7&lt;3,N$197&lt;1),"",IF(M204&lt;&gt;"",M204,IFERROR(IF(INDIRECT("'"&amp;M$86&amp;"'!"&amp;VLOOKUP(M$87,'List Values'!$C$3:$D$6,2,FALSE)&amp;ROW(M204))="","",INDIRECT("'"&amp;M$86&amp;"'!"&amp;VLOOKUP(M$87,'List Values'!$C$3:$D$6,2,FALSE)&amp;ROW(M204))),IF(M$86&lt;&gt;"","Data Source Error",""))))</f>
        <v>5</v>
      </c>
      <c r="O204" s="187"/>
      <c r="P204" s="526"/>
      <c r="Q204" s="900" t="str">
        <f ca="1">IF(OR($H$7&lt;4,Q$197&lt;1),"",IF(P204&lt;&gt;"",P204,IFERROR(IF(INDIRECT("'"&amp;P$86&amp;"'!"&amp;VLOOKUP(P$87,'List Values'!$C$3:$D$6,2,FALSE)&amp;ROW(P204))="","",INDIRECT("'"&amp;P$86&amp;"'!"&amp;VLOOKUP(P$87,'List Values'!$C$3:$D$6,2,FALSE)&amp;ROW(P204))),IF(P$86&lt;&gt;"","Data Source Error",""))))</f>
        <v/>
      </c>
      <c r="S204" s="526"/>
      <c r="T204" s="900" t="str">
        <f ca="1">IF(OR($H$7&lt;5,T$197&lt;1),"",IF(S204&lt;&gt;"",S204,IFERROR(IF(INDIRECT("'"&amp;S$86&amp;"'!"&amp;VLOOKUP(S$87,'List Values'!$C$3:$D$6,2,FALSE)&amp;ROW(S204))="","",INDIRECT("'"&amp;S$86&amp;"'!"&amp;VLOOKUP(S$87,'List Values'!$C$3:$D$6,2,FALSE)&amp;ROW(S204))),IF(S$86&lt;&gt;"","Data Source Error",""))))</f>
        <v/>
      </c>
      <c r="V204" s="526"/>
      <c r="W204" s="911" t="str">
        <f ca="1">IF(OR($H$7&lt;6,W$197&lt;1),"",IF(V204&lt;&gt;"",V204,IFERROR(IF(INDIRECT("'"&amp;V$86&amp;"'!"&amp;VLOOKUP(V$87,'List Values'!$C$3:$D$6,2,FALSE)&amp;ROW(V204))="","",INDIRECT("'"&amp;V$86&amp;"'!"&amp;VLOOKUP(V$87,'List Values'!$C$3:$D$6,2,FALSE)&amp;ROW(V204))),IF(V$86&lt;&gt;"","Data Source Error",""))))</f>
        <v/>
      </c>
      <c r="Y204" s="2643"/>
      <c r="Z204" s="2644"/>
      <c r="AA204" s="2644"/>
      <c r="AB204" s="2645"/>
    </row>
    <row r="205" spans="1:28" ht="31.5" hidden="1" customHeight="1" outlineLevel="1">
      <c r="A205" s="512"/>
      <c r="B205" s="2051"/>
      <c r="C205" s="2684" t="s">
        <v>634</v>
      </c>
      <c r="D205" s="2684"/>
      <c r="E205" s="203"/>
      <c r="F205" s="203"/>
      <c r="G205" s="644"/>
      <c r="H205" s="645"/>
      <c r="I205" s="183"/>
      <c r="J205" s="553"/>
      <c r="K205" s="897" t="str">
        <f ca="1">IF(OR($H$7&lt;2,K$197&lt;1),"",IF(J205&lt;&gt;"",J205,IFERROR(IF(INDIRECT("'"&amp;J$86&amp;"'!"&amp;VLOOKUP(J$87,'List Values'!$C$3:$D$6,2,FALSE)&amp;ROW(J205))="","",INDIRECT("'"&amp;J$86&amp;"'!"&amp;VLOOKUP(J$87,'List Values'!$C$3:$D$6,2,FALSE)&amp;ROW(J205))),IF(J$86&lt;&gt;"","Data Source Error",""))))</f>
        <v/>
      </c>
      <c r="L205" s="183"/>
      <c r="M205" s="553"/>
      <c r="N205" s="897" t="str">
        <f ca="1">IF(OR($H$7&lt;3,N$197&lt;1),"",IF(M205&lt;&gt;"",M205,IFERROR(IF(INDIRECT("'"&amp;M$86&amp;"'!"&amp;VLOOKUP(M$87,'List Values'!$C$3:$D$6,2,FALSE)&amp;ROW(M205))="","",INDIRECT("'"&amp;M$86&amp;"'!"&amp;VLOOKUP(M$87,'List Values'!$C$3:$D$6,2,FALSE)&amp;ROW(M205))),IF(M$86&lt;&gt;"","Data Source Error",""))))</f>
        <v>No</v>
      </c>
      <c r="O205" s="183"/>
      <c r="P205" s="553"/>
      <c r="Q205" s="897" t="str">
        <f ca="1">IF(OR($H$7&lt;4,Q$197&lt;1),"",IF(P205&lt;&gt;"",P205,IFERROR(IF(INDIRECT("'"&amp;P$86&amp;"'!"&amp;VLOOKUP(P$87,'List Values'!$C$3:$D$6,2,FALSE)&amp;ROW(P205))="","",INDIRECT("'"&amp;P$86&amp;"'!"&amp;VLOOKUP(P$87,'List Values'!$C$3:$D$6,2,FALSE)&amp;ROW(P205))),IF(P$86&lt;&gt;"","Data Source Error",""))))</f>
        <v/>
      </c>
      <c r="S205" s="553"/>
      <c r="T205" s="897" t="str">
        <f ca="1">IF(OR($H$7&lt;5,T$197&lt;1),"",IF(S205&lt;&gt;"",S205,IFERROR(IF(INDIRECT("'"&amp;S$86&amp;"'!"&amp;VLOOKUP(S$87,'List Values'!$C$3:$D$6,2,FALSE)&amp;ROW(S205))="","",INDIRECT("'"&amp;S$86&amp;"'!"&amp;VLOOKUP(S$87,'List Values'!$C$3:$D$6,2,FALSE)&amp;ROW(S205))),IF(S$86&lt;&gt;"","Data Source Error",""))))</f>
        <v/>
      </c>
      <c r="V205" s="553"/>
      <c r="W205" s="908" t="str">
        <f ca="1">IF(OR($H$7&lt;6,W$197&lt;1),"",IF(V205&lt;&gt;"",V205,IFERROR(IF(INDIRECT("'"&amp;V$86&amp;"'!"&amp;VLOOKUP(V$87,'List Values'!$C$3:$D$6,2,FALSE)&amp;ROW(V205))="","",INDIRECT("'"&amp;V$86&amp;"'!"&amp;VLOOKUP(V$87,'List Values'!$C$3:$D$6,2,FALSE)&amp;ROW(V205))),IF(V$86&lt;&gt;"","Data Source Error",""))))</f>
        <v/>
      </c>
      <c r="Y205" s="2643"/>
      <c r="Z205" s="2644"/>
      <c r="AA205" s="2644"/>
      <c r="AB205" s="2645"/>
    </row>
    <row r="206" spans="1:28" ht="31.5" hidden="1" customHeight="1" outlineLevel="1">
      <c r="A206" s="512"/>
      <c r="B206" s="2051"/>
      <c r="C206" s="2680" t="s">
        <v>2521</v>
      </c>
      <c r="D206" s="2680"/>
      <c r="E206" s="2041"/>
      <c r="F206" s="2041"/>
      <c r="G206" s="636"/>
      <c r="H206" s="637"/>
      <c r="I206" s="187"/>
      <c r="J206" s="619"/>
      <c r="K206" s="898" t="str">
        <f ca="1">IF(OR($H$7&lt;2,K$197&lt;1),"",IF(J206&lt;&gt;"",J206,IFERROR(IF(INDIRECT("'"&amp;J$86&amp;"'!"&amp;VLOOKUP(J$87,'List Values'!$C$3:$D$6,2,FALSE)&amp;ROW(J206))="","",INDIRECT("'"&amp;J$86&amp;"'!"&amp;VLOOKUP(J$87,'List Values'!$C$3:$D$6,2,FALSE)&amp;ROW(J206))),IF(J$86&lt;&gt;"","Data Source Error",""))))</f>
        <v/>
      </c>
      <c r="L206" s="621"/>
      <c r="M206" s="619"/>
      <c r="N206" s="898">
        <f ca="1">IF(OR($H$7&lt;3,N$197&lt;1),"",IF(M206&lt;&gt;"",M206,IFERROR(IF(INDIRECT("'"&amp;M$86&amp;"'!"&amp;VLOOKUP(M$87,'List Values'!$C$3:$D$6,2,FALSE)&amp;ROW(M206))="","",INDIRECT("'"&amp;M$86&amp;"'!"&amp;VLOOKUP(M$87,'List Values'!$C$3:$D$6,2,FALSE)&amp;ROW(M206))),IF(M$86&lt;&gt;"","Data Source Error",""))))</f>
        <v>0</v>
      </c>
      <c r="O206" s="621"/>
      <c r="P206" s="619"/>
      <c r="Q206" s="898" t="str">
        <f ca="1">IF(OR($H$7&lt;4,Q$197&lt;1),"",IF(P206&lt;&gt;"",P206,IFERROR(IF(INDIRECT("'"&amp;P$86&amp;"'!"&amp;VLOOKUP(P$87,'List Values'!$C$3:$D$6,2,FALSE)&amp;ROW(P206))="","",INDIRECT("'"&amp;P$86&amp;"'!"&amp;VLOOKUP(P$87,'List Values'!$C$3:$D$6,2,FALSE)&amp;ROW(P206))),IF(P$86&lt;&gt;"","Data Source Error",""))))</f>
        <v/>
      </c>
      <c r="R206" s="147"/>
      <c r="S206" s="619"/>
      <c r="T206" s="898" t="str">
        <f ca="1">IF(OR($H$7&lt;5,T$197&lt;1),"",IF(S206&lt;&gt;"",S206,IFERROR(IF(INDIRECT("'"&amp;S$86&amp;"'!"&amp;VLOOKUP(S$87,'List Values'!$C$3:$D$6,2,FALSE)&amp;ROW(S206))="","",INDIRECT("'"&amp;S$86&amp;"'!"&amp;VLOOKUP(S$87,'List Values'!$C$3:$D$6,2,FALSE)&amp;ROW(S206))),IF(S$86&lt;&gt;"","Data Source Error",""))))</f>
        <v/>
      </c>
      <c r="U206" s="147"/>
      <c r="V206" s="619"/>
      <c r="W206" s="909" t="str">
        <f ca="1">IF(OR($H$7&lt;6,W$197&lt;1),"",IF(V206&lt;&gt;"",V206,IFERROR(IF(INDIRECT("'"&amp;V$86&amp;"'!"&amp;VLOOKUP(V$87,'List Values'!$C$3:$D$6,2,FALSE)&amp;ROW(V206))="","",INDIRECT("'"&amp;V$86&amp;"'!"&amp;VLOOKUP(V$87,'List Values'!$C$3:$D$6,2,FALSE)&amp;ROW(V206))),IF(V$86&lt;&gt;"","Data Source Error",""))))</f>
        <v/>
      </c>
      <c r="Y206" s="2643"/>
      <c r="Z206" s="2644"/>
      <c r="AA206" s="2644"/>
      <c r="AB206" s="2645"/>
    </row>
    <row r="207" spans="1:28" ht="31.5" hidden="1" customHeight="1" outlineLevel="1">
      <c r="A207" s="512"/>
      <c r="B207" s="2051"/>
      <c r="C207" s="2680" t="s">
        <v>2522</v>
      </c>
      <c r="D207" s="2680"/>
      <c r="E207" s="2041"/>
      <c r="F207" s="2041"/>
      <c r="G207" s="636"/>
      <c r="H207" s="637"/>
      <c r="I207" s="187"/>
      <c r="J207" s="619"/>
      <c r="K207" s="898" t="str">
        <f ca="1">IF(OR($H$7&lt;2,K$197&lt;1),"",IF(J207&lt;&gt;"",J207,IFERROR(IF(INDIRECT("'"&amp;J$86&amp;"'!"&amp;VLOOKUP(J$87,'List Values'!$C$3:$D$6,2,FALSE)&amp;ROW(J207))="","",INDIRECT("'"&amp;J$86&amp;"'!"&amp;VLOOKUP(J$87,'List Values'!$C$3:$D$6,2,FALSE)&amp;ROW(J207))),IF(J$86&lt;&gt;"","Data Source Error",""))))</f>
        <v/>
      </c>
      <c r="L207" s="621"/>
      <c r="M207" s="619"/>
      <c r="N207" s="898">
        <f ca="1">IF(OR($H$7&lt;3,N$197&lt;1),"",IF(M207&lt;&gt;"",M207,IFERROR(IF(INDIRECT("'"&amp;M$86&amp;"'!"&amp;VLOOKUP(M$87,'List Values'!$C$3:$D$6,2,FALSE)&amp;ROW(M207))="","",INDIRECT("'"&amp;M$86&amp;"'!"&amp;VLOOKUP(M$87,'List Values'!$C$3:$D$6,2,FALSE)&amp;ROW(M207))),IF(M$86&lt;&gt;"","Data Source Error",""))))</f>
        <v>0</v>
      </c>
      <c r="O207" s="621"/>
      <c r="P207" s="619"/>
      <c r="Q207" s="898" t="str">
        <f ca="1">IF(OR($H$7&lt;4,Q$197&lt;1),"",IF(P207&lt;&gt;"",P207,IFERROR(IF(INDIRECT("'"&amp;P$86&amp;"'!"&amp;VLOOKUP(P$87,'List Values'!$C$3:$D$6,2,FALSE)&amp;ROW(P207))="","",INDIRECT("'"&amp;P$86&amp;"'!"&amp;VLOOKUP(P$87,'List Values'!$C$3:$D$6,2,FALSE)&amp;ROW(P207))),IF(P$86&lt;&gt;"","Data Source Error",""))))</f>
        <v/>
      </c>
      <c r="R207" s="147"/>
      <c r="S207" s="619"/>
      <c r="T207" s="898" t="str">
        <f ca="1">IF(OR($H$7&lt;5,T$197&lt;1),"",IF(S207&lt;&gt;"",S207,IFERROR(IF(INDIRECT("'"&amp;S$86&amp;"'!"&amp;VLOOKUP(S$87,'List Values'!$C$3:$D$6,2,FALSE)&amp;ROW(S207))="","",INDIRECT("'"&amp;S$86&amp;"'!"&amp;VLOOKUP(S$87,'List Values'!$C$3:$D$6,2,FALSE)&amp;ROW(S207))),IF(S$86&lt;&gt;"","Data Source Error",""))))</f>
        <v/>
      </c>
      <c r="U207" s="147"/>
      <c r="V207" s="619"/>
      <c r="W207" s="909" t="str">
        <f ca="1">IF(OR($H$7&lt;6,W$197&lt;1),"",IF(V207&lt;&gt;"",V207,IFERROR(IF(INDIRECT("'"&amp;V$86&amp;"'!"&amp;VLOOKUP(V$87,'List Values'!$C$3:$D$6,2,FALSE)&amp;ROW(V207))="","",INDIRECT("'"&amp;V$86&amp;"'!"&amp;VLOOKUP(V$87,'List Values'!$C$3:$D$6,2,FALSE)&amp;ROW(V207))),IF(V$86&lt;&gt;"","Data Source Error",""))))</f>
        <v/>
      </c>
      <c r="Y207" s="2643"/>
      <c r="Z207" s="2644"/>
      <c r="AA207" s="2644"/>
      <c r="AB207" s="2645"/>
    </row>
    <row r="208" spans="1:28" ht="33.75" hidden="1" customHeight="1" outlineLevel="1">
      <c r="A208" s="512"/>
      <c r="B208" s="2051"/>
      <c r="C208" s="2680" t="s">
        <v>253</v>
      </c>
      <c r="D208" s="2680"/>
      <c r="E208" s="2041"/>
      <c r="F208" s="2041"/>
      <c r="G208" s="636"/>
      <c r="H208" s="637"/>
      <c r="I208" s="187"/>
      <c r="J208" s="526"/>
      <c r="K208" s="900" t="str">
        <f ca="1">IF(OR($H$7&lt;2,K$197&lt;1),"",IF(J208&lt;&gt;"",J208,IFERROR(IF(INDIRECT("'"&amp;J$86&amp;"'!"&amp;VLOOKUP(J$87,'List Values'!$C$3:$D$6,2,FALSE)&amp;ROW(J208))="","",INDIRECT("'"&amp;J$86&amp;"'!"&amp;VLOOKUP(J$87,'List Values'!$C$3:$D$6,2,FALSE)&amp;ROW(J208))),IF(J$86&lt;&gt;"","Data Source Error",""))))</f>
        <v/>
      </c>
      <c r="L208" s="187"/>
      <c r="M208" s="526"/>
      <c r="N208" s="900" t="str">
        <f ca="1">IF(OR($H$7&lt;3,N$197&lt;1),"",IF(M208&lt;&gt;"",M208,IFERROR(IF(INDIRECT("'"&amp;M$86&amp;"'!"&amp;VLOOKUP(M$87,'List Values'!$C$3:$D$6,2,FALSE)&amp;ROW(M208))="","",INDIRECT("'"&amp;M$86&amp;"'!"&amp;VLOOKUP(M$87,'List Values'!$C$3:$D$6,2,FALSE)&amp;ROW(M208))),IF(M$86&lt;&gt;"","Data Source Error",""))))</f>
        <v>Route-based</v>
      </c>
      <c r="O208" s="187"/>
      <c r="P208" s="526"/>
      <c r="Q208" s="900" t="str">
        <f ca="1">IF(OR($H$7&lt;4,Q$197&lt;1),"",IF(P208&lt;&gt;"",P208,IFERROR(IF(INDIRECT("'"&amp;P$86&amp;"'!"&amp;VLOOKUP(P$87,'List Values'!$C$3:$D$6,2,FALSE)&amp;ROW(P208))="","",INDIRECT("'"&amp;P$86&amp;"'!"&amp;VLOOKUP(P$87,'List Values'!$C$3:$D$6,2,FALSE)&amp;ROW(P208))),IF(P$86&lt;&gt;"","Data Source Error",""))))</f>
        <v/>
      </c>
      <c r="S208" s="526"/>
      <c r="T208" s="900" t="str">
        <f ca="1">IF(OR($H$7&lt;5,T$197&lt;1),"",IF(S208&lt;&gt;"",S208,IFERROR(IF(INDIRECT("'"&amp;S$86&amp;"'!"&amp;VLOOKUP(S$87,'List Values'!$C$3:$D$6,2,FALSE)&amp;ROW(S208))="","",INDIRECT("'"&amp;S$86&amp;"'!"&amp;VLOOKUP(S$87,'List Values'!$C$3:$D$6,2,FALSE)&amp;ROW(S208))),IF(S$86&lt;&gt;"","Data Source Error",""))))</f>
        <v/>
      </c>
      <c r="V208" s="526"/>
      <c r="W208" s="911" t="str">
        <f ca="1">IF(OR($H$7&lt;6,W$197&lt;1),"",IF(V208&lt;&gt;"",V208,IFERROR(IF(INDIRECT("'"&amp;V$86&amp;"'!"&amp;VLOOKUP(V$87,'List Values'!$C$3:$D$6,2,FALSE)&amp;ROW(V208))="","",INDIRECT("'"&amp;V$86&amp;"'!"&amp;VLOOKUP(V$87,'List Values'!$C$3:$D$6,2,FALSE)&amp;ROW(V208))),IF(V$86&lt;&gt;"","Data Source Error",""))))</f>
        <v/>
      </c>
      <c r="Y208" s="2643"/>
      <c r="Z208" s="2644"/>
      <c r="AA208" s="2644"/>
      <c r="AB208" s="2645"/>
    </row>
    <row r="209" spans="1:28" ht="15.75" hidden="1" customHeight="1" outlineLevel="1">
      <c r="A209" s="512"/>
      <c r="B209" s="2051"/>
      <c r="C209" s="2684" t="s">
        <v>2529</v>
      </c>
      <c r="D209" s="2684"/>
      <c r="E209" s="2041"/>
      <c r="F209" s="2041"/>
      <c r="G209" s="636"/>
      <c r="H209" s="637"/>
      <c r="I209" s="187"/>
      <c r="J209" s="580"/>
      <c r="K209" s="900" t="str">
        <f ca="1">IF(OR($H$7&lt;2,K$197&lt;1),"",IF(J209&lt;&gt;"",J209,IFERROR(IF(INDIRECT("'"&amp;J$86&amp;"'!"&amp;VLOOKUP(J$87,'List Values'!$C$3:$D$6,2,FALSE)&amp;ROW(J209))="","",INDIRECT("'"&amp;J$86&amp;"'!"&amp;VLOOKUP(J$87,'List Values'!$C$3:$D$6,2,FALSE)&amp;ROW(J209))),IF(J$86&lt;&gt;"","Data Source Error",""))))</f>
        <v/>
      </c>
      <c r="L209" s="187"/>
      <c r="M209" s="580"/>
      <c r="N209" s="900">
        <f ca="1">IF(OR($H$7&lt;3,N$197&lt;1),"",IF(M209&lt;&gt;"",M209,IFERROR(IF(INDIRECT("'"&amp;M$86&amp;"'!"&amp;VLOOKUP(M$87,'List Values'!$C$3:$D$6,2,FALSE)&amp;ROW(M209))="","",INDIRECT("'"&amp;M$86&amp;"'!"&amp;VLOOKUP(M$87,'List Values'!$C$3:$D$6,2,FALSE)&amp;ROW(M209))),IF(M$86&lt;&gt;"","Data Source Error",""))))</f>
        <v>1</v>
      </c>
      <c r="O209" s="187"/>
      <c r="P209" s="580"/>
      <c r="Q209" s="900" t="str">
        <f ca="1">IF(OR($H$7&lt;4,Q$197&lt;1),"",IF(P209&lt;&gt;"",P209,IFERROR(IF(INDIRECT("'"&amp;P$86&amp;"'!"&amp;VLOOKUP(P$87,'List Values'!$C$3:$D$6,2,FALSE)&amp;ROW(P209))="","",INDIRECT("'"&amp;P$86&amp;"'!"&amp;VLOOKUP(P$87,'List Values'!$C$3:$D$6,2,FALSE)&amp;ROW(P209))),IF(P$86&lt;&gt;"","Data Source Error",""))))</f>
        <v/>
      </c>
      <c r="S209" s="580"/>
      <c r="T209" s="900" t="str">
        <f ca="1">IF(OR($H$7&lt;5,T$197&lt;1),"",IF(S209&lt;&gt;"",S209,IFERROR(IF(INDIRECT("'"&amp;S$86&amp;"'!"&amp;VLOOKUP(S$87,'List Values'!$C$3:$D$6,2,FALSE)&amp;ROW(S209))="","",INDIRECT("'"&amp;S$86&amp;"'!"&amp;VLOOKUP(S$87,'List Values'!$C$3:$D$6,2,FALSE)&amp;ROW(S209))),IF(S$86&lt;&gt;"","Data Source Error",""))))</f>
        <v/>
      </c>
      <c r="V209" s="580"/>
      <c r="W209" s="911" t="str">
        <f ca="1">IF(OR($H$7&lt;6,W$197&lt;1),"",IF(V209&lt;&gt;"",V209,IFERROR(IF(INDIRECT("'"&amp;V$86&amp;"'!"&amp;VLOOKUP(V$87,'List Values'!$C$3:$D$6,2,FALSE)&amp;ROW(V209))="","",INDIRECT("'"&amp;V$86&amp;"'!"&amp;VLOOKUP(V$87,'List Values'!$C$3:$D$6,2,FALSE)&amp;ROW(V209))),IF(V$86&lt;&gt;"","Data Source Error",""))))</f>
        <v/>
      </c>
      <c r="Y209" s="2643"/>
      <c r="Z209" s="2644"/>
      <c r="AA209" s="2644"/>
      <c r="AB209" s="2645"/>
    </row>
    <row r="210" spans="1:28" ht="33.75" hidden="1" customHeight="1" outlineLevel="1">
      <c r="A210" s="512"/>
      <c r="B210" s="2051"/>
      <c r="C210" s="2680" t="s">
        <v>2523</v>
      </c>
      <c r="D210" s="2680"/>
      <c r="E210" s="2041"/>
      <c r="F210" s="2041"/>
      <c r="G210" s="636"/>
      <c r="H210" s="637"/>
      <c r="I210" s="187"/>
      <c r="J210" s="580"/>
      <c r="K210" s="900" t="str">
        <f ca="1">IF(OR($H$7&lt;2,K$197&lt;1),"",IF(J210&lt;&gt;"",J210,IFERROR(IF(INDIRECT("'"&amp;J$86&amp;"'!"&amp;VLOOKUP(J$87,'List Values'!$C$3:$D$6,2,FALSE)&amp;ROW(J210))="","",INDIRECT("'"&amp;J$86&amp;"'!"&amp;VLOOKUP(J$87,'List Values'!$C$3:$D$6,2,FALSE)&amp;ROW(J210))),IF(J$86&lt;&gt;"","Data Source Error",""))))</f>
        <v/>
      </c>
      <c r="L210" s="187"/>
      <c r="M210" s="580"/>
      <c r="N210" s="900" t="str">
        <f ca="1">IF(OR($H$7&lt;3,N$197&lt;1),"",IF(M210&lt;&gt;"",M210,IFERROR(IF(INDIRECT("'"&amp;M$86&amp;"'!"&amp;VLOOKUP(M$87,'List Values'!$C$3:$D$6,2,FALSE)&amp;ROW(M210))="","",INDIRECT("'"&amp;M$86&amp;"'!"&amp;VLOOKUP(M$87,'List Values'!$C$3:$D$6,2,FALSE)&amp;ROW(M210))),IF(M$86&lt;&gt;"","Data Source Error",""))))</f>
        <v>Transport team - Driver</v>
      </c>
      <c r="O210" s="187"/>
      <c r="P210" s="580"/>
      <c r="Q210" s="900" t="str">
        <f ca="1">IF(OR($H$7&lt;4,Q$197&lt;1),"",IF(P210&lt;&gt;"",P210,IFERROR(IF(INDIRECT("'"&amp;P$86&amp;"'!"&amp;VLOOKUP(P$87,'List Values'!$C$3:$D$6,2,FALSE)&amp;ROW(P210))="","",INDIRECT("'"&amp;P$86&amp;"'!"&amp;VLOOKUP(P$87,'List Values'!$C$3:$D$6,2,FALSE)&amp;ROW(P210))),IF(P$86&lt;&gt;"","Data Source Error",""))))</f>
        <v/>
      </c>
      <c r="S210" s="580"/>
      <c r="T210" s="900" t="str">
        <f ca="1">IF(OR($H$7&lt;5,T$197&lt;1),"",IF(S210&lt;&gt;"",S210,IFERROR(IF(INDIRECT("'"&amp;S$86&amp;"'!"&amp;VLOOKUP(S$87,'List Values'!$C$3:$D$6,2,FALSE)&amp;ROW(S210))="","",INDIRECT("'"&amp;S$86&amp;"'!"&amp;VLOOKUP(S$87,'List Values'!$C$3:$D$6,2,FALSE)&amp;ROW(S210))),IF(S$86&lt;&gt;"","Data Source Error",""))))</f>
        <v/>
      </c>
      <c r="V210" s="580"/>
      <c r="W210" s="911" t="str">
        <f ca="1">IF(OR($H$7&lt;6,W$197&lt;1),"",IF(V210&lt;&gt;"",V210,IFERROR(IF(INDIRECT("'"&amp;V$86&amp;"'!"&amp;VLOOKUP(V$87,'List Values'!$C$3:$D$6,2,FALSE)&amp;ROW(V210))="","",INDIRECT("'"&amp;V$86&amp;"'!"&amp;VLOOKUP(V$87,'List Values'!$C$3:$D$6,2,FALSE)&amp;ROW(V210))),IF(V$86&lt;&gt;"","Data Source Error",""))))</f>
        <v/>
      </c>
      <c r="Y210" s="2643"/>
      <c r="Z210" s="2644"/>
      <c r="AA210" s="2644"/>
      <c r="AB210" s="2645"/>
    </row>
    <row r="211" spans="1:28" ht="15.75" hidden="1" customHeight="1" outlineLevel="1">
      <c r="A211" s="512"/>
      <c r="B211" s="2051"/>
      <c r="C211" s="2680" t="s">
        <v>2524</v>
      </c>
      <c r="D211" s="2680"/>
      <c r="E211" s="2041"/>
      <c r="F211" s="2041"/>
      <c r="G211" s="636"/>
      <c r="H211" s="637"/>
      <c r="I211" s="187"/>
      <c r="J211" s="580"/>
      <c r="K211" s="900" t="str">
        <f ca="1">IF(OR($H$7&lt;2,K$197&lt;1),"",IF(J211&lt;&gt;"",J211,IFERROR(IF(INDIRECT("'"&amp;J$86&amp;"'!"&amp;VLOOKUP(J$87,'List Values'!$C$3:$D$6,2,FALSE)&amp;ROW(J211))="","",INDIRECT("'"&amp;J$86&amp;"'!"&amp;VLOOKUP(J$87,'List Values'!$C$3:$D$6,2,FALSE)&amp;ROW(J211))),IF(J$86&lt;&gt;"","Data Source Error",""))))</f>
        <v/>
      </c>
      <c r="L211" s="187"/>
      <c r="M211" s="580"/>
      <c r="N211" s="900">
        <f ca="1">IF(OR($H$7&lt;3,N$197&lt;1),"",IF(M211&lt;&gt;"",M211,IFERROR(IF(INDIRECT("'"&amp;M$86&amp;"'!"&amp;VLOOKUP(M$87,'List Values'!$C$3:$D$6,2,FALSE)&amp;ROW(M211))="","",INDIRECT("'"&amp;M$86&amp;"'!"&amp;VLOOKUP(M$87,'List Values'!$C$3:$D$6,2,FALSE)&amp;ROW(M211))),IF(M$86&lt;&gt;"","Data Source Error",""))))</f>
        <v>1</v>
      </c>
      <c r="O211" s="187"/>
      <c r="P211" s="580"/>
      <c r="Q211" s="900" t="str">
        <f ca="1">IF(OR($H$7&lt;4,Q$197&lt;1),"",IF(P211&lt;&gt;"",P211,IFERROR(IF(INDIRECT("'"&amp;P$86&amp;"'!"&amp;VLOOKUP(P$87,'List Values'!$C$3:$D$6,2,FALSE)&amp;ROW(P211))="","",INDIRECT("'"&amp;P$86&amp;"'!"&amp;VLOOKUP(P$87,'List Values'!$C$3:$D$6,2,FALSE)&amp;ROW(P211))),IF(P$86&lt;&gt;"","Data Source Error",""))))</f>
        <v/>
      </c>
      <c r="S211" s="580"/>
      <c r="T211" s="900" t="str">
        <f ca="1">IF(OR($H$7&lt;5,T$197&lt;1),"",IF(S211&lt;&gt;"",S211,IFERROR(IF(INDIRECT("'"&amp;S$86&amp;"'!"&amp;VLOOKUP(S$87,'List Values'!$C$3:$D$6,2,FALSE)&amp;ROW(S211))="","",INDIRECT("'"&amp;S$86&amp;"'!"&amp;VLOOKUP(S$87,'List Values'!$C$3:$D$6,2,FALSE)&amp;ROW(S211))),IF(S$86&lt;&gt;"","Data Source Error",""))))</f>
        <v/>
      </c>
      <c r="V211" s="580"/>
      <c r="W211" s="911" t="str">
        <f ca="1">IF(OR($H$7&lt;6,W$197&lt;1),"",IF(V211&lt;&gt;"",V211,IFERROR(IF(INDIRECT("'"&amp;V$86&amp;"'!"&amp;VLOOKUP(V$87,'List Values'!$C$3:$D$6,2,FALSE)&amp;ROW(V211))="","",INDIRECT("'"&amp;V$86&amp;"'!"&amp;VLOOKUP(V$87,'List Values'!$C$3:$D$6,2,FALSE)&amp;ROW(V211))),IF(V$86&lt;&gt;"","Data Source Error",""))))</f>
        <v/>
      </c>
      <c r="Y211" s="2643"/>
      <c r="Z211" s="2644"/>
      <c r="AA211" s="2644"/>
      <c r="AB211" s="2645"/>
    </row>
    <row r="212" spans="1:28" ht="15.75" hidden="1" customHeight="1" outlineLevel="1">
      <c r="A212" s="512"/>
      <c r="B212" s="2051"/>
      <c r="C212" s="2684" t="s">
        <v>2525</v>
      </c>
      <c r="D212" s="2684"/>
      <c r="E212" s="2041"/>
      <c r="F212" s="2041"/>
      <c r="G212" s="636"/>
      <c r="H212" s="637"/>
      <c r="I212" s="187"/>
      <c r="J212" s="580"/>
      <c r="K212" s="900" t="str">
        <f ca="1">IF(OR($H$7&lt;2,K$197&lt;1),"",IF(J212&lt;&gt;"",J212,IFERROR(IF(INDIRECT("'"&amp;J$86&amp;"'!"&amp;VLOOKUP(J$87,'List Values'!$C$3:$D$6,2,FALSE)&amp;ROW(J212))="","",INDIRECT("'"&amp;J$86&amp;"'!"&amp;VLOOKUP(J$87,'List Values'!$C$3:$D$6,2,FALSE)&amp;ROW(J212))),IF(J$86&lt;&gt;"","Data Source Error",""))))</f>
        <v/>
      </c>
      <c r="L212" s="187"/>
      <c r="M212" s="580"/>
      <c r="N212" s="900" t="str">
        <f ca="1">IF(OR($H$7&lt;3,N$197&lt;1),"",IF(M212&lt;&gt;"",M212,IFERROR(IF(INDIRECT("'"&amp;M$86&amp;"'!"&amp;VLOOKUP(M$87,'List Values'!$C$3:$D$6,2,FALSE)&amp;ROW(M212))="","",INDIRECT("'"&amp;M$86&amp;"'!"&amp;VLOOKUP(M$87,'List Values'!$C$3:$D$6,2,FALSE)&amp;ROW(M212))),IF(M$86&lt;&gt;"","Data Source Error",""))))</f>
        <v>#</v>
      </c>
      <c r="O212" s="187"/>
      <c r="P212" s="580"/>
      <c r="Q212" s="900" t="str">
        <f ca="1">IF(OR($H$7&lt;4,Q$197&lt;1),"",IF(P212&lt;&gt;"",P212,IFERROR(IF(INDIRECT("'"&amp;P$86&amp;"'!"&amp;VLOOKUP(P$87,'List Values'!$C$3:$D$6,2,FALSE)&amp;ROW(P212))="","",INDIRECT("'"&amp;P$86&amp;"'!"&amp;VLOOKUP(P$87,'List Values'!$C$3:$D$6,2,FALSE)&amp;ROW(P212))),IF(P$86&lt;&gt;"","Data Source Error",""))))</f>
        <v/>
      </c>
      <c r="S212" s="580"/>
      <c r="T212" s="900" t="str">
        <f ca="1">IF(OR($H$7&lt;5,T$197&lt;1),"",IF(S212&lt;&gt;"",S212,IFERROR(IF(INDIRECT("'"&amp;S$86&amp;"'!"&amp;VLOOKUP(S$87,'List Values'!$C$3:$D$6,2,FALSE)&amp;ROW(S212))="","",INDIRECT("'"&amp;S$86&amp;"'!"&amp;VLOOKUP(S$87,'List Values'!$C$3:$D$6,2,FALSE)&amp;ROW(S212))),IF(S$86&lt;&gt;"","Data Source Error",""))))</f>
        <v/>
      </c>
      <c r="V212" s="580"/>
      <c r="W212" s="911" t="str">
        <f ca="1">IF(OR($H$7&lt;6,W$197&lt;1),"",IF(V212&lt;&gt;"",V212,IFERROR(IF(INDIRECT("'"&amp;V$86&amp;"'!"&amp;VLOOKUP(V$87,'List Values'!$C$3:$D$6,2,FALSE)&amp;ROW(V212))="","",INDIRECT("'"&amp;V$86&amp;"'!"&amp;VLOOKUP(V$87,'List Values'!$C$3:$D$6,2,FALSE)&amp;ROW(V212))),IF(V$86&lt;&gt;"","Data Source Error",""))))</f>
        <v/>
      </c>
      <c r="Y212" s="2643"/>
      <c r="Z212" s="2644"/>
      <c r="AA212" s="2644"/>
      <c r="AB212" s="2645"/>
    </row>
    <row r="213" spans="1:28" ht="31.5" hidden="1" customHeight="1" outlineLevel="1">
      <c r="A213" s="512"/>
      <c r="B213" s="2051"/>
      <c r="C213" s="2680" t="s">
        <v>2526</v>
      </c>
      <c r="D213" s="2680"/>
      <c r="E213" s="2041"/>
      <c r="F213" s="2041"/>
      <c r="G213" s="636"/>
      <c r="H213" s="637"/>
      <c r="I213" s="187"/>
      <c r="J213" s="580"/>
      <c r="K213" s="900" t="str">
        <f ca="1">IF(OR($H$7&lt;2,K$197&lt;1),"",IF(J213&lt;&gt;"",J213,IFERROR(IF(INDIRECT("'"&amp;J$86&amp;"'!"&amp;VLOOKUP(J$87,'List Values'!$C$3:$D$6,2,FALSE)&amp;ROW(J213))="","",INDIRECT("'"&amp;J$86&amp;"'!"&amp;VLOOKUP(J$87,'List Values'!$C$3:$D$6,2,FALSE)&amp;ROW(J213))),IF(J$86&lt;&gt;"","Data Source Error",""))))</f>
        <v/>
      </c>
      <c r="L213" s="187"/>
      <c r="M213" s="580"/>
      <c r="N213" s="900">
        <f ca="1">IF(OR($H$7&lt;3,N$197&lt;1),"",IF(M213&lt;&gt;"",M213,IFERROR(IF(INDIRECT("'"&amp;M$86&amp;"'!"&amp;VLOOKUP(M$87,'List Values'!$C$3:$D$6,2,FALSE)&amp;ROW(M213))="","",INDIRECT("'"&amp;M$86&amp;"'!"&amp;VLOOKUP(M$87,'List Values'!$C$3:$D$6,2,FALSE)&amp;ROW(M213))),IF(M$86&lt;&gt;"","Data Source Error",""))))</f>
        <v>210</v>
      </c>
      <c r="O213" s="187"/>
      <c r="P213" s="580"/>
      <c r="Q213" s="900" t="str">
        <f ca="1">IF(OR($H$7&lt;4,Q$197&lt;1),"",IF(P213&lt;&gt;"",P213,IFERROR(IF(INDIRECT("'"&amp;P$86&amp;"'!"&amp;VLOOKUP(P$87,'List Values'!$C$3:$D$6,2,FALSE)&amp;ROW(P213))="","",INDIRECT("'"&amp;P$86&amp;"'!"&amp;VLOOKUP(P$87,'List Values'!$C$3:$D$6,2,FALSE)&amp;ROW(P213))),IF(P$86&lt;&gt;"","Data Source Error",""))))</f>
        <v/>
      </c>
      <c r="S213" s="580"/>
      <c r="T213" s="900" t="str">
        <f ca="1">IF(OR($H$7&lt;5,T$197&lt;1),"",IF(S213&lt;&gt;"",S213,IFERROR(IF(INDIRECT("'"&amp;S$86&amp;"'!"&amp;VLOOKUP(S$87,'List Values'!$C$3:$D$6,2,FALSE)&amp;ROW(S213))="","",INDIRECT("'"&amp;S$86&amp;"'!"&amp;VLOOKUP(S$87,'List Values'!$C$3:$D$6,2,FALSE)&amp;ROW(S213))),IF(S$86&lt;&gt;"","Data Source Error",""))))</f>
        <v/>
      </c>
      <c r="V213" s="580"/>
      <c r="W213" s="911" t="str">
        <f ca="1">IF(OR($H$7&lt;6,W$197&lt;1),"",IF(V213&lt;&gt;"",V213,IFERROR(IF(INDIRECT("'"&amp;V$86&amp;"'!"&amp;VLOOKUP(V$87,'List Values'!$C$3:$D$6,2,FALSE)&amp;ROW(V213))="","",INDIRECT("'"&amp;V$86&amp;"'!"&amp;VLOOKUP(V$87,'List Values'!$C$3:$D$6,2,FALSE)&amp;ROW(V213))),IF(V$86&lt;&gt;"","Data Source Error",""))))</f>
        <v/>
      </c>
      <c r="Y213" s="2643"/>
      <c r="Z213" s="2644"/>
      <c r="AA213" s="2644"/>
      <c r="AB213" s="2645"/>
    </row>
    <row r="214" spans="1:28" ht="41.15" hidden="1" customHeight="1" outlineLevel="1">
      <c r="A214" s="512"/>
      <c r="B214" s="2051"/>
      <c r="C214" s="2680" t="s">
        <v>2527</v>
      </c>
      <c r="D214" s="2680"/>
      <c r="E214" s="2041"/>
      <c r="F214" s="2041"/>
      <c r="G214" s="636"/>
      <c r="H214" s="637"/>
      <c r="I214" s="187"/>
      <c r="J214" s="580"/>
      <c r="K214" s="900" t="str">
        <f ca="1">IF(OR($H$7&lt;2,K$197&lt;1),"",IF(J214&lt;&gt;"",J214,IFERROR(IF(INDIRECT("'"&amp;J$86&amp;"'!"&amp;VLOOKUP(J$87,'List Values'!$C$3:$D$6,2,FALSE)&amp;ROW(J214))="","",INDIRECT("'"&amp;J$86&amp;"'!"&amp;VLOOKUP(J$87,'List Values'!$C$3:$D$6,2,FALSE)&amp;ROW(J214))),IF(J$86&lt;&gt;"","Data Source Error",""))))</f>
        <v/>
      </c>
      <c r="L214" s="187"/>
      <c r="M214" s="580"/>
      <c r="N214" s="900">
        <f ca="1">IF(OR($H$7&lt;3,N$197&lt;1),"",IF(M214&lt;&gt;"",M214,IFERROR(IF(INDIRECT("'"&amp;M$86&amp;"'!"&amp;VLOOKUP(M$87,'List Values'!$C$3:$D$6,2,FALSE)&amp;ROW(M214))="","",INDIRECT("'"&amp;M$86&amp;"'!"&amp;VLOOKUP(M$87,'List Values'!$C$3:$D$6,2,FALSE)&amp;ROW(M214))),IF(M$86&lt;&gt;"","Data Source Error",""))))</f>
        <v>0</v>
      </c>
      <c r="O214" s="187"/>
      <c r="P214" s="580"/>
      <c r="Q214" s="900" t="str">
        <f ca="1">IF(OR($H$7&lt;4,Q$197&lt;1),"",IF(P214&lt;&gt;"",P214,IFERROR(IF(INDIRECT("'"&amp;P$86&amp;"'!"&amp;VLOOKUP(P$87,'List Values'!$C$3:$D$6,2,FALSE)&amp;ROW(P214))="","",INDIRECT("'"&amp;P$86&amp;"'!"&amp;VLOOKUP(P$87,'List Values'!$C$3:$D$6,2,FALSE)&amp;ROW(P214))),IF(P$86&lt;&gt;"","Data Source Error",""))))</f>
        <v/>
      </c>
      <c r="S214" s="580"/>
      <c r="T214" s="900" t="str">
        <f ca="1">IF(OR($H$7&lt;5,T$197&lt;1),"",IF(S214&lt;&gt;"",S214,IFERROR(IF(INDIRECT("'"&amp;S$86&amp;"'!"&amp;VLOOKUP(S$87,'List Values'!$C$3:$D$6,2,FALSE)&amp;ROW(S214))="","",INDIRECT("'"&amp;S$86&amp;"'!"&amp;VLOOKUP(S$87,'List Values'!$C$3:$D$6,2,FALSE)&amp;ROW(S214))),IF(S$86&lt;&gt;"","Data Source Error",""))))</f>
        <v/>
      </c>
      <c r="V214" s="580"/>
      <c r="W214" s="911" t="str">
        <f ca="1">IF(OR($H$7&lt;6,W$197&lt;1),"",IF(V214&lt;&gt;"",V214,IFERROR(IF(INDIRECT("'"&amp;V$86&amp;"'!"&amp;VLOOKUP(V$87,'List Values'!$C$3:$D$6,2,FALSE)&amp;ROW(V214))="","",INDIRECT("'"&amp;V$86&amp;"'!"&amp;VLOOKUP(V$87,'List Values'!$C$3:$D$6,2,FALSE)&amp;ROW(V214))),IF(V$86&lt;&gt;"","Data Source Error",""))))</f>
        <v/>
      </c>
      <c r="Y214" s="2643"/>
      <c r="Z214" s="2644"/>
      <c r="AA214" s="2644"/>
      <c r="AB214" s="2645"/>
    </row>
    <row r="215" spans="1:28" ht="31.5" hidden="1" customHeight="1" outlineLevel="1">
      <c r="A215" s="512"/>
      <c r="B215" s="2051"/>
      <c r="C215" s="2680" t="s">
        <v>2528</v>
      </c>
      <c r="D215" s="2680"/>
      <c r="E215" s="2041"/>
      <c r="F215" s="2041"/>
      <c r="G215" s="636"/>
      <c r="H215" s="637"/>
      <c r="I215" s="187"/>
      <c r="J215" s="580"/>
      <c r="K215" s="900" t="str">
        <f ca="1">IF(OR($H$7&lt;2,K$197&lt;1),"",IF(J215&lt;&gt;"",J215,IFERROR(IF(INDIRECT("'"&amp;J$86&amp;"'!"&amp;VLOOKUP(J$87,'List Values'!$C$3:$D$6,2,FALSE)&amp;ROW(J215))="","",INDIRECT("'"&amp;J$86&amp;"'!"&amp;VLOOKUP(J$87,'List Values'!$C$3:$D$6,2,FALSE)&amp;ROW(J215))),IF(J$86&lt;&gt;"","Data Source Error",""))))</f>
        <v/>
      </c>
      <c r="L215" s="187"/>
      <c r="M215" s="580"/>
      <c r="N215" s="900">
        <f ca="1">IF(OR($H$7&lt;3,N$197&lt;1),"",IF(M215&lt;&gt;"",M215,IFERROR(IF(INDIRECT("'"&amp;M$86&amp;"'!"&amp;VLOOKUP(M$87,'List Values'!$C$3:$D$6,2,FALSE)&amp;ROW(M215))="","",INDIRECT("'"&amp;M$86&amp;"'!"&amp;VLOOKUP(M$87,'List Values'!$C$3:$D$6,2,FALSE)&amp;ROW(M215))),IF(M$86&lt;&gt;"","Data Source Error",""))))</f>
        <v>0</v>
      </c>
      <c r="O215" s="187"/>
      <c r="P215" s="580"/>
      <c r="Q215" s="900" t="str">
        <f ca="1">IF(OR($H$7&lt;4,Q$197&lt;1),"",IF(P215&lt;&gt;"",P215,IFERROR(IF(INDIRECT("'"&amp;P$86&amp;"'!"&amp;VLOOKUP(P$87,'List Values'!$C$3:$D$6,2,FALSE)&amp;ROW(P215))="","",INDIRECT("'"&amp;P$86&amp;"'!"&amp;VLOOKUP(P$87,'List Values'!$C$3:$D$6,2,FALSE)&amp;ROW(P215))),IF(P$86&lt;&gt;"","Data Source Error",""))))</f>
        <v/>
      </c>
      <c r="S215" s="580"/>
      <c r="T215" s="900" t="str">
        <f ca="1">IF(OR($H$7&lt;5,T$197&lt;1),"",IF(S215&lt;&gt;"",S215,IFERROR(IF(INDIRECT("'"&amp;S$86&amp;"'!"&amp;VLOOKUP(S$87,'List Values'!$C$3:$D$6,2,FALSE)&amp;ROW(S215))="","",INDIRECT("'"&amp;S$86&amp;"'!"&amp;VLOOKUP(S$87,'List Values'!$C$3:$D$6,2,FALSE)&amp;ROW(S215))),IF(S$86&lt;&gt;"","Data Source Error",""))))</f>
        <v/>
      </c>
      <c r="V215" s="580"/>
      <c r="W215" s="911" t="str">
        <f ca="1">IF(OR($H$7&lt;6,W$197&lt;1),"",IF(V215&lt;&gt;"",V215,IFERROR(IF(INDIRECT("'"&amp;V$86&amp;"'!"&amp;VLOOKUP(V$87,'List Values'!$C$3:$D$6,2,FALSE)&amp;ROW(V215))="","",INDIRECT("'"&amp;V$86&amp;"'!"&amp;VLOOKUP(V$87,'List Values'!$C$3:$D$6,2,FALSE)&amp;ROW(V215))),IF(V$86&lt;&gt;"","Data Source Error",""))))</f>
        <v/>
      </c>
      <c r="Y215" s="2643"/>
      <c r="Z215" s="2644"/>
      <c r="AA215" s="2644"/>
      <c r="AB215" s="2645"/>
    </row>
    <row r="216" spans="1:28" ht="15.75" hidden="1" customHeight="1" outlineLevel="1">
      <c r="A216" s="512"/>
      <c r="B216" s="2051"/>
      <c r="C216" s="2680" t="s">
        <v>650</v>
      </c>
      <c r="D216" s="2680"/>
      <c r="E216" s="2041"/>
      <c r="F216" s="2041"/>
      <c r="G216" s="636"/>
      <c r="H216" s="637"/>
      <c r="I216" s="187"/>
      <c r="J216" s="580"/>
      <c r="K216" s="900" t="str">
        <f ca="1">IF(OR($H$7&lt;2,K$197&lt;1),"",IF(J216&lt;&gt;"",J216,IFERROR(IF(INDIRECT("'"&amp;J$86&amp;"'!"&amp;VLOOKUP(J$87,'List Values'!$C$3:$D$6,2,FALSE)&amp;ROW(J216))="","",INDIRECT("'"&amp;J$86&amp;"'!"&amp;VLOOKUP(J$87,'List Values'!$C$3:$D$6,2,FALSE)&amp;ROW(J216))),IF(J$86&lt;&gt;"","Data Source Error",""))))</f>
        <v/>
      </c>
      <c r="L216" s="187"/>
      <c r="M216" s="580"/>
      <c r="N216" s="900">
        <f ca="1">IF(OR($H$7&lt;3,N$197&lt;1),"",IF(M216&lt;&gt;"",M216,IFERROR(IF(INDIRECT("'"&amp;M$86&amp;"'!"&amp;VLOOKUP(M$87,'List Values'!$C$3:$D$6,2,FALSE)&amp;ROW(M216))="","",INDIRECT("'"&amp;M$86&amp;"'!"&amp;VLOOKUP(M$87,'List Values'!$C$3:$D$6,2,FALSE)&amp;ROW(M216))),IF(M$86&lt;&gt;"","Data Source Error",""))))</f>
        <v>30</v>
      </c>
      <c r="O216" s="187"/>
      <c r="P216" s="580"/>
      <c r="Q216" s="900" t="str">
        <f ca="1">IF(OR($H$7&lt;4,Q$197&lt;1),"",IF(P216&lt;&gt;"",P216,IFERROR(IF(INDIRECT("'"&amp;P$86&amp;"'!"&amp;VLOOKUP(P$87,'List Values'!$C$3:$D$6,2,FALSE)&amp;ROW(P216))="","",INDIRECT("'"&amp;P$86&amp;"'!"&amp;VLOOKUP(P$87,'List Values'!$C$3:$D$6,2,FALSE)&amp;ROW(P216))),IF(P$86&lt;&gt;"","Data Source Error",""))))</f>
        <v/>
      </c>
      <c r="S216" s="580"/>
      <c r="T216" s="900" t="str">
        <f ca="1">IF(OR($H$7&lt;5,T$197&lt;1),"",IF(S216&lt;&gt;"",S216,IFERROR(IF(INDIRECT("'"&amp;S$86&amp;"'!"&amp;VLOOKUP(S$87,'List Values'!$C$3:$D$6,2,FALSE)&amp;ROW(S216))="","",INDIRECT("'"&amp;S$86&amp;"'!"&amp;VLOOKUP(S$87,'List Values'!$C$3:$D$6,2,FALSE)&amp;ROW(S216))),IF(S$86&lt;&gt;"","Data Source Error",""))))</f>
        <v/>
      </c>
      <c r="V216" s="580"/>
      <c r="W216" s="911" t="str">
        <f ca="1">IF(OR($H$7&lt;6,W$197&lt;1),"",IF(V216&lt;&gt;"",V216,IFERROR(IF(INDIRECT("'"&amp;V$86&amp;"'!"&amp;VLOOKUP(V$87,'List Values'!$C$3:$D$6,2,FALSE)&amp;ROW(V216))="","",INDIRECT("'"&amp;V$86&amp;"'!"&amp;VLOOKUP(V$87,'List Values'!$C$3:$D$6,2,FALSE)&amp;ROW(V216))),IF(V$86&lt;&gt;"","Data Source Error",""))))</f>
        <v/>
      </c>
      <c r="Y216" s="2643"/>
      <c r="Z216" s="2644"/>
      <c r="AA216" s="2644"/>
      <c r="AB216" s="2645"/>
    </row>
    <row r="217" spans="1:28" ht="31.5" hidden="1" customHeight="1" outlineLevel="1">
      <c r="A217" s="512"/>
      <c r="B217" s="2052"/>
      <c r="C217" s="2680" t="s">
        <v>651</v>
      </c>
      <c r="D217" s="2680"/>
      <c r="E217" s="494"/>
      <c r="F217" s="494"/>
      <c r="G217" s="642"/>
      <c r="H217" s="643"/>
      <c r="I217" s="196"/>
      <c r="J217" s="624"/>
      <c r="K217" s="902" t="str">
        <f ca="1">IF(OR($H$7&lt;2,K$197&lt;1),"",IF(J217&lt;&gt;"",J217,IFERROR(IF(INDIRECT("'"&amp;J$86&amp;"'!"&amp;VLOOKUP(J$87,'List Values'!$C$3:$D$6,2,FALSE)&amp;ROW(J217))="","",INDIRECT("'"&amp;J$86&amp;"'!"&amp;VLOOKUP(J$87,'List Values'!$C$3:$D$6,2,FALSE)&amp;ROW(J217))),IF(J$86&lt;&gt;"","Data Source Error",""))))</f>
        <v/>
      </c>
      <c r="L217" s="196"/>
      <c r="M217" s="624"/>
      <c r="N217" s="902">
        <f ca="1">IF(OR($H$7&lt;3,N$197&lt;1),"",IF(M217&lt;&gt;"",M217,IFERROR(IF(INDIRECT("'"&amp;M$86&amp;"'!"&amp;VLOOKUP(M$87,'List Values'!$C$3:$D$6,2,FALSE)&amp;ROW(M217))="","",INDIRECT("'"&amp;M$86&amp;"'!"&amp;VLOOKUP(M$87,'List Values'!$C$3:$D$6,2,FALSE)&amp;ROW(M217))),IF(M$86&lt;&gt;"","Data Source Error",""))))</f>
        <v>100</v>
      </c>
      <c r="O217" s="196"/>
      <c r="P217" s="624"/>
      <c r="Q217" s="902" t="str">
        <f ca="1">IF(OR($H$7&lt;4,Q$197&lt;1),"",IF(P217&lt;&gt;"",P217,IFERROR(IF(INDIRECT("'"&amp;P$86&amp;"'!"&amp;VLOOKUP(P$87,'List Values'!$C$3:$D$6,2,FALSE)&amp;ROW(P217))="","",INDIRECT("'"&amp;P$86&amp;"'!"&amp;VLOOKUP(P$87,'List Values'!$C$3:$D$6,2,FALSE)&amp;ROW(P217))),IF(P$86&lt;&gt;"","Data Source Error",""))))</f>
        <v/>
      </c>
      <c r="R217" s="236"/>
      <c r="S217" s="624"/>
      <c r="T217" s="902" t="str">
        <f ca="1">IF(OR($H$7&lt;5,T$197&lt;1),"",IF(S217&lt;&gt;"",S217,IFERROR(IF(INDIRECT("'"&amp;S$86&amp;"'!"&amp;VLOOKUP(S$87,'List Values'!$C$3:$D$6,2,FALSE)&amp;ROW(S217))="","",INDIRECT("'"&amp;S$86&amp;"'!"&amp;VLOOKUP(S$87,'List Values'!$C$3:$D$6,2,FALSE)&amp;ROW(S217))),IF(S$86&lt;&gt;"","Data Source Error",""))))</f>
        <v/>
      </c>
      <c r="U217" s="236"/>
      <c r="V217" s="624"/>
      <c r="W217" s="982" t="str">
        <f ca="1">IF(OR($H$7&lt;6,W$197&lt;1),"",IF(V217&lt;&gt;"",V217,IFERROR(IF(INDIRECT("'"&amp;V$86&amp;"'!"&amp;VLOOKUP(V$87,'List Values'!$C$3:$D$6,2,FALSE)&amp;ROW(V217))="","",INDIRECT("'"&amp;V$86&amp;"'!"&amp;VLOOKUP(V$87,'List Values'!$C$3:$D$6,2,FALSE)&amp;ROW(V217))),IF(V$86&lt;&gt;"","Data Source Error",""))))</f>
        <v/>
      </c>
      <c r="Y217" s="2643"/>
      <c r="Z217" s="2644"/>
      <c r="AA217" s="2644"/>
      <c r="AB217" s="2645"/>
    </row>
    <row r="218" spans="1:28" ht="20.25" customHeight="1" collapsed="1">
      <c r="A218" s="808"/>
      <c r="B218" s="2049" t="s">
        <v>617</v>
      </c>
      <c r="C218" s="604"/>
      <c r="D218" s="604"/>
      <c r="E218" s="604"/>
      <c r="F218" s="604"/>
      <c r="G218" s="604"/>
      <c r="H218" s="604"/>
      <c r="I218" s="608"/>
      <c r="J218" s="610"/>
      <c r="K218" s="970"/>
      <c r="L218" s="608"/>
      <c r="M218" s="610"/>
      <c r="N218" s="970"/>
      <c r="O218" s="608"/>
      <c r="P218" s="610"/>
      <c r="Q218" s="970"/>
      <c r="R218" s="608"/>
      <c r="S218" s="610"/>
      <c r="T218" s="970"/>
      <c r="U218" s="608"/>
      <c r="V218" s="610"/>
      <c r="W218" s="970"/>
      <c r="Y218" s="631"/>
      <c r="Z218" s="631"/>
      <c r="AA218" s="631"/>
      <c r="AB218" s="631"/>
    </row>
    <row r="219" spans="1:28" ht="17.25" hidden="1" customHeight="1" outlineLevel="1">
      <c r="A219" s="513"/>
      <c r="B219" s="2051"/>
      <c r="C219" s="2580" t="s">
        <v>731</v>
      </c>
      <c r="D219" s="2580"/>
      <c r="E219" s="202"/>
      <c r="F219" s="202"/>
      <c r="G219" s="634"/>
      <c r="H219" s="635"/>
      <c r="I219" s="183"/>
      <c r="J219" s="628"/>
      <c r="K219" s="967" t="str">
        <f ca="1">IF(OR($H$7&lt;2,K$197&lt;2),"",IF(J219&lt;&gt;"",J219,IFERROR(IF(INDIRECT("'"&amp;J$86&amp;"'!"&amp;VLOOKUP(J$87,'List Values'!$C$3:$D$6,2,FALSE)&amp;ROW(J219))="","",INDIRECT("'"&amp;J$86&amp;"'!"&amp;VLOOKUP(J$87,'List Values'!$C$3:$D$6,2,FALSE)&amp;ROW(J219))),IF(J$86&lt;&gt;"","Data Source Error",""))))</f>
        <v/>
      </c>
      <c r="L219" s="629"/>
      <c r="M219" s="628"/>
      <c r="N219" s="967" t="str">
        <f ca="1">IF(OR($H$7&lt;3,N$197&lt;2),"",IF(M219&lt;&gt;"",M219,IFERROR(IF(INDIRECT("'"&amp;M$86&amp;"'!"&amp;VLOOKUP(M$87,'List Values'!$C$3:$D$6,2,FALSE)&amp;ROW(M219))="","",INDIRECT("'"&amp;M$86&amp;"'!"&amp;VLOOKUP(M$87,'List Values'!$C$3:$D$6,2,FALSE)&amp;ROW(M219))),IF(M$86&lt;&gt;"","Data Source Error",""))))</f>
        <v/>
      </c>
      <c r="O219" s="629"/>
      <c r="P219" s="628"/>
      <c r="Q219" s="967" t="str">
        <f ca="1">IF(OR($H$7&lt;4,Q$197&lt;2),"",IF(P219&lt;&gt;"",P219,IFERROR(IF(INDIRECT("'"&amp;P$86&amp;"'!"&amp;VLOOKUP(P$87,'List Values'!$C$3:$D$6,2,FALSE)&amp;ROW(P219))="","",INDIRECT("'"&amp;P$86&amp;"'!"&amp;VLOOKUP(P$87,'List Values'!$C$3:$D$6,2,FALSE)&amp;ROW(P219))),IF(P$86&lt;&gt;"","Data Source Error",""))))</f>
        <v/>
      </c>
      <c r="R219" s="147"/>
      <c r="S219" s="628"/>
      <c r="T219" s="967" t="str">
        <f ca="1">IF(OR($H$7&lt;5,T$197&lt;2),"",IF(S219&lt;&gt;"",S219,IFERROR(IF(INDIRECT("'"&amp;S$86&amp;"'!"&amp;VLOOKUP(S$87,'List Values'!$C$3:$D$6,2,FALSE)&amp;ROW(S219))="","",INDIRECT("'"&amp;S$86&amp;"'!"&amp;VLOOKUP(S$87,'List Values'!$C$3:$D$6,2,FALSE)&amp;ROW(S219))),IF(S$86&lt;&gt;"","Data Source Error",""))))</f>
        <v/>
      </c>
      <c r="U219" s="147"/>
      <c r="V219" s="628"/>
      <c r="W219" s="973" t="str">
        <f ca="1">IF(OR($H$7&lt;6,W$197&lt;2),"",IF(V219&lt;&gt;"",V219,IFERROR(IF(INDIRECT("'"&amp;V$86&amp;"'!"&amp;VLOOKUP(V$87,'List Values'!$C$3:$D$6,2,FALSE)&amp;ROW(V219))="","",INDIRECT("'"&amp;V$86&amp;"'!"&amp;VLOOKUP(V$87,'List Values'!$C$3:$D$6,2,FALSE)&amp;ROW(V219))),IF(V$86&lt;&gt;"","Data Source Error",""))))</f>
        <v/>
      </c>
      <c r="Y219" s="2643"/>
      <c r="Z219" s="2644"/>
      <c r="AA219" s="2644"/>
      <c r="AB219" s="2645"/>
    </row>
    <row r="220" spans="1:28" ht="17.25" hidden="1" customHeight="1" outlineLevel="1">
      <c r="A220" s="513"/>
      <c r="B220" s="2051"/>
      <c r="C220" s="2680" t="s">
        <v>626</v>
      </c>
      <c r="D220" s="2680"/>
      <c r="E220" s="202"/>
      <c r="F220" s="202"/>
      <c r="G220" s="634"/>
      <c r="H220" s="635"/>
      <c r="I220" s="187"/>
      <c r="J220" s="526"/>
      <c r="K220" s="900" t="str">
        <f ca="1">IF(OR($H$7&lt;2,K$197&lt;2),"",IF(J220&lt;&gt;"",J220,IFERROR(IF(INDIRECT("'"&amp;J$86&amp;"'!"&amp;VLOOKUP(J$87,'List Values'!$C$3:$D$6,2,FALSE)&amp;ROW(J220))="","",INDIRECT("'"&amp;J$86&amp;"'!"&amp;VLOOKUP(J$87,'List Values'!$C$3:$D$6,2,FALSE)&amp;ROW(J220))),IF(J$86&lt;&gt;"","Data Source Error",""))))</f>
        <v/>
      </c>
      <c r="L220" s="187"/>
      <c r="M220" s="526"/>
      <c r="N220" s="900" t="str">
        <f ca="1">IF(OR($H$7&lt;3,N$197&lt;2),"",IF(M220&lt;&gt;"",M220,IFERROR(IF(INDIRECT("'"&amp;M$86&amp;"'!"&amp;VLOOKUP(M$87,'List Values'!$C$3:$D$6,2,FALSE)&amp;ROW(M220))="","",INDIRECT("'"&amp;M$86&amp;"'!"&amp;VLOOKUP(M$87,'List Values'!$C$3:$D$6,2,FALSE)&amp;ROW(M220))),IF(M$86&lt;&gt;"","Data Source Error",""))))</f>
        <v/>
      </c>
      <c r="O220" s="187"/>
      <c r="P220" s="526"/>
      <c r="Q220" s="900" t="str">
        <f ca="1">IF(OR($H$7&lt;4,Q$197&lt;2),"",IF(P220&lt;&gt;"",P220,IFERROR(IF(INDIRECT("'"&amp;P$86&amp;"'!"&amp;VLOOKUP(P$87,'List Values'!$C$3:$D$6,2,FALSE)&amp;ROW(P220))="","",INDIRECT("'"&amp;P$86&amp;"'!"&amp;VLOOKUP(P$87,'List Values'!$C$3:$D$6,2,FALSE)&amp;ROW(P220))),IF(P$86&lt;&gt;"","Data Source Error",""))))</f>
        <v/>
      </c>
      <c r="S220" s="526"/>
      <c r="T220" s="900" t="str">
        <f ca="1">IF(OR($H$7&lt;5,T$197&lt;2),"",IF(S220&lt;&gt;"",S220,IFERROR(IF(INDIRECT("'"&amp;S$86&amp;"'!"&amp;VLOOKUP(S$87,'List Values'!$C$3:$D$6,2,FALSE)&amp;ROW(S220))="","",INDIRECT("'"&amp;S$86&amp;"'!"&amp;VLOOKUP(S$87,'List Values'!$C$3:$D$6,2,FALSE)&amp;ROW(S220))),IF(S$86&lt;&gt;"","Data Source Error",""))))</f>
        <v/>
      </c>
      <c r="V220" s="526"/>
      <c r="W220" s="911" t="str">
        <f ca="1">IF(OR($H$7&lt;6,W$197&lt;2),"",IF(V220&lt;&gt;"",V220,IFERROR(IF(INDIRECT("'"&amp;V$86&amp;"'!"&amp;VLOOKUP(V$87,'List Values'!$C$3:$D$6,2,FALSE)&amp;ROW(V220))="","",INDIRECT("'"&amp;V$86&amp;"'!"&amp;VLOOKUP(V$87,'List Values'!$C$3:$D$6,2,FALSE)&amp;ROW(V220))),IF(V$86&lt;&gt;"","Data Source Error",""))))</f>
        <v/>
      </c>
      <c r="Y220" s="2643"/>
      <c r="Z220" s="2644"/>
      <c r="AA220" s="2644"/>
      <c r="AB220" s="2645"/>
    </row>
    <row r="221" spans="1:28" ht="31" hidden="1" customHeight="1" outlineLevel="1">
      <c r="A221" s="513"/>
      <c r="B221" s="2051"/>
      <c r="C221" s="2680" t="s">
        <v>2520</v>
      </c>
      <c r="D221" s="2680"/>
      <c r="E221" s="202"/>
      <c r="F221" s="202"/>
      <c r="G221" s="634"/>
      <c r="H221" s="635"/>
      <c r="I221" s="187"/>
      <c r="J221" s="561"/>
      <c r="K221" s="900" t="str">
        <f ca="1">IF(OR($H$7&lt;2,K$197&lt;2),"",IF(J221&lt;&gt;"",J221,IFERROR(IF(INDIRECT("'"&amp;J$86&amp;"'!"&amp;VLOOKUP(J$87,'List Values'!$C$3:$D$6,2,FALSE)&amp;ROW(J221))="","",INDIRECT("'"&amp;J$86&amp;"'!"&amp;VLOOKUP(J$87,'List Values'!$C$3:$D$6,2,FALSE)&amp;ROW(J221))),IF(J$86&lt;&gt;"","Data Source Error",""))))</f>
        <v/>
      </c>
      <c r="L221" s="187"/>
      <c r="M221" s="561"/>
      <c r="N221" s="900" t="str">
        <f ca="1">IF(OR($H$7&lt;3,N$197&lt;2),"",IF(M221&lt;&gt;"",M221,IFERROR(IF(INDIRECT("'"&amp;M$86&amp;"'!"&amp;VLOOKUP(M$87,'List Values'!$C$3:$D$6,2,FALSE)&amp;ROW(M221))="","",INDIRECT("'"&amp;M$86&amp;"'!"&amp;VLOOKUP(M$87,'List Values'!$C$3:$D$6,2,FALSE)&amp;ROW(M221))),IF(M$86&lt;&gt;"","Data Source Error",""))))</f>
        <v/>
      </c>
      <c r="O221" s="187"/>
      <c r="P221" s="561"/>
      <c r="Q221" s="900" t="str">
        <f ca="1">IF(OR($H$7&lt;4,Q$197&lt;2),"",IF(P221&lt;&gt;"",P221,IFERROR(IF(INDIRECT("'"&amp;P$86&amp;"'!"&amp;VLOOKUP(P$87,'List Values'!$C$3:$D$6,2,FALSE)&amp;ROW(P221))="","",INDIRECT("'"&amp;P$86&amp;"'!"&amp;VLOOKUP(P$87,'List Values'!$C$3:$D$6,2,FALSE)&amp;ROW(P221))),IF(P$86&lt;&gt;"","Data Source Error",""))))</f>
        <v/>
      </c>
      <c r="S221" s="561"/>
      <c r="T221" s="900" t="str">
        <f ca="1">IF(OR($H$7&lt;5,T$197&lt;2),"",IF(S221&lt;&gt;"",S221,IFERROR(IF(INDIRECT("'"&amp;S$86&amp;"'!"&amp;VLOOKUP(S$87,'List Values'!$C$3:$D$6,2,FALSE)&amp;ROW(S221))="","",INDIRECT("'"&amp;S$86&amp;"'!"&amp;VLOOKUP(S$87,'List Values'!$C$3:$D$6,2,FALSE)&amp;ROW(S221))),IF(S$86&lt;&gt;"","Data Source Error",""))))</f>
        <v/>
      </c>
      <c r="V221" s="561"/>
      <c r="W221" s="911" t="str">
        <f ca="1">IF(OR($H$7&lt;6,W$197&lt;2),"",IF(V221&lt;&gt;"",V221,IFERROR(IF(INDIRECT("'"&amp;V$86&amp;"'!"&amp;VLOOKUP(V$87,'List Values'!$C$3:$D$6,2,FALSE)&amp;ROW(V221))="","",INDIRECT("'"&amp;V$86&amp;"'!"&amp;VLOOKUP(V$87,'List Values'!$C$3:$D$6,2,FALSE)&amp;ROW(V221))),IF(V$86&lt;&gt;"","Data Source Error",""))))</f>
        <v/>
      </c>
      <c r="Y221" s="2643"/>
      <c r="Z221" s="2644"/>
      <c r="AA221" s="2644"/>
      <c r="AB221" s="2645"/>
    </row>
    <row r="222" spans="1:28" ht="31" hidden="1" customHeight="1" outlineLevel="1">
      <c r="A222" s="513"/>
      <c r="B222" s="2051"/>
      <c r="C222" s="2684" t="s">
        <v>726</v>
      </c>
      <c r="D222" s="2684"/>
      <c r="E222" s="202"/>
      <c r="F222" s="202"/>
      <c r="G222" s="634"/>
      <c r="H222" s="635"/>
      <c r="I222" s="187"/>
      <c r="J222" s="526"/>
      <c r="K222" s="900" t="str">
        <f ca="1">IF(OR($H$7&lt;2,K$197&lt;2),"",IF(J222&lt;&gt;"",J222,IFERROR(IF(INDIRECT("'"&amp;J$86&amp;"'!"&amp;VLOOKUP(J$87,'List Values'!$C$3:$D$6,2,FALSE)&amp;ROW(J222))="","",INDIRECT("'"&amp;J$86&amp;"'!"&amp;VLOOKUP(J$87,'List Values'!$C$3:$D$6,2,FALSE)&amp;ROW(J222))),IF(J$86&lt;&gt;"","Data Source Error",""))))</f>
        <v/>
      </c>
      <c r="L222" s="187"/>
      <c r="M222" s="526"/>
      <c r="N222" s="900" t="str">
        <f ca="1">IF(OR($H$7&lt;3,N$197&lt;2),"",IF(M222&lt;&gt;"",M222,IFERROR(IF(INDIRECT("'"&amp;M$86&amp;"'!"&amp;VLOOKUP(M$87,'List Values'!$C$3:$D$6,2,FALSE)&amp;ROW(M222))="","",INDIRECT("'"&amp;M$86&amp;"'!"&amp;VLOOKUP(M$87,'List Values'!$C$3:$D$6,2,FALSE)&amp;ROW(M222))),IF(M$86&lt;&gt;"","Data Source Error",""))))</f>
        <v/>
      </c>
      <c r="O222" s="187"/>
      <c r="P222" s="526"/>
      <c r="Q222" s="900" t="str">
        <f ca="1">IF(OR($H$7&lt;4,Q$197&lt;2),"",IF(P222&lt;&gt;"",P222,IFERROR(IF(INDIRECT("'"&amp;P$86&amp;"'!"&amp;VLOOKUP(P$87,'List Values'!$C$3:$D$6,2,FALSE)&amp;ROW(P222))="","",INDIRECT("'"&amp;P$86&amp;"'!"&amp;VLOOKUP(P$87,'List Values'!$C$3:$D$6,2,FALSE)&amp;ROW(P222))),IF(P$86&lt;&gt;"","Data Source Error",""))))</f>
        <v/>
      </c>
      <c r="S222" s="526"/>
      <c r="T222" s="900" t="str">
        <f ca="1">IF(OR($H$7&lt;5,T$197&lt;2),"",IF(S222&lt;&gt;"",S222,IFERROR(IF(INDIRECT("'"&amp;S$86&amp;"'!"&amp;VLOOKUP(S$87,'List Values'!$C$3:$D$6,2,FALSE)&amp;ROW(S222))="","",INDIRECT("'"&amp;S$86&amp;"'!"&amp;VLOOKUP(S$87,'List Values'!$C$3:$D$6,2,FALSE)&amp;ROW(S222))),IF(S$86&lt;&gt;"","Data Source Error",""))))</f>
        <v/>
      </c>
      <c r="V222" s="526"/>
      <c r="W222" s="911" t="str">
        <f ca="1">IF(OR($H$7&lt;6,W$197&lt;2),"",IF(V222&lt;&gt;"",V222,IFERROR(IF(INDIRECT("'"&amp;V$86&amp;"'!"&amp;VLOOKUP(V$87,'List Values'!$C$3:$D$6,2,FALSE)&amp;ROW(V222))="","",INDIRECT("'"&amp;V$86&amp;"'!"&amp;VLOOKUP(V$87,'List Values'!$C$3:$D$6,2,FALSE)&amp;ROW(V222))),IF(V$86&lt;&gt;"","Data Source Error",""))))</f>
        <v/>
      </c>
      <c r="Y222" s="2643"/>
      <c r="Z222" s="2644"/>
      <c r="AA222" s="2644"/>
      <c r="AB222" s="2645"/>
    </row>
    <row r="223" spans="1:28" ht="33" hidden="1" customHeight="1" outlineLevel="1">
      <c r="A223" s="513"/>
      <c r="B223" s="2051"/>
      <c r="C223" s="2684" t="s">
        <v>727</v>
      </c>
      <c r="D223" s="2684"/>
      <c r="E223" s="202"/>
      <c r="F223" s="202"/>
      <c r="G223" s="634"/>
      <c r="H223" s="635"/>
      <c r="I223" s="187"/>
      <c r="J223" s="568"/>
      <c r="K223" s="945" t="str">
        <f ca="1">IF(OR($H$7&lt;2,K$197&lt;2),"",IF(J223&lt;&gt;"",J223,IFERROR(IF(INDIRECT("'"&amp;J$86&amp;"'!"&amp;VLOOKUP(J$87,'List Values'!$C$3:$D$6,2,FALSE)&amp;ROW(J223))="","",INDIRECT("'"&amp;J$86&amp;"'!"&amp;VLOOKUP(J$87,'List Values'!$C$3:$D$6,2,FALSE)&amp;ROW(J223))*$H$6),IF(J$86&lt;&gt;"","Data Source Error",""))))</f>
        <v/>
      </c>
      <c r="L223" s="339"/>
      <c r="M223" s="568"/>
      <c r="N223" s="945" t="str">
        <f ca="1">IF(OR($H$7&lt;3,N$197&lt;2),"",IF(M223&lt;&gt;"",M223,IFERROR(IF(INDIRECT("'"&amp;M$86&amp;"'!"&amp;VLOOKUP(M$87,'List Values'!$C$3:$D$6,2,FALSE)&amp;ROW(M223))="","",INDIRECT("'"&amp;M$86&amp;"'!"&amp;VLOOKUP(M$87,'List Values'!$C$3:$D$6,2,FALSE)&amp;ROW(M223))*$H$6),IF(M$86&lt;&gt;"","Data Source Error",""))))</f>
        <v/>
      </c>
      <c r="O223" s="339"/>
      <c r="P223" s="568"/>
      <c r="Q223" s="945" t="str">
        <f ca="1">IF(OR($H$7&lt;4,Q$197&lt;2),"",IF(P223&lt;&gt;"",P223,IFERROR(IF(INDIRECT("'"&amp;P$86&amp;"'!"&amp;VLOOKUP(P$87,'List Values'!$C$3:$D$6,2,FALSE)&amp;ROW(P223))="","",INDIRECT("'"&amp;P$86&amp;"'!"&amp;VLOOKUP(P$87,'List Values'!$C$3:$D$6,2,FALSE)&amp;ROW(P223))*$H$6),IF(P$86&lt;&gt;"","Data Source Error",""))))</f>
        <v/>
      </c>
      <c r="R223" s="7"/>
      <c r="S223" s="568"/>
      <c r="T223" s="945" t="str">
        <f ca="1">IF(OR($H$7&lt;5,T$197&lt;2),"",IF(S223&lt;&gt;"",S223,IFERROR(IF(INDIRECT("'"&amp;S$86&amp;"'!"&amp;VLOOKUP(S$87,'List Values'!$C$3:$D$6,2,FALSE)&amp;ROW(S223))="","",INDIRECT("'"&amp;S$86&amp;"'!"&amp;VLOOKUP(S$87,'List Values'!$C$3:$D$6,2,FALSE)&amp;ROW(S223))*$H$6),IF(S$86&lt;&gt;"","Data Source Error",""))))</f>
        <v/>
      </c>
      <c r="U223" s="7"/>
      <c r="V223" s="568"/>
      <c r="W223" s="952" t="str">
        <f ca="1">IF(OR($H$7&lt;6,W$197&lt;2),"",IF(V223&lt;&gt;"",V223,IFERROR(IF(INDIRECT("'"&amp;V$86&amp;"'!"&amp;VLOOKUP(V$87,'List Values'!$C$3:$D$6,2,FALSE)&amp;ROW(V223))="","",INDIRECT("'"&amp;V$86&amp;"'!"&amp;VLOOKUP(V$87,'List Values'!$C$3:$D$6,2,FALSE)&amp;ROW(V223))*$H$6),IF(V$86&lt;&gt;"","Data Source Error",""))))</f>
        <v/>
      </c>
      <c r="Y223" s="2643"/>
      <c r="Z223" s="2644"/>
      <c r="AA223" s="2644"/>
      <c r="AB223" s="2645"/>
    </row>
    <row r="224" spans="1:28" ht="17.25" hidden="1" customHeight="1" outlineLevel="1">
      <c r="A224" s="513"/>
      <c r="B224" s="2051"/>
      <c r="C224" s="2680" t="s">
        <v>732</v>
      </c>
      <c r="D224" s="2680"/>
      <c r="E224" s="202"/>
      <c r="F224" s="202"/>
      <c r="G224" s="634"/>
      <c r="H224" s="635"/>
      <c r="I224" s="187"/>
      <c r="J224" s="526"/>
      <c r="K224" s="900" t="str">
        <f ca="1">IF(OR($H$7&lt;2,K$197&lt;2),"",IF(J224&lt;&gt;"",J224,IFERROR(IF(INDIRECT("'"&amp;J$86&amp;"'!"&amp;VLOOKUP(J$87,'List Values'!$C$3:$D$6,2,FALSE)&amp;ROW(J224))="","",INDIRECT("'"&amp;J$86&amp;"'!"&amp;VLOOKUP(J$87,'List Values'!$C$3:$D$6,2,FALSE)&amp;ROW(J224))),IF(J$86&lt;&gt;"","Data Source Error",""))))</f>
        <v/>
      </c>
      <c r="L224" s="187"/>
      <c r="M224" s="526"/>
      <c r="N224" s="900" t="str">
        <f ca="1">IF(OR($H$7&lt;3,N$197&lt;2),"",IF(M224&lt;&gt;"",M224,IFERROR(IF(INDIRECT("'"&amp;M$86&amp;"'!"&amp;VLOOKUP(M$87,'List Values'!$C$3:$D$6,2,FALSE)&amp;ROW(M224))="","",INDIRECT("'"&amp;M$86&amp;"'!"&amp;VLOOKUP(M$87,'List Values'!$C$3:$D$6,2,FALSE)&amp;ROW(M224))),IF(M$86&lt;&gt;"","Data Source Error",""))))</f>
        <v/>
      </c>
      <c r="O224" s="187"/>
      <c r="P224" s="526"/>
      <c r="Q224" s="900" t="str">
        <f ca="1">IF(OR($H$7&lt;4,Q$197&lt;2),"",IF(P224&lt;&gt;"",P224,IFERROR(IF(INDIRECT("'"&amp;P$86&amp;"'!"&amp;VLOOKUP(P$87,'List Values'!$C$3:$D$6,2,FALSE)&amp;ROW(P224))="","",INDIRECT("'"&amp;P$86&amp;"'!"&amp;VLOOKUP(P$87,'List Values'!$C$3:$D$6,2,FALSE)&amp;ROW(P224))),IF(P$86&lt;&gt;"","Data Source Error",""))))</f>
        <v/>
      </c>
      <c r="S224" s="526"/>
      <c r="T224" s="900" t="str">
        <f ca="1">IF(OR($H$7&lt;5,T$197&lt;2),"",IF(S224&lt;&gt;"",S224,IFERROR(IF(INDIRECT("'"&amp;S$86&amp;"'!"&amp;VLOOKUP(S$87,'List Values'!$C$3:$D$6,2,FALSE)&amp;ROW(S224))="","",INDIRECT("'"&amp;S$86&amp;"'!"&amp;VLOOKUP(S$87,'List Values'!$C$3:$D$6,2,FALSE)&amp;ROW(S224))),IF(S$86&lt;&gt;"","Data Source Error",""))))</f>
        <v/>
      </c>
      <c r="V224" s="526"/>
      <c r="W224" s="911" t="str">
        <f ca="1">IF(OR($H$7&lt;6,W$197&lt;2),"",IF(V224&lt;&gt;"",V224,IFERROR(IF(INDIRECT("'"&amp;V$86&amp;"'!"&amp;VLOOKUP(V$87,'List Values'!$C$3:$D$6,2,FALSE)&amp;ROW(V224))="","",INDIRECT("'"&amp;V$86&amp;"'!"&amp;VLOOKUP(V$87,'List Values'!$C$3:$D$6,2,FALSE)&amp;ROW(V224))),IF(V$86&lt;&gt;"","Data Source Error",""))))</f>
        <v/>
      </c>
      <c r="Y224" s="2643"/>
      <c r="Z224" s="2644"/>
      <c r="AA224" s="2644"/>
      <c r="AB224" s="2645"/>
    </row>
    <row r="225" spans="1:28" ht="31" hidden="1" customHeight="1" outlineLevel="1">
      <c r="A225" s="513"/>
      <c r="B225" s="2051"/>
      <c r="C225" s="2684" t="s">
        <v>730</v>
      </c>
      <c r="D225" s="2684"/>
      <c r="E225" s="202"/>
      <c r="F225" s="202"/>
      <c r="G225" s="634"/>
      <c r="H225" s="635"/>
      <c r="I225" s="183"/>
      <c r="J225" s="553"/>
      <c r="K225" s="897" t="str">
        <f ca="1">IF(OR($H$7&lt;2,K$197&lt;2),"",IF(J225&lt;&gt;"",J225,IFERROR(IF(INDIRECT("'"&amp;J$86&amp;"'!"&amp;VLOOKUP(J$87,'List Values'!$C$3:$D$6,2,FALSE)&amp;ROW(J225))="","",INDIRECT("'"&amp;J$86&amp;"'!"&amp;VLOOKUP(J$87,'List Values'!$C$3:$D$6,2,FALSE)&amp;ROW(J225))),IF(J$86&lt;&gt;"","Data Source Error",""))))</f>
        <v/>
      </c>
      <c r="L225" s="183"/>
      <c r="M225" s="553"/>
      <c r="N225" s="897" t="str">
        <f ca="1">IF(OR($H$7&lt;3,N$197&lt;2),"",IF(M225&lt;&gt;"",M225,IFERROR(IF(INDIRECT("'"&amp;M$86&amp;"'!"&amp;VLOOKUP(M$87,'List Values'!$C$3:$D$6,2,FALSE)&amp;ROW(M225))="","",INDIRECT("'"&amp;M$86&amp;"'!"&amp;VLOOKUP(M$87,'List Values'!$C$3:$D$6,2,FALSE)&amp;ROW(M225))),IF(M$86&lt;&gt;"","Data Source Error",""))))</f>
        <v/>
      </c>
      <c r="O225" s="183"/>
      <c r="P225" s="553"/>
      <c r="Q225" s="897" t="str">
        <f ca="1">IF(OR($H$7&lt;4,Q$197&lt;2),"",IF(P225&lt;&gt;"",P225,IFERROR(IF(INDIRECT("'"&amp;P$86&amp;"'!"&amp;VLOOKUP(P$87,'List Values'!$C$3:$D$6,2,FALSE)&amp;ROW(P225))="","",INDIRECT("'"&amp;P$86&amp;"'!"&amp;VLOOKUP(P$87,'List Values'!$C$3:$D$6,2,FALSE)&amp;ROW(P225))),IF(P$86&lt;&gt;"","Data Source Error",""))))</f>
        <v/>
      </c>
      <c r="S225" s="553"/>
      <c r="T225" s="897" t="str">
        <f ca="1">IF(OR($H$7&lt;5,T$197&lt;2),"",IF(S225&lt;&gt;"",S225,IFERROR(IF(INDIRECT("'"&amp;S$86&amp;"'!"&amp;VLOOKUP(S$87,'List Values'!$C$3:$D$6,2,FALSE)&amp;ROW(S225))="","",INDIRECT("'"&amp;S$86&amp;"'!"&amp;VLOOKUP(S$87,'List Values'!$C$3:$D$6,2,FALSE)&amp;ROW(S225))),IF(S$86&lt;&gt;"","Data Source Error",""))))</f>
        <v/>
      </c>
      <c r="V225" s="553"/>
      <c r="W225" s="908" t="str">
        <f ca="1">IF(OR($H$7&lt;6,W$197&lt;2),"",IF(V225&lt;&gt;"",V225,IFERROR(IF(INDIRECT("'"&amp;V$86&amp;"'!"&amp;VLOOKUP(V$87,'List Values'!$C$3:$D$6,2,FALSE)&amp;ROW(V225))="","",INDIRECT("'"&amp;V$86&amp;"'!"&amp;VLOOKUP(V$87,'List Values'!$C$3:$D$6,2,FALSE)&amp;ROW(V225))),IF(V$86&lt;&gt;"","Data Source Error",""))))</f>
        <v/>
      </c>
      <c r="Y225" s="2643"/>
      <c r="Z225" s="2644"/>
      <c r="AA225" s="2644"/>
      <c r="AB225" s="2645"/>
    </row>
    <row r="226" spans="1:28" ht="31" hidden="1" customHeight="1" outlineLevel="1">
      <c r="A226" s="513"/>
      <c r="B226" s="2051"/>
      <c r="C226" s="2680" t="s">
        <v>2521</v>
      </c>
      <c r="D226" s="2680"/>
      <c r="E226" s="202"/>
      <c r="F226" s="202"/>
      <c r="G226" s="634"/>
      <c r="H226" s="635"/>
      <c r="I226" s="187"/>
      <c r="J226" s="619"/>
      <c r="K226" s="898" t="str">
        <f ca="1">IF(OR($H$7&lt;2,K$197&lt;2),"",IF(J226&lt;&gt;"",J226,IFERROR(IF(INDIRECT("'"&amp;J$86&amp;"'!"&amp;VLOOKUP(J$87,'List Values'!$C$3:$D$6,2,FALSE)&amp;ROW(J226))="","",INDIRECT("'"&amp;J$86&amp;"'!"&amp;VLOOKUP(J$87,'List Values'!$C$3:$D$6,2,FALSE)&amp;ROW(J226))),IF(J$86&lt;&gt;"","Data Source Error",""))))</f>
        <v/>
      </c>
      <c r="L226" s="621"/>
      <c r="M226" s="619"/>
      <c r="N226" s="898" t="str">
        <f ca="1">IF(OR($H$7&lt;3,N$197&lt;2),"",IF(M226&lt;&gt;"",M226,IFERROR(IF(INDIRECT("'"&amp;M$86&amp;"'!"&amp;VLOOKUP(M$87,'List Values'!$C$3:$D$6,2,FALSE)&amp;ROW(M226))="","",INDIRECT("'"&amp;M$86&amp;"'!"&amp;VLOOKUP(M$87,'List Values'!$C$3:$D$6,2,FALSE)&amp;ROW(M226))),IF(M$86&lt;&gt;"","Data Source Error",""))))</f>
        <v/>
      </c>
      <c r="O226" s="621"/>
      <c r="P226" s="619"/>
      <c r="Q226" s="898" t="str">
        <f ca="1">IF(OR($H$7&lt;4,Q$197&lt;2),"",IF(P226&lt;&gt;"",P226,IFERROR(IF(INDIRECT("'"&amp;P$86&amp;"'!"&amp;VLOOKUP(P$87,'List Values'!$C$3:$D$6,2,FALSE)&amp;ROW(P226))="","",INDIRECT("'"&amp;P$86&amp;"'!"&amp;VLOOKUP(P$87,'List Values'!$C$3:$D$6,2,FALSE)&amp;ROW(P226))),IF(P$86&lt;&gt;"","Data Source Error",""))))</f>
        <v/>
      </c>
      <c r="R226" s="147"/>
      <c r="S226" s="619"/>
      <c r="T226" s="898" t="str">
        <f ca="1">IF(OR($H$7&lt;5,T$197&lt;2),"",IF(S226&lt;&gt;"",S226,IFERROR(IF(INDIRECT("'"&amp;S$86&amp;"'!"&amp;VLOOKUP(S$87,'List Values'!$C$3:$D$6,2,FALSE)&amp;ROW(S226))="","",INDIRECT("'"&amp;S$86&amp;"'!"&amp;VLOOKUP(S$87,'List Values'!$C$3:$D$6,2,FALSE)&amp;ROW(S226))),IF(S$86&lt;&gt;"","Data Source Error",""))))</f>
        <v/>
      </c>
      <c r="U226" s="147"/>
      <c r="V226" s="619"/>
      <c r="W226" s="909" t="str">
        <f ca="1">IF(OR($H$7&lt;6,W$197&lt;2),"",IF(V226&lt;&gt;"",V226,IFERROR(IF(INDIRECT("'"&amp;V$86&amp;"'!"&amp;VLOOKUP(V$87,'List Values'!$C$3:$D$6,2,FALSE)&amp;ROW(V226))="","",INDIRECT("'"&amp;V$86&amp;"'!"&amp;VLOOKUP(V$87,'List Values'!$C$3:$D$6,2,FALSE)&amp;ROW(V226))),IF(V$86&lt;&gt;"","Data Source Error",""))))</f>
        <v/>
      </c>
      <c r="Y226" s="2643"/>
      <c r="Z226" s="2644"/>
      <c r="AA226" s="2644"/>
      <c r="AB226" s="2645"/>
    </row>
    <row r="227" spans="1:28" ht="31" hidden="1" customHeight="1" outlineLevel="1">
      <c r="A227" s="513"/>
      <c r="B227" s="2051"/>
      <c r="C227" s="2680" t="s">
        <v>2522</v>
      </c>
      <c r="D227" s="2680"/>
      <c r="E227" s="202"/>
      <c r="F227" s="202"/>
      <c r="G227" s="634"/>
      <c r="H227" s="635"/>
      <c r="I227" s="187"/>
      <c r="J227" s="619"/>
      <c r="K227" s="898" t="str">
        <f ca="1">IF(OR($H$7&lt;2,K$197&lt;2),"",IF(J227&lt;&gt;"",J227,IFERROR(IF(INDIRECT("'"&amp;J$86&amp;"'!"&amp;VLOOKUP(J$87,'List Values'!$C$3:$D$6,2,FALSE)&amp;ROW(J227))="","",INDIRECT("'"&amp;J$86&amp;"'!"&amp;VLOOKUP(J$87,'List Values'!$C$3:$D$6,2,FALSE)&amp;ROW(J227))),IF(J$86&lt;&gt;"","Data Source Error",""))))</f>
        <v/>
      </c>
      <c r="L227" s="621"/>
      <c r="M227" s="619"/>
      <c r="N227" s="898" t="str">
        <f ca="1">IF(OR($H$7&lt;3,N$197&lt;2),"",IF(M227&lt;&gt;"",M227,IFERROR(IF(INDIRECT("'"&amp;M$86&amp;"'!"&amp;VLOOKUP(M$87,'List Values'!$C$3:$D$6,2,FALSE)&amp;ROW(M227))="","",INDIRECT("'"&amp;M$86&amp;"'!"&amp;VLOOKUP(M$87,'List Values'!$C$3:$D$6,2,FALSE)&amp;ROW(M227))),IF(M$86&lt;&gt;"","Data Source Error",""))))</f>
        <v/>
      </c>
      <c r="O227" s="621"/>
      <c r="P227" s="619"/>
      <c r="Q227" s="898" t="str">
        <f ca="1">IF(OR($H$7&lt;4,Q$197&lt;2),"",IF(P227&lt;&gt;"",P227,IFERROR(IF(INDIRECT("'"&amp;P$86&amp;"'!"&amp;VLOOKUP(P$87,'List Values'!$C$3:$D$6,2,FALSE)&amp;ROW(P227))="","",INDIRECT("'"&amp;P$86&amp;"'!"&amp;VLOOKUP(P$87,'List Values'!$C$3:$D$6,2,FALSE)&amp;ROW(P227))),IF(P$86&lt;&gt;"","Data Source Error",""))))</f>
        <v/>
      </c>
      <c r="R227" s="147"/>
      <c r="S227" s="619"/>
      <c r="T227" s="898" t="str">
        <f ca="1">IF(OR($H$7&lt;5,T$197&lt;2),"",IF(S227&lt;&gt;"",S227,IFERROR(IF(INDIRECT("'"&amp;S$86&amp;"'!"&amp;VLOOKUP(S$87,'List Values'!$C$3:$D$6,2,FALSE)&amp;ROW(S227))="","",INDIRECT("'"&amp;S$86&amp;"'!"&amp;VLOOKUP(S$87,'List Values'!$C$3:$D$6,2,FALSE)&amp;ROW(S227))),IF(S$86&lt;&gt;"","Data Source Error",""))))</f>
        <v/>
      </c>
      <c r="U227" s="147"/>
      <c r="V227" s="619"/>
      <c r="W227" s="909" t="str">
        <f ca="1">IF(OR($H$7&lt;6,W$197&lt;2),"",IF(V227&lt;&gt;"",V227,IFERROR(IF(INDIRECT("'"&amp;V$86&amp;"'!"&amp;VLOOKUP(V$87,'List Values'!$C$3:$D$6,2,FALSE)&amp;ROW(V227))="","",INDIRECT("'"&amp;V$86&amp;"'!"&amp;VLOOKUP(V$87,'List Values'!$C$3:$D$6,2,FALSE)&amp;ROW(V227))),IF(V$86&lt;&gt;"","Data Source Error",""))))</f>
        <v/>
      </c>
      <c r="Y227" s="2643"/>
      <c r="Z227" s="2644"/>
      <c r="AA227" s="2644"/>
      <c r="AB227" s="2645"/>
    </row>
    <row r="228" spans="1:28" ht="33" hidden="1" customHeight="1" outlineLevel="1">
      <c r="A228" s="513"/>
      <c r="B228" s="2051"/>
      <c r="C228" s="2680" t="s">
        <v>253</v>
      </c>
      <c r="D228" s="2680"/>
      <c r="E228" s="202"/>
      <c r="F228" s="202"/>
      <c r="G228" s="634"/>
      <c r="H228" s="635"/>
      <c r="I228" s="187"/>
      <c r="J228" s="526"/>
      <c r="K228" s="900" t="str">
        <f ca="1">IF(OR($H$7&lt;2,K$197&lt;2),"",IF(J228&lt;&gt;"",J228,IFERROR(IF(INDIRECT("'"&amp;J$86&amp;"'!"&amp;VLOOKUP(J$87,'List Values'!$C$3:$D$6,2,FALSE)&amp;ROW(J228))="","",INDIRECT("'"&amp;J$86&amp;"'!"&amp;VLOOKUP(J$87,'List Values'!$C$3:$D$6,2,FALSE)&amp;ROW(J228))),IF(J$86&lt;&gt;"","Data Source Error",""))))</f>
        <v/>
      </c>
      <c r="L228" s="187"/>
      <c r="M228" s="526"/>
      <c r="N228" s="900" t="str">
        <f ca="1">IF(OR($H$7&lt;3,N$197&lt;2),"",IF(M228&lt;&gt;"",M228,IFERROR(IF(INDIRECT("'"&amp;M$86&amp;"'!"&amp;VLOOKUP(M$87,'List Values'!$C$3:$D$6,2,FALSE)&amp;ROW(M228))="","",INDIRECT("'"&amp;M$86&amp;"'!"&amp;VLOOKUP(M$87,'List Values'!$C$3:$D$6,2,FALSE)&amp;ROW(M228))),IF(M$86&lt;&gt;"","Data Source Error",""))))</f>
        <v/>
      </c>
      <c r="O228" s="187"/>
      <c r="P228" s="526"/>
      <c r="Q228" s="900" t="str">
        <f ca="1">IF(OR($H$7&lt;4,Q$197&lt;2),"",IF(P228&lt;&gt;"",P228,IFERROR(IF(INDIRECT("'"&amp;P$86&amp;"'!"&amp;VLOOKUP(P$87,'List Values'!$C$3:$D$6,2,FALSE)&amp;ROW(P228))="","",INDIRECT("'"&amp;P$86&amp;"'!"&amp;VLOOKUP(P$87,'List Values'!$C$3:$D$6,2,FALSE)&amp;ROW(P228))),IF(P$86&lt;&gt;"","Data Source Error",""))))</f>
        <v/>
      </c>
      <c r="S228" s="526"/>
      <c r="T228" s="900" t="str">
        <f ca="1">IF(OR($H$7&lt;5,T$197&lt;2),"",IF(S228&lt;&gt;"",S228,IFERROR(IF(INDIRECT("'"&amp;S$86&amp;"'!"&amp;VLOOKUP(S$87,'List Values'!$C$3:$D$6,2,FALSE)&amp;ROW(S228))="","",INDIRECT("'"&amp;S$86&amp;"'!"&amp;VLOOKUP(S$87,'List Values'!$C$3:$D$6,2,FALSE)&amp;ROW(S228))),IF(S$86&lt;&gt;"","Data Source Error",""))))</f>
        <v/>
      </c>
      <c r="V228" s="526"/>
      <c r="W228" s="911" t="str">
        <f ca="1">IF(OR($H$7&lt;6,W$197&lt;2),"",IF(V228&lt;&gt;"",V228,IFERROR(IF(INDIRECT("'"&amp;V$86&amp;"'!"&amp;VLOOKUP(V$87,'List Values'!$C$3:$D$6,2,FALSE)&amp;ROW(V228))="","",INDIRECT("'"&amp;V$86&amp;"'!"&amp;VLOOKUP(V$87,'List Values'!$C$3:$D$6,2,FALSE)&amp;ROW(V228))),IF(V$86&lt;&gt;"","Data Source Error",""))))</f>
        <v/>
      </c>
      <c r="Y228" s="2643"/>
      <c r="Z228" s="2644"/>
      <c r="AA228" s="2644"/>
      <c r="AB228" s="2645"/>
    </row>
    <row r="229" spans="1:28" ht="17.25" hidden="1" customHeight="1" outlineLevel="1">
      <c r="A229" s="513"/>
      <c r="B229" s="2051"/>
      <c r="C229" s="2684" t="s">
        <v>2529</v>
      </c>
      <c r="D229" s="2684"/>
      <c r="E229" s="202"/>
      <c r="F229" s="202"/>
      <c r="G229" s="634"/>
      <c r="H229" s="635"/>
      <c r="I229" s="187"/>
      <c r="J229" s="580"/>
      <c r="K229" s="900" t="str">
        <f ca="1">IF(OR($H$7&lt;2,K$197&lt;2),"",IF(J229&lt;&gt;"",J229,IFERROR(IF(INDIRECT("'"&amp;J$86&amp;"'!"&amp;VLOOKUP(J$87,'List Values'!$C$3:$D$6,2,FALSE)&amp;ROW(J229))="","",INDIRECT("'"&amp;J$86&amp;"'!"&amp;VLOOKUP(J$87,'List Values'!$C$3:$D$6,2,FALSE)&amp;ROW(J229))),IF(J$86&lt;&gt;"","Data Source Error",""))))</f>
        <v/>
      </c>
      <c r="L229" s="187"/>
      <c r="M229" s="580"/>
      <c r="N229" s="900" t="str">
        <f ca="1">IF(OR($H$7&lt;3,N$197&lt;2),"",IF(M229&lt;&gt;"",M229,IFERROR(IF(INDIRECT("'"&amp;M$86&amp;"'!"&amp;VLOOKUP(M$87,'List Values'!$C$3:$D$6,2,FALSE)&amp;ROW(M229))="","",INDIRECT("'"&amp;M$86&amp;"'!"&amp;VLOOKUP(M$87,'List Values'!$C$3:$D$6,2,FALSE)&amp;ROW(M229))),IF(M$86&lt;&gt;"","Data Source Error",""))))</f>
        <v/>
      </c>
      <c r="O229" s="187"/>
      <c r="P229" s="580"/>
      <c r="Q229" s="900" t="str">
        <f ca="1">IF(OR($H$7&lt;4,Q$197&lt;2),"",IF(P229&lt;&gt;"",P229,IFERROR(IF(INDIRECT("'"&amp;P$86&amp;"'!"&amp;VLOOKUP(P$87,'List Values'!$C$3:$D$6,2,FALSE)&amp;ROW(P229))="","",INDIRECT("'"&amp;P$86&amp;"'!"&amp;VLOOKUP(P$87,'List Values'!$C$3:$D$6,2,FALSE)&amp;ROW(P229))),IF(P$86&lt;&gt;"","Data Source Error",""))))</f>
        <v/>
      </c>
      <c r="S229" s="580"/>
      <c r="T229" s="900" t="str">
        <f ca="1">IF(OR($H$7&lt;5,T$197&lt;2),"",IF(S229&lt;&gt;"",S229,IFERROR(IF(INDIRECT("'"&amp;S$86&amp;"'!"&amp;VLOOKUP(S$87,'List Values'!$C$3:$D$6,2,FALSE)&amp;ROW(S229))="","",INDIRECT("'"&amp;S$86&amp;"'!"&amp;VLOOKUP(S$87,'List Values'!$C$3:$D$6,2,FALSE)&amp;ROW(S229))),IF(S$86&lt;&gt;"","Data Source Error",""))))</f>
        <v/>
      </c>
      <c r="V229" s="580"/>
      <c r="W229" s="911" t="str">
        <f ca="1">IF(OR($H$7&lt;6,W$197&lt;2),"",IF(V229&lt;&gt;"",V229,IFERROR(IF(INDIRECT("'"&amp;V$86&amp;"'!"&amp;VLOOKUP(V$87,'List Values'!$C$3:$D$6,2,FALSE)&amp;ROW(V229))="","",INDIRECT("'"&amp;V$86&amp;"'!"&amp;VLOOKUP(V$87,'List Values'!$C$3:$D$6,2,FALSE)&amp;ROW(V229))),IF(V$86&lt;&gt;"","Data Source Error",""))))</f>
        <v/>
      </c>
      <c r="Y229" s="2643"/>
      <c r="Z229" s="2644"/>
      <c r="AA229" s="2644"/>
      <c r="AB229" s="2645"/>
    </row>
    <row r="230" spans="1:28" ht="33" hidden="1" customHeight="1" outlineLevel="1">
      <c r="A230" s="513"/>
      <c r="B230" s="2051"/>
      <c r="C230" s="2680" t="s">
        <v>2523</v>
      </c>
      <c r="D230" s="2680"/>
      <c r="E230" s="202"/>
      <c r="F230" s="202"/>
      <c r="G230" s="634"/>
      <c r="H230" s="635"/>
      <c r="I230" s="187"/>
      <c r="J230" s="580"/>
      <c r="K230" s="900" t="str">
        <f ca="1">IF(OR($H$7&lt;2,K$197&lt;2),"",IF(J230&lt;&gt;"",J230,IFERROR(IF(INDIRECT("'"&amp;J$86&amp;"'!"&amp;VLOOKUP(J$87,'List Values'!$C$3:$D$6,2,FALSE)&amp;ROW(J230))="","",INDIRECT("'"&amp;J$86&amp;"'!"&amp;VLOOKUP(J$87,'List Values'!$C$3:$D$6,2,FALSE)&amp;ROW(J230))),IF(J$86&lt;&gt;"","Data Source Error",""))))</f>
        <v/>
      </c>
      <c r="L230" s="187"/>
      <c r="M230" s="580"/>
      <c r="N230" s="900" t="str">
        <f ca="1">IF(OR($H$7&lt;3,N$197&lt;2),"",IF(M230&lt;&gt;"",M230,IFERROR(IF(INDIRECT("'"&amp;M$86&amp;"'!"&amp;VLOOKUP(M$87,'List Values'!$C$3:$D$6,2,FALSE)&amp;ROW(M230))="","",INDIRECT("'"&amp;M$86&amp;"'!"&amp;VLOOKUP(M$87,'List Values'!$C$3:$D$6,2,FALSE)&amp;ROW(M230))),IF(M$86&lt;&gt;"","Data Source Error",""))))</f>
        <v/>
      </c>
      <c r="O230" s="187"/>
      <c r="P230" s="580"/>
      <c r="Q230" s="900" t="str">
        <f ca="1">IF(OR($H$7&lt;4,Q$197&lt;2),"",IF(P230&lt;&gt;"",P230,IFERROR(IF(INDIRECT("'"&amp;P$86&amp;"'!"&amp;VLOOKUP(P$87,'List Values'!$C$3:$D$6,2,FALSE)&amp;ROW(P230))="","",INDIRECT("'"&amp;P$86&amp;"'!"&amp;VLOOKUP(P$87,'List Values'!$C$3:$D$6,2,FALSE)&amp;ROW(P230))),IF(P$86&lt;&gt;"","Data Source Error",""))))</f>
        <v/>
      </c>
      <c r="S230" s="580"/>
      <c r="T230" s="900" t="str">
        <f ca="1">IF(OR($H$7&lt;5,T$197&lt;2),"",IF(S230&lt;&gt;"",S230,IFERROR(IF(INDIRECT("'"&amp;S$86&amp;"'!"&amp;VLOOKUP(S$87,'List Values'!$C$3:$D$6,2,FALSE)&amp;ROW(S230))="","",INDIRECT("'"&amp;S$86&amp;"'!"&amp;VLOOKUP(S$87,'List Values'!$C$3:$D$6,2,FALSE)&amp;ROW(S230))),IF(S$86&lt;&gt;"","Data Source Error",""))))</f>
        <v/>
      </c>
      <c r="V230" s="580"/>
      <c r="W230" s="911" t="str">
        <f ca="1">IF(OR($H$7&lt;6,W$197&lt;2),"",IF(V230&lt;&gt;"",V230,IFERROR(IF(INDIRECT("'"&amp;V$86&amp;"'!"&amp;VLOOKUP(V$87,'List Values'!$C$3:$D$6,2,FALSE)&amp;ROW(V230))="","",INDIRECT("'"&amp;V$86&amp;"'!"&amp;VLOOKUP(V$87,'List Values'!$C$3:$D$6,2,FALSE)&amp;ROW(V230))),IF(V$86&lt;&gt;"","Data Source Error",""))))</f>
        <v/>
      </c>
      <c r="Y230" s="2643"/>
      <c r="Z230" s="2644"/>
      <c r="AA230" s="2644"/>
      <c r="AB230" s="2645"/>
    </row>
    <row r="231" spans="1:28" ht="17.25" hidden="1" customHeight="1" outlineLevel="1">
      <c r="A231" s="513"/>
      <c r="B231" s="2051"/>
      <c r="C231" s="2680" t="s">
        <v>2524</v>
      </c>
      <c r="D231" s="2680"/>
      <c r="E231" s="202"/>
      <c r="F231" s="202"/>
      <c r="G231" s="634"/>
      <c r="H231" s="635"/>
      <c r="I231" s="187"/>
      <c r="J231" s="580"/>
      <c r="K231" s="900" t="str">
        <f ca="1">IF(OR($H$7&lt;2,K$197&lt;2),"",IF(J231&lt;&gt;"",J231,IFERROR(IF(INDIRECT("'"&amp;J$86&amp;"'!"&amp;VLOOKUP(J$87,'List Values'!$C$3:$D$6,2,FALSE)&amp;ROW(J231))="","",INDIRECT("'"&amp;J$86&amp;"'!"&amp;VLOOKUP(J$87,'List Values'!$C$3:$D$6,2,FALSE)&amp;ROW(J231))),IF(J$86&lt;&gt;"","Data Source Error",""))))</f>
        <v/>
      </c>
      <c r="L231" s="187"/>
      <c r="M231" s="580"/>
      <c r="N231" s="900" t="str">
        <f ca="1">IF(OR($H$7&lt;3,N$197&lt;2),"",IF(M231&lt;&gt;"",M231,IFERROR(IF(INDIRECT("'"&amp;M$86&amp;"'!"&amp;VLOOKUP(M$87,'List Values'!$C$3:$D$6,2,FALSE)&amp;ROW(M231))="","",INDIRECT("'"&amp;M$86&amp;"'!"&amp;VLOOKUP(M$87,'List Values'!$C$3:$D$6,2,FALSE)&amp;ROW(M231))),IF(M$86&lt;&gt;"","Data Source Error",""))))</f>
        <v/>
      </c>
      <c r="O231" s="187"/>
      <c r="P231" s="580"/>
      <c r="Q231" s="900" t="str">
        <f ca="1">IF(OR($H$7&lt;4,Q$197&lt;2),"",IF(P231&lt;&gt;"",P231,IFERROR(IF(INDIRECT("'"&amp;P$86&amp;"'!"&amp;VLOOKUP(P$87,'List Values'!$C$3:$D$6,2,FALSE)&amp;ROW(P231))="","",INDIRECT("'"&amp;P$86&amp;"'!"&amp;VLOOKUP(P$87,'List Values'!$C$3:$D$6,2,FALSE)&amp;ROW(P231))),IF(P$86&lt;&gt;"","Data Source Error",""))))</f>
        <v/>
      </c>
      <c r="S231" s="580"/>
      <c r="T231" s="900" t="str">
        <f ca="1">IF(OR($H$7&lt;5,T$197&lt;2),"",IF(S231&lt;&gt;"",S231,IFERROR(IF(INDIRECT("'"&amp;S$86&amp;"'!"&amp;VLOOKUP(S$87,'List Values'!$C$3:$D$6,2,FALSE)&amp;ROW(S231))="","",INDIRECT("'"&amp;S$86&amp;"'!"&amp;VLOOKUP(S$87,'List Values'!$C$3:$D$6,2,FALSE)&amp;ROW(S231))),IF(S$86&lt;&gt;"","Data Source Error",""))))</f>
        <v/>
      </c>
      <c r="V231" s="580"/>
      <c r="W231" s="911" t="str">
        <f ca="1">IF(OR($H$7&lt;6,W$197&lt;2),"",IF(V231&lt;&gt;"",V231,IFERROR(IF(INDIRECT("'"&amp;V$86&amp;"'!"&amp;VLOOKUP(V$87,'List Values'!$C$3:$D$6,2,FALSE)&amp;ROW(V231))="","",INDIRECT("'"&amp;V$86&amp;"'!"&amp;VLOOKUP(V$87,'List Values'!$C$3:$D$6,2,FALSE)&amp;ROW(V231))),IF(V$86&lt;&gt;"","Data Source Error",""))))</f>
        <v/>
      </c>
      <c r="Y231" s="2643"/>
      <c r="Z231" s="2644"/>
      <c r="AA231" s="2644"/>
      <c r="AB231" s="2645"/>
    </row>
    <row r="232" spans="1:28" ht="17.25" hidden="1" customHeight="1" outlineLevel="1">
      <c r="A232" s="513"/>
      <c r="B232" s="2051"/>
      <c r="C232" s="2684" t="s">
        <v>2525</v>
      </c>
      <c r="D232" s="2684"/>
      <c r="E232" s="202"/>
      <c r="F232" s="202"/>
      <c r="G232" s="634"/>
      <c r="H232" s="635"/>
      <c r="I232" s="187"/>
      <c r="J232" s="580"/>
      <c r="K232" s="900" t="str">
        <f ca="1">IF(OR($H$7&lt;2,K$197&lt;2),"",IF(J232&lt;&gt;"",J232,IFERROR(IF(INDIRECT("'"&amp;J$86&amp;"'!"&amp;VLOOKUP(J$87,'List Values'!$C$3:$D$6,2,FALSE)&amp;ROW(J232))="","",INDIRECT("'"&amp;J$86&amp;"'!"&amp;VLOOKUP(J$87,'List Values'!$C$3:$D$6,2,FALSE)&amp;ROW(J232))),IF(J$86&lt;&gt;"","Data Source Error",""))))</f>
        <v/>
      </c>
      <c r="L232" s="187"/>
      <c r="M232" s="580"/>
      <c r="N232" s="900" t="str">
        <f ca="1">IF(OR($H$7&lt;3,N$197&lt;2),"",IF(M232&lt;&gt;"",M232,IFERROR(IF(INDIRECT("'"&amp;M$86&amp;"'!"&amp;VLOOKUP(M$87,'List Values'!$C$3:$D$6,2,FALSE)&amp;ROW(M232))="","",INDIRECT("'"&amp;M$86&amp;"'!"&amp;VLOOKUP(M$87,'List Values'!$C$3:$D$6,2,FALSE)&amp;ROW(M232))),IF(M$86&lt;&gt;"","Data Source Error",""))))</f>
        <v/>
      </c>
      <c r="O232" s="187"/>
      <c r="P232" s="580"/>
      <c r="Q232" s="900" t="str">
        <f ca="1">IF(OR($H$7&lt;4,Q$197&lt;2),"",IF(P232&lt;&gt;"",P232,IFERROR(IF(INDIRECT("'"&amp;P$86&amp;"'!"&amp;VLOOKUP(P$87,'List Values'!$C$3:$D$6,2,FALSE)&amp;ROW(P232))="","",INDIRECT("'"&amp;P$86&amp;"'!"&amp;VLOOKUP(P$87,'List Values'!$C$3:$D$6,2,FALSE)&amp;ROW(P232))),IF(P$86&lt;&gt;"","Data Source Error",""))))</f>
        <v/>
      </c>
      <c r="S232" s="580"/>
      <c r="T232" s="900" t="str">
        <f ca="1">IF(OR($H$7&lt;5,T$197&lt;2),"",IF(S232&lt;&gt;"",S232,IFERROR(IF(INDIRECT("'"&amp;S$86&amp;"'!"&amp;VLOOKUP(S$87,'List Values'!$C$3:$D$6,2,FALSE)&amp;ROW(S232))="","",INDIRECT("'"&amp;S$86&amp;"'!"&amp;VLOOKUP(S$87,'List Values'!$C$3:$D$6,2,FALSE)&amp;ROW(S232))),IF(S$86&lt;&gt;"","Data Source Error",""))))</f>
        <v/>
      </c>
      <c r="V232" s="580"/>
      <c r="W232" s="911" t="str">
        <f ca="1">IF(OR($H$7&lt;6,W$197&lt;2),"",IF(V232&lt;&gt;"",V232,IFERROR(IF(INDIRECT("'"&amp;V$86&amp;"'!"&amp;VLOOKUP(V$87,'List Values'!$C$3:$D$6,2,FALSE)&amp;ROW(V232))="","",INDIRECT("'"&amp;V$86&amp;"'!"&amp;VLOOKUP(V$87,'List Values'!$C$3:$D$6,2,FALSE)&amp;ROW(V232))),IF(V$86&lt;&gt;"","Data Source Error",""))))</f>
        <v/>
      </c>
      <c r="Y232" s="2643"/>
      <c r="Z232" s="2644"/>
      <c r="AA232" s="2644"/>
      <c r="AB232" s="2645"/>
    </row>
    <row r="233" spans="1:28" ht="31" hidden="1" customHeight="1" outlineLevel="1">
      <c r="A233" s="513"/>
      <c r="B233" s="2051"/>
      <c r="C233" s="2680" t="s">
        <v>2526</v>
      </c>
      <c r="D233" s="2680"/>
      <c r="E233" s="202"/>
      <c r="F233" s="202"/>
      <c r="G233" s="634"/>
      <c r="H233" s="635"/>
      <c r="I233" s="187"/>
      <c r="J233" s="580"/>
      <c r="K233" s="900" t="str">
        <f ca="1">IF(OR($H$7&lt;2,K$197&lt;2),"",IF(J233&lt;&gt;"",J233,IFERROR(IF(INDIRECT("'"&amp;J$86&amp;"'!"&amp;VLOOKUP(J$87,'List Values'!$C$3:$D$6,2,FALSE)&amp;ROW(J233))="","",INDIRECT("'"&amp;J$86&amp;"'!"&amp;VLOOKUP(J$87,'List Values'!$C$3:$D$6,2,FALSE)&amp;ROW(J233))),IF(J$86&lt;&gt;"","Data Source Error",""))))</f>
        <v/>
      </c>
      <c r="L233" s="187"/>
      <c r="M233" s="580"/>
      <c r="N233" s="900" t="str">
        <f ca="1">IF(OR($H$7&lt;3,N$197&lt;2),"",IF(M233&lt;&gt;"",M233,IFERROR(IF(INDIRECT("'"&amp;M$86&amp;"'!"&amp;VLOOKUP(M$87,'List Values'!$C$3:$D$6,2,FALSE)&amp;ROW(M233))="","",INDIRECT("'"&amp;M$86&amp;"'!"&amp;VLOOKUP(M$87,'List Values'!$C$3:$D$6,2,FALSE)&amp;ROW(M233))),IF(M$86&lt;&gt;"","Data Source Error",""))))</f>
        <v/>
      </c>
      <c r="O233" s="187"/>
      <c r="P233" s="580"/>
      <c r="Q233" s="900" t="str">
        <f ca="1">IF(OR($H$7&lt;4,Q$197&lt;2),"",IF(P233&lt;&gt;"",P233,IFERROR(IF(INDIRECT("'"&amp;P$86&amp;"'!"&amp;VLOOKUP(P$87,'List Values'!$C$3:$D$6,2,FALSE)&amp;ROW(P233))="","",INDIRECT("'"&amp;P$86&amp;"'!"&amp;VLOOKUP(P$87,'List Values'!$C$3:$D$6,2,FALSE)&amp;ROW(P233))),IF(P$86&lt;&gt;"","Data Source Error",""))))</f>
        <v/>
      </c>
      <c r="S233" s="580"/>
      <c r="T233" s="900" t="str">
        <f ca="1">IF(OR($H$7&lt;5,T$197&lt;2),"",IF(S233&lt;&gt;"",S233,IFERROR(IF(INDIRECT("'"&amp;S$86&amp;"'!"&amp;VLOOKUP(S$87,'List Values'!$C$3:$D$6,2,FALSE)&amp;ROW(S233))="","",INDIRECT("'"&amp;S$86&amp;"'!"&amp;VLOOKUP(S$87,'List Values'!$C$3:$D$6,2,FALSE)&amp;ROW(S233))),IF(S$86&lt;&gt;"","Data Source Error",""))))</f>
        <v/>
      </c>
      <c r="V233" s="580"/>
      <c r="W233" s="911" t="str">
        <f ca="1">IF(OR($H$7&lt;6,W$197&lt;2),"",IF(V233&lt;&gt;"",V233,IFERROR(IF(INDIRECT("'"&amp;V$86&amp;"'!"&amp;VLOOKUP(V$87,'List Values'!$C$3:$D$6,2,FALSE)&amp;ROW(V233))="","",INDIRECT("'"&amp;V$86&amp;"'!"&amp;VLOOKUP(V$87,'List Values'!$C$3:$D$6,2,FALSE)&amp;ROW(V233))),IF(V$86&lt;&gt;"","Data Source Error",""))))</f>
        <v/>
      </c>
      <c r="Y233" s="2643"/>
      <c r="Z233" s="2644"/>
      <c r="AA233" s="2644"/>
      <c r="AB233" s="2645"/>
    </row>
    <row r="234" spans="1:28" ht="33" hidden="1" customHeight="1" outlineLevel="1">
      <c r="A234" s="513"/>
      <c r="B234" s="2051"/>
      <c r="C234" s="2680" t="s">
        <v>2527</v>
      </c>
      <c r="D234" s="2680"/>
      <c r="E234" s="202"/>
      <c r="F234" s="202"/>
      <c r="G234" s="634"/>
      <c r="H234" s="635"/>
      <c r="I234" s="187"/>
      <c r="J234" s="580"/>
      <c r="K234" s="900" t="str">
        <f ca="1">IF(OR($H$7&lt;2,K$197&lt;2),"",IF(J234&lt;&gt;"",J234,IFERROR(IF(INDIRECT("'"&amp;J$86&amp;"'!"&amp;VLOOKUP(J$87,'List Values'!$C$3:$D$6,2,FALSE)&amp;ROW(J234))="","",INDIRECT("'"&amp;J$86&amp;"'!"&amp;VLOOKUP(J$87,'List Values'!$C$3:$D$6,2,FALSE)&amp;ROW(J234))),IF(J$86&lt;&gt;"","Data Source Error",""))))</f>
        <v/>
      </c>
      <c r="L234" s="187"/>
      <c r="M234" s="580"/>
      <c r="N234" s="900" t="str">
        <f ca="1">IF(OR($H$7&lt;3,N$197&lt;2),"",IF(M234&lt;&gt;"",M234,IFERROR(IF(INDIRECT("'"&amp;M$86&amp;"'!"&amp;VLOOKUP(M$87,'List Values'!$C$3:$D$6,2,FALSE)&amp;ROW(M234))="","",INDIRECT("'"&amp;M$86&amp;"'!"&amp;VLOOKUP(M$87,'List Values'!$C$3:$D$6,2,FALSE)&amp;ROW(M234))),IF(M$86&lt;&gt;"","Data Source Error",""))))</f>
        <v/>
      </c>
      <c r="O234" s="187"/>
      <c r="P234" s="580"/>
      <c r="Q234" s="900" t="str">
        <f ca="1">IF(OR($H$7&lt;4,Q$197&lt;2),"",IF(P234&lt;&gt;"",P234,IFERROR(IF(INDIRECT("'"&amp;P$86&amp;"'!"&amp;VLOOKUP(P$87,'List Values'!$C$3:$D$6,2,FALSE)&amp;ROW(P234))="","",INDIRECT("'"&amp;P$86&amp;"'!"&amp;VLOOKUP(P$87,'List Values'!$C$3:$D$6,2,FALSE)&amp;ROW(P234))),IF(P$86&lt;&gt;"","Data Source Error",""))))</f>
        <v/>
      </c>
      <c r="S234" s="580"/>
      <c r="T234" s="900" t="str">
        <f ca="1">IF(OR($H$7&lt;5,T$197&lt;2),"",IF(S234&lt;&gt;"",S234,IFERROR(IF(INDIRECT("'"&amp;S$86&amp;"'!"&amp;VLOOKUP(S$87,'List Values'!$C$3:$D$6,2,FALSE)&amp;ROW(S234))="","",INDIRECT("'"&amp;S$86&amp;"'!"&amp;VLOOKUP(S$87,'List Values'!$C$3:$D$6,2,FALSE)&amp;ROW(S234))),IF(S$86&lt;&gt;"","Data Source Error",""))))</f>
        <v/>
      </c>
      <c r="V234" s="580"/>
      <c r="W234" s="911" t="str">
        <f ca="1">IF(OR($H$7&lt;6,W$197&lt;2),"",IF(V234&lt;&gt;"",V234,IFERROR(IF(INDIRECT("'"&amp;V$86&amp;"'!"&amp;VLOOKUP(V$87,'List Values'!$C$3:$D$6,2,FALSE)&amp;ROW(V234))="","",INDIRECT("'"&amp;V$86&amp;"'!"&amp;VLOOKUP(V$87,'List Values'!$C$3:$D$6,2,FALSE)&amp;ROW(V234))),IF(V$86&lt;&gt;"","Data Source Error",""))))</f>
        <v/>
      </c>
      <c r="Y234" s="2643"/>
      <c r="Z234" s="2644"/>
      <c r="AA234" s="2644"/>
      <c r="AB234" s="2645"/>
    </row>
    <row r="235" spans="1:28" ht="45" hidden="1" customHeight="1" outlineLevel="1">
      <c r="A235" s="513"/>
      <c r="B235" s="2051"/>
      <c r="C235" s="2680" t="s">
        <v>2528</v>
      </c>
      <c r="D235" s="2680"/>
      <c r="E235" s="202"/>
      <c r="F235" s="202"/>
      <c r="G235" s="634"/>
      <c r="H235" s="635"/>
      <c r="I235" s="187"/>
      <c r="J235" s="580"/>
      <c r="K235" s="900" t="str">
        <f ca="1">IF(OR($H$7&lt;2,K$197&lt;2),"",IF(J235&lt;&gt;"",J235,IFERROR(IF(INDIRECT("'"&amp;J$86&amp;"'!"&amp;VLOOKUP(J$87,'List Values'!$C$3:$D$6,2,FALSE)&amp;ROW(J235))="","",INDIRECT("'"&amp;J$86&amp;"'!"&amp;VLOOKUP(J$87,'List Values'!$C$3:$D$6,2,FALSE)&amp;ROW(J235))),IF(J$86&lt;&gt;"","Data Source Error",""))))</f>
        <v/>
      </c>
      <c r="L235" s="187"/>
      <c r="M235" s="580"/>
      <c r="N235" s="900" t="str">
        <f ca="1">IF(OR($H$7&lt;3,N$197&lt;2),"",IF(M235&lt;&gt;"",M235,IFERROR(IF(INDIRECT("'"&amp;M$86&amp;"'!"&amp;VLOOKUP(M$87,'List Values'!$C$3:$D$6,2,FALSE)&amp;ROW(M235))="","",INDIRECT("'"&amp;M$86&amp;"'!"&amp;VLOOKUP(M$87,'List Values'!$C$3:$D$6,2,FALSE)&amp;ROW(M235))),IF(M$86&lt;&gt;"","Data Source Error",""))))</f>
        <v/>
      </c>
      <c r="O235" s="187"/>
      <c r="P235" s="580"/>
      <c r="Q235" s="900" t="str">
        <f ca="1">IF(OR($H$7&lt;4,Q$197&lt;2),"",IF(P235&lt;&gt;"",P235,IFERROR(IF(INDIRECT("'"&amp;P$86&amp;"'!"&amp;VLOOKUP(P$87,'List Values'!$C$3:$D$6,2,FALSE)&amp;ROW(P235))="","",INDIRECT("'"&amp;P$86&amp;"'!"&amp;VLOOKUP(P$87,'List Values'!$C$3:$D$6,2,FALSE)&amp;ROW(P235))),IF(P$86&lt;&gt;"","Data Source Error",""))))</f>
        <v/>
      </c>
      <c r="S235" s="580"/>
      <c r="T235" s="900" t="str">
        <f ca="1">IF(OR($H$7&lt;5,T$197&lt;2),"",IF(S235&lt;&gt;"",S235,IFERROR(IF(INDIRECT("'"&amp;S$86&amp;"'!"&amp;VLOOKUP(S$87,'List Values'!$C$3:$D$6,2,FALSE)&amp;ROW(S235))="","",INDIRECT("'"&amp;S$86&amp;"'!"&amp;VLOOKUP(S$87,'List Values'!$C$3:$D$6,2,FALSE)&amp;ROW(S235))),IF(S$86&lt;&gt;"","Data Source Error",""))))</f>
        <v/>
      </c>
      <c r="V235" s="580"/>
      <c r="W235" s="911" t="str">
        <f ca="1">IF(OR($H$7&lt;6,W$197&lt;2),"",IF(V235&lt;&gt;"",V235,IFERROR(IF(INDIRECT("'"&amp;V$86&amp;"'!"&amp;VLOOKUP(V$87,'List Values'!$C$3:$D$6,2,FALSE)&amp;ROW(V235))="","",INDIRECT("'"&amp;V$86&amp;"'!"&amp;VLOOKUP(V$87,'List Values'!$C$3:$D$6,2,FALSE)&amp;ROW(V235))),IF(V$86&lt;&gt;"","Data Source Error",""))))</f>
        <v/>
      </c>
      <c r="Y235" s="2643"/>
      <c r="Z235" s="2644"/>
      <c r="AA235" s="2644"/>
      <c r="AB235" s="2645"/>
    </row>
    <row r="236" spans="1:28" ht="17.25" hidden="1" customHeight="1" outlineLevel="1">
      <c r="A236" s="513"/>
      <c r="B236" s="2051"/>
      <c r="C236" s="2680" t="s">
        <v>650</v>
      </c>
      <c r="D236" s="2680"/>
      <c r="E236" s="202"/>
      <c r="F236" s="202"/>
      <c r="G236" s="634"/>
      <c r="H236" s="635"/>
      <c r="I236" s="187"/>
      <c r="J236" s="580"/>
      <c r="K236" s="900" t="str">
        <f ca="1">IF(OR($H$7&lt;2,K$197&lt;2),"",IF(J236&lt;&gt;"",J236,IFERROR(IF(INDIRECT("'"&amp;J$86&amp;"'!"&amp;VLOOKUP(J$87,'List Values'!$C$3:$D$6,2,FALSE)&amp;ROW(J236))="","",INDIRECT("'"&amp;J$86&amp;"'!"&amp;VLOOKUP(J$87,'List Values'!$C$3:$D$6,2,FALSE)&amp;ROW(J236))),IF(J$86&lt;&gt;"","Data Source Error",""))))</f>
        <v/>
      </c>
      <c r="L236" s="187"/>
      <c r="M236" s="580"/>
      <c r="N236" s="900" t="str">
        <f ca="1">IF(OR($H$7&lt;3,N$197&lt;2),"",IF(M236&lt;&gt;"",M236,IFERROR(IF(INDIRECT("'"&amp;M$86&amp;"'!"&amp;VLOOKUP(M$87,'List Values'!$C$3:$D$6,2,FALSE)&amp;ROW(M236))="","",INDIRECT("'"&amp;M$86&amp;"'!"&amp;VLOOKUP(M$87,'List Values'!$C$3:$D$6,2,FALSE)&amp;ROW(M236))),IF(M$86&lt;&gt;"","Data Source Error",""))))</f>
        <v/>
      </c>
      <c r="O236" s="187"/>
      <c r="P236" s="580"/>
      <c r="Q236" s="900" t="str">
        <f ca="1">IF(OR($H$7&lt;4,Q$197&lt;2),"",IF(P236&lt;&gt;"",P236,IFERROR(IF(INDIRECT("'"&amp;P$86&amp;"'!"&amp;VLOOKUP(P$87,'List Values'!$C$3:$D$6,2,FALSE)&amp;ROW(P236))="","",INDIRECT("'"&amp;P$86&amp;"'!"&amp;VLOOKUP(P$87,'List Values'!$C$3:$D$6,2,FALSE)&amp;ROW(P236))),IF(P$86&lt;&gt;"","Data Source Error",""))))</f>
        <v/>
      </c>
      <c r="S236" s="580"/>
      <c r="T236" s="900" t="str">
        <f ca="1">IF(OR($H$7&lt;5,T$197&lt;2),"",IF(S236&lt;&gt;"",S236,IFERROR(IF(INDIRECT("'"&amp;S$86&amp;"'!"&amp;VLOOKUP(S$87,'List Values'!$C$3:$D$6,2,FALSE)&amp;ROW(S236))="","",INDIRECT("'"&amp;S$86&amp;"'!"&amp;VLOOKUP(S$87,'List Values'!$C$3:$D$6,2,FALSE)&amp;ROW(S236))),IF(S$86&lt;&gt;"","Data Source Error",""))))</f>
        <v/>
      </c>
      <c r="V236" s="580"/>
      <c r="W236" s="911" t="str">
        <f ca="1">IF(OR($H$7&lt;6,W$197&lt;2),"",IF(V236&lt;&gt;"",V236,IFERROR(IF(INDIRECT("'"&amp;V$86&amp;"'!"&amp;VLOOKUP(V$87,'List Values'!$C$3:$D$6,2,FALSE)&amp;ROW(V236))="","",INDIRECT("'"&amp;V$86&amp;"'!"&amp;VLOOKUP(V$87,'List Values'!$C$3:$D$6,2,FALSE)&amp;ROW(V236))),IF(V$86&lt;&gt;"","Data Source Error",""))))</f>
        <v/>
      </c>
      <c r="Y236" s="2643"/>
      <c r="Z236" s="2644"/>
      <c r="AA236" s="2644"/>
      <c r="AB236" s="2645"/>
    </row>
    <row r="237" spans="1:28" ht="31" hidden="1" customHeight="1" outlineLevel="1">
      <c r="A237" s="513"/>
      <c r="B237" s="2051"/>
      <c r="C237" s="2680" t="s">
        <v>651</v>
      </c>
      <c r="D237" s="2680"/>
      <c r="E237" s="35"/>
      <c r="F237" s="35"/>
      <c r="G237" s="646"/>
      <c r="H237" s="647"/>
      <c r="I237" s="184"/>
      <c r="J237" s="624"/>
      <c r="K237" s="941" t="str">
        <f ca="1">IF(OR($H$7&lt;2,K$197&lt;2),"",IF(J237&lt;&gt;"",J237,IFERROR(IF(INDIRECT("'"&amp;J$86&amp;"'!"&amp;VLOOKUP(J$87,'List Values'!$C$3:$D$6,2,FALSE)&amp;ROW(J237))="","",INDIRECT("'"&amp;J$86&amp;"'!"&amp;VLOOKUP(J$87,'List Values'!$C$3:$D$6,2,FALSE)&amp;ROW(J237))),IF(J$86&lt;&gt;"","Data Source Error",""))))</f>
        <v/>
      </c>
      <c r="L237" s="184"/>
      <c r="M237" s="624"/>
      <c r="N237" s="941" t="str">
        <f ca="1">IF(OR($H$7&lt;3,N$197&lt;2),"",IF(M237&lt;&gt;"",M237,IFERROR(IF(INDIRECT("'"&amp;M$86&amp;"'!"&amp;VLOOKUP(M$87,'List Values'!$C$3:$D$6,2,FALSE)&amp;ROW(M237))="","",INDIRECT("'"&amp;M$86&amp;"'!"&amp;VLOOKUP(M$87,'List Values'!$C$3:$D$6,2,FALSE)&amp;ROW(M237))),IF(M$86&lt;&gt;"","Data Source Error",""))))</f>
        <v/>
      </c>
      <c r="O237" s="184"/>
      <c r="P237" s="624"/>
      <c r="Q237" s="941" t="str">
        <f ca="1">IF(OR($H$7&lt;4,Q$197&lt;2),"",IF(P237&lt;&gt;"",P237,IFERROR(IF(INDIRECT("'"&amp;P$86&amp;"'!"&amp;VLOOKUP(P$87,'List Values'!$C$3:$D$6,2,FALSE)&amp;ROW(P237))="","",INDIRECT("'"&amp;P$86&amp;"'!"&amp;VLOOKUP(P$87,'List Values'!$C$3:$D$6,2,FALSE)&amp;ROW(P237))),IF(P$86&lt;&gt;"","Data Source Error",""))))</f>
        <v/>
      </c>
      <c r="S237" s="624"/>
      <c r="T237" s="941" t="str">
        <f ca="1">IF(OR($H$7&lt;5,T$197&lt;2),"",IF(S237&lt;&gt;"",S237,IFERROR(IF(INDIRECT("'"&amp;S$86&amp;"'!"&amp;VLOOKUP(S$87,'List Values'!$C$3:$D$6,2,FALSE)&amp;ROW(S237))="","",INDIRECT("'"&amp;S$86&amp;"'!"&amp;VLOOKUP(S$87,'List Values'!$C$3:$D$6,2,FALSE)&amp;ROW(S237))),IF(S$86&lt;&gt;"","Data Source Error",""))))</f>
        <v/>
      </c>
      <c r="V237" s="624"/>
      <c r="W237" s="947" t="str">
        <f ca="1">IF(OR($H$7&lt;6,W$197&lt;2),"",IF(V237&lt;&gt;"",V237,IFERROR(IF(INDIRECT("'"&amp;V$86&amp;"'!"&amp;VLOOKUP(V$87,'List Values'!$C$3:$D$6,2,FALSE)&amp;ROW(V237))="","",INDIRECT("'"&amp;V$86&amp;"'!"&amp;VLOOKUP(V$87,'List Values'!$C$3:$D$6,2,FALSE)&amp;ROW(V237))),IF(V$86&lt;&gt;"","Data Source Error",""))))</f>
        <v/>
      </c>
      <c r="Y237" s="2643"/>
      <c r="Z237" s="2644"/>
      <c r="AA237" s="2644"/>
      <c r="AB237" s="2645"/>
    </row>
    <row r="238" spans="1:28" ht="20.25" customHeight="1" collapsed="1">
      <c r="A238" s="807"/>
      <c r="B238" s="2049" t="s">
        <v>618</v>
      </c>
      <c r="C238" s="604"/>
      <c r="D238" s="604"/>
      <c r="E238" s="614"/>
      <c r="F238" s="608"/>
      <c r="G238" s="615"/>
      <c r="H238" s="611"/>
      <c r="I238" s="608"/>
      <c r="J238" s="610"/>
      <c r="K238" s="970"/>
      <c r="L238" s="608"/>
      <c r="M238" s="610"/>
      <c r="N238" s="970"/>
      <c r="O238" s="608"/>
      <c r="P238" s="610"/>
      <c r="Q238" s="970"/>
      <c r="R238" s="608"/>
      <c r="S238" s="610"/>
      <c r="T238" s="970"/>
      <c r="U238" s="608"/>
      <c r="V238" s="610"/>
      <c r="W238" s="970"/>
      <c r="Y238" s="631"/>
      <c r="Z238" s="631"/>
      <c r="AA238" s="631"/>
      <c r="AB238" s="631"/>
    </row>
    <row r="239" spans="1:28" ht="15.75" hidden="1" customHeight="1" outlineLevel="1">
      <c r="A239" s="514"/>
      <c r="B239" s="252"/>
      <c r="C239" s="2580" t="s">
        <v>731</v>
      </c>
      <c r="D239" s="2580"/>
      <c r="E239" s="203"/>
      <c r="F239" s="203"/>
      <c r="G239" s="644"/>
      <c r="H239" s="645"/>
      <c r="I239" s="183"/>
      <c r="J239" s="628"/>
      <c r="K239" s="967" t="str">
        <f ca="1">IF(OR($H$7&lt;2,K$197&lt;3),"",IF(J239&lt;&gt;"",J239,IFERROR(IF(INDIRECT("'"&amp;J$86&amp;"'!"&amp;VLOOKUP(J$87,'List Values'!$C$3:$D$6,2,FALSE)&amp;ROW(J239))="","",INDIRECT("'"&amp;J$86&amp;"'!"&amp;VLOOKUP(J$87,'List Values'!$C$3:$D$6,2,FALSE)&amp;ROW(J239))),IF(J$86&lt;&gt;"","Data Source Error",""))))</f>
        <v/>
      </c>
      <c r="L239" s="629"/>
      <c r="M239" s="628"/>
      <c r="N239" s="967" t="str">
        <f ca="1">IF(OR($H$7&lt;3,N$197&lt;3),"",IF(M239&lt;&gt;"",M239,IFERROR(IF(INDIRECT("'"&amp;M$86&amp;"'!"&amp;VLOOKUP(M$87,'List Values'!$C$3:$D$6,2,FALSE)&amp;ROW(M239))="","",INDIRECT("'"&amp;M$86&amp;"'!"&amp;VLOOKUP(M$87,'List Values'!$C$3:$D$6,2,FALSE)&amp;ROW(M239))),IF(M$86&lt;&gt;"","Data Source Error",""))))</f>
        <v/>
      </c>
      <c r="O239" s="629"/>
      <c r="P239" s="628"/>
      <c r="Q239" s="967" t="str">
        <f ca="1">IF(OR($H$7&lt;4,Q$197&lt;3),"",IF(P239&lt;&gt;"",P239,IFERROR(IF(INDIRECT("'"&amp;P$86&amp;"'!"&amp;VLOOKUP(P$87,'List Values'!$C$3:$D$6,2,FALSE)&amp;ROW(P239))="","",INDIRECT("'"&amp;P$86&amp;"'!"&amp;VLOOKUP(P$87,'List Values'!$C$3:$D$6,2,FALSE)&amp;ROW(P239))),IF(P$86&lt;&gt;"","Data Source Error",""))))</f>
        <v/>
      </c>
      <c r="R239" s="147"/>
      <c r="S239" s="628"/>
      <c r="T239" s="967" t="str">
        <f ca="1">IF(OR($H$7&lt;5,T$197&lt;3),"",IF(S239&lt;&gt;"",S239,IFERROR(IF(INDIRECT("'"&amp;S$86&amp;"'!"&amp;VLOOKUP(S$87,'List Values'!$C$3:$D$6,2,FALSE)&amp;ROW(S239))="","",INDIRECT("'"&amp;S$86&amp;"'!"&amp;VLOOKUP(S$87,'List Values'!$C$3:$D$6,2,FALSE)&amp;ROW(S239))),IF(S$86&lt;&gt;"","Data Source Error",""))))</f>
        <v/>
      </c>
      <c r="U239" s="147"/>
      <c r="V239" s="628"/>
      <c r="W239" s="973" t="str">
        <f ca="1">IF(OR($H$7&lt;6,W$197&lt;3),"",IF(V239&lt;&gt;"",V239,IFERROR(IF(INDIRECT("'"&amp;V$86&amp;"'!"&amp;VLOOKUP(V$87,'List Values'!$C$3:$D$6,2,FALSE)&amp;ROW(V239))="","",INDIRECT("'"&amp;V$86&amp;"'!"&amp;VLOOKUP(V$87,'List Values'!$C$3:$D$6,2,FALSE)&amp;ROW(V239))),IF(V$86&lt;&gt;"","Data Source Error",""))))</f>
        <v/>
      </c>
      <c r="Y239" s="2643"/>
      <c r="Z239" s="2644"/>
      <c r="AA239" s="2644"/>
      <c r="AB239" s="2645"/>
    </row>
    <row r="240" spans="1:28" ht="15.75" hidden="1" customHeight="1" outlineLevel="1">
      <c r="A240" s="514"/>
      <c r="B240" s="252"/>
      <c r="C240" s="2680" t="s">
        <v>626</v>
      </c>
      <c r="D240" s="2680"/>
      <c r="E240" s="203"/>
      <c r="F240" s="203"/>
      <c r="G240" s="644"/>
      <c r="H240" s="645"/>
      <c r="I240" s="187"/>
      <c r="J240" s="526"/>
      <c r="K240" s="900" t="str">
        <f ca="1">IF(OR($H$7&lt;2,K$197&lt;3),"",IF(J240&lt;&gt;"",J240,IFERROR(IF(INDIRECT("'"&amp;J$86&amp;"'!"&amp;VLOOKUP(J$87,'List Values'!$C$3:$D$6,2,FALSE)&amp;ROW(J240))="","",INDIRECT("'"&amp;J$86&amp;"'!"&amp;VLOOKUP(J$87,'List Values'!$C$3:$D$6,2,FALSE)&amp;ROW(J240))),IF(J$86&lt;&gt;"","Data Source Error",""))))</f>
        <v/>
      </c>
      <c r="L240" s="187"/>
      <c r="M240" s="526"/>
      <c r="N240" s="900" t="str">
        <f ca="1">IF(OR($H$7&lt;3,N$197&lt;3),"",IF(M240&lt;&gt;"",M240,IFERROR(IF(INDIRECT("'"&amp;M$86&amp;"'!"&amp;VLOOKUP(M$87,'List Values'!$C$3:$D$6,2,FALSE)&amp;ROW(M240))="","",INDIRECT("'"&amp;M$86&amp;"'!"&amp;VLOOKUP(M$87,'List Values'!$C$3:$D$6,2,FALSE)&amp;ROW(M240))),IF(M$86&lt;&gt;"","Data Source Error",""))))</f>
        <v/>
      </c>
      <c r="O240" s="187"/>
      <c r="P240" s="526"/>
      <c r="Q240" s="900" t="str">
        <f ca="1">IF(OR($H$7&lt;4,Q$197&lt;3),"",IF(P240&lt;&gt;"",P240,IFERROR(IF(INDIRECT("'"&amp;P$86&amp;"'!"&amp;VLOOKUP(P$87,'List Values'!$C$3:$D$6,2,FALSE)&amp;ROW(P240))="","",INDIRECT("'"&amp;P$86&amp;"'!"&amp;VLOOKUP(P$87,'List Values'!$C$3:$D$6,2,FALSE)&amp;ROW(P240))),IF(P$86&lt;&gt;"","Data Source Error",""))))</f>
        <v/>
      </c>
      <c r="S240" s="526"/>
      <c r="T240" s="900" t="str">
        <f ca="1">IF(OR($H$7&lt;5,T$197&lt;3),"",IF(S240&lt;&gt;"",S240,IFERROR(IF(INDIRECT("'"&amp;S$86&amp;"'!"&amp;VLOOKUP(S$87,'List Values'!$C$3:$D$6,2,FALSE)&amp;ROW(S240))="","",INDIRECT("'"&amp;S$86&amp;"'!"&amp;VLOOKUP(S$87,'List Values'!$C$3:$D$6,2,FALSE)&amp;ROW(S240))),IF(S$86&lt;&gt;"","Data Source Error",""))))</f>
        <v/>
      </c>
      <c r="V240" s="526"/>
      <c r="W240" s="911" t="str">
        <f ca="1">IF(OR($H$7&lt;6,W$197&lt;3),"",IF(V240&lt;&gt;"",V240,IFERROR(IF(INDIRECT("'"&amp;V$86&amp;"'!"&amp;VLOOKUP(V$87,'List Values'!$C$3:$D$6,2,FALSE)&amp;ROW(V240))="","",INDIRECT("'"&amp;V$86&amp;"'!"&amp;VLOOKUP(V$87,'List Values'!$C$3:$D$6,2,FALSE)&amp;ROW(V240))),IF(V$86&lt;&gt;"","Data Source Error",""))))</f>
        <v/>
      </c>
      <c r="Y240" s="2643"/>
      <c r="Z240" s="2644"/>
      <c r="AA240" s="2644"/>
      <c r="AB240" s="2645"/>
    </row>
    <row r="241" spans="1:28" ht="29.25" hidden="1" customHeight="1" outlineLevel="1">
      <c r="A241" s="514"/>
      <c r="B241" s="252"/>
      <c r="C241" s="2680" t="s">
        <v>2520</v>
      </c>
      <c r="D241" s="2680"/>
      <c r="E241" s="203"/>
      <c r="F241" s="203"/>
      <c r="G241" s="644"/>
      <c r="H241" s="645"/>
      <c r="I241" s="187"/>
      <c r="J241" s="561"/>
      <c r="K241" s="900" t="str">
        <f ca="1">IF(OR($H$7&lt;2,K$197&lt;3),"",IF(J241&lt;&gt;"",J241,IFERROR(IF(INDIRECT("'"&amp;J$86&amp;"'!"&amp;VLOOKUP(J$87,'List Values'!$C$3:$D$6,2,FALSE)&amp;ROW(J241))="","",INDIRECT("'"&amp;J$86&amp;"'!"&amp;VLOOKUP(J$87,'List Values'!$C$3:$D$6,2,FALSE)&amp;ROW(J241))),IF(J$86&lt;&gt;"","Data Source Error",""))))</f>
        <v/>
      </c>
      <c r="L241" s="187"/>
      <c r="M241" s="561"/>
      <c r="N241" s="900" t="str">
        <f ca="1">IF(OR($H$7&lt;3,N$197&lt;3),"",IF(M241&lt;&gt;"",M241,IFERROR(IF(INDIRECT("'"&amp;M$86&amp;"'!"&amp;VLOOKUP(M$87,'List Values'!$C$3:$D$6,2,FALSE)&amp;ROW(M241))="","",INDIRECT("'"&amp;M$86&amp;"'!"&amp;VLOOKUP(M$87,'List Values'!$C$3:$D$6,2,FALSE)&amp;ROW(M241))),IF(M$86&lt;&gt;"","Data Source Error",""))))</f>
        <v/>
      </c>
      <c r="O241" s="187"/>
      <c r="P241" s="561"/>
      <c r="Q241" s="900" t="str">
        <f ca="1">IF(OR($H$7&lt;4,Q$197&lt;3),"",IF(P241&lt;&gt;"",P241,IFERROR(IF(INDIRECT("'"&amp;P$86&amp;"'!"&amp;VLOOKUP(P$87,'List Values'!$C$3:$D$6,2,FALSE)&amp;ROW(P241))="","",INDIRECT("'"&amp;P$86&amp;"'!"&amp;VLOOKUP(P$87,'List Values'!$C$3:$D$6,2,FALSE)&amp;ROW(P241))),IF(P$86&lt;&gt;"","Data Source Error",""))))</f>
        <v/>
      </c>
      <c r="S241" s="561"/>
      <c r="T241" s="900" t="str">
        <f ca="1">IF(OR($H$7&lt;5,T$197&lt;3),"",IF(S241&lt;&gt;"",S241,IFERROR(IF(INDIRECT("'"&amp;S$86&amp;"'!"&amp;VLOOKUP(S$87,'List Values'!$C$3:$D$6,2,FALSE)&amp;ROW(S241))="","",INDIRECT("'"&amp;S$86&amp;"'!"&amp;VLOOKUP(S$87,'List Values'!$C$3:$D$6,2,FALSE)&amp;ROW(S241))),IF(S$86&lt;&gt;"","Data Source Error",""))))</f>
        <v/>
      </c>
      <c r="V241" s="561"/>
      <c r="W241" s="911" t="str">
        <f ca="1">IF(OR($H$7&lt;6,W$197&lt;3),"",IF(V241&lt;&gt;"",V241,IFERROR(IF(INDIRECT("'"&amp;V$86&amp;"'!"&amp;VLOOKUP(V$87,'List Values'!$C$3:$D$6,2,FALSE)&amp;ROW(V241))="","",INDIRECT("'"&amp;V$86&amp;"'!"&amp;VLOOKUP(V$87,'List Values'!$C$3:$D$6,2,FALSE)&amp;ROW(V241))),IF(V$86&lt;&gt;"","Data Source Error",""))))</f>
        <v/>
      </c>
      <c r="Y241" s="2643"/>
      <c r="Z241" s="2644"/>
      <c r="AA241" s="2644"/>
      <c r="AB241" s="2645"/>
    </row>
    <row r="242" spans="1:28" ht="31" hidden="1" customHeight="1" outlineLevel="1">
      <c r="A242" s="514"/>
      <c r="B242" s="252"/>
      <c r="C242" s="2684" t="s">
        <v>726</v>
      </c>
      <c r="D242" s="2684"/>
      <c r="E242" s="203"/>
      <c r="F242" s="203"/>
      <c r="G242" s="644"/>
      <c r="H242" s="645"/>
      <c r="I242" s="187"/>
      <c r="J242" s="526"/>
      <c r="K242" s="900" t="str">
        <f ca="1">IF(OR($H$7&lt;2,K$197&lt;3),"",IF(J242&lt;&gt;"",J242,IFERROR(IF(INDIRECT("'"&amp;J$86&amp;"'!"&amp;VLOOKUP(J$87,'List Values'!$C$3:$D$6,2,FALSE)&amp;ROW(J242))="","",INDIRECT("'"&amp;J$86&amp;"'!"&amp;VLOOKUP(J$87,'List Values'!$C$3:$D$6,2,FALSE)&amp;ROW(J242))),IF(J$86&lt;&gt;"","Data Source Error",""))))</f>
        <v/>
      </c>
      <c r="L242" s="187"/>
      <c r="M242" s="526"/>
      <c r="N242" s="900" t="str">
        <f ca="1">IF(OR($H$7&lt;3,N$197&lt;3),"",IF(M242&lt;&gt;"",M242,IFERROR(IF(INDIRECT("'"&amp;M$86&amp;"'!"&amp;VLOOKUP(M$87,'List Values'!$C$3:$D$6,2,FALSE)&amp;ROW(M242))="","",INDIRECT("'"&amp;M$86&amp;"'!"&amp;VLOOKUP(M$87,'List Values'!$C$3:$D$6,2,FALSE)&amp;ROW(M242))),IF(M$86&lt;&gt;"","Data Source Error",""))))</f>
        <v/>
      </c>
      <c r="O242" s="187"/>
      <c r="P242" s="526"/>
      <c r="Q242" s="900" t="str">
        <f ca="1">IF(OR($H$7&lt;4,Q$197&lt;3),"",IF(P242&lt;&gt;"",P242,IFERROR(IF(INDIRECT("'"&amp;P$86&amp;"'!"&amp;VLOOKUP(P$87,'List Values'!$C$3:$D$6,2,FALSE)&amp;ROW(P242))="","",INDIRECT("'"&amp;P$86&amp;"'!"&amp;VLOOKUP(P$87,'List Values'!$C$3:$D$6,2,FALSE)&amp;ROW(P242))),IF(P$86&lt;&gt;"","Data Source Error",""))))</f>
        <v/>
      </c>
      <c r="S242" s="526"/>
      <c r="T242" s="900" t="str">
        <f ca="1">IF(OR($H$7&lt;5,T$197&lt;3),"",IF(S242&lt;&gt;"",S242,IFERROR(IF(INDIRECT("'"&amp;S$86&amp;"'!"&amp;VLOOKUP(S$87,'List Values'!$C$3:$D$6,2,FALSE)&amp;ROW(S242))="","",INDIRECT("'"&amp;S$86&amp;"'!"&amp;VLOOKUP(S$87,'List Values'!$C$3:$D$6,2,FALSE)&amp;ROW(S242))),IF(S$86&lt;&gt;"","Data Source Error",""))))</f>
        <v/>
      </c>
      <c r="V242" s="526"/>
      <c r="W242" s="911" t="str">
        <f ca="1">IF(OR($H$7&lt;6,W$197&lt;3),"",IF(V242&lt;&gt;"",V242,IFERROR(IF(INDIRECT("'"&amp;V$86&amp;"'!"&amp;VLOOKUP(V$87,'List Values'!$C$3:$D$6,2,FALSE)&amp;ROW(V242))="","",INDIRECT("'"&amp;V$86&amp;"'!"&amp;VLOOKUP(V$87,'List Values'!$C$3:$D$6,2,FALSE)&amp;ROW(V242))),IF(V$86&lt;&gt;"","Data Source Error",""))))</f>
        <v/>
      </c>
      <c r="Y242" s="2643"/>
      <c r="Z242" s="2644"/>
      <c r="AA242" s="2644"/>
      <c r="AB242" s="2645"/>
    </row>
    <row r="243" spans="1:28" ht="33.75" hidden="1" customHeight="1" outlineLevel="1">
      <c r="A243" s="514"/>
      <c r="B243" s="252"/>
      <c r="C243" s="2684" t="s">
        <v>727</v>
      </c>
      <c r="D243" s="2684"/>
      <c r="E243" s="202"/>
      <c r="F243" s="202"/>
      <c r="G243" s="634"/>
      <c r="H243" s="635"/>
      <c r="I243" s="187"/>
      <c r="J243" s="568"/>
      <c r="K243" s="945" t="str">
        <f ca="1">IF(OR($H$7&lt;2,K$197&lt;3),"",IF(J243&lt;&gt;"",J243,IFERROR(IF(INDIRECT("'"&amp;J$86&amp;"'!"&amp;VLOOKUP(J$87,'List Values'!$C$3:$D$6,2,FALSE)&amp;ROW(J243))="","",INDIRECT("'"&amp;J$86&amp;"'!"&amp;VLOOKUP(J$87,'List Values'!$C$3:$D$6,2,FALSE)&amp;ROW(J243))*$H$6),IF(J$86&lt;&gt;"","Data Source Error",""))))</f>
        <v/>
      </c>
      <c r="L243" s="339"/>
      <c r="M243" s="568"/>
      <c r="N243" s="945" t="str">
        <f ca="1">IF(OR($H$7&lt;3,N$197&lt;3),"",IF(M243&lt;&gt;"",M243,IFERROR(IF(INDIRECT("'"&amp;M$86&amp;"'!"&amp;VLOOKUP(M$87,'List Values'!$C$3:$D$6,2,FALSE)&amp;ROW(M243))="","",INDIRECT("'"&amp;M$86&amp;"'!"&amp;VLOOKUP(M$87,'List Values'!$C$3:$D$6,2,FALSE)&amp;ROW(M243))*$H$6),IF(M$86&lt;&gt;"","Data Source Error",""))))</f>
        <v/>
      </c>
      <c r="O243" s="339"/>
      <c r="P243" s="568"/>
      <c r="Q243" s="945" t="str">
        <f ca="1">IF(OR($H$7&lt;4,Q$197&lt;3),"",IF(P243&lt;&gt;"",P243,IFERROR(IF(INDIRECT("'"&amp;P$86&amp;"'!"&amp;VLOOKUP(P$87,'List Values'!$C$3:$D$6,2,FALSE)&amp;ROW(P243))="","",INDIRECT("'"&amp;P$86&amp;"'!"&amp;VLOOKUP(P$87,'List Values'!$C$3:$D$6,2,FALSE)&amp;ROW(P243))*$H$6),IF(P$86&lt;&gt;"","Data Source Error",""))))</f>
        <v/>
      </c>
      <c r="R243" s="7"/>
      <c r="S243" s="568"/>
      <c r="T243" s="945" t="str">
        <f ca="1">IF(OR($H$7&lt;5,T$197&lt;3),"",IF(S243&lt;&gt;"",S243,IFERROR(IF(INDIRECT("'"&amp;S$86&amp;"'!"&amp;VLOOKUP(S$87,'List Values'!$C$3:$D$6,2,FALSE)&amp;ROW(S243))="","",INDIRECT("'"&amp;S$86&amp;"'!"&amp;VLOOKUP(S$87,'List Values'!$C$3:$D$6,2,FALSE)&amp;ROW(S243))*$H$6),IF(S$86&lt;&gt;"","Data Source Error",""))))</f>
        <v/>
      </c>
      <c r="U243" s="7"/>
      <c r="V243" s="568"/>
      <c r="W243" s="952" t="str">
        <f ca="1">IF(OR($H$7&lt;6,W$197&lt;3),"",IF(V243&lt;&gt;"",V243,IFERROR(IF(INDIRECT("'"&amp;V$86&amp;"'!"&amp;VLOOKUP(V$87,'List Values'!$C$3:$D$6,2,FALSE)&amp;ROW(V243))="","",INDIRECT("'"&amp;V$86&amp;"'!"&amp;VLOOKUP(V$87,'List Values'!$C$3:$D$6,2,FALSE)&amp;ROW(V243))*$H$6),IF(V$86&lt;&gt;"","Data Source Error",""))))</f>
        <v/>
      </c>
      <c r="Y243" s="2643"/>
      <c r="Z243" s="2644"/>
      <c r="AA243" s="2644"/>
      <c r="AB243" s="2645"/>
    </row>
    <row r="244" spans="1:28" ht="15.75" hidden="1" customHeight="1" outlineLevel="1">
      <c r="A244" s="514"/>
      <c r="B244" s="252"/>
      <c r="C244" s="2680" t="s">
        <v>732</v>
      </c>
      <c r="D244" s="2680"/>
      <c r="E244" s="203"/>
      <c r="F244" s="203"/>
      <c r="G244" s="644"/>
      <c r="H244" s="645"/>
      <c r="I244" s="187"/>
      <c r="J244" s="526"/>
      <c r="K244" s="900" t="str">
        <f ca="1">IF(OR($H$7&lt;2,K$197&lt;3),"",IF(J244&lt;&gt;"",J244,IFERROR(IF(INDIRECT("'"&amp;J$86&amp;"'!"&amp;VLOOKUP(J$87,'List Values'!$C$3:$D$6,2,FALSE)&amp;ROW(J244))="","",INDIRECT("'"&amp;J$86&amp;"'!"&amp;VLOOKUP(J$87,'List Values'!$C$3:$D$6,2,FALSE)&amp;ROW(J244))),IF(J$86&lt;&gt;"","Data Source Error",""))))</f>
        <v/>
      </c>
      <c r="L244" s="187"/>
      <c r="M244" s="526"/>
      <c r="N244" s="900" t="str">
        <f ca="1">IF(OR($H$7&lt;3,N$197&lt;3),"",IF(M244&lt;&gt;"",M244,IFERROR(IF(INDIRECT("'"&amp;M$86&amp;"'!"&amp;VLOOKUP(M$87,'List Values'!$C$3:$D$6,2,FALSE)&amp;ROW(M244))="","",INDIRECT("'"&amp;M$86&amp;"'!"&amp;VLOOKUP(M$87,'List Values'!$C$3:$D$6,2,FALSE)&amp;ROW(M244))),IF(M$86&lt;&gt;"","Data Source Error",""))))</f>
        <v/>
      </c>
      <c r="O244" s="187"/>
      <c r="P244" s="526"/>
      <c r="Q244" s="900" t="str">
        <f ca="1">IF(OR($H$7&lt;4,Q$197&lt;3),"",IF(P244&lt;&gt;"",P244,IFERROR(IF(INDIRECT("'"&amp;P$86&amp;"'!"&amp;VLOOKUP(P$87,'List Values'!$C$3:$D$6,2,FALSE)&amp;ROW(P244))="","",INDIRECT("'"&amp;P$86&amp;"'!"&amp;VLOOKUP(P$87,'List Values'!$C$3:$D$6,2,FALSE)&amp;ROW(P244))),IF(P$86&lt;&gt;"","Data Source Error",""))))</f>
        <v/>
      </c>
      <c r="S244" s="526"/>
      <c r="T244" s="900" t="str">
        <f ca="1">IF(OR($H$7&lt;5,T$197&lt;3),"",IF(S244&lt;&gt;"",S244,IFERROR(IF(INDIRECT("'"&amp;S$86&amp;"'!"&amp;VLOOKUP(S$87,'List Values'!$C$3:$D$6,2,FALSE)&amp;ROW(S244))="","",INDIRECT("'"&amp;S$86&amp;"'!"&amp;VLOOKUP(S$87,'List Values'!$C$3:$D$6,2,FALSE)&amp;ROW(S244))),IF(S$86&lt;&gt;"","Data Source Error",""))))</f>
        <v/>
      </c>
      <c r="V244" s="526"/>
      <c r="W244" s="911" t="str">
        <f ca="1">IF(OR($H$7&lt;6,W$197&lt;3),"",IF(V244&lt;&gt;"",V244,IFERROR(IF(INDIRECT("'"&amp;V$86&amp;"'!"&amp;VLOOKUP(V$87,'List Values'!$C$3:$D$6,2,FALSE)&amp;ROW(V244))="","",INDIRECT("'"&amp;V$86&amp;"'!"&amp;VLOOKUP(V$87,'List Values'!$C$3:$D$6,2,FALSE)&amp;ROW(V244))),IF(V$86&lt;&gt;"","Data Source Error",""))))</f>
        <v/>
      </c>
      <c r="Y244" s="2643"/>
      <c r="Z244" s="2644"/>
      <c r="AA244" s="2644"/>
      <c r="AB244" s="2645"/>
    </row>
    <row r="245" spans="1:28" ht="31" hidden="1" customHeight="1" outlineLevel="1">
      <c r="A245" s="514"/>
      <c r="B245" s="252"/>
      <c r="C245" s="2684" t="s">
        <v>730</v>
      </c>
      <c r="D245" s="2684"/>
      <c r="E245" s="203"/>
      <c r="F245" s="203"/>
      <c r="G245" s="644"/>
      <c r="H245" s="645"/>
      <c r="I245" s="183"/>
      <c r="J245" s="553"/>
      <c r="K245" s="897" t="str">
        <f ca="1">IF(OR($H$7&lt;2,K$197&lt;3),"",IF(J245&lt;&gt;"",J245,IFERROR(IF(INDIRECT("'"&amp;J$86&amp;"'!"&amp;VLOOKUP(J$87,'List Values'!$C$3:$D$6,2,FALSE)&amp;ROW(J245))="","",INDIRECT("'"&amp;J$86&amp;"'!"&amp;VLOOKUP(J$87,'List Values'!$C$3:$D$6,2,FALSE)&amp;ROW(J245))),IF(J$86&lt;&gt;"","Data Source Error",""))))</f>
        <v/>
      </c>
      <c r="L245" s="183"/>
      <c r="M245" s="553"/>
      <c r="N245" s="897" t="str">
        <f ca="1">IF(OR($H$7&lt;3,N$197&lt;3),"",IF(M245&lt;&gt;"",M245,IFERROR(IF(INDIRECT("'"&amp;M$86&amp;"'!"&amp;VLOOKUP(M$87,'List Values'!$C$3:$D$6,2,FALSE)&amp;ROW(M245))="","",INDIRECT("'"&amp;M$86&amp;"'!"&amp;VLOOKUP(M$87,'List Values'!$C$3:$D$6,2,FALSE)&amp;ROW(M245))),IF(M$86&lt;&gt;"","Data Source Error",""))))</f>
        <v/>
      </c>
      <c r="O245" s="183"/>
      <c r="P245" s="553"/>
      <c r="Q245" s="897" t="str">
        <f ca="1">IF(OR($H$7&lt;4,Q$197&lt;3),"",IF(P245&lt;&gt;"",P245,IFERROR(IF(INDIRECT("'"&amp;P$86&amp;"'!"&amp;VLOOKUP(P$87,'List Values'!$C$3:$D$6,2,FALSE)&amp;ROW(P245))="","",INDIRECT("'"&amp;P$86&amp;"'!"&amp;VLOOKUP(P$87,'List Values'!$C$3:$D$6,2,FALSE)&amp;ROW(P245))),IF(P$86&lt;&gt;"","Data Source Error",""))))</f>
        <v/>
      </c>
      <c r="S245" s="553"/>
      <c r="T245" s="897" t="str">
        <f ca="1">IF(OR($H$7&lt;5,T$197&lt;3),"",IF(S245&lt;&gt;"",S245,IFERROR(IF(INDIRECT("'"&amp;S$86&amp;"'!"&amp;VLOOKUP(S$87,'List Values'!$C$3:$D$6,2,FALSE)&amp;ROW(S245))="","",INDIRECT("'"&amp;S$86&amp;"'!"&amp;VLOOKUP(S$87,'List Values'!$C$3:$D$6,2,FALSE)&amp;ROW(S245))),IF(S$86&lt;&gt;"","Data Source Error",""))))</f>
        <v/>
      </c>
      <c r="V245" s="553"/>
      <c r="W245" s="908" t="str">
        <f ca="1">IF(OR($H$7&lt;6,W$197&lt;3),"",IF(V245&lt;&gt;"",V245,IFERROR(IF(INDIRECT("'"&amp;V$86&amp;"'!"&amp;VLOOKUP(V$87,'List Values'!$C$3:$D$6,2,FALSE)&amp;ROW(V245))="","",INDIRECT("'"&amp;V$86&amp;"'!"&amp;VLOOKUP(V$87,'List Values'!$C$3:$D$6,2,FALSE)&amp;ROW(V245))),IF(V$86&lt;&gt;"","Data Source Error",""))))</f>
        <v/>
      </c>
      <c r="Y245" s="2643"/>
      <c r="Z245" s="2644"/>
      <c r="AA245" s="2644"/>
      <c r="AB245" s="2645"/>
    </row>
    <row r="246" spans="1:28" ht="31" hidden="1" customHeight="1" outlineLevel="1">
      <c r="A246" s="514"/>
      <c r="B246" s="252"/>
      <c r="C246" s="2680" t="s">
        <v>2521</v>
      </c>
      <c r="D246" s="2680"/>
      <c r="E246" s="203"/>
      <c r="F246" s="203"/>
      <c r="G246" s="644"/>
      <c r="H246" s="645"/>
      <c r="I246" s="187"/>
      <c r="J246" s="619"/>
      <c r="K246" s="898" t="str">
        <f ca="1">IF(OR($H$7&lt;2,K$197&lt;3),"",IF(J246&lt;&gt;"",J246,IFERROR(IF(INDIRECT("'"&amp;J$86&amp;"'!"&amp;VLOOKUP(J$87,'List Values'!$C$3:$D$6,2,FALSE)&amp;ROW(J246))="","",INDIRECT("'"&amp;J$86&amp;"'!"&amp;VLOOKUP(J$87,'List Values'!$C$3:$D$6,2,FALSE)&amp;ROW(J246))),IF(J$86&lt;&gt;"","Data Source Error",""))))</f>
        <v/>
      </c>
      <c r="L246" s="621"/>
      <c r="M246" s="619"/>
      <c r="N246" s="898" t="str">
        <f ca="1">IF(OR($H$7&lt;3,N$197&lt;3),"",IF(M246&lt;&gt;"",M246,IFERROR(IF(INDIRECT("'"&amp;M$86&amp;"'!"&amp;VLOOKUP(M$87,'List Values'!$C$3:$D$6,2,FALSE)&amp;ROW(M246))="","",INDIRECT("'"&amp;M$86&amp;"'!"&amp;VLOOKUP(M$87,'List Values'!$C$3:$D$6,2,FALSE)&amp;ROW(M246))),IF(M$86&lt;&gt;"","Data Source Error",""))))</f>
        <v/>
      </c>
      <c r="O246" s="621"/>
      <c r="P246" s="619"/>
      <c r="Q246" s="898" t="str">
        <f ca="1">IF(OR($H$7&lt;4,Q$197&lt;3),"",IF(P246&lt;&gt;"",P246,IFERROR(IF(INDIRECT("'"&amp;P$86&amp;"'!"&amp;VLOOKUP(P$87,'List Values'!$C$3:$D$6,2,FALSE)&amp;ROW(P246))="","",INDIRECT("'"&amp;P$86&amp;"'!"&amp;VLOOKUP(P$87,'List Values'!$C$3:$D$6,2,FALSE)&amp;ROW(P246))),IF(P$86&lt;&gt;"","Data Source Error",""))))</f>
        <v/>
      </c>
      <c r="R246" s="147"/>
      <c r="S246" s="619"/>
      <c r="T246" s="898" t="str">
        <f ca="1">IF(OR($H$7&lt;5,T$197&lt;3),"",IF(S246&lt;&gt;"",S246,IFERROR(IF(INDIRECT("'"&amp;S$86&amp;"'!"&amp;VLOOKUP(S$87,'List Values'!$C$3:$D$6,2,FALSE)&amp;ROW(S246))="","",INDIRECT("'"&amp;S$86&amp;"'!"&amp;VLOOKUP(S$87,'List Values'!$C$3:$D$6,2,FALSE)&amp;ROW(S246))),IF(S$86&lt;&gt;"","Data Source Error",""))))</f>
        <v/>
      </c>
      <c r="U246" s="147"/>
      <c r="V246" s="619"/>
      <c r="W246" s="909" t="str">
        <f ca="1">IF(OR($H$7&lt;6,W$197&lt;3),"",IF(V246&lt;&gt;"",V246,IFERROR(IF(INDIRECT("'"&amp;V$86&amp;"'!"&amp;VLOOKUP(V$87,'List Values'!$C$3:$D$6,2,FALSE)&amp;ROW(V246))="","",INDIRECT("'"&amp;V$86&amp;"'!"&amp;VLOOKUP(V$87,'List Values'!$C$3:$D$6,2,FALSE)&amp;ROW(V246))),IF(V$86&lt;&gt;"","Data Source Error",""))))</f>
        <v/>
      </c>
      <c r="Y246" s="2643"/>
      <c r="Z246" s="2644"/>
      <c r="AA246" s="2644"/>
      <c r="AB246" s="2645"/>
    </row>
    <row r="247" spans="1:28" ht="31" hidden="1" customHeight="1" outlineLevel="1">
      <c r="A247" s="514"/>
      <c r="B247" s="252"/>
      <c r="C247" s="2680" t="s">
        <v>2522</v>
      </c>
      <c r="D247" s="2680"/>
      <c r="E247" s="203"/>
      <c r="F247" s="203"/>
      <c r="G247" s="644"/>
      <c r="H247" s="645"/>
      <c r="I247" s="187"/>
      <c r="J247" s="619"/>
      <c r="K247" s="898" t="str">
        <f ca="1">IF(OR($H$7&lt;2,K$197&lt;3),"",IF(J247&lt;&gt;"",J247,IFERROR(IF(INDIRECT("'"&amp;J$86&amp;"'!"&amp;VLOOKUP(J$87,'List Values'!$C$3:$D$6,2,FALSE)&amp;ROW(J247))="","",INDIRECT("'"&amp;J$86&amp;"'!"&amp;VLOOKUP(J$87,'List Values'!$C$3:$D$6,2,FALSE)&amp;ROW(J247))),IF(J$86&lt;&gt;"","Data Source Error",""))))</f>
        <v/>
      </c>
      <c r="L247" s="621"/>
      <c r="M247" s="619"/>
      <c r="N247" s="898" t="str">
        <f ca="1">IF(OR($H$7&lt;3,N$197&lt;3),"",IF(M247&lt;&gt;"",M247,IFERROR(IF(INDIRECT("'"&amp;M$86&amp;"'!"&amp;VLOOKUP(M$87,'List Values'!$C$3:$D$6,2,FALSE)&amp;ROW(M247))="","",INDIRECT("'"&amp;M$86&amp;"'!"&amp;VLOOKUP(M$87,'List Values'!$C$3:$D$6,2,FALSE)&amp;ROW(M247))),IF(M$86&lt;&gt;"","Data Source Error",""))))</f>
        <v/>
      </c>
      <c r="O247" s="621"/>
      <c r="P247" s="619"/>
      <c r="Q247" s="898" t="str">
        <f ca="1">IF(OR($H$7&lt;4,Q$197&lt;3),"",IF(P247&lt;&gt;"",P247,IFERROR(IF(INDIRECT("'"&amp;P$86&amp;"'!"&amp;VLOOKUP(P$87,'List Values'!$C$3:$D$6,2,FALSE)&amp;ROW(P247))="","",INDIRECT("'"&amp;P$86&amp;"'!"&amp;VLOOKUP(P$87,'List Values'!$C$3:$D$6,2,FALSE)&amp;ROW(P247))),IF(P$86&lt;&gt;"","Data Source Error",""))))</f>
        <v/>
      </c>
      <c r="R247" s="147"/>
      <c r="S247" s="619"/>
      <c r="T247" s="898" t="str">
        <f ca="1">IF(OR($H$7&lt;5,T$197&lt;3),"",IF(S247&lt;&gt;"",S247,IFERROR(IF(INDIRECT("'"&amp;S$86&amp;"'!"&amp;VLOOKUP(S$87,'List Values'!$C$3:$D$6,2,FALSE)&amp;ROW(S247))="","",INDIRECT("'"&amp;S$86&amp;"'!"&amp;VLOOKUP(S$87,'List Values'!$C$3:$D$6,2,FALSE)&amp;ROW(S247))),IF(S$86&lt;&gt;"","Data Source Error",""))))</f>
        <v/>
      </c>
      <c r="U247" s="147"/>
      <c r="V247" s="619"/>
      <c r="W247" s="909" t="str">
        <f ca="1">IF(OR($H$7&lt;6,W$197&lt;3),"",IF(V247&lt;&gt;"",V247,IFERROR(IF(INDIRECT("'"&amp;V$86&amp;"'!"&amp;VLOOKUP(V$87,'List Values'!$C$3:$D$6,2,FALSE)&amp;ROW(V247))="","",INDIRECT("'"&amp;V$86&amp;"'!"&amp;VLOOKUP(V$87,'List Values'!$C$3:$D$6,2,FALSE)&amp;ROW(V247))),IF(V$86&lt;&gt;"","Data Source Error",""))))</f>
        <v/>
      </c>
      <c r="Y247" s="2643"/>
      <c r="Z247" s="2644"/>
      <c r="AA247" s="2644"/>
      <c r="AB247" s="2645"/>
    </row>
    <row r="248" spans="1:28" ht="33.75" hidden="1" customHeight="1" outlineLevel="1">
      <c r="A248" s="514"/>
      <c r="B248" s="252"/>
      <c r="C248" s="2680" t="s">
        <v>253</v>
      </c>
      <c r="D248" s="2680"/>
      <c r="E248" s="202"/>
      <c r="F248" s="202"/>
      <c r="G248" s="634"/>
      <c r="H248" s="635"/>
      <c r="I248" s="187"/>
      <c r="J248" s="526"/>
      <c r="K248" s="900" t="str">
        <f ca="1">IF(OR($H$7&lt;2,K$197&lt;3),"",IF(J248&lt;&gt;"",J248,IFERROR(IF(INDIRECT("'"&amp;J$86&amp;"'!"&amp;VLOOKUP(J$87,'List Values'!$C$3:$D$6,2,FALSE)&amp;ROW(J248))="","",INDIRECT("'"&amp;J$86&amp;"'!"&amp;VLOOKUP(J$87,'List Values'!$C$3:$D$6,2,FALSE)&amp;ROW(J248))),IF(J$86&lt;&gt;"","Data Source Error",""))))</f>
        <v/>
      </c>
      <c r="L248" s="187"/>
      <c r="M248" s="526"/>
      <c r="N248" s="900" t="str">
        <f ca="1">IF(OR($H$7&lt;3,N$197&lt;3),"",IF(M248&lt;&gt;"",M248,IFERROR(IF(INDIRECT("'"&amp;M$86&amp;"'!"&amp;VLOOKUP(M$87,'List Values'!$C$3:$D$6,2,FALSE)&amp;ROW(M248))="","",INDIRECT("'"&amp;M$86&amp;"'!"&amp;VLOOKUP(M$87,'List Values'!$C$3:$D$6,2,FALSE)&amp;ROW(M248))),IF(M$86&lt;&gt;"","Data Source Error",""))))</f>
        <v/>
      </c>
      <c r="O248" s="187"/>
      <c r="P248" s="526"/>
      <c r="Q248" s="900" t="str">
        <f ca="1">IF(OR($H$7&lt;4,Q$197&lt;3),"",IF(P248&lt;&gt;"",P248,IFERROR(IF(INDIRECT("'"&amp;P$86&amp;"'!"&amp;VLOOKUP(P$87,'List Values'!$C$3:$D$6,2,FALSE)&amp;ROW(P248))="","",INDIRECT("'"&amp;P$86&amp;"'!"&amp;VLOOKUP(P$87,'List Values'!$C$3:$D$6,2,FALSE)&amp;ROW(P248))),IF(P$86&lt;&gt;"","Data Source Error",""))))</f>
        <v/>
      </c>
      <c r="S248" s="526"/>
      <c r="T248" s="900" t="str">
        <f ca="1">IF(OR($H$7&lt;5,T$197&lt;3),"",IF(S248&lt;&gt;"",S248,IFERROR(IF(INDIRECT("'"&amp;S$86&amp;"'!"&amp;VLOOKUP(S$87,'List Values'!$C$3:$D$6,2,FALSE)&amp;ROW(S248))="","",INDIRECT("'"&amp;S$86&amp;"'!"&amp;VLOOKUP(S$87,'List Values'!$C$3:$D$6,2,FALSE)&amp;ROW(S248))),IF(S$86&lt;&gt;"","Data Source Error",""))))</f>
        <v/>
      </c>
      <c r="V248" s="526"/>
      <c r="W248" s="911" t="str">
        <f ca="1">IF(OR($H$7&lt;6,W$197&lt;3),"",IF(V248&lt;&gt;"",V248,IFERROR(IF(INDIRECT("'"&amp;V$86&amp;"'!"&amp;VLOOKUP(V$87,'List Values'!$C$3:$D$6,2,FALSE)&amp;ROW(V248))="","",INDIRECT("'"&amp;V$86&amp;"'!"&amp;VLOOKUP(V$87,'List Values'!$C$3:$D$6,2,FALSE)&amp;ROW(V248))),IF(V$86&lt;&gt;"","Data Source Error",""))))</f>
        <v/>
      </c>
      <c r="Y248" s="2643"/>
      <c r="Z248" s="2644"/>
      <c r="AA248" s="2644"/>
      <c r="AB248" s="2645"/>
    </row>
    <row r="249" spans="1:28" ht="15.75" hidden="1" customHeight="1" outlineLevel="1">
      <c r="A249" s="514"/>
      <c r="B249" s="252"/>
      <c r="C249" s="2684" t="s">
        <v>2529</v>
      </c>
      <c r="D249" s="2684"/>
      <c r="E249" s="203"/>
      <c r="F249" s="203"/>
      <c r="G249" s="644"/>
      <c r="H249" s="645"/>
      <c r="I249" s="187"/>
      <c r="J249" s="580"/>
      <c r="K249" s="900" t="str">
        <f ca="1">IF(OR($H$7&lt;2,K$197&lt;3),"",IF(J249&lt;&gt;"",J249,IFERROR(IF(INDIRECT("'"&amp;J$86&amp;"'!"&amp;VLOOKUP(J$87,'List Values'!$C$3:$D$6,2,FALSE)&amp;ROW(J249))="","",INDIRECT("'"&amp;J$86&amp;"'!"&amp;VLOOKUP(J$87,'List Values'!$C$3:$D$6,2,FALSE)&amp;ROW(J249))),IF(J$86&lt;&gt;"","Data Source Error",""))))</f>
        <v/>
      </c>
      <c r="L249" s="187"/>
      <c r="M249" s="580"/>
      <c r="N249" s="900" t="str">
        <f ca="1">IF(OR($H$7&lt;3,N$197&lt;3),"",IF(M249&lt;&gt;"",M249,IFERROR(IF(INDIRECT("'"&amp;M$86&amp;"'!"&amp;VLOOKUP(M$87,'List Values'!$C$3:$D$6,2,FALSE)&amp;ROW(M249))="","",INDIRECT("'"&amp;M$86&amp;"'!"&amp;VLOOKUP(M$87,'List Values'!$C$3:$D$6,2,FALSE)&amp;ROW(M249))),IF(M$86&lt;&gt;"","Data Source Error",""))))</f>
        <v/>
      </c>
      <c r="O249" s="187"/>
      <c r="P249" s="580"/>
      <c r="Q249" s="900" t="str">
        <f ca="1">IF(OR($H$7&lt;4,Q$197&lt;3),"",IF(P249&lt;&gt;"",P249,IFERROR(IF(INDIRECT("'"&amp;P$86&amp;"'!"&amp;VLOOKUP(P$87,'List Values'!$C$3:$D$6,2,FALSE)&amp;ROW(P249))="","",INDIRECT("'"&amp;P$86&amp;"'!"&amp;VLOOKUP(P$87,'List Values'!$C$3:$D$6,2,FALSE)&amp;ROW(P249))),IF(P$86&lt;&gt;"","Data Source Error",""))))</f>
        <v/>
      </c>
      <c r="S249" s="580"/>
      <c r="T249" s="900" t="str">
        <f ca="1">IF(OR($H$7&lt;5,T$197&lt;3),"",IF(S249&lt;&gt;"",S249,IFERROR(IF(INDIRECT("'"&amp;S$86&amp;"'!"&amp;VLOOKUP(S$87,'List Values'!$C$3:$D$6,2,FALSE)&amp;ROW(S249))="","",INDIRECT("'"&amp;S$86&amp;"'!"&amp;VLOOKUP(S$87,'List Values'!$C$3:$D$6,2,FALSE)&amp;ROW(S249))),IF(S$86&lt;&gt;"","Data Source Error",""))))</f>
        <v/>
      </c>
      <c r="V249" s="580"/>
      <c r="W249" s="911" t="str">
        <f ca="1">IF(OR($H$7&lt;6,W$197&lt;3),"",IF(V249&lt;&gt;"",V249,IFERROR(IF(INDIRECT("'"&amp;V$86&amp;"'!"&amp;VLOOKUP(V$87,'List Values'!$C$3:$D$6,2,FALSE)&amp;ROW(V249))="","",INDIRECT("'"&amp;V$86&amp;"'!"&amp;VLOOKUP(V$87,'List Values'!$C$3:$D$6,2,FALSE)&amp;ROW(V249))),IF(V$86&lt;&gt;"","Data Source Error",""))))</f>
        <v/>
      </c>
      <c r="Y249" s="2643"/>
      <c r="Z249" s="2644"/>
      <c r="AA249" s="2644"/>
      <c r="AB249" s="2645"/>
    </row>
    <row r="250" spans="1:28" ht="30" hidden="1" customHeight="1" outlineLevel="1">
      <c r="A250" s="514"/>
      <c r="B250" s="252"/>
      <c r="C250" s="2680" t="s">
        <v>2523</v>
      </c>
      <c r="D250" s="2680"/>
      <c r="E250" s="203"/>
      <c r="F250" s="203"/>
      <c r="G250" s="644"/>
      <c r="H250" s="645"/>
      <c r="I250" s="187"/>
      <c r="J250" s="580"/>
      <c r="K250" s="900" t="str">
        <f ca="1">IF(OR($H$7&lt;2,K$197&lt;3),"",IF(J250&lt;&gt;"",J250,IFERROR(IF(INDIRECT("'"&amp;J$86&amp;"'!"&amp;VLOOKUP(J$87,'List Values'!$C$3:$D$6,2,FALSE)&amp;ROW(J250))="","",INDIRECT("'"&amp;J$86&amp;"'!"&amp;VLOOKUP(J$87,'List Values'!$C$3:$D$6,2,FALSE)&amp;ROW(J250))),IF(J$86&lt;&gt;"","Data Source Error",""))))</f>
        <v/>
      </c>
      <c r="L250" s="187"/>
      <c r="M250" s="580"/>
      <c r="N250" s="900" t="str">
        <f ca="1">IF(OR($H$7&lt;3,N$197&lt;3),"",IF(M250&lt;&gt;"",M250,IFERROR(IF(INDIRECT("'"&amp;M$86&amp;"'!"&amp;VLOOKUP(M$87,'List Values'!$C$3:$D$6,2,FALSE)&amp;ROW(M250))="","",INDIRECT("'"&amp;M$86&amp;"'!"&amp;VLOOKUP(M$87,'List Values'!$C$3:$D$6,2,FALSE)&amp;ROW(M250))),IF(M$86&lt;&gt;"","Data Source Error",""))))</f>
        <v/>
      </c>
      <c r="O250" s="187"/>
      <c r="P250" s="580"/>
      <c r="Q250" s="900" t="str">
        <f ca="1">IF(OR($H$7&lt;4,Q$197&lt;3),"",IF(P250&lt;&gt;"",P250,IFERROR(IF(INDIRECT("'"&amp;P$86&amp;"'!"&amp;VLOOKUP(P$87,'List Values'!$C$3:$D$6,2,FALSE)&amp;ROW(P250))="","",INDIRECT("'"&amp;P$86&amp;"'!"&amp;VLOOKUP(P$87,'List Values'!$C$3:$D$6,2,FALSE)&amp;ROW(P250))),IF(P$86&lt;&gt;"","Data Source Error",""))))</f>
        <v/>
      </c>
      <c r="S250" s="580"/>
      <c r="T250" s="900" t="str">
        <f ca="1">IF(OR($H$7&lt;5,T$197&lt;3),"",IF(S250&lt;&gt;"",S250,IFERROR(IF(INDIRECT("'"&amp;S$86&amp;"'!"&amp;VLOOKUP(S$87,'List Values'!$C$3:$D$6,2,FALSE)&amp;ROW(S250))="","",INDIRECT("'"&amp;S$86&amp;"'!"&amp;VLOOKUP(S$87,'List Values'!$C$3:$D$6,2,FALSE)&amp;ROW(S250))),IF(S$86&lt;&gt;"","Data Source Error",""))))</f>
        <v/>
      </c>
      <c r="V250" s="580"/>
      <c r="W250" s="911" t="str">
        <f ca="1">IF(OR($H$7&lt;6,W$197&lt;3),"",IF(V250&lt;&gt;"",V250,IFERROR(IF(INDIRECT("'"&amp;V$86&amp;"'!"&amp;VLOOKUP(V$87,'List Values'!$C$3:$D$6,2,FALSE)&amp;ROW(V250))="","",INDIRECT("'"&amp;V$86&amp;"'!"&amp;VLOOKUP(V$87,'List Values'!$C$3:$D$6,2,FALSE)&amp;ROW(V250))),IF(V$86&lt;&gt;"","Data Source Error",""))))</f>
        <v/>
      </c>
      <c r="Y250" s="2643"/>
      <c r="Z250" s="2644"/>
      <c r="AA250" s="2644"/>
      <c r="AB250" s="2645"/>
    </row>
    <row r="251" spans="1:28" ht="15.75" hidden="1" customHeight="1" outlineLevel="1">
      <c r="A251" s="514"/>
      <c r="B251" s="252"/>
      <c r="C251" s="2680" t="s">
        <v>2524</v>
      </c>
      <c r="D251" s="2680"/>
      <c r="E251" s="203"/>
      <c r="F251" s="203"/>
      <c r="G251" s="644"/>
      <c r="H251" s="645"/>
      <c r="I251" s="187"/>
      <c r="J251" s="580"/>
      <c r="K251" s="900" t="str">
        <f ca="1">IF(OR($H$7&lt;2,K$197&lt;3),"",IF(J251&lt;&gt;"",J251,IFERROR(IF(INDIRECT("'"&amp;J$86&amp;"'!"&amp;VLOOKUP(J$87,'List Values'!$C$3:$D$6,2,FALSE)&amp;ROW(J251))="","",INDIRECT("'"&amp;J$86&amp;"'!"&amp;VLOOKUP(J$87,'List Values'!$C$3:$D$6,2,FALSE)&amp;ROW(J251))),IF(J$86&lt;&gt;"","Data Source Error",""))))</f>
        <v/>
      </c>
      <c r="L251" s="187"/>
      <c r="M251" s="580"/>
      <c r="N251" s="900" t="str">
        <f ca="1">IF(OR($H$7&lt;3,N$197&lt;3),"",IF(M251&lt;&gt;"",M251,IFERROR(IF(INDIRECT("'"&amp;M$86&amp;"'!"&amp;VLOOKUP(M$87,'List Values'!$C$3:$D$6,2,FALSE)&amp;ROW(M251))="","",INDIRECT("'"&amp;M$86&amp;"'!"&amp;VLOOKUP(M$87,'List Values'!$C$3:$D$6,2,FALSE)&amp;ROW(M251))),IF(M$86&lt;&gt;"","Data Source Error",""))))</f>
        <v/>
      </c>
      <c r="O251" s="187"/>
      <c r="P251" s="580"/>
      <c r="Q251" s="900" t="str">
        <f ca="1">IF(OR($H$7&lt;4,Q$197&lt;3),"",IF(P251&lt;&gt;"",P251,IFERROR(IF(INDIRECT("'"&amp;P$86&amp;"'!"&amp;VLOOKUP(P$87,'List Values'!$C$3:$D$6,2,FALSE)&amp;ROW(P251))="","",INDIRECT("'"&amp;P$86&amp;"'!"&amp;VLOOKUP(P$87,'List Values'!$C$3:$D$6,2,FALSE)&amp;ROW(P251))),IF(P$86&lt;&gt;"","Data Source Error",""))))</f>
        <v/>
      </c>
      <c r="S251" s="580"/>
      <c r="T251" s="900" t="str">
        <f ca="1">IF(OR($H$7&lt;5,T$197&lt;3),"",IF(S251&lt;&gt;"",S251,IFERROR(IF(INDIRECT("'"&amp;S$86&amp;"'!"&amp;VLOOKUP(S$87,'List Values'!$C$3:$D$6,2,FALSE)&amp;ROW(S251))="","",INDIRECT("'"&amp;S$86&amp;"'!"&amp;VLOOKUP(S$87,'List Values'!$C$3:$D$6,2,FALSE)&amp;ROW(S251))),IF(S$86&lt;&gt;"","Data Source Error",""))))</f>
        <v/>
      </c>
      <c r="V251" s="580"/>
      <c r="W251" s="911" t="str">
        <f ca="1">IF(OR($H$7&lt;6,W$197&lt;3),"",IF(V251&lt;&gt;"",V251,IFERROR(IF(INDIRECT("'"&amp;V$86&amp;"'!"&amp;VLOOKUP(V$87,'List Values'!$C$3:$D$6,2,FALSE)&amp;ROW(V251))="","",INDIRECT("'"&amp;V$86&amp;"'!"&amp;VLOOKUP(V$87,'List Values'!$C$3:$D$6,2,FALSE)&amp;ROW(V251))),IF(V$86&lt;&gt;"","Data Source Error",""))))</f>
        <v/>
      </c>
      <c r="Y251" s="2643"/>
      <c r="Z251" s="2644"/>
      <c r="AA251" s="2644"/>
      <c r="AB251" s="2645"/>
    </row>
    <row r="252" spans="1:28" ht="15.75" hidden="1" customHeight="1" outlineLevel="1">
      <c r="A252" s="514"/>
      <c r="B252" s="252"/>
      <c r="C252" s="2684" t="s">
        <v>2525</v>
      </c>
      <c r="D252" s="2684"/>
      <c r="E252" s="203"/>
      <c r="F252" s="203"/>
      <c r="G252" s="644"/>
      <c r="H252" s="645"/>
      <c r="I252" s="187"/>
      <c r="J252" s="580"/>
      <c r="K252" s="900" t="str">
        <f ca="1">IF(OR($H$7&lt;2,K$197&lt;3),"",IF(J252&lt;&gt;"",J252,IFERROR(IF(INDIRECT("'"&amp;J$86&amp;"'!"&amp;VLOOKUP(J$87,'List Values'!$C$3:$D$6,2,FALSE)&amp;ROW(J252))="","",INDIRECT("'"&amp;J$86&amp;"'!"&amp;VLOOKUP(J$87,'List Values'!$C$3:$D$6,2,FALSE)&amp;ROW(J252))),IF(J$86&lt;&gt;"","Data Source Error",""))))</f>
        <v/>
      </c>
      <c r="L252" s="187"/>
      <c r="M252" s="580"/>
      <c r="N252" s="900" t="str">
        <f ca="1">IF(OR($H$7&lt;3,N$197&lt;3),"",IF(M252&lt;&gt;"",M252,IFERROR(IF(INDIRECT("'"&amp;M$86&amp;"'!"&amp;VLOOKUP(M$87,'List Values'!$C$3:$D$6,2,FALSE)&amp;ROW(M252))="","",INDIRECT("'"&amp;M$86&amp;"'!"&amp;VLOOKUP(M$87,'List Values'!$C$3:$D$6,2,FALSE)&amp;ROW(M252))),IF(M$86&lt;&gt;"","Data Source Error",""))))</f>
        <v/>
      </c>
      <c r="O252" s="187"/>
      <c r="P252" s="580"/>
      <c r="Q252" s="900" t="str">
        <f ca="1">IF(OR($H$7&lt;4,Q$197&lt;3),"",IF(P252&lt;&gt;"",P252,IFERROR(IF(INDIRECT("'"&amp;P$86&amp;"'!"&amp;VLOOKUP(P$87,'List Values'!$C$3:$D$6,2,FALSE)&amp;ROW(P252))="","",INDIRECT("'"&amp;P$86&amp;"'!"&amp;VLOOKUP(P$87,'List Values'!$C$3:$D$6,2,FALSE)&amp;ROW(P252))),IF(P$86&lt;&gt;"","Data Source Error",""))))</f>
        <v/>
      </c>
      <c r="S252" s="580"/>
      <c r="T252" s="900" t="str">
        <f ca="1">IF(OR($H$7&lt;5,T$197&lt;3),"",IF(S252&lt;&gt;"",S252,IFERROR(IF(INDIRECT("'"&amp;S$86&amp;"'!"&amp;VLOOKUP(S$87,'List Values'!$C$3:$D$6,2,FALSE)&amp;ROW(S252))="","",INDIRECT("'"&amp;S$86&amp;"'!"&amp;VLOOKUP(S$87,'List Values'!$C$3:$D$6,2,FALSE)&amp;ROW(S252))),IF(S$86&lt;&gt;"","Data Source Error",""))))</f>
        <v/>
      </c>
      <c r="V252" s="580"/>
      <c r="W252" s="911" t="str">
        <f ca="1">IF(OR($H$7&lt;6,W$197&lt;3),"",IF(V252&lt;&gt;"",V252,IFERROR(IF(INDIRECT("'"&amp;V$86&amp;"'!"&amp;VLOOKUP(V$87,'List Values'!$C$3:$D$6,2,FALSE)&amp;ROW(V252))="","",INDIRECT("'"&amp;V$86&amp;"'!"&amp;VLOOKUP(V$87,'List Values'!$C$3:$D$6,2,FALSE)&amp;ROW(V252))),IF(V$86&lt;&gt;"","Data Source Error",""))))</f>
        <v/>
      </c>
      <c r="Y252" s="2643"/>
      <c r="Z252" s="2644"/>
      <c r="AA252" s="2644"/>
      <c r="AB252" s="2645"/>
    </row>
    <row r="253" spans="1:28" ht="31" hidden="1" customHeight="1" outlineLevel="1">
      <c r="A253" s="514"/>
      <c r="B253" s="252"/>
      <c r="C253" s="2680" t="s">
        <v>2526</v>
      </c>
      <c r="D253" s="2680"/>
      <c r="E253" s="203"/>
      <c r="F253" s="203"/>
      <c r="G253" s="644"/>
      <c r="H253" s="645"/>
      <c r="I253" s="187"/>
      <c r="J253" s="580"/>
      <c r="K253" s="900" t="str">
        <f ca="1">IF(OR($H$7&lt;2,K$197&lt;3),"",IF(J253&lt;&gt;"",J253,IFERROR(IF(INDIRECT("'"&amp;J$86&amp;"'!"&amp;VLOOKUP(J$87,'List Values'!$C$3:$D$6,2,FALSE)&amp;ROW(J253))="","",INDIRECT("'"&amp;J$86&amp;"'!"&amp;VLOOKUP(J$87,'List Values'!$C$3:$D$6,2,FALSE)&amp;ROW(J253))),IF(J$86&lt;&gt;"","Data Source Error",""))))</f>
        <v/>
      </c>
      <c r="L253" s="187"/>
      <c r="M253" s="580"/>
      <c r="N253" s="900" t="str">
        <f ca="1">IF(OR($H$7&lt;3,N$197&lt;3),"",IF(M253&lt;&gt;"",M253,IFERROR(IF(INDIRECT("'"&amp;M$86&amp;"'!"&amp;VLOOKUP(M$87,'List Values'!$C$3:$D$6,2,FALSE)&amp;ROW(M253))="","",INDIRECT("'"&amp;M$86&amp;"'!"&amp;VLOOKUP(M$87,'List Values'!$C$3:$D$6,2,FALSE)&amp;ROW(M253))),IF(M$86&lt;&gt;"","Data Source Error",""))))</f>
        <v/>
      </c>
      <c r="O253" s="187"/>
      <c r="P253" s="580"/>
      <c r="Q253" s="900" t="str">
        <f ca="1">IF(OR($H$7&lt;4,Q$197&lt;3),"",IF(P253&lt;&gt;"",P253,IFERROR(IF(INDIRECT("'"&amp;P$86&amp;"'!"&amp;VLOOKUP(P$87,'List Values'!$C$3:$D$6,2,FALSE)&amp;ROW(P253))="","",INDIRECT("'"&amp;P$86&amp;"'!"&amp;VLOOKUP(P$87,'List Values'!$C$3:$D$6,2,FALSE)&amp;ROW(P253))),IF(P$86&lt;&gt;"","Data Source Error",""))))</f>
        <v/>
      </c>
      <c r="S253" s="580"/>
      <c r="T253" s="900" t="str">
        <f ca="1">IF(OR($H$7&lt;5,T$197&lt;3),"",IF(S253&lt;&gt;"",S253,IFERROR(IF(INDIRECT("'"&amp;S$86&amp;"'!"&amp;VLOOKUP(S$87,'List Values'!$C$3:$D$6,2,FALSE)&amp;ROW(S253))="","",INDIRECT("'"&amp;S$86&amp;"'!"&amp;VLOOKUP(S$87,'List Values'!$C$3:$D$6,2,FALSE)&amp;ROW(S253))),IF(S$86&lt;&gt;"","Data Source Error",""))))</f>
        <v/>
      </c>
      <c r="V253" s="580"/>
      <c r="W253" s="911" t="str">
        <f ca="1">IF(OR($H$7&lt;6,W$197&lt;3),"",IF(V253&lt;&gt;"",V253,IFERROR(IF(INDIRECT("'"&amp;V$86&amp;"'!"&amp;VLOOKUP(V$87,'List Values'!$C$3:$D$6,2,FALSE)&amp;ROW(V253))="","",INDIRECT("'"&amp;V$86&amp;"'!"&amp;VLOOKUP(V$87,'List Values'!$C$3:$D$6,2,FALSE)&amp;ROW(V253))),IF(V$86&lt;&gt;"","Data Source Error",""))))</f>
        <v/>
      </c>
      <c r="Y253" s="2643"/>
      <c r="Z253" s="2644"/>
      <c r="AA253" s="2644"/>
      <c r="AB253" s="2645"/>
    </row>
    <row r="254" spans="1:28" ht="33.75" hidden="1" customHeight="1" outlineLevel="1">
      <c r="A254" s="514"/>
      <c r="B254" s="252"/>
      <c r="C254" s="2680" t="s">
        <v>2527</v>
      </c>
      <c r="D254" s="2680"/>
      <c r="E254" s="202"/>
      <c r="F254" s="202"/>
      <c r="G254" s="634"/>
      <c r="H254" s="635"/>
      <c r="I254" s="187"/>
      <c r="J254" s="580"/>
      <c r="K254" s="900" t="str">
        <f ca="1">IF(OR($H$7&lt;2,K$197&lt;3),"",IF(J254&lt;&gt;"",J254,IFERROR(IF(INDIRECT("'"&amp;J$86&amp;"'!"&amp;VLOOKUP(J$87,'List Values'!$C$3:$D$6,2,FALSE)&amp;ROW(J254))="","",INDIRECT("'"&amp;J$86&amp;"'!"&amp;VLOOKUP(J$87,'List Values'!$C$3:$D$6,2,FALSE)&amp;ROW(J254))),IF(J$86&lt;&gt;"","Data Source Error",""))))</f>
        <v/>
      </c>
      <c r="L254" s="187"/>
      <c r="M254" s="580"/>
      <c r="N254" s="900" t="str">
        <f ca="1">IF(OR($H$7&lt;3,N$197&lt;3),"",IF(M254&lt;&gt;"",M254,IFERROR(IF(INDIRECT("'"&amp;M$86&amp;"'!"&amp;VLOOKUP(M$87,'List Values'!$C$3:$D$6,2,FALSE)&amp;ROW(M254))="","",INDIRECT("'"&amp;M$86&amp;"'!"&amp;VLOOKUP(M$87,'List Values'!$C$3:$D$6,2,FALSE)&amp;ROW(M254))),IF(M$86&lt;&gt;"","Data Source Error",""))))</f>
        <v/>
      </c>
      <c r="O254" s="187"/>
      <c r="P254" s="580"/>
      <c r="Q254" s="900" t="str">
        <f ca="1">IF(OR($H$7&lt;4,Q$197&lt;3),"",IF(P254&lt;&gt;"",P254,IFERROR(IF(INDIRECT("'"&amp;P$86&amp;"'!"&amp;VLOOKUP(P$87,'List Values'!$C$3:$D$6,2,FALSE)&amp;ROW(P254))="","",INDIRECT("'"&amp;P$86&amp;"'!"&amp;VLOOKUP(P$87,'List Values'!$C$3:$D$6,2,FALSE)&amp;ROW(P254))),IF(P$86&lt;&gt;"","Data Source Error",""))))</f>
        <v/>
      </c>
      <c r="S254" s="580"/>
      <c r="T254" s="900" t="str">
        <f ca="1">IF(OR($H$7&lt;5,T$197&lt;3),"",IF(S254&lt;&gt;"",S254,IFERROR(IF(INDIRECT("'"&amp;S$86&amp;"'!"&amp;VLOOKUP(S$87,'List Values'!$C$3:$D$6,2,FALSE)&amp;ROW(S254))="","",INDIRECT("'"&amp;S$86&amp;"'!"&amp;VLOOKUP(S$87,'List Values'!$C$3:$D$6,2,FALSE)&amp;ROW(S254))),IF(S$86&lt;&gt;"","Data Source Error",""))))</f>
        <v/>
      </c>
      <c r="V254" s="580"/>
      <c r="W254" s="911" t="str">
        <f ca="1">IF(OR($H$7&lt;6,W$197&lt;3),"",IF(V254&lt;&gt;"",V254,IFERROR(IF(INDIRECT("'"&amp;V$86&amp;"'!"&amp;VLOOKUP(V$87,'List Values'!$C$3:$D$6,2,FALSE)&amp;ROW(V254))="","",INDIRECT("'"&amp;V$86&amp;"'!"&amp;VLOOKUP(V$87,'List Values'!$C$3:$D$6,2,FALSE)&amp;ROW(V254))),IF(V$86&lt;&gt;"","Data Source Error",""))))</f>
        <v/>
      </c>
      <c r="Y254" s="2643"/>
      <c r="Z254" s="2644"/>
      <c r="AA254" s="2644"/>
      <c r="AB254" s="2645"/>
    </row>
    <row r="255" spans="1:28" ht="33.75" hidden="1" customHeight="1" outlineLevel="1">
      <c r="A255" s="514"/>
      <c r="B255" s="252"/>
      <c r="C255" s="2680" t="s">
        <v>2528</v>
      </c>
      <c r="D255" s="2680"/>
      <c r="E255" s="202"/>
      <c r="F255" s="202"/>
      <c r="G255" s="634"/>
      <c r="H255" s="635"/>
      <c r="I255" s="187"/>
      <c r="J255" s="580"/>
      <c r="K255" s="900" t="str">
        <f ca="1">IF(OR($H$7&lt;2,K$197&lt;3),"",IF(J255&lt;&gt;"",J255,IFERROR(IF(INDIRECT("'"&amp;J$86&amp;"'!"&amp;VLOOKUP(J$87,'List Values'!$C$3:$D$6,2,FALSE)&amp;ROW(J255))="","",INDIRECT("'"&amp;J$86&amp;"'!"&amp;VLOOKUP(J$87,'List Values'!$C$3:$D$6,2,FALSE)&amp;ROW(J255))),IF(J$86&lt;&gt;"","Data Source Error",""))))</f>
        <v/>
      </c>
      <c r="L255" s="187"/>
      <c r="M255" s="580"/>
      <c r="N255" s="900" t="str">
        <f ca="1">IF(OR($H$7&lt;3,N$197&lt;3),"",IF(M255&lt;&gt;"",M255,IFERROR(IF(INDIRECT("'"&amp;M$86&amp;"'!"&amp;VLOOKUP(M$87,'List Values'!$C$3:$D$6,2,FALSE)&amp;ROW(M255))="","",INDIRECT("'"&amp;M$86&amp;"'!"&amp;VLOOKUP(M$87,'List Values'!$C$3:$D$6,2,FALSE)&amp;ROW(M255))),IF(M$86&lt;&gt;"","Data Source Error",""))))</f>
        <v/>
      </c>
      <c r="O255" s="187"/>
      <c r="P255" s="580"/>
      <c r="Q255" s="900" t="str">
        <f ca="1">IF(OR($H$7&lt;4,Q$197&lt;3),"",IF(P255&lt;&gt;"",P255,IFERROR(IF(INDIRECT("'"&amp;P$86&amp;"'!"&amp;VLOOKUP(P$87,'List Values'!$C$3:$D$6,2,FALSE)&amp;ROW(P255))="","",INDIRECT("'"&amp;P$86&amp;"'!"&amp;VLOOKUP(P$87,'List Values'!$C$3:$D$6,2,FALSE)&amp;ROW(P255))),IF(P$86&lt;&gt;"","Data Source Error",""))))</f>
        <v/>
      </c>
      <c r="S255" s="580"/>
      <c r="T255" s="900" t="str">
        <f ca="1">IF(OR($H$7&lt;5,T$197&lt;3),"",IF(S255&lt;&gt;"",S255,IFERROR(IF(INDIRECT("'"&amp;S$86&amp;"'!"&amp;VLOOKUP(S$87,'List Values'!$C$3:$D$6,2,FALSE)&amp;ROW(S255))="","",INDIRECT("'"&amp;S$86&amp;"'!"&amp;VLOOKUP(S$87,'List Values'!$C$3:$D$6,2,FALSE)&amp;ROW(S255))),IF(S$86&lt;&gt;"","Data Source Error",""))))</f>
        <v/>
      </c>
      <c r="V255" s="580"/>
      <c r="W255" s="911" t="str">
        <f ca="1">IF(OR($H$7&lt;6,W$197&lt;3),"",IF(V255&lt;&gt;"",V255,IFERROR(IF(INDIRECT("'"&amp;V$86&amp;"'!"&amp;VLOOKUP(V$87,'List Values'!$C$3:$D$6,2,FALSE)&amp;ROW(V255))="","",INDIRECT("'"&amp;V$86&amp;"'!"&amp;VLOOKUP(V$87,'List Values'!$C$3:$D$6,2,FALSE)&amp;ROW(V255))),IF(V$86&lt;&gt;"","Data Source Error",""))))</f>
        <v/>
      </c>
      <c r="Y255" s="2643"/>
      <c r="Z255" s="2644"/>
      <c r="AA255" s="2644"/>
      <c r="AB255" s="2645"/>
    </row>
    <row r="256" spans="1:28" ht="15.75" hidden="1" customHeight="1" outlineLevel="1">
      <c r="A256" s="514"/>
      <c r="B256" s="252"/>
      <c r="C256" s="2680" t="s">
        <v>650</v>
      </c>
      <c r="D256" s="2680"/>
      <c r="E256" s="203"/>
      <c r="F256" s="203"/>
      <c r="G256" s="644"/>
      <c r="H256" s="645"/>
      <c r="I256" s="187"/>
      <c r="J256" s="580"/>
      <c r="K256" s="900" t="str">
        <f ca="1">IF(OR($H$7&lt;2,K$197&lt;3),"",IF(J256&lt;&gt;"",J256,IFERROR(IF(INDIRECT("'"&amp;J$86&amp;"'!"&amp;VLOOKUP(J$87,'List Values'!$C$3:$D$6,2,FALSE)&amp;ROW(J256))="","",INDIRECT("'"&amp;J$86&amp;"'!"&amp;VLOOKUP(J$87,'List Values'!$C$3:$D$6,2,FALSE)&amp;ROW(J256))),IF(J$86&lt;&gt;"","Data Source Error",""))))</f>
        <v/>
      </c>
      <c r="L256" s="187"/>
      <c r="M256" s="580"/>
      <c r="N256" s="900" t="str">
        <f ca="1">IF(OR($H$7&lt;3,N$197&lt;3),"",IF(M256&lt;&gt;"",M256,IFERROR(IF(INDIRECT("'"&amp;M$86&amp;"'!"&amp;VLOOKUP(M$87,'List Values'!$C$3:$D$6,2,FALSE)&amp;ROW(M256))="","",INDIRECT("'"&amp;M$86&amp;"'!"&amp;VLOOKUP(M$87,'List Values'!$C$3:$D$6,2,FALSE)&amp;ROW(M256))),IF(M$86&lt;&gt;"","Data Source Error",""))))</f>
        <v/>
      </c>
      <c r="O256" s="187"/>
      <c r="P256" s="580"/>
      <c r="Q256" s="900" t="str">
        <f ca="1">IF(OR($H$7&lt;4,Q$197&lt;3),"",IF(P256&lt;&gt;"",P256,IFERROR(IF(INDIRECT("'"&amp;P$86&amp;"'!"&amp;VLOOKUP(P$87,'List Values'!$C$3:$D$6,2,FALSE)&amp;ROW(P256))="","",INDIRECT("'"&amp;P$86&amp;"'!"&amp;VLOOKUP(P$87,'List Values'!$C$3:$D$6,2,FALSE)&amp;ROW(P256))),IF(P$86&lt;&gt;"","Data Source Error",""))))</f>
        <v/>
      </c>
      <c r="S256" s="580"/>
      <c r="T256" s="900" t="str">
        <f ca="1">IF(OR($H$7&lt;5,T$197&lt;3),"",IF(S256&lt;&gt;"",S256,IFERROR(IF(INDIRECT("'"&amp;S$86&amp;"'!"&amp;VLOOKUP(S$87,'List Values'!$C$3:$D$6,2,FALSE)&amp;ROW(S256))="","",INDIRECT("'"&amp;S$86&amp;"'!"&amp;VLOOKUP(S$87,'List Values'!$C$3:$D$6,2,FALSE)&amp;ROW(S256))),IF(S$86&lt;&gt;"","Data Source Error",""))))</f>
        <v/>
      </c>
      <c r="V256" s="580"/>
      <c r="W256" s="911" t="str">
        <f ca="1">IF(OR($H$7&lt;6,W$197&lt;3),"",IF(V256&lt;&gt;"",V256,IFERROR(IF(INDIRECT("'"&amp;V$86&amp;"'!"&amp;VLOOKUP(V$87,'List Values'!$C$3:$D$6,2,FALSE)&amp;ROW(V256))="","",INDIRECT("'"&amp;V$86&amp;"'!"&amp;VLOOKUP(V$87,'List Values'!$C$3:$D$6,2,FALSE)&amp;ROW(V256))),IF(V$86&lt;&gt;"","Data Source Error",""))))</f>
        <v/>
      </c>
      <c r="Y256" s="2643"/>
      <c r="Z256" s="2644"/>
      <c r="AA256" s="2644"/>
      <c r="AB256" s="2645"/>
    </row>
    <row r="257" spans="1:28" ht="31" hidden="1" customHeight="1" outlineLevel="1">
      <c r="A257" s="514"/>
      <c r="B257" s="252"/>
      <c r="C257" s="2680" t="s">
        <v>651</v>
      </c>
      <c r="D257" s="2680"/>
      <c r="E257" s="51"/>
      <c r="F257" s="51"/>
      <c r="G257" s="500"/>
      <c r="H257" s="648"/>
      <c r="I257" s="184"/>
      <c r="J257" s="624"/>
      <c r="K257" s="941" t="str">
        <f ca="1">IF(OR($H$7&lt;2,K$197&lt;3),"",IF(J257&lt;&gt;"",J257,IFERROR(IF(INDIRECT("'"&amp;J$86&amp;"'!"&amp;VLOOKUP(J$87,'List Values'!$C$3:$D$6,2,FALSE)&amp;ROW(J257))="","",INDIRECT("'"&amp;J$86&amp;"'!"&amp;VLOOKUP(J$87,'List Values'!$C$3:$D$6,2,FALSE)&amp;ROW(J257))),IF(J$86&lt;&gt;"","Data Source Error",""))))</f>
        <v/>
      </c>
      <c r="L257" s="184"/>
      <c r="M257" s="624"/>
      <c r="N257" s="941" t="str">
        <f ca="1">IF(OR($H$7&lt;3,N$197&lt;3),"",IF(M257&lt;&gt;"",M257,IFERROR(IF(INDIRECT("'"&amp;M$86&amp;"'!"&amp;VLOOKUP(M$87,'List Values'!$C$3:$D$6,2,FALSE)&amp;ROW(M257))="","",INDIRECT("'"&amp;M$86&amp;"'!"&amp;VLOOKUP(M$87,'List Values'!$C$3:$D$6,2,FALSE)&amp;ROW(M257))),IF(M$86&lt;&gt;"","Data Source Error",""))))</f>
        <v/>
      </c>
      <c r="O257" s="184"/>
      <c r="P257" s="624"/>
      <c r="Q257" s="941" t="str">
        <f ca="1">IF(OR($H$7&lt;4,Q$197&lt;3),"",IF(P257&lt;&gt;"",P257,IFERROR(IF(INDIRECT("'"&amp;P$86&amp;"'!"&amp;VLOOKUP(P$87,'List Values'!$C$3:$D$6,2,FALSE)&amp;ROW(P257))="","",INDIRECT("'"&amp;P$86&amp;"'!"&amp;VLOOKUP(P$87,'List Values'!$C$3:$D$6,2,FALSE)&amp;ROW(P257))),IF(P$86&lt;&gt;"","Data Source Error",""))))</f>
        <v/>
      </c>
      <c r="S257" s="624"/>
      <c r="T257" s="941" t="str">
        <f ca="1">IF(OR($H$7&lt;5,T$197&lt;3),"",IF(S257&lt;&gt;"",S257,IFERROR(IF(INDIRECT("'"&amp;S$86&amp;"'!"&amp;VLOOKUP(S$87,'List Values'!$C$3:$D$6,2,FALSE)&amp;ROW(S257))="","",INDIRECT("'"&amp;S$86&amp;"'!"&amp;VLOOKUP(S$87,'List Values'!$C$3:$D$6,2,FALSE)&amp;ROW(S257))),IF(S$86&lt;&gt;"","Data Source Error",""))))</f>
        <v/>
      </c>
      <c r="V257" s="624"/>
      <c r="W257" s="947" t="str">
        <f ca="1">IF(OR($H$7&lt;6,W$197&lt;3),"",IF(V257&lt;&gt;"",V257,IFERROR(IF(INDIRECT("'"&amp;V$86&amp;"'!"&amp;VLOOKUP(V$87,'List Values'!$C$3:$D$6,2,FALSE)&amp;ROW(V257))="","",INDIRECT("'"&amp;V$86&amp;"'!"&amp;VLOOKUP(V$87,'List Values'!$C$3:$D$6,2,FALSE)&amp;ROW(V257))),IF(V$86&lt;&gt;"","Data Source Error",""))))</f>
        <v/>
      </c>
      <c r="Y257" s="2657"/>
      <c r="Z257" s="2658"/>
      <c r="AA257" s="2658"/>
      <c r="AB257" s="2659"/>
    </row>
    <row r="258" spans="1:28" ht="27" customHeight="1" collapsed="1">
      <c r="A258" s="212"/>
      <c r="B258" s="61"/>
      <c r="C258" s="516"/>
      <c r="D258" s="516"/>
      <c r="E258" s="516"/>
      <c r="F258" s="61"/>
      <c r="G258" s="517"/>
      <c r="H258" s="518"/>
      <c r="I258" s="61"/>
      <c r="J258" s="519"/>
      <c r="K258" s="980"/>
      <c r="L258" s="61"/>
      <c r="M258" s="519"/>
      <c r="N258" s="980"/>
      <c r="O258" s="61"/>
      <c r="P258" s="519"/>
      <c r="Q258" s="980"/>
      <c r="R258" s="61"/>
      <c r="S258" s="519"/>
      <c r="T258" s="980"/>
      <c r="U258" s="61"/>
      <c r="V258" s="519"/>
      <c r="W258" s="980"/>
    </row>
    <row r="259" spans="1:28" ht="30.75" customHeight="1" collapsed="1">
      <c r="B259" s="2727" t="s">
        <v>2499</v>
      </c>
      <c r="C259" s="2727"/>
      <c r="D259" s="2727"/>
      <c r="E259" s="2727"/>
      <c r="F259" s="2727"/>
      <c r="G259" s="2727"/>
      <c r="H259" s="2727"/>
      <c r="I259" s="1164"/>
      <c r="J259" s="2683" t="str">
        <f ca="1">H88&amp;" to "&amp;K88</f>
        <v>CMS to Regional WH</v>
      </c>
      <c r="K259" s="2683"/>
      <c r="L259" s="1164"/>
      <c r="M259" s="2683" t="str">
        <f ca="1">K88&amp;" to "&amp;N88</f>
        <v>Regional WH to Health Facility</v>
      </c>
      <c r="N259" s="2683"/>
      <c r="O259" s="1164"/>
      <c r="P259" s="2683" t="str">
        <f ca="1">N88&amp;" to "&amp;Q88</f>
        <v xml:space="preserve">Health Facility to </v>
      </c>
      <c r="Q259" s="2683"/>
      <c r="R259" s="1164"/>
      <c r="S259" s="2683" t="str">
        <f ca="1">Q88&amp;" to "&amp;T88</f>
        <v xml:space="preserve"> to </v>
      </c>
      <c r="T259" s="2683"/>
      <c r="U259" s="1164"/>
      <c r="V259" s="2683" t="str">
        <f ca="1">T88&amp;" to "&amp;W88</f>
        <v xml:space="preserve"> to </v>
      </c>
      <c r="W259" s="2683"/>
    </row>
    <row r="260" spans="1:28" ht="29.25" hidden="1" customHeight="1" outlineLevel="1">
      <c r="A260" s="1"/>
      <c r="B260" s="2686" t="s">
        <v>2531</v>
      </c>
      <c r="C260" s="2686"/>
      <c r="D260" s="2686"/>
      <c r="E260" s="2033"/>
      <c r="F260" s="2033"/>
      <c r="G260" s="646"/>
      <c r="H260" s="647"/>
      <c r="I260" s="44"/>
      <c r="J260" s="588"/>
      <c r="K260" s="978">
        <f ca="1">IF($H$7&lt;2,0,IF(J260&lt;&gt;"",J260,IFERROR(IF(INDIRECT("'"&amp;J$86&amp;"'!"&amp;VLOOKUP(J$87,'List Values'!$C$3:$D$6,2,FALSE)&amp;ROW(J260))="",0,INDIRECT("'"&amp;J$86&amp;"'!"&amp;VLOOKUP(J$87,'List Values'!$C$3:$D$6,2,FALSE)&amp;ROW(J260))),IF(J$86&lt;&gt;"","Data Source Error",0))))</f>
        <v>0</v>
      </c>
      <c r="L260" s="44"/>
      <c r="M260" s="588"/>
      <c r="N260" s="978">
        <f ca="1">IF($H$7&lt;3,0,IF(M260&lt;&gt;"",M260,IFERROR(IF(INDIRECT("'"&amp;M$86&amp;"'!"&amp;VLOOKUP(M$87,'List Values'!$C$3:$D$6,2,FALSE)&amp;ROW(M260))="",0,INDIRECT("'"&amp;M$86&amp;"'!"&amp;VLOOKUP(M$87,'List Values'!$C$3:$D$6,2,FALSE)&amp;ROW(M260))),IF(M$86&lt;&gt;"","Data Source Error",0))))</f>
        <v>0</v>
      </c>
      <c r="O260" s="44"/>
      <c r="P260" s="589">
        <v>3</v>
      </c>
      <c r="Q260" s="978">
        <f ca="1">IF($H$7&lt;4,0,IF(P260&lt;&gt;"",P260,IFERROR(IF(INDIRECT("'"&amp;P$86&amp;"'!"&amp;VLOOKUP(P$87,'List Values'!$C$3:$D$6,2,FALSE)&amp;ROW(P260))="",0,INDIRECT("'"&amp;P$86&amp;"'!"&amp;VLOOKUP(P$87,'List Values'!$C$3:$D$6,2,FALSE)&amp;ROW(P260))),IF(P$86&lt;&gt;"","Data Source Error",0))))</f>
        <v>0</v>
      </c>
      <c r="R260" s="27"/>
      <c r="S260" s="589">
        <v>3</v>
      </c>
      <c r="T260" s="978">
        <f ca="1">IF($H$7&lt;5,0,IF(S260&lt;&gt;"",S260,IFERROR(IF(INDIRECT("'"&amp;S$86&amp;"'!"&amp;VLOOKUP(S$87,'List Values'!$C$3:$D$6,2,FALSE)&amp;ROW(S260))="",0,INDIRECT("'"&amp;S$86&amp;"'!"&amp;VLOOKUP(S$87,'List Values'!$C$3:$D$6,2,FALSE)&amp;ROW(S260))),IF(S$86&lt;&gt;"","Data Source Error",0))))</f>
        <v>0</v>
      </c>
      <c r="U260" s="27"/>
      <c r="V260" s="589">
        <v>3</v>
      </c>
      <c r="W260" s="981">
        <f ca="1">IF($H$7&lt;6,0,IF(V260&lt;&gt;"",V260,IFERROR(IF(INDIRECT("'"&amp;V$86&amp;"'!"&amp;VLOOKUP(V$87,'List Values'!$C$3:$D$6,2,FALSE)&amp;ROW(V260))="",0,INDIRECT("'"&amp;V$86&amp;"'!"&amp;VLOOKUP(V$87,'List Values'!$C$3:$D$6,2,FALSE)&amp;ROW(V260))),IF(V$86&lt;&gt;"","Data Source Error",0))))</f>
        <v>0</v>
      </c>
      <c r="Y260" s="2619" t="s">
        <v>673</v>
      </c>
      <c r="Z260" s="2620"/>
      <c r="AA260" s="2620"/>
      <c r="AB260" s="2621"/>
    </row>
    <row r="261" spans="1:28" ht="32.25" hidden="1" customHeight="1" outlineLevel="1">
      <c r="B261" s="2686" t="s">
        <v>2532</v>
      </c>
      <c r="C261" s="2686"/>
      <c r="D261" s="2686"/>
      <c r="E261" s="2033"/>
      <c r="F261" s="2033"/>
      <c r="G261" s="646"/>
      <c r="H261" s="647"/>
      <c r="I261" s="483"/>
      <c r="J261" s="588"/>
      <c r="K261" s="978">
        <f ca="1">IF($H$7&lt;2,0,IF(J261&lt;&gt;"",J261,IFERROR(IF(INDIRECT("'"&amp;J$86&amp;"'!"&amp;VLOOKUP(J$87,'List Values'!$C$3:$D$6,2,FALSE)&amp;ROW(J261))="",IF(K$260=0,0,K$96),INDIRECT("'"&amp;J$86&amp;"'!"&amp;VLOOKUP(J$87,'List Values'!$C$3:$D$6,2,FALSE)&amp;ROW(J261))),IF(J$86&lt;&gt;"","Data Source Error",0))))</f>
        <v>0</v>
      </c>
      <c r="L261" s="515"/>
      <c r="M261" s="588"/>
      <c r="N261" s="978">
        <f ca="1">IF($H$7&lt;3,0,IF(M261&lt;&gt;"",M261,IFERROR(IF(INDIRECT("'"&amp;M$86&amp;"'!"&amp;VLOOKUP(M$87,'List Values'!$C$3:$D$6,2,FALSE)&amp;ROW(M261))="",IF(N$260=0,0,N$96),INDIRECT("'"&amp;M$86&amp;"'!"&amp;VLOOKUP(M$87,'List Values'!$C$3:$D$6,2,FALSE)&amp;ROW(M261))),IF(M$86&lt;&gt;"","Data Source Error",0))))</f>
        <v>0</v>
      </c>
      <c r="O261" s="515"/>
      <c r="P261" s="589"/>
      <c r="Q261" s="978">
        <f ca="1">IF($H$7&lt;4,0,IF(P261&lt;&gt;"",P261,IFERROR(IF(INDIRECT("'"&amp;P$86&amp;"'!"&amp;VLOOKUP(P$87,'List Values'!$C$3:$D$6,2,FALSE)&amp;ROW(P261))="",IF(Q$260=0,0,Q$96),INDIRECT("'"&amp;P$86&amp;"'!"&amp;VLOOKUP(P$87,'List Values'!$C$3:$D$6,2,FALSE)&amp;ROW(P261))),IF(P$86&lt;&gt;"","Data Source Error",0))))</f>
        <v>0</v>
      </c>
      <c r="R261" s="515"/>
      <c r="S261" s="589"/>
      <c r="T261" s="978">
        <f ca="1">IF($H$7&lt;5,0,IF(S261&lt;&gt;"",S261,IFERROR(IF(INDIRECT("'"&amp;S$86&amp;"'!"&amp;VLOOKUP(S$87,'List Values'!$C$3:$D$6,2,FALSE)&amp;ROW(S261))="",IF(T$260=0,0,T$96),INDIRECT("'"&amp;S$86&amp;"'!"&amp;VLOOKUP(S$87,'List Values'!$C$3:$D$6,2,FALSE)&amp;ROW(S261))),IF(S$86&lt;&gt;"","Data Source Error",0))))</f>
        <v>0</v>
      </c>
      <c r="U261" s="515"/>
      <c r="V261" s="589"/>
      <c r="W261" s="981">
        <f ca="1">IF($H$7&lt;6,0,IF(V261&lt;&gt;"",V261,IFERROR(IF(INDIRECT("'"&amp;V$86&amp;"'!"&amp;VLOOKUP(V$87,'List Values'!$C$3:$D$6,2,FALSE)&amp;ROW(V261))="",IF(W$260=0,0,W$96),INDIRECT("'"&amp;V$86&amp;"'!"&amp;VLOOKUP(V$87,'List Values'!$C$3:$D$6,2,FALSE)&amp;ROW(V261))),IF(V$86&lt;&gt;"","Data Source Error",0))))</f>
        <v>0</v>
      </c>
      <c r="Y261" s="2643"/>
      <c r="Z261" s="2644"/>
      <c r="AA261" s="2644"/>
      <c r="AB261" s="2645"/>
    </row>
    <row r="262" spans="1:28" ht="21" customHeight="1" collapsed="1">
      <c r="A262" s="1"/>
      <c r="B262" s="2049" t="s">
        <v>619</v>
      </c>
      <c r="C262" s="604"/>
      <c r="D262" s="604"/>
      <c r="E262" s="614"/>
      <c r="F262" s="608"/>
      <c r="G262" s="615"/>
      <c r="H262" s="611"/>
      <c r="I262" s="608"/>
      <c r="J262" s="610"/>
      <c r="K262" s="970"/>
      <c r="L262" s="608"/>
      <c r="M262" s="610"/>
      <c r="N262" s="970"/>
      <c r="O262" s="608"/>
      <c r="P262" s="610"/>
      <c r="Q262" s="970"/>
      <c r="R262" s="608"/>
      <c r="S262" s="610"/>
      <c r="T262" s="970"/>
      <c r="U262" s="608"/>
      <c r="V262" s="610"/>
      <c r="W262" s="970"/>
      <c r="Y262" s="631"/>
      <c r="Z262" s="631"/>
      <c r="AA262" s="631"/>
      <c r="AB262" s="631"/>
    </row>
    <row r="263" spans="1:28" ht="15.75" hidden="1" customHeight="1" outlineLevel="1">
      <c r="A263" s="512"/>
      <c r="B263" s="2051"/>
      <c r="C263" s="2580" t="s">
        <v>625</v>
      </c>
      <c r="D263" s="2580"/>
      <c r="E263" s="202"/>
      <c r="F263" s="202"/>
      <c r="G263" s="634"/>
      <c r="H263" s="635"/>
      <c r="I263" s="183"/>
      <c r="J263" s="628"/>
      <c r="K263" s="967" t="str">
        <f ca="1">IF(OR($H$7&lt;2,K$260&lt;1),"",IF(J263&lt;&gt;"",J263,IFERROR(IF(INDIRECT("'"&amp;J$86&amp;"'!"&amp;VLOOKUP(J$87,'List Values'!$C$3:$D$6,2,FALSE)&amp;ROW(J263))="","",INDIRECT("'"&amp;J$86&amp;"'!"&amp;VLOOKUP(J$87,'List Values'!$C$3:$D$6,2,FALSE)&amp;ROW(J263))),IF(J$86&lt;&gt;"","Data Source Error",""))))</f>
        <v/>
      </c>
      <c r="L263" s="629"/>
      <c r="M263" s="628"/>
      <c r="N263" s="967" t="str">
        <f ca="1">IF(OR($H$7&lt;3,N$260&lt;1),"",IF(M263&lt;&gt;"",M263,IFERROR(IF(INDIRECT("'"&amp;M$86&amp;"'!"&amp;VLOOKUP(M$87,'List Values'!$C$3:$D$6,2,FALSE)&amp;ROW(M263))="","",INDIRECT("'"&amp;M$86&amp;"'!"&amp;VLOOKUP(M$87,'List Values'!$C$3:$D$6,2,FALSE)&amp;ROW(M263))),IF(M$86&lt;&gt;"","Data Source Error",""))))</f>
        <v/>
      </c>
      <c r="O263" s="629"/>
      <c r="P263" s="628"/>
      <c r="Q263" s="967" t="str">
        <f ca="1">IF(OR($H$7&lt;4,Q$260&lt;1),"",IF(P263&lt;&gt;"",P263,IFERROR(IF(INDIRECT("'"&amp;P$86&amp;"'!"&amp;VLOOKUP(P$87,'List Values'!$C$3:$D$6,2,FALSE)&amp;ROW(P263))="","",INDIRECT("'"&amp;P$86&amp;"'!"&amp;VLOOKUP(P$87,'List Values'!$C$3:$D$6,2,FALSE)&amp;ROW(P263))),IF(P$86&lt;&gt;"","Data Source Error",""))))</f>
        <v/>
      </c>
      <c r="R263" s="147"/>
      <c r="S263" s="628"/>
      <c r="T263" s="967" t="str">
        <f ca="1">IF(OR($H$7&lt;5,T$260&lt;1),"",IF(S263&lt;&gt;"",S263,IFERROR(IF(INDIRECT("'"&amp;S$86&amp;"'!"&amp;VLOOKUP(S$87,'List Values'!$C$3:$D$6,2,FALSE)&amp;ROW(S263))="","",INDIRECT("'"&amp;S$86&amp;"'!"&amp;VLOOKUP(S$87,'List Values'!$C$3:$D$6,2,FALSE)&amp;ROW(S263))),IF(S$86&lt;&gt;"","Data Source Error",""))))</f>
        <v/>
      </c>
      <c r="U263" s="147"/>
      <c r="V263" s="628"/>
      <c r="W263" s="973" t="str">
        <f ca="1">IF(OR($H$7&lt;6,W$260&lt;1),"",IF(V263&lt;&gt;"",V263,IFERROR(IF(INDIRECT("'"&amp;V$86&amp;"'!"&amp;VLOOKUP(V$87,'List Values'!$C$3:$D$6,2,FALSE)&amp;ROW(V263))="","",INDIRECT("'"&amp;V$86&amp;"'!"&amp;VLOOKUP(V$87,'List Values'!$C$3:$D$6,2,FALSE)&amp;ROW(V263))),IF(V$86&lt;&gt;"","Data Source Error",""))))</f>
        <v/>
      </c>
      <c r="Y263" s="2643"/>
      <c r="Z263" s="2644"/>
      <c r="AA263" s="2644"/>
      <c r="AB263" s="2645"/>
    </row>
    <row r="264" spans="1:28" ht="15.75" hidden="1" customHeight="1" outlineLevel="1">
      <c r="A264" s="512"/>
      <c r="B264" s="2051"/>
      <c r="C264" s="2680" t="s">
        <v>626</v>
      </c>
      <c r="D264" s="2680"/>
      <c r="E264" s="2041"/>
      <c r="F264" s="2041"/>
      <c r="G264" s="636"/>
      <c r="H264" s="637"/>
      <c r="I264" s="187"/>
      <c r="J264" s="526"/>
      <c r="K264" s="900" t="str">
        <f ca="1">IF(OR($H$7&lt;2,K$260&lt;1),"",IF(J264&lt;&gt;"",J264,IFERROR(IF(INDIRECT("'"&amp;J$86&amp;"'!"&amp;VLOOKUP(J$87,'List Values'!$C$3:$D$6,2,FALSE)&amp;ROW(J264))="","",INDIRECT("'"&amp;J$86&amp;"'!"&amp;VLOOKUP(J$87,'List Values'!$C$3:$D$6,2,FALSE)&amp;ROW(J264))),IF(J$86&lt;&gt;"","Data Source Error",""))))</f>
        <v/>
      </c>
      <c r="L264" s="187"/>
      <c r="M264" s="526"/>
      <c r="N264" s="900" t="str">
        <f ca="1">IF(OR($H$7&lt;3,N$260&lt;1),"",IF(M264&lt;&gt;"",M264,IFERROR(IF(INDIRECT("'"&amp;M$86&amp;"'!"&amp;VLOOKUP(M$87,'List Values'!$C$3:$D$6,2,FALSE)&amp;ROW(M264))="","",INDIRECT("'"&amp;M$86&amp;"'!"&amp;VLOOKUP(M$87,'List Values'!$C$3:$D$6,2,FALSE)&amp;ROW(M264))),IF(M$86&lt;&gt;"","Data Source Error",""))))</f>
        <v/>
      </c>
      <c r="O264" s="187"/>
      <c r="P264" s="526"/>
      <c r="Q264" s="900" t="str">
        <f ca="1">IF(OR($H$7&lt;4,Q$260&lt;1),"",IF(P264&lt;&gt;"",P264,IFERROR(IF(INDIRECT("'"&amp;P$86&amp;"'!"&amp;VLOOKUP(P$87,'List Values'!$C$3:$D$6,2,FALSE)&amp;ROW(P264))="","",INDIRECT("'"&amp;P$86&amp;"'!"&amp;VLOOKUP(P$87,'List Values'!$C$3:$D$6,2,FALSE)&amp;ROW(P264))),IF(P$86&lt;&gt;"","Data Source Error",""))))</f>
        <v/>
      </c>
      <c r="S264" s="526"/>
      <c r="T264" s="900" t="str">
        <f ca="1">IF(OR($H$7&lt;5,T$260&lt;1),"",IF(S264&lt;&gt;"",S264,IFERROR(IF(INDIRECT("'"&amp;S$86&amp;"'!"&amp;VLOOKUP(S$87,'List Values'!$C$3:$D$6,2,FALSE)&amp;ROW(S264))="","",INDIRECT("'"&amp;S$86&amp;"'!"&amp;VLOOKUP(S$87,'List Values'!$C$3:$D$6,2,FALSE)&amp;ROW(S264))),IF(S$86&lt;&gt;"","Data Source Error",""))))</f>
        <v/>
      </c>
      <c r="V264" s="526"/>
      <c r="W264" s="911" t="str">
        <f ca="1">IF(OR($H$7&lt;6,W$260&lt;1),"",IF(V264&lt;&gt;"",V264,IFERROR(IF(INDIRECT("'"&amp;V$86&amp;"'!"&amp;VLOOKUP(V$87,'List Values'!$C$3:$D$6,2,FALSE)&amp;ROW(V264))="","",INDIRECT("'"&amp;V$86&amp;"'!"&amp;VLOOKUP(V$87,'List Values'!$C$3:$D$6,2,FALSE)&amp;ROW(V264))),IF(V$86&lt;&gt;"","Data Source Error",""))))</f>
        <v/>
      </c>
      <c r="Y264" s="2643"/>
      <c r="Z264" s="2644"/>
      <c r="AA264" s="2644"/>
      <c r="AB264" s="2645"/>
    </row>
    <row r="265" spans="1:28" ht="31" hidden="1" customHeight="1" outlineLevel="1">
      <c r="A265" s="512"/>
      <c r="B265" s="2051"/>
      <c r="C265" s="2680" t="s">
        <v>627</v>
      </c>
      <c r="D265" s="2680"/>
      <c r="E265" s="2041"/>
      <c r="F265" s="2041"/>
      <c r="G265" s="636"/>
      <c r="H265" s="637"/>
      <c r="I265" s="187"/>
      <c r="J265" s="561"/>
      <c r="K265" s="900" t="str">
        <f ca="1">IF(OR($H$7&lt;2,K$260&lt;1),"",IF(J265&lt;&gt;"",J265,IFERROR(IF(INDIRECT("'"&amp;J$86&amp;"'!"&amp;VLOOKUP(J$87,'List Values'!$C$3:$D$6,2,FALSE)&amp;ROW(J265))="","",INDIRECT("'"&amp;J$86&amp;"'!"&amp;VLOOKUP(J$87,'List Values'!$C$3:$D$6,2,FALSE)&amp;ROW(J265))),IF(J$86&lt;&gt;"","Data Source Error",""))))</f>
        <v/>
      </c>
      <c r="L265" s="187"/>
      <c r="M265" s="561"/>
      <c r="N265" s="900" t="str">
        <f ca="1">IF(OR($H$7&lt;3,N$260&lt;1),"",IF(M265&lt;&gt;"",M265,IFERROR(IF(INDIRECT("'"&amp;M$86&amp;"'!"&amp;VLOOKUP(M$87,'List Values'!$C$3:$D$6,2,FALSE)&amp;ROW(M265))="","",INDIRECT("'"&amp;M$86&amp;"'!"&amp;VLOOKUP(M$87,'List Values'!$C$3:$D$6,2,FALSE)&amp;ROW(M265))),IF(M$86&lt;&gt;"","Data Source Error",""))))</f>
        <v/>
      </c>
      <c r="O265" s="187"/>
      <c r="P265" s="561"/>
      <c r="Q265" s="900" t="str">
        <f ca="1">IF(OR($H$7&lt;4,Q$260&lt;1),"",IF(P265&lt;&gt;"",P265,IFERROR(IF(INDIRECT("'"&amp;P$86&amp;"'!"&amp;VLOOKUP(P$87,'List Values'!$C$3:$D$6,2,FALSE)&amp;ROW(P265))="","",INDIRECT("'"&amp;P$86&amp;"'!"&amp;VLOOKUP(P$87,'List Values'!$C$3:$D$6,2,FALSE)&amp;ROW(P265))),IF(P$86&lt;&gt;"","Data Source Error",""))))</f>
        <v/>
      </c>
      <c r="S265" s="561"/>
      <c r="T265" s="900" t="str">
        <f ca="1">IF(OR($H$7&lt;5,T$260&lt;1),"",IF(S265&lt;&gt;"",S265,IFERROR(IF(INDIRECT("'"&amp;S$86&amp;"'!"&amp;VLOOKUP(S$87,'List Values'!$C$3:$D$6,2,FALSE)&amp;ROW(S265))="","",INDIRECT("'"&amp;S$86&amp;"'!"&amp;VLOOKUP(S$87,'List Values'!$C$3:$D$6,2,FALSE)&amp;ROW(S265))),IF(S$86&lt;&gt;"","Data Source Error",""))))</f>
        <v/>
      </c>
      <c r="V265" s="561"/>
      <c r="W265" s="911" t="str">
        <f ca="1">IF(OR($H$7&lt;6,W$260&lt;1),"",IF(V265&lt;&gt;"",V265,IFERROR(IF(INDIRECT("'"&amp;V$86&amp;"'!"&amp;VLOOKUP(V$87,'List Values'!$C$3:$D$6,2,FALSE)&amp;ROW(V265))="","",INDIRECT("'"&amp;V$86&amp;"'!"&amp;VLOOKUP(V$87,'List Values'!$C$3:$D$6,2,FALSE)&amp;ROW(V265))),IF(V$86&lt;&gt;"","Data Source Error",""))))</f>
        <v/>
      </c>
      <c r="Y265" s="2643"/>
      <c r="Z265" s="2644"/>
      <c r="AA265" s="2644"/>
      <c r="AB265" s="2645"/>
    </row>
    <row r="266" spans="1:28" ht="31" hidden="1" customHeight="1" outlineLevel="1">
      <c r="A266" s="512"/>
      <c r="B266" s="2051"/>
      <c r="C266" s="2684" t="s">
        <v>628</v>
      </c>
      <c r="D266" s="2684"/>
      <c r="E266" s="2041"/>
      <c r="F266" s="2041"/>
      <c r="G266" s="636"/>
      <c r="H266" s="637"/>
      <c r="I266" s="187"/>
      <c r="J266" s="526"/>
      <c r="K266" s="900" t="str">
        <f ca="1">IF(OR($H$7&lt;2,K$260&lt;1),"",IF(J266&lt;&gt;"",J266,IFERROR(IF(INDIRECT("'"&amp;J$86&amp;"'!"&amp;VLOOKUP(J$87,'List Values'!$C$3:$D$6,2,FALSE)&amp;ROW(J266))="","",INDIRECT("'"&amp;J$86&amp;"'!"&amp;VLOOKUP(J$87,'List Values'!$C$3:$D$6,2,FALSE)&amp;ROW(J266))),IF(J$86&lt;&gt;"","Data Source Error",""))))</f>
        <v/>
      </c>
      <c r="L266" s="187"/>
      <c r="M266" s="526"/>
      <c r="N266" s="900" t="str">
        <f ca="1">IF(OR($H$7&lt;3,N$260&lt;1),"",IF(M266&lt;&gt;"",M266,IFERROR(IF(INDIRECT("'"&amp;M$86&amp;"'!"&amp;VLOOKUP(M$87,'List Values'!$C$3:$D$6,2,FALSE)&amp;ROW(M266))="","",INDIRECT("'"&amp;M$86&amp;"'!"&amp;VLOOKUP(M$87,'List Values'!$C$3:$D$6,2,FALSE)&amp;ROW(M266))),IF(M$86&lt;&gt;"","Data Source Error",""))))</f>
        <v/>
      </c>
      <c r="O266" s="187"/>
      <c r="P266" s="526"/>
      <c r="Q266" s="900" t="str">
        <f ca="1">IF(OR($H$7&lt;4,Q$260&lt;1),"",IF(P266&lt;&gt;"",P266,IFERROR(IF(INDIRECT("'"&amp;P$86&amp;"'!"&amp;VLOOKUP(P$87,'List Values'!$C$3:$D$6,2,FALSE)&amp;ROW(P266))="","",INDIRECT("'"&amp;P$86&amp;"'!"&amp;VLOOKUP(P$87,'List Values'!$C$3:$D$6,2,FALSE)&amp;ROW(P266))),IF(P$86&lt;&gt;"","Data Source Error",""))))</f>
        <v/>
      </c>
      <c r="S266" s="526"/>
      <c r="T266" s="900" t="str">
        <f ca="1">IF(OR($H$7&lt;5,T$260&lt;1),"",IF(S266&lt;&gt;"",S266,IFERROR(IF(INDIRECT("'"&amp;S$86&amp;"'!"&amp;VLOOKUP(S$87,'List Values'!$C$3:$D$6,2,FALSE)&amp;ROW(S266))="","",INDIRECT("'"&amp;S$86&amp;"'!"&amp;VLOOKUP(S$87,'List Values'!$C$3:$D$6,2,FALSE)&amp;ROW(S266))),IF(S$86&lt;&gt;"","Data Source Error",""))))</f>
        <v/>
      </c>
      <c r="V266" s="526"/>
      <c r="W266" s="911" t="str">
        <f ca="1">IF(OR($H$7&lt;6,W$260&lt;1),"",IF(V266&lt;&gt;"",V266,IFERROR(IF(INDIRECT("'"&amp;V$86&amp;"'!"&amp;VLOOKUP(V$87,'List Values'!$C$3:$D$6,2,FALSE)&amp;ROW(V266))="","",INDIRECT("'"&amp;V$86&amp;"'!"&amp;VLOOKUP(V$87,'List Values'!$C$3:$D$6,2,FALSE)&amp;ROW(V266))),IF(V$86&lt;&gt;"","Data Source Error",""))))</f>
        <v/>
      </c>
      <c r="Y266" s="2643"/>
      <c r="Z266" s="2644"/>
      <c r="AA266" s="2644"/>
      <c r="AB266" s="2645"/>
    </row>
    <row r="267" spans="1:28" ht="33" hidden="1" customHeight="1" outlineLevel="1">
      <c r="A267" s="512"/>
      <c r="B267" s="2051"/>
      <c r="C267" s="2684" t="s">
        <v>629</v>
      </c>
      <c r="D267" s="2684"/>
      <c r="E267" s="2041"/>
      <c r="F267" s="2041"/>
      <c r="G267" s="636"/>
      <c r="H267" s="637"/>
      <c r="I267" s="187"/>
      <c r="J267" s="568"/>
      <c r="K267" s="945" t="str">
        <f ca="1">IF(OR($H$7&lt;2,K$260&lt;1),"",IF(J267&lt;&gt;"",J267,IFERROR(IF(INDIRECT("'"&amp;J$86&amp;"'!"&amp;VLOOKUP(J$87,'List Values'!$C$3:$D$6,2,FALSE)&amp;ROW(J267))="","",INDIRECT("'"&amp;J$86&amp;"'!"&amp;VLOOKUP(J$87,'List Values'!$C$3:$D$6,2,FALSE)&amp;ROW(J267))),IF(J$86&lt;&gt;"","Data Source Error",""))))</f>
        <v/>
      </c>
      <c r="L267" s="339"/>
      <c r="M267" s="568"/>
      <c r="N267" s="945" t="str">
        <f ca="1">IF(OR($H$7&lt;3,N$260&lt;1),"",IF(M267&lt;&gt;"",M267,IFERROR(IF(INDIRECT("'"&amp;M$86&amp;"'!"&amp;VLOOKUP(M$87,'List Values'!$C$3:$D$6,2,FALSE)&amp;ROW(M267))="","",INDIRECT("'"&amp;M$86&amp;"'!"&amp;VLOOKUP(M$87,'List Values'!$C$3:$D$6,2,FALSE)&amp;ROW(M267))),IF(M$86&lt;&gt;"","Data Source Error",""))))</f>
        <v/>
      </c>
      <c r="O267" s="339"/>
      <c r="P267" s="568"/>
      <c r="Q267" s="945" t="str">
        <f ca="1">IF(OR($H$7&lt;4,Q$260&lt;1),"",IF(P267&lt;&gt;"",P267,IFERROR(IF(INDIRECT("'"&amp;P$86&amp;"'!"&amp;VLOOKUP(P$87,'List Values'!$C$3:$D$6,2,FALSE)&amp;ROW(P267))="","",INDIRECT("'"&amp;P$86&amp;"'!"&amp;VLOOKUP(P$87,'List Values'!$C$3:$D$6,2,FALSE)&amp;ROW(P267))),IF(P$86&lt;&gt;"","Data Source Error",""))))</f>
        <v/>
      </c>
      <c r="R267" s="7"/>
      <c r="S267" s="568"/>
      <c r="T267" s="945" t="str">
        <f ca="1">IF(OR($H$7&lt;5,T$260&lt;1),"",IF(S267&lt;&gt;"",S267,IFERROR(IF(INDIRECT("'"&amp;S$86&amp;"'!"&amp;VLOOKUP(S$87,'List Values'!$C$3:$D$6,2,FALSE)&amp;ROW(S267))="","",INDIRECT("'"&amp;S$86&amp;"'!"&amp;VLOOKUP(S$87,'List Values'!$C$3:$D$6,2,FALSE)&amp;ROW(S267))),IF(S$86&lt;&gt;"","Data Source Error",""))))</f>
        <v/>
      </c>
      <c r="U267" s="7"/>
      <c r="V267" s="568"/>
      <c r="W267" s="952" t="str">
        <f ca="1">IF(OR($H$7&lt;6,W$260&lt;1),"",IF(V267&lt;&gt;"",V267,IFERROR(IF(INDIRECT("'"&amp;V$86&amp;"'!"&amp;VLOOKUP(V$87,'List Values'!$C$3:$D$6,2,FALSE)&amp;ROW(V267))="","",INDIRECT("'"&amp;V$86&amp;"'!"&amp;VLOOKUP(V$87,'List Values'!$C$3:$D$6,2,FALSE)&amp;ROW(V267))),IF(V$86&lt;&gt;"","Data Source Error",""))))</f>
        <v/>
      </c>
      <c r="Y267" s="2643"/>
      <c r="Z267" s="2644"/>
      <c r="AA267" s="2644"/>
      <c r="AB267" s="2645"/>
    </row>
    <row r="268" spans="1:28" ht="15.75" hidden="1" customHeight="1" outlineLevel="1">
      <c r="A268" s="512"/>
      <c r="B268" s="2051"/>
      <c r="C268" s="2680" t="s">
        <v>630</v>
      </c>
      <c r="D268" s="2680"/>
      <c r="E268" s="2041"/>
      <c r="F268" s="2041"/>
      <c r="G268" s="636"/>
      <c r="H268" s="637"/>
      <c r="I268" s="187"/>
      <c r="J268" s="526"/>
      <c r="K268" s="900" t="str">
        <f ca="1">IF(OR($H$7&lt;2,K$260&lt;1),"",IF(J268&lt;&gt;"",J268,IFERROR(IF(INDIRECT("'"&amp;J$86&amp;"'!"&amp;VLOOKUP(J$87,'List Values'!$C$3:$D$6,2,FALSE)&amp;ROW(J268))="","",INDIRECT("'"&amp;J$86&amp;"'!"&amp;VLOOKUP(J$87,'List Values'!$C$3:$D$6,2,FALSE)&amp;ROW(J268))),IF(J$86&lt;&gt;"","Data Source Error",""))))</f>
        <v/>
      </c>
      <c r="L268" s="187"/>
      <c r="M268" s="526"/>
      <c r="N268" s="900" t="str">
        <f ca="1">IF(OR($H$7&lt;3,N$260&lt;1),"",IF(M268&lt;&gt;"",M268,IFERROR(IF(INDIRECT("'"&amp;M$86&amp;"'!"&amp;VLOOKUP(M$87,'List Values'!$C$3:$D$6,2,FALSE)&amp;ROW(M268))="","",INDIRECT("'"&amp;M$86&amp;"'!"&amp;VLOOKUP(M$87,'List Values'!$C$3:$D$6,2,FALSE)&amp;ROW(M268))),IF(M$86&lt;&gt;"","Data Source Error",""))))</f>
        <v/>
      </c>
      <c r="O268" s="187"/>
      <c r="P268" s="526"/>
      <c r="Q268" s="900" t="str">
        <f ca="1">IF(OR($H$7&lt;4,Q$260&lt;1),"",IF(P268&lt;&gt;"",P268,IFERROR(IF(INDIRECT("'"&amp;P$86&amp;"'!"&amp;VLOOKUP(P$87,'List Values'!$C$3:$D$6,2,FALSE)&amp;ROW(P268))="","",INDIRECT("'"&amp;P$86&amp;"'!"&amp;VLOOKUP(P$87,'List Values'!$C$3:$D$6,2,FALSE)&amp;ROW(P268))),IF(P$86&lt;&gt;"","Data Source Error",""))))</f>
        <v/>
      </c>
      <c r="S268" s="526"/>
      <c r="T268" s="900" t="str">
        <f ca="1">IF(OR($H$7&lt;5,T$260&lt;1),"",IF(S268&lt;&gt;"",S268,IFERROR(IF(INDIRECT("'"&amp;S$86&amp;"'!"&amp;VLOOKUP(S$87,'List Values'!$C$3:$D$6,2,FALSE)&amp;ROW(S268))="","",INDIRECT("'"&amp;S$86&amp;"'!"&amp;VLOOKUP(S$87,'List Values'!$C$3:$D$6,2,FALSE)&amp;ROW(S268))),IF(S$86&lt;&gt;"","Data Source Error",""))))</f>
        <v/>
      </c>
      <c r="V268" s="526"/>
      <c r="W268" s="911" t="str">
        <f ca="1">IF(OR($H$7&lt;6,W$260&lt;1),"",IF(V268&lt;&gt;"",V268,IFERROR(IF(INDIRECT("'"&amp;V$86&amp;"'!"&amp;VLOOKUP(V$87,'List Values'!$C$3:$D$6,2,FALSE)&amp;ROW(V268))="","",INDIRECT("'"&amp;V$86&amp;"'!"&amp;VLOOKUP(V$87,'List Values'!$C$3:$D$6,2,FALSE)&amp;ROW(V268))),IF(V$86&lt;&gt;"","Data Source Error",""))))</f>
        <v/>
      </c>
      <c r="Y268" s="2643"/>
      <c r="Z268" s="2644"/>
      <c r="AA268" s="2644"/>
      <c r="AB268" s="2645"/>
    </row>
    <row r="269" spans="1:28" ht="31" hidden="1" customHeight="1" outlineLevel="1">
      <c r="A269" s="512"/>
      <c r="B269" s="2051"/>
      <c r="C269" s="2684" t="s">
        <v>634</v>
      </c>
      <c r="D269" s="2684"/>
      <c r="E269" s="203"/>
      <c r="F269" s="203"/>
      <c r="G269" s="644"/>
      <c r="H269" s="645"/>
      <c r="I269" s="183"/>
      <c r="J269" s="553"/>
      <c r="K269" s="897" t="str">
        <f ca="1">IF(OR($H$7&lt;2,K$260&lt;1),"",IF(J269&lt;&gt;"",J269,IFERROR(IF(INDIRECT("'"&amp;J$86&amp;"'!"&amp;VLOOKUP(J$87,'List Values'!$C$3:$D$6,2,FALSE)&amp;ROW(J269))="","",INDIRECT("'"&amp;J$86&amp;"'!"&amp;VLOOKUP(J$87,'List Values'!$C$3:$D$6,2,FALSE)&amp;ROW(J269))),IF(J$86&lt;&gt;"","Data Source Error",""))))</f>
        <v/>
      </c>
      <c r="L269" s="183"/>
      <c r="M269" s="553"/>
      <c r="N269" s="897" t="str">
        <f ca="1">IF(OR($H$7&lt;3,N$260&lt;1),"",IF(M269&lt;&gt;"",M269,IFERROR(IF(INDIRECT("'"&amp;M$86&amp;"'!"&amp;VLOOKUP(M$87,'List Values'!$C$3:$D$6,2,FALSE)&amp;ROW(M269))="","",INDIRECT("'"&amp;M$86&amp;"'!"&amp;VLOOKUP(M$87,'List Values'!$C$3:$D$6,2,FALSE)&amp;ROW(M269))),IF(M$86&lt;&gt;"","Data Source Error",""))))</f>
        <v/>
      </c>
      <c r="O269" s="183"/>
      <c r="P269" s="553"/>
      <c r="Q269" s="897" t="str">
        <f ca="1">IF(OR($H$7&lt;4,Q$260&lt;1),"",IF(P269&lt;&gt;"",P269,IFERROR(IF(INDIRECT("'"&amp;P$86&amp;"'!"&amp;VLOOKUP(P$87,'List Values'!$C$3:$D$6,2,FALSE)&amp;ROW(P269))="","",INDIRECT("'"&amp;P$86&amp;"'!"&amp;VLOOKUP(P$87,'List Values'!$C$3:$D$6,2,FALSE)&amp;ROW(P269))),IF(P$86&lt;&gt;"","Data Source Error",""))))</f>
        <v/>
      </c>
      <c r="S269" s="553"/>
      <c r="T269" s="897" t="str">
        <f ca="1">IF(OR($H$7&lt;5,T$260&lt;1),"",IF(S269&lt;&gt;"",S269,IFERROR(IF(INDIRECT("'"&amp;S$86&amp;"'!"&amp;VLOOKUP(S$87,'List Values'!$C$3:$D$6,2,FALSE)&amp;ROW(S269))="","",INDIRECT("'"&amp;S$86&amp;"'!"&amp;VLOOKUP(S$87,'List Values'!$C$3:$D$6,2,FALSE)&amp;ROW(S269))),IF(S$86&lt;&gt;"","Data Source Error",""))))</f>
        <v/>
      </c>
      <c r="V269" s="553"/>
      <c r="W269" s="908" t="str">
        <f ca="1">IF(OR($H$7&lt;6,W$260&lt;1),"",IF(V269&lt;&gt;"",V269,IFERROR(IF(INDIRECT("'"&amp;V$86&amp;"'!"&amp;VLOOKUP(V$87,'List Values'!$C$3:$D$6,2,FALSE)&amp;ROW(V269))="","",INDIRECT("'"&amp;V$86&amp;"'!"&amp;VLOOKUP(V$87,'List Values'!$C$3:$D$6,2,FALSE)&amp;ROW(V269))),IF(V$86&lt;&gt;"","Data Source Error",""))))</f>
        <v/>
      </c>
      <c r="Y269" s="2643"/>
      <c r="Z269" s="2644"/>
      <c r="AA269" s="2644"/>
      <c r="AB269" s="2645"/>
    </row>
    <row r="270" spans="1:28" ht="31" hidden="1" customHeight="1" outlineLevel="1">
      <c r="A270" s="512"/>
      <c r="B270" s="2051"/>
      <c r="C270" s="2680" t="s">
        <v>1551</v>
      </c>
      <c r="D270" s="2680"/>
      <c r="E270" s="2041"/>
      <c r="F270" s="2041"/>
      <c r="G270" s="636"/>
      <c r="H270" s="637"/>
      <c r="I270" s="187"/>
      <c r="J270" s="619"/>
      <c r="K270" s="898" t="str">
        <f ca="1">IF(OR($H$7&lt;2,K$260&lt;1),"",IF(J270&lt;&gt;"",J270,IFERROR(IF(INDIRECT("'"&amp;J$86&amp;"'!"&amp;VLOOKUP(J$87,'List Values'!$C$3:$D$6,2,FALSE)&amp;ROW(J270))="","",INDIRECT("'"&amp;J$86&amp;"'!"&amp;VLOOKUP(J$87,'List Values'!$C$3:$D$6,2,FALSE)&amp;ROW(J270))),IF(J$86&lt;&gt;"","Data Source Error",""))))</f>
        <v/>
      </c>
      <c r="L270" s="621"/>
      <c r="M270" s="619"/>
      <c r="N270" s="898" t="str">
        <f ca="1">IF(OR($H$7&lt;3,N$260&lt;1),"",IF(M270&lt;&gt;"",M270,IFERROR(IF(INDIRECT("'"&amp;M$86&amp;"'!"&amp;VLOOKUP(M$87,'List Values'!$C$3:$D$6,2,FALSE)&amp;ROW(M270))="","",INDIRECT("'"&amp;M$86&amp;"'!"&amp;VLOOKUP(M$87,'List Values'!$C$3:$D$6,2,FALSE)&amp;ROW(M270))),IF(M$86&lt;&gt;"","Data Source Error",""))))</f>
        <v/>
      </c>
      <c r="O270" s="621"/>
      <c r="P270" s="619"/>
      <c r="Q270" s="898" t="str">
        <f ca="1">IF(OR($H$7&lt;4,Q$260&lt;1),"",IF(P270&lt;&gt;"",P270,IFERROR(IF(INDIRECT("'"&amp;P$86&amp;"'!"&amp;VLOOKUP(P$87,'List Values'!$C$3:$D$6,2,FALSE)&amp;ROW(P270))="","",INDIRECT("'"&amp;P$86&amp;"'!"&amp;VLOOKUP(P$87,'List Values'!$C$3:$D$6,2,FALSE)&amp;ROW(P270))),IF(P$86&lt;&gt;"","Data Source Error",""))))</f>
        <v/>
      </c>
      <c r="R270" s="147"/>
      <c r="S270" s="619"/>
      <c r="T270" s="898" t="str">
        <f ca="1">IF(OR($H$7&lt;5,T$260&lt;1),"",IF(S270&lt;&gt;"",S270,IFERROR(IF(INDIRECT("'"&amp;S$86&amp;"'!"&amp;VLOOKUP(S$87,'List Values'!$C$3:$D$6,2,FALSE)&amp;ROW(S270))="","",INDIRECT("'"&amp;S$86&amp;"'!"&amp;VLOOKUP(S$87,'List Values'!$C$3:$D$6,2,FALSE)&amp;ROW(S270))),IF(S$86&lt;&gt;"","Data Source Error",""))))</f>
        <v/>
      </c>
      <c r="U270" s="147"/>
      <c r="V270" s="619"/>
      <c r="W270" s="909" t="str">
        <f ca="1">IF(OR($H$7&lt;6,W$260&lt;1),"",IF(V270&lt;&gt;"",V270,IFERROR(IF(INDIRECT("'"&amp;V$86&amp;"'!"&amp;VLOOKUP(V$87,'List Values'!$C$3:$D$6,2,FALSE)&amp;ROW(V270))="","",INDIRECT("'"&amp;V$86&amp;"'!"&amp;VLOOKUP(V$87,'List Values'!$C$3:$D$6,2,FALSE)&amp;ROW(V270))),IF(V$86&lt;&gt;"","Data Source Error",""))))</f>
        <v/>
      </c>
      <c r="Y270" s="2643"/>
      <c r="Z270" s="2644"/>
      <c r="AA270" s="2644"/>
      <c r="AB270" s="2645"/>
    </row>
    <row r="271" spans="1:28" ht="31" hidden="1" customHeight="1" outlineLevel="1">
      <c r="A271" s="512"/>
      <c r="B271" s="2051"/>
      <c r="C271" s="2680" t="s">
        <v>1552</v>
      </c>
      <c r="D271" s="2680"/>
      <c r="E271" s="2041"/>
      <c r="F271" s="2041"/>
      <c r="G271" s="636"/>
      <c r="H271" s="637"/>
      <c r="I271" s="187"/>
      <c r="J271" s="619"/>
      <c r="K271" s="898" t="str">
        <f ca="1">IF(OR($H$7&lt;2,K$260&lt;1),"",IF(J271&lt;&gt;"",J271,IFERROR(IF(INDIRECT("'"&amp;J$86&amp;"'!"&amp;VLOOKUP(J$87,'List Values'!$C$3:$D$6,2,FALSE)&amp;ROW(J271))="","",INDIRECT("'"&amp;J$86&amp;"'!"&amp;VLOOKUP(J$87,'List Values'!$C$3:$D$6,2,FALSE)&amp;ROW(J271))),IF(J$86&lt;&gt;"","Data Source Error",""))))</f>
        <v/>
      </c>
      <c r="L271" s="621"/>
      <c r="M271" s="619"/>
      <c r="N271" s="898" t="str">
        <f ca="1">IF(OR($H$7&lt;3,N$260&lt;1),"",IF(M271&lt;&gt;"",M271,IFERROR(IF(INDIRECT("'"&amp;M$86&amp;"'!"&amp;VLOOKUP(M$87,'List Values'!$C$3:$D$6,2,FALSE)&amp;ROW(M271))="","",INDIRECT("'"&amp;M$86&amp;"'!"&amp;VLOOKUP(M$87,'List Values'!$C$3:$D$6,2,FALSE)&amp;ROW(M271))),IF(M$86&lt;&gt;"","Data Source Error",""))))</f>
        <v/>
      </c>
      <c r="O271" s="621"/>
      <c r="P271" s="619"/>
      <c r="Q271" s="898" t="str">
        <f ca="1">IF(OR($H$7&lt;4,Q$260&lt;1),"",IF(P271&lt;&gt;"",P271,IFERROR(IF(INDIRECT("'"&amp;P$86&amp;"'!"&amp;VLOOKUP(P$87,'List Values'!$C$3:$D$6,2,FALSE)&amp;ROW(P271))="","",INDIRECT("'"&amp;P$86&amp;"'!"&amp;VLOOKUP(P$87,'List Values'!$C$3:$D$6,2,FALSE)&amp;ROW(P271))),IF(P$86&lt;&gt;"","Data Source Error",""))))</f>
        <v/>
      </c>
      <c r="R271" s="147"/>
      <c r="S271" s="619"/>
      <c r="T271" s="898" t="str">
        <f ca="1">IF(OR($H$7&lt;5,T$260&lt;1),"",IF(S271&lt;&gt;"",S271,IFERROR(IF(INDIRECT("'"&amp;S$86&amp;"'!"&amp;VLOOKUP(S$87,'List Values'!$C$3:$D$6,2,FALSE)&amp;ROW(S271))="","",INDIRECT("'"&amp;S$86&amp;"'!"&amp;VLOOKUP(S$87,'List Values'!$C$3:$D$6,2,FALSE)&amp;ROW(S271))),IF(S$86&lt;&gt;"","Data Source Error",""))))</f>
        <v/>
      </c>
      <c r="U271" s="147"/>
      <c r="V271" s="619"/>
      <c r="W271" s="909" t="str">
        <f ca="1">IF(OR($H$7&lt;6,W$260&lt;1),"",IF(V271&lt;&gt;"",V271,IFERROR(IF(INDIRECT("'"&amp;V$86&amp;"'!"&amp;VLOOKUP(V$87,'List Values'!$C$3:$D$6,2,FALSE)&amp;ROW(V271))="","",INDIRECT("'"&amp;V$86&amp;"'!"&amp;VLOOKUP(V$87,'List Values'!$C$3:$D$6,2,FALSE)&amp;ROW(V271))),IF(V$86&lt;&gt;"","Data Source Error",""))))</f>
        <v/>
      </c>
      <c r="Y271" s="2643"/>
      <c r="Z271" s="2644"/>
      <c r="AA271" s="2644"/>
      <c r="AB271" s="2645"/>
    </row>
    <row r="272" spans="1:28" ht="33" hidden="1" customHeight="1" outlineLevel="1">
      <c r="A272" s="512"/>
      <c r="B272" s="2051"/>
      <c r="C272" s="2680" t="s">
        <v>331</v>
      </c>
      <c r="D272" s="2680"/>
      <c r="E272" s="2041"/>
      <c r="F272" s="2041"/>
      <c r="G272" s="636"/>
      <c r="H272" s="637"/>
      <c r="I272" s="187"/>
      <c r="J272" s="526"/>
      <c r="K272" s="900" t="str">
        <f ca="1">IF(OR($H$7&lt;2,K$260&lt;1),"",IF(J272&lt;&gt;"",J272,IFERROR(IF(INDIRECT("'"&amp;J$86&amp;"'!"&amp;VLOOKUP(J$87,'List Values'!$C$3:$D$6,2,FALSE)&amp;ROW(J272))="","",INDIRECT("'"&amp;J$86&amp;"'!"&amp;VLOOKUP(J$87,'List Values'!$C$3:$D$6,2,FALSE)&amp;ROW(J272))),IF(J$86&lt;&gt;"","Data Source Error",""))))</f>
        <v/>
      </c>
      <c r="L272" s="187"/>
      <c r="M272" s="526"/>
      <c r="N272" s="900" t="str">
        <f ca="1">IF(OR($H$7&lt;3,N$260&lt;1),"",IF(M272&lt;&gt;"",M272,IFERROR(IF(INDIRECT("'"&amp;M$86&amp;"'!"&amp;VLOOKUP(M$87,'List Values'!$C$3:$D$6,2,FALSE)&amp;ROW(M272))="","",INDIRECT("'"&amp;M$86&amp;"'!"&amp;VLOOKUP(M$87,'List Values'!$C$3:$D$6,2,FALSE)&amp;ROW(M272))),IF(M$86&lt;&gt;"","Data Source Error",""))))</f>
        <v/>
      </c>
      <c r="O272" s="187"/>
      <c r="P272" s="526"/>
      <c r="Q272" s="900" t="str">
        <f ca="1">IF(OR($H$7&lt;4,Q$260&lt;1),"",IF(P272&lt;&gt;"",P272,IFERROR(IF(INDIRECT("'"&amp;P$86&amp;"'!"&amp;VLOOKUP(P$87,'List Values'!$C$3:$D$6,2,FALSE)&amp;ROW(P272))="","",INDIRECT("'"&amp;P$86&amp;"'!"&amp;VLOOKUP(P$87,'List Values'!$C$3:$D$6,2,FALSE)&amp;ROW(P272))),IF(P$86&lt;&gt;"","Data Source Error",""))))</f>
        <v/>
      </c>
      <c r="S272" s="526"/>
      <c r="T272" s="900" t="str">
        <f ca="1">IF(OR($H$7&lt;5,T$260&lt;1),"",IF(S272&lt;&gt;"",S272,IFERROR(IF(INDIRECT("'"&amp;S$86&amp;"'!"&amp;VLOOKUP(S$87,'List Values'!$C$3:$D$6,2,FALSE)&amp;ROW(S272))="","",INDIRECT("'"&amp;S$86&amp;"'!"&amp;VLOOKUP(S$87,'List Values'!$C$3:$D$6,2,FALSE)&amp;ROW(S272))),IF(S$86&lt;&gt;"","Data Source Error",""))))</f>
        <v/>
      </c>
      <c r="V272" s="526"/>
      <c r="W272" s="911" t="str">
        <f ca="1">IF(OR($H$7&lt;6,W$260&lt;1),"",IF(V272&lt;&gt;"",V272,IFERROR(IF(INDIRECT("'"&amp;V$86&amp;"'!"&amp;VLOOKUP(V$87,'List Values'!$C$3:$D$6,2,FALSE)&amp;ROW(V272))="","",INDIRECT("'"&amp;V$86&amp;"'!"&amp;VLOOKUP(V$87,'List Values'!$C$3:$D$6,2,FALSE)&amp;ROW(V272))),IF(V$86&lt;&gt;"","Data Source Error",""))))</f>
        <v/>
      </c>
      <c r="Y272" s="2643"/>
      <c r="Z272" s="2644"/>
      <c r="AA272" s="2644"/>
      <c r="AB272" s="2645"/>
    </row>
    <row r="273" spans="1:28" ht="15.75" hidden="1" customHeight="1" outlineLevel="1">
      <c r="A273" s="512"/>
      <c r="B273" s="2051"/>
      <c r="C273" s="2684" t="s">
        <v>332</v>
      </c>
      <c r="D273" s="2684"/>
      <c r="E273" s="2041"/>
      <c r="F273" s="2041"/>
      <c r="G273" s="636"/>
      <c r="H273" s="637"/>
      <c r="I273" s="187"/>
      <c r="J273" s="580"/>
      <c r="K273" s="900" t="str">
        <f ca="1">IF(OR($H$7&lt;2,K$260&lt;1),"",IF(J273&lt;&gt;"",J273,IFERROR(IF(INDIRECT("'"&amp;J$86&amp;"'!"&amp;VLOOKUP(J$87,'List Values'!$C$3:$D$6,2,FALSE)&amp;ROW(J273))="","",INDIRECT("'"&amp;J$86&amp;"'!"&amp;VLOOKUP(J$87,'List Values'!$C$3:$D$6,2,FALSE)&amp;ROW(J273))),IF(J$86&lt;&gt;"","Data Source Error",""))))</f>
        <v/>
      </c>
      <c r="L273" s="187"/>
      <c r="M273" s="580"/>
      <c r="N273" s="900" t="str">
        <f ca="1">IF(OR($H$7&lt;3,N$260&lt;1),"",IF(M273&lt;&gt;"",M273,IFERROR(IF(INDIRECT("'"&amp;M$86&amp;"'!"&amp;VLOOKUP(M$87,'List Values'!$C$3:$D$6,2,FALSE)&amp;ROW(M273))="","",INDIRECT("'"&amp;M$86&amp;"'!"&amp;VLOOKUP(M$87,'List Values'!$C$3:$D$6,2,FALSE)&amp;ROW(M273))),IF(M$86&lt;&gt;"","Data Source Error",""))))</f>
        <v/>
      </c>
      <c r="O273" s="187"/>
      <c r="P273" s="580"/>
      <c r="Q273" s="900" t="str">
        <f ca="1">IF(OR($H$7&lt;4,Q$260&lt;1),"",IF(P273&lt;&gt;"",P273,IFERROR(IF(INDIRECT("'"&amp;P$86&amp;"'!"&amp;VLOOKUP(P$87,'List Values'!$C$3:$D$6,2,FALSE)&amp;ROW(P273))="","",INDIRECT("'"&amp;P$86&amp;"'!"&amp;VLOOKUP(P$87,'List Values'!$C$3:$D$6,2,FALSE)&amp;ROW(P273))),IF(P$86&lt;&gt;"","Data Source Error",""))))</f>
        <v/>
      </c>
      <c r="S273" s="580"/>
      <c r="T273" s="900" t="str">
        <f ca="1">IF(OR($H$7&lt;5,T$260&lt;1),"",IF(S273&lt;&gt;"",S273,IFERROR(IF(INDIRECT("'"&amp;S$86&amp;"'!"&amp;VLOOKUP(S$87,'List Values'!$C$3:$D$6,2,FALSE)&amp;ROW(S273))="","",INDIRECT("'"&amp;S$86&amp;"'!"&amp;VLOOKUP(S$87,'List Values'!$C$3:$D$6,2,FALSE)&amp;ROW(S273))),IF(S$86&lt;&gt;"","Data Source Error",""))))</f>
        <v/>
      </c>
      <c r="V273" s="580"/>
      <c r="W273" s="911" t="str">
        <f ca="1">IF(OR($H$7&lt;6,W$260&lt;1),"",IF(V273&lt;&gt;"",V273,IFERROR(IF(INDIRECT("'"&amp;V$86&amp;"'!"&amp;VLOOKUP(V$87,'List Values'!$C$3:$D$6,2,FALSE)&amp;ROW(V273))="","",INDIRECT("'"&amp;V$86&amp;"'!"&amp;VLOOKUP(V$87,'List Values'!$C$3:$D$6,2,FALSE)&amp;ROW(V273))),IF(V$86&lt;&gt;"","Data Source Error",""))))</f>
        <v/>
      </c>
      <c r="Y273" s="2643"/>
      <c r="Z273" s="2644"/>
      <c r="AA273" s="2644"/>
      <c r="AB273" s="2645"/>
    </row>
    <row r="274" spans="1:28" ht="30.75" hidden="1" customHeight="1" outlineLevel="1">
      <c r="A274" s="512"/>
      <c r="B274" s="2051"/>
      <c r="C274" s="2680" t="s">
        <v>839</v>
      </c>
      <c r="D274" s="2680"/>
      <c r="E274" s="2041"/>
      <c r="F274" s="2041"/>
      <c r="G274" s="636"/>
      <c r="H274" s="637"/>
      <c r="I274" s="187"/>
      <c r="J274" s="580"/>
      <c r="K274" s="900" t="str">
        <f ca="1">IF(OR($H$7&lt;2,K$260&lt;1),"",IF(J274&lt;&gt;"",J274,IFERROR(IF(INDIRECT("'"&amp;J$86&amp;"'!"&amp;VLOOKUP(J$87,'List Values'!$C$3:$D$6,2,FALSE)&amp;ROW(J274))="","",INDIRECT("'"&amp;J$86&amp;"'!"&amp;VLOOKUP(J$87,'List Values'!$C$3:$D$6,2,FALSE)&amp;ROW(J274))),IF(J$86&lt;&gt;"","Data Source Error",""))))</f>
        <v/>
      </c>
      <c r="L274" s="187"/>
      <c r="M274" s="580"/>
      <c r="N274" s="900" t="str">
        <f ca="1">IF(OR($H$7&lt;3,N$260&lt;1),"",IF(M274&lt;&gt;"",M274,IFERROR(IF(INDIRECT("'"&amp;M$86&amp;"'!"&amp;VLOOKUP(M$87,'List Values'!$C$3:$D$6,2,FALSE)&amp;ROW(M274))="","",INDIRECT("'"&amp;M$86&amp;"'!"&amp;VLOOKUP(M$87,'List Values'!$C$3:$D$6,2,FALSE)&amp;ROW(M274))),IF(M$86&lt;&gt;"","Data Source Error",""))))</f>
        <v/>
      </c>
      <c r="O274" s="187"/>
      <c r="P274" s="580"/>
      <c r="Q274" s="900" t="str">
        <f ca="1">IF(OR($H$7&lt;4,Q$260&lt;1),"",IF(P274&lt;&gt;"",P274,IFERROR(IF(INDIRECT("'"&amp;P$86&amp;"'!"&amp;VLOOKUP(P$87,'List Values'!$C$3:$D$6,2,FALSE)&amp;ROW(P274))="","",INDIRECT("'"&amp;P$86&amp;"'!"&amp;VLOOKUP(P$87,'List Values'!$C$3:$D$6,2,FALSE)&amp;ROW(P274))),IF(P$86&lt;&gt;"","Data Source Error",""))))</f>
        <v/>
      </c>
      <c r="S274" s="580"/>
      <c r="T274" s="900" t="str">
        <f ca="1">IF(OR($H$7&lt;5,T$260&lt;1),"",IF(S274&lt;&gt;"",S274,IFERROR(IF(INDIRECT("'"&amp;S$86&amp;"'!"&amp;VLOOKUP(S$87,'List Values'!$C$3:$D$6,2,FALSE)&amp;ROW(S274))="","",INDIRECT("'"&amp;S$86&amp;"'!"&amp;VLOOKUP(S$87,'List Values'!$C$3:$D$6,2,FALSE)&amp;ROW(S274))),IF(S$86&lt;&gt;"","Data Source Error",""))))</f>
        <v/>
      </c>
      <c r="V274" s="580"/>
      <c r="W274" s="911" t="str">
        <f ca="1">IF(OR($H$7&lt;6,W$260&lt;1),"",IF(V274&lt;&gt;"",V274,IFERROR(IF(INDIRECT("'"&amp;V$86&amp;"'!"&amp;VLOOKUP(V$87,'List Values'!$C$3:$D$6,2,FALSE)&amp;ROW(V274))="","",INDIRECT("'"&amp;V$86&amp;"'!"&amp;VLOOKUP(V$87,'List Values'!$C$3:$D$6,2,FALSE)&amp;ROW(V274))),IF(V$86&lt;&gt;"","Data Source Error",""))))</f>
        <v/>
      </c>
      <c r="Y274" s="2643"/>
      <c r="Z274" s="2644"/>
      <c r="AA274" s="2644"/>
      <c r="AB274" s="2645"/>
    </row>
    <row r="275" spans="1:28" ht="15.75" hidden="1" customHeight="1" outlineLevel="1">
      <c r="A275" s="512"/>
      <c r="B275" s="2051"/>
      <c r="C275" s="2680" t="s">
        <v>334</v>
      </c>
      <c r="D275" s="2680"/>
      <c r="E275" s="2041"/>
      <c r="F275" s="2041"/>
      <c r="G275" s="636"/>
      <c r="H275" s="637"/>
      <c r="I275" s="187"/>
      <c r="J275" s="580"/>
      <c r="K275" s="900" t="str">
        <f ca="1">IF(OR($H$7&lt;2,K$260&lt;1),"",IF(J275&lt;&gt;"",J275,IFERROR(IF(INDIRECT("'"&amp;J$86&amp;"'!"&amp;VLOOKUP(J$87,'List Values'!$C$3:$D$6,2,FALSE)&amp;ROW(J275))="","",INDIRECT("'"&amp;J$86&amp;"'!"&amp;VLOOKUP(J$87,'List Values'!$C$3:$D$6,2,FALSE)&amp;ROW(J275))),IF(J$86&lt;&gt;"","Data Source Error",""))))</f>
        <v/>
      </c>
      <c r="L275" s="187"/>
      <c r="M275" s="580"/>
      <c r="N275" s="900" t="str">
        <f ca="1">IF(OR($H$7&lt;3,N$260&lt;1),"",IF(M275&lt;&gt;"",M275,IFERROR(IF(INDIRECT("'"&amp;M$86&amp;"'!"&amp;VLOOKUP(M$87,'List Values'!$C$3:$D$6,2,FALSE)&amp;ROW(M275))="","",INDIRECT("'"&amp;M$86&amp;"'!"&amp;VLOOKUP(M$87,'List Values'!$C$3:$D$6,2,FALSE)&amp;ROW(M275))),IF(M$86&lt;&gt;"","Data Source Error",""))))</f>
        <v/>
      </c>
      <c r="O275" s="187"/>
      <c r="P275" s="580"/>
      <c r="Q275" s="900" t="str">
        <f ca="1">IF(OR($H$7&lt;4,Q$260&lt;1),"",IF(P275&lt;&gt;"",P275,IFERROR(IF(INDIRECT("'"&amp;P$86&amp;"'!"&amp;VLOOKUP(P$87,'List Values'!$C$3:$D$6,2,FALSE)&amp;ROW(P275))="","",INDIRECT("'"&amp;P$86&amp;"'!"&amp;VLOOKUP(P$87,'List Values'!$C$3:$D$6,2,FALSE)&amp;ROW(P275))),IF(P$86&lt;&gt;"","Data Source Error",""))))</f>
        <v/>
      </c>
      <c r="S275" s="580"/>
      <c r="T275" s="900" t="str">
        <f ca="1">IF(OR($H$7&lt;5,T$260&lt;1),"",IF(S275&lt;&gt;"",S275,IFERROR(IF(INDIRECT("'"&amp;S$86&amp;"'!"&amp;VLOOKUP(S$87,'List Values'!$C$3:$D$6,2,FALSE)&amp;ROW(S275))="","",INDIRECT("'"&amp;S$86&amp;"'!"&amp;VLOOKUP(S$87,'List Values'!$C$3:$D$6,2,FALSE)&amp;ROW(S275))),IF(S$86&lt;&gt;"","Data Source Error",""))))</f>
        <v/>
      </c>
      <c r="V275" s="580"/>
      <c r="W275" s="911" t="str">
        <f ca="1">IF(OR($H$7&lt;6,W$260&lt;1),"",IF(V275&lt;&gt;"",V275,IFERROR(IF(INDIRECT("'"&amp;V$86&amp;"'!"&amp;VLOOKUP(V$87,'List Values'!$C$3:$D$6,2,FALSE)&amp;ROW(V275))="","",INDIRECT("'"&amp;V$86&amp;"'!"&amp;VLOOKUP(V$87,'List Values'!$C$3:$D$6,2,FALSE)&amp;ROW(V275))),IF(V$86&lt;&gt;"","Data Source Error",""))))</f>
        <v/>
      </c>
      <c r="Y275" s="2643"/>
      <c r="Z275" s="2644"/>
      <c r="AA275" s="2644"/>
      <c r="AB275" s="2645"/>
    </row>
    <row r="276" spans="1:28" ht="15.75" hidden="1" customHeight="1" outlineLevel="1">
      <c r="A276" s="512"/>
      <c r="B276" s="2051"/>
      <c r="C276" s="2684" t="s">
        <v>335</v>
      </c>
      <c r="D276" s="2684"/>
      <c r="E276" s="2041"/>
      <c r="F276" s="2041"/>
      <c r="G276" s="636"/>
      <c r="H276" s="637"/>
      <c r="I276" s="187"/>
      <c r="J276" s="580"/>
      <c r="K276" s="900" t="str">
        <f ca="1">IF(OR($H$7&lt;2,K$260&lt;1),"",IF(J276&lt;&gt;"",J276,IFERROR(IF(INDIRECT("'"&amp;J$86&amp;"'!"&amp;VLOOKUP(J$87,'List Values'!$C$3:$D$6,2,FALSE)&amp;ROW(J276))="","",INDIRECT("'"&amp;J$86&amp;"'!"&amp;VLOOKUP(J$87,'List Values'!$C$3:$D$6,2,FALSE)&amp;ROW(J276))),IF(J$86&lt;&gt;"","Data Source Error",""))))</f>
        <v/>
      </c>
      <c r="L276" s="187"/>
      <c r="M276" s="580"/>
      <c r="N276" s="900" t="str">
        <f ca="1">IF(OR($H$7&lt;3,N$260&lt;1),"",IF(M276&lt;&gt;"",M276,IFERROR(IF(INDIRECT("'"&amp;M$86&amp;"'!"&amp;VLOOKUP(M$87,'List Values'!$C$3:$D$6,2,FALSE)&amp;ROW(M276))="","",INDIRECT("'"&amp;M$86&amp;"'!"&amp;VLOOKUP(M$87,'List Values'!$C$3:$D$6,2,FALSE)&amp;ROW(M276))),IF(M$86&lt;&gt;"","Data Source Error",""))))</f>
        <v/>
      </c>
      <c r="O276" s="187"/>
      <c r="P276" s="580"/>
      <c r="Q276" s="900" t="str">
        <f ca="1">IF(OR($H$7&lt;4,Q$260&lt;1),"",IF(P276&lt;&gt;"",P276,IFERROR(IF(INDIRECT("'"&amp;P$86&amp;"'!"&amp;VLOOKUP(P$87,'List Values'!$C$3:$D$6,2,FALSE)&amp;ROW(P276))="","",INDIRECT("'"&amp;P$86&amp;"'!"&amp;VLOOKUP(P$87,'List Values'!$C$3:$D$6,2,FALSE)&amp;ROW(P276))),IF(P$86&lt;&gt;"","Data Source Error",""))))</f>
        <v/>
      </c>
      <c r="S276" s="580"/>
      <c r="T276" s="900" t="str">
        <f ca="1">IF(OR($H$7&lt;5,T$260&lt;1),"",IF(S276&lt;&gt;"",S276,IFERROR(IF(INDIRECT("'"&amp;S$86&amp;"'!"&amp;VLOOKUP(S$87,'List Values'!$C$3:$D$6,2,FALSE)&amp;ROW(S276))="","",INDIRECT("'"&amp;S$86&amp;"'!"&amp;VLOOKUP(S$87,'List Values'!$C$3:$D$6,2,FALSE)&amp;ROW(S276))),IF(S$86&lt;&gt;"","Data Source Error",""))))</f>
        <v/>
      </c>
      <c r="V276" s="580"/>
      <c r="W276" s="911" t="str">
        <f ca="1">IF(OR($H$7&lt;6,W$260&lt;1),"",IF(V276&lt;&gt;"",V276,IFERROR(IF(INDIRECT("'"&amp;V$86&amp;"'!"&amp;VLOOKUP(V$87,'List Values'!$C$3:$D$6,2,FALSE)&amp;ROW(V276))="","",INDIRECT("'"&amp;V$86&amp;"'!"&amp;VLOOKUP(V$87,'List Values'!$C$3:$D$6,2,FALSE)&amp;ROW(V276))),IF(V$86&lt;&gt;"","Data Source Error",""))))</f>
        <v/>
      </c>
      <c r="Y276" s="2643"/>
      <c r="Z276" s="2644"/>
      <c r="AA276" s="2644"/>
      <c r="AB276" s="2645"/>
    </row>
    <row r="277" spans="1:28" ht="31" hidden="1" customHeight="1" outlineLevel="1">
      <c r="A277" s="512"/>
      <c r="B277" s="2051"/>
      <c r="C277" s="2680" t="s">
        <v>336</v>
      </c>
      <c r="D277" s="2680"/>
      <c r="E277" s="2041"/>
      <c r="F277" s="2041"/>
      <c r="G277" s="636"/>
      <c r="H277" s="637"/>
      <c r="I277" s="187"/>
      <c r="J277" s="580"/>
      <c r="K277" s="900" t="str">
        <f ca="1">IF(OR($H$7&lt;2,K$260&lt;1),"",IF(J277&lt;&gt;"",J277,IFERROR(IF(INDIRECT("'"&amp;J$86&amp;"'!"&amp;VLOOKUP(J$87,'List Values'!$C$3:$D$6,2,FALSE)&amp;ROW(J277))="","",INDIRECT("'"&amp;J$86&amp;"'!"&amp;VLOOKUP(J$87,'List Values'!$C$3:$D$6,2,FALSE)&amp;ROW(J277))),IF(J$86&lt;&gt;"","Data Source Error",""))))</f>
        <v/>
      </c>
      <c r="L277" s="187"/>
      <c r="M277" s="580"/>
      <c r="N277" s="900" t="str">
        <f ca="1">IF(OR($H$7&lt;3,N$260&lt;1),"",IF(M277&lt;&gt;"",M277,IFERROR(IF(INDIRECT("'"&amp;M$86&amp;"'!"&amp;VLOOKUP(M$87,'List Values'!$C$3:$D$6,2,FALSE)&amp;ROW(M277))="","",INDIRECT("'"&amp;M$86&amp;"'!"&amp;VLOOKUP(M$87,'List Values'!$C$3:$D$6,2,FALSE)&amp;ROW(M277))),IF(M$86&lt;&gt;"","Data Source Error",""))))</f>
        <v/>
      </c>
      <c r="O277" s="187"/>
      <c r="P277" s="580"/>
      <c r="Q277" s="900" t="str">
        <f ca="1">IF(OR($H$7&lt;4,Q$260&lt;1),"",IF(P277&lt;&gt;"",P277,IFERROR(IF(INDIRECT("'"&amp;P$86&amp;"'!"&amp;VLOOKUP(P$87,'List Values'!$C$3:$D$6,2,FALSE)&amp;ROW(P277))="","",INDIRECT("'"&amp;P$86&amp;"'!"&amp;VLOOKUP(P$87,'List Values'!$C$3:$D$6,2,FALSE)&amp;ROW(P277))),IF(P$86&lt;&gt;"","Data Source Error",""))))</f>
        <v/>
      </c>
      <c r="S277" s="580"/>
      <c r="T277" s="900" t="str">
        <f ca="1">IF(OR($H$7&lt;5,T$260&lt;1),"",IF(S277&lt;&gt;"",S277,IFERROR(IF(INDIRECT("'"&amp;S$86&amp;"'!"&amp;VLOOKUP(S$87,'List Values'!$C$3:$D$6,2,FALSE)&amp;ROW(S277))="","",INDIRECT("'"&amp;S$86&amp;"'!"&amp;VLOOKUP(S$87,'List Values'!$C$3:$D$6,2,FALSE)&amp;ROW(S277))),IF(S$86&lt;&gt;"","Data Source Error",""))))</f>
        <v/>
      </c>
      <c r="V277" s="580"/>
      <c r="W277" s="911" t="str">
        <f ca="1">IF(OR($H$7&lt;6,W$260&lt;1),"",IF(V277&lt;&gt;"",V277,IFERROR(IF(INDIRECT("'"&amp;V$86&amp;"'!"&amp;VLOOKUP(V$87,'List Values'!$C$3:$D$6,2,FALSE)&amp;ROW(V277))="","",INDIRECT("'"&amp;V$86&amp;"'!"&amp;VLOOKUP(V$87,'List Values'!$C$3:$D$6,2,FALSE)&amp;ROW(V277))),IF(V$86&lt;&gt;"","Data Source Error",""))))</f>
        <v/>
      </c>
      <c r="Y277" s="2643"/>
      <c r="Z277" s="2644"/>
      <c r="AA277" s="2644"/>
      <c r="AB277" s="2645"/>
    </row>
    <row r="278" spans="1:28" ht="33" hidden="1" customHeight="1" outlineLevel="1">
      <c r="A278" s="512"/>
      <c r="B278" s="2051"/>
      <c r="C278" s="2680" t="s">
        <v>337</v>
      </c>
      <c r="D278" s="2680"/>
      <c r="E278" s="2041"/>
      <c r="F278" s="2041"/>
      <c r="G278" s="636"/>
      <c r="H278" s="637"/>
      <c r="I278" s="187"/>
      <c r="J278" s="580"/>
      <c r="K278" s="900" t="str">
        <f ca="1">IF(OR($H$7&lt;2,K$260&lt;1),"",IF(J278&lt;&gt;"",J278,IFERROR(IF(INDIRECT("'"&amp;J$86&amp;"'!"&amp;VLOOKUP(J$87,'List Values'!$C$3:$D$6,2,FALSE)&amp;ROW(J278))="","",INDIRECT("'"&amp;J$86&amp;"'!"&amp;VLOOKUP(J$87,'List Values'!$C$3:$D$6,2,FALSE)&amp;ROW(J278))),IF(J$86&lt;&gt;"","Data Source Error",""))))</f>
        <v/>
      </c>
      <c r="L278" s="187"/>
      <c r="M278" s="580"/>
      <c r="N278" s="900" t="str">
        <f ca="1">IF(OR($H$7&lt;3,N$260&lt;1),"",IF(M278&lt;&gt;"",M278,IFERROR(IF(INDIRECT("'"&amp;M$86&amp;"'!"&amp;VLOOKUP(M$87,'List Values'!$C$3:$D$6,2,FALSE)&amp;ROW(M278))="","",INDIRECT("'"&amp;M$86&amp;"'!"&amp;VLOOKUP(M$87,'List Values'!$C$3:$D$6,2,FALSE)&amp;ROW(M278))),IF(M$86&lt;&gt;"","Data Source Error",""))))</f>
        <v/>
      </c>
      <c r="O278" s="187"/>
      <c r="P278" s="580"/>
      <c r="Q278" s="900" t="str">
        <f ca="1">IF(OR($H$7&lt;4,Q$260&lt;1),"",IF(P278&lt;&gt;"",P278,IFERROR(IF(INDIRECT("'"&amp;P$86&amp;"'!"&amp;VLOOKUP(P$87,'List Values'!$C$3:$D$6,2,FALSE)&amp;ROW(P278))="","",INDIRECT("'"&amp;P$86&amp;"'!"&amp;VLOOKUP(P$87,'List Values'!$C$3:$D$6,2,FALSE)&amp;ROW(P278))),IF(P$86&lt;&gt;"","Data Source Error",""))))</f>
        <v/>
      </c>
      <c r="S278" s="580"/>
      <c r="T278" s="900" t="str">
        <f ca="1">IF(OR($H$7&lt;5,T$260&lt;1),"",IF(S278&lt;&gt;"",S278,IFERROR(IF(INDIRECT("'"&amp;S$86&amp;"'!"&amp;VLOOKUP(S$87,'List Values'!$C$3:$D$6,2,FALSE)&amp;ROW(S278))="","",INDIRECT("'"&amp;S$86&amp;"'!"&amp;VLOOKUP(S$87,'List Values'!$C$3:$D$6,2,FALSE)&amp;ROW(S278))),IF(S$86&lt;&gt;"","Data Source Error",""))))</f>
        <v/>
      </c>
      <c r="V278" s="580"/>
      <c r="W278" s="911" t="str">
        <f ca="1">IF(OR($H$7&lt;6,W$260&lt;1),"",IF(V278&lt;&gt;"",V278,IFERROR(IF(INDIRECT("'"&amp;V$86&amp;"'!"&amp;VLOOKUP(V$87,'List Values'!$C$3:$D$6,2,FALSE)&amp;ROW(V278))="","",INDIRECT("'"&amp;V$86&amp;"'!"&amp;VLOOKUP(V$87,'List Values'!$C$3:$D$6,2,FALSE)&amp;ROW(V278))),IF(V$86&lt;&gt;"","Data Source Error",""))))</f>
        <v/>
      </c>
      <c r="Y278" s="2643"/>
      <c r="Z278" s="2644"/>
      <c r="AA278" s="2644"/>
      <c r="AB278" s="2645"/>
    </row>
    <row r="279" spans="1:28" ht="33" hidden="1" customHeight="1" outlineLevel="1">
      <c r="A279" s="512"/>
      <c r="B279" s="2051"/>
      <c r="C279" s="2680" t="s">
        <v>338</v>
      </c>
      <c r="D279" s="2680"/>
      <c r="E279" s="2041"/>
      <c r="F279" s="2041"/>
      <c r="G279" s="636"/>
      <c r="H279" s="637"/>
      <c r="I279" s="187"/>
      <c r="J279" s="580"/>
      <c r="K279" s="900" t="str">
        <f ca="1">IF(OR($H$7&lt;2,K$260&lt;1),"",IF(J279&lt;&gt;"",J279,IFERROR(IF(INDIRECT("'"&amp;J$86&amp;"'!"&amp;VLOOKUP(J$87,'List Values'!$C$3:$D$6,2,FALSE)&amp;ROW(J279))="","",INDIRECT("'"&amp;J$86&amp;"'!"&amp;VLOOKUP(J$87,'List Values'!$C$3:$D$6,2,FALSE)&amp;ROW(J279))),IF(J$86&lt;&gt;"","Data Source Error",""))))</f>
        <v/>
      </c>
      <c r="L279" s="187"/>
      <c r="M279" s="580"/>
      <c r="N279" s="900" t="str">
        <f ca="1">IF(OR($H$7&lt;3,N$260&lt;1),"",IF(M279&lt;&gt;"",M279,IFERROR(IF(INDIRECT("'"&amp;M$86&amp;"'!"&amp;VLOOKUP(M$87,'List Values'!$C$3:$D$6,2,FALSE)&amp;ROW(M279))="","",INDIRECT("'"&amp;M$86&amp;"'!"&amp;VLOOKUP(M$87,'List Values'!$C$3:$D$6,2,FALSE)&amp;ROW(M279))),IF(M$86&lt;&gt;"","Data Source Error",""))))</f>
        <v/>
      </c>
      <c r="O279" s="187"/>
      <c r="P279" s="580"/>
      <c r="Q279" s="900" t="str">
        <f ca="1">IF(OR($H$7&lt;4,Q$260&lt;1),"",IF(P279&lt;&gt;"",P279,IFERROR(IF(INDIRECT("'"&amp;P$86&amp;"'!"&amp;VLOOKUP(P$87,'List Values'!$C$3:$D$6,2,FALSE)&amp;ROW(P279))="","",INDIRECT("'"&amp;P$86&amp;"'!"&amp;VLOOKUP(P$87,'List Values'!$C$3:$D$6,2,FALSE)&amp;ROW(P279))),IF(P$86&lt;&gt;"","Data Source Error",""))))</f>
        <v/>
      </c>
      <c r="S279" s="580"/>
      <c r="T279" s="900" t="str">
        <f ca="1">IF(OR($H$7&lt;5,T$260&lt;1),"",IF(S279&lt;&gt;"",S279,IFERROR(IF(INDIRECT("'"&amp;S$86&amp;"'!"&amp;VLOOKUP(S$87,'List Values'!$C$3:$D$6,2,FALSE)&amp;ROW(S279))="","",INDIRECT("'"&amp;S$86&amp;"'!"&amp;VLOOKUP(S$87,'List Values'!$C$3:$D$6,2,FALSE)&amp;ROW(S279))),IF(S$86&lt;&gt;"","Data Source Error",""))))</f>
        <v/>
      </c>
      <c r="V279" s="580"/>
      <c r="W279" s="911" t="str">
        <f ca="1">IF(OR($H$7&lt;6,W$260&lt;1),"",IF(V279&lt;&gt;"",V279,IFERROR(IF(INDIRECT("'"&amp;V$86&amp;"'!"&amp;VLOOKUP(V$87,'List Values'!$C$3:$D$6,2,FALSE)&amp;ROW(V279))="","",INDIRECT("'"&amp;V$86&amp;"'!"&amp;VLOOKUP(V$87,'List Values'!$C$3:$D$6,2,FALSE)&amp;ROW(V279))),IF(V$86&lt;&gt;"","Data Source Error",""))))</f>
        <v/>
      </c>
      <c r="Y279" s="2643"/>
      <c r="Z279" s="2644"/>
      <c r="AA279" s="2644"/>
      <c r="AB279" s="2645"/>
    </row>
    <row r="280" spans="1:28" ht="15.75" hidden="1" customHeight="1" outlineLevel="1">
      <c r="A280" s="512"/>
      <c r="B280" s="2051"/>
      <c r="C280" s="2680" t="s">
        <v>650</v>
      </c>
      <c r="D280" s="2680"/>
      <c r="E280" s="2041"/>
      <c r="F280" s="2041"/>
      <c r="G280" s="636"/>
      <c r="H280" s="637"/>
      <c r="I280" s="187"/>
      <c r="J280" s="580"/>
      <c r="K280" s="900" t="str">
        <f ca="1">IF(OR($H$7&lt;2,K$260&lt;1),"",IF(J280&lt;&gt;"",J280,IFERROR(IF(INDIRECT("'"&amp;J$86&amp;"'!"&amp;VLOOKUP(J$87,'List Values'!$C$3:$D$6,2,FALSE)&amp;ROW(J280))="","",INDIRECT("'"&amp;J$86&amp;"'!"&amp;VLOOKUP(J$87,'List Values'!$C$3:$D$6,2,FALSE)&amp;ROW(J280))),IF(J$86&lt;&gt;"","Data Source Error",""))))</f>
        <v/>
      </c>
      <c r="L280" s="187"/>
      <c r="M280" s="580"/>
      <c r="N280" s="900" t="str">
        <f ca="1">IF(OR($H$7&lt;3,N$260&lt;1),"",IF(M280&lt;&gt;"",M280,IFERROR(IF(INDIRECT("'"&amp;M$86&amp;"'!"&amp;VLOOKUP(M$87,'List Values'!$C$3:$D$6,2,FALSE)&amp;ROW(M280))="","",INDIRECT("'"&amp;M$86&amp;"'!"&amp;VLOOKUP(M$87,'List Values'!$C$3:$D$6,2,FALSE)&amp;ROW(M280))),IF(M$86&lt;&gt;"","Data Source Error",""))))</f>
        <v/>
      </c>
      <c r="O280" s="187"/>
      <c r="P280" s="580"/>
      <c r="Q280" s="900" t="str">
        <f ca="1">IF(OR($H$7&lt;4,Q$260&lt;1),"",IF(P280&lt;&gt;"",P280,IFERROR(IF(INDIRECT("'"&amp;P$86&amp;"'!"&amp;VLOOKUP(P$87,'List Values'!$C$3:$D$6,2,FALSE)&amp;ROW(P280))="","",INDIRECT("'"&amp;P$86&amp;"'!"&amp;VLOOKUP(P$87,'List Values'!$C$3:$D$6,2,FALSE)&amp;ROW(P280))),IF(P$86&lt;&gt;"","Data Source Error",""))))</f>
        <v/>
      </c>
      <c r="S280" s="580"/>
      <c r="T280" s="900" t="str">
        <f ca="1">IF(OR($H$7&lt;5,T$260&lt;1),"",IF(S280&lt;&gt;"",S280,IFERROR(IF(INDIRECT("'"&amp;S$86&amp;"'!"&amp;VLOOKUP(S$87,'List Values'!$C$3:$D$6,2,FALSE)&amp;ROW(S280))="","",INDIRECT("'"&amp;S$86&amp;"'!"&amp;VLOOKUP(S$87,'List Values'!$C$3:$D$6,2,FALSE)&amp;ROW(S280))),IF(S$86&lt;&gt;"","Data Source Error",""))))</f>
        <v/>
      </c>
      <c r="V280" s="580"/>
      <c r="W280" s="911" t="str">
        <f ca="1">IF(OR($H$7&lt;6,W$260&lt;1),"",IF(V280&lt;&gt;"",V280,IFERROR(IF(INDIRECT("'"&amp;V$86&amp;"'!"&amp;VLOOKUP(V$87,'List Values'!$C$3:$D$6,2,FALSE)&amp;ROW(V280))="","",INDIRECT("'"&amp;V$86&amp;"'!"&amp;VLOOKUP(V$87,'List Values'!$C$3:$D$6,2,FALSE)&amp;ROW(V280))),IF(V$86&lt;&gt;"","Data Source Error",""))))</f>
        <v/>
      </c>
      <c r="Y280" s="2643"/>
      <c r="Z280" s="2644"/>
      <c r="AA280" s="2644"/>
      <c r="AB280" s="2645"/>
    </row>
    <row r="281" spans="1:28" ht="31" hidden="1" customHeight="1" outlineLevel="1">
      <c r="A281" s="512"/>
      <c r="B281" s="2051"/>
      <c r="C281" s="2680" t="s">
        <v>651</v>
      </c>
      <c r="D281" s="2680"/>
      <c r="E281" s="238"/>
      <c r="F281" s="238"/>
      <c r="G281" s="638"/>
      <c r="H281" s="639"/>
      <c r="I281" s="184"/>
      <c r="J281" s="624"/>
      <c r="K281" s="941" t="str">
        <f ca="1">IF(OR($H$7&lt;2,K$260&lt;1),"",IF(J281&lt;&gt;"",J281,IFERROR(IF(INDIRECT("'"&amp;J$86&amp;"'!"&amp;VLOOKUP(J$87,'List Values'!$C$3:$D$6,2,FALSE)&amp;ROW(J281))="","",INDIRECT("'"&amp;J$86&amp;"'!"&amp;VLOOKUP(J$87,'List Values'!$C$3:$D$6,2,FALSE)&amp;ROW(J281))),IF(J$86&lt;&gt;"","Data Source Error",""))))</f>
        <v/>
      </c>
      <c r="L281" s="184"/>
      <c r="M281" s="624"/>
      <c r="N281" s="941" t="str">
        <f ca="1">IF(OR($H$7&lt;3,N$260&lt;1),"",IF(M281&lt;&gt;"",M281,IFERROR(IF(INDIRECT("'"&amp;M$86&amp;"'!"&amp;VLOOKUP(M$87,'List Values'!$C$3:$D$6,2,FALSE)&amp;ROW(M281))="","",INDIRECT("'"&amp;M$86&amp;"'!"&amp;VLOOKUP(M$87,'List Values'!$C$3:$D$6,2,FALSE)&amp;ROW(M281))),IF(M$86&lt;&gt;"","Data Source Error",""))))</f>
        <v/>
      </c>
      <c r="O281" s="184"/>
      <c r="P281" s="624"/>
      <c r="Q281" s="941" t="str">
        <f ca="1">IF(OR($H$7&lt;4,Q$260&lt;1),"",IF(P281&lt;&gt;"",P281,IFERROR(IF(INDIRECT("'"&amp;P$86&amp;"'!"&amp;VLOOKUP(P$87,'List Values'!$C$3:$D$6,2,FALSE)&amp;ROW(P281))="","",INDIRECT("'"&amp;P$86&amp;"'!"&amp;VLOOKUP(P$87,'List Values'!$C$3:$D$6,2,FALSE)&amp;ROW(P281))),IF(P$86&lt;&gt;"","Data Source Error",""))))</f>
        <v/>
      </c>
      <c r="S281" s="624"/>
      <c r="T281" s="941" t="str">
        <f ca="1">IF(OR($H$7&lt;5,T$260&lt;1),"",IF(S281&lt;&gt;"",S281,IFERROR(IF(INDIRECT("'"&amp;S$86&amp;"'!"&amp;VLOOKUP(S$87,'List Values'!$C$3:$D$6,2,FALSE)&amp;ROW(S281))="","",INDIRECT("'"&amp;S$86&amp;"'!"&amp;VLOOKUP(S$87,'List Values'!$C$3:$D$6,2,FALSE)&amp;ROW(S281))),IF(S$86&lt;&gt;"","Data Source Error",""))))</f>
        <v/>
      </c>
      <c r="V281" s="624"/>
      <c r="W281" s="947" t="str">
        <f ca="1">IF(OR($H$7&lt;6,W$260&lt;1),"",IF(V281&lt;&gt;"",V281,IFERROR(IF(INDIRECT("'"&amp;V$86&amp;"'!"&amp;VLOOKUP(V$87,'List Values'!$C$3:$D$6,2,FALSE)&amp;ROW(V281))="","",INDIRECT("'"&amp;V$86&amp;"'!"&amp;VLOOKUP(V$87,'List Values'!$C$3:$D$6,2,FALSE)&amp;ROW(V281))),IF(V$86&lt;&gt;"","Data Source Error",""))))</f>
        <v/>
      </c>
      <c r="Y281" s="2643"/>
      <c r="Z281" s="2644"/>
      <c r="AA281" s="2644"/>
      <c r="AB281" s="2645"/>
    </row>
    <row r="282" spans="1:28" ht="21" customHeight="1" collapsed="1">
      <c r="A282" s="808"/>
      <c r="B282" s="2049" t="s">
        <v>620</v>
      </c>
      <c r="C282" s="604"/>
      <c r="D282" s="604"/>
      <c r="E282" s="614"/>
      <c r="F282" s="608"/>
      <c r="G282" s="615"/>
      <c r="H282" s="611"/>
      <c r="I282" s="608"/>
      <c r="J282" s="610"/>
      <c r="K282" s="970"/>
      <c r="L282" s="608"/>
      <c r="M282" s="610"/>
      <c r="N282" s="970"/>
      <c r="O282" s="608"/>
      <c r="P282" s="610"/>
      <c r="Q282" s="970"/>
      <c r="R282" s="608"/>
      <c r="S282" s="610"/>
      <c r="T282" s="970"/>
      <c r="U282" s="608"/>
      <c r="V282" s="610"/>
      <c r="W282" s="970"/>
      <c r="Y282" s="631"/>
      <c r="Z282" s="631"/>
      <c r="AA282" s="631"/>
      <c r="AB282" s="631"/>
    </row>
    <row r="283" spans="1:28" ht="15.75" hidden="1" customHeight="1" outlineLevel="1">
      <c r="A283" s="513"/>
      <c r="B283" s="2051"/>
      <c r="C283" s="2580" t="s">
        <v>625</v>
      </c>
      <c r="D283" s="2580"/>
      <c r="E283" s="202"/>
      <c r="F283" s="202"/>
      <c r="G283" s="634"/>
      <c r="H283" s="635"/>
      <c r="I283" s="183"/>
      <c r="J283" s="628"/>
      <c r="K283" s="967" t="str">
        <f ca="1">IF(OR($H$7&lt;2,K$260&lt;2),"",IF(J283&lt;&gt;"",J283,IFERROR(IF(INDIRECT("'"&amp;J$86&amp;"'!"&amp;VLOOKUP(J$87,'List Values'!$C$3:$D$6,2,FALSE)&amp;ROW(J283))="","",INDIRECT("'"&amp;J$86&amp;"'!"&amp;VLOOKUP(J$87,'List Values'!$C$3:$D$6,2,FALSE)&amp;ROW(J283))),IF(J$86&lt;&gt;"","Data Source Error",""))))</f>
        <v/>
      </c>
      <c r="L283" s="629"/>
      <c r="M283" s="628"/>
      <c r="N283" s="967" t="str">
        <f ca="1">IF(OR($H$7&lt;3,N$260&lt;2),"",IF(M283&lt;&gt;"",M283,IFERROR(IF(INDIRECT("'"&amp;M$86&amp;"'!"&amp;VLOOKUP(M$87,'List Values'!$C$3:$D$6,2,FALSE)&amp;ROW(M283))="","",INDIRECT("'"&amp;M$86&amp;"'!"&amp;VLOOKUP(M$87,'List Values'!$C$3:$D$6,2,FALSE)&amp;ROW(M283))),IF(M$86&lt;&gt;"","Data Source Error",""))))</f>
        <v/>
      </c>
      <c r="O283" s="629"/>
      <c r="P283" s="628"/>
      <c r="Q283" s="967" t="str">
        <f ca="1">IF(OR($H$7&lt;4,Q$260&lt;2),"",IF(P283&lt;&gt;"",P283,IFERROR(IF(INDIRECT("'"&amp;P$86&amp;"'!"&amp;VLOOKUP(P$87,'List Values'!$C$3:$D$6,2,FALSE)&amp;ROW(P283))="","",INDIRECT("'"&amp;P$86&amp;"'!"&amp;VLOOKUP(P$87,'List Values'!$C$3:$D$6,2,FALSE)&amp;ROW(P283))),IF(P$86&lt;&gt;"","Data Source Error",""))))</f>
        <v/>
      </c>
      <c r="R283" s="147"/>
      <c r="S283" s="628"/>
      <c r="T283" s="967" t="str">
        <f ca="1">IF(OR($H$7&lt;5,T$260&lt;2),"",IF(S283&lt;&gt;"",S283,IFERROR(IF(INDIRECT("'"&amp;S$86&amp;"'!"&amp;VLOOKUP(S$87,'List Values'!$C$3:$D$6,2,FALSE)&amp;ROW(S283))="","",INDIRECT("'"&amp;S$86&amp;"'!"&amp;VLOOKUP(S$87,'List Values'!$C$3:$D$6,2,FALSE)&amp;ROW(S283))),IF(S$86&lt;&gt;"","Data Source Error",""))))</f>
        <v/>
      </c>
      <c r="U283" s="147"/>
      <c r="V283" s="628"/>
      <c r="W283" s="973" t="str">
        <f ca="1">IF(OR($H$7&lt;6,W$260&lt;2),"",IF(V283&lt;&gt;"",V283,IFERROR(IF(INDIRECT("'"&amp;V$86&amp;"'!"&amp;VLOOKUP(V$87,'List Values'!$C$3:$D$6,2,FALSE)&amp;ROW(V283))="","",INDIRECT("'"&amp;V$86&amp;"'!"&amp;VLOOKUP(V$87,'List Values'!$C$3:$D$6,2,FALSE)&amp;ROW(V283))),IF(V$86&lt;&gt;"","Data Source Error",""))))</f>
        <v/>
      </c>
      <c r="Y283" s="2643"/>
      <c r="Z283" s="2644"/>
      <c r="AA283" s="2644"/>
      <c r="AB283" s="2645"/>
    </row>
    <row r="284" spans="1:28" ht="15.75" hidden="1" customHeight="1" outlineLevel="1">
      <c r="A284" s="513"/>
      <c r="B284" s="2051"/>
      <c r="C284" s="2680" t="s">
        <v>626</v>
      </c>
      <c r="D284" s="2680"/>
      <c r="E284" s="2041"/>
      <c r="F284" s="2041"/>
      <c r="G284" s="636"/>
      <c r="H284" s="637"/>
      <c r="I284" s="187"/>
      <c r="J284" s="526"/>
      <c r="K284" s="900" t="str">
        <f ca="1">IF(OR($H$7&lt;2,K$260&lt;2),"",IF(J284&lt;&gt;"",J284,IFERROR(IF(INDIRECT("'"&amp;J$86&amp;"'!"&amp;VLOOKUP(J$87,'List Values'!$C$3:$D$6,2,FALSE)&amp;ROW(J284))="","",INDIRECT("'"&amp;J$86&amp;"'!"&amp;VLOOKUP(J$87,'List Values'!$C$3:$D$6,2,FALSE)&amp;ROW(J284))),IF(J$86&lt;&gt;"","Data Source Error",""))))</f>
        <v/>
      </c>
      <c r="L284" s="187"/>
      <c r="M284" s="526"/>
      <c r="N284" s="900" t="str">
        <f ca="1">IF(OR($H$7&lt;3,N$260&lt;2),"",IF(M284&lt;&gt;"",M284,IFERROR(IF(INDIRECT("'"&amp;M$86&amp;"'!"&amp;VLOOKUP(M$87,'List Values'!$C$3:$D$6,2,FALSE)&amp;ROW(M284))="","",INDIRECT("'"&amp;M$86&amp;"'!"&amp;VLOOKUP(M$87,'List Values'!$C$3:$D$6,2,FALSE)&amp;ROW(M284))),IF(M$86&lt;&gt;"","Data Source Error",""))))</f>
        <v/>
      </c>
      <c r="O284" s="187"/>
      <c r="P284" s="526"/>
      <c r="Q284" s="900" t="str">
        <f ca="1">IF(OR($H$7&lt;4,Q$260&lt;2),"",IF(P284&lt;&gt;"",P284,IFERROR(IF(INDIRECT("'"&amp;P$86&amp;"'!"&amp;VLOOKUP(P$87,'List Values'!$C$3:$D$6,2,FALSE)&amp;ROW(P284))="","",INDIRECT("'"&amp;P$86&amp;"'!"&amp;VLOOKUP(P$87,'List Values'!$C$3:$D$6,2,FALSE)&amp;ROW(P284))),IF(P$86&lt;&gt;"","Data Source Error",""))))</f>
        <v/>
      </c>
      <c r="S284" s="526"/>
      <c r="T284" s="900" t="str">
        <f ca="1">IF(OR($H$7&lt;5,T$260&lt;2),"",IF(S284&lt;&gt;"",S284,IFERROR(IF(INDIRECT("'"&amp;S$86&amp;"'!"&amp;VLOOKUP(S$87,'List Values'!$C$3:$D$6,2,FALSE)&amp;ROW(S284))="","",INDIRECT("'"&amp;S$86&amp;"'!"&amp;VLOOKUP(S$87,'List Values'!$C$3:$D$6,2,FALSE)&amp;ROW(S284))),IF(S$86&lt;&gt;"","Data Source Error",""))))</f>
        <v/>
      </c>
      <c r="V284" s="526"/>
      <c r="W284" s="911" t="str">
        <f ca="1">IF(OR($H$7&lt;6,W$260&lt;2),"",IF(V284&lt;&gt;"",V284,IFERROR(IF(INDIRECT("'"&amp;V$86&amp;"'!"&amp;VLOOKUP(V$87,'List Values'!$C$3:$D$6,2,FALSE)&amp;ROW(V284))="","",INDIRECT("'"&amp;V$86&amp;"'!"&amp;VLOOKUP(V$87,'List Values'!$C$3:$D$6,2,FALSE)&amp;ROW(V284))),IF(V$86&lt;&gt;"","Data Source Error",""))))</f>
        <v/>
      </c>
      <c r="Y284" s="2643"/>
      <c r="Z284" s="2644"/>
      <c r="AA284" s="2644"/>
      <c r="AB284" s="2645"/>
    </row>
    <row r="285" spans="1:28" ht="31" hidden="1" customHeight="1" outlineLevel="1">
      <c r="A285" s="513"/>
      <c r="B285" s="2051"/>
      <c r="C285" s="2680" t="s">
        <v>627</v>
      </c>
      <c r="D285" s="2680"/>
      <c r="E285" s="2041"/>
      <c r="F285" s="2041"/>
      <c r="G285" s="636"/>
      <c r="H285" s="637"/>
      <c r="I285" s="187"/>
      <c r="J285" s="561"/>
      <c r="K285" s="900" t="str">
        <f ca="1">IF(OR($H$7&lt;2,K$260&lt;2),"",IF(J285&lt;&gt;"",J285,IFERROR(IF(INDIRECT("'"&amp;J$86&amp;"'!"&amp;VLOOKUP(J$87,'List Values'!$C$3:$D$6,2,FALSE)&amp;ROW(J285))="","",INDIRECT("'"&amp;J$86&amp;"'!"&amp;VLOOKUP(J$87,'List Values'!$C$3:$D$6,2,FALSE)&amp;ROW(J285))),IF(J$86&lt;&gt;"","Data Source Error",""))))</f>
        <v/>
      </c>
      <c r="L285" s="187"/>
      <c r="M285" s="561"/>
      <c r="N285" s="900" t="str">
        <f ca="1">IF(OR($H$7&lt;3,N$260&lt;2),"",IF(M285&lt;&gt;"",M285,IFERROR(IF(INDIRECT("'"&amp;M$86&amp;"'!"&amp;VLOOKUP(M$87,'List Values'!$C$3:$D$6,2,FALSE)&amp;ROW(M285))="","",INDIRECT("'"&amp;M$86&amp;"'!"&amp;VLOOKUP(M$87,'List Values'!$C$3:$D$6,2,FALSE)&amp;ROW(M285))),IF(M$86&lt;&gt;"","Data Source Error",""))))</f>
        <v/>
      </c>
      <c r="O285" s="187"/>
      <c r="P285" s="561"/>
      <c r="Q285" s="900" t="str">
        <f ca="1">IF(OR($H$7&lt;4,Q$260&lt;2),"",IF(P285&lt;&gt;"",P285,IFERROR(IF(INDIRECT("'"&amp;P$86&amp;"'!"&amp;VLOOKUP(P$87,'List Values'!$C$3:$D$6,2,FALSE)&amp;ROW(P285))="","",INDIRECT("'"&amp;P$86&amp;"'!"&amp;VLOOKUP(P$87,'List Values'!$C$3:$D$6,2,FALSE)&amp;ROW(P285))),IF(P$86&lt;&gt;"","Data Source Error",""))))</f>
        <v/>
      </c>
      <c r="S285" s="561"/>
      <c r="T285" s="900" t="str">
        <f ca="1">IF(OR($H$7&lt;5,T$260&lt;2),"",IF(S285&lt;&gt;"",S285,IFERROR(IF(INDIRECT("'"&amp;S$86&amp;"'!"&amp;VLOOKUP(S$87,'List Values'!$C$3:$D$6,2,FALSE)&amp;ROW(S285))="","",INDIRECT("'"&amp;S$86&amp;"'!"&amp;VLOOKUP(S$87,'List Values'!$C$3:$D$6,2,FALSE)&amp;ROW(S285))),IF(S$86&lt;&gt;"","Data Source Error",""))))</f>
        <v/>
      </c>
      <c r="V285" s="561"/>
      <c r="W285" s="911" t="str">
        <f ca="1">IF(OR($H$7&lt;6,W$260&lt;2),"",IF(V285&lt;&gt;"",V285,IFERROR(IF(INDIRECT("'"&amp;V$86&amp;"'!"&amp;VLOOKUP(V$87,'List Values'!$C$3:$D$6,2,FALSE)&amp;ROW(V285))="","",INDIRECT("'"&amp;V$86&amp;"'!"&amp;VLOOKUP(V$87,'List Values'!$C$3:$D$6,2,FALSE)&amp;ROW(V285))),IF(V$86&lt;&gt;"","Data Source Error",""))))</f>
        <v/>
      </c>
      <c r="Y285" s="2643"/>
      <c r="Z285" s="2644"/>
      <c r="AA285" s="2644"/>
      <c r="AB285" s="2645"/>
    </row>
    <row r="286" spans="1:28" ht="31" hidden="1" customHeight="1" outlineLevel="1">
      <c r="A286" s="513"/>
      <c r="B286" s="2051"/>
      <c r="C286" s="2684" t="s">
        <v>628</v>
      </c>
      <c r="D286" s="2684"/>
      <c r="E286" s="2041"/>
      <c r="F286" s="2041"/>
      <c r="G286" s="636"/>
      <c r="H286" s="637"/>
      <c r="I286" s="187"/>
      <c r="J286" s="526"/>
      <c r="K286" s="900" t="str">
        <f ca="1">IF(OR($H$7&lt;2,K$260&lt;2),"",IF(J286&lt;&gt;"",J286,IFERROR(IF(INDIRECT("'"&amp;J$86&amp;"'!"&amp;VLOOKUP(J$87,'List Values'!$C$3:$D$6,2,FALSE)&amp;ROW(J286))="","",INDIRECT("'"&amp;J$86&amp;"'!"&amp;VLOOKUP(J$87,'List Values'!$C$3:$D$6,2,FALSE)&amp;ROW(J286))),IF(J$86&lt;&gt;"","Data Source Error",""))))</f>
        <v/>
      </c>
      <c r="L286" s="187"/>
      <c r="M286" s="526"/>
      <c r="N286" s="900" t="str">
        <f ca="1">IF(OR($H$7&lt;3,N$260&lt;2),"",IF(M286&lt;&gt;"",M286,IFERROR(IF(INDIRECT("'"&amp;M$86&amp;"'!"&amp;VLOOKUP(M$87,'List Values'!$C$3:$D$6,2,FALSE)&amp;ROW(M286))="","",INDIRECT("'"&amp;M$86&amp;"'!"&amp;VLOOKUP(M$87,'List Values'!$C$3:$D$6,2,FALSE)&amp;ROW(M286))),IF(M$86&lt;&gt;"","Data Source Error",""))))</f>
        <v/>
      </c>
      <c r="O286" s="187"/>
      <c r="P286" s="526"/>
      <c r="Q286" s="900" t="str">
        <f ca="1">IF(OR($H$7&lt;4,Q$260&lt;2),"",IF(P286&lt;&gt;"",P286,IFERROR(IF(INDIRECT("'"&amp;P$86&amp;"'!"&amp;VLOOKUP(P$87,'List Values'!$C$3:$D$6,2,FALSE)&amp;ROW(P286))="","",INDIRECT("'"&amp;P$86&amp;"'!"&amp;VLOOKUP(P$87,'List Values'!$C$3:$D$6,2,FALSE)&amp;ROW(P286))),IF(P$86&lt;&gt;"","Data Source Error",""))))</f>
        <v/>
      </c>
      <c r="S286" s="526"/>
      <c r="T286" s="900" t="str">
        <f ca="1">IF(OR($H$7&lt;5,T$260&lt;2),"",IF(S286&lt;&gt;"",S286,IFERROR(IF(INDIRECT("'"&amp;S$86&amp;"'!"&amp;VLOOKUP(S$87,'List Values'!$C$3:$D$6,2,FALSE)&amp;ROW(S286))="","",INDIRECT("'"&amp;S$86&amp;"'!"&amp;VLOOKUP(S$87,'List Values'!$C$3:$D$6,2,FALSE)&amp;ROW(S286))),IF(S$86&lt;&gt;"","Data Source Error",""))))</f>
        <v/>
      </c>
      <c r="V286" s="526"/>
      <c r="W286" s="911" t="str">
        <f ca="1">IF(OR($H$7&lt;6,W$260&lt;2),"",IF(V286&lt;&gt;"",V286,IFERROR(IF(INDIRECT("'"&amp;V$86&amp;"'!"&amp;VLOOKUP(V$87,'List Values'!$C$3:$D$6,2,FALSE)&amp;ROW(V286))="","",INDIRECT("'"&amp;V$86&amp;"'!"&amp;VLOOKUP(V$87,'List Values'!$C$3:$D$6,2,FALSE)&amp;ROW(V286))),IF(V$86&lt;&gt;"","Data Source Error",""))))</f>
        <v/>
      </c>
      <c r="Y286" s="2643"/>
      <c r="Z286" s="2644"/>
      <c r="AA286" s="2644"/>
      <c r="AB286" s="2645"/>
    </row>
    <row r="287" spans="1:28" ht="33" hidden="1" customHeight="1" outlineLevel="1">
      <c r="A287" s="513"/>
      <c r="B287" s="2051"/>
      <c r="C287" s="2684" t="s">
        <v>629</v>
      </c>
      <c r="D287" s="2684"/>
      <c r="E287" s="2041"/>
      <c r="F287" s="2041"/>
      <c r="G287" s="636"/>
      <c r="H287" s="637"/>
      <c r="I287" s="187"/>
      <c r="J287" s="568"/>
      <c r="K287" s="945" t="str">
        <f ca="1">IF(OR($H$7&lt;2,K$260&lt;2),"",IF(J287&lt;&gt;"",J287,IFERROR(IF(INDIRECT("'"&amp;J$86&amp;"'!"&amp;VLOOKUP(J$87,'List Values'!$C$3:$D$6,2,FALSE)&amp;ROW(J287))="","",INDIRECT("'"&amp;J$86&amp;"'!"&amp;VLOOKUP(J$87,'List Values'!$C$3:$D$6,2,FALSE)&amp;ROW(J287))),IF(J$86&lt;&gt;"","Data Source Error",""))))</f>
        <v/>
      </c>
      <c r="L287" s="339"/>
      <c r="M287" s="568"/>
      <c r="N287" s="945" t="str">
        <f ca="1">IF(OR($H$7&lt;3,N$260&lt;2),"",IF(M287&lt;&gt;"",M287,IFERROR(IF(INDIRECT("'"&amp;M$86&amp;"'!"&amp;VLOOKUP(M$87,'List Values'!$C$3:$D$6,2,FALSE)&amp;ROW(M287))="","",INDIRECT("'"&amp;M$86&amp;"'!"&amp;VLOOKUP(M$87,'List Values'!$C$3:$D$6,2,FALSE)&amp;ROW(M287))),IF(M$86&lt;&gt;"","Data Source Error",""))))</f>
        <v/>
      </c>
      <c r="O287" s="339"/>
      <c r="P287" s="568"/>
      <c r="Q287" s="945" t="str">
        <f ca="1">IF(OR($H$7&lt;4,Q$260&lt;2),"",IF(P287&lt;&gt;"",P287,IFERROR(IF(INDIRECT("'"&amp;P$86&amp;"'!"&amp;VLOOKUP(P$87,'List Values'!$C$3:$D$6,2,FALSE)&amp;ROW(P287))="","",INDIRECT("'"&amp;P$86&amp;"'!"&amp;VLOOKUP(P$87,'List Values'!$C$3:$D$6,2,FALSE)&amp;ROW(P287))),IF(P$86&lt;&gt;"","Data Source Error",""))))</f>
        <v/>
      </c>
      <c r="R287" s="7"/>
      <c r="S287" s="568"/>
      <c r="T287" s="945" t="str">
        <f ca="1">IF(OR($H$7&lt;5,T$260&lt;2),"",IF(S287&lt;&gt;"",S287,IFERROR(IF(INDIRECT("'"&amp;S$86&amp;"'!"&amp;VLOOKUP(S$87,'List Values'!$C$3:$D$6,2,FALSE)&amp;ROW(S287))="","",INDIRECT("'"&amp;S$86&amp;"'!"&amp;VLOOKUP(S$87,'List Values'!$C$3:$D$6,2,FALSE)&amp;ROW(S287))),IF(S$86&lt;&gt;"","Data Source Error",""))))</f>
        <v/>
      </c>
      <c r="U287" s="7"/>
      <c r="V287" s="568"/>
      <c r="W287" s="952" t="str">
        <f ca="1">IF(OR($H$7&lt;6,W$260&lt;2),"",IF(V287&lt;&gt;"",V287,IFERROR(IF(INDIRECT("'"&amp;V$86&amp;"'!"&amp;VLOOKUP(V$87,'List Values'!$C$3:$D$6,2,FALSE)&amp;ROW(V287))="","",INDIRECT("'"&amp;V$86&amp;"'!"&amp;VLOOKUP(V$87,'List Values'!$C$3:$D$6,2,FALSE)&amp;ROW(V287))),IF(V$86&lt;&gt;"","Data Source Error",""))))</f>
        <v/>
      </c>
      <c r="Y287" s="2643"/>
      <c r="Z287" s="2644"/>
      <c r="AA287" s="2644"/>
      <c r="AB287" s="2645"/>
    </row>
    <row r="288" spans="1:28" ht="15.75" hidden="1" customHeight="1" outlineLevel="1">
      <c r="A288" s="513"/>
      <c r="B288" s="2051"/>
      <c r="C288" s="2680" t="s">
        <v>630</v>
      </c>
      <c r="D288" s="2680"/>
      <c r="E288" s="2041"/>
      <c r="F288" s="2041"/>
      <c r="G288" s="636"/>
      <c r="H288" s="637"/>
      <c r="I288" s="187"/>
      <c r="J288" s="526"/>
      <c r="K288" s="900" t="str">
        <f ca="1">IF(OR($H$7&lt;2,K$260&lt;2),"",IF(J288&lt;&gt;"",J288,IFERROR(IF(INDIRECT("'"&amp;J$86&amp;"'!"&amp;VLOOKUP(J$87,'List Values'!$C$3:$D$6,2,FALSE)&amp;ROW(J288))="","",INDIRECT("'"&amp;J$86&amp;"'!"&amp;VLOOKUP(J$87,'List Values'!$C$3:$D$6,2,FALSE)&amp;ROW(J288))),IF(J$86&lt;&gt;"","Data Source Error",""))))</f>
        <v/>
      </c>
      <c r="L288" s="187"/>
      <c r="M288" s="526"/>
      <c r="N288" s="900" t="str">
        <f ca="1">IF(OR($H$7&lt;3,N$260&lt;2),"",IF(M288&lt;&gt;"",M288,IFERROR(IF(INDIRECT("'"&amp;M$86&amp;"'!"&amp;VLOOKUP(M$87,'List Values'!$C$3:$D$6,2,FALSE)&amp;ROW(M288))="","",INDIRECT("'"&amp;M$86&amp;"'!"&amp;VLOOKUP(M$87,'List Values'!$C$3:$D$6,2,FALSE)&amp;ROW(M288))),IF(M$86&lt;&gt;"","Data Source Error",""))))</f>
        <v/>
      </c>
      <c r="O288" s="187"/>
      <c r="P288" s="526"/>
      <c r="Q288" s="900" t="str">
        <f ca="1">IF(OR($H$7&lt;4,Q$260&lt;2),"",IF(P288&lt;&gt;"",P288,IFERROR(IF(INDIRECT("'"&amp;P$86&amp;"'!"&amp;VLOOKUP(P$87,'List Values'!$C$3:$D$6,2,FALSE)&amp;ROW(P288))="","",INDIRECT("'"&amp;P$86&amp;"'!"&amp;VLOOKUP(P$87,'List Values'!$C$3:$D$6,2,FALSE)&amp;ROW(P288))),IF(P$86&lt;&gt;"","Data Source Error",""))))</f>
        <v/>
      </c>
      <c r="S288" s="526"/>
      <c r="T288" s="900" t="str">
        <f ca="1">IF(OR($H$7&lt;5,T$260&lt;2),"",IF(S288&lt;&gt;"",S288,IFERROR(IF(INDIRECT("'"&amp;S$86&amp;"'!"&amp;VLOOKUP(S$87,'List Values'!$C$3:$D$6,2,FALSE)&amp;ROW(S288))="","",INDIRECT("'"&amp;S$86&amp;"'!"&amp;VLOOKUP(S$87,'List Values'!$C$3:$D$6,2,FALSE)&amp;ROW(S288))),IF(S$86&lt;&gt;"","Data Source Error",""))))</f>
        <v/>
      </c>
      <c r="V288" s="526"/>
      <c r="W288" s="911" t="str">
        <f ca="1">IF(OR($H$7&lt;6,W$260&lt;2),"",IF(V288&lt;&gt;"",V288,IFERROR(IF(INDIRECT("'"&amp;V$86&amp;"'!"&amp;VLOOKUP(V$87,'List Values'!$C$3:$D$6,2,FALSE)&amp;ROW(V288))="","",INDIRECT("'"&amp;V$86&amp;"'!"&amp;VLOOKUP(V$87,'List Values'!$C$3:$D$6,2,FALSE)&amp;ROW(V288))),IF(V$86&lt;&gt;"","Data Source Error",""))))</f>
        <v/>
      </c>
      <c r="Y288" s="2643"/>
      <c r="Z288" s="2644"/>
      <c r="AA288" s="2644"/>
      <c r="AB288" s="2645"/>
    </row>
    <row r="289" spans="1:28" ht="31" hidden="1" customHeight="1" outlineLevel="1">
      <c r="A289" s="513"/>
      <c r="B289" s="2051"/>
      <c r="C289" s="2684" t="s">
        <v>634</v>
      </c>
      <c r="D289" s="2684"/>
      <c r="E289" s="202"/>
      <c r="F289" s="202"/>
      <c r="G289" s="634"/>
      <c r="H289" s="635"/>
      <c r="I289" s="183"/>
      <c r="J289" s="553"/>
      <c r="K289" s="897" t="str">
        <f ca="1">IF(OR($H$7&lt;2,K$260&lt;2),"",IF(J289&lt;&gt;"",J289,IFERROR(IF(INDIRECT("'"&amp;J$86&amp;"'!"&amp;VLOOKUP(J$87,'List Values'!$C$3:$D$6,2,FALSE)&amp;ROW(J289))="","",INDIRECT("'"&amp;J$86&amp;"'!"&amp;VLOOKUP(J$87,'List Values'!$C$3:$D$6,2,FALSE)&amp;ROW(J289))),IF(J$86&lt;&gt;"","Data Source Error",""))))</f>
        <v/>
      </c>
      <c r="L289" s="183"/>
      <c r="M289" s="553"/>
      <c r="N289" s="897" t="str">
        <f ca="1">IF(OR($H$7&lt;3,N$260&lt;2),"",IF(M289&lt;&gt;"",M289,IFERROR(IF(INDIRECT("'"&amp;M$86&amp;"'!"&amp;VLOOKUP(M$87,'List Values'!$C$3:$D$6,2,FALSE)&amp;ROW(M289))="","",INDIRECT("'"&amp;M$86&amp;"'!"&amp;VLOOKUP(M$87,'List Values'!$C$3:$D$6,2,FALSE)&amp;ROW(M289))),IF(M$86&lt;&gt;"","Data Source Error",""))))</f>
        <v/>
      </c>
      <c r="O289" s="183"/>
      <c r="P289" s="553"/>
      <c r="Q289" s="897" t="str">
        <f ca="1">IF(OR($H$7&lt;4,Q$260&lt;2),"",IF(P289&lt;&gt;"",P289,IFERROR(IF(INDIRECT("'"&amp;P$86&amp;"'!"&amp;VLOOKUP(P$87,'List Values'!$C$3:$D$6,2,FALSE)&amp;ROW(P289))="","",INDIRECT("'"&amp;P$86&amp;"'!"&amp;VLOOKUP(P$87,'List Values'!$C$3:$D$6,2,FALSE)&amp;ROW(P289))),IF(P$86&lt;&gt;"","Data Source Error",""))))</f>
        <v/>
      </c>
      <c r="S289" s="553"/>
      <c r="T289" s="897" t="str">
        <f ca="1">IF(OR($H$7&lt;5,T$260&lt;2),"",IF(S289&lt;&gt;"",S289,IFERROR(IF(INDIRECT("'"&amp;S$86&amp;"'!"&amp;VLOOKUP(S$87,'List Values'!$C$3:$D$6,2,FALSE)&amp;ROW(S289))="","",INDIRECT("'"&amp;S$86&amp;"'!"&amp;VLOOKUP(S$87,'List Values'!$C$3:$D$6,2,FALSE)&amp;ROW(S289))),IF(S$86&lt;&gt;"","Data Source Error",""))))</f>
        <v/>
      </c>
      <c r="V289" s="553"/>
      <c r="W289" s="908" t="str">
        <f ca="1">IF(OR($H$7&lt;6,W$260&lt;2),"",IF(V289&lt;&gt;"",V289,IFERROR(IF(INDIRECT("'"&amp;V$86&amp;"'!"&amp;VLOOKUP(V$87,'List Values'!$C$3:$D$6,2,FALSE)&amp;ROW(V289))="","",INDIRECT("'"&amp;V$86&amp;"'!"&amp;VLOOKUP(V$87,'List Values'!$C$3:$D$6,2,FALSE)&amp;ROW(V289))),IF(V$86&lt;&gt;"","Data Source Error",""))))</f>
        <v/>
      </c>
      <c r="Y289" s="2643"/>
      <c r="Z289" s="2644"/>
      <c r="AA289" s="2644"/>
      <c r="AB289" s="2645"/>
    </row>
    <row r="290" spans="1:28" ht="31" hidden="1" customHeight="1" outlineLevel="1">
      <c r="A290" s="513"/>
      <c r="B290" s="2051"/>
      <c r="C290" s="2680" t="s">
        <v>1551</v>
      </c>
      <c r="D290" s="2680"/>
      <c r="E290" s="2041"/>
      <c r="F290" s="2041"/>
      <c r="G290" s="636"/>
      <c r="H290" s="637"/>
      <c r="I290" s="187"/>
      <c r="J290" s="619"/>
      <c r="K290" s="898" t="str">
        <f ca="1">IF(OR($H$7&lt;2,K$260&lt;2),"",IF(J290&lt;&gt;"",J290,IFERROR(IF(INDIRECT("'"&amp;J$86&amp;"'!"&amp;VLOOKUP(J$87,'List Values'!$C$3:$D$6,2,FALSE)&amp;ROW(J290))="","",INDIRECT("'"&amp;J$86&amp;"'!"&amp;VLOOKUP(J$87,'List Values'!$C$3:$D$6,2,FALSE)&amp;ROW(J290))),IF(J$86&lt;&gt;"","Data Source Error",""))))</f>
        <v/>
      </c>
      <c r="L290" s="621"/>
      <c r="M290" s="619"/>
      <c r="N290" s="898" t="str">
        <f ca="1">IF(OR($H$7&lt;3,N$260&lt;2),"",IF(M290&lt;&gt;"",M290,IFERROR(IF(INDIRECT("'"&amp;M$86&amp;"'!"&amp;VLOOKUP(M$87,'List Values'!$C$3:$D$6,2,FALSE)&amp;ROW(M290))="","",INDIRECT("'"&amp;M$86&amp;"'!"&amp;VLOOKUP(M$87,'List Values'!$C$3:$D$6,2,FALSE)&amp;ROW(M290))),IF(M$86&lt;&gt;"","Data Source Error",""))))</f>
        <v/>
      </c>
      <c r="O290" s="621"/>
      <c r="P290" s="619"/>
      <c r="Q290" s="898" t="str">
        <f ca="1">IF(OR($H$7&lt;4,Q$260&lt;2),"",IF(P290&lt;&gt;"",P290,IFERROR(IF(INDIRECT("'"&amp;P$86&amp;"'!"&amp;VLOOKUP(P$87,'List Values'!$C$3:$D$6,2,FALSE)&amp;ROW(P290))="","",INDIRECT("'"&amp;P$86&amp;"'!"&amp;VLOOKUP(P$87,'List Values'!$C$3:$D$6,2,FALSE)&amp;ROW(P290))),IF(P$86&lt;&gt;"","Data Source Error",""))))</f>
        <v/>
      </c>
      <c r="R290" s="147"/>
      <c r="S290" s="619"/>
      <c r="T290" s="898" t="str">
        <f ca="1">IF(OR($H$7&lt;5,T$260&lt;2),"",IF(S290&lt;&gt;"",S290,IFERROR(IF(INDIRECT("'"&amp;S$86&amp;"'!"&amp;VLOOKUP(S$87,'List Values'!$C$3:$D$6,2,FALSE)&amp;ROW(S290))="","",INDIRECT("'"&amp;S$86&amp;"'!"&amp;VLOOKUP(S$87,'List Values'!$C$3:$D$6,2,FALSE)&amp;ROW(S290))),IF(S$86&lt;&gt;"","Data Source Error",""))))</f>
        <v/>
      </c>
      <c r="U290" s="147"/>
      <c r="V290" s="619"/>
      <c r="W290" s="909" t="str">
        <f ca="1">IF(OR($H$7&lt;6,W$260&lt;2),"",IF(V290&lt;&gt;"",V290,IFERROR(IF(INDIRECT("'"&amp;V$86&amp;"'!"&amp;VLOOKUP(V$87,'List Values'!$C$3:$D$6,2,FALSE)&amp;ROW(V290))="","",INDIRECT("'"&amp;V$86&amp;"'!"&amp;VLOOKUP(V$87,'List Values'!$C$3:$D$6,2,FALSE)&amp;ROW(V290))),IF(V$86&lt;&gt;"","Data Source Error",""))))</f>
        <v/>
      </c>
      <c r="Y290" s="2643"/>
      <c r="Z290" s="2644"/>
      <c r="AA290" s="2644"/>
      <c r="AB290" s="2645"/>
    </row>
    <row r="291" spans="1:28" ht="31" hidden="1" customHeight="1" outlineLevel="1">
      <c r="A291" s="513"/>
      <c r="B291" s="2051"/>
      <c r="C291" s="2680" t="s">
        <v>1552</v>
      </c>
      <c r="D291" s="2680"/>
      <c r="E291" s="2041"/>
      <c r="F291" s="2041"/>
      <c r="G291" s="636"/>
      <c r="H291" s="637"/>
      <c r="I291" s="187"/>
      <c r="J291" s="619"/>
      <c r="K291" s="898" t="str">
        <f ca="1">IF(OR($H$7&lt;2,K$260&lt;2),"",IF(J291&lt;&gt;"",J291,IFERROR(IF(INDIRECT("'"&amp;J$86&amp;"'!"&amp;VLOOKUP(J$87,'List Values'!$C$3:$D$6,2,FALSE)&amp;ROW(J291))="","",INDIRECT("'"&amp;J$86&amp;"'!"&amp;VLOOKUP(J$87,'List Values'!$C$3:$D$6,2,FALSE)&amp;ROW(J291))),IF(J$86&lt;&gt;"","Data Source Error",""))))</f>
        <v/>
      </c>
      <c r="L291" s="621"/>
      <c r="M291" s="619"/>
      <c r="N291" s="898" t="str">
        <f ca="1">IF(OR($H$7&lt;3,N$260&lt;2),"",IF(M291&lt;&gt;"",M291,IFERROR(IF(INDIRECT("'"&amp;M$86&amp;"'!"&amp;VLOOKUP(M$87,'List Values'!$C$3:$D$6,2,FALSE)&amp;ROW(M291))="","",INDIRECT("'"&amp;M$86&amp;"'!"&amp;VLOOKUP(M$87,'List Values'!$C$3:$D$6,2,FALSE)&amp;ROW(M291))),IF(M$86&lt;&gt;"","Data Source Error",""))))</f>
        <v/>
      </c>
      <c r="O291" s="621"/>
      <c r="P291" s="619"/>
      <c r="Q291" s="898" t="str">
        <f ca="1">IF(OR($H$7&lt;4,Q$260&lt;2),"",IF(P291&lt;&gt;"",P291,IFERROR(IF(INDIRECT("'"&amp;P$86&amp;"'!"&amp;VLOOKUP(P$87,'List Values'!$C$3:$D$6,2,FALSE)&amp;ROW(P291))="","",INDIRECT("'"&amp;P$86&amp;"'!"&amp;VLOOKUP(P$87,'List Values'!$C$3:$D$6,2,FALSE)&amp;ROW(P291))),IF(P$86&lt;&gt;"","Data Source Error",""))))</f>
        <v/>
      </c>
      <c r="R291" s="147"/>
      <c r="S291" s="619"/>
      <c r="T291" s="898" t="str">
        <f ca="1">IF(OR($H$7&lt;5,T$260&lt;2),"",IF(S291&lt;&gt;"",S291,IFERROR(IF(INDIRECT("'"&amp;S$86&amp;"'!"&amp;VLOOKUP(S$87,'List Values'!$C$3:$D$6,2,FALSE)&amp;ROW(S291))="","",INDIRECT("'"&amp;S$86&amp;"'!"&amp;VLOOKUP(S$87,'List Values'!$C$3:$D$6,2,FALSE)&amp;ROW(S291))),IF(S$86&lt;&gt;"","Data Source Error",""))))</f>
        <v/>
      </c>
      <c r="U291" s="147"/>
      <c r="V291" s="619"/>
      <c r="W291" s="909" t="str">
        <f ca="1">IF(OR($H$7&lt;6,W$260&lt;2),"",IF(V291&lt;&gt;"",V291,IFERROR(IF(INDIRECT("'"&amp;V$86&amp;"'!"&amp;VLOOKUP(V$87,'List Values'!$C$3:$D$6,2,FALSE)&amp;ROW(V291))="","",INDIRECT("'"&amp;V$86&amp;"'!"&amp;VLOOKUP(V$87,'List Values'!$C$3:$D$6,2,FALSE)&amp;ROW(V291))),IF(V$86&lt;&gt;"","Data Source Error",""))))</f>
        <v/>
      </c>
      <c r="Y291" s="2643"/>
      <c r="Z291" s="2644"/>
      <c r="AA291" s="2644"/>
      <c r="AB291" s="2645"/>
    </row>
    <row r="292" spans="1:28" ht="33" hidden="1" customHeight="1" outlineLevel="1">
      <c r="A292" s="513"/>
      <c r="B292" s="2051"/>
      <c r="C292" s="2680" t="s">
        <v>331</v>
      </c>
      <c r="D292" s="2680"/>
      <c r="E292" s="2041"/>
      <c r="F292" s="2041"/>
      <c r="G292" s="636"/>
      <c r="H292" s="637"/>
      <c r="I292" s="187"/>
      <c r="J292" s="526"/>
      <c r="K292" s="935" t="str">
        <f ca="1">IF(OR($H$7&lt;2,K$260&lt;2),"",IF(J292&lt;&gt;"",J292,IFERROR(IF(INDIRECT("'"&amp;J$86&amp;"'!"&amp;VLOOKUP(J$87,'List Values'!$C$3:$D$6,2,FALSE)&amp;ROW(J292))="","",INDIRECT("'"&amp;J$86&amp;"'!"&amp;VLOOKUP(J$87,'List Values'!$C$3:$D$6,2,FALSE)&amp;ROW(J292))),IF(J$86&lt;&gt;"","Data Source Error",""))))</f>
        <v/>
      </c>
      <c r="L292" s="187"/>
      <c r="M292" s="526"/>
      <c r="N292" s="900" t="str">
        <f ca="1">IF(OR($H$7&lt;3,N$260&lt;2),"",IF(M292&lt;&gt;"",M292,IFERROR(IF(INDIRECT("'"&amp;M$86&amp;"'!"&amp;VLOOKUP(M$87,'List Values'!$C$3:$D$6,2,FALSE)&amp;ROW(M292))="","",INDIRECT("'"&amp;M$86&amp;"'!"&amp;VLOOKUP(M$87,'List Values'!$C$3:$D$6,2,FALSE)&amp;ROW(M292))),IF(M$86&lt;&gt;"","Data Source Error",""))))</f>
        <v/>
      </c>
      <c r="O292" s="187"/>
      <c r="P292" s="526"/>
      <c r="Q292" s="900" t="str">
        <f ca="1">IF(OR($H$7&lt;4,Q$260&lt;2),"",IF(P292&lt;&gt;"",P292,IFERROR(IF(INDIRECT("'"&amp;P$86&amp;"'!"&amp;VLOOKUP(P$87,'List Values'!$C$3:$D$6,2,FALSE)&amp;ROW(P292))="","",INDIRECT("'"&amp;P$86&amp;"'!"&amp;VLOOKUP(P$87,'List Values'!$C$3:$D$6,2,FALSE)&amp;ROW(P292))),IF(P$86&lt;&gt;"","Data Source Error",""))))</f>
        <v/>
      </c>
      <c r="S292" s="526"/>
      <c r="T292" s="900" t="str">
        <f ca="1">IF(OR($H$7&lt;5,T$260&lt;2),"",IF(S292&lt;&gt;"",S292,IFERROR(IF(INDIRECT("'"&amp;S$86&amp;"'!"&amp;VLOOKUP(S$87,'List Values'!$C$3:$D$6,2,FALSE)&amp;ROW(S292))="","",INDIRECT("'"&amp;S$86&amp;"'!"&amp;VLOOKUP(S$87,'List Values'!$C$3:$D$6,2,FALSE)&amp;ROW(S292))),IF(S$86&lt;&gt;"","Data Source Error",""))))</f>
        <v/>
      </c>
      <c r="V292" s="526"/>
      <c r="W292" s="911" t="str">
        <f ca="1">IF(OR($H$7&lt;6,W$260&lt;2),"",IF(V292&lt;&gt;"",V292,IFERROR(IF(INDIRECT("'"&amp;V$86&amp;"'!"&amp;VLOOKUP(V$87,'List Values'!$C$3:$D$6,2,FALSE)&amp;ROW(V292))="","",INDIRECT("'"&amp;V$86&amp;"'!"&amp;VLOOKUP(V$87,'List Values'!$C$3:$D$6,2,FALSE)&amp;ROW(V292))),IF(V$86&lt;&gt;"","Data Source Error",""))))</f>
        <v/>
      </c>
      <c r="Y292" s="2643"/>
      <c r="Z292" s="2644"/>
      <c r="AA292" s="2644"/>
      <c r="AB292" s="2645"/>
    </row>
    <row r="293" spans="1:28" ht="15.75" hidden="1" customHeight="1" outlineLevel="1">
      <c r="A293" s="513"/>
      <c r="B293" s="2051"/>
      <c r="C293" s="2684" t="s">
        <v>332</v>
      </c>
      <c r="D293" s="2684"/>
      <c r="E293" s="2041"/>
      <c r="F293" s="2041"/>
      <c r="G293" s="636"/>
      <c r="H293" s="637"/>
      <c r="I293" s="187"/>
      <c r="J293" s="580"/>
      <c r="K293" s="900" t="str">
        <f ca="1">IF(OR($H$7&lt;2,K$260&lt;2),"",IF(J293&lt;&gt;"",J293,IFERROR(IF(INDIRECT("'"&amp;J$86&amp;"'!"&amp;VLOOKUP(J$87,'List Values'!$C$3:$D$6,2,FALSE)&amp;ROW(J293))="","",INDIRECT("'"&amp;J$86&amp;"'!"&amp;VLOOKUP(J$87,'List Values'!$C$3:$D$6,2,FALSE)&amp;ROW(J293))),IF(J$86&lt;&gt;"","Data Source Error",""))))</f>
        <v/>
      </c>
      <c r="L293" s="187"/>
      <c r="M293" s="580"/>
      <c r="N293" s="900" t="str">
        <f ca="1">IF(OR($H$7&lt;3,N$260&lt;2),"",IF(M293&lt;&gt;"",M293,IFERROR(IF(INDIRECT("'"&amp;M$86&amp;"'!"&amp;VLOOKUP(M$87,'List Values'!$C$3:$D$6,2,FALSE)&amp;ROW(M293))="","",INDIRECT("'"&amp;M$86&amp;"'!"&amp;VLOOKUP(M$87,'List Values'!$C$3:$D$6,2,FALSE)&amp;ROW(M293))),IF(M$86&lt;&gt;"","Data Source Error",""))))</f>
        <v/>
      </c>
      <c r="O293" s="187"/>
      <c r="P293" s="580"/>
      <c r="Q293" s="900" t="str">
        <f ca="1">IF(OR($H$7&lt;4,Q$260&lt;2),"",IF(P293&lt;&gt;"",P293,IFERROR(IF(INDIRECT("'"&amp;P$86&amp;"'!"&amp;VLOOKUP(P$87,'List Values'!$C$3:$D$6,2,FALSE)&amp;ROW(P293))="","",INDIRECT("'"&amp;P$86&amp;"'!"&amp;VLOOKUP(P$87,'List Values'!$C$3:$D$6,2,FALSE)&amp;ROW(P293))),IF(P$86&lt;&gt;"","Data Source Error",""))))</f>
        <v/>
      </c>
      <c r="S293" s="580"/>
      <c r="T293" s="900" t="str">
        <f ca="1">IF(OR($H$7&lt;5,T$260&lt;2),"",IF(S293&lt;&gt;"",S293,IFERROR(IF(INDIRECT("'"&amp;S$86&amp;"'!"&amp;VLOOKUP(S$87,'List Values'!$C$3:$D$6,2,FALSE)&amp;ROW(S293))="","",INDIRECT("'"&amp;S$86&amp;"'!"&amp;VLOOKUP(S$87,'List Values'!$C$3:$D$6,2,FALSE)&amp;ROW(S293))),IF(S$86&lt;&gt;"","Data Source Error",""))))</f>
        <v/>
      </c>
      <c r="V293" s="580"/>
      <c r="W293" s="911" t="str">
        <f ca="1">IF(OR($H$7&lt;6,W$260&lt;2),"",IF(V293&lt;&gt;"",V293,IFERROR(IF(INDIRECT("'"&amp;V$86&amp;"'!"&amp;VLOOKUP(V$87,'List Values'!$C$3:$D$6,2,FALSE)&amp;ROW(V293))="","",INDIRECT("'"&amp;V$86&amp;"'!"&amp;VLOOKUP(V$87,'List Values'!$C$3:$D$6,2,FALSE)&amp;ROW(V293))),IF(V$86&lt;&gt;"","Data Source Error",""))))</f>
        <v/>
      </c>
      <c r="Y293" s="2643"/>
      <c r="Z293" s="2644"/>
      <c r="AA293" s="2644"/>
      <c r="AB293" s="2645"/>
    </row>
    <row r="294" spans="1:28" ht="30.75" hidden="1" customHeight="1" outlineLevel="1">
      <c r="A294" s="513"/>
      <c r="B294" s="2051"/>
      <c r="C294" s="2680" t="s">
        <v>839</v>
      </c>
      <c r="D294" s="2680"/>
      <c r="E294" s="2041"/>
      <c r="F294" s="2041"/>
      <c r="G294" s="636"/>
      <c r="H294" s="637"/>
      <c r="I294" s="187"/>
      <c r="J294" s="580"/>
      <c r="K294" s="900" t="str">
        <f ca="1">IF(OR($H$7&lt;2,K$260&lt;2),"",IF(J294&lt;&gt;"",J294,IFERROR(IF(INDIRECT("'"&amp;J$86&amp;"'!"&amp;VLOOKUP(J$87,'List Values'!$C$3:$D$6,2,FALSE)&amp;ROW(J294))="","",INDIRECT("'"&amp;J$86&amp;"'!"&amp;VLOOKUP(J$87,'List Values'!$C$3:$D$6,2,FALSE)&amp;ROW(J294))),IF(J$86&lt;&gt;"","Data Source Error",""))))</f>
        <v/>
      </c>
      <c r="L294" s="187"/>
      <c r="M294" s="580"/>
      <c r="N294" s="900" t="str">
        <f ca="1">IF(OR($H$7&lt;3,N$260&lt;2),"",IF(M294&lt;&gt;"",M294,IFERROR(IF(INDIRECT("'"&amp;M$86&amp;"'!"&amp;VLOOKUP(M$87,'List Values'!$C$3:$D$6,2,FALSE)&amp;ROW(M294))="","",INDIRECT("'"&amp;M$86&amp;"'!"&amp;VLOOKUP(M$87,'List Values'!$C$3:$D$6,2,FALSE)&amp;ROW(M294))),IF(M$86&lt;&gt;"","Data Source Error",""))))</f>
        <v/>
      </c>
      <c r="O294" s="187"/>
      <c r="P294" s="580"/>
      <c r="Q294" s="900" t="str">
        <f ca="1">IF(OR($H$7&lt;4,Q$260&lt;2),"",IF(P294&lt;&gt;"",P294,IFERROR(IF(INDIRECT("'"&amp;P$86&amp;"'!"&amp;VLOOKUP(P$87,'List Values'!$C$3:$D$6,2,FALSE)&amp;ROW(P294))="","",INDIRECT("'"&amp;P$86&amp;"'!"&amp;VLOOKUP(P$87,'List Values'!$C$3:$D$6,2,FALSE)&amp;ROW(P294))),IF(P$86&lt;&gt;"","Data Source Error",""))))</f>
        <v/>
      </c>
      <c r="S294" s="580"/>
      <c r="T294" s="900" t="str">
        <f ca="1">IF(OR($H$7&lt;5,T$260&lt;2),"",IF(S294&lt;&gt;"",S294,IFERROR(IF(INDIRECT("'"&amp;S$86&amp;"'!"&amp;VLOOKUP(S$87,'List Values'!$C$3:$D$6,2,FALSE)&amp;ROW(S294))="","",INDIRECT("'"&amp;S$86&amp;"'!"&amp;VLOOKUP(S$87,'List Values'!$C$3:$D$6,2,FALSE)&amp;ROW(S294))),IF(S$86&lt;&gt;"","Data Source Error",""))))</f>
        <v/>
      </c>
      <c r="V294" s="580"/>
      <c r="W294" s="911" t="str">
        <f ca="1">IF(OR($H$7&lt;6,W$260&lt;2),"",IF(V294&lt;&gt;"",V294,IFERROR(IF(INDIRECT("'"&amp;V$86&amp;"'!"&amp;VLOOKUP(V$87,'List Values'!$C$3:$D$6,2,FALSE)&amp;ROW(V294))="","",INDIRECT("'"&amp;V$86&amp;"'!"&amp;VLOOKUP(V$87,'List Values'!$C$3:$D$6,2,FALSE)&amp;ROW(V294))),IF(V$86&lt;&gt;"","Data Source Error",""))))</f>
        <v/>
      </c>
      <c r="Y294" s="2643"/>
      <c r="Z294" s="2644"/>
      <c r="AA294" s="2644"/>
      <c r="AB294" s="2645"/>
    </row>
    <row r="295" spans="1:28" ht="15.75" hidden="1" customHeight="1" outlineLevel="1">
      <c r="A295" s="513"/>
      <c r="B295" s="2051"/>
      <c r="C295" s="2680" t="s">
        <v>334</v>
      </c>
      <c r="D295" s="2680"/>
      <c r="E295" s="2041"/>
      <c r="F295" s="2041"/>
      <c r="G295" s="636"/>
      <c r="H295" s="637"/>
      <c r="I295" s="187"/>
      <c r="J295" s="580"/>
      <c r="K295" s="900" t="str">
        <f ca="1">IF(OR($H$7&lt;2,K$260&lt;2),"",IF(J295&lt;&gt;"",J295,IFERROR(IF(INDIRECT("'"&amp;J$86&amp;"'!"&amp;VLOOKUP(J$87,'List Values'!$C$3:$D$6,2,FALSE)&amp;ROW(J295))="","",INDIRECT("'"&amp;J$86&amp;"'!"&amp;VLOOKUP(J$87,'List Values'!$C$3:$D$6,2,FALSE)&amp;ROW(J295))),IF(J$86&lt;&gt;"","Data Source Error",""))))</f>
        <v/>
      </c>
      <c r="L295" s="187"/>
      <c r="M295" s="580"/>
      <c r="N295" s="900" t="str">
        <f ca="1">IF(OR($H$7&lt;3,N$260&lt;2),"",IF(M295&lt;&gt;"",M295,IFERROR(IF(INDIRECT("'"&amp;M$86&amp;"'!"&amp;VLOOKUP(M$87,'List Values'!$C$3:$D$6,2,FALSE)&amp;ROW(M295))="","",INDIRECT("'"&amp;M$86&amp;"'!"&amp;VLOOKUP(M$87,'List Values'!$C$3:$D$6,2,FALSE)&amp;ROW(M295))),IF(M$86&lt;&gt;"","Data Source Error",""))))</f>
        <v/>
      </c>
      <c r="O295" s="187"/>
      <c r="P295" s="580"/>
      <c r="Q295" s="900" t="str">
        <f ca="1">IF(OR($H$7&lt;4,Q$260&lt;2),"",IF(P295&lt;&gt;"",P295,IFERROR(IF(INDIRECT("'"&amp;P$86&amp;"'!"&amp;VLOOKUP(P$87,'List Values'!$C$3:$D$6,2,FALSE)&amp;ROW(P295))="","",INDIRECT("'"&amp;P$86&amp;"'!"&amp;VLOOKUP(P$87,'List Values'!$C$3:$D$6,2,FALSE)&amp;ROW(P295))),IF(P$86&lt;&gt;"","Data Source Error",""))))</f>
        <v/>
      </c>
      <c r="S295" s="580"/>
      <c r="T295" s="900" t="str">
        <f ca="1">IF(OR($H$7&lt;5,T$260&lt;2),"",IF(S295&lt;&gt;"",S295,IFERROR(IF(INDIRECT("'"&amp;S$86&amp;"'!"&amp;VLOOKUP(S$87,'List Values'!$C$3:$D$6,2,FALSE)&amp;ROW(S295))="","",INDIRECT("'"&amp;S$86&amp;"'!"&amp;VLOOKUP(S$87,'List Values'!$C$3:$D$6,2,FALSE)&amp;ROW(S295))),IF(S$86&lt;&gt;"","Data Source Error",""))))</f>
        <v/>
      </c>
      <c r="V295" s="580"/>
      <c r="W295" s="911" t="str">
        <f ca="1">IF(OR($H$7&lt;6,W$260&lt;2),"",IF(V295&lt;&gt;"",V295,IFERROR(IF(INDIRECT("'"&amp;V$86&amp;"'!"&amp;VLOOKUP(V$87,'List Values'!$C$3:$D$6,2,FALSE)&amp;ROW(V295))="","",INDIRECT("'"&amp;V$86&amp;"'!"&amp;VLOOKUP(V$87,'List Values'!$C$3:$D$6,2,FALSE)&amp;ROW(V295))),IF(V$86&lt;&gt;"","Data Source Error",""))))</f>
        <v/>
      </c>
      <c r="Y295" s="2643"/>
      <c r="Z295" s="2644"/>
      <c r="AA295" s="2644"/>
      <c r="AB295" s="2645"/>
    </row>
    <row r="296" spans="1:28" ht="15.75" hidden="1" customHeight="1" outlineLevel="1">
      <c r="A296" s="513"/>
      <c r="B296" s="2051"/>
      <c r="C296" s="2684" t="s">
        <v>335</v>
      </c>
      <c r="D296" s="2684"/>
      <c r="E296" s="2041"/>
      <c r="F296" s="2041"/>
      <c r="G296" s="636"/>
      <c r="H296" s="637"/>
      <c r="I296" s="187"/>
      <c r="J296" s="580"/>
      <c r="K296" s="900" t="str">
        <f ca="1">IF(OR($H$7&lt;2,K$260&lt;2),"",IF(J296&lt;&gt;"",J296,IFERROR(IF(INDIRECT("'"&amp;J$86&amp;"'!"&amp;VLOOKUP(J$87,'List Values'!$C$3:$D$6,2,FALSE)&amp;ROW(J296))="","",INDIRECT("'"&amp;J$86&amp;"'!"&amp;VLOOKUP(J$87,'List Values'!$C$3:$D$6,2,FALSE)&amp;ROW(J296))),IF(J$86&lt;&gt;"","Data Source Error",""))))</f>
        <v/>
      </c>
      <c r="L296" s="187"/>
      <c r="M296" s="580"/>
      <c r="N296" s="900" t="str">
        <f ca="1">IF(OR($H$7&lt;3,N$260&lt;2),"",IF(M296&lt;&gt;"",M296,IFERROR(IF(INDIRECT("'"&amp;M$86&amp;"'!"&amp;VLOOKUP(M$87,'List Values'!$C$3:$D$6,2,FALSE)&amp;ROW(M296))="","",INDIRECT("'"&amp;M$86&amp;"'!"&amp;VLOOKUP(M$87,'List Values'!$C$3:$D$6,2,FALSE)&amp;ROW(M296))),IF(M$86&lt;&gt;"","Data Source Error",""))))</f>
        <v/>
      </c>
      <c r="O296" s="187"/>
      <c r="P296" s="580"/>
      <c r="Q296" s="900" t="str">
        <f ca="1">IF(OR($H$7&lt;4,Q$260&lt;2),"",IF(P296&lt;&gt;"",P296,IFERROR(IF(INDIRECT("'"&amp;P$86&amp;"'!"&amp;VLOOKUP(P$87,'List Values'!$C$3:$D$6,2,FALSE)&amp;ROW(P296))="","",INDIRECT("'"&amp;P$86&amp;"'!"&amp;VLOOKUP(P$87,'List Values'!$C$3:$D$6,2,FALSE)&amp;ROW(P296))),IF(P$86&lt;&gt;"","Data Source Error",""))))</f>
        <v/>
      </c>
      <c r="S296" s="580"/>
      <c r="T296" s="900" t="str">
        <f ca="1">IF(OR($H$7&lt;5,T$260&lt;2),"",IF(S296&lt;&gt;"",S296,IFERROR(IF(INDIRECT("'"&amp;S$86&amp;"'!"&amp;VLOOKUP(S$87,'List Values'!$C$3:$D$6,2,FALSE)&amp;ROW(S296))="","",INDIRECT("'"&amp;S$86&amp;"'!"&amp;VLOOKUP(S$87,'List Values'!$C$3:$D$6,2,FALSE)&amp;ROW(S296))),IF(S$86&lt;&gt;"","Data Source Error",""))))</f>
        <v/>
      </c>
      <c r="V296" s="580"/>
      <c r="W296" s="911" t="str">
        <f ca="1">IF(OR($H$7&lt;6,W$260&lt;2),"",IF(V296&lt;&gt;"",V296,IFERROR(IF(INDIRECT("'"&amp;V$86&amp;"'!"&amp;VLOOKUP(V$87,'List Values'!$C$3:$D$6,2,FALSE)&amp;ROW(V296))="","",INDIRECT("'"&amp;V$86&amp;"'!"&amp;VLOOKUP(V$87,'List Values'!$C$3:$D$6,2,FALSE)&amp;ROW(V296))),IF(V$86&lt;&gt;"","Data Source Error",""))))</f>
        <v/>
      </c>
      <c r="Y296" s="2643"/>
      <c r="Z296" s="2644"/>
      <c r="AA296" s="2644"/>
      <c r="AB296" s="2645"/>
    </row>
    <row r="297" spans="1:28" ht="31" hidden="1" customHeight="1" outlineLevel="1">
      <c r="A297" s="513"/>
      <c r="B297" s="2051"/>
      <c r="C297" s="2680" t="s">
        <v>336</v>
      </c>
      <c r="D297" s="2680"/>
      <c r="E297" s="2041"/>
      <c r="F297" s="2041"/>
      <c r="G297" s="636"/>
      <c r="H297" s="637"/>
      <c r="I297" s="187"/>
      <c r="J297" s="580"/>
      <c r="K297" s="900" t="str">
        <f ca="1">IF(OR($H$7&lt;2,K$260&lt;2),"",IF(J297&lt;&gt;"",J297,IFERROR(IF(INDIRECT("'"&amp;J$86&amp;"'!"&amp;VLOOKUP(J$87,'List Values'!$C$3:$D$6,2,FALSE)&amp;ROW(J297))="","",INDIRECT("'"&amp;J$86&amp;"'!"&amp;VLOOKUP(J$87,'List Values'!$C$3:$D$6,2,FALSE)&amp;ROW(J297))),IF(J$86&lt;&gt;"","Data Source Error",""))))</f>
        <v/>
      </c>
      <c r="L297" s="187"/>
      <c r="M297" s="580"/>
      <c r="N297" s="900" t="str">
        <f ca="1">IF(OR($H$7&lt;3,N$260&lt;2),"",IF(M297&lt;&gt;"",M297,IFERROR(IF(INDIRECT("'"&amp;M$86&amp;"'!"&amp;VLOOKUP(M$87,'List Values'!$C$3:$D$6,2,FALSE)&amp;ROW(M297))="","",INDIRECT("'"&amp;M$86&amp;"'!"&amp;VLOOKUP(M$87,'List Values'!$C$3:$D$6,2,FALSE)&amp;ROW(M297))),IF(M$86&lt;&gt;"","Data Source Error",""))))</f>
        <v/>
      </c>
      <c r="O297" s="187"/>
      <c r="P297" s="580"/>
      <c r="Q297" s="900" t="str">
        <f ca="1">IF(OR($H$7&lt;4,Q$260&lt;2),"",IF(P297&lt;&gt;"",P297,IFERROR(IF(INDIRECT("'"&amp;P$86&amp;"'!"&amp;VLOOKUP(P$87,'List Values'!$C$3:$D$6,2,FALSE)&amp;ROW(P297))="","",INDIRECT("'"&amp;P$86&amp;"'!"&amp;VLOOKUP(P$87,'List Values'!$C$3:$D$6,2,FALSE)&amp;ROW(P297))),IF(P$86&lt;&gt;"","Data Source Error",""))))</f>
        <v/>
      </c>
      <c r="S297" s="580"/>
      <c r="T297" s="900" t="str">
        <f ca="1">IF(OR($H$7&lt;5,T$260&lt;2),"",IF(S297&lt;&gt;"",S297,IFERROR(IF(INDIRECT("'"&amp;S$86&amp;"'!"&amp;VLOOKUP(S$87,'List Values'!$C$3:$D$6,2,FALSE)&amp;ROW(S297))="","",INDIRECT("'"&amp;S$86&amp;"'!"&amp;VLOOKUP(S$87,'List Values'!$C$3:$D$6,2,FALSE)&amp;ROW(S297))),IF(S$86&lt;&gt;"","Data Source Error",""))))</f>
        <v/>
      </c>
      <c r="V297" s="580"/>
      <c r="W297" s="911" t="str">
        <f ca="1">IF(OR($H$7&lt;6,W$260&lt;2),"",IF(V297&lt;&gt;"",V297,IFERROR(IF(INDIRECT("'"&amp;V$86&amp;"'!"&amp;VLOOKUP(V$87,'List Values'!$C$3:$D$6,2,FALSE)&amp;ROW(V297))="","",INDIRECT("'"&amp;V$86&amp;"'!"&amp;VLOOKUP(V$87,'List Values'!$C$3:$D$6,2,FALSE)&amp;ROW(V297))),IF(V$86&lt;&gt;"","Data Source Error",""))))</f>
        <v/>
      </c>
      <c r="Y297" s="2643"/>
      <c r="Z297" s="2644"/>
      <c r="AA297" s="2644"/>
      <c r="AB297" s="2645"/>
    </row>
    <row r="298" spans="1:28" ht="33" hidden="1" customHeight="1" outlineLevel="1">
      <c r="A298" s="513"/>
      <c r="B298" s="2051"/>
      <c r="C298" s="2680" t="s">
        <v>337</v>
      </c>
      <c r="D298" s="2680"/>
      <c r="E298" s="2041"/>
      <c r="F298" s="2041"/>
      <c r="G298" s="636"/>
      <c r="H298" s="637"/>
      <c r="I298" s="187"/>
      <c r="J298" s="580"/>
      <c r="K298" s="900" t="str">
        <f ca="1">IF(OR($H$7&lt;2,K$260&lt;2),"",IF(J298&lt;&gt;"",J298,IFERROR(IF(INDIRECT("'"&amp;J$86&amp;"'!"&amp;VLOOKUP(J$87,'List Values'!$C$3:$D$6,2,FALSE)&amp;ROW(J298))="","",INDIRECT("'"&amp;J$86&amp;"'!"&amp;VLOOKUP(J$87,'List Values'!$C$3:$D$6,2,FALSE)&amp;ROW(J298))),IF(J$86&lt;&gt;"","Data Source Error",""))))</f>
        <v/>
      </c>
      <c r="L298" s="187"/>
      <c r="M298" s="580"/>
      <c r="N298" s="900" t="str">
        <f ca="1">IF(OR($H$7&lt;3,N$260&lt;2),"",IF(M298&lt;&gt;"",M298,IFERROR(IF(INDIRECT("'"&amp;M$86&amp;"'!"&amp;VLOOKUP(M$87,'List Values'!$C$3:$D$6,2,FALSE)&amp;ROW(M298))="","",INDIRECT("'"&amp;M$86&amp;"'!"&amp;VLOOKUP(M$87,'List Values'!$C$3:$D$6,2,FALSE)&amp;ROW(M298))),IF(M$86&lt;&gt;"","Data Source Error",""))))</f>
        <v/>
      </c>
      <c r="O298" s="187"/>
      <c r="P298" s="580"/>
      <c r="Q298" s="900" t="str">
        <f ca="1">IF(OR($H$7&lt;4,Q$260&lt;2),"",IF(P298&lt;&gt;"",P298,IFERROR(IF(INDIRECT("'"&amp;P$86&amp;"'!"&amp;VLOOKUP(P$87,'List Values'!$C$3:$D$6,2,FALSE)&amp;ROW(P298))="","",INDIRECT("'"&amp;P$86&amp;"'!"&amp;VLOOKUP(P$87,'List Values'!$C$3:$D$6,2,FALSE)&amp;ROW(P298))),IF(P$86&lt;&gt;"","Data Source Error",""))))</f>
        <v/>
      </c>
      <c r="S298" s="580"/>
      <c r="T298" s="900" t="str">
        <f ca="1">IF(OR($H$7&lt;5,T$260&lt;2),"",IF(S298&lt;&gt;"",S298,IFERROR(IF(INDIRECT("'"&amp;S$86&amp;"'!"&amp;VLOOKUP(S$87,'List Values'!$C$3:$D$6,2,FALSE)&amp;ROW(S298))="","",INDIRECT("'"&amp;S$86&amp;"'!"&amp;VLOOKUP(S$87,'List Values'!$C$3:$D$6,2,FALSE)&amp;ROW(S298))),IF(S$86&lt;&gt;"","Data Source Error",""))))</f>
        <v/>
      </c>
      <c r="V298" s="580"/>
      <c r="W298" s="911" t="str">
        <f ca="1">IF(OR($H$7&lt;6,W$260&lt;2),"",IF(V298&lt;&gt;"",V298,IFERROR(IF(INDIRECT("'"&amp;V$86&amp;"'!"&amp;VLOOKUP(V$87,'List Values'!$C$3:$D$6,2,FALSE)&amp;ROW(V298))="","",INDIRECT("'"&amp;V$86&amp;"'!"&amp;VLOOKUP(V$87,'List Values'!$C$3:$D$6,2,FALSE)&amp;ROW(V298))),IF(V$86&lt;&gt;"","Data Source Error",""))))</f>
        <v/>
      </c>
      <c r="Y298" s="2643"/>
      <c r="Z298" s="2644"/>
      <c r="AA298" s="2644"/>
      <c r="AB298" s="2645"/>
    </row>
    <row r="299" spans="1:28" ht="33" hidden="1" customHeight="1" outlineLevel="1">
      <c r="A299" s="513"/>
      <c r="B299" s="2051"/>
      <c r="C299" s="2680" t="s">
        <v>338</v>
      </c>
      <c r="D299" s="2680"/>
      <c r="E299" s="2041"/>
      <c r="F299" s="2041"/>
      <c r="G299" s="636"/>
      <c r="H299" s="637"/>
      <c r="I299" s="187"/>
      <c r="J299" s="580"/>
      <c r="K299" s="900" t="str">
        <f ca="1">IF(OR($H$7&lt;2,K$260&lt;2),"",IF(J299&lt;&gt;"",J299,IFERROR(IF(INDIRECT("'"&amp;J$86&amp;"'!"&amp;VLOOKUP(J$87,'List Values'!$C$3:$D$6,2,FALSE)&amp;ROW(J299))="","",INDIRECT("'"&amp;J$86&amp;"'!"&amp;VLOOKUP(J$87,'List Values'!$C$3:$D$6,2,FALSE)&amp;ROW(J299))),IF(J$86&lt;&gt;"","Data Source Error",""))))</f>
        <v/>
      </c>
      <c r="L299" s="187"/>
      <c r="M299" s="580"/>
      <c r="N299" s="900" t="str">
        <f ca="1">IF(OR($H$7&lt;3,N$260&lt;2),"",IF(M299&lt;&gt;"",M299,IFERROR(IF(INDIRECT("'"&amp;M$86&amp;"'!"&amp;VLOOKUP(M$87,'List Values'!$C$3:$D$6,2,FALSE)&amp;ROW(M299))="","",INDIRECT("'"&amp;M$86&amp;"'!"&amp;VLOOKUP(M$87,'List Values'!$C$3:$D$6,2,FALSE)&amp;ROW(M299))),IF(M$86&lt;&gt;"","Data Source Error",""))))</f>
        <v/>
      </c>
      <c r="O299" s="187"/>
      <c r="P299" s="580"/>
      <c r="Q299" s="900" t="str">
        <f ca="1">IF(OR($H$7&lt;4,Q$260&lt;2),"",IF(P299&lt;&gt;"",P299,IFERROR(IF(INDIRECT("'"&amp;P$86&amp;"'!"&amp;VLOOKUP(P$87,'List Values'!$C$3:$D$6,2,FALSE)&amp;ROW(P299))="","",INDIRECT("'"&amp;P$86&amp;"'!"&amp;VLOOKUP(P$87,'List Values'!$C$3:$D$6,2,FALSE)&amp;ROW(P299))),IF(P$86&lt;&gt;"","Data Source Error",""))))</f>
        <v/>
      </c>
      <c r="S299" s="580"/>
      <c r="T299" s="900" t="str">
        <f ca="1">IF(OR($H$7&lt;5,T$260&lt;2),"",IF(S299&lt;&gt;"",S299,IFERROR(IF(INDIRECT("'"&amp;S$86&amp;"'!"&amp;VLOOKUP(S$87,'List Values'!$C$3:$D$6,2,FALSE)&amp;ROW(S299))="","",INDIRECT("'"&amp;S$86&amp;"'!"&amp;VLOOKUP(S$87,'List Values'!$C$3:$D$6,2,FALSE)&amp;ROW(S299))),IF(S$86&lt;&gt;"","Data Source Error",""))))</f>
        <v/>
      </c>
      <c r="V299" s="580"/>
      <c r="W299" s="911" t="str">
        <f ca="1">IF(OR($H$7&lt;6,W$260&lt;2),"",IF(V299&lt;&gt;"",V299,IFERROR(IF(INDIRECT("'"&amp;V$86&amp;"'!"&amp;VLOOKUP(V$87,'List Values'!$C$3:$D$6,2,FALSE)&amp;ROW(V299))="","",INDIRECT("'"&amp;V$86&amp;"'!"&amp;VLOOKUP(V$87,'List Values'!$C$3:$D$6,2,FALSE)&amp;ROW(V299))),IF(V$86&lt;&gt;"","Data Source Error",""))))</f>
        <v/>
      </c>
      <c r="Y299" s="2643"/>
      <c r="Z299" s="2644"/>
      <c r="AA299" s="2644"/>
      <c r="AB299" s="2645"/>
    </row>
    <row r="300" spans="1:28" ht="15.75" hidden="1" customHeight="1" outlineLevel="1">
      <c r="A300" s="513"/>
      <c r="B300" s="2051"/>
      <c r="C300" s="2680" t="s">
        <v>650</v>
      </c>
      <c r="D300" s="2680"/>
      <c r="E300" s="2041"/>
      <c r="F300" s="2041"/>
      <c r="G300" s="636"/>
      <c r="H300" s="637"/>
      <c r="I300" s="187"/>
      <c r="J300" s="580"/>
      <c r="K300" s="900" t="str">
        <f ca="1">IF(OR($H$7&lt;2,K$260&lt;2),"",IF(J300&lt;&gt;"",J300,IFERROR(IF(INDIRECT("'"&amp;J$86&amp;"'!"&amp;VLOOKUP(J$87,'List Values'!$C$3:$D$6,2,FALSE)&amp;ROW(J300))="","",INDIRECT("'"&amp;J$86&amp;"'!"&amp;VLOOKUP(J$87,'List Values'!$C$3:$D$6,2,FALSE)&amp;ROW(J300))),IF(J$86&lt;&gt;"","Data Source Error",""))))</f>
        <v/>
      </c>
      <c r="L300" s="187"/>
      <c r="M300" s="580"/>
      <c r="N300" s="900" t="str">
        <f ca="1">IF(OR($H$7&lt;3,N$260&lt;2),"",IF(M300&lt;&gt;"",M300,IFERROR(IF(INDIRECT("'"&amp;M$86&amp;"'!"&amp;VLOOKUP(M$87,'List Values'!$C$3:$D$6,2,FALSE)&amp;ROW(M300))="","",INDIRECT("'"&amp;M$86&amp;"'!"&amp;VLOOKUP(M$87,'List Values'!$C$3:$D$6,2,FALSE)&amp;ROW(M300))),IF(M$86&lt;&gt;"","Data Source Error",""))))</f>
        <v/>
      </c>
      <c r="O300" s="187"/>
      <c r="P300" s="580"/>
      <c r="Q300" s="900" t="str">
        <f ca="1">IF(OR($H$7&lt;4,Q$260&lt;2),"",IF(P300&lt;&gt;"",P300,IFERROR(IF(INDIRECT("'"&amp;P$86&amp;"'!"&amp;VLOOKUP(P$87,'List Values'!$C$3:$D$6,2,FALSE)&amp;ROW(P300))="","",INDIRECT("'"&amp;P$86&amp;"'!"&amp;VLOOKUP(P$87,'List Values'!$C$3:$D$6,2,FALSE)&amp;ROW(P300))),IF(P$86&lt;&gt;"","Data Source Error",""))))</f>
        <v/>
      </c>
      <c r="S300" s="580"/>
      <c r="T300" s="900" t="str">
        <f ca="1">IF(OR($H$7&lt;5,T$260&lt;2),"",IF(S300&lt;&gt;"",S300,IFERROR(IF(INDIRECT("'"&amp;S$86&amp;"'!"&amp;VLOOKUP(S$87,'List Values'!$C$3:$D$6,2,FALSE)&amp;ROW(S300))="","",INDIRECT("'"&amp;S$86&amp;"'!"&amp;VLOOKUP(S$87,'List Values'!$C$3:$D$6,2,FALSE)&amp;ROW(S300))),IF(S$86&lt;&gt;"","Data Source Error",""))))</f>
        <v/>
      </c>
      <c r="V300" s="580"/>
      <c r="W300" s="911" t="str">
        <f ca="1">IF(OR($H$7&lt;6,W$260&lt;2),"",IF(V300&lt;&gt;"",V300,IFERROR(IF(INDIRECT("'"&amp;V$86&amp;"'!"&amp;VLOOKUP(V$87,'List Values'!$C$3:$D$6,2,FALSE)&amp;ROW(V300))="","",INDIRECT("'"&amp;V$86&amp;"'!"&amp;VLOOKUP(V$87,'List Values'!$C$3:$D$6,2,FALSE)&amp;ROW(V300))),IF(V$86&lt;&gt;"","Data Source Error",""))))</f>
        <v/>
      </c>
      <c r="Y300" s="2643"/>
      <c r="Z300" s="2644"/>
      <c r="AA300" s="2644"/>
      <c r="AB300" s="2645"/>
    </row>
    <row r="301" spans="1:28" ht="31" hidden="1" customHeight="1" outlineLevel="1">
      <c r="A301" s="513"/>
      <c r="B301" s="2051"/>
      <c r="C301" s="2680" t="s">
        <v>651</v>
      </c>
      <c r="D301" s="2680"/>
      <c r="E301" s="238"/>
      <c r="F301" s="238"/>
      <c r="G301" s="638"/>
      <c r="H301" s="639"/>
      <c r="I301" s="184"/>
      <c r="J301" s="624"/>
      <c r="K301" s="941" t="str">
        <f ca="1">IF(OR($H$7&lt;2,K$260&lt;2),"",IF(J301&lt;&gt;"",J301,IFERROR(IF(INDIRECT("'"&amp;J$86&amp;"'!"&amp;VLOOKUP(J$87,'List Values'!$C$3:$D$6,2,FALSE)&amp;ROW(J301))="","",INDIRECT("'"&amp;J$86&amp;"'!"&amp;VLOOKUP(J$87,'List Values'!$C$3:$D$6,2,FALSE)&amp;ROW(J301))),IF(J$86&lt;&gt;"","Data Source Error",""))))</f>
        <v/>
      </c>
      <c r="L301" s="184"/>
      <c r="M301" s="624"/>
      <c r="N301" s="941" t="str">
        <f ca="1">IF(OR($H$7&lt;3,N$260&lt;2),"",IF(M301&lt;&gt;"",M301,IFERROR(IF(INDIRECT("'"&amp;M$86&amp;"'!"&amp;VLOOKUP(M$87,'List Values'!$C$3:$D$6,2,FALSE)&amp;ROW(M301))="","",INDIRECT("'"&amp;M$86&amp;"'!"&amp;VLOOKUP(M$87,'List Values'!$C$3:$D$6,2,FALSE)&amp;ROW(M301))),IF(M$86&lt;&gt;"","Data Source Error",""))))</f>
        <v/>
      </c>
      <c r="O301" s="184"/>
      <c r="P301" s="624"/>
      <c r="Q301" s="941" t="str">
        <f ca="1">IF(OR($H$7&lt;4,Q$260&lt;2),"",IF(P301&lt;&gt;"",P301,IFERROR(IF(INDIRECT("'"&amp;P$86&amp;"'!"&amp;VLOOKUP(P$87,'List Values'!$C$3:$D$6,2,FALSE)&amp;ROW(P301))="","",INDIRECT("'"&amp;P$86&amp;"'!"&amp;VLOOKUP(P$87,'List Values'!$C$3:$D$6,2,FALSE)&amp;ROW(P301))),IF(P$86&lt;&gt;"","Data Source Error",""))))</f>
        <v/>
      </c>
      <c r="S301" s="624"/>
      <c r="T301" s="941" t="str">
        <f ca="1">IF(OR($H$7&lt;5,T$260&lt;2),"",IF(S301&lt;&gt;"",S301,IFERROR(IF(INDIRECT("'"&amp;S$86&amp;"'!"&amp;VLOOKUP(S$87,'List Values'!$C$3:$D$6,2,FALSE)&amp;ROW(S301))="","",INDIRECT("'"&amp;S$86&amp;"'!"&amp;VLOOKUP(S$87,'List Values'!$C$3:$D$6,2,FALSE)&amp;ROW(S301))),IF(S$86&lt;&gt;"","Data Source Error",""))))</f>
        <v/>
      </c>
      <c r="V301" s="624"/>
      <c r="W301" s="947" t="str">
        <f ca="1">IF(OR($H$7&lt;6,W$260&lt;2),"",IF(V301&lt;&gt;"",V301,IFERROR(IF(INDIRECT("'"&amp;V$86&amp;"'!"&amp;VLOOKUP(V$87,'List Values'!$C$3:$D$6,2,FALSE)&amp;ROW(V301))="","",INDIRECT("'"&amp;V$86&amp;"'!"&amp;VLOOKUP(V$87,'List Values'!$C$3:$D$6,2,FALSE)&amp;ROW(V301))),IF(V$86&lt;&gt;"","Data Source Error",""))))</f>
        <v/>
      </c>
      <c r="Y301" s="2643"/>
      <c r="Z301" s="2644"/>
      <c r="AA301" s="2644"/>
      <c r="AB301" s="2645"/>
    </row>
    <row r="302" spans="1:28" ht="21" customHeight="1" collapsed="1">
      <c r="A302" s="807"/>
      <c r="B302" s="2049" t="s">
        <v>621</v>
      </c>
      <c r="C302" s="604"/>
      <c r="D302" s="604"/>
      <c r="E302" s="614"/>
      <c r="F302" s="608"/>
      <c r="G302" s="615"/>
      <c r="H302" s="611"/>
      <c r="I302" s="608"/>
      <c r="J302" s="610"/>
      <c r="K302" s="970"/>
      <c r="L302" s="608"/>
      <c r="M302" s="610"/>
      <c r="N302" s="970"/>
      <c r="O302" s="608"/>
      <c r="P302" s="610"/>
      <c r="Q302" s="970"/>
      <c r="R302" s="608"/>
      <c r="S302" s="610"/>
      <c r="T302" s="970"/>
      <c r="U302" s="608"/>
      <c r="V302" s="610"/>
      <c r="W302" s="970"/>
      <c r="Y302" s="631"/>
      <c r="Z302" s="631"/>
      <c r="AA302" s="631"/>
      <c r="AB302" s="631"/>
    </row>
    <row r="303" spans="1:28" ht="15.75" hidden="1" customHeight="1" outlineLevel="1">
      <c r="A303" s="514"/>
      <c r="B303" s="252"/>
      <c r="C303" s="2580" t="s">
        <v>625</v>
      </c>
      <c r="D303" s="2580"/>
      <c r="E303" s="202"/>
      <c r="F303" s="202"/>
      <c r="G303" s="634"/>
      <c r="H303" s="635"/>
      <c r="I303" s="183"/>
      <c r="J303" s="628"/>
      <c r="K303" s="967" t="str">
        <f ca="1">IF(OR($H$7&lt;2,K$260&lt;3),"",IF(J303&lt;&gt;"",J303,IFERROR(IF(INDIRECT("'"&amp;J$86&amp;"'!"&amp;VLOOKUP(J$87,'List Values'!$C$3:$D$6,2,FALSE)&amp;ROW(J303))="","",INDIRECT("'"&amp;J$86&amp;"'!"&amp;VLOOKUP(J$87,'List Values'!$C$3:$D$6,2,FALSE)&amp;ROW(J303))),IF(J$86&lt;&gt;"","Data Source Error",""))))</f>
        <v/>
      </c>
      <c r="L303" s="629"/>
      <c r="M303" s="628"/>
      <c r="N303" s="967" t="str">
        <f ca="1">IF(OR($H$7&lt;3,N$260&lt;3),"",IF(M303&lt;&gt;"",M303,IFERROR(IF(INDIRECT("'"&amp;M$86&amp;"'!"&amp;VLOOKUP(M$87,'List Values'!$C$3:$D$6,2,FALSE)&amp;ROW(M303))="","",INDIRECT("'"&amp;M$86&amp;"'!"&amp;VLOOKUP(M$87,'List Values'!$C$3:$D$6,2,FALSE)&amp;ROW(M303))),IF(M$86&lt;&gt;"","Data Source Error",""))))</f>
        <v/>
      </c>
      <c r="O303" s="629"/>
      <c r="P303" s="628"/>
      <c r="Q303" s="967" t="str">
        <f ca="1">IF(OR($H$7&lt;4,Q$260&lt;3),"",IF(P303&lt;&gt;"",P303,IFERROR(IF(INDIRECT("'"&amp;P$86&amp;"'!"&amp;VLOOKUP(P$87,'List Values'!$C$3:$D$6,2,FALSE)&amp;ROW(P303))="","",INDIRECT("'"&amp;P$86&amp;"'!"&amp;VLOOKUP(P$87,'List Values'!$C$3:$D$6,2,FALSE)&amp;ROW(P303))),IF(P$86&lt;&gt;"","Data Source Error",""))))</f>
        <v/>
      </c>
      <c r="R303" s="147"/>
      <c r="S303" s="628"/>
      <c r="T303" s="967" t="str">
        <f ca="1">IF(OR($H$7&lt;5,T$260&lt;3),"",IF(S303&lt;&gt;"",S303,IFERROR(IF(INDIRECT("'"&amp;S$86&amp;"'!"&amp;VLOOKUP(S$87,'List Values'!$C$3:$D$6,2,FALSE)&amp;ROW(S303))="","",INDIRECT("'"&amp;S$86&amp;"'!"&amp;VLOOKUP(S$87,'List Values'!$C$3:$D$6,2,FALSE)&amp;ROW(S303))),IF(S$86&lt;&gt;"","Data Source Error",""))))</f>
        <v/>
      </c>
      <c r="U303" s="147"/>
      <c r="V303" s="628"/>
      <c r="W303" s="973" t="str">
        <f ca="1">IF(OR($H$7&lt;6,W$260&lt;3),"",IF(V303&lt;&gt;"",V303,IFERROR(IF(INDIRECT("'"&amp;V$86&amp;"'!"&amp;VLOOKUP(V$87,'List Values'!$C$3:$D$6,2,FALSE)&amp;ROW(V303))="","",INDIRECT("'"&amp;V$86&amp;"'!"&amp;VLOOKUP(V$87,'List Values'!$C$3:$D$6,2,FALSE)&amp;ROW(V303))),IF(V$86&lt;&gt;"","Data Source Error",""))))</f>
        <v/>
      </c>
      <c r="Y303" s="2643"/>
      <c r="Z303" s="2644"/>
      <c r="AA303" s="2644"/>
      <c r="AB303" s="2645"/>
    </row>
    <row r="304" spans="1:28" ht="15.75" hidden="1" customHeight="1" outlineLevel="1">
      <c r="A304" s="514"/>
      <c r="B304" s="252"/>
      <c r="C304" s="2680" t="s">
        <v>626</v>
      </c>
      <c r="D304" s="2680"/>
      <c r="E304" s="2041"/>
      <c r="F304" s="2041"/>
      <c r="G304" s="636"/>
      <c r="H304" s="637"/>
      <c r="I304" s="187"/>
      <c r="J304" s="526"/>
      <c r="K304" s="900" t="str">
        <f ca="1">IF(OR($H$7&lt;2,K$260&lt;3),"",IF(J304&lt;&gt;"",J304,IFERROR(IF(INDIRECT("'"&amp;J$86&amp;"'!"&amp;VLOOKUP(J$87,'List Values'!$C$3:$D$6,2,FALSE)&amp;ROW(J304))="","",INDIRECT("'"&amp;J$86&amp;"'!"&amp;VLOOKUP(J$87,'List Values'!$C$3:$D$6,2,FALSE)&amp;ROW(J304))),IF(J$86&lt;&gt;"","Data Source Error",""))))</f>
        <v/>
      </c>
      <c r="L304" s="187"/>
      <c r="M304" s="526"/>
      <c r="N304" s="900" t="str">
        <f ca="1">IF(OR($H$7&lt;3,N$260&lt;3),"",IF(M304&lt;&gt;"",M304,IFERROR(IF(INDIRECT("'"&amp;M$86&amp;"'!"&amp;VLOOKUP(M$87,'List Values'!$C$3:$D$6,2,FALSE)&amp;ROW(M304))="","",INDIRECT("'"&amp;M$86&amp;"'!"&amp;VLOOKUP(M$87,'List Values'!$C$3:$D$6,2,FALSE)&amp;ROW(M304))),IF(M$86&lt;&gt;"","Data Source Error",""))))</f>
        <v/>
      </c>
      <c r="O304" s="187"/>
      <c r="P304" s="526"/>
      <c r="Q304" s="900" t="str">
        <f ca="1">IF(OR($H$7&lt;4,Q$260&lt;3),"",IF(P304&lt;&gt;"",P304,IFERROR(IF(INDIRECT("'"&amp;P$86&amp;"'!"&amp;VLOOKUP(P$87,'List Values'!$C$3:$D$6,2,FALSE)&amp;ROW(P304))="","",INDIRECT("'"&amp;P$86&amp;"'!"&amp;VLOOKUP(P$87,'List Values'!$C$3:$D$6,2,FALSE)&amp;ROW(P304))),IF(P$86&lt;&gt;"","Data Source Error",""))))</f>
        <v/>
      </c>
      <c r="S304" s="526"/>
      <c r="T304" s="900" t="str">
        <f ca="1">IF(OR($H$7&lt;5,T$260&lt;3),"",IF(S304&lt;&gt;"",S304,IFERROR(IF(INDIRECT("'"&amp;S$86&amp;"'!"&amp;VLOOKUP(S$87,'List Values'!$C$3:$D$6,2,FALSE)&amp;ROW(S304))="","",INDIRECT("'"&amp;S$86&amp;"'!"&amp;VLOOKUP(S$87,'List Values'!$C$3:$D$6,2,FALSE)&amp;ROW(S304))),IF(S$86&lt;&gt;"","Data Source Error",""))))</f>
        <v/>
      </c>
      <c r="V304" s="526"/>
      <c r="W304" s="911" t="str">
        <f ca="1">IF(OR($H$7&lt;6,W$260&lt;3),"",IF(V304&lt;&gt;"",V304,IFERROR(IF(INDIRECT("'"&amp;V$86&amp;"'!"&amp;VLOOKUP(V$87,'List Values'!$C$3:$D$6,2,FALSE)&amp;ROW(V304))="","",INDIRECT("'"&amp;V$86&amp;"'!"&amp;VLOOKUP(V$87,'List Values'!$C$3:$D$6,2,FALSE)&amp;ROW(V304))),IF(V$86&lt;&gt;"","Data Source Error",""))))</f>
        <v/>
      </c>
      <c r="Y304" s="2643"/>
      <c r="Z304" s="2644"/>
      <c r="AA304" s="2644"/>
      <c r="AB304" s="2645"/>
    </row>
    <row r="305" spans="1:28" ht="31" hidden="1" customHeight="1" outlineLevel="1">
      <c r="A305" s="514"/>
      <c r="B305" s="252"/>
      <c r="C305" s="2680" t="s">
        <v>627</v>
      </c>
      <c r="D305" s="2680"/>
      <c r="E305" s="2041"/>
      <c r="F305" s="2041"/>
      <c r="G305" s="636"/>
      <c r="H305" s="637"/>
      <c r="I305" s="187"/>
      <c r="J305" s="561"/>
      <c r="K305" s="900" t="str">
        <f ca="1">IF(OR($H$7&lt;2,K$260&lt;3),"",IF(J305&lt;&gt;"",J305,IFERROR(IF(INDIRECT("'"&amp;J$86&amp;"'!"&amp;VLOOKUP(J$87,'List Values'!$C$3:$D$6,2,FALSE)&amp;ROW(J305))="","",INDIRECT("'"&amp;J$86&amp;"'!"&amp;VLOOKUP(J$87,'List Values'!$C$3:$D$6,2,FALSE)&amp;ROW(J305))),IF(J$86&lt;&gt;"","Data Source Error",""))))</f>
        <v/>
      </c>
      <c r="L305" s="187"/>
      <c r="M305" s="561"/>
      <c r="N305" s="900" t="str">
        <f ca="1">IF(OR($H$7&lt;3,N$260&lt;3),"",IF(M305&lt;&gt;"",M305,IFERROR(IF(INDIRECT("'"&amp;M$86&amp;"'!"&amp;VLOOKUP(M$87,'List Values'!$C$3:$D$6,2,FALSE)&amp;ROW(M305))="","",INDIRECT("'"&amp;M$86&amp;"'!"&amp;VLOOKUP(M$87,'List Values'!$C$3:$D$6,2,FALSE)&amp;ROW(M305))),IF(M$86&lt;&gt;"","Data Source Error",""))))</f>
        <v/>
      </c>
      <c r="O305" s="187"/>
      <c r="P305" s="561"/>
      <c r="Q305" s="900" t="str">
        <f ca="1">IF(OR($H$7&lt;4,Q$260&lt;3),"",IF(P305&lt;&gt;"",P305,IFERROR(IF(INDIRECT("'"&amp;P$86&amp;"'!"&amp;VLOOKUP(P$87,'List Values'!$C$3:$D$6,2,FALSE)&amp;ROW(P305))="","",INDIRECT("'"&amp;P$86&amp;"'!"&amp;VLOOKUP(P$87,'List Values'!$C$3:$D$6,2,FALSE)&amp;ROW(P305))),IF(P$86&lt;&gt;"","Data Source Error",""))))</f>
        <v/>
      </c>
      <c r="S305" s="561"/>
      <c r="T305" s="900" t="str">
        <f ca="1">IF(OR($H$7&lt;5,T$260&lt;3),"",IF(S305&lt;&gt;"",S305,IFERROR(IF(INDIRECT("'"&amp;S$86&amp;"'!"&amp;VLOOKUP(S$87,'List Values'!$C$3:$D$6,2,FALSE)&amp;ROW(S305))="","",INDIRECT("'"&amp;S$86&amp;"'!"&amp;VLOOKUP(S$87,'List Values'!$C$3:$D$6,2,FALSE)&amp;ROW(S305))),IF(S$86&lt;&gt;"","Data Source Error",""))))</f>
        <v/>
      </c>
      <c r="V305" s="561"/>
      <c r="W305" s="911" t="str">
        <f ca="1">IF(OR($H$7&lt;6,W$260&lt;3),"",IF(V305&lt;&gt;"",V305,IFERROR(IF(INDIRECT("'"&amp;V$86&amp;"'!"&amp;VLOOKUP(V$87,'List Values'!$C$3:$D$6,2,FALSE)&amp;ROW(V305))="","",INDIRECT("'"&amp;V$86&amp;"'!"&amp;VLOOKUP(V$87,'List Values'!$C$3:$D$6,2,FALSE)&amp;ROW(V305))),IF(V$86&lt;&gt;"","Data Source Error",""))))</f>
        <v/>
      </c>
      <c r="Y305" s="2643"/>
      <c r="Z305" s="2644"/>
      <c r="AA305" s="2644"/>
      <c r="AB305" s="2645"/>
    </row>
    <row r="306" spans="1:28" ht="31" hidden="1" customHeight="1" outlineLevel="1">
      <c r="A306" s="514"/>
      <c r="B306" s="252"/>
      <c r="C306" s="2684" t="s">
        <v>628</v>
      </c>
      <c r="D306" s="2684"/>
      <c r="E306" s="2041"/>
      <c r="F306" s="2041"/>
      <c r="G306" s="636"/>
      <c r="H306" s="637"/>
      <c r="I306" s="187"/>
      <c r="J306" s="526"/>
      <c r="K306" s="900" t="str">
        <f ca="1">IF(OR($H$7&lt;2,K$260&lt;3),"",IF(J306&lt;&gt;"",J306,IFERROR(IF(INDIRECT("'"&amp;J$86&amp;"'!"&amp;VLOOKUP(J$87,'List Values'!$C$3:$D$6,2,FALSE)&amp;ROW(J306))="","",INDIRECT("'"&amp;J$86&amp;"'!"&amp;VLOOKUP(J$87,'List Values'!$C$3:$D$6,2,FALSE)&amp;ROW(J306))),IF(J$86&lt;&gt;"","Data Source Error",""))))</f>
        <v/>
      </c>
      <c r="L306" s="187"/>
      <c r="M306" s="526"/>
      <c r="N306" s="900" t="str">
        <f ca="1">IF(OR($H$7&lt;3,N$260&lt;3),"",IF(M306&lt;&gt;"",M306,IFERROR(IF(INDIRECT("'"&amp;M$86&amp;"'!"&amp;VLOOKUP(M$87,'List Values'!$C$3:$D$6,2,FALSE)&amp;ROW(M306))="","",INDIRECT("'"&amp;M$86&amp;"'!"&amp;VLOOKUP(M$87,'List Values'!$C$3:$D$6,2,FALSE)&amp;ROW(M306))),IF(M$86&lt;&gt;"","Data Source Error",""))))</f>
        <v/>
      </c>
      <c r="O306" s="187"/>
      <c r="P306" s="526"/>
      <c r="Q306" s="900" t="str">
        <f ca="1">IF(OR($H$7&lt;4,Q$260&lt;3),"",IF(P306&lt;&gt;"",P306,IFERROR(IF(INDIRECT("'"&amp;P$86&amp;"'!"&amp;VLOOKUP(P$87,'List Values'!$C$3:$D$6,2,FALSE)&amp;ROW(P306))="","",INDIRECT("'"&amp;P$86&amp;"'!"&amp;VLOOKUP(P$87,'List Values'!$C$3:$D$6,2,FALSE)&amp;ROW(P306))),IF(P$86&lt;&gt;"","Data Source Error",""))))</f>
        <v/>
      </c>
      <c r="S306" s="526"/>
      <c r="T306" s="900" t="str">
        <f ca="1">IF(OR($H$7&lt;5,T$260&lt;3),"",IF(S306&lt;&gt;"",S306,IFERROR(IF(INDIRECT("'"&amp;S$86&amp;"'!"&amp;VLOOKUP(S$87,'List Values'!$C$3:$D$6,2,FALSE)&amp;ROW(S306))="","",INDIRECT("'"&amp;S$86&amp;"'!"&amp;VLOOKUP(S$87,'List Values'!$C$3:$D$6,2,FALSE)&amp;ROW(S306))),IF(S$86&lt;&gt;"","Data Source Error",""))))</f>
        <v/>
      </c>
      <c r="V306" s="526"/>
      <c r="W306" s="911" t="str">
        <f ca="1">IF(OR($H$7&lt;6,W$260&lt;3),"",IF(V306&lt;&gt;"",V306,IFERROR(IF(INDIRECT("'"&amp;V$86&amp;"'!"&amp;VLOOKUP(V$87,'List Values'!$C$3:$D$6,2,FALSE)&amp;ROW(V306))="","",INDIRECT("'"&amp;V$86&amp;"'!"&amp;VLOOKUP(V$87,'List Values'!$C$3:$D$6,2,FALSE)&amp;ROW(V306))),IF(V$86&lt;&gt;"","Data Source Error",""))))</f>
        <v/>
      </c>
      <c r="Y306" s="2643"/>
      <c r="Z306" s="2644"/>
      <c r="AA306" s="2644"/>
      <c r="AB306" s="2645"/>
    </row>
    <row r="307" spans="1:28" ht="33" hidden="1" customHeight="1" outlineLevel="1">
      <c r="A307" s="514"/>
      <c r="B307" s="252"/>
      <c r="C307" s="2684" t="s">
        <v>629</v>
      </c>
      <c r="D307" s="2684"/>
      <c r="E307" s="2041"/>
      <c r="F307" s="2041"/>
      <c r="G307" s="636"/>
      <c r="H307" s="637"/>
      <c r="I307" s="187"/>
      <c r="J307" s="568"/>
      <c r="K307" s="945" t="str">
        <f ca="1">IF(OR($H$7&lt;2,K$260&lt;3),"",IF(J307&lt;&gt;"",J307,IFERROR(IF(INDIRECT("'"&amp;J$86&amp;"'!"&amp;VLOOKUP(J$87,'List Values'!$C$3:$D$6,2,FALSE)&amp;ROW(J307))="","",INDIRECT("'"&amp;J$86&amp;"'!"&amp;VLOOKUP(J$87,'List Values'!$C$3:$D$6,2,FALSE)&amp;ROW(J307))),IF(J$86&lt;&gt;"","Data Source Error",""))))</f>
        <v/>
      </c>
      <c r="L307" s="339"/>
      <c r="M307" s="568"/>
      <c r="N307" s="945" t="str">
        <f ca="1">IF(OR($H$7&lt;3,N$260&lt;3),"",IF(M307&lt;&gt;"",M307,IFERROR(IF(INDIRECT("'"&amp;M$86&amp;"'!"&amp;VLOOKUP(M$87,'List Values'!$C$3:$D$6,2,FALSE)&amp;ROW(M307))="","",INDIRECT("'"&amp;M$86&amp;"'!"&amp;VLOOKUP(M$87,'List Values'!$C$3:$D$6,2,FALSE)&amp;ROW(M307))),IF(M$86&lt;&gt;"","Data Source Error",""))))</f>
        <v/>
      </c>
      <c r="O307" s="339"/>
      <c r="P307" s="568"/>
      <c r="Q307" s="945" t="str">
        <f ca="1">IF(OR($H$7&lt;4,Q$260&lt;3),"",IF(P307&lt;&gt;"",P307,IFERROR(IF(INDIRECT("'"&amp;P$86&amp;"'!"&amp;VLOOKUP(P$87,'List Values'!$C$3:$D$6,2,FALSE)&amp;ROW(P307))="","",INDIRECT("'"&amp;P$86&amp;"'!"&amp;VLOOKUP(P$87,'List Values'!$C$3:$D$6,2,FALSE)&amp;ROW(P307))),IF(P$86&lt;&gt;"","Data Source Error",""))))</f>
        <v/>
      </c>
      <c r="R307" s="7"/>
      <c r="S307" s="568"/>
      <c r="T307" s="945" t="str">
        <f ca="1">IF(OR($H$7&lt;5,T$260&lt;3),"",IF(S307&lt;&gt;"",S307,IFERROR(IF(INDIRECT("'"&amp;S$86&amp;"'!"&amp;VLOOKUP(S$87,'List Values'!$C$3:$D$6,2,FALSE)&amp;ROW(S307))="","",INDIRECT("'"&amp;S$86&amp;"'!"&amp;VLOOKUP(S$87,'List Values'!$C$3:$D$6,2,FALSE)&amp;ROW(S307))),IF(S$86&lt;&gt;"","Data Source Error",""))))</f>
        <v/>
      </c>
      <c r="U307" s="7"/>
      <c r="V307" s="568"/>
      <c r="W307" s="952" t="str">
        <f ca="1">IF(OR($H$7&lt;6,W$260&lt;3),"",IF(V307&lt;&gt;"",V307,IFERROR(IF(INDIRECT("'"&amp;V$86&amp;"'!"&amp;VLOOKUP(V$87,'List Values'!$C$3:$D$6,2,FALSE)&amp;ROW(V307))="","",INDIRECT("'"&amp;V$86&amp;"'!"&amp;VLOOKUP(V$87,'List Values'!$C$3:$D$6,2,FALSE)&amp;ROW(V307))),IF(V$86&lt;&gt;"","Data Source Error",""))))</f>
        <v/>
      </c>
      <c r="Y307" s="2643"/>
      <c r="Z307" s="2644"/>
      <c r="AA307" s="2644"/>
      <c r="AB307" s="2645"/>
    </row>
    <row r="308" spans="1:28" ht="15.75" hidden="1" customHeight="1" outlineLevel="1">
      <c r="A308" s="514"/>
      <c r="B308" s="252"/>
      <c r="C308" s="2680" t="s">
        <v>630</v>
      </c>
      <c r="D308" s="2680"/>
      <c r="E308" s="2041"/>
      <c r="F308" s="2041"/>
      <c r="G308" s="636"/>
      <c r="H308" s="637"/>
      <c r="I308" s="187"/>
      <c r="J308" s="526"/>
      <c r="K308" s="900" t="str">
        <f ca="1">IF(OR($H$7&lt;2,K$260&lt;3),"",IF(J308&lt;&gt;"",J308,IFERROR(IF(INDIRECT("'"&amp;J$86&amp;"'!"&amp;VLOOKUP(J$87,'List Values'!$C$3:$D$6,2,FALSE)&amp;ROW(J308))="","",INDIRECT("'"&amp;J$86&amp;"'!"&amp;VLOOKUP(J$87,'List Values'!$C$3:$D$6,2,FALSE)&amp;ROW(J308))),IF(J$86&lt;&gt;"","Data Source Error",""))))</f>
        <v/>
      </c>
      <c r="L308" s="187"/>
      <c r="M308" s="526"/>
      <c r="N308" s="900" t="str">
        <f ca="1">IF(OR($H$7&lt;3,N$260&lt;3),"",IF(M308&lt;&gt;"",M308,IFERROR(IF(INDIRECT("'"&amp;M$86&amp;"'!"&amp;VLOOKUP(M$87,'List Values'!$C$3:$D$6,2,FALSE)&amp;ROW(M308))="","",INDIRECT("'"&amp;M$86&amp;"'!"&amp;VLOOKUP(M$87,'List Values'!$C$3:$D$6,2,FALSE)&amp;ROW(M308))),IF(M$86&lt;&gt;"","Data Source Error",""))))</f>
        <v/>
      </c>
      <c r="O308" s="187"/>
      <c r="P308" s="526"/>
      <c r="Q308" s="900" t="str">
        <f ca="1">IF(OR($H$7&lt;4,Q$260&lt;3),"",IF(P308&lt;&gt;"",P308,IFERROR(IF(INDIRECT("'"&amp;P$86&amp;"'!"&amp;VLOOKUP(P$87,'List Values'!$C$3:$D$6,2,FALSE)&amp;ROW(P308))="","",INDIRECT("'"&amp;P$86&amp;"'!"&amp;VLOOKUP(P$87,'List Values'!$C$3:$D$6,2,FALSE)&amp;ROW(P308))),IF(P$86&lt;&gt;"","Data Source Error",""))))</f>
        <v/>
      </c>
      <c r="S308" s="526"/>
      <c r="T308" s="900" t="str">
        <f ca="1">IF(OR($H$7&lt;5,T$260&lt;3),"",IF(S308&lt;&gt;"",S308,IFERROR(IF(INDIRECT("'"&amp;S$86&amp;"'!"&amp;VLOOKUP(S$87,'List Values'!$C$3:$D$6,2,FALSE)&amp;ROW(S308))="","",INDIRECT("'"&amp;S$86&amp;"'!"&amp;VLOOKUP(S$87,'List Values'!$C$3:$D$6,2,FALSE)&amp;ROW(S308))),IF(S$86&lt;&gt;"","Data Source Error",""))))</f>
        <v/>
      </c>
      <c r="V308" s="526"/>
      <c r="W308" s="911" t="str">
        <f ca="1">IF(OR($H$7&lt;6,W$260&lt;3),"",IF(V308&lt;&gt;"",V308,IFERROR(IF(INDIRECT("'"&amp;V$86&amp;"'!"&amp;VLOOKUP(V$87,'List Values'!$C$3:$D$6,2,FALSE)&amp;ROW(V308))="","",INDIRECT("'"&amp;V$86&amp;"'!"&amp;VLOOKUP(V$87,'List Values'!$C$3:$D$6,2,FALSE)&amp;ROW(V308))),IF(V$86&lt;&gt;"","Data Source Error",""))))</f>
        <v/>
      </c>
      <c r="Y308" s="2643"/>
      <c r="Z308" s="2644"/>
      <c r="AA308" s="2644"/>
      <c r="AB308" s="2645"/>
    </row>
    <row r="309" spans="1:28" ht="31" hidden="1" customHeight="1" outlineLevel="1">
      <c r="A309" s="514"/>
      <c r="B309" s="252"/>
      <c r="C309" s="2684" t="s">
        <v>634</v>
      </c>
      <c r="D309" s="2684"/>
      <c r="E309" s="202"/>
      <c r="F309" s="202"/>
      <c r="G309" s="634"/>
      <c r="H309" s="635"/>
      <c r="I309" s="183"/>
      <c r="J309" s="553"/>
      <c r="K309" s="897" t="str">
        <f ca="1">IF(OR($H$7&lt;2,K$260&lt;3),"",IF(J309&lt;&gt;"",J309,IFERROR(IF(INDIRECT("'"&amp;J$86&amp;"'!"&amp;VLOOKUP(J$87,'List Values'!$C$3:$D$6,2,FALSE)&amp;ROW(J309))="","",INDIRECT("'"&amp;J$86&amp;"'!"&amp;VLOOKUP(J$87,'List Values'!$C$3:$D$6,2,FALSE)&amp;ROW(J309))),IF(J$86&lt;&gt;"","Data Source Error",""))))</f>
        <v/>
      </c>
      <c r="L309" s="183"/>
      <c r="M309" s="553"/>
      <c r="N309" s="897" t="str">
        <f ca="1">IF(OR($H$7&lt;3,N$260&lt;3),"",IF(M309&lt;&gt;"",M309,IFERROR(IF(INDIRECT("'"&amp;M$86&amp;"'!"&amp;VLOOKUP(M$87,'List Values'!$C$3:$D$6,2,FALSE)&amp;ROW(M309))="","",INDIRECT("'"&amp;M$86&amp;"'!"&amp;VLOOKUP(M$87,'List Values'!$C$3:$D$6,2,FALSE)&amp;ROW(M309))),IF(M$86&lt;&gt;"","Data Source Error",""))))</f>
        <v/>
      </c>
      <c r="O309" s="183"/>
      <c r="P309" s="553"/>
      <c r="Q309" s="897" t="str">
        <f ca="1">IF(OR($H$7&lt;4,Q$260&lt;3),"",IF(P309&lt;&gt;"",P309,IFERROR(IF(INDIRECT("'"&amp;P$86&amp;"'!"&amp;VLOOKUP(P$87,'List Values'!$C$3:$D$6,2,FALSE)&amp;ROW(P309))="","",INDIRECT("'"&amp;P$86&amp;"'!"&amp;VLOOKUP(P$87,'List Values'!$C$3:$D$6,2,FALSE)&amp;ROW(P309))),IF(P$86&lt;&gt;"","Data Source Error",""))))</f>
        <v/>
      </c>
      <c r="S309" s="553"/>
      <c r="T309" s="897" t="str">
        <f ca="1">IF(OR($H$7&lt;5,T$260&lt;3),"",IF(S309&lt;&gt;"",S309,IFERROR(IF(INDIRECT("'"&amp;S$86&amp;"'!"&amp;VLOOKUP(S$87,'List Values'!$C$3:$D$6,2,FALSE)&amp;ROW(S309))="","",INDIRECT("'"&amp;S$86&amp;"'!"&amp;VLOOKUP(S$87,'List Values'!$C$3:$D$6,2,FALSE)&amp;ROW(S309))),IF(S$86&lt;&gt;"","Data Source Error",""))))</f>
        <v/>
      </c>
      <c r="V309" s="553"/>
      <c r="W309" s="908" t="str">
        <f ca="1">IF(OR($H$7&lt;6,W$260&lt;3),"",IF(V309&lt;&gt;"",V309,IFERROR(IF(INDIRECT("'"&amp;V$86&amp;"'!"&amp;VLOOKUP(V$87,'List Values'!$C$3:$D$6,2,FALSE)&amp;ROW(V309))="","",INDIRECT("'"&amp;V$86&amp;"'!"&amp;VLOOKUP(V$87,'List Values'!$C$3:$D$6,2,FALSE)&amp;ROW(V309))),IF(V$86&lt;&gt;"","Data Source Error",""))))</f>
        <v/>
      </c>
      <c r="Y309" s="2643"/>
      <c r="Z309" s="2644"/>
      <c r="AA309" s="2644"/>
      <c r="AB309" s="2645"/>
    </row>
    <row r="310" spans="1:28" ht="31" hidden="1" customHeight="1" outlineLevel="1">
      <c r="A310" s="514"/>
      <c r="B310" s="252"/>
      <c r="C310" s="2680" t="s">
        <v>1551</v>
      </c>
      <c r="D310" s="2680"/>
      <c r="E310" s="2041"/>
      <c r="F310" s="2041"/>
      <c r="G310" s="636"/>
      <c r="H310" s="637"/>
      <c r="I310" s="187"/>
      <c r="J310" s="619"/>
      <c r="K310" s="898" t="str">
        <f ca="1">IF(OR($H$7&lt;2,K$260&lt;3),"",IF(J310&lt;&gt;"",J310,IFERROR(IF(INDIRECT("'"&amp;J$86&amp;"'!"&amp;VLOOKUP(J$87,'List Values'!$C$3:$D$6,2,FALSE)&amp;ROW(J310))="","",INDIRECT("'"&amp;J$86&amp;"'!"&amp;VLOOKUP(J$87,'List Values'!$C$3:$D$6,2,FALSE)&amp;ROW(J310))),IF(J$86&lt;&gt;"","Data Source Error",""))))</f>
        <v/>
      </c>
      <c r="L310" s="621"/>
      <c r="M310" s="619"/>
      <c r="N310" s="898" t="str">
        <f ca="1">IF(OR($H$7&lt;3,N$260&lt;3),"",IF(M310&lt;&gt;"",M310,IFERROR(IF(INDIRECT("'"&amp;M$86&amp;"'!"&amp;VLOOKUP(M$87,'List Values'!$C$3:$D$6,2,FALSE)&amp;ROW(M310))="","",INDIRECT("'"&amp;M$86&amp;"'!"&amp;VLOOKUP(M$87,'List Values'!$C$3:$D$6,2,FALSE)&amp;ROW(M310))),IF(M$86&lt;&gt;"","Data Source Error",""))))</f>
        <v/>
      </c>
      <c r="O310" s="621"/>
      <c r="P310" s="619"/>
      <c r="Q310" s="898" t="str">
        <f ca="1">IF(OR($H$7&lt;4,Q$260&lt;3),"",IF(P310&lt;&gt;"",P310,IFERROR(IF(INDIRECT("'"&amp;P$86&amp;"'!"&amp;VLOOKUP(P$87,'List Values'!$C$3:$D$6,2,FALSE)&amp;ROW(P310))="","",INDIRECT("'"&amp;P$86&amp;"'!"&amp;VLOOKUP(P$87,'List Values'!$C$3:$D$6,2,FALSE)&amp;ROW(P310))),IF(P$86&lt;&gt;"","Data Source Error",""))))</f>
        <v/>
      </c>
      <c r="R310" s="147"/>
      <c r="S310" s="619"/>
      <c r="T310" s="898" t="str">
        <f ca="1">IF(OR($H$7&lt;5,T$260&lt;3),"",IF(S310&lt;&gt;"",S310,IFERROR(IF(INDIRECT("'"&amp;S$86&amp;"'!"&amp;VLOOKUP(S$87,'List Values'!$C$3:$D$6,2,FALSE)&amp;ROW(S310))="","",INDIRECT("'"&amp;S$86&amp;"'!"&amp;VLOOKUP(S$87,'List Values'!$C$3:$D$6,2,FALSE)&amp;ROW(S310))),IF(S$86&lt;&gt;"","Data Source Error",""))))</f>
        <v/>
      </c>
      <c r="U310" s="147"/>
      <c r="V310" s="619"/>
      <c r="W310" s="909" t="str">
        <f ca="1">IF(OR($H$7&lt;6,W$260&lt;3),"",IF(V310&lt;&gt;"",V310,IFERROR(IF(INDIRECT("'"&amp;V$86&amp;"'!"&amp;VLOOKUP(V$87,'List Values'!$C$3:$D$6,2,FALSE)&amp;ROW(V310))="","",INDIRECT("'"&amp;V$86&amp;"'!"&amp;VLOOKUP(V$87,'List Values'!$C$3:$D$6,2,FALSE)&amp;ROW(V310))),IF(V$86&lt;&gt;"","Data Source Error",""))))</f>
        <v/>
      </c>
      <c r="Y310" s="2643"/>
      <c r="Z310" s="2644"/>
      <c r="AA310" s="2644"/>
      <c r="AB310" s="2645"/>
    </row>
    <row r="311" spans="1:28" ht="31" hidden="1" customHeight="1" outlineLevel="1">
      <c r="A311" s="514"/>
      <c r="B311" s="252"/>
      <c r="C311" s="2680" t="s">
        <v>1552</v>
      </c>
      <c r="D311" s="2680"/>
      <c r="E311" s="2041"/>
      <c r="F311" s="2041"/>
      <c r="G311" s="636"/>
      <c r="H311" s="637"/>
      <c r="I311" s="187"/>
      <c r="J311" s="619"/>
      <c r="K311" s="898" t="str">
        <f ca="1">IF(OR($H$7&lt;2,K$260&lt;3),"",IF(J311&lt;&gt;"",J311,IFERROR(IF(INDIRECT("'"&amp;J$86&amp;"'!"&amp;VLOOKUP(J$87,'List Values'!$C$3:$D$6,2,FALSE)&amp;ROW(J311))="","",INDIRECT("'"&amp;J$86&amp;"'!"&amp;VLOOKUP(J$87,'List Values'!$C$3:$D$6,2,FALSE)&amp;ROW(J311))),IF(J$86&lt;&gt;"","Data Source Error",""))))</f>
        <v/>
      </c>
      <c r="L311" s="621"/>
      <c r="M311" s="619"/>
      <c r="N311" s="898" t="str">
        <f ca="1">IF(OR($H$7&lt;3,N$260&lt;3),"",IF(M311&lt;&gt;"",M311,IFERROR(IF(INDIRECT("'"&amp;M$86&amp;"'!"&amp;VLOOKUP(M$87,'List Values'!$C$3:$D$6,2,FALSE)&amp;ROW(M311))="","",INDIRECT("'"&amp;M$86&amp;"'!"&amp;VLOOKUP(M$87,'List Values'!$C$3:$D$6,2,FALSE)&amp;ROW(M311))),IF(M$86&lt;&gt;"","Data Source Error",""))))</f>
        <v/>
      </c>
      <c r="O311" s="621"/>
      <c r="P311" s="619"/>
      <c r="Q311" s="898" t="str">
        <f ca="1">IF(OR($H$7&lt;4,Q$260&lt;3),"",IF(P311&lt;&gt;"",P311,IFERROR(IF(INDIRECT("'"&amp;P$86&amp;"'!"&amp;VLOOKUP(P$87,'List Values'!$C$3:$D$6,2,FALSE)&amp;ROW(P311))="","",INDIRECT("'"&amp;P$86&amp;"'!"&amp;VLOOKUP(P$87,'List Values'!$C$3:$D$6,2,FALSE)&amp;ROW(P311))),IF(P$86&lt;&gt;"","Data Source Error",""))))</f>
        <v/>
      </c>
      <c r="R311" s="147"/>
      <c r="S311" s="619"/>
      <c r="T311" s="898" t="str">
        <f ca="1">IF(OR($H$7&lt;5,T$260&lt;3),"",IF(S311&lt;&gt;"",S311,IFERROR(IF(INDIRECT("'"&amp;S$86&amp;"'!"&amp;VLOOKUP(S$87,'List Values'!$C$3:$D$6,2,FALSE)&amp;ROW(S311))="","",INDIRECT("'"&amp;S$86&amp;"'!"&amp;VLOOKUP(S$87,'List Values'!$C$3:$D$6,2,FALSE)&amp;ROW(S311))),IF(S$86&lt;&gt;"","Data Source Error",""))))</f>
        <v/>
      </c>
      <c r="U311" s="147"/>
      <c r="V311" s="619"/>
      <c r="W311" s="909" t="str">
        <f ca="1">IF(OR($H$7&lt;6,W$260&lt;3),"",IF(V311&lt;&gt;"",V311,IFERROR(IF(INDIRECT("'"&amp;V$86&amp;"'!"&amp;VLOOKUP(V$87,'List Values'!$C$3:$D$6,2,FALSE)&amp;ROW(V311))="","",INDIRECT("'"&amp;V$86&amp;"'!"&amp;VLOOKUP(V$87,'List Values'!$C$3:$D$6,2,FALSE)&amp;ROW(V311))),IF(V$86&lt;&gt;"","Data Source Error",""))))</f>
        <v/>
      </c>
      <c r="Y311" s="2643"/>
      <c r="Z311" s="2644"/>
      <c r="AA311" s="2644"/>
      <c r="AB311" s="2645"/>
    </row>
    <row r="312" spans="1:28" ht="33" hidden="1" customHeight="1" outlineLevel="1">
      <c r="A312" s="514"/>
      <c r="B312" s="252"/>
      <c r="C312" s="2680" t="s">
        <v>331</v>
      </c>
      <c r="D312" s="2680"/>
      <c r="E312" s="2041"/>
      <c r="F312" s="2041"/>
      <c r="G312" s="636"/>
      <c r="H312" s="637"/>
      <c r="I312" s="187"/>
      <c r="J312" s="526"/>
      <c r="K312" s="900" t="str">
        <f ca="1">IF(OR($H$7&lt;2,K$260&lt;3),"",IF(J312&lt;&gt;"",J312,IFERROR(IF(INDIRECT("'"&amp;J$86&amp;"'!"&amp;VLOOKUP(J$87,'List Values'!$C$3:$D$6,2,FALSE)&amp;ROW(J312))="","",INDIRECT("'"&amp;J$86&amp;"'!"&amp;VLOOKUP(J$87,'List Values'!$C$3:$D$6,2,FALSE)&amp;ROW(J312))),IF(J$86&lt;&gt;"","Data Source Error",""))))</f>
        <v/>
      </c>
      <c r="L312" s="187"/>
      <c r="M312" s="526"/>
      <c r="N312" s="900" t="str">
        <f ca="1">IF(OR($H$7&lt;3,N$260&lt;3),"",IF(M312&lt;&gt;"",M312,IFERROR(IF(INDIRECT("'"&amp;M$86&amp;"'!"&amp;VLOOKUP(M$87,'List Values'!$C$3:$D$6,2,FALSE)&amp;ROW(M312))="","",INDIRECT("'"&amp;M$86&amp;"'!"&amp;VLOOKUP(M$87,'List Values'!$C$3:$D$6,2,FALSE)&amp;ROW(M312))),IF(M$86&lt;&gt;"","Data Source Error",""))))</f>
        <v/>
      </c>
      <c r="O312" s="187"/>
      <c r="P312" s="526"/>
      <c r="Q312" s="900" t="str">
        <f ca="1">IF(OR($H$7&lt;4,Q$260&lt;3),"",IF(P312&lt;&gt;"",P312,IFERROR(IF(INDIRECT("'"&amp;P$86&amp;"'!"&amp;VLOOKUP(P$87,'List Values'!$C$3:$D$6,2,FALSE)&amp;ROW(P312))="","",INDIRECT("'"&amp;P$86&amp;"'!"&amp;VLOOKUP(P$87,'List Values'!$C$3:$D$6,2,FALSE)&amp;ROW(P312))),IF(P$86&lt;&gt;"","Data Source Error",""))))</f>
        <v/>
      </c>
      <c r="S312" s="526"/>
      <c r="T312" s="900" t="str">
        <f ca="1">IF(OR($H$7&lt;5,T$260&lt;3),"",IF(S312&lt;&gt;"",S312,IFERROR(IF(INDIRECT("'"&amp;S$86&amp;"'!"&amp;VLOOKUP(S$87,'List Values'!$C$3:$D$6,2,FALSE)&amp;ROW(S312))="","",INDIRECT("'"&amp;S$86&amp;"'!"&amp;VLOOKUP(S$87,'List Values'!$C$3:$D$6,2,FALSE)&amp;ROW(S312))),IF(S$86&lt;&gt;"","Data Source Error",""))))</f>
        <v/>
      </c>
      <c r="V312" s="526"/>
      <c r="W312" s="911" t="str">
        <f ca="1">IF(OR($H$7&lt;6,W$260&lt;3),"",IF(V312&lt;&gt;"",V312,IFERROR(IF(INDIRECT("'"&amp;V$86&amp;"'!"&amp;VLOOKUP(V$87,'List Values'!$C$3:$D$6,2,FALSE)&amp;ROW(V312))="","",INDIRECT("'"&amp;V$86&amp;"'!"&amp;VLOOKUP(V$87,'List Values'!$C$3:$D$6,2,FALSE)&amp;ROW(V312))),IF(V$86&lt;&gt;"","Data Source Error",""))))</f>
        <v/>
      </c>
      <c r="Y312" s="2643"/>
      <c r="Z312" s="2644"/>
      <c r="AA312" s="2644"/>
      <c r="AB312" s="2645"/>
    </row>
    <row r="313" spans="1:28" ht="15.75" hidden="1" customHeight="1" outlineLevel="1">
      <c r="A313" s="514"/>
      <c r="B313" s="252"/>
      <c r="C313" s="2684" t="s">
        <v>332</v>
      </c>
      <c r="D313" s="2684"/>
      <c r="E313" s="2041"/>
      <c r="F313" s="2041"/>
      <c r="G313" s="636"/>
      <c r="H313" s="637"/>
      <c r="I313" s="187"/>
      <c r="J313" s="580"/>
      <c r="K313" s="900" t="str">
        <f ca="1">IF(OR($H$7&lt;2,K$260&lt;3),"",IF(J313&lt;&gt;"",J313,IFERROR(IF(INDIRECT("'"&amp;J$86&amp;"'!"&amp;VLOOKUP(J$87,'List Values'!$C$3:$D$6,2,FALSE)&amp;ROW(J313))="","",INDIRECT("'"&amp;J$86&amp;"'!"&amp;VLOOKUP(J$87,'List Values'!$C$3:$D$6,2,FALSE)&amp;ROW(J313))),IF(J$86&lt;&gt;"","Data Source Error",""))))</f>
        <v/>
      </c>
      <c r="L313" s="187"/>
      <c r="M313" s="580"/>
      <c r="N313" s="900" t="str">
        <f ca="1">IF(OR($H$7&lt;3,N$260&lt;3),"",IF(M313&lt;&gt;"",M313,IFERROR(IF(INDIRECT("'"&amp;M$86&amp;"'!"&amp;VLOOKUP(M$87,'List Values'!$C$3:$D$6,2,FALSE)&amp;ROW(M313))="","",INDIRECT("'"&amp;M$86&amp;"'!"&amp;VLOOKUP(M$87,'List Values'!$C$3:$D$6,2,FALSE)&amp;ROW(M313))),IF(M$86&lt;&gt;"","Data Source Error",""))))</f>
        <v/>
      </c>
      <c r="O313" s="187"/>
      <c r="P313" s="580"/>
      <c r="Q313" s="900" t="str">
        <f ca="1">IF(OR($H$7&lt;4,Q$260&lt;3),"",IF(P313&lt;&gt;"",P313,IFERROR(IF(INDIRECT("'"&amp;P$86&amp;"'!"&amp;VLOOKUP(P$87,'List Values'!$C$3:$D$6,2,FALSE)&amp;ROW(P313))="","",INDIRECT("'"&amp;P$86&amp;"'!"&amp;VLOOKUP(P$87,'List Values'!$C$3:$D$6,2,FALSE)&amp;ROW(P313))),IF(P$86&lt;&gt;"","Data Source Error",""))))</f>
        <v/>
      </c>
      <c r="S313" s="580"/>
      <c r="T313" s="900" t="str">
        <f ca="1">IF(OR($H$7&lt;5,T$260&lt;3),"",IF(S313&lt;&gt;"",S313,IFERROR(IF(INDIRECT("'"&amp;S$86&amp;"'!"&amp;VLOOKUP(S$87,'List Values'!$C$3:$D$6,2,FALSE)&amp;ROW(S313))="","",INDIRECT("'"&amp;S$86&amp;"'!"&amp;VLOOKUP(S$87,'List Values'!$C$3:$D$6,2,FALSE)&amp;ROW(S313))),IF(S$86&lt;&gt;"","Data Source Error",""))))</f>
        <v/>
      </c>
      <c r="V313" s="580"/>
      <c r="W313" s="911" t="str">
        <f ca="1">IF(OR($H$7&lt;6,W$260&lt;3),"",IF(V313&lt;&gt;"",V313,IFERROR(IF(INDIRECT("'"&amp;V$86&amp;"'!"&amp;VLOOKUP(V$87,'List Values'!$C$3:$D$6,2,FALSE)&amp;ROW(V313))="","",INDIRECT("'"&amp;V$86&amp;"'!"&amp;VLOOKUP(V$87,'List Values'!$C$3:$D$6,2,FALSE)&amp;ROW(V313))),IF(V$86&lt;&gt;"","Data Source Error",""))))</f>
        <v/>
      </c>
      <c r="Y313" s="2643"/>
      <c r="Z313" s="2644"/>
      <c r="AA313" s="2644"/>
      <c r="AB313" s="2645"/>
    </row>
    <row r="314" spans="1:28" ht="31.5" hidden="1" customHeight="1" outlineLevel="1">
      <c r="A314" s="514"/>
      <c r="B314" s="252"/>
      <c r="C314" s="2680" t="s">
        <v>839</v>
      </c>
      <c r="D314" s="2680"/>
      <c r="E314" s="2041"/>
      <c r="F314" s="2041"/>
      <c r="G314" s="636"/>
      <c r="H314" s="637"/>
      <c r="I314" s="187"/>
      <c r="J314" s="580"/>
      <c r="K314" s="900" t="str">
        <f ca="1">IF(OR($H$7&lt;2,K$260&lt;3),"",IF(J314&lt;&gt;"",J314,IFERROR(IF(INDIRECT("'"&amp;J$86&amp;"'!"&amp;VLOOKUP(J$87,'List Values'!$C$3:$D$6,2,FALSE)&amp;ROW(J314))="","",INDIRECT("'"&amp;J$86&amp;"'!"&amp;VLOOKUP(J$87,'List Values'!$C$3:$D$6,2,FALSE)&amp;ROW(J314))),IF(J$86&lt;&gt;"","Data Source Error",""))))</f>
        <v/>
      </c>
      <c r="L314" s="187"/>
      <c r="M314" s="580"/>
      <c r="N314" s="900" t="str">
        <f ca="1">IF(OR($H$7&lt;3,N$260&lt;3),"",IF(M314&lt;&gt;"",M314,IFERROR(IF(INDIRECT("'"&amp;M$86&amp;"'!"&amp;VLOOKUP(M$87,'List Values'!$C$3:$D$6,2,FALSE)&amp;ROW(M314))="","",INDIRECT("'"&amp;M$86&amp;"'!"&amp;VLOOKUP(M$87,'List Values'!$C$3:$D$6,2,FALSE)&amp;ROW(M314))),IF(M$86&lt;&gt;"","Data Source Error",""))))</f>
        <v/>
      </c>
      <c r="O314" s="187"/>
      <c r="P314" s="580"/>
      <c r="Q314" s="900" t="str">
        <f ca="1">IF(OR($H$7&lt;4,Q$260&lt;3),"",IF(P314&lt;&gt;"",P314,IFERROR(IF(INDIRECT("'"&amp;P$86&amp;"'!"&amp;VLOOKUP(P$87,'List Values'!$C$3:$D$6,2,FALSE)&amp;ROW(P314))="","",INDIRECT("'"&amp;P$86&amp;"'!"&amp;VLOOKUP(P$87,'List Values'!$C$3:$D$6,2,FALSE)&amp;ROW(P314))),IF(P$86&lt;&gt;"","Data Source Error",""))))</f>
        <v/>
      </c>
      <c r="S314" s="580"/>
      <c r="T314" s="900" t="str">
        <f ca="1">IF(OR($H$7&lt;5,T$260&lt;3),"",IF(S314&lt;&gt;"",S314,IFERROR(IF(INDIRECT("'"&amp;S$86&amp;"'!"&amp;VLOOKUP(S$87,'List Values'!$C$3:$D$6,2,FALSE)&amp;ROW(S314))="","",INDIRECT("'"&amp;S$86&amp;"'!"&amp;VLOOKUP(S$87,'List Values'!$C$3:$D$6,2,FALSE)&amp;ROW(S314))),IF(S$86&lt;&gt;"","Data Source Error",""))))</f>
        <v/>
      </c>
      <c r="V314" s="580"/>
      <c r="W314" s="911" t="str">
        <f ca="1">IF(OR($H$7&lt;6,W$260&lt;3),"",IF(V314&lt;&gt;"",V314,IFERROR(IF(INDIRECT("'"&amp;V$86&amp;"'!"&amp;VLOOKUP(V$87,'List Values'!$C$3:$D$6,2,FALSE)&amp;ROW(V314))="","",INDIRECT("'"&amp;V$86&amp;"'!"&amp;VLOOKUP(V$87,'List Values'!$C$3:$D$6,2,FALSE)&amp;ROW(V314))),IF(V$86&lt;&gt;"","Data Source Error",""))))</f>
        <v/>
      </c>
      <c r="Y314" s="2643"/>
      <c r="Z314" s="2644"/>
      <c r="AA314" s="2644"/>
      <c r="AB314" s="2645"/>
    </row>
    <row r="315" spans="1:28" ht="15.75" hidden="1" customHeight="1" outlineLevel="1">
      <c r="A315" s="514"/>
      <c r="B315" s="252"/>
      <c r="C315" s="2680" t="s">
        <v>334</v>
      </c>
      <c r="D315" s="2680"/>
      <c r="E315" s="2041"/>
      <c r="F315" s="2041"/>
      <c r="G315" s="636"/>
      <c r="H315" s="637"/>
      <c r="I315" s="187"/>
      <c r="J315" s="580"/>
      <c r="K315" s="900" t="str">
        <f ca="1">IF(OR($H$7&lt;2,K$260&lt;3),"",IF(J315&lt;&gt;"",J315,IFERROR(IF(INDIRECT("'"&amp;J$86&amp;"'!"&amp;VLOOKUP(J$87,'List Values'!$C$3:$D$6,2,FALSE)&amp;ROW(J315))="","",INDIRECT("'"&amp;J$86&amp;"'!"&amp;VLOOKUP(J$87,'List Values'!$C$3:$D$6,2,FALSE)&amp;ROW(J315))),IF(J$86&lt;&gt;"","Data Source Error",""))))</f>
        <v/>
      </c>
      <c r="L315" s="187"/>
      <c r="M315" s="580"/>
      <c r="N315" s="900" t="str">
        <f ca="1">IF(OR($H$7&lt;3,N$260&lt;3),"",IF(M315&lt;&gt;"",M315,IFERROR(IF(INDIRECT("'"&amp;M$86&amp;"'!"&amp;VLOOKUP(M$87,'List Values'!$C$3:$D$6,2,FALSE)&amp;ROW(M315))="","",INDIRECT("'"&amp;M$86&amp;"'!"&amp;VLOOKUP(M$87,'List Values'!$C$3:$D$6,2,FALSE)&amp;ROW(M315))),IF(M$86&lt;&gt;"","Data Source Error",""))))</f>
        <v/>
      </c>
      <c r="O315" s="187"/>
      <c r="P315" s="580"/>
      <c r="Q315" s="900" t="str">
        <f ca="1">IF(OR($H$7&lt;4,Q$260&lt;3),"",IF(P315&lt;&gt;"",P315,IFERROR(IF(INDIRECT("'"&amp;P$86&amp;"'!"&amp;VLOOKUP(P$87,'List Values'!$C$3:$D$6,2,FALSE)&amp;ROW(P315))="","",INDIRECT("'"&amp;P$86&amp;"'!"&amp;VLOOKUP(P$87,'List Values'!$C$3:$D$6,2,FALSE)&amp;ROW(P315))),IF(P$86&lt;&gt;"","Data Source Error",""))))</f>
        <v/>
      </c>
      <c r="S315" s="580"/>
      <c r="T315" s="900" t="str">
        <f ca="1">IF(OR($H$7&lt;5,T$260&lt;3),"",IF(S315&lt;&gt;"",S315,IFERROR(IF(INDIRECT("'"&amp;S$86&amp;"'!"&amp;VLOOKUP(S$87,'List Values'!$C$3:$D$6,2,FALSE)&amp;ROW(S315))="","",INDIRECT("'"&amp;S$86&amp;"'!"&amp;VLOOKUP(S$87,'List Values'!$C$3:$D$6,2,FALSE)&amp;ROW(S315))),IF(S$86&lt;&gt;"","Data Source Error",""))))</f>
        <v/>
      </c>
      <c r="V315" s="580"/>
      <c r="W315" s="911" t="str">
        <f ca="1">IF(OR($H$7&lt;6,W$260&lt;3),"",IF(V315&lt;&gt;"",V315,IFERROR(IF(INDIRECT("'"&amp;V$86&amp;"'!"&amp;VLOOKUP(V$87,'List Values'!$C$3:$D$6,2,FALSE)&amp;ROW(V315))="","",INDIRECT("'"&amp;V$86&amp;"'!"&amp;VLOOKUP(V$87,'List Values'!$C$3:$D$6,2,FALSE)&amp;ROW(V315))),IF(V$86&lt;&gt;"","Data Source Error",""))))</f>
        <v/>
      </c>
      <c r="Y315" s="2643"/>
      <c r="Z315" s="2644"/>
      <c r="AA315" s="2644"/>
      <c r="AB315" s="2645"/>
    </row>
    <row r="316" spans="1:28" ht="15.75" hidden="1" customHeight="1" outlineLevel="1">
      <c r="A316" s="514"/>
      <c r="B316" s="252"/>
      <c r="C316" s="2684" t="s">
        <v>335</v>
      </c>
      <c r="D316" s="2684"/>
      <c r="E316" s="2041"/>
      <c r="F316" s="2041"/>
      <c r="G316" s="636"/>
      <c r="H316" s="637"/>
      <c r="I316" s="187"/>
      <c r="J316" s="580"/>
      <c r="K316" s="900" t="str">
        <f ca="1">IF(OR($H$7&lt;2,K$260&lt;3),"",IF(J316&lt;&gt;"",J316,IFERROR(IF(INDIRECT("'"&amp;J$86&amp;"'!"&amp;VLOOKUP(J$87,'List Values'!$C$3:$D$6,2,FALSE)&amp;ROW(J316))="","",INDIRECT("'"&amp;J$86&amp;"'!"&amp;VLOOKUP(J$87,'List Values'!$C$3:$D$6,2,FALSE)&amp;ROW(J316))),IF(J$86&lt;&gt;"","Data Source Error",""))))</f>
        <v/>
      </c>
      <c r="L316" s="187"/>
      <c r="M316" s="580"/>
      <c r="N316" s="900" t="str">
        <f ca="1">IF(OR($H$7&lt;3,N$260&lt;3),"",IF(M316&lt;&gt;"",M316,IFERROR(IF(INDIRECT("'"&amp;M$86&amp;"'!"&amp;VLOOKUP(M$87,'List Values'!$C$3:$D$6,2,FALSE)&amp;ROW(M316))="","",INDIRECT("'"&amp;M$86&amp;"'!"&amp;VLOOKUP(M$87,'List Values'!$C$3:$D$6,2,FALSE)&amp;ROW(M316))),IF(M$86&lt;&gt;"","Data Source Error",""))))</f>
        <v/>
      </c>
      <c r="O316" s="187"/>
      <c r="P316" s="580"/>
      <c r="Q316" s="900" t="str">
        <f ca="1">IF(OR($H$7&lt;4,Q$260&lt;3),"",IF(P316&lt;&gt;"",P316,IFERROR(IF(INDIRECT("'"&amp;P$86&amp;"'!"&amp;VLOOKUP(P$87,'List Values'!$C$3:$D$6,2,FALSE)&amp;ROW(P316))="","",INDIRECT("'"&amp;P$86&amp;"'!"&amp;VLOOKUP(P$87,'List Values'!$C$3:$D$6,2,FALSE)&amp;ROW(P316))),IF(P$86&lt;&gt;"","Data Source Error",""))))</f>
        <v/>
      </c>
      <c r="S316" s="580"/>
      <c r="T316" s="900" t="str">
        <f ca="1">IF(OR($H$7&lt;5,T$260&lt;3),"",IF(S316&lt;&gt;"",S316,IFERROR(IF(INDIRECT("'"&amp;S$86&amp;"'!"&amp;VLOOKUP(S$87,'List Values'!$C$3:$D$6,2,FALSE)&amp;ROW(S316))="","",INDIRECT("'"&amp;S$86&amp;"'!"&amp;VLOOKUP(S$87,'List Values'!$C$3:$D$6,2,FALSE)&amp;ROW(S316))),IF(S$86&lt;&gt;"","Data Source Error",""))))</f>
        <v/>
      </c>
      <c r="V316" s="580"/>
      <c r="W316" s="911" t="str">
        <f ca="1">IF(OR($H$7&lt;6,W$260&lt;3),"",IF(V316&lt;&gt;"",V316,IFERROR(IF(INDIRECT("'"&amp;V$86&amp;"'!"&amp;VLOOKUP(V$87,'List Values'!$C$3:$D$6,2,FALSE)&amp;ROW(V316))="","",INDIRECT("'"&amp;V$86&amp;"'!"&amp;VLOOKUP(V$87,'List Values'!$C$3:$D$6,2,FALSE)&amp;ROW(V316))),IF(V$86&lt;&gt;"","Data Source Error",""))))</f>
        <v/>
      </c>
      <c r="Y316" s="2643"/>
      <c r="Z316" s="2644"/>
      <c r="AA316" s="2644"/>
      <c r="AB316" s="2645"/>
    </row>
    <row r="317" spans="1:28" ht="31" hidden="1" customHeight="1" outlineLevel="1">
      <c r="A317" s="514"/>
      <c r="B317" s="252"/>
      <c r="C317" s="2680" t="s">
        <v>336</v>
      </c>
      <c r="D317" s="2680"/>
      <c r="E317" s="2041"/>
      <c r="F317" s="2041"/>
      <c r="G317" s="636"/>
      <c r="H317" s="637"/>
      <c r="I317" s="187"/>
      <c r="J317" s="580"/>
      <c r="K317" s="900" t="str">
        <f ca="1">IF(OR($H$7&lt;2,K$260&lt;3),"",IF(J317&lt;&gt;"",J317,IFERROR(IF(INDIRECT("'"&amp;J$86&amp;"'!"&amp;VLOOKUP(J$87,'List Values'!$C$3:$D$6,2,FALSE)&amp;ROW(J317))="","",INDIRECT("'"&amp;J$86&amp;"'!"&amp;VLOOKUP(J$87,'List Values'!$C$3:$D$6,2,FALSE)&amp;ROW(J317))),IF(J$86&lt;&gt;"","Data Source Error",""))))</f>
        <v/>
      </c>
      <c r="L317" s="187"/>
      <c r="M317" s="580"/>
      <c r="N317" s="900" t="str">
        <f ca="1">IF(OR($H$7&lt;3,N$260&lt;3),"",IF(M317&lt;&gt;"",M317,IFERROR(IF(INDIRECT("'"&amp;M$86&amp;"'!"&amp;VLOOKUP(M$87,'List Values'!$C$3:$D$6,2,FALSE)&amp;ROW(M317))="","",INDIRECT("'"&amp;M$86&amp;"'!"&amp;VLOOKUP(M$87,'List Values'!$C$3:$D$6,2,FALSE)&amp;ROW(M317))),IF(M$86&lt;&gt;"","Data Source Error",""))))</f>
        <v/>
      </c>
      <c r="O317" s="187"/>
      <c r="P317" s="580"/>
      <c r="Q317" s="900" t="str">
        <f ca="1">IF(OR($H$7&lt;4,Q$260&lt;3),"",IF(P317&lt;&gt;"",P317,IFERROR(IF(INDIRECT("'"&amp;P$86&amp;"'!"&amp;VLOOKUP(P$87,'List Values'!$C$3:$D$6,2,FALSE)&amp;ROW(P317))="","",INDIRECT("'"&amp;P$86&amp;"'!"&amp;VLOOKUP(P$87,'List Values'!$C$3:$D$6,2,FALSE)&amp;ROW(P317))),IF(P$86&lt;&gt;"","Data Source Error",""))))</f>
        <v/>
      </c>
      <c r="S317" s="580"/>
      <c r="T317" s="900" t="str">
        <f ca="1">IF(OR($H$7&lt;5,T$260&lt;3),"",IF(S317&lt;&gt;"",S317,IFERROR(IF(INDIRECT("'"&amp;S$86&amp;"'!"&amp;VLOOKUP(S$87,'List Values'!$C$3:$D$6,2,FALSE)&amp;ROW(S317))="","",INDIRECT("'"&amp;S$86&amp;"'!"&amp;VLOOKUP(S$87,'List Values'!$C$3:$D$6,2,FALSE)&amp;ROW(S317))),IF(S$86&lt;&gt;"","Data Source Error",""))))</f>
        <v/>
      </c>
      <c r="V317" s="580"/>
      <c r="W317" s="911" t="str">
        <f ca="1">IF(OR($H$7&lt;6,W$260&lt;3),"",IF(V317&lt;&gt;"",V317,IFERROR(IF(INDIRECT("'"&amp;V$86&amp;"'!"&amp;VLOOKUP(V$87,'List Values'!$C$3:$D$6,2,FALSE)&amp;ROW(V317))="","",INDIRECT("'"&amp;V$86&amp;"'!"&amp;VLOOKUP(V$87,'List Values'!$C$3:$D$6,2,FALSE)&amp;ROW(V317))),IF(V$86&lt;&gt;"","Data Source Error",""))))</f>
        <v/>
      </c>
      <c r="Y317" s="2643"/>
      <c r="Z317" s="2644"/>
      <c r="AA317" s="2644"/>
      <c r="AB317" s="2645"/>
    </row>
    <row r="318" spans="1:28" ht="33" hidden="1" customHeight="1" outlineLevel="1">
      <c r="A318" s="514"/>
      <c r="B318" s="252"/>
      <c r="C318" s="2680" t="s">
        <v>337</v>
      </c>
      <c r="D318" s="2680"/>
      <c r="E318" s="2041"/>
      <c r="F318" s="2041"/>
      <c r="G318" s="636"/>
      <c r="H318" s="637"/>
      <c r="I318" s="187"/>
      <c r="J318" s="580"/>
      <c r="K318" s="900" t="str">
        <f ca="1">IF(OR($H$7&lt;2,K$260&lt;3),"",IF(J318&lt;&gt;"",J318,IFERROR(IF(INDIRECT("'"&amp;J$86&amp;"'!"&amp;VLOOKUP(J$87,'List Values'!$C$3:$D$6,2,FALSE)&amp;ROW(J318))="","",INDIRECT("'"&amp;J$86&amp;"'!"&amp;VLOOKUP(J$87,'List Values'!$C$3:$D$6,2,FALSE)&amp;ROW(J318))),IF(J$86&lt;&gt;"","Data Source Error",""))))</f>
        <v/>
      </c>
      <c r="L318" s="187"/>
      <c r="M318" s="580"/>
      <c r="N318" s="900" t="str">
        <f ca="1">IF(OR($H$7&lt;3,N$260&lt;3),"",IF(M318&lt;&gt;"",M318,IFERROR(IF(INDIRECT("'"&amp;M$86&amp;"'!"&amp;VLOOKUP(M$87,'List Values'!$C$3:$D$6,2,FALSE)&amp;ROW(M318))="","",INDIRECT("'"&amp;M$86&amp;"'!"&amp;VLOOKUP(M$87,'List Values'!$C$3:$D$6,2,FALSE)&amp;ROW(M318))),IF(M$86&lt;&gt;"","Data Source Error",""))))</f>
        <v/>
      </c>
      <c r="O318" s="187"/>
      <c r="P318" s="580"/>
      <c r="Q318" s="900" t="str">
        <f ca="1">IF(OR($H$7&lt;4,Q$260&lt;3),"",IF(P318&lt;&gt;"",P318,IFERROR(IF(INDIRECT("'"&amp;P$86&amp;"'!"&amp;VLOOKUP(P$87,'List Values'!$C$3:$D$6,2,FALSE)&amp;ROW(P318))="","",INDIRECT("'"&amp;P$86&amp;"'!"&amp;VLOOKUP(P$87,'List Values'!$C$3:$D$6,2,FALSE)&amp;ROW(P318))),IF(P$86&lt;&gt;"","Data Source Error",""))))</f>
        <v/>
      </c>
      <c r="S318" s="580"/>
      <c r="T318" s="900" t="str">
        <f ca="1">IF(OR($H$7&lt;5,T$260&lt;3),"",IF(S318&lt;&gt;"",S318,IFERROR(IF(INDIRECT("'"&amp;S$86&amp;"'!"&amp;VLOOKUP(S$87,'List Values'!$C$3:$D$6,2,FALSE)&amp;ROW(S318))="","",INDIRECT("'"&amp;S$86&amp;"'!"&amp;VLOOKUP(S$87,'List Values'!$C$3:$D$6,2,FALSE)&amp;ROW(S318))),IF(S$86&lt;&gt;"","Data Source Error",""))))</f>
        <v/>
      </c>
      <c r="V318" s="580"/>
      <c r="W318" s="911" t="str">
        <f ca="1">IF(OR($H$7&lt;6,W$260&lt;3),"",IF(V318&lt;&gt;"",V318,IFERROR(IF(INDIRECT("'"&amp;V$86&amp;"'!"&amp;VLOOKUP(V$87,'List Values'!$C$3:$D$6,2,FALSE)&amp;ROW(V318))="","",INDIRECT("'"&amp;V$86&amp;"'!"&amp;VLOOKUP(V$87,'List Values'!$C$3:$D$6,2,FALSE)&amp;ROW(V318))),IF(V$86&lt;&gt;"","Data Source Error",""))))</f>
        <v/>
      </c>
      <c r="Y318" s="2643"/>
      <c r="Z318" s="2644"/>
      <c r="AA318" s="2644"/>
      <c r="AB318" s="2645"/>
    </row>
    <row r="319" spans="1:28" ht="33" hidden="1" customHeight="1" outlineLevel="1">
      <c r="A319" s="514"/>
      <c r="B319" s="252"/>
      <c r="C319" s="2680" t="s">
        <v>338</v>
      </c>
      <c r="D319" s="2680"/>
      <c r="E319" s="2041"/>
      <c r="F319" s="2041"/>
      <c r="G319" s="636"/>
      <c r="H319" s="637"/>
      <c r="I319" s="187"/>
      <c r="J319" s="580"/>
      <c r="K319" s="900" t="str">
        <f ca="1">IF(OR($H$7&lt;2,K$260&lt;3),"",IF(J319&lt;&gt;"",J319,IFERROR(IF(INDIRECT("'"&amp;J$86&amp;"'!"&amp;VLOOKUP(J$87,'List Values'!$C$3:$D$6,2,FALSE)&amp;ROW(J319))="","",INDIRECT("'"&amp;J$86&amp;"'!"&amp;VLOOKUP(J$87,'List Values'!$C$3:$D$6,2,FALSE)&amp;ROW(J319))),IF(J$86&lt;&gt;"","Data Source Error",""))))</f>
        <v/>
      </c>
      <c r="L319" s="187"/>
      <c r="M319" s="580"/>
      <c r="N319" s="900" t="str">
        <f ca="1">IF(OR($H$7&lt;3,N$260&lt;3),"",IF(M319&lt;&gt;"",M319,IFERROR(IF(INDIRECT("'"&amp;M$86&amp;"'!"&amp;VLOOKUP(M$87,'List Values'!$C$3:$D$6,2,FALSE)&amp;ROW(M319))="","",INDIRECT("'"&amp;M$86&amp;"'!"&amp;VLOOKUP(M$87,'List Values'!$C$3:$D$6,2,FALSE)&amp;ROW(M319))),IF(M$86&lt;&gt;"","Data Source Error",""))))</f>
        <v/>
      </c>
      <c r="O319" s="187"/>
      <c r="P319" s="580"/>
      <c r="Q319" s="900" t="str">
        <f ca="1">IF(OR($H$7&lt;4,Q$260&lt;3),"",IF(P319&lt;&gt;"",P319,IFERROR(IF(INDIRECT("'"&amp;P$86&amp;"'!"&amp;VLOOKUP(P$87,'List Values'!$C$3:$D$6,2,FALSE)&amp;ROW(P319))="","",INDIRECT("'"&amp;P$86&amp;"'!"&amp;VLOOKUP(P$87,'List Values'!$C$3:$D$6,2,FALSE)&amp;ROW(P319))),IF(P$86&lt;&gt;"","Data Source Error",""))))</f>
        <v/>
      </c>
      <c r="S319" s="580"/>
      <c r="T319" s="900" t="str">
        <f ca="1">IF(OR($H$7&lt;5,T$260&lt;3),"",IF(S319&lt;&gt;"",S319,IFERROR(IF(INDIRECT("'"&amp;S$86&amp;"'!"&amp;VLOOKUP(S$87,'List Values'!$C$3:$D$6,2,FALSE)&amp;ROW(S319))="","",INDIRECT("'"&amp;S$86&amp;"'!"&amp;VLOOKUP(S$87,'List Values'!$C$3:$D$6,2,FALSE)&amp;ROW(S319))),IF(S$86&lt;&gt;"","Data Source Error",""))))</f>
        <v/>
      </c>
      <c r="V319" s="580"/>
      <c r="W319" s="911" t="str">
        <f ca="1">IF(OR($H$7&lt;6,W$260&lt;3),"",IF(V319&lt;&gt;"",V319,IFERROR(IF(INDIRECT("'"&amp;V$86&amp;"'!"&amp;VLOOKUP(V$87,'List Values'!$C$3:$D$6,2,FALSE)&amp;ROW(V319))="","",INDIRECT("'"&amp;V$86&amp;"'!"&amp;VLOOKUP(V$87,'List Values'!$C$3:$D$6,2,FALSE)&amp;ROW(V319))),IF(V$86&lt;&gt;"","Data Source Error",""))))</f>
        <v/>
      </c>
      <c r="Y319" s="2643"/>
      <c r="Z319" s="2644"/>
      <c r="AA319" s="2644"/>
      <c r="AB319" s="2645"/>
    </row>
    <row r="320" spans="1:28" ht="15.75" hidden="1" customHeight="1" outlineLevel="1">
      <c r="A320" s="514"/>
      <c r="B320" s="252"/>
      <c r="C320" s="2680" t="s">
        <v>650</v>
      </c>
      <c r="D320" s="2680"/>
      <c r="E320" s="2041"/>
      <c r="F320" s="2041"/>
      <c r="G320" s="636"/>
      <c r="H320" s="637"/>
      <c r="I320" s="187"/>
      <c r="J320" s="580"/>
      <c r="K320" s="900" t="str">
        <f ca="1">IF(OR($H$7&lt;2,K$260&lt;3),"",IF(J320&lt;&gt;"",J320,IFERROR(IF(INDIRECT("'"&amp;J$86&amp;"'!"&amp;VLOOKUP(J$87,'List Values'!$C$3:$D$6,2,FALSE)&amp;ROW(J320))="","",INDIRECT("'"&amp;J$86&amp;"'!"&amp;VLOOKUP(J$87,'List Values'!$C$3:$D$6,2,FALSE)&amp;ROW(J320))),IF(J$86&lt;&gt;"","Data Source Error",""))))</f>
        <v/>
      </c>
      <c r="L320" s="187"/>
      <c r="M320" s="580"/>
      <c r="N320" s="900" t="str">
        <f ca="1">IF(OR($H$7&lt;3,N$260&lt;3),"",IF(M320&lt;&gt;"",M320,IFERROR(IF(INDIRECT("'"&amp;M$86&amp;"'!"&amp;VLOOKUP(M$87,'List Values'!$C$3:$D$6,2,FALSE)&amp;ROW(M320))="","",INDIRECT("'"&amp;M$86&amp;"'!"&amp;VLOOKUP(M$87,'List Values'!$C$3:$D$6,2,FALSE)&amp;ROW(M320))),IF(M$86&lt;&gt;"","Data Source Error",""))))</f>
        <v/>
      </c>
      <c r="O320" s="187"/>
      <c r="P320" s="580"/>
      <c r="Q320" s="900" t="str">
        <f ca="1">IF(OR($H$7&lt;4,Q$260&lt;3),"",IF(P320&lt;&gt;"",P320,IFERROR(IF(INDIRECT("'"&amp;P$86&amp;"'!"&amp;VLOOKUP(P$87,'List Values'!$C$3:$D$6,2,FALSE)&amp;ROW(P320))="","",INDIRECT("'"&amp;P$86&amp;"'!"&amp;VLOOKUP(P$87,'List Values'!$C$3:$D$6,2,FALSE)&amp;ROW(P320))),IF(P$86&lt;&gt;"","Data Source Error",""))))</f>
        <v/>
      </c>
      <c r="S320" s="580"/>
      <c r="T320" s="900" t="str">
        <f ca="1">IF(OR($H$7&lt;5,T$260&lt;3),"",IF(S320&lt;&gt;"",S320,IFERROR(IF(INDIRECT("'"&amp;S$86&amp;"'!"&amp;VLOOKUP(S$87,'List Values'!$C$3:$D$6,2,FALSE)&amp;ROW(S320))="","",INDIRECT("'"&amp;S$86&amp;"'!"&amp;VLOOKUP(S$87,'List Values'!$C$3:$D$6,2,FALSE)&amp;ROW(S320))),IF(S$86&lt;&gt;"","Data Source Error",""))))</f>
        <v/>
      </c>
      <c r="V320" s="580"/>
      <c r="W320" s="911" t="str">
        <f ca="1">IF(OR($H$7&lt;6,W$260&lt;3),"",IF(V320&lt;&gt;"",V320,IFERROR(IF(INDIRECT("'"&amp;V$86&amp;"'!"&amp;VLOOKUP(V$87,'List Values'!$C$3:$D$6,2,FALSE)&amp;ROW(V320))="","",INDIRECT("'"&amp;V$86&amp;"'!"&amp;VLOOKUP(V$87,'List Values'!$C$3:$D$6,2,FALSE)&amp;ROW(V320))),IF(V$86&lt;&gt;"","Data Source Error",""))))</f>
        <v/>
      </c>
      <c r="Y320" s="2643"/>
      <c r="Z320" s="2644"/>
      <c r="AA320" s="2644"/>
      <c r="AB320" s="2645"/>
    </row>
    <row r="321" spans="1:28" ht="31" hidden="1" customHeight="1" outlineLevel="1">
      <c r="A321" s="514"/>
      <c r="B321" s="252"/>
      <c r="C321" s="2646" t="s">
        <v>651</v>
      </c>
      <c r="D321" s="2646"/>
      <c r="E321" s="494"/>
      <c r="F321" s="494"/>
      <c r="G321" s="642"/>
      <c r="H321" s="643"/>
      <c r="I321" s="196"/>
      <c r="J321" s="632"/>
      <c r="K321" s="902" t="str">
        <f ca="1">IF(OR($H$7&lt;2,K$260&lt;3),"",IF(J321&lt;&gt;"",J321,IFERROR(IF(INDIRECT("'"&amp;J$86&amp;"'!"&amp;VLOOKUP(J$87,'List Values'!$C$3:$D$6,2,FALSE)&amp;ROW(J321))="","",INDIRECT("'"&amp;J$86&amp;"'!"&amp;VLOOKUP(J$87,'List Values'!$C$3:$D$6,2,FALSE)&amp;ROW(J321))),IF(J$86&lt;&gt;"","Data Source Error",""))))</f>
        <v/>
      </c>
      <c r="L321" s="196"/>
      <c r="M321" s="632"/>
      <c r="N321" s="902" t="str">
        <f ca="1">IF(OR($H$7&lt;3,N$260&lt;3),"",IF(M321&lt;&gt;"",M321,IFERROR(IF(INDIRECT("'"&amp;M$86&amp;"'!"&amp;VLOOKUP(M$87,'List Values'!$C$3:$D$6,2,FALSE)&amp;ROW(M321))="","",INDIRECT("'"&amp;M$86&amp;"'!"&amp;VLOOKUP(M$87,'List Values'!$C$3:$D$6,2,FALSE)&amp;ROW(M321))),IF(M$86&lt;&gt;"","Data Source Error",""))))</f>
        <v/>
      </c>
      <c r="O321" s="196"/>
      <c r="P321" s="632"/>
      <c r="Q321" s="902" t="str">
        <f ca="1">IF(OR($H$7&lt;4,Q$260&lt;3),"",IF(P321&lt;&gt;"",P321,IFERROR(IF(INDIRECT("'"&amp;P$86&amp;"'!"&amp;VLOOKUP(P$87,'List Values'!$C$3:$D$6,2,FALSE)&amp;ROW(P321))="","",INDIRECT("'"&amp;P$86&amp;"'!"&amp;VLOOKUP(P$87,'List Values'!$C$3:$D$6,2,FALSE)&amp;ROW(P321))),IF(P$86&lt;&gt;"","Data Source Error",""))))</f>
        <v/>
      </c>
      <c r="R321" s="236"/>
      <c r="S321" s="632"/>
      <c r="T321" s="902" t="str">
        <f ca="1">IF(OR($H$7&lt;5,T$260&lt;3),"",IF(S321&lt;&gt;"",S321,IFERROR(IF(INDIRECT("'"&amp;S$86&amp;"'!"&amp;VLOOKUP(S$87,'List Values'!$C$3:$D$6,2,FALSE)&amp;ROW(S321))="","",INDIRECT("'"&amp;S$86&amp;"'!"&amp;VLOOKUP(S$87,'List Values'!$C$3:$D$6,2,FALSE)&amp;ROW(S321))),IF(S$86&lt;&gt;"","Data Source Error",""))))</f>
        <v/>
      </c>
      <c r="U321" s="236"/>
      <c r="V321" s="632"/>
      <c r="W321" s="982" t="str">
        <f ca="1">IF(OR($H$7&lt;6,W$260&lt;3),"",IF(V321&lt;&gt;"",V321,IFERROR(IF(INDIRECT("'"&amp;V$86&amp;"'!"&amp;VLOOKUP(V$87,'List Values'!$C$3:$D$6,2,FALSE)&amp;ROW(V321))="","",INDIRECT("'"&amp;V$86&amp;"'!"&amp;VLOOKUP(V$87,'List Values'!$C$3:$D$6,2,FALSE)&amp;ROW(V321))),IF(V$86&lt;&gt;"","Data Source Error",""))))</f>
        <v/>
      </c>
      <c r="Y321" s="2657"/>
      <c r="Z321" s="2658"/>
      <c r="AA321" s="2658"/>
      <c r="AB321" s="2659"/>
    </row>
    <row r="322" spans="1:28" ht="21" customHeight="1" collapsed="1">
      <c r="A322" s="212"/>
      <c r="C322" s="130"/>
      <c r="D322" s="130"/>
      <c r="E322" s="130"/>
      <c r="G322" s="121"/>
      <c r="H322" s="69"/>
      <c r="K322" s="972"/>
      <c r="N322" s="972"/>
      <c r="Q322" s="972"/>
      <c r="S322" s="6"/>
      <c r="T322" s="972"/>
      <c r="V322" s="6"/>
      <c r="W322" s="972"/>
    </row>
    <row r="323" spans="1:28" ht="14.9" customHeight="1">
      <c r="G323" s="144"/>
      <c r="H323" s="145"/>
      <c r="I323" s="146"/>
      <c r="J323" s="254"/>
      <c r="K323" s="145"/>
      <c r="L323" s="146"/>
      <c r="M323" s="254"/>
      <c r="N323" s="145"/>
      <c r="O323" s="146"/>
      <c r="P323" s="254"/>
      <c r="Q323" s="145"/>
    </row>
    <row r="324" spans="1:28" ht="14.25" customHeight="1">
      <c r="G324" s="224"/>
      <c r="H324" s="145"/>
      <c r="I324" s="147"/>
      <c r="J324" s="224"/>
      <c r="K324" s="145"/>
      <c r="L324" s="147"/>
      <c r="M324" s="224"/>
      <c r="N324" s="145"/>
      <c r="Q324" s="145" t="str">
        <f ca="1">IFERROR(#REF!/Q106,"")</f>
        <v/>
      </c>
    </row>
    <row r="329" spans="1:28">
      <c r="K329" s="37"/>
    </row>
    <row r="330" spans="1:28">
      <c r="N330" s="37"/>
    </row>
  </sheetData>
  <sheetProtection formatColumns="0" formatRows="0" sort="0" autoFilter="0" pivotTables="0"/>
  <protectedRanges>
    <protectedRange sqref="Y5:AB12 Y16:AB22 Y27:AB38 Y86:AB88 Y92:AB99 Y103:AB117 Y121:AB123 Y133:AB193 Y197:AB257 Y260:AB321" name="Notes"/>
    <protectedRange sqref="G5:G12 G16:G21 G28:G38 J28:J38 M27:P38 G43:G78 J43:M78" name="Sections 1 to 4"/>
    <protectedRange sqref="G86:G88 J86:J88 M86:M88 P86:P88 S86:S88 V86:V88 G92:G99 J92:J99 M92:M99 P92:P99 S92:S99 V92:V99 G104:G117 J104:J117 M104:M117 P104:P117 S104:S117 V104:V117 G121:G123 J121:J123 M121:M123 P121:P123 S121:S123 V121:V123" name="Section 5"/>
    <protectedRange sqref="J133:J193 M133:M193 P133:P193 S133:S193 V133:V193 J197:J257 M197:M257 P197:P257 S197:S257 V197:V257 J260:J321 M260:M321 P260:P321 S260:S321 V260:V321" name="Section 6"/>
  </protectedRanges>
  <dataConsolidate link="1"/>
  <mergeCells count="632">
    <mergeCell ref="C320:D320"/>
    <mergeCell ref="Y320:AB320"/>
    <mergeCell ref="C321:D321"/>
    <mergeCell ref="Y321:AB321"/>
    <mergeCell ref="C317:D317"/>
    <mergeCell ref="Y317:AB317"/>
    <mergeCell ref="C318:D318"/>
    <mergeCell ref="Y318:AB318"/>
    <mergeCell ref="C319:D319"/>
    <mergeCell ref="Y319:AB319"/>
    <mergeCell ref="C314:D314"/>
    <mergeCell ref="Y314:AB314"/>
    <mergeCell ref="C315:D315"/>
    <mergeCell ref="Y315:AB315"/>
    <mergeCell ref="C316:D316"/>
    <mergeCell ref="Y316:AB316"/>
    <mergeCell ref="C311:D311"/>
    <mergeCell ref="Y311:AB311"/>
    <mergeCell ref="C312:D312"/>
    <mergeCell ref="Y312:AB312"/>
    <mergeCell ref="C313:D313"/>
    <mergeCell ref="Y313:AB313"/>
    <mergeCell ref="C308:D308"/>
    <mergeCell ref="Y308:AB308"/>
    <mergeCell ref="C309:D309"/>
    <mergeCell ref="Y309:AB309"/>
    <mergeCell ref="C310:D310"/>
    <mergeCell ref="Y310:AB310"/>
    <mergeCell ref="C305:D305"/>
    <mergeCell ref="Y305:AB305"/>
    <mergeCell ref="C306:D306"/>
    <mergeCell ref="Y306:AB306"/>
    <mergeCell ref="C307:D307"/>
    <mergeCell ref="Y307:AB307"/>
    <mergeCell ref="C301:D301"/>
    <mergeCell ref="Y301:AB301"/>
    <mergeCell ref="C303:D303"/>
    <mergeCell ref="Y303:AB303"/>
    <mergeCell ref="C304:D304"/>
    <mergeCell ref="Y304:AB304"/>
    <mergeCell ref="C298:D298"/>
    <mergeCell ref="Y298:AB298"/>
    <mergeCell ref="C299:D299"/>
    <mergeCell ref="Y299:AB299"/>
    <mergeCell ref="C300:D300"/>
    <mergeCell ref="Y300:AB300"/>
    <mergeCell ref="C295:D295"/>
    <mergeCell ref="Y295:AB295"/>
    <mergeCell ref="C296:D296"/>
    <mergeCell ref="Y296:AB296"/>
    <mergeCell ref="C297:D297"/>
    <mergeCell ref="Y297:AB297"/>
    <mergeCell ref="C292:D292"/>
    <mergeCell ref="Y292:AB292"/>
    <mergeCell ref="C293:D293"/>
    <mergeCell ref="Y293:AB293"/>
    <mergeCell ref="C294:D294"/>
    <mergeCell ref="Y294:AB294"/>
    <mergeCell ref="C289:D289"/>
    <mergeCell ref="Y289:AB289"/>
    <mergeCell ref="C290:D290"/>
    <mergeCell ref="Y290:AB290"/>
    <mergeCell ref="C291:D291"/>
    <mergeCell ref="Y291:AB291"/>
    <mergeCell ref="C286:D286"/>
    <mergeCell ref="Y286:AB286"/>
    <mergeCell ref="C287:D287"/>
    <mergeCell ref="Y287:AB287"/>
    <mergeCell ref="C288:D288"/>
    <mergeCell ref="Y288:AB288"/>
    <mergeCell ref="C283:D283"/>
    <mergeCell ref="Y283:AB283"/>
    <mergeCell ref="C284:D284"/>
    <mergeCell ref="Y284:AB284"/>
    <mergeCell ref="C285:D285"/>
    <mergeCell ref="Y285:AB285"/>
    <mergeCell ref="C279:D279"/>
    <mergeCell ref="Y279:AB279"/>
    <mergeCell ref="C280:D280"/>
    <mergeCell ref="Y280:AB280"/>
    <mergeCell ref="C281:D281"/>
    <mergeCell ref="Y281:AB281"/>
    <mergeCell ref="C276:D276"/>
    <mergeCell ref="Y276:AB276"/>
    <mergeCell ref="C277:D277"/>
    <mergeCell ref="Y277:AB277"/>
    <mergeCell ref="C278:D278"/>
    <mergeCell ref="Y278:AB278"/>
    <mergeCell ref="C273:D273"/>
    <mergeCell ref="Y273:AB273"/>
    <mergeCell ref="C274:D274"/>
    <mergeCell ref="Y274:AB274"/>
    <mergeCell ref="C275:D275"/>
    <mergeCell ref="Y275:AB275"/>
    <mergeCell ref="C270:D270"/>
    <mergeCell ref="Y270:AB270"/>
    <mergeCell ref="C271:D271"/>
    <mergeCell ref="Y271:AB271"/>
    <mergeCell ref="C272:D272"/>
    <mergeCell ref="Y272:AB272"/>
    <mergeCell ref="C267:D267"/>
    <mergeCell ref="Y267:AB267"/>
    <mergeCell ref="C268:D268"/>
    <mergeCell ref="Y268:AB268"/>
    <mergeCell ref="C269:D269"/>
    <mergeCell ref="Y269:AB269"/>
    <mergeCell ref="C264:D264"/>
    <mergeCell ref="Y264:AB264"/>
    <mergeCell ref="C265:D265"/>
    <mergeCell ref="Y265:AB265"/>
    <mergeCell ref="C266:D266"/>
    <mergeCell ref="Y266:AB266"/>
    <mergeCell ref="B260:D260"/>
    <mergeCell ref="Y260:AB260"/>
    <mergeCell ref="B261:D261"/>
    <mergeCell ref="Y261:AB261"/>
    <mergeCell ref="C263:D263"/>
    <mergeCell ref="Y263:AB263"/>
    <mergeCell ref="C257:D257"/>
    <mergeCell ref="Y257:AB257"/>
    <mergeCell ref="B259:H259"/>
    <mergeCell ref="J259:K259"/>
    <mergeCell ref="M259:N259"/>
    <mergeCell ref="P259:Q259"/>
    <mergeCell ref="S259:T259"/>
    <mergeCell ref="V259:W259"/>
    <mergeCell ref="C254:D254"/>
    <mergeCell ref="Y254:AB254"/>
    <mergeCell ref="C255:D255"/>
    <mergeCell ref="Y255:AB255"/>
    <mergeCell ref="C256:D256"/>
    <mergeCell ref="Y256:AB256"/>
    <mergeCell ref="C251:D251"/>
    <mergeCell ref="Y251:AB251"/>
    <mergeCell ref="C252:D252"/>
    <mergeCell ref="Y252:AB252"/>
    <mergeCell ref="C253:D253"/>
    <mergeCell ref="Y253:AB253"/>
    <mergeCell ref="C248:D248"/>
    <mergeCell ref="Y248:AB248"/>
    <mergeCell ref="C249:D249"/>
    <mergeCell ref="Y249:AB249"/>
    <mergeCell ref="C250:D250"/>
    <mergeCell ref="Y250:AB250"/>
    <mergeCell ref="C245:D245"/>
    <mergeCell ref="Y245:AB245"/>
    <mergeCell ref="C246:D246"/>
    <mergeCell ref="Y246:AB246"/>
    <mergeCell ref="C247:D247"/>
    <mergeCell ref="Y247:AB247"/>
    <mergeCell ref="C242:D242"/>
    <mergeCell ref="Y242:AB242"/>
    <mergeCell ref="C243:D243"/>
    <mergeCell ref="Y243:AB243"/>
    <mergeCell ref="C244:D244"/>
    <mergeCell ref="Y244:AB244"/>
    <mergeCell ref="C239:D239"/>
    <mergeCell ref="Y239:AB239"/>
    <mergeCell ref="C240:D240"/>
    <mergeCell ref="Y240:AB240"/>
    <mergeCell ref="C241:D241"/>
    <mergeCell ref="Y241:AB241"/>
    <mergeCell ref="C235:D235"/>
    <mergeCell ref="Y235:AB235"/>
    <mergeCell ref="C236:D236"/>
    <mergeCell ref="Y236:AB236"/>
    <mergeCell ref="C237:D237"/>
    <mergeCell ref="Y237:AB237"/>
    <mergeCell ref="C232:D232"/>
    <mergeCell ref="Y232:AB232"/>
    <mergeCell ref="C233:D233"/>
    <mergeCell ref="Y233:AB233"/>
    <mergeCell ref="C234:D234"/>
    <mergeCell ref="Y234:AB234"/>
    <mergeCell ref="C229:D229"/>
    <mergeCell ref="Y229:AB229"/>
    <mergeCell ref="C230:D230"/>
    <mergeCell ref="Y230:AB230"/>
    <mergeCell ref="C231:D231"/>
    <mergeCell ref="Y231:AB231"/>
    <mergeCell ref="C226:D226"/>
    <mergeCell ref="Y226:AB226"/>
    <mergeCell ref="C227:D227"/>
    <mergeCell ref="Y227:AB227"/>
    <mergeCell ref="C228:D228"/>
    <mergeCell ref="Y228:AB228"/>
    <mergeCell ref="C223:D223"/>
    <mergeCell ref="Y223:AB223"/>
    <mergeCell ref="C224:D224"/>
    <mergeCell ref="Y224:AB224"/>
    <mergeCell ref="C225:D225"/>
    <mergeCell ref="Y225:AB225"/>
    <mergeCell ref="C220:D220"/>
    <mergeCell ref="Y220:AB220"/>
    <mergeCell ref="C221:D221"/>
    <mergeCell ref="Y221:AB221"/>
    <mergeCell ref="C222:D222"/>
    <mergeCell ref="Y222:AB222"/>
    <mergeCell ref="C216:D216"/>
    <mergeCell ref="Y216:AB216"/>
    <mergeCell ref="C217:D217"/>
    <mergeCell ref="Y217:AB217"/>
    <mergeCell ref="C219:D219"/>
    <mergeCell ref="Y219:AB219"/>
    <mergeCell ref="C213:D213"/>
    <mergeCell ref="Y213:AB213"/>
    <mergeCell ref="C214:D214"/>
    <mergeCell ref="Y214:AB214"/>
    <mergeCell ref="C215:D215"/>
    <mergeCell ref="Y215:AB215"/>
    <mergeCell ref="C210:D210"/>
    <mergeCell ref="Y210:AB210"/>
    <mergeCell ref="C211:D211"/>
    <mergeCell ref="Y211:AB211"/>
    <mergeCell ref="C212:D212"/>
    <mergeCell ref="Y212:AB212"/>
    <mergeCell ref="C207:D207"/>
    <mergeCell ref="Y207:AB207"/>
    <mergeCell ref="C208:D208"/>
    <mergeCell ref="Y208:AB208"/>
    <mergeCell ref="C209:D209"/>
    <mergeCell ref="Y209:AB209"/>
    <mergeCell ref="C204:D204"/>
    <mergeCell ref="Y204:AB204"/>
    <mergeCell ref="C205:D205"/>
    <mergeCell ref="Y205:AB205"/>
    <mergeCell ref="C206:D206"/>
    <mergeCell ref="Y206:AB206"/>
    <mergeCell ref="C201:D201"/>
    <mergeCell ref="Y201:AB201"/>
    <mergeCell ref="C202:D202"/>
    <mergeCell ref="Y202:AB202"/>
    <mergeCell ref="C203:D203"/>
    <mergeCell ref="Y203:AB203"/>
    <mergeCell ref="Y196:AB196"/>
    <mergeCell ref="B197:D197"/>
    <mergeCell ref="Y197:AB197"/>
    <mergeCell ref="C199:D199"/>
    <mergeCell ref="Y199:AB199"/>
    <mergeCell ref="C200:D200"/>
    <mergeCell ref="Y200:AB200"/>
    <mergeCell ref="C192:D192"/>
    <mergeCell ref="Y192:AB192"/>
    <mergeCell ref="C193:D193"/>
    <mergeCell ref="Y193:AB193"/>
    <mergeCell ref="B195:H196"/>
    <mergeCell ref="J195:K195"/>
    <mergeCell ref="M195:N195"/>
    <mergeCell ref="P195:Q195"/>
    <mergeCell ref="S195:T195"/>
    <mergeCell ref="V195:W195"/>
    <mergeCell ref="C189:D189"/>
    <mergeCell ref="Y189:AB189"/>
    <mergeCell ref="C190:D190"/>
    <mergeCell ref="Y190:AB190"/>
    <mergeCell ref="C191:D191"/>
    <mergeCell ref="Y191:AB191"/>
    <mergeCell ref="C186:D186"/>
    <mergeCell ref="Y186:AB186"/>
    <mergeCell ref="C187:D187"/>
    <mergeCell ref="Y187:AB187"/>
    <mergeCell ref="C188:D188"/>
    <mergeCell ref="Y188:AB188"/>
    <mergeCell ref="C183:D183"/>
    <mergeCell ref="Y183:AB183"/>
    <mergeCell ref="C184:D184"/>
    <mergeCell ref="Y184:AB184"/>
    <mergeCell ref="C185:D185"/>
    <mergeCell ref="Y185:AB185"/>
    <mergeCell ref="C180:D180"/>
    <mergeCell ref="Y180:AB180"/>
    <mergeCell ref="C181:D181"/>
    <mergeCell ref="Y181:AB181"/>
    <mergeCell ref="C182:D182"/>
    <mergeCell ref="Y182:AB182"/>
    <mergeCell ref="C177:D177"/>
    <mergeCell ref="Y177:AB177"/>
    <mergeCell ref="C178:D178"/>
    <mergeCell ref="Y178:AB178"/>
    <mergeCell ref="C179:D179"/>
    <mergeCell ref="Y179:AB179"/>
    <mergeCell ref="C173:D173"/>
    <mergeCell ref="Y173:AB173"/>
    <mergeCell ref="C175:D175"/>
    <mergeCell ref="Y175:AB175"/>
    <mergeCell ref="C176:D176"/>
    <mergeCell ref="Y176:AB176"/>
    <mergeCell ref="C170:D170"/>
    <mergeCell ref="Y170:AB170"/>
    <mergeCell ref="C171:D171"/>
    <mergeCell ref="Y171:AB171"/>
    <mergeCell ref="C172:D172"/>
    <mergeCell ref="Y172:AB172"/>
    <mergeCell ref="C167:D167"/>
    <mergeCell ref="Y167:AB167"/>
    <mergeCell ref="C168:D168"/>
    <mergeCell ref="Y168:AB168"/>
    <mergeCell ref="C169:D169"/>
    <mergeCell ref="Y169:AB169"/>
    <mergeCell ref="C164:D164"/>
    <mergeCell ref="Y164:AB164"/>
    <mergeCell ref="C165:D165"/>
    <mergeCell ref="Y165:AB165"/>
    <mergeCell ref="C166:D166"/>
    <mergeCell ref="Y166:AB166"/>
    <mergeCell ref="C161:D161"/>
    <mergeCell ref="Y161:AB161"/>
    <mergeCell ref="C162:D162"/>
    <mergeCell ref="Y162:AB162"/>
    <mergeCell ref="C163:D163"/>
    <mergeCell ref="Y163:AB163"/>
    <mergeCell ref="C158:D158"/>
    <mergeCell ref="Y158:AB158"/>
    <mergeCell ref="C159:D159"/>
    <mergeCell ref="Y159:AB159"/>
    <mergeCell ref="C160:D160"/>
    <mergeCell ref="Y160:AB160"/>
    <mergeCell ref="C155:D155"/>
    <mergeCell ref="Y155:AB155"/>
    <mergeCell ref="C156:D156"/>
    <mergeCell ref="Y156:AB156"/>
    <mergeCell ref="C157:D157"/>
    <mergeCell ref="Y157:AB157"/>
    <mergeCell ref="C151:D151"/>
    <mergeCell ref="Y151:AB151"/>
    <mergeCell ref="C152:D152"/>
    <mergeCell ref="Y152:AB152"/>
    <mergeCell ref="C153:D153"/>
    <mergeCell ref="Y153:AB153"/>
    <mergeCell ref="C148:D148"/>
    <mergeCell ref="Y148:AB148"/>
    <mergeCell ref="C149:D149"/>
    <mergeCell ref="Y149:AB149"/>
    <mergeCell ref="C150:D150"/>
    <mergeCell ref="Y150:AB150"/>
    <mergeCell ref="C145:D145"/>
    <mergeCell ref="Y145:AB145"/>
    <mergeCell ref="C146:D146"/>
    <mergeCell ref="Y146:AB146"/>
    <mergeCell ref="C147:D147"/>
    <mergeCell ref="Y147:AB147"/>
    <mergeCell ref="C142:D142"/>
    <mergeCell ref="Y142:AB142"/>
    <mergeCell ref="C143:D143"/>
    <mergeCell ref="Y143:AB143"/>
    <mergeCell ref="C144:D144"/>
    <mergeCell ref="Y144:AB144"/>
    <mergeCell ref="C139:D139"/>
    <mergeCell ref="Y139:AB139"/>
    <mergeCell ref="C140:D140"/>
    <mergeCell ref="Y140:AB140"/>
    <mergeCell ref="C141:D141"/>
    <mergeCell ref="Y141:AB141"/>
    <mergeCell ref="C136:D136"/>
    <mergeCell ref="Y136:AB136"/>
    <mergeCell ref="C137:D137"/>
    <mergeCell ref="Y137:AB137"/>
    <mergeCell ref="C138:D138"/>
    <mergeCell ref="Y138:AB138"/>
    <mergeCell ref="V130:W130"/>
    <mergeCell ref="Y132:AB132"/>
    <mergeCell ref="B133:D133"/>
    <mergeCell ref="Y133:AB133"/>
    <mergeCell ref="C135:D135"/>
    <mergeCell ref="Y135:AB135"/>
    <mergeCell ref="B129:D129"/>
    <mergeCell ref="B130:H132"/>
    <mergeCell ref="J130:K130"/>
    <mergeCell ref="M130:N130"/>
    <mergeCell ref="P130:Q130"/>
    <mergeCell ref="S130:T130"/>
    <mergeCell ref="Y117:AB117"/>
    <mergeCell ref="B122:D122"/>
    <mergeCell ref="Y122:AB122"/>
    <mergeCell ref="B123:D123"/>
    <mergeCell ref="Y123:AB123"/>
    <mergeCell ref="G120:H120"/>
    <mergeCell ref="J120:K120"/>
    <mergeCell ref="M120:N120"/>
    <mergeCell ref="P120:Q120"/>
    <mergeCell ref="S120:T120"/>
    <mergeCell ref="V120:W120"/>
    <mergeCell ref="Y120:AB120"/>
    <mergeCell ref="B121:D121"/>
    <mergeCell ref="Y121:AB121"/>
    <mergeCell ref="B108:B112"/>
    <mergeCell ref="C108:D108"/>
    <mergeCell ref="Y108:AB108"/>
    <mergeCell ref="C109:D109"/>
    <mergeCell ref="Y109:AB109"/>
    <mergeCell ref="C110:D110"/>
    <mergeCell ref="Y110:AB110"/>
    <mergeCell ref="C111:D111"/>
    <mergeCell ref="P119:Q119"/>
    <mergeCell ref="S119:T119"/>
    <mergeCell ref="V119:W119"/>
    <mergeCell ref="Y111:AB111"/>
    <mergeCell ref="C112:D112"/>
    <mergeCell ref="Y112:AB112"/>
    <mergeCell ref="B113:B117"/>
    <mergeCell ref="C113:D113"/>
    <mergeCell ref="Y113:AB113"/>
    <mergeCell ref="C114:D114"/>
    <mergeCell ref="Y114:AB114"/>
    <mergeCell ref="C115:D115"/>
    <mergeCell ref="Y115:AB115"/>
    <mergeCell ref="C116:D116"/>
    <mergeCell ref="Y116:AB116"/>
    <mergeCell ref="C117:D117"/>
    <mergeCell ref="Y102:AB102"/>
    <mergeCell ref="C103:D103"/>
    <mergeCell ref="Y103:AB103"/>
    <mergeCell ref="C104:D104"/>
    <mergeCell ref="Y104:AB104"/>
    <mergeCell ref="B105:B107"/>
    <mergeCell ref="C105:D105"/>
    <mergeCell ref="Y105:AB105"/>
    <mergeCell ref="C106:D106"/>
    <mergeCell ref="Y106:AB106"/>
    <mergeCell ref="G102:H103"/>
    <mergeCell ref="J102:K103"/>
    <mergeCell ref="M102:N103"/>
    <mergeCell ref="P102:Q103"/>
    <mergeCell ref="S102:T103"/>
    <mergeCell ref="V102:W103"/>
    <mergeCell ref="C107:D107"/>
    <mergeCell ref="Y107:AB107"/>
    <mergeCell ref="B98:D98"/>
    <mergeCell ref="Y98:AB98"/>
    <mergeCell ref="B99:D99"/>
    <mergeCell ref="Y99:AB99"/>
    <mergeCell ref="P101:Q101"/>
    <mergeCell ref="S101:T101"/>
    <mergeCell ref="V101:W101"/>
    <mergeCell ref="B95:D95"/>
    <mergeCell ref="Y95:AB95"/>
    <mergeCell ref="B96:D96"/>
    <mergeCell ref="Y96:AB96"/>
    <mergeCell ref="B97:D97"/>
    <mergeCell ref="Y97:AB97"/>
    <mergeCell ref="Y91:AB91"/>
    <mergeCell ref="B92:D92"/>
    <mergeCell ref="Y92:AB92"/>
    <mergeCell ref="B93:D93"/>
    <mergeCell ref="Y93:AB93"/>
    <mergeCell ref="B94:D94"/>
    <mergeCell ref="Y94:AB94"/>
    <mergeCell ref="B87:D87"/>
    <mergeCell ref="Y87:AB87"/>
    <mergeCell ref="B88:D88"/>
    <mergeCell ref="Y88:AB88"/>
    <mergeCell ref="G91:H91"/>
    <mergeCell ref="J91:K91"/>
    <mergeCell ref="M91:N91"/>
    <mergeCell ref="P91:Q91"/>
    <mergeCell ref="S91:T91"/>
    <mergeCell ref="V91:W91"/>
    <mergeCell ref="T84:T85"/>
    <mergeCell ref="V84:V85"/>
    <mergeCell ref="W84:W85"/>
    <mergeCell ref="B85:D85"/>
    <mergeCell ref="Y85:AB85"/>
    <mergeCell ref="B86:D86"/>
    <mergeCell ref="Y86:AB86"/>
    <mergeCell ref="V83:W83"/>
    <mergeCell ref="G84:G85"/>
    <mergeCell ref="H84:H85"/>
    <mergeCell ref="J84:J85"/>
    <mergeCell ref="K84:K85"/>
    <mergeCell ref="M84:M85"/>
    <mergeCell ref="N84:N85"/>
    <mergeCell ref="P84:P85"/>
    <mergeCell ref="Q84:Q85"/>
    <mergeCell ref="S84:S85"/>
    <mergeCell ref="B81:D81"/>
    <mergeCell ref="G83:H83"/>
    <mergeCell ref="J83:K83"/>
    <mergeCell ref="M83:N83"/>
    <mergeCell ref="P83:Q83"/>
    <mergeCell ref="S83:T83"/>
    <mergeCell ref="B76:C76"/>
    <mergeCell ref="Y76:AB76"/>
    <mergeCell ref="B77:C77"/>
    <mergeCell ref="Y77:AB77"/>
    <mergeCell ref="B78:C78"/>
    <mergeCell ref="Y78:AB78"/>
    <mergeCell ref="B73:C73"/>
    <mergeCell ref="Y73:AB73"/>
    <mergeCell ref="B74:C74"/>
    <mergeCell ref="Y74:AB74"/>
    <mergeCell ref="B75:C75"/>
    <mergeCell ref="Y75:AB75"/>
    <mergeCell ref="B70:C70"/>
    <mergeCell ref="Y70:AB70"/>
    <mergeCell ref="B71:C71"/>
    <mergeCell ref="Y71:AB71"/>
    <mergeCell ref="B72:C72"/>
    <mergeCell ref="Y72:AB72"/>
    <mergeCell ref="B67:C67"/>
    <mergeCell ref="Y67:AB67"/>
    <mergeCell ref="B68:C68"/>
    <mergeCell ref="Y68:AB68"/>
    <mergeCell ref="B69:C69"/>
    <mergeCell ref="Y69:AB69"/>
    <mergeCell ref="B64:C64"/>
    <mergeCell ref="Y64:AB64"/>
    <mergeCell ref="B65:C65"/>
    <mergeCell ref="Y65:AB65"/>
    <mergeCell ref="B66:C66"/>
    <mergeCell ref="Y66:AB66"/>
    <mergeCell ref="B61:C61"/>
    <mergeCell ref="Y61:AB61"/>
    <mergeCell ref="B62:C62"/>
    <mergeCell ref="Y62:AB62"/>
    <mergeCell ref="B63:C63"/>
    <mergeCell ref="Y63:AB63"/>
    <mergeCell ref="B58:C58"/>
    <mergeCell ref="Y58:AB58"/>
    <mergeCell ref="B59:C59"/>
    <mergeCell ref="Y59:AB59"/>
    <mergeCell ref="B60:C60"/>
    <mergeCell ref="Y60:AB60"/>
    <mergeCell ref="B55:C55"/>
    <mergeCell ref="Y55:AB55"/>
    <mergeCell ref="B56:C56"/>
    <mergeCell ref="Y56:AB56"/>
    <mergeCell ref="B57:C57"/>
    <mergeCell ref="Y57:AB57"/>
    <mergeCell ref="B52:C52"/>
    <mergeCell ref="Y52:AB52"/>
    <mergeCell ref="B53:C53"/>
    <mergeCell ref="Y53:AB53"/>
    <mergeCell ref="B54:C54"/>
    <mergeCell ref="Y54:AB54"/>
    <mergeCell ref="B49:C49"/>
    <mergeCell ref="Y49:AB49"/>
    <mergeCell ref="B50:C50"/>
    <mergeCell ref="Y50:AB50"/>
    <mergeCell ref="B51:C51"/>
    <mergeCell ref="Y51:AB51"/>
    <mergeCell ref="B46:C46"/>
    <mergeCell ref="Y46:AB46"/>
    <mergeCell ref="B47:C47"/>
    <mergeCell ref="Y47:AB47"/>
    <mergeCell ref="B48:C48"/>
    <mergeCell ref="Y48:AB48"/>
    <mergeCell ref="B43:C43"/>
    <mergeCell ref="J43:M43"/>
    <mergeCell ref="Y43:AB43"/>
    <mergeCell ref="B44:C44"/>
    <mergeCell ref="Y44:AB44"/>
    <mergeCell ref="B45:C45"/>
    <mergeCell ref="Y45:AB45"/>
    <mergeCell ref="B41:E41"/>
    <mergeCell ref="J41:M41"/>
    <mergeCell ref="Y41:AB41"/>
    <mergeCell ref="B42:C42"/>
    <mergeCell ref="J42:M42"/>
    <mergeCell ref="Y42:AB42"/>
    <mergeCell ref="B36:D36"/>
    <mergeCell ref="Y36:AB36"/>
    <mergeCell ref="B37:D37"/>
    <mergeCell ref="Y37:AB37"/>
    <mergeCell ref="B38:D38"/>
    <mergeCell ref="Y38:AB38"/>
    <mergeCell ref="B33:D33"/>
    <mergeCell ref="Y33:AB33"/>
    <mergeCell ref="B34:D34"/>
    <mergeCell ref="Y34:AB34"/>
    <mergeCell ref="B35:D35"/>
    <mergeCell ref="Y35:AB35"/>
    <mergeCell ref="B30:D30"/>
    <mergeCell ref="Y30:AB30"/>
    <mergeCell ref="B31:D31"/>
    <mergeCell ref="Y31:AB31"/>
    <mergeCell ref="B32:D32"/>
    <mergeCell ref="Y32:AB32"/>
    <mergeCell ref="B27:D27"/>
    <mergeCell ref="Y27:AB27"/>
    <mergeCell ref="B28:D28"/>
    <mergeCell ref="Y28:AB28"/>
    <mergeCell ref="B29:D29"/>
    <mergeCell ref="Y29:AB29"/>
    <mergeCell ref="B25:E26"/>
    <mergeCell ref="G25:H25"/>
    <mergeCell ref="J25:K25"/>
    <mergeCell ref="M25:P25"/>
    <mergeCell ref="M26:P26"/>
    <mergeCell ref="Y26:AB26"/>
    <mergeCell ref="B21:E21"/>
    <mergeCell ref="M21:N22"/>
    <mergeCell ref="P21:P22"/>
    <mergeCell ref="Q21:S21"/>
    <mergeCell ref="Y21:AB21"/>
    <mergeCell ref="B24:E24"/>
    <mergeCell ref="B18:E18"/>
    <mergeCell ref="Y18:AB18"/>
    <mergeCell ref="B19:E19"/>
    <mergeCell ref="Y19:AB19"/>
    <mergeCell ref="B20:E20"/>
    <mergeCell ref="M20:N20"/>
    <mergeCell ref="Q20:S20"/>
    <mergeCell ref="Y20:AB20"/>
    <mergeCell ref="B14:E14"/>
    <mergeCell ref="K15:K16"/>
    <mergeCell ref="M15:S15"/>
    <mergeCell ref="Y15:AB15"/>
    <mergeCell ref="B16:E16"/>
    <mergeCell ref="Q16:S19"/>
    <mergeCell ref="Y16:AB16"/>
    <mergeCell ref="B17:E17"/>
    <mergeCell ref="K17:K19"/>
    <mergeCell ref="Y17:AB17"/>
    <mergeCell ref="B11:E11"/>
    <mergeCell ref="Y11:AB11"/>
    <mergeCell ref="B12:E12"/>
    <mergeCell ref="Y12:AB12"/>
    <mergeCell ref="B7:E7"/>
    <mergeCell ref="Y7:AB7"/>
    <mergeCell ref="B8:E8"/>
    <mergeCell ref="Y8:AB8"/>
    <mergeCell ref="B9:E9"/>
    <mergeCell ref="Y9:AB9"/>
    <mergeCell ref="A1:K1"/>
    <mergeCell ref="B3:E3"/>
    <mergeCell ref="Y4:AB4"/>
    <mergeCell ref="B5:E5"/>
    <mergeCell ref="Y5:AB5"/>
    <mergeCell ref="B6:E6"/>
    <mergeCell ref="Y6:AB6"/>
    <mergeCell ref="B10:E10"/>
    <mergeCell ref="Y10:AB10"/>
  </mergeCells>
  <conditionalFormatting sqref="H123 K123 N123 Q123 T123 W123">
    <cfRule type="expression" dxfId="829" priority="374">
      <formula>H$121&lt;&gt;"Cost as % commodity value"</formula>
    </cfRule>
  </conditionalFormatting>
  <conditionalFormatting sqref="N122">
    <cfRule type="expression" dxfId="828" priority="372">
      <formula>$N$121="Cost as % commodity value"</formula>
    </cfRule>
  </conditionalFormatting>
  <conditionalFormatting sqref="G17">
    <cfRule type="expression" dxfId="827" priority="371">
      <formula>IF(#REF!="","Population changed - check value")</formula>
    </cfRule>
  </conditionalFormatting>
  <conditionalFormatting sqref="K122">
    <cfRule type="expression" dxfId="826" priority="370">
      <formula>$N$121="Cost as % commodity value"</formula>
    </cfRule>
  </conditionalFormatting>
  <conditionalFormatting sqref="H122 K122 N122 Q122 T122 W122">
    <cfRule type="expression" dxfId="825" priority="369">
      <formula>H$121&lt;&gt;"Cost per facility"</formula>
    </cfRule>
  </conditionalFormatting>
  <conditionalFormatting sqref="O142:Q160 O162:Q180 O207:Q225 O227:Q245 O271:Q289 O291:Q309 O311:Q321 O261 O182:Q205 O104:Q140 O82:Q101 O262:Q269 O247:Q260 O102:P102 O103">
    <cfRule type="expression" dxfId="824" priority="1">
      <formula>$H$7&lt;4</formula>
    </cfRule>
  </conditionalFormatting>
  <conditionalFormatting sqref="J135:K140 J142:K153">
    <cfRule type="expression" dxfId="823" priority="193">
      <formula>$K$133&lt;1</formula>
    </cfRule>
  </conditionalFormatting>
  <conditionalFormatting sqref="P135:Q140 P142:Q153">
    <cfRule type="expression" dxfId="822" priority="210">
      <formula>$Q$133&lt;1</formula>
    </cfRule>
  </conditionalFormatting>
  <conditionalFormatting sqref="J155:K160 J162:K173">
    <cfRule type="expression" dxfId="821" priority="148">
      <formula>$K$133&lt;2</formula>
    </cfRule>
  </conditionalFormatting>
  <conditionalFormatting sqref="M155:N160 M162:N173">
    <cfRule type="expression" dxfId="820" priority="208">
      <formula>$N$133&lt;2</formula>
    </cfRule>
  </conditionalFormatting>
  <conditionalFormatting sqref="P155:Q160 P162:Q173">
    <cfRule type="expression" dxfId="819" priority="363">
      <formula>$Q$133&lt;2</formula>
    </cfRule>
  </conditionalFormatting>
  <conditionalFormatting sqref="J175:K180 J182:K193">
    <cfRule type="expression" dxfId="818" priority="158">
      <formula>$K$133&lt;3</formula>
    </cfRule>
  </conditionalFormatting>
  <conditionalFormatting sqref="M175:N180 M182:N193">
    <cfRule type="expression" dxfId="817" priority="362">
      <formula>$N$133&lt;3</formula>
    </cfRule>
  </conditionalFormatting>
  <conditionalFormatting sqref="P175:Q180 P182:Q193">
    <cfRule type="expression" dxfId="816" priority="361">
      <formula>$Q$133&lt;3</formula>
    </cfRule>
  </conditionalFormatting>
  <conditionalFormatting sqref="J199:K205 J207:K217">
    <cfRule type="expression" dxfId="815" priority="156">
      <formula>$K$197&lt;1</formula>
    </cfRule>
  </conditionalFormatting>
  <conditionalFormatting sqref="M199:N205 M207:N217">
    <cfRule type="expression" dxfId="814" priority="359">
      <formula>$N$197&lt;1</formula>
    </cfRule>
  </conditionalFormatting>
  <conditionalFormatting sqref="P199:Q205 P207:Q217">
    <cfRule type="expression" dxfId="813" priority="358">
      <formula>$Q$197&lt;1</formula>
    </cfRule>
  </conditionalFormatting>
  <conditionalFormatting sqref="J219:K225 J227:K237">
    <cfRule type="expression" dxfId="812" priority="154">
      <formula>$K$197&lt;2</formula>
    </cfRule>
  </conditionalFormatting>
  <conditionalFormatting sqref="M219:N225 M227:N237">
    <cfRule type="expression" dxfId="811" priority="357">
      <formula>$N$197&lt;2</formula>
    </cfRule>
  </conditionalFormatting>
  <conditionalFormatting sqref="P219:Q225 P227:Q237">
    <cfRule type="expression" dxfId="810" priority="356">
      <formula>$Q$197&lt;2</formula>
    </cfRule>
  </conditionalFormatting>
  <conditionalFormatting sqref="J239:K245 J247:K257">
    <cfRule type="expression" dxfId="809" priority="152">
      <formula>$K$197&lt;3</formula>
    </cfRule>
  </conditionalFormatting>
  <conditionalFormatting sqref="M239:N245 M247:N257">
    <cfRule type="expression" dxfId="808" priority="354">
      <formula>$N$197&lt;3</formula>
    </cfRule>
  </conditionalFormatting>
  <conditionalFormatting sqref="P239:Q245 P247:Q257">
    <cfRule type="expression" dxfId="807" priority="353">
      <formula>$Q$197&lt;3</formula>
    </cfRule>
  </conditionalFormatting>
  <conditionalFormatting sqref="B199:B205 E199:H205 E207:H217 B207:B217">
    <cfRule type="expression" dxfId="806" priority="351">
      <formula>MAX($H$197,$K$197,$N$197,$Q$197,$T$197,$W$197)&lt;1</formula>
    </cfRule>
  </conditionalFormatting>
  <conditionalFormatting sqref="B239:H245 B247:H257">
    <cfRule type="expression" dxfId="805" priority="350">
      <formula>MAX($H$197,$K$197,$N$197,$Q$197,$T$197,$W$197)&lt;3</formula>
    </cfRule>
  </conditionalFormatting>
  <conditionalFormatting sqref="B155:B160 B162:B173">
    <cfRule type="expression" dxfId="804" priority="346">
      <formula>MAX($H$133,$K$133,$N$133,$Q$133,$T$133,$W$133)&lt;2</formula>
    </cfRule>
  </conditionalFormatting>
  <conditionalFormatting sqref="B175:B180 B182:B193">
    <cfRule type="expression" dxfId="803" priority="345">
      <formula>MAX($H$133,$K$133,$N$133,$Q$133,$T$133,$W$133)&lt;3</formula>
    </cfRule>
  </conditionalFormatting>
  <conditionalFormatting sqref="B219:H225 B227:H237">
    <cfRule type="expression" dxfId="802" priority="344">
      <formula>MAX($H$197,$K$197,$N$197,$Q$197,$T$197,$W$197)&lt;2</formula>
    </cfRule>
  </conditionalFormatting>
  <conditionalFormatting sqref="H7">
    <cfRule type="expression" dxfId="801" priority="342">
      <formula>OR(H7&lt;1,H7&gt;6)</formula>
    </cfRule>
  </conditionalFormatting>
  <conditionalFormatting sqref="H6:H7 H9:H12 H17:H19 H92:H93 H95:H97 K92:K99 N92:N99 Q92:Q99 T92:T99 W92:W99 H104 K104 H106:H109 K106:K109 N106:N109 Q106:Q116 T106:T116 W106:W116 K135 N135 Q135 T135 W135 K139:K140 N139:N140 Q139:Q140 T139:T140 W139:W140 K144 N144 Q144 T144 W144 K146 N146 Q146 T146 W146 K148:K152 N148:N152 Q148:Q152 T148:T152 W148:W152 K155 N155 Q155 T155 W155 K159:K160 N159:N160 Q159:Q160 T159:T160 W159:W160 K164 N164 Q164 T164 W164 K166 N166 Q166 T166 W166 K168:K172 N168:N172 Q168:Q172 T168:T172 W168:W172 K175 N175 Q175 T175 W175 K179:K180 N179:N180 Q179:Q180 T179:T180 W179:W180 K184 N184 Q184 T184 W184 K186 N186 Q186 T186 W186 K188:K192 N188:N192 Q188:Q192 T188:T192 W188:W192 K197 N197 Q197 T197 W197 K199 N199 Q199 T199 W199 N203:N204 Q203:Q204 T203:T204 W203:W204 N207 Q207 T207 W207 K207 K203:K204 K209 N209 Q209 T209 W209 K211 N211 Q211 T211 W211 K213:K217 N213:N217 Q213:Q217 T213:T217 W213:W217 K219 N219 Q219 T219 W219 K223:K224 N223:N224 Q223:Q224 T223:T224 W223:W224 K227 N227 Q227 T227 W227 K229 N229 Q229 T229 W229 K231 N231 Q231 T231 W231 K233:K237 N233:N237 Q233:Q237 T233:T237 W233:W237 K239 N239 Q239 T239 W239 K243:K244 N243:N244 Q243:Q244 T243:T244 W243:W244 K247 N247 Q247 T247 W247 K249 N249 Q249 T249 W249 K251 N251 Q251 T251 W251 K253:K257 N253:N257 Q253:Q257 T253:T257 W253:W257 K263 N263 Q263 T263 W263 K267:K268 N267:N268 Q267:Q268 T267:T268 W267:W268 K271 N271 Q271 T271 W271 K273 N273 Q273 T273 W273 K275 N275 Q275 T275 W275 K277:K281 N277:N281 Q277:Q281 T277:T281 W277:W281 K283 N283 Q283 T283 W283 K287:K288 N287:N288 Q287:Q288 T287:T288 W287:W288 K291 N291 Q291 T291 W291 K293 N293 Q293 T293 W293 K295 N295 Q295 T295 W295 K297:K301 N297:N301 Q297:Q301 T297:T301 W297:W301 K303 N303 Q303 T303 W303 K307:K308 N307:N308 Q307:Q308 T307:T308 W307:W308 K311 N311 Q311 T311 W311 K313 N313 Q313 T313 W313 K315 N315 Q315 T315 W315 K317:K321 N317:N321 Q317:Q321 T317:T321 W317:W321 N112:N116 K112:K116 H112:H116 N104 Q104 T104 W104 H99 W142 T142 Q142 N142 K142 W162 T162 Q162 N162 K162 W182 T182 Q182 N182 K182">
    <cfRule type="expression" dxfId="800" priority="390">
      <formula>AND(ISTEXT(H6),H6&lt;&gt;"")</formula>
    </cfRule>
  </conditionalFormatting>
  <conditionalFormatting sqref="K94 N94 Q94 T94 W94">
    <cfRule type="expression" dxfId="799" priority="343">
      <formula>K94&lt;0</formula>
    </cfRule>
  </conditionalFormatting>
  <conditionalFormatting sqref="H114:H116 K114:K116 N114:N116 Q114:Q116 T114:T116 W114:W116">
    <cfRule type="expression" dxfId="798" priority="341">
      <formula>H114&lt;0</formula>
    </cfRule>
  </conditionalFormatting>
  <conditionalFormatting sqref="S135:T140 S142:T153">
    <cfRule type="expression" dxfId="797" priority="339">
      <formula>$T$133&lt;1</formula>
    </cfRule>
  </conditionalFormatting>
  <conditionalFormatting sqref="S155:T160 S162:T173">
    <cfRule type="expression" dxfId="796" priority="338">
      <formula>$T$133&lt;2</formula>
    </cfRule>
  </conditionalFormatting>
  <conditionalFormatting sqref="S175:T180 S182:T193">
    <cfRule type="expression" dxfId="795" priority="337">
      <formula>$T$133&lt;3</formula>
    </cfRule>
  </conditionalFormatting>
  <conditionalFormatting sqref="S199:T205 S207:T217">
    <cfRule type="expression" dxfId="794" priority="336">
      <formula>$T$197&lt;1</formula>
    </cfRule>
  </conditionalFormatting>
  <conditionalFormatting sqref="S219:T225 S227:T237">
    <cfRule type="expression" dxfId="793" priority="335">
      <formula>$T$197&lt;2</formula>
    </cfRule>
  </conditionalFormatting>
  <conditionalFormatting sqref="S239:T245 S247:T257">
    <cfRule type="expression" dxfId="792" priority="334">
      <formula>$T$197&lt;3</formula>
    </cfRule>
  </conditionalFormatting>
  <conditionalFormatting sqref="T94">
    <cfRule type="expression" dxfId="791" priority="333">
      <formula>OR(S94&lt;0,S94&gt;1,ISTEXT(S94))</formula>
    </cfRule>
  </conditionalFormatting>
  <conditionalFormatting sqref="V135:W140 V142:W153">
    <cfRule type="expression" dxfId="790" priority="332">
      <formula>$W$133&lt;1</formula>
    </cfRule>
  </conditionalFormatting>
  <conditionalFormatting sqref="V155:W160 V162:W173">
    <cfRule type="expression" dxfId="789" priority="331">
      <formula>$W$133&lt;2</formula>
    </cfRule>
  </conditionalFormatting>
  <conditionalFormatting sqref="V175:W180 V182:W193">
    <cfRule type="expression" dxfId="788" priority="330">
      <formula>$W$133&lt;3</formula>
    </cfRule>
  </conditionalFormatting>
  <conditionalFormatting sqref="V199:W205 V207:W217">
    <cfRule type="expression" dxfId="787" priority="329">
      <formula>$W$197&lt;1</formula>
    </cfRule>
  </conditionalFormatting>
  <conditionalFormatting sqref="V219:W225 V227:W237">
    <cfRule type="expression" dxfId="786" priority="328">
      <formula>$W$197&lt;2</formula>
    </cfRule>
  </conditionalFormatting>
  <conditionalFormatting sqref="V239:W245 V247:W257">
    <cfRule type="expression" dxfId="785" priority="327">
      <formula>$W$197&lt;3</formula>
    </cfRule>
  </conditionalFormatting>
  <conditionalFormatting sqref="W94">
    <cfRule type="expression" dxfId="784" priority="326">
      <formula>OR(V94&lt;0,V94&gt;1,ISTEXT(V94))</formula>
    </cfRule>
  </conditionalFormatting>
  <conditionalFormatting sqref="Q122">
    <cfRule type="expression" dxfId="783" priority="340">
      <formula>$Q$121="Cost as % commodity value"</formula>
    </cfRule>
  </conditionalFormatting>
  <conditionalFormatting sqref="T122">
    <cfRule type="expression" dxfId="782" priority="325">
      <formula>$T$121="Cost as % commodity value"</formula>
    </cfRule>
  </conditionalFormatting>
  <conditionalFormatting sqref="W122">
    <cfRule type="expression" dxfId="781" priority="324">
      <formula>$W$121="Cost as % commodity value"</formula>
    </cfRule>
  </conditionalFormatting>
  <conditionalFormatting sqref="B135:C136 B137:B140 E135:H140 E142:H153 B142:B153">
    <cfRule type="expression" dxfId="780" priority="322">
      <formula>MAX($H$133,$K$133,$N$133,$Q$133,$T$133,$W$133)&lt;1</formula>
    </cfRule>
  </conditionalFormatting>
  <conditionalFormatting sqref="L110:M111 L82:N101 L142:N160 L162:N180 L207:N225 L227:N245 L271:N289 L291:N309 L311:N321 L261 L197:N205 L196 L182:N195 L132:N140 L131 L112:N130 L262:N269 L247:N260 L104:N109 L102:M102 L103">
    <cfRule type="expression" dxfId="779" priority="192">
      <formula>$H$7&lt;3</formula>
    </cfRule>
  </conditionalFormatting>
  <conditionalFormatting sqref="K129 J112:K128 J110:J111 J82:K101 J142:K160 J162:K180 J207:K225 J227:K245 J271:K289 J291:K309 J311:K321 J197:K205 J182:K195 J132:K140 J130:K130 J262:K269 J247:K260 J104:K109 J102">
    <cfRule type="expression" dxfId="778" priority="147">
      <formula>$H$7&lt;2</formula>
    </cfRule>
  </conditionalFormatting>
  <conditionalFormatting sqref="R142:T160 R162:T180 R207:T225 R227:T245 R271:T289 R291:T309 R311:T321 R261 R182:T205 R104:T140 R82:T101 R262:T269 R247:T260 R102:S102 R103">
    <cfRule type="expression" dxfId="777" priority="2">
      <formula>$H$7&lt;5</formula>
    </cfRule>
  </conditionalFormatting>
  <conditionalFormatting sqref="U142:W160 U162:W180 U207:W225 U227:W245 U271:W289 U291:W309 U311:W321 U261 U182:W205 U104:W140 U82:W101 U262:W269 U247:W260 U102:V102 U103">
    <cfRule type="expression" dxfId="776" priority="202">
      <formula>$H$7&lt;6</formula>
    </cfRule>
  </conditionalFormatting>
  <conditionalFormatting sqref="V259">
    <cfRule type="expression" dxfId="775" priority="318">
      <formula>$H$7&lt;2</formula>
    </cfRule>
  </conditionalFormatting>
  <conditionalFormatting sqref="C137">
    <cfRule type="expression" dxfId="774" priority="315">
      <formula>MAX($H$133,$K$133,$N$133,$Q$133,$T$133,$W$133)&lt;1</formula>
    </cfRule>
  </conditionalFormatting>
  <conditionalFormatting sqref="C138">
    <cfRule type="expression" dxfId="773" priority="314">
      <formula>MAX($H$133,$K$133,$N$133,$Q$133,$T$133,$W$133)&lt;1</formula>
    </cfRule>
  </conditionalFormatting>
  <conditionalFormatting sqref="C139">
    <cfRule type="expression" dxfId="772" priority="313">
      <formula>MAX($H$133,$K$133,$N$133,$Q$133,$T$133,$W$133)&lt;1</formula>
    </cfRule>
  </conditionalFormatting>
  <conditionalFormatting sqref="C140">
    <cfRule type="expression" dxfId="771" priority="312">
      <formula>MAX($H$133,$K$133,$N$133,$Q$133,$T$133,$W$133)&lt;1</formula>
    </cfRule>
  </conditionalFormatting>
  <conditionalFormatting sqref="C142">
    <cfRule type="expression" dxfId="770" priority="311">
      <formula>MAX($H$133,$K$133,$N$133,$Q$133,$T$133,$W$133)&lt;1</formula>
    </cfRule>
  </conditionalFormatting>
  <conditionalFormatting sqref="C143">
    <cfRule type="expression" dxfId="769" priority="310">
      <formula>MAX($H$133,$K$133,$N$133,$Q$133,$T$133,$W$133)&lt;1</formula>
    </cfRule>
  </conditionalFormatting>
  <conditionalFormatting sqref="C144">
    <cfRule type="expression" dxfId="768" priority="309">
      <formula>MAX($H$133,$K$133,$N$133,$Q$133,$T$133,$W$133)&lt;1</formula>
    </cfRule>
  </conditionalFormatting>
  <conditionalFormatting sqref="C145">
    <cfRule type="expression" dxfId="767" priority="308">
      <formula>MAX($H$133,$K$133,$N$133,$Q$133,$T$133,$W$133)&lt;1</formula>
    </cfRule>
  </conditionalFormatting>
  <conditionalFormatting sqref="C146">
    <cfRule type="expression" dxfId="766" priority="307">
      <formula>MAX($H$133,$K$133,$N$133,$Q$133,$T$133,$W$133)&lt;1</formula>
    </cfRule>
  </conditionalFormatting>
  <conditionalFormatting sqref="C147">
    <cfRule type="expression" dxfId="765" priority="306">
      <formula>MAX($H$133,$K$133,$N$133,$Q$133,$T$133,$W$133)&lt;1</formula>
    </cfRule>
  </conditionalFormatting>
  <conditionalFormatting sqref="C148">
    <cfRule type="expression" dxfId="764" priority="305">
      <formula>MAX($H$133,$K$133,$N$133,$Q$133,$T$133,$W$133)&lt;1</formula>
    </cfRule>
  </conditionalFormatting>
  <conditionalFormatting sqref="C149">
    <cfRule type="expression" dxfId="763" priority="304">
      <formula>MAX($H$133,$K$133,$N$133,$Q$133,$T$133,$W$133)&lt;1</formula>
    </cfRule>
  </conditionalFormatting>
  <conditionalFormatting sqref="C150">
    <cfRule type="expression" dxfId="762" priority="303">
      <formula>MAX($H$133,$K$133,$N$133,$Q$133,$T$133,$W$133)&lt;1</formula>
    </cfRule>
  </conditionalFormatting>
  <conditionalFormatting sqref="C151">
    <cfRule type="expression" dxfId="761" priority="302">
      <formula>MAX($H$133,$K$133,$N$133,$Q$133,$T$133,$W$133)&lt;1</formula>
    </cfRule>
  </conditionalFormatting>
  <conditionalFormatting sqref="C152">
    <cfRule type="expression" dxfId="760" priority="301">
      <formula>MAX($H$133,$K$133,$N$133,$Q$133,$T$133,$W$133)&lt;1</formula>
    </cfRule>
  </conditionalFormatting>
  <conditionalFormatting sqref="C153">
    <cfRule type="expression" dxfId="759" priority="300">
      <formula>MAX($H$133,$K$133,$N$133,$Q$133,$T$133,$W$133)&lt;1</formula>
    </cfRule>
  </conditionalFormatting>
  <conditionalFormatting sqref="C219:C220">
    <cfRule type="expression" dxfId="758" priority="299">
      <formula>MAX($H$197,$K$197,$N$197,$Q$197,$T$197,$W$197)&lt;1</formula>
    </cfRule>
  </conditionalFormatting>
  <conditionalFormatting sqref="C221">
    <cfRule type="expression" dxfId="757" priority="298">
      <formula>MAX($H$197,$K$197,$N$197,$Q$197,$T$197,$W$197)&lt;1</formula>
    </cfRule>
  </conditionalFormatting>
  <conditionalFormatting sqref="C222">
    <cfRule type="expression" dxfId="756" priority="297">
      <formula>MAX($H$197,$K$197,$N$197,$Q$197,$T$197,$W$197)&lt;1</formula>
    </cfRule>
  </conditionalFormatting>
  <conditionalFormatting sqref="C223">
    <cfRule type="expression" dxfId="755" priority="296">
      <formula>MAX($H$197,$K$197,$N$197,$Q$197,$T$197,$W$197)&lt;1</formula>
    </cfRule>
  </conditionalFormatting>
  <conditionalFormatting sqref="C224">
    <cfRule type="expression" dxfId="754" priority="295">
      <formula>MAX($H$197,$K$197,$N$197,$Q$197,$T$197,$W$197)&lt;1</formula>
    </cfRule>
  </conditionalFormatting>
  <conditionalFormatting sqref="C225">
    <cfRule type="expression" dxfId="753" priority="294">
      <formula>MAX($H$197,$K$197,$N$197,$Q$197,$T$197,$W$197)&lt;1</formula>
    </cfRule>
  </conditionalFormatting>
  <conditionalFormatting sqref="C227">
    <cfRule type="expression" dxfId="752" priority="293">
      <formula>MAX($H$197,$K$197,$N$197,$Q$197,$T$197,$W$197)&lt;1</formula>
    </cfRule>
  </conditionalFormatting>
  <conditionalFormatting sqref="C228">
    <cfRule type="expression" dxfId="751" priority="292">
      <formula>MAX($H$197,$K$197,$N$197,$Q$197,$T$197,$W$197)&lt;1</formula>
    </cfRule>
  </conditionalFormatting>
  <conditionalFormatting sqref="C229">
    <cfRule type="expression" dxfId="750" priority="291">
      <formula>MAX($H$197,$K$197,$N$197,$Q$197,$T$197,$W$197)&lt;1</formula>
    </cfRule>
  </conditionalFormatting>
  <conditionalFormatting sqref="C230">
    <cfRule type="expression" dxfId="749" priority="290">
      <formula>MAX($H$197,$K$197,$N$197,$Q$197,$T$197,$W$197)&lt;1</formula>
    </cfRule>
  </conditionalFormatting>
  <conditionalFormatting sqref="C231">
    <cfRule type="expression" dxfId="748" priority="289">
      <formula>MAX($H$197,$K$197,$N$197,$Q$197,$T$197,$W$197)&lt;1</formula>
    </cfRule>
  </conditionalFormatting>
  <conditionalFormatting sqref="C232">
    <cfRule type="expression" dxfId="747" priority="288">
      <formula>MAX($H$197,$K$197,$N$197,$Q$197,$T$197,$W$197)&lt;1</formula>
    </cfRule>
  </conditionalFormatting>
  <conditionalFormatting sqref="C233">
    <cfRule type="expression" dxfId="746" priority="287">
      <formula>MAX($H$197,$K$197,$N$197,$Q$197,$T$197,$W$197)&lt;1</formula>
    </cfRule>
  </conditionalFormatting>
  <conditionalFormatting sqref="C234">
    <cfRule type="expression" dxfId="745" priority="286">
      <formula>MAX($H$197,$K$197,$N$197,$Q$197,$T$197,$W$197)&lt;1</formula>
    </cfRule>
  </conditionalFormatting>
  <conditionalFormatting sqref="C235">
    <cfRule type="expression" dxfId="744" priority="285">
      <formula>MAX($H$197,$K$197,$N$197,$Q$197,$T$197,$W$197)&lt;1</formula>
    </cfRule>
  </conditionalFormatting>
  <conditionalFormatting sqref="C236">
    <cfRule type="expression" dxfId="743" priority="284">
      <formula>MAX($H$197,$K$197,$N$197,$Q$197,$T$197,$W$197)&lt;1</formula>
    </cfRule>
  </conditionalFormatting>
  <conditionalFormatting sqref="C237">
    <cfRule type="expression" dxfId="742" priority="283">
      <formula>MAX($H$197,$K$197,$N$197,$Q$197,$T$197,$W$197)&lt;1</formula>
    </cfRule>
  </conditionalFormatting>
  <conditionalFormatting sqref="C239:C240">
    <cfRule type="expression" dxfId="741" priority="282">
      <formula>MAX($H$197,$K$197,$N$197,$Q$197,$T$197,$W$197)&lt;1</formula>
    </cfRule>
  </conditionalFormatting>
  <conditionalFormatting sqref="C241">
    <cfRule type="expression" dxfId="740" priority="281">
      <formula>MAX($H$197,$K$197,$N$197,$Q$197,$T$197,$W$197)&lt;1</formula>
    </cfRule>
  </conditionalFormatting>
  <conditionalFormatting sqref="C242">
    <cfRule type="expression" dxfId="739" priority="280">
      <formula>MAX($H$197,$K$197,$N$197,$Q$197,$T$197,$W$197)&lt;1</formula>
    </cfRule>
  </conditionalFormatting>
  <conditionalFormatting sqref="C243">
    <cfRule type="expression" dxfId="738" priority="279">
      <formula>MAX($H$197,$K$197,$N$197,$Q$197,$T$197,$W$197)&lt;1</formula>
    </cfRule>
  </conditionalFormatting>
  <conditionalFormatting sqref="C244">
    <cfRule type="expression" dxfId="737" priority="278">
      <formula>MAX($H$197,$K$197,$N$197,$Q$197,$T$197,$W$197)&lt;1</formula>
    </cfRule>
  </conditionalFormatting>
  <conditionalFormatting sqref="C245">
    <cfRule type="expression" dxfId="736" priority="277">
      <formula>MAX($H$197,$K$197,$N$197,$Q$197,$T$197,$W$197)&lt;1</formula>
    </cfRule>
  </conditionalFormatting>
  <conditionalFormatting sqref="C247">
    <cfRule type="expression" dxfId="735" priority="276">
      <formula>MAX($H$197,$K$197,$N$197,$Q$197,$T$197,$W$197)&lt;1</formula>
    </cfRule>
  </conditionalFormatting>
  <conditionalFormatting sqref="C248">
    <cfRule type="expression" dxfId="734" priority="275">
      <formula>MAX($H$197,$K$197,$N$197,$Q$197,$T$197,$W$197)&lt;1</formula>
    </cfRule>
  </conditionalFormatting>
  <conditionalFormatting sqref="C249">
    <cfRule type="expression" dxfId="733" priority="274">
      <formula>MAX($H$197,$K$197,$N$197,$Q$197,$T$197,$W$197)&lt;1</formula>
    </cfRule>
  </conditionalFormatting>
  <conditionalFormatting sqref="C250">
    <cfRule type="expression" dxfId="732" priority="273">
      <formula>MAX($H$197,$K$197,$N$197,$Q$197,$T$197,$W$197)&lt;1</formula>
    </cfRule>
  </conditionalFormatting>
  <conditionalFormatting sqref="C251">
    <cfRule type="expression" dxfId="731" priority="272">
      <formula>MAX($H$197,$K$197,$N$197,$Q$197,$T$197,$W$197)&lt;1</formula>
    </cfRule>
  </conditionalFormatting>
  <conditionalFormatting sqref="C252">
    <cfRule type="expression" dxfId="730" priority="271">
      <formula>MAX($H$197,$K$197,$N$197,$Q$197,$T$197,$W$197)&lt;1</formula>
    </cfRule>
  </conditionalFormatting>
  <conditionalFormatting sqref="C253">
    <cfRule type="expression" dxfId="729" priority="270">
      <formula>MAX($H$197,$K$197,$N$197,$Q$197,$T$197,$W$197)&lt;1</formula>
    </cfRule>
  </conditionalFormatting>
  <conditionalFormatting sqref="C254">
    <cfRule type="expression" dxfId="728" priority="269">
      <formula>MAX($H$197,$K$197,$N$197,$Q$197,$T$197,$W$197)&lt;1</formula>
    </cfRule>
  </conditionalFormatting>
  <conditionalFormatting sqref="C255">
    <cfRule type="expression" dxfId="727" priority="268">
      <formula>MAX($H$197,$K$197,$N$197,$Q$197,$T$197,$W$197)&lt;1</formula>
    </cfRule>
  </conditionalFormatting>
  <conditionalFormatting sqref="C256">
    <cfRule type="expression" dxfId="726" priority="267">
      <formula>MAX($H$197,$K$197,$N$197,$Q$197,$T$197,$W$197)&lt;1</formula>
    </cfRule>
  </conditionalFormatting>
  <conditionalFormatting sqref="C257">
    <cfRule type="expression" dxfId="725" priority="266">
      <formula>MAX($H$197,$K$197,$N$197,$Q$197,$T$197,$W$197)&lt;1</formula>
    </cfRule>
  </conditionalFormatting>
  <conditionalFormatting sqref="C263:C264">
    <cfRule type="expression" dxfId="724" priority="265">
      <formula>MAX($H$197,$K$197,$N$197,$Q$197,$T$197,$W$197)&lt;1</formula>
    </cfRule>
  </conditionalFormatting>
  <conditionalFormatting sqref="C265">
    <cfRule type="expression" dxfId="723" priority="264">
      <formula>MAX($H$197,$K$197,$N$197,$Q$197,$T$197,$W$197)&lt;1</formula>
    </cfRule>
  </conditionalFormatting>
  <conditionalFormatting sqref="C266">
    <cfRule type="expression" dxfId="722" priority="263">
      <formula>MAX($H$197,$K$197,$N$197,$Q$197,$T$197,$W$197)&lt;1</formula>
    </cfRule>
  </conditionalFormatting>
  <conditionalFormatting sqref="C267">
    <cfRule type="expression" dxfId="721" priority="262">
      <formula>MAX($H$197,$K$197,$N$197,$Q$197,$T$197,$W$197)&lt;1</formula>
    </cfRule>
  </conditionalFormatting>
  <conditionalFormatting sqref="C268">
    <cfRule type="expression" dxfId="720" priority="261">
      <formula>MAX($H$197,$K$197,$N$197,$Q$197,$T$197,$W$197)&lt;1</formula>
    </cfRule>
  </conditionalFormatting>
  <conditionalFormatting sqref="C269">
    <cfRule type="expression" dxfId="719" priority="260">
      <formula>MAX($H$197,$K$197,$N$197,$Q$197,$T$197,$W$197)&lt;1</formula>
    </cfRule>
  </conditionalFormatting>
  <conditionalFormatting sqref="C271">
    <cfRule type="expression" dxfId="718" priority="259">
      <formula>MAX($H$197,$K$197,$N$197,$Q$197,$T$197,$W$197)&lt;1</formula>
    </cfRule>
  </conditionalFormatting>
  <conditionalFormatting sqref="C272">
    <cfRule type="expression" dxfId="717" priority="258">
      <formula>MAX($H$197,$K$197,$N$197,$Q$197,$T$197,$W$197)&lt;1</formula>
    </cfRule>
  </conditionalFormatting>
  <conditionalFormatting sqref="C273">
    <cfRule type="expression" dxfId="716" priority="257">
      <formula>MAX($H$197,$K$197,$N$197,$Q$197,$T$197,$W$197)&lt;1</formula>
    </cfRule>
  </conditionalFormatting>
  <conditionalFormatting sqref="C274">
    <cfRule type="expression" dxfId="715" priority="256">
      <formula>MAX($H$197,$K$197,$N$197,$Q$197,$T$197,$W$197)&lt;1</formula>
    </cfRule>
  </conditionalFormatting>
  <conditionalFormatting sqref="C275">
    <cfRule type="expression" dxfId="714" priority="255">
      <formula>MAX($H$197,$K$197,$N$197,$Q$197,$T$197,$W$197)&lt;1</formula>
    </cfRule>
  </conditionalFormatting>
  <conditionalFormatting sqref="C276">
    <cfRule type="expression" dxfId="713" priority="254">
      <formula>MAX($H$197,$K$197,$N$197,$Q$197,$T$197,$W$197)&lt;1</formula>
    </cfRule>
  </conditionalFormatting>
  <conditionalFormatting sqref="C277">
    <cfRule type="expression" dxfId="712" priority="253">
      <formula>MAX($H$197,$K$197,$N$197,$Q$197,$T$197,$W$197)&lt;1</formula>
    </cfRule>
  </conditionalFormatting>
  <conditionalFormatting sqref="C278">
    <cfRule type="expression" dxfId="711" priority="252">
      <formula>MAX($H$197,$K$197,$N$197,$Q$197,$T$197,$W$197)&lt;1</formula>
    </cfRule>
  </conditionalFormatting>
  <conditionalFormatting sqref="C279">
    <cfRule type="expression" dxfId="710" priority="251">
      <formula>MAX($H$197,$K$197,$N$197,$Q$197,$T$197,$W$197)&lt;1</formula>
    </cfRule>
  </conditionalFormatting>
  <conditionalFormatting sqref="C280">
    <cfRule type="expression" dxfId="709" priority="250">
      <formula>MAX($H$197,$K$197,$N$197,$Q$197,$T$197,$W$197)&lt;1</formula>
    </cfRule>
  </conditionalFormatting>
  <conditionalFormatting sqref="C281">
    <cfRule type="expression" dxfId="708" priority="249">
      <formula>MAX($H$197,$K$197,$N$197,$Q$197,$T$197,$W$197)&lt;1</formula>
    </cfRule>
  </conditionalFormatting>
  <conditionalFormatting sqref="C283:C284">
    <cfRule type="expression" dxfId="707" priority="248">
      <formula>MAX($H$197,$K$197,$N$197,$Q$197,$T$197,$W$197)&lt;1</formula>
    </cfRule>
  </conditionalFormatting>
  <conditionalFormatting sqref="C285">
    <cfRule type="expression" dxfId="706" priority="247">
      <formula>MAX($H$197,$K$197,$N$197,$Q$197,$T$197,$W$197)&lt;1</formula>
    </cfRule>
  </conditionalFormatting>
  <conditionalFormatting sqref="C286">
    <cfRule type="expression" dxfId="705" priority="246">
      <formula>MAX($H$197,$K$197,$N$197,$Q$197,$T$197,$W$197)&lt;1</formula>
    </cfRule>
  </conditionalFormatting>
  <conditionalFormatting sqref="C287">
    <cfRule type="expression" dxfId="704" priority="245">
      <formula>MAX($H$197,$K$197,$N$197,$Q$197,$T$197,$W$197)&lt;1</formula>
    </cfRule>
  </conditionalFormatting>
  <conditionalFormatting sqref="C288">
    <cfRule type="expression" dxfId="703" priority="244">
      <formula>MAX($H$197,$K$197,$N$197,$Q$197,$T$197,$W$197)&lt;1</formula>
    </cfRule>
  </conditionalFormatting>
  <conditionalFormatting sqref="C289">
    <cfRule type="expression" dxfId="702" priority="243">
      <formula>MAX($H$197,$K$197,$N$197,$Q$197,$T$197,$W$197)&lt;1</formula>
    </cfRule>
  </conditionalFormatting>
  <conditionalFormatting sqref="C291">
    <cfRule type="expression" dxfId="701" priority="242">
      <formula>MAX($H$197,$K$197,$N$197,$Q$197,$T$197,$W$197)&lt;1</formula>
    </cfRule>
  </conditionalFormatting>
  <conditionalFormatting sqref="C292">
    <cfRule type="expression" dxfId="700" priority="241">
      <formula>MAX($H$197,$K$197,$N$197,$Q$197,$T$197,$W$197)&lt;1</formula>
    </cfRule>
  </conditionalFormatting>
  <conditionalFormatting sqref="C293">
    <cfRule type="expression" dxfId="699" priority="240">
      <formula>MAX($H$197,$K$197,$N$197,$Q$197,$T$197,$W$197)&lt;1</formula>
    </cfRule>
  </conditionalFormatting>
  <conditionalFormatting sqref="C294">
    <cfRule type="expression" dxfId="698" priority="239">
      <formula>MAX($H$197,$K$197,$N$197,$Q$197,$T$197,$W$197)&lt;1</formula>
    </cfRule>
  </conditionalFormatting>
  <conditionalFormatting sqref="C295">
    <cfRule type="expression" dxfId="697" priority="238">
      <formula>MAX($H$197,$K$197,$N$197,$Q$197,$T$197,$W$197)&lt;1</formula>
    </cfRule>
  </conditionalFormatting>
  <conditionalFormatting sqref="C296">
    <cfRule type="expression" dxfId="696" priority="237">
      <formula>MAX($H$197,$K$197,$N$197,$Q$197,$T$197,$W$197)&lt;1</formula>
    </cfRule>
  </conditionalFormatting>
  <conditionalFormatting sqref="C297">
    <cfRule type="expression" dxfId="695" priority="236">
      <formula>MAX($H$197,$K$197,$N$197,$Q$197,$T$197,$W$197)&lt;1</formula>
    </cfRule>
  </conditionalFormatting>
  <conditionalFormatting sqref="C298">
    <cfRule type="expression" dxfId="694" priority="235">
      <formula>MAX($H$197,$K$197,$N$197,$Q$197,$T$197,$W$197)&lt;1</formula>
    </cfRule>
  </conditionalFormatting>
  <conditionalFormatting sqref="C299">
    <cfRule type="expression" dxfId="693" priority="234">
      <formula>MAX($H$197,$K$197,$N$197,$Q$197,$T$197,$W$197)&lt;1</formula>
    </cfRule>
  </conditionalFormatting>
  <conditionalFormatting sqref="C300">
    <cfRule type="expression" dxfId="692" priority="233">
      <formula>MAX($H$197,$K$197,$N$197,$Q$197,$T$197,$W$197)&lt;1</formula>
    </cfRule>
  </conditionalFormatting>
  <conditionalFormatting sqref="C301">
    <cfRule type="expression" dxfId="691" priority="232">
      <formula>MAX($H$197,$K$197,$N$197,$Q$197,$T$197,$W$197)&lt;1</formula>
    </cfRule>
  </conditionalFormatting>
  <conditionalFormatting sqref="C303:C304">
    <cfRule type="expression" dxfId="690" priority="231">
      <formula>MAX($H$197,$K$197,$N$197,$Q$197,$T$197,$W$197)&lt;1</formula>
    </cfRule>
  </conditionalFormatting>
  <conditionalFormatting sqref="C305">
    <cfRule type="expression" dxfId="689" priority="230">
      <formula>MAX($H$197,$K$197,$N$197,$Q$197,$T$197,$W$197)&lt;1</formula>
    </cfRule>
  </conditionalFormatting>
  <conditionalFormatting sqref="C306">
    <cfRule type="expression" dxfId="688" priority="229">
      <formula>MAX($H$197,$K$197,$N$197,$Q$197,$T$197,$W$197)&lt;1</formula>
    </cfRule>
  </conditionalFormatting>
  <conditionalFormatting sqref="C307">
    <cfRule type="expression" dxfId="687" priority="228">
      <formula>MAX($H$197,$K$197,$N$197,$Q$197,$T$197,$W$197)&lt;1</formula>
    </cfRule>
  </conditionalFormatting>
  <conditionalFormatting sqref="C308">
    <cfRule type="expression" dxfId="686" priority="227">
      <formula>MAX($H$197,$K$197,$N$197,$Q$197,$T$197,$W$197)&lt;1</formula>
    </cfRule>
  </conditionalFormatting>
  <conditionalFormatting sqref="C309">
    <cfRule type="expression" dxfId="685" priority="226">
      <formula>MAX($H$197,$K$197,$N$197,$Q$197,$T$197,$W$197)&lt;1</formula>
    </cfRule>
  </conditionalFormatting>
  <conditionalFormatting sqref="C311">
    <cfRule type="expression" dxfId="684" priority="225">
      <formula>MAX($H$197,$K$197,$N$197,$Q$197,$T$197,$W$197)&lt;1</formula>
    </cfRule>
  </conditionalFormatting>
  <conditionalFormatting sqref="C312">
    <cfRule type="expression" dxfId="683" priority="224">
      <formula>MAX($H$197,$K$197,$N$197,$Q$197,$T$197,$W$197)&lt;1</formula>
    </cfRule>
  </conditionalFormatting>
  <conditionalFormatting sqref="C313">
    <cfRule type="expression" dxfId="682" priority="223">
      <formula>MAX($H$197,$K$197,$N$197,$Q$197,$T$197,$W$197)&lt;1</formula>
    </cfRule>
  </conditionalFormatting>
  <conditionalFormatting sqref="C314">
    <cfRule type="expression" dxfId="681" priority="222">
      <formula>MAX($H$197,$K$197,$N$197,$Q$197,$T$197,$W$197)&lt;1</formula>
    </cfRule>
  </conditionalFormatting>
  <conditionalFormatting sqref="C315">
    <cfRule type="expression" dxfId="680" priority="221">
      <formula>MAX($H$197,$K$197,$N$197,$Q$197,$T$197,$W$197)&lt;1</formula>
    </cfRule>
  </conditionalFormatting>
  <conditionalFormatting sqref="C316">
    <cfRule type="expression" dxfId="679" priority="220">
      <formula>MAX($H$197,$K$197,$N$197,$Q$197,$T$197,$W$197)&lt;1</formula>
    </cfRule>
  </conditionalFormatting>
  <conditionalFormatting sqref="C317">
    <cfRule type="expression" dxfId="678" priority="219">
      <formula>MAX($H$197,$K$197,$N$197,$Q$197,$T$197,$W$197)&lt;1</formula>
    </cfRule>
  </conditionalFormatting>
  <conditionalFormatting sqref="C318">
    <cfRule type="expression" dxfId="677" priority="218">
      <formula>MAX($H$197,$K$197,$N$197,$Q$197,$T$197,$W$197)&lt;1</formula>
    </cfRule>
  </conditionalFormatting>
  <conditionalFormatting sqref="C319">
    <cfRule type="expression" dxfId="676" priority="217">
      <formula>MAX($H$197,$K$197,$N$197,$Q$197,$T$197,$W$197)&lt;1</formula>
    </cfRule>
  </conditionalFormatting>
  <conditionalFormatting sqref="C320">
    <cfRule type="expression" dxfId="675" priority="216">
      <formula>MAX($H$197,$K$197,$N$197,$Q$197,$T$197,$W$197)&lt;1</formula>
    </cfRule>
  </conditionalFormatting>
  <conditionalFormatting sqref="C321">
    <cfRule type="expression" dxfId="674" priority="215">
      <formula>MAX($H$197,$K$197,$N$197,$Q$197,$T$197,$W$197)&lt;1</formula>
    </cfRule>
  </conditionalFormatting>
  <conditionalFormatting sqref="H28:H38 K28:K38">
    <cfRule type="expression" dxfId="673" priority="214">
      <formula>AND(H28="",$F28&gt;0)</formula>
    </cfRule>
  </conditionalFormatting>
  <conditionalFormatting sqref="H43:H78">
    <cfRule type="expression" dxfId="672" priority="213">
      <formula>AND(OR(H43="",H43="#"),E43&gt;0)</formula>
    </cfRule>
  </conditionalFormatting>
  <conditionalFormatting sqref="H6 H9:H12 H19 H92 K92 N92 Q92 T92 W92 H95:H96 K95:K96 N95:N96 Q95:Q96 T95:T96 W95:W96 K98 N98 Q98 T98 W98 H104 K104 N104 Q104 T104 W104 H108 K108 N108 Q108 T108 W108 K151:K152 N151:N152 Q151:Q152 T151:T152 W151:W152 K171:K172 N171:N172 Q171:Q172 T171:T172 W171:W172 K191:K192 N191:N192 Q191:Q192 T191:T192 W191:W192 K216:K217 N216:N217 Q216:Q217 T216:T217 W216:W217 K236:K237 N236:N237 Q236:Q237 T236:T237 W236:W237 K256:K257 N256:N257 Q256:Q257 T256:T257 W256:W257 K280:K281 N280:N281 Q280:Q281 T280:T281 W280:W281 K300:K301 N300:N301 Q300:Q301 T300:T301 W300:W301 K320:K321 N320:N321 Q320:Q321 T320:T321 W320:W321">
    <cfRule type="expression" dxfId="671" priority="373">
      <formula>H6&lt;=0</formula>
    </cfRule>
  </conditionalFormatting>
  <conditionalFormatting sqref="G87 J87 M87 P87 S87 V87">
    <cfRule type="expression" dxfId="670" priority="321">
      <formula>AND(ISBLANK(G87),NOT(ISBLANK(G86)))</formula>
    </cfRule>
  </conditionalFormatting>
  <conditionalFormatting sqref="P86 G86 J86 M86 S86 V86">
    <cfRule type="expression" dxfId="669" priority="212">
      <formula>OR(AND(ISBLANK(G86),NOT(ISBLANK(G87))),AND(NOT(ISBLANK(G86)),IFERROR(INDIRECT("'"&amp;G86&amp;"'!A1"),TRUE)))</formula>
    </cfRule>
  </conditionalFormatting>
  <conditionalFormatting sqref="H88 K88 N88 Q88 T88 W88">
    <cfRule type="expression" dxfId="668" priority="360">
      <formula>H88=""</formula>
    </cfRule>
  </conditionalFormatting>
  <conditionalFormatting sqref="M135:N140 M142:N153">
    <cfRule type="expression" dxfId="667" priority="319">
      <formula>$N$133&lt;1</formula>
    </cfRule>
  </conditionalFormatting>
  <conditionalFormatting sqref="K133 N133 Q133 T133 W133 K197 N197 Q197 T197 W197 K260 N260 Q260 T260 W260">
    <cfRule type="expression" dxfId="666" priority="203">
      <formula>AND(K133=0,J133="")</formula>
    </cfRule>
    <cfRule type="expression" dxfId="665" priority="320">
      <formula>OR(K133&lt;0,K133&gt;3)</formula>
    </cfRule>
  </conditionalFormatting>
  <conditionalFormatting sqref="H8 H17:H18 H21 H27:H38 K27:K38 H43:H78 H93:H94 K93:K94 N93:N94 Q93:Q94 T93:T94 W93:W94 K99 N99 Q99 T99 W99 H106:H107 K106:K107 N106:N107 Q106:Q107 T106:T107 W106:W107 H109:H116 K109:K116 N109:N116 Q109:Q116 T109:T116 W109:W116 H122:H123 K122:K123 N122:N123 Q122:Q123 T122:T123 W122:W123 K133 N133 Q133 T133 W133 K135 N135 Q135 T135 W135 K139:K140 N139:N140 Q139:Q140 T139:T140 W139:W140 K144 N144 Q144 T144 W144 K146 N146 Q146 T146 W146 K148:K150 N148:N150 Q148:Q150 T148:T150 W148:W150 K155 N155 Q155 T155 W155 K159:K160 N159:N160 Q159:Q160 T159:T160 W159:W160 K164 N164 Q164 T164 W164 K166 N166 Q166 T166 W166 K168:K170 N168:N170 Q168:Q170 T168:T170 W168:W170 K175 N175 Q175 T175 W175 K179:K180 N179:N180 Q179:Q180 T179:T180 W179:W180 K184 N184 Q184 T184 W184 K186 N186 Q186 T186 W186 K188:K190 N188:N190 Q188:Q190 T188:T190 W188:W190 K199 N199 Q199 T199 W199 K203:K204 N203:N204 Q203:Q204 T203:T204 W203:W204 K207 N207 Q207 T207 W207 K209 N209 Q209 T209 W209 K211 N211 Q211 T211 W211 K213:K215 N213:N215 Q213:Q215 T213:T215 W213:W215 K219 N219 Q219 T219 W219 K223:K224 N223:N224 Q223:Q224 T223:T224 W223:W224 K227 N227 Q227 T227 W227 K229 N229 Q229 T229 W229 K231 N231 Q231 T231 W231 K233:K235 N233:N235 Q233:Q235 T233:T235 W233:W235 K239 N239 Q239 T239 W239 K243:K244 N243:N244 Q243:Q244 T243:T244 W243:W244 K247 N247 Q247 T247 W247 K249 N249 Q249 T249 W249 K251 N251 Q251 T251 W251 K253:K255 N253:N255 Q253:Q255 T253:T255 W253:W255 K263 N263 Q263 T263 W263 K267:K268 N267:N268 Q267:Q268 T267:T268 W267:W268 K271 N271 Q271 T271 W271 K273 N273 Q273 T273 W273 K275 N275 Q275 T275 W275 K277:K279 N277:N279 Q277:Q279 T277:T279 W277:W279 K283 N283 Q283 T283 W283 K287:K288 N287:N288 Q287:Q288 T287:T288 W287:W288 K291 N291 Q291 T291 W291 K293 N293 Q293 T293 W293 K295 N295 Q295 T295 W295 K297:K299 N297:N299 Q297:Q299 T297:T299 W297:W299 K303 N303 Q303 T303 W303 K307:K308 N307:N308 Q307:Q308 T307:T308 W307:W308 K311 N311 Q311 T311 W311 K313 N313 Q313 T313 W313 K315 N315 Q315 T315 W315 K317:K319 N317:N319 Q317:Q319 T317:T319 W317:W319 W142 T142 Q142 N142 K142 W162 T162 Q162 N162 K162 W182 T182 Q182 N182 K182">
    <cfRule type="expression" dxfId="664" priority="391">
      <formula>H8&lt;0</formula>
    </cfRule>
  </conditionalFormatting>
  <conditionalFormatting sqref="H99">
    <cfRule type="expression" dxfId="663" priority="204">
      <formula>$H$7&lt;2</formula>
    </cfRule>
  </conditionalFormatting>
  <conditionalFormatting sqref="H99">
    <cfRule type="expression" dxfId="662" priority="205">
      <formula>H99&lt;0</formula>
    </cfRule>
  </conditionalFormatting>
  <conditionalFormatting sqref="H6:H12 H17:H20 H92:H93 H95:H97 H99 K92:K99 N92:N99 Q92:Q99 T92:T99 W92:W99 K133 N133 Q133 T133 W133 K135:K136 N135:N136 Q135:Q136 T135:T136 W135:W136 K155:K156 N155:N156 Q155:Q156 T155:T156 W155:W156 K175:K176 N175:N176 Q175:Q176 T175:T176 W175:W176 K197 N197 Q197 T197 W197 K199:K200 N199:N200 Q199:Q200 T199:T200 W199:W200 K219:K220 N219:N220 Q219:Q220 T219:T220 W219:W220 K239:K240 N239:N240 Q239:Q240 T239:T240 W239:W240 K260 N260 Q260 T260 W260 K263:K264 N263:N264 Q263:Q264 T263:T264 W263:W264 K283:K284 N283:N284 Q283:Q284 T283:T284 W283:W284 K303:K304 N303:N304 Q303:Q304 T303:T304 W303:W304 K317:K319 N317:N319 Q317:Q319 T317:T319 W317:W319 W297:W299 T297:T299 Q297:Q299 N297:N299 K297:K299 K277:K279 N277:N279 Q277:Q279 T277:T279 W277:W279 W253:W255 T253:T255 Q253:Q255 N253:N255 K253:K255 K233:K235 N233:N235 Q233:Q235 T233:T235 W233:W235 W213:W215 T213:T215 Q213:Q215 N213:N215 K213:K215 K188:K190 N188:N190 Q188:Q190 T188:T190 W188:W190 W168:W170 T168:T170 Q168:Q170 N168:N170 K168:K170 K148:K150 N148:N150 Q148:Q150 T148:T150 W148:W150">
    <cfRule type="expression" dxfId="661" priority="392">
      <formula>H6=""</formula>
    </cfRule>
  </conditionalFormatting>
  <conditionalFormatting sqref="H17:H18">
    <cfRule type="expression" dxfId="660" priority="201">
      <formula>SUM($H$17:$H$18)=0</formula>
    </cfRule>
  </conditionalFormatting>
  <conditionalFormatting sqref="K137:K140 N137:N140 Q137:Q140 T137:T140 W137:W140 K151:K152 N151:N152 Q151:Q152 T151:T152 W151:W152">
    <cfRule type="expression" dxfId="659" priority="197">
      <formula>OR(K$136="Public Transport 1",K$136="Public Transport 2")</formula>
    </cfRule>
  </conditionalFormatting>
  <conditionalFormatting sqref="J137:J140 M137:M140 P137:P140 S137:S140 V137:V140 J151:J152 M151:M152 P151:P152 S151:S152 V151:V152">
    <cfRule type="expression" dxfId="658" priority="206">
      <formula>OR(K$136="Public Transport 1",K$136="Public Transport 2")</formula>
    </cfRule>
  </conditionalFormatting>
  <conditionalFormatting sqref="J144 M144 P144 S144 V144 J151 M151 P151 S151 V151">
    <cfRule type="expression" dxfId="657" priority="200">
      <formula>AND(K$143&lt;&gt;"Route-based", K$143&lt;&gt;"")</formula>
    </cfRule>
  </conditionalFormatting>
  <conditionalFormatting sqref="K144 N144 Q144 T144 W144">
    <cfRule type="expression" dxfId="656" priority="194">
      <formula>AND(K$143&lt;&gt;"Route-based", K$143&lt;&gt;"")</formula>
    </cfRule>
  </conditionalFormatting>
  <conditionalFormatting sqref="J147 M147 P147 S147 V147 J167 M167 P167 S167 V167 J187 M187 P187 S187 V187 J212 M212 P212 S212 V212 J232 M232 P232 S232 V232 J252 M252 P252 S252 V252 J276 M276 P276 S276 V276 J296 M296 P296 S296 V296 J316 M316 P316 S316 V316">
    <cfRule type="expression" dxfId="655" priority="323">
      <formula>K146=0</formula>
    </cfRule>
  </conditionalFormatting>
  <conditionalFormatting sqref="K147 N147 Q147 T147 W147 K167 N167 Q167 T167 W167 K187 N187 Q187 T187 W187 K212 N212 Q212 T212 W212 K232 N232 Q232 T232 W232 K252 N252 Q252 T252 W252 K276 N276 Q276 T276 W276 K296 N296 Q296 T296 W296 K316 N316 Q316 T316 W316">
    <cfRule type="expression" dxfId="654" priority="198">
      <formula>K146=0</formula>
    </cfRule>
  </conditionalFormatting>
  <conditionalFormatting sqref="K151 N151 Q151 T151 W151">
    <cfRule type="expression" dxfId="653" priority="209">
      <formula>AND(K$143&lt;&gt;"Route-based",K$143&lt;&gt;"")</formula>
    </cfRule>
  </conditionalFormatting>
  <conditionalFormatting sqref="J138:J139 M138:M139 P138:P139 S138:S139 V138:V139">
    <cfRule type="expression" dxfId="652" priority="196">
      <formula>AND(K$137&lt;&gt;"Rented",K$137&lt;&gt;"Contracted to 3PL",K$137&lt;&gt;"")</formula>
    </cfRule>
  </conditionalFormatting>
  <conditionalFormatting sqref="K138:K139 N138:N139 Q138:Q139 T138:T139 W138:W139">
    <cfRule type="expression" dxfId="651" priority="195">
      <formula>AND(K$137&lt;&gt;"Rented",K$137&lt;&gt;"Contracted to 3PL",K$137&lt;&gt;"")</formula>
    </cfRule>
  </conditionalFormatting>
  <conditionalFormatting sqref="K144 N144 Q144 T144 W144 K164 N164 Q164 T164 W164 K184 N184 Q184 T184 W184 K209 N209 Q209 T209 W209 K229 N229 Q229 T229 W229 K249 N249 Q249 T249 W249 K273 N273 Q273 T273 W273 K293 N293 Q293 T293 W293 K313 N313 Q313 T313 W313">
    <cfRule type="expression" dxfId="650" priority="199">
      <formula>AND(K143="Route-based",K144="")</formula>
    </cfRule>
  </conditionalFormatting>
  <conditionalFormatting sqref="J157:J160 J171:J172 M157:M160 M171:M172 P157:P160 P171:P172 S157:S160 S171:S172 V157:V160 V171:V172">
    <cfRule type="expression" dxfId="649" priority="366">
      <formula>OR(K$156="Public Transport 1",K$156="Public Transport 2")</formula>
    </cfRule>
  </conditionalFormatting>
  <conditionalFormatting sqref="K157:K160 K171:K172 N157:N160 N171:N172 Q157:Q160 Q171:Q172 T157:T160 T171:T172 W157:W160 W171:W172">
    <cfRule type="expression" dxfId="648" priority="364">
      <formula>OR(K$156="Public Transport 1",K$156="Public Transport 2")</formula>
    </cfRule>
  </conditionalFormatting>
  <conditionalFormatting sqref="J177:J180 M177:M180 P177:P180 S177:S180 V177:V180 J191:J192 M191:M192 P191:P192 S191:S192 V191:V192">
    <cfRule type="expression" dxfId="647" priority="317">
      <formula>OR(K$176="Public Transport 1",K$176="Public Transport 2")</formula>
    </cfRule>
  </conditionalFormatting>
  <conditionalFormatting sqref="K177:K180 N177:N180 Q177:Q180 T177:T180 W177:W180 K191:K192 N191:N192 Q191:Q192 T191:T192 W191:W192">
    <cfRule type="expression" dxfId="646" priority="190">
      <formula>OR(K$176="Public Transport 1",K$176="Public Transport 2")</formula>
    </cfRule>
  </conditionalFormatting>
  <conditionalFormatting sqref="J201:J205 M201:M205 P201:P205 S201:S205 V201:V205 J216:J217 M216:M217 P216:P217 S216:S217 V216:V217">
    <cfRule type="expression" dxfId="645" priority="207">
      <formula>OR(K$200="Public Transport 1",K$200="Public Transport 2")</formula>
    </cfRule>
  </conditionalFormatting>
  <conditionalFormatting sqref="K201:K205 N201:N205 Q201:Q205 T201:T205 W201:W205 K216:K217 N216:N217 Q216:Q217 T216:T217 W216:W217">
    <cfRule type="expression" dxfId="644" priority="188">
      <formula>OR(K$200="Public Transport 1",K$200="Public Transport 2")</formula>
    </cfRule>
  </conditionalFormatting>
  <conditionalFormatting sqref="J221:J225 M221:M225 P221:P225 S221:S225 V221:V225 J236:J237 M236:M237 P236:P237 S236:S237 V236:V237">
    <cfRule type="expression" dxfId="643" priority="355">
      <formula>OR(K$220="Public Transport 1",K$220="Public Transport 2")</formula>
    </cfRule>
  </conditionalFormatting>
  <conditionalFormatting sqref="K221:K225 N221:N225 Q221:Q225 T221:T225 W221:W225 K236:K237 N236:N237 Q236:Q237 T236:T237 W236:W237">
    <cfRule type="expression" dxfId="642" priority="186">
      <formula>OR(K$220="Public Transport 1",K$220="Public Transport 2")</formula>
    </cfRule>
  </conditionalFormatting>
  <conditionalFormatting sqref="J241:J245 M241:M245 P241:P245 S241:S245 V241:V245 J256:J257 M256:M257 P256:P257 S256:S257 V256:V257">
    <cfRule type="expression" dxfId="641" priority="352">
      <formula>OR(K$240="Public Transport 1",K$240="Public Transport 2")</formula>
    </cfRule>
  </conditionalFormatting>
  <conditionalFormatting sqref="K241:K245 N241:N245 Q241:Q245 T241:T245 W241:W245 K256:K257 N256:N257 Q256:Q257 T256:T257 W256:W257">
    <cfRule type="expression" dxfId="640" priority="184">
      <formula>OR(K$240="Public Transport 1",K$240="Public Transport 2")</formula>
    </cfRule>
  </conditionalFormatting>
  <conditionalFormatting sqref="J265:J269 M265:M269 P265:P269 S265:S269 V265:V269 J280:J281 M280:M281 P280:P281 S280:S281 V280:V281">
    <cfRule type="expression" dxfId="639" priority="349">
      <formula>OR(K$264="Public Transport 1",K$264="Public Transport 2")</formula>
    </cfRule>
  </conditionalFormatting>
  <conditionalFormatting sqref="K265:K269 N265:N269 Q265:Q269 T265:T269 W265:W269 K280:K281 N280:N281 Q280:Q281 T280:T281 W280:W281">
    <cfRule type="expression" dxfId="638" priority="182">
      <formula>OR(K$264="Public Transport 1",K$264="Public Transport 2")</formula>
    </cfRule>
  </conditionalFormatting>
  <conditionalFormatting sqref="J285:J289 M285:M289 P285:P289 S285:S289 V285:V289 J300:J301 M300:M301 P300:P301 S300:S301 V300:V301">
    <cfRule type="expression" dxfId="637" priority="348">
      <formula>OR(K$284="Public Transport 1",K$284="Public Transport 2")</formula>
    </cfRule>
  </conditionalFormatting>
  <conditionalFormatting sqref="K285:K289 N285:N289 Q285:Q289 T285:T289 W285:W289 K300:K301 N300:N301 Q300:Q301 T300:T301 W300:W301">
    <cfRule type="expression" dxfId="636" priority="180">
      <formula>OR(K$284="Public Transport 1",K$284="Public Transport 2")</formula>
    </cfRule>
  </conditionalFormatting>
  <conditionalFormatting sqref="J305:J309 M305:M309 P305:P309 S305:S309 V305:V309 J320:J321 M320:M321 P320:P321 S320:S321 V320:V321">
    <cfRule type="expression" dxfId="635" priority="347">
      <formula>OR(K$304="Public Transport 1",K$304="Public Transport 2")</formula>
    </cfRule>
  </conditionalFormatting>
  <conditionalFormatting sqref="K305:K309 N305:N309 Q305:Q309 T305:T309 W305:W309 K320:K321 N320:N321 Q320:Q321 T320:T321 W320:W321">
    <cfRule type="expression" dxfId="634" priority="178">
      <formula>OR(K$304="Public Transport 1",K$304="Public Transport 2")</formula>
    </cfRule>
  </conditionalFormatting>
  <conditionalFormatting sqref="J158:J159 M158:M159 P158:P159 S158:S159 V158:V159">
    <cfRule type="expression" dxfId="633" priority="191">
      <formula>AND(K$157&lt;&gt;"Rented",K$157&lt;&gt;"Contracted to 3PL",K$157&lt;&gt;"")</formula>
    </cfRule>
  </conditionalFormatting>
  <conditionalFormatting sqref="K158:K159 N158:N159 Q158:Q159 T158:T159 W158:W159">
    <cfRule type="expression" dxfId="632" priority="176">
      <formula>AND(K$157&lt;&gt;"Rented",K$157&lt;&gt;"Contracted to 3PL",K$157&lt;&gt;"")</formula>
    </cfRule>
  </conditionalFormatting>
  <conditionalFormatting sqref="J178:J179 M178:M179 P178:P179 S178:S179 V178:V179">
    <cfRule type="expression" dxfId="631" priority="189">
      <formula>AND(K$177&lt;&gt;"Rented",K$177&lt;&gt;"Contracted to 3PL",K$177&lt;&gt;"")</formula>
    </cfRule>
  </conditionalFormatting>
  <conditionalFormatting sqref="K178:K179 N178:N179 Q178:Q179 T178:T179 W178:W179">
    <cfRule type="expression" dxfId="630" priority="174">
      <formula>AND(K$177&lt;&gt;"Rented",K$177&lt;&gt;"Contracted to 3PL",K$177&lt;&gt;"")</formula>
    </cfRule>
  </conditionalFormatting>
  <conditionalFormatting sqref="J202:J203 M202:M203 P202:P203 S202:S203 V202:V203">
    <cfRule type="expression" dxfId="629" priority="187">
      <formula>AND(K$201&lt;&gt;"Rented",K$201&lt;&gt;"Contracted to 3PL",K$201&lt;&gt;"")</formula>
    </cfRule>
  </conditionalFormatting>
  <conditionalFormatting sqref="K202:K203 N202:N203 Q202:Q203 T202:T203 W202:W203">
    <cfRule type="expression" dxfId="628" priority="172">
      <formula>AND(K$201&lt;&gt;"Rented",K$201&lt;&gt;"Contracted to 3PL",K$201&lt;&gt;"")</formula>
    </cfRule>
  </conditionalFormatting>
  <conditionalFormatting sqref="J222:J223 M222:M223 P222:P223 S222:S223 V222:V223">
    <cfRule type="expression" dxfId="627" priority="185">
      <formula>AND(K$221&lt;&gt;"Rented",K$221&lt;&gt;"Contracted to 3PL",K$221&lt;&gt;"")</formula>
    </cfRule>
  </conditionalFormatting>
  <conditionalFormatting sqref="K222:K223 N222:N223 Q222:Q223 T222:T223 W222:W223">
    <cfRule type="expression" dxfId="626" priority="170">
      <formula>AND(K$221&lt;&gt;"Rented",K$221&lt;&gt;"Contracted to 3PL",K$221&lt;&gt;"")</formula>
    </cfRule>
  </conditionalFormatting>
  <conditionalFormatting sqref="J242:J243 M242:M243 P242:P243 S242:S243 V242:V243">
    <cfRule type="expression" dxfId="625" priority="183">
      <formula>AND(K$241&lt;&gt;"Rented",K$241&lt;&gt;"Contracted to 3PL",K$241&lt;&gt;"")</formula>
    </cfRule>
  </conditionalFormatting>
  <conditionalFormatting sqref="K242:K243 N242:N243 Q242:Q243 T242:T243 W242:W243">
    <cfRule type="expression" dxfId="624" priority="168">
      <formula>AND(K$241&lt;&gt;"Rented",K$241&lt;&gt;"Contracted to 3PL",K$241&lt;&gt;"")</formula>
    </cfRule>
  </conditionalFormatting>
  <conditionalFormatting sqref="J266:J267 M266:M267 P266:P267 S266:S267 V266:V267">
    <cfRule type="expression" dxfId="623" priority="181">
      <formula>AND(K$265&lt;&gt;"Rented",K$265&lt;&gt;"Contracted to 3PL",K$265&lt;&gt;"")</formula>
    </cfRule>
  </conditionalFormatting>
  <conditionalFormatting sqref="K266:K267 N266:N267 Q266:Q267 T266:T267 W266:W267">
    <cfRule type="expression" dxfId="622" priority="166">
      <formula>AND(K$265&lt;&gt;"Rented",K$265&lt;&gt;"Contracted to 3PL",K$265&lt;&gt;"")</formula>
    </cfRule>
  </conditionalFormatting>
  <conditionalFormatting sqref="J286:J287 M286:M287 P286:P287 S286:S287 V286:V287">
    <cfRule type="expression" dxfId="621" priority="179">
      <formula>AND(K$285&lt;&gt;"Rented",K$285&lt;&gt;"Contracted to 3PL",K$285&lt;&gt;"")</formula>
    </cfRule>
  </conditionalFormatting>
  <conditionalFormatting sqref="K286:K287 N286:N287 Q286:Q287 T286:T287 W286:W287">
    <cfRule type="expression" dxfId="620" priority="164">
      <formula>AND(K$285&lt;&gt;"Rented",K$285&lt;&gt;"Contracted to 3PL",K$285&lt;&gt;"")</formula>
    </cfRule>
  </conditionalFormatting>
  <conditionalFormatting sqref="J306:J307 M306:M307 P306:P307 S306:S307 V306:V307">
    <cfRule type="expression" dxfId="619" priority="177">
      <formula>AND(K$305&lt;&gt;"Rented",K$305&lt;&gt;"Contracted to 3PL",K$305&lt;&gt;"")</formula>
    </cfRule>
  </conditionalFormatting>
  <conditionalFormatting sqref="K306:K307 N306:N307 Q306:Q307 T306:T307 W306:W307">
    <cfRule type="expression" dxfId="618" priority="162">
      <formula>AND(K$305&lt;&gt;"Rented",K$305&lt;&gt;"Contracted to 3PL",K$305&lt;&gt;"")</formula>
    </cfRule>
  </conditionalFormatting>
  <conditionalFormatting sqref="J164 M164 P164 S164 V164">
    <cfRule type="expression" dxfId="617" priority="175">
      <formula>AND(K$163&lt;&gt;"Route-based", K$163&lt;&gt;"")</formula>
    </cfRule>
  </conditionalFormatting>
  <conditionalFormatting sqref="K164 N164 Q164 T164 W164">
    <cfRule type="expression" dxfId="616" priority="160">
      <formula>AND(K$163&lt;&gt;"Route-based", K$163&lt;&gt;"")</formula>
    </cfRule>
  </conditionalFormatting>
  <conditionalFormatting sqref="J184 M184 P184 S184 V184">
    <cfRule type="expression" dxfId="615" priority="173">
      <formula>AND(K$183&lt;&gt;"Route-based", K$183&lt;&gt;"")</formula>
    </cfRule>
  </conditionalFormatting>
  <conditionalFormatting sqref="K184 N184 Q184 T184 W184">
    <cfRule type="expression" dxfId="614" priority="159">
      <formula>AND(K$183&lt;&gt;"Route-based", K$183&lt;&gt;"")</formula>
    </cfRule>
  </conditionalFormatting>
  <conditionalFormatting sqref="J209 M209 P209 S209 V209">
    <cfRule type="expression" dxfId="613" priority="171">
      <formula>AND(K$208&lt;&gt;"Route-based", K$208&lt;&gt;"")</formula>
    </cfRule>
  </conditionalFormatting>
  <conditionalFormatting sqref="K209 N209 Q209 T209 W209">
    <cfRule type="expression" dxfId="612" priority="157">
      <formula>AND(K$208&lt;&gt;"Route-based", K$208&lt;&gt;"")</formula>
    </cfRule>
  </conditionalFormatting>
  <conditionalFormatting sqref="J229 M229 P229 S229 V229">
    <cfRule type="expression" dxfId="611" priority="169">
      <formula>AND(K$228&lt;&gt;"Route-based", K$228&lt;&gt;"")</formula>
    </cfRule>
  </conditionalFormatting>
  <conditionalFormatting sqref="K229 N229 Q229 T229 W229">
    <cfRule type="expression" dxfId="610" priority="155">
      <formula>AND(K$228&lt;&gt;"Route-based", K$228&lt;&gt;"")</formula>
    </cfRule>
  </conditionalFormatting>
  <conditionalFormatting sqref="J249 M249 P249 S249 V249">
    <cfRule type="expression" dxfId="609" priority="167">
      <formula>AND(K$248&lt;&gt;"Route-based", K$248&lt;&gt;"")</formula>
    </cfRule>
  </conditionalFormatting>
  <conditionalFormatting sqref="K249 N249 Q249 T249 W249">
    <cfRule type="expression" dxfId="608" priority="153">
      <formula>AND(K$248&lt;&gt;"Route-based", K$248&lt;&gt;"")</formula>
    </cfRule>
  </conditionalFormatting>
  <conditionalFormatting sqref="J273 M273 P273 S273 V273">
    <cfRule type="expression" dxfId="607" priority="165">
      <formula>AND(K$272&lt;&gt;"Route-based", K$272&lt;&gt;"")</formula>
    </cfRule>
  </conditionalFormatting>
  <conditionalFormatting sqref="K273 N273 Q273 T273 W273">
    <cfRule type="expression" dxfId="606" priority="151">
      <formula>AND(K$272&lt;&gt;"Route-based", K$272&lt;&gt;"")</formula>
    </cfRule>
  </conditionalFormatting>
  <conditionalFormatting sqref="J293 M293 P293 S293 V293">
    <cfRule type="expression" dxfId="605" priority="163">
      <formula>AND(K$292&lt;&gt;"Route-based", K$292&lt;&gt;"")</formula>
    </cfRule>
  </conditionalFormatting>
  <conditionalFormatting sqref="K293 N293 Q293 T293 W293">
    <cfRule type="expression" dxfId="604" priority="150">
      <formula>AND(K$292&lt;&gt;"Route-based", K$292&lt;&gt;"")</formula>
    </cfRule>
  </conditionalFormatting>
  <conditionalFormatting sqref="J313 M313 P313 S313 V313">
    <cfRule type="expression" dxfId="603" priority="161">
      <formula>AND(K$312&lt;&gt;"Route-based", K$312&lt;&gt;"")</formula>
    </cfRule>
  </conditionalFormatting>
  <conditionalFormatting sqref="K313 N313 Q313 T313 W313">
    <cfRule type="expression" dxfId="602" priority="149">
      <formula>AND(K$312&lt;&gt;"Route-based", K$312&lt;&gt;"")</formula>
    </cfRule>
  </conditionalFormatting>
  <conditionalFormatting sqref="O141:Q141">
    <cfRule type="expression" dxfId="601" priority="136">
      <formula>$H$7&lt;4</formula>
    </cfRule>
  </conditionalFormatting>
  <conditionalFormatting sqref="J141:K141">
    <cfRule type="expression" dxfId="600" priority="135">
      <formula>$K$133&lt;1</formula>
    </cfRule>
  </conditionalFormatting>
  <conditionalFormatting sqref="P141:Q141">
    <cfRule type="expression" dxfId="599" priority="137">
      <formula>$Q$133&lt;1</formula>
    </cfRule>
  </conditionalFormatting>
  <conditionalFormatting sqref="W141 T141 Q141 N141 K141">
    <cfRule type="expression" dxfId="598" priority="145">
      <formula>AND(ISTEXT(K141),K141&lt;&gt;"")</formula>
    </cfRule>
  </conditionalFormatting>
  <conditionalFormatting sqref="S141:T141">
    <cfRule type="expression" dxfId="597" priority="144">
      <formula>$T$133&lt;1</formula>
    </cfRule>
  </conditionalFormatting>
  <conditionalFormatting sqref="V141:W141">
    <cfRule type="expression" dxfId="596" priority="143">
      <formula>$W$133&lt;1</formula>
    </cfRule>
  </conditionalFormatting>
  <conditionalFormatting sqref="E141:H141 B141">
    <cfRule type="expression" dxfId="595" priority="142">
      <formula>MAX($H$133,$K$133,$N$133,$Q$133,$T$133,$W$133)&lt;1</formula>
    </cfRule>
  </conditionalFormatting>
  <conditionalFormatting sqref="L141:N141">
    <cfRule type="expression" dxfId="594" priority="134">
      <formula>$H$7&lt;3</formula>
    </cfRule>
  </conditionalFormatting>
  <conditionalFormatting sqref="J141:K141">
    <cfRule type="expression" dxfId="593" priority="133">
      <formula>$H$7&lt;2</formula>
    </cfRule>
  </conditionalFormatting>
  <conditionalFormatting sqref="R141:T141">
    <cfRule type="expression" dxfId="592" priority="140">
      <formula>$H$7&lt;5</formula>
    </cfRule>
  </conditionalFormatting>
  <conditionalFormatting sqref="U141:W141">
    <cfRule type="expression" dxfId="591" priority="138">
      <formula>$H$7&lt;6</formula>
    </cfRule>
  </conditionalFormatting>
  <conditionalFormatting sqref="C141">
    <cfRule type="expression" dxfId="590" priority="139">
      <formula>MAX($H$133,$K$133,$N$133,$Q$133,$T$133,$W$133)&lt;1</formula>
    </cfRule>
  </conditionalFormatting>
  <conditionalFormatting sqref="M141:N141">
    <cfRule type="expression" dxfId="589" priority="141">
      <formula>$N$133&lt;1</formula>
    </cfRule>
  </conditionalFormatting>
  <conditionalFormatting sqref="W141 T141 Q141 N141 K141">
    <cfRule type="expression" dxfId="588" priority="146">
      <formula>K141&lt;0</formula>
    </cfRule>
  </conditionalFormatting>
  <conditionalFormatting sqref="O161:Q161">
    <cfRule type="expression" dxfId="587" priority="123">
      <formula>$H$7&lt;4</formula>
    </cfRule>
  </conditionalFormatting>
  <conditionalFormatting sqref="J161:K161">
    <cfRule type="expression" dxfId="586" priority="121">
      <formula>$K$133&lt;2</formula>
    </cfRule>
  </conditionalFormatting>
  <conditionalFormatting sqref="M161:N161">
    <cfRule type="expression" dxfId="585" priority="124">
      <formula>$N$133&lt;2</formula>
    </cfRule>
  </conditionalFormatting>
  <conditionalFormatting sqref="P161:Q161">
    <cfRule type="expression" dxfId="584" priority="130">
      <formula>$Q$133&lt;2</formula>
    </cfRule>
  </conditionalFormatting>
  <conditionalFormatting sqref="B161">
    <cfRule type="expression" dxfId="583" priority="129">
      <formula>MAX($H$133,$K$133,$N$133,$Q$133,$T$133,$W$133)&lt;2</formula>
    </cfRule>
  </conditionalFormatting>
  <conditionalFormatting sqref="W161 T161 Q161 N161 K161">
    <cfRule type="expression" dxfId="582" priority="131">
      <formula>AND(ISTEXT(K161),K161&lt;&gt;"")</formula>
    </cfRule>
  </conditionalFormatting>
  <conditionalFormatting sqref="S161:T161">
    <cfRule type="expression" dxfId="581" priority="128">
      <formula>$T$133&lt;2</formula>
    </cfRule>
  </conditionalFormatting>
  <conditionalFormatting sqref="V161:W161">
    <cfRule type="expression" dxfId="580" priority="127">
      <formula>$W$133&lt;2</formula>
    </cfRule>
  </conditionalFormatting>
  <conditionalFormatting sqref="L161:N161">
    <cfRule type="expression" dxfId="579" priority="122">
      <formula>$H$7&lt;3</formula>
    </cfRule>
  </conditionalFormatting>
  <conditionalFormatting sqref="J161:K161">
    <cfRule type="expression" dxfId="578" priority="120">
      <formula>$H$7&lt;2</formula>
    </cfRule>
  </conditionalFormatting>
  <conditionalFormatting sqref="R161:T161">
    <cfRule type="expression" dxfId="577" priority="126">
      <formula>$H$7&lt;5</formula>
    </cfRule>
  </conditionalFormatting>
  <conditionalFormatting sqref="U161:W161">
    <cfRule type="expression" dxfId="576" priority="125">
      <formula>$H$7&lt;6</formula>
    </cfRule>
  </conditionalFormatting>
  <conditionalFormatting sqref="W161 T161 Q161 N161 K161">
    <cfRule type="expression" dxfId="575" priority="132">
      <formula>K161&lt;0</formula>
    </cfRule>
  </conditionalFormatting>
  <conditionalFormatting sqref="O181:Q181">
    <cfRule type="expression" dxfId="574" priority="110">
      <formula>$H$7&lt;4</formula>
    </cfRule>
  </conditionalFormatting>
  <conditionalFormatting sqref="J181:K181">
    <cfRule type="expression" dxfId="573" priority="108">
      <formula>$K$133&lt;3</formula>
    </cfRule>
  </conditionalFormatting>
  <conditionalFormatting sqref="M181:N181">
    <cfRule type="expression" dxfId="572" priority="117">
      <formula>$N$133&lt;3</formula>
    </cfRule>
  </conditionalFormatting>
  <conditionalFormatting sqref="P181:Q181">
    <cfRule type="expression" dxfId="571" priority="116">
      <formula>$Q$133&lt;3</formula>
    </cfRule>
  </conditionalFormatting>
  <conditionalFormatting sqref="B181">
    <cfRule type="expression" dxfId="570" priority="115">
      <formula>MAX($H$133,$K$133,$N$133,$Q$133,$T$133,$W$133)&lt;3</formula>
    </cfRule>
  </conditionalFormatting>
  <conditionalFormatting sqref="W181 T181 Q181 N181 K181">
    <cfRule type="expression" dxfId="569" priority="118">
      <formula>AND(ISTEXT(K181),K181&lt;&gt;"")</formula>
    </cfRule>
  </conditionalFormatting>
  <conditionalFormatting sqref="S181:T181">
    <cfRule type="expression" dxfId="568" priority="114">
      <formula>$T$133&lt;3</formula>
    </cfRule>
  </conditionalFormatting>
  <conditionalFormatting sqref="V181:W181">
    <cfRule type="expression" dxfId="567" priority="113">
      <formula>$W$133&lt;3</formula>
    </cfRule>
  </conditionalFormatting>
  <conditionalFormatting sqref="L181:N181">
    <cfRule type="expression" dxfId="566" priority="109">
      <formula>$H$7&lt;3</formula>
    </cfRule>
  </conditionalFormatting>
  <conditionalFormatting sqref="J181:K181">
    <cfRule type="expression" dxfId="565" priority="107">
      <formula>$H$7&lt;2</formula>
    </cfRule>
  </conditionalFormatting>
  <conditionalFormatting sqref="R181:T181">
    <cfRule type="expression" dxfId="564" priority="112">
      <formula>$H$7&lt;5</formula>
    </cfRule>
  </conditionalFormatting>
  <conditionalFormatting sqref="U181:W181">
    <cfRule type="expression" dxfId="563" priority="111">
      <formula>$H$7&lt;6</formula>
    </cfRule>
  </conditionalFormatting>
  <conditionalFormatting sqref="W181 T181 Q181 N181 K181">
    <cfRule type="expression" dxfId="562" priority="119">
      <formula>K181&lt;0</formula>
    </cfRule>
  </conditionalFormatting>
  <conditionalFormatting sqref="O206:Q206">
    <cfRule type="expression" dxfId="561" priority="97">
      <formula>$H$7&lt;4</formula>
    </cfRule>
  </conditionalFormatting>
  <conditionalFormatting sqref="J206:K206">
    <cfRule type="expression" dxfId="560" priority="95">
      <formula>$K$197&lt;1</formula>
    </cfRule>
  </conditionalFormatting>
  <conditionalFormatting sqref="M206:N206">
    <cfRule type="expression" dxfId="559" priority="104">
      <formula>$N$197&lt;1</formula>
    </cfRule>
  </conditionalFormatting>
  <conditionalFormatting sqref="P206:Q206">
    <cfRule type="expression" dxfId="558" priority="103">
      <formula>$Q$197&lt;1</formula>
    </cfRule>
  </conditionalFormatting>
  <conditionalFormatting sqref="E206:H206 B206">
    <cfRule type="expression" dxfId="557" priority="102">
      <formula>MAX($H$197,$K$197,$N$197,$Q$197,$T$197,$W$197)&lt;1</formula>
    </cfRule>
  </conditionalFormatting>
  <conditionalFormatting sqref="N206 Q206 T206 W206 K206">
    <cfRule type="expression" dxfId="556" priority="105">
      <formula>AND(ISTEXT(K206),K206&lt;&gt;"")</formula>
    </cfRule>
  </conditionalFormatting>
  <conditionalFormatting sqref="S206:T206">
    <cfRule type="expression" dxfId="555" priority="101">
      <formula>$T$197&lt;1</formula>
    </cfRule>
  </conditionalFormatting>
  <conditionalFormatting sqref="V206:W206">
    <cfRule type="expression" dxfId="554" priority="100">
      <formula>$W$197&lt;1</formula>
    </cfRule>
  </conditionalFormatting>
  <conditionalFormatting sqref="L206:N206">
    <cfRule type="expression" dxfId="553" priority="96">
      <formula>$H$7&lt;3</formula>
    </cfRule>
  </conditionalFormatting>
  <conditionalFormatting sqref="J206:K206">
    <cfRule type="expression" dxfId="552" priority="94">
      <formula>$H$7&lt;2</formula>
    </cfRule>
  </conditionalFormatting>
  <conditionalFormatting sqref="R206:T206">
    <cfRule type="expression" dxfId="551" priority="99">
      <formula>$H$7&lt;5</formula>
    </cfRule>
  </conditionalFormatting>
  <conditionalFormatting sqref="U206:W206">
    <cfRule type="expression" dxfId="550" priority="98">
      <formula>$H$7&lt;6</formula>
    </cfRule>
  </conditionalFormatting>
  <conditionalFormatting sqref="K206 N206 Q206 T206 W206">
    <cfRule type="expression" dxfId="549" priority="106">
      <formula>K206&lt;0</formula>
    </cfRule>
  </conditionalFormatting>
  <conditionalFormatting sqref="O226:Q226">
    <cfRule type="expression" dxfId="548" priority="83">
      <formula>$H$7&lt;4</formula>
    </cfRule>
  </conditionalFormatting>
  <conditionalFormatting sqref="J226:K226">
    <cfRule type="expression" dxfId="547" priority="81">
      <formula>$K$197&lt;2</formula>
    </cfRule>
  </conditionalFormatting>
  <conditionalFormatting sqref="M226:N226">
    <cfRule type="expression" dxfId="546" priority="91">
      <formula>$N$197&lt;2</formula>
    </cfRule>
  </conditionalFormatting>
  <conditionalFormatting sqref="P226:Q226">
    <cfRule type="expression" dxfId="545" priority="90">
      <formula>$Q$197&lt;2</formula>
    </cfRule>
  </conditionalFormatting>
  <conditionalFormatting sqref="B226:H226">
    <cfRule type="expression" dxfId="544" priority="89">
      <formula>MAX($H$197,$K$197,$N$197,$Q$197,$T$197,$W$197)&lt;2</formula>
    </cfRule>
  </conditionalFormatting>
  <conditionalFormatting sqref="K226 N226 Q226 T226 W226">
    <cfRule type="expression" dxfId="543" priority="92">
      <formula>AND(ISTEXT(K226),K226&lt;&gt;"")</formula>
    </cfRule>
  </conditionalFormatting>
  <conditionalFormatting sqref="S226:T226">
    <cfRule type="expression" dxfId="542" priority="88">
      <formula>$T$197&lt;2</formula>
    </cfRule>
  </conditionalFormatting>
  <conditionalFormatting sqref="V226:W226">
    <cfRule type="expression" dxfId="541" priority="87">
      <formula>$W$197&lt;2</formula>
    </cfRule>
  </conditionalFormatting>
  <conditionalFormatting sqref="L226:N226">
    <cfRule type="expression" dxfId="540" priority="82">
      <formula>$H$7&lt;3</formula>
    </cfRule>
  </conditionalFormatting>
  <conditionalFormatting sqref="J226:K226">
    <cfRule type="expression" dxfId="539" priority="80">
      <formula>$H$7&lt;2</formula>
    </cfRule>
  </conditionalFormatting>
  <conditionalFormatting sqref="R226:T226">
    <cfRule type="expression" dxfId="538" priority="86">
      <formula>$H$7&lt;5</formula>
    </cfRule>
  </conditionalFormatting>
  <conditionalFormatting sqref="U226:W226">
    <cfRule type="expression" dxfId="537" priority="84">
      <formula>$H$7&lt;6</formula>
    </cfRule>
  </conditionalFormatting>
  <conditionalFormatting sqref="C226">
    <cfRule type="expression" dxfId="536" priority="85">
      <formula>MAX($H$197,$K$197,$N$197,$Q$197,$T$197,$W$197)&lt;1</formula>
    </cfRule>
  </conditionalFormatting>
  <conditionalFormatting sqref="K226 N226 Q226 T226 W226">
    <cfRule type="expression" dxfId="535" priority="93">
      <formula>K226&lt;0</formula>
    </cfRule>
  </conditionalFormatting>
  <conditionalFormatting sqref="O246:Q246">
    <cfRule type="expression" dxfId="534" priority="69">
      <formula>$H$7&lt;4</formula>
    </cfRule>
  </conditionalFormatting>
  <conditionalFormatting sqref="J246:K246">
    <cfRule type="expression" dxfId="533" priority="67">
      <formula>$K$197&lt;3</formula>
    </cfRule>
  </conditionalFormatting>
  <conditionalFormatting sqref="M246:N246">
    <cfRule type="expression" dxfId="532" priority="77">
      <formula>$N$197&lt;3</formula>
    </cfRule>
  </conditionalFormatting>
  <conditionalFormatting sqref="P246:Q246">
    <cfRule type="expression" dxfId="531" priority="76">
      <formula>$Q$197&lt;3</formula>
    </cfRule>
  </conditionalFormatting>
  <conditionalFormatting sqref="B246:H246">
    <cfRule type="expression" dxfId="530" priority="75">
      <formula>MAX($H$197,$K$197,$N$197,$Q$197,$T$197,$W$197)&lt;3</formula>
    </cfRule>
  </conditionalFormatting>
  <conditionalFormatting sqref="K246 N246 Q246 T246 W246">
    <cfRule type="expression" dxfId="529" priority="78">
      <formula>AND(ISTEXT(K246),K246&lt;&gt;"")</formula>
    </cfRule>
  </conditionalFormatting>
  <conditionalFormatting sqref="S246:T246">
    <cfRule type="expression" dxfId="528" priority="74">
      <formula>$T$197&lt;3</formula>
    </cfRule>
  </conditionalFormatting>
  <conditionalFormatting sqref="V246:W246">
    <cfRule type="expression" dxfId="527" priority="73">
      <formula>$W$197&lt;3</formula>
    </cfRule>
  </conditionalFormatting>
  <conditionalFormatting sqref="L246:N246">
    <cfRule type="expression" dxfId="526" priority="68">
      <formula>$H$7&lt;3</formula>
    </cfRule>
  </conditionalFormatting>
  <conditionalFormatting sqref="J246:K246">
    <cfRule type="expression" dxfId="525" priority="66">
      <formula>$H$7&lt;2</formula>
    </cfRule>
  </conditionalFormatting>
  <conditionalFormatting sqref="R246:T246">
    <cfRule type="expression" dxfId="524" priority="72">
      <formula>$H$7&lt;5</formula>
    </cfRule>
  </conditionalFormatting>
  <conditionalFormatting sqref="U246:W246">
    <cfRule type="expression" dxfId="523" priority="70">
      <formula>$H$7&lt;6</formula>
    </cfRule>
  </conditionalFormatting>
  <conditionalFormatting sqref="C246">
    <cfRule type="expression" dxfId="522" priority="71">
      <formula>MAX($H$197,$K$197,$N$197,$Q$197,$T$197,$W$197)&lt;1</formula>
    </cfRule>
  </conditionalFormatting>
  <conditionalFormatting sqref="K246 N246 Q246 T246 W246">
    <cfRule type="expression" dxfId="521" priority="79">
      <formula>K246&lt;0</formula>
    </cfRule>
  </conditionalFormatting>
  <conditionalFormatting sqref="O270:Q270">
    <cfRule type="expression" dxfId="520" priority="60">
      <formula>$H$7&lt;4</formula>
    </cfRule>
  </conditionalFormatting>
  <conditionalFormatting sqref="K270 N270 Q270 T270 W270">
    <cfRule type="expression" dxfId="519" priority="64">
      <formula>AND(ISTEXT(K270),K270&lt;&gt;"")</formula>
    </cfRule>
  </conditionalFormatting>
  <conditionalFormatting sqref="L270:N270">
    <cfRule type="expression" dxfId="518" priority="59">
      <formula>$H$7&lt;3</formula>
    </cfRule>
  </conditionalFormatting>
  <conditionalFormatting sqref="J270:K270">
    <cfRule type="expression" dxfId="517" priority="58">
      <formula>$H$7&lt;2</formula>
    </cfRule>
  </conditionalFormatting>
  <conditionalFormatting sqref="R270:T270">
    <cfRule type="expression" dxfId="516" priority="63">
      <formula>$H$7&lt;5</formula>
    </cfRule>
  </conditionalFormatting>
  <conditionalFormatting sqref="U270:W270">
    <cfRule type="expression" dxfId="515" priority="61">
      <formula>$H$7&lt;6</formula>
    </cfRule>
  </conditionalFormatting>
  <conditionalFormatting sqref="C270">
    <cfRule type="expression" dxfId="514" priority="62">
      <formula>MAX($H$197,$K$197,$N$197,$Q$197,$T$197,$W$197)&lt;1</formula>
    </cfRule>
  </conditionalFormatting>
  <conditionalFormatting sqref="K270 N270 Q270 T270 W270">
    <cfRule type="expression" dxfId="513" priority="65">
      <formula>K270&lt;0</formula>
    </cfRule>
  </conditionalFormatting>
  <conditionalFormatting sqref="O290:Q290">
    <cfRule type="expression" dxfId="512" priority="52">
      <formula>$H$7&lt;4</formula>
    </cfRule>
  </conditionalFormatting>
  <conditionalFormatting sqref="K290 N290 Q290 T290 W290">
    <cfRule type="expression" dxfId="511" priority="56">
      <formula>AND(ISTEXT(K290),K290&lt;&gt;"")</formula>
    </cfRule>
  </conditionalFormatting>
  <conditionalFormatting sqref="L290:N290">
    <cfRule type="expression" dxfId="510" priority="51">
      <formula>$H$7&lt;3</formula>
    </cfRule>
  </conditionalFormatting>
  <conditionalFormatting sqref="J290:K290">
    <cfRule type="expression" dxfId="509" priority="50">
      <formula>$H$7&lt;2</formula>
    </cfRule>
  </conditionalFormatting>
  <conditionalFormatting sqref="R290:T290">
    <cfRule type="expression" dxfId="508" priority="55">
      <formula>$H$7&lt;5</formula>
    </cfRule>
  </conditionalFormatting>
  <conditionalFormatting sqref="U290:W290">
    <cfRule type="expression" dxfId="507" priority="53">
      <formula>$H$7&lt;6</formula>
    </cfRule>
  </conditionalFormatting>
  <conditionalFormatting sqref="C290">
    <cfRule type="expression" dxfId="506" priority="54">
      <formula>MAX($H$197,$K$197,$N$197,$Q$197,$T$197,$W$197)&lt;1</formula>
    </cfRule>
  </conditionalFormatting>
  <conditionalFormatting sqref="K290 N290 Q290 T290 W290">
    <cfRule type="expression" dxfId="505" priority="57">
      <formula>K290&lt;0</formula>
    </cfRule>
  </conditionalFormatting>
  <conditionalFormatting sqref="O310:Q310">
    <cfRule type="expression" dxfId="504" priority="44">
      <formula>$H$7&lt;4</formula>
    </cfRule>
  </conditionalFormatting>
  <conditionalFormatting sqref="K310 N310 Q310 T310 W310">
    <cfRule type="expression" dxfId="503" priority="48">
      <formula>AND(ISTEXT(K310),K310&lt;&gt;"")</formula>
    </cfRule>
  </conditionalFormatting>
  <conditionalFormatting sqref="L310:N310">
    <cfRule type="expression" dxfId="502" priority="43">
      <formula>$H$7&lt;3</formula>
    </cfRule>
  </conditionalFormatting>
  <conditionalFormatting sqref="J310:K310">
    <cfRule type="expression" dxfId="501" priority="42">
      <formula>$H$7&lt;2</formula>
    </cfRule>
  </conditionalFormatting>
  <conditionalFormatting sqref="R310:T310">
    <cfRule type="expression" dxfId="500" priority="47">
      <formula>$H$7&lt;5</formula>
    </cfRule>
  </conditionalFormatting>
  <conditionalFormatting sqref="U310:W310">
    <cfRule type="expression" dxfId="499" priority="45">
      <formula>$H$7&lt;6</formula>
    </cfRule>
  </conditionalFormatting>
  <conditionalFormatting sqref="C310">
    <cfRule type="expression" dxfId="498" priority="46">
      <formula>MAX($H$197,$K$197,$N$197,$Q$197,$T$197,$W$197)&lt;1</formula>
    </cfRule>
  </conditionalFormatting>
  <conditionalFormatting sqref="K310 N310 Q310 T310 W310">
    <cfRule type="expression" dxfId="497" priority="49">
      <formula>K310&lt;0</formula>
    </cfRule>
  </conditionalFormatting>
  <conditionalFormatting sqref="J263:K281">
    <cfRule type="expression" dxfId="496" priority="365">
      <formula>$K$260&lt;1</formula>
    </cfRule>
  </conditionalFormatting>
  <conditionalFormatting sqref="M263:N281">
    <cfRule type="expression" dxfId="495" priority="367">
      <formula>$N$260&lt;1</formula>
    </cfRule>
  </conditionalFormatting>
  <conditionalFormatting sqref="J283:K301">
    <cfRule type="expression" dxfId="494" priority="377">
      <formula>$K$260&lt;2</formula>
    </cfRule>
  </conditionalFormatting>
  <conditionalFormatting sqref="M283:N301">
    <cfRule type="expression" dxfId="493" priority="378">
      <formula>$N$260&lt;2</formula>
    </cfRule>
  </conditionalFormatting>
  <conditionalFormatting sqref="P263:Q281">
    <cfRule type="expression" dxfId="492" priority="368">
      <formula>$Q$260&lt;1</formula>
    </cfRule>
  </conditionalFormatting>
  <conditionalFormatting sqref="P283:Q301">
    <cfRule type="expression" dxfId="491" priority="380">
      <formula>$Q$260&lt;2</formula>
    </cfRule>
  </conditionalFormatting>
  <conditionalFormatting sqref="J303:K321">
    <cfRule type="expression" dxfId="490" priority="381">
      <formula>$K$260&lt;3</formula>
    </cfRule>
  </conditionalFormatting>
  <conditionalFormatting sqref="M303:N321">
    <cfRule type="expression" dxfId="489" priority="382">
      <formula>$N$260&lt;3</formula>
    </cfRule>
  </conditionalFormatting>
  <conditionalFormatting sqref="P303:Q321">
    <cfRule type="expression" dxfId="488" priority="383">
      <formula>$Q$260&lt;3</formula>
    </cfRule>
  </conditionalFormatting>
  <conditionalFormatting sqref="B263:H281">
    <cfRule type="expression" dxfId="487" priority="384">
      <formula>MAX($H$260,$K$260,$N$260,$Q$260,$T$260,$W$260)&lt;1</formula>
    </cfRule>
  </conditionalFormatting>
  <conditionalFormatting sqref="B283:H301">
    <cfRule type="expression" dxfId="486" priority="385">
      <formula>MAX($H$260,$K$260,$N$260,$Q$260,$T$260,$W$260)&lt;2</formula>
    </cfRule>
  </conditionalFormatting>
  <conditionalFormatting sqref="B303:H321">
    <cfRule type="expression" dxfId="485" priority="386">
      <formula>MAX($H$260,$K$260,$N$260,$Q$260,$T$260,$W$260)&lt;3</formula>
    </cfRule>
  </conditionalFormatting>
  <conditionalFormatting sqref="S263:T281">
    <cfRule type="expression" dxfId="484" priority="375">
      <formula>$T$260&lt;1</formula>
    </cfRule>
  </conditionalFormatting>
  <conditionalFormatting sqref="S283:T301">
    <cfRule type="expression" dxfId="483" priority="388">
      <formula>$T$260&lt;2</formula>
    </cfRule>
  </conditionalFormatting>
  <conditionalFormatting sqref="S303:T321">
    <cfRule type="expression" dxfId="482" priority="389">
      <formula>$T$260&lt;3</formula>
    </cfRule>
  </conditionalFormatting>
  <conditionalFormatting sqref="V263:W281">
    <cfRule type="expression" dxfId="481" priority="376">
      <formula>$W$260&lt;1</formula>
    </cfRule>
  </conditionalFormatting>
  <conditionalFormatting sqref="V283:W301">
    <cfRule type="expression" dxfId="480" priority="379">
      <formula>$W$260&lt;2</formula>
    </cfRule>
  </conditionalFormatting>
  <conditionalFormatting sqref="V303:W321">
    <cfRule type="expression" dxfId="479" priority="387">
      <formula>$W$260&lt;3</formula>
    </cfRule>
  </conditionalFormatting>
  <conditionalFormatting sqref="J261:K261">
    <cfRule type="expression" dxfId="478" priority="39">
      <formula>$H$7&lt;2</formula>
    </cfRule>
  </conditionalFormatting>
  <conditionalFormatting sqref="K261">
    <cfRule type="expression" dxfId="477" priority="40">
      <formula>AND(K261=0,J261="")</formula>
    </cfRule>
  </conditionalFormatting>
  <conditionalFormatting sqref="K261">
    <cfRule type="expression" dxfId="476" priority="41">
      <formula>K261=""</formula>
    </cfRule>
  </conditionalFormatting>
  <conditionalFormatting sqref="M261:N261">
    <cfRule type="expression" dxfId="475" priority="36">
      <formula>$H$7&lt;3</formula>
    </cfRule>
  </conditionalFormatting>
  <conditionalFormatting sqref="N261">
    <cfRule type="expression" dxfId="474" priority="37">
      <formula>AND(N261=0,M261="")</formula>
    </cfRule>
  </conditionalFormatting>
  <conditionalFormatting sqref="N261">
    <cfRule type="expression" dxfId="473" priority="38">
      <formula>N261=""</formula>
    </cfRule>
  </conditionalFormatting>
  <conditionalFormatting sqref="P261:Q261">
    <cfRule type="expression" dxfId="472" priority="33">
      <formula>$H$7&lt;4</formula>
    </cfRule>
  </conditionalFormatting>
  <conditionalFormatting sqref="Q261">
    <cfRule type="expression" dxfId="471" priority="34">
      <formula>AND(Q261=0,P261="")</formula>
    </cfRule>
  </conditionalFormatting>
  <conditionalFormatting sqref="Q261">
    <cfRule type="expression" dxfId="470" priority="35">
      <formula>Q261=""</formula>
    </cfRule>
  </conditionalFormatting>
  <conditionalFormatting sqref="S261:T261">
    <cfRule type="expression" dxfId="469" priority="31">
      <formula>$H$7&lt;5</formula>
    </cfRule>
  </conditionalFormatting>
  <conditionalFormatting sqref="T261">
    <cfRule type="expression" dxfId="468" priority="30">
      <formula>AND(T261=0,S261="")</formula>
    </cfRule>
  </conditionalFormatting>
  <conditionalFormatting sqref="T261">
    <cfRule type="expression" dxfId="467" priority="32">
      <formula>T261=""</formula>
    </cfRule>
  </conditionalFormatting>
  <conditionalFormatting sqref="V261:W261">
    <cfRule type="expression" dxfId="466" priority="28">
      <formula>$H$7&lt;6</formula>
    </cfRule>
  </conditionalFormatting>
  <conditionalFormatting sqref="W261">
    <cfRule type="expression" dxfId="465" priority="27">
      <formula>AND(W261=0,V261="")</formula>
    </cfRule>
  </conditionalFormatting>
  <conditionalFormatting sqref="W261">
    <cfRule type="expression" dxfId="464" priority="29">
      <formula>W261=""</formula>
    </cfRule>
  </conditionalFormatting>
  <conditionalFormatting sqref="K15:S22">
    <cfRule type="expression" dxfId="463" priority="26">
      <formula>$G$16&lt;&gt;"Yes"</formula>
    </cfRule>
  </conditionalFormatting>
  <conditionalFormatting sqref="J16">
    <cfRule type="expression" dxfId="462" priority="25">
      <formula>$G$16&lt;&gt;"Yes"</formula>
    </cfRule>
  </conditionalFormatting>
  <conditionalFormatting sqref="C155:D160 C162:D173">
    <cfRule type="expression" dxfId="461" priority="24">
      <formula>MAX($H$133,$K$133,$N$133,$Q$133,$T$133,$W$133)&lt;2</formula>
    </cfRule>
  </conditionalFormatting>
  <conditionalFormatting sqref="C161:D161">
    <cfRule type="expression" dxfId="460" priority="23">
      <formula>MAX($H$133,$K$133,$N$133,$Q$133,$T$133,$W$133)&lt;2</formula>
    </cfRule>
  </conditionalFormatting>
  <conditionalFormatting sqref="C175:D180 C182:D193">
    <cfRule type="expression" dxfId="459" priority="22">
      <formula>MAX($H$133,$K$133,$N$133,$Q$133,$T$133,$W$133)&lt;3</formula>
    </cfRule>
  </conditionalFormatting>
  <conditionalFormatting sqref="C181:D181">
    <cfRule type="expression" dxfId="458" priority="21">
      <formula>MAX($H$133,$K$133,$N$133,$Q$133,$T$133,$W$133)&lt;3</formula>
    </cfRule>
  </conditionalFormatting>
  <conditionalFormatting sqref="C199:C200">
    <cfRule type="expression" dxfId="457" priority="20">
      <formula>MAX($H$197,$K$197,$N$197,$Q$197,$T$197,$W$197)&lt;1</formula>
    </cfRule>
  </conditionalFormatting>
  <conditionalFormatting sqref="C201">
    <cfRule type="expression" dxfId="456" priority="19">
      <formula>MAX($H$197,$K$197,$N$197,$Q$197,$T$197,$W$197)&lt;1</formula>
    </cfRule>
  </conditionalFormatting>
  <conditionalFormatting sqref="C202">
    <cfRule type="expression" dxfId="455" priority="18">
      <formula>MAX($H$197,$K$197,$N$197,$Q$197,$T$197,$W$197)&lt;1</formula>
    </cfRule>
  </conditionalFormatting>
  <conditionalFormatting sqref="C203">
    <cfRule type="expression" dxfId="454" priority="17">
      <formula>MAX($H$197,$K$197,$N$197,$Q$197,$T$197,$W$197)&lt;1</formula>
    </cfRule>
  </conditionalFormatting>
  <conditionalFormatting sqref="C204">
    <cfRule type="expression" dxfId="453" priority="16">
      <formula>MAX($H$197,$K$197,$N$197,$Q$197,$T$197,$W$197)&lt;1</formula>
    </cfRule>
  </conditionalFormatting>
  <conditionalFormatting sqref="C205">
    <cfRule type="expression" dxfId="452" priority="15">
      <formula>MAX($H$197,$K$197,$N$197,$Q$197,$T$197,$W$197)&lt;1</formula>
    </cfRule>
  </conditionalFormatting>
  <conditionalFormatting sqref="C207">
    <cfRule type="expression" dxfId="451" priority="14">
      <formula>MAX($H$197,$K$197,$N$197,$Q$197,$T$197,$W$197)&lt;1</formula>
    </cfRule>
  </conditionalFormatting>
  <conditionalFormatting sqref="C208">
    <cfRule type="expression" dxfId="450" priority="13">
      <formula>MAX($H$197,$K$197,$N$197,$Q$197,$T$197,$W$197)&lt;1</formula>
    </cfRule>
  </conditionalFormatting>
  <conditionalFormatting sqref="C209">
    <cfRule type="expression" dxfId="449" priority="12">
      <formula>MAX($H$197,$K$197,$N$197,$Q$197,$T$197,$W$197)&lt;1</formula>
    </cfRule>
  </conditionalFormatting>
  <conditionalFormatting sqref="C210">
    <cfRule type="expression" dxfId="448" priority="11">
      <formula>MAX($H$197,$K$197,$N$197,$Q$197,$T$197,$W$197)&lt;1</formula>
    </cfRule>
  </conditionalFormatting>
  <conditionalFormatting sqref="C211">
    <cfRule type="expression" dxfId="447" priority="10">
      <formula>MAX($H$197,$K$197,$N$197,$Q$197,$T$197,$W$197)&lt;1</formula>
    </cfRule>
  </conditionalFormatting>
  <conditionalFormatting sqref="C212">
    <cfRule type="expression" dxfId="446" priority="9">
      <formula>MAX($H$197,$K$197,$N$197,$Q$197,$T$197,$W$197)&lt;1</formula>
    </cfRule>
  </conditionalFormatting>
  <conditionalFormatting sqref="C213">
    <cfRule type="expression" dxfId="445" priority="8">
      <formula>MAX($H$197,$K$197,$N$197,$Q$197,$T$197,$W$197)&lt;1</formula>
    </cfRule>
  </conditionalFormatting>
  <conditionalFormatting sqref="C214">
    <cfRule type="expression" dxfId="444" priority="7">
      <formula>MAX($H$197,$K$197,$N$197,$Q$197,$T$197,$W$197)&lt;1</formula>
    </cfRule>
  </conditionalFormatting>
  <conditionalFormatting sqref="C215">
    <cfRule type="expression" dxfId="443" priority="6">
      <formula>MAX($H$197,$K$197,$N$197,$Q$197,$T$197,$W$197)&lt;1</formula>
    </cfRule>
  </conditionalFormatting>
  <conditionalFormatting sqref="C216">
    <cfRule type="expression" dxfId="442" priority="5">
      <formula>MAX($H$197,$K$197,$N$197,$Q$197,$T$197,$W$197)&lt;1</formula>
    </cfRule>
  </conditionalFormatting>
  <conditionalFormatting sqref="C217">
    <cfRule type="expression" dxfId="441" priority="4">
      <formula>MAX($H$197,$K$197,$N$197,$Q$197,$T$197,$W$197)&lt;1</formula>
    </cfRule>
  </conditionalFormatting>
  <conditionalFormatting sqref="C206">
    <cfRule type="expression" dxfId="440" priority="3">
      <formula>MAX($H$197,$K$197,$N$197,$Q$197,$T$197,$W$197)&lt;1</formula>
    </cfRule>
  </conditionalFormatting>
  <conditionalFormatting sqref="G122 J122 M122 P122 S122 V122">
    <cfRule type="expression" dxfId="439" priority="316">
      <formula>H$121&lt;&gt;"Cost per facility"</formula>
    </cfRule>
  </conditionalFormatting>
  <conditionalFormatting sqref="G123 J123 M123 P123 S123 V123">
    <cfRule type="expression" dxfId="438" priority="211">
      <formula>H$121&lt;&gt;"Cost as % commodity value"</formula>
    </cfRule>
  </conditionalFormatting>
  <dataValidations count="17">
    <dataValidation type="list" allowBlank="1" showInputMessage="1" showErrorMessage="1" sqref="G193 V173:V174 J173:J174 M173:M174 P173:P174 S173:S174 G153:G154 V153:V154 S153:S154 P153:P154 M153:M154 J153:J154 J193 G173:G174 S193 P193 M193 V193 G16" xr:uid="{00000000-0002-0000-0E00-000000000000}">
      <formula1>"Yes,No"</formula1>
    </dataValidation>
    <dataValidation type="list" allowBlank="1" showInputMessage="1" showErrorMessage="1" sqref="M248 G312 J312 J208 V272 V228 V143 G228 M272 J292 P163 M228 M183 G248 J183 J248 J272 G272 V183 M163 M208 V292 G292 M292 V208 J163 M312 V248 J228 G208 J143 M143 P143 S143 P183 S163 S183 V163 P208 S208 P228 S228 P248 S248 P272 S272 P292 S292 P312 S312 V312" xr:uid="{00000000-0002-0000-0E00-000001000000}">
      <formula1>"Route-based,Point-to-point"</formula1>
    </dataValidation>
    <dataValidation type="list" allowBlank="1" showInputMessage="1" showErrorMessage="1" sqref="J309 M205 V289 V205 G309 P205 M225 V225 G289 P225 M245 V245 V309 P245 M269 V269 J289 P269 P289 S205 P309 S225 J205 S245 J225 S269 J245 S289 J269 S309 M289 M309" xr:uid="{00000000-0002-0000-0E00-000002000000}">
      <formula1>"Yes, No"</formula1>
    </dataValidation>
    <dataValidation type="list" allowBlank="1" showInputMessage="1" showErrorMessage="1" sqref="G316 G274 G276 G212 G232 G210 G294 G230 G147 G167 G296 G250 G314 G252 G187" xr:uid="{00000000-0002-0000-0E00-000003000000}">
      <formula1>$B$28:$B$38</formula1>
    </dataValidation>
    <dataValidation type="list" allowBlank="1" showInputMessage="1" showErrorMessage="1" sqref="G121 J121 M121 P121 S121 V121" xr:uid="{00000000-0002-0000-0E00-000004000000}">
      <formula1>"Cost per facility, Cost as % commodity value"</formula1>
    </dataValidation>
    <dataValidation type="decimal" allowBlank="1" showInputMessage="1" showErrorMessage="1" sqref="G93 J93 M93 P93 S93 V93" xr:uid="{00000000-0002-0000-0E00-000005000000}">
      <formula1>0.0001</formula1>
      <formula2>2</formula2>
    </dataValidation>
    <dataValidation type="decimal" operator="greaterThan" allowBlank="1" showInputMessage="1" showErrorMessage="1" sqref="G68 G77:G78 G6 V308 G71:G72 V92 G216 G9:G11 P171:P172 G236:G238 P262 V256:V257 V280:V281 S92 S114 P114 V114 G92 P151:P152 M180 P180 P160 J160 V191:V192 V184 M209 V209 J229 M229 G203:G204 V236:V237 J256:J257 M256:M257 G223:G224 V249 J273 M273 V273 J293 M293 V300:V301 J320:J321 M320:M321 P92 S140 V140 J140 J92 S151:S152 J184 M184 G307:G308 S160 M164 P164 G209 J216:J218 M216:M218 P216:P218 G229 J236:J238 M236:M238 P236:P238 G249 V229 J249 M249 G273 V244 M280:M282 P280:P282 G293 V268 M300:M302 P300:P302 G313 V293 J313 M313 P144 S144 G151:G152 V144 M92 V151:V152 J191:J192 M191:M192 G171:G172 J164 M171:M172 G191:G192 J209 M204 J171:J172 V204 J224 M224 J204 G256:G257 V224 J244 M244 J268 M268 G280:G282 G262 J288 M288 G300:G302 G267:G268 G320:G321 V288 J308 M308 J180 G21 G19 G44:G45 G47:G48 G53:G54 G287:G288 V108 S108 P108 G243:G244 J262 M262 M108 G108 J108 G114 J114 M114 M140 V313 J144 M144 J151:J152 M151:M152 P191:P192 S180 P184 V160 S171:S172 S164 V180 S191:S192 S184 P140 V164 V171:V172 M160 P209 P204 S216:S217 S209 S204 V216:V217 P229 P224 S236:S237 S229 S224 P256:P257 P249 P244 S256:S257 S249 S244 J280:J282 P273 P268 S280:S281 S273 S268 J300:J302 P293 P288 S300:S301 S293 S288 P320:P321 P313 P308 S320:S321 S313 S308 V320:V321 G59:G62 G65:G66" xr:uid="{00000000-0002-0000-0E00-000006000000}">
      <formula1>0</formula1>
    </dataValidation>
    <dataValidation type="decimal" allowBlank="1" showInputMessage="1" showErrorMessage="1" sqref="G94 J94 M94 P94 S94 V94" xr:uid="{00000000-0002-0000-0E00-000007000000}">
      <formula1>0</formula1>
      <formula2>99.9999</formula2>
    </dataValidation>
    <dataValidation type="whole" operator="greaterThan" allowBlank="1" showInputMessage="1" showErrorMessage="1" sqref="G95:G96 J95:J96 M95:M96 P95:P96 S95:S96 V95:V96" xr:uid="{00000000-0002-0000-0E00-000008000000}">
      <formula1>0</formula1>
    </dataValidation>
    <dataValidation type="whole" allowBlank="1" showInputMessage="1" showErrorMessage="1" sqref="J133:J134 M133:M134 P133:P134 S133 V133 J197 M197 P197 S197 V197 J260 M260 P260 S260 V260" xr:uid="{00000000-0002-0000-0E00-000009000000}">
      <formula1>0</formula1>
      <formula2>3</formula2>
    </dataValidation>
    <dataValidation type="decimal" allowBlank="1" showInputMessage="1" showErrorMessage="1" sqref="M310:M311 V135 J310:J311 S135 P135 G303 J175 M175 S141:S142 J181:J182 V141:V142 M181:M182 M155 P155 J155 M161:M162 J161:J162 P161:P162 V175 M206:M207 V181:V182 J206:J207 G199 J199 G246:G247 G206:G207 J226:J227 M226:M227 V206:V207 J219 G219 V199 M199 G226:G227 J246:J247 M246:M247 V226:V227 J239 G239 V219 M219 M239 J270:J271 M270:M271 V246:V247 J263 G263 V239 G270:G271 M263 J290:J291 J283 V270:V271 V263 G283 G290:G291 M290:M291 M283 V290:V291 G310:G311 J303 V283 M303 J135 M135 J141:J142 M141:M142 P141:P142 P175 P181:P182 S155 S161:S162 S175 S181:S182 V155 V161:V162 P206:P207 P199 S206:S207 S199 P226:P227 P219 S226:S227 S219 P246:P247 P239 S246:S247 S239 P270:P271 P263 S270:S271 S263 P290:P291 P283 S290:S291 S283 P310:P311 P303 S310:S311 S303 V310:V311 V303" xr:uid="{00000000-0002-0000-0E00-00000A000000}">
      <formula1>0</formula1>
      <formula2>1</formula2>
    </dataValidation>
    <dataValidation type="decimal" operator="greaterThanOrEqual" allowBlank="1" showInputMessage="1" showErrorMessage="1" sqref="G146 P139 S139 V139 G148:G150 P146 S146 V146 G46 S148:S150 J186 M186 G49:G52 V148:V150 J188:J190 M188:M190 G166 J166 M166 P166 G168:G170 J168:J170 M168:M170 P168:P170 G211 V188:V190 J211 M203 G213:G215 J203 J213:J215 M213:M215 G231 V203 J223 M223 G233:G235 V213:V215 J233:J235 M233:M235 G251 V223 J243 M243 G253:G255 V233:V235 J253:J255 M253:M255 G275 V243 J277:J279 M277:M279 G277:G279 V253:V255 J275 M275 G295 V277:V279 J297:J299 M297:M299 G297:G299 V275 J295 M295 G315 V297:V299 J317:J319 M317:M319 G317:G319 V295 J315 M315 G73:G76 S104 J122:J123 M122:M123 P122:P123 G28:G38 J28:J38 G12 G43 G55:G58 G122:G123 V98:V99 S122:S123 V122:V123 G8 G186 G188:G190 G67 G69:G70 G98:G99 J98:J99 M98:M99 P98:P99 S98:S99 G63:G64 G104 J104 M104 P104 G106:G107 J106:J107 M106:M107 P106:P107 S106:S107 V106:V107 G109:G113 J109:J113 M109:M113 P109:P113 S109:S113 V109:V113 G115:G116 J115:J116 M115:M116 P115:P116 S115:S116 V115:V116 J139 M139 J146 M146 J148:J150 M148:M150 P148:P150 J159 J179 M159 M179 P159 P179 P186 P188:P190 S159 S166 S168:S170 S179 S186 S188:S190 V159 V166 V168:V170 V179 V186 M211 P211 P203 P213:P215 S211 S203 S213:S215 V211 J231 M231 P231 P223 P233:P235 S231 S223 S233:S235 V231 J251 M251 P251 P243 P253:P255 S251 S243 S253:S255 V251 J267 M267 P267 P277:P279 P275 S267 S277:S279 S275 V267 J287 M287 P287 P297:P299 P295 S287 S297:S299 S295 V287 J307 M307 P307 P317:P319 P315 S307 S317:S319 S315 V307 V317:V319 V315 G17:G18 V104" xr:uid="{00000000-0002-0000-0E00-00000B000000}">
      <formula1>0</formula1>
    </dataValidation>
    <dataValidation type="whole" allowBlank="1" showInputMessage="1" showErrorMessage="1" sqref="G7" xr:uid="{00000000-0002-0000-0E00-00000C000000}">
      <formula1>1</formula1>
      <formula2>6</formula2>
    </dataValidation>
    <dataValidation type="list" allowBlank="1" showInputMessage="1" showErrorMessage="1" sqref="G117 S117 J117 M117 P117 V117" xr:uid="{00000000-0002-0000-0E00-00000D000000}">
      <formula1>"Upstream,Downstream"</formula1>
    </dataValidation>
    <dataValidation type="list" allowBlank="1" showInputMessage="1" showErrorMessage="1" sqref="S105 V314 V316 S314 S316 P314 P316 M314 M316 J314 J316 V294 V296 S294 S296 P294 P296 M294 M296 J294 J296 V274 V276 S274 S276 P274 P276 M274 M276 J274 J276 V250 V252 S250 S252 P250 P252 M250 M252 J250 J252 V230 V232 S230 S232 P230 P232 M230 M232 J230 J232 V210 V212 S210 S212 P210 P212 M210 M212 J210 J212 V185 V187 V165 V167 S185 S187 S165 S167 P185 P187 P165 P167 M185 M187 M165 M167 J185 J187 J165 J167 V145 S145 P145 M145 J145 V147 S147 P147 M147 J147 J105 G105 P105 M105 V105" xr:uid="{00000000-0002-0000-0E00-00000E000000}">
      <formula1>$B$27:$B$38</formula1>
    </dataValidation>
    <dataValidation type="decimal" operator="greaterThanOrEqual" allowBlank="1" showInputMessage="1" showErrorMessage="1" sqref="G97 J97 M97 P97 S97 V97" xr:uid="{00000000-0002-0000-0E00-00000F000000}">
      <formula1>1</formula1>
    </dataValidation>
    <dataValidation type="list" allowBlank="1" showInputMessage="1" showErrorMessage="1" sqref="P16" xr:uid="{00000000-0002-0000-0E00-000010000000}">
      <formula1>"Vaccines, Reproductive Health,General"</formula1>
    </dataValidation>
  </dataValidations>
  <hyperlinks>
    <hyperlink ref="K20" location="'Vaccine Demand Volume &amp; Value'!A1" display="Vaccines Demand V&amp;V" xr:uid="{00000000-0004-0000-0E00-000000000000}"/>
    <hyperlink ref="K21" location="'RH Demand Volume &amp; Value'!A1" display="RH Demand V&amp;V" xr:uid="{00000000-0004-0000-0E00-000001000000}"/>
    <hyperlink ref="Q20:S20" location="'Vaccine Demand Volume &amp; Value'!A1" display="1. Vaccine Demand Volume &amp; Value" xr:uid="{00000000-0004-0000-0E00-000002000000}"/>
    <hyperlink ref="Q21:S21" location="'RH Demand Volume &amp; Value'!A1" display="2. RH Demand Volume &amp; Value" xr:uid="{00000000-0004-0000-0E00-000003000000}"/>
    <hyperlink ref="K22" location="'General Demand Volume'!A1" display="c. General Demand Vol." xr:uid="{00000000-0004-0000-0E00-000004000000}"/>
    <hyperlink ref="Q22" location="'General Demand Volume'!A1" display="c. General Demand Volume" xr:uid="{00000000-0004-0000-0E00-000005000000}"/>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E00-000011000000}">
          <x14:formula1>
            <xm:f>'List Values'!$E$3:$E$5</xm:f>
          </x14:formula1>
          <xm:sqref>M305 M285 J285 V265 M177 J177 V137 J305 V285 J157 M157 P157 M201 J201 V177 G305 G221 V201 J221 M221 M241 J241 V221 G241 G285 V241 J265 M265 J137 M137 P137 S137 P177 S157 S177 V157 P201 S201 P221 S221 P241 S241 P265 S265 P285 S285 P305 S305 V305</xm:sqref>
        </x14:dataValidation>
        <x14:dataValidation type="list" allowBlank="1" showInputMessage="1" showErrorMessage="1" xr:uid="{00000000-0002-0000-0E00-000012000000}">
          <x14:formula1>
            <xm:f>'List Values'!$F$3:$F$7</xm:f>
          </x14:formula1>
          <xm:sqref>M306 J286 M286 G306 J306 V138 J178 M178 V286 J158 M158 P158 G202 V178 J202 M202 G222 V202 J222 M222 G242 V222 J242 M242 G266 V242 J266 M266 G286 V266 J138 M138 P138 S138 P178 S158 S178 V158 P202 S202 P222 S222 P242 S242 P266 S266 P286 S286 P306 S306 V306</xm:sqref>
        </x14:dataValidation>
        <x14:dataValidation type="list" allowBlank="1" showInputMessage="1" showErrorMessage="1" xr:uid="{00000000-0002-0000-0E00-000013000000}">
          <x14:formula1>
            <xm:f>'List Values'!$E$3:$E$7</xm:f>
          </x14:formula1>
          <xm:sqref>T137</xm:sqref>
        </x14:dataValidation>
        <x14:dataValidation type="list" allowBlank="1" showInputMessage="1" showErrorMessage="1" xr:uid="{00000000-0002-0000-0E00-000014000000}">
          <x14:formula1>
            <xm:f>'List Values'!$B$3:$B$4</xm:f>
          </x14:formula1>
          <xm:sqref>G20 J19 P20</xm:sqref>
        </x14:dataValidation>
        <x14:dataValidation type="list" operator="greaterThan" allowBlank="1" showInputMessage="1" showErrorMessage="1" xr:uid="{00000000-0002-0000-0E00-000015000000}">
          <x14:formula1>
            <xm:f>'List Values'!$B$3:$B$4</xm:f>
          </x14:formula1>
          <xm:sqref>G20</xm:sqref>
        </x14:dataValidation>
        <x14:dataValidation type="list" allowBlank="1" showInputMessage="1" showErrorMessage="1" xr:uid="{00000000-0002-0000-0E00-000016000000}">
          <x14:formula1>
            <xm:f>'List Values'!$G$3:$G$9</xm:f>
          </x14:formula1>
          <xm:sqref>J304 V264 J284 M284 V284 V136 M304 J176 M176 G304 J156 M156 P156 G200 V176 J200 M200 G220 V200 J220 M220 G240 V220 J240 M240 G264 V240 J264 M264 G284 J136 M136 P136 S136 P176 S156 S176 V156 P200 S200 P220 S220 P240 S240 P264 S264 P284 S284 P304 S304 V304</xm:sqref>
        </x14:dataValidation>
        <x14:dataValidation type="list" allowBlank="1" showInputMessage="1" showErrorMessage="1" xr:uid="{00000000-0002-0000-0E00-000017000000}">
          <x14:formula1>
            <xm:f>'List Values'!$C$3:$C$8</xm:f>
          </x14:formula1>
          <xm:sqref>G87 J87 M87 P87 S87 V87</xm:sqref>
        </x14:dataValidation>
        <x14:dataValidation type="list" allowBlank="1" showInputMessage="1" showErrorMessage="1" xr:uid="{00000000-0002-0000-0E00-000018000000}">
          <x14:formula1>
            <xm:f>'Scenario Manager'!$O$7:$O$12</xm:f>
          </x14:formula1>
          <xm:sqref>G5 G86 J86 M86 P86 S86 V86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0D388-D266-4BEC-A3BD-BBEEEA540367}">
  <sheetPr>
    <tabColor theme="4" tint="0.59999389629810485"/>
  </sheetPr>
  <dimension ref="A1:AU447"/>
  <sheetViews>
    <sheetView showGridLines="0" topLeftCell="A37" zoomScale="85" zoomScaleNormal="85" zoomScalePageLayoutView="117" workbookViewId="0">
      <selection activeCell="H3" sqref="H3:K3"/>
    </sheetView>
  </sheetViews>
  <sheetFormatPr defaultColWidth="11.3046875" defaultRowHeight="14.6" outlineLevelRow="1"/>
  <cols>
    <col min="1" max="4" width="2.3046875" customWidth="1"/>
    <col min="5" max="5" width="1.84375" customWidth="1"/>
    <col min="6" max="6" width="22.3828125" customWidth="1"/>
    <col min="7" max="7" width="52.3046875" customWidth="1"/>
    <col min="8" max="8" width="15.15234375" style="7" customWidth="1"/>
    <col min="9" max="10" width="15.69140625" style="7" hidden="1" customWidth="1"/>
    <col min="11" max="11" width="16.3046875" style="7" customWidth="1"/>
    <col min="12" max="13" width="15.3046875" style="7" hidden="1" customWidth="1"/>
    <col min="14" max="14" width="15.15234375" style="7" customWidth="1"/>
    <col min="15" max="16" width="15.3046875" style="7" hidden="1" customWidth="1"/>
    <col min="17" max="17" width="15.15234375" style="7" customWidth="1"/>
    <col min="18" max="19" width="20.15234375" style="7" hidden="1" customWidth="1"/>
    <col min="20" max="20" width="15.15234375" style="7" customWidth="1"/>
    <col min="21" max="22" width="20.15234375" style="7" hidden="1" customWidth="1"/>
    <col min="23" max="23" width="15.15234375" style="7" customWidth="1"/>
    <col min="24" max="24" width="0.53515625" style="1444" customWidth="1"/>
    <col min="25" max="25" width="17" customWidth="1"/>
    <col min="26" max="26" width="13.84375" customWidth="1"/>
    <col min="28" max="28" width="9.84375" customWidth="1"/>
    <col min="29" max="29" width="7.84375" customWidth="1"/>
    <col min="32" max="32" width="8.3046875" customWidth="1"/>
    <col min="33" max="33" width="7.3828125" customWidth="1"/>
  </cols>
  <sheetData>
    <row r="1" spans="1:24" ht="33.75" customHeight="1">
      <c r="A1" s="2688" t="s">
        <v>5799</v>
      </c>
      <c r="B1" s="2688"/>
      <c r="C1" s="2688"/>
      <c r="D1" s="2688"/>
      <c r="E1" s="2688"/>
      <c r="F1" s="2688"/>
      <c r="G1" s="2688"/>
      <c r="H1" s="2688"/>
      <c r="I1" s="2688"/>
      <c r="J1" s="2688"/>
      <c r="K1" s="2688"/>
      <c r="L1" s="2688"/>
      <c r="M1" s="2688"/>
      <c r="N1" s="2688"/>
      <c r="O1" s="2688"/>
      <c r="P1" s="2688"/>
      <c r="Q1" s="2688"/>
      <c r="R1" s="2688"/>
      <c r="S1" s="2688"/>
      <c r="T1" s="2688"/>
    </row>
    <row r="2" spans="1:24">
      <c r="A2" s="486"/>
      <c r="T2" s="1585"/>
    </row>
    <row r="3" spans="1:24" ht="26.9" customHeight="1">
      <c r="F3" s="393" t="s">
        <v>2533</v>
      </c>
      <c r="G3" s="322"/>
      <c r="H3" s="2693" t="s">
        <v>5835</v>
      </c>
      <c r="I3" s="2693"/>
      <c r="J3" s="2693"/>
      <c r="K3" s="2693"/>
      <c r="N3" s="424"/>
      <c r="W3" s="261"/>
    </row>
    <row r="4" spans="1:24" ht="31.5" customHeight="1">
      <c r="F4" s="394" t="s">
        <v>470</v>
      </c>
      <c r="G4" s="323"/>
      <c r="H4" s="2694" t="str">
        <f>IFERROR(INDEX('Scenario Manager'!$B$7:$B$12,MATCH($H$3,'Scenario Manager'!$C$7:$C$12,0)),"Can't Find Selected Input Parameters Worksheet!")</f>
        <v>Baseline + High Demand</v>
      </c>
      <c r="I4" s="2694"/>
      <c r="J4" s="2694"/>
      <c r="K4" s="2694"/>
      <c r="W4" s="261"/>
    </row>
    <row r="5" spans="1:24" ht="22.5" customHeight="1"/>
    <row r="6" spans="1:24" ht="22.5" customHeight="1">
      <c r="W6" s="261"/>
    </row>
    <row r="7" spans="1:24" ht="30" customHeight="1"/>
    <row r="8" spans="1:24" ht="29.25" customHeight="1">
      <c r="E8" s="412" t="s">
        <v>457</v>
      </c>
      <c r="F8" s="324"/>
      <c r="G8" s="324"/>
      <c r="H8" s="324"/>
      <c r="I8" s="324"/>
      <c r="J8" s="324"/>
      <c r="K8" s="325"/>
    </row>
    <row r="9" spans="1:24" ht="25" customHeight="1">
      <c r="F9" s="487" t="s">
        <v>453</v>
      </c>
      <c r="G9" s="488"/>
      <c r="H9" s="2695">
        <f ca="1">INDIRECT("'"&amp;$H$3&amp;"'!$H$7")</f>
        <v>3</v>
      </c>
      <c r="I9" s="2696"/>
      <c r="J9" s="2696"/>
      <c r="K9" s="2697"/>
      <c r="L9" s="309"/>
      <c r="M9" s="309"/>
      <c r="N9" s="260"/>
      <c r="O9" s="260"/>
      <c r="P9" s="260"/>
      <c r="Q9" s="310"/>
      <c r="R9" s="305"/>
      <c r="S9" s="305"/>
      <c r="T9" s="306"/>
    </row>
    <row r="10" spans="1:24" ht="25" customHeight="1">
      <c r="F10" s="314" t="s">
        <v>2534</v>
      </c>
      <c r="G10" s="315"/>
      <c r="H10" s="2698">
        <f ca="1">IF(INDIRECT("'"&amp;$H$3&amp;"'!$H$7")=1,(INDIRECT("'"&amp;$H$3&amp;"'!$H$95")),
IF(INDIRECT("'"&amp;$H$3&amp;"'!$H$7")=2,(INDIRECT("'"&amp;$H$3&amp;"'!$K$95")),
IF(INDIRECT("'"&amp;$H$3&amp;"'!$H$7")=3,(INDIRECT("'"&amp;$H$3&amp;"'!$N$95")),
IF(INDIRECT("'"&amp;$H$3&amp;"'!$H$7")=4,(INDIRECT("'"&amp;$H$3&amp;"'!$Q$95")),
IF(INDIRECT("'"&amp;$H$3&amp;"'!$H$7")=5,(INDIRECT("'"&amp;$H$3&amp;"'!$T$95")),
(INDIRECT("'"&amp;$H$3&amp;"'!$W$95")))))))</f>
        <v>345</v>
      </c>
      <c r="I10" s="2698"/>
      <c r="J10" s="2698"/>
      <c r="K10" s="2698"/>
      <c r="L10" s="23"/>
      <c r="M10" s="23"/>
      <c r="N10" s="260"/>
      <c r="O10" s="260"/>
      <c r="P10" s="260"/>
      <c r="Q10" s="310"/>
      <c r="R10" s="305"/>
      <c r="S10" s="222"/>
      <c r="T10" s="307"/>
      <c r="U10" s="260"/>
      <c r="V10" s="260"/>
    </row>
    <row r="11" spans="1:24" ht="25" customHeight="1">
      <c r="F11" s="317" t="s">
        <v>5515</v>
      </c>
      <c r="G11" s="316"/>
      <c r="H11" s="2691">
        <f ca="1">IF(INDIRECT("'"&amp;$H$3&amp;"'!$H$7")=1,($H$52*INDIRECT("'"&amp;$H$3&amp;"'!$H$95")),
IF(INDIRECT("'"&amp;$H$3&amp;"'!$H$7")=2,($K$52*INDIRECT("'"&amp;$H$3&amp;"'!$K$95")),
IF(INDIRECT("'"&amp;$H$3&amp;"'!$H$7")=3,($N$52*INDIRECT("'"&amp;$H$3&amp;"'!$N$95")),
IF(INDIRECT("'"&amp;$H$3&amp;"'!$H$7")=4,($Q$52*INDIRECT("'"&amp;$H$3&amp;"'!$Q$95")),
IF(INDIRECT("'"&amp;$H$3&amp;"'!$H$7")=5,($T$52*INDIRECT("'"&amp;$H$3&amp;"'!$T$95")),
($W$52*INDIRECT("'"&amp;$H$3&amp;"'!$W$95")))))))</f>
        <v>2932.5</v>
      </c>
      <c r="I11" s="2691"/>
      <c r="J11" s="2691"/>
      <c r="K11" s="2691"/>
      <c r="L11" s="23"/>
      <c r="M11" s="23"/>
      <c r="N11" s="260"/>
      <c r="O11" s="260"/>
      <c r="P11" s="260"/>
      <c r="Q11" s="310"/>
      <c r="R11" s="305"/>
      <c r="S11" s="306"/>
      <c r="T11" s="307"/>
      <c r="U11" s="261"/>
      <c r="V11" s="261"/>
    </row>
    <row r="12" spans="1:24" ht="25" customHeight="1">
      <c r="F12" s="1889" t="s">
        <v>5516</v>
      </c>
      <c r="H12" s="2691">
        <f ca="1">IF(INDIRECT("'"&amp;$H$3&amp;"'!$H$7")=1,($H$64*INDIRECT("'"&amp;$H$3&amp;"'!$H$95")),
IF(INDIRECT("'"&amp;$H$3&amp;"'!$H$7")=2,($K$64*INDIRECT("'"&amp;$H$3&amp;"'!$K$95")),
IF(INDIRECT("'"&amp;$H$3&amp;"'!$H$7")=3,($N$64*INDIRECT("'"&amp;$H$3&amp;"'!$N$95")),
IF(INDIRECT("'"&amp;$H$3&amp;"'!$H$7")=4,($Q$64*INDIRECT("'"&amp;$H$3&amp;"'!$Q$95")),
IF(INDIRECT("'"&amp;$H$3&amp;"'!$H$7")=5,($T$64*INDIRECT("'"&amp;$H$3&amp;"'!$T$95")),
($W$64*INDIRECT("'"&amp;$H$3&amp;"'!$W$95")))))))</f>
        <v>0</v>
      </c>
      <c r="I12" s="2691"/>
      <c r="J12" s="2691"/>
      <c r="K12" s="2691"/>
      <c r="L12" s="23"/>
      <c r="M12" s="23"/>
      <c r="N12" s="260"/>
      <c r="O12" s="260"/>
      <c r="P12" s="260"/>
      <c r="Q12" s="310"/>
      <c r="R12" s="305"/>
      <c r="S12" s="306"/>
      <c r="T12" s="307"/>
      <c r="U12" s="261"/>
      <c r="V12" s="261"/>
    </row>
    <row r="13" spans="1:24" ht="25" customHeight="1">
      <c r="F13" s="317" t="s">
        <v>374</v>
      </c>
      <c r="G13" s="318"/>
      <c r="H13" s="2692">
        <f ca="1">INDIRECT("'"&amp;$H$3&amp;"'!$H$21")</f>
        <v>18450000</v>
      </c>
      <c r="I13" s="2692"/>
      <c r="J13" s="2692"/>
      <c r="K13" s="2692"/>
      <c r="L13" s="23"/>
      <c r="M13" s="23"/>
      <c r="N13" s="260"/>
      <c r="O13" s="260"/>
      <c r="P13" s="260"/>
      <c r="Q13" s="310"/>
      <c r="R13" s="305"/>
      <c r="S13" s="306"/>
      <c r="T13" s="307"/>
      <c r="U13" s="261"/>
      <c r="V13" s="261"/>
      <c r="W13" s="261"/>
      <c r="X13" s="1445"/>
    </row>
    <row r="14" spans="1:24" ht="41.25" customHeight="1">
      <c r="F14" s="2495" t="s">
        <v>830</v>
      </c>
      <c r="G14" s="2496"/>
      <c r="H14" s="2706">
        <f ca="1">SUM(H280:W280,H309:W309,H338:W338,H169:W169,H207:W207,H245:W245,H369:W369,H398:W398,H427:W427)</f>
        <v>473676.7480756318</v>
      </c>
      <c r="I14" s="2707"/>
      <c r="J14" s="2707"/>
      <c r="K14" s="2708"/>
      <c r="L14" s="23"/>
      <c r="M14" s="23"/>
      <c r="N14" s="260"/>
      <c r="O14" s="260"/>
      <c r="P14" s="260"/>
      <c r="Q14" s="310"/>
      <c r="R14" s="305"/>
      <c r="S14" s="306"/>
      <c r="T14" s="307"/>
      <c r="U14" s="261"/>
      <c r="V14" s="261"/>
      <c r="W14" s="261"/>
      <c r="X14" s="1445"/>
    </row>
    <row r="15" spans="1:24" ht="25" customHeight="1">
      <c r="F15" s="314" t="s">
        <v>456</v>
      </c>
      <c r="G15" s="316"/>
      <c r="H15" s="2706">
        <f ca="1">SUM(H267:W267,H281:W281,H296:W296,H310:W310,H325:W325,H339:W339,
H155:W155,H171:W171,H193:W193,H209:W209,H231:W231,H247:W247,
H356:W356,H370:W370,H385:W385,H399:W399,H414:W414,H428:W428)</f>
        <v>1414</v>
      </c>
      <c r="I15" s="2707"/>
      <c r="J15" s="2707"/>
      <c r="K15" s="2708"/>
      <c r="L15" s="23"/>
      <c r="M15" s="23"/>
      <c r="N15" s="260"/>
      <c r="O15" s="260"/>
      <c r="P15" s="260"/>
      <c r="Q15" s="310"/>
      <c r="R15" s="305"/>
      <c r="S15" s="306"/>
      <c r="T15" s="307"/>
      <c r="U15" s="261"/>
      <c r="V15" s="261"/>
      <c r="W15" s="261"/>
      <c r="X15" s="1445"/>
    </row>
    <row r="16" spans="1:24" ht="19.5" customHeight="1">
      <c r="F16" s="319" t="s">
        <v>469</v>
      </c>
      <c r="G16" s="320"/>
      <c r="H16" s="2709">
        <f ca="1">SUM(Z46,H55,K55,N55,Q55,T55,W55)</f>
        <v>7</v>
      </c>
      <c r="I16" s="2710"/>
      <c r="J16" s="2710"/>
      <c r="K16" s="2711"/>
      <c r="L16" s="23"/>
      <c r="M16" s="23"/>
      <c r="N16" s="260"/>
      <c r="O16" s="260"/>
      <c r="P16" s="260"/>
      <c r="Q16" s="310"/>
      <c r="R16" s="305"/>
      <c r="S16" s="306"/>
      <c r="T16" s="307"/>
      <c r="U16" s="261"/>
      <c r="V16" s="261"/>
      <c r="W16" s="261"/>
      <c r="X16" s="1445"/>
    </row>
    <row r="17" spans="5:29" ht="12.75" customHeight="1">
      <c r="F17" s="308"/>
      <c r="G17" s="311"/>
      <c r="H17" s="321"/>
      <c r="I17" s="137"/>
      <c r="J17" s="137"/>
      <c r="K17" s="137"/>
      <c r="L17" s="23"/>
      <c r="M17" s="23"/>
      <c r="N17" s="260"/>
      <c r="O17" s="260"/>
      <c r="P17" s="260"/>
      <c r="Q17" s="221"/>
      <c r="R17" s="1342"/>
      <c r="S17" s="1342"/>
      <c r="T17" s="1343"/>
      <c r="U17" s="260"/>
      <c r="V17" s="260"/>
      <c r="W17" s="260"/>
      <c r="X17" s="1446"/>
    </row>
    <row r="18" spans="5:29" ht="15" customHeight="1">
      <c r="F18" s="417" t="s">
        <v>393</v>
      </c>
      <c r="G18" s="418"/>
      <c r="H18" s="2712">
        <f ca="1">Y81</f>
        <v>1485836.1094793708</v>
      </c>
      <c r="I18" s="2713"/>
      <c r="J18" s="2713"/>
      <c r="K18" s="2714"/>
      <c r="L18" s="23"/>
      <c r="M18" s="23"/>
      <c r="N18" s="260"/>
      <c r="O18" s="260"/>
      <c r="P18" s="260"/>
      <c r="Q18" s="310"/>
      <c r="R18" s="305"/>
      <c r="S18" s="222"/>
      <c r="T18" s="1341"/>
      <c r="U18" s="222"/>
      <c r="V18" s="222"/>
      <c r="W18" s="222"/>
      <c r="X18" s="1447"/>
    </row>
    <row r="19" spans="5:29" ht="15" customHeight="1">
      <c r="F19" s="312"/>
      <c r="G19" s="312"/>
      <c r="H19" s="313"/>
      <c r="I19" s="313"/>
      <c r="J19" s="313"/>
      <c r="K19" s="313"/>
      <c r="L19" s="23"/>
      <c r="M19" s="23"/>
      <c r="N19" s="260"/>
      <c r="O19" s="260"/>
      <c r="P19" s="260"/>
      <c r="Q19" s="310"/>
      <c r="R19" s="305"/>
      <c r="S19" s="222"/>
      <c r="T19" s="307"/>
      <c r="U19" s="222"/>
      <c r="V19" s="222"/>
      <c r="W19" s="222"/>
      <c r="X19" s="1447"/>
    </row>
    <row r="20" spans="5:29" ht="15" customHeight="1">
      <c r="F20" s="312"/>
      <c r="G20" s="312"/>
      <c r="H20" s="313"/>
      <c r="I20" s="313"/>
      <c r="J20" s="313"/>
      <c r="K20" s="313"/>
      <c r="L20" s="23"/>
      <c r="M20" s="23"/>
      <c r="N20" s="260"/>
      <c r="O20" s="260"/>
      <c r="P20" s="260"/>
      <c r="Q20" s="310"/>
      <c r="R20" s="305"/>
      <c r="S20" s="222"/>
      <c r="T20" s="307"/>
      <c r="U20" s="222"/>
      <c r="V20" s="222"/>
      <c r="W20" s="222"/>
      <c r="X20" s="1447"/>
    </row>
    <row r="21" spans="5:29" ht="15" customHeight="1">
      <c r="L21" s="135"/>
      <c r="M21" s="135"/>
      <c r="N21" s="260"/>
      <c r="O21" s="260"/>
      <c r="P21" s="260"/>
      <c r="Q21" s="310"/>
      <c r="R21" s="305"/>
      <c r="S21" s="305"/>
      <c r="U21" s="260"/>
      <c r="V21" s="260"/>
      <c r="W21" s="260"/>
      <c r="X21" s="1446"/>
    </row>
    <row r="22" spans="5:29" ht="15.65" customHeight="1">
      <c r="F22" s="24"/>
      <c r="G22" s="24"/>
      <c r="H22" s="134"/>
      <c r="I22" s="134"/>
      <c r="J22" s="134"/>
      <c r="K22" s="134"/>
      <c r="L22" s="135"/>
      <c r="M22" s="135"/>
      <c r="Q22" s="136"/>
      <c r="R22" s="137"/>
      <c r="S22" s="137"/>
      <c r="T22" s="137"/>
      <c r="U22" s="137"/>
      <c r="V22" s="137"/>
      <c r="W22" s="137"/>
      <c r="X22" s="1448"/>
    </row>
    <row r="23" spans="5:29" ht="31.5" customHeight="1">
      <c r="E23" s="413" t="s">
        <v>458</v>
      </c>
      <c r="F23" s="1491"/>
      <c r="G23" s="1491"/>
      <c r="H23" s="1492" t="str">
        <f ca="1">IF($H$9&gt;=1,INDIRECT("'"&amp;$H$3&amp;"'!G$91"),"")</f>
        <v>CMS Tier</v>
      </c>
      <c r="I23" s="1492" t="str">
        <f t="shared" ref="I23:V23" ca="1" si="0">IF($H$9&gt;=1,"Tier 1","")</f>
        <v>Tier 1</v>
      </c>
      <c r="J23" s="1492" t="str">
        <f t="shared" ca="1" si="0"/>
        <v>Tier 1</v>
      </c>
      <c r="K23" s="1492" t="str">
        <f ca="1">IF($H$9&gt;=2,INDIRECT("'"&amp;$H$3&amp;"'!J$91"),"")</f>
        <v>Regional WH Tier</v>
      </c>
      <c r="L23" s="1492" t="str">
        <f t="shared" ca="1" si="0"/>
        <v>Tier 1</v>
      </c>
      <c r="M23" s="1492" t="str">
        <f t="shared" ca="1" si="0"/>
        <v>Tier 1</v>
      </c>
      <c r="N23" s="1492" t="str">
        <f ca="1">IF($H$9&gt;=3,INDIRECT("'"&amp;$H$3&amp;"'!M$91"),"")</f>
        <v>Health Facility Tier</v>
      </c>
      <c r="O23" s="1492" t="str">
        <f t="shared" ca="1" si="0"/>
        <v>Tier 1</v>
      </c>
      <c r="P23" s="1492" t="str">
        <f t="shared" ca="1" si="0"/>
        <v>Tier 1</v>
      </c>
      <c r="Q23" s="1492" t="str">
        <f ca="1">IF($H$9&gt;=4,INDIRECT("'"&amp;$H$3&amp;"'!P$91"),"")</f>
        <v/>
      </c>
      <c r="R23" s="1493" t="str">
        <f t="shared" ca="1" si="0"/>
        <v>Tier 1</v>
      </c>
      <c r="S23" s="136" t="str">
        <f t="shared" ca="1" si="0"/>
        <v>Tier 1</v>
      </c>
      <c r="T23" s="1492" t="str">
        <f ca="1">IF($H$9&gt;=5,INDIRECT("'"&amp;$H$3&amp;"'!S$91"),"")</f>
        <v/>
      </c>
      <c r="U23" s="136" t="str">
        <f t="shared" ca="1" si="0"/>
        <v>Tier 1</v>
      </c>
      <c r="V23" s="136" t="str">
        <f t="shared" ca="1" si="0"/>
        <v>Tier 1</v>
      </c>
      <c r="W23" s="1492" t="str">
        <f ca="1">IF($H$9&gt;=6,INDIRECT("'"&amp;$H$3&amp;"'!V$91"),"")</f>
        <v/>
      </c>
      <c r="X23" s="1494"/>
      <c r="Y23" s="1495" t="s">
        <v>473</v>
      </c>
    </row>
    <row r="24" spans="5:29" ht="15" customHeight="1">
      <c r="E24" s="367"/>
      <c r="F24" s="351" t="s">
        <v>465</v>
      </c>
      <c r="G24" s="332"/>
      <c r="H24" s="342"/>
      <c r="I24" s="342"/>
      <c r="J24" s="342"/>
      <c r="K24" s="342"/>
      <c r="L24" s="342"/>
      <c r="M24" s="342"/>
      <c r="N24" s="342"/>
      <c r="O24" s="342"/>
      <c r="P24" s="342"/>
      <c r="Q24" s="342"/>
      <c r="R24" s="343"/>
      <c r="S24" s="342"/>
      <c r="T24" s="342"/>
      <c r="U24" s="342"/>
      <c r="V24" s="342"/>
      <c r="W24" s="342"/>
      <c r="X24" s="1420"/>
      <c r="Y24" s="344"/>
    </row>
    <row r="25" spans="5:29" ht="16.5" customHeight="1">
      <c r="F25" s="345"/>
      <c r="G25" s="336" t="s">
        <v>32</v>
      </c>
      <c r="H25" s="387">
        <f ca="1">H81/$H$13</f>
        <v>2.3059943120637302E-2</v>
      </c>
      <c r="I25" s="387"/>
      <c r="J25" s="387"/>
      <c r="K25" s="387">
        <f ca="1">K81/$H$13</f>
        <v>2.3678612373903771E-2</v>
      </c>
      <c r="L25" s="387"/>
      <c r="M25" s="387"/>
      <c r="N25" s="388">
        <f ca="1">N81/$H$13</f>
        <v>3.3794566970465463E-2</v>
      </c>
      <c r="O25" s="388"/>
      <c r="P25" s="388"/>
      <c r="Q25" s="388">
        <f ca="1">Q81/$H$13</f>
        <v>0</v>
      </c>
      <c r="R25" s="388"/>
      <c r="S25" s="388"/>
      <c r="T25" s="388">
        <f ca="1">T81/$H$13</f>
        <v>0</v>
      </c>
      <c r="U25" s="388"/>
      <c r="V25" s="388"/>
      <c r="W25" s="1407">
        <f ca="1">W81/$H$13</f>
        <v>0</v>
      </c>
      <c r="X25" s="1449"/>
      <c r="Y25" s="389">
        <f ca="1">Y81/$H$13</f>
        <v>8.0533122465006546E-2</v>
      </c>
    </row>
    <row r="26" spans="5:29" ht="16.5" customHeight="1">
      <c r="F26" s="345"/>
      <c r="G26" s="336" t="s">
        <v>2535</v>
      </c>
      <c r="H26" s="289">
        <f ca="1">H81/$H$11</f>
        <v>145.08301809915028</v>
      </c>
      <c r="I26" s="289"/>
      <c r="J26" s="289"/>
      <c r="K26" s="289">
        <f ca="1">K81/$H$11</f>
        <v>148.97541288952243</v>
      </c>
      <c r="L26" s="289"/>
      <c r="M26" s="289"/>
      <c r="N26" s="289">
        <f ca="1">N81/$H$11</f>
        <v>212.62054922594641</v>
      </c>
      <c r="O26" s="289"/>
      <c r="P26" s="289"/>
      <c r="Q26" s="289">
        <f ca="1">Q81/$H$11</f>
        <v>0</v>
      </c>
      <c r="R26" s="289"/>
      <c r="S26" s="289"/>
      <c r="T26" s="289">
        <f ca="1">T81/$H$11</f>
        <v>0</v>
      </c>
      <c r="U26" s="289"/>
      <c r="V26" s="289"/>
      <c r="W26" s="1408">
        <f ca="1">W81/$H$11</f>
        <v>0</v>
      </c>
      <c r="X26" s="1450"/>
      <c r="Y26" s="369">
        <f ca="1">Y81/$H$11</f>
        <v>506.67898021461917</v>
      </c>
    </row>
    <row r="27" spans="5:29" ht="16.5" customHeight="1">
      <c r="F27" s="345"/>
      <c r="G27" s="336" t="s">
        <v>183</v>
      </c>
      <c r="H27" s="302">
        <f ca="1">IFERROR((($H$13/$H$11)*H$60*INDIRECT("'"&amp;$H$3&amp;"'!H$95")),0)</f>
        <v>7627921.8750000019</v>
      </c>
      <c r="I27" s="302"/>
      <c r="J27" s="302"/>
      <c r="K27" s="302">
        <f ca="1">IFERROR((($H$13/$H$11)*K$60*INDIRECT("'"&amp;$H$3&amp;"'!K$95")),0)</f>
        <v>7264687.5000000009</v>
      </c>
      <c r="L27" s="302"/>
      <c r="M27" s="302"/>
      <c r="N27" s="302">
        <f ca="1">IFERROR((($H$13/$H$11)*N$60*INDIRECT("'"&amp;$H$3&amp;"'!N$95")),0)</f>
        <v>6918750.0000000009</v>
      </c>
      <c r="O27" s="303"/>
      <c r="P27" s="303"/>
      <c r="Q27" s="302">
        <f ca="1">IFERROR((($H$13/$H$11)*Q$60*INDIRECT("'"&amp;$H$3&amp;"'!Q$95")),0)</f>
        <v>0</v>
      </c>
      <c r="R27" s="304"/>
      <c r="S27" s="304"/>
      <c r="T27" s="302">
        <f ca="1">IFERROR((($H$13/$H$11)*T$60*INDIRECT("'"&amp;$H$3&amp;"'!T$95")),0)</f>
        <v>0</v>
      </c>
      <c r="U27" s="304"/>
      <c r="V27" s="304"/>
      <c r="W27" s="1409">
        <f ca="1">IFERROR((($H$13/$H$11)*W$60*INDIRECT("'"&amp;$H$3&amp;"'!W$95")),0)</f>
        <v>0</v>
      </c>
      <c r="X27" s="1451"/>
      <c r="Y27" s="370">
        <f ca="1">SUM(H27:N27)</f>
        <v>21811359.375000004</v>
      </c>
    </row>
    <row r="28" spans="5:29" ht="16.5" customHeight="1">
      <c r="F28" s="390"/>
      <c r="G28" s="210" t="s">
        <v>2536</v>
      </c>
      <c r="H28" s="391">
        <f ca="1">IFERROR(SUM(H280,H309,H338,H169,H207,H245,H369,H398,H427)/(H52*INDIRECT("'"&amp;$H$3&amp;"'!H$95")),0)</f>
        <v>0</v>
      </c>
      <c r="I28" s="391"/>
      <c r="J28" s="391"/>
      <c r="K28" s="391">
        <f ca="1">IFERROR(SUM(K280,K309,K338,K169,K207,K245,K369,K398,K427)/(K52*INDIRECT("'"&amp;$H$3&amp;"'!K$95")),0)</f>
        <v>48.055210489993101</v>
      </c>
      <c r="L28" s="391"/>
      <c r="M28" s="391"/>
      <c r="N28" s="391">
        <f ca="1">IFERROR(SUM(N280,N309,N338,N169,N207,N245,N369,N398,N427)/(N52*INDIRECT("'"&amp;$H$3&amp;"'!N$95")),0)</f>
        <v>111.06862679475933</v>
      </c>
      <c r="O28" s="391"/>
      <c r="P28" s="391"/>
      <c r="Q28" s="391">
        <f ca="1">IFERROR(SUM(Q280,Q309,Q338,Q169,Q207,Q245,Q369,Q398,Q427)/(Q52*INDIRECT("'"&amp;$H$3&amp;"'!Q$95")),0)</f>
        <v>0</v>
      </c>
      <c r="R28" s="391"/>
      <c r="S28" s="391"/>
      <c r="T28" s="391">
        <f ca="1">IFERROR(SUM(T280,T309,T338,T169,T207,T245,T369,T398,T427)/(T52*INDIRECT("'"&amp;$H$3&amp;"'!T$95")),0)</f>
        <v>0</v>
      </c>
      <c r="U28" s="391"/>
      <c r="V28" s="391"/>
      <c r="W28" s="1410">
        <f ca="1">IFERROR(SUM(W280,W309,W338,W169,W207,W245,W369,W398,W427)/(W52*INDIRECT("'"&amp;$H$3&amp;"'!W$95")),0)</f>
        <v>0</v>
      </c>
      <c r="X28" s="1418"/>
      <c r="Y28" s="392">
        <f ca="1">SUM(H28:W28)</f>
        <v>159.12383728475243</v>
      </c>
    </row>
    <row r="29" spans="5:29" ht="10" customHeight="1">
      <c r="H29" s="439"/>
      <c r="I29" s="439"/>
      <c r="J29" s="439"/>
      <c r="K29" s="439"/>
      <c r="L29" s="439"/>
      <c r="M29" s="439"/>
      <c r="N29" s="439"/>
      <c r="O29" s="439"/>
      <c r="P29" s="439"/>
      <c r="Q29" s="439"/>
      <c r="R29" s="439"/>
      <c r="S29" s="439"/>
      <c r="T29" s="439"/>
      <c r="U29" s="439"/>
      <c r="V29" s="439"/>
      <c r="W29" s="439"/>
      <c r="X29" s="1418"/>
      <c r="Y29" s="1443"/>
    </row>
    <row r="30" spans="5:29" ht="33.65" customHeight="1">
      <c r="F30" s="442" t="s">
        <v>468</v>
      </c>
      <c r="G30" s="332"/>
      <c r="H30" s="437"/>
      <c r="I30" s="437"/>
      <c r="J30" s="437"/>
      <c r="K30" s="437"/>
      <c r="L30" s="437"/>
      <c r="M30" s="437"/>
      <c r="N30" s="437"/>
      <c r="O30" s="437"/>
      <c r="P30" s="437"/>
      <c r="Q30" s="437"/>
      <c r="R30" s="438"/>
      <c r="S30" s="437"/>
      <c r="T30" s="437"/>
      <c r="U30" s="437"/>
      <c r="V30" s="437"/>
      <c r="W30" s="437"/>
      <c r="X30" s="1420"/>
      <c r="Y30" s="1415" t="s">
        <v>590</v>
      </c>
      <c r="Z30" s="441" t="s">
        <v>474</v>
      </c>
    </row>
    <row r="31" spans="5:29" ht="14.9" customHeight="1">
      <c r="F31" s="2481" t="s">
        <v>235</v>
      </c>
      <c r="G31" s="425" t="s">
        <v>209</v>
      </c>
      <c r="H31" s="2082">
        <f ca="1">_xlfn.IFNA(IF(IFERROR(OR(H175&lt;1,AND(H175&gt;0,H176&gt;0,H176&gt;H175,INDIRECT("'"&amp;$H$3&amp;"'!H143")="Route-based")),FALSE),0,H172),0)</f>
        <v>0</v>
      </c>
      <c r="I31" s="2082"/>
      <c r="J31" s="2082"/>
      <c r="K31" s="2082">
        <f ca="1">_xlfn.IFNA(IF(IFERROR(OR(K175&lt;1,AND(K175&gt;0,K176&gt;0,K176&gt;K175,INDIRECT("'"&amp;$H$3&amp;"'!K143")="Route-based")),FALSE),0,K172),0)</f>
        <v>0</v>
      </c>
      <c r="L31" s="2082"/>
      <c r="M31" s="2082"/>
      <c r="N31" s="2082">
        <f ca="1">_xlfn.IFNA(IF(IFERROR(OR(N175&lt;1,AND(N175&gt;0,N176&gt;0,N176&gt;N175,INDIRECT("'"&amp;$H$3&amp;"'!N143")="Route-based")),FALSE),0,N172),0)</f>
        <v>0</v>
      </c>
      <c r="O31" s="2082"/>
      <c r="P31" s="2082"/>
      <c r="Q31" s="2082">
        <f ca="1">_xlfn.IFNA(IF(IFERROR(OR(Q175&lt;1,AND(Q175&gt;0,Q176&gt;0,Q176&gt;Q175,INDIRECT("'"&amp;$H$3&amp;"'!Q143")="Route-based")),FALSE),0,Q172),0)</f>
        <v>0</v>
      </c>
      <c r="R31" s="2082"/>
      <c r="S31" s="2082"/>
      <c r="T31" s="2082">
        <f ca="1">_xlfn.IFNA(IF(IFERROR(OR(T175&lt;1,AND(T175&gt;0,T176&gt;0,T176&gt;T175,INDIRECT("'"&amp;$H$3&amp;"'!T143")="Route-based")),FALSE),0,T172),0)</f>
        <v>0</v>
      </c>
      <c r="U31" s="2082"/>
      <c r="V31" s="2082"/>
      <c r="W31" s="2083">
        <f ca="1">_xlfn.IFNA(IF(IFERROR(OR(W175&lt;1,AND(W175&gt;0,W176&gt;0,W176&gt;W175,INDIRECT("'"&amp;$H$3&amp;"'!W143")="Route-based")),FALSE),0,W172),0)</f>
        <v>0</v>
      </c>
      <c r="X31" s="1452"/>
      <c r="Y31" s="2720"/>
      <c r="Z31" s="2699">
        <f ca="1">COUNTIFS(H31:W33,"&gt;0",H31:W33,{"&gt;0.9","&lt;0.5"})</f>
        <v>0</v>
      </c>
      <c r="AA31" s="273"/>
      <c r="AB31" s="273"/>
      <c r="AC31" s="273"/>
    </row>
    <row r="32" spans="5:29" ht="14.9" customHeight="1">
      <c r="F32" s="2481"/>
      <c r="G32" s="426" t="s">
        <v>210</v>
      </c>
      <c r="H32" s="2084">
        <f ca="1">_xlfn.IFNA(IF(IFERROR(OR(H213&lt;1,AND(H213&gt;0,H214&gt;0,H214&gt;H213,INDIRECT("'"&amp;$H$3&amp;"'!H163")="Route-based")),FALSE),0,H210),0)</f>
        <v>0</v>
      </c>
      <c r="I32" s="2084"/>
      <c r="J32" s="2084"/>
      <c r="K32" s="2084">
        <f ca="1">_xlfn.IFNA(IF(IFERROR(OR(K213&lt;1,AND(K213&gt;0,K214&gt;0,K214&gt;K213,INDIRECT("'"&amp;$H$3&amp;"'!K163")="Route-based")),FALSE),0,K210),0)</f>
        <v>0</v>
      </c>
      <c r="L32" s="2084"/>
      <c r="M32" s="2084"/>
      <c r="N32" s="2084">
        <f ca="1">_xlfn.IFNA(IF(IFERROR(OR(N213&lt;1,AND(N213&gt;0,N214&gt;0,N214&gt;N213,INDIRECT("'"&amp;$H$3&amp;"'!N163")="Route-based")),FALSE),0,N210),0)</f>
        <v>0</v>
      </c>
      <c r="O32" s="2084"/>
      <c r="P32" s="2084"/>
      <c r="Q32" s="2084">
        <f ca="1">_xlfn.IFNA(IF(IFERROR(OR(Q213&lt;1,AND(Q213&gt;0,Q214&gt;0,Q214&gt;Q213,INDIRECT("'"&amp;$H$3&amp;"'!Q163")="Route-based")),FALSE),0,Q210),0)</f>
        <v>0</v>
      </c>
      <c r="R32" s="2084"/>
      <c r="S32" s="2084"/>
      <c r="T32" s="2084">
        <f ca="1">_xlfn.IFNA(IF(IFERROR(OR(T213&lt;1,AND(T213&gt;0,T214&gt;0,T214&gt;T213,INDIRECT("'"&amp;$H$3&amp;"'!T163")="Route-based")),FALSE),0,T210),0)</f>
        <v>0</v>
      </c>
      <c r="U32" s="2084"/>
      <c r="V32" s="2084"/>
      <c r="W32" s="2085">
        <f ca="1">_xlfn.IFNA(IF(IFERROR(OR(W213&lt;1,AND(W213&gt;0,W214&gt;0,W214&gt;W213,INDIRECT("'"&amp;$H$3&amp;"'!W163")="Route-based")),FALSE),0,W210),0)</f>
        <v>0</v>
      </c>
      <c r="X32" s="1452"/>
      <c r="Y32" s="2720"/>
      <c r="Z32" s="2700"/>
      <c r="AA32" s="273"/>
      <c r="AB32" s="273"/>
      <c r="AC32" s="273"/>
    </row>
    <row r="33" spans="6:47" ht="14.9" customHeight="1">
      <c r="F33" s="2482"/>
      <c r="G33" s="427" t="s">
        <v>211</v>
      </c>
      <c r="H33" s="2086">
        <f ca="1">_xlfn.IFNA(IF(IFERROR(OR(H251&lt;1,AND(H251&gt;0,H252&gt;0,H252&gt;H251,INDIRECT("'"&amp;$H$3&amp;"'!H183")="Route-based")),FALSE),0,H248),0)</f>
        <v>0</v>
      </c>
      <c r="I33" s="2086"/>
      <c r="J33" s="2086"/>
      <c r="K33" s="2086">
        <f ca="1">_xlfn.IFNA(IF(IFERROR(OR(K251&lt;1,AND(K251&gt;0,K252&gt;0,K252&gt;K251,INDIRECT("'"&amp;$H$3&amp;"'!K183")="Route-based")),FALSE),0,K248),0)</f>
        <v>0</v>
      </c>
      <c r="L33" s="2086"/>
      <c r="M33" s="2086"/>
      <c r="N33" s="2086">
        <f ca="1">_xlfn.IFNA(IF(IFERROR(OR(N251&lt;1,AND(N251&gt;0,N252&gt;0,N252&gt;N251,INDIRECT("'"&amp;$H$3&amp;"'!N183")="Route-based")),FALSE),0,N248),0)</f>
        <v>0</v>
      </c>
      <c r="O33" s="2086"/>
      <c r="P33" s="2086"/>
      <c r="Q33" s="2086">
        <f ca="1">_xlfn.IFNA(IF(IFERROR(OR(Q251&lt;1,AND(Q251&gt;0,Q252&gt;0,Q252&gt;Q251,INDIRECT("'"&amp;$H$3&amp;"'!Q183")="Route-based")),FALSE),0,Q248),0)</f>
        <v>0</v>
      </c>
      <c r="R33" s="2086"/>
      <c r="S33" s="2086"/>
      <c r="T33" s="2086">
        <f ca="1">_xlfn.IFNA(IF(IFERROR(OR(T251&lt;1,AND(T251&gt;0,T252&gt;0,T252&gt;T251,INDIRECT("'"&amp;$H$3&amp;"'!T183")="Route-based")),FALSE),0,T248),0)</f>
        <v>0</v>
      </c>
      <c r="U33" s="2086"/>
      <c r="V33" s="2086"/>
      <c r="W33" s="2087">
        <f ca="1">_xlfn.IFNA(IF(IFERROR(OR(W251&lt;1,AND(W251&gt;0,W252&gt;0,W252&gt;W251,INDIRECT("'"&amp;$H$3&amp;"'!W183")="Route-based")),FALSE),0,W248),0)</f>
        <v>0</v>
      </c>
      <c r="X33" s="1452"/>
      <c r="Y33" s="2721"/>
      <c r="Z33" s="2701"/>
      <c r="AA33" s="273"/>
      <c r="AB33" s="273"/>
      <c r="AC33" s="273"/>
    </row>
    <row r="34" spans="6:47" ht="15" customHeight="1">
      <c r="F34" s="2483" t="s">
        <v>236</v>
      </c>
      <c r="G34" s="428" t="s">
        <v>359</v>
      </c>
      <c r="H34" s="429">
        <f>IFERROR(((H168*H173)+(H206*H211)+(H244*H249))/(H168+H206+H244),IFERROR(H173+H211+H249,"Error"))</f>
        <v>0</v>
      </c>
      <c r="I34" s="429"/>
      <c r="J34" s="429"/>
      <c r="K34" s="429">
        <f ca="1">IFERROR(((K168*K173)+(K206*K211)+(K244*K249))/(K168+K206+K244),IFERROR(K173+K211+K249,"Error"))</f>
        <v>0.90416666666666667</v>
      </c>
      <c r="L34" s="429"/>
      <c r="M34" s="429"/>
      <c r="N34" s="429">
        <f ca="1">IFERROR(((N168*N173)+(N206*N211)+(N244*N249))/(N168+N206+N244),IFERROR(N173+N211+N249,"Error"))</f>
        <v>0.71111111111111114</v>
      </c>
      <c r="O34" s="429"/>
      <c r="P34" s="429"/>
      <c r="Q34" s="429">
        <f ca="1">IFERROR(((Q168*Q173)+(Q206*Q211)+(Q244*Q249))/(Q168+Q206+Q244),IFERROR(Q173+Q211+Q249,"Error"))</f>
        <v>0</v>
      </c>
      <c r="R34" s="430"/>
      <c r="S34" s="430"/>
      <c r="T34" s="429">
        <f ca="1">IFERROR(((T168*T173)+(T206*T211)+(T244*T249))/(T168+T206+T244),IFERROR(T173+T211+T249,"Error"))</f>
        <v>0</v>
      </c>
      <c r="U34" s="430"/>
      <c r="V34" s="430"/>
      <c r="W34" s="1411">
        <f ca="1">IFERROR(((W168*W173)+(W206*W211)+(W244*W249))/(W168+W206+W244),IFERROR(W173+W211+W249,"Error"))</f>
        <v>0</v>
      </c>
      <c r="X34" s="1453"/>
      <c r="Y34" s="2702">
        <f ca="1">IFERROR(AVERAGEIF(H34:W34,"&lt;&gt;0"),"")</f>
        <v>0.80763888888888891</v>
      </c>
      <c r="Z34" s="2705">
        <f ca="1">COUNTIFS(H35:W37,"&gt;0",H35:W37,{"&gt;0.9","&lt;0.5"})</f>
        <v>1</v>
      </c>
    </row>
    <row r="35" spans="6:47" ht="15" customHeight="1">
      <c r="F35" s="2484"/>
      <c r="G35" s="425" t="s">
        <v>209</v>
      </c>
      <c r="H35" s="431">
        <f>_xlfn.IFNA(H173,0)</f>
        <v>0</v>
      </c>
      <c r="I35" s="431"/>
      <c r="J35" s="431"/>
      <c r="K35" s="431">
        <f ca="1">_xlfn.IFNA(K173,0)</f>
        <v>0.90416666666666667</v>
      </c>
      <c r="L35" s="431"/>
      <c r="M35" s="431"/>
      <c r="N35" s="431">
        <f ca="1">_xlfn.IFNA(N173,0)</f>
        <v>0.71111111111111114</v>
      </c>
      <c r="O35" s="431"/>
      <c r="P35" s="431"/>
      <c r="Q35" s="431">
        <f ca="1">_xlfn.IFNA(Q173,0)</f>
        <v>0</v>
      </c>
      <c r="R35" s="432"/>
      <c r="S35" s="432"/>
      <c r="T35" s="431">
        <f ca="1">_xlfn.IFNA(T173,0)</f>
        <v>0</v>
      </c>
      <c r="U35" s="432"/>
      <c r="V35" s="432"/>
      <c r="W35" s="1412">
        <f ca="1">_xlfn.IFNA(W173,0)</f>
        <v>0</v>
      </c>
      <c r="X35" s="1454"/>
      <c r="Y35" s="2703"/>
      <c r="Z35" s="2705"/>
    </row>
    <row r="36" spans="6:47" ht="15" customHeight="1">
      <c r="F36" s="2484"/>
      <c r="G36" s="426" t="s">
        <v>210</v>
      </c>
      <c r="H36" s="433">
        <f>_xlfn.IFNA(H211,0)</f>
        <v>0</v>
      </c>
      <c r="I36" s="433"/>
      <c r="J36" s="433"/>
      <c r="K36" s="433">
        <f ca="1">_xlfn.IFNA(K211,0)</f>
        <v>0</v>
      </c>
      <c r="L36" s="433"/>
      <c r="M36" s="433"/>
      <c r="N36" s="433">
        <f ca="1">_xlfn.IFNA(N211,0)</f>
        <v>0</v>
      </c>
      <c r="O36" s="433"/>
      <c r="P36" s="433"/>
      <c r="Q36" s="433">
        <f ca="1">_xlfn.IFNA(Q211,0)</f>
        <v>0</v>
      </c>
      <c r="R36" s="434"/>
      <c r="S36" s="434"/>
      <c r="T36" s="433">
        <f ca="1">_xlfn.IFNA(T211,0)</f>
        <v>0</v>
      </c>
      <c r="U36" s="434"/>
      <c r="V36" s="434"/>
      <c r="W36" s="1413">
        <f ca="1">_xlfn.IFNA(W211,0)</f>
        <v>0</v>
      </c>
      <c r="X36" s="1454"/>
      <c r="Y36" s="2703"/>
      <c r="Z36" s="2705"/>
    </row>
    <row r="37" spans="6:47" ht="15" customHeight="1">
      <c r="F37" s="2485"/>
      <c r="G37" s="427" t="s">
        <v>211</v>
      </c>
      <c r="H37" s="2088">
        <f>_xlfn.IFNA(H249,0)</f>
        <v>0</v>
      </c>
      <c r="I37" s="2088"/>
      <c r="J37" s="2088"/>
      <c r="K37" s="2088">
        <f ca="1">_xlfn.IFNA(K249,0)</f>
        <v>0</v>
      </c>
      <c r="L37" s="2088"/>
      <c r="M37" s="2088"/>
      <c r="N37" s="2088">
        <f ca="1">_xlfn.IFNA(N249,0)</f>
        <v>0</v>
      </c>
      <c r="O37" s="2088"/>
      <c r="P37" s="2088"/>
      <c r="Q37" s="2088">
        <f ca="1">_xlfn.IFNA(Q249,0)</f>
        <v>0</v>
      </c>
      <c r="R37" s="2089"/>
      <c r="S37" s="2089"/>
      <c r="T37" s="2088">
        <f ca="1">_xlfn.IFNA(T249,0)</f>
        <v>0</v>
      </c>
      <c r="U37" s="2089"/>
      <c r="V37" s="2089"/>
      <c r="W37" s="2090">
        <f ca="1">_xlfn.IFNA(W249,0)</f>
        <v>0</v>
      </c>
      <c r="X37" s="1455"/>
      <c r="Y37" s="2704"/>
      <c r="Z37" s="2705"/>
    </row>
    <row r="38" spans="6:47" ht="15" customHeight="1">
      <c r="F38" s="2483" t="s">
        <v>238</v>
      </c>
      <c r="G38" s="428" t="s">
        <v>359</v>
      </c>
      <c r="H38" s="429">
        <f>IFERROR(((H279*H282)+(H308*H311)+(H337*H340))/(H279+H308+H337),IFERROR(H282+H311+H340,"Error"))</f>
        <v>0</v>
      </c>
      <c r="I38" s="429"/>
      <c r="J38" s="429"/>
      <c r="K38" s="429">
        <f ca="1">IFERROR(((K279*K282)+(K308*K311)+(K337*K340))/(K279+K308+K337),IFERROR(K282+K311+K340,"Error"))</f>
        <v>0</v>
      </c>
      <c r="L38" s="429"/>
      <c r="M38" s="429"/>
      <c r="N38" s="429">
        <f ca="1">IFERROR(((N279*N282)+(N308*N311)+(N337*N340))/(N279+N308+N337),IFERROR(N282+N311+N340,"Error"))</f>
        <v>0.78416666666666668</v>
      </c>
      <c r="O38" s="429"/>
      <c r="P38" s="429"/>
      <c r="Q38" s="429">
        <f ca="1">IFERROR(((Q279*Q282)+(Q308*Q311)+(Q337*Q340))/(Q279+Q308+Q337),IFERROR(Q282+Q311+Q340,"Error"))</f>
        <v>0</v>
      </c>
      <c r="R38" s="430"/>
      <c r="S38" s="430"/>
      <c r="T38" s="429">
        <f ca="1">IFERROR(((T279*T282)+(T308*T311)+(T337*T340))/(T279+T308+T337),IFERROR(T282+T311+T340,"Error"))</f>
        <v>0</v>
      </c>
      <c r="U38" s="430"/>
      <c r="V38" s="430"/>
      <c r="W38" s="1411">
        <f ca="1">IFERROR(((W279*W282)+(W308*W311)+(W337*W340))/(W279+W308+W337),IFERROR(W282+W311+W340,"Error"))</f>
        <v>0</v>
      </c>
      <c r="X38" s="1453"/>
      <c r="Y38" s="2717">
        <f ca="1">IFERROR(AVERAGEIF(H38:W38,"&lt;&gt;0"),"")</f>
        <v>0.78416666666666668</v>
      </c>
      <c r="Z38" s="2705">
        <f ca="1">COUNTIFS(H39:W41,"&gt;0",H39:W41,{"&gt;0.9","&lt;0.5"})</f>
        <v>0</v>
      </c>
    </row>
    <row r="39" spans="6:47" ht="15" customHeight="1">
      <c r="F39" s="2484"/>
      <c r="G39" s="425" t="s">
        <v>209</v>
      </c>
      <c r="H39" s="431">
        <f>_xlfn.IFNA(H282,0)</f>
        <v>0</v>
      </c>
      <c r="I39" s="431"/>
      <c r="J39" s="431"/>
      <c r="K39" s="431">
        <f ca="1">_xlfn.IFNA(K282,0)</f>
        <v>0</v>
      </c>
      <c r="L39" s="431"/>
      <c r="M39" s="431"/>
      <c r="N39" s="431">
        <f ca="1">_xlfn.IFNA(N282,0)</f>
        <v>0.78416666666666668</v>
      </c>
      <c r="O39" s="431"/>
      <c r="P39" s="431"/>
      <c r="Q39" s="431">
        <f ca="1">_xlfn.IFNA(Q282,0)</f>
        <v>0</v>
      </c>
      <c r="R39" s="431"/>
      <c r="S39" s="431"/>
      <c r="T39" s="431">
        <f ca="1">_xlfn.IFNA(T282,0)</f>
        <v>0</v>
      </c>
      <c r="U39" s="431"/>
      <c r="V39" s="431"/>
      <c r="W39" s="1412">
        <f ca="1">_xlfn.IFNA(W282,0)</f>
        <v>0</v>
      </c>
      <c r="X39" s="1454"/>
      <c r="Y39" s="2718"/>
      <c r="Z39" s="2705"/>
    </row>
    <row r="40" spans="6:47" ht="15" customHeight="1">
      <c r="F40" s="2484"/>
      <c r="G40" s="426" t="s">
        <v>210</v>
      </c>
      <c r="H40" s="433">
        <f>_xlfn.IFNA(H311,0)</f>
        <v>0</v>
      </c>
      <c r="I40" s="433"/>
      <c r="J40" s="433"/>
      <c r="K40" s="433">
        <f ca="1">_xlfn.IFNA(K311,0)</f>
        <v>0</v>
      </c>
      <c r="L40" s="433"/>
      <c r="M40" s="433"/>
      <c r="N40" s="433">
        <f ca="1">_xlfn.IFNA(N311,0)</f>
        <v>0</v>
      </c>
      <c r="O40" s="433"/>
      <c r="P40" s="433"/>
      <c r="Q40" s="433">
        <f ca="1">_xlfn.IFNA(Q311,0)</f>
        <v>0</v>
      </c>
      <c r="R40" s="433"/>
      <c r="S40" s="433"/>
      <c r="T40" s="433">
        <f ca="1">_xlfn.IFNA(T311,0)</f>
        <v>0</v>
      </c>
      <c r="U40" s="433"/>
      <c r="V40" s="433"/>
      <c r="W40" s="1413">
        <f ca="1">_xlfn.IFNA(W311,0)</f>
        <v>0</v>
      </c>
      <c r="X40" s="1454"/>
      <c r="Y40" s="2718"/>
      <c r="Z40" s="2705"/>
    </row>
    <row r="41" spans="6:47" ht="15" customHeight="1">
      <c r="F41" s="2485"/>
      <c r="G41" s="427" t="s">
        <v>211</v>
      </c>
      <c r="H41" s="2088">
        <f>_xlfn.IFNA(H340,0)</f>
        <v>0</v>
      </c>
      <c r="I41" s="2088"/>
      <c r="J41" s="2088"/>
      <c r="K41" s="2088">
        <f ca="1">_xlfn.IFNA(K340,0)</f>
        <v>0</v>
      </c>
      <c r="L41" s="2088"/>
      <c r="M41" s="2088"/>
      <c r="N41" s="2088">
        <f ca="1">_xlfn.IFNA(N340,0)</f>
        <v>0</v>
      </c>
      <c r="O41" s="2088"/>
      <c r="P41" s="2088"/>
      <c r="Q41" s="2088">
        <f ca="1">_xlfn.IFNA(Q340,0)</f>
        <v>0</v>
      </c>
      <c r="R41" s="2088"/>
      <c r="S41" s="2088"/>
      <c r="T41" s="2088">
        <f ca="1">_xlfn.IFNA(T340,0)</f>
        <v>0</v>
      </c>
      <c r="U41" s="2088"/>
      <c r="V41" s="2088"/>
      <c r="W41" s="2090">
        <f ca="1">_xlfn.IFNA(W340,0)</f>
        <v>0</v>
      </c>
      <c r="X41" s="1455"/>
      <c r="Y41" s="2719"/>
      <c r="Z41" s="2705"/>
    </row>
    <row r="42" spans="6:47" ht="15" customHeight="1">
      <c r="F42" s="2483" t="s">
        <v>237</v>
      </c>
      <c r="G42" s="428" t="s">
        <v>359</v>
      </c>
      <c r="H42" s="429">
        <f>IFERROR(((H368*H371)+(H397*H400)+(H426*H429))/(H368+H397+H426),IFERROR(H371+H400+H429,"Error"))</f>
        <v>0</v>
      </c>
      <c r="I42" s="429"/>
      <c r="J42" s="429"/>
      <c r="K42" s="429">
        <f t="shared" ref="K42:Q42" ca="1" si="1">IFERROR(((K368*K371)+(K397*K400)+(K426*K429))/(K368+K397+K426),IFERROR(K371+K400+K429,"Error"))</f>
        <v>0</v>
      </c>
      <c r="L42" s="429"/>
      <c r="M42" s="429"/>
      <c r="N42" s="429">
        <f t="shared" ca="1" si="1"/>
        <v>0</v>
      </c>
      <c r="O42" s="429"/>
      <c r="P42" s="429"/>
      <c r="Q42" s="429">
        <f t="shared" ca="1" si="1"/>
        <v>0</v>
      </c>
      <c r="R42" s="430"/>
      <c r="S42" s="430"/>
      <c r="T42" s="429">
        <f ca="1">IFERROR(((T368*T371)+(T397*T400)+(T426*T429))/(T368+T397+T426),IFERROR(T371+T400+T429,"Error"))</f>
        <v>0</v>
      </c>
      <c r="U42" s="430"/>
      <c r="V42" s="430"/>
      <c r="W42" s="1411">
        <f ca="1">IFERROR(((W368*W371)+(W397*W400)+(W426*W429))/(W368+W397+W426),IFERROR(W371+W400+W429,"Error"))</f>
        <v>0</v>
      </c>
      <c r="X42" s="1453"/>
      <c r="Y42" s="2717" t="str">
        <f ca="1">IFERROR(AVERAGEIF(H42:W42,"&lt;&gt;0"),"")</f>
        <v/>
      </c>
      <c r="Z42" s="2705">
        <f ca="1">COUNTIFS(H43:W45,"&gt;0",H43:W45,{"&gt;0.9","&lt;0.5"})</f>
        <v>0</v>
      </c>
    </row>
    <row r="43" spans="6:47" ht="15" customHeight="1">
      <c r="F43" s="2484"/>
      <c r="G43" s="425" t="s">
        <v>209</v>
      </c>
      <c r="H43" s="431">
        <f>_xlfn.IFNA(H371,0)</f>
        <v>0</v>
      </c>
      <c r="I43" s="431"/>
      <c r="J43" s="431"/>
      <c r="K43" s="431">
        <f ca="1">_xlfn.IFNA(K371,0)</f>
        <v>0</v>
      </c>
      <c r="L43" s="431"/>
      <c r="M43" s="431"/>
      <c r="N43" s="431">
        <f ca="1">_xlfn.IFNA(N371,0)</f>
        <v>0</v>
      </c>
      <c r="O43" s="431"/>
      <c r="P43" s="431"/>
      <c r="Q43" s="431">
        <f ca="1">_xlfn.IFNA(Q371,0)</f>
        <v>0</v>
      </c>
      <c r="R43" s="431"/>
      <c r="S43" s="431"/>
      <c r="T43" s="431">
        <f ca="1">_xlfn.IFNA(T371,0)</f>
        <v>0</v>
      </c>
      <c r="U43" s="431"/>
      <c r="V43" s="431"/>
      <c r="W43" s="1412">
        <f ca="1">_xlfn.IFNA(W371,0)</f>
        <v>0</v>
      </c>
      <c r="X43" s="1454"/>
      <c r="Y43" s="2718"/>
      <c r="Z43" s="2705"/>
    </row>
    <row r="44" spans="6:47" ht="15" customHeight="1">
      <c r="F44" s="2484"/>
      <c r="G44" s="426" t="s">
        <v>210</v>
      </c>
      <c r="H44" s="433">
        <f>_xlfn.IFNA(H400,0)</f>
        <v>0</v>
      </c>
      <c r="I44" s="433"/>
      <c r="J44" s="433"/>
      <c r="K44" s="433">
        <f ca="1">_xlfn.IFNA(K400,0)</f>
        <v>0</v>
      </c>
      <c r="L44" s="433"/>
      <c r="M44" s="433"/>
      <c r="N44" s="433">
        <f ca="1">_xlfn.IFNA(N400,0)</f>
        <v>0</v>
      </c>
      <c r="O44" s="433"/>
      <c r="P44" s="433"/>
      <c r="Q44" s="433">
        <f ca="1">_xlfn.IFNA(Q400,0)</f>
        <v>0</v>
      </c>
      <c r="R44" s="433"/>
      <c r="S44" s="433"/>
      <c r="T44" s="433">
        <f ca="1">_xlfn.IFNA(T400,0)</f>
        <v>0</v>
      </c>
      <c r="U44" s="433"/>
      <c r="V44" s="433"/>
      <c r="W44" s="1413">
        <f ca="1">_xlfn.IFNA(W400,0)</f>
        <v>0</v>
      </c>
      <c r="X44" s="1454"/>
      <c r="Y44" s="2718"/>
      <c r="Z44" s="2705"/>
    </row>
    <row r="45" spans="6:47" ht="15" customHeight="1">
      <c r="F45" s="2485"/>
      <c r="G45" s="427" t="s">
        <v>211</v>
      </c>
      <c r="H45" s="2088">
        <f>_xlfn.IFNA(H429,0)</f>
        <v>0</v>
      </c>
      <c r="I45" s="2088"/>
      <c r="J45" s="2088"/>
      <c r="K45" s="2088">
        <f ca="1">_xlfn.IFNA(K429,0)</f>
        <v>0</v>
      </c>
      <c r="L45" s="2088"/>
      <c r="M45" s="2088"/>
      <c r="N45" s="2088">
        <f ca="1">_xlfn.IFNA(N429,0)</f>
        <v>0</v>
      </c>
      <c r="O45" s="2088"/>
      <c r="P45" s="2088"/>
      <c r="Q45" s="2088">
        <f ca="1">_xlfn.IFNA(Q429,0)</f>
        <v>0</v>
      </c>
      <c r="R45" s="2088"/>
      <c r="S45" s="2088"/>
      <c r="T45" s="2088">
        <f ca="1">_xlfn.IFNA(T429,0)</f>
        <v>0</v>
      </c>
      <c r="U45" s="2088"/>
      <c r="V45" s="2088"/>
      <c r="W45" s="2090">
        <f ca="1">_xlfn.IFNA(W429,0)</f>
        <v>0</v>
      </c>
      <c r="X45" s="1455"/>
      <c r="Y45" s="2719"/>
      <c r="Z45" s="2705"/>
    </row>
    <row r="46" spans="6:47" ht="29.25" customHeight="1">
      <c r="F46" s="455" t="s">
        <v>481</v>
      </c>
      <c r="G46" s="490" t="s">
        <v>482</v>
      </c>
      <c r="H46" s="454" t="str">
        <f>IFERROR(SUM(IF(H34&gt;0,H34,0),IF(H38&gt;0,H38,0),IF(H42&gt;0,H42,0))/SUM(IF(H34&gt;0,1,0),IF(H38&gt;0,1,0),IF(H42&gt;0,1,0)),"")</f>
        <v/>
      </c>
      <c r="I46" s="454"/>
      <c r="J46" s="454"/>
      <c r="K46" s="454">
        <f ca="1">IFERROR(SUM(IF(K34&gt;0,K34,0),IF(K38&gt;0,K38,0),IF(K42&gt;0,K42,0))/SUM(IF(K34&gt;0,1,0),IF(K38&gt;0,1,0),IF(K42&gt;0,1,0)),"")</f>
        <v>0.90416666666666667</v>
      </c>
      <c r="L46" s="454"/>
      <c r="M46" s="454"/>
      <c r="N46" s="454">
        <f ca="1">IFERROR(SUM(IF(N34&gt;0,N34,0),IF(N38&gt;0,N38,0),IF(N42&gt;0,N42,0))/SUM(IF(N34&gt;0,1,0),IF(N38&gt;0,1,0),IF(N42&gt;0,1,0)),"")</f>
        <v>0.74763888888888896</v>
      </c>
      <c r="O46" s="454"/>
      <c r="P46" s="454"/>
      <c r="Q46" s="454" t="str">
        <f ca="1">IFERROR(SUM(IF(Q34&gt;0,Q34,0),IF(Q38&gt;0,Q38,0),IF(Q42&gt;0,Q42,0))/SUM(IF(Q34&gt;0,1,0),IF(Q38&gt;0,1,0),IF(Q42&gt;0,1,0)),"")</f>
        <v/>
      </c>
      <c r="R46" s="454"/>
      <c r="S46" s="454"/>
      <c r="T46" s="454" t="str">
        <f ca="1">IFERROR(SUM(IF(T34&gt;0,T34,0),IF(T38&gt;0,T38,0),IF(T42&gt;0,T42,0))/SUM(IF(T34&gt;0,1,0),IF(T38&gt;0,1,0),IF(T42&gt;0,1,0)),"")</f>
        <v/>
      </c>
      <c r="U46" s="454"/>
      <c r="V46" s="454"/>
      <c r="W46" s="1414" t="str">
        <f ca="1">IFERROR(SUM(IF(W34&gt;0,W34,0),IF(W38&gt;0,W38,0),IF(W42&gt;0,W42,0))/SUM(IF(W34&gt;0,1,0),IF(W38&gt;0,1,0),IF(W42&gt;0,1,0)),"")</f>
        <v/>
      </c>
      <c r="X46" s="1456"/>
      <c r="Y46" s="1416" t="s">
        <v>591</v>
      </c>
      <c r="Z46" s="448">
        <f ca="1">SUM(Z31:Z45)</f>
        <v>1</v>
      </c>
    </row>
    <row r="47" spans="6:47" ht="16.5" customHeight="1">
      <c r="F47" s="240"/>
      <c r="G47" s="52"/>
      <c r="AB47" s="456"/>
      <c r="AC47" s="456"/>
      <c r="AD47" s="456"/>
      <c r="AE47" s="456"/>
      <c r="AF47" s="456"/>
      <c r="AG47" s="456"/>
      <c r="AH47" s="456"/>
      <c r="AI47" s="456"/>
      <c r="AJ47" s="456"/>
    </row>
    <row r="48" spans="6:47" ht="32.9" customHeight="1">
      <c r="AB48" s="456"/>
      <c r="AC48" s="456"/>
      <c r="AD48" s="456"/>
      <c r="AE48" s="456"/>
      <c r="AF48" s="456"/>
      <c r="AG48" s="456"/>
      <c r="AH48" s="456"/>
      <c r="AI48" s="456"/>
      <c r="AJ48" s="456"/>
      <c r="AP48" s="2505" t="s">
        <v>675</v>
      </c>
      <c r="AQ48" s="2506"/>
      <c r="AR48" s="2506"/>
      <c r="AS48" s="2506"/>
      <c r="AT48" s="2506"/>
      <c r="AU48" s="2507"/>
    </row>
    <row r="49" spans="5:47">
      <c r="H49" s="243" t="str">
        <f ca="1">"Overall Storage Capacity - "&amp;H50</f>
        <v>Overall Storage Capacity - CMS Tier</v>
      </c>
      <c r="I49" s="243"/>
      <c r="J49" s="243"/>
      <c r="K49" s="243" t="str">
        <f ca="1">"Overall Storage Capacity - "&amp;K50</f>
        <v>Overall Storage Capacity - Regional WH Tier</v>
      </c>
      <c r="L49" s="243"/>
      <c r="M49" s="243"/>
      <c r="N49" s="243" t="str">
        <f ca="1">"Overall Storage Capacity - "&amp;N50</f>
        <v>Overall Storage Capacity - Health Facility Tier</v>
      </c>
      <c r="O49" s="243"/>
      <c r="P49" s="243"/>
      <c r="Q49" s="243" t="str">
        <f ca="1">"Overall Storage Capacity - "&amp;Q50</f>
        <v xml:space="preserve">Overall Storage Capacity - </v>
      </c>
      <c r="R49" s="243"/>
      <c r="S49" s="243"/>
      <c r="T49" s="243" t="str">
        <f ca="1">"Overall Storage Capacity - "&amp;T50</f>
        <v xml:space="preserve">Overall Storage Capacity - </v>
      </c>
      <c r="U49" s="243"/>
      <c r="V49" s="243"/>
      <c r="W49" s="243" t="str">
        <f ca="1">"Overall Storage Capacity - "&amp;W50</f>
        <v xml:space="preserve">Overall Storage Capacity - </v>
      </c>
      <c r="X49" s="1457"/>
      <c r="AB49" s="456"/>
      <c r="AC49" s="456"/>
      <c r="AD49" s="456"/>
      <c r="AE49" s="456"/>
      <c r="AF49" s="456"/>
      <c r="AG49" s="456"/>
      <c r="AH49" s="456"/>
      <c r="AI49" s="456"/>
      <c r="AJ49" s="456"/>
      <c r="AP49" s="449"/>
      <c r="AQ49" s="450"/>
      <c r="AR49" s="450"/>
      <c r="AS49" s="450"/>
      <c r="AT49" s="451" t="s">
        <v>479</v>
      </c>
      <c r="AU49" s="452" t="s">
        <v>480</v>
      </c>
    </row>
    <row r="50" spans="5:47" ht="33.75" customHeight="1">
      <c r="E50" s="1500" t="s">
        <v>459</v>
      </c>
      <c r="F50" s="1496"/>
      <c r="G50" s="1497"/>
      <c r="H50" s="1498" t="str">
        <f ca="1">IF($H$9&gt;=1,INDIRECT("'"&amp;$H$3&amp;"'!G$91"),"")</f>
        <v>CMS Tier</v>
      </c>
      <c r="I50" s="1498" t="str">
        <f t="shared" ref="I50:V50" ca="1" si="2">IF($H$9&gt;=1,"Tier 1","")</f>
        <v>Tier 1</v>
      </c>
      <c r="J50" s="1498" t="str">
        <f t="shared" ca="1" si="2"/>
        <v>Tier 1</v>
      </c>
      <c r="K50" s="1498" t="str">
        <f ca="1">IF($H$9&gt;=2,INDIRECT("'"&amp;$H$3&amp;"'!J$91"),"")</f>
        <v>Regional WH Tier</v>
      </c>
      <c r="L50" s="1498" t="str">
        <f t="shared" ca="1" si="2"/>
        <v>Tier 1</v>
      </c>
      <c r="M50" s="1498" t="str">
        <f t="shared" ca="1" si="2"/>
        <v>Tier 1</v>
      </c>
      <c r="N50" s="1498" t="str">
        <f ca="1">IF($H$9&gt;=3,INDIRECT("'"&amp;$H$3&amp;"'!M$91"),"")</f>
        <v>Health Facility Tier</v>
      </c>
      <c r="O50" s="1498" t="str">
        <f t="shared" ca="1" si="2"/>
        <v>Tier 1</v>
      </c>
      <c r="P50" s="1498" t="str">
        <f t="shared" ca="1" si="2"/>
        <v>Tier 1</v>
      </c>
      <c r="Q50" s="1499" t="str">
        <f ca="1">IF($H$9&gt;=4,INDIRECT("'"&amp;$H$3&amp;"'!P$91"),"")</f>
        <v/>
      </c>
      <c r="R50" s="659" t="str">
        <f t="shared" ca="1" si="2"/>
        <v>Tier 1</v>
      </c>
      <c r="S50" s="659" t="str">
        <f t="shared" ca="1" si="2"/>
        <v>Tier 1</v>
      </c>
      <c r="T50" s="1499" t="str">
        <f ca="1">IF($H$9&gt;=5,INDIRECT("'"&amp;$H$3&amp;"'!S$91"),"")</f>
        <v/>
      </c>
      <c r="U50" s="1499" t="str">
        <f t="shared" ca="1" si="2"/>
        <v>Tier 1</v>
      </c>
      <c r="V50" s="1499" t="str">
        <f t="shared" ca="1" si="2"/>
        <v>Tier 1</v>
      </c>
      <c r="W50" s="1499" t="str">
        <f ca="1">IF($H$9&gt;=6,INDIRECT("'"&amp;$H$3&amp;"'!V$91"),"")</f>
        <v/>
      </c>
      <c r="X50" s="1419"/>
      <c r="AB50" s="456"/>
      <c r="AC50" s="456"/>
      <c r="AD50" s="456"/>
      <c r="AE50" s="456"/>
      <c r="AF50" s="456"/>
      <c r="AG50" s="456"/>
      <c r="AH50" s="456"/>
      <c r="AI50" s="456"/>
      <c r="AJ50" s="456"/>
      <c r="AP50" s="2508" t="s">
        <v>483</v>
      </c>
      <c r="AQ50" s="2509"/>
      <c r="AR50" s="2509"/>
      <c r="AS50" s="2510"/>
      <c r="AT50" s="2514">
        <v>0.9</v>
      </c>
      <c r="AU50" s="2514">
        <v>0.9</v>
      </c>
    </row>
    <row r="51" spans="5:47" ht="18.45">
      <c r="E51" s="277"/>
      <c r="F51" s="351" t="s">
        <v>382</v>
      </c>
      <c r="G51" s="332"/>
      <c r="H51" s="342"/>
      <c r="I51" s="342"/>
      <c r="J51" s="342"/>
      <c r="K51" s="342"/>
      <c r="L51" s="342"/>
      <c r="M51" s="342"/>
      <c r="N51" s="342"/>
      <c r="O51" s="342"/>
      <c r="P51" s="342"/>
      <c r="Q51" s="342"/>
      <c r="R51" s="343"/>
      <c r="S51" s="342"/>
      <c r="T51" s="342"/>
      <c r="U51" s="342"/>
      <c r="V51" s="342"/>
      <c r="W51" s="342"/>
      <c r="X51" s="1420"/>
      <c r="AA51" s="36"/>
      <c r="AB51" s="456"/>
      <c r="AC51" s="456"/>
      <c r="AD51" s="456"/>
      <c r="AE51" s="456"/>
      <c r="AF51" s="456"/>
      <c r="AG51" s="456"/>
      <c r="AH51" s="456"/>
      <c r="AI51" s="456"/>
      <c r="AJ51" s="456"/>
      <c r="AK51" s="36"/>
      <c r="AL51" s="36"/>
      <c r="AP51" s="2511"/>
      <c r="AQ51" s="2512"/>
      <c r="AR51" s="2512"/>
      <c r="AS51" s="2513"/>
      <c r="AT51" s="2515"/>
      <c r="AU51" s="2515"/>
    </row>
    <row r="52" spans="5:47" ht="19.5" customHeight="1">
      <c r="E52" s="233"/>
      <c r="F52" s="398"/>
      <c r="G52" s="187" t="s">
        <v>381</v>
      </c>
      <c r="H52" s="399">
        <f ca="1">SUM(H57,H64)</f>
        <v>3233.0812500000002</v>
      </c>
      <c r="I52" s="400"/>
      <c r="J52" s="400"/>
      <c r="K52" s="399">
        <f ca="1">SUM(K57,K64)</f>
        <v>3079.125</v>
      </c>
      <c r="L52" s="400"/>
      <c r="M52" s="400"/>
      <c r="N52" s="401">
        <f ca="1">SUM(N57,N64)</f>
        <v>8.5</v>
      </c>
      <c r="O52" s="400"/>
      <c r="P52" s="400"/>
      <c r="Q52" s="401">
        <f ca="1">SUM(Q57,Q64)</f>
        <v>0</v>
      </c>
      <c r="R52" s="295"/>
      <c r="S52" s="295"/>
      <c r="T52" s="401">
        <f ca="1">SUM(T57,T64)</f>
        <v>0</v>
      </c>
      <c r="U52" s="295"/>
      <c r="V52" s="295"/>
      <c r="W52" s="1429">
        <f ca="1">SUM(W57,W64)</f>
        <v>0</v>
      </c>
      <c r="X52" s="1421"/>
      <c r="AA52" s="36"/>
      <c r="AB52" s="456"/>
      <c r="AC52" s="456"/>
      <c r="AD52" s="456"/>
      <c r="AE52" s="456"/>
      <c r="AF52" s="456"/>
      <c r="AG52" s="456"/>
      <c r="AH52" s="456"/>
      <c r="AI52" s="456"/>
      <c r="AJ52" s="456"/>
      <c r="AK52" s="36"/>
      <c r="AL52" s="36"/>
      <c r="AP52" s="2508" t="s">
        <v>484</v>
      </c>
      <c r="AQ52" s="2509"/>
      <c r="AR52" s="2509"/>
      <c r="AS52" s="2510"/>
      <c r="AT52" s="2514">
        <v>0.5</v>
      </c>
      <c r="AU52" s="2514">
        <v>0.5</v>
      </c>
    </row>
    <row r="53" spans="5:47" ht="19.5" customHeight="1">
      <c r="E53" s="233"/>
      <c r="F53" s="398"/>
      <c r="G53" s="187" t="s">
        <v>601</v>
      </c>
      <c r="H53" s="395">
        <f ca="1">IFERROR(H52/(INDIRECT("'"&amp;$H$3&amp;"'!H$106")*INDIRECT("'"&amp;$H$3&amp;"'!H$107")*INDIRECT("'"&amp;$H$3&amp;"'!$H$9")),"")</f>
        <v>1.3230000000000004</v>
      </c>
      <c r="I53" s="400"/>
      <c r="J53" s="400"/>
      <c r="K53" s="395">
        <f ca="1">IFERROR(K52/(INDIRECT("'"&amp;$H$3&amp;"'!K$106")*INDIRECT("'"&amp;$H$3&amp;"'!K$107")*INDIRECT("'"&amp;$H$3&amp;"'!$H$9")),"")</f>
        <v>1.26</v>
      </c>
      <c r="L53" s="400"/>
      <c r="M53" s="400"/>
      <c r="N53" s="395">
        <f ca="1">IFERROR(N52/(INDIRECT("'"&amp;$H$3&amp;"'!N$106")*INDIRECT("'"&amp;$H$3&amp;"'!N$107")*INDIRECT("'"&amp;$H$3&amp;"'!$H$9")),"")</f>
        <v>1.2</v>
      </c>
      <c r="O53" s="400"/>
      <c r="P53" s="400"/>
      <c r="Q53" s="395" t="str">
        <f ca="1">IFERROR(Q52/(INDIRECT("'"&amp;$H$3&amp;"'!Q$106")*INDIRECT("'"&amp;$H$3&amp;"'!Q$107")*INDIRECT("'"&amp;$H$3&amp;"'!$H$9")),"")</f>
        <v/>
      </c>
      <c r="R53" s="295"/>
      <c r="S53" s="295"/>
      <c r="T53" s="395" t="str">
        <f ca="1">IFERROR(T52/(INDIRECT("'"&amp;$H$3&amp;"'!T$106")*INDIRECT("'"&amp;$H$3&amp;"'!T$107")*INDIRECT("'"&amp;$H$3&amp;"'!$H$9")),"")</f>
        <v/>
      </c>
      <c r="U53" s="295"/>
      <c r="V53" s="295"/>
      <c r="W53" s="1430" t="str">
        <f ca="1">IFERROR(W52/(INDIRECT("'"&amp;$H$3&amp;"'!W$106")*INDIRECT("'"&amp;$H$3&amp;"'!W$107")*INDIRECT("'"&amp;$H$3&amp;"'!$H$9")),"")</f>
        <v/>
      </c>
      <c r="X53" s="1422"/>
      <c r="AA53" s="36"/>
      <c r="AB53" s="456"/>
      <c r="AC53" s="456"/>
      <c r="AD53" s="456"/>
      <c r="AE53" s="456"/>
      <c r="AF53" s="456"/>
      <c r="AG53" s="456"/>
      <c r="AH53" s="456"/>
      <c r="AI53" s="456"/>
      <c r="AJ53" s="456"/>
      <c r="AK53" s="36"/>
      <c r="AL53" s="36"/>
      <c r="AP53" s="2511"/>
      <c r="AQ53" s="2512"/>
      <c r="AR53" s="2512"/>
      <c r="AS53" s="2513"/>
      <c r="AT53" s="2515"/>
      <c r="AU53" s="2515"/>
    </row>
    <row r="54" spans="5:47" ht="18" customHeight="1">
      <c r="F54" s="397"/>
      <c r="G54" s="191" t="s">
        <v>600</v>
      </c>
      <c r="H54" s="395">
        <f ca="1">IFERROR(SUM(H62,H69,H71)/(AND(H71&gt;0,H71&lt;&gt;"")+AND(H69&gt;0,H69&lt;&gt;"")+AND(H62&gt;0,H62&lt;&gt;"")),"")</f>
        <v>1.3230000000000002</v>
      </c>
      <c r="I54" s="395"/>
      <c r="J54" s="395"/>
      <c r="K54" s="395">
        <f ca="1">IFERROR(SUM(K62,K69,K71)/(AND(K71&gt;0,K71&lt;&gt;"")+AND(K69&gt;0,K69&lt;&gt;"")+AND(K62&gt;0,K62&lt;&gt;"")),"")</f>
        <v>1.26</v>
      </c>
      <c r="L54" s="395"/>
      <c r="M54" s="395"/>
      <c r="N54" s="395">
        <f ca="1">IFERROR(SUM(N62,N69,N71)/(AND(N71&gt;0,N71&lt;&gt;"")+AND(N69&gt;0,N69&lt;&gt;"")+AND(N62&gt;0,N62&lt;&gt;"")),"")</f>
        <v>1.1983082706766917</v>
      </c>
      <c r="O54" s="395"/>
      <c r="P54" s="395"/>
      <c r="Q54" s="395">
        <f ca="1">IFERROR(SUM(Q62,Q69,Q71)/(AND(Q71&gt;0,Q71&lt;&gt;"")+AND(Q69&gt;0,Q69&lt;&gt;"")+AND(Q62&gt;0,Q62&lt;&gt;"")),"")</f>
        <v>0</v>
      </c>
      <c r="R54" s="395"/>
      <c r="S54" s="395"/>
      <c r="T54" s="395">
        <f ca="1">IFERROR(SUM(T62,T69,T71)/(AND(T71&gt;0,T71&lt;&gt;"")+AND(T69&gt;0,T69&lt;&gt;"")+AND(T62&gt;0,T62&lt;&gt;"")),"")</f>
        <v>0</v>
      </c>
      <c r="U54" s="395"/>
      <c r="V54" s="395"/>
      <c r="W54" s="1430">
        <f ca="1">IFERROR(SUM(W62,W69,W71)/(AND(W71&gt;0,W71&lt;&gt;"")+AND(W69&gt;0,W69&lt;&gt;"")+AND(W62&gt;0,W62&lt;&gt;"")),"")</f>
        <v>0</v>
      </c>
      <c r="X54" s="1422"/>
      <c r="AA54" s="36"/>
      <c r="AB54" s="456"/>
      <c r="AC54" s="456"/>
      <c r="AD54" s="456"/>
      <c r="AE54" s="456"/>
      <c r="AF54" s="456"/>
      <c r="AG54" s="456"/>
      <c r="AH54" s="456"/>
      <c r="AI54" s="456"/>
      <c r="AJ54" s="456"/>
      <c r="AK54" s="36"/>
      <c r="AL54" s="36"/>
    </row>
    <row r="55" spans="5:47" ht="18" customHeight="1">
      <c r="F55" s="390"/>
      <c r="G55" s="207" t="s">
        <v>472</v>
      </c>
      <c r="H55" s="396">
        <f ca="1">IF(AND(H71&gt;0,H71&lt;&gt;"",OR(H71&lt;0.5,H71&gt;0.9)),1,0)+IF(AND(H69&gt;0,H69&lt;&gt;"",OR(H69&lt;0.5,H69&gt;0.9)),1,0)+IF(AND(H62&gt;0,H62&lt;&gt;"",OR(H62&lt;0.5,H62&gt;0.9)),1,0)</f>
        <v>1</v>
      </c>
      <c r="I55" s="396"/>
      <c r="J55" s="396"/>
      <c r="K55" s="396">
        <f ca="1">IF(AND(K71&gt;0,K71&lt;&gt;"",OR(K71&lt;0.5,K71&gt;0.9)),1,0)+IF(AND(K69&gt;0,K69&lt;&gt;"",OR(K69&lt;0.5,K69&gt;0.9)),1,0)+IF(AND(K62&gt;0,K62&lt;&gt;"",OR(K62&lt;0.5,K62&gt;0.9)),1,0)</f>
        <v>1</v>
      </c>
      <c r="L55" s="396"/>
      <c r="M55" s="396"/>
      <c r="N55" s="396">
        <f ca="1">IF(AND(N71&gt;0,N71&lt;&gt;"",OR(N71&lt;0.5,N71&gt;0.9)),1,0)+IF(AND(N69&gt;0,N69&lt;&gt;"",OR(N69&lt;0.5,N69&gt;0.9)),1,0)+IF(AND(N62&gt;0,N62&lt;&gt;"",OR(N62&lt;0.5,N62&gt;0.9)),1,0)</f>
        <v>1</v>
      </c>
      <c r="O55" s="396"/>
      <c r="P55" s="396"/>
      <c r="Q55" s="396">
        <f ca="1">IF(AND(Q71&gt;0,Q71&lt;&gt;"",OR(Q71&lt;0.5,Q71&gt;0.9)),1,0)+IF(AND(Q69&gt;0,Q69&lt;&gt;"",OR(Q69&lt;0.5,Q69&gt;0.9)),1,0)+IF(AND(Q62&gt;0,Q62&lt;&gt;"",OR(Q62&lt;0.5,Q62&gt;0.9)),1,0)</f>
        <v>1</v>
      </c>
      <c r="R55" s="396"/>
      <c r="S55" s="396"/>
      <c r="T55" s="396">
        <f ca="1">IF(AND(T71&gt;0,T71&lt;&gt;"",OR(T71&lt;0.5,T71&gt;0.9)),1,0)+IF(AND(T69&gt;0,T69&lt;&gt;"",OR(T69&lt;0.5,T69&gt;0.9)),1,0)+IF(AND(T62&gt;0,T62&lt;&gt;"",OR(T62&lt;0.5,T62&gt;0.9)),1,0)</f>
        <v>1</v>
      </c>
      <c r="U55" s="396"/>
      <c r="V55" s="396"/>
      <c r="W55" s="1431">
        <f ca="1">IF(AND(W71&gt;0,W71&lt;&gt;"",OR(W71&lt;0.5,W71&gt;0.9)),1,0)+IF(AND(W69&gt;0,W69&lt;&gt;"",OR(W69&lt;0.5,W69&gt;0.9)),1,0)+IF(AND(W62&gt;0,W62&lt;&gt;"",OR(W62&lt;0.5,W62&gt;0.9)),1,0)</f>
        <v>1</v>
      </c>
      <c r="X55" s="1423"/>
      <c r="AA55" s="36"/>
      <c r="AB55" s="456"/>
      <c r="AC55" s="456"/>
      <c r="AD55" s="456"/>
      <c r="AE55" s="456"/>
      <c r="AF55" s="456"/>
      <c r="AG55" s="456"/>
      <c r="AH55" s="456"/>
      <c r="AI55" s="456"/>
      <c r="AJ55" s="456"/>
      <c r="AK55" s="36"/>
      <c r="AL55" s="36"/>
    </row>
    <row r="56" spans="5:47" ht="19.5" customHeight="1">
      <c r="E56" s="233"/>
      <c r="F56" s="351" t="s">
        <v>371</v>
      </c>
      <c r="G56" s="332"/>
      <c r="H56" s="342"/>
      <c r="I56" s="342"/>
      <c r="J56" s="342"/>
      <c r="K56" s="342"/>
      <c r="L56" s="342"/>
      <c r="M56" s="342"/>
      <c r="N56" s="342"/>
      <c r="O56" s="342"/>
      <c r="P56" s="342"/>
      <c r="Q56" s="342"/>
      <c r="R56" s="343"/>
      <c r="S56" s="342"/>
      <c r="T56" s="342"/>
      <c r="U56" s="342"/>
      <c r="V56" s="342"/>
      <c r="W56" s="342"/>
      <c r="X56" s="1420"/>
      <c r="AA56" s="36"/>
      <c r="AB56" s="456"/>
      <c r="AC56" s="456"/>
      <c r="AD56" s="456"/>
      <c r="AE56" s="456"/>
      <c r="AF56" s="457">
        <f t="shared" ref="AF56:AF68" si="3">$AU$52</f>
        <v>0.5</v>
      </c>
      <c r="AG56" s="457">
        <f t="shared" ref="AG56:AG68" si="4">$AU$50-$AU$52</f>
        <v>0.4</v>
      </c>
      <c r="AH56" s="456"/>
      <c r="AI56" s="456"/>
      <c r="AJ56" s="456"/>
      <c r="AK56" s="36"/>
      <c r="AL56" s="36"/>
    </row>
    <row r="57" spans="5:47" ht="21" customHeight="1">
      <c r="E57" s="233"/>
      <c r="F57" s="368"/>
      <c r="G57" s="194" t="s">
        <v>115</v>
      </c>
      <c r="H57" s="401">
        <f ca="1">IF(INDIRECT("'"&amp;$H$3&amp;"'!$H$20")='List Values'!$B$3, (INDIRECT("'"&amp;$H$3&amp;"'!$H$17")*INDIRECT("'"&amp;$H$3&amp;"'!H$93"))/INDIRECT("'"&amp;$H$3&amp;"'!H$95"), IF(INDIRECT("'"&amp;$H$3&amp;"'!$H$7")&gt;1,(INDIRECT("'"&amp;$H$3&amp;"'!H$93")*(K$57*INDIRECT("'"&amp;$H$3&amp;"'!K$95")/INDIRECT("'"&amp;$H$3&amp;"'!K$93"))*(1+INDIRECT("'"&amp;$H$3&amp;"'!K$94")))/INDIRECT("'"&amp;$H$3&amp;"'!H$95"),IF(INDIRECT("'"&amp;$H$3&amp;"'!$H$7")=1,(INDIRECT("'"&amp;$H$3&amp;"'!$H$17")*INDIRECT("'"&amp;$H$3&amp;"'!H$93"))/INDIRECT("'"&amp;$H$3&amp;"'!H$95"),"")))</f>
        <v>3233.0812500000002</v>
      </c>
      <c r="I57" s="402"/>
      <c r="J57" s="402"/>
      <c r="K57" s="401">
        <f ca="1">IF(INDIRECT("'"&amp;$H$3&amp;"'!$H$7") &lt; 2,"",IF(INDIRECT("'"&amp;$H$3&amp;"'!$H$20")='List Values'!$B$3, ((H$57*INDIRECT("'"&amp;$H$3&amp;"'!H$95")/INDIRECT("'"&amp;$H$3&amp;"'!H$93"))*(1-INDIRECT("'"&amp;$H$3&amp;"'!K$94"))*INDIRECT("'"&amp;$H$3&amp;"'!K$93"))/INDIRECT("'"&amp;$H$3&amp;"'!K$95"), IF(INDIRECT("'"&amp;$H$3&amp;"'!$H$7")&gt;2,(INDIRECT("'"&amp;$H$3&amp;"'!K$93")*(N$57*INDIRECT("'"&amp;$H$3&amp;"'!N$95")/INDIRECT("'"&amp;$H$3&amp;"'!N$93"))*(1+INDIRECT("'"&amp;$H$3&amp;"'!N$94")))/INDIRECT("'"&amp;$H$3&amp;"'!K$95"),IF(INDIRECT("'"&amp;$H$3&amp;"'!$H$7")=2,(INDIRECT("'"&amp;$H$3&amp;"'!$H$17")*INDIRECT("'"&amp;$H$3&amp;"'!K$93"))/INDIRECT("'"&amp;$H$3&amp;"'!K$95"),""))))</f>
        <v>3079.125</v>
      </c>
      <c r="L57" s="402"/>
      <c r="M57" s="402"/>
      <c r="N57" s="401">
        <f ca="1">IF(INDIRECT("'"&amp;$H$3&amp;"'!$H$7") &lt; 3,"",IF(INDIRECT("'"&amp;$H$3&amp;"'!$H$20")='List Values'!$B$3, ((K$57*INDIRECT("'"&amp;$H$3&amp;"'!K$95")/INDIRECT("'"&amp;$H$3&amp;"'!K$93"))*(1-INDIRECT("'"&amp;$H$3&amp;"'!N$94"))*INDIRECT("'"&amp;$H$3&amp;"'!N$93"))/INDIRECT("'"&amp;$H$3&amp;"'!N$95"), IF(INDIRECT("'"&amp;$H$3&amp;"'!$H$7")&gt;3,(INDIRECT("'"&amp;$H$3&amp;"'!N$93")*(Q$57*INDIRECT("'"&amp;$H$3&amp;"'!Q$95")/INDIRECT("'"&amp;$H$3&amp;"'!Q$93"))*(1+INDIRECT("'"&amp;$H$3&amp;"'!Q$94")))/INDIRECT("'"&amp;$H$3&amp;"'!N$95"),IF(INDIRECT("'"&amp;$H$3&amp;"'!$H$7")=3,(INDIRECT("'"&amp;$H$3&amp;"'!$H$17")*INDIRECT("'"&amp;$H$3&amp;"'!N$93"))/INDIRECT("'"&amp;$H$3&amp;"'!N$95"),""))))</f>
        <v>8.5</v>
      </c>
      <c r="O57" s="402"/>
      <c r="P57" s="402"/>
      <c r="Q57" s="401" t="str">
        <f ca="1">IF(INDIRECT("'"&amp;$H$3&amp;"'!$H$7") &lt; 4,"",IF(INDIRECT("'"&amp;$H$3&amp;"'!$H$20")='List Values'!$B$3, ((N$57*INDIRECT("'"&amp;$H$3&amp;"'!N$95")/INDIRECT("'"&amp;$H$3&amp;"'!N$93"))*(1-INDIRECT("'"&amp;$H$3&amp;"'!Q$94"))*INDIRECT("'"&amp;$H$3&amp;"'!Q$93"))/INDIRECT("'"&amp;$H$3&amp;"'!Q$95"), IF(INDIRECT("'"&amp;$H$3&amp;"'!$H$7")&gt;4,(INDIRECT("'"&amp;$H$3&amp;"'!Q$93")*(T$57*INDIRECT("'"&amp;$H$3&amp;"'!T$95")/INDIRECT("'"&amp;$H$3&amp;"'!T$93"))*(1+INDIRECT("'"&amp;$H$3&amp;"'!T$94")))/INDIRECT("'"&amp;$H$3&amp;"'!Q$95"),IF(INDIRECT("'"&amp;$H$3&amp;"'!$H$7")=4,(INDIRECT("'"&amp;$H$3&amp;"'!$H$17")*INDIRECT("'"&amp;$H$3&amp;"'!Q$93"))/INDIRECT("'"&amp;$H$3&amp;"'!Q$95"),""))))</f>
        <v/>
      </c>
      <c r="R57" s="295"/>
      <c r="S57" s="295"/>
      <c r="T57" s="401" t="str">
        <f ca="1">IF(INDIRECT("'"&amp;$H$3&amp;"'!$H$7") &lt; 5,"",IF(INDIRECT("'"&amp;$H$3&amp;"'!$H$20")='List Values'!$B$3, ((Q$57*INDIRECT("'"&amp;$H$3&amp;"'!Q$95")/INDIRECT("'"&amp;$H$3&amp;"'!Q$93"))*(1-INDIRECT("'"&amp;$H$3&amp;"'!T$94"))*INDIRECT("'"&amp;$H$3&amp;"'!T$93"))/INDIRECT("'"&amp;$H$3&amp;"'!T$95"), IF(INDIRECT("'"&amp;$H$3&amp;"'!$H$7")&gt;5,(INDIRECT("'"&amp;$H$3&amp;"'!T$93")*(W$57*INDIRECT("'"&amp;$H$3&amp;"'!W$95")/INDIRECT("'"&amp;$H$3&amp;"'!W$93"))*(1+INDIRECT("'"&amp;$H$3&amp;"'!W$94")))/INDIRECT("'"&amp;$H$3&amp;"'!T$95"),IF(INDIRECT("'"&amp;$H$3&amp;"'!$H$7")=5,(INDIRECT("'"&amp;$H$3&amp;"'!$H$17")*INDIRECT("'"&amp;$H$3&amp;"'!T$93"))/INDIRECT("'"&amp;$H$3&amp;"'!T$95"),""))))</f>
        <v/>
      </c>
      <c r="U57" s="298"/>
      <c r="V57" s="298"/>
      <c r="W57" s="1429" t="str">
        <f ca="1">IF(INDIRECT("'"&amp;$H$3&amp;"'!$H$7")&lt;6,"",IF(INDIRECT("'"&amp;$H$3&amp;"'!$H$20")='List Values'!$B$3, ((T$57*INDIRECT("'"&amp;$H$3&amp;"'!T$95")/INDIRECT("'"&amp;$H$3&amp;"'!T$93"))*(1-INDIRECT("'"&amp;$H$3&amp;"'!W$94"))*INDIRECT("'"&amp;$H$3&amp;"'!W$93"))/INDIRECT("'"&amp;$H$3&amp;"'!W$95"), IF(INDIRECT("'"&amp;$H$3&amp;"'!$H$7")=6,(INDIRECT("'"&amp;$H$3&amp;"'!$H$17")*INDIRECT("'"&amp;$H$3&amp;"'!W$93"))/INDIRECT("'"&amp;$H$3&amp;"'!W$95"),"")))</f>
        <v/>
      </c>
      <c r="X57" s="1421"/>
      <c r="AA57" s="36"/>
      <c r="AB57" s="456" t="str">
        <f>IF(H46="","","Vehicle Time Utilization - Tier 1")</f>
        <v/>
      </c>
      <c r="AC57" s="458" t="str">
        <f>H46</f>
        <v/>
      </c>
      <c r="AD57" s="459">
        <f>IF(AC57="",0,1-AC57)</f>
        <v>0</v>
      </c>
      <c r="AE57" s="456"/>
      <c r="AF57" s="457">
        <f t="shared" si="3"/>
        <v>0.5</v>
      </c>
      <c r="AG57" s="457">
        <f t="shared" si="4"/>
        <v>0.4</v>
      </c>
      <c r="AH57" s="456"/>
      <c r="AI57" s="456"/>
      <c r="AJ57" s="456"/>
      <c r="AK57" s="36"/>
      <c r="AL57" s="36"/>
    </row>
    <row r="58" spans="5:47" ht="15" customHeight="1">
      <c r="F58" s="368"/>
      <c r="G58" s="194" t="s">
        <v>239</v>
      </c>
      <c r="H58" s="290">
        <f ca="1">IFERROR(H$52/INDIRECT("'"&amp;$H$3&amp;"'!H$96"),"")</f>
        <v>808.27031250000005</v>
      </c>
      <c r="I58" s="290"/>
      <c r="J58" s="290"/>
      <c r="K58" s="290">
        <f ca="1">IFERROR(K$52/INDIRECT("'"&amp;$H$3&amp;"'!K$96"),"")</f>
        <v>769.78125</v>
      </c>
      <c r="L58" s="290"/>
      <c r="M58" s="290"/>
      <c r="N58" s="290">
        <f ca="1">IFERROR(N$52/INDIRECT("'"&amp;$H$3&amp;"'!N$96"),"")</f>
        <v>2.125</v>
      </c>
      <c r="O58" s="291"/>
      <c r="P58" s="291"/>
      <c r="Q58" s="290" t="str">
        <f ca="1">IFERROR(Q$52/INDIRECT("'"&amp;$H$3&amp;"'!Q$96"),"")</f>
        <v/>
      </c>
      <c r="R58" s="292"/>
      <c r="S58" s="292"/>
      <c r="T58" s="290" t="str">
        <f ca="1">IFERROR(T$52/INDIRECT("'"&amp;$H$3&amp;"'!T$96"),"")</f>
        <v/>
      </c>
      <c r="U58" s="293"/>
      <c r="V58" s="293"/>
      <c r="W58" s="1432" t="str">
        <f ca="1">IFERROR(W$52/INDIRECT("'"&amp;$H$3&amp;"'!W$96"),"")</f>
        <v/>
      </c>
      <c r="X58" s="1424"/>
      <c r="AA58" s="36"/>
      <c r="AB58" s="456" t="str">
        <f ca="1">IF(K46="","","Vehicle Time Utilization - Tier 2")</f>
        <v>Vehicle Time Utilization - Tier 2</v>
      </c>
      <c r="AC58" s="458">
        <f ca="1">K46</f>
        <v>0.90416666666666667</v>
      </c>
      <c r="AD58" s="459">
        <f ca="1">IF(AC58="",0,1-AC58)</f>
        <v>9.5833333333333326E-2</v>
      </c>
      <c r="AE58" s="456"/>
      <c r="AF58" s="457">
        <f t="shared" si="3"/>
        <v>0.5</v>
      </c>
      <c r="AG58" s="457">
        <f t="shared" si="4"/>
        <v>0.4</v>
      </c>
      <c r="AH58" s="456"/>
      <c r="AI58" s="456"/>
      <c r="AJ58" s="456"/>
      <c r="AK58" s="36"/>
      <c r="AL58" s="36"/>
    </row>
    <row r="59" spans="5:47" ht="15" customHeight="1">
      <c r="F59" s="368"/>
      <c r="G59" s="194" t="s">
        <v>53</v>
      </c>
      <c r="H59" s="1388">
        <f ca="1">IFERROR(INDIRECT("'"&amp;$H$3&amp;"'!H$104")*H58*(INDIRECT("'"&amp;$H$3&amp;"'!H$96")/12),"")</f>
        <v>808.27031250000005</v>
      </c>
      <c r="I59" s="294">
        <f t="shared" ref="I59:V59" ca="1" si="5">IFERROR(INDIRECT("'"&amp;$H$3&amp;"'!H$103")*I58*(INDIRECT("'"&amp;$H$3&amp;"'!H$96")/12),"")</f>
        <v>0</v>
      </c>
      <c r="J59" s="294">
        <f t="shared" ca="1" si="5"/>
        <v>0</v>
      </c>
      <c r="K59" s="294">
        <f ca="1">IFERROR(INDIRECT("'"&amp;$H$3&amp;"'!K$104")*K58*(INDIRECT("'"&amp;$H$3&amp;"'!K$96")/12),"")</f>
        <v>769.78125</v>
      </c>
      <c r="L59" s="294">
        <f t="shared" ca="1" si="5"/>
        <v>0</v>
      </c>
      <c r="M59" s="294">
        <f t="shared" ca="1" si="5"/>
        <v>0</v>
      </c>
      <c r="N59" s="294">
        <f ca="1">IFERROR(INDIRECT("'"&amp;$H$3&amp;"'!N$104")*N58*(INDIRECT("'"&amp;$H$3&amp;"'!N$96")/12),"")</f>
        <v>2.125</v>
      </c>
      <c r="O59" s="295">
        <f t="shared" ca="1" si="5"/>
        <v>0</v>
      </c>
      <c r="P59" s="295">
        <f t="shared" ca="1" si="5"/>
        <v>0</v>
      </c>
      <c r="Q59" s="294" t="str">
        <f ca="1">IFERROR(INDIRECT("'"&amp;$H$3&amp;"'!Q$104")*Q58*(INDIRECT("'"&amp;$H$3&amp;"'!Q$96")/12),"")</f>
        <v/>
      </c>
      <c r="R59" s="292">
        <f t="shared" ca="1" si="5"/>
        <v>0</v>
      </c>
      <c r="S59" s="292">
        <f t="shared" ca="1" si="5"/>
        <v>0</v>
      </c>
      <c r="T59" s="294" t="str">
        <f ca="1">IFERROR(INDIRECT("'"&amp;$H$3&amp;"'!T$104")*T58*(INDIRECT("'"&amp;$H$3&amp;"'!T$96")/12),"")</f>
        <v/>
      </c>
      <c r="U59" s="293">
        <f t="shared" ca="1" si="5"/>
        <v>0</v>
      </c>
      <c r="V59" s="293">
        <f t="shared" ca="1" si="5"/>
        <v>0</v>
      </c>
      <c r="W59" s="1433" t="str">
        <f ca="1">IFERROR(INDIRECT("'"&amp;$H$3&amp;"'!W$104")*W58*(INDIRECT("'"&amp;$H$3&amp;"'!W$96")/12),"")</f>
        <v/>
      </c>
      <c r="X59" s="1425"/>
      <c r="AA59" s="36"/>
      <c r="AB59" s="456" t="str">
        <f ca="1">IF(N46="","","Vehicle Time Utilization - Tier 3")</f>
        <v>Vehicle Time Utilization - Tier 3</v>
      </c>
      <c r="AC59" s="458">
        <f ca="1">N46</f>
        <v>0.74763888888888896</v>
      </c>
      <c r="AD59" s="459">
        <f ca="1">IF(AC59="",0,1-AC59)</f>
        <v>0.25236111111111104</v>
      </c>
      <c r="AE59" s="456"/>
      <c r="AF59" s="457">
        <f t="shared" si="3"/>
        <v>0.5</v>
      </c>
      <c r="AG59" s="457">
        <f t="shared" si="4"/>
        <v>0.4</v>
      </c>
      <c r="AH59" s="456"/>
      <c r="AI59" s="456"/>
      <c r="AJ59" s="456"/>
      <c r="AK59" s="36"/>
      <c r="AL59" s="36"/>
    </row>
    <row r="60" spans="5:47" ht="15" customHeight="1">
      <c r="F60" s="368"/>
      <c r="G60" s="194" t="s">
        <v>51</v>
      </c>
      <c r="H60" s="290">
        <f ca="1">IFERROR(H59+((H61-H59)/2),"")</f>
        <v>1212.4054687500002</v>
      </c>
      <c r="I60" s="290"/>
      <c r="J60" s="290"/>
      <c r="K60" s="290">
        <f ca="1">IFERROR(K59+((K61-K59)/2),"")</f>
        <v>1154.671875</v>
      </c>
      <c r="L60" s="290"/>
      <c r="M60" s="290"/>
      <c r="N60" s="290">
        <f ca="1">IFERROR(N59+((N61-N59)/2),"")</f>
        <v>3.1875</v>
      </c>
      <c r="O60" s="291"/>
      <c r="P60" s="291"/>
      <c r="Q60" s="290" t="str">
        <f ca="1">IFERROR(Q59+((Q61-Q59)/2),"")</f>
        <v/>
      </c>
      <c r="R60" s="292"/>
      <c r="S60" s="292"/>
      <c r="T60" s="290" t="str">
        <f ca="1">IFERROR(T59+((T61-T59)/2),"")</f>
        <v/>
      </c>
      <c r="U60" s="293"/>
      <c r="V60" s="293"/>
      <c r="W60" s="1432" t="str">
        <f ca="1">IFERROR(W59+((W61-W59)/2),"")</f>
        <v/>
      </c>
      <c r="X60" s="1424"/>
      <c r="AA60" s="36"/>
      <c r="AB60" t="str">
        <f ca="1">IF(Q46="","","Vehicle Time Utilization - Tier 4")</f>
        <v/>
      </c>
      <c r="AC60" s="460" t="str">
        <f ca="1">Q46</f>
        <v/>
      </c>
      <c r="AF60" s="457">
        <f t="shared" si="3"/>
        <v>0.5</v>
      </c>
      <c r="AG60" s="457">
        <f t="shared" si="4"/>
        <v>0.4</v>
      </c>
      <c r="AH60" s="456"/>
      <c r="AI60" s="456"/>
      <c r="AJ60" s="456"/>
      <c r="AK60" s="36"/>
      <c r="AL60" s="36"/>
    </row>
    <row r="61" spans="5:47" ht="15" customHeight="1">
      <c r="F61" s="368"/>
      <c r="G61" s="194" t="s">
        <v>52</v>
      </c>
      <c r="H61" s="294">
        <f ca="1">IFERROR(H59+H58,"")</f>
        <v>1616.5406250000001</v>
      </c>
      <c r="I61" s="294"/>
      <c r="J61" s="294"/>
      <c r="K61" s="294">
        <f ca="1">IFERROR(K59+K58,"")</f>
        <v>1539.5625</v>
      </c>
      <c r="L61" s="294"/>
      <c r="M61" s="294"/>
      <c r="N61" s="294">
        <f ca="1">IFERROR(N59+N58,"")</f>
        <v>4.25</v>
      </c>
      <c r="O61" s="295"/>
      <c r="P61" s="295"/>
      <c r="Q61" s="294" t="str">
        <f ca="1">IFERROR(Q59+Q58,"")</f>
        <v/>
      </c>
      <c r="R61" s="292"/>
      <c r="S61" s="292"/>
      <c r="T61" s="294" t="str">
        <f ca="1">IFERROR(T59+T58,"")</f>
        <v/>
      </c>
      <c r="U61" s="293"/>
      <c r="V61" s="293"/>
      <c r="W61" s="1433" t="str">
        <f ca="1">IFERROR(W59+W58,"")</f>
        <v/>
      </c>
      <c r="X61" s="1425"/>
      <c r="AA61" s="36"/>
      <c r="AB61" t="str">
        <f ca="1">IF(T46="","","Vehicle Time Utilization - Tier 5")</f>
        <v/>
      </c>
      <c r="AC61" s="460" t="str">
        <f ca="1">T46</f>
        <v/>
      </c>
      <c r="AF61" s="457">
        <f t="shared" si="3"/>
        <v>0.5</v>
      </c>
      <c r="AG61" s="457">
        <f t="shared" si="4"/>
        <v>0.4</v>
      </c>
      <c r="AH61" s="456"/>
      <c r="AI61" s="456"/>
      <c r="AJ61" s="456"/>
      <c r="AK61" s="36"/>
      <c r="AL61" s="36"/>
    </row>
    <row r="62" spans="5:47" ht="15" customHeight="1">
      <c r="F62" s="403"/>
      <c r="G62" s="404" t="s">
        <v>240</v>
      </c>
      <c r="H62" s="405">
        <f ca="1">IFERROR(H60/INDIRECT("'"&amp;$H$3&amp;"'!H$108"),"")</f>
        <v>1.3230000000000002</v>
      </c>
      <c r="I62" s="405"/>
      <c r="J62" s="405"/>
      <c r="K62" s="405">
        <f ca="1">IFERROR(K60/INDIRECT("'"&amp;$H$3&amp;"'!K$108"),"")</f>
        <v>1.26</v>
      </c>
      <c r="L62" s="405"/>
      <c r="M62" s="405"/>
      <c r="N62" s="405">
        <f ca="1">IFERROR(N60/INDIRECT("'"&amp;$H$3&amp;"'!N$108"),"")</f>
        <v>1.1983082706766917</v>
      </c>
      <c r="O62" s="405"/>
      <c r="P62" s="405"/>
      <c r="Q62" s="405" t="str">
        <f ca="1">IFERROR(Q60/INDIRECT("'"&amp;$H$3&amp;"'!Q$108"),"")</f>
        <v/>
      </c>
      <c r="R62" s="406"/>
      <c r="S62" s="406"/>
      <c r="T62" s="405" t="str">
        <f ca="1">IFERROR(T60/INDIRECT("'"&amp;$H$3&amp;"'!T$108"),"")</f>
        <v/>
      </c>
      <c r="U62" s="407"/>
      <c r="V62" s="407"/>
      <c r="W62" s="1434" t="str">
        <f ca="1">IFERROR(W60/INDIRECT("'"&amp;$H$3&amp;"'!W$108"),"")</f>
        <v/>
      </c>
      <c r="X62" s="1426"/>
      <c r="AA62" s="36"/>
      <c r="AB62" t="str">
        <f ca="1">IF(W46="","","Vehicle Time Utilization - Tier 6")</f>
        <v/>
      </c>
      <c r="AC62" s="460" t="str">
        <f ca="1">W46</f>
        <v/>
      </c>
      <c r="AF62" s="457">
        <f t="shared" si="3"/>
        <v>0.5</v>
      </c>
      <c r="AG62" s="457">
        <f t="shared" si="4"/>
        <v>0.4</v>
      </c>
      <c r="AH62" s="456"/>
      <c r="AI62" s="456"/>
      <c r="AJ62" s="456"/>
      <c r="AK62" s="36"/>
      <c r="AL62" s="36"/>
    </row>
    <row r="63" spans="5:47" ht="15.75" customHeight="1">
      <c r="F63" s="351" t="s">
        <v>372</v>
      </c>
      <c r="G63" s="332"/>
      <c r="H63" s="342"/>
      <c r="I63" s="342"/>
      <c r="J63" s="342"/>
      <c r="K63" s="342"/>
      <c r="L63" s="342"/>
      <c r="M63" s="342"/>
      <c r="N63" s="342"/>
      <c r="O63" s="342"/>
      <c r="P63" s="342"/>
      <c r="Q63" s="342"/>
      <c r="R63" s="343"/>
      <c r="S63" s="342"/>
      <c r="T63" s="342"/>
      <c r="U63" s="342"/>
      <c r="V63" s="342"/>
      <c r="W63" s="342"/>
      <c r="X63" s="1420"/>
      <c r="AA63" s="36"/>
      <c r="AB63" s="456" t="str">
        <f ca="1">IF(H54="","","Combined Storage - Tier 1")</f>
        <v>Combined Storage - Tier 1</v>
      </c>
      <c r="AC63" s="458">
        <f ca="1">H54</f>
        <v>1.3230000000000002</v>
      </c>
      <c r="AD63" s="459">
        <f t="shared" ref="AD63:AD68" ca="1" si="6">IF(AC63="",0,1-AC63)</f>
        <v>-0.32300000000000018</v>
      </c>
      <c r="AE63" s="456">
        <f ca="1">H55</f>
        <v>1</v>
      </c>
      <c r="AF63" s="457">
        <f t="shared" si="3"/>
        <v>0.5</v>
      </c>
      <c r="AG63" s="457">
        <f t="shared" si="4"/>
        <v>0.4</v>
      </c>
      <c r="AH63" s="456"/>
      <c r="AI63" s="456"/>
      <c r="AJ63" s="456"/>
      <c r="AK63" s="36"/>
      <c r="AL63" s="36"/>
    </row>
    <row r="64" spans="5:47" ht="15" customHeight="1">
      <c r="F64" s="368"/>
      <c r="G64" s="194" t="s">
        <v>101</v>
      </c>
      <c r="H64" s="301">
        <f ca="1">IF(INDIRECT("'"&amp;$H$3&amp;"'!$H$20")='List Values'!$B$3, (INDIRECT("'"&amp;$H$3&amp;"'!$H$18")*INDIRECT("'"&amp;$H$3&amp;"'!H$93"))/INDIRECT("'"&amp;$H$3&amp;"'!H$95"), IF(INDIRECT("'"&amp;$H$3&amp;"'!$H$7")&gt;1,(INDIRECT("'"&amp;$H$3&amp;"'!H$93")*(K$64*INDIRECT("'"&amp;$H$3&amp;"'!K$95")/INDIRECT("'"&amp;$H$3&amp;"'!K$93"))*(1+INDIRECT("'"&amp;$H$3&amp;"'!K$94")))/INDIRECT("'"&amp;$H$3&amp;"'!H$95"),IF(INDIRECT("'"&amp;$H$3&amp;"'!$H$7")=1,(INDIRECT("'"&amp;$H$3&amp;"'!$H$18")*INDIRECT("'"&amp;$H$3&amp;"'!H$93"))/INDIRECT("'"&amp;$H$3&amp;"'!H$95"),"")))</f>
        <v>0</v>
      </c>
      <c r="I64" s="290"/>
      <c r="J64" s="290"/>
      <c r="K64" s="301">
        <f ca="1">IF(INDIRECT("'"&amp;$H$3&amp;"'!$H$7") &lt; 2,0,IF(INDIRECT("'"&amp;$H$3&amp;"'!$H$20")='List Values'!$B$3, ((H$64*INDIRECT("'"&amp;$H$3&amp;"'!H$95")/INDIRECT("'"&amp;$H$3&amp;"'!H$93"))*(1-INDIRECT("'"&amp;$H$3&amp;"'!K$94"))*INDIRECT("'"&amp;$H$3&amp;"'!K$93"))/INDIRECT("'"&amp;$H$3&amp;"'!K$95"), IF(INDIRECT("'"&amp;$H$3&amp;"'!$H$7")&gt;2,(INDIRECT("'"&amp;$H$3&amp;"'!K$93")*(N$64*INDIRECT("'"&amp;$H$3&amp;"'!N$95")/INDIRECT("'"&amp;$H$3&amp;"'!N$93"))*(1+INDIRECT("'"&amp;$H$3&amp;"'!N$94")))/INDIRECT("'"&amp;$H$3&amp;"'!K$95"),IF(INDIRECT("'"&amp;$H$3&amp;"'!$H$7")=2,(INDIRECT("'"&amp;$H$3&amp;"'!$H$18")*INDIRECT("'"&amp;$H$3&amp;"'!K$93"))/INDIRECT("'"&amp;$H$3&amp;"'!K$95"),""))))</f>
        <v>0</v>
      </c>
      <c r="L64" s="290"/>
      <c r="M64" s="290"/>
      <c r="N64" s="301">
        <f ca="1">IF(INDIRECT("'"&amp;$H$3&amp;"'!$H$7") &lt; 3,0,IF(INDIRECT("'"&amp;$H$3&amp;"'!$H$20")='List Values'!$B$3, ((K$64*INDIRECT("'"&amp;$H$3&amp;"'!K$95")/INDIRECT("'"&amp;$H$3&amp;"'!K$93"))*(1-INDIRECT("'"&amp;$H$3&amp;"'!N$94"))*INDIRECT("'"&amp;$H$3&amp;"'!N$93"))/INDIRECT("'"&amp;$H$3&amp;"'!N$95"), IF(INDIRECT("'"&amp;$H$3&amp;"'!$H$7")&gt;3,(INDIRECT("'"&amp;$H$3&amp;"'!N$93")*(Q$64*INDIRECT("'"&amp;$H$3&amp;"'!Q$95")/INDIRECT("'"&amp;$H$3&amp;"'!Q$93"))*(1+INDIRECT("'"&amp;$H$3&amp;"'!Q$94")))/INDIRECT("'"&amp;$H$3&amp;"'!N$95"),IF(INDIRECT("'"&amp;$H$3&amp;"'!$H$7")=3,(INDIRECT("'"&amp;$H$3&amp;"'!$H$18")*INDIRECT("'"&amp;$H$3&amp;"'!N$93"))/INDIRECT("'"&amp;$H$3&amp;"'!N$95"),""))))</f>
        <v>0</v>
      </c>
      <c r="O64" s="290"/>
      <c r="P64" s="290"/>
      <c r="Q64" s="301">
        <f ca="1">IF(INDIRECT("'"&amp;$H$3&amp;"'!$H$7") &lt; 4,0,IF(INDIRECT("'"&amp;$H$3&amp;"'!$H$20")='List Values'!$B$3, ((N$64*INDIRECT("'"&amp;$H$3&amp;"'!N$95")/INDIRECT("'"&amp;$H$3&amp;"'!N$93"))*(1-INDIRECT("'"&amp;$H$3&amp;"'!Q$94"))*INDIRECT("'"&amp;$H$3&amp;"'!Q$93"))/INDIRECT("'"&amp;$H$3&amp;"'!Q$95"), IF(INDIRECT("'"&amp;$H$3&amp;"'!$H$7")&gt;4,(INDIRECT("'"&amp;$H$3&amp;"'!Q$93")*(T$64*INDIRECT("'"&amp;$H$3&amp;"'!T$95")/INDIRECT("'"&amp;$H$3&amp;"'!T$93"))*(1+INDIRECT("'"&amp;$H$3&amp;"'!T$94")))/INDIRECT("'"&amp;$H$3&amp;"'!Q$95"),IF(INDIRECT("'"&amp;$H$3&amp;"'!$H$7")=4,(INDIRECT("'"&amp;$H$3&amp;"'!$H$18")*INDIRECT("'"&amp;$H$3&amp;"'!Q$93"))/INDIRECT("'"&amp;$H$3&amp;"'!Q$95"),""))))</f>
        <v>0</v>
      </c>
      <c r="R64" s="299"/>
      <c r="S64" s="299"/>
      <c r="T64" s="301">
        <f ca="1">IF(INDIRECT("'"&amp;$H$3&amp;"'!$H$7") &lt; 5,0,IF(INDIRECT("'"&amp;$H$3&amp;"'!$H$20")='List Values'!$B$3, ((Q$64*INDIRECT("'"&amp;$H$3&amp;"'!Q$95")/INDIRECT("'"&amp;$H$3&amp;"'!Q$93"))*(1-INDIRECT("'"&amp;$H$3&amp;"'!T$94"))*INDIRECT("'"&amp;$H$3&amp;"'!T$93"))/INDIRECT("'"&amp;$H$3&amp;"'!T$95"), IF(INDIRECT("'"&amp;$H$3&amp;"'!$H$7")&gt;5,(INDIRECT("'"&amp;$H$3&amp;"'!T$93")*(W$64*INDIRECT("'"&amp;$H$3&amp;"'!W$95")/INDIRECT("'"&amp;$H$3&amp;"'!W$93"))*(1+INDIRECT("'"&amp;$H$3&amp;"'!W$94")))/INDIRECT("'"&amp;$H$3&amp;"'!T$95"),IF(INDIRECT("'"&amp;$H$3&amp;"'!$H$7")=5,(INDIRECT("'"&amp;$H$3&amp;"'!$H$18")*INDIRECT("'"&amp;$H$3&amp;"'!T$93"))/INDIRECT("'"&amp;$H$3&amp;"'!T$95"),""))))</f>
        <v>0</v>
      </c>
      <c r="U64" s="300"/>
      <c r="V64" s="300"/>
      <c r="W64" s="1435">
        <f ca="1">IF(INDIRECT("'"&amp;$H$3&amp;"'!$H$7")&lt;6,0,IF(INDIRECT("'"&amp;$H$3&amp;"'!$H$20")='List Values'!$B$3, ((T$64*INDIRECT("'"&amp;$H$3&amp;"'!T$95")/INDIRECT("'"&amp;$H$3&amp;"'!T$93"))*(1-INDIRECT("'"&amp;$H$3&amp;"'!W$94"))*INDIRECT("'"&amp;$H$3&amp;"'!W$93"))/INDIRECT("'"&amp;$H$3&amp;"'!W$95"), IF(INDIRECT("'"&amp;$H$3&amp;"'!$H$7")=6,(INDIRECT("'"&amp;$H$3&amp;"'!$H$18")*INDIRECT("'"&amp;$H$3&amp;"'!W$93"))/INDIRECT("'"&amp;$H$3&amp;"'!W$95"),"")))</f>
        <v>0</v>
      </c>
      <c r="X64" s="1421"/>
      <c r="AA64" s="36"/>
      <c r="AB64" s="456" t="str">
        <f ca="1">IF(K54="","","Combined Storage - Tier 2")</f>
        <v>Combined Storage - Tier 2</v>
      </c>
      <c r="AC64" s="458">
        <f ca="1">K54</f>
        <v>1.26</v>
      </c>
      <c r="AD64" s="459">
        <f t="shared" ca="1" si="6"/>
        <v>-0.26</v>
      </c>
      <c r="AE64" s="456">
        <f ca="1">K55</f>
        <v>1</v>
      </c>
      <c r="AF64" s="457">
        <f t="shared" si="3"/>
        <v>0.5</v>
      </c>
      <c r="AG64" s="457">
        <f t="shared" si="4"/>
        <v>0.4</v>
      </c>
      <c r="AH64" s="456"/>
      <c r="AI64" s="456"/>
      <c r="AJ64" s="456"/>
      <c r="AK64" s="36"/>
      <c r="AL64" s="36"/>
    </row>
    <row r="65" spans="5:38" ht="15" customHeight="1">
      <c r="F65" s="368"/>
      <c r="G65" s="194" t="s">
        <v>239</v>
      </c>
      <c r="H65" s="290">
        <f ca="1">IFERROR(H$64/INDIRECT("'"&amp;$H$3&amp;"'!H$96"),"")</f>
        <v>0</v>
      </c>
      <c r="I65" s="290"/>
      <c r="J65" s="290"/>
      <c r="K65" s="290">
        <f ca="1">IFERROR(K$64/INDIRECT("'"&amp;$H$3&amp;"'!K$96"),"")</f>
        <v>0</v>
      </c>
      <c r="L65" s="290"/>
      <c r="M65" s="290"/>
      <c r="N65" s="290">
        <f ca="1">IFERROR(N$64/INDIRECT("'"&amp;$H$3&amp;"'!N$96"),"")</f>
        <v>0</v>
      </c>
      <c r="O65" s="290"/>
      <c r="P65" s="290"/>
      <c r="Q65" s="290" t="str">
        <f ca="1">IFERROR(Q$64/INDIRECT("'"&amp;$H$3&amp;"'!Q$96"),"")</f>
        <v/>
      </c>
      <c r="R65" s="299"/>
      <c r="S65" s="299"/>
      <c r="T65" s="290" t="str">
        <f ca="1">IFERROR(T$64/INDIRECT("'"&amp;$H$3&amp;"'!T$96"),"")</f>
        <v/>
      </c>
      <c r="U65" s="300"/>
      <c r="V65" s="300"/>
      <c r="W65" s="1432" t="str">
        <f ca="1">IFERROR(W$64/INDIRECT("'"&amp;$H$3&amp;"'!W$96"),"")</f>
        <v/>
      </c>
      <c r="X65" s="1424"/>
      <c r="AA65" s="36"/>
      <c r="AB65" s="456" t="str">
        <f ca="1">IF(N54="","","Combined Storage - Tier 3")</f>
        <v>Combined Storage - Tier 3</v>
      </c>
      <c r="AC65" s="458">
        <f ca="1">N54</f>
        <v>1.1983082706766917</v>
      </c>
      <c r="AD65" s="459">
        <f t="shared" ca="1" si="6"/>
        <v>-0.19830827067669166</v>
      </c>
      <c r="AE65" s="456">
        <f ca="1">N55</f>
        <v>1</v>
      </c>
      <c r="AF65" s="457">
        <f t="shared" si="3"/>
        <v>0.5</v>
      </c>
      <c r="AG65" s="457">
        <f t="shared" si="4"/>
        <v>0.4</v>
      </c>
      <c r="AH65" s="456"/>
      <c r="AI65" s="456"/>
      <c r="AJ65" s="456"/>
      <c r="AK65" s="36"/>
      <c r="AL65" s="36"/>
    </row>
    <row r="66" spans="5:38" ht="15" customHeight="1">
      <c r="F66" s="368"/>
      <c r="G66" s="194" t="s">
        <v>53</v>
      </c>
      <c r="H66" s="294">
        <f ca="1">IFERROR(INDIRECT("'"&amp;$H$3&amp;"'!H$104")*H65*(INDIRECT("'"&amp;$H$3&amp;"'!H$96")/12),"")</f>
        <v>0</v>
      </c>
      <c r="I66" s="294"/>
      <c r="J66" s="294"/>
      <c r="K66" s="294">
        <f ca="1">IFERROR(INDIRECT("'"&amp;$H$3&amp;"'!K$104")*K65*(INDIRECT("'"&amp;$H$3&amp;"'!K$96")/12),"")</f>
        <v>0</v>
      </c>
      <c r="L66" s="294"/>
      <c r="M66" s="294"/>
      <c r="N66" s="294">
        <f ca="1">IFERROR(INDIRECT("'"&amp;$H$3&amp;"'!N$104")*N65*(INDIRECT("'"&amp;$H$3&amp;"'!N$96")/12),"")</f>
        <v>0</v>
      </c>
      <c r="O66" s="295"/>
      <c r="P66" s="295"/>
      <c r="Q66" s="294" t="str">
        <f ca="1">IFERROR(INDIRECT("'"&amp;$H$3&amp;"'!Q$104")*Q65*(INDIRECT("'"&amp;$H$3&amp;"'!Q$96")/12),"")</f>
        <v/>
      </c>
      <c r="R66" s="299"/>
      <c r="S66" s="299"/>
      <c r="T66" s="294" t="str">
        <f ca="1">IFERROR(INDIRECT("'"&amp;$H$3&amp;"'!T$104")*T65*(INDIRECT("'"&amp;$H$3&amp;"'!T$96")/12),"")</f>
        <v/>
      </c>
      <c r="U66" s="300"/>
      <c r="V66" s="300"/>
      <c r="W66" s="1433" t="str">
        <f ca="1">IFERROR(INDIRECT("'"&amp;$H$3&amp;"'!W$104")*W65*(INDIRECT("'"&amp;$H$3&amp;"'!W$96")/12),"")</f>
        <v/>
      </c>
      <c r="X66" s="1425"/>
      <c r="AA66" s="36"/>
      <c r="AB66" s="36" t="str">
        <f ca="1">IF(Q54="","","Combined Storage - Tier 4")</f>
        <v>Combined Storage - Tier 4</v>
      </c>
      <c r="AC66" s="458">
        <f ca="1">Q54</f>
        <v>0</v>
      </c>
      <c r="AD66" s="459">
        <f t="shared" ca="1" si="6"/>
        <v>1</v>
      </c>
      <c r="AE66" s="456">
        <f ca="1">Q55</f>
        <v>1</v>
      </c>
      <c r="AF66" s="457">
        <f t="shared" si="3"/>
        <v>0.5</v>
      </c>
      <c r="AG66" s="457">
        <f t="shared" si="4"/>
        <v>0.4</v>
      </c>
      <c r="AH66" s="456"/>
      <c r="AI66" s="456"/>
      <c r="AJ66" s="456"/>
      <c r="AK66" s="36"/>
      <c r="AL66" s="36"/>
    </row>
    <row r="67" spans="5:38" ht="15" customHeight="1">
      <c r="F67" s="368"/>
      <c r="G67" s="194" t="s">
        <v>51</v>
      </c>
      <c r="H67" s="290">
        <f ca="1">IFERROR(H66+((H68-H66)/2),"")</f>
        <v>0</v>
      </c>
      <c r="I67" s="290"/>
      <c r="J67" s="290"/>
      <c r="K67" s="290">
        <f ca="1">IFERROR(K66+((K68-K66)/2),"")</f>
        <v>0</v>
      </c>
      <c r="L67" s="290"/>
      <c r="M67" s="290"/>
      <c r="N67" s="290">
        <f ca="1">IFERROR(N66+((N68-N66)/2),"")</f>
        <v>0</v>
      </c>
      <c r="O67" s="291"/>
      <c r="P67" s="291"/>
      <c r="Q67" s="290" t="str">
        <f ca="1">IFERROR(Q66+((Q68-Q66)/2),"")</f>
        <v/>
      </c>
      <c r="R67" s="299"/>
      <c r="S67" s="299"/>
      <c r="T67" s="290" t="str">
        <f ca="1">IFERROR(T66+((T68-T66)/2),"")</f>
        <v/>
      </c>
      <c r="U67" s="300"/>
      <c r="V67" s="300"/>
      <c r="W67" s="1432" t="str">
        <f ca="1">IFERROR(W66+((W68-W66)/2),"")</f>
        <v/>
      </c>
      <c r="X67" s="1424"/>
      <c r="AA67" s="36"/>
      <c r="AB67" s="36" t="str">
        <f ca="1">IF(T54="","","Combined Storage - Tier 5")</f>
        <v>Combined Storage - Tier 5</v>
      </c>
      <c r="AC67" s="458">
        <f ca="1">T54</f>
        <v>0</v>
      </c>
      <c r="AD67" s="459">
        <f t="shared" ca="1" si="6"/>
        <v>1</v>
      </c>
      <c r="AE67" s="456">
        <f ca="1">T55</f>
        <v>1</v>
      </c>
      <c r="AF67" s="457">
        <f t="shared" si="3"/>
        <v>0.5</v>
      </c>
      <c r="AG67" s="457">
        <f t="shared" si="4"/>
        <v>0.4</v>
      </c>
      <c r="AH67" s="456"/>
      <c r="AI67" s="456"/>
      <c r="AJ67" s="456"/>
      <c r="AK67" s="36"/>
      <c r="AL67" s="36"/>
    </row>
    <row r="68" spans="5:38" ht="15" customHeight="1">
      <c r="F68" s="368"/>
      <c r="G68" s="194" t="s">
        <v>52</v>
      </c>
      <c r="H68" s="294">
        <f ca="1">IFERROR(H66+H65,"")</f>
        <v>0</v>
      </c>
      <c r="I68" s="294"/>
      <c r="J68" s="294"/>
      <c r="K68" s="294">
        <f ca="1">IFERROR(K66+K65,"")</f>
        <v>0</v>
      </c>
      <c r="L68" s="294"/>
      <c r="M68" s="294"/>
      <c r="N68" s="294">
        <f ca="1">IFERROR(N66+N65,"")</f>
        <v>0</v>
      </c>
      <c r="O68" s="295"/>
      <c r="P68" s="295"/>
      <c r="Q68" s="294" t="str">
        <f ca="1">IFERROR(Q66+Q65,"")</f>
        <v/>
      </c>
      <c r="R68" s="299"/>
      <c r="S68" s="299"/>
      <c r="T68" s="294" t="str">
        <f ca="1">IFERROR(T66+T65,"")</f>
        <v/>
      </c>
      <c r="U68" s="300"/>
      <c r="V68" s="300"/>
      <c r="W68" s="1433" t="str">
        <f ca="1">IFERROR(W66+W65,"")</f>
        <v/>
      </c>
      <c r="X68" s="1425"/>
      <c r="AA68" s="36"/>
      <c r="AB68" s="36" t="str">
        <f ca="1">IF(W54="","","Combined Storage - Tier 6")</f>
        <v>Combined Storage - Tier 6</v>
      </c>
      <c r="AC68" s="458">
        <f ca="1">W54</f>
        <v>0</v>
      </c>
      <c r="AD68" s="459">
        <f t="shared" ca="1" si="6"/>
        <v>1</v>
      </c>
      <c r="AE68" s="456">
        <f ca="1">W55</f>
        <v>1</v>
      </c>
      <c r="AF68" s="457">
        <f t="shared" si="3"/>
        <v>0.5</v>
      </c>
      <c r="AG68" s="457">
        <f t="shared" si="4"/>
        <v>0.4</v>
      </c>
      <c r="AH68" s="456"/>
      <c r="AI68" s="456"/>
      <c r="AJ68" s="456"/>
      <c r="AK68" s="36"/>
      <c r="AL68" s="36"/>
    </row>
    <row r="69" spans="5:38" ht="15" customHeight="1">
      <c r="F69" s="403"/>
      <c r="G69" s="404" t="s">
        <v>5844</v>
      </c>
      <c r="H69" s="405" t="str">
        <f ca="1">IFERROR(H68/INDIRECT("'"&amp;$H$3&amp;"'!H$109"),"")</f>
        <v/>
      </c>
      <c r="I69" s="405"/>
      <c r="J69" s="405"/>
      <c r="K69" s="405" t="str">
        <f ca="1">IFERROR(K68/INDIRECT("'"&amp;$H$3&amp;"'!K$109"),"")</f>
        <v/>
      </c>
      <c r="L69" s="405"/>
      <c r="M69" s="405"/>
      <c r="N69" s="405" t="str">
        <f ca="1">IFERROR(N68/INDIRECT("'"&amp;$H$3&amp;"'!N$109"),"")</f>
        <v/>
      </c>
      <c r="O69" s="408"/>
      <c r="P69" s="408"/>
      <c r="Q69" s="408" t="str">
        <f ca="1">IFERROR(Q68/INDIRECT("'"&amp;$H$3&amp;"'!Q$109"),"")</f>
        <v/>
      </c>
      <c r="R69" s="409"/>
      <c r="S69" s="409"/>
      <c r="T69" s="408" t="str">
        <f ca="1">IFERROR(T68/INDIRECT("'"&amp;$H$3&amp;"'!T$109"),"")</f>
        <v/>
      </c>
      <c r="U69" s="410"/>
      <c r="V69" s="410"/>
      <c r="W69" s="1434" t="str">
        <f ca="1">IFERROR(W68/INDIRECT("'"&amp;$H$3&amp;"'!W$109"),"")</f>
        <v/>
      </c>
      <c r="X69" s="1426"/>
      <c r="AA69" s="36"/>
      <c r="AB69" s="456"/>
      <c r="AC69" s="456"/>
      <c r="AD69" s="456"/>
      <c r="AE69" s="456"/>
      <c r="AF69" s="456"/>
      <c r="AG69" s="456"/>
      <c r="AH69" s="456"/>
      <c r="AI69" s="456"/>
      <c r="AJ69" s="456"/>
      <c r="AK69" s="36"/>
      <c r="AL69" s="36"/>
    </row>
    <row r="70" spans="5:38" ht="15.75" customHeight="1">
      <c r="F70" s="351" t="s">
        <v>466</v>
      </c>
      <c r="G70" s="332"/>
      <c r="H70" s="342"/>
      <c r="I70" s="342"/>
      <c r="J70" s="342"/>
      <c r="K70" s="342"/>
      <c r="L70" s="342"/>
      <c r="M70" s="342"/>
      <c r="N70" s="342"/>
      <c r="O70" s="342"/>
      <c r="P70" s="342"/>
      <c r="Q70" s="342"/>
      <c r="R70" s="343"/>
      <c r="S70" s="342"/>
      <c r="T70" s="342"/>
      <c r="U70" s="342"/>
      <c r="V70" s="342"/>
      <c r="W70" s="342"/>
      <c r="X70" s="1420"/>
      <c r="AA70" s="36"/>
      <c r="AB70" s="456"/>
      <c r="AC70" s="456"/>
      <c r="AD70" s="456"/>
      <c r="AE70" s="456"/>
      <c r="AF70" s="456"/>
      <c r="AG70" s="456"/>
      <c r="AH70" s="456"/>
      <c r="AI70" s="456"/>
      <c r="AJ70" s="456"/>
      <c r="AK70" s="36"/>
      <c r="AL70" s="36"/>
    </row>
    <row r="71" spans="5:38" ht="22.5" customHeight="1">
      <c r="F71" s="411"/>
      <c r="G71" s="211" t="s">
        <v>392</v>
      </c>
      <c r="H71" s="2069">
        <f ca="1">IFERROR(IF(AND(INDIRECT("'"&amp;$H$3&amp;"'!H113")&gt;0,INDIRECT("'"&amp;$H$3&amp;"'!H117")="Upstream"),AVERAGE(H151*H152,H189*H190,H227*H228)/(INDIRECT("'"&amp;$H$3&amp;"'!H113")*INDIRECT("'"&amp;$H$3&amp;"'!H114")),
IF(AND(INDIRECT("'"&amp;$H$3&amp;"'!H113")&gt;0,INDIRECT("'"&amp;$H$3&amp;"'!H117")="Downstream"),SUM(K151*K152,K189*K190,K227*K228)/(IF(INDIRECT("'"&amp;$H$3&amp;"'!K117")="Upstream",(INDIRECT("'"&amp;$H$3&amp;"'!K113")*INDIRECT("'"&amp;$H$3&amp;"'!K114")),0)+(INDIRECT("'"&amp;$H$3&amp;"'!H113")*INDIRECT("'"&amp;$H$3&amp;"'!H114"))),
IF(OR(H64=0,INDIRECT("'"&amp;$H$3&amp;"'!H113")=0,INDIRECT("'"&amp;$H$3&amp;"'!H113")=""),"-","Must Select Upstream or Downstream"))),
IF(H64=0,"-","Cannot calculate. Is cold box capacity set to zero for this tier?"))</f>
        <v>0</v>
      </c>
      <c r="I71" s="2069"/>
      <c r="J71" s="2069"/>
      <c r="K71" s="2069">
        <f ca="1">IFERROR(IF(AND(INDIRECT("'"&amp;$H$3&amp;"'!K113")&gt;0,INDIRECT("'"&amp;$H$3&amp;"'!K117")="Upstream"),AVERAGE(K151*K152,K189*K190,K227*K228)/(IF(INDIRECT("'"&amp;$H$3&amp;"'!H117")="Downstream",(INDIRECT("'"&amp;$H$3&amp;"'!H113")*INDIRECT("'"&amp;$H$3&amp;"'!H114")),0)+(INDIRECT("'"&amp;$H$3&amp;"'!K113")*INDIRECT("'"&amp;$H$3&amp;"'!K114"))),
IF(AND(INDIRECT("'"&amp;$H$3&amp;"'!K113")&gt;0,INDIRECT("'"&amp;$H$3&amp;"'!K117")="Downstream"),SUM(N151*N152,N189*N190,N227*N228)/(IF(INDIRECT("'"&amp;$H$3&amp;"'!N117")="Upstream",(INDIRECT("'"&amp;$H$3&amp;"'!N113")*INDIRECT("'"&amp;$H$3&amp;"'!N114")),0)+(INDIRECT("'"&amp;$H$3&amp;"'!K113")*INDIRECT("'"&amp;$H$3&amp;"'!K114"))),
IF(OR(K64=0,INDIRECT("'"&amp;$H$3&amp;"'!K113")=0,INDIRECT("'"&amp;$H$3&amp;"'!K113")=""),"-","Must Select Upstream or Downstream"))),
IF(K64=0,"-","Cannot calculate. Is cold box capacity set to zero for this tier?"))</f>
        <v>0</v>
      </c>
      <c r="L71" s="2069"/>
      <c r="M71" s="2069"/>
      <c r="N71" s="2069">
        <f ca="1">IFERROR(IF(AND(INDIRECT("'"&amp;$H$3&amp;"'!N113")&gt;0,INDIRECT("'"&amp;$H$3&amp;"'!N117")="Upstream"),AVERAGE(N151*N152,N189*N190,N227*N228)/(IF(INDIRECT("'"&amp;$H$3&amp;"'!K117")="Downstream",(INDIRECT("'"&amp;$H$3&amp;"'!K113")*INDIRECT("'"&amp;$H$3&amp;"'!K114")),0)+(INDIRECT("'"&amp;$H$3&amp;"'!N113")*INDIRECT("'"&amp;$H$3&amp;"'!N114"))),
IF(AND(INDIRECT("'"&amp;$H$3&amp;"'!N113")&gt;0,INDIRECT("'"&amp;$H$3&amp;"'!N117")="Downstream"),SUM(Q151*Q152,Q189*Q190,Q227*Q228)/(IF(INDIRECT("'"&amp;$H$3&amp;"'!Q117")="Upstream",(INDIRECT("'"&amp;$H$3&amp;"'!Q113")*INDIRECT("'"&amp;$H$3&amp;"'!Q114")),0)+(INDIRECT("'"&amp;$H$3&amp;"'!N113")*INDIRECT("'"&amp;$H$3&amp;"'!N114"))),
IF(OR(N64=0,INDIRECT("'"&amp;$H$3&amp;"'!N113")=0,INDIRECT("'"&amp;$H$3&amp;"'!N113")=""),"-","Must Select Upstream or Downstream"))),
IF(N64=0,"-","Cannot calculate. Is cold box capacity set to zero for this tier?"))</f>
        <v>0</v>
      </c>
      <c r="O71" s="2069"/>
      <c r="P71" s="2069"/>
      <c r="Q71" s="2069" t="str">
        <f ca="1">IFERROR(IF(AND(INDIRECT("'"&amp;$H$3&amp;"'!Q113")&gt;0,INDIRECT("'"&amp;$H$3&amp;"'!Q117")="Upstream"),AVERAGE(Q151*Q152,Q189*Q190,Q227*Q228)/(IF(INDIRECT("'"&amp;$H$3&amp;"'!N117")="Downstream",(INDIRECT("'"&amp;$H$3&amp;"'!N113")*INDIRECT("'"&amp;$H$3&amp;"'!N114")),0)+(INDIRECT("'"&amp;$H$3&amp;"'!Q113")*INDIRECT("'"&amp;$H$3&amp;"'!Q114"))),
IF(AND(INDIRECT("'"&amp;$H$3&amp;"'!Q113")&gt;0,INDIRECT("'"&amp;$H$3&amp;"'!Q117")="Downstream"),SUM(T151*T152,T189*T190,T227*T228)/(IF(INDIRECT("'"&amp;$H$3&amp;"'!T117")="Upstream",(INDIRECT("'"&amp;$H$3&amp;"'!T113")*INDIRECT("'"&amp;$H$3&amp;"'!T114")),0)+(INDIRECT("'"&amp;$H$3&amp;"'!Q113")*INDIRECT("'"&amp;$H$3&amp;"'!Q114"))),
IF(OR(Q64=0,INDIRECT("'"&amp;$H$3&amp;"'!Q113")=0,INDIRECT("'"&amp;$H$3&amp;"'!Q113")=""),"-","Must Select Upstream or Downstream"))),
IF(OR(Q64=0,Q64=""),"-","Cannot calculate. Is cold box capacity set to zero for this tier?"))</f>
        <v>-</v>
      </c>
      <c r="R71" s="2069"/>
      <c r="S71" s="2069"/>
      <c r="T71" s="2069" t="str">
        <f ca="1">IFERROR(IF(AND(INDIRECT("'"&amp;$H$3&amp;"'!T113")&gt;0,INDIRECT("'"&amp;$H$3&amp;"'!T117")="Upstream"),AVERAGE(T151*T152,T189*T190,T227*T228)/(IF(INDIRECT("'"&amp;$H$3&amp;"'!Q117")="Downstream",(INDIRECT("'"&amp;$H$3&amp;"'!Q113")*INDIRECT("'"&amp;$H$3&amp;"'!Q114")),0)+(INDIRECT("'"&amp;$H$3&amp;"'!T113")*INDIRECT("'"&amp;$H$3&amp;"'!T114"))),
IF(AND(INDIRECT("'"&amp;$H$3&amp;"'!T113")&gt;0,INDIRECT("'"&amp;$H$3&amp;"'!T117")="Downstream"),SUM(W151*W152,W189*W190,W227*W228)/(IF(INDIRECT("'"&amp;$H$3&amp;"'!W117")="Upstream",(INDIRECT("'"&amp;$H$3&amp;"'!W113")*INDIRECT("'"&amp;$H$3&amp;"'!W114")),0)+(INDIRECT("'"&amp;$H$3&amp;"'!T113")*INDIRECT("'"&amp;$H$3&amp;"'!T114"))),
IF(OR(T64=0,INDIRECT("'"&amp;$H$3&amp;"'!T113")=0,INDIRECT("'"&amp;$H$3&amp;"'!T113")=""),"-","Must Select Upstream or Downstream"))),
IF(T64=0,"-","Cannot calculate. Is cold box capacity set to zero for this tier?"))</f>
        <v>-</v>
      </c>
      <c r="U71" s="2069"/>
      <c r="V71" s="2069"/>
      <c r="W71" s="2070" t="str">
        <f ca="1">IFERROR(IF(AND(INDIRECT("'"&amp;$H$3&amp;"'!W113")&gt;0,INDIRECT("'"&amp;$H$3&amp;"'!W117")="Upstream"),AVERAGE(W151*W152,W189*W190,W227*W228)/(IF(INDIRECT("'"&amp;$H$3&amp;"'!T117")="Downstream",(INDIRECT("'"&amp;$H$3&amp;"'!T113")*INDIRECT("'"&amp;$H$3&amp;"'!T114")),0)+(INDIRECT("'"&amp;$H$3&amp;"'!W113")*INDIRECT("'"&amp;$H$3&amp;"'!W114"))),
IF(AND(INDIRECT("'"&amp;$H$3&amp;"'!W113")&gt;0,INDIRECT("'"&amp;$H$3&amp;"'!W117")="Downstream"),0,
IF(OR(W64=0,INDIRECT("'"&amp;$H$3&amp;"'!W113")=0,INDIRECT("'"&amp;$H$3&amp;"'!W113")=""),"-","Must Select Upstream or Downstream"))),
IF(W64=0,"-","Cannot calculate. Is cold box capacity set to zero for this tier?"))</f>
        <v>-</v>
      </c>
      <c r="X71" s="1427"/>
      <c r="AA71" s="36"/>
      <c r="AB71" s="36"/>
      <c r="AC71" s="36"/>
      <c r="AD71" s="36"/>
      <c r="AE71" s="36"/>
      <c r="AF71" s="36"/>
      <c r="AG71" s="36"/>
      <c r="AH71" s="36"/>
      <c r="AI71" s="36"/>
      <c r="AJ71" s="36"/>
      <c r="AK71" s="36"/>
      <c r="AL71" s="36"/>
    </row>
    <row r="72" spans="5:38" ht="65.25" customHeight="1">
      <c r="F72" s="1406" t="s">
        <v>467</v>
      </c>
      <c r="G72" s="1406"/>
      <c r="H72" s="1406"/>
      <c r="I72" s="1406"/>
      <c r="J72" s="1406"/>
      <c r="K72" s="1406"/>
      <c r="L72" s="1406"/>
      <c r="M72" s="1406"/>
      <c r="N72" s="1406"/>
      <c r="O72" s="1406"/>
      <c r="P72" s="245"/>
      <c r="Q72" s="244"/>
      <c r="R72" s="257"/>
      <c r="S72" s="257"/>
      <c r="T72" s="257"/>
      <c r="U72" s="257"/>
      <c r="V72" s="257"/>
      <c r="W72" s="257"/>
      <c r="X72" s="1458"/>
      <c r="Y72" s="257"/>
      <c r="Z72" s="257"/>
      <c r="AA72" s="447"/>
      <c r="AB72" s="447"/>
      <c r="AC72" s="36"/>
      <c r="AD72" s="36"/>
      <c r="AE72" s="36"/>
      <c r="AF72" s="36"/>
      <c r="AG72" s="36"/>
      <c r="AH72" s="36"/>
      <c r="AI72" s="36"/>
      <c r="AJ72" s="36"/>
      <c r="AK72" s="36"/>
      <c r="AL72" s="36"/>
    </row>
    <row r="73" spans="5:38" ht="36.75" customHeight="1"/>
    <row r="74" spans="5:38" ht="16.5" customHeight="1"/>
    <row r="75" spans="5:38" ht="15.9">
      <c r="E75" s="415" t="s">
        <v>475</v>
      </c>
      <c r="F75" s="324"/>
      <c r="G75" s="324"/>
      <c r="H75" s="22"/>
      <c r="I75" s="22"/>
      <c r="J75" s="22"/>
      <c r="K75" s="22"/>
      <c r="L75" s="22"/>
      <c r="M75" s="22"/>
      <c r="N75" s="22"/>
      <c r="O75" s="22"/>
      <c r="P75" s="22"/>
      <c r="Q75" s="22"/>
      <c r="R75" s="22"/>
      <c r="S75" s="22"/>
      <c r="T75" s="22"/>
      <c r="U75" s="22"/>
      <c r="V75" s="22"/>
      <c r="W75" s="22"/>
      <c r="Y75" s="1485"/>
    </row>
    <row r="76" spans="5:38" ht="29.15">
      <c r="F76" s="20"/>
      <c r="G76" s="21"/>
      <c r="H76" s="1579" t="str">
        <f ca="1">IF($H$9&gt;=1,INDIRECT("'"&amp;$H$3&amp;"'!G$91"),"")</f>
        <v>CMS Tier</v>
      </c>
      <c r="I76" s="1579" t="str">
        <f t="shared" ref="I76:V76" ca="1" si="7">IF($H$9&gt;=1,"Tier 1","")</f>
        <v>Tier 1</v>
      </c>
      <c r="J76" s="1579" t="str">
        <f t="shared" ca="1" si="7"/>
        <v>Tier 1</v>
      </c>
      <c r="K76" s="1579" t="str">
        <f ca="1">IF($H$9&gt;=2,INDIRECT("'"&amp;$H$3&amp;"'!J$91"),"")</f>
        <v>Regional WH Tier</v>
      </c>
      <c r="L76" s="1579" t="str">
        <f t="shared" ca="1" si="7"/>
        <v>Tier 1</v>
      </c>
      <c r="M76" s="1579" t="str">
        <f t="shared" ca="1" si="7"/>
        <v>Tier 1</v>
      </c>
      <c r="N76" s="1579" t="str">
        <f ca="1">IF($H$9&gt;=3,INDIRECT("'"&amp;$H$3&amp;"'!M$91"),"")</f>
        <v>Health Facility Tier</v>
      </c>
      <c r="O76" s="1578" t="str">
        <f t="shared" ca="1" si="7"/>
        <v>Tier 1</v>
      </c>
      <c r="P76" s="1578" t="str">
        <f t="shared" ca="1" si="7"/>
        <v>Tier 1</v>
      </c>
      <c r="Q76" s="1578" t="str">
        <f ca="1">IF($H$9&gt;=4,INDIRECT("'"&amp;$H$3&amp;"'!P$91"),"")</f>
        <v/>
      </c>
      <c r="R76" s="1493" t="str">
        <f t="shared" ca="1" si="7"/>
        <v>Tier 1</v>
      </c>
      <c r="S76" s="1580" t="str">
        <f t="shared" ca="1" si="7"/>
        <v>Tier 1</v>
      </c>
      <c r="T76" s="1578" t="str">
        <f ca="1">IF($H$9&gt;=5,INDIRECT("'"&amp;$H$3&amp;"'!S$91"),"")</f>
        <v/>
      </c>
      <c r="U76" s="1580" t="str">
        <f t="shared" ca="1" si="7"/>
        <v>Tier 1</v>
      </c>
      <c r="V76" s="1580" t="str">
        <f t="shared" ca="1" si="7"/>
        <v>Tier 1</v>
      </c>
      <c r="W76" s="1578" t="str">
        <f ca="1">IF($H$9&gt;=6,INDIRECT("'"&amp;$H$3&amp;"'!V$91"),"")</f>
        <v/>
      </c>
      <c r="X76" s="1459"/>
      <c r="Y76" s="380" t="s">
        <v>25</v>
      </c>
    </row>
    <row r="77" spans="5:38">
      <c r="F77" s="351" t="s">
        <v>464</v>
      </c>
      <c r="G77" s="332"/>
      <c r="H77" s="333"/>
      <c r="I77" s="333"/>
      <c r="J77" s="333"/>
      <c r="K77" s="333"/>
      <c r="L77" s="333"/>
      <c r="M77" s="333"/>
      <c r="N77" s="333"/>
      <c r="O77" s="333"/>
      <c r="P77" s="333"/>
      <c r="Q77" s="333"/>
      <c r="R77" s="334"/>
      <c r="S77" s="335"/>
      <c r="T77" s="333"/>
      <c r="U77" s="335"/>
      <c r="V77" s="335"/>
      <c r="W77" s="333"/>
      <c r="X77" s="1459"/>
      <c r="Y77" s="1486"/>
    </row>
    <row r="78" spans="5:38">
      <c r="F78" s="288" t="s">
        <v>28</v>
      </c>
      <c r="G78" s="336"/>
      <c r="H78" s="337">
        <f ca="1">SUM(H$132:H$137)</f>
        <v>356937.61504037399</v>
      </c>
      <c r="I78" s="337"/>
      <c r="J78" s="337"/>
      <c r="K78" s="337">
        <f ca="1">SUM(K$132:K$137)</f>
        <v>281586.00040215149</v>
      </c>
      <c r="L78" s="337"/>
      <c r="M78" s="337"/>
      <c r="N78" s="337">
        <f ca="1">SUM(N$132:N$137)</f>
        <v>244046.7819764734</v>
      </c>
      <c r="O78" s="338"/>
      <c r="P78" s="338"/>
      <c r="Q78" s="337">
        <f ca="1">SUM(Q$132:Q$137)</f>
        <v>0</v>
      </c>
      <c r="R78" s="339"/>
      <c r="S78" s="340"/>
      <c r="T78" s="337">
        <f ca="1">SUM(T$132:T$137)</f>
        <v>0</v>
      </c>
      <c r="U78" s="340"/>
      <c r="V78" s="340"/>
      <c r="W78" s="338">
        <f ca="1">SUM(W$132:W$137)</f>
        <v>0</v>
      </c>
      <c r="X78" s="1420"/>
      <c r="Y78" s="341">
        <f ca="1">SUM(H78:W78)</f>
        <v>882570.39741899888</v>
      </c>
      <c r="Z78" s="1"/>
      <c r="AA78" s="1"/>
      <c r="AL78" s="1"/>
    </row>
    <row r="79" spans="5:38">
      <c r="F79" s="288" t="s">
        <v>29</v>
      </c>
      <c r="G79" s="336"/>
      <c r="H79" s="337">
        <f ca="1">SUM(H99:H127)</f>
        <v>0</v>
      </c>
      <c r="I79" s="337"/>
      <c r="J79" s="337"/>
      <c r="K79" s="337">
        <f ca="1">SUM(K99:K127)</f>
        <v>142180.39789637309</v>
      </c>
      <c r="L79" s="337"/>
      <c r="M79" s="337"/>
      <c r="N79" s="337">
        <f ca="1">SUM(N99:N127)</f>
        <v>329010.63066292467</v>
      </c>
      <c r="O79" s="337"/>
      <c r="P79" s="337"/>
      <c r="Q79" s="337">
        <f ca="1">SUM(Q99:Q127)</f>
        <v>0</v>
      </c>
      <c r="R79" s="339"/>
      <c r="S79" s="340"/>
      <c r="T79" s="337">
        <f ca="1">SUM(T99:T127)</f>
        <v>0</v>
      </c>
      <c r="U79" s="340"/>
      <c r="V79" s="340"/>
      <c r="W79" s="338">
        <f ca="1">SUM(W99:W127)</f>
        <v>0</v>
      </c>
      <c r="X79" s="1420"/>
      <c r="Y79" s="341">
        <f ca="1">SUM(H79:W79)</f>
        <v>471191.02855929779</v>
      </c>
    </row>
    <row r="80" spans="5:38">
      <c r="F80" s="288" t="s">
        <v>84</v>
      </c>
      <c r="G80" s="336"/>
      <c r="H80" s="337">
        <f ca="1">SUM(H139)</f>
        <v>68518.335535384278</v>
      </c>
      <c r="I80" s="337"/>
      <c r="J80" s="337"/>
      <c r="K80" s="337">
        <f ca="1">SUM(K139)</f>
        <v>13104</v>
      </c>
      <c r="L80" s="337"/>
      <c r="M80" s="337"/>
      <c r="N80" s="337">
        <f ca="1">SUM(N139)</f>
        <v>50452.347965689762</v>
      </c>
      <c r="O80" s="338"/>
      <c r="P80" s="338"/>
      <c r="Q80" s="337">
        <f ca="1">SUM(Q139)</f>
        <v>0</v>
      </c>
      <c r="R80" s="339"/>
      <c r="S80" s="340"/>
      <c r="T80" s="337">
        <f ca="1">SUM(T139)</f>
        <v>0</v>
      </c>
      <c r="U80" s="340"/>
      <c r="V80" s="340"/>
      <c r="W80" s="338">
        <f ca="1">SUM(W139)</f>
        <v>0</v>
      </c>
      <c r="X80" s="1420"/>
      <c r="Y80" s="341">
        <f ca="1">SUM(H80:W80)</f>
        <v>132074.68350107403</v>
      </c>
    </row>
    <row r="81" spans="5:38">
      <c r="F81" s="419" t="s">
        <v>33</v>
      </c>
      <c r="G81" s="420"/>
      <c r="H81" s="421">
        <f ca="1">SUM(H78:H80)</f>
        <v>425455.95057575824</v>
      </c>
      <c r="I81" s="421"/>
      <c r="J81" s="421"/>
      <c r="K81" s="421">
        <f ca="1">SUM(K78:K80)</f>
        <v>436870.39829852455</v>
      </c>
      <c r="L81" s="421"/>
      <c r="M81" s="421"/>
      <c r="N81" s="421">
        <f ca="1">SUM(N78:N80)</f>
        <v>623509.76060508785</v>
      </c>
      <c r="O81" s="421"/>
      <c r="P81" s="421"/>
      <c r="Q81" s="421">
        <f t="shared" ref="Q81:W81" ca="1" si="8">SUM(Q78:Q80)</f>
        <v>0</v>
      </c>
      <c r="R81" s="421"/>
      <c r="S81" s="421"/>
      <c r="T81" s="421">
        <f t="shared" ca="1" si="8"/>
        <v>0</v>
      </c>
      <c r="U81" s="421"/>
      <c r="V81" s="421"/>
      <c r="W81" s="422">
        <f t="shared" ca="1" si="8"/>
        <v>0</v>
      </c>
      <c r="X81" s="1460"/>
      <c r="Y81" s="423">
        <f ca="1">SUM(Y78:Y80)</f>
        <v>1485836.1094793708</v>
      </c>
    </row>
    <row r="82" spans="5:38" ht="8.25" customHeight="1">
      <c r="E82" s="348"/>
      <c r="F82" s="348"/>
      <c r="G82" s="348"/>
      <c r="H82" s="349"/>
      <c r="I82" s="349"/>
      <c r="J82" s="349"/>
      <c r="K82" s="349"/>
      <c r="L82" s="349"/>
      <c r="M82" s="349"/>
      <c r="N82" s="349"/>
      <c r="O82" s="349"/>
      <c r="P82" s="349"/>
      <c r="Q82" s="349"/>
      <c r="R82" s="349"/>
      <c r="S82" s="349"/>
      <c r="T82" s="349"/>
      <c r="U82" s="349"/>
      <c r="V82" s="349"/>
      <c r="W82" s="349"/>
      <c r="X82" s="1461"/>
      <c r="Y82" s="350"/>
    </row>
    <row r="83" spans="5:38">
      <c r="F83" s="326" t="s">
        <v>476</v>
      </c>
      <c r="G83" s="332"/>
      <c r="H83" s="342"/>
      <c r="I83" s="342"/>
      <c r="J83" s="342"/>
      <c r="K83" s="342"/>
      <c r="L83" s="342"/>
      <c r="M83" s="342"/>
      <c r="N83" s="342"/>
      <c r="O83" s="342"/>
      <c r="P83" s="342"/>
      <c r="Q83" s="342"/>
      <c r="R83" s="343"/>
      <c r="S83" s="342"/>
      <c r="T83" s="342"/>
      <c r="U83" s="342"/>
      <c r="V83" s="342"/>
      <c r="W83" s="342"/>
      <c r="X83" s="1420"/>
      <c r="Y83" s="344"/>
    </row>
    <row r="84" spans="5:38">
      <c r="F84" s="443" t="s">
        <v>185</v>
      </c>
      <c r="G84" s="336"/>
      <c r="H84" s="337">
        <f ca="1">SUM(H132)</f>
        <v>188138.54967132158</v>
      </c>
      <c r="I84" s="337"/>
      <c r="J84" s="337"/>
      <c r="K84" s="337">
        <f ca="1">SUM(K132)</f>
        <v>177858.49771571273</v>
      </c>
      <c r="L84" s="337"/>
      <c r="M84" s="337"/>
      <c r="N84" s="337">
        <f ca="1">SUM(N132)</f>
        <v>61664.895184020534</v>
      </c>
      <c r="O84" s="337"/>
      <c r="P84" s="337"/>
      <c r="Q84" s="337">
        <f ca="1">SUM(Q132)</f>
        <v>0</v>
      </c>
      <c r="R84" s="337"/>
      <c r="S84" s="337"/>
      <c r="T84" s="337">
        <f ca="1">SUM(T132)</f>
        <v>0</v>
      </c>
      <c r="U84" s="337"/>
      <c r="V84" s="337"/>
      <c r="W84" s="338">
        <f ca="1">SUM(W132)</f>
        <v>0</v>
      </c>
      <c r="X84" s="1420"/>
      <c r="Y84" s="341">
        <f ca="1">SUM(H84:W84)</f>
        <v>427661.94257105479</v>
      </c>
      <c r="AL84" s="4"/>
    </row>
    <row r="85" spans="5:38">
      <c r="F85" s="444" t="s">
        <v>462</v>
      </c>
      <c r="G85" s="336"/>
      <c r="H85" s="337">
        <f ca="1">SUM(H134,H135,H137)</f>
        <v>13329.971374901706</v>
      </c>
      <c r="I85" s="337"/>
      <c r="J85" s="337"/>
      <c r="K85" s="337">
        <f ca="1">SUM(K134,K135,K137)</f>
        <v>26099.093799851336</v>
      </c>
      <c r="L85" s="337"/>
      <c r="M85" s="337"/>
      <c r="N85" s="337">
        <f ca="1">SUM(N134,N135,N137)</f>
        <v>10350</v>
      </c>
      <c r="O85" s="337"/>
      <c r="P85" s="337"/>
      <c r="Q85" s="337">
        <f ca="1">SUM(Q134,Q135,Q137)</f>
        <v>0</v>
      </c>
      <c r="R85" s="337"/>
      <c r="S85" s="337"/>
      <c r="T85" s="337">
        <f ca="1">SUM(T134,T135,T137)</f>
        <v>0</v>
      </c>
      <c r="U85" s="337"/>
      <c r="V85" s="337"/>
      <c r="W85" s="338">
        <f ca="1">SUM(W134,W135,W137)</f>
        <v>0</v>
      </c>
      <c r="X85" s="1420"/>
      <c r="Y85" s="341">
        <f ca="1">SUM(H85:W85)</f>
        <v>49779.065174753043</v>
      </c>
    </row>
    <row r="86" spans="5:38">
      <c r="F86" s="443" t="s">
        <v>478</v>
      </c>
      <c r="G86" s="336"/>
      <c r="H86" s="337">
        <f ca="1">SUM(H133,H136)</f>
        <v>155469.09399415072</v>
      </c>
      <c r="I86" s="337"/>
      <c r="J86" s="337"/>
      <c r="K86" s="337">
        <f ca="1">SUM(K133,K136)</f>
        <v>77628.408886587436</v>
      </c>
      <c r="L86" s="337"/>
      <c r="M86" s="337"/>
      <c r="N86" s="337">
        <f ca="1">SUM(N133,N136)</f>
        <v>172031.88679245286</v>
      </c>
      <c r="O86" s="337"/>
      <c r="P86" s="337"/>
      <c r="Q86" s="337">
        <f ca="1">SUM(Q133,Q136)</f>
        <v>0</v>
      </c>
      <c r="R86" s="337"/>
      <c r="S86" s="337"/>
      <c r="T86" s="337">
        <f ca="1">SUM(T133,T136)</f>
        <v>0</v>
      </c>
      <c r="U86" s="337"/>
      <c r="V86" s="337"/>
      <c r="W86" s="338">
        <f ca="1">SUM(W133,W136)</f>
        <v>0</v>
      </c>
      <c r="X86" s="1420"/>
      <c r="Y86" s="341">
        <f ca="1">SUM(H86:W86)</f>
        <v>405129.38967319101</v>
      </c>
    </row>
    <row r="87" spans="5:38">
      <c r="F87" s="326" t="s">
        <v>477</v>
      </c>
      <c r="G87" s="332"/>
      <c r="H87" s="342"/>
      <c r="I87" s="342"/>
      <c r="J87" s="342"/>
      <c r="K87" s="342"/>
      <c r="L87" s="342"/>
      <c r="M87" s="342"/>
      <c r="N87" s="342"/>
      <c r="O87" s="342"/>
      <c r="P87" s="342"/>
      <c r="Q87" s="342"/>
      <c r="R87" s="343"/>
      <c r="S87" s="342"/>
      <c r="T87" s="342"/>
      <c r="U87" s="342"/>
      <c r="V87" s="342"/>
      <c r="W87" s="342"/>
      <c r="X87" s="1420"/>
      <c r="Y87" s="344"/>
    </row>
    <row r="88" spans="5:38">
      <c r="F88" s="443" t="s">
        <v>185</v>
      </c>
      <c r="G88" s="336"/>
      <c r="H88" s="337">
        <f ca="1">SUM(H101,H111,H121)</f>
        <v>0</v>
      </c>
      <c r="I88" s="337"/>
      <c r="J88" s="337"/>
      <c r="K88" s="337">
        <f ca="1">SUM(K101,K111,K121)</f>
        <v>10259.76</v>
      </c>
      <c r="L88" s="337"/>
      <c r="M88" s="337"/>
      <c r="N88" s="337">
        <f ca="1">SUM(N101,N111,N121)</f>
        <v>56594.16</v>
      </c>
      <c r="O88" s="337"/>
      <c r="P88" s="337"/>
      <c r="Q88" s="337">
        <f ca="1">SUM(Q101,Q111,Q121)</f>
        <v>0</v>
      </c>
      <c r="R88" s="337"/>
      <c r="S88" s="337"/>
      <c r="T88" s="337">
        <f ca="1">SUM(T101,T111,T121)</f>
        <v>0</v>
      </c>
      <c r="U88" s="337"/>
      <c r="V88" s="337"/>
      <c r="W88" s="338">
        <f ca="1">SUM(W101,W111,W121)</f>
        <v>0</v>
      </c>
      <c r="X88" s="1420"/>
      <c r="Y88" s="341">
        <f ca="1">SUM(H88:W88)</f>
        <v>66853.919999999998</v>
      </c>
      <c r="AL88" s="4"/>
    </row>
    <row r="89" spans="5:38">
      <c r="F89" s="444" t="s">
        <v>462</v>
      </c>
      <c r="G89" s="336"/>
      <c r="H89" s="337">
        <f ca="1">SUM(H106,H116,H126)</f>
        <v>0</v>
      </c>
      <c r="I89" s="337"/>
      <c r="J89" s="337"/>
      <c r="K89" s="337">
        <f ca="1">SUM(K106,K116,K126)</f>
        <v>14089.798000000001</v>
      </c>
      <c r="L89" s="337"/>
      <c r="M89" s="337"/>
      <c r="N89" s="337">
        <f ca="1">SUM(N106,N116,N126)</f>
        <v>82074.196795095864</v>
      </c>
      <c r="O89" s="337"/>
      <c r="P89" s="337"/>
      <c r="Q89" s="337">
        <f ca="1">SUM(Q106,Q116,Q126)</f>
        <v>0</v>
      </c>
      <c r="R89" s="337"/>
      <c r="S89" s="337"/>
      <c r="T89" s="337">
        <f ca="1">SUM(T106,T116,T126)</f>
        <v>0</v>
      </c>
      <c r="U89" s="337"/>
      <c r="V89" s="337"/>
      <c r="W89" s="338">
        <f ca="1">SUM(W106,W116,W126)</f>
        <v>0</v>
      </c>
      <c r="X89" s="1420"/>
      <c r="Y89" s="341">
        <f ca="1">SUM(H89:W89)</f>
        <v>96163.994795095859</v>
      </c>
    </row>
    <row r="90" spans="5:38">
      <c r="F90" s="443" t="s">
        <v>471</v>
      </c>
      <c r="G90" s="336"/>
      <c r="H90" s="337">
        <f ca="1">SUM(H102,H112,H122)</f>
        <v>0</v>
      </c>
      <c r="I90" s="337"/>
      <c r="J90" s="337"/>
      <c r="K90" s="337">
        <f ca="1">SUM(K102,K112,K122)</f>
        <v>6510</v>
      </c>
      <c r="L90" s="337"/>
      <c r="M90" s="337"/>
      <c r="N90" s="337">
        <f ca="1">SUM(N102,N112,N122)</f>
        <v>35910</v>
      </c>
      <c r="O90" s="337"/>
      <c r="P90" s="337"/>
      <c r="Q90" s="337">
        <f ca="1">SUM(Q102,Q112,Q122)</f>
        <v>0</v>
      </c>
      <c r="R90" s="337"/>
      <c r="S90" s="337"/>
      <c r="T90" s="337">
        <f ca="1">SUM(T102,T112,T122)</f>
        <v>0</v>
      </c>
      <c r="U90" s="337"/>
      <c r="V90" s="337"/>
      <c r="W90" s="338">
        <f ca="1">SUM(W102,W112,W122)</f>
        <v>0</v>
      </c>
      <c r="X90" s="1420"/>
      <c r="Y90" s="341">
        <f ca="1">SUM(H90:W90)</f>
        <v>42420</v>
      </c>
      <c r="AL90" s="4"/>
    </row>
    <row r="91" spans="5:38">
      <c r="F91" s="445" t="s">
        <v>463</v>
      </c>
      <c r="G91" s="346"/>
      <c r="H91" s="446">
        <f ca="1">SUM(H99:H100,H103:H105,H107,H109:H110,H113:H115,H117,H119:H120,H123:H125,H127)</f>
        <v>0</v>
      </c>
      <c r="I91" s="446"/>
      <c r="J91" s="446"/>
      <c r="K91" s="446">
        <f ca="1">SUM(K99:K100,K103:K105,K107,K109:K110,K113:K115,K117,K119:K120,K123:K125,K127)</f>
        <v>111320.83989637307</v>
      </c>
      <c r="L91" s="446"/>
      <c r="M91" s="446"/>
      <c r="N91" s="446">
        <f ca="1">SUM(N99:N100,N103:N105,N107,N109:N110,N113:N115,N117,N119:N120,N123:N125,N127)</f>
        <v>154432.2738678288</v>
      </c>
      <c r="O91" s="446"/>
      <c r="P91" s="446"/>
      <c r="Q91" s="446">
        <f ca="1">SUM(Q99:Q100,Q103:Q105,Q107,Q109:Q110,Q113:Q115,Q117,Q119:Q120,Q123:Q125,Q127)</f>
        <v>0</v>
      </c>
      <c r="R91" s="446"/>
      <c r="S91" s="446"/>
      <c r="T91" s="446">
        <f ca="1">SUM(T99:T100,T103:T105,T107,T109:T110,T113:T115,T117,T119:T120,T123:T125,T127)</f>
        <v>0</v>
      </c>
      <c r="U91" s="446"/>
      <c r="V91" s="446"/>
      <c r="W91" s="1436">
        <f ca="1">SUM(W99:W100,W103:W105,W107,W109:W110,W113:W115,W117,W119:W120,W123:W125,W127)</f>
        <v>0</v>
      </c>
      <c r="X91" s="1462"/>
      <c r="Y91" s="347">
        <f ca="1">SUM(H91:W91)</f>
        <v>265753.11376420187</v>
      </c>
    </row>
    <row r="92" spans="5:38">
      <c r="F92" s="6"/>
      <c r="G92" s="6"/>
      <c r="S92" s="246"/>
      <c r="T92" s="246"/>
      <c r="U92" s="246"/>
      <c r="V92" s="246"/>
      <c r="W92" s="246"/>
      <c r="X92" s="1420"/>
      <c r="Y92" s="246"/>
      <c r="AL92" s="4"/>
    </row>
    <row r="93" spans="5:38">
      <c r="F93" s="6"/>
      <c r="G93" s="6"/>
      <c r="S93" s="246"/>
      <c r="T93" s="246"/>
      <c r="U93" s="246"/>
      <c r="V93" s="246"/>
      <c r="W93" s="246"/>
      <c r="X93" s="1420"/>
      <c r="Y93" s="246"/>
      <c r="AL93" s="4"/>
    </row>
    <row r="94" spans="5:38">
      <c r="F94" s="6"/>
      <c r="G94" s="6"/>
      <c r="S94" s="246"/>
      <c r="T94" s="246"/>
      <c r="U94" s="246"/>
      <c r="V94" s="246"/>
      <c r="W94" s="246"/>
      <c r="X94" s="1420"/>
      <c r="Y94" s="246"/>
      <c r="AL94" s="4"/>
    </row>
    <row r="95" spans="5:38">
      <c r="F95" s="6"/>
      <c r="G95" s="6"/>
      <c r="S95" s="246"/>
      <c r="T95" s="246"/>
      <c r="U95" s="246"/>
      <c r="V95" s="246"/>
      <c r="W95" s="246"/>
      <c r="X95" s="1420"/>
      <c r="Y95" s="246"/>
      <c r="AL95" s="4"/>
    </row>
    <row r="96" spans="5:38" ht="18.45">
      <c r="E96" s="415" t="s">
        <v>460</v>
      </c>
      <c r="F96" s="324"/>
      <c r="G96" s="995"/>
      <c r="H96" s="996"/>
      <c r="I96" s="996"/>
      <c r="J96" s="996"/>
      <c r="K96" s="996"/>
      <c r="L96" s="996"/>
      <c r="M96" s="996"/>
      <c r="N96" s="996"/>
      <c r="O96" s="996"/>
      <c r="P96" s="996"/>
      <c r="Q96" s="996"/>
      <c r="R96" s="996"/>
      <c r="S96" s="996"/>
      <c r="T96" s="996"/>
      <c r="U96" s="996"/>
      <c r="V96" s="996"/>
      <c r="W96" s="996"/>
      <c r="X96" s="1428"/>
      <c r="Y96" s="1490"/>
      <c r="AL96" s="4"/>
    </row>
    <row r="97" spans="6:38" ht="30" customHeight="1">
      <c r="F97" s="994"/>
      <c r="G97" s="994"/>
      <c r="H97" s="1501"/>
      <c r="I97" s="1501" t="str">
        <f t="shared" ref="I97:V97" ca="1" si="9">IF($H$9&gt;=1,"Tier 1","")</f>
        <v>Tier 1</v>
      </c>
      <c r="J97" s="1501" t="str">
        <f t="shared" ca="1" si="9"/>
        <v>Tier 1</v>
      </c>
      <c r="K97" s="1502" t="str">
        <f ca="1">IF($H$9&gt;=2,INDIRECT("'"&amp;$H$3&amp;"'!J$130"),"")</f>
        <v>CMS  to  Regional WH</v>
      </c>
      <c r="L97" s="1502" t="str">
        <f t="shared" ca="1" si="9"/>
        <v>Tier 1</v>
      </c>
      <c r="M97" s="1502" t="str">
        <f t="shared" ca="1" si="9"/>
        <v>Tier 1</v>
      </c>
      <c r="N97" s="1502" t="str">
        <f ca="1">IF($H$9&gt;=3,INDIRECT("'"&amp;$H$3&amp;"'!M$130"),"")</f>
        <v>Regional WH  to  Health Facility</v>
      </c>
      <c r="O97" s="1502" t="str">
        <f t="shared" ca="1" si="9"/>
        <v>Tier 1</v>
      </c>
      <c r="P97" s="1502" t="str">
        <f t="shared" ca="1" si="9"/>
        <v>Tier 1</v>
      </c>
      <c r="Q97" s="1502" t="str">
        <f ca="1">IF($H$9&gt;=4,INDIRECT("'"&amp;$H$3&amp;"'!P$130"),"")</f>
        <v/>
      </c>
      <c r="R97" s="1503" t="str">
        <f t="shared" ca="1" si="9"/>
        <v>Tier 1</v>
      </c>
      <c r="S97" s="1504" t="str">
        <f t="shared" ca="1" si="9"/>
        <v>Tier 1</v>
      </c>
      <c r="T97" s="1502" t="str">
        <f ca="1">IF($H$9&gt;=5,INDIRECT("'"&amp;$H$3&amp;"'!S$130"),"")</f>
        <v/>
      </c>
      <c r="U97" s="1504" t="str">
        <f t="shared" ca="1" si="9"/>
        <v>Tier 1</v>
      </c>
      <c r="V97" s="1504" t="str">
        <f t="shared" ca="1" si="9"/>
        <v>Tier 1</v>
      </c>
      <c r="W97" s="1505" t="str">
        <f ca="1">IF($H$9&gt;=6,INDIRECT("'"&amp;$H$3&amp;"'!V$130"),"")</f>
        <v/>
      </c>
      <c r="X97" s="1459"/>
      <c r="Y97" s="1488" t="s">
        <v>25</v>
      </c>
    </row>
    <row r="98" spans="6:38">
      <c r="F98" s="352" t="s">
        <v>2442</v>
      </c>
      <c r="G98" s="353"/>
      <c r="H98" s="354"/>
      <c r="I98" s="354"/>
      <c r="J98" s="354"/>
      <c r="K98" s="354"/>
      <c r="L98" s="354"/>
      <c r="M98" s="354"/>
      <c r="N98" s="354"/>
      <c r="O98" s="354"/>
      <c r="P98" s="354"/>
      <c r="Q98" s="354"/>
      <c r="R98" s="354"/>
      <c r="S98" s="355"/>
      <c r="T98" s="354"/>
      <c r="U98" s="355"/>
      <c r="V98" s="355"/>
      <c r="W98" s="383"/>
      <c r="Y98" s="355">
        <f ca="1">SUM(Y99:Y107)</f>
        <v>222108.85711184109</v>
      </c>
    </row>
    <row r="99" spans="6:38">
      <c r="F99" s="288"/>
      <c r="G99" s="356" t="s">
        <v>48</v>
      </c>
      <c r="H99" s="300">
        <f ca="1">IFERROR((1-INDIRECT("'"&amp;$H$3&amp;"'!H$207"))*IF(INDIRECT("'"&amp;$H$3&amp;"'!H$201")='List Values'!$E$5,INDIRECT("'"&amp;$H$3&amp;"'!H$203")*IF(INDIRECT("'"&amp;$H$3&amp;"'!H$202")='List Values'!$F$3,H$280,IF(INDIRECT("'"&amp;$H$3&amp;"'!H$202")='List Values'!$F$4,'2_Outputs'!H$52*INDIRECT("'"&amp;$H$3&amp;"'!H$95")*INDIRECT("'"&amp;$H$3&amp;"'!H$199"),IF(INDIRECT("'"&amp;$H$3&amp;"'!H$202")='List Values'!$F$5,H$281,IF(INDIRECT("'"&amp;$H$3&amp;"'!H$202")='List Values'!$F$6,INDIRECT("'"&amp;$H$3&amp;"'!H$95")*INDIRECT("'"&amp;$H$3&amp;"'!H$199"),IF(INDIRECT("'"&amp;$H$3&amp;"'!H$202")='List Values'!$F$7,1,0))))),0),0)
+IFERROR((1-INDIRECT("'"&amp;$H$3&amp;"'!H$227"))*IF(INDIRECT("'"&amp;$H$3&amp;"'!H$221")='List Values'!$E$5,INDIRECT("'"&amp;$H$3&amp;"'!H$223")*IF(INDIRECT("'"&amp;$H$3&amp;"'!H$222")='List Values'!$F$3,H$309,IF(INDIRECT("'"&amp;$H$3&amp;"'!H$222")='List Values'!$F$4,'2_Outputs'!H$52*INDIRECT("'"&amp;$H$3&amp;"'!H$95")*INDIRECT("'"&amp;$H$3&amp;"'!H$219"),IF(INDIRECT("'"&amp;$H$3&amp;"'!H$222")='List Values'!$F$5,H$310,IF(INDIRECT("'"&amp;$H$3&amp;"'!H$222")='List Values'!$F$6,INDIRECT("'"&amp;$H$3&amp;"'!H$95")*INDIRECT("'"&amp;$H$3&amp;"'!H$219"),IF(INDIRECT("'"&amp;$H$3&amp;"'!H$222")='List Values'!$F$7,1,0))))),0),0)
+IFERROR((1-INDIRECT("'"&amp;$H$3&amp;"'!H$247"))*IF(INDIRECT("'"&amp;$H$3&amp;"'!H$241")='List Values'!$E$5,INDIRECT("'"&amp;$H$3&amp;"'!H$243")*IF(INDIRECT("'"&amp;$H$3&amp;"'!H$242")='List Values'!$F$3,H$338,IF(INDIRECT("'"&amp;$H$3&amp;"'!H$242")='List Values'!$F$4,'2_Outputs'!H$52*INDIRECT("'"&amp;$H$3&amp;"'!H$95")*INDIRECT("'"&amp;$H$3&amp;"'!H$239"),IF(INDIRECT("'"&amp;$H$3&amp;"'!H$242")='List Values'!$F$5,H$339,IF(INDIRECT("'"&amp;$H$3&amp;"'!H$242")='List Values'!$F$6,INDIRECT("'"&amp;$H$3&amp;"'!H$95")*INDIRECT("'"&amp;$H$3&amp;"'!H$239"),IF(INDIRECT("'"&amp;$H$3&amp;"'!H$242")='List Values'!$F$7,1,0))))),0),0)</f>
        <v>0</v>
      </c>
      <c r="I99" s="300"/>
      <c r="J99" s="300"/>
      <c r="K99" s="300">
        <f ca="1">IFERROR((1-INDIRECT("'"&amp;$H$3&amp;"'!K$207"))*IF(INDIRECT("'"&amp;$H$3&amp;"'!K$201")='List Values'!$E$5,INDIRECT("'"&amp;$H$3&amp;"'!K$203")*IF(INDIRECT("'"&amp;$H$3&amp;"'!K$202")='List Values'!$F$3,K$280,IF(INDIRECT("'"&amp;$H$3&amp;"'!K$202")='List Values'!$F$4,'2_Outputs'!K$52*INDIRECT("'"&amp;$H$3&amp;"'!K$95")*INDIRECT("'"&amp;$H$3&amp;"'!K$199"),IF(INDIRECT("'"&amp;$H$3&amp;"'!K$202")='List Values'!$F$5,K$281,IF(INDIRECT("'"&amp;$H$3&amp;"'!K$202")='List Values'!$F$6,INDIRECT("'"&amp;$H$3&amp;"'!K$95")*INDIRECT("'"&amp;$H$3&amp;"'!K$199"),IF(INDIRECT("'"&amp;$H$3&amp;"'!K$202")='List Values'!$F$7,1,0))))),0),0)
+IFERROR((1-INDIRECT("'"&amp;$H$3&amp;"'!K$227"))*IF(INDIRECT("'"&amp;$H$3&amp;"'!K$221")='List Values'!$E$5,INDIRECT("'"&amp;$H$3&amp;"'!K$223")*IF(INDIRECT("'"&amp;$H$3&amp;"'!K$222")='List Values'!$F$3,K$309,IF(INDIRECT("'"&amp;$H$3&amp;"'!K$222")='List Values'!$F$4,'2_Outputs'!K$52*INDIRECT("'"&amp;$H$3&amp;"'!K$95")*INDIRECT("'"&amp;$H$3&amp;"'!K$219"),IF(INDIRECT("'"&amp;$H$3&amp;"'!K$222")='List Values'!$F$5,K$310,IF(INDIRECT("'"&amp;$H$3&amp;"'!K$222")='List Values'!$F$6,INDIRECT("'"&amp;$H$3&amp;"'!K$95")*INDIRECT("'"&amp;$H$3&amp;"'!K$219"),IF(INDIRECT("'"&amp;$H$3&amp;"'!K$222")='List Values'!$F$7,1,0))))),0),0)
+IFERROR((1-INDIRECT("'"&amp;$H$3&amp;"'!K$247"))*IF(INDIRECT("'"&amp;$H$3&amp;"'!K$241")='List Values'!$E$5,INDIRECT("'"&amp;$H$3&amp;"'!K$243")*IF(INDIRECT("'"&amp;$H$3&amp;"'!K$242")='List Values'!$F$3,K$338,IF(INDIRECT("'"&amp;$H$3&amp;"'!K$242")='List Values'!$F$4,'2_Outputs'!K$52*INDIRECT("'"&amp;$H$3&amp;"'!K$95")*INDIRECT("'"&amp;$H$3&amp;"'!K$239"),IF(INDIRECT("'"&amp;$H$3&amp;"'!K$242")='List Values'!$F$5,K$339,IF(INDIRECT("'"&amp;$H$3&amp;"'!K$242")='List Values'!$F$6,INDIRECT("'"&amp;$H$3&amp;"'!K$95")*INDIRECT("'"&amp;$H$3&amp;"'!K$239"),IF(INDIRECT("'"&amp;$H$3&amp;"'!K$242")='List Values'!$F$7,1,0))))),0),0)</f>
        <v>0</v>
      </c>
      <c r="L99" s="300"/>
      <c r="M99" s="300"/>
      <c r="N99" s="300">
        <f ca="1">IFERROR((1-INDIRECT("'"&amp;$H$3&amp;"'!N$207"))*IF(INDIRECT("'"&amp;$H$3&amp;"'!N$201")='List Values'!$E$5,INDIRECT("'"&amp;$H$3&amp;"'!N$203")*IF(INDIRECT("'"&amp;$H$3&amp;"'!N$202")='List Values'!$F$3,N$280,IF(INDIRECT("'"&amp;$H$3&amp;"'!N$202")='List Values'!$F$4,'2_Outputs'!N$52*INDIRECT("'"&amp;$H$3&amp;"'!N$95")*INDIRECT("'"&amp;$H$3&amp;"'!N$199"),IF(INDIRECT("'"&amp;$H$3&amp;"'!N$202")='List Values'!$F$5,N$281,IF(INDIRECT("'"&amp;$H$3&amp;"'!N$202")='List Values'!$F$6,INDIRECT("'"&amp;$H$3&amp;"'!N$95")*INDIRECT("'"&amp;$H$3&amp;"'!N$199"),IF(INDIRECT("'"&amp;$H$3&amp;"'!N$202")='List Values'!$F$7,1,0))))),0),0)
+IFERROR((1-INDIRECT("'"&amp;$H$3&amp;"'!N$227"))*IF(INDIRECT("'"&amp;$H$3&amp;"'!N$221")='List Values'!$E$5,INDIRECT("'"&amp;$H$3&amp;"'!N$223")*IF(INDIRECT("'"&amp;$H$3&amp;"'!N$222")='List Values'!$F$3,N$309,IF(INDIRECT("'"&amp;$H$3&amp;"'!N$222")='List Values'!$F$4,'2_Outputs'!N$52*INDIRECT("'"&amp;$H$3&amp;"'!N$95")*INDIRECT("'"&amp;$H$3&amp;"'!N$219"),IF(INDIRECT("'"&amp;$H$3&amp;"'!N$222")='List Values'!$F$5,N$310,IF(INDIRECT("'"&amp;$H$3&amp;"'!N$222")='List Values'!$F$6,INDIRECT("'"&amp;$H$3&amp;"'!N$95")*INDIRECT("'"&amp;$H$3&amp;"'!N$219"),IF(INDIRECT("'"&amp;$H$3&amp;"'!N$222")='List Values'!$F$7,1,0))))),0),0)
+IFERROR((1-INDIRECT("'"&amp;$H$3&amp;"'!N$247"))*IF(INDIRECT("'"&amp;$H$3&amp;"'!N$241")='List Values'!$E$5,INDIRECT("'"&amp;$H$3&amp;"'!N$243")*IF(INDIRECT("'"&amp;$H$3&amp;"'!N$242")='List Values'!$F$3,N$338,IF(INDIRECT("'"&amp;$H$3&amp;"'!N$242")='List Values'!$F$4,'2_Outputs'!N$52*INDIRECT("'"&amp;$H$3&amp;"'!N$95")*INDIRECT("'"&amp;$H$3&amp;"'!N$239"),IF(INDIRECT("'"&amp;$H$3&amp;"'!N$242")='List Values'!$F$5,N$339,IF(INDIRECT("'"&amp;$H$3&amp;"'!N$242")='List Values'!$F$6,INDIRECT("'"&amp;$H$3&amp;"'!N$95")*INDIRECT("'"&amp;$H$3&amp;"'!N$239"),IF(INDIRECT("'"&amp;$H$3&amp;"'!N$242")='List Values'!$F$7,1,0))))),0),0)</f>
        <v>0</v>
      </c>
      <c r="O99" s="300"/>
      <c r="P99" s="300"/>
      <c r="Q99" s="300">
        <f ca="1">IFERROR((1-INDIRECT("'"&amp;$H$3&amp;"'!Q$207"))*IF(INDIRECT("'"&amp;$H$3&amp;"'!Q$201")='List Values'!$E$5,INDIRECT("'"&amp;$H$3&amp;"'!Q$203")*IF(INDIRECT("'"&amp;$H$3&amp;"'!Q$202")='List Values'!$F$3,Q$280,IF(INDIRECT("'"&amp;$H$3&amp;"'!Q$202")='List Values'!$F$4,'2_Outputs'!Q$52*INDIRECT("'"&amp;$H$3&amp;"'!Q$95")*INDIRECT("'"&amp;$H$3&amp;"'!Q$199"),IF(INDIRECT("'"&amp;$H$3&amp;"'!Q$202")='List Values'!$F$5,Q$281,IF(INDIRECT("'"&amp;$H$3&amp;"'!Q$202")='List Values'!$F$6,INDIRECT("'"&amp;$H$3&amp;"'!Q$95")*INDIRECT("'"&amp;$H$3&amp;"'!Q$199"),IF(INDIRECT("'"&amp;$H$3&amp;"'!Q$202")='List Values'!$F$7,1,0))))),0),0)
+IFERROR((1-INDIRECT("'"&amp;$H$3&amp;"'!Q$227"))*IF(INDIRECT("'"&amp;$H$3&amp;"'!Q$221")='List Values'!$E$5,INDIRECT("'"&amp;$H$3&amp;"'!Q$223")*IF(INDIRECT("'"&amp;$H$3&amp;"'!Q$222")='List Values'!$F$3,Q$309,IF(INDIRECT("'"&amp;$H$3&amp;"'!Q$222")='List Values'!$F$4,'2_Outputs'!Q$52*INDIRECT("'"&amp;$H$3&amp;"'!Q$95")*INDIRECT("'"&amp;$H$3&amp;"'!Q$219"),IF(INDIRECT("'"&amp;$H$3&amp;"'!Q$222")='List Values'!$F$5,Q$310,IF(INDIRECT("'"&amp;$H$3&amp;"'!Q$222")='List Values'!$F$6,INDIRECT("'"&amp;$H$3&amp;"'!Q$95")*INDIRECT("'"&amp;$H$3&amp;"'!Q$219"),IF(INDIRECT("'"&amp;$H$3&amp;"'!Q$222")='List Values'!$F$7,1,0))))),0),0)
+IFERROR((1-INDIRECT("'"&amp;$H$3&amp;"'!Q$247"))*IF(INDIRECT("'"&amp;$H$3&amp;"'!Q$241")='List Values'!$E$5,INDIRECT("'"&amp;$H$3&amp;"'!Q$243")*IF(INDIRECT("'"&amp;$H$3&amp;"'!Q$242")='List Values'!$F$3,Q$338,IF(INDIRECT("'"&amp;$H$3&amp;"'!Q$242")='List Values'!$F$4,'2_Outputs'!Q$52*INDIRECT("'"&amp;$H$3&amp;"'!Q$95")*INDIRECT("'"&amp;$H$3&amp;"'!Q$239"),IF(INDIRECT("'"&amp;$H$3&amp;"'!Q$242")='List Values'!$F$5,Q$339,IF(INDIRECT("'"&amp;$H$3&amp;"'!Q$242")='List Values'!$F$6,INDIRECT("'"&amp;$H$3&amp;"'!Q$95")*INDIRECT("'"&amp;$H$3&amp;"'!Q$239"),IF(INDIRECT("'"&amp;$H$3&amp;"'!Q$242")='List Values'!$F$7,1,0))))),0),0)</f>
        <v>0</v>
      </c>
      <c r="R99" s="300"/>
      <c r="S99" s="337"/>
      <c r="T99" s="300">
        <f ca="1">IFERROR((1-INDIRECT("'"&amp;$H$3&amp;"'!T$207"))*IF(INDIRECT("'"&amp;$H$3&amp;"'!T$201")='List Values'!$E$5,INDIRECT("'"&amp;$H$3&amp;"'!T$203")*IF(INDIRECT("'"&amp;$H$3&amp;"'!T$202")='List Values'!$F$3,T$280,IF(INDIRECT("'"&amp;$H$3&amp;"'!T$202")='List Values'!$F$4,'2_Outputs'!T$52*INDIRECT("'"&amp;$H$3&amp;"'!T$95")*INDIRECT("'"&amp;$H$3&amp;"'!T$199"),IF(INDIRECT("'"&amp;$H$3&amp;"'!T$202")='List Values'!$F$5,T$281,IF(INDIRECT("'"&amp;$H$3&amp;"'!T$202")='List Values'!$F$6,INDIRECT("'"&amp;$H$3&amp;"'!T$95")*INDIRECT("'"&amp;$H$3&amp;"'!T$199"),IF(INDIRECT("'"&amp;$H$3&amp;"'!T$202")='List Values'!$F$7,1,0))))),0),0)
+IFERROR((1-INDIRECT("'"&amp;$H$3&amp;"'!T$227"))*IF(INDIRECT("'"&amp;$H$3&amp;"'!T$221")='List Values'!$E$5,INDIRECT("'"&amp;$H$3&amp;"'!T$223")*IF(INDIRECT("'"&amp;$H$3&amp;"'!T$222")='List Values'!$F$3,T$309,IF(INDIRECT("'"&amp;$H$3&amp;"'!T$222")='List Values'!$F$4,'2_Outputs'!T$52*INDIRECT("'"&amp;$H$3&amp;"'!T$95")*INDIRECT("'"&amp;$H$3&amp;"'!T$219"),IF(INDIRECT("'"&amp;$H$3&amp;"'!T$222")='List Values'!$F$5,T$310,IF(INDIRECT("'"&amp;$H$3&amp;"'!T$222")='List Values'!$F$6,INDIRECT("'"&amp;$H$3&amp;"'!T$95")*INDIRECT("'"&amp;$H$3&amp;"'!T$219"),IF(INDIRECT("'"&amp;$H$3&amp;"'!T$222")='List Values'!$F$7,1,0))))),0),0)
+IFERROR((1-INDIRECT("'"&amp;$H$3&amp;"'!T$247"))*IF(INDIRECT("'"&amp;$H$3&amp;"'!T$241")='List Values'!$E$5,INDIRECT("'"&amp;$H$3&amp;"'!T$243")*IF(INDIRECT("'"&amp;$H$3&amp;"'!T$242")='List Values'!$F$3,T$338,IF(INDIRECT("'"&amp;$H$3&amp;"'!T$242")='List Values'!$F$4,'2_Outputs'!T$52*INDIRECT("'"&amp;$H$3&amp;"'!T$95")*INDIRECT("'"&amp;$H$3&amp;"'!T$239"),IF(INDIRECT("'"&amp;$H$3&amp;"'!T$242")='List Values'!$F$5,T$339,IF(INDIRECT("'"&amp;$H$3&amp;"'!T$242")='List Values'!$F$6,INDIRECT("'"&amp;$H$3&amp;"'!T$95")*INDIRECT("'"&amp;$H$3&amp;"'!T$239"),IF(INDIRECT("'"&amp;$H$3&amp;"'!T$242")='List Values'!$F$7,1,0))))),0),0)</f>
        <v>0</v>
      </c>
      <c r="U99" s="337"/>
      <c r="V99" s="337"/>
      <c r="W99" s="1437">
        <f ca="1">IFERROR((1-INDIRECT("'"&amp;$H$3&amp;"'!W$207"))*IF(INDIRECT("'"&amp;$H$3&amp;"'!W$201")='List Values'!$E$5,INDIRECT("'"&amp;$H$3&amp;"'!W$203")*IF(INDIRECT("'"&amp;$H$3&amp;"'!W$202")='List Values'!$F$3,W$280,IF(INDIRECT("'"&amp;$H$3&amp;"'!W$202")='List Values'!$F$4,'2_Outputs'!W$52*INDIRECT("'"&amp;$H$3&amp;"'!W$95")*INDIRECT("'"&amp;$H$3&amp;"'!W$199"),IF(INDIRECT("'"&amp;$H$3&amp;"'!W$202")='List Values'!$F$5,W$281,IF(INDIRECT("'"&amp;$H$3&amp;"'!W$202")='List Values'!$F$6,INDIRECT("'"&amp;$H$3&amp;"'!W$95")*INDIRECT("'"&amp;$H$3&amp;"'!W$199"),IF(INDIRECT("'"&amp;$H$3&amp;"'!W$202")='List Values'!$F$7,1,0))))),0),0)
+IFERROR((1-INDIRECT("'"&amp;$H$3&amp;"'!W$227"))*IF(INDIRECT("'"&amp;$H$3&amp;"'!W$221")='List Values'!$E$5,INDIRECT("'"&amp;$H$3&amp;"'!W$223")*IF(INDIRECT("'"&amp;$H$3&amp;"'!W$222")='List Values'!$F$3,W$309,IF(INDIRECT("'"&amp;$H$3&amp;"'!W$222")='List Values'!$F$4,'2_Outputs'!W$52*INDIRECT("'"&amp;$H$3&amp;"'!W$95")*INDIRECT("'"&amp;$H$3&amp;"'!W$219"),IF(INDIRECT("'"&amp;$H$3&amp;"'!W$222")='List Values'!$F$5,W$310,IF(INDIRECT("'"&amp;$H$3&amp;"'!W$222")='List Values'!$F$6,INDIRECT("'"&amp;$H$3&amp;"'!W$95")*INDIRECT("'"&amp;$H$3&amp;"'!W$219"),IF(INDIRECT("'"&amp;$H$3&amp;"'!W$222")='List Values'!$F$7,1,0))))),0),0)
+IFERROR((1-INDIRECT("'"&amp;$H$3&amp;"'!W$247"))*IF(INDIRECT("'"&amp;$H$3&amp;"'!W$241")='List Values'!$E$5,INDIRECT("'"&amp;$H$3&amp;"'!W$243")*IF(INDIRECT("'"&amp;$H$3&amp;"'!W$242")='List Values'!$F$3,W$338,IF(INDIRECT("'"&amp;$H$3&amp;"'!W$242")='List Values'!$F$4,'2_Outputs'!W$52*INDIRECT("'"&amp;$H$3&amp;"'!W$95")*INDIRECT("'"&amp;$H$3&amp;"'!W$239"),IF(INDIRECT("'"&amp;$H$3&amp;"'!W$242")='List Values'!$F$5,W$339,IF(INDIRECT("'"&amp;$H$3&amp;"'!W$242")='List Values'!$F$6,INDIRECT("'"&amp;$H$3&amp;"'!W$95")*INDIRECT("'"&amp;$H$3&amp;"'!W$239"),IF(INDIRECT("'"&amp;$H$3&amp;"'!W$242")='List Values'!$F$7,1,0))))),0),0)</f>
        <v>0</v>
      </c>
      <c r="Y99" s="341">
        <f t="shared" ref="Y99:Y107" ca="1" si="10">SUM(H99:W99)</f>
        <v>0</v>
      </c>
    </row>
    <row r="100" spans="6:38">
      <c r="F100" s="298"/>
      <c r="G100" s="298" t="s">
        <v>226</v>
      </c>
      <c r="H100" s="300">
        <f ca="1">IFERROR((1-INDIRECT("'"&amp;$H$3&amp;"'!H$207"))*IF(INDIRECT("'"&amp;$H$3&amp;"'!H$201")='List Values'!$E$4,INDIRECT("'"&amp;$H$3&amp;"'!H$203")*IF(INDIRECT("'"&amp;$H$3&amp;"'!H$202")='List Values'!$F$3,H$280,IF(INDIRECT("'"&amp;$H$3&amp;"'!H$202")='List Values'!$F$4,'2_Outputs'!H$52*INDIRECT("'"&amp;$H$3&amp;"'!H$95")*INDIRECT("'"&amp;$H$3&amp;"'!H$199"),IF(INDIRECT("'"&amp;$H$3&amp;"'!H$202")='List Values'!$F$5,H$281,IF(INDIRECT("'"&amp;$H$3&amp;"'!H$202")='List Values'!$F$6,INDIRECT("'"&amp;$H$3&amp;"'!H$95")*INDIRECT("'"&amp;$H$3&amp;"'!H$199"),IF(INDIRECT("'"&amp;$H$3&amp;"'!H$202")='List Values'!$F$7,1,0))))),0),0)
+IFERROR((1-INDIRECT("'"&amp;$H$3&amp;"'!H$227"))*IF(INDIRECT("'"&amp;$H$3&amp;"'!H$221")='List Values'!$E$4,INDIRECT("'"&amp;$H$3&amp;"'!H$223")*IF(INDIRECT("'"&amp;$H$3&amp;"'!H$222")='List Values'!$F$3,H$309,IF(INDIRECT("'"&amp;$H$3&amp;"'!H$222")='List Values'!$F$4,'2_Outputs'!H$52*INDIRECT("'"&amp;$H$3&amp;"'!H$95")*INDIRECT("'"&amp;$H$3&amp;"'!H$219"),IF(INDIRECT("'"&amp;$H$3&amp;"'!H$222")='List Values'!$F$5,H$310,IF(INDIRECT("'"&amp;$H$3&amp;"'!H$222")='List Values'!$F$6,INDIRECT("'"&amp;$H$3&amp;"'!H$95")*INDIRECT("'"&amp;$H$3&amp;"'!H$219"),IF(INDIRECT("'"&amp;$H$3&amp;"'!H$222")='List Values'!$F$7,1,0))))),0),0)
+IFERROR((1-INDIRECT("'"&amp;$H$3&amp;"'!H$247"))*IF(INDIRECT("'"&amp;$H$3&amp;"'!H$241")='List Values'!$E$4,INDIRECT("'"&amp;$H$3&amp;"'!H$243")*IF(INDIRECT("'"&amp;$H$3&amp;"'!H$242")='List Values'!$F$3,H$338,IF(INDIRECT("'"&amp;$H$3&amp;"'!H$242")='List Values'!$F$4,'2_Outputs'!H$52*INDIRECT("'"&amp;$H$3&amp;"'!H$95")*INDIRECT("'"&amp;$H$3&amp;"'!H$239"),IF(INDIRECT("'"&amp;$H$3&amp;"'!H$242")='List Values'!$F$5,H$339,IF(INDIRECT("'"&amp;$H$3&amp;"'!H$242")='List Values'!$F$6,INDIRECT("'"&amp;$H$3&amp;"'!H$95")*INDIRECT("'"&amp;$H$3&amp;"'!H$239"),IF(INDIRECT("'"&amp;$H$3&amp;"'!H$242")='List Values'!$F$7,1,0))))),0),0)</f>
        <v>0</v>
      </c>
      <c r="I100" s="300"/>
      <c r="J100" s="300"/>
      <c r="K100" s="300">
        <f ca="1">IFERROR((1-INDIRECT("'"&amp;$H$3&amp;"'!K$207"))*IF(INDIRECT("'"&amp;$H$3&amp;"'!K$201")='List Values'!$E$4,INDIRECT("'"&amp;$H$3&amp;"'!K$203")*IF(INDIRECT("'"&amp;$H$3&amp;"'!K$202")='List Values'!$F$3,K$280,IF(INDIRECT("'"&amp;$H$3&amp;"'!K$202")='List Values'!$F$4,'2_Outputs'!K$52*INDIRECT("'"&amp;$H$3&amp;"'!K$95")*INDIRECT("'"&amp;$H$3&amp;"'!K$199"),IF(INDIRECT("'"&amp;$H$3&amp;"'!K$202")='List Values'!$F$5,K$281,IF(INDIRECT("'"&amp;$H$3&amp;"'!K$202")='List Values'!$F$6,INDIRECT("'"&amp;$H$3&amp;"'!K$95")*INDIRECT("'"&amp;$H$3&amp;"'!K$199"),IF(INDIRECT("'"&amp;$H$3&amp;"'!K$202")='List Values'!$F$7,1,0))))),0),0)
+IFERROR((1-INDIRECT("'"&amp;$H$3&amp;"'!K$227"))*IF(INDIRECT("'"&amp;$H$3&amp;"'!K$221")='List Values'!$E$4,INDIRECT("'"&amp;$H$3&amp;"'!K$223")*IF(INDIRECT("'"&amp;$H$3&amp;"'!K$222")='List Values'!$F$3,K$309,IF(INDIRECT("'"&amp;$H$3&amp;"'!K$222")='List Values'!$F$4,'2_Outputs'!K$52*INDIRECT("'"&amp;$H$3&amp;"'!K$95")*INDIRECT("'"&amp;$H$3&amp;"'!K$219"),IF(INDIRECT("'"&amp;$H$3&amp;"'!K$222")='List Values'!$F$5,K$310,IF(INDIRECT("'"&amp;$H$3&amp;"'!K$222")='List Values'!$F$6,INDIRECT("'"&amp;$H$3&amp;"'!K$95")*INDIRECT("'"&amp;$H$3&amp;"'!K$219"),IF(INDIRECT("'"&amp;$H$3&amp;"'!K$222")='List Values'!$F$7,1,0))))),0),0)
+IFERROR((1-INDIRECT("'"&amp;$H$3&amp;"'!K$247"))*IF(INDIRECT("'"&amp;$H$3&amp;"'!K$241")='List Values'!$E$4,INDIRECT("'"&amp;$H$3&amp;"'!K$243")*IF(INDIRECT("'"&amp;$H$3&amp;"'!K$242")='List Values'!$F$3,K$338,IF(INDIRECT("'"&amp;$H$3&amp;"'!K$242")='List Values'!$F$4,'2_Outputs'!K$52*INDIRECT("'"&amp;$H$3&amp;"'!K$95")*INDIRECT("'"&amp;$H$3&amp;"'!K$239"),IF(INDIRECT("'"&amp;$H$3&amp;"'!K$242")='List Values'!$F$5,K$339,IF(INDIRECT("'"&amp;$H$3&amp;"'!K$242")='List Values'!$F$6,INDIRECT("'"&amp;$H$3&amp;"'!K$95")*INDIRECT("'"&amp;$H$3&amp;"'!K$239"),IF(INDIRECT("'"&amp;$H$3&amp;"'!K$242")='List Values'!$F$7,1,0))))),0),0)</f>
        <v>0</v>
      </c>
      <c r="L100" s="300"/>
      <c r="M100" s="300"/>
      <c r="N100" s="300">
        <f ca="1">IFERROR((1-INDIRECT("'"&amp;$H$3&amp;"'!N$207"))*IF(INDIRECT("'"&amp;$H$3&amp;"'!N$201")='List Values'!$E$4,INDIRECT("'"&amp;$H$3&amp;"'!N$203")*IF(INDIRECT("'"&amp;$H$3&amp;"'!N$202")='List Values'!$F$3,N$280,IF(INDIRECT("'"&amp;$H$3&amp;"'!N$202")='List Values'!$F$4,'2_Outputs'!N$52*INDIRECT("'"&amp;$H$3&amp;"'!N$95")*INDIRECT("'"&amp;$H$3&amp;"'!N$199"),IF(INDIRECT("'"&amp;$H$3&amp;"'!N$202")='List Values'!$F$5,N$281,IF(INDIRECT("'"&amp;$H$3&amp;"'!N$202")='List Values'!$F$6,INDIRECT("'"&amp;$H$3&amp;"'!N$95")*INDIRECT("'"&amp;$H$3&amp;"'!N$199"),IF(INDIRECT("'"&amp;$H$3&amp;"'!N$202")='List Values'!$F$7,1,0))))),0),0)
+IFERROR((1-INDIRECT("'"&amp;$H$3&amp;"'!N$227"))*IF(INDIRECT("'"&amp;$H$3&amp;"'!N$221")='List Values'!$E$4,INDIRECT("'"&amp;$H$3&amp;"'!N$223")*IF(INDIRECT("'"&amp;$H$3&amp;"'!N$222")='List Values'!$F$3,N$309,IF(INDIRECT("'"&amp;$H$3&amp;"'!N$222")='List Values'!$F$4,'2_Outputs'!N$52*INDIRECT("'"&amp;$H$3&amp;"'!N$95")*INDIRECT("'"&amp;$H$3&amp;"'!N$219"),IF(INDIRECT("'"&amp;$H$3&amp;"'!N$222")='List Values'!$F$5,N$310,IF(INDIRECT("'"&amp;$H$3&amp;"'!N$222")='List Values'!$F$6,INDIRECT("'"&amp;$H$3&amp;"'!N$95")*INDIRECT("'"&amp;$H$3&amp;"'!N$219"),IF(INDIRECT("'"&amp;$H$3&amp;"'!N$222")='List Values'!$F$7,1,0))))),0),0)
+IFERROR((1-INDIRECT("'"&amp;$H$3&amp;"'!N$247"))*IF(INDIRECT("'"&amp;$H$3&amp;"'!N$241")='List Values'!$E$4,INDIRECT("'"&amp;$H$3&amp;"'!N$243")*IF(INDIRECT("'"&amp;$H$3&amp;"'!N$242")='List Values'!$F$3,N$338,IF(INDIRECT("'"&amp;$H$3&amp;"'!N$242")='List Values'!$F$4,'2_Outputs'!N$52*INDIRECT("'"&amp;$H$3&amp;"'!N$95")*INDIRECT("'"&amp;$H$3&amp;"'!N$239"),IF(INDIRECT("'"&amp;$H$3&amp;"'!N$242")='List Values'!$F$5,N$339,IF(INDIRECT("'"&amp;$H$3&amp;"'!N$242")='List Values'!$F$6,INDIRECT("'"&amp;$H$3&amp;"'!N$95")*INDIRECT("'"&amp;$H$3&amp;"'!N$239"),IF(INDIRECT("'"&amp;$H$3&amp;"'!N$242")='List Values'!$F$7,1,0))))),0),0)</f>
        <v>0</v>
      </c>
      <c r="O100" s="300"/>
      <c r="P100" s="300"/>
      <c r="Q100" s="300">
        <f ca="1">IFERROR((1-INDIRECT("'"&amp;$H$3&amp;"'!Q$207"))*IF(INDIRECT("'"&amp;$H$3&amp;"'!Q$201")='List Values'!$E$4,INDIRECT("'"&amp;$H$3&amp;"'!Q$203")*IF(INDIRECT("'"&amp;$H$3&amp;"'!Q$202")='List Values'!$F$3,Q$280,IF(INDIRECT("'"&amp;$H$3&amp;"'!Q$202")='List Values'!$F$4,'2_Outputs'!Q$52*INDIRECT("'"&amp;$H$3&amp;"'!Q$95")*INDIRECT("'"&amp;$H$3&amp;"'!Q$199"),IF(INDIRECT("'"&amp;$H$3&amp;"'!Q$202")='List Values'!$F$5,Q$281,IF(INDIRECT("'"&amp;$H$3&amp;"'!Q$202")='List Values'!$F$6,INDIRECT("'"&amp;$H$3&amp;"'!Q$95")*INDIRECT("'"&amp;$H$3&amp;"'!Q$199"),IF(INDIRECT("'"&amp;$H$3&amp;"'!Q$202")='List Values'!$F$7,1,0))))),0),0)
+IFERROR((1-INDIRECT("'"&amp;$H$3&amp;"'!Q$227"))*IF(INDIRECT("'"&amp;$H$3&amp;"'!Q$221")='List Values'!$E$4,INDIRECT("'"&amp;$H$3&amp;"'!Q$223")*IF(INDIRECT("'"&amp;$H$3&amp;"'!Q$222")='List Values'!$F$3,Q$309,IF(INDIRECT("'"&amp;$H$3&amp;"'!Q$222")='List Values'!$F$4,'2_Outputs'!Q$52*INDIRECT("'"&amp;$H$3&amp;"'!Q$95")*INDIRECT("'"&amp;$H$3&amp;"'!Q$219"),IF(INDIRECT("'"&amp;$H$3&amp;"'!Q$222")='List Values'!$F$5,Q$310,IF(INDIRECT("'"&amp;$H$3&amp;"'!Q$222")='List Values'!$F$6,INDIRECT("'"&amp;$H$3&amp;"'!Q$95")*INDIRECT("'"&amp;$H$3&amp;"'!Q$219"),IF(INDIRECT("'"&amp;$H$3&amp;"'!Q$222")='List Values'!$F$7,1,0))))),0),0)
+IFERROR((1-INDIRECT("'"&amp;$H$3&amp;"'!Q$247"))*IF(INDIRECT("'"&amp;$H$3&amp;"'!Q$241")='List Values'!$E$4,INDIRECT("'"&amp;$H$3&amp;"'!Q$243")*IF(INDIRECT("'"&amp;$H$3&amp;"'!Q$242")='List Values'!$F$3,Q$338,IF(INDIRECT("'"&amp;$H$3&amp;"'!Q$242")='List Values'!$F$4,'2_Outputs'!Q$52*INDIRECT("'"&amp;$H$3&amp;"'!Q$95")*INDIRECT("'"&amp;$H$3&amp;"'!Q$239"),IF(INDIRECT("'"&amp;$H$3&amp;"'!Q$242")='List Values'!$F$5,Q$339,IF(INDIRECT("'"&amp;$H$3&amp;"'!Q$242")='List Values'!$F$6,INDIRECT("'"&amp;$H$3&amp;"'!Q$95")*INDIRECT("'"&amp;$H$3&amp;"'!Q$239"),IF(INDIRECT("'"&amp;$H$3&amp;"'!Q$242")='List Values'!$F$7,1,0))))),0),0)</f>
        <v>0</v>
      </c>
      <c r="R100" s="300"/>
      <c r="S100" s="337"/>
      <c r="T100" s="300">
        <f ca="1">IFERROR((1-INDIRECT("'"&amp;$H$3&amp;"'!T$207"))*IF(INDIRECT("'"&amp;$H$3&amp;"'!T$201")='List Values'!$E$4,INDIRECT("'"&amp;$H$3&amp;"'!T$203")*IF(INDIRECT("'"&amp;$H$3&amp;"'!T$202")='List Values'!$F$3,T$280,IF(INDIRECT("'"&amp;$H$3&amp;"'!T$202")='List Values'!$F$4,'2_Outputs'!T$52*INDIRECT("'"&amp;$H$3&amp;"'!T$95")*INDIRECT("'"&amp;$H$3&amp;"'!T$199"),IF(INDIRECT("'"&amp;$H$3&amp;"'!T$202")='List Values'!$F$5,T$281,IF(INDIRECT("'"&amp;$H$3&amp;"'!T$202")='List Values'!$F$6,INDIRECT("'"&amp;$H$3&amp;"'!T$95")*INDIRECT("'"&amp;$H$3&amp;"'!T$199"),IF(INDIRECT("'"&amp;$H$3&amp;"'!T$202")='List Values'!$F$7,1,0))))),0),0)
+IFERROR((1-INDIRECT("'"&amp;$H$3&amp;"'!T$227"))*IF(INDIRECT("'"&amp;$H$3&amp;"'!T$221")='List Values'!$E$4,INDIRECT("'"&amp;$H$3&amp;"'!T$223")*IF(INDIRECT("'"&amp;$H$3&amp;"'!T$222")='List Values'!$F$3,T$309,IF(INDIRECT("'"&amp;$H$3&amp;"'!T$222")='List Values'!$F$4,'2_Outputs'!T$52*INDIRECT("'"&amp;$H$3&amp;"'!T$95")*INDIRECT("'"&amp;$H$3&amp;"'!T$219"),IF(INDIRECT("'"&amp;$H$3&amp;"'!T$222")='List Values'!$F$5,T$310,IF(INDIRECT("'"&amp;$H$3&amp;"'!T$222")='List Values'!$F$6,INDIRECT("'"&amp;$H$3&amp;"'!T$95")*INDIRECT("'"&amp;$H$3&amp;"'!T$219"),IF(INDIRECT("'"&amp;$H$3&amp;"'!T$222")='List Values'!$F$7,1,0))))),0),0)
+IFERROR((1-INDIRECT("'"&amp;$H$3&amp;"'!T$247"))*IF(INDIRECT("'"&amp;$H$3&amp;"'!T$241")='List Values'!$E$4,INDIRECT("'"&amp;$H$3&amp;"'!T$243")*IF(INDIRECT("'"&amp;$H$3&amp;"'!T$242")='List Values'!$F$3,T$338,IF(INDIRECT("'"&amp;$H$3&amp;"'!T$242")='List Values'!$F$4,'2_Outputs'!T$52*INDIRECT("'"&amp;$H$3&amp;"'!T$95")*INDIRECT("'"&amp;$H$3&amp;"'!T$239"),IF(INDIRECT("'"&amp;$H$3&amp;"'!T$242")='List Values'!$F$5,T$339,IF(INDIRECT("'"&amp;$H$3&amp;"'!T$242")='List Values'!$F$6,INDIRECT("'"&amp;$H$3&amp;"'!T$95")*INDIRECT("'"&amp;$H$3&amp;"'!T$239"),IF(INDIRECT("'"&amp;$H$3&amp;"'!T$242")='List Values'!$F$7,1,0))))),0),0)</f>
        <v>0</v>
      </c>
      <c r="U100" s="337"/>
      <c r="V100" s="337"/>
      <c r="W100" s="1437">
        <f ca="1">IFERROR((1-INDIRECT("'"&amp;$H$3&amp;"'!W$207"))*IF(INDIRECT("'"&amp;$H$3&amp;"'!W$201")='List Values'!$E$4,INDIRECT("'"&amp;$H$3&amp;"'!W$203")*IF(INDIRECT("'"&amp;$H$3&amp;"'!W$202")='List Values'!$F$3,W$280,IF(INDIRECT("'"&amp;$H$3&amp;"'!W$202")='List Values'!$F$4,'2_Outputs'!W$52*INDIRECT("'"&amp;$H$3&amp;"'!W$95")*INDIRECT("'"&amp;$H$3&amp;"'!W$199"),IF(INDIRECT("'"&amp;$H$3&amp;"'!W$202")='List Values'!$F$5,W$281,IF(INDIRECT("'"&amp;$H$3&amp;"'!W$202")='List Values'!$F$6,INDIRECT("'"&amp;$H$3&amp;"'!W$95")*INDIRECT("'"&amp;$H$3&amp;"'!W$199"),IF(INDIRECT("'"&amp;$H$3&amp;"'!W$202")='List Values'!$F$7,1,0))))),0),0)
+IFERROR((1-INDIRECT("'"&amp;$H$3&amp;"'!W$227"))*IF(INDIRECT("'"&amp;$H$3&amp;"'!W$221")='List Values'!$E$4,INDIRECT("'"&amp;$H$3&amp;"'!W$223")*IF(INDIRECT("'"&amp;$H$3&amp;"'!W$222")='List Values'!$F$3,W$309,IF(INDIRECT("'"&amp;$H$3&amp;"'!W$222")='List Values'!$F$4,'2_Outputs'!W$52*INDIRECT("'"&amp;$H$3&amp;"'!W$95")*INDIRECT("'"&amp;$H$3&amp;"'!W$219"),IF(INDIRECT("'"&amp;$H$3&amp;"'!W$222")='List Values'!$F$5,W$310,IF(INDIRECT("'"&amp;$H$3&amp;"'!W$222")='List Values'!$F$6,INDIRECT("'"&amp;$H$3&amp;"'!W$95")*INDIRECT("'"&amp;$H$3&amp;"'!W$219"),IF(INDIRECT("'"&amp;$H$3&amp;"'!W$222")='List Values'!$F$7,1,0))))),0),0)
+IFERROR((1-INDIRECT("'"&amp;$H$3&amp;"'!W$247"))*IF(INDIRECT("'"&amp;$H$3&amp;"'!W$241")='List Values'!$E$4,INDIRECT("'"&amp;$H$3&amp;"'!W$243")*IF(INDIRECT("'"&amp;$H$3&amp;"'!W$242")='List Values'!$F$3,W$338,IF(INDIRECT("'"&amp;$H$3&amp;"'!W$242")='List Values'!$F$4,'2_Outputs'!W$52*INDIRECT("'"&amp;$H$3&amp;"'!W$95")*INDIRECT("'"&amp;$H$3&amp;"'!W$239"),IF(INDIRECT("'"&amp;$H$3&amp;"'!W$242")='List Values'!$F$5,W$339,IF(INDIRECT("'"&amp;$H$3&amp;"'!W$242")='List Values'!$F$6,INDIRECT("'"&amp;$H$3&amp;"'!W$95")*INDIRECT("'"&amp;$H$3&amp;"'!W$239"),IF(INDIRECT("'"&amp;$H$3&amp;"'!W$242")='List Values'!$F$7,1,0))))),0),0)</f>
        <v>0</v>
      </c>
      <c r="Y100" s="341">
        <f t="shared" ca="1" si="10"/>
        <v>0</v>
      </c>
    </row>
    <row r="101" spans="6:38">
      <c r="F101" s="288"/>
      <c r="G101" s="356" t="s">
        <v>89</v>
      </c>
      <c r="H101" s="300">
        <f ca="1">(IFERROR(1-INDIRECT("'"&amp;$H$3&amp;"'!H$207"),0))*(H$267+H$281)*INDIRECT("'"&amp;$H$3&amp;"'!$H$10")*(IFERROR(INDEX(INDIRECT("'"&amp;$H$3&amp;"'!$H$28:$H$38"),MATCH(INDIRECT("'"&amp;$H$3&amp;"'!H$210"),INDIRECT("'"&amp;$H$3&amp;"'!$B$28:$B$38"),0)),0)+IFERROR(INDIRECT("'"&amp;$H$3&amp;"'!H$211")*INDEX(INDIRECT("'"&amp;$H$3&amp;"'!$H$28:$H$38"),MATCH(INDIRECT("'"&amp;$H$3&amp;"'!H$212"),INDIRECT("'"&amp;$H$3&amp;"'!$B$28:$B$38"),0)),0))
+(IFERROR(1-INDIRECT("'"&amp;$H$3&amp;"'!H$227"),0))*(H$296+H$310)*INDIRECT("'"&amp;$H$3&amp;"'!$H$10")*(IFERROR(INDEX(INDIRECT("'"&amp;$H$3&amp;"'!$H$28:$H$38"),MATCH(INDIRECT("'"&amp;$H$3&amp;"'!H$230"),INDIRECT("'"&amp;$H$3&amp;"'!$B$28:$B$38"),0)),0)+IFERROR(INDIRECT("'"&amp;$H$3&amp;"'!H$231")*INDEX(INDIRECT("'"&amp;$H$3&amp;"'!$H$28:$H$38"),MATCH(INDIRECT("'"&amp;$H$3&amp;"'!H$232"),INDIRECT("'"&amp;$H$3&amp;"'!$B$28:$B$38"),0)),0))
+(IFERROR(1-INDIRECT("'"&amp;$H$3&amp;"'!H$247"),0))*(H$325+H$339)*INDIRECT("'"&amp;$H$3&amp;"'!$H$10")*(IFERROR(INDEX(INDIRECT("'"&amp;$H$3&amp;"'!$H$28:$H$38"),MATCH(INDIRECT("'"&amp;$H$3&amp;"'!H$250"),INDIRECT("'"&amp;$H$3&amp;"'!$B$28:$B$38"),0)),0)+IFERROR(INDIRECT("'"&amp;$H$3&amp;"'!H$251")*INDEX(INDIRECT("'"&amp;$H$3&amp;"'!$H$28:$H$38"),MATCH(INDIRECT("'"&amp;$H$3&amp;"'!H$252"),INDIRECT("'"&amp;$H$3&amp;"'!$B$28:$B$38"),0)),0))</f>
        <v>0</v>
      </c>
      <c r="I101" s="300"/>
      <c r="J101" s="300"/>
      <c r="K101" s="300">
        <f ca="1">(IFERROR(1-INDIRECT("'"&amp;$H$3&amp;"'!K$207"),0))*(K$267+K$281)*INDIRECT("'"&amp;$H$3&amp;"'!$H$10")*(IFERROR(INDEX(INDIRECT("'"&amp;$H$3&amp;"'!$H$28:$H$38"),MATCH(INDIRECT("'"&amp;$H$3&amp;"'!K$210"),INDIRECT("'"&amp;$H$3&amp;"'!$B$28:$B$38"),0)),0)+IFERROR(INDIRECT("'"&amp;$H$3&amp;"'!K$211")*INDEX(INDIRECT("'"&amp;$H$3&amp;"'!$H$28:$H$38"),MATCH(INDIRECT("'"&amp;$H$3&amp;"'!K$212"),INDIRECT("'"&amp;$H$3&amp;"'!$B$28:$B$38"),0)),0))
+(IFERROR(1-INDIRECT("'"&amp;$H$3&amp;"'!K$227"),0))*(K$296+K$310)*INDIRECT("'"&amp;$H$3&amp;"'!$H$10")*(IFERROR(INDEX(INDIRECT("'"&amp;$H$3&amp;"'!$H$28:$H$38"),MATCH(INDIRECT("'"&amp;$H$3&amp;"'!K$230"),INDIRECT("'"&amp;$H$3&amp;"'!$B$28:$B$38"),0)),0)+IFERROR(INDIRECT("'"&amp;$H$3&amp;"'!K$231")*INDEX(INDIRECT("'"&amp;$H$3&amp;"'!$H$28:$H$38"),MATCH(INDIRECT("'"&amp;$H$3&amp;"'!K$232"),INDIRECT("'"&amp;$H$3&amp;"'!$B$28:$B$38"),0)),0))
+(IFERROR(1-INDIRECT("'"&amp;$H$3&amp;"'!K$247"),0))*(K$325+K$339)*INDIRECT("'"&amp;$H$3&amp;"'!$H$10")*(IFERROR(INDEX(INDIRECT("'"&amp;$H$3&amp;"'!$H$28:$H$38"),MATCH(INDIRECT("'"&amp;$H$3&amp;"'!K$250"),INDIRECT("'"&amp;$H$3&amp;"'!$B$28:$B$38"),0)),0)+IFERROR(INDIRECT("'"&amp;$H$3&amp;"'!K$251")*INDEX(INDIRECT("'"&amp;$H$3&amp;"'!$H$28:$H$38"),MATCH(INDIRECT("'"&amp;$H$3&amp;"'!K$252"),INDIRECT("'"&amp;$H$3&amp;"'!$B$28:$B$38"),0)),0))</f>
        <v>0</v>
      </c>
      <c r="L101" s="300"/>
      <c r="M101" s="300"/>
      <c r="N101" s="300">
        <f ca="1">(IFERROR(1-INDIRECT("'"&amp;$H$3&amp;"'!N$207"),0))*(N$267+N$281)*INDIRECT("'"&amp;$H$3&amp;"'!$H$10")*(IFERROR(INDEX(INDIRECT("'"&amp;$H$3&amp;"'!$H$28:$H$38"),MATCH(INDIRECT("'"&amp;$H$3&amp;"'!N$210"),INDIRECT("'"&amp;$H$3&amp;"'!$B$28:$B$38"),0)),0)+IFERROR(INDIRECT("'"&amp;$H$3&amp;"'!N$211")*INDEX(INDIRECT("'"&amp;$H$3&amp;"'!$H$28:$H$38"),MATCH(INDIRECT("'"&amp;$H$3&amp;"'!N$212"),INDIRECT("'"&amp;$H$3&amp;"'!$B$28:$B$38"),0)),0))
+(IFERROR(1-INDIRECT("'"&amp;$H$3&amp;"'!N$227"),0))*(N$296+N$310)*INDIRECT("'"&amp;$H$3&amp;"'!$H$10")*(IFERROR(INDEX(INDIRECT("'"&amp;$H$3&amp;"'!$H$28:$H$38"),MATCH(INDIRECT("'"&amp;$H$3&amp;"'!N$230"),INDIRECT("'"&amp;$H$3&amp;"'!$B$28:$B$38"),0)),0)+IFERROR(INDIRECT("'"&amp;$H$3&amp;"'!N$231")*INDEX(INDIRECT("'"&amp;$H$3&amp;"'!$H$28:$H$38"),MATCH(INDIRECT("'"&amp;$H$3&amp;"'!N$232"),INDIRECT("'"&amp;$H$3&amp;"'!$B$28:$B$38"),0)),0))
+(IFERROR(1-INDIRECT("'"&amp;$H$3&amp;"'!N$247"),0))*(N$325+N$339)*INDIRECT("'"&amp;$H$3&amp;"'!$H$10")*(IFERROR(INDEX(INDIRECT("'"&amp;$H$3&amp;"'!$H$28:$H$38"),MATCH(INDIRECT("'"&amp;$H$3&amp;"'!N$250"),INDIRECT("'"&amp;$H$3&amp;"'!$B$28:$B$38"),0)),0)+IFERROR(INDIRECT("'"&amp;$H$3&amp;"'!N$251")*INDEX(INDIRECT("'"&amp;$H$3&amp;"'!$H$28:$H$38"),MATCH(INDIRECT("'"&amp;$H$3&amp;"'!N$252"),INDIRECT("'"&amp;$H$3&amp;"'!$B$28:$B$38"),0)),0))</f>
        <v>44490.48</v>
      </c>
      <c r="O101" s="300"/>
      <c r="P101" s="300"/>
      <c r="Q101" s="300">
        <f ca="1">(IFERROR(1-INDIRECT("'"&amp;$H$3&amp;"'!Q$207"),0))*(Q$267+Q$281)*INDIRECT("'"&amp;$H$3&amp;"'!$H$10")*(IFERROR(INDEX(INDIRECT("'"&amp;$H$3&amp;"'!$H$28:$H$38"),MATCH(INDIRECT("'"&amp;$H$3&amp;"'!Q$210"),INDIRECT("'"&amp;$H$3&amp;"'!$B$28:$B$38"),0)),0)+IFERROR(INDIRECT("'"&amp;$H$3&amp;"'!Q$211")*INDEX(INDIRECT("'"&amp;$H$3&amp;"'!$H$28:$H$38"),MATCH(INDIRECT("'"&amp;$H$3&amp;"'!Q$212"),INDIRECT("'"&amp;$H$3&amp;"'!$B$28:$B$38"),0)),0))
+(IFERROR(1-INDIRECT("'"&amp;$H$3&amp;"'!Q$227"),0))*(Q$296+Q$310)*INDIRECT("'"&amp;$H$3&amp;"'!$H$10")*(IFERROR(INDEX(INDIRECT("'"&amp;$H$3&amp;"'!$H$28:$H$38"),MATCH(INDIRECT("'"&amp;$H$3&amp;"'!Q$230"),INDIRECT("'"&amp;$H$3&amp;"'!$B$28:$B$38"),0)),0)+IFERROR(INDIRECT("'"&amp;$H$3&amp;"'!Q$231")*INDEX(INDIRECT("'"&amp;$H$3&amp;"'!$H$28:$H$38"),MATCH(INDIRECT("'"&amp;$H$3&amp;"'!Q$232"),INDIRECT("'"&amp;$H$3&amp;"'!$B$28:$B$38"),0)),0))
+(IFERROR(1-INDIRECT("'"&amp;$H$3&amp;"'!Q$247"),0))*(Q$325+Q$339)*INDIRECT("'"&amp;$H$3&amp;"'!$H$10")*(IFERROR(INDEX(INDIRECT("'"&amp;$H$3&amp;"'!$H$28:$H$38"),MATCH(INDIRECT("'"&amp;$H$3&amp;"'!Q$250"),INDIRECT("'"&amp;$H$3&amp;"'!$B$28:$B$38"),0)),0)+IFERROR(INDIRECT("'"&amp;$H$3&amp;"'!Q$251")*INDEX(INDIRECT("'"&amp;$H$3&amp;"'!$H$28:$H$38"),MATCH(INDIRECT("'"&amp;$H$3&amp;"'!Q$252"),INDIRECT("'"&amp;$H$3&amp;"'!$B$28:$B$38"),0)),0))</f>
        <v>0</v>
      </c>
      <c r="R101" s="300"/>
      <c r="S101" s="337"/>
      <c r="T101" s="300">
        <f ca="1">(IFERROR(1-INDIRECT("'"&amp;$H$3&amp;"'!T$207"),0))*(T$267+T$281)*INDIRECT("'"&amp;$H$3&amp;"'!$H$10")*(IFERROR(INDEX(INDIRECT("'"&amp;$H$3&amp;"'!$H$28:$H$38"),MATCH(INDIRECT("'"&amp;$H$3&amp;"'!T$210"),INDIRECT("'"&amp;$H$3&amp;"'!$B$28:$B$38"),0)),0)+IFERROR(INDIRECT("'"&amp;$H$3&amp;"'!T$211")*INDEX(INDIRECT("'"&amp;$H$3&amp;"'!$H$28:$H$38"),MATCH(INDIRECT("'"&amp;$H$3&amp;"'!T$212"),INDIRECT("'"&amp;$H$3&amp;"'!$B$28:$B$38"),0)),0))
+(IFERROR(1-INDIRECT("'"&amp;$H$3&amp;"'!T$227"),0))*(T$296+T$310)*INDIRECT("'"&amp;$H$3&amp;"'!$H$10")*(IFERROR(INDEX(INDIRECT("'"&amp;$H$3&amp;"'!$H$28:$H$38"),MATCH(INDIRECT("'"&amp;$H$3&amp;"'!T$230"),INDIRECT("'"&amp;$H$3&amp;"'!$B$28:$B$38"),0)),0)+IFERROR(INDIRECT("'"&amp;$H$3&amp;"'!T$231")*INDEX(INDIRECT("'"&amp;$H$3&amp;"'!$H$28:$H$38"),MATCH(INDIRECT("'"&amp;$H$3&amp;"'!T$232"),INDIRECT("'"&amp;$H$3&amp;"'!$B$28:$B$38"),0)),0))
+(IFERROR(1-INDIRECT("'"&amp;$H$3&amp;"'!T$247"),0))*(T$325+T$339)*INDIRECT("'"&amp;$H$3&amp;"'!$H$10")*(IFERROR(INDEX(INDIRECT("'"&amp;$H$3&amp;"'!$H$28:$H$38"),MATCH(INDIRECT("'"&amp;$H$3&amp;"'!T$250"),INDIRECT("'"&amp;$H$3&amp;"'!$B$28:$B$38"),0)),0)+IFERROR(INDIRECT("'"&amp;$H$3&amp;"'!T$251")*INDEX(INDIRECT("'"&amp;$H$3&amp;"'!$H$28:$H$38"),MATCH(INDIRECT("'"&amp;$H$3&amp;"'!T$252"),INDIRECT("'"&amp;$H$3&amp;"'!$B$28:$B$38"),0)),0))</f>
        <v>0</v>
      </c>
      <c r="U101" s="337"/>
      <c r="V101" s="337"/>
      <c r="W101" s="1437">
        <f ca="1">(IFERROR(1-INDIRECT("'"&amp;$H$3&amp;"'!W$207"),0))*(W$267+W$281)*INDIRECT("'"&amp;$H$3&amp;"'!$H$10")*(IFERROR(INDEX(INDIRECT("'"&amp;$H$3&amp;"'!$H$28:$H$38"),MATCH(INDIRECT("'"&amp;$H$3&amp;"'!W$210"),INDIRECT("'"&amp;$H$3&amp;"'!$B$28:$B$38"),0)),0)+IFERROR(INDIRECT("'"&amp;$H$3&amp;"'!W$211")*INDEX(INDIRECT("'"&amp;$H$3&amp;"'!$H$28:$H$38"),MATCH(INDIRECT("'"&amp;$H$3&amp;"'!W$212"),INDIRECT("'"&amp;$H$3&amp;"'!$B$28:$B$38"),0)),0))
+(IFERROR(1-INDIRECT("'"&amp;$H$3&amp;"'!W$227"),0))*(W$296+W$310)*INDIRECT("'"&amp;$H$3&amp;"'!$H$10")*(IFERROR(INDEX(INDIRECT("'"&amp;$H$3&amp;"'!$H$28:$H$38"),MATCH(INDIRECT("'"&amp;$H$3&amp;"'!W$230"),INDIRECT("'"&amp;$H$3&amp;"'!$B$28:$B$38"),0)),0)+IFERROR(INDIRECT("'"&amp;$H$3&amp;"'!W$231")*INDEX(INDIRECT("'"&amp;$H$3&amp;"'!$H$28:$H$38"),MATCH(INDIRECT("'"&amp;$H$3&amp;"'!W$232"),INDIRECT("'"&amp;$H$3&amp;"'!$B$28:$B$38"),0)),0))
+(IFERROR(1-INDIRECT("'"&amp;$H$3&amp;"'!W$247"),0))*(W$325+W$339)*INDIRECT("'"&amp;$H$3&amp;"'!$H$10")*(IFERROR(INDEX(INDIRECT("'"&amp;$H$3&amp;"'!$H$28:$H$38"),MATCH(INDIRECT("'"&amp;$H$3&amp;"'!W$250"),INDIRECT("'"&amp;$H$3&amp;"'!$B$28:$B$38"),0)),0)+IFERROR(INDIRECT("'"&amp;$H$3&amp;"'!W$251")*INDEX(INDIRECT("'"&amp;$H$3&amp;"'!$H$28:$H$38"),MATCH(INDIRECT("'"&amp;$H$3&amp;"'!W$252"),INDIRECT("'"&amp;$H$3&amp;"'!$B$28:$B$38"),0)),0))</f>
        <v>0</v>
      </c>
      <c r="Y101" s="341">
        <f t="shared" ca="1" si="10"/>
        <v>44490.48</v>
      </c>
      <c r="AL101" s="4"/>
    </row>
    <row r="102" spans="6:38">
      <c r="F102" s="288"/>
      <c r="G102" s="356" t="s">
        <v>90</v>
      </c>
      <c r="H102" s="300">
        <f ca="1">(IFERROR(1-INDIRECT("'"&amp;$H$3&amp;"'!H$207"),0))*(H$267+H$281)*(IFERROR(INDEX(INDIRECT("'"&amp;$H$3&amp;"'!$K$28:$K$38"),MATCH(INDIRECT("'"&amp;$H$3&amp;"'!H$210"),INDIRECT("'"&amp;$H$3&amp;"'!$B$28:$B$38"),0)),0)+IFERROR(INDIRECT("'"&amp;$H$3&amp;"'!H$211")*INDEX(INDIRECT("'"&amp;$H$3&amp;"'!$K$28:$K$38"),MATCH(INDIRECT("'"&amp;$H$3&amp;"'!H$212"),INDIRECT("'"&amp;$H$3&amp;"'!$B$28:$B$38"),0)),0))
+(IFERROR(1-INDIRECT("'"&amp;$H$3&amp;"'!H$227"),0))*(H$296+H$310)*(IFERROR(INDEX(INDIRECT("'"&amp;$H$3&amp;"'!$K$28:$K$38"),MATCH(INDIRECT("'"&amp;$H$3&amp;"'!H$230"),INDIRECT("'"&amp;$H$3&amp;"'!$B$28:$B$38"),0)),0)+IFERROR(INDIRECT("'"&amp;$H$3&amp;"'!H$231")*INDEX(INDIRECT("'"&amp;$H$3&amp;"'!$K$28:$K$38"),MATCH(INDIRECT("'"&amp;$H$3&amp;"'!H$232"),INDIRECT("'"&amp;$H$3&amp;"'!$B$28:$B$38"),0)),0))
+(IFERROR(1-INDIRECT("'"&amp;$H$3&amp;"'!H$247"),0))*(H$325+H$339)*(IFERROR(INDEX(INDIRECT("'"&amp;$H$3&amp;"'!$K$28:$K$38"),MATCH(INDIRECT("'"&amp;$H$3&amp;"'!H$250"),INDIRECT("'"&amp;$H$3&amp;"'!$B$28:$B$38"),0)),0)+IFERROR(INDIRECT("'"&amp;$H$3&amp;"'!H$251")*INDEX(INDIRECT("'"&amp;$H$3&amp;"'!$K$28:$K$38"),MATCH(INDIRECT("'"&amp;$H$3&amp;"'!H$252"),INDIRECT("'"&amp;$H$3&amp;"'!$B$28:$B$38"),0)),0))</f>
        <v>0</v>
      </c>
      <c r="I102" s="300"/>
      <c r="J102" s="300"/>
      <c r="K102" s="300">
        <f ca="1">(IFERROR(1-INDIRECT("'"&amp;$H$3&amp;"'!K$207"),0))*(K$267+K$281)*(IFERROR(INDEX(INDIRECT("'"&amp;$H$3&amp;"'!$K$28:$K$38"),MATCH(INDIRECT("'"&amp;$H$3&amp;"'!K$210"),INDIRECT("'"&amp;$H$3&amp;"'!$B$28:$B$38"),0)),0)+IFERROR(INDIRECT("'"&amp;$H$3&amp;"'!K$211")*INDEX(INDIRECT("'"&amp;$H$3&amp;"'!$K$28:$K$38"),MATCH(INDIRECT("'"&amp;$H$3&amp;"'!K$212"),INDIRECT("'"&amp;$H$3&amp;"'!$B$28:$B$38"),0)),0))
+(IFERROR(1-INDIRECT("'"&amp;$H$3&amp;"'!K$227"),0))*(K$296+K$310)*(IFERROR(INDEX(INDIRECT("'"&amp;$H$3&amp;"'!$K$28:$K$38"),MATCH(INDIRECT("'"&amp;$H$3&amp;"'!K$230"),INDIRECT("'"&amp;$H$3&amp;"'!$B$28:$B$38"),0)),0)+IFERROR(INDIRECT("'"&amp;$H$3&amp;"'!K$231")*INDEX(INDIRECT("'"&amp;$H$3&amp;"'!$K$28:$K$38"),MATCH(INDIRECT("'"&amp;$H$3&amp;"'!K$232"),INDIRECT("'"&amp;$H$3&amp;"'!$B$28:$B$38"),0)),0))
+(IFERROR(1-INDIRECT("'"&amp;$H$3&amp;"'!K$247"),0))*(K$325+K$339)*(IFERROR(INDEX(INDIRECT("'"&amp;$H$3&amp;"'!$K$28:$K$38"),MATCH(INDIRECT("'"&amp;$H$3&amp;"'!K$250"),INDIRECT("'"&amp;$H$3&amp;"'!$B$28:$B$38"),0)),0)+IFERROR(INDIRECT("'"&amp;$H$3&amp;"'!K$251")*INDEX(INDIRECT("'"&amp;$H$3&amp;"'!$K$28:$K$38"),MATCH(INDIRECT("'"&amp;$H$3&amp;"'!K$252"),INDIRECT("'"&amp;$H$3&amp;"'!$B$28:$B$38"),0)),0))</f>
        <v>0</v>
      </c>
      <c r="L102" s="300"/>
      <c r="M102" s="300"/>
      <c r="N102" s="300">
        <f ca="1">(IFERROR(1-INDIRECT("'"&amp;$H$3&amp;"'!N$207"),0))*(N$267+N$281)*(IFERROR(INDEX(INDIRECT("'"&amp;$H$3&amp;"'!$K$28:$K$38"),MATCH(INDIRECT("'"&amp;$H$3&amp;"'!N$210"),INDIRECT("'"&amp;$H$3&amp;"'!$B$28:$B$38"),0)),0)+IFERROR(INDIRECT("'"&amp;$H$3&amp;"'!N$211")*INDEX(INDIRECT("'"&amp;$H$3&amp;"'!$K$28:$K$38"),MATCH(INDIRECT("'"&amp;$H$3&amp;"'!N$212"),INDIRECT("'"&amp;$H$3&amp;"'!$B$28:$B$38"),0)),0))
+(IFERROR(1-INDIRECT("'"&amp;$H$3&amp;"'!N$227"),0))*(N$296+N$310)*(IFERROR(INDEX(INDIRECT("'"&amp;$H$3&amp;"'!$K$28:$K$38"),MATCH(INDIRECT("'"&amp;$H$3&amp;"'!N$230"),INDIRECT("'"&amp;$H$3&amp;"'!$B$28:$B$38"),0)),0)+IFERROR(INDIRECT("'"&amp;$H$3&amp;"'!N$231")*INDEX(INDIRECT("'"&amp;$H$3&amp;"'!$K$28:$K$38"),MATCH(INDIRECT("'"&amp;$H$3&amp;"'!N$232"),INDIRECT("'"&amp;$H$3&amp;"'!$B$28:$B$38"),0)),0))
+(IFERROR(1-INDIRECT("'"&amp;$H$3&amp;"'!N$247"),0))*(N$325+N$339)*(IFERROR(INDEX(INDIRECT("'"&amp;$H$3&amp;"'!$K$28:$K$38"),MATCH(INDIRECT("'"&amp;$H$3&amp;"'!N$250"),INDIRECT("'"&amp;$H$3&amp;"'!$B$28:$B$38"),0)),0)+IFERROR(INDIRECT("'"&amp;$H$3&amp;"'!N$251")*INDEX(INDIRECT("'"&amp;$H$3&amp;"'!$K$28:$K$38"),MATCH(INDIRECT("'"&amp;$H$3&amp;"'!N$252"),INDIRECT("'"&amp;$H$3&amp;"'!$B$28:$B$38"),0)),0))</f>
        <v>28230</v>
      </c>
      <c r="O102" s="300"/>
      <c r="P102" s="300"/>
      <c r="Q102" s="300">
        <f ca="1">(IFERROR(1-INDIRECT("'"&amp;$H$3&amp;"'!Q$207"),0))*(Q$267+Q$281)*(IFERROR(INDEX(INDIRECT("'"&amp;$H$3&amp;"'!$K$28:$K$38"),MATCH(INDIRECT("'"&amp;$H$3&amp;"'!Q$210"),INDIRECT("'"&amp;$H$3&amp;"'!$B$28:$B$38"),0)),0)+IFERROR(INDIRECT("'"&amp;$H$3&amp;"'!Q$211")*INDEX(INDIRECT("'"&amp;$H$3&amp;"'!$K$28:$K$38"),MATCH(INDIRECT("'"&amp;$H$3&amp;"'!Q$212"),INDIRECT("'"&amp;$H$3&amp;"'!$B$28:$B$38"),0)),0))
+(IFERROR(1-INDIRECT("'"&amp;$H$3&amp;"'!Q$227"),0))*(Q$296+Q$310)*(IFERROR(INDEX(INDIRECT("'"&amp;$H$3&amp;"'!$K$28:$K$38"),MATCH(INDIRECT("'"&amp;$H$3&amp;"'!Q$230"),INDIRECT("'"&amp;$H$3&amp;"'!$B$28:$B$38"),0)),0)+IFERROR(INDIRECT("'"&amp;$H$3&amp;"'!Q$231")*INDEX(INDIRECT("'"&amp;$H$3&amp;"'!$K$28:$K$38"),MATCH(INDIRECT("'"&amp;$H$3&amp;"'!Q$232"),INDIRECT("'"&amp;$H$3&amp;"'!$B$28:$B$38"),0)),0))
+(IFERROR(1-INDIRECT("'"&amp;$H$3&amp;"'!Q$247"),0))*(Q$325+Q$339)*(IFERROR(INDEX(INDIRECT("'"&amp;$H$3&amp;"'!$K$28:$K$38"),MATCH(INDIRECT("'"&amp;$H$3&amp;"'!Q$250"),INDIRECT("'"&amp;$H$3&amp;"'!$B$28:$B$38"),0)),0)+IFERROR(INDIRECT("'"&amp;$H$3&amp;"'!Q$251")*INDEX(INDIRECT("'"&amp;$H$3&amp;"'!$K$28:$K$38"),MATCH(INDIRECT("'"&amp;$H$3&amp;"'!Q$252"),INDIRECT("'"&amp;$H$3&amp;"'!$B$28:$B$38"),0)),0))</f>
        <v>0</v>
      </c>
      <c r="R102" s="300"/>
      <c r="S102" s="337"/>
      <c r="T102" s="300">
        <f ca="1">(IFERROR(1-INDIRECT("'"&amp;$H$3&amp;"'!T$207"),0))*(T$267+T$281)*(IFERROR(INDEX(INDIRECT("'"&amp;$H$3&amp;"'!$K$28:$K$38"),MATCH(INDIRECT("'"&amp;$H$3&amp;"'!T$210"),INDIRECT("'"&amp;$H$3&amp;"'!$B$28:$B$38"),0)),0)+IFERROR(INDIRECT("'"&amp;$H$3&amp;"'!T$211")*INDEX(INDIRECT("'"&amp;$H$3&amp;"'!$K$28:$K$38"),MATCH(INDIRECT("'"&amp;$H$3&amp;"'!T$212"),INDIRECT("'"&amp;$H$3&amp;"'!$B$28:$B$38"),0)),0))
+(IFERROR(1-INDIRECT("'"&amp;$H$3&amp;"'!T$227"),0))*(T$296+T$310)*(IFERROR(INDEX(INDIRECT("'"&amp;$H$3&amp;"'!$K$28:$K$38"),MATCH(INDIRECT("'"&amp;$H$3&amp;"'!T$230"),INDIRECT("'"&amp;$H$3&amp;"'!$B$28:$B$38"),0)),0)+IFERROR(INDIRECT("'"&amp;$H$3&amp;"'!T$231")*INDEX(INDIRECT("'"&amp;$H$3&amp;"'!$K$28:$K$38"),MATCH(INDIRECT("'"&amp;$H$3&amp;"'!T$232"),INDIRECT("'"&amp;$H$3&amp;"'!$B$28:$B$38"),0)),0))
+(IFERROR(1-INDIRECT("'"&amp;$H$3&amp;"'!T$247"),0))*(T$325+T$339)*(IFERROR(INDEX(INDIRECT("'"&amp;$H$3&amp;"'!$K$28:$K$38"),MATCH(INDIRECT("'"&amp;$H$3&amp;"'!T$250"),INDIRECT("'"&amp;$H$3&amp;"'!$B$28:$B$38"),0)),0)+IFERROR(INDIRECT("'"&amp;$H$3&amp;"'!T$251")*INDEX(INDIRECT("'"&amp;$H$3&amp;"'!$K$28:$K$38"),MATCH(INDIRECT("'"&amp;$H$3&amp;"'!T$252"),INDIRECT("'"&amp;$H$3&amp;"'!$B$28:$B$38"),0)),0))</f>
        <v>0</v>
      </c>
      <c r="U102" s="337"/>
      <c r="V102" s="337"/>
      <c r="W102" s="1437">
        <f ca="1">(IFERROR(1-INDIRECT("'"&amp;$H$3&amp;"'!W$207"),0))*(W$267+W$281)*(IFERROR(INDEX(INDIRECT("'"&amp;$H$3&amp;"'!$K$28:$K$38"),MATCH(INDIRECT("'"&amp;$H$3&amp;"'!W$210"),INDIRECT("'"&amp;$H$3&amp;"'!$B$28:$B$38"),0)),0)+IFERROR(INDIRECT("'"&amp;$H$3&amp;"'!W$211")*INDEX(INDIRECT("'"&amp;$H$3&amp;"'!$K$28:$K$38"),MATCH(INDIRECT("'"&amp;$H$3&amp;"'!W$212"),INDIRECT("'"&amp;$H$3&amp;"'!$B$28:$B$38"),0)),0))
+(IFERROR(1-INDIRECT("'"&amp;$H$3&amp;"'!W$227"),0))*(W$296+W$310)*(IFERROR(INDEX(INDIRECT("'"&amp;$H$3&amp;"'!$K$28:$K$38"),MATCH(INDIRECT("'"&amp;$H$3&amp;"'!W$230"),INDIRECT("'"&amp;$H$3&amp;"'!$B$28:$B$38"),0)),0)+IFERROR(INDIRECT("'"&amp;$H$3&amp;"'!W$231")*INDEX(INDIRECT("'"&amp;$H$3&amp;"'!$K$28:$K$38"),MATCH(INDIRECT("'"&amp;$H$3&amp;"'!W$232"),INDIRECT("'"&amp;$H$3&amp;"'!$B$28:$B$38"),0)),0))
+(IFERROR(1-INDIRECT("'"&amp;$H$3&amp;"'!W$247"),0))*(W$325+W$339)*(IFERROR(INDEX(INDIRECT("'"&amp;$H$3&amp;"'!$K$28:$K$38"),MATCH(INDIRECT("'"&amp;$H$3&amp;"'!W$250"),INDIRECT("'"&amp;$H$3&amp;"'!$B$28:$B$38"),0)),0)+IFERROR(INDIRECT("'"&amp;$H$3&amp;"'!W$251")*INDEX(INDIRECT("'"&amp;$H$3&amp;"'!$K$28:$K$38"),MATCH(INDIRECT("'"&amp;$H$3&amp;"'!W$252"),INDIRECT("'"&amp;$H$3&amp;"'!$B$28:$B$38"),0)),0))</f>
        <v>0</v>
      </c>
      <c r="Y102" s="341">
        <f t="shared" ca="1" si="10"/>
        <v>28230</v>
      </c>
    </row>
    <row r="103" spans="6:38">
      <c r="F103" s="357"/>
      <c r="G103" s="298" t="s">
        <v>1</v>
      </c>
      <c r="H103" s="300">
        <f ca="1">INDIRECT("'"&amp;$H$3&amp;"'!$H$8")*(
(IFERROR(1-INDIRECT("'"&amp;$H$3&amp;"'!H$207"),0))*IF(INDIRECT("'"&amp;$H$3&amp;"'!H$201")='List Values'!$E$5,0,(H$280*IFERROR(1/INDEX(INDIRECT("'"&amp;$H$3&amp;"'!$H$49:$H$78"),MATCH(INDIRECT("'"&amp;$H$3&amp;"'!H$200")&amp;"Fuel Efficiency (km/liter)",INDIRECT("'"&amp;$H$3&amp;"'!$F$49:$F$78"),0)),0)))
+(IFERROR(1-INDIRECT("'"&amp;$H$3&amp;"'!H$227"),0))*IF(INDIRECT("'"&amp;$H$3&amp;"'!H$221")='List Values'!$E$5,0,(H$309*IFERROR(1/INDEX(INDIRECT("'"&amp;$H$3&amp;"'!$H$49:$H$78"),MATCH(INDIRECT("'"&amp;$H$3&amp;"'!H$220")&amp;"Fuel Efficiency (km/liter)",INDIRECT("'"&amp;$H$3&amp;"'!$F$49:$F$78"),0)),0)))
+(IFERROR(1-INDIRECT("'"&amp;$H$3&amp;"'!H$247"),0))*IF(INDIRECT("'"&amp;$H$3&amp;"'!H$241")='List Values'!$E$5,0,(H$338*IFERROR(1/INDEX(INDIRECT("'"&amp;$H$3&amp;"'!$H$49:$H$78"),MATCH(INDIRECT("'"&amp;$H$3&amp;"'!H$240")&amp;"Fuel Efficiency (km/liter)",INDIRECT("'"&amp;$H$3&amp;"'!$F$49:$F$78"),0)),0))))</f>
        <v>0</v>
      </c>
      <c r="I103" s="300"/>
      <c r="J103" s="300"/>
      <c r="K103" s="300">
        <f ca="1">INDIRECT("'"&amp;$H$3&amp;"'!$H$8")*(
(IFERROR(1-INDIRECT("'"&amp;$H$3&amp;"'!K$207"),0))*IF(INDIRECT("'"&amp;$H$3&amp;"'!K$201")='List Values'!$E$5,0,(K$280*IFERROR(1/INDEX(INDIRECT("'"&amp;$H$3&amp;"'!$H$49:$H$78"),MATCH(INDIRECT("'"&amp;$H$3&amp;"'!K$200")&amp;"Fuel Efficiency (km/liter)",INDIRECT("'"&amp;$H$3&amp;"'!$F$49:$F$78"),0)),0)))
+(IFERROR(1-INDIRECT("'"&amp;$H$3&amp;"'!K$227"),0))*IF(INDIRECT("'"&amp;$H$3&amp;"'!K$221")='List Values'!$E$5,0,(K$309*IFERROR(1/INDEX(INDIRECT("'"&amp;$H$3&amp;"'!$H$49:$H$78"),MATCH(INDIRECT("'"&amp;$H$3&amp;"'!K$220")&amp;"Fuel Efficiency (km/liter)",INDIRECT("'"&amp;$H$3&amp;"'!$F$49:$F$78"),0)),0)))
+(IFERROR(1-INDIRECT("'"&amp;$H$3&amp;"'!K$247"),0))*IF(INDIRECT("'"&amp;$H$3&amp;"'!K$241")='List Values'!$E$5,0,(K$338*IFERROR(1/INDEX(INDIRECT("'"&amp;$H$3&amp;"'!$H$49:$H$78"),MATCH(INDIRECT("'"&amp;$H$3&amp;"'!K$240")&amp;"Fuel Efficiency (km/liter)",INDIRECT("'"&amp;$H$3&amp;"'!$F$49:$F$78"),0)),0))))</f>
        <v>0</v>
      </c>
      <c r="L103" s="300"/>
      <c r="M103" s="300"/>
      <c r="N103" s="300">
        <f ca="1">INDIRECT("'"&amp;$H$3&amp;"'!$H$8")*(
(IFERROR(1-INDIRECT("'"&amp;$H$3&amp;"'!N$207"),0))*IF(INDIRECT("'"&amp;$H$3&amp;"'!N$201")='List Values'!$E$5,0,(N$280*IFERROR(1/INDEX(INDIRECT("'"&amp;$H$3&amp;"'!$H$49:$H$78"),MATCH(INDIRECT("'"&amp;$H$3&amp;"'!N$200")&amp;"Fuel Efficiency (km/liter)",INDIRECT("'"&amp;$H$3&amp;"'!$F$49:$F$78"),0)),0)))
+(IFERROR(1-INDIRECT("'"&amp;$H$3&amp;"'!N$227"),0))*IF(INDIRECT("'"&amp;$H$3&amp;"'!N$221")='List Values'!$E$5,0,(N$309*IFERROR(1/INDEX(INDIRECT("'"&amp;$H$3&amp;"'!$H$49:$H$78"),MATCH(INDIRECT("'"&amp;$H$3&amp;"'!N$220")&amp;"Fuel Efficiency (km/liter)",INDIRECT("'"&amp;$H$3&amp;"'!$F$49:$F$78"),0)),0)))
+(IFERROR(1-INDIRECT("'"&amp;$H$3&amp;"'!N$247"),0))*IF(INDIRECT("'"&amp;$H$3&amp;"'!N$241")='List Values'!$E$5,0,(N$338*IFERROR(1/INDEX(INDIRECT("'"&amp;$H$3&amp;"'!$H$49:$H$78"),MATCH(INDIRECT("'"&amp;$H$3&amp;"'!N$240")&amp;"Fuel Efficiency (km/liter)",INDIRECT("'"&amp;$H$3&amp;"'!$F$49:$F$78"),0)),0))))</f>
        <v>47887.12667149269</v>
      </c>
      <c r="O103" s="300"/>
      <c r="P103" s="300"/>
      <c r="Q103" s="300">
        <f ca="1">INDIRECT("'"&amp;$H$3&amp;"'!$H$8")*(
(IFERROR(1-INDIRECT("'"&amp;$H$3&amp;"'!Q$207"),0))*IF(INDIRECT("'"&amp;$H$3&amp;"'!Q$201")='List Values'!$E$5,0,(Q$280*IFERROR(1/INDEX(INDIRECT("'"&amp;$H$3&amp;"'!$H$49:$H$78"),MATCH(INDIRECT("'"&amp;$H$3&amp;"'!Q$200")&amp;"Fuel Efficiency (km/liter)",INDIRECT("'"&amp;$H$3&amp;"'!$F$49:$F$78"),0)),0)))
+(IFERROR(1-INDIRECT("'"&amp;$H$3&amp;"'!Q$227"),0))*IF(INDIRECT("'"&amp;$H$3&amp;"'!Q$221")='List Values'!$E$5,0,(Q$309*IFERROR(1/INDEX(INDIRECT("'"&amp;$H$3&amp;"'!$H$49:$H$78"),MATCH(INDIRECT("'"&amp;$H$3&amp;"'!Q$220")&amp;"Fuel Efficiency (km/liter)",INDIRECT("'"&amp;$H$3&amp;"'!$F$49:$F$78"),0)),0)))
+(IFERROR(1-INDIRECT("'"&amp;$H$3&amp;"'!Q$247"),0))*IF(INDIRECT("'"&amp;$H$3&amp;"'!Q$241")='List Values'!$E$5,0,(Q$338*IFERROR(1/INDEX(INDIRECT("'"&amp;$H$3&amp;"'!$H$49:$H$78"),MATCH(INDIRECT("'"&amp;$H$3&amp;"'!Q$240")&amp;"Fuel Efficiency (km/liter)",INDIRECT("'"&amp;$H$3&amp;"'!$F$49:$F$78"),0)),0))))</f>
        <v>0</v>
      </c>
      <c r="R103" s="300"/>
      <c r="S103" s="337"/>
      <c r="T103" s="300">
        <f ca="1">INDIRECT("'"&amp;$H$3&amp;"'!$H$8")*(
(IFERROR(1-INDIRECT("'"&amp;$H$3&amp;"'!T$207"),0))*IF(INDIRECT("'"&amp;$H$3&amp;"'!T$201")='List Values'!$E$5,0,(T$280*IFERROR(1/INDEX(INDIRECT("'"&amp;$H$3&amp;"'!$H$49:$H$78"),MATCH(INDIRECT("'"&amp;$H$3&amp;"'!T$200")&amp;"Fuel Efficiency (km/liter)",INDIRECT("'"&amp;$H$3&amp;"'!$F$49:$F$78"),0)),0)))
+(IFERROR(1-INDIRECT("'"&amp;$H$3&amp;"'!T$227"),0))*IF(INDIRECT("'"&amp;$H$3&amp;"'!T$221")='List Values'!$E$5,0,(T$309*IFERROR(1/INDEX(INDIRECT("'"&amp;$H$3&amp;"'!$H$49:$H$78"),MATCH(INDIRECT("'"&amp;$H$3&amp;"'!T$220")&amp;"Fuel Efficiency (km/liter)",INDIRECT("'"&amp;$H$3&amp;"'!$F$49:$F$78"),0)),0)))
+(IFERROR(1-INDIRECT("'"&amp;$H$3&amp;"'!T$247"),0))*IF(INDIRECT("'"&amp;$H$3&amp;"'!T$241")='List Values'!$E$5,0,(T$338*IFERROR(1/INDEX(INDIRECT("'"&amp;$H$3&amp;"'!$H$49:$H$78"),MATCH(INDIRECT("'"&amp;$H$3&amp;"'!T$240")&amp;"Fuel Efficiency (km/liter)",INDIRECT("'"&amp;$H$3&amp;"'!$F$49:$F$78"),0)),0))))</f>
        <v>0</v>
      </c>
      <c r="U103" s="337"/>
      <c r="V103" s="337"/>
      <c r="W103" s="1437">
        <f ca="1">INDIRECT("'"&amp;$H$3&amp;"'!$H$8")*(
(IFERROR(1-INDIRECT("'"&amp;$H$3&amp;"'!W$207"),0))*IF(INDIRECT("'"&amp;$H$3&amp;"'!W$201")='List Values'!$E$5,0,(W$280*IFERROR(1/INDEX(INDIRECT("'"&amp;$H$3&amp;"'!$H$49:$H$78"),MATCH(INDIRECT("'"&amp;$H$3&amp;"'!W$200")&amp;"Fuel Efficiency (km/liter)",INDIRECT("'"&amp;$H$3&amp;"'!$F$49:$F$78"),0)),0)))
+(IFERROR(1-INDIRECT("'"&amp;$H$3&amp;"'!W$227"),0))*IF(INDIRECT("'"&amp;$H$3&amp;"'!W$221")='List Values'!$E$5,0,(W$309*IFERROR(1/INDEX(INDIRECT("'"&amp;$H$3&amp;"'!$H$49:$H$78"),MATCH(INDIRECT("'"&amp;$H$3&amp;"'!W$220")&amp;"Fuel Efficiency (km/liter)",INDIRECT("'"&amp;$H$3&amp;"'!$F$49:$F$78"),0)),0)))
+(IFERROR(1-INDIRECT("'"&amp;$H$3&amp;"'!W$247"),0))*IF(INDIRECT("'"&amp;$H$3&amp;"'!W$241")='List Values'!$E$5,0,(W$338*IFERROR(1/INDEX(INDIRECT("'"&amp;$H$3&amp;"'!$H$49:$H$78"),MATCH(INDIRECT("'"&amp;$H$3&amp;"'!W$240")&amp;"Fuel Efficiency (km/liter)",INDIRECT("'"&amp;$H$3&amp;"'!$F$49:$F$78"),0)),0))))</f>
        <v>0</v>
      </c>
      <c r="Y103" s="341">
        <f t="shared" ca="1" si="10"/>
        <v>47887.12667149269</v>
      </c>
    </row>
    <row r="104" spans="6:38">
      <c r="F104" s="298"/>
      <c r="G104" s="298" t="s">
        <v>91</v>
      </c>
      <c r="H104" s="300">
        <f ca="1">IFERROR((1-INDIRECT("'"&amp;$H$3&amp;"'!H$206"))*IF(AND(INDIRECT("'"&amp;$H$3&amp;"'!H$205")="No",INDIRECT("'"&amp;$H$3&amp;"'!H$201")='List Values'!$E$3),INDEX(INDIRECT("'"&amp;$H$3&amp;"'!$H$49:$H$78"),MATCH(INDIRECT("'"&amp;$H$3&amp;"'!H$200")&amp;"Insurance cost /yr ($)",INDIRECT("'"&amp;$H$3&amp;"'!$F$49:$F$78"),0))*INDIRECT("'"&amp;$H$3&amp;"'!H$204"),0),0)
+IFERROR((1-INDIRECT("'"&amp;$H$3&amp;"'!H$226"))*IF(AND(INDIRECT("'"&amp;$H$3&amp;"'!H$225")="No",INDIRECT("'"&amp;$H$3&amp;"'!H$221")='List Values'!$E$3),INDEX(INDIRECT("'"&amp;$H$3&amp;"'!$H$49:$H$78"),MATCH(INDIRECT("'"&amp;$H$3&amp;"'!H$220")&amp;"Insurance cost /yr ($)",INDIRECT("'"&amp;$H$3&amp;"'!$F$49:$F$78"),0))*INDIRECT("'"&amp;$H$3&amp;"'!H$224"),0),0)
+IFERROR((1-INDIRECT("'"&amp;$H$3&amp;"'!H$246"))*IF(AND(INDIRECT("'"&amp;$H$3&amp;"'!H$245")="No",INDIRECT("'"&amp;$H$3&amp;"'!H$241")='List Values'!$E$3),INDEX(INDIRECT("'"&amp;$H$3&amp;"'!$H$49:$H$78"),MATCH(INDIRECT("'"&amp;$H$3&amp;"'!H$240")&amp;"Insurance cost /yr ($)",INDIRECT("'"&amp;$H$3&amp;"'!$F$49:$F$78"),0))*INDIRECT("'"&amp;$H$3&amp;"'!H$244"),0),0)</f>
        <v>0</v>
      </c>
      <c r="I104" s="300"/>
      <c r="J104" s="300"/>
      <c r="K104" s="300">
        <f ca="1">IFERROR((1-INDIRECT("'"&amp;$H$3&amp;"'!K$206"))*IF(AND(INDIRECT("'"&amp;$H$3&amp;"'!K$205")="No",INDIRECT("'"&amp;$H$3&amp;"'!K$201")='List Values'!$E$3),INDEX(INDIRECT("'"&amp;$H$3&amp;"'!$H$49:$H$78"),MATCH(INDIRECT("'"&amp;$H$3&amp;"'!K$200")&amp;"Insurance cost /yr ($)",INDIRECT("'"&amp;$H$3&amp;"'!$F$49:$F$78"),0))*INDIRECT("'"&amp;$H$3&amp;"'!K$204"),0),0)
+IFERROR((1-INDIRECT("'"&amp;$H$3&amp;"'!K$226"))*IF(AND(INDIRECT("'"&amp;$H$3&amp;"'!K$225")="No",INDIRECT("'"&amp;$H$3&amp;"'!K$221")='List Values'!$E$3),INDEX(INDIRECT("'"&amp;$H$3&amp;"'!$H$49:$H$78"),MATCH(INDIRECT("'"&amp;$H$3&amp;"'!K$220")&amp;"Insurance cost /yr ($)",INDIRECT("'"&amp;$H$3&amp;"'!$F$49:$F$78"),0))*INDIRECT("'"&amp;$H$3&amp;"'!K$224"),0),0)
+IFERROR((1-INDIRECT("'"&amp;$H$3&amp;"'!K$246"))*IF(AND(INDIRECT("'"&amp;$H$3&amp;"'!K$245")="No",INDIRECT("'"&amp;$H$3&amp;"'!K$241")='List Values'!$E$3),INDEX(INDIRECT("'"&amp;$H$3&amp;"'!$H$49:$H$78"),MATCH(INDIRECT("'"&amp;$H$3&amp;"'!K$240")&amp;"Insurance cost /yr ($)",INDIRECT("'"&amp;$H$3&amp;"'!$F$49:$F$78"),0))*INDIRECT("'"&amp;$H$3&amp;"'!K$244"),0),0)</f>
        <v>0</v>
      </c>
      <c r="L104" s="300"/>
      <c r="M104" s="300"/>
      <c r="N104" s="300">
        <f ca="1">IFERROR((1-INDIRECT("'"&amp;$H$3&amp;"'!N$206"))*IF(AND(INDIRECT("'"&amp;$H$3&amp;"'!N$205")="No",INDIRECT("'"&amp;$H$3&amp;"'!N$201")='List Values'!$E$3),INDEX(INDIRECT("'"&amp;$H$3&amp;"'!$H$49:$H$78"),MATCH(INDIRECT("'"&amp;$H$3&amp;"'!N$200")&amp;"Insurance cost /yr ($)",INDIRECT("'"&amp;$H$3&amp;"'!$F$49:$F$78"),0))*INDIRECT("'"&amp;$H$3&amp;"'!N$204"),0),0)
+IFERROR((1-INDIRECT("'"&amp;$H$3&amp;"'!N$226"))*IF(AND(INDIRECT("'"&amp;$H$3&amp;"'!N$225")="No",INDIRECT("'"&amp;$H$3&amp;"'!N$221")='List Values'!$E$3),INDEX(INDIRECT("'"&amp;$H$3&amp;"'!$H$49:$H$78"),MATCH(INDIRECT("'"&amp;$H$3&amp;"'!N$220")&amp;"Insurance cost /yr ($)",INDIRECT("'"&amp;$H$3&amp;"'!$F$49:$F$78"),0))*INDIRECT("'"&amp;$H$3&amp;"'!N$224"),0),0)
+IFERROR((1-INDIRECT("'"&amp;$H$3&amp;"'!N$246"))*IF(AND(INDIRECT("'"&amp;$H$3&amp;"'!N$245")="No",INDIRECT("'"&amp;$H$3&amp;"'!N$241")='List Values'!$E$3),INDEX(INDIRECT("'"&amp;$H$3&amp;"'!$H$49:$H$78"),MATCH(INDIRECT("'"&amp;$H$3&amp;"'!N$240")&amp;"Insurance cost /yr ($)",INDIRECT("'"&amp;$H$3&amp;"'!$F$49:$F$78"),0))*INDIRECT("'"&amp;$H$3&amp;"'!N$244"),0),0)</f>
        <v>11619.75</v>
      </c>
      <c r="O104" s="300"/>
      <c r="P104" s="300"/>
      <c r="Q104" s="300">
        <f ca="1">IFERROR((1-INDIRECT("'"&amp;$H$3&amp;"'!Q$206"))*IF(AND(INDIRECT("'"&amp;$H$3&amp;"'!Q$205")="No",INDIRECT("'"&amp;$H$3&amp;"'!Q$201")='List Values'!$E$3),INDEX(INDIRECT("'"&amp;$H$3&amp;"'!$H$49:$H$78"),MATCH(INDIRECT("'"&amp;$H$3&amp;"'!Q$200")&amp;"Insurance cost /yr ($)",INDIRECT("'"&amp;$H$3&amp;"'!$F$49:$F$78"),0))*INDIRECT("'"&amp;$H$3&amp;"'!Q$204"),0),0)
+IFERROR((1-INDIRECT("'"&amp;$H$3&amp;"'!Q$226"))*IF(AND(INDIRECT("'"&amp;$H$3&amp;"'!Q$225")="No",INDIRECT("'"&amp;$H$3&amp;"'!Q$221")='List Values'!$E$3),INDEX(INDIRECT("'"&amp;$H$3&amp;"'!$H$49:$H$78"),MATCH(INDIRECT("'"&amp;$H$3&amp;"'!Q$220")&amp;"Insurance cost /yr ($)",INDIRECT("'"&amp;$H$3&amp;"'!$F$49:$F$78"),0))*INDIRECT("'"&amp;$H$3&amp;"'!Q$224"),0),0)
+IFERROR((1-INDIRECT("'"&amp;$H$3&amp;"'!Q$246"))*IF(AND(INDIRECT("'"&amp;$H$3&amp;"'!Q$245")="No",INDIRECT("'"&amp;$H$3&amp;"'!Q$241")='List Values'!$E$3),INDEX(INDIRECT("'"&amp;$H$3&amp;"'!$H$49:$H$78"),MATCH(INDIRECT("'"&amp;$H$3&amp;"'!Q$240")&amp;"Insurance cost /yr ($)",INDIRECT("'"&amp;$H$3&amp;"'!$F$49:$F$78"),0))*INDIRECT("'"&amp;$H$3&amp;"'!Q$244"),0),0)</f>
        <v>0</v>
      </c>
      <c r="R104" s="300"/>
      <c r="S104" s="337"/>
      <c r="T104" s="300">
        <f ca="1">IFERROR((1-INDIRECT("'"&amp;$H$3&amp;"'!T$206"))*IF(AND(INDIRECT("'"&amp;$H$3&amp;"'!T$205")="No",INDIRECT("'"&amp;$H$3&amp;"'!T$201")='List Values'!$E$3),INDEX(INDIRECT("'"&amp;$H$3&amp;"'!$H$49:$H$78"),MATCH(INDIRECT("'"&amp;$H$3&amp;"'!T$200")&amp;"Insurance cost /yr ($)",INDIRECT("'"&amp;$H$3&amp;"'!$F$49:$F$78"),0))*INDIRECT("'"&amp;$H$3&amp;"'!T$204"),0),0)
+IFERROR((1-INDIRECT("'"&amp;$H$3&amp;"'!T$226"))*IF(AND(INDIRECT("'"&amp;$H$3&amp;"'!T$225")="No",INDIRECT("'"&amp;$H$3&amp;"'!T$221")='List Values'!$E$3),INDEX(INDIRECT("'"&amp;$H$3&amp;"'!$H$49:$H$78"),MATCH(INDIRECT("'"&amp;$H$3&amp;"'!T$220")&amp;"Insurance cost /yr ($)",INDIRECT("'"&amp;$H$3&amp;"'!$F$49:$F$78"),0))*INDIRECT("'"&amp;$H$3&amp;"'!T$224"),0),0)
+IFERROR((1-INDIRECT("'"&amp;$H$3&amp;"'!T$246"))*IF(AND(INDIRECT("'"&amp;$H$3&amp;"'!T$245")="No",INDIRECT("'"&amp;$H$3&amp;"'!T$241")='List Values'!$E$3),INDEX(INDIRECT("'"&amp;$H$3&amp;"'!$H$49:$H$78"),MATCH(INDIRECT("'"&amp;$H$3&amp;"'!T$240")&amp;"Insurance cost /yr ($)",INDIRECT("'"&amp;$H$3&amp;"'!$F$49:$F$78"),0))*INDIRECT("'"&amp;$H$3&amp;"'!T$244"),0),0)</f>
        <v>0</v>
      </c>
      <c r="U104" s="337"/>
      <c r="V104" s="337"/>
      <c r="W104" s="1437">
        <f ca="1">IFERROR((1-INDIRECT("'"&amp;$H$3&amp;"'!W$206"))*IF(AND(INDIRECT("'"&amp;$H$3&amp;"'!W$205")="No",INDIRECT("'"&amp;$H$3&amp;"'!W$201")='List Values'!$E$3),INDEX(INDIRECT("'"&amp;$H$3&amp;"'!$H$49:$H$78"),MATCH(INDIRECT("'"&amp;$H$3&amp;"'!W$200")&amp;"Insurance cost /yr ($)",INDIRECT("'"&amp;$H$3&amp;"'!$F$49:$F$78"),0))*INDIRECT("'"&amp;$H$3&amp;"'!W$204"),0),0)
+IFERROR((1-INDIRECT("'"&amp;$H$3&amp;"'!W$226"))*IF(AND(INDIRECT("'"&amp;$H$3&amp;"'!W$225")="No",INDIRECT("'"&amp;$H$3&amp;"'!W$221")='List Values'!$E$3),INDEX(INDIRECT("'"&amp;$H$3&amp;"'!$H$49:$H$78"),MATCH(INDIRECT("'"&amp;$H$3&amp;"'!W$220")&amp;"Insurance cost /yr ($)",INDIRECT("'"&amp;$H$3&amp;"'!$F$49:$F$78"),0))*INDIRECT("'"&amp;$H$3&amp;"'!W$224"),0),0)
+IFERROR((1-INDIRECT("'"&amp;$H$3&amp;"'!W$246"))*IF(AND(INDIRECT("'"&amp;$H$3&amp;"'!W$245")="No",INDIRECT("'"&amp;$H$3&amp;"'!W$241")='List Values'!$E$3),INDEX(INDIRECT("'"&amp;$H$3&amp;"'!$H$49:$H$78"),MATCH(INDIRECT("'"&amp;$H$3&amp;"'!W$240")&amp;"Insurance cost /yr ($)",INDIRECT("'"&amp;$H$3&amp;"'!$F$49:$F$78"),0))*INDIRECT("'"&amp;$H$3&amp;"'!W$244"),0),0)</f>
        <v>0</v>
      </c>
      <c r="Y104" s="341">
        <f t="shared" ca="1" si="10"/>
        <v>11619.75</v>
      </c>
      <c r="AL104" s="4"/>
    </row>
    <row r="105" spans="6:38">
      <c r="F105" s="298"/>
      <c r="G105" s="298" t="s">
        <v>92</v>
      </c>
      <c r="H105" s="300">
        <f ca="1">IFERROR((1-INDIRECT("'"&amp;$H$3&amp;"'!H$207"))*IF(INDIRECT("'"&amp;$H$3&amp;"'!H$201")='List Values'!$E$3,H$280*INDEX(INDIRECT("'"&amp;$H$3&amp;"'!$H$49:$H$78"),MATCH(INDIRECT("'"&amp;$H$3&amp;"'!H$200")&amp;"Maintenance cost/km ($)",INDIRECT("'"&amp;$H$3&amp;"'!$F$49:$F$78"),0)),0),0)
+ IFERROR((1-INDIRECT("'"&amp;$H$3&amp;"'!H$227"))*IF(INDIRECT("'"&amp;$H$3&amp;"'!H$221")='List Values'!$E$3,H$309*INDEX(INDIRECT("'"&amp;$H$3&amp;"'!$H$49:$H$78"),MATCH(INDIRECT("'"&amp;$H$3&amp;"'!H$220")&amp;"Maintenance cost/km ($)",INDIRECT("'"&amp;$H$3&amp;"'!$F$49:$F$78"),0)),0),0)
+ IFERROR((1-INDIRECT("'"&amp;$H$3&amp;"'!H$247"))*IF(INDIRECT("'"&amp;$H$3&amp;"'!H$241")='List Values'!$E$3,H$338*INDEX(INDIRECT("'"&amp;$H$3&amp;"'!$H$49:$H$78"),MATCH(INDIRECT("'"&amp;$H$3&amp;"'!H$240")&amp;"Maintenance cost/km ($)",INDIRECT("'"&amp;$H$3&amp;"'!$F$49:$F$78"),0)),0),0)</f>
        <v>0</v>
      </c>
      <c r="I105" s="358"/>
      <c r="J105" s="358"/>
      <c r="K105" s="300">
        <f ca="1">IFERROR((1-INDIRECT("'"&amp;$H$3&amp;"'!K$207"))*IF(INDIRECT("'"&amp;$H$3&amp;"'!K$201")='List Values'!$E$3,K$280*INDEX(INDIRECT("'"&amp;$H$3&amp;"'!$H$49:$H$78"),MATCH(INDIRECT("'"&amp;$H$3&amp;"'!K$200")&amp;"Maintenance cost/km ($)",INDIRECT("'"&amp;$H$3&amp;"'!$F$49:$F$78"),0)),0),0)
+ IFERROR((1-INDIRECT("'"&amp;$H$3&amp;"'!K$227"))*IF(INDIRECT("'"&amp;$H$3&amp;"'!K$221")='List Values'!$E$3,K$309*INDEX(INDIRECT("'"&amp;$H$3&amp;"'!$H$49:$H$78"),MATCH(INDIRECT("'"&amp;$H$3&amp;"'!K$220")&amp;"Maintenance cost/km ($)",INDIRECT("'"&amp;$H$3&amp;"'!$F$49:$F$78"),0)),0),0)
+ IFERROR((1-INDIRECT("'"&amp;$H$3&amp;"'!K$247"))*IF(INDIRECT("'"&amp;$H$3&amp;"'!K$241")='List Values'!$E$3,K$338*INDEX(INDIRECT("'"&amp;$H$3&amp;"'!$H$49:$H$78"),MATCH(INDIRECT("'"&amp;$H$3&amp;"'!K$240")&amp;"Maintenance cost/km ($)",INDIRECT("'"&amp;$H$3&amp;"'!$F$49:$F$78"),0)),0),0)</f>
        <v>0</v>
      </c>
      <c r="L105" s="300"/>
      <c r="M105" s="300"/>
      <c r="N105" s="300">
        <f ca="1">IFERROR((1-INDIRECT("'"&amp;$H$3&amp;"'!N$207"))*IF(INDIRECT("'"&amp;$H$3&amp;"'!N$201")='List Values'!$E$3,N$280*INDEX(INDIRECT("'"&amp;$H$3&amp;"'!$H$49:$H$78"),MATCH(INDIRECT("'"&amp;$H$3&amp;"'!N$200")&amp;"Maintenance cost/km ($)",INDIRECT("'"&amp;$H$3&amp;"'!$F$49:$F$78"),0)),0),0)
+ IFERROR((1-INDIRECT("'"&amp;$H$3&amp;"'!N$227"))*IF(INDIRECT("'"&amp;$H$3&amp;"'!N$221")='List Values'!$E$3,N$309*INDEX(INDIRECT("'"&amp;$H$3&amp;"'!$H$49:$H$78"),MATCH(INDIRECT("'"&amp;$H$3&amp;"'!N$220")&amp;"Maintenance cost/km ($)",INDIRECT("'"&amp;$H$3&amp;"'!$F$49:$F$78"),0)),0),0)
+ IFERROR((1-INDIRECT("'"&amp;$H$3&amp;"'!N$247"))*IF(INDIRECT("'"&amp;$H$3&amp;"'!N$241")='List Values'!$E$3,N$338*INDEX(INDIRECT("'"&amp;$H$3&amp;"'!$H$49:$H$78"),MATCH(INDIRECT("'"&amp;$H$3&amp;"'!N$240")&amp;"Maintenance cost/km ($)",INDIRECT("'"&amp;$H$3&amp;"'!$F$49:$F$78"),0)),0),0)</f>
        <v>28942.000645252512</v>
      </c>
      <c r="O105" s="300"/>
      <c r="P105" s="300"/>
      <c r="Q105" s="300">
        <f ca="1">IFERROR((1-INDIRECT("'"&amp;$H$3&amp;"'!Q$207"))*IF(INDIRECT("'"&amp;$H$3&amp;"'!Q$201")='List Values'!$E$3,Q$280*INDEX(INDIRECT("'"&amp;$H$3&amp;"'!$H$49:$H$78"),MATCH(INDIRECT("'"&amp;$H$3&amp;"'!Q$200")&amp;"Maintenance cost/km ($)",INDIRECT("'"&amp;$H$3&amp;"'!$F$49:$F$78"),0)),0),0)
+ IFERROR((1-INDIRECT("'"&amp;$H$3&amp;"'!Q$227"))*IF(INDIRECT("'"&amp;$H$3&amp;"'!Q$221")='List Values'!$E$3,Q$309*INDEX(INDIRECT("'"&amp;$H$3&amp;"'!$H$49:$H$78"),MATCH(INDIRECT("'"&amp;$H$3&amp;"'!Q$220")&amp;"Maintenance cost/km ($)",INDIRECT("'"&amp;$H$3&amp;"'!$F$49:$F$78"),0)),0),0)
+ IFERROR((1-INDIRECT("'"&amp;$H$3&amp;"'!Q$247"))*IF(INDIRECT("'"&amp;$H$3&amp;"'!Q$241")='List Values'!$E$3,Q$338*INDEX(INDIRECT("'"&amp;$H$3&amp;"'!$H$49:$H$78"),MATCH(INDIRECT("'"&amp;$H$3&amp;"'!Q$240")&amp;"Maintenance cost/km ($)",INDIRECT("'"&amp;$H$3&amp;"'!$F$49:$F$78"),0)),0),0)</f>
        <v>0</v>
      </c>
      <c r="R105" s="300"/>
      <c r="S105" s="337"/>
      <c r="T105" s="300">
        <f ca="1">IFERROR((1-INDIRECT("'"&amp;$H$3&amp;"'!T$207"))*IF(INDIRECT("'"&amp;$H$3&amp;"'!T$201")='List Values'!$E$3,T$280*INDEX(INDIRECT("'"&amp;$H$3&amp;"'!$H$49:$H$78"),MATCH(INDIRECT("'"&amp;$H$3&amp;"'!T$200")&amp;"Maintenance cost/km ($)",INDIRECT("'"&amp;$H$3&amp;"'!$F$49:$F$78"),0)),0),0)
+ IFERROR((1-INDIRECT("'"&amp;$H$3&amp;"'!T$227"))*IF(INDIRECT("'"&amp;$H$3&amp;"'!T$221")='List Values'!$E$3,T$309*INDEX(INDIRECT("'"&amp;$H$3&amp;"'!$H$49:$H$78"),MATCH(INDIRECT("'"&amp;$H$3&amp;"'!T$220")&amp;"Maintenance cost/km ($)",INDIRECT("'"&amp;$H$3&amp;"'!$F$49:$F$78"),0)),0),0)
+ IFERROR((1-INDIRECT("'"&amp;$H$3&amp;"'!T$247"))*IF(INDIRECT("'"&amp;$H$3&amp;"'!T$241")='List Values'!$E$3,T$338*INDEX(INDIRECT("'"&amp;$H$3&amp;"'!$H$49:$H$78"),MATCH(INDIRECT("'"&amp;$H$3&amp;"'!T$240")&amp;"Maintenance cost/km ($)",INDIRECT("'"&amp;$H$3&amp;"'!$F$49:$F$78"),0)),0),0)</f>
        <v>0</v>
      </c>
      <c r="U105" s="337"/>
      <c r="V105" s="337"/>
      <c r="W105" s="1437">
        <f ca="1">IFERROR((1-INDIRECT("'"&amp;$H$3&amp;"'!W$207"))*IF(INDIRECT("'"&amp;$H$3&amp;"'!W$201")='List Values'!$E$3,W$280*INDEX(INDIRECT("'"&amp;$H$3&amp;"'!$H$49:$H$78"),MATCH(INDIRECT("'"&amp;$H$3&amp;"'!W$200")&amp;"Maintenance cost/km ($)",INDIRECT("'"&amp;$H$3&amp;"'!$F$49:$F$78"),0)),0),0)
+ IFERROR((1-INDIRECT("'"&amp;$H$3&amp;"'!W$227"))*IF(INDIRECT("'"&amp;$H$3&amp;"'!W$221")='List Values'!$E$3,W$309*INDEX(INDIRECT("'"&amp;$H$3&amp;"'!$H$49:$H$78"),MATCH(INDIRECT("'"&amp;$H$3&amp;"'!W$220")&amp;"Maintenance cost/km ($)",INDIRECT("'"&amp;$H$3&amp;"'!$F$49:$F$78"),0)),0),0)
+ IFERROR((1-INDIRECT("'"&amp;$H$3&amp;"'!W$247"))*IF(INDIRECT("'"&amp;$H$3&amp;"'!W$241")='List Values'!$E$3,W$338*INDEX(INDIRECT("'"&amp;$H$3&amp;"'!$H$49:$H$78"),MATCH(INDIRECT("'"&amp;$H$3&amp;"'!W$240")&amp;"Maintenance cost/km ($)",INDIRECT("'"&amp;$H$3&amp;"'!$F$49:$F$78"),0)),0),0)</f>
        <v>0</v>
      </c>
      <c r="Y105" s="341">
        <f t="shared" ca="1" si="10"/>
        <v>28942.000645252512</v>
      </c>
      <c r="AF105" s="34"/>
      <c r="AL105" s="4"/>
    </row>
    <row r="106" spans="6:38">
      <c r="F106" s="298"/>
      <c r="G106" s="298" t="s">
        <v>93</v>
      </c>
      <c r="H106" s="300">
        <f ca="1">IFERROR((1-INDIRECT("'"&amp;$H$3&amp;"'!H$206"))*IF(AND(INDIRECT("'"&amp;$H$3&amp;"'!H$205")="No",INDIRECT("'"&amp;$H$3&amp;"'!H$201")='List Values'!$E$3),INDEX(INDIRECT("'"&amp;$H$3&amp;"'!$H$49:$H$78"),MATCH(INDIRECT("'"&amp;$H$3&amp;"'!H$200")&amp;"Depreciation cost / yr ($)",INDIRECT("'"&amp;$H$3&amp;"'!$F$49:$F$78"),0))*INDIRECT("'"&amp;$H$3&amp;"'!H$204"),0),0)
+IFERROR((1-INDIRECT("'"&amp;$H$3&amp;"'!H$226"))*IF(AND(INDIRECT("'"&amp;$H$3&amp;"'!H$225")="No",INDIRECT("'"&amp;$H$3&amp;"'!H$221")='List Values'!$E$3),INDEX(INDIRECT("'"&amp;$H$3&amp;"'!$H$49:$H$78"),MATCH(INDIRECT("'"&amp;$H$3&amp;"'!H$220")&amp;"Depreciation cost / yr ($)",INDIRECT("'"&amp;$H$3&amp;"'!$F$49:$F$78"),0))*INDIRECT("'"&amp;$H$3&amp;"'!H$224"),0),0)
+IFERROR((1-INDIRECT("'"&amp;$H$3&amp;"'!H$246"))*IF(AND(INDIRECT("'"&amp;$H$3&amp;"'!H$245")="No",INDIRECT("'"&amp;$H$3&amp;"'!H$241")='List Values'!$E$3),INDEX(INDIRECT("'"&amp;$H$3&amp;"'!$H$49:$H$78"),MATCH(INDIRECT("'"&amp;$H$3&amp;"'!H$240")&amp;"Depreciation cost / yr ($)",INDIRECT("'"&amp;$H$3&amp;"'!$F$49:$F$78"),0))*INDIRECT("'"&amp;$H$3&amp;"'!H$244"),0),0)</f>
        <v>0</v>
      </c>
      <c r="I106" s="358"/>
      <c r="J106" s="358"/>
      <c r="K106" s="300">
        <f ca="1">IFERROR((1-INDIRECT("'"&amp;$H$3&amp;"'!K$206"))*IF(AND(INDIRECT("'"&amp;$H$3&amp;"'!K$205")="No",INDIRECT("'"&amp;$H$3&amp;"'!K$201")='List Values'!$E$3),INDEX(INDIRECT("'"&amp;$H$3&amp;"'!$H$49:$H$78"),MATCH(INDIRECT("'"&amp;$H$3&amp;"'!K$200")&amp;"Depreciation cost / yr ($)",INDIRECT("'"&amp;$H$3&amp;"'!$F$49:$F$78"),0))*INDIRECT("'"&amp;$H$3&amp;"'!K$204"),0),0)
+IFERROR((1-INDIRECT("'"&amp;$H$3&amp;"'!K$226"))*IF(AND(INDIRECT("'"&amp;$H$3&amp;"'!K$225")="No",INDIRECT("'"&amp;$H$3&amp;"'!K$221")='List Values'!$E$3),INDEX(INDIRECT("'"&amp;$H$3&amp;"'!$H$49:$H$78"),MATCH(INDIRECT("'"&amp;$H$3&amp;"'!K$220")&amp;"Depreciation cost / yr ($)",INDIRECT("'"&amp;$H$3&amp;"'!$F$49:$F$78"),0))*INDIRECT("'"&amp;$H$3&amp;"'!K$224"),0),0)
+IFERROR((1-INDIRECT("'"&amp;$H$3&amp;"'!K$246"))*IF(AND(INDIRECT("'"&amp;$H$3&amp;"'!K$245")="No",INDIRECT("'"&amp;$H$3&amp;"'!K$241")='List Values'!$E$3),INDEX(INDIRECT("'"&amp;$H$3&amp;"'!$H$49:$H$78"),MATCH(INDIRECT("'"&amp;$H$3&amp;"'!K$240")&amp;"Depreciation cost / yr ($)",INDIRECT("'"&amp;$H$3&amp;"'!$F$49:$F$78"),0))*INDIRECT("'"&amp;$H$3&amp;"'!K$244"),0),0)</f>
        <v>0</v>
      </c>
      <c r="L106" s="300"/>
      <c r="M106" s="300"/>
      <c r="N106" s="300">
        <f ca="1">IFERROR((1-INDIRECT("'"&amp;$H$3&amp;"'!N$206"))*IF(AND(INDIRECT("'"&amp;$H$3&amp;"'!N$205")="No",INDIRECT("'"&amp;$H$3&amp;"'!N$201")='List Values'!$E$3),INDEX(INDIRECT("'"&amp;$H$3&amp;"'!$H$49:$H$78"),MATCH(INDIRECT("'"&amp;$H$3&amp;"'!N$200")&amp;"Depreciation cost / yr ($)",INDIRECT("'"&amp;$H$3&amp;"'!$F$49:$F$78"),0))*INDIRECT("'"&amp;$H$3&amp;"'!N$204"),0),0)
+IFERROR((1-INDIRECT("'"&amp;$H$3&amp;"'!N$226"))*IF(AND(INDIRECT("'"&amp;$H$3&amp;"'!N$225")="No",INDIRECT("'"&amp;$H$3&amp;"'!N$221")='List Values'!$E$3),INDEX(INDIRECT("'"&amp;$H$3&amp;"'!$H$49:$H$78"),MATCH(INDIRECT("'"&amp;$H$3&amp;"'!N$220")&amp;"Depreciation cost / yr ($)",INDIRECT("'"&amp;$H$3&amp;"'!$F$49:$F$78"),0))*INDIRECT("'"&amp;$H$3&amp;"'!N$224"),0),0)
+IFERROR((1-INDIRECT("'"&amp;$H$3&amp;"'!N$246"))*IF(AND(INDIRECT("'"&amp;$H$3&amp;"'!N$245")="No",INDIRECT("'"&amp;$H$3&amp;"'!N$241")='List Values'!$E$3),INDEX(INDIRECT("'"&amp;$H$3&amp;"'!$H$49:$H$78"),MATCH(INDIRECT("'"&amp;$H$3&amp;"'!N$240")&amp;"Depreciation cost / yr ($)",INDIRECT("'"&amp;$H$3&amp;"'!$F$49:$F$78"),0))*INDIRECT("'"&amp;$H$3&amp;"'!N$244"),0),0)</f>
        <v>60939.499795095864</v>
      </c>
      <c r="O106" s="300"/>
      <c r="P106" s="300"/>
      <c r="Q106" s="300">
        <f ca="1">IFERROR((1-INDIRECT("'"&amp;$H$3&amp;"'!Q$206"))*IF(AND(INDIRECT("'"&amp;$H$3&amp;"'!Q$205")="No",INDIRECT("'"&amp;$H$3&amp;"'!Q$201")='List Values'!$E$3),INDEX(INDIRECT("'"&amp;$H$3&amp;"'!$H$49:$H$78"),MATCH(INDIRECT("'"&amp;$H$3&amp;"'!Q$200")&amp;"Depreciation cost / yr ($)",INDIRECT("'"&amp;$H$3&amp;"'!$F$49:$F$78"),0))*INDIRECT("'"&amp;$H$3&amp;"'!Q$204"),0),0)
+IFERROR((1-INDIRECT("'"&amp;$H$3&amp;"'!Q$226"))*IF(AND(INDIRECT("'"&amp;$H$3&amp;"'!Q$225")="No",INDIRECT("'"&amp;$H$3&amp;"'!Q$221")='List Values'!$E$3),INDEX(INDIRECT("'"&amp;$H$3&amp;"'!$H$49:$H$78"),MATCH(INDIRECT("'"&amp;$H$3&amp;"'!Q$220")&amp;"Depreciation cost / yr ($)",INDIRECT("'"&amp;$H$3&amp;"'!$F$49:$F$78"),0))*INDIRECT("'"&amp;$H$3&amp;"'!Q$224"),0),0)
+IFERROR((1-INDIRECT("'"&amp;$H$3&amp;"'!Q$246"))*IF(AND(INDIRECT("'"&amp;$H$3&amp;"'!Q$245")="No",INDIRECT("'"&amp;$H$3&amp;"'!Q$241")='List Values'!$E$3),INDEX(INDIRECT("'"&amp;$H$3&amp;"'!$H$49:$H$78"),MATCH(INDIRECT("'"&amp;$H$3&amp;"'!Q$240")&amp;"Depreciation cost / yr ($)",INDIRECT("'"&amp;$H$3&amp;"'!$F$49:$F$78"),0))*INDIRECT("'"&amp;$H$3&amp;"'!Q$244"),0),0)</f>
        <v>0</v>
      </c>
      <c r="R106" s="300"/>
      <c r="S106" s="337"/>
      <c r="T106" s="300">
        <f ca="1">IFERROR((1-INDIRECT("'"&amp;$H$3&amp;"'!T$206"))*IF(AND(INDIRECT("'"&amp;$H$3&amp;"'!T$205")="No",INDIRECT("'"&amp;$H$3&amp;"'!T$201")='List Values'!$E$3),INDEX(INDIRECT("'"&amp;$H$3&amp;"'!$H$49:$H$78"),MATCH(INDIRECT("'"&amp;$H$3&amp;"'!T$200")&amp;"Depreciation cost / yr ($)",INDIRECT("'"&amp;$H$3&amp;"'!$F$49:$F$78"),0))*INDIRECT("'"&amp;$H$3&amp;"'!T$204"),0),0)
+IFERROR((1-INDIRECT("'"&amp;$H$3&amp;"'!T$226"))*IF(AND(INDIRECT("'"&amp;$H$3&amp;"'!T$225")="No",INDIRECT("'"&amp;$H$3&amp;"'!T$221")='List Values'!$E$3),INDEX(INDIRECT("'"&amp;$H$3&amp;"'!$H$49:$H$78"),MATCH(INDIRECT("'"&amp;$H$3&amp;"'!T$220")&amp;"Depreciation cost / yr ($)",INDIRECT("'"&amp;$H$3&amp;"'!$F$49:$F$78"),0))*INDIRECT("'"&amp;$H$3&amp;"'!T$224"),0),0)
+IFERROR((1-INDIRECT("'"&amp;$H$3&amp;"'!T$246"))*IF(AND(INDIRECT("'"&amp;$H$3&amp;"'!T$245")="No",INDIRECT("'"&amp;$H$3&amp;"'!T$241")='List Values'!$E$3),INDEX(INDIRECT("'"&amp;$H$3&amp;"'!$H$49:$H$78"),MATCH(INDIRECT("'"&amp;$H$3&amp;"'!T$240")&amp;"Depreciation cost / yr ($)",INDIRECT("'"&amp;$H$3&amp;"'!$F$49:$F$78"),0))*INDIRECT("'"&amp;$H$3&amp;"'!T$244"),0),0)</f>
        <v>0</v>
      </c>
      <c r="U106" s="337"/>
      <c r="V106" s="337"/>
      <c r="W106" s="1437">
        <f ca="1">IFERROR((1-INDIRECT("'"&amp;$H$3&amp;"'!W$206"))*IF(AND(INDIRECT("'"&amp;$H$3&amp;"'!W$205")="No",INDIRECT("'"&amp;$H$3&amp;"'!W$201")='List Values'!$E$3),INDEX(INDIRECT("'"&amp;$H$3&amp;"'!$H$49:$H$78"),MATCH(INDIRECT("'"&amp;$H$3&amp;"'!W$200")&amp;"Depreciation cost / yr ($)",INDIRECT("'"&amp;$H$3&amp;"'!$F$49:$F$78"),0))*INDIRECT("'"&amp;$H$3&amp;"'!W$204"),0),0)
+IFERROR((1-INDIRECT("'"&amp;$H$3&amp;"'!W$226"))*IF(AND(INDIRECT("'"&amp;$H$3&amp;"'!W$225")="No",INDIRECT("'"&amp;$H$3&amp;"'!W$221")='List Values'!$E$3),INDEX(INDIRECT("'"&amp;$H$3&amp;"'!$H$49:$H$78"),MATCH(INDIRECT("'"&amp;$H$3&amp;"'!W$220")&amp;"Depreciation cost / yr ($)",INDIRECT("'"&amp;$H$3&amp;"'!$F$49:$F$78"),0))*INDIRECT("'"&amp;$H$3&amp;"'!W$224"),0),0)
+IFERROR((1-INDIRECT("'"&amp;$H$3&amp;"'!W$246"))*IF(AND(INDIRECT("'"&amp;$H$3&amp;"'!W$245")="No",INDIRECT("'"&amp;$H$3&amp;"'!W$241")='List Values'!$E$3),INDEX(INDIRECT("'"&amp;$H$3&amp;"'!$H$49:$H$78"),MATCH(INDIRECT("'"&amp;$H$3&amp;"'!W$240")&amp;"Depreciation cost / yr ($)",INDIRECT("'"&amp;$H$3&amp;"'!$F$49:$F$78"),0))*INDIRECT("'"&amp;$H$3&amp;"'!W$244"),0),0)</f>
        <v>0</v>
      </c>
      <c r="Y106" s="341">
        <f t="shared" ca="1" si="10"/>
        <v>60939.499795095864</v>
      </c>
      <c r="AL106" s="4"/>
    </row>
    <row r="107" spans="6:38">
      <c r="F107" s="359"/>
      <c r="G107" s="220" t="s">
        <v>160</v>
      </c>
      <c r="H107" s="296">
        <f ca="1">IFERROR((1-INDIRECT("'"&amp;$H$3&amp;"'!H$207"))*H$266*INDEX(INDIRECT("'"&amp;$H$3&amp;"'!$H$43:$H$78"),MATCH(INDIRECT("'"&amp;$H$3&amp;"'!H$200")&amp;"Average cost ($) per trip (one-way)",INDIRECT("'"&amp;$H$3&amp;"'!$F$43:$F$78"),0)),0)
+IFERROR((1-INDIRECT("'"&amp;$H$3&amp;"'!H$227"))*H$295*INDEX(INDIRECT("'"&amp;$H$3&amp;"'!$H$43:$H$78"),MATCH(INDIRECT("'"&amp;$H$3&amp;"'!H$220")&amp;"Average cost ($) per trip (one-way)",INDIRECT("'"&amp;$H$3&amp;"'!$F$43:$F$78"),0)),0)
+IFERROR((1-INDIRECT("'"&amp;$H$3&amp;"'!H$247"))*H$324*INDEX(INDIRECT("'"&amp;$H$3&amp;"'!$H$43:$H$78"),MATCH(INDIRECT("'"&amp;$H$3&amp;"'!H$240")&amp;"Average cost ($) per trip (one-way)",INDIRECT("'"&amp;$H$3&amp;"'!$F$43:$F$78"),0)),0)</f>
        <v>0</v>
      </c>
      <c r="I107" s="360"/>
      <c r="J107" s="360"/>
      <c r="K107" s="296">
        <f ca="1">IFERROR((1-INDIRECT("'"&amp;$H$3&amp;"'!K$207"))*K$266*INDEX(INDIRECT("'"&amp;$H$3&amp;"'!$H$43:$H$78"),MATCH(INDIRECT("'"&amp;$H$3&amp;"'!K$200")&amp;"Average cost ($) per trip (one-way)",INDIRECT("'"&amp;$H$3&amp;"'!$F$43:$F$78"),0)),0)
+IFERROR((1-INDIRECT("'"&amp;$H$3&amp;"'!K$227"))*K$295*INDEX(INDIRECT("'"&amp;$H$3&amp;"'!$H$43:$H$78"),MATCH(INDIRECT("'"&amp;$H$3&amp;"'!K$220")&amp;"Average cost ($) per trip (one-way)",INDIRECT("'"&amp;$H$3&amp;"'!$F$43:$F$78"),0)),0)
+IFERROR((1-INDIRECT("'"&amp;$H$3&amp;"'!K$247"))*K$324*INDEX(INDIRECT("'"&amp;$H$3&amp;"'!$H$43:$H$78"),MATCH(INDIRECT("'"&amp;$H$3&amp;"'!K$240")&amp;"Average cost ($) per trip (one-way)",INDIRECT("'"&amp;$H$3&amp;"'!$F$43:$F$78"),0)),0)</f>
        <v>0</v>
      </c>
      <c r="L107" s="296"/>
      <c r="M107" s="296"/>
      <c r="N107" s="296">
        <f ca="1">IFERROR((1-INDIRECT("'"&amp;$H$3&amp;"'!N$207"))*N$266*INDEX(INDIRECT("'"&amp;$H$3&amp;"'!$H$43:$H$78"),MATCH(INDIRECT("'"&amp;$H$3&amp;"'!N$200")&amp;"Average cost ($) per trip (one-way)",INDIRECT("'"&amp;$H$3&amp;"'!$F$43:$F$78"),0)),0)
+IFERROR((1-INDIRECT("'"&amp;$H$3&amp;"'!N$227"))*N$295*INDEX(INDIRECT("'"&amp;$H$3&amp;"'!$H$43:$H$78"),MATCH(INDIRECT("'"&amp;$H$3&amp;"'!N$220")&amp;"Average cost ($) per trip (one-way)",INDIRECT("'"&amp;$H$3&amp;"'!$F$43:$F$78"),0)),0)
+IFERROR((1-INDIRECT("'"&amp;$H$3&amp;"'!N$247"))*N$324*INDEX(INDIRECT("'"&amp;$H$3&amp;"'!$H$43:$H$78"),MATCH(INDIRECT("'"&amp;$H$3&amp;"'!N$240")&amp;"Average cost ($) per trip (one-way)",INDIRECT("'"&amp;$H$3&amp;"'!$F$43:$F$78"),0)),0)</f>
        <v>0</v>
      </c>
      <c r="O107" s="296"/>
      <c r="P107" s="296"/>
      <c r="Q107" s="296">
        <f ca="1">IFERROR((1-INDIRECT("'"&amp;$H$3&amp;"'!Q$207"))*Q$266*INDEX(INDIRECT("'"&amp;$H$3&amp;"'!$H$43:$H$78"),MATCH(INDIRECT("'"&amp;$H$3&amp;"'!Q$200")&amp;"Average cost ($) per trip (one-way)",INDIRECT("'"&amp;$H$3&amp;"'!$F$43:$F$78"),0)),0)
+IFERROR((1-INDIRECT("'"&amp;$H$3&amp;"'!Q$227"))*Q$295*INDEX(INDIRECT("'"&amp;$H$3&amp;"'!$H$43:$H$78"),MATCH(INDIRECT("'"&amp;$H$3&amp;"'!Q$220")&amp;"Average cost ($) per trip (one-way)",INDIRECT("'"&amp;$H$3&amp;"'!$F$43:$F$78"),0)),0)
+IFERROR((1-INDIRECT("'"&amp;$H$3&amp;"'!Q$247"))*Q$324*INDEX(INDIRECT("'"&amp;$H$3&amp;"'!$H$43:$H$78"),MATCH(INDIRECT("'"&amp;$H$3&amp;"'!Q$240")&amp;"Average cost ($) per trip (one-way)",INDIRECT("'"&amp;$H$3&amp;"'!$F$43:$F$78"),0)),0)</f>
        <v>0</v>
      </c>
      <c r="R107" s="296"/>
      <c r="S107" s="361"/>
      <c r="T107" s="296">
        <f ca="1">IFERROR((1-INDIRECT("'"&amp;$H$3&amp;"'!T$207"))*T$266*INDEX(INDIRECT("'"&amp;$H$3&amp;"'!$H$43:$H$78"),MATCH(INDIRECT("'"&amp;$H$3&amp;"'!T$200")&amp;"Average cost ($) per trip (one-way)",INDIRECT("'"&amp;$H$3&amp;"'!$F$43:$F$78"),0)),0)
+IFERROR((1-INDIRECT("'"&amp;$H$3&amp;"'!T$227"))*T$295*INDEX(INDIRECT("'"&amp;$H$3&amp;"'!$H$43:$H$78"),MATCH(INDIRECT("'"&amp;$H$3&amp;"'!T$220")&amp;"Average cost ($) per trip (one-way)",INDIRECT("'"&amp;$H$3&amp;"'!$F$43:$F$78"),0)),0)
+IFERROR((1-INDIRECT("'"&amp;$H$3&amp;"'!T$247"))*T$324*INDEX(INDIRECT("'"&amp;$H$3&amp;"'!$H$43:$H$78"),MATCH(INDIRECT("'"&amp;$H$3&amp;"'!T$240")&amp;"Average cost ($) per trip (one-way)",INDIRECT("'"&amp;$H$3&amp;"'!$F$43:$F$78"),0)),0)</f>
        <v>0</v>
      </c>
      <c r="U107" s="361"/>
      <c r="V107" s="361"/>
      <c r="W107" s="1438">
        <f ca="1">IFERROR((1-INDIRECT("'"&amp;$H$3&amp;"'!W$207"))*W$266*INDEX(INDIRECT("'"&amp;$H$3&amp;"'!$H$43:$H$78"),MATCH(INDIRECT("'"&amp;$H$3&amp;"'!W$200")&amp;"Average cost ($) per trip (one-way)",INDIRECT("'"&amp;$H$3&amp;"'!$F$43:$F$78"),0)),0)
+IFERROR((1-INDIRECT("'"&amp;$H$3&amp;"'!W$227"))*W$295*INDEX(INDIRECT("'"&amp;$H$3&amp;"'!$H$43:$H$78"),MATCH(INDIRECT("'"&amp;$H$3&amp;"'!W$220")&amp;"Average cost ($) per trip (one-way)",INDIRECT("'"&amp;$H$3&amp;"'!$F$43:$F$78"),0)),0)
+IFERROR((1-INDIRECT("'"&amp;$H$3&amp;"'!W$247"))*W$324*INDEX(INDIRECT("'"&amp;$H$3&amp;"'!$H$43:$H$78"),MATCH(INDIRECT("'"&amp;$H$3&amp;"'!W$240")&amp;"Average cost ($) per trip (one-way)",INDIRECT("'"&amp;$H$3&amp;"'!$F$43:$F$78"),0)),0)</f>
        <v>0</v>
      </c>
      <c r="Y107" s="347">
        <f t="shared" ca="1" si="10"/>
        <v>0</v>
      </c>
    </row>
    <row r="108" spans="6:38">
      <c r="F108" s="352" t="s">
        <v>2443</v>
      </c>
      <c r="G108" s="352"/>
      <c r="H108" s="362"/>
      <c r="I108" s="362"/>
      <c r="J108" s="362"/>
      <c r="K108" s="362"/>
      <c r="L108" s="362"/>
      <c r="M108" s="362"/>
      <c r="N108" s="362"/>
      <c r="O108" s="362"/>
      <c r="P108" s="362"/>
      <c r="Q108" s="362"/>
      <c r="R108" s="354"/>
      <c r="S108" s="355"/>
      <c r="T108" s="362"/>
      <c r="U108" s="355"/>
      <c r="V108" s="355"/>
      <c r="W108" s="384"/>
      <c r="X108" s="1463"/>
      <c r="Y108" s="355">
        <f ca="1">SUM(Y109:Y117)</f>
        <v>249082.17144745667</v>
      </c>
    </row>
    <row r="109" spans="6:38">
      <c r="F109" s="298"/>
      <c r="G109" s="298" t="s">
        <v>48</v>
      </c>
      <c r="H109" s="300">
        <f ca="1">IFERROR((1-INDIRECT("'"&amp;$H$3&amp;"'!H$142"))*IF(INDIRECT("'"&amp;$H$3&amp;"'!H$137")='List Values'!$E$5,INDIRECT("'"&amp;$H$3&amp;"'!H$139")*IF(INDIRECT("'"&amp;$H$3&amp;"'!H$138")='List Values'!$F$3,H$169,IF(INDIRECT("'"&amp;$H$3&amp;"'!H$138")='List Values'!$F$4,'2_Outputs'!H$52*INDIRECT("'"&amp;$H$3&amp;"'!H$95")*INDIRECT("'"&amp;$H$3&amp;"'!H$135"),IF(INDIRECT("'"&amp;$H$3&amp;"'!H$138")='List Values'!$F$5,H$171,IF(INDIRECT("'"&amp;$H$3&amp;"'!H$138")='List Values'!$F$6,INDIRECT("'"&amp;$H$3&amp;"'!H$95")*INDIRECT("'"&amp;$H$3&amp;"'!H$135"),IF(INDIRECT("'"&amp;$H$3&amp;"'!H$138")='List Values'!$F$7,1,0))))),0),0)
+IFERROR((1-INDIRECT("'"&amp;$H$3&amp;"'!H$162"))*IF(INDIRECT("'"&amp;$H$3&amp;"'!H$157")='List Values'!$E$5,INDIRECT("'"&amp;$H$3&amp;"'!H$159")*IF(INDIRECT("'"&amp;$H$3&amp;"'!H$158")='List Values'!$F$3,H$207,IF(INDIRECT("'"&amp;$H$3&amp;"'!H$158")='List Values'!$F$4,'2_Outputs'!H$52*INDIRECT("'"&amp;$H$3&amp;"'!H$95")*INDIRECT("'"&amp;$H$3&amp;"'!H$155"),IF(INDIRECT("'"&amp;$H$3&amp;"'!H$158")='List Values'!$F$5,H$209,IF(INDIRECT("'"&amp;$H$3&amp;"'!H$158")='List Values'!$F$6,INDIRECT("'"&amp;$H$3&amp;"'!H$95")*INDIRECT("'"&amp;$H$3&amp;"'!H$155"),IF(INDIRECT("'"&amp;$H$3&amp;"'!H$158")='List Values'!$F$7,1,0))))),0),0)
+IFERROR((1-INDIRECT("'"&amp;$H$3&amp;"'!H$182"))*IF(INDIRECT("'"&amp;$H$3&amp;"'!H$177")='List Values'!$E$5,INDIRECT("'"&amp;$H$3&amp;"'!H$179")*IF(INDIRECT("'"&amp;$H$3&amp;"'!H$178")='List Values'!$F$3,H$245,IF(INDIRECT("'"&amp;$H$3&amp;"'!H$178")='List Values'!$F$4,'2_Outputs'!H$52*INDIRECT("'"&amp;$H$3&amp;"'!H$95")*INDIRECT("'"&amp;$H$3&amp;"'!H$175"),IF(INDIRECT("'"&amp;$H$3&amp;"'!H$178")='List Values'!$F$5,H$247,IF(INDIRECT("'"&amp;$H$3&amp;"'!H$178")='List Values'!$F$6,INDIRECT("'"&amp;$H$3&amp;"'!H$95")*INDIRECT("'"&amp;$H$3&amp;"'!H$175"),IF(INDIRECT("'"&amp;$H$3&amp;"'!H$178")='List Values'!$F$7,1,0))))),0),0)</f>
        <v>0</v>
      </c>
      <c r="I109" s="300"/>
      <c r="J109" s="300"/>
      <c r="K109" s="300">
        <f ca="1">IFERROR((1-INDIRECT("'"&amp;$H$3&amp;"'!K$142"))*IF(INDIRECT("'"&amp;$H$3&amp;"'!K$137")='List Values'!$E$5,INDIRECT("'"&amp;$H$3&amp;"'!K$139")*IF(INDIRECT("'"&amp;$H$3&amp;"'!K$138")='List Values'!$F$3,K$169,IF(INDIRECT("'"&amp;$H$3&amp;"'!K$138")='List Values'!$F$4,'2_Outputs'!K$52*INDIRECT("'"&amp;$H$3&amp;"'!K$95")*INDIRECT("'"&amp;$H$3&amp;"'!K$135"),IF(INDIRECT("'"&amp;$H$3&amp;"'!K$138")='List Values'!$F$5,K$171,IF(INDIRECT("'"&amp;$H$3&amp;"'!K$138")='List Values'!$F$6,INDIRECT("'"&amp;$H$3&amp;"'!K$95")*INDIRECT("'"&amp;$H$3&amp;"'!K$135"),IF(INDIRECT("'"&amp;$H$3&amp;"'!K$138")='List Values'!$F$7,1,0))))),0),0)
+IFERROR((1-INDIRECT("'"&amp;$H$3&amp;"'!K$162"))*IF(INDIRECT("'"&amp;$H$3&amp;"'!K$157")='List Values'!$E$5,INDIRECT("'"&amp;$H$3&amp;"'!K$159")*IF(INDIRECT("'"&amp;$H$3&amp;"'!K$158")='List Values'!$F$3,K$207,IF(INDIRECT("'"&amp;$H$3&amp;"'!K$158")='List Values'!$F$4,'2_Outputs'!K$52*INDIRECT("'"&amp;$H$3&amp;"'!K$95")*INDIRECT("'"&amp;$H$3&amp;"'!K$155"),IF(INDIRECT("'"&amp;$H$3&amp;"'!K$158")='List Values'!$F$5,K$209,IF(INDIRECT("'"&amp;$H$3&amp;"'!K$158")='List Values'!$F$6,INDIRECT("'"&amp;$H$3&amp;"'!K$95")*INDIRECT("'"&amp;$H$3&amp;"'!K$155"),IF(INDIRECT("'"&amp;$H$3&amp;"'!K$158")='List Values'!$F$7,1,0))))),0),0)
+IFERROR((1-INDIRECT("'"&amp;$H$3&amp;"'!K$182"))*IF(INDIRECT("'"&amp;$H$3&amp;"'!K$177")='List Values'!$E$5,INDIRECT("'"&amp;$H$3&amp;"'!K$179")*IF(INDIRECT("'"&amp;$H$3&amp;"'!K$178")='List Values'!$F$3,K$245,IF(INDIRECT("'"&amp;$H$3&amp;"'!K$178")='List Values'!$F$4,'2_Outputs'!K$52*INDIRECT("'"&amp;$H$3&amp;"'!K$95")*INDIRECT("'"&amp;$H$3&amp;"'!K$175"),IF(INDIRECT("'"&amp;$H$3&amp;"'!K$178")='List Values'!$F$5,K$247,IF(INDIRECT("'"&amp;$H$3&amp;"'!K$178")='List Values'!$F$6,INDIRECT("'"&amp;$H$3&amp;"'!K$95")*INDIRECT("'"&amp;$H$3&amp;"'!K$175"),IF(INDIRECT("'"&amp;$H$3&amp;"'!K$178")='List Values'!$F$7,1,0))))),0),0)</f>
        <v>0</v>
      </c>
      <c r="L109" s="300"/>
      <c r="M109" s="300"/>
      <c r="N109" s="300">
        <f ca="1">IFERROR((1-INDIRECT("'"&amp;$H$3&amp;"'!N$142"))*IF(INDIRECT("'"&amp;$H$3&amp;"'!N$137")='List Values'!$E$5,INDIRECT("'"&amp;$H$3&amp;"'!N$139")*IF(INDIRECT("'"&amp;$H$3&amp;"'!N$138")='List Values'!$F$3,N$169,IF(INDIRECT("'"&amp;$H$3&amp;"'!N$138")='List Values'!$F$4,'2_Outputs'!N$52*INDIRECT("'"&amp;$H$3&amp;"'!N$95")*INDIRECT("'"&amp;$H$3&amp;"'!N$135"),IF(INDIRECT("'"&amp;$H$3&amp;"'!N$138")='List Values'!$F$5,N$171,IF(INDIRECT("'"&amp;$H$3&amp;"'!N$138")='List Values'!$F$6,INDIRECT("'"&amp;$H$3&amp;"'!N$95")*INDIRECT("'"&amp;$H$3&amp;"'!N$135"),IF(INDIRECT("'"&amp;$H$3&amp;"'!N$138")='List Values'!$F$7,1,0))))),0),0)
+IFERROR((1-INDIRECT("'"&amp;$H$3&amp;"'!N$162"))*IF(INDIRECT("'"&amp;$H$3&amp;"'!N$157")='List Values'!$E$5,INDIRECT("'"&amp;$H$3&amp;"'!N$159")*IF(INDIRECT("'"&amp;$H$3&amp;"'!N$158")='List Values'!$F$3,N$207,IF(INDIRECT("'"&amp;$H$3&amp;"'!N$158")='List Values'!$F$4,'2_Outputs'!N$52*INDIRECT("'"&amp;$H$3&amp;"'!N$95")*INDIRECT("'"&amp;$H$3&amp;"'!N$155"),IF(INDIRECT("'"&amp;$H$3&amp;"'!N$158")='List Values'!$F$5,N$209,IF(INDIRECT("'"&amp;$H$3&amp;"'!N$158")='List Values'!$F$6,INDIRECT("'"&amp;$H$3&amp;"'!N$95")*INDIRECT("'"&amp;$H$3&amp;"'!N$155"),IF(INDIRECT("'"&amp;$H$3&amp;"'!N$158")='List Values'!$F$7,1,0))))),0),0)
+IFERROR((1-INDIRECT("'"&amp;$H$3&amp;"'!N$182"))*IF(INDIRECT("'"&amp;$H$3&amp;"'!N$177")='List Values'!$E$5,INDIRECT("'"&amp;$H$3&amp;"'!N$179")*IF(INDIRECT("'"&amp;$H$3&amp;"'!N$178")='List Values'!$F$3,N$245,IF(INDIRECT("'"&amp;$H$3&amp;"'!N$178")='List Values'!$F$4,'2_Outputs'!N$52*INDIRECT("'"&amp;$H$3&amp;"'!N$95")*INDIRECT("'"&amp;$H$3&amp;"'!N$175"),IF(INDIRECT("'"&amp;$H$3&amp;"'!N$178")='List Values'!$F$5,N$247,IF(INDIRECT("'"&amp;$H$3&amp;"'!N$178")='List Values'!$F$6,INDIRECT("'"&amp;$H$3&amp;"'!N$95")*INDIRECT("'"&amp;$H$3&amp;"'!N$175"),IF(INDIRECT("'"&amp;$H$3&amp;"'!N$178")='List Values'!$F$7,1,0))))),0),0)</f>
        <v>0</v>
      </c>
      <c r="O109" s="300"/>
      <c r="P109" s="300"/>
      <c r="Q109" s="300">
        <f ca="1">IFERROR((1-INDIRECT("'"&amp;$H$3&amp;"'!Q$142"))*IF(INDIRECT("'"&amp;$H$3&amp;"'!Q$137")='List Values'!$E$5,INDIRECT("'"&amp;$H$3&amp;"'!Q$139")*IF(INDIRECT("'"&amp;$H$3&amp;"'!Q$138")='List Values'!$F$3,Q$169,IF(INDIRECT("'"&amp;$H$3&amp;"'!Q$138")='List Values'!$F$4,'2_Outputs'!Q$52*INDIRECT("'"&amp;$H$3&amp;"'!Q$95")*INDIRECT("'"&amp;$H$3&amp;"'!Q$135"),IF(INDIRECT("'"&amp;$H$3&amp;"'!Q$138")='List Values'!$F$5,Q$171,IF(INDIRECT("'"&amp;$H$3&amp;"'!Q$138")='List Values'!$F$6,INDIRECT("'"&amp;$H$3&amp;"'!Q$95")*INDIRECT("'"&amp;$H$3&amp;"'!Q$135"),IF(INDIRECT("'"&amp;$H$3&amp;"'!Q$138")='List Values'!$F$7,1,0))))),0),0)
+IFERROR((1-INDIRECT("'"&amp;$H$3&amp;"'!Q$162"))*IF(INDIRECT("'"&amp;$H$3&amp;"'!Q$157")='List Values'!$E$5,INDIRECT("'"&amp;$H$3&amp;"'!Q$159")*IF(INDIRECT("'"&amp;$H$3&amp;"'!Q$158")='List Values'!$F$3,Q$207,IF(INDIRECT("'"&amp;$H$3&amp;"'!Q$158")='List Values'!$F$4,'2_Outputs'!Q$52*INDIRECT("'"&amp;$H$3&amp;"'!Q$95")*INDIRECT("'"&amp;$H$3&amp;"'!Q$155"),IF(INDIRECT("'"&amp;$H$3&amp;"'!Q$158")='List Values'!$F$5,Q$209,IF(INDIRECT("'"&amp;$H$3&amp;"'!Q$158")='List Values'!$F$6,INDIRECT("'"&amp;$H$3&amp;"'!Q$95")*INDIRECT("'"&amp;$H$3&amp;"'!Q$155"),IF(INDIRECT("'"&amp;$H$3&amp;"'!Q$158")='List Values'!$F$7,1,0))))),0),0)
+IFERROR((1-INDIRECT("'"&amp;$H$3&amp;"'!Q$182"))*IF(INDIRECT("'"&amp;$H$3&amp;"'!Q$177")='List Values'!$E$5,INDIRECT("'"&amp;$H$3&amp;"'!Q$179")*IF(INDIRECT("'"&amp;$H$3&amp;"'!Q$178")='List Values'!$F$3,Q$245,IF(INDIRECT("'"&amp;$H$3&amp;"'!Q$178")='List Values'!$F$4,'2_Outputs'!Q$52*INDIRECT("'"&amp;$H$3&amp;"'!Q$95")*INDIRECT("'"&amp;$H$3&amp;"'!Q$175"),IF(INDIRECT("'"&amp;$H$3&amp;"'!Q$178")='List Values'!$F$5,Q$247,IF(INDIRECT("'"&amp;$H$3&amp;"'!Q$178")='List Values'!$F$6,INDIRECT("'"&amp;$H$3&amp;"'!Q$95")*INDIRECT("'"&amp;$H$3&amp;"'!Q$175"),IF(INDIRECT("'"&amp;$H$3&amp;"'!Q$178")='List Values'!$F$7,1,0))))),0),0)</f>
        <v>0</v>
      </c>
      <c r="R109" s="300"/>
      <c r="S109" s="337"/>
      <c r="T109" s="300">
        <f ca="1">IFERROR((1-INDIRECT("'"&amp;$H$3&amp;"'!T$142"))*IF(INDIRECT("'"&amp;$H$3&amp;"'!T$137")='List Values'!$E$5,INDIRECT("'"&amp;$H$3&amp;"'!T$139")*IF(INDIRECT("'"&amp;$H$3&amp;"'!T$138")='List Values'!$F$3,T$169,IF(INDIRECT("'"&amp;$H$3&amp;"'!T$138")='List Values'!$F$4,'2_Outputs'!T$52*INDIRECT("'"&amp;$H$3&amp;"'!T$95")*INDIRECT("'"&amp;$H$3&amp;"'!T$135"),IF(INDIRECT("'"&amp;$H$3&amp;"'!T$138")='List Values'!$F$5,T$171,IF(INDIRECT("'"&amp;$H$3&amp;"'!T$138")='List Values'!$F$6,INDIRECT("'"&amp;$H$3&amp;"'!T$95")*INDIRECT("'"&amp;$H$3&amp;"'!T$135"),IF(INDIRECT("'"&amp;$H$3&amp;"'!T$138")='List Values'!$F$7,1,0))))),0),0)
+IFERROR((1-INDIRECT("'"&amp;$H$3&amp;"'!T$162"))*IF(INDIRECT("'"&amp;$H$3&amp;"'!T$157")='List Values'!$E$5,INDIRECT("'"&amp;$H$3&amp;"'!T$159")*IF(INDIRECT("'"&amp;$H$3&amp;"'!T$158")='List Values'!$F$3,T$207,IF(INDIRECT("'"&amp;$H$3&amp;"'!T$158")='List Values'!$F$4,'2_Outputs'!T$52*INDIRECT("'"&amp;$H$3&amp;"'!T$95")*INDIRECT("'"&amp;$H$3&amp;"'!T$155"),IF(INDIRECT("'"&amp;$H$3&amp;"'!T$158")='List Values'!$F$5,T$209,IF(INDIRECT("'"&amp;$H$3&amp;"'!T$158")='List Values'!$F$6,INDIRECT("'"&amp;$H$3&amp;"'!T$95")*INDIRECT("'"&amp;$H$3&amp;"'!T$155"),IF(INDIRECT("'"&amp;$H$3&amp;"'!T$158")='List Values'!$F$7,1,0))))),0),0)
+IFERROR((1-INDIRECT("'"&amp;$H$3&amp;"'!T$182"))*IF(INDIRECT("'"&amp;$H$3&amp;"'!T$177")='List Values'!$E$5,INDIRECT("'"&amp;$H$3&amp;"'!T$179")*IF(INDIRECT("'"&amp;$H$3&amp;"'!T$178")='List Values'!$F$3,T$245,IF(INDIRECT("'"&amp;$H$3&amp;"'!T$178")='List Values'!$F$4,'2_Outputs'!T$52*INDIRECT("'"&amp;$H$3&amp;"'!T$95")*INDIRECT("'"&amp;$H$3&amp;"'!T$175"),IF(INDIRECT("'"&amp;$H$3&amp;"'!T$178")='List Values'!$F$5,T$247,IF(INDIRECT("'"&amp;$H$3&amp;"'!T$178")='List Values'!$F$6,INDIRECT("'"&amp;$H$3&amp;"'!T$95")*INDIRECT("'"&amp;$H$3&amp;"'!T$175"),IF(INDIRECT("'"&amp;$H$3&amp;"'!T$178")='List Values'!$F$7,1,0))))),0),0)</f>
        <v>0</v>
      </c>
      <c r="U109" s="337"/>
      <c r="V109" s="337"/>
      <c r="W109" s="1437">
        <f ca="1">IFERROR((1-INDIRECT("'"&amp;$H$3&amp;"'!W$142"))*IF(INDIRECT("'"&amp;$H$3&amp;"'!W$137")='List Values'!$E$5,INDIRECT("'"&amp;$H$3&amp;"'!W$139")*IF(INDIRECT("'"&amp;$H$3&amp;"'!W$138")='List Values'!$F$3,W$169,IF(INDIRECT("'"&amp;$H$3&amp;"'!W$138")='List Values'!$F$4,'2_Outputs'!W$52*INDIRECT("'"&amp;$H$3&amp;"'!W$95")*INDIRECT("'"&amp;$H$3&amp;"'!W$135"),IF(INDIRECT("'"&amp;$H$3&amp;"'!W$138")='List Values'!$F$5,W$171,IF(INDIRECT("'"&amp;$H$3&amp;"'!W$138")='List Values'!$F$6,INDIRECT("'"&amp;$H$3&amp;"'!W$95")*INDIRECT("'"&amp;$H$3&amp;"'!W$135"),IF(INDIRECT("'"&amp;$H$3&amp;"'!W$138")='List Values'!$F$7,1,0))))),0),0)
+IFERROR((1-INDIRECT("'"&amp;$H$3&amp;"'!W$162"))*IF(INDIRECT("'"&amp;$H$3&amp;"'!W$157")='List Values'!$E$5,INDIRECT("'"&amp;$H$3&amp;"'!W$159")*IF(INDIRECT("'"&amp;$H$3&amp;"'!W$158")='List Values'!$F$3,W$207,IF(INDIRECT("'"&amp;$H$3&amp;"'!W$158")='List Values'!$F$4,'2_Outputs'!W$52*INDIRECT("'"&amp;$H$3&amp;"'!W$95")*INDIRECT("'"&amp;$H$3&amp;"'!W$155"),IF(INDIRECT("'"&amp;$H$3&amp;"'!W$158")='List Values'!$F$5,W$209,IF(INDIRECT("'"&amp;$H$3&amp;"'!W$158")='List Values'!$F$6,INDIRECT("'"&amp;$H$3&amp;"'!W$95")*INDIRECT("'"&amp;$H$3&amp;"'!W$155"),IF(INDIRECT("'"&amp;$H$3&amp;"'!W$158")='List Values'!$F$7,1,0))))),0),0)
+IFERROR((1-INDIRECT("'"&amp;$H$3&amp;"'!W$182"))*IF(INDIRECT("'"&amp;$H$3&amp;"'!W$177")='List Values'!$E$5,INDIRECT("'"&amp;$H$3&amp;"'!W$179")*IF(INDIRECT("'"&amp;$H$3&amp;"'!W$178")='List Values'!$F$3,W$245,IF(INDIRECT("'"&amp;$H$3&amp;"'!W$178")='List Values'!$F$4,'2_Outputs'!W$52*INDIRECT("'"&amp;$H$3&amp;"'!W$95")*INDIRECT("'"&amp;$H$3&amp;"'!W$175"),IF(INDIRECT("'"&amp;$H$3&amp;"'!W$178")='List Values'!$F$5,W$247,IF(INDIRECT("'"&amp;$H$3&amp;"'!W$178")='List Values'!$F$6,INDIRECT("'"&amp;$H$3&amp;"'!W$95")*INDIRECT("'"&amp;$H$3&amp;"'!W$175"),IF(INDIRECT("'"&amp;$H$3&amp;"'!W$178")='List Values'!$F$7,1,0))))),0),0)</f>
        <v>0</v>
      </c>
      <c r="Y109" s="341">
        <f ca="1">SUM(H109:W109)</f>
        <v>0</v>
      </c>
    </row>
    <row r="110" spans="6:38">
      <c r="F110" s="288"/>
      <c r="G110" s="298" t="s">
        <v>226</v>
      </c>
      <c r="H110" s="300">
        <f ca="1">IFERROR((1-INDIRECT("'"&amp;$H$3&amp;"'!H$142"))*IF(INDIRECT("'"&amp;$H$3&amp;"'!H$137")='List Values'!$E$4,INDIRECT("'"&amp;$H$3&amp;"'!H$139")*IF(INDIRECT("'"&amp;$H$3&amp;"'!H$138")='List Values'!$F$3,H$169,IF(INDIRECT("'"&amp;$H$3&amp;"'!H$138")='List Values'!$F$4,'2_Outputs'!H$52*INDIRECT("'"&amp;$H$3&amp;"'!H$95")*INDIRECT("'"&amp;$H$3&amp;"'!H$135"),IF(INDIRECT("'"&amp;$H$3&amp;"'!H$138")='List Values'!$F$5,H$171,IF(INDIRECT("'"&amp;$H$3&amp;"'!H$138")='List Values'!$F$6,INDIRECT("'"&amp;$H$3&amp;"'!H$95")*INDIRECT("'"&amp;$H$3&amp;"'!H$135"),IF(INDIRECT("'"&amp;$H$3&amp;"'!H$138")='List Values'!$F$7,1,0))))),0),0)
+IFERROR((1-INDIRECT("'"&amp;$H$3&amp;"'!H$162"))*IF(INDIRECT("'"&amp;$H$3&amp;"'!H$157")='List Values'!$E$4,INDIRECT("'"&amp;$H$3&amp;"'!H$159")*IF(INDIRECT("'"&amp;$H$3&amp;"'!H$158")='List Values'!$F$3,H$207,IF(INDIRECT("'"&amp;$H$3&amp;"'!H$158")='List Values'!$F$4,'2_Outputs'!H$52*INDIRECT("'"&amp;$H$3&amp;"'!H$95")*INDIRECT("'"&amp;$H$3&amp;"'!H$155"),IF(INDIRECT("'"&amp;$H$3&amp;"'!H$158")='List Values'!$F$5,H$209,IF(INDIRECT("'"&amp;$H$3&amp;"'!H$158")='List Values'!$F$6,INDIRECT("'"&amp;$H$3&amp;"'!H$95")*INDIRECT("'"&amp;$H$3&amp;"'!H$155"),IF(INDIRECT("'"&amp;$H$3&amp;"'!H$158")='List Values'!$F$7,1,0))))),0),0)
+IFERROR((1-INDIRECT("'"&amp;$H$3&amp;"'!H$182"))*IF(INDIRECT("'"&amp;$H$3&amp;"'!H$177")='List Values'!$E$4,INDIRECT("'"&amp;$H$3&amp;"'!H$179")*IF(INDIRECT("'"&amp;$H$3&amp;"'!H$178")='List Values'!$F$3,H$245,IF(INDIRECT("'"&amp;$H$3&amp;"'!H$178")='List Values'!$F$4,'2_Outputs'!H$52*INDIRECT("'"&amp;$H$3&amp;"'!H$95")*INDIRECT("'"&amp;$H$3&amp;"'!H$175"),IF(INDIRECT("'"&amp;$H$3&amp;"'!H$178")='List Values'!$F$5,H$247,IF(INDIRECT("'"&amp;$H$3&amp;"'!H$178")='List Values'!$F$6,INDIRECT("'"&amp;$H$3&amp;"'!H$95")*INDIRECT("'"&amp;$H$3&amp;"'!H$175"),IF(INDIRECT("'"&amp;$H$3&amp;"'!H$178")='List Values'!$F$7,1,0))))),0),0)</f>
        <v>0</v>
      </c>
      <c r="I110" s="300"/>
      <c r="J110" s="300"/>
      <c r="K110" s="300">
        <f ca="1">IFERROR((1-INDIRECT("'"&amp;$H$3&amp;"'!K$142"))*IF(INDIRECT("'"&amp;$H$3&amp;"'!K$137")='List Values'!$E$4,INDIRECT("'"&amp;$H$3&amp;"'!K$139")*IF(INDIRECT("'"&amp;$H$3&amp;"'!K$138")='List Values'!$F$3,K$169,IF(INDIRECT("'"&amp;$H$3&amp;"'!K$138")='List Values'!$F$4,'2_Outputs'!K$52*INDIRECT("'"&amp;$H$3&amp;"'!K$95")*INDIRECT("'"&amp;$H$3&amp;"'!K$135"),IF(INDIRECT("'"&amp;$H$3&amp;"'!K$138")='List Values'!$F$5,K$171,IF(INDIRECT("'"&amp;$H$3&amp;"'!K$138")='List Values'!$F$6,INDIRECT("'"&amp;$H$3&amp;"'!K$95")*INDIRECT("'"&amp;$H$3&amp;"'!K$135"),IF(INDIRECT("'"&amp;$H$3&amp;"'!K$138")='List Values'!$F$7,1,0))))),0),0)
+IFERROR((1-INDIRECT("'"&amp;$H$3&amp;"'!K$162"))*IF(INDIRECT("'"&amp;$H$3&amp;"'!K$157")='List Values'!$E$4,INDIRECT("'"&amp;$H$3&amp;"'!K$159")*IF(INDIRECT("'"&amp;$H$3&amp;"'!K$158")='List Values'!$F$3,K$207,IF(INDIRECT("'"&amp;$H$3&amp;"'!K$158")='List Values'!$F$4,'2_Outputs'!K$52*INDIRECT("'"&amp;$H$3&amp;"'!K$95")*INDIRECT("'"&amp;$H$3&amp;"'!K$155"),IF(INDIRECT("'"&amp;$H$3&amp;"'!K$158")='List Values'!$F$5,K$209,IF(INDIRECT("'"&amp;$H$3&amp;"'!K$158")='List Values'!$F$6,INDIRECT("'"&amp;$H$3&amp;"'!K$95")*INDIRECT("'"&amp;$H$3&amp;"'!K$155"),IF(INDIRECT("'"&amp;$H$3&amp;"'!K$158")='List Values'!$F$7,1,0))))),0),0)
+IFERROR((1-INDIRECT("'"&amp;$H$3&amp;"'!K$182"))*IF(INDIRECT("'"&amp;$H$3&amp;"'!K$177")='List Values'!$E$4,INDIRECT("'"&amp;$H$3&amp;"'!K$179")*IF(INDIRECT("'"&amp;$H$3&amp;"'!K$178")='List Values'!$F$3,K$245,IF(INDIRECT("'"&amp;$H$3&amp;"'!K$178")='List Values'!$F$4,'2_Outputs'!K$52*INDIRECT("'"&amp;$H$3&amp;"'!K$95")*INDIRECT("'"&amp;$H$3&amp;"'!K$175"),IF(INDIRECT("'"&amp;$H$3&amp;"'!K$178")='List Values'!$F$5,K$247,IF(INDIRECT("'"&amp;$H$3&amp;"'!K$178")='List Values'!$F$6,INDIRECT("'"&amp;$H$3&amp;"'!K$95")*INDIRECT("'"&amp;$H$3&amp;"'!K$175"),IF(INDIRECT("'"&amp;$H$3&amp;"'!K$178")='List Values'!$F$7,1,0))))),0),0)</f>
        <v>0</v>
      </c>
      <c r="L110" s="300"/>
      <c r="M110" s="300"/>
      <c r="N110" s="300">
        <f ca="1">IFERROR((1-INDIRECT("'"&amp;$H$3&amp;"'!N$142"))*IF(INDIRECT("'"&amp;$H$3&amp;"'!N$137")='List Values'!$E$4,INDIRECT("'"&amp;$H$3&amp;"'!N$139")*IF(INDIRECT("'"&amp;$H$3&amp;"'!N$138")='List Values'!$F$3,N$169,IF(INDIRECT("'"&amp;$H$3&amp;"'!N$138")='List Values'!$F$4,'2_Outputs'!N$52*INDIRECT("'"&amp;$H$3&amp;"'!N$95")*INDIRECT("'"&amp;$H$3&amp;"'!N$135"),IF(INDIRECT("'"&amp;$H$3&amp;"'!N$138")='List Values'!$F$5,N$171,IF(INDIRECT("'"&amp;$H$3&amp;"'!N$138")='List Values'!$F$6,INDIRECT("'"&amp;$H$3&amp;"'!N$95")*INDIRECT("'"&amp;$H$3&amp;"'!N$135"),IF(INDIRECT("'"&amp;$H$3&amp;"'!N$138")='List Values'!$F$7,1,0))))),0),0)
+IFERROR((1-INDIRECT("'"&amp;$H$3&amp;"'!N$162"))*IF(INDIRECT("'"&amp;$H$3&amp;"'!N$157")='List Values'!$E$4,INDIRECT("'"&amp;$H$3&amp;"'!N$159")*IF(INDIRECT("'"&amp;$H$3&amp;"'!N$158")='List Values'!$F$3,N$207,IF(INDIRECT("'"&amp;$H$3&amp;"'!N$158")='List Values'!$F$4,'2_Outputs'!N$52*INDIRECT("'"&amp;$H$3&amp;"'!N$95")*INDIRECT("'"&amp;$H$3&amp;"'!N$155"),IF(INDIRECT("'"&amp;$H$3&amp;"'!N$158")='List Values'!$F$5,N$209,IF(INDIRECT("'"&amp;$H$3&amp;"'!N$158")='List Values'!$F$6,INDIRECT("'"&amp;$H$3&amp;"'!N$95")*INDIRECT("'"&amp;$H$3&amp;"'!N$155"),IF(INDIRECT("'"&amp;$H$3&amp;"'!N$158")='List Values'!$F$7,1,0))))),0),0)
+IFERROR((1-INDIRECT("'"&amp;$H$3&amp;"'!N$182"))*IF(INDIRECT("'"&amp;$H$3&amp;"'!N$177")='List Values'!$E$4,INDIRECT("'"&amp;$H$3&amp;"'!N$179")*IF(INDIRECT("'"&amp;$H$3&amp;"'!N$178")='List Values'!$F$3,N$245,IF(INDIRECT("'"&amp;$H$3&amp;"'!N$178")='List Values'!$F$4,'2_Outputs'!N$52*INDIRECT("'"&amp;$H$3&amp;"'!N$95")*INDIRECT("'"&amp;$H$3&amp;"'!N$175"),IF(INDIRECT("'"&amp;$H$3&amp;"'!N$178")='List Values'!$F$5,N$247,IF(INDIRECT("'"&amp;$H$3&amp;"'!N$178")='List Values'!$F$6,INDIRECT("'"&amp;$H$3&amp;"'!N$95")*INDIRECT("'"&amp;$H$3&amp;"'!N$175"),IF(INDIRECT("'"&amp;$H$3&amp;"'!N$178")='List Values'!$F$7,1,0))))),0),0)</f>
        <v>0</v>
      </c>
      <c r="O110" s="300"/>
      <c r="P110" s="300"/>
      <c r="Q110" s="300">
        <f ca="1">IFERROR((1-INDIRECT("'"&amp;$H$3&amp;"'!Q$142"))*IF(INDIRECT("'"&amp;$H$3&amp;"'!Q$137")='List Values'!$E$4,INDIRECT("'"&amp;$H$3&amp;"'!Q$139")*IF(INDIRECT("'"&amp;$H$3&amp;"'!Q$138")='List Values'!$F$3,Q$169,IF(INDIRECT("'"&amp;$H$3&amp;"'!Q$138")='List Values'!$F$4,'2_Outputs'!Q$52*INDIRECT("'"&amp;$H$3&amp;"'!Q$95")*INDIRECT("'"&amp;$H$3&amp;"'!Q$135"),IF(INDIRECT("'"&amp;$H$3&amp;"'!Q$138")='List Values'!$F$5,Q$171,IF(INDIRECT("'"&amp;$H$3&amp;"'!Q$138")='List Values'!$F$6,INDIRECT("'"&amp;$H$3&amp;"'!Q$95")*INDIRECT("'"&amp;$H$3&amp;"'!Q$135"),IF(INDIRECT("'"&amp;$H$3&amp;"'!Q$138")='List Values'!$F$7,1,0))))),0),0)
+IFERROR((1-INDIRECT("'"&amp;$H$3&amp;"'!Q$162"))*IF(INDIRECT("'"&amp;$H$3&amp;"'!Q$157")='List Values'!$E$4,INDIRECT("'"&amp;$H$3&amp;"'!Q$159")*IF(INDIRECT("'"&amp;$H$3&amp;"'!Q$158")='List Values'!$F$3,Q$207,IF(INDIRECT("'"&amp;$H$3&amp;"'!Q$158")='List Values'!$F$4,'2_Outputs'!Q$52*INDIRECT("'"&amp;$H$3&amp;"'!Q$95")*INDIRECT("'"&amp;$H$3&amp;"'!Q$155"),IF(INDIRECT("'"&amp;$H$3&amp;"'!Q$158")='List Values'!$F$5,Q$209,IF(INDIRECT("'"&amp;$H$3&amp;"'!Q$158")='List Values'!$F$6,INDIRECT("'"&amp;$H$3&amp;"'!Q$95")*INDIRECT("'"&amp;$H$3&amp;"'!Q$155"),IF(INDIRECT("'"&amp;$H$3&amp;"'!Q$158")='List Values'!$F$7,1,0))))),0),0)
+IFERROR((1-INDIRECT("'"&amp;$H$3&amp;"'!Q$182"))*IF(INDIRECT("'"&amp;$H$3&amp;"'!Q$177")='List Values'!$E$4,INDIRECT("'"&amp;$H$3&amp;"'!Q$179")*IF(INDIRECT("'"&amp;$H$3&amp;"'!Q$178")='List Values'!$F$3,Q$245,IF(INDIRECT("'"&amp;$H$3&amp;"'!Q$178")='List Values'!$F$4,'2_Outputs'!Q$52*INDIRECT("'"&amp;$H$3&amp;"'!Q$95")*INDIRECT("'"&amp;$H$3&amp;"'!Q$175"),IF(INDIRECT("'"&amp;$H$3&amp;"'!Q$178")='List Values'!$F$5,Q$247,IF(INDIRECT("'"&amp;$H$3&amp;"'!Q$178")='List Values'!$F$6,INDIRECT("'"&amp;$H$3&amp;"'!Q$95")*INDIRECT("'"&amp;$H$3&amp;"'!Q$175"),IF(INDIRECT("'"&amp;$H$3&amp;"'!Q$178")='List Values'!$F$7,1,0))))),0),0)</f>
        <v>0</v>
      </c>
      <c r="R110" s="300"/>
      <c r="S110" s="337"/>
      <c r="T110" s="300">
        <f ca="1">IFERROR((1-INDIRECT("'"&amp;$H$3&amp;"'!T$142"))*IF(INDIRECT("'"&amp;$H$3&amp;"'!T$137")='List Values'!$E$4,INDIRECT("'"&amp;$H$3&amp;"'!T$139")*IF(INDIRECT("'"&amp;$H$3&amp;"'!T$138")='List Values'!$F$3,T$169,IF(INDIRECT("'"&amp;$H$3&amp;"'!T$138")='List Values'!$F$4,'2_Outputs'!T$52*INDIRECT("'"&amp;$H$3&amp;"'!T$95")*INDIRECT("'"&amp;$H$3&amp;"'!T$135"),IF(INDIRECT("'"&amp;$H$3&amp;"'!T$138")='List Values'!$F$5,T$171,IF(INDIRECT("'"&amp;$H$3&amp;"'!T$138")='List Values'!$F$6,INDIRECT("'"&amp;$H$3&amp;"'!T$95")*INDIRECT("'"&amp;$H$3&amp;"'!T$135"),IF(INDIRECT("'"&amp;$H$3&amp;"'!T$138")='List Values'!$F$7,1,0))))),0),0)
+IFERROR((1-INDIRECT("'"&amp;$H$3&amp;"'!T$162"))*IF(INDIRECT("'"&amp;$H$3&amp;"'!T$157")='List Values'!$E$4,INDIRECT("'"&amp;$H$3&amp;"'!T$159")*IF(INDIRECT("'"&amp;$H$3&amp;"'!T$158")='List Values'!$F$3,T$207,IF(INDIRECT("'"&amp;$H$3&amp;"'!T$158")='List Values'!$F$4,'2_Outputs'!T$52*INDIRECT("'"&amp;$H$3&amp;"'!T$95")*INDIRECT("'"&amp;$H$3&amp;"'!T$155"),IF(INDIRECT("'"&amp;$H$3&amp;"'!T$158")='List Values'!$F$5,T$209,IF(INDIRECT("'"&amp;$H$3&amp;"'!T$158")='List Values'!$F$6,INDIRECT("'"&amp;$H$3&amp;"'!T$95")*INDIRECT("'"&amp;$H$3&amp;"'!T$155"),IF(INDIRECT("'"&amp;$H$3&amp;"'!T$158")='List Values'!$F$7,1,0))))),0),0)
+IFERROR((1-INDIRECT("'"&amp;$H$3&amp;"'!T$182"))*IF(INDIRECT("'"&amp;$H$3&amp;"'!T$177")='List Values'!$E$4,INDIRECT("'"&amp;$H$3&amp;"'!T$179")*IF(INDIRECT("'"&amp;$H$3&amp;"'!T$178")='List Values'!$F$3,T$245,IF(INDIRECT("'"&amp;$H$3&amp;"'!T$178")='List Values'!$F$4,'2_Outputs'!T$52*INDIRECT("'"&amp;$H$3&amp;"'!T$95")*INDIRECT("'"&amp;$H$3&amp;"'!T$175"),IF(INDIRECT("'"&amp;$H$3&amp;"'!T$178")='List Values'!$F$5,T$247,IF(INDIRECT("'"&amp;$H$3&amp;"'!T$178")='List Values'!$F$6,INDIRECT("'"&amp;$H$3&amp;"'!T$95")*INDIRECT("'"&amp;$H$3&amp;"'!T$175"),IF(INDIRECT("'"&amp;$H$3&amp;"'!T$178")='List Values'!$F$7,1,0))))),0),0)</f>
        <v>0</v>
      </c>
      <c r="U110" s="337"/>
      <c r="V110" s="337"/>
      <c r="W110" s="1437">
        <f ca="1">IFERROR((1-INDIRECT("'"&amp;$H$3&amp;"'!W$142"))*IF(INDIRECT("'"&amp;$H$3&amp;"'!W$137")='List Values'!$E$4,INDIRECT("'"&amp;$H$3&amp;"'!W$139")*IF(INDIRECT("'"&amp;$H$3&amp;"'!W$138")='List Values'!$F$3,W$169,IF(INDIRECT("'"&amp;$H$3&amp;"'!W$138")='List Values'!$F$4,'2_Outputs'!W$52*INDIRECT("'"&amp;$H$3&amp;"'!W$95")*INDIRECT("'"&amp;$H$3&amp;"'!W$135"),IF(INDIRECT("'"&amp;$H$3&amp;"'!W$138")='List Values'!$F$5,W$171,IF(INDIRECT("'"&amp;$H$3&amp;"'!W$138")='List Values'!$F$6,INDIRECT("'"&amp;$H$3&amp;"'!W$95")*INDIRECT("'"&amp;$H$3&amp;"'!W$135"),IF(INDIRECT("'"&amp;$H$3&amp;"'!W$138")='List Values'!$F$7,1,0))))),0),0)
+IFERROR((1-INDIRECT("'"&amp;$H$3&amp;"'!W$162"))*IF(INDIRECT("'"&amp;$H$3&amp;"'!W$157")='List Values'!$E$4,INDIRECT("'"&amp;$H$3&amp;"'!W$159")*IF(INDIRECT("'"&amp;$H$3&amp;"'!W$158")='List Values'!$F$3,W$207,IF(INDIRECT("'"&amp;$H$3&amp;"'!W$158")='List Values'!$F$4,'2_Outputs'!W$52*INDIRECT("'"&amp;$H$3&amp;"'!W$95")*INDIRECT("'"&amp;$H$3&amp;"'!W$155"),IF(INDIRECT("'"&amp;$H$3&amp;"'!W$158")='List Values'!$F$5,W$209,IF(INDIRECT("'"&amp;$H$3&amp;"'!W$158")='List Values'!$F$6,INDIRECT("'"&amp;$H$3&amp;"'!W$95")*INDIRECT("'"&amp;$H$3&amp;"'!W$155"),IF(INDIRECT("'"&amp;$H$3&amp;"'!W$158")='List Values'!$F$7,1,0))))),0),0)
+IFERROR((1-INDIRECT("'"&amp;$H$3&amp;"'!W$182"))*IF(INDIRECT("'"&amp;$H$3&amp;"'!W$177")='List Values'!$E$4,INDIRECT("'"&amp;$H$3&amp;"'!W$179")*IF(INDIRECT("'"&amp;$H$3&amp;"'!W$178")='List Values'!$F$3,W$245,IF(INDIRECT("'"&amp;$H$3&amp;"'!W$178")='List Values'!$F$4,'2_Outputs'!W$52*INDIRECT("'"&amp;$H$3&amp;"'!W$95")*INDIRECT("'"&amp;$H$3&amp;"'!W$175"),IF(INDIRECT("'"&amp;$H$3&amp;"'!W$178")='List Values'!$F$5,W$247,IF(INDIRECT("'"&amp;$H$3&amp;"'!W$178")='List Values'!$F$6,INDIRECT("'"&amp;$H$3&amp;"'!W$95")*INDIRECT("'"&amp;$H$3&amp;"'!W$175"),IF(INDIRECT("'"&amp;$H$3&amp;"'!W$178")='List Values'!$F$7,1,0))))),0),0)</f>
        <v>0</v>
      </c>
      <c r="Y110" s="341">
        <f t="shared" ref="Y110:Y117" ca="1" si="11">SUM(H110:W110)</f>
        <v>0</v>
      </c>
    </row>
    <row r="111" spans="6:38">
      <c r="F111" s="298"/>
      <c r="G111" s="298" t="s">
        <v>89</v>
      </c>
      <c r="H111" s="300">
        <f ca="1">(IFERROR(1-INDIRECT("'"&amp;$H$3&amp;"'!H$142"),0))*(H$155+H$171)*INDIRECT("'"&amp;$H$3&amp;"'!$H$10")*(IFERROR(INDEX(INDIRECT("'"&amp;$H$3&amp;"'!$H$28:$H$38"),MATCH(INDIRECT("'"&amp;$H$3&amp;"'!H$145"),INDIRECT("'"&amp;$H$3&amp;"'!$B$28:$B$38"),0)),0)+IFERROR(INDIRECT("'"&amp;$H$3&amp;"'!H$146")*INDEX(INDIRECT("'"&amp;$H$3&amp;"'!$H$28:$H$38"),MATCH(INDIRECT("'"&amp;$H$3&amp;"'!H$147"),INDIRECT("'"&amp;$H$3&amp;"'!$B$28:$B$38"),0)),0))
+(IFERROR(1-INDIRECT("'"&amp;$H$3&amp;"'!H$162"),0))*(H$193+H$209)*INDIRECT("'"&amp;$H$3&amp;"'!$H$10")*(IFERROR(INDEX(INDIRECT("'"&amp;$H$3&amp;"'!$H$28:$H$38"),MATCH(INDIRECT("'"&amp;$H$3&amp;"'!H$165"),INDIRECT("'"&amp;$H$3&amp;"'!$B$28:$B$38"),0)),0)+IFERROR(INDIRECT("'"&amp;$H$3&amp;"'!H$166")*INDEX(INDIRECT("'"&amp;$H$3&amp;"'!$H$28:$H$38"),MATCH(INDIRECT("'"&amp;$H$3&amp;"'!H$167"),INDIRECT("'"&amp;$H$3&amp;"'!$B$28:$B$38"),0)),0))
+(IFERROR(1-INDIRECT("'"&amp;$H$3&amp;"'!H$182"),0))*(H$231+H$247)*INDIRECT("'"&amp;$H$3&amp;"'!$H$10")*(IFERROR(INDEX(INDIRECT("'"&amp;$H$3&amp;"'!$H$28:$H$38"),MATCH(INDIRECT("'"&amp;$H$3&amp;"'!H$185"),INDIRECT("'"&amp;$H$3&amp;"'!$B$28:$B$38"),0)),0)+IFERROR(INDIRECT("'"&amp;$H$3&amp;"'!H$186")*INDEX(INDIRECT("'"&amp;$H$3&amp;"'!$H$28:$H$38"),MATCH(INDIRECT("'"&amp;$H$3&amp;"'!H$187"),INDIRECT("'"&amp;$H$3&amp;"'!$B$28:$B$38"),0)),0))</f>
        <v>0</v>
      </c>
      <c r="I111" s="300"/>
      <c r="J111" s="300"/>
      <c r="K111" s="300">
        <f ca="1">(IFERROR(1-INDIRECT("'"&amp;$H$3&amp;"'!K$142"),0))*(K$155+K$171)*INDIRECT("'"&amp;$H$3&amp;"'!$H$10")*(IFERROR(INDEX(INDIRECT("'"&amp;$H$3&amp;"'!$H$28:$H$38"),MATCH(INDIRECT("'"&amp;$H$3&amp;"'!K$145"),INDIRECT("'"&amp;$H$3&amp;"'!$B$28:$B$38"),0)),0)+IFERROR(INDIRECT("'"&amp;$H$3&amp;"'!K$146")*INDEX(INDIRECT("'"&amp;$H$3&amp;"'!$H$28:$H$38"),MATCH(INDIRECT("'"&amp;$H$3&amp;"'!K$147"),INDIRECT("'"&amp;$H$3&amp;"'!$B$28:$B$38"),0)),0))
+(IFERROR(1-INDIRECT("'"&amp;$H$3&amp;"'!K$162"),0))*(K$193+K$209)*INDIRECT("'"&amp;$H$3&amp;"'!$H$10")*(IFERROR(INDEX(INDIRECT("'"&amp;$H$3&amp;"'!$H$28:$H$38"),MATCH(INDIRECT("'"&amp;$H$3&amp;"'!K$165"),INDIRECT("'"&amp;$H$3&amp;"'!$B$28:$B$38"),0)),0)+IFERROR(INDIRECT("'"&amp;$H$3&amp;"'!K$166")*INDEX(INDIRECT("'"&amp;$H$3&amp;"'!$H$28:$H$38"),MATCH(INDIRECT("'"&amp;$H$3&amp;"'!K$167"),INDIRECT("'"&amp;$H$3&amp;"'!$B$28:$B$38"),0)),0))
+(IFERROR(1-INDIRECT("'"&amp;$H$3&amp;"'!K$182"),0))*(K$231+K$247)*INDIRECT("'"&amp;$H$3&amp;"'!$H$10")*(IFERROR(INDEX(INDIRECT("'"&amp;$H$3&amp;"'!$H$28:$H$38"),MATCH(INDIRECT("'"&amp;$H$3&amp;"'!K$185"),INDIRECT("'"&amp;$H$3&amp;"'!$B$28:$B$38"),0)),0)+IFERROR(INDIRECT("'"&amp;$H$3&amp;"'!K$186")*INDEX(INDIRECT("'"&amp;$H$3&amp;"'!$H$28:$H$38"),MATCH(INDIRECT("'"&amp;$H$3&amp;"'!K$187"),INDIRECT("'"&amp;$H$3&amp;"'!$B$28:$B$38"),0)),0))</f>
        <v>10259.76</v>
      </c>
      <c r="L111" s="300"/>
      <c r="M111" s="300"/>
      <c r="N111" s="300">
        <f ca="1">(IFERROR(1-INDIRECT("'"&amp;$H$3&amp;"'!N$142"),0))*(N$155+N$171)*INDIRECT("'"&amp;$H$3&amp;"'!$H$10")*(IFERROR(INDEX(INDIRECT("'"&amp;$H$3&amp;"'!$H$28:$H$38"),MATCH(INDIRECT("'"&amp;$H$3&amp;"'!N$145"),INDIRECT("'"&amp;$H$3&amp;"'!$B$28:$B$38"),0)),0)+IFERROR(INDIRECT("'"&amp;$H$3&amp;"'!N$146")*INDEX(INDIRECT("'"&amp;$H$3&amp;"'!$H$28:$H$38"),MATCH(INDIRECT("'"&amp;$H$3&amp;"'!N$147"),INDIRECT("'"&amp;$H$3&amp;"'!$B$28:$B$38"),0)),0))
+(IFERROR(1-INDIRECT("'"&amp;$H$3&amp;"'!N$162"),0))*(N$193+N$209)*INDIRECT("'"&amp;$H$3&amp;"'!$H$10")*(IFERROR(INDEX(INDIRECT("'"&amp;$H$3&amp;"'!$H$28:$H$38"),MATCH(INDIRECT("'"&amp;$H$3&amp;"'!N$165"),INDIRECT("'"&amp;$H$3&amp;"'!$B$28:$B$38"),0)),0)+IFERROR(INDIRECT("'"&amp;$H$3&amp;"'!N$166")*INDEX(INDIRECT("'"&amp;$H$3&amp;"'!$H$28:$H$38"),MATCH(INDIRECT("'"&amp;$H$3&amp;"'!N$167"),INDIRECT("'"&amp;$H$3&amp;"'!$B$28:$B$38"),0)),0))
+(IFERROR(1-INDIRECT("'"&amp;$H$3&amp;"'!N$182"),0))*(N$231+N$247)*INDIRECT("'"&amp;$H$3&amp;"'!$H$10")*(IFERROR(INDEX(INDIRECT("'"&amp;$H$3&amp;"'!$H$28:$H$38"),MATCH(INDIRECT("'"&amp;$H$3&amp;"'!N$185"),INDIRECT("'"&amp;$H$3&amp;"'!$B$28:$B$38"),0)),0)+IFERROR(INDIRECT("'"&amp;$H$3&amp;"'!N$186")*INDEX(INDIRECT("'"&amp;$H$3&amp;"'!$H$28:$H$38"),MATCH(INDIRECT("'"&amp;$H$3&amp;"'!N$187"),INDIRECT("'"&amp;$H$3&amp;"'!$B$28:$B$38"),0)),0))</f>
        <v>12103.68</v>
      </c>
      <c r="O111" s="300"/>
      <c r="P111" s="300"/>
      <c r="Q111" s="300">
        <f ca="1">(IFERROR(1-INDIRECT("'"&amp;$H$3&amp;"'!Q$142"),0))*(Q$155+Q$171)*INDIRECT("'"&amp;$H$3&amp;"'!$H$10")*(IFERROR(INDEX(INDIRECT("'"&amp;$H$3&amp;"'!$H$28:$H$38"),MATCH(INDIRECT("'"&amp;$H$3&amp;"'!Q$145"),INDIRECT("'"&amp;$H$3&amp;"'!$B$28:$B$38"),0)),0)+IFERROR(INDIRECT("'"&amp;$H$3&amp;"'!Q$146")*INDEX(INDIRECT("'"&amp;$H$3&amp;"'!$H$28:$H$38"),MATCH(INDIRECT("'"&amp;$H$3&amp;"'!Q$147"),INDIRECT("'"&amp;$H$3&amp;"'!$B$28:$B$38"),0)),0))
+(IFERROR(1-INDIRECT("'"&amp;$H$3&amp;"'!Q$162"),0))*(Q$193+Q$209)*INDIRECT("'"&amp;$H$3&amp;"'!$H$10")*(IFERROR(INDEX(INDIRECT("'"&amp;$H$3&amp;"'!$H$28:$H$38"),MATCH(INDIRECT("'"&amp;$H$3&amp;"'!Q$165"),INDIRECT("'"&amp;$H$3&amp;"'!$B$28:$B$38"),0)),0)+IFERROR(INDIRECT("'"&amp;$H$3&amp;"'!Q$166")*INDEX(INDIRECT("'"&amp;$H$3&amp;"'!$H$28:$H$38"),MATCH(INDIRECT("'"&amp;$H$3&amp;"'!Q$167"),INDIRECT("'"&amp;$H$3&amp;"'!$B$28:$B$38"),0)),0))
+(IFERROR(1-INDIRECT("'"&amp;$H$3&amp;"'!Q$182"),0))*(Q$231+Q$247)*INDIRECT("'"&amp;$H$3&amp;"'!$H$10")*(IFERROR(INDEX(INDIRECT("'"&amp;$H$3&amp;"'!$H$28:$H$38"),MATCH(INDIRECT("'"&amp;$H$3&amp;"'!Q$185"),INDIRECT("'"&amp;$H$3&amp;"'!$B$28:$B$38"),0)),0)+IFERROR(INDIRECT("'"&amp;$H$3&amp;"'!Q$186")*INDEX(INDIRECT("'"&amp;$H$3&amp;"'!$H$28:$H$38"),MATCH(INDIRECT("'"&amp;$H$3&amp;"'!Q$187"),INDIRECT("'"&amp;$H$3&amp;"'!$B$28:$B$38"),0)),0))</f>
        <v>0</v>
      </c>
      <c r="R111" s="300"/>
      <c r="S111" s="337"/>
      <c r="T111" s="300">
        <f ca="1">(IFERROR(1-INDIRECT("'"&amp;$H$3&amp;"'!T$142"),0))*(T$155+T$171)*INDIRECT("'"&amp;$H$3&amp;"'!$H$10")*(IFERROR(INDEX(INDIRECT("'"&amp;$H$3&amp;"'!$H$28:$H$38"),MATCH(INDIRECT("'"&amp;$H$3&amp;"'!T$145"),INDIRECT("'"&amp;$H$3&amp;"'!$B$28:$B$38"),0)),0)+IFERROR(INDIRECT("'"&amp;$H$3&amp;"'!T$146")*INDEX(INDIRECT("'"&amp;$H$3&amp;"'!$H$28:$H$38"),MATCH(INDIRECT("'"&amp;$H$3&amp;"'!T$147"),INDIRECT("'"&amp;$H$3&amp;"'!$B$28:$B$38"),0)),0))
+(IFERROR(1-INDIRECT("'"&amp;$H$3&amp;"'!T$162"),0))*(T$193+T$209)*INDIRECT("'"&amp;$H$3&amp;"'!$H$10")*(IFERROR(INDEX(INDIRECT("'"&amp;$H$3&amp;"'!$H$28:$H$38"),MATCH(INDIRECT("'"&amp;$H$3&amp;"'!T$165"),INDIRECT("'"&amp;$H$3&amp;"'!$B$28:$B$38"),0)),0)+IFERROR(INDIRECT("'"&amp;$H$3&amp;"'!T$166")*INDEX(INDIRECT("'"&amp;$H$3&amp;"'!$H$28:$H$38"),MATCH(INDIRECT("'"&amp;$H$3&amp;"'!T$167"),INDIRECT("'"&amp;$H$3&amp;"'!$B$28:$B$38"),0)),0))
+(IFERROR(1-INDIRECT("'"&amp;$H$3&amp;"'!T$182"),0))*(T$231+T$247)*INDIRECT("'"&amp;$H$3&amp;"'!$H$10")*(IFERROR(INDEX(INDIRECT("'"&amp;$H$3&amp;"'!$H$28:$H$38"),MATCH(INDIRECT("'"&amp;$H$3&amp;"'!T$185"),INDIRECT("'"&amp;$H$3&amp;"'!$B$28:$B$38"),0)),0)+IFERROR(INDIRECT("'"&amp;$H$3&amp;"'!T$186")*INDEX(INDIRECT("'"&amp;$H$3&amp;"'!$H$28:$H$38"),MATCH(INDIRECT("'"&amp;$H$3&amp;"'!T$187"),INDIRECT("'"&amp;$H$3&amp;"'!$B$28:$B$38"),0)),0))</f>
        <v>0</v>
      </c>
      <c r="U111" s="337"/>
      <c r="V111" s="337"/>
      <c r="W111" s="1437">
        <f ca="1">(IFERROR(1-INDIRECT("'"&amp;$H$3&amp;"'!W$142"),0))*(W$155+W$171)*INDIRECT("'"&amp;$H$3&amp;"'!$H$10")*(IFERROR(INDEX(INDIRECT("'"&amp;$H$3&amp;"'!$H$28:$H$38"),MATCH(INDIRECT("'"&amp;$H$3&amp;"'!W$145"),INDIRECT("'"&amp;$H$3&amp;"'!$B$28:$B$38"),0)),0)+IFERROR(INDIRECT("'"&amp;$H$3&amp;"'!W$146")*INDEX(INDIRECT("'"&amp;$H$3&amp;"'!$H$28:$H$38"),MATCH(INDIRECT("'"&amp;$H$3&amp;"'!W$147"),INDIRECT("'"&amp;$H$3&amp;"'!$B$28:$B$38"),0)),0))
+(IFERROR(1-INDIRECT("'"&amp;$H$3&amp;"'!W$162"),0))*(W$193+W$209)*INDIRECT("'"&amp;$H$3&amp;"'!$H$10")*(IFERROR(INDEX(INDIRECT("'"&amp;$H$3&amp;"'!$H$28:$H$38"),MATCH(INDIRECT("'"&amp;$H$3&amp;"'!W$165"),INDIRECT("'"&amp;$H$3&amp;"'!$B$28:$B$38"),0)),0)+IFERROR(INDIRECT("'"&amp;$H$3&amp;"'!W$166")*INDEX(INDIRECT("'"&amp;$H$3&amp;"'!$H$28:$H$38"),MATCH(INDIRECT("'"&amp;$H$3&amp;"'!W$167"),INDIRECT("'"&amp;$H$3&amp;"'!$B$28:$B$38"),0)),0))
+(IFERROR(1-INDIRECT("'"&amp;$H$3&amp;"'!W$182"),0))*(W$231+W$247)*INDIRECT("'"&amp;$H$3&amp;"'!$H$10")*(IFERROR(INDEX(INDIRECT("'"&amp;$H$3&amp;"'!$H$28:$H$38"),MATCH(INDIRECT("'"&amp;$H$3&amp;"'!W$185"),INDIRECT("'"&amp;$H$3&amp;"'!$B$28:$B$38"),0)),0)+IFERROR(INDIRECT("'"&amp;$H$3&amp;"'!W$186")*INDEX(INDIRECT("'"&amp;$H$3&amp;"'!$H$28:$H$38"),MATCH(INDIRECT("'"&amp;$H$3&amp;"'!W$187"),INDIRECT("'"&amp;$H$3&amp;"'!$B$28:$B$38"),0)),0))</f>
        <v>0</v>
      </c>
      <c r="Y111" s="341">
        <f t="shared" ca="1" si="11"/>
        <v>22363.440000000002</v>
      </c>
      <c r="AL111" s="4"/>
    </row>
    <row r="112" spans="6:38">
      <c r="F112" s="288"/>
      <c r="G112" s="288" t="s">
        <v>90</v>
      </c>
      <c r="H112" s="300">
        <f ca="1">(IFERROR(1-INDIRECT("'"&amp;$H$3&amp;"'!H$142"),0))*(H$155+H$171)*(IFERROR(INDEX(INDIRECT("'"&amp;$H$3&amp;"'!$K$28:$K$38"),MATCH(INDIRECT("'"&amp;$H$3&amp;"'!H$145"),INDIRECT("'"&amp;$H$3&amp;"'!$B$28:$B$38"),0)),0)+IFERROR(INDIRECT("'"&amp;$H$3&amp;"'!H$146")*INDEX(INDIRECT("'"&amp;$H$3&amp;"'!$K$28:$K$38"),MATCH(INDIRECT("'"&amp;$H$3&amp;"'!H$147"),INDIRECT("'"&amp;$H$3&amp;"'!$B$28:$B$38"),0)),0))
+(IFERROR(1-INDIRECT("'"&amp;$H$3&amp;"'!H$162"),0))*(H$193+H$209)*(IFERROR(INDEX(INDIRECT("'"&amp;$H$3&amp;"'!$K$28:$K$38"),MATCH(INDIRECT("'"&amp;$H$3&amp;"'!H$165"),INDIRECT("'"&amp;$H$3&amp;"'!$B$28:$B$38"),0)),0)+IFERROR(INDIRECT("'"&amp;$H$3&amp;"'!H$166")*INDEX(INDIRECT("'"&amp;$H$3&amp;"'!$K$28:$K$38"),MATCH(INDIRECT("'"&amp;$H$3&amp;"'!H$167"),INDIRECT("'"&amp;$H$3&amp;"'!$B$28:$B$38"),0)),0))
+(IFERROR(1-INDIRECT("'"&amp;$H$3&amp;"'!H$182"),0))*(H$231+H$247)*(IFERROR(INDEX(INDIRECT("'"&amp;$H$3&amp;"'!$K$28:$K$38"),MATCH(INDIRECT("'"&amp;$H$3&amp;"'!H$185"),INDIRECT("'"&amp;$H$3&amp;"'!$B$28:$B$38"),0)),0)+IFERROR(INDIRECT("'"&amp;$H$3&amp;"'!H$186")*INDEX(INDIRECT("'"&amp;$H$3&amp;"'!$K$28:$K$38"),MATCH(INDIRECT("'"&amp;$H$3&amp;"'!H$187"),INDIRECT("'"&amp;$H$3&amp;"'!$B$28:$B$38"),0)),0))</f>
        <v>0</v>
      </c>
      <c r="I112" s="300"/>
      <c r="J112" s="300"/>
      <c r="K112" s="300">
        <f ca="1">(IFERROR(1-INDIRECT("'"&amp;$H$3&amp;"'!K$142"),0))*(K$155+K$171)*(IFERROR(INDEX(INDIRECT("'"&amp;$H$3&amp;"'!$K$28:$K$38"),MATCH(INDIRECT("'"&amp;$H$3&amp;"'!K$145"),INDIRECT("'"&amp;$H$3&amp;"'!$B$28:$B$38"),0)),0)+IFERROR(INDIRECT("'"&amp;$H$3&amp;"'!K$146")*INDEX(INDIRECT("'"&amp;$H$3&amp;"'!$K$28:$K$38"),MATCH(INDIRECT("'"&amp;$H$3&amp;"'!K$147"),INDIRECT("'"&amp;$H$3&amp;"'!$B$28:$B$38"),0)),0))
+(IFERROR(1-INDIRECT("'"&amp;$H$3&amp;"'!K$162"),0))*(K$193+K$209)*(IFERROR(INDEX(INDIRECT("'"&amp;$H$3&amp;"'!$K$28:$K$38"),MATCH(INDIRECT("'"&amp;$H$3&amp;"'!K$165"),INDIRECT("'"&amp;$H$3&amp;"'!$B$28:$B$38"),0)),0)+IFERROR(INDIRECT("'"&amp;$H$3&amp;"'!K$166")*INDEX(INDIRECT("'"&amp;$H$3&amp;"'!$K$28:$K$38"),MATCH(INDIRECT("'"&amp;$H$3&amp;"'!K$167"),INDIRECT("'"&amp;$H$3&amp;"'!$B$28:$B$38"),0)),0))
+(IFERROR(1-INDIRECT("'"&amp;$H$3&amp;"'!K$182"),0))*(K$231+K$247)*(IFERROR(INDEX(INDIRECT("'"&amp;$H$3&amp;"'!$K$28:$K$38"),MATCH(INDIRECT("'"&amp;$H$3&amp;"'!K$185"),INDIRECT("'"&amp;$H$3&amp;"'!$B$28:$B$38"),0)),0)+IFERROR(INDIRECT("'"&amp;$H$3&amp;"'!K$186")*INDEX(INDIRECT("'"&amp;$H$3&amp;"'!$K$28:$K$38"),MATCH(INDIRECT("'"&amp;$H$3&amp;"'!K$187"),INDIRECT("'"&amp;$H$3&amp;"'!$B$28:$B$38"),0)),0))</f>
        <v>6510</v>
      </c>
      <c r="L112" s="300"/>
      <c r="M112" s="300"/>
      <c r="N112" s="300">
        <f ca="1">(IFERROR(1-INDIRECT("'"&amp;$H$3&amp;"'!N$142"),0))*(N$155+N$171)*(IFERROR(INDEX(INDIRECT("'"&amp;$H$3&amp;"'!$K$28:$K$38"),MATCH(INDIRECT("'"&amp;$H$3&amp;"'!N$145"),INDIRECT("'"&amp;$H$3&amp;"'!$B$28:$B$38"),0)),0)+IFERROR(INDIRECT("'"&amp;$H$3&amp;"'!N$146")*INDEX(INDIRECT("'"&amp;$H$3&amp;"'!$K$28:$K$38"),MATCH(INDIRECT("'"&amp;$H$3&amp;"'!N$147"),INDIRECT("'"&amp;$H$3&amp;"'!$B$28:$B$38"),0)),0))
+(IFERROR(1-INDIRECT("'"&amp;$H$3&amp;"'!N$162"),0))*(N$193+N$209)*(IFERROR(INDEX(INDIRECT("'"&amp;$H$3&amp;"'!$K$28:$K$38"),MATCH(INDIRECT("'"&amp;$H$3&amp;"'!N$165"),INDIRECT("'"&amp;$H$3&amp;"'!$B$28:$B$38"),0)),0)+IFERROR(INDIRECT("'"&amp;$H$3&amp;"'!N$166")*INDEX(INDIRECT("'"&amp;$H$3&amp;"'!$K$28:$K$38"),MATCH(INDIRECT("'"&amp;$H$3&amp;"'!N$167"),INDIRECT("'"&amp;$H$3&amp;"'!$B$28:$B$38"),0)),0))
+(IFERROR(1-INDIRECT("'"&amp;$H$3&amp;"'!N$182"),0))*(N$231+N$247)*(IFERROR(INDEX(INDIRECT("'"&amp;$H$3&amp;"'!$K$28:$K$38"),MATCH(INDIRECT("'"&amp;$H$3&amp;"'!N$185"),INDIRECT("'"&amp;$H$3&amp;"'!$B$28:$B$38"),0)),0)+IFERROR(INDIRECT("'"&amp;$H$3&amp;"'!N$186")*INDEX(INDIRECT("'"&amp;$H$3&amp;"'!$K$28:$K$38"),MATCH(INDIRECT("'"&amp;$H$3&amp;"'!N$187"),INDIRECT("'"&amp;$H$3&amp;"'!$B$28:$B$38"),0)),0))</f>
        <v>7680</v>
      </c>
      <c r="O112" s="300"/>
      <c r="P112" s="300"/>
      <c r="Q112" s="300">
        <f ca="1">(IFERROR(1-INDIRECT("'"&amp;$H$3&amp;"'!Q$142"),0))*(Q$155+Q$171)*(IFERROR(INDEX(INDIRECT("'"&amp;$H$3&amp;"'!$K$28:$K$38"),MATCH(INDIRECT("'"&amp;$H$3&amp;"'!Q$145"),INDIRECT("'"&amp;$H$3&amp;"'!$B$28:$B$38"),0)),0)+IFERROR(INDIRECT("'"&amp;$H$3&amp;"'!Q$146")*INDEX(INDIRECT("'"&amp;$H$3&amp;"'!$K$28:$K$38"),MATCH(INDIRECT("'"&amp;$H$3&amp;"'!Q$147"),INDIRECT("'"&amp;$H$3&amp;"'!$B$28:$B$38"),0)),0))
+(IFERROR(1-INDIRECT("'"&amp;$H$3&amp;"'!Q$162"),0))*(Q$193+Q$209)*(IFERROR(INDEX(INDIRECT("'"&amp;$H$3&amp;"'!$K$28:$K$38"),MATCH(INDIRECT("'"&amp;$H$3&amp;"'!Q$165"),INDIRECT("'"&amp;$H$3&amp;"'!$B$28:$B$38"),0)),0)+IFERROR(INDIRECT("'"&amp;$H$3&amp;"'!Q$166")*INDEX(INDIRECT("'"&amp;$H$3&amp;"'!$K$28:$K$38"),MATCH(INDIRECT("'"&amp;$H$3&amp;"'!Q$167"),INDIRECT("'"&amp;$H$3&amp;"'!$B$28:$B$38"),0)),0))
+(IFERROR(1-INDIRECT("'"&amp;$H$3&amp;"'!Q$182"),0))*(Q$231+Q$247)*(IFERROR(INDEX(INDIRECT("'"&amp;$H$3&amp;"'!$K$28:$K$38"),MATCH(INDIRECT("'"&amp;$H$3&amp;"'!Q$185"),INDIRECT("'"&amp;$H$3&amp;"'!$B$28:$B$38"),0)),0)+IFERROR(INDIRECT("'"&amp;$H$3&amp;"'!Q$186")*INDEX(INDIRECT("'"&amp;$H$3&amp;"'!$K$28:$K$38"),MATCH(INDIRECT("'"&amp;$H$3&amp;"'!Q$187"),INDIRECT("'"&amp;$H$3&amp;"'!$B$28:$B$38"),0)),0))</f>
        <v>0</v>
      </c>
      <c r="R112" s="300"/>
      <c r="S112" s="337"/>
      <c r="T112" s="300">
        <f ca="1">(IFERROR(1-INDIRECT("'"&amp;$H$3&amp;"'!T$142"),0))*(T$155+T$171)*(IFERROR(INDEX(INDIRECT("'"&amp;$H$3&amp;"'!$K$28:$K$38"),MATCH(INDIRECT("'"&amp;$H$3&amp;"'!T$145"),INDIRECT("'"&amp;$H$3&amp;"'!$B$28:$B$38"),0)),0)+IFERROR(INDIRECT("'"&amp;$H$3&amp;"'!T$146")*INDEX(INDIRECT("'"&amp;$H$3&amp;"'!$K$28:$K$38"),MATCH(INDIRECT("'"&amp;$H$3&amp;"'!T$147"),INDIRECT("'"&amp;$H$3&amp;"'!$B$28:$B$38"),0)),0))
+(IFERROR(1-INDIRECT("'"&amp;$H$3&amp;"'!T$162"),0))*(T$193+T$209)*(IFERROR(INDEX(INDIRECT("'"&amp;$H$3&amp;"'!$K$28:$K$38"),MATCH(INDIRECT("'"&amp;$H$3&amp;"'!T$165"),INDIRECT("'"&amp;$H$3&amp;"'!$B$28:$B$38"),0)),0)+IFERROR(INDIRECT("'"&amp;$H$3&amp;"'!T$166")*INDEX(INDIRECT("'"&amp;$H$3&amp;"'!$K$28:$K$38"),MATCH(INDIRECT("'"&amp;$H$3&amp;"'!T$167"),INDIRECT("'"&amp;$H$3&amp;"'!$B$28:$B$38"),0)),0))
+(IFERROR(1-INDIRECT("'"&amp;$H$3&amp;"'!T$182"),0))*(T$231+T$247)*(IFERROR(INDEX(INDIRECT("'"&amp;$H$3&amp;"'!$K$28:$K$38"),MATCH(INDIRECT("'"&amp;$H$3&amp;"'!T$185"),INDIRECT("'"&amp;$H$3&amp;"'!$B$28:$B$38"),0)),0)+IFERROR(INDIRECT("'"&amp;$H$3&amp;"'!T$186")*INDEX(INDIRECT("'"&amp;$H$3&amp;"'!$K$28:$K$38"),MATCH(INDIRECT("'"&amp;$H$3&amp;"'!T$187"),INDIRECT("'"&amp;$H$3&amp;"'!$B$28:$B$38"),0)),0))</f>
        <v>0</v>
      </c>
      <c r="U112" s="337"/>
      <c r="V112" s="337"/>
      <c r="W112" s="1437">
        <f ca="1">(IFERROR(1-INDIRECT("'"&amp;$H$3&amp;"'!W$142"),0))*(W$155+W$171)*(IFERROR(INDEX(INDIRECT("'"&amp;$H$3&amp;"'!$K$28:$K$38"),MATCH(INDIRECT("'"&amp;$H$3&amp;"'!W$145"),INDIRECT("'"&amp;$H$3&amp;"'!$B$28:$B$38"),0)),0)+IFERROR(INDIRECT("'"&amp;$H$3&amp;"'!W$146")*INDEX(INDIRECT("'"&amp;$H$3&amp;"'!$K$28:$K$38"),MATCH(INDIRECT("'"&amp;$H$3&amp;"'!W$147"),INDIRECT("'"&amp;$H$3&amp;"'!$B$28:$B$38"),0)),0))
+(IFERROR(1-INDIRECT("'"&amp;$H$3&amp;"'!W$162"),0))*(W$193+W$209)*(IFERROR(INDEX(INDIRECT("'"&amp;$H$3&amp;"'!$K$28:$K$38"),MATCH(INDIRECT("'"&amp;$H$3&amp;"'!W$165"),INDIRECT("'"&amp;$H$3&amp;"'!$B$28:$B$38"),0)),0)+IFERROR(INDIRECT("'"&amp;$H$3&amp;"'!W$166")*INDEX(INDIRECT("'"&amp;$H$3&amp;"'!$K$28:$K$38"),MATCH(INDIRECT("'"&amp;$H$3&amp;"'!W$167"),INDIRECT("'"&amp;$H$3&amp;"'!$B$28:$B$38"),0)),0))
+(IFERROR(1-INDIRECT("'"&amp;$H$3&amp;"'!W$182"),0))*(W$231+W$247)*(IFERROR(INDEX(INDIRECT("'"&amp;$H$3&amp;"'!$K$28:$K$38"),MATCH(INDIRECT("'"&amp;$H$3&amp;"'!W$185"),INDIRECT("'"&amp;$H$3&amp;"'!$B$28:$B$38"),0)),0)+IFERROR(INDIRECT("'"&amp;$H$3&amp;"'!W$186")*INDEX(INDIRECT("'"&amp;$H$3&amp;"'!$K$28:$K$38"),MATCH(INDIRECT("'"&amp;$H$3&amp;"'!W$187"),INDIRECT("'"&amp;$H$3&amp;"'!$B$28:$B$38"),0)),0))</f>
        <v>0</v>
      </c>
      <c r="Y112" s="341">
        <f t="shared" ca="1" si="11"/>
        <v>14190</v>
      </c>
    </row>
    <row r="113" spans="6:38">
      <c r="F113" s="288"/>
      <c r="G113" s="288" t="s">
        <v>1</v>
      </c>
      <c r="H113" s="300">
        <f ca="1">INDIRECT("'"&amp;$H$3&amp;"'!$H$8")*(
(IFERROR(1-INDIRECT("'"&amp;$H$3&amp;"'!H$142"),0))*IF(INDIRECT("'"&amp;$H$3&amp;"'!H$137")='List Values'!$E$5,0,(H$169*IFERROR(1/INDEX(INDIRECT("'"&amp;$H$3&amp;"'!$H$49:$H$78"),MATCH(INDIRECT("'"&amp;$H$3&amp;"'!H$136")&amp;"Fuel Efficiency (km/liter)",INDIRECT("'"&amp;$H$3&amp;"'!$F$49:$F$78"),0)),0)))
+(IFERROR(1-INDIRECT("'"&amp;$H$3&amp;"'!H$162"),0))*IF(INDIRECT("'"&amp;$H$3&amp;"'!H$157")='List Values'!$E$5,0,(H$207*IFERROR(1/INDEX(INDIRECT("'"&amp;$H$3&amp;"'!$H$49:$H$78"),MATCH(INDIRECT("'"&amp;$H$3&amp;"'!H$156")&amp;"Fuel Efficiency (km/liter)",INDIRECT("'"&amp;$H$3&amp;"'!$F$49:$F$78"),0)),0)))
+(IFERROR(1-INDIRECT("'"&amp;$H$3&amp;"'!H$182"),0))*IF(INDIRECT("'"&amp;$H$3&amp;"'!H$177")='List Values'!$E$5,0,(H$245*IFERROR(1/INDEX(INDIRECT("'"&amp;$H$3&amp;"'!$H$49:$H$78"),MATCH(INDIRECT("'"&amp;$H$3&amp;"'!H$176")&amp;"Fuel Efficiency (km/liter)",INDIRECT("'"&amp;$H$3&amp;"'!$F$49:$F$78"),0)),0))))</f>
        <v>0</v>
      </c>
      <c r="I113" s="300"/>
      <c r="J113" s="300"/>
      <c r="K113" s="300">
        <f ca="1">INDIRECT("'"&amp;$H$3&amp;"'!$H$8")*(
(IFERROR(1-INDIRECT("'"&amp;$H$3&amp;"'!K$142"),0))*IF(INDIRECT("'"&amp;$H$3&amp;"'!K$137")='List Values'!$E$5,0,(K$169*IFERROR(1/INDEX(INDIRECT("'"&amp;$H$3&amp;"'!$H$49:$H$78"),MATCH(INDIRECT("'"&amp;$H$3&amp;"'!K$136")&amp;"Fuel Efficiency (km/liter)",INDIRECT("'"&amp;$H$3&amp;"'!$F$49:$F$78"),0)),0)))
+(IFERROR(1-INDIRECT("'"&amp;$H$3&amp;"'!K$162"),0))*IF(INDIRECT("'"&amp;$H$3&amp;"'!K$157")='List Values'!$E$5,0,(K$207*IFERROR(1/INDEX(INDIRECT("'"&amp;$H$3&amp;"'!$H$49:$H$78"),MATCH(INDIRECT("'"&amp;$H$3&amp;"'!K$156")&amp;"Fuel Efficiency (km/liter)",INDIRECT("'"&amp;$H$3&amp;"'!$F$49:$F$78"),0)),0)))
+(IFERROR(1-INDIRECT("'"&amp;$H$3&amp;"'!K$182"),0))*IF(INDIRECT("'"&amp;$H$3&amp;"'!K$177")='List Values'!$E$5,0,(K$245*IFERROR(1/INDEX(INDIRECT("'"&amp;$H$3&amp;"'!$H$49:$H$78"),MATCH(INDIRECT("'"&amp;$H$3&amp;"'!K$176")&amp;"Fuel Efficiency (km/liter)",INDIRECT("'"&amp;$H$3&amp;"'!$F$49:$F$78"),0)),0))))</f>
        <v>52517.139896373061</v>
      </c>
      <c r="L113" s="300"/>
      <c r="M113" s="300"/>
      <c r="N113" s="300">
        <f ca="1">INDIRECT("'"&amp;$H$3&amp;"'!$H$8")*(
(IFERROR(1-INDIRECT("'"&amp;$H$3&amp;"'!N$142"),0))*IF(INDIRECT("'"&amp;$H$3&amp;"'!N$137")='List Values'!$E$5,0,(N$169*IFERROR(1/INDEX(INDIRECT("'"&amp;$H$3&amp;"'!$H$49:$H$78"),MATCH(INDIRECT("'"&amp;$H$3&amp;"'!N$136")&amp;"Fuel Efficiency (km/liter)",INDIRECT("'"&amp;$H$3&amp;"'!$F$49:$F$78"),0)),0)))
+(IFERROR(1-INDIRECT("'"&amp;$H$3&amp;"'!N$162"),0))*IF(INDIRECT("'"&amp;$H$3&amp;"'!N$157")='List Values'!$E$5,0,(N$207*IFERROR(1/INDEX(INDIRECT("'"&amp;$H$3&amp;"'!$H$49:$H$78"),MATCH(INDIRECT("'"&amp;$H$3&amp;"'!N$156")&amp;"Fuel Efficiency (km/liter)",INDIRECT("'"&amp;$H$3&amp;"'!$F$49:$F$78"),0)),0)))
+(IFERROR(1-INDIRECT("'"&amp;$H$3&amp;"'!N$182"),0))*IF(INDIRECT("'"&amp;$H$3&amp;"'!N$177")='List Values'!$E$5,0,(N$245*IFERROR(1/INDEX(INDIRECT("'"&amp;$H$3&amp;"'!$H$49:$H$78"),MATCH(INDIRECT("'"&amp;$H$3&amp;"'!N$176")&amp;"Fuel Efficiency (km/liter)",INDIRECT("'"&amp;$H$3&amp;"'!$F$49:$F$78"),0)),0))))</f>
        <v>29999.950992309838</v>
      </c>
      <c r="O113" s="300"/>
      <c r="P113" s="300"/>
      <c r="Q113" s="300">
        <f ca="1">INDIRECT("'"&amp;$H$3&amp;"'!$H$8")*(
(IFERROR(1-INDIRECT("'"&amp;$H$3&amp;"'!Q$142"),0))*IF(INDIRECT("'"&amp;$H$3&amp;"'!Q$137")='List Values'!$E$5,0,(Q$169*IFERROR(1/INDEX(INDIRECT("'"&amp;$H$3&amp;"'!$H$49:$H$78"),MATCH(INDIRECT("'"&amp;$H$3&amp;"'!Q$136")&amp;"Fuel Efficiency (km/liter)",INDIRECT("'"&amp;$H$3&amp;"'!$F$49:$F$78"),0)),0)))
+(IFERROR(1-INDIRECT("'"&amp;$H$3&amp;"'!Q$162"),0))*IF(INDIRECT("'"&amp;$H$3&amp;"'!Q$157")='List Values'!$E$5,0,(Q$207*IFERROR(1/INDEX(INDIRECT("'"&amp;$H$3&amp;"'!$H$49:$H$78"),MATCH(INDIRECT("'"&amp;$H$3&amp;"'!Q$156")&amp;"Fuel Efficiency (km/liter)",INDIRECT("'"&amp;$H$3&amp;"'!$F$49:$F$78"),0)),0)))
+(IFERROR(1-INDIRECT("'"&amp;$H$3&amp;"'!Q$182"),0))*IF(INDIRECT("'"&amp;$H$3&amp;"'!Q$177")='List Values'!$E$5,0,(Q$245*IFERROR(1/INDEX(INDIRECT("'"&amp;$H$3&amp;"'!$H$49:$H$78"),MATCH(INDIRECT("'"&amp;$H$3&amp;"'!Q$176")&amp;"Fuel Efficiency (km/liter)",INDIRECT("'"&amp;$H$3&amp;"'!$F$49:$F$78"),0)),0))))</f>
        <v>0</v>
      </c>
      <c r="R113" s="300"/>
      <c r="S113" s="337"/>
      <c r="T113" s="300">
        <f ca="1">INDIRECT("'"&amp;$H$3&amp;"'!$H$8")*(
(IFERROR(1-INDIRECT("'"&amp;$H$3&amp;"'!T$142"),0))*IF(INDIRECT("'"&amp;$H$3&amp;"'!T$137")='List Values'!$E$5,0,(T$169*IFERROR(1/INDEX(INDIRECT("'"&amp;$H$3&amp;"'!$H$49:$H$78"),MATCH(INDIRECT("'"&amp;$H$3&amp;"'!T$136")&amp;"Fuel Efficiency (km/liter)",INDIRECT("'"&amp;$H$3&amp;"'!$F$49:$F$78"),0)),0)))
+(IFERROR(1-INDIRECT("'"&amp;$H$3&amp;"'!T$162"),0))*IF(INDIRECT("'"&amp;$H$3&amp;"'!T$157")='List Values'!$E$5,0,(T$207*IFERROR(1/INDEX(INDIRECT("'"&amp;$H$3&amp;"'!$H$49:$H$78"),MATCH(INDIRECT("'"&amp;$H$3&amp;"'!T$156")&amp;"Fuel Efficiency (km/liter)",INDIRECT("'"&amp;$H$3&amp;"'!$F$49:$F$78"),0)),0)))
+(IFERROR(1-INDIRECT("'"&amp;$H$3&amp;"'!T$182"),0))*IF(INDIRECT("'"&amp;$H$3&amp;"'!T$177")='List Values'!$E$5,0,(T$245*IFERROR(1/INDEX(INDIRECT("'"&amp;$H$3&amp;"'!$H$49:$H$78"),MATCH(INDIRECT("'"&amp;$H$3&amp;"'!T$176")&amp;"Fuel Efficiency (km/liter)",INDIRECT("'"&amp;$H$3&amp;"'!$F$49:$F$78"),0)),0))))</f>
        <v>0</v>
      </c>
      <c r="U113" s="337"/>
      <c r="V113" s="337"/>
      <c r="W113" s="1437">
        <f ca="1">INDIRECT("'"&amp;$H$3&amp;"'!$H$8")*(
(IFERROR(1-INDIRECT("'"&amp;$H$3&amp;"'!W$142"),0))*IF(INDIRECT("'"&amp;$H$3&amp;"'!W$137")='List Values'!$E$5,0,(W$169*IFERROR(1/INDEX(INDIRECT("'"&amp;$H$3&amp;"'!$H$49:$H$78"),MATCH(INDIRECT("'"&amp;$H$3&amp;"'!W$136")&amp;"Fuel Efficiency (km/liter)",INDIRECT("'"&amp;$H$3&amp;"'!$F$49:$F$78"),0)),0)))
+(IFERROR(1-INDIRECT("'"&amp;$H$3&amp;"'!W$162"),0))*IF(INDIRECT("'"&amp;$H$3&amp;"'!W$157")='List Values'!$E$5,0,(W$207*IFERROR(1/INDEX(INDIRECT("'"&amp;$H$3&amp;"'!$H$49:$H$78"),MATCH(INDIRECT("'"&amp;$H$3&amp;"'!W$156")&amp;"Fuel Efficiency (km/liter)",INDIRECT("'"&amp;$H$3&amp;"'!$F$49:$F$78"),0)),0)))
+(IFERROR(1-INDIRECT("'"&amp;$H$3&amp;"'!W$182"),0))*IF(INDIRECT("'"&amp;$H$3&amp;"'!W$177")='List Values'!$E$5,0,(W$245*IFERROR(1/INDEX(INDIRECT("'"&amp;$H$3&amp;"'!$H$49:$H$78"),MATCH(INDIRECT("'"&amp;$H$3&amp;"'!W$176")&amp;"Fuel Efficiency (km/liter)",INDIRECT("'"&amp;$H$3&amp;"'!$F$49:$F$78"),0)),0))))</f>
        <v>0</v>
      </c>
      <c r="Y113" s="341">
        <f t="shared" ca="1" si="11"/>
        <v>82517.090888682898</v>
      </c>
    </row>
    <row r="114" spans="6:38">
      <c r="F114" s="288"/>
      <c r="G114" s="288" t="s">
        <v>91</v>
      </c>
      <c r="H114" s="300">
        <f ca="1">IFERROR((1-INDIRECT("'"&amp;$H$3&amp;"'!H$141"))*IF(INDIRECT("'"&amp;$H$3&amp;"'!H$137")='List Values'!$E$3,INDEX(INDIRECT("'"&amp;$H$3&amp;"'!$H$49:$H$78"),MATCH(INDIRECT("'"&amp;$H$3&amp;"'!H$136")&amp;"Insurance cost /yr ($)",INDIRECT("'"&amp;$H$3&amp;"'!$F$49:$F$78"),0))*INDIRECT("'"&amp;$H$3&amp;"'!H$140"),0),0)
+IFERROR((1-INDIRECT("'"&amp;$H$3&amp;"'!H$161"))*IF(INDIRECT("'"&amp;$H$3&amp;"'!H$157")='List Values'!$E$3,INDEX(INDIRECT("'"&amp;$H$3&amp;"'!$H$49:$H$78"),MATCH(INDIRECT("'"&amp;$H$3&amp;"'!H$156")&amp;"Insurance cost /yr ($)",INDIRECT("'"&amp;$H$3&amp;"'!$F$49:$F$78"),0))*INDIRECT("'"&amp;$H$3&amp;"'!H$160"),0),0)
+IFERROR((1-INDIRECT("'"&amp;$H$3&amp;"'!H$181"))*IF(INDIRECT("'"&amp;$H$3&amp;"'!H$177")='List Values'!$E$3,INDEX(INDIRECT("'"&amp;$H$3&amp;"'!$H$49:$H$78"),MATCH(INDIRECT("'"&amp;$H$3&amp;"'!H$176")&amp;"Insurance cost /yr ($)",INDIRECT("'"&amp;$H$3&amp;"'!$F$49:$F$78"),0))*INDIRECT("'"&amp;$H$3&amp;"'!H$180"),0),0)</f>
        <v>0</v>
      </c>
      <c r="I114" s="300"/>
      <c r="J114" s="300"/>
      <c r="K114" s="300">
        <f ca="1">IFERROR((1-INDIRECT("'"&amp;$H$3&amp;"'!K$141"))*IF(INDIRECT("'"&amp;$H$3&amp;"'!K$137")='List Values'!$E$3,INDEX(INDIRECT("'"&amp;$H$3&amp;"'!$H$49:$H$78"),MATCH(INDIRECT("'"&amp;$H$3&amp;"'!K$136")&amp;"Insurance cost /yr ($)",INDIRECT("'"&amp;$H$3&amp;"'!$F$49:$F$78"),0))*INDIRECT("'"&amp;$H$3&amp;"'!K$140"),0),0)
+IFERROR((1-INDIRECT("'"&amp;$H$3&amp;"'!K$161"))*IF(INDIRECT("'"&amp;$H$3&amp;"'!K$157")='List Values'!$E$3,INDEX(INDIRECT("'"&amp;$H$3&amp;"'!$H$49:$H$78"),MATCH(INDIRECT("'"&amp;$H$3&amp;"'!K$156")&amp;"Insurance cost /yr ($)",INDIRECT("'"&amp;$H$3&amp;"'!$F$49:$F$78"),0))*INDIRECT("'"&amp;$H$3&amp;"'!K$160"),0),0)
+IFERROR((1-INDIRECT("'"&amp;$H$3&amp;"'!K$181"))*IF(INDIRECT("'"&amp;$H$3&amp;"'!K$177")='List Values'!$E$3,INDEX(INDIRECT("'"&amp;$H$3&amp;"'!$H$49:$H$78"),MATCH(INDIRECT("'"&amp;$H$3&amp;"'!K$176")&amp;"Insurance cost /yr ($)",INDIRECT("'"&amp;$H$3&amp;"'!$F$49:$F$78"),0))*INDIRECT("'"&amp;$H$3&amp;"'!K$180"),0),0)</f>
        <v>2575.86</v>
      </c>
      <c r="L114" s="300"/>
      <c r="M114" s="300"/>
      <c r="N114" s="300">
        <f ca="1">IFERROR((1-INDIRECT("'"&amp;$H$3&amp;"'!N$141"))*IF(INDIRECT("'"&amp;$H$3&amp;"'!N$137")='List Values'!$E$3,INDEX(INDIRECT("'"&amp;$H$3&amp;"'!$H$49:$H$78"),MATCH(INDIRECT("'"&amp;$H$3&amp;"'!N$136")&amp;"Insurance cost /yr ($)",INDIRECT("'"&amp;$H$3&amp;"'!$F$49:$F$78"),0))*INDIRECT("'"&amp;$H$3&amp;"'!N$140"),0),0)
+IFERROR((1-INDIRECT("'"&amp;$H$3&amp;"'!N$161"))*IF(INDIRECT("'"&amp;$H$3&amp;"'!N$157")='List Values'!$E$3,INDEX(INDIRECT("'"&amp;$H$3&amp;"'!$H$49:$H$78"),MATCH(INDIRECT("'"&amp;$H$3&amp;"'!N$156")&amp;"Insurance cost /yr ($)",INDIRECT("'"&amp;$H$3&amp;"'!$F$49:$F$78"),0))*INDIRECT("'"&amp;$H$3&amp;"'!N$160"),0),0)
+IFERROR((1-INDIRECT("'"&amp;$H$3&amp;"'!N$181"))*IF(INDIRECT("'"&amp;$H$3&amp;"'!N$177")='List Values'!$E$3,INDEX(INDIRECT("'"&amp;$H$3&amp;"'!$H$49:$H$78"),MATCH(INDIRECT("'"&amp;$H$3&amp;"'!N$176")&amp;"Insurance cost /yr ($)",INDIRECT("'"&amp;$H$3&amp;"'!$F$49:$F$78"),0))*INDIRECT("'"&amp;$H$3&amp;"'!N$180"),0),0)</f>
        <v>3863.79</v>
      </c>
      <c r="O114" s="300"/>
      <c r="P114" s="300"/>
      <c r="Q114" s="300">
        <f ca="1">IFERROR((1-INDIRECT("'"&amp;$H$3&amp;"'!Q$141"))*IF(INDIRECT("'"&amp;$H$3&amp;"'!Q$137")='List Values'!$E$3,INDEX(INDIRECT("'"&amp;$H$3&amp;"'!$H$49:$H$78"),MATCH(INDIRECT("'"&amp;$H$3&amp;"'!Q$136")&amp;"Insurance cost /yr ($)",INDIRECT("'"&amp;$H$3&amp;"'!$F$49:$F$78"),0))*INDIRECT("'"&amp;$H$3&amp;"'!Q$140"),0),0)
+IFERROR((1-INDIRECT("'"&amp;$H$3&amp;"'!Q$161"))*IF(INDIRECT("'"&amp;$H$3&amp;"'!Q$157")='List Values'!$E$3,INDEX(INDIRECT("'"&amp;$H$3&amp;"'!$H$49:$H$78"),MATCH(INDIRECT("'"&amp;$H$3&amp;"'!Q$156")&amp;"Insurance cost /yr ($)",INDIRECT("'"&amp;$H$3&amp;"'!$F$49:$F$78"),0))*INDIRECT("'"&amp;$H$3&amp;"'!Q$160"),0),0)
+IFERROR((1-INDIRECT("'"&amp;$H$3&amp;"'!Q$181"))*IF(INDIRECT("'"&amp;$H$3&amp;"'!Q$177")='List Values'!$E$3,INDEX(INDIRECT("'"&amp;$H$3&amp;"'!$H$49:$H$78"),MATCH(INDIRECT("'"&amp;$H$3&amp;"'!Q$176")&amp;"Insurance cost /yr ($)",INDIRECT("'"&amp;$H$3&amp;"'!$F$49:$F$78"),0))*INDIRECT("'"&amp;$H$3&amp;"'!Q$180"),0),0)</f>
        <v>0</v>
      </c>
      <c r="R114" s="300"/>
      <c r="S114" s="337"/>
      <c r="T114" s="300">
        <f ca="1">IFERROR((1-INDIRECT("'"&amp;$H$3&amp;"'!T$141"))*IF(INDIRECT("'"&amp;$H$3&amp;"'!T$137")='List Values'!$E$3,INDEX(INDIRECT("'"&amp;$H$3&amp;"'!$H$49:$H$78"),MATCH(INDIRECT("'"&amp;$H$3&amp;"'!T$136")&amp;"Insurance cost /yr ($)",INDIRECT("'"&amp;$H$3&amp;"'!$F$49:$F$78"),0))*INDIRECT("'"&amp;$H$3&amp;"'!T$140"),0),0)
+IFERROR((1-INDIRECT("'"&amp;$H$3&amp;"'!T$161"))*IF(INDIRECT("'"&amp;$H$3&amp;"'!T$157")='List Values'!$E$3,INDEX(INDIRECT("'"&amp;$H$3&amp;"'!$H$49:$H$78"),MATCH(INDIRECT("'"&amp;$H$3&amp;"'!T$156")&amp;"Insurance cost /yr ($)",INDIRECT("'"&amp;$H$3&amp;"'!$F$49:$F$78"),0))*INDIRECT("'"&amp;$H$3&amp;"'!T$160"),0),0)
+IFERROR((1-INDIRECT("'"&amp;$H$3&amp;"'!T$181"))*IF(INDIRECT("'"&amp;$H$3&amp;"'!T$177")='List Values'!$E$3,INDEX(INDIRECT("'"&amp;$H$3&amp;"'!$H$49:$H$78"),MATCH(INDIRECT("'"&amp;$H$3&amp;"'!T$176")&amp;"Insurance cost /yr ($)",INDIRECT("'"&amp;$H$3&amp;"'!$F$49:$F$78"),0))*INDIRECT("'"&amp;$H$3&amp;"'!T$180"),0),0)</f>
        <v>0</v>
      </c>
      <c r="U114" s="337"/>
      <c r="V114" s="337"/>
      <c r="W114" s="1437">
        <f ca="1">IFERROR((1-INDIRECT("'"&amp;$H$3&amp;"'!W$141"))*IF(INDIRECT("'"&amp;$H$3&amp;"'!W$137")='List Values'!$E$3,INDEX(INDIRECT("'"&amp;$H$3&amp;"'!$H$49:$H$78"),MATCH(INDIRECT("'"&amp;$H$3&amp;"'!W$136")&amp;"Insurance cost /yr ($)",INDIRECT("'"&amp;$H$3&amp;"'!$F$49:$F$78"),0))*INDIRECT("'"&amp;$H$3&amp;"'!W$140"),0),0)
+IFERROR((1-INDIRECT("'"&amp;$H$3&amp;"'!W$161"))*IF(INDIRECT("'"&amp;$H$3&amp;"'!W$157")='List Values'!$E$3,INDEX(INDIRECT("'"&amp;$H$3&amp;"'!$H$49:$H$78"),MATCH(INDIRECT("'"&amp;$H$3&amp;"'!W$156")&amp;"Insurance cost /yr ($)",INDIRECT("'"&amp;$H$3&amp;"'!$F$49:$F$78"),0))*INDIRECT("'"&amp;$H$3&amp;"'!W$160"),0),0)
+IFERROR((1-INDIRECT("'"&amp;$H$3&amp;"'!W$181"))*IF(INDIRECT("'"&amp;$H$3&amp;"'!W$177")='List Values'!$E$3,INDEX(INDIRECT("'"&amp;$H$3&amp;"'!$H$49:$H$78"),MATCH(INDIRECT("'"&amp;$H$3&amp;"'!W$176")&amp;"Insurance cost /yr ($)",INDIRECT("'"&amp;$H$3&amp;"'!$F$49:$F$78"),0))*INDIRECT("'"&amp;$H$3&amp;"'!W$180"),0),0)</f>
        <v>0</v>
      </c>
      <c r="Y114" s="341">
        <f t="shared" ca="1" si="11"/>
        <v>6439.65</v>
      </c>
      <c r="AL114" s="4"/>
    </row>
    <row r="115" spans="6:38">
      <c r="F115" s="288"/>
      <c r="G115" s="288" t="s">
        <v>92</v>
      </c>
      <c r="H115" s="300">
        <f ca="1">IFERROR((1-INDIRECT("'"&amp;$H$3&amp;"'!H$142"))*IF(INDIRECT("'"&amp;$H$3&amp;"'!H$137")='List Values'!$E$3,H$169*INDEX(INDIRECT("'"&amp;$H$3&amp;"'!$H$49:$H$78"),MATCH(INDIRECT("'"&amp;$H$3&amp;"'!H$136")&amp;"Maintenance cost/km ($)",INDIRECT("'"&amp;$H$3&amp;"'!$F$49:$F$78"),0)),0),0)
+ IFERROR((1-INDIRECT("'"&amp;$H$3&amp;"'!H$162"))*IF(INDIRECT("'"&amp;$H$3&amp;"'!H$157")='List Values'!$E$3,H$207*INDEX(INDIRECT("'"&amp;$H$3&amp;"'!$H$49:$H$78"),MATCH(INDIRECT("'"&amp;$H$3&amp;"'!H$156")&amp;"Maintenance cost/km ($)",INDIRECT("'"&amp;$H$3&amp;"'!$F$49:$F$78"),0)),0),0)
+ IFERROR((1-INDIRECT("'"&amp;$H$3&amp;"'!H$182"))*IF(INDIRECT("'"&amp;$H$3&amp;"'!H$177")='List Values'!$E$3,H$245*INDEX(INDIRECT("'"&amp;$H$3&amp;"'!$H$49:$H$78"),MATCH(INDIRECT("'"&amp;$H$3&amp;"'!H$176")&amp;"Maintenance cost/km ($)",INDIRECT("'"&amp;$H$3&amp;"'!$F$49:$F$78"),0)),0),0)</f>
        <v>0</v>
      </c>
      <c r="I115" s="300"/>
      <c r="J115" s="300"/>
      <c r="K115" s="300">
        <f ca="1">IFERROR((1-INDIRECT("'"&amp;$H$3&amp;"'!K$142"))*IF(INDIRECT("'"&amp;$H$3&amp;"'!K$137")='List Values'!$E$3,K$169*INDEX(INDIRECT("'"&amp;$H$3&amp;"'!$H$49:$H$78"),MATCH(INDIRECT("'"&amp;$H$3&amp;"'!K$136")&amp;"Maintenance cost/km ($)",INDIRECT("'"&amp;$H$3&amp;"'!$F$49:$F$78"),0)),0),0)
+ IFERROR((1-INDIRECT("'"&amp;$H$3&amp;"'!K$162"))*IF(INDIRECT("'"&amp;$H$3&amp;"'!K$157")='List Values'!$E$3,K$207*INDEX(INDIRECT("'"&amp;$H$3&amp;"'!$H$49:$H$78"),MATCH(INDIRECT("'"&amp;$H$3&amp;"'!K$156")&amp;"Maintenance cost/km ($)",INDIRECT("'"&amp;$H$3&amp;"'!$F$49:$F$78"),0)),0),0)
+ IFERROR((1-INDIRECT("'"&amp;$H$3&amp;"'!K$182"))*IF(INDIRECT("'"&amp;$H$3&amp;"'!K$177")='List Values'!$E$3,K$245*INDEX(INDIRECT("'"&amp;$H$3&amp;"'!$H$49:$H$78"),MATCH(INDIRECT("'"&amp;$H$3&amp;"'!K$176")&amp;"Maintenance cost/km ($)",INDIRECT("'"&amp;$H$3&amp;"'!$F$49:$F$78"),0)),0),0)</f>
        <v>56227.840000000004</v>
      </c>
      <c r="L115" s="300"/>
      <c r="M115" s="300"/>
      <c r="N115" s="300">
        <f ca="1">IFERROR((1-INDIRECT("'"&amp;$H$3&amp;"'!N$142"))*IF(INDIRECT("'"&amp;$H$3&amp;"'!N$137")='List Values'!$E$3,N$169*INDEX(INDIRECT("'"&amp;$H$3&amp;"'!$H$49:$H$78"),MATCH(INDIRECT("'"&amp;$H$3&amp;"'!N$136")&amp;"Maintenance cost/km ($)",INDIRECT("'"&amp;$H$3&amp;"'!$F$49:$F$78"),0)),0),0)
+ IFERROR((1-INDIRECT("'"&amp;$H$3&amp;"'!N$162"))*IF(INDIRECT("'"&amp;$H$3&amp;"'!N$157")='List Values'!$E$3,N$207*INDEX(INDIRECT("'"&amp;$H$3&amp;"'!$H$49:$H$78"),MATCH(INDIRECT("'"&amp;$H$3&amp;"'!N$156")&amp;"Maintenance cost/km ($)",INDIRECT("'"&amp;$H$3&amp;"'!$F$49:$F$78"),0)),0),0)
+ IFERROR((1-INDIRECT("'"&amp;$H$3&amp;"'!N$182"))*IF(INDIRECT("'"&amp;$H$3&amp;"'!N$177")='List Values'!$E$3,N$245*INDEX(INDIRECT("'"&amp;$H$3&amp;"'!$H$49:$H$78"),MATCH(INDIRECT("'"&amp;$H$3&amp;"'!N$176")&amp;"Maintenance cost/km ($)",INDIRECT("'"&amp;$H$3&amp;"'!$F$49:$F$78"),0)),0),0)</f>
        <v>32119.655558773768</v>
      </c>
      <c r="O115" s="300"/>
      <c r="P115" s="300"/>
      <c r="Q115" s="300">
        <f ca="1">IFERROR((1-INDIRECT("'"&amp;$H$3&amp;"'!Q$142"))*IF(INDIRECT("'"&amp;$H$3&amp;"'!Q$137")='List Values'!$E$3,Q$169*INDEX(INDIRECT("'"&amp;$H$3&amp;"'!$H$49:$H$78"),MATCH(INDIRECT("'"&amp;$H$3&amp;"'!Q$136")&amp;"Maintenance cost/km ($)",INDIRECT("'"&amp;$H$3&amp;"'!$F$49:$F$78"),0)),0),0)
+ IFERROR((1-INDIRECT("'"&amp;$H$3&amp;"'!Q$162"))*IF(INDIRECT("'"&amp;$H$3&amp;"'!Q$157")='List Values'!$E$3,Q$207*INDEX(INDIRECT("'"&amp;$H$3&amp;"'!$H$49:$H$78"),MATCH(INDIRECT("'"&amp;$H$3&amp;"'!Q$156")&amp;"Maintenance cost/km ($)",INDIRECT("'"&amp;$H$3&amp;"'!$F$49:$F$78"),0)),0),0)
+ IFERROR((1-INDIRECT("'"&amp;$H$3&amp;"'!Q$182"))*IF(INDIRECT("'"&amp;$H$3&amp;"'!Q$177")='List Values'!$E$3,Q$245*INDEX(INDIRECT("'"&amp;$H$3&amp;"'!$H$49:$H$78"),MATCH(INDIRECT("'"&amp;$H$3&amp;"'!Q$176")&amp;"Maintenance cost/km ($)",INDIRECT("'"&amp;$H$3&amp;"'!$F$49:$F$78"),0)),0),0)</f>
        <v>0</v>
      </c>
      <c r="R115" s="300"/>
      <c r="S115" s="337"/>
      <c r="T115" s="300">
        <f ca="1">IFERROR((1-INDIRECT("'"&amp;$H$3&amp;"'!T$142"))*IF(INDIRECT("'"&amp;$H$3&amp;"'!T$137")='List Values'!$E$3,T$169*INDEX(INDIRECT("'"&amp;$H$3&amp;"'!$H$49:$H$78"),MATCH(INDIRECT("'"&amp;$H$3&amp;"'!T$136")&amp;"Maintenance cost/km ($)",INDIRECT("'"&amp;$H$3&amp;"'!$F$49:$F$78"),0)),0),0)
+ IFERROR((1-INDIRECT("'"&amp;$H$3&amp;"'!T$162"))*IF(INDIRECT("'"&amp;$H$3&amp;"'!T$157")='List Values'!$E$3,T$207*INDEX(INDIRECT("'"&amp;$H$3&amp;"'!$H$49:$H$78"),MATCH(INDIRECT("'"&amp;$H$3&amp;"'!T$156")&amp;"Maintenance cost/km ($)",INDIRECT("'"&amp;$H$3&amp;"'!$F$49:$F$78"),0)),0),0)
+ IFERROR((1-INDIRECT("'"&amp;$H$3&amp;"'!T$182"))*IF(INDIRECT("'"&amp;$H$3&amp;"'!T$177")='List Values'!$E$3,T$245*INDEX(INDIRECT("'"&amp;$H$3&amp;"'!$H$49:$H$78"),MATCH(INDIRECT("'"&amp;$H$3&amp;"'!T$176")&amp;"Maintenance cost/km ($)",INDIRECT("'"&amp;$H$3&amp;"'!$F$49:$F$78"),0)),0),0)</f>
        <v>0</v>
      </c>
      <c r="U115" s="337"/>
      <c r="V115" s="337"/>
      <c r="W115" s="1437">
        <f ca="1">IFERROR((1-INDIRECT("'"&amp;$H$3&amp;"'!W$142"))*IF(INDIRECT("'"&amp;$H$3&amp;"'!W$137")='List Values'!$E$3,W$169*INDEX(INDIRECT("'"&amp;$H$3&amp;"'!$H$49:$H$78"),MATCH(INDIRECT("'"&amp;$H$3&amp;"'!W$136")&amp;"Maintenance cost/km ($)",INDIRECT("'"&amp;$H$3&amp;"'!$F$49:$F$78"),0)),0),0)
+ IFERROR((1-INDIRECT("'"&amp;$H$3&amp;"'!W$162"))*IF(INDIRECT("'"&amp;$H$3&amp;"'!W$157")='List Values'!$E$3,W$207*INDEX(INDIRECT("'"&amp;$H$3&amp;"'!$H$49:$H$78"),MATCH(INDIRECT("'"&amp;$H$3&amp;"'!W$156")&amp;"Maintenance cost/km ($)",INDIRECT("'"&amp;$H$3&amp;"'!$F$49:$F$78"),0)),0),0)
+ IFERROR((1-INDIRECT("'"&amp;$H$3&amp;"'!W$182"))*IF(INDIRECT("'"&amp;$H$3&amp;"'!W$177")='List Values'!$E$3,W$245*INDEX(INDIRECT("'"&amp;$H$3&amp;"'!$H$49:$H$78"),MATCH(INDIRECT("'"&amp;$H$3&amp;"'!W$176")&amp;"Maintenance cost/km ($)",INDIRECT("'"&amp;$H$3&amp;"'!$F$49:$F$78"),0)),0),0)</f>
        <v>0</v>
      </c>
      <c r="Y115" s="341">
        <f t="shared" ca="1" si="11"/>
        <v>88347.495558773779</v>
      </c>
      <c r="AL115" s="4"/>
    </row>
    <row r="116" spans="6:38">
      <c r="F116" s="288"/>
      <c r="G116" s="288" t="s">
        <v>93</v>
      </c>
      <c r="H116" s="300">
        <f ca="1">IFERROR((1-INDIRECT("'"&amp;$H$3&amp;"'!H$141"))*IF(INDIRECT("'"&amp;$H$3&amp;"'!H$137")='List Values'!$E$3,INDEX(INDIRECT("'"&amp;$H$3&amp;"'!$H$49:$H$78"),MATCH(INDIRECT("'"&amp;$H$3&amp;"'!H$136")&amp;"Depreciation cost / yr ($)",INDIRECT("'"&amp;$H$3&amp;"'!$F$49:$F$78"),0))*INDIRECT("'"&amp;$H$3&amp;"'!H$140"),0),0)
+IFERROR((1-INDIRECT("'"&amp;$H$3&amp;"'!H$161"))*IF(INDIRECT("'"&amp;$H$3&amp;"'!H$157")='List Values'!$E$3,INDEX(INDIRECT("'"&amp;$H$3&amp;"'!$H$49:$H$78"),MATCH(INDIRECT("'"&amp;$H$3&amp;"'!H$156")&amp;"Depreciation cost / yr ($)",INDIRECT("'"&amp;$H$3&amp;"'!$F$49:$F$78"),0))*INDIRECT("'"&amp;$H$3&amp;"'!H$160"),0),0)
+IFERROR((1-INDIRECT("'"&amp;$H$3&amp;"'!H$181"))*IF(INDIRECT("'"&amp;$H$3&amp;"'!H$177")='List Values'!$E$3,INDEX(INDIRECT("'"&amp;$H$3&amp;"'!$H$49:$H$78"),MATCH(INDIRECT("'"&amp;$H$3&amp;"'!H$176")&amp;"Depreciation cost / yr ($)",INDIRECT("'"&amp;$H$3&amp;"'!$F$49:$F$78"),0))*INDIRECT("'"&amp;$H$3&amp;"'!H$180"),0),0)</f>
        <v>0</v>
      </c>
      <c r="I116" s="300"/>
      <c r="J116" s="300"/>
      <c r="K116" s="300">
        <f ca="1">IFERROR((1-INDIRECT("'"&amp;$H$3&amp;"'!K$141"))*IF(INDIRECT("'"&amp;$H$3&amp;"'!K$137")='List Values'!$E$3,INDEX(INDIRECT("'"&amp;$H$3&amp;"'!$H$49:$H$78"),MATCH(INDIRECT("'"&amp;$H$3&amp;"'!K$136")&amp;"Depreciation cost / yr ($)",INDIRECT("'"&amp;$H$3&amp;"'!$F$49:$F$78"),0))*INDIRECT("'"&amp;$H$3&amp;"'!K$140"),0),0)
+IFERROR((1-INDIRECT("'"&amp;$H$3&amp;"'!K$161"))*IF(INDIRECT("'"&amp;$H$3&amp;"'!K$157")='List Values'!$E$3,INDEX(INDIRECT("'"&amp;$H$3&amp;"'!$H$49:$H$78"),MATCH(INDIRECT("'"&amp;$H$3&amp;"'!K$156")&amp;"Depreciation cost / yr ($)",INDIRECT("'"&amp;$H$3&amp;"'!$F$49:$F$78"),0))*INDIRECT("'"&amp;$H$3&amp;"'!K$160"),0),0)
+IFERROR((1-INDIRECT("'"&amp;$H$3&amp;"'!K$181"))*IF(INDIRECT("'"&amp;$H$3&amp;"'!K$177")='List Values'!$E$3,INDEX(INDIRECT("'"&amp;$H$3&amp;"'!$H$49:$H$78"),MATCH(INDIRECT("'"&amp;$H$3&amp;"'!K$176")&amp;"Depreciation cost / yr ($)",INDIRECT("'"&amp;$H$3&amp;"'!$F$49:$F$78"),0))*INDIRECT("'"&amp;$H$3&amp;"'!K$180"),0),0)</f>
        <v>14089.798000000001</v>
      </c>
      <c r="L116" s="300"/>
      <c r="M116" s="300"/>
      <c r="N116" s="300">
        <f ca="1">IFERROR((1-INDIRECT("'"&amp;$H$3&amp;"'!N$141"))*IF(INDIRECT("'"&amp;$H$3&amp;"'!N$137")='List Values'!$E$3,INDEX(INDIRECT("'"&amp;$H$3&amp;"'!$H$49:$H$78"),MATCH(INDIRECT("'"&amp;$H$3&amp;"'!N$136")&amp;"Depreciation cost / yr ($)",INDIRECT("'"&amp;$H$3&amp;"'!$F$49:$F$78"),0))*INDIRECT("'"&amp;$H$3&amp;"'!N$140"),0),0)
+IFERROR((1-INDIRECT("'"&amp;$H$3&amp;"'!N$161"))*IF(INDIRECT("'"&amp;$H$3&amp;"'!N$157")='List Values'!$E$3,INDEX(INDIRECT("'"&amp;$H$3&amp;"'!$H$49:$H$78"),MATCH(INDIRECT("'"&amp;$H$3&amp;"'!N$156")&amp;"Depreciation cost / yr ($)",INDIRECT("'"&amp;$H$3&amp;"'!$F$49:$F$78"),0))*INDIRECT("'"&amp;$H$3&amp;"'!N$160"),0),0)
+IFERROR((1-INDIRECT("'"&amp;$H$3&amp;"'!N$181"))*IF(INDIRECT("'"&amp;$H$3&amp;"'!N$177")='List Values'!$E$3,INDEX(INDIRECT("'"&amp;$H$3&amp;"'!$H$49:$H$78"),MATCH(INDIRECT("'"&amp;$H$3&amp;"'!N$176")&amp;"Depreciation cost / yr ($)",INDIRECT("'"&amp;$H$3&amp;"'!$F$49:$F$78"),0))*INDIRECT("'"&amp;$H$3&amp;"'!N$180"),0),0)</f>
        <v>21134.697</v>
      </c>
      <c r="O116" s="300"/>
      <c r="P116" s="300"/>
      <c r="Q116" s="300">
        <f ca="1">IFERROR((1-INDIRECT("'"&amp;$H$3&amp;"'!Q$141"))*IF(INDIRECT("'"&amp;$H$3&amp;"'!Q$137")='List Values'!$E$3,INDEX(INDIRECT("'"&amp;$H$3&amp;"'!$H$49:$H$78"),MATCH(INDIRECT("'"&amp;$H$3&amp;"'!Q$136")&amp;"Depreciation cost / yr ($)",INDIRECT("'"&amp;$H$3&amp;"'!$F$49:$F$78"),0))*INDIRECT("'"&amp;$H$3&amp;"'!Q$140"),0),0)
+IFERROR((1-INDIRECT("'"&amp;$H$3&amp;"'!Q$161"))*IF(INDIRECT("'"&amp;$H$3&amp;"'!Q$157")='List Values'!$E$3,INDEX(INDIRECT("'"&amp;$H$3&amp;"'!$H$49:$H$78"),MATCH(INDIRECT("'"&amp;$H$3&amp;"'!Q$156")&amp;"Depreciation cost / yr ($)",INDIRECT("'"&amp;$H$3&amp;"'!$F$49:$F$78"),0))*INDIRECT("'"&amp;$H$3&amp;"'!Q$160"),0),0)
+IFERROR((1-INDIRECT("'"&amp;$H$3&amp;"'!Q$181"))*IF(INDIRECT("'"&amp;$H$3&amp;"'!Q$177")='List Values'!$E$3,INDEX(INDIRECT("'"&amp;$H$3&amp;"'!$H$49:$H$78"),MATCH(INDIRECT("'"&amp;$H$3&amp;"'!Q$176")&amp;"Depreciation cost / yr ($)",INDIRECT("'"&amp;$H$3&amp;"'!$F$49:$F$78"),0))*INDIRECT("'"&amp;$H$3&amp;"'!Q$180"),0),0)</f>
        <v>0</v>
      </c>
      <c r="R116" s="300"/>
      <c r="S116" s="337"/>
      <c r="T116" s="300">
        <f ca="1">IFERROR((1-INDIRECT("'"&amp;$H$3&amp;"'!T$141"))*IF(INDIRECT("'"&amp;$H$3&amp;"'!T$137")='List Values'!$E$3,INDEX(INDIRECT("'"&amp;$H$3&amp;"'!$H$49:$H$78"),MATCH(INDIRECT("'"&amp;$H$3&amp;"'!T$136")&amp;"Depreciation cost / yr ($)",INDIRECT("'"&amp;$H$3&amp;"'!$F$49:$F$78"),0))*INDIRECT("'"&amp;$H$3&amp;"'!T$140"),0),0)
+IFERROR((1-INDIRECT("'"&amp;$H$3&amp;"'!T$161"))*IF(INDIRECT("'"&amp;$H$3&amp;"'!T$157")='List Values'!$E$3,INDEX(INDIRECT("'"&amp;$H$3&amp;"'!$H$49:$H$78"),MATCH(INDIRECT("'"&amp;$H$3&amp;"'!T$156")&amp;"Depreciation cost / yr ($)",INDIRECT("'"&amp;$H$3&amp;"'!$F$49:$F$78"),0))*INDIRECT("'"&amp;$H$3&amp;"'!T$160"),0),0)
+IFERROR((1-INDIRECT("'"&amp;$H$3&amp;"'!T$181"))*IF(INDIRECT("'"&amp;$H$3&amp;"'!T$177")='List Values'!$E$3,INDEX(INDIRECT("'"&amp;$H$3&amp;"'!$H$49:$H$78"),MATCH(INDIRECT("'"&amp;$H$3&amp;"'!T$176")&amp;"Depreciation cost / yr ($)",INDIRECT("'"&amp;$H$3&amp;"'!$F$49:$F$78"),0))*INDIRECT("'"&amp;$H$3&amp;"'!T$180"),0),0)</f>
        <v>0</v>
      </c>
      <c r="U116" s="337"/>
      <c r="V116" s="337"/>
      <c r="W116" s="1437">
        <f ca="1">IFERROR((1-INDIRECT("'"&amp;$H$3&amp;"'!W$141"))*IF(INDIRECT("'"&amp;$H$3&amp;"'!W$137")='List Values'!$E$3,INDEX(INDIRECT("'"&amp;$H$3&amp;"'!$H$49:$H$78"),MATCH(INDIRECT("'"&amp;$H$3&amp;"'!W$136")&amp;"Depreciation cost / yr ($)",INDIRECT("'"&amp;$H$3&amp;"'!$F$49:$F$78"),0))*INDIRECT("'"&amp;$H$3&amp;"'!W$140"),0),0)
+IFERROR((1-INDIRECT("'"&amp;$H$3&amp;"'!W$161"))*IF(INDIRECT("'"&amp;$H$3&amp;"'!W$157")='List Values'!$E$3,INDEX(INDIRECT("'"&amp;$H$3&amp;"'!$H$49:$H$78"),MATCH(INDIRECT("'"&amp;$H$3&amp;"'!W$156")&amp;"Depreciation cost / yr ($)",INDIRECT("'"&amp;$H$3&amp;"'!$F$49:$F$78"),0))*INDIRECT("'"&amp;$H$3&amp;"'!W$160"),0),0)
+IFERROR((1-INDIRECT("'"&amp;$H$3&amp;"'!W$181"))*IF(INDIRECT("'"&amp;$H$3&amp;"'!W$177")='List Values'!$E$3,INDEX(INDIRECT("'"&amp;$H$3&amp;"'!$H$49:$H$78"),MATCH(INDIRECT("'"&amp;$H$3&amp;"'!W$176")&amp;"Depreciation cost / yr ($)",INDIRECT("'"&amp;$H$3&amp;"'!$F$49:$F$78"),0))*INDIRECT("'"&amp;$H$3&amp;"'!W$180"),0),0)</f>
        <v>0</v>
      </c>
      <c r="Y116" s="341">
        <f t="shared" ca="1" si="11"/>
        <v>35224.495000000003</v>
      </c>
      <c r="AL116" s="4"/>
    </row>
    <row r="117" spans="6:38">
      <c r="F117" s="363"/>
      <c r="G117" s="220" t="s">
        <v>160</v>
      </c>
      <c r="H117" s="296">
        <f ca="1">IFERROR((1-INDIRECT("'"&amp;$H$3&amp;"'!H$142"))*H$154*INDEX(INDIRECT("'"&amp;$H$3&amp;"'!$H$43:$H$78"),MATCH(INDIRECT("'"&amp;$H$3&amp;"'!H$136")&amp;"Average cost ($) per trip (one-way)",INDIRECT("'"&amp;$H$3&amp;"'!$F$43:$F$78"),0)),0)
+IFERROR((1-INDIRECT("'"&amp;$H$3&amp;"'!H$162"))*H$192*INDEX(INDIRECT("'"&amp;$H$3&amp;"'!$H$43:$H$78"),MATCH(INDIRECT("'"&amp;$H$3&amp;"'!H$156")&amp;"Average cost ($) per trip (one-way)",INDIRECT("'"&amp;$H$3&amp;"'!$F$43:$F$78"),0)),0)
+IFERROR((1-INDIRECT("'"&amp;$H$3&amp;"'!H$182"))*H$230*INDEX(INDIRECT("'"&amp;$H$3&amp;"'!$H$43:$H$78"),MATCH(INDIRECT("'"&amp;$H$3&amp;"'!H$176")&amp;"Average cost ($) per trip (one-way)",INDIRECT("'"&amp;$H$3&amp;"'!$F$43:$F$78"),0)),0)</f>
        <v>0</v>
      </c>
      <c r="I117" s="296"/>
      <c r="J117" s="296"/>
      <c r="K117" s="296">
        <f ca="1">IFERROR((1-INDIRECT("'"&amp;$H$3&amp;"'!K$142"))*K$154*INDEX(INDIRECT("'"&amp;$H$3&amp;"'!$H$43:$H$78"),MATCH(INDIRECT("'"&amp;$H$3&amp;"'!K$136")&amp;"Average cost ($) per trip (one-way)",INDIRECT("'"&amp;$H$3&amp;"'!$F$43:$F$78"),0)),0)
+IFERROR((1-INDIRECT("'"&amp;$H$3&amp;"'!K$162"))*K$192*INDEX(INDIRECT("'"&amp;$H$3&amp;"'!$H$43:$H$78"),MATCH(INDIRECT("'"&amp;$H$3&amp;"'!K$156")&amp;"Average cost ($) per trip (one-way)",INDIRECT("'"&amp;$H$3&amp;"'!$F$43:$F$78"),0)),0)
+IFERROR((1-INDIRECT("'"&amp;$H$3&amp;"'!K$182"))*K$230*INDEX(INDIRECT("'"&amp;$H$3&amp;"'!$H$43:$H$78"),MATCH(INDIRECT("'"&amp;$H$3&amp;"'!K$176")&amp;"Average cost ($) per trip (one-way)",INDIRECT("'"&amp;$H$3&amp;"'!$F$43:$F$78"),0)),0)</f>
        <v>0</v>
      </c>
      <c r="L117" s="296"/>
      <c r="M117" s="296"/>
      <c r="N117" s="296">
        <f ca="1">IFERROR((1-INDIRECT("'"&amp;$H$3&amp;"'!N$142"))*N$154*INDEX(INDIRECT("'"&amp;$H$3&amp;"'!$H$43:$H$78"),MATCH(INDIRECT("'"&amp;$H$3&amp;"'!N$136")&amp;"Average cost ($) per trip (one-way)",INDIRECT("'"&amp;$H$3&amp;"'!$F$43:$F$78"),0)),0)
+IFERROR((1-INDIRECT("'"&amp;$H$3&amp;"'!N$162"))*N$192*INDEX(INDIRECT("'"&amp;$H$3&amp;"'!$H$43:$H$78"),MATCH(INDIRECT("'"&amp;$H$3&amp;"'!N$156")&amp;"Average cost ($) per trip (one-way)",INDIRECT("'"&amp;$H$3&amp;"'!$F$43:$F$78"),0)),0)
+IFERROR((1-INDIRECT("'"&amp;$H$3&amp;"'!N$182"))*N$230*INDEX(INDIRECT("'"&amp;$H$3&amp;"'!$H$43:$H$78"),MATCH(INDIRECT("'"&amp;$H$3&amp;"'!N$176")&amp;"Average cost ($) per trip (one-way)",INDIRECT("'"&amp;$H$3&amp;"'!$F$43:$F$78"),0)),0)</f>
        <v>0</v>
      </c>
      <c r="O117" s="296"/>
      <c r="P117" s="296"/>
      <c r="Q117" s="296">
        <f ca="1">IFERROR((1-INDIRECT("'"&amp;$H$3&amp;"'!Q$142"))*Q$154*INDEX(INDIRECT("'"&amp;$H$3&amp;"'!$H$43:$H$78"),MATCH(INDIRECT("'"&amp;$H$3&amp;"'!Q$136")&amp;"Average cost ($) per trip (one-way)",INDIRECT("'"&amp;$H$3&amp;"'!$F$43:$F$78"),0)),0)
+IFERROR((1-INDIRECT("'"&amp;$H$3&amp;"'!Q$162"))*Q$192*INDEX(INDIRECT("'"&amp;$H$3&amp;"'!$H$43:$H$78"),MATCH(INDIRECT("'"&amp;$H$3&amp;"'!Q$156")&amp;"Average cost ($) per trip (one-way)",INDIRECT("'"&amp;$H$3&amp;"'!$F$43:$F$78"),0)),0)
+IFERROR((1-INDIRECT("'"&amp;$H$3&amp;"'!Q$182"))*Q$230*INDEX(INDIRECT("'"&amp;$H$3&amp;"'!$H$43:$H$78"),MATCH(INDIRECT("'"&amp;$H$3&amp;"'!Q$176")&amp;"Average cost ($) per trip (one-way)",INDIRECT("'"&amp;$H$3&amp;"'!$F$43:$F$78"),0)),0)</f>
        <v>0</v>
      </c>
      <c r="R117" s="296"/>
      <c r="S117" s="361"/>
      <c r="T117" s="296">
        <f ca="1">IFERROR((1-INDIRECT("'"&amp;$H$3&amp;"'!T$142"))*T$154*INDEX(INDIRECT("'"&amp;$H$3&amp;"'!$H$43:$H$78"),MATCH(INDIRECT("'"&amp;$H$3&amp;"'!T$136")&amp;"Average cost ($) per trip (one-way)",INDIRECT("'"&amp;$H$3&amp;"'!$F$43:$F$78"),0)),0)
+IFERROR((1-INDIRECT("'"&amp;$H$3&amp;"'!T$162"))*T$192*INDEX(INDIRECT("'"&amp;$H$3&amp;"'!$H$43:$H$78"),MATCH(INDIRECT("'"&amp;$H$3&amp;"'!T$156")&amp;"Average cost ($) per trip (one-way)",INDIRECT("'"&amp;$H$3&amp;"'!$F$43:$F$78"),0)),0)
+IFERROR((1-INDIRECT("'"&amp;$H$3&amp;"'!T$182"))*T$230*INDEX(INDIRECT("'"&amp;$H$3&amp;"'!$H$43:$H$78"),MATCH(INDIRECT("'"&amp;$H$3&amp;"'!T$176")&amp;"Average cost ($) per trip (one-way)",INDIRECT("'"&amp;$H$3&amp;"'!$F$43:$F$78"),0)),0)</f>
        <v>0</v>
      </c>
      <c r="U117" s="361"/>
      <c r="V117" s="361"/>
      <c r="W117" s="1438">
        <f ca="1">IFERROR((1-INDIRECT("'"&amp;$H$3&amp;"'!W$142"))*W$154*INDEX(INDIRECT("'"&amp;$H$3&amp;"'!$H$43:$H$78"),MATCH(INDIRECT("'"&amp;$H$3&amp;"'!W$136")&amp;"Average cost ($) per trip (one-way)",INDIRECT("'"&amp;$H$3&amp;"'!$F$43:$F$78"),0)),0)
+IFERROR((1-INDIRECT("'"&amp;$H$3&amp;"'!W$162"))*W$192*INDEX(INDIRECT("'"&amp;$H$3&amp;"'!$H$43:$H$78"),MATCH(INDIRECT("'"&amp;$H$3&amp;"'!W$156")&amp;"Average cost ($) per trip (one-way)",INDIRECT("'"&amp;$H$3&amp;"'!$F$43:$F$78"),0)),0)
+IFERROR((1-INDIRECT("'"&amp;$H$3&amp;"'!W$182"))*W$230*INDEX(INDIRECT("'"&amp;$H$3&amp;"'!$H$43:$H$78"),MATCH(INDIRECT("'"&amp;$H$3&amp;"'!W$176")&amp;"Average cost ($) per trip (one-way)",INDIRECT("'"&amp;$H$3&amp;"'!$F$43:$F$78"),0)),0)</f>
        <v>0</v>
      </c>
      <c r="Y117" s="347">
        <f t="shared" ca="1" si="11"/>
        <v>0</v>
      </c>
    </row>
    <row r="118" spans="6:38">
      <c r="F118" s="330" t="s">
        <v>2441</v>
      </c>
      <c r="G118" s="330"/>
      <c r="H118" s="327"/>
      <c r="I118" s="327"/>
      <c r="J118" s="327"/>
      <c r="K118" s="327"/>
      <c r="L118" s="327"/>
      <c r="M118" s="327"/>
      <c r="N118" s="327"/>
      <c r="O118" s="327"/>
      <c r="P118" s="327"/>
      <c r="Q118" s="327"/>
      <c r="R118" s="329"/>
      <c r="S118" s="331"/>
      <c r="T118" s="327"/>
      <c r="U118" s="331"/>
      <c r="V118" s="331"/>
      <c r="W118" s="1439"/>
      <c r="X118" s="1463"/>
      <c r="Y118" s="1489">
        <f ca="1">SUM(Y119:Y127)</f>
        <v>0</v>
      </c>
    </row>
    <row r="119" spans="6:38">
      <c r="F119" s="219"/>
      <c r="G119" s="219" t="s">
        <v>48</v>
      </c>
      <c r="H119" s="297">
        <f ca="1">IFERROR((1-INDIRECT("'"&amp;$H$3&amp;"'!H$271"))*IF(INDIRECT("'"&amp;$H$3&amp;"'!H$265")='List Values'!$E$5,INDIRECT("'"&amp;$H$3&amp;"'!H$267")*IF(INDIRECT("'"&amp;$H$3&amp;"'!H$266")='List Values'!$F$3,H$369,IF(INDIRECT("'"&amp;$H$3&amp;"'!H$266")='List Values'!$F$4,'2_Outputs'!H$52*INDIRECT("'"&amp;$H$3&amp;"'!H$95")*INDIRECT("'"&amp;$H$3&amp;"'!H$263"),IF(INDIRECT("'"&amp;$H$3&amp;"'!H$266")='List Values'!$F$5,H$370,IF(INDIRECT("'"&amp;$H$3&amp;"'!H$266")='List Values'!$F$6,INDIRECT("'"&amp;$H$3&amp;"'!H$95")*INDIRECT("'"&amp;$H$3&amp;"'!H$263"),IF(INDIRECT("'"&amp;$H$3&amp;"'!H$266")='List Values'!$F$7,1,0))))),0),0)
+IFERROR((1-INDIRECT("'"&amp;$H$3&amp;"'!H$291"))*IF(INDIRECT("'"&amp;$H$3&amp;"'!H$285")='List Values'!$E$5,INDIRECT("'"&amp;$H$3&amp;"'!H$287")*IF(INDIRECT("'"&amp;$H$3&amp;"'!H$286")='List Values'!$F$3,H$398,IF(INDIRECT("'"&amp;$H$3&amp;"'!H$286")='List Values'!$F$4,'2_Outputs'!H$52*INDIRECT("'"&amp;$H$3&amp;"'!H$95")*INDIRECT("'"&amp;$H$3&amp;"'!H$283"),IF(INDIRECT("'"&amp;$H$3&amp;"'!H$286")='List Values'!$F$5,H$399,IF(INDIRECT("'"&amp;$H$3&amp;"'!H$286")='List Values'!$F$6,INDIRECT("'"&amp;$H$3&amp;"'!H$95")*INDIRECT("'"&amp;$H$3&amp;"'!H$283"),IF(INDIRECT("'"&amp;$H$3&amp;"'!H$286")='List Values'!$F$7,1,0))))),0),0)
+IFERROR((1-INDIRECT("'"&amp;$H$3&amp;"'!H$311"))*IF(INDIRECT("'"&amp;$H$3&amp;"'!H$305")='List Values'!$E$5,INDIRECT("'"&amp;$H$3&amp;"'!H$307")*IF(INDIRECT("'"&amp;$H$3&amp;"'!H$306")='List Values'!$F$3,H$427,IF(INDIRECT("'"&amp;$H$3&amp;"'!H$306")='List Values'!$F$4,'2_Outputs'!H$52*INDIRECT("'"&amp;$H$3&amp;"'!H$95")*INDIRECT("'"&amp;$H$3&amp;"'!H$303"),IF(INDIRECT("'"&amp;$H$3&amp;"'!H$306")='List Values'!$F$5,H$428,IF(INDIRECT("'"&amp;$H$3&amp;"'!H$306")='List Values'!$F$6,INDIRECT("'"&amp;$H$3&amp;"'!H$95")*INDIRECT("'"&amp;$H$3&amp;"'!H$303"),IF(INDIRECT("'"&amp;$H$3&amp;"'!H$306")='List Values'!$F$7,1,0))))),0),0)</f>
        <v>0</v>
      </c>
      <c r="I119" s="297"/>
      <c r="J119" s="297"/>
      <c r="K119" s="297">
        <f ca="1">IFERROR((1-INDIRECT("'"&amp;$H$3&amp;"'!K$271"))*IF(INDIRECT("'"&amp;$H$3&amp;"'!K$265")='List Values'!$E$5,INDIRECT("'"&amp;$H$3&amp;"'!K$267")*IF(INDIRECT("'"&amp;$H$3&amp;"'!K$266")='List Values'!$F$3,K$369,IF(INDIRECT("'"&amp;$H$3&amp;"'!K$266")='List Values'!$F$4,'2_Outputs'!K$52*INDIRECT("'"&amp;$H$3&amp;"'!K$95")*INDIRECT("'"&amp;$H$3&amp;"'!K$263"),IF(INDIRECT("'"&amp;$H$3&amp;"'!K$266")='List Values'!$F$5,K$370,IF(INDIRECT("'"&amp;$H$3&amp;"'!K$266")='List Values'!$F$6,INDIRECT("'"&amp;$H$3&amp;"'!K$95")*INDIRECT("'"&amp;$H$3&amp;"'!K$263"),IF(INDIRECT("'"&amp;$H$3&amp;"'!K$266")='List Values'!$F$7,1,0))))),0),0)
+IFERROR((1-INDIRECT("'"&amp;$H$3&amp;"'!K$291"))*IF(INDIRECT("'"&amp;$H$3&amp;"'!K$285")='List Values'!$E$5,INDIRECT("'"&amp;$H$3&amp;"'!K$287")*IF(INDIRECT("'"&amp;$H$3&amp;"'!K$286")='List Values'!$F$3,K$398,IF(INDIRECT("'"&amp;$H$3&amp;"'!K$286")='List Values'!$F$4,'2_Outputs'!K$52*INDIRECT("'"&amp;$H$3&amp;"'!K$95")*INDIRECT("'"&amp;$H$3&amp;"'!K$283"),IF(INDIRECT("'"&amp;$H$3&amp;"'!K$286")='List Values'!$F$5,K$399,IF(INDIRECT("'"&amp;$H$3&amp;"'!K$286")='List Values'!$F$6,INDIRECT("'"&amp;$H$3&amp;"'!K$95")*INDIRECT("'"&amp;$H$3&amp;"'!K$283"),IF(INDIRECT("'"&amp;$H$3&amp;"'!K$286")='List Values'!$F$7,1,0))))),0),0)
+IFERROR((1-INDIRECT("'"&amp;$H$3&amp;"'!K$311"))*IF(INDIRECT("'"&amp;$H$3&amp;"'!K$305")='List Values'!$E$5,INDIRECT("'"&amp;$H$3&amp;"'!K$307")*IF(INDIRECT("'"&amp;$H$3&amp;"'!K$306")='List Values'!$F$3,K$427,IF(INDIRECT("'"&amp;$H$3&amp;"'!K$306")='List Values'!$F$4,'2_Outputs'!K$52*INDIRECT("'"&amp;$H$3&amp;"'!K$95")*INDIRECT("'"&amp;$H$3&amp;"'!K$303"),IF(INDIRECT("'"&amp;$H$3&amp;"'!K$306")='List Values'!$F$5,K$428,IF(INDIRECT("'"&amp;$H$3&amp;"'!K$306")='List Values'!$F$6,INDIRECT("'"&amp;$H$3&amp;"'!K$95")*INDIRECT("'"&amp;$H$3&amp;"'!K$303"),IF(INDIRECT("'"&amp;$H$3&amp;"'!K$306")='List Values'!$F$7,1,0))))),0),0)</f>
        <v>0</v>
      </c>
      <c r="L119" s="297"/>
      <c r="M119" s="297"/>
      <c r="N119" s="297">
        <f ca="1">IFERROR((1-INDIRECT("'"&amp;$H$3&amp;"'!N$271"))*IF(INDIRECT("'"&amp;$H$3&amp;"'!N$265")='List Values'!$E$5,INDIRECT("'"&amp;$H$3&amp;"'!N$267")*IF(INDIRECT("'"&amp;$H$3&amp;"'!N$266")='List Values'!$F$3,N$369,IF(INDIRECT("'"&amp;$H$3&amp;"'!N$266")='List Values'!$F$4,'2_Outputs'!N$52*INDIRECT("'"&amp;$H$3&amp;"'!N$95")*INDIRECT("'"&amp;$H$3&amp;"'!N$263"),IF(INDIRECT("'"&amp;$H$3&amp;"'!N$266")='List Values'!$F$5,N$370,IF(INDIRECT("'"&amp;$H$3&amp;"'!N$266")='List Values'!$F$6,INDIRECT("'"&amp;$H$3&amp;"'!N$95")*INDIRECT("'"&amp;$H$3&amp;"'!N$263"),IF(INDIRECT("'"&amp;$H$3&amp;"'!N$266")='List Values'!$F$7,1,0))))),0),0)
+IFERROR((1-INDIRECT("'"&amp;$H$3&amp;"'!N$291"))*IF(INDIRECT("'"&amp;$H$3&amp;"'!N$285")='List Values'!$E$5,INDIRECT("'"&amp;$H$3&amp;"'!N$287")*IF(INDIRECT("'"&amp;$H$3&amp;"'!N$286")='List Values'!$F$3,N$398,IF(INDIRECT("'"&amp;$H$3&amp;"'!N$286")='List Values'!$F$4,'2_Outputs'!N$52*INDIRECT("'"&amp;$H$3&amp;"'!N$95")*INDIRECT("'"&amp;$H$3&amp;"'!N$283"),IF(INDIRECT("'"&amp;$H$3&amp;"'!N$286")='List Values'!$F$5,N$399,IF(INDIRECT("'"&amp;$H$3&amp;"'!N$286")='List Values'!$F$6,INDIRECT("'"&amp;$H$3&amp;"'!N$95")*INDIRECT("'"&amp;$H$3&amp;"'!N$283"),IF(INDIRECT("'"&amp;$H$3&amp;"'!N$286")='List Values'!$F$7,1,0))))),0),0)
+IFERROR((1-INDIRECT("'"&amp;$H$3&amp;"'!N$311"))*IF(INDIRECT("'"&amp;$H$3&amp;"'!N$305")='List Values'!$E$5,INDIRECT("'"&amp;$H$3&amp;"'!N$307")*IF(INDIRECT("'"&amp;$H$3&amp;"'!N$306")='List Values'!$F$3,N$427,IF(INDIRECT("'"&amp;$H$3&amp;"'!N$306")='List Values'!$F$4,'2_Outputs'!N$52*INDIRECT("'"&amp;$H$3&amp;"'!N$95")*INDIRECT("'"&amp;$H$3&amp;"'!N$303"),IF(INDIRECT("'"&amp;$H$3&amp;"'!N$306")='List Values'!$F$5,N$428,IF(INDIRECT("'"&amp;$H$3&amp;"'!N$306")='List Values'!$F$6,INDIRECT("'"&amp;$H$3&amp;"'!N$95")*INDIRECT("'"&amp;$H$3&amp;"'!N$303"),IF(INDIRECT("'"&amp;$H$3&amp;"'!N$306")='List Values'!$F$7,1,0))))),0),0)</f>
        <v>0</v>
      </c>
      <c r="O119" s="297"/>
      <c r="P119" s="297"/>
      <c r="Q119" s="297">
        <f ca="1">IFERROR((1-INDIRECT("'"&amp;$H$3&amp;"'!Q$271"))*IF(INDIRECT("'"&amp;$H$3&amp;"'!Q$265")='List Values'!$E$5,INDIRECT("'"&amp;$H$3&amp;"'!Q$267")*IF(INDIRECT("'"&amp;$H$3&amp;"'!Q$266")='List Values'!$F$3,Q$369,IF(INDIRECT("'"&amp;$H$3&amp;"'!Q$266")='List Values'!$F$4,'2_Outputs'!Q$52*INDIRECT("'"&amp;$H$3&amp;"'!Q$95")*INDIRECT("'"&amp;$H$3&amp;"'!Q$263"),IF(INDIRECT("'"&amp;$H$3&amp;"'!Q$266")='List Values'!$F$5,Q$370,IF(INDIRECT("'"&amp;$H$3&amp;"'!Q$266")='List Values'!$F$6,INDIRECT("'"&amp;$H$3&amp;"'!Q$95")*INDIRECT("'"&amp;$H$3&amp;"'!Q$263"),IF(INDIRECT("'"&amp;$H$3&amp;"'!Q$266")='List Values'!$F$7,1,0))))),0),0)
+IFERROR((1-INDIRECT("'"&amp;$H$3&amp;"'!Q$291"))*IF(INDIRECT("'"&amp;$H$3&amp;"'!Q$285")='List Values'!$E$5,INDIRECT("'"&amp;$H$3&amp;"'!Q$287")*IF(INDIRECT("'"&amp;$H$3&amp;"'!Q$286")='List Values'!$F$3,Q$398,IF(INDIRECT("'"&amp;$H$3&amp;"'!Q$286")='List Values'!$F$4,'2_Outputs'!Q$52*INDIRECT("'"&amp;$H$3&amp;"'!Q$95")*INDIRECT("'"&amp;$H$3&amp;"'!Q$283"),IF(INDIRECT("'"&amp;$H$3&amp;"'!Q$286")='List Values'!$F$5,Q$399,IF(INDIRECT("'"&amp;$H$3&amp;"'!Q$286")='List Values'!$F$6,INDIRECT("'"&amp;$H$3&amp;"'!Q$95")*INDIRECT("'"&amp;$H$3&amp;"'!Q$283"),IF(INDIRECT("'"&amp;$H$3&amp;"'!Q$286")='List Values'!$F$7,1,0))))),0),0)
+IFERROR((1-INDIRECT("'"&amp;$H$3&amp;"'!Q$311"))*IF(INDIRECT("'"&amp;$H$3&amp;"'!Q$305")='List Values'!$E$5,INDIRECT("'"&amp;$H$3&amp;"'!Q$307")*IF(INDIRECT("'"&amp;$H$3&amp;"'!Q$306")='List Values'!$F$3,Q$427,IF(INDIRECT("'"&amp;$H$3&amp;"'!Q$306")='List Values'!$F$4,'2_Outputs'!Q$52*INDIRECT("'"&amp;$H$3&amp;"'!Q$95")*INDIRECT("'"&amp;$H$3&amp;"'!Q$303"),IF(INDIRECT("'"&amp;$H$3&amp;"'!Q$306")='List Values'!$F$5,Q$428,IF(INDIRECT("'"&amp;$H$3&amp;"'!Q$306")='List Values'!$F$6,INDIRECT("'"&amp;$H$3&amp;"'!Q$95")*INDIRECT("'"&amp;$H$3&amp;"'!Q$303"),IF(INDIRECT("'"&amp;$H$3&amp;"'!Q$306")='List Values'!$F$7,1,0))))),0),0)</f>
        <v>0</v>
      </c>
      <c r="R119" s="297"/>
      <c r="S119" s="364"/>
      <c r="T119" s="297">
        <f ca="1">IFERROR((1-INDIRECT("'"&amp;$H$3&amp;"'!T$271"))*IF(INDIRECT("'"&amp;$H$3&amp;"'!T$265")='List Values'!$E$5,INDIRECT("'"&amp;$H$3&amp;"'!T$267")*IF(INDIRECT("'"&amp;$H$3&amp;"'!T$266")='List Values'!$F$3,T$369,IF(INDIRECT("'"&amp;$H$3&amp;"'!T$266")='List Values'!$F$4,'2_Outputs'!T$52*INDIRECT("'"&amp;$H$3&amp;"'!T$95")*INDIRECT("'"&amp;$H$3&amp;"'!T$263"),IF(INDIRECT("'"&amp;$H$3&amp;"'!T$266")='List Values'!$F$5,T$370,IF(INDIRECT("'"&amp;$H$3&amp;"'!T$266")='List Values'!$F$6,INDIRECT("'"&amp;$H$3&amp;"'!T$95")*INDIRECT("'"&amp;$H$3&amp;"'!T$263"),IF(INDIRECT("'"&amp;$H$3&amp;"'!T$266")='List Values'!$F$7,1,0))))),0),0)
+IFERROR((1-INDIRECT("'"&amp;$H$3&amp;"'!T$291"))*IF(INDIRECT("'"&amp;$H$3&amp;"'!T$285")='List Values'!$E$5,INDIRECT("'"&amp;$H$3&amp;"'!T$287")*IF(INDIRECT("'"&amp;$H$3&amp;"'!T$286")='List Values'!$F$3,T$398,IF(INDIRECT("'"&amp;$H$3&amp;"'!T$286")='List Values'!$F$4,'2_Outputs'!T$52*INDIRECT("'"&amp;$H$3&amp;"'!T$95")*INDIRECT("'"&amp;$H$3&amp;"'!T$283"),IF(INDIRECT("'"&amp;$H$3&amp;"'!T$286")='List Values'!$F$5,T$399,IF(INDIRECT("'"&amp;$H$3&amp;"'!T$286")='List Values'!$F$6,INDIRECT("'"&amp;$H$3&amp;"'!T$95")*INDIRECT("'"&amp;$H$3&amp;"'!T$283"),IF(INDIRECT("'"&amp;$H$3&amp;"'!T$286")='List Values'!$F$7,1,0))))),0),0)
+IFERROR((1-INDIRECT("'"&amp;$H$3&amp;"'!T$311"))*IF(INDIRECT("'"&amp;$H$3&amp;"'!T$305")='List Values'!$E$5,INDIRECT("'"&amp;$H$3&amp;"'!T$307")*IF(INDIRECT("'"&amp;$H$3&amp;"'!T$306")='List Values'!$F$3,T$427,IF(INDIRECT("'"&amp;$H$3&amp;"'!T$306")='List Values'!$F$4,'2_Outputs'!T$52*INDIRECT("'"&amp;$H$3&amp;"'!T$95")*INDIRECT("'"&amp;$H$3&amp;"'!T$303"),IF(INDIRECT("'"&amp;$H$3&amp;"'!T$306")='List Values'!$F$5,T$428,IF(INDIRECT("'"&amp;$H$3&amp;"'!T$306")='List Values'!$F$6,INDIRECT("'"&amp;$H$3&amp;"'!T$95")*INDIRECT("'"&amp;$H$3&amp;"'!T$303"),IF(INDIRECT("'"&amp;$H$3&amp;"'!T$306")='List Values'!$F$7,1,0))))),0),0)</f>
        <v>0</v>
      </c>
      <c r="U119" s="364"/>
      <c r="V119" s="364"/>
      <c r="W119" s="1440">
        <f ca="1">IFERROR((1-INDIRECT("'"&amp;$H$3&amp;"'!W$271"))*IF(INDIRECT("'"&amp;$H$3&amp;"'!W$265")='List Values'!$E$5,INDIRECT("'"&amp;$H$3&amp;"'!W$267")*IF(INDIRECT("'"&amp;$H$3&amp;"'!W$266")='List Values'!$F$3,W$369,IF(INDIRECT("'"&amp;$H$3&amp;"'!W$266")='List Values'!$F$4,'2_Outputs'!W$52*INDIRECT("'"&amp;$H$3&amp;"'!W$95")*INDIRECT("'"&amp;$H$3&amp;"'!W$263"),IF(INDIRECT("'"&amp;$H$3&amp;"'!W$266")='List Values'!$F$5,W$370,IF(INDIRECT("'"&amp;$H$3&amp;"'!W$266")='List Values'!$F$6,INDIRECT("'"&amp;$H$3&amp;"'!W$95")*INDIRECT("'"&amp;$H$3&amp;"'!W$263"),IF(INDIRECT("'"&amp;$H$3&amp;"'!W$266")='List Values'!$F$7,1,0))))),0),0)
+IFERROR((1-INDIRECT("'"&amp;$H$3&amp;"'!W$291"))*IF(INDIRECT("'"&amp;$H$3&amp;"'!W$285")='List Values'!$E$5,INDIRECT("'"&amp;$H$3&amp;"'!W$287")*IF(INDIRECT("'"&amp;$H$3&amp;"'!W$286")='List Values'!$F$3,W$398,IF(INDIRECT("'"&amp;$H$3&amp;"'!W$286")='List Values'!$F$4,'2_Outputs'!W$52*INDIRECT("'"&amp;$H$3&amp;"'!W$95")*INDIRECT("'"&amp;$H$3&amp;"'!W$283"),IF(INDIRECT("'"&amp;$H$3&amp;"'!W$286")='List Values'!$F$5,W$399,IF(INDIRECT("'"&amp;$H$3&amp;"'!W$286")='List Values'!$F$6,INDIRECT("'"&amp;$H$3&amp;"'!W$95")*INDIRECT("'"&amp;$H$3&amp;"'!W$283"),IF(INDIRECT("'"&amp;$H$3&amp;"'!W$286")='List Values'!$F$7,1,0))))),0),0)
+IFERROR((1-INDIRECT("'"&amp;$H$3&amp;"'!W$311"))*IF(INDIRECT("'"&amp;$H$3&amp;"'!W$305")='List Values'!$E$5,INDIRECT("'"&amp;$H$3&amp;"'!W$307")*IF(INDIRECT("'"&amp;$H$3&amp;"'!W$306")='List Values'!$F$3,W$427,IF(INDIRECT("'"&amp;$H$3&amp;"'!W$306")='List Values'!$F$4,'2_Outputs'!W$52*INDIRECT("'"&amp;$H$3&amp;"'!W$95")*INDIRECT("'"&amp;$H$3&amp;"'!W$303"),IF(INDIRECT("'"&amp;$H$3&amp;"'!W$306")='List Values'!$F$5,W$428,IF(INDIRECT("'"&amp;$H$3&amp;"'!W$306")='List Values'!$F$6,INDIRECT("'"&amp;$H$3&amp;"'!W$95")*INDIRECT("'"&amp;$H$3&amp;"'!W$303"),IF(INDIRECT("'"&amp;$H$3&amp;"'!W$306")='List Values'!$F$7,1,0))))),0),0)</f>
        <v>0</v>
      </c>
      <c r="Y119" s="365">
        <f ca="1">SUM(H119:W119)</f>
        <v>0</v>
      </c>
    </row>
    <row r="120" spans="6:38">
      <c r="F120" s="288"/>
      <c r="G120" s="288" t="s">
        <v>226</v>
      </c>
      <c r="H120" s="300">
        <f ca="1">IFERROR((1-INDIRECT("'"&amp;$H$3&amp;"'!H$271"))*IF(INDIRECT("'"&amp;$H$3&amp;"'!H$265")='List Values'!$E$4,INDIRECT("'"&amp;$H$3&amp;"'!H$267")*IF(INDIRECT("'"&amp;$H$3&amp;"'!H$266")='List Values'!$F$3,H$369,IF(INDIRECT("'"&amp;$H$3&amp;"'!H$266")='List Values'!$F$4,'2_Outputs'!H$52*INDIRECT("'"&amp;$H$3&amp;"'!H$95")*INDIRECT("'"&amp;$H$3&amp;"'!H$263"),IF(INDIRECT("'"&amp;$H$3&amp;"'!H$266")='List Values'!$F$5,H$370,IF(INDIRECT("'"&amp;$H$3&amp;"'!H$266")='List Values'!$F$6,INDIRECT("'"&amp;$H$3&amp;"'!H$95")*INDIRECT("'"&amp;$H$3&amp;"'!H$263"),IF(INDIRECT("'"&amp;$H$3&amp;"'!H$266")='List Values'!$F$7,1,0))))),0),0)
+IFERROR((1-INDIRECT("'"&amp;$H$3&amp;"'!H$291"))*IF(INDIRECT("'"&amp;$H$3&amp;"'!H$285")='List Values'!$E$4,INDIRECT("'"&amp;$H$3&amp;"'!H$287")*IF(INDIRECT("'"&amp;$H$3&amp;"'!H$286")='List Values'!$F$3,H$398,IF(INDIRECT("'"&amp;$H$3&amp;"'!H$286")='List Values'!$F$4,'2_Outputs'!H$52*INDIRECT("'"&amp;$H$3&amp;"'!H$95")*INDIRECT("'"&amp;$H$3&amp;"'!H$283"),IF(INDIRECT("'"&amp;$H$3&amp;"'!H$286")='List Values'!$F$5,H$399,IF(INDIRECT("'"&amp;$H$3&amp;"'!H$286")='List Values'!$F$6,INDIRECT("'"&amp;$H$3&amp;"'!H$95")*INDIRECT("'"&amp;$H$3&amp;"'!H$283"),IF(INDIRECT("'"&amp;$H$3&amp;"'!H$286")='List Values'!$F$7,1,0))))),0),0)
+IFERROR((1-INDIRECT("'"&amp;$H$3&amp;"'!H$311"))*IF(INDIRECT("'"&amp;$H$3&amp;"'!H$305")='List Values'!$E$4,INDIRECT("'"&amp;$H$3&amp;"'!H$307")*IF(INDIRECT("'"&amp;$H$3&amp;"'!H$306")='List Values'!$F$3,H$427,IF(INDIRECT("'"&amp;$H$3&amp;"'!H$306")='List Values'!$F$4,'2_Outputs'!H$52*INDIRECT("'"&amp;$H$3&amp;"'!H$95")*INDIRECT("'"&amp;$H$3&amp;"'!H$303"),IF(INDIRECT("'"&amp;$H$3&amp;"'!H$306")='List Values'!$F$5,H$428,IF(INDIRECT("'"&amp;$H$3&amp;"'!H$306")='List Values'!$F$6,INDIRECT("'"&amp;$H$3&amp;"'!H$95")*INDIRECT("'"&amp;$H$3&amp;"'!H$303"),IF(INDIRECT("'"&amp;$H$3&amp;"'!H$306")='List Values'!$F$7,1,0))))),0),0)</f>
        <v>0</v>
      </c>
      <c r="I120" s="300"/>
      <c r="J120" s="300"/>
      <c r="K120" s="300">
        <f ca="1">IFERROR((1-INDIRECT("'"&amp;$H$3&amp;"'!K$271"))*IF(INDIRECT("'"&amp;$H$3&amp;"'!K$265")='List Values'!$E$4,INDIRECT("'"&amp;$H$3&amp;"'!K$267")*IF(INDIRECT("'"&amp;$H$3&amp;"'!K$266")='List Values'!$F$3,K$369,IF(INDIRECT("'"&amp;$H$3&amp;"'!K$266")='List Values'!$F$4,'2_Outputs'!K$52*INDIRECT("'"&amp;$H$3&amp;"'!K$95")*INDIRECT("'"&amp;$H$3&amp;"'!K$263"),IF(INDIRECT("'"&amp;$H$3&amp;"'!K$266")='List Values'!$F$5,K$370,IF(INDIRECT("'"&amp;$H$3&amp;"'!K$266")='List Values'!$F$6,INDIRECT("'"&amp;$H$3&amp;"'!K$95")*INDIRECT("'"&amp;$H$3&amp;"'!K$263"),IF(INDIRECT("'"&amp;$H$3&amp;"'!K$266")='List Values'!$F$7,1,0))))),0),0)
+IFERROR((1-INDIRECT("'"&amp;$H$3&amp;"'!K$291"))*IF(INDIRECT("'"&amp;$H$3&amp;"'!K$285")='List Values'!$E$4,INDIRECT("'"&amp;$H$3&amp;"'!K$287")*IF(INDIRECT("'"&amp;$H$3&amp;"'!K$286")='List Values'!$F$3,K$398,IF(INDIRECT("'"&amp;$H$3&amp;"'!K$286")='List Values'!$F$4,'2_Outputs'!K$52*INDIRECT("'"&amp;$H$3&amp;"'!K$95")*INDIRECT("'"&amp;$H$3&amp;"'!K$283"),IF(INDIRECT("'"&amp;$H$3&amp;"'!K$286")='List Values'!$F$5,K$399,IF(INDIRECT("'"&amp;$H$3&amp;"'!K$286")='List Values'!$F$6,INDIRECT("'"&amp;$H$3&amp;"'!K$95")*INDIRECT("'"&amp;$H$3&amp;"'!K$283"),IF(INDIRECT("'"&amp;$H$3&amp;"'!K$286")='List Values'!$F$7,1,0))))),0),0)
+IFERROR((1-INDIRECT("'"&amp;$H$3&amp;"'!K$311"))*IF(INDIRECT("'"&amp;$H$3&amp;"'!K$305")='List Values'!$E$4,INDIRECT("'"&amp;$H$3&amp;"'!K$307")*IF(INDIRECT("'"&amp;$H$3&amp;"'!K$306")='List Values'!$F$3,K$427,IF(INDIRECT("'"&amp;$H$3&amp;"'!K$306")='List Values'!$F$4,'2_Outputs'!K$52*INDIRECT("'"&amp;$H$3&amp;"'!K$95")*INDIRECT("'"&amp;$H$3&amp;"'!K$303"),IF(INDIRECT("'"&amp;$H$3&amp;"'!K$306")='List Values'!$F$5,K$428,IF(INDIRECT("'"&amp;$H$3&amp;"'!K$306")='List Values'!$F$6,INDIRECT("'"&amp;$H$3&amp;"'!K$95")*INDIRECT("'"&amp;$H$3&amp;"'!K$303"),IF(INDIRECT("'"&amp;$H$3&amp;"'!K$306")='List Values'!$F$7,1,0))))),0),0)</f>
        <v>0</v>
      </c>
      <c r="L120" s="300"/>
      <c r="M120" s="300"/>
      <c r="N120" s="300">
        <f ca="1">IFERROR((1-INDIRECT("'"&amp;$H$3&amp;"'!N$271"))*IF(INDIRECT("'"&amp;$H$3&amp;"'!N$265")='List Values'!$E$4,INDIRECT("'"&amp;$H$3&amp;"'!N$267")*IF(INDIRECT("'"&amp;$H$3&amp;"'!N$266")='List Values'!$F$3,N$369,IF(INDIRECT("'"&amp;$H$3&amp;"'!N$266")='List Values'!$F$4,'2_Outputs'!N$52*INDIRECT("'"&amp;$H$3&amp;"'!N$95")*INDIRECT("'"&amp;$H$3&amp;"'!N$263"),IF(INDIRECT("'"&amp;$H$3&amp;"'!N$266")='List Values'!$F$5,N$370,IF(INDIRECT("'"&amp;$H$3&amp;"'!N$266")='List Values'!$F$6,INDIRECT("'"&amp;$H$3&amp;"'!N$95")*INDIRECT("'"&amp;$H$3&amp;"'!N$263"),IF(INDIRECT("'"&amp;$H$3&amp;"'!N$266")='List Values'!$F$7,1,0))))),0),0)
+IFERROR((1-INDIRECT("'"&amp;$H$3&amp;"'!N$291"))*IF(INDIRECT("'"&amp;$H$3&amp;"'!N$285")='List Values'!$E$4,INDIRECT("'"&amp;$H$3&amp;"'!N$287")*IF(INDIRECT("'"&amp;$H$3&amp;"'!N$286")='List Values'!$F$3,N$398,IF(INDIRECT("'"&amp;$H$3&amp;"'!N$286")='List Values'!$F$4,'2_Outputs'!N$52*INDIRECT("'"&amp;$H$3&amp;"'!N$95")*INDIRECT("'"&amp;$H$3&amp;"'!N$283"),IF(INDIRECT("'"&amp;$H$3&amp;"'!N$286")='List Values'!$F$5,N$399,IF(INDIRECT("'"&amp;$H$3&amp;"'!N$286")='List Values'!$F$6,INDIRECT("'"&amp;$H$3&amp;"'!N$95")*INDIRECT("'"&amp;$H$3&amp;"'!N$283"),IF(INDIRECT("'"&amp;$H$3&amp;"'!N$286")='List Values'!$F$7,1,0))))),0),0)
+IFERROR((1-INDIRECT("'"&amp;$H$3&amp;"'!N$311"))*IF(INDIRECT("'"&amp;$H$3&amp;"'!N$305")='List Values'!$E$4,INDIRECT("'"&amp;$H$3&amp;"'!N$307")*IF(INDIRECT("'"&amp;$H$3&amp;"'!N$306")='List Values'!$F$3,N$427,IF(INDIRECT("'"&amp;$H$3&amp;"'!N$306")='List Values'!$F$4,'2_Outputs'!N$52*INDIRECT("'"&amp;$H$3&amp;"'!N$95")*INDIRECT("'"&amp;$H$3&amp;"'!N$303"),IF(INDIRECT("'"&amp;$H$3&amp;"'!N$306")='List Values'!$F$5,N$428,IF(INDIRECT("'"&amp;$H$3&amp;"'!N$306")='List Values'!$F$6,INDIRECT("'"&amp;$H$3&amp;"'!N$95")*INDIRECT("'"&amp;$H$3&amp;"'!N$303"),IF(INDIRECT("'"&amp;$H$3&amp;"'!N$306")='List Values'!$F$7,1,0))))),0),0)</f>
        <v>0</v>
      </c>
      <c r="O120" s="300"/>
      <c r="P120" s="300"/>
      <c r="Q120" s="300">
        <f ca="1">IFERROR((1-INDIRECT("'"&amp;$H$3&amp;"'!Q$271"))*IF(INDIRECT("'"&amp;$H$3&amp;"'!Q$265")='List Values'!$E$4,INDIRECT("'"&amp;$H$3&amp;"'!Q$267")*IF(INDIRECT("'"&amp;$H$3&amp;"'!Q$266")='List Values'!$F$3,Q$369,IF(INDIRECT("'"&amp;$H$3&amp;"'!Q$266")='List Values'!$F$4,'2_Outputs'!Q$52*INDIRECT("'"&amp;$H$3&amp;"'!Q$95")*INDIRECT("'"&amp;$H$3&amp;"'!Q$263"),IF(INDIRECT("'"&amp;$H$3&amp;"'!Q$266")='List Values'!$F$5,Q$370,IF(INDIRECT("'"&amp;$H$3&amp;"'!Q$266")='List Values'!$F$6,INDIRECT("'"&amp;$H$3&amp;"'!Q$95")*INDIRECT("'"&amp;$H$3&amp;"'!Q$263"),IF(INDIRECT("'"&amp;$H$3&amp;"'!Q$266")='List Values'!$F$7,1,0))))),0),0)
+IFERROR((1-INDIRECT("'"&amp;$H$3&amp;"'!Q$291"))*IF(INDIRECT("'"&amp;$H$3&amp;"'!Q$285")='List Values'!$E$4,INDIRECT("'"&amp;$H$3&amp;"'!Q$287")*IF(INDIRECT("'"&amp;$H$3&amp;"'!Q$286")='List Values'!$F$3,Q$398,IF(INDIRECT("'"&amp;$H$3&amp;"'!Q$286")='List Values'!$F$4,'2_Outputs'!Q$52*INDIRECT("'"&amp;$H$3&amp;"'!Q$95")*INDIRECT("'"&amp;$H$3&amp;"'!Q$283"),IF(INDIRECT("'"&amp;$H$3&amp;"'!Q$286")='List Values'!$F$5,Q$399,IF(INDIRECT("'"&amp;$H$3&amp;"'!Q$286")='List Values'!$F$6,INDIRECT("'"&amp;$H$3&amp;"'!Q$95")*INDIRECT("'"&amp;$H$3&amp;"'!Q$283"),IF(INDIRECT("'"&amp;$H$3&amp;"'!Q$286")='List Values'!$F$7,1,0))))),0),0)
+IFERROR((1-INDIRECT("'"&amp;$H$3&amp;"'!Q$311"))*IF(INDIRECT("'"&amp;$H$3&amp;"'!Q$305")='List Values'!$E$4,INDIRECT("'"&amp;$H$3&amp;"'!Q$307")*IF(INDIRECT("'"&amp;$H$3&amp;"'!Q$306")='List Values'!$F$3,Q$427,IF(INDIRECT("'"&amp;$H$3&amp;"'!Q$306")='List Values'!$F$4,'2_Outputs'!Q$52*INDIRECT("'"&amp;$H$3&amp;"'!Q$95")*INDIRECT("'"&amp;$H$3&amp;"'!Q$303"),IF(INDIRECT("'"&amp;$H$3&amp;"'!Q$306")='List Values'!$F$5,Q$428,IF(INDIRECT("'"&amp;$H$3&amp;"'!Q$306")='List Values'!$F$6,INDIRECT("'"&amp;$H$3&amp;"'!Q$95")*INDIRECT("'"&amp;$H$3&amp;"'!Q$303"),IF(INDIRECT("'"&amp;$H$3&amp;"'!Q$306")='List Values'!$F$7,1,0))))),0),0)</f>
        <v>0</v>
      </c>
      <c r="R120" s="300"/>
      <c r="S120" s="337"/>
      <c r="T120" s="300">
        <f ca="1">IFERROR((1-INDIRECT("'"&amp;$H$3&amp;"'!T$271"))*IF(INDIRECT("'"&amp;$H$3&amp;"'!T$265")='List Values'!$E$4,INDIRECT("'"&amp;$H$3&amp;"'!T$267")*IF(INDIRECT("'"&amp;$H$3&amp;"'!T$266")='List Values'!$F$3,T$369,IF(INDIRECT("'"&amp;$H$3&amp;"'!T$266")='List Values'!$F$4,'2_Outputs'!T$52*INDIRECT("'"&amp;$H$3&amp;"'!T$95")*INDIRECT("'"&amp;$H$3&amp;"'!T$263"),IF(INDIRECT("'"&amp;$H$3&amp;"'!T$266")='List Values'!$F$5,T$370,IF(INDIRECT("'"&amp;$H$3&amp;"'!T$266")='List Values'!$F$6,INDIRECT("'"&amp;$H$3&amp;"'!T$95")*INDIRECT("'"&amp;$H$3&amp;"'!T$263"),IF(INDIRECT("'"&amp;$H$3&amp;"'!T$266")='List Values'!$F$7,1,0))))),0),0)
+IFERROR((1-INDIRECT("'"&amp;$H$3&amp;"'!T$291"))*IF(INDIRECT("'"&amp;$H$3&amp;"'!T$285")='List Values'!$E$4,INDIRECT("'"&amp;$H$3&amp;"'!T$287")*IF(INDIRECT("'"&amp;$H$3&amp;"'!T$286")='List Values'!$F$3,T$398,IF(INDIRECT("'"&amp;$H$3&amp;"'!T$286")='List Values'!$F$4,'2_Outputs'!T$52*INDIRECT("'"&amp;$H$3&amp;"'!T$95")*INDIRECT("'"&amp;$H$3&amp;"'!T$283"),IF(INDIRECT("'"&amp;$H$3&amp;"'!T$286")='List Values'!$F$5,T$399,IF(INDIRECT("'"&amp;$H$3&amp;"'!T$286")='List Values'!$F$6,INDIRECT("'"&amp;$H$3&amp;"'!T$95")*INDIRECT("'"&amp;$H$3&amp;"'!T$283"),IF(INDIRECT("'"&amp;$H$3&amp;"'!T$286")='List Values'!$F$7,1,0))))),0),0)
+IFERROR((1-INDIRECT("'"&amp;$H$3&amp;"'!T$311"))*IF(INDIRECT("'"&amp;$H$3&amp;"'!T$305")='List Values'!$E$4,INDIRECT("'"&amp;$H$3&amp;"'!T$307")*IF(INDIRECT("'"&amp;$H$3&amp;"'!T$306")='List Values'!$F$3,T$427,IF(INDIRECT("'"&amp;$H$3&amp;"'!T$306")='List Values'!$F$4,'2_Outputs'!T$52*INDIRECT("'"&amp;$H$3&amp;"'!T$95")*INDIRECT("'"&amp;$H$3&amp;"'!T$303"),IF(INDIRECT("'"&amp;$H$3&amp;"'!T$306")='List Values'!$F$5,T$428,IF(INDIRECT("'"&amp;$H$3&amp;"'!T$306")='List Values'!$F$6,INDIRECT("'"&amp;$H$3&amp;"'!T$95")*INDIRECT("'"&amp;$H$3&amp;"'!T$303"),IF(INDIRECT("'"&amp;$H$3&amp;"'!T$306")='List Values'!$F$7,1,0))))),0),0)</f>
        <v>0</v>
      </c>
      <c r="U120" s="337"/>
      <c r="V120" s="337"/>
      <c r="W120" s="1437">
        <f ca="1">IFERROR((1-INDIRECT("'"&amp;$H$3&amp;"'!W$271"))*IF(INDIRECT("'"&amp;$H$3&amp;"'!W$265")='List Values'!$E$4,INDIRECT("'"&amp;$H$3&amp;"'!W$267")*IF(INDIRECT("'"&amp;$H$3&amp;"'!W$266")='List Values'!$F$3,W$369,IF(INDIRECT("'"&amp;$H$3&amp;"'!W$266")='List Values'!$F$4,'2_Outputs'!W$52*INDIRECT("'"&amp;$H$3&amp;"'!W$95")*INDIRECT("'"&amp;$H$3&amp;"'!W$263"),IF(INDIRECT("'"&amp;$H$3&amp;"'!W$266")='List Values'!$F$5,W$370,IF(INDIRECT("'"&amp;$H$3&amp;"'!W$266")='List Values'!$F$6,INDIRECT("'"&amp;$H$3&amp;"'!W$95")*INDIRECT("'"&amp;$H$3&amp;"'!W$263"),IF(INDIRECT("'"&amp;$H$3&amp;"'!W$266")='List Values'!$F$7,1,0))))),0),0)
+IFERROR((1-INDIRECT("'"&amp;$H$3&amp;"'!W$291"))*IF(INDIRECT("'"&amp;$H$3&amp;"'!W$285")='List Values'!$E$4,INDIRECT("'"&amp;$H$3&amp;"'!W$287")*IF(INDIRECT("'"&amp;$H$3&amp;"'!W$286")='List Values'!$F$3,W$398,IF(INDIRECT("'"&amp;$H$3&amp;"'!W$286")='List Values'!$F$4,'2_Outputs'!W$52*INDIRECT("'"&amp;$H$3&amp;"'!W$95")*INDIRECT("'"&amp;$H$3&amp;"'!W$283"),IF(INDIRECT("'"&amp;$H$3&amp;"'!W$286")='List Values'!$F$5,W$399,IF(INDIRECT("'"&amp;$H$3&amp;"'!W$286")='List Values'!$F$6,INDIRECT("'"&amp;$H$3&amp;"'!W$95")*INDIRECT("'"&amp;$H$3&amp;"'!W$283"),IF(INDIRECT("'"&amp;$H$3&amp;"'!W$286")='List Values'!$F$7,1,0))))),0),0)
+IFERROR((1-INDIRECT("'"&amp;$H$3&amp;"'!W$311"))*IF(INDIRECT("'"&amp;$H$3&amp;"'!W$305")='List Values'!$E$4,INDIRECT("'"&amp;$H$3&amp;"'!W$307")*IF(INDIRECT("'"&amp;$H$3&amp;"'!W$306")='List Values'!$F$3,W$427,IF(INDIRECT("'"&amp;$H$3&amp;"'!W$306")='List Values'!$F$4,'2_Outputs'!W$52*INDIRECT("'"&amp;$H$3&amp;"'!W$95")*INDIRECT("'"&amp;$H$3&amp;"'!W$303"),IF(INDIRECT("'"&amp;$H$3&amp;"'!W$306")='List Values'!$F$5,W$428,IF(INDIRECT("'"&amp;$H$3&amp;"'!W$306")='List Values'!$F$6,INDIRECT("'"&amp;$H$3&amp;"'!W$95")*INDIRECT("'"&amp;$H$3&amp;"'!W$303"),IF(INDIRECT("'"&amp;$H$3&amp;"'!W$306")='List Values'!$F$7,1,0))))),0),0)</f>
        <v>0</v>
      </c>
      <c r="Y120" s="341">
        <f t="shared" ref="Y120:Y127" ca="1" si="12">SUM(H120:W120)</f>
        <v>0</v>
      </c>
      <c r="AL120" s="4"/>
    </row>
    <row r="121" spans="6:38">
      <c r="F121" s="298"/>
      <c r="G121" s="298" t="s">
        <v>89</v>
      </c>
      <c r="H121" s="300">
        <f ca="1">(IFERROR(1-INDIRECT("'"&amp;$H$3&amp;"'!H$271"),0))*(H$356+H$370)*INDIRECT("'"&amp;$H$3&amp;"'!$H$10")*(IFERROR(INDEX(INDIRECT("'"&amp;$H$3&amp;"'!$H$28:$H$38"),MATCH(INDIRECT("'"&amp;$H$3&amp;"'!H$274"),INDIRECT("'"&amp;$H$3&amp;"'!$B$28:$B$38"),0)),0)+IFERROR(INDIRECT("'"&amp;$H$3&amp;"'!H$275")*INDEX(INDIRECT("'"&amp;$H$3&amp;"'!$H$28:$H$38"),MATCH(INDIRECT("'"&amp;$H$3&amp;"'!H$276"),INDIRECT("'"&amp;$H$3&amp;"'!$B$28:$B$38"),0)),0))
+(IFERROR(1-INDIRECT("'"&amp;$H$3&amp;"'!H$291"),0))*(H$385+H$399)*INDIRECT("'"&amp;$H$3&amp;"'!$H$10")*(IFERROR(INDEX(INDIRECT("'"&amp;$H$3&amp;"'!$H$28:$H$38"),MATCH(INDIRECT("'"&amp;$H$3&amp;"'!H$294"),INDIRECT("'"&amp;$H$3&amp;"'!$B$28:$B$38"),0)),0)+IFERROR(INDIRECT("'"&amp;$H$3&amp;"'!H$295")*INDEX(INDIRECT("'"&amp;$H$3&amp;"'!$H$28:$H$38"),MATCH(INDIRECT("'"&amp;$H$3&amp;"'!H$296"),INDIRECT("'"&amp;$H$3&amp;"'!$B$28:$B$38"),0)),0))
+(IFERROR(1-INDIRECT("'"&amp;$H$3&amp;"'!H$311"),0))*(H$414+H$428)*INDIRECT("'"&amp;$H$3&amp;"'!$H$10")*(IFERROR(INDEX(INDIRECT("'"&amp;$H$3&amp;"'!$H$28:$H$38"),MATCH(INDIRECT("'"&amp;$H$3&amp;"'!H$314"),INDIRECT("'"&amp;$H$3&amp;"'!$B$28:$B$38"),0)),0)+IFERROR(INDIRECT("'"&amp;$H$3&amp;"'!H$315")*INDEX(INDIRECT("'"&amp;$H$3&amp;"'!$H$28:$H$38"),MATCH(INDIRECT("'"&amp;$H$3&amp;"'!H$316"),INDIRECT("'"&amp;$H$3&amp;"'!$B$28:$B$38"),0)),0))</f>
        <v>0</v>
      </c>
      <c r="I121" s="300"/>
      <c r="J121" s="300"/>
      <c r="K121" s="300">
        <f ca="1">(IFERROR(1-INDIRECT("'"&amp;$H$3&amp;"'!K$271"),0))*(K$356+K$370)*INDIRECT("'"&amp;$H$3&amp;"'!$H$10")*(IFERROR(INDEX(INDIRECT("'"&amp;$H$3&amp;"'!$H$28:$H$38"),MATCH(INDIRECT("'"&amp;$H$3&amp;"'!K$274"),INDIRECT("'"&amp;$H$3&amp;"'!$B$28:$B$38"),0)),0)+IFERROR(INDIRECT("'"&amp;$H$3&amp;"'!K$275")*INDEX(INDIRECT("'"&amp;$H$3&amp;"'!$H$28:$H$38"),MATCH(INDIRECT("'"&amp;$H$3&amp;"'!K$276"),INDIRECT("'"&amp;$H$3&amp;"'!$B$28:$B$38"),0)),0))
+(IFERROR(1-INDIRECT("'"&amp;$H$3&amp;"'!K$291"),0))*(K$385+K$399)*INDIRECT("'"&amp;$H$3&amp;"'!$H$10")*(IFERROR(INDEX(INDIRECT("'"&amp;$H$3&amp;"'!$H$28:$H$38"),MATCH(INDIRECT("'"&amp;$H$3&amp;"'!K$294"),INDIRECT("'"&amp;$H$3&amp;"'!$B$28:$B$38"),0)),0)+IFERROR(INDIRECT("'"&amp;$H$3&amp;"'!K$295")*INDEX(INDIRECT("'"&amp;$H$3&amp;"'!$H$28:$H$38"),MATCH(INDIRECT("'"&amp;$H$3&amp;"'!K$296"),INDIRECT("'"&amp;$H$3&amp;"'!$B$28:$B$38"),0)),0))
+(IFERROR(1-INDIRECT("'"&amp;$H$3&amp;"'!K$311"),0))*(K$414+K$428)*INDIRECT("'"&amp;$H$3&amp;"'!$H$10")*(IFERROR(INDEX(INDIRECT("'"&amp;$H$3&amp;"'!$H$28:$H$38"),MATCH(INDIRECT("'"&amp;$H$3&amp;"'!K$314"),INDIRECT("'"&amp;$H$3&amp;"'!$B$28:$B$38"),0)),0)+IFERROR(INDIRECT("'"&amp;$H$3&amp;"'!K$315")*INDEX(INDIRECT("'"&amp;$H$3&amp;"'!$H$28:$H$38"),MATCH(INDIRECT("'"&amp;$H$3&amp;"'!K$316"),INDIRECT("'"&amp;$H$3&amp;"'!$B$28:$B$38"),0)),0))</f>
        <v>0</v>
      </c>
      <c r="L121" s="300"/>
      <c r="M121" s="300"/>
      <c r="N121" s="300">
        <f ca="1">(IFERROR(1-INDIRECT("'"&amp;$H$3&amp;"'!N$271"),0))*(N$356+N$370)*INDIRECT("'"&amp;$H$3&amp;"'!$H$10")*(IFERROR(INDEX(INDIRECT("'"&amp;$H$3&amp;"'!$H$28:$H$38"),MATCH(INDIRECT("'"&amp;$H$3&amp;"'!N$274"),INDIRECT("'"&amp;$H$3&amp;"'!$B$28:$B$38"),0)),0)+IFERROR(INDIRECT("'"&amp;$H$3&amp;"'!N$275")*INDEX(INDIRECT("'"&amp;$H$3&amp;"'!$H$28:$H$38"),MATCH(INDIRECT("'"&amp;$H$3&amp;"'!N$276"),INDIRECT("'"&amp;$H$3&amp;"'!$B$28:$B$38"),0)),0))
+(IFERROR(1-INDIRECT("'"&amp;$H$3&amp;"'!N$291"),0))*(N$385+N$399)*INDIRECT("'"&amp;$H$3&amp;"'!$H$10")*(IFERROR(INDEX(INDIRECT("'"&amp;$H$3&amp;"'!$H$28:$H$38"),MATCH(INDIRECT("'"&amp;$H$3&amp;"'!N$294"),INDIRECT("'"&amp;$H$3&amp;"'!$B$28:$B$38"),0)),0)+IFERROR(INDIRECT("'"&amp;$H$3&amp;"'!N$295")*INDEX(INDIRECT("'"&amp;$H$3&amp;"'!$H$28:$H$38"),MATCH(INDIRECT("'"&amp;$H$3&amp;"'!N$296"),INDIRECT("'"&amp;$H$3&amp;"'!$B$28:$B$38"),0)),0))
+(IFERROR(1-INDIRECT("'"&amp;$H$3&amp;"'!N$311"),0))*(N$414+N$428)*INDIRECT("'"&amp;$H$3&amp;"'!$H$10")*(IFERROR(INDEX(INDIRECT("'"&amp;$H$3&amp;"'!$H$28:$H$38"),MATCH(INDIRECT("'"&amp;$H$3&amp;"'!N$314"),INDIRECT("'"&amp;$H$3&amp;"'!$B$28:$B$38"),0)),0)+IFERROR(INDIRECT("'"&amp;$H$3&amp;"'!N$315")*INDEX(INDIRECT("'"&amp;$H$3&amp;"'!$H$28:$H$38"),MATCH(INDIRECT("'"&amp;$H$3&amp;"'!N$316"),INDIRECT("'"&amp;$H$3&amp;"'!$B$28:$B$38"),0)),0))</f>
        <v>0</v>
      </c>
      <c r="O121" s="300"/>
      <c r="P121" s="300"/>
      <c r="Q121" s="300">
        <f ca="1">(IFERROR(1-INDIRECT("'"&amp;$H$3&amp;"'!Q$271"),0))*(Q$356+Q$370)*INDIRECT("'"&amp;$H$3&amp;"'!$H$10")*(IFERROR(INDEX(INDIRECT("'"&amp;$H$3&amp;"'!$H$28:$H$38"),MATCH(INDIRECT("'"&amp;$H$3&amp;"'!Q$274"),INDIRECT("'"&amp;$H$3&amp;"'!$B$28:$B$38"),0)),0)+IFERROR(INDIRECT("'"&amp;$H$3&amp;"'!Q$275")*INDEX(INDIRECT("'"&amp;$H$3&amp;"'!$H$28:$H$38"),MATCH(INDIRECT("'"&amp;$H$3&amp;"'!Q$276"),INDIRECT("'"&amp;$H$3&amp;"'!$B$28:$B$38"),0)),0))
+(IFERROR(1-INDIRECT("'"&amp;$H$3&amp;"'!Q$291"),0))*(Q$385+Q$399)*INDIRECT("'"&amp;$H$3&amp;"'!$H$10")*(IFERROR(INDEX(INDIRECT("'"&amp;$H$3&amp;"'!$H$28:$H$38"),MATCH(INDIRECT("'"&amp;$H$3&amp;"'!Q$294"),INDIRECT("'"&amp;$H$3&amp;"'!$B$28:$B$38"),0)),0)+IFERROR(INDIRECT("'"&amp;$H$3&amp;"'!Q$295")*INDEX(INDIRECT("'"&amp;$H$3&amp;"'!$H$28:$H$38"),MATCH(INDIRECT("'"&amp;$H$3&amp;"'!Q$296"),INDIRECT("'"&amp;$H$3&amp;"'!$B$28:$B$38"),0)),0))
+(IFERROR(1-INDIRECT("'"&amp;$H$3&amp;"'!Q$311"),0))*(Q$414+Q$428)*INDIRECT("'"&amp;$H$3&amp;"'!$H$10")*(IFERROR(INDEX(INDIRECT("'"&amp;$H$3&amp;"'!$H$28:$H$38"),MATCH(INDIRECT("'"&amp;$H$3&amp;"'!Q$314"),INDIRECT("'"&amp;$H$3&amp;"'!$B$28:$B$38"),0)),0)+IFERROR(INDIRECT("'"&amp;$H$3&amp;"'!Q$315")*INDEX(INDIRECT("'"&amp;$H$3&amp;"'!$H$28:$H$38"),MATCH(INDIRECT("'"&amp;$H$3&amp;"'!Q$316"),INDIRECT("'"&amp;$H$3&amp;"'!$B$28:$B$38"),0)),0))</f>
        <v>0</v>
      </c>
      <c r="R121" s="300"/>
      <c r="S121" s="337"/>
      <c r="T121" s="300">
        <f ca="1">(IFERROR(1-INDIRECT("'"&amp;$H$3&amp;"'!T$271"),0))*(T$356+T$370)*INDIRECT("'"&amp;$H$3&amp;"'!$H$10")*(IFERROR(INDEX(INDIRECT("'"&amp;$H$3&amp;"'!$H$28:$H$38"),MATCH(INDIRECT("'"&amp;$H$3&amp;"'!T$274"),INDIRECT("'"&amp;$H$3&amp;"'!$B$28:$B$38"),0)),0)+IFERROR(INDIRECT("'"&amp;$H$3&amp;"'!T$275")*INDEX(INDIRECT("'"&amp;$H$3&amp;"'!$H$28:$H$38"),MATCH(INDIRECT("'"&amp;$H$3&amp;"'!T$276"),INDIRECT("'"&amp;$H$3&amp;"'!$B$28:$B$38"),0)),0))
+(IFERROR(1-INDIRECT("'"&amp;$H$3&amp;"'!T$291"),0))*(T$385+T$399)*INDIRECT("'"&amp;$H$3&amp;"'!$H$10")*(IFERROR(INDEX(INDIRECT("'"&amp;$H$3&amp;"'!$H$28:$H$38"),MATCH(INDIRECT("'"&amp;$H$3&amp;"'!T$294"),INDIRECT("'"&amp;$H$3&amp;"'!$B$28:$B$38"),0)),0)+IFERROR(INDIRECT("'"&amp;$H$3&amp;"'!T$295")*INDEX(INDIRECT("'"&amp;$H$3&amp;"'!$H$28:$H$38"),MATCH(INDIRECT("'"&amp;$H$3&amp;"'!T$296"),INDIRECT("'"&amp;$H$3&amp;"'!$B$28:$B$38"),0)),0))
+(IFERROR(1-INDIRECT("'"&amp;$H$3&amp;"'!T$311"),0))*(T$414+T$428)*INDIRECT("'"&amp;$H$3&amp;"'!$H$10")*(IFERROR(INDEX(INDIRECT("'"&amp;$H$3&amp;"'!$H$28:$H$38"),MATCH(INDIRECT("'"&amp;$H$3&amp;"'!T$314"),INDIRECT("'"&amp;$H$3&amp;"'!$B$28:$B$38"),0)),0)+IFERROR(INDIRECT("'"&amp;$H$3&amp;"'!T$315")*INDEX(INDIRECT("'"&amp;$H$3&amp;"'!$H$28:$H$38"),MATCH(INDIRECT("'"&amp;$H$3&amp;"'!T$316"),INDIRECT("'"&amp;$H$3&amp;"'!$B$28:$B$38"),0)),0))</f>
        <v>0</v>
      </c>
      <c r="U121" s="337"/>
      <c r="V121" s="337"/>
      <c r="W121" s="1437">
        <f ca="1">(IFERROR(1-INDIRECT("'"&amp;$H$3&amp;"'!W$271"),0))*(W$356+W$370)*INDIRECT("'"&amp;$H$3&amp;"'!$H$10")*(IFERROR(INDEX(INDIRECT("'"&amp;$H$3&amp;"'!$H$28:$H$38"),MATCH(INDIRECT("'"&amp;$H$3&amp;"'!W$274"),INDIRECT("'"&amp;$H$3&amp;"'!$B$28:$B$38"),0)),0)+IFERROR(INDIRECT("'"&amp;$H$3&amp;"'!W$275")*INDEX(INDIRECT("'"&amp;$H$3&amp;"'!$H$28:$H$38"),MATCH(INDIRECT("'"&amp;$H$3&amp;"'!W$276"),INDIRECT("'"&amp;$H$3&amp;"'!$B$28:$B$38"),0)),0))
+(IFERROR(1-INDIRECT("'"&amp;$H$3&amp;"'!W$291"),0))*(W$385+W$399)*INDIRECT("'"&amp;$H$3&amp;"'!$H$10")*(IFERROR(INDEX(INDIRECT("'"&amp;$H$3&amp;"'!$H$28:$H$38"),MATCH(INDIRECT("'"&amp;$H$3&amp;"'!W$294"),INDIRECT("'"&amp;$H$3&amp;"'!$B$28:$B$38"),0)),0)+IFERROR(INDIRECT("'"&amp;$H$3&amp;"'!W$295")*INDEX(INDIRECT("'"&amp;$H$3&amp;"'!$H$28:$H$38"),MATCH(INDIRECT("'"&amp;$H$3&amp;"'!W$296"),INDIRECT("'"&amp;$H$3&amp;"'!$B$28:$B$38"),0)),0))
+(IFERROR(1-INDIRECT("'"&amp;$H$3&amp;"'!W$311"),0))*(W$414+W$428)*INDIRECT("'"&amp;$H$3&amp;"'!$H$10")*(IFERROR(INDEX(INDIRECT("'"&amp;$H$3&amp;"'!$H$28:$H$38"),MATCH(INDIRECT("'"&amp;$H$3&amp;"'!W$314"),INDIRECT("'"&amp;$H$3&amp;"'!$B$28:$B$38"),0)),0)+IFERROR(INDIRECT("'"&amp;$H$3&amp;"'!W$315")*INDEX(INDIRECT("'"&amp;$H$3&amp;"'!$H$28:$H$38"),MATCH(INDIRECT("'"&amp;$H$3&amp;"'!W$316"),INDIRECT("'"&amp;$H$3&amp;"'!$B$28:$B$38"),0)),0))</f>
        <v>0</v>
      </c>
      <c r="Y121" s="341">
        <f t="shared" ca="1" si="12"/>
        <v>0</v>
      </c>
      <c r="AL121" s="4"/>
    </row>
    <row r="122" spans="6:38">
      <c r="F122" s="288"/>
      <c r="G122" s="288" t="s">
        <v>90</v>
      </c>
      <c r="H122" s="300">
        <f ca="1">(IFERROR(1-INDIRECT("'"&amp;$H$3&amp;"'!H$271"),0))*(H$356+H$370)*(IFERROR(INDEX(INDIRECT("'"&amp;$H$3&amp;"'!$K$28:$K$38"),MATCH(INDIRECT("'"&amp;$H$3&amp;"'!H$274"),INDIRECT("'"&amp;$H$3&amp;"'!$B$28:$B$38"),0)),0)+IFERROR(INDIRECT("'"&amp;$H$3&amp;"'!H$275")*INDEX(INDIRECT("'"&amp;$H$3&amp;"'!$K$28:$K$38"),MATCH(INDIRECT("'"&amp;$H$3&amp;"'!H$276"),INDIRECT("'"&amp;$H$3&amp;"'!$B$28:$B$38"),0)),0))
+(IFERROR(1-INDIRECT("'"&amp;$H$3&amp;"'!H$291"),0))*(H$385+H$399)*(IFERROR(INDEX(INDIRECT("'"&amp;$H$3&amp;"'!$K$28:$K$38"),MATCH(INDIRECT("'"&amp;$H$3&amp;"'!H$294"),INDIRECT("'"&amp;$H$3&amp;"'!$B$28:$B$38"),0)),0)+IFERROR(INDIRECT("'"&amp;$H$3&amp;"'!H$295")*INDEX(INDIRECT("'"&amp;$H$3&amp;"'!$K$28:$K$38"),MATCH(INDIRECT("'"&amp;$H$3&amp;"'!H$296"),INDIRECT("'"&amp;$H$3&amp;"'!$B$28:$B$38"),0)),0))
+(IFERROR(1-INDIRECT("'"&amp;$H$3&amp;"'!H$311"),0))*(H$414+H$428)*(IFERROR(INDEX(INDIRECT("'"&amp;$H$3&amp;"'!$K$28:$K$38"),MATCH(INDIRECT("'"&amp;$H$3&amp;"'!H$314"),INDIRECT("'"&amp;$H$3&amp;"'!$B$28:$B$38"),0)),0)+IFERROR(INDIRECT("'"&amp;$H$3&amp;"'!H$315")*INDEX(INDIRECT("'"&amp;$H$3&amp;"'!$K$28:$K$38"),MATCH(INDIRECT("'"&amp;$H$3&amp;"'!H$316"),INDIRECT("'"&amp;$H$3&amp;"'!$B$28:$B$38"),0)),0))</f>
        <v>0</v>
      </c>
      <c r="I122" s="300"/>
      <c r="J122" s="300"/>
      <c r="K122" s="300">
        <f ca="1">(IFERROR(1-INDIRECT("'"&amp;$H$3&amp;"'!K$271"),0))*(K$356+K$370)*(IFERROR(INDEX(INDIRECT("'"&amp;$H$3&amp;"'!$K$28:$K$38"),MATCH(INDIRECT("'"&amp;$H$3&amp;"'!K$274"),INDIRECT("'"&amp;$H$3&amp;"'!$B$28:$B$38"),0)),0)+IFERROR(INDIRECT("'"&amp;$H$3&amp;"'!K$275")*INDEX(INDIRECT("'"&amp;$H$3&amp;"'!$K$28:$K$38"),MATCH(INDIRECT("'"&amp;$H$3&amp;"'!K$276"),INDIRECT("'"&amp;$H$3&amp;"'!$B$28:$B$38"),0)),0))
+(IFERROR(1-INDIRECT("'"&amp;$H$3&amp;"'!K$291"),0))*(K$385+K$399)*(IFERROR(INDEX(INDIRECT("'"&amp;$H$3&amp;"'!$K$28:$K$38"),MATCH(INDIRECT("'"&amp;$H$3&amp;"'!K$294"),INDIRECT("'"&amp;$H$3&amp;"'!$B$28:$B$38"),0)),0)+IFERROR(INDIRECT("'"&amp;$H$3&amp;"'!K$295")*INDEX(INDIRECT("'"&amp;$H$3&amp;"'!$K$28:$K$38"),MATCH(INDIRECT("'"&amp;$H$3&amp;"'!K$296"),INDIRECT("'"&amp;$H$3&amp;"'!$B$28:$B$38"),0)),0))
+(IFERROR(1-INDIRECT("'"&amp;$H$3&amp;"'!K$311"),0))*(K$414+K$428)*(IFERROR(INDEX(INDIRECT("'"&amp;$H$3&amp;"'!$K$28:$K$38"),MATCH(INDIRECT("'"&amp;$H$3&amp;"'!K$314"),INDIRECT("'"&amp;$H$3&amp;"'!$B$28:$B$38"),0)),0)+IFERROR(INDIRECT("'"&amp;$H$3&amp;"'!K$315")*INDEX(INDIRECT("'"&amp;$H$3&amp;"'!$K$28:$K$38"),MATCH(INDIRECT("'"&amp;$H$3&amp;"'!K$316"),INDIRECT("'"&amp;$H$3&amp;"'!$B$28:$B$38"),0)),0))</f>
        <v>0</v>
      </c>
      <c r="L122" s="300"/>
      <c r="M122" s="300"/>
      <c r="N122" s="300">
        <f ca="1">(IFERROR(1-INDIRECT("'"&amp;$H$3&amp;"'!N$271"),0))*(N$356+N$370)*(IFERROR(INDEX(INDIRECT("'"&amp;$H$3&amp;"'!$K$28:$K$38"),MATCH(INDIRECT("'"&amp;$H$3&amp;"'!N$274"),INDIRECT("'"&amp;$H$3&amp;"'!$B$28:$B$38"),0)),0)+IFERROR(INDIRECT("'"&amp;$H$3&amp;"'!N$275")*INDEX(INDIRECT("'"&amp;$H$3&amp;"'!$K$28:$K$38"),MATCH(INDIRECT("'"&amp;$H$3&amp;"'!N$276"),INDIRECT("'"&amp;$H$3&amp;"'!$B$28:$B$38"),0)),0))
+(IFERROR(1-INDIRECT("'"&amp;$H$3&amp;"'!N$291"),0))*(N$385+N$399)*(IFERROR(INDEX(INDIRECT("'"&amp;$H$3&amp;"'!$K$28:$K$38"),MATCH(INDIRECT("'"&amp;$H$3&amp;"'!N$294"),INDIRECT("'"&amp;$H$3&amp;"'!$B$28:$B$38"),0)),0)+IFERROR(INDIRECT("'"&amp;$H$3&amp;"'!N$295")*INDEX(INDIRECT("'"&amp;$H$3&amp;"'!$K$28:$K$38"),MATCH(INDIRECT("'"&amp;$H$3&amp;"'!N$296"),INDIRECT("'"&amp;$H$3&amp;"'!$B$28:$B$38"),0)),0))
+(IFERROR(1-INDIRECT("'"&amp;$H$3&amp;"'!N$311"),0))*(N$414+N$428)*(IFERROR(INDEX(INDIRECT("'"&amp;$H$3&amp;"'!$K$28:$K$38"),MATCH(INDIRECT("'"&amp;$H$3&amp;"'!N$314"),INDIRECT("'"&amp;$H$3&amp;"'!$B$28:$B$38"),0)),0)+IFERROR(INDIRECT("'"&amp;$H$3&amp;"'!N$315")*INDEX(INDIRECT("'"&amp;$H$3&amp;"'!$K$28:$K$38"),MATCH(INDIRECT("'"&amp;$H$3&amp;"'!N$316"),INDIRECT("'"&amp;$H$3&amp;"'!$B$28:$B$38"),0)),0))</f>
        <v>0</v>
      </c>
      <c r="O122" s="300"/>
      <c r="P122" s="300"/>
      <c r="Q122" s="300">
        <f ca="1">(IFERROR(1-INDIRECT("'"&amp;$H$3&amp;"'!Q$271"),0))*(Q$356+Q$370)*(IFERROR(INDEX(INDIRECT("'"&amp;$H$3&amp;"'!$K$28:$K$38"),MATCH(INDIRECT("'"&amp;$H$3&amp;"'!Q$274"),INDIRECT("'"&amp;$H$3&amp;"'!$B$28:$B$38"),0)),0)+IFERROR(INDIRECT("'"&amp;$H$3&amp;"'!Q$275")*INDEX(INDIRECT("'"&amp;$H$3&amp;"'!$K$28:$K$38"),MATCH(INDIRECT("'"&amp;$H$3&amp;"'!Q$276"),INDIRECT("'"&amp;$H$3&amp;"'!$B$28:$B$38"),0)),0))
+(IFERROR(1-INDIRECT("'"&amp;$H$3&amp;"'!Q$291"),0))*(Q$385+Q$399)*(IFERROR(INDEX(INDIRECT("'"&amp;$H$3&amp;"'!$K$28:$K$38"),MATCH(INDIRECT("'"&amp;$H$3&amp;"'!Q$294"),INDIRECT("'"&amp;$H$3&amp;"'!$B$28:$B$38"),0)),0)+IFERROR(INDIRECT("'"&amp;$H$3&amp;"'!Q$295")*INDEX(INDIRECT("'"&amp;$H$3&amp;"'!$K$28:$K$38"),MATCH(INDIRECT("'"&amp;$H$3&amp;"'!Q$296"),INDIRECT("'"&amp;$H$3&amp;"'!$B$28:$B$38"),0)),0))
+(IFERROR(1-INDIRECT("'"&amp;$H$3&amp;"'!Q$311"),0))*(Q$414+Q$428)*(IFERROR(INDEX(INDIRECT("'"&amp;$H$3&amp;"'!$K$28:$K$38"),MATCH(INDIRECT("'"&amp;$H$3&amp;"'!Q$314"),INDIRECT("'"&amp;$H$3&amp;"'!$B$28:$B$38"),0)),0)+IFERROR(INDIRECT("'"&amp;$H$3&amp;"'!Q$315")*INDEX(INDIRECT("'"&amp;$H$3&amp;"'!$K$28:$K$38"),MATCH(INDIRECT("'"&amp;$H$3&amp;"'!Q$316"),INDIRECT("'"&amp;$H$3&amp;"'!$B$28:$B$38"),0)),0))</f>
        <v>0</v>
      </c>
      <c r="R122" s="300"/>
      <c r="S122" s="337"/>
      <c r="T122" s="300">
        <f ca="1">(IFERROR(1-INDIRECT("'"&amp;$H$3&amp;"'!T$271"),0))*(T$356+T$370)*(IFERROR(INDEX(INDIRECT("'"&amp;$H$3&amp;"'!$K$28:$K$38"),MATCH(INDIRECT("'"&amp;$H$3&amp;"'!T$274"),INDIRECT("'"&amp;$H$3&amp;"'!$B$28:$B$38"),0)),0)+IFERROR(INDIRECT("'"&amp;$H$3&amp;"'!T$275")*INDEX(INDIRECT("'"&amp;$H$3&amp;"'!$K$28:$K$38"),MATCH(INDIRECT("'"&amp;$H$3&amp;"'!T$276"),INDIRECT("'"&amp;$H$3&amp;"'!$B$28:$B$38"),0)),0))
+(IFERROR(1-INDIRECT("'"&amp;$H$3&amp;"'!T$291"),0))*(T$385+T$399)*(IFERROR(INDEX(INDIRECT("'"&amp;$H$3&amp;"'!$K$28:$K$38"),MATCH(INDIRECT("'"&amp;$H$3&amp;"'!T$294"),INDIRECT("'"&amp;$H$3&amp;"'!$B$28:$B$38"),0)),0)+IFERROR(INDIRECT("'"&amp;$H$3&amp;"'!T$295")*INDEX(INDIRECT("'"&amp;$H$3&amp;"'!$K$28:$K$38"),MATCH(INDIRECT("'"&amp;$H$3&amp;"'!T$296"),INDIRECT("'"&amp;$H$3&amp;"'!$B$28:$B$38"),0)),0))
+(IFERROR(1-INDIRECT("'"&amp;$H$3&amp;"'!T$311"),0))*(T$414+T$428)*(IFERROR(INDEX(INDIRECT("'"&amp;$H$3&amp;"'!$K$28:$K$38"),MATCH(INDIRECT("'"&amp;$H$3&amp;"'!T$314"),INDIRECT("'"&amp;$H$3&amp;"'!$B$28:$B$38"),0)),0)+IFERROR(INDIRECT("'"&amp;$H$3&amp;"'!T$315")*INDEX(INDIRECT("'"&amp;$H$3&amp;"'!$K$28:$K$38"),MATCH(INDIRECT("'"&amp;$H$3&amp;"'!T$316"),INDIRECT("'"&amp;$H$3&amp;"'!$B$28:$B$38"),0)),0))</f>
        <v>0</v>
      </c>
      <c r="U122" s="337"/>
      <c r="V122" s="337"/>
      <c r="W122" s="1437">
        <f ca="1">(IFERROR(1-INDIRECT("'"&amp;$H$3&amp;"'!W$271"),0))*(W$356+W$370)*(IFERROR(INDEX(INDIRECT("'"&amp;$H$3&amp;"'!$K$28:$K$38"),MATCH(INDIRECT("'"&amp;$H$3&amp;"'!W$274"),INDIRECT("'"&amp;$H$3&amp;"'!$B$28:$B$38"),0)),0)+IFERROR(INDIRECT("'"&amp;$H$3&amp;"'!W$275")*INDEX(INDIRECT("'"&amp;$H$3&amp;"'!$K$28:$K$38"),MATCH(INDIRECT("'"&amp;$H$3&amp;"'!W$276"),INDIRECT("'"&amp;$H$3&amp;"'!$B$28:$B$38"),0)),0))
+(IFERROR(1-INDIRECT("'"&amp;$H$3&amp;"'!W$291"),0))*(W$385+W$399)*(IFERROR(INDEX(INDIRECT("'"&amp;$H$3&amp;"'!$K$28:$K$38"),MATCH(INDIRECT("'"&amp;$H$3&amp;"'!W$294"),INDIRECT("'"&amp;$H$3&amp;"'!$B$28:$B$38"),0)),0)+IFERROR(INDIRECT("'"&amp;$H$3&amp;"'!W$295")*INDEX(INDIRECT("'"&amp;$H$3&amp;"'!$K$28:$K$38"),MATCH(INDIRECT("'"&amp;$H$3&amp;"'!W$296"),INDIRECT("'"&amp;$H$3&amp;"'!$B$28:$B$38"),0)),0))
+(IFERROR(1-INDIRECT("'"&amp;$H$3&amp;"'!W$311"),0))*(W$414+W$428)*(IFERROR(INDEX(INDIRECT("'"&amp;$H$3&amp;"'!$K$28:$K$38"),MATCH(INDIRECT("'"&amp;$H$3&amp;"'!W$314"),INDIRECT("'"&amp;$H$3&amp;"'!$B$28:$B$38"),0)),0)+IFERROR(INDIRECT("'"&amp;$H$3&amp;"'!W$315")*INDEX(INDIRECT("'"&amp;$H$3&amp;"'!$K$28:$K$38"),MATCH(INDIRECT("'"&amp;$H$3&amp;"'!W$316"),INDIRECT("'"&amp;$H$3&amp;"'!$B$28:$B$38"),0)),0))</f>
        <v>0</v>
      </c>
      <c r="Y122" s="341">
        <f t="shared" ca="1" si="12"/>
        <v>0</v>
      </c>
    </row>
    <row r="123" spans="6:38">
      <c r="F123" s="288"/>
      <c r="G123" s="288" t="s">
        <v>1</v>
      </c>
      <c r="H123" s="300">
        <f ca="1">INDIRECT("'"&amp;$H$3&amp;"'!$H$8")*(
(IFERROR(1-INDIRECT("'"&amp;$H$3&amp;"'!H$271"),0))*IF(INDIRECT("'"&amp;$H$3&amp;"'!H$265")='List Values'!$E$5,0,(H$369*IFERROR(1/INDEX(INDIRECT("'"&amp;$H$3&amp;"'!$H$49:$H$78"),MATCH(INDIRECT("'"&amp;$H$3&amp;"'!H$264")&amp;"Fuel Efficiency (km/liter)",INDIRECT("'"&amp;$H$3&amp;"'!$F$49:$F$78"),0)),0)))
+(IFERROR(1-INDIRECT("'"&amp;$H$3&amp;"'!H$291"),0))*IF(INDIRECT("'"&amp;$H$3&amp;"'!H$285")='List Values'!$E$5,0,(H$398*IFERROR(1/INDEX(INDIRECT("'"&amp;$H$3&amp;"'!$H$49:$H$78"),MATCH(INDIRECT("'"&amp;$H$3&amp;"'!H$284")&amp;"Fuel Efficiency (km/liter)",INDIRECT("'"&amp;$H$3&amp;"'!$F$49:$F$78"),0)),0)))
+(IFERROR(1-INDIRECT("'"&amp;$H$3&amp;"'!H$311"),0))*IF(INDIRECT("'"&amp;$H$3&amp;"'!H$305")='List Values'!$E$5,0,(H$427*IFERROR(1/INDEX(INDIRECT("'"&amp;$H$3&amp;"'!$H$49:$H$78"),MATCH(INDIRECT("'"&amp;$H$3&amp;"'!H$304")&amp;"Fuel Efficiency (km/liter)",INDIRECT("'"&amp;$H$3&amp;"'!$F$49:$F$78"),0)),0))))</f>
        <v>0</v>
      </c>
      <c r="I123" s="300"/>
      <c r="J123" s="300"/>
      <c r="K123" s="300">
        <f ca="1">INDIRECT("'"&amp;$H$3&amp;"'!$H$8")*(
(IFERROR(1-INDIRECT("'"&amp;$H$3&amp;"'!K$271"),0))*IF(INDIRECT("'"&amp;$H$3&amp;"'!K$265")='List Values'!$E$5,0,(K$369*IFERROR(1/INDEX(INDIRECT("'"&amp;$H$3&amp;"'!$H$49:$H$78"),MATCH(INDIRECT("'"&amp;$H$3&amp;"'!K$264")&amp;"Fuel Efficiency (km/liter)",INDIRECT("'"&amp;$H$3&amp;"'!$F$49:$F$78"),0)),0)))
+(IFERROR(1-INDIRECT("'"&amp;$H$3&amp;"'!K$291"),0))*IF(INDIRECT("'"&amp;$H$3&amp;"'!K$285")='List Values'!$E$5,0,(K$398*IFERROR(1/INDEX(INDIRECT("'"&amp;$H$3&amp;"'!$H$49:$H$78"),MATCH(INDIRECT("'"&amp;$H$3&amp;"'!K$284")&amp;"Fuel Efficiency (km/liter)",INDIRECT("'"&amp;$H$3&amp;"'!$F$49:$F$78"),0)),0)))
+(IFERROR(1-INDIRECT("'"&amp;$H$3&amp;"'!K$311"),0))*IF(INDIRECT("'"&amp;$H$3&amp;"'!K$305")='List Values'!$E$5,0,(K$427*IFERROR(1/INDEX(INDIRECT("'"&amp;$H$3&amp;"'!$H$49:$H$78"),MATCH(INDIRECT("'"&amp;$H$3&amp;"'!K$304")&amp;"Fuel Efficiency (km/liter)",INDIRECT("'"&amp;$H$3&amp;"'!$F$49:$F$78"),0)),0))))</f>
        <v>0</v>
      </c>
      <c r="L123" s="300"/>
      <c r="M123" s="300"/>
      <c r="N123" s="300">
        <f ca="1">INDIRECT("'"&amp;$H$3&amp;"'!$H$8")*(
(IFERROR(1-INDIRECT("'"&amp;$H$3&amp;"'!N$271"),0))*IF(INDIRECT("'"&amp;$H$3&amp;"'!N$265")='List Values'!$E$5,0,(N$369*IFERROR(1/INDEX(INDIRECT("'"&amp;$H$3&amp;"'!$H$49:$H$78"),MATCH(INDIRECT("'"&amp;$H$3&amp;"'!N$264")&amp;"Fuel Efficiency (km/liter)",INDIRECT("'"&amp;$H$3&amp;"'!$F$49:$F$78"),0)),0)))
+(IFERROR(1-INDIRECT("'"&amp;$H$3&amp;"'!N$291"),0))*IF(INDIRECT("'"&amp;$H$3&amp;"'!N$285")='List Values'!$E$5,0,(N$398*IFERROR(1/INDEX(INDIRECT("'"&amp;$H$3&amp;"'!$H$49:$H$78"),MATCH(INDIRECT("'"&amp;$H$3&amp;"'!N$284")&amp;"Fuel Efficiency (km/liter)",INDIRECT("'"&amp;$H$3&amp;"'!$F$49:$F$78"),0)),0)))
+(IFERROR(1-INDIRECT("'"&amp;$H$3&amp;"'!N$311"),0))*IF(INDIRECT("'"&amp;$H$3&amp;"'!N$305")='List Values'!$E$5,0,(N$427*IFERROR(1/INDEX(INDIRECT("'"&amp;$H$3&amp;"'!$H$49:$H$78"),MATCH(INDIRECT("'"&amp;$H$3&amp;"'!N$304")&amp;"Fuel Efficiency (km/liter)",INDIRECT("'"&amp;$H$3&amp;"'!$F$49:$F$78"),0)),0))))</f>
        <v>0</v>
      </c>
      <c r="O123" s="300"/>
      <c r="P123" s="300"/>
      <c r="Q123" s="300">
        <f ca="1">INDIRECT("'"&amp;$H$3&amp;"'!$H$8")*(
(IFERROR(1-INDIRECT("'"&amp;$H$3&amp;"'!Q$271"),0))*IF(INDIRECT("'"&amp;$H$3&amp;"'!Q$265")='List Values'!$E$5,0,(Q$369*IFERROR(1/INDEX(INDIRECT("'"&amp;$H$3&amp;"'!$H$49:$H$78"),MATCH(INDIRECT("'"&amp;$H$3&amp;"'!Q$264")&amp;"Fuel Efficiency (km/liter)",INDIRECT("'"&amp;$H$3&amp;"'!$F$49:$F$78"),0)),0)))
+(IFERROR(1-INDIRECT("'"&amp;$H$3&amp;"'!Q$291"),0))*IF(INDIRECT("'"&amp;$H$3&amp;"'!Q$285")='List Values'!$E$5,0,(Q$398*IFERROR(1/INDEX(INDIRECT("'"&amp;$H$3&amp;"'!$H$49:$H$78"),MATCH(INDIRECT("'"&amp;$H$3&amp;"'!Q$284")&amp;"Fuel Efficiency (km/liter)",INDIRECT("'"&amp;$H$3&amp;"'!$F$49:$F$78"),0)),0)))
+(IFERROR(1-INDIRECT("'"&amp;$H$3&amp;"'!Q$311"),0))*IF(INDIRECT("'"&amp;$H$3&amp;"'!Q$305")='List Values'!$E$5,0,(Q$427*IFERROR(1/INDEX(INDIRECT("'"&amp;$H$3&amp;"'!$H$49:$H$78"),MATCH(INDIRECT("'"&amp;$H$3&amp;"'!Q$304")&amp;"Fuel Efficiency (km/liter)",INDIRECT("'"&amp;$H$3&amp;"'!$F$49:$F$78"),0)),0))))</f>
        <v>0</v>
      </c>
      <c r="R123" s="300"/>
      <c r="S123" s="337"/>
      <c r="T123" s="300">
        <f ca="1">INDIRECT("'"&amp;$H$3&amp;"'!$H$8")*(
(IFERROR(1-INDIRECT("'"&amp;$H$3&amp;"'!T$271"),0))*IF(INDIRECT("'"&amp;$H$3&amp;"'!T$265")='List Values'!$E$5,0,(T$369*IFERROR(1/INDEX(INDIRECT("'"&amp;$H$3&amp;"'!$H$49:$H$78"),MATCH(INDIRECT("'"&amp;$H$3&amp;"'!T$264")&amp;"Fuel Efficiency (km/liter)",INDIRECT("'"&amp;$H$3&amp;"'!$F$49:$F$78"),0)),0)))
+(IFERROR(1-INDIRECT("'"&amp;$H$3&amp;"'!T$291"),0))*IF(INDIRECT("'"&amp;$H$3&amp;"'!T$285")='List Values'!$E$5,0,(T$398*IFERROR(1/INDEX(INDIRECT("'"&amp;$H$3&amp;"'!$H$49:$H$78"),MATCH(INDIRECT("'"&amp;$H$3&amp;"'!T$284")&amp;"Fuel Efficiency (km/liter)",INDIRECT("'"&amp;$H$3&amp;"'!$F$49:$F$78"),0)),0)))
+(IFERROR(1-INDIRECT("'"&amp;$H$3&amp;"'!T$311"),0))*IF(INDIRECT("'"&amp;$H$3&amp;"'!T$305")='List Values'!$E$5,0,(T$427*IFERROR(1/INDEX(INDIRECT("'"&amp;$H$3&amp;"'!$H$49:$H$78"),MATCH(INDIRECT("'"&amp;$H$3&amp;"'!T$304")&amp;"Fuel Efficiency (km/liter)",INDIRECT("'"&amp;$H$3&amp;"'!$F$49:$F$78"),0)),0))))</f>
        <v>0</v>
      </c>
      <c r="U123" s="337"/>
      <c r="V123" s="337"/>
      <c r="W123" s="1437">
        <f ca="1">INDIRECT("'"&amp;$H$3&amp;"'!$H$8")*(
(IFERROR(1-INDIRECT("'"&amp;$H$3&amp;"'!W$271"),0))*IF(INDIRECT("'"&amp;$H$3&amp;"'!W$265")='List Values'!$E$5,0,(W$369*IFERROR(1/INDEX(INDIRECT("'"&amp;$H$3&amp;"'!$H$49:$H$78"),MATCH(INDIRECT("'"&amp;$H$3&amp;"'!W$264")&amp;"Fuel Efficiency (km/liter)",INDIRECT("'"&amp;$H$3&amp;"'!$F$49:$F$78"),0)),0)))
+(IFERROR(1-INDIRECT("'"&amp;$H$3&amp;"'!W$291"),0))*IF(INDIRECT("'"&amp;$H$3&amp;"'!W$285")='List Values'!$E$5,0,(W$398*IFERROR(1/INDEX(INDIRECT("'"&amp;$H$3&amp;"'!$H$49:$H$78"),MATCH(INDIRECT("'"&amp;$H$3&amp;"'!W$284")&amp;"Fuel Efficiency (km/liter)",INDIRECT("'"&amp;$H$3&amp;"'!$F$49:$F$78"),0)),0)))
+(IFERROR(1-INDIRECT("'"&amp;$H$3&amp;"'!W$311"),0))*IF(INDIRECT("'"&amp;$H$3&amp;"'!W$305")='List Values'!$E$5,0,(W$427*IFERROR(1/INDEX(INDIRECT("'"&amp;$H$3&amp;"'!$H$49:$H$78"),MATCH(INDIRECT("'"&amp;$H$3&amp;"'!W$304")&amp;"Fuel Efficiency (km/liter)",INDIRECT("'"&amp;$H$3&amp;"'!$F$49:$F$78"),0)),0))))</f>
        <v>0</v>
      </c>
      <c r="Y123" s="341">
        <f t="shared" ca="1" si="12"/>
        <v>0</v>
      </c>
    </row>
    <row r="124" spans="6:38">
      <c r="F124" s="288"/>
      <c r="G124" s="288" t="s">
        <v>91</v>
      </c>
      <c r="H124" s="300">
        <f ca="1">IFERROR((1-INDIRECT("'"&amp;$H$3&amp;"'!H$270"))*IF(AND(INDIRECT("'"&amp;$H$3&amp;"'!H$269")="No",INDIRECT("'"&amp;$H$3&amp;"'!H$265")='List Values'!$E$3),INDEX(INDIRECT("'"&amp;$H$3&amp;"'!$H$49:$H$78"),MATCH(INDIRECT("'"&amp;$H$3&amp;"'!H$264")&amp;"Insurance cost /yr ($)",INDIRECT("'"&amp;$H$3&amp;"'!$F$49:$F$78"),0))*INDIRECT("'"&amp;$H$3&amp;"'!H$268"),0),0)
+IFERROR((1-INDIRECT("'"&amp;$H$3&amp;"'!H$290"))*IF(AND(INDIRECT("'"&amp;$H$3&amp;"'!H$289")="No",INDIRECT("'"&amp;$H$3&amp;"'!H$285")='List Values'!$E$3),INDEX(INDIRECT("'"&amp;$H$3&amp;"'!$H$49:$H$78"),MATCH(INDIRECT("'"&amp;$H$3&amp;"'!H$284")&amp;"Insurance cost /yr ($)",INDIRECT("'"&amp;$H$3&amp;"'!$F$49:$F$78"),0))*INDIRECT("'"&amp;$H$3&amp;"'!H$288"),0),0)
+IFERROR((1-INDIRECT("'"&amp;$H$3&amp;"'!H$310"))*IF(AND(INDIRECT("'"&amp;$H$3&amp;"'!H$309")="No",INDIRECT("'"&amp;$H$3&amp;"'!H$305")='List Values'!$E$3),INDEX(INDIRECT("'"&amp;$H$3&amp;"'!$H$49:$H$78"),MATCH(INDIRECT("'"&amp;$H$3&amp;"'!H$304")&amp;"Insurance cost /yr ($)",INDIRECT("'"&amp;$H$3&amp;"'!$F$49:$F$78"),0))*INDIRECT("'"&amp;$H$3&amp;"'!H$308"),0),0)</f>
        <v>0</v>
      </c>
      <c r="I124" s="300"/>
      <c r="J124" s="300"/>
      <c r="K124" s="300">
        <f ca="1">IFERROR((1-INDIRECT("'"&amp;$H$3&amp;"'!K$270"))*IF(AND(INDIRECT("'"&amp;$H$3&amp;"'!K$269")="No",INDIRECT("'"&amp;$H$3&amp;"'!K$265")='List Values'!$E$3),INDEX(INDIRECT("'"&amp;$H$3&amp;"'!$H$49:$H$78"),MATCH(INDIRECT("'"&amp;$H$3&amp;"'!K$264")&amp;"Insurance cost /yr ($)",INDIRECT("'"&amp;$H$3&amp;"'!$F$49:$F$78"),0))*INDIRECT("'"&amp;$H$3&amp;"'!K$268"),0),0)
+IFERROR((1-INDIRECT("'"&amp;$H$3&amp;"'!K$290"))*IF(AND(INDIRECT("'"&amp;$H$3&amp;"'!K$289")="No",INDIRECT("'"&amp;$H$3&amp;"'!K$285")='List Values'!$E$3),INDEX(INDIRECT("'"&amp;$H$3&amp;"'!$H$49:$H$78"),MATCH(INDIRECT("'"&amp;$H$3&amp;"'!K$284")&amp;"Insurance cost /yr ($)",INDIRECT("'"&amp;$H$3&amp;"'!$F$49:$F$78"),0))*INDIRECT("'"&amp;$H$3&amp;"'!K$288"),0),0)
+IFERROR((1-INDIRECT("'"&amp;$H$3&amp;"'!K$310"))*IF(AND(INDIRECT("'"&amp;$H$3&amp;"'!K$309")="No",INDIRECT("'"&amp;$H$3&amp;"'!K$305")='List Values'!$E$3),INDEX(INDIRECT("'"&amp;$H$3&amp;"'!$H$49:$H$78"),MATCH(INDIRECT("'"&amp;$H$3&amp;"'!K$304")&amp;"Insurance cost /yr ($)",INDIRECT("'"&amp;$H$3&amp;"'!$F$49:$F$78"),0))*INDIRECT("'"&amp;$H$3&amp;"'!K$308"),0),0)</f>
        <v>0</v>
      </c>
      <c r="L124" s="300"/>
      <c r="M124" s="300"/>
      <c r="N124" s="300">
        <f ca="1">IFERROR((1-INDIRECT("'"&amp;$H$3&amp;"'!N$270"))*IF(AND(INDIRECT("'"&amp;$H$3&amp;"'!N$269")="No",INDIRECT("'"&amp;$H$3&amp;"'!N$265")='List Values'!$E$3),INDEX(INDIRECT("'"&amp;$H$3&amp;"'!$H$49:$H$78"),MATCH(INDIRECT("'"&amp;$H$3&amp;"'!N$264")&amp;"Insurance cost /yr ($)",INDIRECT("'"&amp;$H$3&amp;"'!$F$49:$F$78"),0))*INDIRECT("'"&amp;$H$3&amp;"'!N$268"),0),0)
+IFERROR((1-INDIRECT("'"&amp;$H$3&amp;"'!N$290"))*IF(AND(INDIRECT("'"&amp;$H$3&amp;"'!N$289")="No",INDIRECT("'"&amp;$H$3&amp;"'!N$285")='List Values'!$E$3),INDEX(INDIRECT("'"&amp;$H$3&amp;"'!$H$49:$H$78"),MATCH(INDIRECT("'"&amp;$H$3&amp;"'!N$284")&amp;"Insurance cost /yr ($)",INDIRECT("'"&amp;$H$3&amp;"'!$F$49:$F$78"),0))*INDIRECT("'"&amp;$H$3&amp;"'!N$288"),0),0)
+IFERROR((1-INDIRECT("'"&amp;$H$3&amp;"'!N$310"))*IF(AND(INDIRECT("'"&amp;$H$3&amp;"'!N$309")="No",INDIRECT("'"&amp;$H$3&amp;"'!N$305")='List Values'!$E$3),INDEX(INDIRECT("'"&amp;$H$3&amp;"'!$H$49:$H$78"),MATCH(INDIRECT("'"&amp;$H$3&amp;"'!N$304")&amp;"Insurance cost /yr ($)",INDIRECT("'"&amp;$H$3&amp;"'!$F$49:$F$78"),0))*INDIRECT("'"&amp;$H$3&amp;"'!N$308"),0),0)</f>
        <v>0</v>
      </c>
      <c r="O124" s="300"/>
      <c r="P124" s="300"/>
      <c r="Q124" s="300">
        <f ca="1">IFERROR((1-INDIRECT("'"&amp;$H$3&amp;"'!Q$270"))*IF(AND(INDIRECT("'"&amp;$H$3&amp;"'!Q$269")="No",INDIRECT("'"&amp;$H$3&amp;"'!Q$265")='List Values'!$E$3),INDEX(INDIRECT("'"&amp;$H$3&amp;"'!$H$49:$H$78"),MATCH(INDIRECT("'"&amp;$H$3&amp;"'!Q$264")&amp;"Insurance cost /yr ($)",INDIRECT("'"&amp;$H$3&amp;"'!$F$49:$F$78"),0))*INDIRECT("'"&amp;$H$3&amp;"'!Q$268"),0),0)
+IFERROR((1-INDIRECT("'"&amp;$H$3&amp;"'!Q$290"))*IF(AND(INDIRECT("'"&amp;$H$3&amp;"'!Q$289")="No",INDIRECT("'"&amp;$H$3&amp;"'!Q$285")='List Values'!$E$3),INDEX(INDIRECT("'"&amp;$H$3&amp;"'!$H$49:$H$78"),MATCH(INDIRECT("'"&amp;$H$3&amp;"'!Q$284")&amp;"Insurance cost /yr ($)",INDIRECT("'"&amp;$H$3&amp;"'!$F$49:$F$78"),0))*INDIRECT("'"&amp;$H$3&amp;"'!Q$288"),0),0)
+IFERROR((1-INDIRECT("'"&amp;$H$3&amp;"'!Q$310"))*IF(AND(INDIRECT("'"&amp;$H$3&amp;"'!Q$309")="No",INDIRECT("'"&amp;$H$3&amp;"'!Q$305")='List Values'!$E$3),INDEX(INDIRECT("'"&amp;$H$3&amp;"'!$H$49:$H$78"),MATCH(INDIRECT("'"&amp;$H$3&amp;"'!Q$304")&amp;"Insurance cost /yr ($)",INDIRECT("'"&amp;$H$3&amp;"'!$F$49:$F$78"),0))*INDIRECT("'"&amp;$H$3&amp;"'!Q$308"),0),0)</f>
        <v>0</v>
      </c>
      <c r="R124" s="300"/>
      <c r="S124" s="337"/>
      <c r="T124" s="300">
        <f ca="1">IFERROR((1-INDIRECT("'"&amp;$H$3&amp;"'!T$270"))*IF(AND(INDIRECT("'"&amp;$H$3&amp;"'!T$269")="No",INDIRECT("'"&amp;$H$3&amp;"'!T$265")='List Values'!$E$3),INDEX(INDIRECT("'"&amp;$H$3&amp;"'!$H$49:$H$78"),MATCH(INDIRECT("'"&amp;$H$3&amp;"'!T$264")&amp;"Insurance cost /yr ($)",INDIRECT("'"&amp;$H$3&amp;"'!$F$49:$F$78"),0))*INDIRECT("'"&amp;$H$3&amp;"'!T$268"),0),0)
+IFERROR((1-INDIRECT("'"&amp;$H$3&amp;"'!T$290"))*IF(AND(INDIRECT("'"&amp;$H$3&amp;"'!T$289")="No",INDIRECT("'"&amp;$H$3&amp;"'!T$285")='List Values'!$E$3),INDEX(INDIRECT("'"&amp;$H$3&amp;"'!$H$49:$H$78"),MATCH(INDIRECT("'"&amp;$H$3&amp;"'!T$284")&amp;"Insurance cost /yr ($)",INDIRECT("'"&amp;$H$3&amp;"'!$F$49:$F$78"),0))*INDIRECT("'"&amp;$H$3&amp;"'!T$288"),0),0)
+IFERROR((1-INDIRECT("'"&amp;$H$3&amp;"'!T$310"))*IF(AND(INDIRECT("'"&amp;$H$3&amp;"'!T$309")="No",INDIRECT("'"&amp;$H$3&amp;"'!T$305")='List Values'!$E$3),INDEX(INDIRECT("'"&amp;$H$3&amp;"'!$H$49:$H$78"),MATCH(INDIRECT("'"&amp;$H$3&amp;"'!T$304")&amp;"Insurance cost /yr ($)",INDIRECT("'"&amp;$H$3&amp;"'!$F$49:$F$78"),0))*INDIRECT("'"&amp;$H$3&amp;"'!T$308"),0),0)</f>
        <v>0</v>
      </c>
      <c r="U124" s="337"/>
      <c r="V124" s="337"/>
      <c r="W124" s="1437">
        <f ca="1">IFERROR((1-INDIRECT("'"&amp;$H$3&amp;"'!W$270"))*IF(AND(INDIRECT("'"&amp;$H$3&amp;"'!W$269")="No",INDIRECT("'"&amp;$H$3&amp;"'!W$265")='List Values'!$E$3),INDEX(INDIRECT("'"&amp;$H$3&amp;"'!$H$49:$H$78"),MATCH(INDIRECT("'"&amp;$H$3&amp;"'!W$264")&amp;"Insurance cost /yr ($)",INDIRECT("'"&amp;$H$3&amp;"'!$F$49:$F$78"),0))*INDIRECT("'"&amp;$H$3&amp;"'!W$268"),0),0)
+IFERROR((1-INDIRECT("'"&amp;$H$3&amp;"'!W$290"))*IF(AND(INDIRECT("'"&amp;$H$3&amp;"'!W$289")="No",INDIRECT("'"&amp;$H$3&amp;"'!W$285")='List Values'!$E$3),INDEX(INDIRECT("'"&amp;$H$3&amp;"'!$H$49:$H$78"),MATCH(INDIRECT("'"&amp;$H$3&amp;"'!W$284")&amp;"Insurance cost /yr ($)",INDIRECT("'"&amp;$H$3&amp;"'!$F$49:$F$78"),0))*INDIRECT("'"&amp;$H$3&amp;"'!W$288"),0),0)
+IFERROR((1-INDIRECT("'"&amp;$H$3&amp;"'!W$310"))*IF(AND(INDIRECT("'"&amp;$H$3&amp;"'!W$309")="No",INDIRECT("'"&amp;$H$3&amp;"'!W$305")='List Values'!$E$3),INDEX(INDIRECT("'"&amp;$H$3&amp;"'!$H$49:$H$78"),MATCH(INDIRECT("'"&amp;$H$3&amp;"'!W$304")&amp;"Insurance cost /yr ($)",INDIRECT("'"&amp;$H$3&amp;"'!$F$49:$F$78"),0))*INDIRECT("'"&amp;$H$3&amp;"'!W$308"),0),0)</f>
        <v>0</v>
      </c>
      <c r="Y124" s="341">
        <f t="shared" ca="1" si="12"/>
        <v>0</v>
      </c>
      <c r="Z124" s="7"/>
      <c r="AA124" s="7"/>
    </row>
    <row r="125" spans="6:38">
      <c r="F125" s="288"/>
      <c r="G125" s="288" t="s">
        <v>92</v>
      </c>
      <c r="H125" s="300">
        <f ca="1">IFERROR((1-INDIRECT("'"&amp;$H$3&amp;"'!H$271"))*IF(INDIRECT("'"&amp;$H$3&amp;"'!H$265")='List Values'!$E$3,H$369*INDEX(INDIRECT("'"&amp;$H$3&amp;"'!$H$49:$H$78"),MATCH(INDIRECT("'"&amp;$H$3&amp;"'!H$264")&amp;"Maintenance cost/km ($)",INDIRECT("'"&amp;$H$3&amp;"'!$F$49:$F$78"),0)),0),0)
+ IFERROR((1-INDIRECT("'"&amp;$H$3&amp;"'!H$291"))*IF(INDIRECT("'"&amp;$H$3&amp;"'!H$285")='List Values'!$E$3,H$398*INDEX(INDIRECT("'"&amp;$H$3&amp;"'!$H$49:$H$78"),MATCH(INDIRECT("'"&amp;$H$3&amp;"'!H$284")&amp;"Maintenance cost/km ($)",INDIRECT("'"&amp;$H$3&amp;"'!$F$49:$F$78"),0)),0),0)
+ IFERROR((1-INDIRECT("'"&amp;$H$3&amp;"'!H$311"))*IF(INDIRECT("'"&amp;$H$3&amp;"'!H$305")='List Values'!$E$3,H$427*INDEX(INDIRECT("'"&amp;$H$3&amp;"'!$H$49:$H$78"),MATCH(INDIRECT("'"&amp;$H$3&amp;"'!H$304")&amp;"Maintenance cost/km ($)",INDIRECT("'"&amp;$H$3&amp;"'!$F$49:$F$78"),0)),0),0)</f>
        <v>0</v>
      </c>
      <c r="I125" s="300"/>
      <c r="J125" s="300"/>
      <c r="K125" s="300">
        <f ca="1">IFERROR((1-INDIRECT("'"&amp;$H$3&amp;"'!K$271"))*IF(INDIRECT("'"&amp;$H$3&amp;"'!K$265")='List Values'!$E$3,K$369*INDEX(INDIRECT("'"&amp;$H$3&amp;"'!$H$49:$H$78"),MATCH(INDIRECT("'"&amp;$H$3&amp;"'!K$264")&amp;"Maintenance cost/km ($)",INDIRECT("'"&amp;$H$3&amp;"'!$F$49:$F$78"),0)),0),0)
+ IFERROR((1-INDIRECT("'"&amp;$H$3&amp;"'!K$291"))*IF(INDIRECT("'"&amp;$H$3&amp;"'!K$285")='List Values'!$E$3,K$398*INDEX(INDIRECT("'"&amp;$H$3&amp;"'!$H$49:$H$78"),MATCH(INDIRECT("'"&amp;$H$3&amp;"'!K$284")&amp;"Maintenance cost/km ($)",INDIRECT("'"&amp;$H$3&amp;"'!$F$49:$F$78"),0)),0),0)
+ IFERROR((1-INDIRECT("'"&amp;$H$3&amp;"'!K$311"))*IF(INDIRECT("'"&amp;$H$3&amp;"'!K$305")='List Values'!$E$3,K$427*INDEX(INDIRECT("'"&amp;$H$3&amp;"'!$H$49:$H$78"),MATCH(INDIRECT("'"&amp;$H$3&amp;"'!K$304")&amp;"Maintenance cost/km ($)",INDIRECT("'"&amp;$H$3&amp;"'!$F$49:$F$78"),0)),0),0)</f>
        <v>0</v>
      </c>
      <c r="L125" s="300"/>
      <c r="M125" s="300"/>
      <c r="N125" s="300">
        <f ca="1">IFERROR((1-INDIRECT("'"&amp;$H$3&amp;"'!N$271"))*IF(INDIRECT("'"&amp;$H$3&amp;"'!N$265")='List Values'!$E$3,N$369*INDEX(INDIRECT("'"&amp;$H$3&amp;"'!$H$49:$H$78"),MATCH(INDIRECT("'"&amp;$H$3&amp;"'!N$264")&amp;"Maintenance cost/km ($)",INDIRECT("'"&amp;$H$3&amp;"'!$F$49:$F$78"),0)),0),0)
+ IFERROR((1-INDIRECT("'"&amp;$H$3&amp;"'!N$291"))*IF(INDIRECT("'"&amp;$H$3&amp;"'!N$285")='List Values'!$E$3,N$398*INDEX(INDIRECT("'"&amp;$H$3&amp;"'!$H$49:$H$78"),MATCH(INDIRECT("'"&amp;$H$3&amp;"'!N$284")&amp;"Maintenance cost/km ($)",INDIRECT("'"&amp;$H$3&amp;"'!$F$49:$F$78"),0)),0),0)
+ IFERROR((1-INDIRECT("'"&amp;$H$3&amp;"'!N$311"))*IF(INDIRECT("'"&amp;$H$3&amp;"'!N$305")='List Values'!$E$3,N$427*INDEX(INDIRECT("'"&amp;$H$3&amp;"'!$H$49:$H$78"),MATCH(INDIRECT("'"&amp;$H$3&amp;"'!N$304")&amp;"Maintenance cost/km ($)",INDIRECT("'"&amp;$H$3&amp;"'!$F$49:$F$78"),0)),0),0)</f>
        <v>0</v>
      </c>
      <c r="O125" s="300"/>
      <c r="P125" s="300"/>
      <c r="Q125" s="300">
        <f ca="1">IFERROR((1-INDIRECT("'"&amp;$H$3&amp;"'!Q$271"))*IF(INDIRECT("'"&amp;$H$3&amp;"'!Q$265")='List Values'!$E$3,Q$369*INDEX(INDIRECT("'"&amp;$H$3&amp;"'!$H$49:$H$78"),MATCH(INDIRECT("'"&amp;$H$3&amp;"'!Q$264")&amp;"Maintenance cost/km ($)",INDIRECT("'"&amp;$H$3&amp;"'!$F$49:$F$78"),0)),0),0)
+ IFERROR((1-INDIRECT("'"&amp;$H$3&amp;"'!Q$291"))*IF(INDIRECT("'"&amp;$H$3&amp;"'!Q$285")='List Values'!$E$3,Q$398*INDEX(INDIRECT("'"&amp;$H$3&amp;"'!$H$49:$H$78"),MATCH(INDIRECT("'"&amp;$H$3&amp;"'!Q$284")&amp;"Maintenance cost/km ($)",INDIRECT("'"&amp;$H$3&amp;"'!$F$49:$F$78"),0)),0),0)
+ IFERROR((1-INDIRECT("'"&amp;$H$3&amp;"'!Q$311"))*IF(INDIRECT("'"&amp;$H$3&amp;"'!Q$305")='List Values'!$E$3,Q$427*INDEX(INDIRECT("'"&amp;$H$3&amp;"'!$H$49:$H$78"),MATCH(INDIRECT("'"&amp;$H$3&amp;"'!Q$304")&amp;"Maintenance cost/km ($)",INDIRECT("'"&amp;$H$3&amp;"'!$F$49:$F$78"),0)),0),0)</f>
        <v>0</v>
      </c>
      <c r="R125" s="300"/>
      <c r="S125" s="337"/>
      <c r="T125" s="300">
        <f ca="1">IFERROR((1-INDIRECT("'"&amp;$H$3&amp;"'!T$271"))*IF(INDIRECT("'"&amp;$H$3&amp;"'!T$265")='List Values'!$E$3,T$369*INDEX(INDIRECT("'"&amp;$H$3&amp;"'!$H$49:$H$78"),MATCH(INDIRECT("'"&amp;$H$3&amp;"'!T$264")&amp;"Maintenance cost/km ($)",INDIRECT("'"&amp;$H$3&amp;"'!$F$49:$F$78"),0)),0),0)
+ IFERROR((1-INDIRECT("'"&amp;$H$3&amp;"'!T$291"))*IF(INDIRECT("'"&amp;$H$3&amp;"'!T$285")='List Values'!$E$3,T$398*INDEX(INDIRECT("'"&amp;$H$3&amp;"'!$H$49:$H$78"),MATCH(INDIRECT("'"&amp;$H$3&amp;"'!T$284")&amp;"Maintenance cost/km ($)",INDIRECT("'"&amp;$H$3&amp;"'!$F$49:$F$78"),0)),0),0)
+ IFERROR((1-INDIRECT("'"&amp;$H$3&amp;"'!T$311"))*IF(INDIRECT("'"&amp;$H$3&amp;"'!T$305")='List Values'!$E$3,T$427*INDEX(INDIRECT("'"&amp;$H$3&amp;"'!$H$49:$H$78"),MATCH(INDIRECT("'"&amp;$H$3&amp;"'!T$304")&amp;"Maintenance cost/km ($)",INDIRECT("'"&amp;$H$3&amp;"'!$F$49:$F$78"),0)),0),0)</f>
        <v>0</v>
      </c>
      <c r="U125" s="337"/>
      <c r="V125" s="337"/>
      <c r="W125" s="1437">
        <f ca="1">IFERROR((1-INDIRECT("'"&amp;$H$3&amp;"'!W$271"))*IF(INDIRECT("'"&amp;$H$3&amp;"'!W$265")='List Values'!$E$3,W$369*INDEX(INDIRECT("'"&amp;$H$3&amp;"'!$H$49:$H$78"),MATCH(INDIRECT("'"&amp;$H$3&amp;"'!W$264")&amp;"Maintenance cost/km ($)",INDIRECT("'"&amp;$H$3&amp;"'!$F$49:$F$78"),0)),0),0)
+ IFERROR((1-INDIRECT("'"&amp;$H$3&amp;"'!W$291"))*IF(INDIRECT("'"&amp;$H$3&amp;"'!W$285")='List Values'!$E$3,W$398*INDEX(INDIRECT("'"&amp;$H$3&amp;"'!$H$49:$H$78"),MATCH(INDIRECT("'"&amp;$H$3&amp;"'!W$284")&amp;"Maintenance cost/km ($)",INDIRECT("'"&amp;$H$3&amp;"'!$F$49:$F$78"),0)),0),0)
+ IFERROR((1-INDIRECT("'"&amp;$H$3&amp;"'!W$311"))*IF(INDIRECT("'"&amp;$H$3&amp;"'!W$305")='List Values'!$E$3,W$427*INDEX(INDIRECT("'"&amp;$H$3&amp;"'!$H$49:$H$78"),MATCH(INDIRECT("'"&amp;$H$3&amp;"'!W$304")&amp;"Maintenance cost/km ($)",INDIRECT("'"&amp;$H$3&amp;"'!$F$49:$F$78"),0)),0),0)</f>
        <v>0</v>
      </c>
      <c r="Y125" s="341">
        <f t="shared" ca="1" si="12"/>
        <v>0</v>
      </c>
      <c r="Z125" s="7"/>
      <c r="AA125" s="7"/>
    </row>
    <row r="126" spans="6:38">
      <c r="F126" s="288"/>
      <c r="G126" s="288" t="s">
        <v>93</v>
      </c>
      <c r="H126" s="300">
        <f ca="1">IFERROR((1-INDIRECT("'"&amp;$H$3&amp;"'!H$270"))*IF(AND(INDIRECT("'"&amp;$H$3&amp;"'!H$269")="No",INDIRECT("'"&amp;$H$3&amp;"'!H$265")='List Values'!$E$3),INDEX(INDIRECT("'"&amp;$H$3&amp;"'!$H$49:$H$78"),MATCH(INDIRECT("'"&amp;$H$3&amp;"'!H$264")&amp;"Depreciation cost / yr ($)",INDIRECT("'"&amp;$H$3&amp;"'!$F$49:$F$78"),0))*INDIRECT("'"&amp;$H$3&amp;"'!H$268"),0),0)
+IFERROR((1-INDIRECT("'"&amp;$H$3&amp;"'!H$290"))*IF(AND(INDIRECT("'"&amp;$H$3&amp;"'!H$289")="No",INDIRECT("'"&amp;$H$3&amp;"'!H$285")='List Values'!$E$3),INDEX(INDIRECT("'"&amp;$H$3&amp;"'!$H$49:$H$78"),MATCH(INDIRECT("'"&amp;$H$3&amp;"'!H$284")&amp;"Depreciation cost / yr ($)",INDIRECT("'"&amp;$H$3&amp;"'!$F$49:$F$78"),0))*INDIRECT("'"&amp;$H$3&amp;"'!H$288"),0),0)
+IFERROR((1-INDIRECT("'"&amp;$H$3&amp;"'!H$310"))*IF(AND(INDIRECT("'"&amp;$H$3&amp;"'!H$309")="No",INDIRECT("'"&amp;$H$3&amp;"'!H$305")='List Values'!$E$3),INDEX(INDIRECT("'"&amp;$H$3&amp;"'!$H$49:$H$78"),MATCH(INDIRECT("'"&amp;$H$3&amp;"'!H$304")&amp;"Depreciation cost / yr ($)",INDIRECT("'"&amp;$H$3&amp;"'!$F$49:$F$78"),0))*INDIRECT("'"&amp;$H$3&amp;"'!H$308"),0),0)</f>
        <v>0</v>
      </c>
      <c r="I126" s="300"/>
      <c r="J126" s="300"/>
      <c r="K126" s="300">
        <f ca="1">IFERROR((1-INDIRECT("'"&amp;$H$3&amp;"'!K$270"))*IF(AND(INDIRECT("'"&amp;$H$3&amp;"'!K$269")="No",INDIRECT("'"&amp;$H$3&amp;"'!K$265")='List Values'!$E$3),INDEX(INDIRECT("'"&amp;$H$3&amp;"'!$H$49:$H$78"),MATCH(INDIRECT("'"&amp;$H$3&amp;"'!K$264")&amp;"Depreciation cost / yr ($)",INDIRECT("'"&amp;$H$3&amp;"'!$F$49:$F$78"),0))*INDIRECT("'"&amp;$H$3&amp;"'!K$268"),0),0)
+IFERROR((1-INDIRECT("'"&amp;$H$3&amp;"'!K$290"))*IF(AND(INDIRECT("'"&amp;$H$3&amp;"'!K$289")="No",INDIRECT("'"&amp;$H$3&amp;"'!K$285")='List Values'!$E$3),INDEX(INDIRECT("'"&amp;$H$3&amp;"'!$H$49:$H$78"),MATCH(INDIRECT("'"&amp;$H$3&amp;"'!K$284")&amp;"Depreciation cost / yr ($)",INDIRECT("'"&amp;$H$3&amp;"'!$F$49:$F$78"),0))*INDIRECT("'"&amp;$H$3&amp;"'!K$288"),0),0)
+IFERROR((1-INDIRECT("'"&amp;$H$3&amp;"'!K$310"))*IF(AND(INDIRECT("'"&amp;$H$3&amp;"'!K$309")="No",INDIRECT("'"&amp;$H$3&amp;"'!K$305")='List Values'!$E$3),INDEX(INDIRECT("'"&amp;$H$3&amp;"'!$H$49:$H$78"),MATCH(INDIRECT("'"&amp;$H$3&amp;"'!K$304")&amp;"Depreciation cost / yr ($)",INDIRECT("'"&amp;$H$3&amp;"'!$F$49:$F$78"),0))*INDIRECT("'"&amp;$H$3&amp;"'!K$308"),0),0)</f>
        <v>0</v>
      </c>
      <c r="L126" s="300"/>
      <c r="M126" s="300"/>
      <c r="N126" s="300">
        <f ca="1">IFERROR((1-INDIRECT("'"&amp;$H$3&amp;"'!N$270"))*IF(AND(INDIRECT("'"&amp;$H$3&amp;"'!N$269")="No",INDIRECT("'"&amp;$H$3&amp;"'!N$265")='List Values'!$E$3),INDEX(INDIRECT("'"&amp;$H$3&amp;"'!$H$49:$H$78"),MATCH(INDIRECT("'"&amp;$H$3&amp;"'!N$264")&amp;"Depreciation cost / yr ($)",INDIRECT("'"&amp;$H$3&amp;"'!$F$49:$F$78"),0))*INDIRECT("'"&amp;$H$3&amp;"'!N$268"),0),0)
+IFERROR((1-INDIRECT("'"&amp;$H$3&amp;"'!N$290"))*IF(AND(INDIRECT("'"&amp;$H$3&amp;"'!N$289")="No",INDIRECT("'"&amp;$H$3&amp;"'!N$285")='List Values'!$E$3),INDEX(INDIRECT("'"&amp;$H$3&amp;"'!$H$49:$H$78"),MATCH(INDIRECT("'"&amp;$H$3&amp;"'!N$284")&amp;"Depreciation cost / yr ($)",INDIRECT("'"&amp;$H$3&amp;"'!$F$49:$F$78"),0))*INDIRECT("'"&amp;$H$3&amp;"'!N$288"),0),0)
+IFERROR((1-INDIRECT("'"&amp;$H$3&amp;"'!N$310"))*IF(AND(INDIRECT("'"&amp;$H$3&amp;"'!N$309")="No",INDIRECT("'"&amp;$H$3&amp;"'!N$305")='List Values'!$E$3),INDEX(INDIRECT("'"&amp;$H$3&amp;"'!$H$49:$H$78"),MATCH(INDIRECT("'"&amp;$H$3&amp;"'!N$304")&amp;"Depreciation cost / yr ($)",INDIRECT("'"&amp;$H$3&amp;"'!$F$49:$F$78"),0))*INDIRECT("'"&amp;$H$3&amp;"'!N$308"),0),0)</f>
        <v>0</v>
      </c>
      <c r="O126" s="300"/>
      <c r="P126" s="300"/>
      <c r="Q126" s="300">
        <f ca="1">IFERROR((1-INDIRECT("'"&amp;$H$3&amp;"'!Q$270"))*IF(AND(INDIRECT("'"&amp;$H$3&amp;"'!Q$269")="No",INDIRECT("'"&amp;$H$3&amp;"'!Q$265")='List Values'!$E$3),INDEX(INDIRECT("'"&amp;$H$3&amp;"'!$H$49:$H$78"),MATCH(INDIRECT("'"&amp;$H$3&amp;"'!Q$264")&amp;"Depreciation cost / yr ($)",INDIRECT("'"&amp;$H$3&amp;"'!$F$49:$F$78"),0))*INDIRECT("'"&amp;$H$3&amp;"'!Q$268"),0),0)
+IFERROR((1-INDIRECT("'"&amp;$H$3&amp;"'!Q$290"))*IF(AND(INDIRECT("'"&amp;$H$3&amp;"'!Q$289")="No",INDIRECT("'"&amp;$H$3&amp;"'!Q$285")='List Values'!$E$3),INDEX(INDIRECT("'"&amp;$H$3&amp;"'!$H$49:$H$78"),MATCH(INDIRECT("'"&amp;$H$3&amp;"'!Q$284")&amp;"Depreciation cost / yr ($)",INDIRECT("'"&amp;$H$3&amp;"'!$F$49:$F$78"),0))*INDIRECT("'"&amp;$H$3&amp;"'!Q$288"),0),0)
+IFERROR((1-INDIRECT("'"&amp;$H$3&amp;"'!Q$310"))*IF(AND(INDIRECT("'"&amp;$H$3&amp;"'!Q$309")="No",INDIRECT("'"&amp;$H$3&amp;"'!Q$305")='List Values'!$E$3),INDEX(INDIRECT("'"&amp;$H$3&amp;"'!$H$49:$H$78"),MATCH(INDIRECT("'"&amp;$H$3&amp;"'!Q$304")&amp;"Depreciation cost / yr ($)",INDIRECT("'"&amp;$H$3&amp;"'!$F$49:$F$78"),0))*INDIRECT("'"&amp;$H$3&amp;"'!Q$308"),0),0)</f>
        <v>0</v>
      </c>
      <c r="R126" s="300"/>
      <c r="S126" s="337"/>
      <c r="T126" s="300">
        <f ca="1">IFERROR((1-INDIRECT("'"&amp;$H$3&amp;"'!T$270"))*IF(AND(INDIRECT("'"&amp;$H$3&amp;"'!T$269")="No",INDIRECT("'"&amp;$H$3&amp;"'!T$265")='List Values'!$E$3),INDEX(INDIRECT("'"&amp;$H$3&amp;"'!$H$49:$H$78"),MATCH(INDIRECT("'"&amp;$H$3&amp;"'!T$264")&amp;"Depreciation cost / yr ($)",INDIRECT("'"&amp;$H$3&amp;"'!$F$49:$F$78"),0))*INDIRECT("'"&amp;$H$3&amp;"'!T$268"),0),0)
+IFERROR((1-INDIRECT("'"&amp;$H$3&amp;"'!T$290"))*IF(AND(INDIRECT("'"&amp;$H$3&amp;"'!T$289")="No",INDIRECT("'"&amp;$H$3&amp;"'!T$285")='List Values'!$E$3),INDEX(INDIRECT("'"&amp;$H$3&amp;"'!$H$49:$H$78"),MATCH(INDIRECT("'"&amp;$H$3&amp;"'!T$284")&amp;"Depreciation cost / yr ($)",INDIRECT("'"&amp;$H$3&amp;"'!$F$49:$F$78"),0))*INDIRECT("'"&amp;$H$3&amp;"'!T$288"),0),0)
+IFERROR((1-INDIRECT("'"&amp;$H$3&amp;"'!T$310"))*IF(AND(INDIRECT("'"&amp;$H$3&amp;"'!T$309")="No",INDIRECT("'"&amp;$H$3&amp;"'!T$305")='List Values'!$E$3),INDEX(INDIRECT("'"&amp;$H$3&amp;"'!$H$49:$H$78"),MATCH(INDIRECT("'"&amp;$H$3&amp;"'!T$304")&amp;"Depreciation cost / yr ($)",INDIRECT("'"&amp;$H$3&amp;"'!$F$49:$F$78"),0))*INDIRECT("'"&amp;$H$3&amp;"'!T$308"),0),0)</f>
        <v>0</v>
      </c>
      <c r="U126" s="337"/>
      <c r="V126" s="337"/>
      <c r="W126" s="1437">
        <f ca="1">IFERROR((1-INDIRECT("'"&amp;$H$3&amp;"'!W$270"))*IF(AND(INDIRECT("'"&amp;$H$3&amp;"'!W$269")="No",INDIRECT("'"&amp;$H$3&amp;"'!W$265")='List Values'!$E$3),INDEX(INDIRECT("'"&amp;$H$3&amp;"'!$H$49:$H$78"),MATCH(INDIRECT("'"&amp;$H$3&amp;"'!W$264")&amp;"Depreciation cost / yr ($)",INDIRECT("'"&amp;$H$3&amp;"'!$F$49:$F$78"),0))*INDIRECT("'"&amp;$H$3&amp;"'!W$268"),0),0)
+IFERROR((1-INDIRECT("'"&amp;$H$3&amp;"'!W$290"))*IF(AND(INDIRECT("'"&amp;$H$3&amp;"'!W$289")="No",INDIRECT("'"&amp;$H$3&amp;"'!W$285")='List Values'!$E$3),INDEX(INDIRECT("'"&amp;$H$3&amp;"'!$H$49:$H$78"),MATCH(INDIRECT("'"&amp;$H$3&amp;"'!W$284")&amp;"Depreciation cost / yr ($)",INDIRECT("'"&amp;$H$3&amp;"'!$F$49:$F$78"),0))*INDIRECT("'"&amp;$H$3&amp;"'!W$288"),0),0)
+IFERROR((1-INDIRECT("'"&amp;$H$3&amp;"'!W$310"))*IF(AND(INDIRECT("'"&amp;$H$3&amp;"'!W$309")="No",INDIRECT("'"&amp;$H$3&amp;"'!W$305")='List Values'!$E$3),INDEX(INDIRECT("'"&amp;$H$3&amp;"'!$H$49:$H$78"),MATCH(INDIRECT("'"&amp;$H$3&amp;"'!W$304")&amp;"Depreciation cost / yr ($)",INDIRECT("'"&amp;$H$3&amp;"'!$F$49:$F$78"),0))*INDIRECT("'"&amp;$H$3&amp;"'!W$308"),0),0)</f>
        <v>0</v>
      </c>
      <c r="Y126" s="341">
        <f t="shared" ca="1" si="12"/>
        <v>0</v>
      </c>
      <c r="Z126" s="7"/>
      <c r="AA126" s="7"/>
    </row>
    <row r="127" spans="6:38">
      <c r="F127" s="984"/>
      <c r="G127" s="985" t="s">
        <v>160</v>
      </c>
      <c r="H127" s="986">
        <f ca="1">IFERROR((1-INDIRECT("'"&amp;$H$3&amp;"'!H$271"))*H$355*INDEX(INDIRECT("'"&amp;$H$3&amp;"'!$H$43:$H$78"),MATCH(INDIRECT("'"&amp;$H$3&amp;"'!H$264")&amp;"Average cost ($) per trip (one-way)",INDIRECT("'"&amp;$H$3&amp;"'!$F$43:$F$78"),0)),0)
+IFERROR((1-INDIRECT("'"&amp;$H$3&amp;"'!H$291"))*H$384*INDEX(INDIRECT("'"&amp;$H$3&amp;"'!$H$43:$H$78"),MATCH(INDIRECT("'"&amp;$H$3&amp;"'!H$284")&amp;"Average cost ($) per trip (one-way)",INDIRECT("'"&amp;$H$3&amp;"'!$F$43:$F$78"),0)),0)
+IFERROR((1-INDIRECT("'"&amp;$H$3&amp;"'!H$311"))*H$413*INDEX(INDIRECT("'"&amp;$H$3&amp;"'!$H$43:$H$78"),MATCH(INDIRECT("'"&amp;$H$3&amp;"'!H$304")&amp;"Average cost ($) per trip (one-way)",INDIRECT("'"&amp;$H$3&amp;"'!$F$43:$F$78"),0)),0)</f>
        <v>0</v>
      </c>
      <c r="I127" s="986"/>
      <c r="J127" s="986"/>
      <c r="K127" s="986">
        <f ca="1">IFERROR((1-INDIRECT("'"&amp;$H$3&amp;"'!K$271"))*K$355*INDEX(INDIRECT("'"&amp;$H$3&amp;"'!$H$43:$H$78"),MATCH(INDIRECT("'"&amp;$H$3&amp;"'!K$264")&amp;"Average cost ($) per trip (one-way)",INDIRECT("'"&amp;$H$3&amp;"'!$F$43:$F$78"),0)),0)
+IFERROR((1-INDIRECT("'"&amp;$H$3&amp;"'!K$291"))*K$384*INDEX(INDIRECT("'"&amp;$H$3&amp;"'!$H$43:$H$78"),MATCH(INDIRECT("'"&amp;$H$3&amp;"'!K$284")&amp;"Average cost ($) per trip (one-way)",INDIRECT("'"&amp;$H$3&amp;"'!$F$43:$F$78"),0)),0)
+IFERROR((1-INDIRECT("'"&amp;$H$3&amp;"'!K$311"))*K$413*INDEX(INDIRECT("'"&amp;$H$3&amp;"'!$H$43:$H$78"),MATCH(INDIRECT("'"&amp;$H$3&amp;"'!K$304")&amp;"Average cost ($) per trip (one-way)",INDIRECT("'"&amp;$H$3&amp;"'!$F$43:$F$78"),0)),0)</f>
        <v>0</v>
      </c>
      <c r="L127" s="986"/>
      <c r="M127" s="986"/>
      <c r="N127" s="986">
        <f ca="1">IFERROR((1-INDIRECT("'"&amp;$H$3&amp;"'!N$271"))*N$355*INDEX(INDIRECT("'"&amp;$H$3&amp;"'!$H$43:$H$78"),MATCH(INDIRECT("'"&amp;$H$3&amp;"'!N$264")&amp;"Average cost ($) per trip (one-way)",INDIRECT("'"&amp;$H$3&amp;"'!$F$43:$F$78"),0)),0)
+IFERROR((1-INDIRECT("'"&amp;$H$3&amp;"'!N$291"))*N$384*INDEX(INDIRECT("'"&amp;$H$3&amp;"'!$H$43:$H$78"),MATCH(INDIRECT("'"&amp;$H$3&amp;"'!N$284")&amp;"Average cost ($) per trip (one-way)",INDIRECT("'"&amp;$H$3&amp;"'!$F$43:$F$78"),0)),0)
+IFERROR((1-INDIRECT("'"&amp;$H$3&amp;"'!N$311"))*N$413*INDEX(INDIRECT("'"&amp;$H$3&amp;"'!$H$43:$H$78"),MATCH(INDIRECT("'"&amp;$H$3&amp;"'!N$304")&amp;"Average cost ($) per trip (one-way)",INDIRECT("'"&amp;$H$3&amp;"'!$F$43:$F$78"),0)),0)</f>
        <v>0</v>
      </c>
      <c r="O127" s="986"/>
      <c r="P127" s="986"/>
      <c r="Q127" s="986">
        <f ca="1">IFERROR((1-INDIRECT("'"&amp;$H$3&amp;"'!Q$271"))*Q$355*INDEX(INDIRECT("'"&amp;$H$3&amp;"'!$H$43:$H$78"),MATCH(INDIRECT("'"&amp;$H$3&amp;"'!Q$264")&amp;"Average cost ($) per trip (one-way)",INDIRECT("'"&amp;$H$3&amp;"'!$F$43:$F$78"),0)),0)
+IFERROR((1-INDIRECT("'"&amp;$H$3&amp;"'!Q$291"))*Q$384*INDEX(INDIRECT("'"&amp;$H$3&amp;"'!$H$43:$H$78"),MATCH(INDIRECT("'"&amp;$H$3&amp;"'!Q$284")&amp;"Average cost ($) per trip (one-way)",INDIRECT("'"&amp;$H$3&amp;"'!$F$43:$F$78"),0)),0)
+IFERROR((1-INDIRECT("'"&amp;$H$3&amp;"'!Q$311"))*Q$413*INDEX(INDIRECT("'"&amp;$H$3&amp;"'!$H$43:$H$78"),MATCH(INDIRECT("'"&amp;$H$3&amp;"'!Q$304")&amp;"Average cost ($) per trip (one-way)",INDIRECT("'"&amp;$H$3&amp;"'!$F$43:$F$78"),0)),0)</f>
        <v>0</v>
      </c>
      <c r="R127" s="986"/>
      <c r="S127" s="987"/>
      <c r="T127" s="986">
        <f ca="1">IFERROR((1-INDIRECT("'"&amp;$H$3&amp;"'!T$271"))*T$355*INDEX(INDIRECT("'"&amp;$H$3&amp;"'!$H$43:$H$78"),MATCH(INDIRECT("'"&amp;$H$3&amp;"'!T$264")&amp;"Average cost ($) per trip (one-way)",INDIRECT("'"&amp;$H$3&amp;"'!$F$43:$F$78"),0)),0)
+IFERROR((1-INDIRECT("'"&amp;$H$3&amp;"'!T$291"))*T$384*INDEX(INDIRECT("'"&amp;$H$3&amp;"'!$H$43:$H$78"),MATCH(INDIRECT("'"&amp;$H$3&amp;"'!T$284")&amp;"Average cost ($) per trip (one-way)",INDIRECT("'"&amp;$H$3&amp;"'!$F$43:$F$78"),0)),0)
+IFERROR((1-INDIRECT("'"&amp;$H$3&amp;"'!T$311"))*T$413*INDEX(INDIRECT("'"&amp;$H$3&amp;"'!$H$43:$H$78"),MATCH(INDIRECT("'"&amp;$H$3&amp;"'!T$304")&amp;"Average cost ($) per trip (one-way)",INDIRECT("'"&amp;$H$3&amp;"'!$F$43:$F$78"),0)),0)</f>
        <v>0</v>
      </c>
      <c r="U127" s="987"/>
      <c r="V127" s="987"/>
      <c r="W127" s="1441">
        <f ca="1">IFERROR((1-INDIRECT("'"&amp;$H$3&amp;"'!W$271"))*W$355*INDEX(INDIRECT("'"&amp;$H$3&amp;"'!$H$43:$H$78"),MATCH(INDIRECT("'"&amp;$H$3&amp;"'!W$264")&amp;"Average cost ($) per trip (one-way)",INDIRECT("'"&amp;$H$3&amp;"'!$F$43:$F$78"),0)),0)
+IFERROR((1-INDIRECT("'"&amp;$H$3&amp;"'!W$291"))*W$384*INDEX(INDIRECT("'"&amp;$H$3&amp;"'!$H$43:$H$78"),MATCH(INDIRECT("'"&amp;$H$3&amp;"'!W$284")&amp;"Average cost ($) per trip (one-way)",INDIRECT("'"&amp;$H$3&amp;"'!$F$43:$F$78"),0)),0)
+IFERROR((1-INDIRECT("'"&amp;$H$3&amp;"'!W$311"))*W$413*INDEX(INDIRECT("'"&amp;$H$3&amp;"'!$H$43:$H$78"),MATCH(INDIRECT("'"&amp;$H$3&amp;"'!W$304")&amp;"Average cost ($) per trip (one-way)",INDIRECT("'"&amp;$H$3&amp;"'!$F$43:$F$78"),0)),0)</f>
        <v>0</v>
      </c>
      <c r="Y127" s="347">
        <f t="shared" ca="1" si="12"/>
        <v>0</v>
      </c>
      <c r="Z127" s="7"/>
      <c r="AA127" s="7"/>
    </row>
    <row r="128" spans="6:38" ht="6.75" customHeight="1">
      <c r="F128" s="991"/>
      <c r="G128" s="27"/>
      <c r="H128" s="992"/>
      <c r="I128" s="992"/>
      <c r="J128" s="992"/>
      <c r="K128" s="992"/>
      <c r="L128" s="992"/>
      <c r="M128" s="992"/>
      <c r="N128" s="992"/>
      <c r="O128" s="992"/>
      <c r="P128" s="992"/>
      <c r="Q128" s="992"/>
      <c r="R128" s="992"/>
      <c r="S128" s="993"/>
      <c r="T128" s="992"/>
      <c r="U128" s="993"/>
      <c r="V128" s="993"/>
      <c r="W128" s="992"/>
      <c r="Y128" s="993"/>
      <c r="Z128" s="7"/>
      <c r="AA128" s="7"/>
    </row>
    <row r="129" spans="6:38" ht="29.15">
      <c r="F129" s="887"/>
      <c r="G129" s="888"/>
      <c r="H129" s="1502" t="str">
        <f ca="1">IF($H$9&gt;=1,INDIRECT("'"&amp;$H$3&amp;"'!G$91"),"")</f>
        <v>CMS Tier</v>
      </c>
      <c r="I129" s="1502" t="str">
        <f t="shared" ref="I129:V129" ca="1" si="13">IF($H$9&gt;=1,"Tier 1","")</f>
        <v>Tier 1</v>
      </c>
      <c r="J129" s="1502" t="str">
        <f t="shared" ca="1" si="13"/>
        <v>Tier 1</v>
      </c>
      <c r="K129" s="1502" t="str">
        <f ca="1">IF($H$9&gt;=2,INDIRECT("'"&amp;$H$3&amp;"'!J$91"),"")</f>
        <v>Regional WH Tier</v>
      </c>
      <c r="L129" s="1502" t="str">
        <f t="shared" ca="1" si="13"/>
        <v>Tier 1</v>
      </c>
      <c r="M129" s="1502" t="str">
        <f t="shared" ca="1" si="13"/>
        <v>Tier 1</v>
      </c>
      <c r="N129" s="1502" t="str">
        <f ca="1">IF($H$9&gt;=3,INDIRECT("'"&amp;$H$3&amp;"'!M$91"),"")</f>
        <v>Health Facility Tier</v>
      </c>
      <c r="O129" s="1502" t="str">
        <f t="shared" ca="1" si="13"/>
        <v>Tier 1</v>
      </c>
      <c r="P129" s="1502" t="str">
        <f t="shared" ca="1" si="13"/>
        <v>Tier 1</v>
      </c>
      <c r="Q129" s="1502" t="str">
        <f ca="1">IF($H$9&gt;=4,INDIRECT("'"&amp;$H$3&amp;"'!P$91"),"")</f>
        <v/>
      </c>
      <c r="R129" s="1503" t="str">
        <f t="shared" ca="1" si="13"/>
        <v>Tier 1</v>
      </c>
      <c r="S129" s="1504" t="str">
        <f t="shared" ca="1" si="13"/>
        <v>Tier 1</v>
      </c>
      <c r="T129" s="1502" t="str">
        <f ca="1">IF($H$9&gt;=5,INDIRECT("'"&amp;$H$3&amp;"'!S$91"),"")</f>
        <v/>
      </c>
      <c r="U129" s="1504" t="str">
        <f t="shared" ca="1" si="13"/>
        <v>Tier 1</v>
      </c>
      <c r="V129" s="1504" t="str">
        <f t="shared" ca="1" si="13"/>
        <v>Tier 1</v>
      </c>
      <c r="W129" s="1505" t="str">
        <f ca="1">IF($H$9&gt;=6,INDIRECT("'"&amp;$H$3&amp;"'!V$91"),"")</f>
        <v/>
      </c>
      <c r="X129" s="1459"/>
      <c r="Y129" s="1487"/>
      <c r="Z129" s="7"/>
      <c r="AA129" s="7"/>
    </row>
    <row r="130" spans="6:38">
      <c r="F130" s="352" t="s">
        <v>97</v>
      </c>
      <c r="G130" s="353"/>
      <c r="H130" s="354"/>
      <c r="I130" s="354"/>
      <c r="J130" s="354"/>
      <c r="K130" s="354"/>
      <c r="L130" s="354"/>
      <c r="M130" s="354"/>
      <c r="N130" s="354"/>
      <c r="O130" s="354"/>
      <c r="P130" s="354"/>
      <c r="Q130" s="354"/>
      <c r="R130" s="354"/>
      <c r="S130" s="355"/>
      <c r="T130" s="354"/>
      <c r="U130" s="355"/>
      <c r="V130" s="355"/>
      <c r="W130" s="383"/>
      <c r="Y130" s="355">
        <f ca="1">SUM(Y131:Y134)</f>
        <v>871320.39741899888</v>
      </c>
      <c r="Z130" s="7"/>
      <c r="AA130" s="7"/>
    </row>
    <row r="131" spans="6:38" hidden="1">
      <c r="F131" s="288"/>
      <c r="G131" s="366" t="s">
        <v>48</v>
      </c>
      <c r="H131" s="300"/>
      <c r="I131" s="300"/>
      <c r="J131" s="300"/>
      <c r="K131" s="300">
        <v>0</v>
      </c>
      <c r="L131" s="300"/>
      <c r="M131" s="300"/>
      <c r="N131" s="300">
        <v>0</v>
      </c>
      <c r="O131" s="300"/>
      <c r="P131" s="300"/>
      <c r="Q131" s="300"/>
      <c r="R131" s="300"/>
      <c r="S131" s="337"/>
      <c r="T131" s="300"/>
      <c r="U131" s="337"/>
      <c r="V131" s="337"/>
      <c r="W131" s="1437"/>
      <c r="Y131" s="341">
        <f>SUM(H131:Q131)</f>
        <v>0</v>
      </c>
    </row>
    <row r="132" spans="6:38">
      <c r="F132" s="288"/>
      <c r="G132" s="288" t="s">
        <v>94</v>
      </c>
      <c r="H132" s="300">
        <f ca="1">IFERROR(INDIRECT("'"&amp;$H$3&amp;"'!H$106")*INDIRECT("'"&amp;$H$3&amp;"'!H$95")*INDIRECT("'"&amp;$H$3&amp;"'!$H$10")*INDIRECT("'"&amp;$H$3&amp;"'!$H$9")*IFERROR(INDEX(INDIRECT("'"&amp;$H$3&amp;"'!$H$28:$H$38"),MATCH(INDIRECT("'"&amp;$H$3&amp;"'!H$105"),INDIRECT("'"&amp;$H$3&amp;"'!$B$28:$B$38"),0)),0),0)</f>
        <v>188138.54967132158</v>
      </c>
      <c r="I132" s="300"/>
      <c r="J132" s="300"/>
      <c r="K132" s="300">
        <f ca="1">IFERROR(INDIRECT("'"&amp;$H$3&amp;"'!K$106")*INDIRECT("'"&amp;$H$3&amp;"'!K$95")*INDIRECT("'"&amp;$H$3&amp;"'!$H$10")*INDIRECT("'"&amp;$H$3&amp;"'!$H$9")*IFERROR(INDEX(INDIRECT("'"&amp;$H$3&amp;"'!$H$28:$H$38"),MATCH(INDIRECT("'"&amp;$H$3&amp;"'!K$105"),INDIRECT("'"&amp;$H$3&amp;"'!$B$28:$B$38"),0)),0),0)</f>
        <v>177858.49771571273</v>
      </c>
      <c r="L132" s="300"/>
      <c r="M132" s="300"/>
      <c r="N132" s="300">
        <f ca="1">IFERROR(INDIRECT("'"&amp;$H$3&amp;"'!N$106")*INDIRECT("'"&amp;$H$3&amp;"'!N$95")*INDIRECT("'"&amp;$H$3&amp;"'!$H$10")*INDIRECT("'"&amp;$H$3&amp;"'!$H$9")*IFERROR(INDEX(INDIRECT("'"&amp;$H$3&amp;"'!$H$28:$H$38"),MATCH(INDIRECT("'"&amp;$H$3&amp;"'!N$105"),INDIRECT("'"&amp;$H$3&amp;"'!$B$28:$B$38"),0)),0),0)</f>
        <v>61664.895184020534</v>
      </c>
      <c r="O132" s="300"/>
      <c r="P132" s="300"/>
      <c r="Q132" s="300">
        <f ca="1">IFERROR(INDIRECT("'"&amp;$H$3&amp;"'!Q$106")*INDIRECT("'"&amp;$H$3&amp;"'!Q$95")*INDIRECT("'"&amp;$H$3&amp;"'!$H$10")*INDIRECT("'"&amp;$H$3&amp;"'!$H$9")*IFERROR(INDEX(INDIRECT("'"&amp;$H$3&amp;"'!$H$28:$H$38"),MATCH(INDIRECT("'"&amp;$H$3&amp;"'!Q$105"),INDIRECT("'"&amp;$H$3&amp;"'!$B$28:$B$38"),0)),0),0)</f>
        <v>0</v>
      </c>
      <c r="R132" s="300"/>
      <c r="S132" s="337"/>
      <c r="T132" s="300">
        <f ca="1">IFERROR(INDIRECT("'"&amp;$H$3&amp;"'!T$106")*INDIRECT("'"&amp;$H$3&amp;"'!T$95")*INDIRECT("'"&amp;$H$3&amp;"'!$H$10")*INDIRECT("'"&amp;$H$3&amp;"'!$H$9")*IFERROR(INDEX(INDIRECT("'"&amp;$H$3&amp;"'!$H$28:$H$38"),MATCH(INDIRECT("'"&amp;$H$3&amp;"'!T$105"),INDIRECT("'"&amp;$H$3&amp;"'!$B$28:$B$38"),0)),0),0)</f>
        <v>0</v>
      </c>
      <c r="U132" s="337"/>
      <c r="V132" s="337"/>
      <c r="W132" s="1437">
        <f ca="1">IFERROR(INDIRECT("'"&amp;$H$3&amp;"'!W$106")*INDIRECT("'"&amp;$H$3&amp;"'!W$95")*INDIRECT("'"&amp;$H$3&amp;"'!$H$10")*INDIRECT("'"&amp;$H$3&amp;"'!$H$9")*IFERROR(INDEX(INDIRECT("'"&amp;$H$3&amp;"'!$H$28:$H$38"),MATCH(INDIRECT("'"&amp;$H$3&amp;"'!W$105"),INDIRECT("'"&amp;$H$3&amp;"'!$B$28:$B$38"),0)),0),0)</f>
        <v>0</v>
      </c>
      <c r="Y132" s="341">
        <f t="shared" ref="Y132:Y137" ca="1" si="14">SUM(H132:W132)</f>
        <v>427661.94257105479</v>
      </c>
    </row>
    <row r="133" spans="6:38">
      <c r="F133" s="288"/>
      <c r="G133" s="288" t="s">
        <v>485</v>
      </c>
      <c r="H133" s="300">
        <f ca="1">IFERROR(SUM(INDIRECT("'"&amp;$H$3&amp;"'!H$108"),INDIRECT("'"&amp;$H$3&amp;"'!H$109"))*INDIRECT("'"&amp;$H$3&amp;"'!H$110")*INDIRECT("'"&amp;$H$3&amp;"'!H$95"),0)</f>
        <v>155469.09399415072</v>
      </c>
      <c r="I133" s="300"/>
      <c r="J133" s="300"/>
      <c r="K133" s="300">
        <f ca="1">IFERROR(SUM(INDIRECT("'"&amp;$H$3&amp;"'!K$108"),INDIRECT("'"&amp;$H$3&amp;"'!K$109"))*INDIRECT("'"&amp;$H$3&amp;"'!K$110")*INDIRECT("'"&amp;$H$3&amp;"'!K$95"),0)</f>
        <v>77628.408886587436</v>
      </c>
      <c r="L133" s="300"/>
      <c r="M133" s="300"/>
      <c r="N133" s="300">
        <f ca="1">IFERROR(SUM(INDIRECT("'"&amp;$H$3&amp;"'!N$108"),INDIRECT("'"&amp;$H$3&amp;"'!N$109"))*INDIRECT("'"&amp;$H$3&amp;"'!N$110")*INDIRECT("'"&amp;$H$3&amp;"'!N$95"),0)</f>
        <v>172031.88679245286</v>
      </c>
      <c r="O133" s="300"/>
      <c r="P133" s="300"/>
      <c r="Q133" s="300">
        <f ca="1">IFERROR(SUM(INDIRECT("'"&amp;$H$3&amp;"'!Q$108"),INDIRECT("'"&amp;$H$3&amp;"'!Q$109"))*INDIRECT("'"&amp;$H$3&amp;"'!Q$110")*INDIRECT("'"&amp;$H$3&amp;"'!Q$95"),0)</f>
        <v>0</v>
      </c>
      <c r="R133" s="300"/>
      <c r="S133" s="337"/>
      <c r="T133" s="300">
        <f ca="1">IFERROR(SUM(INDIRECT("'"&amp;$H$3&amp;"'!T$108"),INDIRECT("'"&amp;$H$3&amp;"'!T$109"))*INDIRECT("'"&amp;$H$3&amp;"'!T$110")*INDIRECT("'"&amp;$H$3&amp;"'!T$95"),0)</f>
        <v>0</v>
      </c>
      <c r="U133" s="337"/>
      <c r="V133" s="337"/>
      <c r="W133" s="1437">
        <f ca="1">IFERROR(SUM(INDIRECT("'"&amp;$H$3&amp;"'!W$108"),INDIRECT("'"&amp;$H$3&amp;"'!W$109"))*INDIRECT("'"&amp;$H$3&amp;"'!W$110")*INDIRECT("'"&amp;$H$3&amp;"'!W$95"),0)</f>
        <v>0</v>
      </c>
      <c r="Y133" s="341">
        <f t="shared" ca="1" si="14"/>
        <v>405129.38967319101</v>
      </c>
    </row>
    <row r="134" spans="6:38">
      <c r="F134" s="288"/>
      <c r="G134" s="288" t="s">
        <v>383</v>
      </c>
      <c r="H134" s="300">
        <f ca="1">IFERROR(INDIRECT("'"&amp;$H$3&amp;"'!H$108")*INDIRECT("'"&amp;$H$3&amp;"'!H$111")*INDIRECT("'"&amp;$H$3&amp;"'!H$95"),0)</f>
        <v>12729.971374901706</v>
      </c>
      <c r="I134" s="300"/>
      <c r="J134" s="300"/>
      <c r="K134" s="300">
        <f ca="1">IFERROR(INDIRECT("'"&amp;$H$3&amp;"'!K$108")*INDIRECT("'"&amp;$H$3&amp;"'!K$111")*INDIRECT("'"&amp;$H$3&amp;"'!K$95"),0)</f>
        <v>25799.093799851336</v>
      </c>
      <c r="L134" s="300"/>
      <c r="M134" s="300"/>
      <c r="N134" s="300">
        <f ca="1">IFERROR(INDIRECT("'"&amp;$H$3&amp;"'!N$108")*INDIRECT("'"&amp;$H$3&amp;"'!N$111")*INDIRECT("'"&amp;$H$3&amp;"'!N$95"),0)</f>
        <v>0</v>
      </c>
      <c r="O134" s="300"/>
      <c r="P134" s="300"/>
      <c r="Q134" s="300">
        <f ca="1">IFERROR(INDIRECT("'"&amp;$H$3&amp;"'!Q$108")*INDIRECT("'"&amp;$H$3&amp;"'!Q$111")*INDIRECT("'"&amp;$H$3&amp;"'!Q$95"),0)</f>
        <v>0</v>
      </c>
      <c r="R134" s="300"/>
      <c r="S134" s="337"/>
      <c r="T134" s="300">
        <f ca="1">IFERROR(INDIRECT("'"&amp;$H$3&amp;"'!T$108")*INDIRECT("'"&amp;$H$3&amp;"'!T$111")*INDIRECT("'"&amp;$H$3&amp;"'!T$95"),0)</f>
        <v>0</v>
      </c>
      <c r="U134" s="337"/>
      <c r="V134" s="337"/>
      <c r="W134" s="1437">
        <f ca="1">IFERROR(INDIRECT("'"&amp;$H$3&amp;"'!W$108")*INDIRECT("'"&amp;$H$3&amp;"'!W$111")*INDIRECT("'"&amp;$H$3&amp;"'!W$95"),0)</f>
        <v>0</v>
      </c>
      <c r="Y134" s="341">
        <f t="shared" ca="1" si="14"/>
        <v>38529.065174753043</v>
      </c>
    </row>
    <row r="135" spans="6:38">
      <c r="F135" s="288"/>
      <c r="G135" s="298" t="s">
        <v>384</v>
      </c>
      <c r="H135" s="300">
        <f ca="1">IFERROR(INDIRECT("'"&amp;$H$3&amp;"'!H$109")*INDIRECT("'"&amp;$H$3&amp;"'!H$112")*INDIRECT("'"&amp;$H$3&amp;"'!H$95"),0)</f>
        <v>0</v>
      </c>
      <c r="I135" s="300"/>
      <c r="J135" s="300"/>
      <c r="K135" s="300">
        <f ca="1">IFERROR(INDIRECT("'"&amp;$H$3&amp;"'!K$109")*INDIRECT("'"&amp;$H$3&amp;"'!K$112")*INDIRECT("'"&amp;$H$3&amp;"'!K$95"),0)</f>
        <v>0</v>
      </c>
      <c r="L135" s="300"/>
      <c r="M135" s="300"/>
      <c r="N135" s="300">
        <f ca="1">IFERROR(INDIRECT("'"&amp;$H$3&amp;"'!N$109")*INDIRECT("'"&amp;$H$3&amp;"'!N$112")*INDIRECT("'"&amp;$H$3&amp;"'!N$95"),0)</f>
        <v>0</v>
      </c>
      <c r="O135" s="300"/>
      <c r="P135" s="300"/>
      <c r="Q135" s="300">
        <f ca="1">IFERROR(INDIRECT("'"&amp;$H$3&amp;"'!Q$109")*INDIRECT("'"&amp;$H$3&amp;"'!Q$112")*INDIRECT("'"&amp;$H$3&amp;"'!Q$95"),0)</f>
        <v>0</v>
      </c>
      <c r="R135" s="300"/>
      <c r="S135" s="337"/>
      <c r="T135" s="300">
        <f ca="1">IFERROR(INDIRECT("'"&amp;$H$3&amp;"'!T$109")*INDIRECT("'"&amp;$H$3&amp;"'!T$112")*INDIRECT("'"&amp;$H$3&amp;"'!T$95"),0)</f>
        <v>0</v>
      </c>
      <c r="U135" s="337"/>
      <c r="V135" s="337"/>
      <c r="W135" s="1437">
        <f ca="1">IFERROR(INDIRECT("'"&amp;$H$3&amp;"'!W$109")*INDIRECT("'"&amp;$H$3&amp;"'!W$112")*INDIRECT("'"&amp;$H$3&amp;"'!W$95"),0)</f>
        <v>0</v>
      </c>
      <c r="Y135" s="341">
        <f t="shared" ca="1" si="14"/>
        <v>0</v>
      </c>
    </row>
    <row r="136" spans="6:38">
      <c r="F136" s="288"/>
      <c r="G136" s="298" t="s">
        <v>385</v>
      </c>
      <c r="H136" s="300">
        <f ca="1">IFERROR(INDIRECT("'"&amp;$H$3&amp;"'!H$113")*INDIRECT("'"&amp;$H$3&amp;"'!H$116")*INDIRECT("'"&amp;$H$3&amp;"'!H$95"),0)</f>
        <v>0</v>
      </c>
      <c r="I136" s="300"/>
      <c r="J136" s="300"/>
      <c r="K136" s="300">
        <f ca="1">IFERROR(INDIRECT("'"&amp;$H$3&amp;"'!K$113")*INDIRECT("'"&amp;$H$3&amp;"'!K$116")*INDIRECT("'"&amp;$H$3&amp;"'!K$95"),0)</f>
        <v>0</v>
      </c>
      <c r="L136" s="300"/>
      <c r="M136" s="300"/>
      <c r="N136" s="300">
        <f ca="1">IFERROR(INDIRECT("'"&amp;$H$3&amp;"'!N$113")*INDIRECT("'"&amp;$H$3&amp;"'!N$116")*INDIRECT("'"&amp;$H$3&amp;"'!N$95"),0)</f>
        <v>0</v>
      </c>
      <c r="O136" s="300"/>
      <c r="P136" s="300"/>
      <c r="Q136" s="300">
        <f ca="1">IFERROR(INDIRECT("'"&amp;$H$3&amp;"'!Q$113")*INDIRECT("'"&amp;$H$3&amp;"'!Q$116")*INDIRECT("'"&amp;$H$3&amp;"'!Q$95"),0)</f>
        <v>0</v>
      </c>
      <c r="R136" s="300"/>
      <c r="S136" s="337"/>
      <c r="T136" s="300">
        <f ca="1">IFERROR(INDIRECT("'"&amp;$H$3&amp;"'!T$113")*INDIRECT("'"&amp;$H$3&amp;"'!T$116")*INDIRECT("'"&amp;$H$3&amp;"'!T$95"),0)</f>
        <v>0</v>
      </c>
      <c r="U136" s="337"/>
      <c r="V136" s="337"/>
      <c r="W136" s="1437">
        <f ca="1">IFERROR(INDIRECT("'"&amp;$H$3&amp;"'!W$113")*INDIRECT("'"&amp;$H$3&amp;"'!W$116")*INDIRECT("'"&amp;$H$3&amp;"'!W$95"),0)</f>
        <v>0</v>
      </c>
      <c r="Y136" s="341">
        <f t="shared" ca="1" si="14"/>
        <v>0</v>
      </c>
    </row>
    <row r="137" spans="6:38">
      <c r="F137" s="363"/>
      <c r="G137" s="220" t="s">
        <v>386</v>
      </c>
      <c r="H137" s="296">
        <f ca="1">IFERROR((1/INDIRECT("'"&amp;$H$3&amp;"'!$H$12"))*INDIRECT("'"&amp;$H$3&amp;"'!H$113")*INDIRECT("'"&amp;$H$3&amp;"'!H$115")*INDIRECT("'"&amp;$H$3&amp;"'!H$95"),0)</f>
        <v>600</v>
      </c>
      <c r="I137" s="296"/>
      <c r="J137" s="296"/>
      <c r="K137" s="296">
        <f ca="1">IFERROR((1/INDIRECT("'"&amp;$H$3&amp;"'!$H$12"))*INDIRECT("'"&amp;$H$3&amp;"'!K$113")*INDIRECT("'"&amp;$H$3&amp;"'!K$115")*INDIRECT("'"&amp;$H$3&amp;"'!K$95"),0)</f>
        <v>300</v>
      </c>
      <c r="L137" s="296"/>
      <c r="M137" s="296"/>
      <c r="N137" s="296">
        <f ca="1">IFERROR((1/INDIRECT("'"&amp;$H$3&amp;"'!$H$12"))*INDIRECT("'"&amp;$H$3&amp;"'!N$113")*INDIRECT("'"&amp;$H$3&amp;"'!N$115")*INDIRECT("'"&amp;$H$3&amp;"'!N$95"),0)</f>
        <v>10350</v>
      </c>
      <c r="O137" s="296"/>
      <c r="P137" s="296"/>
      <c r="Q137" s="296">
        <f ca="1">IFERROR((1/INDIRECT("'"&amp;$H$3&amp;"'!$H$12"))*INDIRECT("'"&amp;$H$3&amp;"'!Q$113")*INDIRECT("'"&amp;$H$3&amp;"'!Q$115")*INDIRECT("'"&amp;$H$3&amp;"'!Q$95"),0)</f>
        <v>0</v>
      </c>
      <c r="R137" s="296"/>
      <c r="S137" s="361"/>
      <c r="T137" s="296">
        <f ca="1">IFERROR((1/INDIRECT("'"&amp;$H$3&amp;"'!$H$12"))*INDIRECT("'"&amp;$H$3&amp;"'!T$113")*INDIRECT("'"&amp;$H$3&amp;"'!T$115")*INDIRECT("'"&amp;$H$3&amp;"'!T$95"),0)</f>
        <v>0</v>
      </c>
      <c r="U137" s="361"/>
      <c r="V137" s="361"/>
      <c r="W137" s="1438">
        <f ca="1">IFERROR((1/INDIRECT("'"&amp;$H$3&amp;"'!$H$12"))*INDIRECT("'"&amp;$H$3&amp;"'!W$113")*INDIRECT("'"&amp;$H$3&amp;"'!W$115")*INDIRECT("'"&amp;$H$3&amp;"'!W$95"),0)</f>
        <v>0</v>
      </c>
      <c r="Y137" s="347">
        <f t="shared" ca="1" si="14"/>
        <v>11250</v>
      </c>
    </row>
    <row r="138" spans="6:38" ht="15" customHeight="1">
      <c r="F138" s="352" t="s">
        <v>83</v>
      </c>
      <c r="G138" s="353"/>
      <c r="H138" s="354"/>
      <c r="I138" s="354"/>
      <c r="J138" s="354"/>
      <c r="K138" s="354"/>
      <c r="L138" s="354"/>
      <c r="M138" s="354"/>
      <c r="N138" s="354"/>
      <c r="O138" s="354"/>
      <c r="P138" s="354"/>
      <c r="Q138" s="354"/>
      <c r="R138" s="354"/>
      <c r="S138" s="355"/>
      <c r="T138" s="354"/>
      <c r="U138" s="355"/>
      <c r="V138" s="355"/>
      <c r="W138" s="383"/>
      <c r="Y138" s="355">
        <f ca="1">SUM(Y139)</f>
        <v>132074.68350107403</v>
      </c>
      <c r="Z138" s="1"/>
      <c r="AA138" s="1"/>
      <c r="AL138" s="1"/>
    </row>
    <row r="139" spans="6:38" ht="15" customHeight="1">
      <c r="F139" s="363"/>
      <c r="G139" s="363" t="s">
        <v>95</v>
      </c>
      <c r="H139" s="296">
        <f ca="1">IF($H$9&lt;1,0,IF(INDIRECT("'"&amp;$H$3&amp;"'!H121")="Cost per facility",IFERROR(INDIRECT("'"&amp;$H$3&amp;"'!H$122")*INDIRECT("'"&amp;$H$3&amp;"'!H$95"),0), IF(INDIRECT("'"&amp;$H$3&amp;"'!H121")="Cost as % commodity value",IFERROR(INDIRECT("'"&amp;$H$3&amp;"'!H$123")*$H$13,0),0)))</f>
        <v>68518.335535384278</v>
      </c>
      <c r="I139" s="296"/>
      <c r="J139" s="296"/>
      <c r="K139" s="296">
        <f ca="1">IF($H$9&lt;2,0,IF(INDIRECT("'"&amp;$H$3&amp;"'!K121")="Cost per facility",IFERROR(INDIRECT("'"&amp;$H$3&amp;"'!K$122")*INDIRECT("'"&amp;$H$3&amp;"'!K$95"),0), IF(INDIRECT("'"&amp;$H$3&amp;"'!K121")="Cost as % commodity value",IFERROR(INDIRECT("'"&amp;$H$3&amp;"'!K$123")*$H$13,0),0)))</f>
        <v>13104</v>
      </c>
      <c r="L139" s="296"/>
      <c r="M139" s="296"/>
      <c r="N139" s="296">
        <f ca="1">IF($H$9&lt;3,0,IF(INDIRECT("'"&amp;$H$3&amp;"'!N121")="Cost per facility",IFERROR(INDIRECT("'"&amp;$H$3&amp;"'!N$122")*INDIRECT("'"&amp;$H$3&amp;"'!N$95"),0), IF(INDIRECT("'"&amp;$H$3&amp;"'!N121")="Cost as % commodity value",IFERROR(INDIRECT("'"&amp;$H$3&amp;"'!N$123")*$H$13,0),0)))</f>
        <v>50452.347965689762</v>
      </c>
      <c r="O139" s="296"/>
      <c r="P139" s="296"/>
      <c r="Q139" s="296">
        <f ca="1">IF($H$9&lt;4,0,IF(INDIRECT("'"&amp;$H$3&amp;"'!Q121")="Cost per facility",IFERROR(INDIRECT("'"&amp;$H$3&amp;"'!Q$122")*INDIRECT("'"&amp;$H$3&amp;"'!Q$95"),0), IF(INDIRECT("'"&amp;$H$3&amp;"'!Q121")="Cost as % commodity value",IFERROR(INDIRECT("'"&amp;$H$3&amp;"'!Q$123")*$H$13,0),0)))</f>
        <v>0</v>
      </c>
      <c r="R139" s="296"/>
      <c r="S139" s="361"/>
      <c r="T139" s="296">
        <f ca="1">IF($H$9&lt;5,0,IF(INDIRECT("'"&amp;$H$3&amp;"'!T121")="Cost per facility",IFERROR(INDIRECT("'"&amp;$H$3&amp;"'!T$122")*INDIRECT("'"&amp;$H$3&amp;"'!T$95"),0), IF(INDIRECT("'"&amp;$H$3&amp;"'!T121")="Cost as % commodity value",IFERROR(INDIRECT("'"&amp;$H$3&amp;"'!T$123")*$H$13,0),0)))</f>
        <v>0</v>
      </c>
      <c r="U139" s="361"/>
      <c r="V139" s="361"/>
      <c r="W139" s="1438">
        <f ca="1">IF($H$9&lt;6,0,IF(INDIRECT("'"&amp;$H$3&amp;"'!W121")="Cost per facility",IFERROR(INDIRECT("'"&amp;$H$3&amp;"'!W$122")*INDIRECT("'"&amp;$H$3&amp;"'!W$95"),0), IF(INDIRECT("'"&amp;$H$3&amp;"'!W121")="Cost as % commodity value",IFERROR(INDIRECT("'"&amp;$H$3&amp;"'!W$123")*$H$13,0),0)))</f>
        <v>0</v>
      </c>
      <c r="Y139" s="347">
        <f ca="1">SUM(H139:W139)</f>
        <v>132074.68350107403</v>
      </c>
      <c r="Z139" s="1"/>
      <c r="AA139" s="1"/>
      <c r="AL139" s="1"/>
    </row>
    <row r="140" spans="6:38" ht="15" customHeight="1">
      <c r="F140" s="109"/>
      <c r="G140" s="109"/>
      <c r="R140" s="246"/>
      <c r="S140" s="246"/>
      <c r="T140" s="246"/>
      <c r="U140" s="246"/>
      <c r="V140" s="246"/>
      <c r="W140" s="246"/>
      <c r="X140" s="1420"/>
      <c r="AL140" s="1"/>
    </row>
    <row r="141" spans="6:38" ht="15" customHeight="1">
      <c r="F141" s="109"/>
      <c r="G141" s="109"/>
      <c r="R141" s="246"/>
      <c r="S141" s="246"/>
      <c r="T141" s="246"/>
      <c r="U141" s="246"/>
      <c r="V141" s="246"/>
      <c r="W141" s="246"/>
      <c r="X141" s="1420"/>
      <c r="AL141" s="1"/>
    </row>
    <row r="142" spans="6:38" ht="15" customHeight="1">
      <c r="F142" s="109"/>
      <c r="G142" s="109"/>
      <c r="R142" s="246"/>
      <c r="S142" s="246"/>
      <c r="T142" s="246"/>
      <c r="U142" s="246"/>
      <c r="V142" s="246"/>
      <c r="W142" s="246"/>
      <c r="X142" s="1420"/>
      <c r="AL142" s="4"/>
    </row>
    <row r="143" spans="6:38" ht="15" customHeight="1">
      <c r="F143" s="109"/>
      <c r="G143" s="109"/>
      <c r="R143" s="246"/>
      <c r="S143" s="246"/>
      <c r="T143" s="246"/>
      <c r="U143" s="246"/>
      <c r="V143" s="246"/>
      <c r="W143" s="246"/>
      <c r="X143" s="1420"/>
    </row>
    <row r="144" spans="6:38" ht="15" customHeight="1">
      <c r="R144" s="246"/>
      <c r="S144" s="246"/>
      <c r="T144" s="246"/>
      <c r="U144" s="246"/>
      <c r="V144" s="246"/>
      <c r="W144" s="246"/>
      <c r="X144" s="1420"/>
    </row>
    <row r="145" spans="6:40" ht="15" customHeight="1">
      <c r="R145" s="246"/>
      <c r="S145" s="246"/>
      <c r="T145" s="246"/>
      <c r="U145" s="246"/>
      <c r="V145" s="246"/>
      <c r="W145" s="246"/>
      <c r="X145" s="1420"/>
    </row>
    <row r="146" spans="6:40" ht="15" customHeight="1">
      <c r="F146" s="2715" t="s">
        <v>461</v>
      </c>
      <c r="G146" s="2716"/>
      <c r="H146" s="140"/>
      <c r="I146" s="140"/>
      <c r="J146" s="140"/>
      <c r="K146" s="140"/>
      <c r="L146" s="140"/>
      <c r="M146" s="140"/>
      <c r="N146" s="140"/>
      <c r="O146" s="140"/>
      <c r="P146" s="140"/>
      <c r="Q146" s="140"/>
      <c r="R146" s="140"/>
      <c r="S146" s="140"/>
      <c r="T146" s="140"/>
      <c r="U146" s="140"/>
      <c r="V146" s="140"/>
      <c r="W146" s="1442"/>
      <c r="X146" s="1428"/>
      <c r="Y146" s="36"/>
      <c r="Z146" s="36"/>
      <c r="AA146" s="36"/>
      <c r="AB146" s="36"/>
      <c r="AC146" s="36"/>
      <c r="AD146" s="36"/>
      <c r="AE146" s="36"/>
      <c r="AF146" s="36"/>
      <c r="AG146" s="36"/>
      <c r="AH146" s="36"/>
      <c r="AI146" s="36"/>
      <c r="AJ146" s="36"/>
      <c r="AK146" s="36"/>
      <c r="AL146" s="36"/>
      <c r="AM146" s="36"/>
      <c r="AN146" s="36"/>
    </row>
    <row r="147" spans="6:40" ht="15" customHeight="1">
      <c r="F147" s="860"/>
      <c r="G147" s="861"/>
      <c r="H147" s="265"/>
      <c r="I147" s="265"/>
      <c r="J147" s="265"/>
      <c r="K147" s="265"/>
      <c r="L147" s="265"/>
      <c r="M147" s="265"/>
      <c r="N147" s="265"/>
      <c r="O147" s="265"/>
      <c r="P147" s="265"/>
      <c r="Q147" s="265"/>
      <c r="R147" s="265"/>
      <c r="S147" s="265"/>
      <c r="T147" s="265"/>
      <c r="U147" s="265"/>
      <c r="V147" s="265"/>
      <c r="W147" s="1417"/>
      <c r="X147" s="1428"/>
      <c r="Y147" s="36"/>
      <c r="Z147" s="36"/>
      <c r="AA147" s="36"/>
      <c r="AB147" s="36"/>
      <c r="AC147" s="36"/>
      <c r="AD147" s="36"/>
      <c r="AE147" s="36"/>
      <c r="AF147" s="36"/>
      <c r="AG147" s="36"/>
      <c r="AH147" s="36"/>
      <c r="AI147" s="36"/>
      <c r="AJ147" s="36"/>
      <c r="AK147" s="36"/>
      <c r="AL147" s="36"/>
      <c r="AM147" s="36"/>
      <c r="AN147" s="36"/>
    </row>
    <row r="148" spans="6:40" ht="48" customHeight="1">
      <c r="F148" s="1638" t="s">
        <v>2500</v>
      </c>
      <c r="G148" s="1639"/>
      <c r="H148" s="1640"/>
      <c r="I148" s="1640"/>
      <c r="J148" s="1640"/>
      <c r="K148" s="1506" t="str">
        <f ca="1">IF($H$9&gt;=2,INDIRECT("'"&amp;$H$3&amp;"'!J$130"),"")</f>
        <v>CMS  to  Regional WH</v>
      </c>
      <c r="L148" s="1506" t="str">
        <f t="shared" ref="L148:V148" ca="1" si="15">IF($H$9&gt;=1,"Tier 1","")</f>
        <v>Tier 1</v>
      </c>
      <c r="M148" s="1506" t="str">
        <f t="shared" ca="1" si="15"/>
        <v>Tier 1</v>
      </c>
      <c r="N148" s="1506" t="str">
        <f ca="1">IF($H$9&gt;=3,INDIRECT("'"&amp;$H$3&amp;"'!M$130"),"")</f>
        <v>Regional WH  to  Health Facility</v>
      </c>
      <c r="O148" s="1506" t="str">
        <f t="shared" ca="1" si="15"/>
        <v>Tier 1</v>
      </c>
      <c r="P148" s="1506" t="str">
        <f t="shared" ca="1" si="15"/>
        <v>Tier 1</v>
      </c>
      <c r="Q148" s="1507" t="str">
        <f ca="1">IF($H$9&gt;=4,INDIRECT("'"&amp;$H$3&amp;"'!P$130"),"")</f>
        <v/>
      </c>
      <c r="R148" s="1508" t="str">
        <f t="shared" ca="1" si="15"/>
        <v>Tier 1</v>
      </c>
      <c r="S148" s="1508" t="str">
        <f t="shared" ca="1" si="15"/>
        <v>Tier 1</v>
      </c>
      <c r="T148" s="1507" t="str">
        <f ca="1">IF($H$9&gt;=5,INDIRECT("'"&amp;$H$3&amp;"'!S$130"),"")</f>
        <v/>
      </c>
      <c r="U148" s="1508" t="str">
        <f t="shared" ca="1" si="15"/>
        <v>Tier 1</v>
      </c>
      <c r="V148" s="1508" t="str">
        <f t="shared" ca="1" si="15"/>
        <v>Tier 1</v>
      </c>
      <c r="W148" s="1507" t="str">
        <f ca="1">IF($H$9&gt;=6,INDIRECT("'"&amp;$H$3&amp;"'!V$130"),"")</f>
        <v/>
      </c>
      <c r="X148" s="1464"/>
    </row>
    <row r="149" spans="6:40" ht="15" customHeight="1" outlineLevel="1">
      <c r="F149" s="1641"/>
      <c r="G149" s="51" t="s">
        <v>414</v>
      </c>
      <c r="H149" s="836"/>
      <c r="I149" s="836"/>
      <c r="J149" s="836"/>
      <c r="K149" s="836">
        <f ca="1">IFERROR(IF(INDIRECT("'"&amp;$H$3&amp;"'!K133")=0,0,IF(INDIRECT("'"&amp;$H$3&amp;"'!K153")="Yes",'2_Outputs'!K64,IF(OR(AND(INDIRECT("'"&amp;$H$3&amp;"'!K133")&gt;1,INDIRECT("'"&amp;$H$3&amp;"'!K173")="Yes"),AND(INDIRECT("'"&amp;$H$3&amp;"'!K133")&gt;2,INDIRECT("'"&amp;$H$3&amp;"'!K193")="Yes")),'2_Outputs'!K57,'2_Outputs'!K52))),0)</f>
        <v>3079.125</v>
      </c>
      <c r="L149" s="836"/>
      <c r="M149" s="836"/>
      <c r="N149" s="836">
        <f ca="1">IFERROR(IF(INDIRECT("'"&amp;$H$3&amp;"'!N133")=0,0,IF(INDIRECT("'"&amp;$H$3&amp;"'!N153")="Yes",'2_Outputs'!N64,IF(OR(AND(INDIRECT("'"&amp;$H$3&amp;"'!N133")&gt;1,INDIRECT("'"&amp;$H$3&amp;"'!N173")="Yes"),AND(INDIRECT("'"&amp;$H$3&amp;"'!N133")&gt;2,INDIRECT("'"&amp;$H$3&amp;"'!N193")="Yes")),'2_Outputs'!N57,'2_Outputs'!N52))),0)</f>
        <v>8.5</v>
      </c>
      <c r="O149" s="836"/>
      <c r="P149" s="836"/>
      <c r="Q149" s="836">
        <f ca="1">IFERROR(IF(INDIRECT("'"&amp;$H$3&amp;"'!Q133")=0,0,IF(INDIRECT("'"&amp;$H$3&amp;"'!Q153")="Yes",'2_Outputs'!Q64,IF(OR(AND(INDIRECT("'"&amp;$H$3&amp;"'!Q133")&gt;1,INDIRECT("'"&amp;$H$3&amp;"'!Q173")="Yes"),AND(INDIRECT("'"&amp;$H$3&amp;"'!Q133")&gt;2,INDIRECT("'"&amp;$H$3&amp;"'!Q193")="Yes")),'2_Outputs'!Q57,'2_Outputs'!Q52))),0)</f>
        <v>0</v>
      </c>
      <c r="R149" s="836"/>
      <c r="S149" s="836"/>
      <c r="T149" s="836">
        <f ca="1">IFERROR(IF(INDIRECT("'"&amp;$H$3&amp;"'!T133")=0,0,IF(INDIRECT("'"&amp;$H$3&amp;"'!T153")="Yes",'2_Outputs'!T64,IF(OR(AND(INDIRECT("'"&amp;$H$3&amp;"'!T133")&gt;1,INDIRECT("'"&amp;$H$3&amp;"'!T173")="Yes"),AND(INDIRECT("'"&amp;$H$3&amp;"'!T133")&gt;2,INDIRECT("'"&amp;$H$3&amp;"'!T193")="Yes")),'2_Outputs'!T57,'2_Outputs'!T52))),0)</f>
        <v>0</v>
      </c>
      <c r="U149" s="836"/>
      <c r="V149" s="836"/>
      <c r="W149" s="836">
        <f ca="1">IFERROR(IF(INDIRECT("'"&amp;$H$3&amp;"'!W133")=0,0,IF(INDIRECT("'"&amp;$H$3&amp;"'!W153")="Yes",'2_Outputs'!W64,IF(OR(AND(INDIRECT("'"&amp;$H$3&amp;"'!W133")&gt;1,INDIRECT("'"&amp;$H$3&amp;"'!W173")="Yes"),AND(INDIRECT("'"&amp;$H$3&amp;"'!W133")&gt;2,INDIRECT("'"&amp;$H$3&amp;"'!W193")="Yes")),'2_Outputs'!W57,'2_Outputs'!W52))),0)</f>
        <v>0</v>
      </c>
      <c r="X149" s="1465"/>
      <c r="AK149" s="1"/>
    </row>
    <row r="150" spans="6:40" ht="15" customHeight="1" outlineLevel="1">
      <c r="F150" s="1642" t="s">
        <v>387</v>
      </c>
      <c r="G150" s="1614"/>
      <c r="H150" s="848"/>
      <c r="I150" s="848"/>
      <c r="J150" s="848"/>
      <c r="K150" s="848"/>
      <c r="L150" s="848"/>
      <c r="M150" s="848"/>
      <c r="N150" s="848"/>
      <c r="O150" s="848"/>
      <c r="P150" s="848"/>
      <c r="Q150" s="1643"/>
      <c r="R150" s="1644"/>
      <c r="S150" s="1644"/>
      <c r="T150" s="1643"/>
      <c r="U150" s="1644"/>
      <c r="V150" s="1644"/>
      <c r="W150" s="1643"/>
      <c r="X150" s="1466"/>
      <c r="AK150" s="1"/>
    </row>
    <row r="151" spans="6:40" ht="15" customHeight="1" outlineLevel="1">
      <c r="F151" s="1645"/>
      <c r="G151" s="51" t="s">
        <v>390</v>
      </c>
      <c r="H151" s="836"/>
      <c r="I151" s="836"/>
      <c r="J151" s="836"/>
      <c r="K151" s="836">
        <f ca="1">IFERROR(((K$64*INDIRECT("'"&amp;$H$3&amp;"'!K$95"))*(IF(COUNTIF(INDIRECT("'"&amp;$H$3&amp;"'!K136"),"Public Transport*")=1,K156,K168)/INDIRECT("'"&amp;$H$3&amp;"'!K$95")))/IF(COUNTIF(INDIRECT("'"&amp;$H$3&amp;"'!K136"),"Public Transport*")=1,K154,K170),0)</f>
        <v>0</v>
      </c>
      <c r="L151" s="836"/>
      <c r="M151" s="836"/>
      <c r="N151" s="836">
        <f ca="1">IFERROR(((N$64*INDIRECT("'"&amp;$H$3&amp;"'!N$95"))*(IF(COUNTIF(INDIRECT("'"&amp;$H$3&amp;"'!N136"),"Public Transport*")=1,N156,N168)/INDIRECT("'"&amp;$H$3&amp;"'!N$95")))/IF(COUNTIF(INDIRECT("'"&amp;$H$3&amp;"'!N136"),"Public Transport*")=1,N154,N170),0)</f>
        <v>0</v>
      </c>
      <c r="O151" s="836"/>
      <c r="P151" s="836"/>
      <c r="Q151" s="836">
        <f ca="1">IFERROR(((Q$64*INDIRECT("'"&amp;$H$3&amp;"'!Q$95"))*(IF(COUNTIF(INDIRECT("'"&amp;$H$3&amp;"'!Q136"),"Public Transport*")=1,Q156,Q168)/INDIRECT("'"&amp;$H$3&amp;"'!Q$95")))/IF(COUNTIF(INDIRECT("'"&amp;$H$3&amp;"'!Q136"),"Public Transport*")=1,Q154,Q170),0)</f>
        <v>0</v>
      </c>
      <c r="R151" s="1646"/>
      <c r="S151" s="1646"/>
      <c r="T151" s="836">
        <f ca="1">IFERROR(((T$64*INDIRECT("'"&amp;$H$3&amp;"'!T$95"))*(IF(COUNTIF(INDIRECT("'"&amp;$H$3&amp;"'!T136"),"Public Transport*")=1,T156,T168)/INDIRECT("'"&amp;$H$3&amp;"'!T$95")))/IF(COUNTIF(INDIRECT("'"&amp;$H$3&amp;"'!T136"),"Public Transport*")=1,T154,T170),0)</f>
        <v>0</v>
      </c>
      <c r="U151" s="1646"/>
      <c r="V151" s="1646"/>
      <c r="W151" s="836">
        <f ca="1">IFERROR(((W$64*INDIRECT("'"&amp;$H$3&amp;"'!W$95"))*(IF(COUNTIF(INDIRECT("'"&amp;$H$3&amp;"'!W136"),"Public Transport*")=1,W156,W168)/INDIRECT("'"&amp;$H$3&amp;"'!W$95")))/IF(COUNTIF(INDIRECT("'"&amp;$H$3&amp;"'!W136"),"Public Transport*")=1,W154,W170),0)</f>
        <v>0</v>
      </c>
      <c r="X151" s="1465"/>
      <c r="AK151" s="1"/>
    </row>
    <row r="152" spans="6:40" ht="15" customHeight="1" outlineLevel="1">
      <c r="F152" s="1645"/>
      <c r="G152" s="51" t="s">
        <v>391</v>
      </c>
      <c r="H152" s="836"/>
      <c r="I152" s="836"/>
      <c r="J152" s="836"/>
      <c r="K152" s="836">
        <f ca="1">IFERROR(IF(COUNTIF(INDIRECT("'"&amp;$H$3&amp;"'!K136"),"Public Transport*")=1,(K155/INDIRECT("'"&amp;$H$3&amp;"'!$H$9")),(K171/INDIRECT("'"&amp;$H$3&amp;"'!$H$9"))),0)</f>
        <v>0.90416666666666667</v>
      </c>
      <c r="L152" s="836"/>
      <c r="M152" s="836"/>
      <c r="N152" s="836">
        <f ca="1">IFERROR(IF(COUNTIF(INDIRECT("'"&amp;$H$3&amp;"'!N136"),"Public Transport*")=1,(N155/INDIRECT("'"&amp;$H$3&amp;"'!$H$9")),(N171/INDIRECT("'"&amp;$H$3&amp;"'!$H$9"))),0)</f>
        <v>1.0666666666666667</v>
      </c>
      <c r="O152" s="836"/>
      <c r="P152" s="836"/>
      <c r="Q152" s="836">
        <f ca="1">IFERROR(IF(COUNTIF(INDIRECT("'"&amp;$H$3&amp;"'!Q136"),"Public Transport*")=1,(Q155/INDIRECT("'"&amp;$H$3&amp;"'!$H$9")),(Q171/INDIRECT("'"&amp;$H$3&amp;"'!$H$9"))),0)</f>
        <v>0</v>
      </c>
      <c r="R152" s="1646"/>
      <c r="S152" s="1646"/>
      <c r="T152" s="836">
        <f ca="1">IFERROR(IF(COUNTIF(INDIRECT("'"&amp;$H$3&amp;"'!T136"),"Public Transport*")=1,(T155/INDIRECT("'"&amp;$H$3&amp;"'!$H$9")),(T171/INDIRECT("'"&amp;$H$3&amp;"'!$H$9"))),0)</f>
        <v>0</v>
      </c>
      <c r="U152" s="1646"/>
      <c r="V152" s="1646"/>
      <c r="W152" s="836">
        <f ca="1">IFERROR(IF(COUNTIF(INDIRECT("'"&amp;$H$3&amp;"'!W136"),"Public Transport*")=1,(W155/INDIRECT("'"&amp;$H$3&amp;"'!$H$9")),(W171/INDIRECT("'"&amp;$H$3&amp;"'!$H$9"))),0)</f>
        <v>0</v>
      </c>
      <c r="X152" s="1465"/>
      <c r="AK152" s="1"/>
    </row>
    <row r="153" spans="6:40" ht="15" customHeight="1" outlineLevel="1">
      <c r="F153" s="1647" t="s">
        <v>149</v>
      </c>
      <c r="G153" s="1614"/>
      <c r="H153" s="848"/>
      <c r="I153" s="848"/>
      <c r="J153" s="848"/>
      <c r="K153" s="848"/>
      <c r="L153" s="848"/>
      <c r="M153" s="848"/>
      <c r="N153" s="848"/>
      <c r="O153" s="1644"/>
      <c r="P153" s="1644"/>
      <c r="Q153" s="1648"/>
      <c r="R153" s="1646"/>
      <c r="S153" s="1646"/>
      <c r="T153" s="1648"/>
      <c r="U153" s="1646"/>
      <c r="V153" s="1646"/>
      <c r="W153" s="1648"/>
      <c r="X153" s="1467"/>
      <c r="AK153" s="1"/>
    </row>
    <row r="154" spans="6:40" ht="15" customHeight="1" outlineLevel="1">
      <c r="F154" s="1649"/>
      <c r="G154" s="51" t="s">
        <v>146</v>
      </c>
      <c r="H154" s="837"/>
      <c r="I154" s="837"/>
      <c r="J154" s="837"/>
      <c r="K154" s="837">
        <f ca="1">IFERROR(IF(COUNTIF(INDIRECT("'"&amp;$H$3&amp;"'!K136"),"Public Transport*")=1,IF(INDIRECT("'"&amp;$H$3&amp;"'!K143")="Route-based",K162*INDIRECT("'"&amp;$H$3&amp;"'!K$96"),IF(INDIRECT("'"&amp;$H$3&amp;"'!K143")="Point-to-point",K165*INDIRECT("'"&amp;$H$3&amp;"'!K$96"),0)),0),0)</f>
        <v>0</v>
      </c>
      <c r="L154" s="837"/>
      <c r="M154" s="837"/>
      <c r="N154" s="837">
        <f ca="1">IFERROR(IF(COUNTIF(INDIRECT("'"&amp;$H$3&amp;"'!N136"),"Public Transport*")=1,IF(INDIRECT("'"&amp;$H$3&amp;"'!N143")="Route-based",N162*INDIRECT("'"&amp;$H$3&amp;"'!N$96"),IF(INDIRECT("'"&amp;$H$3&amp;"'!N143")="Point-to-point",N165*INDIRECT("'"&amp;$H$3&amp;"'!N$96"),0)),0),0)</f>
        <v>0</v>
      </c>
      <c r="O154" s="837"/>
      <c r="P154" s="837"/>
      <c r="Q154" s="837">
        <f ca="1">IFERROR(IF(COUNTIF(INDIRECT("'"&amp;$H$3&amp;"'!Q136"),"Public Transport*")=1,IF(INDIRECT("'"&amp;$H$3&amp;"'!Q143")="Route-based",Q162*INDIRECT("'"&amp;$H$3&amp;"'!Q$96"),IF(INDIRECT("'"&amp;$H$3&amp;"'!Q143")="Point-to-point",Q165*INDIRECT("'"&amp;$H$3&amp;"'!Q$96"),0)),0),0)</f>
        <v>0</v>
      </c>
      <c r="R154" s="1650"/>
      <c r="S154" s="1650"/>
      <c r="T154" s="837">
        <f ca="1">IFERROR(IF(COUNTIF(INDIRECT("'"&amp;$H$3&amp;"'!T136"),"Public Transport*")=1,IF(INDIRECT("'"&amp;$H$3&amp;"'!T143")="Route-based",T162*INDIRECT("'"&amp;$H$3&amp;"'!T$96"),IF(INDIRECT("'"&amp;$H$3&amp;"'!T143")="Point-to-point",T165*INDIRECT("'"&amp;$H$3&amp;"'!T$96"),0)),0),0)</f>
        <v>0</v>
      </c>
      <c r="U154" s="1650"/>
      <c r="V154" s="1650"/>
      <c r="W154" s="837">
        <f ca="1">IFERROR(IF(COUNTIF(INDIRECT("'"&amp;$H$3&amp;"'!W136"),"Public Transport*")=1,IF(INDIRECT("'"&amp;$H$3&amp;"'!W143")="Route-based",W162*INDIRECT("'"&amp;$H$3&amp;"'!W$96"),IF(INDIRECT("'"&amp;$H$3&amp;"'!W143")="Point-to-point",W165*INDIRECT("'"&amp;$H$3&amp;"'!W$96"),0)),0),0)</f>
        <v>0</v>
      </c>
      <c r="X154" s="1468"/>
      <c r="Y154" s="36"/>
      <c r="Z154" s="36"/>
      <c r="AA154" s="36"/>
      <c r="AB154" s="36"/>
      <c r="AC154" s="36"/>
      <c r="AD154" s="36"/>
      <c r="AE154" s="36"/>
      <c r="AF154" s="36"/>
      <c r="AG154" s="36"/>
      <c r="AH154" s="36"/>
      <c r="AI154" s="36"/>
      <c r="AJ154" s="36"/>
      <c r="AK154" s="242"/>
      <c r="AL154" s="36"/>
      <c r="AM154" s="36"/>
      <c r="AN154" s="36"/>
    </row>
    <row r="155" spans="6:40" ht="15" customHeight="1" outlineLevel="1">
      <c r="F155" s="1649"/>
      <c r="G155" s="51" t="s">
        <v>147</v>
      </c>
      <c r="H155" s="837"/>
      <c r="I155" s="837"/>
      <c r="J155" s="837"/>
      <c r="K155" s="837">
        <f ca="1">IFERROR(IF(INDIRECT("'"&amp;$H$3&amp;"'!K143")="Route-based",K163*INDIRECT("'"&amp;$H$3&amp;"'!K$96"),IF(INDIRECT("'"&amp;$H$3&amp;"'!K143")="Point-to-point",K166*INDIRECT("'"&amp;$H$3&amp;"'!K$96"),0)),0)</f>
        <v>0</v>
      </c>
      <c r="L155" s="837"/>
      <c r="M155" s="837"/>
      <c r="N155" s="837">
        <f ca="1">IFERROR(IF(INDIRECT("'"&amp;$H$3&amp;"'!N143")="Route-based",N163*INDIRECT("'"&amp;$H$3&amp;"'!N$96"),IF(INDIRECT("'"&amp;$H$3&amp;"'!N143")="Point-to-point",N166*INDIRECT("'"&amp;$H$3&amp;"'!N$96"),0)),0)</f>
        <v>0</v>
      </c>
      <c r="O155" s="837"/>
      <c r="P155" s="837"/>
      <c r="Q155" s="837">
        <f ca="1">IFERROR(IF(INDIRECT("'"&amp;$H$3&amp;"'!Q143")="Route-based",Q163*INDIRECT("'"&amp;$H$3&amp;"'!Q$96"),IF(INDIRECT("'"&amp;$H$3&amp;"'!Q143")="Point-to-point",Q166*INDIRECT("'"&amp;$H$3&amp;"'!Q$96"),0)),0)</f>
        <v>0</v>
      </c>
      <c r="R155" s="1650"/>
      <c r="S155" s="1650"/>
      <c r="T155" s="837">
        <f ca="1">IFERROR(IF(INDIRECT("'"&amp;$H$3&amp;"'!T143")="Route-based",T163*INDIRECT("'"&amp;$H$3&amp;"'!T$96"),IF(INDIRECT("'"&amp;$H$3&amp;"'!T143")="Point-to-point",T166*INDIRECT("'"&amp;$H$3&amp;"'!T$96"),0)),0)</f>
        <v>0</v>
      </c>
      <c r="U155" s="1650"/>
      <c r="V155" s="1650"/>
      <c r="W155" s="837">
        <f ca="1">IFERROR(IF(INDIRECT("'"&amp;$H$3&amp;"'!W143")="Route-based",W163*INDIRECT("'"&amp;$H$3&amp;"'!W$96"),IF(INDIRECT("'"&amp;$H$3&amp;"'!W143")="Point-to-point",W166*INDIRECT("'"&amp;$H$3&amp;"'!W$96"),0)),0)</f>
        <v>0</v>
      </c>
      <c r="X155" s="1468"/>
      <c r="Y155" s="36"/>
      <c r="Z155" s="36"/>
      <c r="AA155" s="36"/>
      <c r="AB155" s="36"/>
      <c r="AC155" s="36"/>
      <c r="AD155" s="36"/>
      <c r="AE155" s="36"/>
      <c r="AF155" s="36"/>
      <c r="AG155" s="36"/>
      <c r="AH155" s="36"/>
      <c r="AI155" s="36"/>
      <c r="AJ155" s="36"/>
      <c r="AK155" s="242"/>
      <c r="AL155" s="36"/>
      <c r="AM155" s="36"/>
      <c r="AN155" s="36"/>
    </row>
    <row r="156" spans="6:40" ht="15" customHeight="1" outlineLevel="1">
      <c r="F156" s="1649"/>
      <c r="G156" s="51" t="s">
        <v>142</v>
      </c>
      <c r="H156" s="1651"/>
      <c r="I156" s="1651"/>
      <c r="J156" s="1651"/>
      <c r="K156" s="1651">
        <f ca="1">IFERROR(IF(COUNTIF(INDIRECT("'"&amp;$H$3&amp;"'!K136"),"Public Transport*")=1,ROUND(INDIRECT("'"&amp;$H$3&amp;"'!K$95")*INDIRECT("'"&amp;$H$3&amp;"'!K135"),0),0),0)</f>
        <v>0</v>
      </c>
      <c r="L156" s="1651"/>
      <c r="M156" s="1651"/>
      <c r="N156" s="1651">
        <f ca="1">IFERROR(IF(COUNTIF(INDIRECT("'"&amp;$H$3&amp;"'!N136"),"Public Transport*")=1,ROUND(INDIRECT("'"&amp;$H$3&amp;"'!N$95")*INDIRECT("'"&amp;$H$3&amp;"'!N135"),0),0),0)</f>
        <v>0</v>
      </c>
      <c r="O156" s="1651"/>
      <c r="P156" s="1651"/>
      <c r="Q156" s="1651">
        <f ca="1">IFERROR(IF(COUNTIF(INDIRECT("'"&amp;$H$3&amp;"'!Q136"),"Public Transport*")=1,ROUND(INDIRECT("'"&amp;$H$3&amp;"'!Q$95")*INDIRECT("'"&amp;$H$3&amp;"'!Q135"),0),0),0)</f>
        <v>0</v>
      </c>
      <c r="R156" s="1652"/>
      <c r="S156" s="1652"/>
      <c r="T156" s="1651">
        <f ca="1">IFERROR(IF(COUNTIF(INDIRECT("'"&amp;$H$3&amp;"'!T136"),"Public Transport*")=1,ROUND(INDIRECT("'"&amp;$H$3&amp;"'!T$95")*INDIRECT("'"&amp;$H$3&amp;"'!T135"),0),0),0)</f>
        <v>0</v>
      </c>
      <c r="U156" s="1652"/>
      <c r="V156" s="1652"/>
      <c r="W156" s="1651">
        <f ca="1">IFERROR(IF(COUNTIF(INDIRECT("'"&amp;$H$3&amp;"'!W136"),"Public Transport*")=1,ROUND(INDIRECT("'"&amp;$H$3&amp;"'!W$95")*INDIRECT("'"&amp;$H$3&amp;"'!W135"),0),0),0)</f>
        <v>0</v>
      </c>
      <c r="X156" s="1466"/>
      <c r="Y156" s="36"/>
      <c r="Z156" s="36"/>
      <c r="AA156" s="36"/>
      <c r="AB156" s="36"/>
      <c r="AC156" s="36"/>
      <c r="AD156" s="36"/>
      <c r="AE156" s="36"/>
      <c r="AF156" s="36"/>
      <c r="AG156" s="36"/>
      <c r="AH156" s="36"/>
      <c r="AI156" s="36"/>
      <c r="AJ156" s="36"/>
      <c r="AK156" s="36"/>
      <c r="AL156" s="36"/>
      <c r="AM156" s="36"/>
      <c r="AN156" s="36" t="s">
        <v>190</v>
      </c>
    </row>
    <row r="157" spans="6:40" ht="15" customHeight="1" outlineLevel="1">
      <c r="F157" s="1649"/>
      <c r="G157" s="51" t="s">
        <v>163</v>
      </c>
      <c r="H157" s="836"/>
      <c r="I157" s="836"/>
      <c r="J157" s="836"/>
      <c r="K157" s="836">
        <f ca="1">IFERROR(INDEX(INDIRECT("'"&amp;$H$3&amp;"'!$H$43:$H$78"),MATCH(INDIRECT("'"&amp;$H$3&amp;"'!K136")&amp;"Maximum delivery capacity (m^3)", INDIRECT("'"&amp;$H$3&amp;"'!$F$43:$F$78"),0))/('2_Outputs'!K$149/INDIRECT("'"&amp;$H$3&amp;"'!K$96")),0)</f>
        <v>0</v>
      </c>
      <c r="L157" s="836"/>
      <c r="M157" s="836"/>
      <c r="N157" s="836">
        <f ca="1">IFERROR(INDEX(INDIRECT("'"&amp;$H$3&amp;"'!$H$43:$H$78"),MATCH(INDIRECT("'"&amp;$H$3&amp;"'!N136")&amp;"Maximum delivery capacity (m^3)", INDIRECT("'"&amp;$H$3&amp;"'!$F$43:$F$78"),0))/('2_Outputs'!N$149/INDIRECT("'"&amp;$H$3&amp;"'!N$96")),0)</f>
        <v>0</v>
      </c>
      <c r="O157" s="836"/>
      <c r="P157" s="836"/>
      <c r="Q157" s="836">
        <f ca="1">IFERROR(INDEX(INDIRECT("'"&amp;$H$3&amp;"'!$H$43:$H$78"),MATCH(INDIRECT("'"&amp;$H$3&amp;"'!Q136")&amp;"Maximum delivery capacity (m^3)", INDIRECT("'"&amp;$H$3&amp;"'!$F$43:$F$78"),0))/('2_Outputs'!Q$149/INDIRECT("'"&amp;$H$3&amp;"'!Q$96")),0)</f>
        <v>0</v>
      </c>
      <c r="R157" s="836"/>
      <c r="S157" s="836"/>
      <c r="T157" s="836">
        <f ca="1">IFERROR(INDEX(INDIRECT("'"&amp;$H$3&amp;"'!$H$43:$H$78"),MATCH(INDIRECT("'"&amp;$H$3&amp;"'!T136")&amp;"Maximum delivery capacity (m^3)", INDIRECT("'"&amp;$H$3&amp;"'!$F$43:$F$78"),0))/('2_Outputs'!T$149/INDIRECT("'"&amp;$H$3&amp;"'!T$96")),0)</f>
        <v>0</v>
      </c>
      <c r="U157" s="836"/>
      <c r="V157" s="836"/>
      <c r="W157" s="836">
        <f ca="1">IFERROR(INDEX(INDIRECT("'"&amp;$H$3&amp;"'!$H$43:$H$78"),MATCH(INDIRECT("'"&amp;$H$3&amp;"'!W136")&amp;"Maximum delivery capacity (m^3)", INDIRECT("'"&amp;$H$3&amp;"'!$F$43:$F$78"),0))/('2_Outputs'!W$149/INDIRECT("'"&amp;$H$3&amp;"'!W$96")),0)</f>
        <v>0</v>
      </c>
      <c r="X157" s="1469"/>
      <c r="Y157" s="36"/>
      <c r="Z157" s="36"/>
      <c r="AA157" s="36"/>
      <c r="AB157" s="36"/>
      <c r="AC157" s="36"/>
      <c r="AD157" s="36"/>
      <c r="AE157" s="36"/>
      <c r="AF157" s="36"/>
      <c r="AG157" s="36"/>
      <c r="AH157" s="36"/>
      <c r="AI157" s="36"/>
      <c r="AJ157" s="36"/>
      <c r="AK157" s="36"/>
      <c r="AL157" s="36"/>
      <c r="AM157" s="36"/>
      <c r="AN157" s="36"/>
    </row>
    <row r="158" spans="6:40" ht="15" customHeight="1" outlineLevel="1">
      <c r="F158" s="1649"/>
      <c r="G158" s="1613" t="s">
        <v>150</v>
      </c>
      <c r="H158" s="842"/>
      <c r="I158" s="842"/>
      <c r="J158" s="842"/>
      <c r="K158" s="842"/>
      <c r="L158" s="842"/>
      <c r="M158" s="842"/>
      <c r="N158" s="842"/>
      <c r="O158" s="842"/>
      <c r="P158" s="842"/>
      <c r="Q158" s="842"/>
      <c r="R158" s="1650"/>
      <c r="S158" s="1650"/>
      <c r="T158" s="842"/>
      <c r="U158" s="1650"/>
      <c r="V158" s="1650"/>
      <c r="W158" s="842"/>
      <c r="X158" s="1470"/>
      <c r="Y158" s="36"/>
      <c r="Z158" s="36"/>
      <c r="AA158" s="36"/>
      <c r="AB158" s="36"/>
      <c r="AC158" s="36"/>
      <c r="AD158" s="36"/>
      <c r="AE158" s="36"/>
      <c r="AF158" s="36"/>
      <c r="AG158" s="36"/>
      <c r="AH158" s="36"/>
      <c r="AI158" s="36"/>
      <c r="AJ158" s="36"/>
      <c r="AK158" s="36"/>
      <c r="AL158" s="36"/>
      <c r="AM158" s="36"/>
      <c r="AN158" s="36"/>
    </row>
    <row r="159" spans="6:40" ht="15" customHeight="1" outlineLevel="1">
      <c r="F159" s="1649"/>
      <c r="G159" s="51" t="s">
        <v>140</v>
      </c>
      <c r="H159" s="836"/>
      <c r="I159" s="836"/>
      <c r="J159" s="836"/>
      <c r="K159" s="836">
        <f ca="1">IFERROR(ROUND(INDIRECT("'"&amp;$H$3&amp;"'!$H$10")/(((1/60)*(INDIRECT("'"&amp;$H$3&amp;"'!K148")+INDIRECT("'"&amp;$H$3&amp;"'!$H$19")*(INDIRECT("'"&amp;$H$3&amp;"'!K149")+(INDIRECT("'"&amp;$H$3&amp;"'!K150")*('2_Outputs'!K$149/INDIRECT("'"&amp;$H$3&amp;"'!K$96")/INDIRECT("'"&amp;$H$3&amp;"'!$H$19"))))))+INDEX(INDIRECT("'"&amp;$H$3&amp;"'!$H$43:$H$78"),MATCH(INDIRECT("'"&amp;$H$3&amp;"'!K136")&amp;"Average duration (hrs) per trip",INDIRECT("'"&amp;$H$3&amp;"'!$F$43:$F$78"),0))),1),0)</f>
        <v>0</v>
      </c>
      <c r="L159" s="836"/>
      <c r="M159" s="836"/>
      <c r="N159" s="836">
        <f ca="1">IFERROR(ROUND(INDIRECT("'"&amp;$H$3&amp;"'!$H$10")/(((1/60)*(INDIRECT("'"&amp;$H$3&amp;"'!N148")+INDIRECT("'"&amp;$H$3&amp;"'!$H$19")*(INDIRECT("'"&amp;$H$3&amp;"'!N149")+(INDIRECT("'"&amp;$H$3&amp;"'!N150")*('2_Outputs'!N$149/INDIRECT("'"&amp;$H$3&amp;"'!N$96")/INDIRECT("'"&amp;$H$3&amp;"'!$H$19"))))))+INDEX(INDIRECT("'"&amp;$H$3&amp;"'!$H$43:$H$78"),MATCH(INDIRECT("'"&amp;$H$3&amp;"'!N136")&amp;"Average duration (hrs) per trip",INDIRECT("'"&amp;$H$3&amp;"'!$F$43:$F$78"),0))),1),0)</f>
        <v>0</v>
      </c>
      <c r="O159" s="836"/>
      <c r="P159" s="836"/>
      <c r="Q159" s="836">
        <f ca="1">IFERROR(ROUND(INDIRECT("'"&amp;$H$3&amp;"'!$H$10")/(((1/60)*(INDIRECT("'"&amp;$H$3&amp;"'!Q148")+INDIRECT("'"&amp;$H$3&amp;"'!$H$19")*(INDIRECT("'"&amp;$H$3&amp;"'!Q149")+(INDIRECT("'"&amp;$H$3&amp;"'!Q150")*('2_Outputs'!Q$149/INDIRECT("'"&amp;$H$3&amp;"'!Q$96")/INDIRECT("'"&amp;$H$3&amp;"'!$H$19"))))))+INDEX(INDIRECT("'"&amp;$H$3&amp;"'!$H$43:$H$78"),MATCH(INDIRECT("'"&amp;$H$3&amp;"'!Q136")&amp;"Average duration (hrs) per trip",INDIRECT("'"&amp;$H$3&amp;"'!$F$43:$F$78"),0))),1),0)</f>
        <v>0</v>
      </c>
      <c r="R159" s="836"/>
      <c r="S159" s="836"/>
      <c r="T159" s="836">
        <f ca="1">IFERROR(ROUND(INDIRECT("'"&amp;$H$3&amp;"'!$H$10")/(((1/60)*(INDIRECT("'"&amp;$H$3&amp;"'!T148")+INDIRECT("'"&amp;$H$3&amp;"'!$H$19")*(INDIRECT("'"&amp;$H$3&amp;"'!T149")+(INDIRECT("'"&amp;$H$3&amp;"'!T150")*('2_Outputs'!T$149/INDIRECT("'"&amp;$H$3&amp;"'!T$96")/INDIRECT("'"&amp;$H$3&amp;"'!$H$19"))))))+INDEX(INDIRECT("'"&amp;$H$3&amp;"'!$H$43:$H$78"),MATCH(INDIRECT("'"&amp;$H$3&amp;"'!T136")&amp;"Average duration (hrs) per trip",INDIRECT("'"&amp;$H$3&amp;"'!$F$43:$F$78"),0))),1),0)</f>
        <v>0</v>
      </c>
      <c r="U159" s="836"/>
      <c r="V159" s="836"/>
      <c r="W159" s="836">
        <f ca="1">IFERROR(ROUND(INDIRECT("'"&amp;$H$3&amp;"'!$H$10")/(((1/60)*(INDIRECT("'"&amp;$H$3&amp;"'!W148")+INDIRECT("'"&amp;$H$3&amp;"'!$H$19")*(INDIRECT("'"&amp;$H$3&amp;"'!W149")+(INDIRECT("'"&amp;$H$3&amp;"'!W150")*('2_Outputs'!W$149/INDIRECT("'"&amp;$H$3&amp;"'!W$96")/INDIRECT("'"&amp;$H$3&amp;"'!$H$19"))))))+INDEX(INDIRECT("'"&amp;$H$3&amp;"'!$H$43:$H$78"),MATCH(INDIRECT("'"&amp;$H$3&amp;"'!W136")&amp;"Average duration (hrs) per trip",INDIRECT("'"&amp;$H$3&amp;"'!$F$43:$F$78"),0))),1),0)</f>
        <v>0</v>
      </c>
      <c r="X159" s="1469"/>
      <c r="Y159" s="36"/>
      <c r="Z159" s="36"/>
      <c r="AA159" s="36"/>
      <c r="AB159" s="36"/>
      <c r="AC159" s="36"/>
      <c r="AD159" s="36"/>
      <c r="AE159" s="36"/>
      <c r="AF159" s="36"/>
      <c r="AG159" s="36"/>
      <c r="AH159" s="36"/>
      <c r="AI159" s="36"/>
      <c r="AJ159" s="36"/>
      <c r="AK159" s="36"/>
      <c r="AL159" s="36"/>
      <c r="AM159" s="36"/>
      <c r="AN159" s="36"/>
    </row>
    <row r="160" spans="6:40" ht="15" customHeight="1" outlineLevel="1">
      <c r="F160" s="1649"/>
      <c r="G160" s="51" t="s">
        <v>141</v>
      </c>
      <c r="H160" s="836"/>
      <c r="I160" s="836"/>
      <c r="J160" s="836"/>
      <c r="K160" s="836">
        <f ca="1">IFERROR(MIN(ROUND(K159*INDIRECT("'"&amp;$H$3&amp;"'!K144"),0),K157),0)</f>
        <v>0</v>
      </c>
      <c r="L160" s="836"/>
      <c r="M160" s="836"/>
      <c r="N160" s="836">
        <f ca="1">IFERROR(MIN(ROUND(N159*INDIRECT("'"&amp;$H$3&amp;"'!N144"),0),N157),0)</f>
        <v>0</v>
      </c>
      <c r="O160" s="836"/>
      <c r="P160" s="836"/>
      <c r="Q160" s="836">
        <f ca="1">IFERROR(MIN(ROUND(Q159*INDIRECT("'"&amp;$H$3&amp;"'!Q144"),0),Q157),0)</f>
        <v>0</v>
      </c>
      <c r="R160" s="836"/>
      <c r="S160" s="836"/>
      <c r="T160" s="836">
        <f ca="1">IFERROR(MIN(ROUND(T159*INDIRECT("'"&amp;$H$3&amp;"'!T144"),0),T157),0)</f>
        <v>0</v>
      </c>
      <c r="U160" s="836"/>
      <c r="V160" s="836"/>
      <c r="W160" s="836">
        <f ca="1">IFERROR(MIN(ROUND(W159*INDIRECT("'"&amp;$H$3&amp;"'!W144"),0),W157),0)</f>
        <v>0</v>
      </c>
      <c r="X160" s="1469"/>
      <c r="Y160" s="36"/>
      <c r="Z160" s="36"/>
      <c r="AA160" s="36"/>
      <c r="AB160" s="36"/>
      <c r="AC160" s="36"/>
      <c r="AD160" s="36"/>
      <c r="AE160" s="36"/>
      <c r="AF160" s="36"/>
      <c r="AG160" s="36"/>
      <c r="AH160" s="36"/>
      <c r="AI160" s="36"/>
      <c r="AJ160" s="36"/>
      <c r="AK160" s="36"/>
      <c r="AL160" s="36"/>
      <c r="AM160" s="36"/>
      <c r="AN160" s="36"/>
    </row>
    <row r="161" spans="6:40" ht="15" customHeight="1" outlineLevel="1">
      <c r="F161" s="1649"/>
      <c r="G161" s="51" t="s">
        <v>143</v>
      </c>
      <c r="H161" s="836"/>
      <c r="I161" s="836"/>
      <c r="J161" s="836"/>
      <c r="K161" s="836">
        <f ca="1">IFERROR(ROUNDUP(K156/K160,0),0)</f>
        <v>0</v>
      </c>
      <c r="L161" s="836"/>
      <c r="M161" s="836"/>
      <c r="N161" s="836">
        <f ca="1">IFERROR(ROUNDUP(N156/N160,0),0)</f>
        <v>0</v>
      </c>
      <c r="O161" s="836"/>
      <c r="P161" s="836"/>
      <c r="Q161" s="836">
        <f ca="1">IFERROR(ROUNDUP(Q156/Q160,0),0)</f>
        <v>0</v>
      </c>
      <c r="R161" s="836"/>
      <c r="S161" s="836"/>
      <c r="T161" s="836">
        <f ca="1">IFERROR(ROUNDUP(T156/T160,0),0)</f>
        <v>0</v>
      </c>
      <c r="U161" s="836"/>
      <c r="V161" s="836"/>
      <c r="W161" s="836">
        <f ca="1">IFERROR(ROUNDUP(W156/W160,0),0)</f>
        <v>0</v>
      </c>
      <c r="X161" s="1469"/>
      <c r="Y161" s="36"/>
      <c r="Z161" s="36"/>
      <c r="AA161" s="36"/>
      <c r="AB161" s="36"/>
      <c r="AC161" s="36"/>
      <c r="AD161" s="36"/>
      <c r="AE161" s="36"/>
      <c r="AF161" s="36"/>
      <c r="AG161" s="36"/>
      <c r="AH161" s="36"/>
      <c r="AI161" s="36"/>
      <c r="AJ161" s="36"/>
      <c r="AK161" s="36"/>
      <c r="AL161" s="36"/>
      <c r="AM161" s="36"/>
      <c r="AN161" s="36"/>
    </row>
    <row r="162" spans="6:40" ht="15" customHeight="1" outlineLevel="1">
      <c r="F162" s="1649"/>
      <c r="G162" s="51" t="s">
        <v>144</v>
      </c>
      <c r="H162" s="836"/>
      <c r="I162" s="836"/>
      <c r="J162" s="836"/>
      <c r="K162" s="836">
        <f ca="1">IFERROR((K161*(MAX(K160,1)+1)),0)</f>
        <v>0</v>
      </c>
      <c r="L162" s="836"/>
      <c r="M162" s="836"/>
      <c r="N162" s="836">
        <f ca="1">IFERROR((N161*(MAX(N160,1)+1)),0)</f>
        <v>0</v>
      </c>
      <c r="O162" s="836"/>
      <c r="P162" s="836"/>
      <c r="Q162" s="836">
        <f ca="1">IFERROR((Q161*(MAX(Q160,1)+1)),0)</f>
        <v>0</v>
      </c>
      <c r="R162" s="836"/>
      <c r="S162" s="836"/>
      <c r="T162" s="836">
        <f ca="1">IFERROR((T161*(MAX(T160,1)+1)),0)</f>
        <v>0</v>
      </c>
      <c r="U162" s="836"/>
      <c r="V162" s="836"/>
      <c r="W162" s="836">
        <f ca="1">IFERROR((W161*(MAX(W160,1)+1)),0)</f>
        <v>0</v>
      </c>
      <c r="X162" s="1469"/>
      <c r="Y162" s="36"/>
      <c r="Z162" s="36"/>
      <c r="AA162" s="36"/>
      <c r="AB162" s="36"/>
      <c r="AC162" s="36"/>
      <c r="AD162" s="36"/>
      <c r="AE162" s="36"/>
      <c r="AF162" s="36"/>
      <c r="AG162" s="36"/>
      <c r="AH162" s="36"/>
      <c r="AI162" s="36"/>
      <c r="AJ162" s="36"/>
      <c r="AK162" s="242"/>
      <c r="AL162" s="36"/>
      <c r="AM162" s="36"/>
      <c r="AN162" s="36"/>
    </row>
    <row r="163" spans="6:40" ht="15" customHeight="1" outlineLevel="1">
      <c r="F163" s="1649"/>
      <c r="G163" s="51" t="s">
        <v>145</v>
      </c>
      <c r="H163" s="836"/>
      <c r="I163" s="836"/>
      <c r="J163" s="836"/>
      <c r="K163" s="836">
        <f ca="1">IFERROR(ROUNDUP(((K162*INDEX(INDIRECT("'"&amp;$H$3&amp;"'!$H$43:$H$78"),MATCH(INDIRECT("'"&amp;$H$3&amp;"'!K136")&amp;"Average duration (hrs) per trip",INDIRECT("'"&amp;$H$3&amp;"'!$F$43:$F$78"),0)))+(K156*((1/60)*(INDIRECT("'"&amp;$H$3&amp;"'!K148")+INDIRECT("'"&amp;$H$3&amp;"'!$H$19")*(INDIRECT("'"&amp;$H$3&amp;"'!K149")+(INDIRECT("'"&amp;$H$3&amp;"'!K150")*('2_Outputs'!K$149/INDIRECT("'"&amp;$H$3&amp;"'!K$96")/INDIRECT("'"&amp;$H$3&amp;"'!$H$19"))))))))/INDIRECT("'"&amp;$H$3&amp;"'!$H$10"),0),0)</f>
        <v>0</v>
      </c>
      <c r="L163" s="836"/>
      <c r="M163" s="836"/>
      <c r="N163" s="836">
        <f ca="1">IFERROR(ROUNDUP(((N162*INDEX(INDIRECT("'"&amp;$H$3&amp;"'!$H$43:$H$78"),MATCH(INDIRECT("'"&amp;$H$3&amp;"'!N136")&amp;"Average duration (hrs) per trip",INDIRECT("'"&amp;$H$3&amp;"'!$F$43:$F$78"),0)))+(N156*((1/60)*(INDIRECT("'"&amp;$H$3&amp;"'!N148")+INDIRECT("'"&amp;$H$3&amp;"'!$H$19")*(INDIRECT("'"&amp;$H$3&amp;"'!N149")+(INDIRECT("'"&amp;$H$3&amp;"'!N150")*('2_Outputs'!N$149/INDIRECT("'"&amp;$H$3&amp;"'!N$96")/INDIRECT("'"&amp;$H$3&amp;"'!$H$19"))))))))/INDIRECT("'"&amp;$H$3&amp;"'!$H$10"),0),0)</f>
        <v>0</v>
      </c>
      <c r="O163" s="836"/>
      <c r="P163" s="836"/>
      <c r="Q163" s="836">
        <f ca="1">IFERROR(ROUNDUP(((Q162*INDEX(INDIRECT("'"&amp;$H$3&amp;"'!$H$43:$H$78"),MATCH(INDIRECT("'"&amp;$H$3&amp;"'!Q136")&amp;"Average duration (hrs) per trip",INDIRECT("'"&amp;$H$3&amp;"'!$F$43:$F$78"),0)))+(Q156*((1/60)*(INDIRECT("'"&amp;$H$3&amp;"'!Q148")+INDIRECT("'"&amp;$H$3&amp;"'!$H$19")*(INDIRECT("'"&amp;$H$3&amp;"'!Q149")+(INDIRECT("'"&amp;$H$3&amp;"'!Q150")*('2_Outputs'!Q$149/INDIRECT("'"&amp;$H$3&amp;"'!Q$96")/INDIRECT("'"&amp;$H$3&amp;"'!$H$19"))))))))/INDIRECT("'"&amp;$H$3&amp;"'!$H$10"),0),0)</f>
        <v>0</v>
      </c>
      <c r="R163" s="836"/>
      <c r="S163" s="836"/>
      <c r="T163" s="836">
        <f ca="1">IFERROR(ROUNDUP(((T162*INDEX(INDIRECT("'"&amp;$H$3&amp;"'!$H$43:$H$78"),MATCH(INDIRECT("'"&amp;$H$3&amp;"'!T136")&amp;"Average duration (hrs) per trip",INDIRECT("'"&amp;$H$3&amp;"'!$F$43:$F$78"),0)))+(T156*((1/60)*(INDIRECT("'"&amp;$H$3&amp;"'!T148")+INDIRECT("'"&amp;$H$3&amp;"'!$H$19")*(INDIRECT("'"&amp;$H$3&amp;"'!T149")+(INDIRECT("'"&amp;$H$3&amp;"'!T150")*('2_Outputs'!T$149/INDIRECT("'"&amp;$H$3&amp;"'!T$96")/INDIRECT("'"&amp;$H$3&amp;"'!$H$19"))))))))/INDIRECT("'"&amp;$H$3&amp;"'!$H$10"),0),0)</f>
        <v>0</v>
      </c>
      <c r="U163" s="836"/>
      <c r="V163" s="836"/>
      <c r="W163" s="836">
        <f ca="1">IFERROR(ROUNDUP(((W162*INDEX(INDIRECT("'"&amp;$H$3&amp;"'!$H$43:$H$78"),MATCH(INDIRECT("'"&amp;$H$3&amp;"'!W136")&amp;"Average duration (hrs) per trip",INDIRECT("'"&amp;$H$3&amp;"'!$F$43:$F$78"),0)))+(W156*((1/60)*(INDIRECT("'"&amp;$H$3&amp;"'!W148")+INDIRECT("'"&amp;$H$3&amp;"'!$H$19")*(INDIRECT("'"&amp;$H$3&amp;"'!W149")+(INDIRECT("'"&amp;$H$3&amp;"'!W150")*('2_Outputs'!W$149/INDIRECT("'"&amp;$H$3&amp;"'!W$96")/INDIRECT("'"&amp;$H$3&amp;"'!$H$19"))))))))/INDIRECT("'"&amp;$H$3&amp;"'!$H$10"),0),0)</f>
        <v>0</v>
      </c>
      <c r="X163" s="1469"/>
      <c r="Y163" s="36"/>
      <c r="Z163" s="36"/>
      <c r="AA163" s="36"/>
      <c r="AB163" s="36"/>
      <c r="AC163" s="36"/>
      <c r="AD163" s="36"/>
      <c r="AE163" s="36"/>
      <c r="AF163" s="36"/>
      <c r="AG163" s="36"/>
      <c r="AH163" s="36"/>
      <c r="AI163" s="36"/>
      <c r="AJ163" s="36"/>
      <c r="AK163" s="242"/>
      <c r="AL163" s="36"/>
      <c r="AM163" s="36"/>
      <c r="AN163" s="36"/>
    </row>
    <row r="164" spans="6:40" ht="15" customHeight="1" outlineLevel="1">
      <c r="F164" s="1649"/>
      <c r="G164" s="1613" t="s">
        <v>841</v>
      </c>
      <c r="H164" s="842"/>
      <c r="I164" s="842"/>
      <c r="J164" s="842"/>
      <c r="K164" s="842"/>
      <c r="L164" s="842"/>
      <c r="M164" s="842"/>
      <c r="N164" s="842"/>
      <c r="O164" s="842"/>
      <c r="P164" s="842"/>
      <c r="Q164" s="842"/>
      <c r="R164" s="1650"/>
      <c r="S164" s="1650"/>
      <c r="T164" s="842"/>
      <c r="U164" s="1650"/>
      <c r="V164" s="1650"/>
      <c r="W164" s="842"/>
      <c r="X164" s="1470"/>
      <c r="Y164" s="36"/>
      <c r="Z164" s="36"/>
      <c r="AA164" s="36"/>
      <c r="AB164" s="36"/>
      <c r="AC164" s="36"/>
      <c r="AD164" s="36"/>
      <c r="AE164" s="36"/>
      <c r="AF164" s="36"/>
      <c r="AG164" s="36"/>
      <c r="AH164" s="36"/>
      <c r="AI164" s="36"/>
      <c r="AJ164" s="36"/>
      <c r="AK164" s="242"/>
      <c r="AL164" s="36"/>
      <c r="AM164" s="36"/>
      <c r="AN164" s="36"/>
    </row>
    <row r="165" spans="6:40" ht="15" customHeight="1" outlineLevel="1">
      <c r="F165" s="1649"/>
      <c r="G165" s="51" t="s">
        <v>144</v>
      </c>
      <c r="H165" s="836"/>
      <c r="I165" s="836"/>
      <c r="J165" s="836"/>
      <c r="K165" s="836">
        <f ca="1">IFERROR((K156/MIN(K157,1))*2,0)</f>
        <v>0</v>
      </c>
      <c r="L165" s="836"/>
      <c r="M165" s="836"/>
      <c r="N165" s="836">
        <f ca="1">IFERROR((N156/MIN(N157,1))*2,0)</f>
        <v>0</v>
      </c>
      <c r="O165" s="836"/>
      <c r="P165" s="836"/>
      <c r="Q165" s="836">
        <f ca="1">IFERROR((Q156/MIN(Q157,1))*2,0)</f>
        <v>0</v>
      </c>
      <c r="R165" s="836"/>
      <c r="S165" s="836"/>
      <c r="T165" s="836">
        <f ca="1">IFERROR((T156/MIN(T157,1))*2,0)</f>
        <v>0</v>
      </c>
      <c r="U165" s="836"/>
      <c r="V165" s="836"/>
      <c r="W165" s="836">
        <f ca="1">IFERROR((W156/MIN(W157,1))*2,0)</f>
        <v>0</v>
      </c>
      <c r="X165" s="1469"/>
      <c r="Y165" s="36"/>
      <c r="Z165" s="36"/>
      <c r="AA165" s="36"/>
      <c r="AB165" s="36"/>
      <c r="AC165" s="36"/>
      <c r="AD165" s="36"/>
      <c r="AE165" s="36"/>
      <c r="AF165" s="36"/>
      <c r="AG165" s="36"/>
      <c r="AH165" s="36"/>
      <c r="AI165" s="36"/>
      <c r="AJ165" s="36"/>
      <c r="AK165" s="36"/>
      <c r="AL165" s="36"/>
      <c r="AM165" s="36"/>
      <c r="AN165" s="36"/>
    </row>
    <row r="166" spans="6:40" ht="15" customHeight="1" outlineLevel="1">
      <c r="F166" s="1649"/>
      <c r="G166" s="51" t="s">
        <v>145</v>
      </c>
      <c r="H166" s="837"/>
      <c r="I166" s="837"/>
      <c r="J166" s="837"/>
      <c r="K166" s="837">
        <f ca="1">IFERROR(MAX(K156,ROUNDUP(((K165*INDEX(INDIRECT("'"&amp;$H$3&amp;"'!$H$43:$H$78"),MATCH(INDIRECT("'"&amp;$H$3&amp;"'!K136")&amp;"Average duration (hrs) per trip",INDIRECT("'"&amp;$H$3&amp;"'!$F$43:$F$78"),0)))+(K156*((1/60)*(INDIRECT("'"&amp;$H$3&amp;"'!K148")+INDIRECT("'"&amp;$H$3&amp;"'!$H$19")*(INDIRECT("'"&amp;$H$3&amp;"'!K149")+(INDIRECT("'"&amp;$H$3&amp;"'!K150")*('2_Outputs'!K$149/INDIRECT("'"&amp;$H$3&amp;"'!K$96")/INDIRECT("'"&amp;$H$3&amp;"'!$H$19"))))))))/INDIRECT("'"&amp;$H$3&amp;"'!$H$10"),0)),0)</f>
        <v>0</v>
      </c>
      <c r="L166" s="837"/>
      <c r="M166" s="837"/>
      <c r="N166" s="837">
        <f ca="1">IFERROR(MAX(N156,ROUNDUP(((N165*INDEX(INDIRECT("'"&amp;$H$3&amp;"'!$H$43:$H$78"),MATCH(INDIRECT("'"&amp;$H$3&amp;"'!N136")&amp;"Average duration (hrs) per trip",INDIRECT("'"&amp;$H$3&amp;"'!$F$43:$F$78"),0)))+(N156*((1/60)*(INDIRECT("'"&amp;$H$3&amp;"'!N148")+INDIRECT("'"&amp;$H$3&amp;"'!$H$19")*(INDIRECT("'"&amp;$H$3&amp;"'!N149")+(INDIRECT("'"&amp;$H$3&amp;"'!N150")*('2_Outputs'!N$149/INDIRECT("'"&amp;$H$3&amp;"'!N$96")/INDIRECT("'"&amp;$H$3&amp;"'!$H$19"))))))))/INDIRECT("'"&amp;$H$3&amp;"'!$H$10"),0)),0)</f>
        <v>0</v>
      </c>
      <c r="O166" s="837"/>
      <c r="P166" s="837"/>
      <c r="Q166" s="837">
        <f ca="1">IFERROR(MAX(Q156,ROUNDUP(((Q165*INDEX(INDIRECT("'"&amp;$H$3&amp;"'!$H$43:$H$78"),MATCH(INDIRECT("'"&amp;$H$3&amp;"'!Q136")&amp;"Average duration (hrs) per trip",INDIRECT("'"&amp;$H$3&amp;"'!$F$43:$F$78"),0)))+(Q156*((1/60)*(INDIRECT("'"&amp;$H$3&amp;"'!Q148")+INDIRECT("'"&amp;$H$3&amp;"'!$H$19")*(INDIRECT("'"&amp;$H$3&amp;"'!Q149")+(INDIRECT("'"&amp;$H$3&amp;"'!Q150")*('2_Outputs'!Q$149/INDIRECT("'"&amp;$H$3&amp;"'!Q$96")/INDIRECT("'"&amp;$H$3&amp;"'!$H$19"))))))))/INDIRECT("'"&amp;$H$3&amp;"'!$H$10"),0)),0)</f>
        <v>0</v>
      </c>
      <c r="R166" s="837"/>
      <c r="S166" s="837"/>
      <c r="T166" s="837">
        <f ca="1">IFERROR(MAX(T156,ROUNDUP(((T165*INDEX(INDIRECT("'"&amp;$H$3&amp;"'!$H$43:$H$78"),MATCH(INDIRECT("'"&amp;$H$3&amp;"'!T136")&amp;"Average duration (hrs) per trip",INDIRECT("'"&amp;$H$3&amp;"'!$F$43:$F$78"),0)))+(T156*((1/60)*(INDIRECT("'"&amp;$H$3&amp;"'!T148")+INDIRECT("'"&amp;$H$3&amp;"'!$H$19")*(INDIRECT("'"&amp;$H$3&amp;"'!T149")+(INDIRECT("'"&amp;$H$3&amp;"'!T150")*('2_Outputs'!T$149/INDIRECT("'"&amp;$H$3&amp;"'!T$96")/INDIRECT("'"&amp;$H$3&amp;"'!$H$19"))))))))/INDIRECT("'"&amp;$H$3&amp;"'!$H$10"),0)),0)</f>
        <v>0</v>
      </c>
      <c r="U166" s="837"/>
      <c r="V166" s="837"/>
      <c r="W166" s="837">
        <f ca="1">IFERROR(MAX(W156,ROUNDUP(((W165*INDEX(INDIRECT("'"&amp;$H$3&amp;"'!$H$43:$H$78"),MATCH(INDIRECT("'"&amp;$H$3&amp;"'!W136")&amp;"Average duration (hrs) per trip",INDIRECT("'"&amp;$H$3&amp;"'!$F$43:$F$78"),0)))+(W156*((1/60)*(INDIRECT("'"&amp;$H$3&amp;"'!W148")+INDIRECT("'"&amp;$H$3&amp;"'!$H$19")*(INDIRECT("'"&amp;$H$3&amp;"'!W149")+(INDIRECT("'"&amp;$H$3&amp;"'!W150")*('2_Outputs'!W$149/INDIRECT("'"&amp;$H$3&amp;"'!W$96")/INDIRECT("'"&amp;$H$3&amp;"'!$H$19"))))))))/INDIRECT("'"&amp;$H$3&amp;"'!$H$10"),0)),0)</f>
        <v>0</v>
      </c>
      <c r="X166" s="1468"/>
      <c r="Y166" s="36"/>
      <c r="Z166" s="36"/>
      <c r="AA166" s="36"/>
      <c r="AB166" s="36"/>
      <c r="AC166" s="36"/>
      <c r="AD166" s="36"/>
      <c r="AE166" s="36"/>
      <c r="AF166" s="36"/>
      <c r="AG166" s="36"/>
      <c r="AH166" s="36"/>
      <c r="AI166" s="36"/>
      <c r="AJ166" s="36"/>
      <c r="AK166" s="36"/>
      <c r="AL166" s="36"/>
      <c r="AM166" s="36"/>
      <c r="AN166" s="36"/>
    </row>
    <row r="167" spans="6:40" ht="15" customHeight="1" outlineLevel="1">
      <c r="F167" s="1647" t="s">
        <v>148</v>
      </c>
      <c r="G167" s="1614"/>
      <c r="H167" s="848"/>
      <c r="I167" s="848"/>
      <c r="J167" s="848"/>
      <c r="K167" s="848"/>
      <c r="L167" s="848"/>
      <c r="M167" s="848"/>
      <c r="N167" s="848"/>
      <c r="O167" s="848"/>
      <c r="P167" s="848"/>
      <c r="Q167" s="848"/>
      <c r="R167" s="1646"/>
      <c r="S167" s="1646"/>
      <c r="T167" s="848"/>
      <c r="U167" s="1646"/>
      <c r="V167" s="1646"/>
      <c r="W167" s="848"/>
      <c r="X167" s="1471"/>
      <c r="Y167" s="36"/>
      <c r="Z167" s="36"/>
      <c r="AA167" s="36"/>
      <c r="AB167" s="36"/>
      <c r="AC167" s="36"/>
      <c r="AD167" s="36"/>
      <c r="AE167" s="36"/>
      <c r="AF167" s="36"/>
      <c r="AG167" s="36"/>
      <c r="AH167" s="36"/>
      <c r="AI167" s="36"/>
      <c r="AJ167" s="36"/>
      <c r="AK167" s="242"/>
      <c r="AL167" s="36"/>
      <c r="AM167" s="36"/>
      <c r="AN167" s="36"/>
    </row>
    <row r="168" spans="6:40" ht="15" customHeight="1" outlineLevel="1">
      <c r="F168" s="1653"/>
      <c r="G168" s="51" t="s">
        <v>151</v>
      </c>
      <c r="H168" s="836"/>
      <c r="I168" s="836"/>
      <c r="J168" s="836"/>
      <c r="K168" s="836">
        <f ca="1">IFERROR(IF(COUNTIF(INDIRECT("'"&amp;$H$3&amp;"'!K136"),"Public Transport*")&lt;1,ROUND(INDIRECT("'"&amp;$H$3&amp;"'!K$95")*INDIRECT("'"&amp;$H$3&amp;"'!K135"),0),0),0)</f>
        <v>1</v>
      </c>
      <c r="L168" s="836"/>
      <c r="M168" s="836"/>
      <c r="N168" s="836">
        <f ca="1">IFERROR(IF(COUNTIF(INDIRECT("'"&amp;$H$3&amp;"'!N136"),"Public Transport*")&lt;1,ROUND(INDIRECT("'"&amp;$H$3&amp;"'!N$95")*INDIRECT("'"&amp;$H$3&amp;"'!N135"),0),0),0)</f>
        <v>345</v>
      </c>
      <c r="O168" s="836"/>
      <c r="P168" s="836"/>
      <c r="Q168" s="836">
        <f ca="1">IFERROR(IF(COUNTIF(INDIRECT("'"&amp;$H$3&amp;"'!Q136"),"Public Transport*")&lt;1,ROUND(INDIRECT("'"&amp;$H$3&amp;"'!Q$95")*INDIRECT("'"&amp;$H$3&amp;"'!Q135"),0),0),0)</f>
        <v>0</v>
      </c>
      <c r="R168" s="1646"/>
      <c r="S168" s="1646"/>
      <c r="T168" s="836">
        <f ca="1">IFERROR(IF(COUNTIF(INDIRECT("'"&amp;$H$3&amp;"'!T136"),"Public Transport*")&lt;1,ROUND(INDIRECT("'"&amp;$H$3&amp;"'!T$95")*INDIRECT("'"&amp;$H$3&amp;"'!T135"),0),0),0)</f>
        <v>0</v>
      </c>
      <c r="U168" s="1646"/>
      <c r="V168" s="1646"/>
      <c r="W168" s="836">
        <f ca="1">IFERROR(IF(COUNTIF(INDIRECT("'"&amp;$H$3&amp;"'!W136"),"Public Transport*")&lt;1,ROUND(INDIRECT("'"&amp;$H$3&amp;"'!W$95")*INDIRECT("'"&amp;$H$3&amp;"'!W135"),0),0),0)</f>
        <v>0</v>
      </c>
      <c r="X168" s="1469"/>
      <c r="Y168" s="36"/>
      <c r="Z168" s="36"/>
      <c r="AA168" s="36"/>
      <c r="AB168" s="36"/>
      <c r="AC168" s="36"/>
      <c r="AD168" s="36"/>
      <c r="AE168" s="36"/>
      <c r="AF168" s="36"/>
      <c r="AG168" s="36"/>
      <c r="AH168" s="36"/>
      <c r="AI168" s="36"/>
      <c r="AJ168" s="36"/>
      <c r="AK168" s="242"/>
      <c r="AL168" s="36"/>
      <c r="AM168" s="36"/>
      <c r="AN168" s="36"/>
    </row>
    <row r="169" spans="6:40" ht="15" customHeight="1" outlineLevel="1">
      <c r="F169" s="52"/>
      <c r="G169" s="51" t="s">
        <v>58</v>
      </c>
      <c r="H169" s="837"/>
      <c r="I169" s="837"/>
      <c r="J169" s="837"/>
      <c r="K169" s="837">
        <f ca="1">IFERROR(IF(INDIRECT("'"&amp;$H$3&amp;"'!K143")="Route-based",K178*K179,IF(INDIRECT("'"&amp;$H$3&amp;"'!K143")="Point-to-point",K183*K184,0)),0)</f>
        <v>147968</v>
      </c>
      <c r="L169" s="837"/>
      <c r="M169" s="837"/>
      <c r="N169" s="837">
        <f ca="1">IFERROR(IF(INDIRECT("'"&amp;$H$3&amp;"'!N143")="Route-based",N178*N179,IF(INDIRECT("'"&amp;$H$3&amp;"'!N143")="Point-to-point",N183*N184,0)),0)</f>
        <v>84525.409365194122</v>
      </c>
      <c r="O169" s="837"/>
      <c r="P169" s="837"/>
      <c r="Q169" s="837">
        <f ca="1">IFERROR(IF(INDIRECT("'"&amp;$H$3&amp;"'!Q143")="Route-based",Q178*Q179,IF(INDIRECT("'"&amp;$H$3&amp;"'!Q143")="Point-to-point",Q183*Q184,0)),0)</f>
        <v>0</v>
      </c>
      <c r="R169" s="1650"/>
      <c r="S169" s="1650"/>
      <c r="T169" s="837">
        <f ca="1">IFERROR(IF(INDIRECT("'"&amp;$H$3&amp;"'!T143")="Route-based",T178*T179,IF(INDIRECT("'"&amp;$H$3&amp;"'!T143")="Point-to-point",T183*T184,0)),0)</f>
        <v>0</v>
      </c>
      <c r="U169" s="1650"/>
      <c r="V169" s="1650"/>
      <c r="W169" s="837">
        <f ca="1">IFERROR(IF(INDIRECT("'"&amp;$H$3&amp;"'!W143")="Route-based",W178*W179,IF(INDIRECT("'"&amp;$H$3&amp;"'!W143")="Point-to-point",W183*W184,0)),0)</f>
        <v>0</v>
      </c>
      <c r="X169" s="1472"/>
      <c r="Y169" s="36"/>
      <c r="Z169" s="36"/>
      <c r="AA169" s="36"/>
      <c r="AB169" s="36"/>
      <c r="AC169" s="36"/>
      <c r="AD169" s="36"/>
      <c r="AE169" s="36"/>
      <c r="AF169" s="36"/>
      <c r="AG169" s="36"/>
      <c r="AH169" s="36"/>
      <c r="AI169" s="36"/>
      <c r="AJ169" s="36"/>
      <c r="AK169" s="36"/>
      <c r="AL169" s="36"/>
      <c r="AM169" s="36"/>
      <c r="AN169" s="36"/>
    </row>
    <row r="170" spans="6:40" ht="15" customHeight="1" outlineLevel="1">
      <c r="F170" s="52"/>
      <c r="G170" s="51" t="s">
        <v>389</v>
      </c>
      <c r="H170" s="837"/>
      <c r="I170" s="837"/>
      <c r="J170" s="837"/>
      <c r="K170" s="837">
        <f ca="1">IFERROR(IF(INDIRECT("'"&amp;$H$3&amp;"'!K143")="Route-based",K178,IF(INDIRECT("'"&amp;$H$3&amp;"'!K143")="Point-to-point",K183,0)),"")</f>
        <v>256</v>
      </c>
      <c r="L170" s="837"/>
      <c r="M170" s="837"/>
      <c r="N170" s="837">
        <f ca="1">IFERROR(IF(INDIRECT("'"&amp;$H$3&amp;"'!N143")="Route-based",N178,IF(INDIRECT("'"&amp;$H$3&amp;"'!N143")="Point-to-point",N183,0)),"")</f>
        <v>244</v>
      </c>
      <c r="O170" s="837"/>
      <c r="P170" s="837"/>
      <c r="Q170" s="837">
        <f ca="1">IFERROR(IF(INDIRECT("'"&amp;$H$3&amp;"'!Q143")="Route-based",Q178,IF(INDIRECT("'"&amp;$H$3&amp;"'!Q143")="Point-to-point",Q183,0)),"")</f>
        <v>0</v>
      </c>
      <c r="R170" s="1650"/>
      <c r="S170" s="1650"/>
      <c r="T170" s="837">
        <f ca="1">IFERROR(IF(INDIRECT("'"&amp;$H$3&amp;"'!T143")="Route-based",T178,IF(INDIRECT("'"&amp;$H$3&amp;"'!T143")="Point-to-point",T183,0)),"")</f>
        <v>0</v>
      </c>
      <c r="U170" s="1650"/>
      <c r="V170" s="1650"/>
      <c r="W170" s="837">
        <f ca="1">IFERROR(IF(INDIRECT("'"&amp;$H$3&amp;"'!W143")="Route-based",W178,IF(INDIRECT("'"&amp;$H$3&amp;"'!W143")="Point-to-point",W183,0)),"")</f>
        <v>0</v>
      </c>
      <c r="X170" s="1472"/>
      <c r="Y170" s="36"/>
      <c r="Z170" s="36"/>
      <c r="AA170" s="36"/>
      <c r="AB170" s="36"/>
      <c r="AC170" s="36"/>
      <c r="AD170" s="36"/>
      <c r="AE170" s="36"/>
      <c r="AF170" s="36"/>
      <c r="AG170" s="36"/>
      <c r="AH170" s="36"/>
      <c r="AI170" s="36"/>
      <c r="AJ170" s="36"/>
      <c r="AK170" s="36"/>
      <c r="AL170" s="36"/>
      <c r="AM170" s="36"/>
      <c r="AN170" s="36"/>
    </row>
    <row r="171" spans="6:40" ht="15" customHeight="1" outlineLevel="1">
      <c r="F171" s="52"/>
      <c r="G171" s="51" t="s">
        <v>49</v>
      </c>
      <c r="H171" s="837"/>
      <c r="I171" s="837"/>
      <c r="J171" s="837"/>
      <c r="K171" s="837">
        <f ca="1">IFERROR(IF(INDIRECT("'"&amp;$H$3&amp;"'!K143")="Route-based",ROUND(K180*K178/INDIRECT("'"&amp;$H$3&amp;"'!$H$10"),0),IF(INDIRECT("'"&amp;$H$3&amp;"'!K143")="Point-to-point",ROUND(((K183*((1/60)*(INDIRECT("'"&amp;$H$3&amp;"'!K148")+INDIRECT("'"&amp;$H$3&amp;"'!$H$19")*(INDIRECT("'"&amp;$H$3&amp;"'!K149")+(INDIRECT("'"&amp;$H$3&amp;"'!K150")*(MIN(('2_Outputs'!K$149/INDIRECT("'"&amp;$H$3&amp;"'!K$96")),INDEX(INDIRECT("'"&amp;$H$3&amp;"'!$H$49:$H$78"),MATCH(INDIRECT("'"&amp;$H$3&amp;"'!K136")&amp;"Delivery Capacity (m^3)",INDIRECT("'"&amp;$H$3&amp;"'!$F$49:$F$78"),0)))/INDIRECT("'"&amp;$H$3&amp;"'!$H$19")))))))+(K169/INDIRECT("'"&amp;$H$3&amp;"'!K152")))/INDIRECT("'"&amp;$H$3&amp;"'!$H$10"),0),0)),0)</f>
        <v>217</v>
      </c>
      <c r="L171" s="837"/>
      <c r="M171" s="837"/>
      <c r="N171" s="837">
        <f ca="1">IFERROR(IF(INDIRECT("'"&amp;$H$3&amp;"'!N143")="Route-based",ROUND(N180*N178/INDIRECT("'"&amp;$H$3&amp;"'!$H$10"),0),IF(INDIRECT("'"&amp;$H$3&amp;"'!N143")="Point-to-point",ROUND(((N183*((1/60)*(INDIRECT("'"&amp;$H$3&amp;"'!N148")+INDIRECT("'"&amp;$H$3&amp;"'!$H$19")*(INDIRECT("'"&amp;$H$3&amp;"'!N149")+(INDIRECT("'"&amp;$H$3&amp;"'!N150")*(MIN(('2_Outputs'!N$149/INDIRECT("'"&amp;$H$3&amp;"'!N$96")),INDEX(INDIRECT("'"&amp;$H$3&amp;"'!$H$49:$H$78"),MATCH(INDIRECT("'"&amp;$H$3&amp;"'!N136")&amp;"Delivery Capacity (m^3)",INDIRECT("'"&amp;$H$3&amp;"'!$F$49:$F$78"),0)))/INDIRECT("'"&amp;$H$3&amp;"'!$H$19")))))))+(N169/INDIRECT("'"&amp;$H$3&amp;"'!N152")))/INDIRECT("'"&amp;$H$3&amp;"'!$H$10"),0),0)),0)</f>
        <v>256</v>
      </c>
      <c r="O171" s="837"/>
      <c r="P171" s="837"/>
      <c r="Q171" s="837">
        <f ca="1">IFERROR(IF(INDIRECT("'"&amp;$H$3&amp;"'!Q143")="Route-based",ROUND(Q180*Q178/INDIRECT("'"&amp;$H$3&amp;"'!$H$10"),0),IF(INDIRECT("'"&amp;$H$3&amp;"'!Q143")="Point-to-point",ROUND(((Q183*((1/60)*(INDIRECT("'"&amp;$H$3&amp;"'!Q148")+INDIRECT("'"&amp;$H$3&amp;"'!$H$19")*(INDIRECT("'"&amp;$H$3&amp;"'!Q149")+(INDIRECT("'"&amp;$H$3&amp;"'!Q150")*(MIN(('2_Outputs'!Q$149/INDIRECT("'"&amp;$H$3&amp;"'!Q$96")),INDEX(INDIRECT("'"&amp;$H$3&amp;"'!$H$49:$H$78"),MATCH(INDIRECT("'"&amp;$H$3&amp;"'!Q136")&amp;"Delivery Capacity (m^3)",INDIRECT("'"&amp;$H$3&amp;"'!$F$49:$F$78"),0)))/INDIRECT("'"&amp;$H$3&amp;"'!$H$19")))))))+(Q169/INDIRECT("'"&amp;$H$3&amp;"'!Q152")))/INDIRECT("'"&amp;$H$3&amp;"'!$H$10"),0),0)),0)</f>
        <v>0</v>
      </c>
      <c r="R171" s="837"/>
      <c r="S171" s="837"/>
      <c r="T171" s="837">
        <f ca="1">IFERROR(IF(INDIRECT("'"&amp;$H$3&amp;"'!T143")="Route-based",ROUND(T180*T178/INDIRECT("'"&amp;$H$3&amp;"'!$H$10"),0),IF(INDIRECT("'"&amp;$H$3&amp;"'!T143")="Point-to-point",ROUND(((T183*((1/60)*(INDIRECT("'"&amp;$H$3&amp;"'!T148")+INDIRECT("'"&amp;$H$3&amp;"'!$H$19")*(INDIRECT("'"&amp;$H$3&amp;"'!T149")+(INDIRECT("'"&amp;$H$3&amp;"'!T150")*(MIN(('2_Outputs'!T$149/INDIRECT("'"&amp;$H$3&amp;"'!T$96")),INDEX(INDIRECT("'"&amp;$H$3&amp;"'!$H$49:$H$78"),MATCH(INDIRECT("'"&amp;$H$3&amp;"'!T136")&amp;"Delivery Capacity (m^3)",INDIRECT("'"&amp;$H$3&amp;"'!$F$49:$F$78"),0)))/INDIRECT("'"&amp;$H$3&amp;"'!$H$19")))))))+(T169/INDIRECT("'"&amp;$H$3&amp;"'!T152")))/INDIRECT("'"&amp;$H$3&amp;"'!$H$10"),0),0)),0)</f>
        <v>0</v>
      </c>
      <c r="U171" s="837"/>
      <c r="V171" s="837"/>
      <c r="W171" s="837">
        <f ca="1">IFERROR(IF(INDIRECT("'"&amp;$H$3&amp;"'!W143")="Route-based",ROUND(W180*W178/INDIRECT("'"&amp;$H$3&amp;"'!$H$10"),0),IF(INDIRECT("'"&amp;$H$3&amp;"'!W143")="Point-to-point",ROUND(((W183*((1/60)*(INDIRECT("'"&amp;$H$3&amp;"'!W148")+INDIRECT("'"&amp;$H$3&amp;"'!$H$19")*(INDIRECT("'"&amp;$H$3&amp;"'!W149")+(INDIRECT("'"&amp;$H$3&amp;"'!W150")*(MIN(('2_Outputs'!W$149/INDIRECT("'"&amp;$H$3&amp;"'!W$96")),INDEX(INDIRECT("'"&amp;$H$3&amp;"'!$H$49:$H$78"),MATCH(INDIRECT("'"&amp;$H$3&amp;"'!W136")&amp;"Delivery Capacity (m^3)",INDIRECT("'"&amp;$H$3&amp;"'!$F$49:$F$78"),0)))/INDIRECT("'"&amp;$H$3&amp;"'!$H$19")))))))+(W169/INDIRECT("'"&amp;$H$3&amp;"'!W152")))/INDIRECT("'"&amp;$H$3&amp;"'!$H$10"),0),0)),0)</f>
        <v>0</v>
      </c>
      <c r="X171" s="1472"/>
      <c r="Y171" s="36"/>
      <c r="Z171" s="36"/>
      <c r="AA171" s="36"/>
      <c r="AB171" s="36"/>
      <c r="AC171" s="36"/>
      <c r="AD171" s="36"/>
      <c r="AE171" s="36"/>
      <c r="AF171" s="36"/>
      <c r="AG171" s="36"/>
      <c r="AH171" s="36"/>
      <c r="AI171" s="36"/>
      <c r="AJ171" s="36"/>
      <c r="AK171" s="36"/>
      <c r="AL171" s="36"/>
      <c r="AM171" s="36"/>
      <c r="AN171" s="36"/>
    </row>
    <row r="172" spans="6:40" ht="15" customHeight="1" outlineLevel="1">
      <c r="F172" s="52"/>
      <c r="G172" s="51" t="s">
        <v>189</v>
      </c>
      <c r="H172" s="839"/>
      <c r="I172" s="839"/>
      <c r="J172" s="839"/>
      <c r="K172" s="839">
        <f ca="1">IFERROR(IF(INDIRECT("'"&amp;$H$3&amp;"'!K143")="Route-based",('2_Outputs'!K$149*K168)/(K178*INDEX(INDIRECT("'"&amp;$H$3&amp;"'!$H$49:$H$78"),MATCH(INDIRECT("'"&amp;$H$3&amp;"'!K136")&amp;"Delivery Capacity (m^3)",INDIRECT("'"&amp;$H$3&amp;"'!$F$49:$F$78"),0))),IF(INDIRECT("'"&amp;$H$3&amp;"'!K143")="Point-to-point",('2_Outputs'!K$149*K168)/(K183*INDEX(INDIRECT("'"&amp;$H$3&amp;"'!$H$49:$H$78"),MATCH(INDIRECT("'"&amp;$H$3&amp;"'!K136")&amp;"Delivery Capacity (m^3)",INDIRECT("'"&amp;$H$3&amp;"'!$F$49:$F$78"),0))),0)),0)</f>
        <v>1.0023193359375</v>
      </c>
      <c r="L172" s="839"/>
      <c r="M172" s="839"/>
      <c r="N172" s="839">
        <f ca="1">IFERROR(IF(INDIRECT("'"&amp;$H$3&amp;"'!N143")="Route-based",('2_Outputs'!N$149*N168)/(N178*INDEX(INDIRECT("'"&amp;$H$3&amp;"'!$H$49:$H$78"),MATCH(INDIRECT("'"&amp;$H$3&amp;"'!N136")&amp;"Delivery Capacity (m^3)",INDIRECT("'"&amp;$H$3&amp;"'!$F$49:$F$78"),0))),IF(INDIRECT("'"&amp;$H$3&amp;"'!N143")="Point-to-point",('2_Outputs'!N$149*N168)/(N183*INDEX(INDIRECT("'"&amp;$H$3&amp;"'!$H$49:$H$78"),MATCH(INDIRECT("'"&amp;$H$3&amp;"'!N136")&amp;"Delivery Capacity (m^3)",INDIRECT("'"&amp;$H$3&amp;"'!$F$49:$F$78"),0))),0)),0)</f>
        <v>1.0015368852459017</v>
      </c>
      <c r="O172" s="839"/>
      <c r="P172" s="839"/>
      <c r="Q172" s="839">
        <f ca="1">IFERROR(IF(INDIRECT("'"&amp;$H$3&amp;"'!Q143")="Route-based",('2_Outputs'!Q$149*Q168)/(Q178*INDEX(INDIRECT("'"&amp;$H$3&amp;"'!$H$49:$H$78"),MATCH(INDIRECT("'"&amp;$H$3&amp;"'!Q136")&amp;"Delivery Capacity (m^3)",INDIRECT("'"&amp;$H$3&amp;"'!$F$49:$F$78"),0))),IF(INDIRECT("'"&amp;$H$3&amp;"'!Q143")="Point-to-point",('2_Outputs'!Q$149*Q168)/(Q183*INDEX(INDIRECT("'"&amp;$H$3&amp;"'!$H$49:$H$78"),MATCH(INDIRECT("'"&amp;$H$3&amp;"'!Q136")&amp;"Delivery Capacity (m^3)",INDIRECT("'"&amp;$H$3&amp;"'!$F$49:$F$78"),0))),0)),0)</f>
        <v>0</v>
      </c>
      <c r="R172" s="839"/>
      <c r="S172" s="839"/>
      <c r="T172" s="839">
        <f ca="1">IFERROR(IF(INDIRECT("'"&amp;$H$3&amp;"'!T143")="Route-based",('2_Outputs'!T$149*T168)/(T178*INDEX(INDIRECT("'"&amp;$H$3&amp;"'!$H$49:$H$78"),MATCH(INDIRECT("'"&amp;$H$3&amp;"'!T136")&amp;"Delivery Capacity (m^3)",INDIRECT("'"&amp;$H$3&amp;"'!$F$49:$F$78"),0))),IF(INDIRECT("'"&amp;$H$3&amp;"'!T143")="Point-to-point",('2_Outputs'!T$149*T168)/(T183*INDEX(INDIRECT("'"&amp;$H$3&amp;"'!$H$49:$H$78"),MATCH(INDIRECT("'"&amp;$H$3&amp;"'!T136")&amp;"Delivery Capacity (m^3)",INDIRECT("'"&amp;$H$3&amp;"'!$F$49:$F$78"),0))),0)),0)</f>
        <v>0</v>
      </c>
      <c r="U172" s="839"/>
      <c r="V172" s="839"/>
      <c r="W172" s="839">
        <f ca="1">IFERROR(IF(INDIRECT("'"&amp;$H$3&amp;"'!W143")="Route-based",('2_Outputs'!W$149*W168)/(W178*INDEX(INDIRECT("'"&amp;$H$3&amp;"'!$H$49:$H$78"),MATCH(INDIRECT("'"&amp;$H$3&amp;"'!W136")&amp;"Delivery Capacity (m^3)",INDIRECT("'"&amp;$H$3&amp;"'!$F$49:$F$78"),0))),IF(INDIRECT("'"&amp;$H$3&amp;"'!W143")="Point-to-point",('2_Outputs'!W$149*W168)/(W183*INDEX(INDIRECT("'"&amp;$H$3&amp;"'!$H$49:$H$78"),MATCH(INDIRECT("'"&amp;$H$3&amp;"'!W136")&amp;"Delivery Capacity (m^3)",INDIRECT("'"&amp;$H$3&amp;"'!$F$49:$F$78"),0))),0)),0)</f>
        <v>0</v>
      </c>
      <c r="X172" s="1473"/>
      <c r="Y172" s="36"/>
      <c r="Z172" s="36"/>
      <c r="AA172" s="36"/>
      <c r="AB172" s="36"/>
      <c r="AC172" s="36"/>
      <c r="AD172" s="36"/>
      <c r="AE172" s="36"/>
      <c r="AF172" s="36"/>
      <c r="AG172" s="36"/>
      <c r="AH172" s="36"/>
      <c r="AI172" s="36"/>
      <c r="AJ172" s="36"/>
      <c r="AK172" s="36" t="s">
        <v>198</v>
      </c>
      <c r="AL172" s="36"/>
      <c r="AM172" s="36"/>
      <c r="AN172" s="36"/>
    </row>
    <row r="173" spans="6:40" ht="15" customHeight="1" outlineLevel="1">
      <c r="F173" s="52"/>
      <c r="G173" s="51" t="s">
        <v>201</v>
      </c>
      <c r="H173" s="839"/>
      <c r="I173" s="839"/>
      <c r="J173" s="839"/>
      <c r="K173" s="839">
        <f ca="1">IFERROR((K171+IF(INDIRECT("'"&amp;$H$3&amp;"'!K205")="Yes",K281,0)+IF(INDIRECT("'"&amp;$H$3&amp;"'!K269")="Yes",K370,0))/(INDIRECT("'"&amp;$H$3&amp;"'!K140")*INDIRECT("'"&amp;$H$3&amp;"'!$H$9")),0)</f>
        <v>0.90416666666666667</v>
      </c>
      <c r="L173" s="839"/>
      <c r="M173" s="839"/>
      <c r="N173" s="1821">
        <f ca="1">IFERROR((N171+IF(INDIRECT("'"&amp;$H$3&amp;"'!N205")="Yes",N281,0)+IF(INDIRECT("'"&amp;$H$3&amp;"'!N269")="Yes",N370,0))/(INDIRECT("'"&amp;$H$3&amp;"'!N140")*INDIRECT("'"&amp;$H$3&amp;"'!$H$9")),0)</f>
        <v>0.71111111111111114</v>
      </c>
      <c r="O173" s="839"/>
      <c r="P173" s="839"/>
      <c r="Q173" s="839">
        <f ca="1">IFERROR((Q171+IF(INDIRECT("'"&amp;$H$3&amp;"'!Q205")="Yes",Q281,0)+IF(INDIRECT("'"&amp;$H$3&amp;"'!Q269")="Yes",Q370,0))/(INDIRECT("'"&amp;$H$3&amp;"'!Q140")*INDIRECT("'"&amp;$H$3&amp;"'!$H$9")),0)</f>
        <v>0</v>
      </c>
      <c r="R173" s="839"/>
      <c r="S173" s="839"/>
      <c r="T173" s="839">
        <f ca="1">IFERROR((T171+IF(INDIRECT("'"&amp;$H$3&amp;"'!T205")="Yes",T281,0)+IF(INDIRECT("'"&amp;$H$3&amp;"'!T269")="Yes",T370,0))/(INDIRECT("'"&amp;$H$3&amp;"'!T140")*INDIRECT("'"&amp;$H$3&amp;"'!$H$9")),0)</f>
        <v>0</v>
      </c>
      <c r="U173" s="839"/>
      <c r="V173" s="839"/>
      <c r="W173" s="839">
        <f ca="1">IFERROR((W171+IF(INDIRECT("'"&amp;$H$3&amp;"'!W205")="Yes",W281,0)+IF(INDIRECT("'"&amp;$H$3&amp;"'!W269")="Yes",W370,0))/(INDIRECT("'"&amp;$H$3&amp;"'!W140")*INDIRECT("'"&amp;$H$3&amp;"'!$H$9")),0)</f>
        <v>0</v>
      </c>
      <c r="X173" s="1473"/>
      <c r="Y173" s="36"/>
      <c r="Z173" s="36"/>
      <c r="AA173" s="36"/>
      <c r="AB173" s="36"/>
      <c r="AC173" s="36"/>
      <c r="AD173" s="36"/>
      <c r="AE173" s="36"/>
      <c r="AF173" s="36"/>
      <c r="AG173" s="36"/>
      <c r="AH173" s="36"/>
      <c r="AI173" s="36"/>
      <c r="AJ173" s="36"/>
      <c r="AK173" s="36"/>
      <c r="AL173" s="36"/>
      <c r="AM173" s="36"/>
      <c r="AN173" s="36"/>
    </row>
    <row r="174" spans="6:40" ht="15" customHeight="1" outlineLevel="1">
      <c r="F174" s="52"/>
      <c r="G174" s="1613" t="s">
        <v>133</v>
      </c>
      <c r="H174" s="842"/>
      <c r="I174" s="842"/>
      <c r="J174" s="842"/>
      <c r="K174" s="842"/>
      <c r="L174" s="842"/>
      <c r="M174" s="842"/>
      <c r="N174" s="842"/>
      <c r="O174" s="842"/>
      <c r="P174" s="842"/>
      <c r="Q174" s="842"/>
      <c r="R174" s="1650"/>
      <c r="S174" s="1650"/>
      <c r="T174" s="842"/>
      <c r="U174" s="1650"/>
      <c r="V174" s="1650"/>
      <c r="W174" s="842"/>
      <c r="X174" s="1470"/>
      <c r="Y174" s="36"/>
      <c r="Z174" s="36"/>
      <c r="AA174" s="36"/>
      <c r="AB174" s="36"/>
      <c r="AC174" s="36"/>
      <c r="AD174" s="36"/>
      <c r="AE174" s="36"/>
      <c r="AF174" s="36"/>
      <c r="AG174" s="36"/>
      <c r="AH174" s="36"/>
      <c r="AI174" s="36"/>
      <c r="AJ174" s="36"/>
      <c r="AK174" s="36"/>
      <c r="AL174" s="36"/>
      <c r="AM174" s="36"/>
      <c r="AN174" s="36"/>
    </row>
    <row r="175" spans="6:40" ht="15" customHeight="1" outlineLevel="1">
      <c r="F175" s="52"/>
      <c r="G175" s="51" t="s">
        <v>127</v>
      </c>
      <c r="H175" s="836"/>
      <c r="I175" s="836"/>
      <c r="J175" s="836"/>
      <c r="K175" s="836">
        <f ca="1">IFERROR(INDEX(INDIRECT("'"&amp;$H$3&amp;"'!$H$49:$H$78"),MATCH(INDIRECT("'"&amp;$H$3&amp;"'!K136")&amp;"Delivery Capacity (m^3)",INDIRECT("'"&amp;$H$3&amp;"'!$F$49:$F$78"),0))/('2_Outputs'!K$149/INDIRECT("'"&amp;$H$3&amp;"'!K$96")),0)</f>
        <v>1.5588844233345512E-2</v>
      </c>
      <c r="L175" s="836"/>
      <c r="M175" s="836"/>
      <c r="N175" s="836">
        <f ca="1">IFERROR(INDEX(INDIRECT("'"&amp;$H$3&amp;"'!$H$49:$H$78"),MATCH(INDIRECT("'"&amp;$H$3&amp;"'!N136")&amp;"Delivery Capacity (m^3)",INDIRECT("'"&amp;$H$3&amp;"'!$F$49:$F$78"),0))/(N$149/INDIRECT("'"&amp;$H$3&amp;"'!N$96")),0)</f>
        <v>5.6470588235294121</v>
      </c>
      <c r="O175" s="836"/>
      <c r="P175" s="836"/>
      <c r="Q175" s="836">
        <f ca="1">IFERROR(INDEX(INDIRECT("'"&amp;$H$3&amp;"'!$H$49:$H$78"),MATCH(INDIRECT("'"&amp;$H$3&amp;"'!Q136")&amp;"Delivery Capacity (m^3)",INDIRECT("'"&amp;$H$3&amp;"'!$F$49:$F$78"),0))/('2_Outputs'!Q$149/INDIRECT("'"&amp;$H$3&amp;"'!Q$96")),0)</f>
        <v>0</v>
      </c>
      <c r="R175" s="836"/>
      <c r="S175" s="836"/>
      <c r="T175" s="836">
        <f ca="1">IFERROR(INDEX(INDIRECT("'"&amp;$H$3&amp;"'!$H$49:$H$78"),MATCH(INDIRECT("'"&amp;$H$3&amp;"'!T136")&amp;"Delivery Capacity (m^3)",INDIRECT("'"&amp;$H$3&amp;"'!$F$49:$F$78"),0))/('2_Outputs'!T$149/INDIRECT("'"&amp;$H$3&amp;"'!T$96")),0)</f>
        <v>0</v>
      </c>
      <c r="U175" s="836"/>
      <c r="V175" s="836"/>
      <c r="W175" s="836">
        <f ca="1">IFERROR(INDEX(INDIRECT("'"&amp;$H$3&amp;"'!$H$49:$H$78"),MATCH(INDIRECT("'"&amp;$H$3&amp;"'!W136")&amp;"Delivery Capacity (m^3)",INDIRECT("'"&amp;$H$3&amp;"'!$F$49:$F$78"),0))/('2_Outputs'!W$149/INDIRECT("'"&amp;$H$3&amp;"'!W$96")),0)</f>
        <v>0</v>
      </c>
      <c r="X175" s="1465"/>
      <c r="Y175" s="36"/>
      <c r="Z175" s="36">
        <f ca="1">INDEX(INDIRECT("'"&amp;$H$3&amp;"'!$H$49:$H$78"),MATCH(INDIRECT("'"&amp;$H$3&amp;"'!N136")&amp;"Delivery Capacity (m^3)",INDIRECT("'"&amp;$H$3&amp;"'!$F$49:$F$78"),0))</f>
        <v>12</v>
      </c>
      <c r="AA175" s="36"/>
      <c r="AB175" s="36"/>
      <c r="AC175" s="36"/>
      <c r="AD175" s="36"/>
      <c r="AE175" s="36"/>
      <c r="AF175" s="36"/>
      <c r="AG175" s="36"/>
      <c r="AH175" s="36"/>
      <c r="AI175" s="36"/>
      <c r="AJ175" s="36"/>
      <c r="AK175" s="36"/>
      <c r="AL175" s="36"/>
      <c r="AM175" s="36"/>
      <c r="AN175" s="36"/>
    </row>
    <row r="176" spans="6:40" ht="15" customHeight="1" outlineLevel="1" collapsed="1">
      <c r="F176" s="52"/>
      <c r="G176" s="51" t="s">
        <v>128</v>
      </c>
      <c r="H176" s="836"/>
      <c r="I176" s="836"/>
      <c r="J176" s="836"/>
      <c r="K176" s="836">
        <f ca="1">IFERROR(((INDIRECT("'"&amp;$H$3&amp;"'!K144")*INDIRECT("'"&amp;$H$3&amp;"'!$H$10"))-(2*INDIRECT("'"&amp;$H$3&amp;"'!K$98")/INDIRECT("'"&amp;$H$3&amp;"'!K152"))+(INDIRECT("'"&amp;$H$3&amp;"'!K$99")/INDIRECT("'"&amp;$H$3&amp;"'!K151")))/(((1/60)*(INDIRECT("'"&amp;$H$3&amp;"'!K148")+INDIRECT("'"&amp;$H$3&amp;"'!$H$19")*(INDIRECT("'"&amp;$H$3&amp;"'!K149")+(INDIRECT("'"&amp;$H$3&amp;"'!K150")*('2_Outputs'!K$149/INDIRECT("'"&amp;$H$3&amp;"'!K$96")/INDIRECT("'"&amp;$H$3&amp;"'!$H$19"))))))+(INDIRECT("'"&amp;$H$3&amp;"'!K$99")/INDIRECT("'"&amp;$H$3&amp;"'!K151"))),0)</f>
        <v>10.219999999999999</v>
      </c>
      <c r="L176" s="836"/>
      <c r="M176" s="836"/>
      <c r="N176" s="836">
        <f ca="1">IFERROR(((INDIRECT("'"&amp;$H$3&amp;"'!N144")*INDIRECT("'"&amp;$H$3&amp;"'!$H$10"))-(2*INDIRECT("'"&amp;$H$3&amp;"'!N$98")/INDIRECT("'"&amp;$H$3&amp;"'!N152"))+(INDIRECT("'"&amp;$H$3&amp;"'!N$99")/INDIRECT("'"&amp;$H$3&amp;"'!N151")))/(((1/60)*(INDIRECT("'"&amp;$H$3&amp;"'!N148")+INDIRECT("'"&amp;$H$3&amp;"'!$H$19")*(INDIRECT("'"&amp;$H$3&amp;"'!N149")+(INDIRECT("'"&amp;$H$3&amp;"'!N150")*('2_Outputs'!N$149/INDIRECT("'"&amp;$H$3&amp;"'!N$96")/INDIRECT("'"&amp;$H$3&amp;"'!$H$19"))))))+(INDIRECT("'"&amp;$H$3&amp;"'!N$99")/INDIRECT("'"&amp;$H$3&amp;"'!N151"))),0)</f>
        <v>12.198946602420028</v>
      </c>
      <c r="O176" s="836"/>
      <c r="P176" s="836"/>
      <c r="Q176" s="836">
        <f ca="1">IFERROR(((INDIRECT("'"&amp;$H$3&amp;"'!Q144")*INDIRECT("'"&amp;$H$3&amp;"'!$H$10"))-(2*INDIRECT("'"&amp;$H$3&amp;"'!Q$98")/INDIRECT("'"&amp;$H$3&amp;"'!Q152"))+(INDIRECT("'"&amp;$H$3&amp;"'!Q$99")/INDIRECT("'"&amp;$H$3&amp;"'!Q151")))/(((1/60)*(INDIRECT("'"&amp;$H$3&amp;"'!Q148")+INDIRECT("'"&amp;$H$3&amp;"'!$H$19")*(INDIRECT("'"&amp;$H$3&amp;"'!Q149")+(INDIRECT("'"&amp;$H$3&amp;"'!Q150")*('2_Outputs'!Q$149/INDIRECT("'"&amp;$H$3&amp;"'!Q$96")/INDIRECT("'"&amp;$H$3&amp;"'!$H$19"))))))+(INDIRECT("'"&amp;$H$3&amp;"'!Q$99")/INDIRECT("'"&amp;$H$3&amp;"'!Q151"))),0)</f>
        <v>0</v>
      </c>
      <c r="R176" s="836"/>
      <c r="S176" s="836"/>
      <c r="T176" s="836">
        <f ca="1">IFERROR(((INDIRECT("'"&amp;$H$3&amp;"'!T144")*INDIRECT("'"&amp;$H$3&amp;"'!$H$10"))-(2*INDIRECT("'"&amp;$H$3&amp;"'!T$98")/INDIRECT("'"&amp;$H$3&amp;"'!T152"))+(INDIRECT("'"&amp;$H$3&amp;"'!T$99")/INDIRECT("'"&amp;$H$3&amp;"'!T151")))/(((1/60)*(INDIRECT("'"&amp;$H$3&amp;"'!T148")+INDIRECT("'"&amp;$H$3&amp;"'!$H$19")*(INDIRECT("'"&amp;$H$3&amp;"'!T149")+(INDIRECT("'"&amp;$H$3&amp;"'!T150")*('2_Outputs'!T$149/INDIRECT("'"&amp;$H$3&amp;"'!T$96")/INDIRECT("'"&amp;$H$3&amp;"'!$H$19"))))))+(INDIRECT("'"&amp;$H$3&amp;"'!T$99")/INDIRECT("'"&amp;$H$3&amp;"'!T151"))),0)</f>
        <v>0</v>
      </c>
      <c r="U176" s="836"/>
      <c r="V176" s="836"/>
      <c r="W176" s="836">
        <f ca="1">IFERROR(((INDIRECT("'"&amp;$H$3&amp;"'!W144")*INDIRECT("'"&amp;$H$3&amp;"'!$H$10"))-(2*INDIRECT("'"&amp;$H$3&amp;"'!W$98")/INDIRECT("'"&amp;$H$3&amp;"'!W152"))+(INDIRECT("'"&amp;$H$3&amp;"'!W$99")/INDIRECT("'"&amp;$H$3&amp;"'!W151")))/(((1/60)*(INDIRECT("'"&amp;$H$3&amp;"'!W148")+INDIRECT("'"&amp;$H$3&amp;"'!$H$19")*(INDIRECT("'"&amp;$H$3&amp;"'!W149")+(INDIRECT("'"&amp;$H$3&amp;"'!W150")*('2_Outputs'!W$149/INDIRECT("'"&amp;$H$3&amp;"'!W$96")/INDIRECT("'"&amp;$H$3&amp;"'!$H$19"))))))+(INDIRECT("'"&amp;$H$3&amp;"'!W$99")/INDIRECT("'"&amp;$H$3&amp;"'!W151"))),0)</f>
        <v>0</v>
      </c>
      <c r="X176" s="1465"/>
      <c r="Y176" s="36"/>
      <c r="Z176" s="36"/>
      <c r="AA176" s="36"/>
      <c r="AB176" s="36"/>
      <c r="AC176" s="36"/>
      <c r="AD176" s="36"/>
      <c r="AE176" s="36"/>
      <c r="AF176" s="36"/>
      <c r="AG176" s="36"/>
      <c r="AH176" s="36"/>
      <c r="AI176" s="36"/>
      <c r="AJ176" s="36"/>
      <c r="AK176" s="36"/>
      <c r="AL176" s="36"/>
      <c r="AM176" s="36"/>
      <c r="AN176" s="36"/>
    </row>
    <row r="177" spans="6:40" ht="15" customHeight="1" outlineLevel="1">
      <c r="F177" s="52"/>
      <c r="G177" s="51" t="s">
        <v>129</v>
      </c>
      <c r="H177" s="836"/>
      <c r="I177" s="836"/>
      <c r="J177" s="836"/>
      <c r="K177" s="836">
        <f ca="1">IFERROR(MIN(K176,K175),0)</f>
        <v>1.5588844233345512E-2</v>
      </c>
      <c r="L177" s="836"/>
      <c r="M177" s="836"/>
      <c r="N177" s="836">
        <f ca="1">IFERROR(MIN(N176,N175),0)</f>
        <v>5.6470588235294121</v>
      </c>
      <c r="O177" s="836"/>
      <c r="P177" s="836"/>
      <c r="Q177" s="836">
        <f ca="1">IFERROR(MIN(Q176,Q175),0)</f>
        <v>0</v>
      </c>
      <c r="R177" s="836"/>
      <c r="S177" s="836"/>
      <c r="T177" s="836">
        <f ca="1">IFERROR(MIN(T176,T175),0)</f>
        <v>0</v>
      </c>
      <c r="U177" s="836"/>
      <c r="V177" s="836"/>
      <c r="W177" s="836">
        <f ca="1">IFERROR(MIN(W176,W175),0)</f>
        <v>0</v>
      </c>
      <c r="X177" s="1465"/>
      <c r="Y177" s="36"/>
      <c r="Z177" s="36"/>
      <c r="AA177" s="36"/>
      <c r="AB177" s="36"/>
      <c r="AC177" s="36"/>
      <c r="AD177" s="36"/>
      <c r="AE177" s="36"/>
      <c r="AF177" s="36"/>
      <c r="AG177" s="36"/>
      <c r="AH177" s="36"/>
      <c r="AI177" s="36"/>
      <c r="AJ177" s="36"/>
      <c r="AK177" s="36"/>
      <c r="AL177" s="36"/>
      <c r="AM177" s="36"/>
      <c r="AN177" s="36"/>
    </row>
    <row r="178" spans="6:40" ht="15" customHeight="1" outlineLevel="1">
      <c r="F178" s="52"/>
      <c r="G178" s="51" t="s">
        <v>188</v>
      </c>
      <c r="H178" s="836"/>
      <c r="I178" s="836"/>
      <c r="J178" s="836"/>
      <c r="K178" s="836">
        <f ca="1">IFERROR(ROUND(K168*INDIRECT("'"&amp;$H$3&amp;"'!K$96")/K177,0),0)</f>
        <v>257</v>
      </c>
      <c r="L178" s="836"/>
      <c r="M178" s="836"/>
      <c r="N178" s="836">
        <f ca="1">IFERROR(ROUND(N168*INDIRECT("'"&amp;$H$3&amp;"'!N$96")/N177,0),0)</f>
        <v>244</v>
      </c>
      <c r="O178" s="836"/>
      <c r="P178" s="836"/>
      <c r="Q178" s="836">
        <f ca="1">IFERROR(ROUND(Q168*INDIRECT("'"&amp;$H$3&amp;"'!Q$96")/Q177,0),0)</f>
        <v>0</v>
      </c>
      <c r="R178" s="836"/>
      <c r="S178" s="836"/>
      <c r="T178" s="836">
        <f ca="1">IFERROR(ROUND(T168*INDIRECT("'"&amp;$H$3&amp;"'!T$96")/T177,0),0)</f>
        <v>0</v>
      </c>
      <c r="U178" s="836"/>
      <c r="V178" s="836"/>
      <c r="W178" s="836">
        <f ca="1">IFERROR(ROUND(W168*INDIRECT("'"&amp;$H$3&amp;"'!W$96")/W177,0),0)</f>
        <v>0</v>
      </c>
      <c r="X178" s="1465"/>
      <c r="Y178" s="36"/>
      <c r="Z178" s="36"/>
      <c r="AA178" s="36"/>
      <c r="AB178" s="36"/>
      <c r="AC178" s="36"/>
      <c r="AD178" s="36"/>
      <c r="AE178" s="36"/>
      <c r="AF178" s="36"/>
      <c r="AG178" s="36"/>
      <c r="AH178" s="36"/>
      <c r="AI178" s="36"/>
      <c r="AJ178" s="36"/>
      <c r="AK178" s="36"/>
      <c r="AL178" s="36"/>
      <c r="AM178" s="36"/>
      <c r="AN178" s="36"/>
    </row>
    <row r="179" spans="6:40" ht="15" customHeight="1" outlineLevel="1">
      <c r="F179" s="52"/>
      <c r="G179" s="51" t="s">
        <v>88</v>
      </c>
      <c r="H179" s="836"/>
      <c r="I179" s="836"/>
      <c r="J179" s="836"/>
      <c r="K179" s="836">
        <f ca="1">IFERROR(IF(K168=0,0,(2*INDIRECT("'"&amp;$H$3&amp;"'!K$98"))+((MAX(K177,1)-1)*INDIRECT("'"&amp;$H$3&amp;"'!K$99"))),0)</f>
        <v>578</v>
      </c>
      <c r="L179" s="836"/>
      <c r="M179" s="836"/>
      <c r="N179" s="836">
        <f ca="1">IFERROR(IF(N168=0,0,(2*INDIRECT("'"&amp;$H$3&amp;"'!N$98"))+((MAX(N177,1)-1)*INDIRECT("'"&amp;$H$3&amp;"'!N$99"))),0)</f>
        <v>346.4156121524349</v>
      </c>
      <c r="O179" s="836"/>
      <c r="P179" s="836"/>
      <c r="Q179" s="836">
        <f ca="1">IFERROR(IF(Q168=0,0,(2*INDIRECT("'"&amp;$H$3&amp;"'!Q$98"))+((MAX(Q177,1)-1)*INDIRECT("'"&amp;$H$3&amp;"'!Q$99"))),0)</f>
        <v>0</v>
      </c>
      <c r="R179" s="836"/>
      <c r="S179" s="836"/>
      <c r="T179" s="836">
        <f ca="1">IFERROR(IF(T168=0,0,(2*INDIRECT("'"&amp;$H$3&amp;"'!T$98"))+((MAX(T177,1)-1)*INDIRECT("'"&amp;$H$3&amp;"'!T$99"))),0)</f>
        <v>0</v>
      </c>
      <c r="U179" s="836"/>
      <c r="V179" s="836"/>
      <c r="W179" s="836">
        <f ca="1">IFERROR(IF(W168=0,0,(2*INDIRECT("'"&amp;$H$3&amp;"'!W$98"))+((MAX(W177,1)-1)*INDIRECT("'"&amp;$H$3&amp;"'!W$99"))),0)</f>
        <v>0</v>
      </c>
      <c r="X179" s="1465"/>
      <c r="Y179" s="36"/>
      <c r="Z179" s="36"/>
      <c r="AA179" s="36"/>
      <c r="AB179" s="36"/>
      <c r="AC179" s="36"/>
      <c r="AD179" s="36"/>
      <c r="AE179" s="36"/>
      <c r="AF179" s="36"/>
      <c r="AG179" s="36"/>
      <c r="AH179" s="36"/>
      <c r="AI179" s="36"/>
      <c r="AJ179" s="36"/>
      <c r="AK179" s="36"/>
      <c r="AL179" s="36"/>
      <c r="AM179" s="36"/>
      <c r="AN179" s="36"/>
    </row>
    <row r="180" spans="6:40" ht="15" customHeight="1" outlineLevel="1">
      <c r="F180" s="52"/>
      <c r="G180" s="51" t="s">
        <v>199</v>
      </c>
      <c r="H180" s="836"/>
      <c r="I180" s="836"/>
      <c r="J180" s="836"/>
      <c r="K180" s="836">
        <f ca="1">IFERROR((ROUNDUP(K177,0)*(1/60)*INDIRECT("'"&amp;$H$3&amp;"'!K148"))+(K177*((1/60)*(INDIRECT("'"&amp;$H$3&amp;"'!$H$19")*(INDIRECT("'"&amp;$H$3&amp;"'!K149")+(INDIRECT("'"&amp;$H$3&amp;"'!K150")*('2_Outputs'!K$149/INDIRECT("'"&amp;$H$3&amp;"'!K$96")/INDIRECT("'"&amp;$H$3&amp;"'!$H$19")))))))+((2*INDIRECT("'"&amp;$H$3&amp;"'!K$98"))/INDIRECT("'"&amp;$H$3&amp;"'!K152"))+(((MAX(K177,1)-1)*INDIRECT("'"&amp;$H$3&amp;"'!K$99"))/INDIRECT("'"&amp;$H$3&amp;"'!K151")),0)</f>
        <v>6.78</v>
      </c>
      <c r="L180" s="836"/>
      <c r="M180" s="836"/>
      <c r="N180" s="836">
        <f ca="1">IFERROR((ROUNDUP(N177,0)*(1/60)*INDIRECT("'"&amp;$H$3&amp;"'!N148"))+(N177*((1/60)*(INDIRECT("'"&amp;$H$3&amp;"'!$H$19")*(INDIRECT("'"&amp;$H$3&amp;"'!N149")+(INDIRECT("'"&amp;$H$3&amp;"'!N150")*('2_Outputs'!N$149/INDIRECT("'"&amp;$H$3&amp;"'!N$96")/INDIRECT("'"&amp;$H$3&amp;"'!$H$19")))))))+((2*INDIRECT("'"&amp;$H$3&amp;"'!N$98"))/INDIRECT("'"&amp;$H$3&amp;"'!N152"))+(((MAX(N177,1)-1)*INDIRECT("'"&amp;$H$3&amp;"'!N$99"))/INDIRECT("'"&amp;$H$3&amp;"'!N151")),0)</f>
        <v>8.4051008629901336</v>
      </c>
      <c r="O180" s="836"/>
      <c r="P180" s="836"/>
      <c r="Q180" s="836">
        <f ca="1">IFERROR((ROUNDUP(Q177,0)*(1/60)*INDIRECT("'"&amp;$H$3&amp;"'!Q148"))+(Q177*((1/60)*(INDIRECT("'"&amp;$H$3&amp;"'!$H$19")*(INDIRECT("'"&amp;$H$3&amp;"'!Q149")+(INDIRECT("'"&amp;$H$3&amp;"'!Q150")*('2_Outputs'!Q$149/INDIRECT("'"&amp;$H$3&amp;"'!Q$96")/INDIRECT("'"&amp;$H$3&amp;"'!$H$19")))))))+((2*INDIRECT("'"&amp;$H$3&amp;"'!Q$98"))/INDIRECT("'"&amp;$H$3&amp;"'!Q152"))+(((MAX(Q177,1)-1)*INDIRECT("'"&amp;$H$3&amp;"'!Q$99"))/INDIRECT("'"&amp;$H$3&amp;"'!Q151")),0)</f>
        <v>0</v>
      </c>
      <c r="R180" s="836"/>
      <c r="S180" s="836"/>
      <c r="T180" s="836">
        <f ca="1">IFERROR((ROUNDUP(T177,0)*(1/60)*INDIRECT("'"&amp;$H$3&amp;"'!T148"))+(T177*((1/60)*(INDIRECT("'"&amp;$H$3&amp;"'!$H$19")*(INDIRECT("'"&amp;$H$3&amp;"'!T149")+(INDIRECT("'"&amp;$H$3&amp;"'!T150")*('2_Outputs'!T$149/INDIRECT("'"&amp;$H$3&amp;"'!T$96")/INDIRECT("'"&amp;$H$3&amp;"'!$H$19")))))))+((2*INDIRECT("'"&amp;$H$3&amp;"'!T$98"))/INDIRECT("'"&amp;$H$3&amp;"'!T152"))+(((MAX(T177,1)-1)*INDIRECT("'"&amp;$H$3&amp;"'!T$99"))/INDIRECT("'"&amp;$H$3&amp;"'!T151")),0)</f>
        <v>0</v>
      </c>
      <c r="U180" s="836"/>
      <c r="V180" s="836"/>
      <c r="W180" s="836">
        <f ca="1">IFERROR((ROUNDUP(W177,0)*(1/60)*INDIRECT("'"&amp;$H$3&amp;"'!W148"))+(W177*((1/60)*(INDIRECT("'"&amp;$H$3&amp;"'!$H$19")*(INDIRECT("'"&amp;$H$3&amp;"'!W149")+(INDIRECT("'"&amp;$H$3&amp;"'!W150")*('2_Outputs'!W$149/INDIRECT("'"&amp;$H$3&amp;"'!W$96")/INDIRECT("'"&amp;$H$3&amp;"'!$H$19")))))))+((2*INDIRECT("'"&amp;$H$3&amp;"'!W$98"))/INDIRECT("'"&amp;$H$3&amp;"'!W152"))+(((MAX(W177,1)-1)*INDIRECT("'"&amp;$H$3&amp;"'!W$99"))/INDIRECT("'"&amp;$H$3&amp;"'!W151")),0)</f>
        <v>0</v>
      </c>
      <c r="X180" s="1465"/>
      <c r="Y180" s="36"/>
      <c r="Z180" s="36"/>
      <c r="AA180" s="36"/>
      <c r="AB180" s="36"/>
      <c r="AC180" s="36"/>
      <c r="AD180" s="36"/>
      <c r="AE180" s="36"/>
      <c r="AF180" s="36"/>
      <c r="AG180" s="36"/>
      <c r="AH180" s="36"/>
      <c r="AI180" s="36"/>
      <c r="AJ180" s="36"/>
      <c r="AK180" s="36" t="s">
        <v>205</v>
      </c>
      <c r="AL180" s="36"/>
      <c r="AM180" s="36"/>
      <c r="AN180" s="36"/>
    </row>
    <row r="181" spans="6:40" ht="15" customHeight="1" outlineLevel="1">
      <c r="F181" s="52"/>
      <c r="G181" s="51" t="s">
        <v>200</v>
      </c>
      <c r="H181" s="836"/>
      <c r="I181" s="836"/>
      <c r="J181" s="836"/>
      <c r="K181" s="836">
        <f ca="1">IFERROR((INDIRECT("'"&amp;$H$3&amp;"'!$H$10")*INDIRECT("'"&amp;$H$3&amp;"'!$H$9")*INDIRECT("'"&amp;$H$3&amp;"'!K140"))/K180,0)</f>
        <v>283.18584070796459</v>
      </c>
      <c r="L181" s="836"/>
      <c r="M181" s="836"/>
      <c r="N181" s="836">
        <f ca="1">IFERROR((INDIRECT("'"&amp;$H$3&amp;"'!$H$10")*INDIRECT("'"&amp;$H$3&amp;"'!$H$9")*INDIRECT("'"&amp;$H$3&amp;"'!N140"))/N180,0)</f>
        <v>342.649070718639</v>
      </c>
      <c r="O181" s="836"/>
      <c r="P181" s="836"/>
      <c r="Q181" s="836">
        <f ca="1">IFERROR((INDIRECT("'"&amp;$H$3&amp;"'!$H$10")*INDIRECT("'"&amp;$H$3&amp;"'!$H$9")*INDIRECT("'"&amp;$H$3&amp;"'!Q140"))/Q180,0)</f>
        <v>0</v>
      </c>
      <c r="R181" s="836"/>
      <c r="S181" s="836"/>
      <c r="T181" s="836">
        <f ca="1">IFERROR((INDIRECT("'"&amp;$H$3&amp;"'!$H$10")*INDIRECT("'"&amp;$H$3&amp;"'!$H$9")*INDIRECT("'"&amp;$H$3&amp;"'!T140"))/T180,0)</f>
        <v>0</v>
      </c>
      <c r="U181" s="836"/>
      <c r="V181" s="836"/>
      <c r="W181" s="836">
        <f ca="1">IFERROR((INDIRECT("'"&amp;$H$3&amp;"'!$H$10")*INDIRECT("'"&amp;$H$3&amp;"'!$H$9")*INDIRECT("'"&amp;$H$3&amp;"'!W140"))/W180,0)</f>
        <v>0</v>
      </c>
      <c r="X181" s="1465"/>
      <c r="Y181" s="36"/>
      <c r="Z181" s="36"/>
      <c r="AA181" s="36"/>
      <c r="AB181" s="36"/>
      <c r="AC181" s="36"/>
      <c r="AD181" s="36"/>
      <c r="AE181" s="36"/>
      <c r="AF181" s="36"/>
      <c r="AG181" s="36"/>
      <c r="AH181" s="36"/>
      <c r="AI181" s="36"/>
      <c r="AJ181" s="36"/>
      <c r="AK181" s="36"/>
      <c r="AL181" s="36"/>
      <c r="AM181" s="36"/>
      <c r="AN181" s="36"/>
    </row>
    <row r="182" spans="6:40" ht="15" customHeight="1" outlineLevel="1">
      <c r="F182" s="52"/>
      <c r="G182" s="1613" t="s">
        <v>134</v>
      </c>
      <c r="H182" s="842"/>
      <c r="I182" s="842"/>
      <c r="J182" s="842"/>
      <c r="K182" s="842"/>
      <c r="L182" s="842"/>
      <c r="M182" s="842"/>
      <c r="N182" s="842"/>
      <c r="O182" s="842"/>
      <c r="P182" s="842"/>
      <c r="Q182" s="842"/>
      <c r="R182" s="1650"/>
      <c r="S182" s="1650"/>
      <c r="T182" s="842"/>
      <c r="U182" s="1650"/>
      <c r="V182" s="1650"/>
      <c r="W182" s="842"/>
      <c r="X182" s="1470"/>
      <c r="Y182" s="36"/>
      <c r="Z182" s="36"/>
      <c r="AA182" s="4"/>
      <c r="AB182" s="36"/>
      <c r="AC182" s="36"/>
      <c r="AD182" s="36"/>
      <c r="AE182" s="36"/>
      <c r="AF182" s="36"/>
      <c r="AG182" s="36"/>
      <c r="AH182" s="36"/>
      <c r="AI182" s="36"/>
      <c r="AJ182" s="36"/>
      <c r="AK182" s="36"/>
      <c r="AL182" s="36"/>
      <c r="AM182" s="36"/>
      <c r="AN182" s="36"/>
    </row>
    <row r="183" spans="6:40" ht="15" customHeight="1" outlineLevel="1">
      <c r="F183" s="52"/>
      <c r="G183" s="51" t="s">
        <v>188</v>
      </c>
      <c r="H183" s="836"/>
      <c r="I183" s="836"/>
      <c r="J183" s="836"/>
      <c r="K183" s="836">
        <f ca="1">IFERROR(K168*INDIRECT("'"&amp;$H$3&amp;"'!K$96")*MAX(1,ROUND(('2_Outputs'!K$149/INDIRECT("'"&amp;$H$3&amp;"'!K$96"))/INDEX(INDIRECT("'"&amp;$H$3&amp;"'!$H$49:$H$78"),MATCH(INDIRECT("'"&amp;$H$3&amp;"'!K136")&amp;"Delivery Capacity (m^3)",INDIRECT("'"&amp;$H$3&amp;"'!$F$49:$F$78"),0)),0)),0)</f>
        <v>256</v>
      </c>
      <c r="L183" s="836"/>
      <c r="M183" s="836"/>
      <c r="N183" s="836">
        <f ca="1">IFERROR(N168*INDIRECT("'"&amp;$H$3&amp;"'!N$96")*MAX(1,ROUND(('2_Outputs'!N$149/INDIRECT("'"&amp;$H$3&amp;"'!N$96"))/INDEX(INDIRECT("'"&amp;$H$3&amp;"'!$H$49:$H$78"),MATCH(INDIRECT("'"&amp;$H$3&amp;"'!N136")&amp;"Delivery Capacity (m^3)",INDIRECT("'"&amp;$H$3&amp;"'!$F$49:$F$78"),0)),0)),0)</f>
        <v>1380</v>
      </c>
      <c r="O183" s="836"/>
      <c r="P183" s="836"/>
      <c r="Q183" s="836">
        <f ca="1">IFERROR(Q168*INDIRECT("'"&amp;$H$3&amp;"'!Q$96")*MAX(1,ROUND(('2_Outputs'!Q$149/INDIRECT("'"&amp;$H$3&amp;"'!Q$96"))/INDEX(INDIRECT("'"&amp;$H$3&amp;"'!$H$49:$H$78"),MATCH(INDIRECT("'"&amp;$H$3&amp;"'!Q136")&amp;"Delivery Capacity (m^3)",INDIRECT("'"&amp;$H$3&amp;"'!$F$49:$F$78"),0)),0)),0)</f>
        <v>0</v>
      </c>
      <c r="R183" s="836"/>
      <c r="S183" s="836"/>
      <c r="T183" s="836">
        <f ca="1">IFERROR(T168*INDIRECT("'"&amp;$H$3&amp;"'!T$96")*MAX(1,ROUND(('2_Outputs'!T$149/INDIRECT("'"&amp;$H$3&amp;"'!T$96"))/INDEX(INDIRECT("'"&amp;$H$3&amp;"'!$H$49:$H$78"),MATCH(INDIRECT("'"&amp;$H$3&amp;"'!T136")&amp;"Delivery Capacity (m^3)",INDIRECT("'"&amp;$H$3&amp;"'!$F$49:$F$78"),0)),0)),0)</f>
        <v>0</v>
      </c>
      <c r="U183" s="836"/>
      <c r="V183" s="836"/>
      <c r="W183" s="836">
        <f ca="1">IFERROR(W168*INDIRECT("'"&amp;$H$3&amp;"'!W$96")*MAX(1,ROUND(('2_Outputs'!W$149/INDIRECT("'"&amp;$H$3&amp;"'!W$96"))/INDEX(INDIRECT("'"&amp;$H$3&amp;"'!$H$49:$H$78"),MATCH(INDIRECT("'"&amp;$H$3&amp;"'!W136")&amp;"Delivery Capacity (m^3)",INDIRECT("'"&amp;$H$3&amp;"'!$F$49:$F$78"),0)),0)),0)</f>
        <v>0</v>
      </c>
      <c r="X183" s="1465"/>
      <c r="Y183" s="36"/>
      <c r="Z183" s="36"/>
      <c r="AA183" s="36"/>
      <c r="AB183" s="36"/>
      <c r="AC183" s="36"/>
      <c r="AD183" s="36"/>
      <c r="AE183" s="36"/>
      <c r="AF183" s="36"/>
      <c r="AG183" s="36"/>
      <c r="AH183" s="36"/>
      <c r="AI183" s="36"/>
      <c r="AJ183" s="36"/>
      <c r="AK183" s="36"/>
      <c r="AL183" s="36"/>
      <c r="AM183" s="36"/>
      <c r="AN183" s="36"/>
    </row>
    <row r="184" spans="6:40" ht="15" customHeight="1" outlineLevel="1">
      <c r="F184" s="52"/>
      <c r="G184" s="51" t="s">
        <v>88</v>
      </c>
      <c r="H184" s="836"/>
      <c r="I184" s="836"/>
      <c r="J184" s="836"/>
      <c r="K184" s="836">
        <f ca="1">IFERROR(IF(K168=0,0,2*INDIRECT("'"&amp;$H$3&amp;"'!K$98")),0)</f>
        <v>578</v>
      </c>
      <c r="L184" s="836"/>
      <c r="M184" s="836"/>
      <c r="N184" s="1654">
        <f ca="1">IFERROR(IF(N168=0,0,2*INDIRECT("'"&amp;$H$3&amp;"'!N$98")),0)</f>
        <v>248.38412077024208</v>
      </c>
      <c r="O184" s="836"/>
      <c r="P184" s="836"/>
      <c r="Q184" s="836">
        <f ca="1">IFERROR(IF(Q168=0,0,2*INDIRECT("'"&amp;$H$3&amp;"'!Q$98")),0)</f>
        <v>0</v>
      </c>
      <c r="R184" s="836"/>
      <c r="S184" s="836"/>
      <c r="T184" s="836">
        <f ca="1">IFERROR(IF(T168=0,0,2*INDIRECT("'"&amp;$H$3&amp;"'!T$98")),0)</f>
        <v>0</v>
      </c>
      <c r="U184" s="836"/>
      <c r="V184" s="836"/>
      <c r="W184" s="836">
        <f ca="1">IFERROR(IF(W168=0,0,2*INDIRECT("'"&amp;$H$3&amp;"'!W$98")),0)</f>
        <v>0</v>
      </c>
      <c r="X184" s="1465"/>
      <c r="Y184" s="36"/>
      <c r="Z184" s="36"/>
      <c r="AA184" s="36"/>
      <c r="AB184" s="36"/>
      <c r="AC184" s="36"/>
      <c r="AD184" s="36"/>
      <c r="AE184" s="36"/>
      <c r="AF184" s="36"/>
      <c r="AG184" s="36"/>
      <c r="AH184" s="36"/>
      <c r="AI184" s="36"/>
      <c r="AJ184" s="36"/>
      <c r="AK184" s="36"/>
      <c r="AL184" s="36"/>
      <c r="AM184" s="36"/>
      <c r="AN184" s="36"/>
    </row>
    <row r="185" spans="6:40" ht="15" customHeight="1" outlineLevel="1">
      <c r="F185" s="52"/>
      <c r="G185" s="51" t="s">
        <v>200</v>
      </c>
      <c r="H185" s="839"/>
      <c r="I185" s="839"/>
      <c r="J185" s="839"/>
      <c r="K185" s="839">
        <f ca="1">(INDIRECT("'"&amp;$H$3&amp;"'!$H$10")*INDIRECT("'"&amp;$H$3&amp;"'!$H$9")*INDIRECT("'"&amp;$H$3&amp;"'!K140"))/((K184/INDIRECT("'"&amp;$H$3&amp;"'!K152"))+((1/60)*(INDIRECT("'"&amp;$H$3&amp;"'!K148")+INDIRECT("'"&amp;$H$3&amp;"'!$H$19")*(INDIRECT("'"&amp;$H$3&amp;"'!K149")+(INDIRECT("'"&amp;$H$3&amp;"'!K150")*(MIN(('2_Outputs'!K$149/INDIRECT("'"&amp;$H$3&amp;"'!K$96")),INDEX(INDIRECT("'"&amp;$H$3&amp;"'!$H$49:$H$78"),MATCH(INDIRECT("'"&amp;$H$3&amp;"'!K136")&amp;"Delivery Capacity (m^3)",INDIRECT("'"&amp;$H$3&amp;"'!$F$49:$F$78"),0)))/INDIRECT("'"&amp;$H$3&amp;"'!$H$19")))))))</f>
        <v>283.18584070796459</v>
      </c>
      <c r="L185" s="839"/>
      <c r="M185" s="839"/>
      <c r="N185" s="839">
        <f ca="1">IFERROR((INDIRECT("'"&amp;$H$3&amp;"'!$H$10")*INDIRECT("'"&amp;$H$3&amp;"'!$H$9")*INDIRECT("'"&amp;$H$3&amp;"'!N140"))/((N184/INDIRECT("'"&amp;$H$3&amp;"'!N152"))+((1/60)*(INDIRECT("'"&amp;$H$3&amp;"'!N148")+INDIRECT("'"&amp;$H$3&amp;"'!$H$19")*(INDIRECT("'"&amp;$H$3&amp;"'!N149")+(INDIRECT("'"&amp;$H$3&amp;"'!N150")*(MIN(('2_Outputs'!N$149/INDIRECT("'"&amp;$H$3&amp;"'!N$96")),INDEX(INDIRECT("'"&amp;$H$3&amp;"'!$H$49:$H$78"),MATCH(INDIRECT("'"&amp;$H$3&amp;"'!N136")&amp;"Delivery Capacity (m^3)",INDIRECT("'"&amp;$H$3&amp;"'!$F$49:$F$78"),0)))/INDIRECT("'"&amp;$H$3&amp;"'!$H$19"))))))),0)</f>
        <v>1022.3008755932984</v>
      </c>
      <c r="O185" s="839"/>
      <c r="P185" s="839"/>
      <c r="Q185" s="839">
        <f ca="1">IFERROR((INDIRECT("'"&amp;$H$3&amp;"'!$H$10")*INDIRECT("'"&amp;$H$3&amp;"'!$H$9")*INDIRECT("'"&amp;$H$3&amp;"'!Q140"))/((Q184/INDIRECT("'"&amp;$H$3&amp;"'!Q152"))+((1/60)*(INDIRECT("'"&amp;$H$3&amp;"'!Q148")+INDIRECT("'"&amp;$H$3&amp;"'!$H$19")*(INDIRECT("'"&amp;$H$3&amp;"'!Q149")+(INDIRECT("'"&amp;$H$3&amp;"'!Q150")*(MIN(('2_Outputs'!Q$149/INDIRECT("'"&amp;$H$3&amp;"'!Q$96")),INDEX(INDIRECT("'"&amp;$H$3&amp;"'!$H$49:$H$78"),MATCH(INDIRECT("'"&amp;$H$3&amp;"'!Q136")&amp;"Delivery Capacity (m^3)",INDIRECT("'"&amp;$H$3&amp;"'!$F$49:$F$78"),0)))/INDIRECT("'"&amp;$H$3&amp;"'!$H$19"))))))),0)</f>
        <v>0</v>
      </c>
      <c r="R185" s="839"/>
      <c r="S185" s="839"/>
      <c r="T185" s="839">
        <f ca="1">IFERROR((INDIRECT("'"&amp;$H$3&amp;"'!$H$10")*INDIRECT("'"&amp;$H$3&amp;"'!$H$9")*INDIRECT("'"&amp;$H$3&amp;"'!T140"))/((T184/INDIRECT("'"&amp;$H$3&amp;"'!T152"))+((1/60)*(INDIRECT("'"&amp;$H$3&amp;"'!T148")+INDIRECT("'"&amp;$H$3&amp;"'!$H$19")*(INDIRECT("'"&amp;$H$3&amp;"'!T149")+(INDIRECT("'"&amp;$H$3&amp;"'!T150")*(MIN(('2_Outputs'!T$149/INDIRECT("'"&amp;$H$3&amp;"'!T$96")),INDEX(INDIRECT("'"&amp;$H$3&amp;"'!$H$49:$H$78"),MATCH(INDIRECT("'"&amp;$H$3&amp;"'!T136")&amp;"Delivery Capacity (m^3)",INDIRECT("'"&amp;$H$3&amp;"'!$F$49:$F$78"),0)))/INDIRECT("'"&amp;$H$3&amp;"'!$H$19"))))))),0)</f>
        <v>0</v>
      </c>
      <c r="U185" s="839"/>
      <c r="V185" s="839"/>
      <c r="W185" s="839">
        <f ca="1">IFERROR((INDIRECT("'"&amp;$H$3&amp;"'!$H$10")*INDIRECT("'"&amp;$H$3&amp;"'!$H$9")*INDIRECT("'"&amp;$H$3&amp;"'!W140"))/((W184/INDIRECT("'"&amp;$H$3&amp;"'!W152"))+((1/60)*(INDIRECT("'"&amp;$H$3&amp;"'!W148")+INDIRECT("'"&amp;$H$3&amp;"'!$H$19")*(INDIRECT("'"&amp;$H$3&amp;"'!W149")+(INDIRECT("'"&amp;$H$3&amp;"'!W150")*(MIN(('2_Outputs'!W$149/INDIRECT("'"&amp;$H$3&amp;"'!W$96")),INDEX(INDIRECT("'"&amp;$H$3&amp;"'!$H$49:$H$78"),MATCH(INDIRECT("'"&amp;$H$3&amp;"'!W136")&amp;"Delivery Capacity (m^3)",INDIRECT("'"&amp;$H$3&amp;"'!$F$49:$F$78"),0)))/INDIRECT("'"&amp;$H$3&amp;"'!$H$19"))))))),0)</f>
        <v>0</v>
      </c>
      <c r="X185" s="1473"/>
      <c r="Y185" s="36"/>
      <c r="Z185" s="4"/>
      <c r="AA185" s="36"/>
      <c r="AB185" s="36"/>
      <c r="AC185" s="36"/>
      <c r="AD185" s="36"/>
      <c r="AE185" s="36"/>
      <c r="AF185" s="36"/>
      <c r="AG185" s="36"/>
      <c r="AH185" s="36"/>
      <c r="AI185" s="36"/>
      <c r="AJ185" s="36"/>
      <c r="AK185" s="36"/>
      <c r="AL185" s="36"/>
      <c r="AM185" s="36"/>
      <c r="AN185" s="36"/>
    </row>
    <row r="186" spans="6:40" ht="48" customHeight="1">
      <c r="F186" s="1638" t="s">
        <v>2501</v>
      </c>
      <c r="G186" s="1639"/>
      <c r="H186" s="1655"/>
      <c r="I186" s="1655"/>
      <c r="J186" s="1655"/>
      <c r="K186" s="1522" t="str">
        <f ca="1">IF($H$9&gt;=2,INDIRECT("'"&amp;$H$3&amp;"'!J$130"),"")</f>
        <v>CMS  to  Regional WH</v>
      </c>
      <c r="L186" s="1522" t="str">
        <f t="shared" ref="L186:V186" ca="1" si="16">IF($H$9&gt;=1,"Tier 1","")</f>
        <v>Tier 1</v>
      </c>
      <c r="M186" s="1522" t="str">
        <f t="shared" ca="1" si="16"/>
        <v>Tier 1</v>
      </c>
      <c r="N186" s="1522" t="str">
        <f ca="1">IF($H$9&gt;=3,INDIRECT("'"&amp;$H$3&amp;"'!M$130"),"")</f>
        <v>Regional WH  to  Health Facility</v>
      </c>
      <c r="O186" s="1522" t="str">
        <f t="shared" ca="1" si="16"/>
        <v>Tier 1</v>
      </c>
      <c r="P186" s="1522" t="str">
        <f t="shared" ca="1" si="16"/>
        <v>Tier 1</v>
      </c>
      <c r="Q186" s="1523" t="str">
        <f ca="1">IF($H$9&gt;=4,INDIRECT("'"&amp;$H$3&amp;"'!P$130"),"")</f>
        <v/>
      </c>
      <c r="R186" s="1512" t="str">
        <f t="shared" ca="1" si="16"/>
        <v>Tier 1</v>
      </c>
      <c r="S186" s="1512" t="str">
        <f t="shared" ca="1" si="16"/>
        <v>Tier 1</v>
      </c>
      <c r="T186" s="1523" t="str">
        <f ca="1">IF($H$9&gt;=5,INDIRECT("'"&amp;$H$3&amp;"'!S$130"),"")</f>
        <v/>
      </c>
      <c r="U186" s="1524" t="str">
        <f t="shared" ca="1" si="16"/>
        <v>Tier 1</v>
      </c>
      <c r="V186" s="1524" t="str">
        <f t="shared" ca="1" si="16"/>
        <v>Tier 1</v>
      </c>
      <c r="W186" s="1523" t="str">
        <f ca="1">IF($H$9&gt;=6,INDIRECT("'"&amp;$H$3&amp;"'!V$130"),"")</f>
        <v/>
      </c>
      <c r="X186" s="1474"/>
      <c r="Y186" s="36"/>
      <c r="Z186" s="36"/>
      <c r="AA186" s="36"/>
      <c r="AB186" s="36"/>
      <c r="AC186" s="36"/>
      <c r="AD186" s="36"/>
      <c r="AE186" s="36"/>
      <c r="AF186" s="36"/>
      <c r="AG186" s="36"/>
      <c r="AH186" s="36"/>
      <c r="AI186" s="36"/>
      <c r="AJ186" s="36"/>
      <c r="AK186" s="242"/>
      <c r="AL186" s="36"/>
      <c r="AM186" s="36"/>
      <c r="AN186" s="36"/>
    </row>
    <row r="187" spans="6:40" ht="15" customHeight="1" outlineLevel="1">
      <c r="F187" s="1641"/>
      <c r="G187" s="51" t="s">
        <v>414</v>
      </c>
      <c r="H187" s="836"/>
      <c r="I187" s="836"/>
      <c r="J187" s="836"/>
      <c r="K187" s="836">
        <f ca="1">IFERROR(IF(INDIRECT("'"&amp;$H$3&amp;"'!K133")=0,0,IF(INDIRECT("'"&amp;$H$3&amp;"'!K173")="Yes",'2_Outputs'!K64,IF(OR(AND(INDIRECT("'"&amp;$H$3&amp;"'!K133")&gt;0,INDIRECT("'"&amp;$H$3&amp;"'!K153")="Yes"),AND(INDIRECT("'"&amp;$H$3&amp;"'!K133")&gt;2,INDIRECT("'"&amp;$H$3&amp;"'!K193")="Yes")),'2_Outputs'!K57,'2_Outputs'!K52))),0)</f>
        <v>3079.125</v>
      </c>
      <c r="L187" s="836"/>
      <c r="M187" s="836"/>
      <c r="N187" s="836">
        <f ca="1">IFERROR(IF(INDIRECT("'"&amp;$H$3&amp;"'!N133")=0,0,IF(INDIRECT("'"&amp;$H$3&amp;"'!N173")="Yes",'2_Outputs'!N64,IF(OR(AND(INDIRECT("'"&amp;$H$3&amp;"'!N133")&gt;0,INDIRECT("'"&amp;$H$3&amp;"'!N153")="Yes"),AND(INDIRECT("'"&amp;$H$3&amp;"'!N133")&gt;2,INDIRECT("'"&amp;$H$3&amp;"'!N193")="Yes")),'2_Outputs'!N57,'2_Outputs'!N52))),0)</f>
        <v>8.5</v>
      </c>
      <c r="O187" s="836"/>
      <c r="P187" s="836"/>
      <c r="Q187" s="836">
        <f ca="1">IFERROR(IF(INDIRECT("'"&amp;$H$3&amp;"'!Q133")=0,0,IF(INDIRECT("'"&amp;$H$3&amp;"'!Q173")="Yes",'2_Outputs'!Q64,IF(OR(AND(INDIRECT("'"&amp;$H$3&amp;"'!Q133")&gt;0,INDIRECT("'"&amp;$H$3&amp;"'!Q153")="Yes"),AND(INDIRECT("'"&amp;$H$3&amp;"'!Q133")&gt;2,INDIRECT("'"&amp;$H$3&amp;"'!Q193")="Yes")),'2_Outputs'!Q57,'2_Outputs'!Q52))),0)</f>
        <v>0</v>
      </c>
      <c r="R187" s="836"/>
      <c r="S187" s="836"/>
      <c r="T187" s="836">
        <f ca="1">IFERROR(IF(INDIRECT("'"&amp;$H$3&amp;"'!T133")=0,0,IF(INDIRECT("'"&amp;$H$3&amp;"'!T173")="Yes",'2_Outputs'!T64,IF(OR(AND(INDIRECT("'"&amp;$H$3&amp;"'!T133")&gt;0,INDIRECT("'"&amp;$H$3&amp;"'!T153")="Yes"),AND(INDIRECT("'"&amp;$H$3&amp;"'!T133")&gt;2,INDIRECT("'"&amp;$H$3&amp;"'!T193")="Yes")),'2_Outputs'!T57,'2_Outputs'!T52))),0)</f>
        <v>0</v>
      </c>
      <c r="U187" s="836"/>
      <c r="V187" s="836"/>
      <c r="W187" s="836">
        <f ca="1">IFERROR(IF(INDIRECT("'"&amp;$H$3&amp;"'!W133")=0,0,IF(INDIRECT("'"&amp;$H$3&amp;"'!W173")="Yes",'2_Outputs'!W64,IF(OR(AND(INDIRECT("'"&amp;$H$3&amp;"'!W133")&gt;0,INDIRECT("'"&amp;$H$3&amp;"'!W153")="Yes"),AND(INDIRECT("'"&amp;$H$3&amp;"'!W133")&gt;2,INDIRECT("'"&amp;$H$3&amp;"'!W193")="Yes")),'2_Outputs'!W57,'2_Outputs'!W52))),0)</f>
        <v>0</v>
      </c>
      <c r="X187" s="1465"/>
      <c r="AK187" s="1"/>
    </row>
    <row r="188" spans="6:40" ht="15" customHeight="1" outlineLevel="1">
      <c r="F188" s="1642" t="s">
        <v>387</v>
      </c>
      <c r="G188" s="1614"/>
      <c r="H188" s="848"/>
      <c r="I188" s="848"/>
      <c r="J188" s="848"/>
      <c r="K188" s="848"/>
      <c r="L188" s="848"/>
      <c r="M188" s="848"/>
      <c r="N188" s="848"/>
      <c r="O188" s="848"/>
      <c r="P188" s="848"/>
      <c r="Q188" s="1643"/>
      <c r="R188" s="1644"/>
      <c r="S188" s="1644"/>
      <c r="T188" s="1643"/>
      <c r="U188" s="1644"/>
      <c r="V188" s="1644"/>
      <c r="W188" s="1643"/>
      <c r="X188" s="1466"/>
      <c r="AK188" s="1"/>
    </row>
    <row r="189" spans="6:40" ht="15" customHeight="1" outlineLevel="1">
      <c r="F189" s="1649"/>
      <c r="G189" s="51" t="s">
        <v>390</v>
      </c>
      <c r="H189" s="836"/>
      <c r="I189" s="836"/>
      <c r="J189" s="836"/>
      <c r="K189" s="836">
        <f ca="1">IFERROR(((K$64*INDIRECT("'"&amp;$H$3&amp;"'!K$95"))*(IF(COUNTIF(INDIRECT("'"&amp;$H$3&amp;"'!K156"),"Public Transport*")=1,K194,K206)/INDIRECT("'"&amp;$H$3&amp;"'!K$95")))/IF(COUNTIF(INDIRECT("'"&amp;$H$3&amp;"'!K156"),"Public Transport*")=1,K192,K208),0)</f>
        <v>0</v>
      </c>
      <c r="L189" s="836"/>
      <c r="M189" s="836"/>
      <c r="N189" s="836">
        <f ca="1">IFERROR(((N$64*INDIRECT("'"&amp;$H$3&amp;"'!N$95"))*(IF(COUNTIF(INDIRECT("'"&amp;$H$3&amp;"'!N156"),"Public Transport*")=1,N194,N206)/INDIRECT("'"&amp;$H$3&amp;"'!N$95")))/IF(COUNTIF(INDIRECT("'"&amp;$H$3&amp;"'!N156"),"Public Transport*")=1,N192,N208),0)</f>
        <v>0</v>
      </c>
      <c r="O189" s="836"/>
      <c r="P189" s="836"/>
      <c r="Q189" s="836">
        <f ca="1">IFERROR(((Q$64*INDIRECT("'"&amp;$H$3&amp;"'!Q$95"))*(IF(COUNTIF(INDIRECT("'"&amp;$H$3&amp;"'!Q156"),"Public Transport*")=1,Q194,Q206)/INDIRECT("'"&amp;$H$3&amp;"'!Q$95")))/IF(COUNTIF(INDIRECT("'"&amp;$H$3&amp;"'!Q156"),"Public Transport*")=1,Q192,Q208),0)</f>
        <v>0</v>
      </c>
      <c r="R189" s="1646"/>
      <c r="S189" s="1646"/>
      <c r="T189" s="836">
        <f ca="1">IFERROR(((T$64*INDIRECT("'"&amp;$H$3&amp;"'!T$95"))*(IF(COUNTIF(INDIRECT("'"&amp;$H$3&amp;"'!T156"),"Public Transport*")=1,T194,T206)/INDIRECT("'"&amp;$H$3&amp;"'!T$95")))/IF(COUNTIF(INDIRECT("'"&amp;$H$3&amp;"'!T156"),"Public Transport*")=1,T192,T208),0)</f>
        <v>0</v>
      </c>
      <c r="U189" s="1646"/>
      <c r="V189" s="1646"/>
      <c r="W189" s="836">
        <f ca="1">IFERROR(((W$64*INDIRECT("'"&amp;$H$3&amp;"'!W$95"))*(IF(COUNTIF(INDIRECT("'"&amp;$H$3&amp;"'!W156"),"Public Transport*")=1,W194,W206)/INDIRECT("'"&amp;$H$3&amp;"'!W$95")))/IF(COUNTIF(INDIRECT("'"&amp;$H$3&amp;"'!W156"),"Public Transport*")=1,W192,W208),0)</f>
        <v>0</v>
      </c>
      <c r="X189" s="1465"/>
      <c r="Y189" s="36"/>
      <c r="Z189" s="36"/>
      <c r="AA189" s="36"/>
      <c r="AB189" s="36"/>
      <c r="AC189" s="36"/>
      <c r="AD189" s="36"/>
      <c r="AE189" s="36"/>
      <c r="AF189" s="36"/>
      <c r="AG189" s="36"/>
      <c r="AH189" s="36"/>
      <c r="AI189" s="36"/>
      <c r="AJ189" s="36"/>
      <c r="AK189" s="242"/>
      <c r="AL189" s="36"/>
      <c r="AM189" s="36"/>
      <c r="AN189" s="36"/>
    </row>
    <row r="190" spans="6:40" ht="15" customHeight="1" outlineLevel="1">
      <c r="F190" s="1649"/>
      <c r="G190" s="51" t="s">
        <v>391</v>
      </c>
      <c r="H190" s="836"/>
      <c r="I190" s="836"/>
      <c r="J190" s="836"/>
      <c r="K190" s="836">
        <f ca="1">IFERROR(IF(COUNTIF(INDIRECT("'"&amp;$H$3&amp;"'!K156"),"Public Transport*")=1,(K193/INDIRECT("'"&amp;$H$3&amp;"'!$H$9")),(K209/INDIRECT("'"&amp;$H$3&amp;"'!$H$9"))),0)</f>
        <v>0</v>
      </c>
      <c r="L190" s="836"/>
      <c r="M190" s="836"/>
      <c r="N190" s="836">
        <f ca="1">IFERROR(IF(COUNTIF(INDIRECT("'"&amp;$H$3&amp;"'!N156"),"Public Transport*")=1,(N193/INDIRECT("'"&amp;$H$3&amp;"'!$H$9")),(N209/INDIRECT("'"&amp;$H$3&amp;"'!$H$9"))),0)</f>
        <v>0</v>
      </c>
      <c r="O190" s="836"/>
      <c r="P190" s="836"/>
      <c r="Q190" s="836">
        <f ca="1">IFERROR(IF(COUNTIF(INDIRECT("'"&amp;$H$3&amp;"'!Q156"),"Public Transport*")=1,(Q193/INDIRECT("'"&amp;$H$3&amp;"'!$H$9")),(Q209/INDIRECT("'"&amp;$H$3&amp;"'!$H$9"))),0)</f>
        <v>0</v>
      </c>
      <c r="R190" s="1646"/>
      <c r="S190" s="1646"/>
      <c r="T190" s="836">
        <f ca="1">IFERROR(IF(COUNTIF(INDIRECT("'"&amp;$H$3&amp;"'!T156"),"Public Transport*")=1,(T193/INDIRECT("'"&amp;$H$3&amp;"'!$H$9")),(T209/INDIRECT("'"&amp;$H$3&amp;"'!$H$9"))),0)</f>
        <v>0</v>
      </c>
      <c r="U190" s="1646"/>
      <c r="V190" s="1646"/>
      <c r="W190" s="836">
        <f ca="1">IFERROR(IF(COUNTIF(INDIRECT("'"&amp;$H$3&amp;"'!W156"),"Public Transport*")=1,(W193/INDIRECT("'"&amp;$H$3&amp;"'!$H$9")),(W209/INDIRECT("'"&amp;$H$3&amp;"'!$H$9"))),0)</f>
        <v>0</v>
      </c>
      <c r="X190" s="1465"/>
      <c r="Y190" s="36"/>
      <c r="Z190" s="36"/>
      <c r="AA190" s="36"/>
      <c r="AB190" s="36"/>
      <c r="AC190" s="36"/>
      <c r="AD190" s="36"/>
      <c r="AE190" s="36"/>
      <c r="AF190" s="36"/>
      <c r="AG190" s="36"/>
      <c r="AH190" s="36"/>
      <c r="AI190" s="36"/>
      <c r="AJ190" s="36"/>
      <c r="AK190" s="242"/>
      <c r="AL190" s="36"/>
      <c r="AM190" s="36"/>
      <c r="AN190" s="36"/>
    </row>
    <row r="191" spans="6:40" ht="15" customHeight="1" outlineLevel="1">
      <c r="F191" s="1647" t="s">
        <v>149</v>
      </c>
      <c r="G191" s="1614"/>
      <c r="H191" s="848"/>
      <c r="I191" s="848"/>
      <c r="J191" s="848"/>
      <c r="K191" s="848"/>
      <c r="L191" s="848"/>
      <c r="M191" s="848"/>
      <c r="N191" s="848"/>
      <c r="O191" s="1644"/>
      <c r="P191" s="1644"/>
      <c r="Q191" s="1648"/>
      <c r="R191" s="1650"/>
      <c r="S191" s="1650"/>
      <c r="T191" s="1648"/>
      <c r="U191" s="1650"/>
      <c r="V191" s="1650"/>
      <c r="W191" s="1648"/>
      <c r="X191" s="1467"/>
      <c r="Y191" s="36"/>
      <c r="Z191" s="36"/>
      <c r="AA191" s="36"/>
      <c r="AB191" s="36"/>
      <c r="AC191" s="36"/>
      <c r="AD191" s="36"/>
      <c r="AE191" s="36"/>
      <c r="AF191" s="36"/>
      <c r="AG191" s="36"/>
      <c r="AH191" s="36"/>
      <c r="AI191" s="36"/>
      <c r="AJ191" s="36"/>
      <c r="AK191" s="242"/>
      <c r="AL191" s="36"/>
      <c r="AM191" s="36"/>
      <c r="AN191" s="36"/>
    </row>
    <row r="192" spans="6:40" ht="15" customHeight="1" outlineLevel="1">
      <c r="F192" s="1649"/>
      <c r="G192" s="51" t="s">
        <v>146</v>
      </c>
      <c r="H192" s="837"/>
      <c r="I192" s="837"/>
      <c r="J192" s="837"/>
      <c r="K192" s="837">
        <f ca="1">IFERROR(IF(COUNTIF(INDIRECT("'"&amp;$H$3&amp;"'!K156"),"Public Transport*")=1,IF(INDIRECT("'"&amp;$H$3&amp;"'!K163")="Route-based",K200*INDIRECT("'"&amp;$H$3&amp;"'!K$96"),IF(INDIRECT("'"&amp;$H$3&amp;"'!K163")="Point-to-point",K203*INDIRECT("'"&amp;$H$3&amp;"'!K$96"),0)),0),0)</f>
        <v>0</v>
      </c>
      <c r="L192" s="837"/>
      <c r="M192" s="837"/>
      <c r="N192" s="837">
        <f ca="1">IFERROR(IF(COUNTIF(INDIRECT("'"&amp;$H$3&amp;"'!N156"),"Public Transport*")=1,IF(INDIRECT("'"&amp;$H$3&amp;"'!N163")="Route-based",N200*INDIRECT("'"&amp;$H$3&amp;"'!N$96"),IF(INDIRECT("'"&amp;$H$3&amp;"'!N163")="Point-to-point",N203*INDIRECT("'"&amp;$H$3&amp;"'!N$96"),0)),0),0)</f>
        <v>0</v>
      </c>
      <c r="O192" s="837"/>
      <c r="P192" s="837"/>
      <c r="Q192" s="837">
        <f ca="1">IFERROR(IF(COUNTIF(INDIRECT("'"&amp;$H$3&amp;"'!Q156"),"Public Transport*")=1,IF(INDIRECT("'"&amp;$H$3&amp;"'!Q163")="Route-based",Q200*INDIRECT("'"&amp;$H$3&amp;"'!Q$96"),IF(INDIRECT("'"&amp;$H$3&amp;"'!Q163")="Point-to-point",Q203*INDIRECT("'"&amp;$H$3&amp;"'!Q$96"),0)),0),0)</f>
        <v>0</v>
      </c>
      <c r="R192" s="1650"/>
      <c r="S192" s="1650"/>
      <c r="T192" s="837">
        <f ca="1">IFERROR(IF(COUNTIF(INDIRECT("'"&amp;$H$3&amp;"'!T156"),"Public Transport*")=1,IF(INDIRECT("'"&amp;$H$3&amp;"'!T163")="Route-based",T200*INDIRECT("'"&amp;$H$3&amp;"'!T$96"),IF(INDIRECT("'"&amp;$H$3&amp;"'!T163")="Point-to-point",T203*INDIRECT("'"&amp;$H$3&amp;"'!T$96"),0)),0),0)</f>
        <v>0</v>
      </c>
      <c r="U192" s="1650"/>
      <c r="V192" s="1650"/>
      <c r="W192" s="837">
        <f ca="1">IFERROR(IF(COUNTIF(INDIRECT("'"&amp;$H$3&amp;"'!W156"),"Public Transport*")=1,IF(INDIRECT("'"&amp;$H$3&amp;"'!W163")="Route-based",W200*INDIRECT("'"&amp;$H$3&amp;"'!W$96"),IF(INDIRECT("'"&amp;$H$3&amp;"'!W163")="Point-to-point",W203*INDIRECT("'"&amp;$H$3&amp;"'!W$96"),0)),0),0)</f>
        <v>0</v>
      </c>
      <c r="X192" s="1468"/>
      <c r="Y192" s="36"/>
      <c r="Z192" s="36"/>
      <c r="AA192" s="36"/>
      <c r="AB192" s="36"/>
      <c r="AC192" s="36"/>
      <c r="AD192" s="36"/>
      <c r="AE192" s="36"/>
      <c r="AF192" s="36"/>
      <c r="AG192" s="36"/>
      <c r="AH192" s="36"/>
      <c r="AI192" s="36"/>
      <c r="AJ192" s="36"/>
      <c r="AK192" s="242"/>
      <c r="AL192" s="36"/>
      <c r="AM192" s="36"/>
      <c r="AN192" s="36"/>
    </row>
    <row r="193" spans="6:40" ht="15" customHeight="1" outlineLevel="1">
      <c r="F193" s="1649"/>
      <c r="G193" s="51" t="s">
        <v>147</v>
      </c>
      <c r="H193" s="837"/>
      <c r="I193" s="837"/>
      <c r="J193" s="837"/>
      <c r="K193" s="837">
        <f ca="1">IFERROR(IF(INDIRECT("'"&amp;$H$3&amp;"'!K163")="Route-based",K201*INDIRECT("'"&amp;$H$3&amp;"'!K$96"),IF(INDIRECT("'"&amp;$H$3&amp;"'!K163")="Point-to-point",K204*INDIRECT("'"&amp;$H$3&amp;"'!K$96"),0)),0)</f>
        <v>0</v>
      </c>
      <c r="L193" s="837"/>
      <c r="M193" s="837"/>
      <c r="N193" s="837">
        <f ca="1">IFERROR(IF(INDIRECT("'"&amp;$H$3&amp;"'!N163")="Route-based",N201*INDIRECT("'"&amp;$H$3&amp;"'!N$96"),IF(INDIRECT("'"&amp;$H$3&amp;"'!N163")="Point-to-point",N204*INDIRECT("'"&amp;$H$3&amp;"'!N$96"),0)),0)</f>
        <v>0</v>
      </c>
      <c r="O193" s="837"/>
      <c r="P193" s="837"/>
      <c r="Q193" s="837">
        <f ca="1">IFERROR(IF(INDIRECT("'"&amp;$H$3&amp;"'!Q163")="Route-based",Q201*INDIRECT("'"&amp;$H$3&amp;"'!Q$96"),IF(INDIRECT("'"&amp;$H$3&amp;"'!Q163")="Point-to-point",Q204*INDIRECT("'"&amp;$H$3&amp;"'!Q$96"),0)),0)</f>
        <v>0</v>
      </c>
      <c r="R193" s="1650"/>
      <c r="S193" s="1650"/>
      <c r="T193" s="837">
        <f ca="1">IFERROR(IF(INDIRECT("'"&amp;$H$3&amp;"'!T163")="Route-based",T201*INDIRECT("'"&amp;$H$3&amp;"'!T$96"),IF(INDIRECT("'"&amp;$H$3&amp;"'!T163")="Point-to-point",T204*INDIRECT("'"&amp;$H$3&amp;"'!T$96"),0)),0)</f>
        <v>0</v>
      </c>
      <c r="U193" s="1650"/>
      <c r="V193" s="1650"/>
      <c r="W193" s="837">
        <f ca="1">IFERROR(IF(INDIRECT("'"&amp;$H$3&amp;"'!W163")="Route-based",W201*INDIRECT("'"&amp;$H$3&amp;"'!W$96"),IF(INDIRECT("'"&amp;$H$3&amp;"'!W163")="Point-to-point",W204*INDIRECT("'"&amp;$H$3&amp;"'!W$96"),0)),0)</f>
        <v>0</v>
      </c>
      <c r="X193" s="1468"/>
      <c r="Y193" s="36"/>
      <c r="Z193" s="36"/>
      <c r="AA193" s="36"/>
      <c r="AB193" s="36"/>
      <c r="AC193" s="36"/>
      <c r="AD193" s="36"/>
      <c r="AE193" s="36"/>
      <c r="AF193" s="36"/>
      <c r="AG193" s="36"/>
      <c r="AH193" s="36"/>
      <c r="AI193" s="36"/>
      <c r="AJ193" s="36"/>
      <c r="AK193" s="36"/>
      <c r="AL193" s="36"/>
      <c r="AM193" s="36"/>
      <c r="AN193" s="36"/>
    </row>
    <row r="194" spans="6:40" ht="15" customHeight="1" outlineLevel="1">
      <c r="F194" s="1649"/>
      <c r="G194" s="51" t="s">
        <v>142</v>
      </c>
      <c r="H194" s="1651"/>
      <c r="I194" s="1651"/>
      <c r="J194" s="1651"/>
      <c r="K194" s="1651">
        <f ca="1">IFERROR(IF(COUNTIF(INDIRECT("'"&amp;$H$3&amp;"'!K156"),"Public Transport*")=1,ROUND(INDIRECT("'"&amp;$H$3&amp;"'!K$95")*INDIRECT("'"&amp;$H$3&amp;"'!K155"),0),0),0)</f>
        <v>0</v>
      </c>
      <c r="L194" s="1651"/>
      <c r="M194" s="1651"/>
      <c r="N194" s="1651">
        <f ca="1">IFERROR(IF(COUNTIF(INDIRECT("'"&amp;$H$3&amp;"'!N156"),"Public Transport*")=1,ROUND(INDIRECT("'"&amp;$H$3&amp;"'!N$95")*INDIRECT("'"&amp;$H$3&amp;"'!N155"),0),0),0)</f>
        <v>0</v>
      </c>
      <c r="O194" s="1651"/>
      <c r="P194" s="1651"/>
      <c r="Q194" s="1651">
        <f ca="1">IFERROR(IF(COUNTIF(INDIRECT("'"&amp;$H$3&amp;"'!Q156"),"Public Transport*")=1,ROUND(INDIRECT("'"&amp;$H$3&amp;"'!Q$95")*INDIRECT("'"&amp;$H$3&amp;"'!Q155"),0),0),0)</f>
        <v>0</v>
      </c>
      <c r="R194" s="1652"/>
      <c r="S194" s="1652"/>
      <c r="T194" s="1651">
        <f ca="1">IFERROR(IF(COUNTIF(INDIRECT("'"&amp;$H$3&amp;"'!T156"),"Public Transport*")=1,ROUND(INDIRECT("'"&amp;$H$3&amp;"'!T$95")*INDIRECT("'"&amp;$H$3&amp;"'!T155"),0),0),0)</f>
        <v>0</v>
      </c>
      <c r="U194" s="1652"/>
      <c r="V194" s="1652"/>
      <c r="W194" s="1651">
        <f ca="1">IFERROR(IF(COUNTIF(INDIRECT("'"&amp;$H$3&amp;"'!W156"),"Public Transport*")=1,ROUND(INDIRECT("'"&amp;$H$3&amp;"'!W$95")*INDIRECT("'"&amp;$H$3&amp;"'!W155"),0),0),0)</f>
        <v>0</v>
      </c>
      <c r="X194" s="1466"/>
      <c r="Y194" s="36"/>
      <c r="Z194" s="36"/>
      <c r="AA194" s="36"/>
      <c r="AB194" s="36"/>
      <c r="AC194" s="36"/>
      <c r="AD194" s="36"/>
      <c r="AE194" s="36"/>
      <c r="AF194" s="36"/>
      <c r="AG194" s="36"/>
      <c r="AH194" s="36"/>
      <c r="AI194" s="36"/>
      <c r="AJ194" s="36"/>
      <c r="AK194" s="36"/>
      <c r="AL194" s="36"/>
      <c r="AM194" s="36"/>
      <c r="AN194" s="36" t="s">
        <v>190</v>
      </c>
    </row>
    <row r="195" spans="6:40" ht="15" customHeight="1" outlineLevel="1">
      <c r="F195" s="1649"/>
      <c r="G195" s="51" t="s">
        <v>158</v>
      </c>
      <c r="H195" s="836"/>
      <c r="I195" s="836"/>
      <c r="J195" s="836"/>
      <c r="K195" s="836">
        <f ca="1">IFERROR(INDEX(INDIRECT("'"&amp;$H$3&amp;"'!$H$43:$H$78"),MATCH(INDIRECT("'"&amp;$H$3&amp;"'!K156")&amp;"Maximum delivery capacity (m^3)", INDIRECT("'"&amp;$H$3&amp;"'!$F$43:$F$78"),0))/('2_Outputs'!K$187/INDIRECT("'"&amp;$H$3&amp;"'!K$96")),0)</f>
        <v>0</v>
      </c>
      <c r="L195" s="836"/>
      <c r="M195" s="836"/>
      <c r="N195" s="836">
        <f ca="1">IFERROR(INDEX(INDIRECT("'"&amp;$H$3&amp;"'!$H$43:$H$78"),MATCH(INDIRECT("'"&amp;$H$3&amp;"'!N156")&amp;"Maximum delivery capacity (m^3)", INDIRECT("'"&amp;$H$3&amp;"'!$F$43:$F$78"),0))/('2_Outputs'!N$187/INDIRECT("'"&amp;$H$3&amp;"'!N$96")),0)</f>
        <v>0</v>
      </c>
      <c r="O195" s="836"/>
      <c r="P195" s="836"/>
      <c r="Q195" s="836">
        <f ca="1">IFERROR(INDEX(INDIRECT("'"&amp;$H$3&amp;"'!$H$43:$H$78"),MATCH(INDIRECT("'"&amp;$H$3&amp;"'!Q156")&amp;"Maximum delivery capacity (m^3)", INDIRECT("'"&amp;$H$3&amp;"'!$F$43:$F$78"),0))/('2_Outputs'!Q$187/INDIRECT("'"&amp;$H$3&amp;"'!Q$96")),0)</f>
        <v>0</v>
      </c>
      <c r="R195" s="836"/>
      <c r="S195" s="836"/>
      <c r="T195" s="836">
        <f ca="1">IFERROR(INDEX(INDIRECT("'"&amp;$H$3&amp;"'!$H$43:$H$78"),MATCH(INDIRECT("'"&amp;$H$3&amp;"'!T156")&amp;"Maximum delivery capacity (m^3)", INDIRECT("'"&amp;$H$3&amp;"'!$F$43:$F$78"),0))/('2_Outputs'!T$187/INDIRECT("'"&amp;$H$3&amp;"'!T$96")),0)</f>
        <v>0</v>
      </c>
      <c r="U195" s="836"/>
      <c r="V195" s="836"/>
      <c r="W195" s="836">
        <f ca="1">IFERROR(INDEX(INDIRECT("'"&amp;$H$3&amp;"'!$H$43:$H$78"),MATCH(INDIRECT("'"&amp;$H$3&amp;"'!W156")&amp;"Maximum delivery capacity (m^3)", INDIRECT("'"&amp;$H$3&amp;"'!$F$43:$F$78"),0))/('2_Outputs'!W$187/INDIRECT("'"&amp;$H$3&amp;"'!W$96")),0)</f>
        <v>0</v>
      </c>
      <c r="X195" s="1469"/>
      <c r="Y195" s="36"/>
      <c r="Z195" s="36"/>
      <c r="AA195" s="36"/>
      <c r="AB195" s="36"/>
      <c r="AC195" s="36"/>
      <c r="AD195" s="36"/>
      <c r="AE195" s="36"/>
      <c r="AF195" s="36"/>
      <c r="AG195" s="36"/>
      <c r="AH195" s="36"/>
      <c r="AI195" s="36"/>
      <c r="AJ195" s="36"/>
      <c r="AK195" s="36"/>
      <c r="AL195" s="36"/>
      <c r="AM195" s="36"/>
      <c r="AN195" s="36"/>
    </row>
    <row r="196" spans="6:40" ht="15" customHeight="1" outlineLevel="1">
      <c r="F196" s="1649"/>
      <c r="G196" s="1613" t="s">
        <v>150</v>
      </c>
      <c r="H196" s="842"/>
      <c r="I196" s="842"/>
      <c r="J196" s="842"/>
      <c r="K196" s="842"/>
      <c r="L196" s="842"/>
      <c r="M196" s="842"/>
      <c r="N196" s="842"/>
      <c r="O196" s="842"/>
      <c r="P196" s="842"/>
      <c r="Q196" s="842"/>
      <c r="R196" s="1650"/>
      <c r="S196" s="1650"/>
      <c r="T196" s="842"/>
      <c r="U196" s="1650"/>
      <c r="V196" s="1650"/>
      <c r="W196" s="842"/>
      <c r="X196" s="1470"/>
      <c r="Y196" s="36"/>
      <c r="Z196" s="36"/>
      <c r="AA196" s="36"/>
      <c r="AB196" s="36"/>
      <c r="AC196" s="36"/>
      <c r="AD196" s="36"/>
      <c r="AE196" s="36"/>
      <c r="AF196" s="36"/>
      <c r="AG196" s="36"/>
      <c r="AH196" s="36"/>
      <c r="AI196" s="36"/>
      <c r="AJ196" s="36"/>
      <c r="AK196" s="36"/>
      <c r="AL196" s="36"/>
      <c r="AM196" s="36"/>
      <c r="AN196" s="36"/>
    </row>
    <row r="197" spans="6:40" ht="15" customHeight="1" outlineLevel="1">
      <c r="F197" s="1649"/>
      <c r="G197" s="51" t="s">
        <v>140</v>
      </c>
      <c r="H197" s="836"/>
      <c r="I197" s="836"/>
      <c r="J197" s="836"/>
      <c r="K197" s="836">
        <f ca="1">IFERROR(ROUND(INDIRECT("'"&amp;$H$3&amp;"'!$H$10")/(((1/60)*(INDIRECT("'"&amp;$H$3&amp;"'!K168")+INDIRECT("'"&amp;$H$3&amp;"'!$H$19")*(INDIRECT("'"&amp;$H$3&amp;"'!K169")+(INDIRECT("'"&amp;$H$3&amp;"'!K170")*('2_Outputs'!K$187/INDIRECT("'"&amp;$H$3&amp;"'!K$96")/INDIRECT("'"&amp;$H$3&amp;"'!$H$19"))))))+INDEX(INDIRECT("'"&amp;$H$3&amp;"'!$H$43:$H$78"),MATCH(INDIRECT("'"&amp;$H$3&amp;"'!K156")&amp;"Average duration (hrs) per trip",INDIRECT("'"&amp;$H$3&amp;"'!$F$43:$F$78"),0))),1),0)</f>
        <v>0</v>
      </c>
      <c r="L197" s="836"/>
      <c r="M197" s="836"/>
      <c r="N197" s="836">
        <f ca="1">IFERROR(ROUND(INDIRECT("'"&amp;$H$3&amp;"'!$H$10")/(((1/60)*(INDIRECT("'"&amp;$H$3&amp;"'!N168")+INDIRECT("'"&amp;$H$3&amp;"'!$H$19")*(INDIRECT("'"&amp;$H$3&amp;"'!N169")+(INDIRECT("'"&amp;$H$3&amp;"'!N170")*('2_Outputs'!N$187/INDIRECT("'"&amp;$H$3&amp;"'!N$96")/INDIRECT("'"&amp;$H$3&amp;"'!$H$19"))))))+INDEX(INDIRECT("'"&amp;$H$3&amp;"'!$H$43:$H$78"),MATCH(INDIRECT("'"&amp;$H$3&amp;"'!N156")&amp;"Average duration (hrs) per trip",INDIRECT("'"&amp;$H$3&amp;"'!$F$43:$F$78"),0))),1),0)</f>
        <v>0</v>
      </c>
      <c r="O197" s="836"/>
      <c r="P197" s="836"/>
      <c r="Q197" s="836">
        <f ca="1">IFERROR(ROUND(INDIRECT("'"&amp;$H$3&amp;"'!$H$10")/(((1/60)*(INDIRECT("'"&amp;$H$3&amp;"'!Q168")+INDIRECT("'"&amp;$H$3&amp;"'!$H$19")*(INDIRECT("'"&amp;$H$3&amp;"'!Q169")+(INDIRECT("'"&amp;$H$3&amp;"'!Q170")*('2_Outputs'!Q$187/INDIRECT("'"&amp;$H$3&amp;"'!Q$96")/INDIRECT("'"&amp;$H$3&amp;"'!$H$19"))))))+INDEX(INDIRECT("'"&amp;$H$3&amp;"'!$H$43:$H$78"),MATCH(INDIRECT("'"&amp;$H$3&amp;"'!Q156")&amp;"Average duration (hrs) per trip",INDIRECT("'"&amp;$H$3&amp;"'!$F$43:$F$78"),0))),1),0)</f>
        <v>0</v>
      </c>
      <c r="R197" s="836"/>
      <c r="S197" s="836"/>
      <c r="T197" s="836">
        <f ca="1">IFERROR(ROUND(INDIRECT("'"&amp;$H$3&amp;"'!$H$10")/(((1/60)*(INDIRECT("'"&amp;$H$3&amp;"'!T168")+INDIRECT("'"&amp;$H$3&amp;"'!$H$19")*(INDIRECT("'"&amp;$H$3&amp;"'!T169")+(INDIRECT("'"&amp;$H$3&amp;"'!T170")*('2_Outputs'!T$187/INDIRECT("'"&amp;$H$3&amp;"'!T$96")/INDIRECT("'"&amp;$H$3&amp;"'!$H$19"))))))+INDEX(INDIRECT("'"&amp;$H$3&amp;"'!$H$43:$H$78"),MATCH(INDIRECT("'"&amp;$H$3&amp;"'!T156")&amp;"Average duration (hrs) per trip",INDIRECT("'"&amp;$H$3&amp;"'!$F$43:$F$78"),0))),1),0)</f>
        <v>0</v>
      </c>
      <c r="U197" s="836"/>
      <c r="V197" s="836"/>
      <c r="W197" s="836">
        <f ca="1">IFERROR(ROUND(INDIRECT("'"&amp;$H$3&amp;"'!$H$10")/(((1/60)*(INDIRECT("'"&amp;$H$3&amp;"'!W168")+INDIRECT("'"&amp;$H$3&amp;"'!$H$19")*(INDIRECT("'"&amp;$H$3&amp;"'!W169")+(INDIRECT("'"&amp;$H$3&amp;"'!W170")*('2_Outputs'!W$187/INDIRECT("'"&amp;$H$3&amp;"'!W$96")/INDIRECT("'"&amp;$H$3&amp;"'!$H$19"))))))+INDEX(INDIRECT("'"&amp;$H$3&amp;"'!$H$43:$H$78"),MATCH(INDIRECT("'"&amp;$H$3&amp;"'!W156")&amp;"Average duration (hrs) per trip",INDIRECT("'"&amp;$H$3&amp;"'!$F$43:$F$78"),0))),1),0)</f>
        <v>0</v>
      </c>
      <c r="X197" s="1469"/>
      <c r="Y197" s="36"/>
      <c r="Z197" s="36"/>
      <c r="AA197" s="36"/>
      <c r="AB197" s="36"/>
      <c r="AC197" s="36"/>
      <c r="AD197" s="36"/>
      <c r="AE197" s="36"/>
      <c r="AF197" s="36"/>
      <c r="AG197" s="36"/>
      <c r="AH197" s="36"/>
      <c r="AI197" s="36"/>
      <c r="AJ197" s="36"/>
      <c r="AK197" s="36"/>
      <c r="AL197" s="36"/>
      <c r="AM197" s="36"/>
      <c r="AN197" s="36"/>
    </row>
    <row r="198" spans="6:40" ht="15" customHeight="1" outlineLevel="1">
      <c r="F198" s="1649"/>
      <c r="G198" s="51" t="s">
        <v>141</v>
      </c>
      <c r="H198" s="836"/>
      <c r="I198" s="836"/>
      <c r="J198" s="836"/>
      <c r="K198" s="836">
        <f ca="1">IFERROR(MIN(ROUND(K197*INDIRECT("'"&amp;$H$3&amp;"'!K164"),0),K195),0)</f>
        <v>0</v>
      </c>
      <c r="L198" s="836"/>
      <c r="M198" s="836"/>
      <c r="N198" s="836">
        <f ca="1">IFERROR(MIN(ROUND(N197*INDIRECT("'"&amp;$H$3&amp;"'!N164"),0),N195),0)</f>
        <v>0</v>
      </c>
      <c r="O198" s="836"/>
      <c r="P198" s="836"/>
      <c r="Q198" s="836">
        <f ca="1">IFERROR(MIN(ROUND(Q197*INDIRECT("'"&amp;$H$3&amp;"'!Q164"),0),Q195),0)</f>
        <v>0</v>
      </c>
      <c r="R198" s="836"/>
      <c r="S198" s="836"/>
      <c r="T198" s="836">
        <f ca="1">IFERROR(MIN(ROUND(T197*INDIRECT("'"&amp;$H$3&amp;"'!T164"),0),T195),0)</f>
        <v>0</v>
      </c>
      <c r="U198" s="836"/>
      <c r="V198" s="836"/>
      <c r="W198" s="836">
        <f ca="1">IFERROR(MIN(ROUND(W197*INDIRECT("'"&amp;$H$3&amp;"'!W164"),0),W195),0)</f>
        <v>0</v>
      </c>
      <c r="X198" s="1469"/>
      <c r="Y198" s="36"/>
      <c r="Z198" s="36"/>
      <c r="AA198" s="36"/>
      <c r="AB198" s="36"/>
      <c r="AC198" s="36"/>
      <c r="AD198" s="36"/>
      <c r="AE198" s="36"/>
      <c r="AF198" s="36"/>
      <c r="AG198" s="36"/>
      <c r="AH198" s="36"/>
      <c r="AI198" s="36"/>
      <c r="AJ198" s="36"/>
      <c r="AK198" s="36"/>
      <c r="AL198" s="36"/>
      <c r="AM198" s="36"/>
      <c r="AN198" s="36"/>
    </row>
    <row r="199" spans="6:40" ht="15" customHeight="1" outlineLevel="1">
      <c r="F199" s="1649"/>
      <c r="G199" s="51" t="s">
        <v>143</v>
      </c>
      <c r="H199" s="836"/>
      <c r="I199" s="836"/>
      <c r="J199" s="836"/>
      <c r="K199" s="836">
        <f ca="1">IFERROR(ROUNDUP(K194/K198,0),0)</f>
        <v>0</v>
      </c>
      <c r="L199" s="836"/>
      <c r="M199" s="836"/>
      <c r="N199" s="836">
        <f ca="1">IFERROR(ROUNDUP(N194/N198,0),0)</f>
        <v>0</v>
      </c>
      <c r="O199" s="836"/>
      <c r="P199" s="836"/>
      <c r="Q199" s="836">
        <f ca="1">IFERROR(ROUNDUP(Q194/Q198,0),0)</f>
        <v>0</v>
      </c>
      <c r="R199" s="836"/>
      <c r="S199" s="836"/>
      <c r="T199" s="836">
        <f ca="1">IFERROR(ROUNDUP(T194/T198,0),0)</f>
        <v>0</v>
      </c>
      <c r="U199" s="836"/>
      <c r="V199" s="836"/>
      <c r="W199" s="836">
        <f ca="1">IFERROR(ROUNDUP(W194/W198,0),0)</f>
        <v>0</v>
      </c>
      <c r="X199" s="1469"/>
      <c r="Y199" s="36"/>
      <c r="Z199" s="36"/>
      <c r="AA199" s="36"/>
      <c r="AB199" s="36"/>
      <c r="AC199" s="36"/>
      <c r="AD199" s="36"/>
      <c r="AE199" s="36"/>
      <c r="AF199" s="36"/>
      <c r="AG199" s="36"/>
      <c r="AH199" s="36"/>
      <c r="AI199" s="36"/>
      <c r="AJ199" s="36"/>
      <c r="AK199" s="242"/>
      <c r="AL199" s="36"/>
      <c r="AM199" s="36"/>
      <c r="AN199" s="36"/>
    </row>
    <row r="200" spans="6:40" ht="15" customHeight="1" outlineLevel="1">
      <c r="F200" s="1649"/>
      <c r="G200" s="51" t="s">
        <v>144</v>
      </c>
      <c r="H200" s="836"/>
      <c r="I200" s="836"/>
      <c r="J200" s="836"/>
      <c r="K200" s="836">
        <f ca="1">IFERROR((K199*(MAX(K198,1)+1)),0)</f>
        <v>0</v>
      </c>
      <c r="L200" s="836"/>
      <c r="M200" s="836"/>
      <c r="N200" s="836">
        <f ca="1">IFERROR((N199*(MAX(N198,1)+1)),0)</f>
        <v>0</v>
      </c>
      <c r="O200" s="836"/>
      <c r="P200" s="836"/>
      <c r="Q200" s="836">
        <f ca="1">IFERROR((Q199*(MAX(Q198,1)+1)),0)</f>
        <v>0</v>
      </c>
      <c r="R200" s="836"/>
      <c r="S200" s="836"/>
      <c r="T200" s="836">
        <f ca="1">IFERROR((T199*(MAX(T198,1)+1)),0)</f>
        <v>0</v>
      </c>
      <c r="U200" s="836"/>
      <c r="V200" s="836"/>
      <c r="W200" s="836">
        <f ca="1">IFERROR((W199*(MAX(W198,1)+1)),0)</f>
        <v>0</v>
      </c>
      <c r="X200" s="1469"/>
      <c r="Y200" s="36"/>
      <c r="Z200" s="36"/>
      <c r="AA200" s="36"/>
      <c r="AB200" s="36"/>
      <c r="AC200" s="36"/>
      <c r="AD200" s="36"/>
      <c r="AE200" s="36"/>
      <c r="AF200" s="36"/>
      <c r="AG200" s="36"/>
      <c r="AH200" s="36"/>
      <c r="AI200" s="36"/>
      <c r="AJ200" s="36"/>
      <c r="AK200" s="242"/>
      <c r="AL200" s="36"/>
      <c r="AM200" s="36"/>
      <c r="AN200" s="36"/>
    </row>
    <row r="201" spans="6:40" ht="15" customHeight="1" outlineLevel="1">
      <c r="F201" s="1649"/>
      <c r="G201" s="51" t="s">
        <v>145</v>
      </c>
      <c r="H201" s="836"/>
      <c r="I201" s="836"/>
      <c r="J201" s="836"/>
      <c r="K201" s="836">
        <f ca="1">IFERROR(ROUNDUP(((K200*INDEX(INDIRECT("'"&amp;$H$3&amp;"'!$H$43:$H$78"),MATCH(INDIRECT("'"&amp;$H$3&amp;"'!K156")&amp;"Average duration (hrs) per trip",INDIRECT("'"&amp;$H$3&amp;"'!$F$43:$F$78"),0)))+(K194*((1/60)*(INDIRECT("'"&amp;$H$3&amp;"'!K168")+INDIRECT("'"&amp;$H$3&amp;"'!$H$19")*(INDIRECT("'"&amp;$H$3&amp;"'!K169")+(INDIRECT("'"&amp;$H$3&amp;"'!K170")*('2_Outputs'!K$187/INDIRECT("'"&amp;$H$3&amp;"'!K$96")/INDIRECT("'"&amp;$H$3&amp;"'!$H$19"))))))))/INDIRECT("'"&amp;$H$3&amp;"'!$H$10"),0),0)</f>
        <v>0</v>
      </c>
      <c r="L201" s="836"/>
      <c r="M201" s="836"/>
      <c r="N201" s="836">
        <f ca="1">IFERROR(ROUNDUP(((N200*INDEX(INDIRECT("'"&amp;$H$3&amp;"'!$H$43:$H$78"),MATCH(INDIRECT("'"&amp;$H$3&amp;"'!N156")&amp;"Average duration (hrs) per trip",INDIRECT("'"&amp;$H$3&amp;"'!$F$43:$F$78"),0)))+(N194*((1/60)*(INDIRECT("'"&amp;$H$3&amp;"'!N168")+INDIRECT("'"&amp;$H$3&amp;"'!$H$19")*(INDIRECT("'"&amp;$H$3&amp;"'!N169")+(INDIRECT("'"&amp;$H$3&amp;"'!N170")*('2_Outputs'!N$187/INDIRECT("'"&amp;$H$3&amp;"'!N$96")/INDIRECT("'"&amp;$H$3&amp;"'!$H$19"))))))))/INDIRECT("'"&amp;$H$3&amp;"'!$H$10"),0),0)</f>
        <v>0</v>
      </c>
      <c r="O201" s="836"/>
      <c r="P201" s="836"/>
      <c r="Q201" s="836">
        <f ca="1">IFERROR(ROUNDUP(((Q200*INDEX(INDIRECT("'"&amp;$H$3&amp;"'!$H$43:$H$78"),MATCH(INDIRECT("'"&amp;$H$3&amp;"'!Q156")&amp;"Average duration (hrs) per trip",INDIRECT("'"&amp;$H$3&amp;"'!$F$43:$F$78"),0)))+(Q194*((1/60)*(INDIRECT("'"&amp;$H$3&amp;"'!Q168")+INDIRECT("'"&amp;$H$3&amp;"'!$H$19")*(INDIRECT("'"&amp;$H$3&amp;"'!Q169")+(INDIRECT("'"&amp;$H$3&amp;"'!Q170")*('2_Outputs'!Q$187/INDIRECT("'"&amp;$H$3&amp;"'!Q$96")/INDIRECT("'"&amp;$H$3&amp;"'!$H$19"))))))))/INDIRECT("'"&amp;$H$3&amp;"'!$H$10"),0),0)</f>
        <v>0</v>
      </c>
      <c r="R201" s="836"/>
      <c r="S201" s="836"/>
      <c r="T201" s="836">
        <f ca="1">IFERROR(ROUNDUP(((T200*INDEX(INDIRECT("'"&amp;$H$3&amp;"'!$H$43:$H$78"),MATCH(INDIRECT("'"&amp;$H$3&amp;"'!T156")&amp;"Average duration (hrs) per trip",INDIRECT("'"&amp;$H$3&amp;"'!$F$43:$F$78"),0)))+(T194*((1/60)*(INDIRECT("'"&amp;$H$3&amp;"'!T168")+INDIRECT("'"&amp;$H$3&amp;"'!$H$19")*(INDIRECT("'"&amp;$H$3&amp;"'!T169")+(INDIRECT("'"&amp;$H$3&amp;"'!T170")*('2_Outputs'!T$187/INDIRECT("'"&amp;$H$3&amp;"'!T$96")/INDIRECT("'"&amp;$H$3&amp;"'!$H$19"))))))))/INDIRECT("'"&amp;$H$3&amp;"'!$H$10"),0),0)</f>
        <v>0</v>
      </c>
      <c r="U201" s="836"/>
      <c r="V201" s="836"/>
      <c r="W201" s="836">
        <f ca="1">IFERROR(ROUNDUP(((W200*INDEX(INDIRECT("'"&amp;$H$3&amp;"'!$H$43:$H$78"),MATCH(INDIRECT("'"&amp;$H$3&amp;"'!W156")&amp;"Average duration (hrs) per trip",INDIRECT("'"&amp;$H$3&amp;"'!$F$43:$F$78"),0)))+(W194*((1/60)*(INDIRECT("'"&amp;$H$3&amp;"'!W168")+INDIRECT("'"&amp;$H$3&amp;"'!$H$19")*(INDIRECT("'"&amp;$H$3&amp;"'!W169")+(INDIRECT("'"&amp;$H$3&amp;"'!W170")*('2_Outputs'!W$187/INDIRECT("'"&amp;$H$3&amp;"'!W$96")/INDIRECT("'"&amp;$H$3&amp;"'!$H$19"))))))))/INDIRECT("'"&amp;$H$3&amp;"'!$H$10"),0),0)</f>
        <v>0</v>
      </c>
      <c r="X201" s="1469"/>
      <c r="Y201" s="36"/>
      <c r="Z201" s="36"/>
      <c r="AA201" s="36"/>
      <c r="AB201" s="36"/>
      <c r="AC201" s="36"/>
      <c r="AD201" s="36"/>
      <c r="AE201" s="36"/>
      <c r="AF201" s="36"/>
      <c r="AG201" s="36"/>
      <c r="AH201" s="36"/>
      <c r="AI201" s="36"/>
      <c r="AJ201" s="36"/>
      <c r="AK201" s="242"/>
      <c r="AL201" s="36"/>
      <c r="AM201" s="36"/>
      <c r="AN201" s="36"/>
    </row>
    <row r="202" spans="6:40" ht="15" customHeight="1" outlineLevel="1">
      <c r="F202" s="1649"/>
      <c r="G202" s="1613" t="s">
        <v>841</v>
      </c>
      <c r="H202" s="842"/>
      <c r="I202" s="842"/>
      <c r="J202" s="842"/>
      <c r="K202" s="842"/>
      <c r="L202" s="842"/>
      <c r="M202" s="842"/>
      <c r="N202" s="842"/>
      <c r="O202" s="842"/>
      <c r="P202" s="842"/>
      <c r="Q202" s="842"/>
      <c r="R202" s="1650"/>
      <c r="S202" s="1650"/>
      <c r="T202" s="842"/>
      <c r="U202" s="1650"/>
      <c r="V202" s="1650"/>
      <c r="W202" s="842"/>
      <c r="X202" s="1470"/>
      <c r="Y202" s="36"/>
      <c r="Z202" s="36"/>
      <c r="AA202" s="36"/>
      <c r="AB202" s="36"/>
      <c r="AC202" s="36"/>
      <c r="AD202" s="36"/>
      <c r="AE202" s="36"/>
      <c r="AF202" s="36"/>
      <c r="AG202" s="36"/>
      <c r="AH202" s="36"/>
      <c r="AI202" s="36"/>
      <c r="AJ202" s="36"/>
      <c r="AK202" s="36"/>
      <c r="AL202" s="36"/>
      <c r="AM202" s="36"/>
      <c r="AN202" s="36"/>
    </row>
    <row r="203" spans="6:40" ht="15" customHeight="1" outlineLevel="1">
      <c r="F203" s="1649"/>
      <c r="G203" s="51" t="s">
        <v>144</v>
      </c>
      <c r="H203" s="836"/>
      <c r="I203" s="836"/>
      <c r="J203" s="836"/>
      <c r="K203" s="836">
        <f ca="1">IFERROR((K194/MIN(K195,1))*2,0)</f>
        <v>0</v>
      </c>
      <c r="L203" s="836"/>
      <c r="M203" s="836"/>
      <c r="N203" s="836">
        <f ca="1">IFERROR((N194/MIN(N195,1))*2,0)</f>
        <v>0</v>
      </c>
      <c r="O203" s="836"/>
      <c r="P203" s="836"/>
      <c r="Q203" s="836">
        <f ca="1">IFERROR((Q194/MIN(Q195,1))*2,0)</f>
        <v>0</v>
      </c>
      <c r="R203" s="836"/>
      <c r="S203" s="836"/>
      <c r="T203" s="836">
        <f ca="1">IFERROR((T194/MIN(T195,1))*2,0)</f>
        <v>0</v>
      </c>
      <c r="U203" s="836"/>
      <c r="V203" s="836"/>
      <c r="W203" s="836">
        <f ca="1">IFERROR((W194/MIN(W195,1))*2,0)</f>
        <v>0</v>
      </c>
      <c r="X203" s="1469"/>
      <c r="Y203" s="36"/>
      <c r="Z203" s="36"/>
      <c r="AA203" s="36"/>
      <c r="AB203" s="36"/>
      <c r="AC203" s="36"/>
      <c r="AD203" s="36"/>
      <c r="AE203" s="36"/>
      <c r="AF203" s="36"/>
      <c r="AG203" s="36"/>
      <c r="AH203" s="36"/>
      <c r="AI203" s="36"/>
      <c r="AJ203" s="36"/>
      <c r="AK203" s="36"/>
      <c r="AL203" s="36"/>
      <c r="AM203" s="36"/>
      <c r="AN203" s="36"/>
    </row>
    <row r="204" spans="6:40" ht="15" customHeight="1" outlineLevel="1">
      <c r="F204" s="1649"/>
      <c r="G204" s="51" t="s">
        <v>145</v>
      </c>
      <c r="H204" s="837"/>
      <c r="I204" s="837"/>
      <c r="J204" s="837"/>
      <c r="K204" s="837">
        <f ca="1">IFERROR(MAX(K194,ROUNDUP(((K203*INDEX(INDIRECT("'"&amp;$H$3&amp;"'!$H$43:$H$78"),MATCH(INDIRECT("'"&amp;$H$3&amp;"'!K156")&amp;"Average duration (hrs) per trip",INDIRECT("'"&amp;$H$3&amp;"'!$F$43:$F$78"),0)))+(K194*((1/60)*(INDIRECT("'"&amp;$H$3&amp;"'!K168")+INDIRECT("'"&amp;$H$3&amp;"'!$H$19")*(INDIRECT("'"&amp;$H$3&amp;"'!K169")+(INDIRECT("'"&amp;$H$3&amp;"'!K170")*('2_Outputs'!K$187/INDIRECT("'"&amp;$H$3&amp;"'!K$96")/INDIRECT("'"&amp;$H$3&amp;"'!$H$19"))))))))/INDIRECT("'"&amp;$H$3&amp;"'!$H$10"),0)),0)</f>
        <v>0</v>
      </c>
      <c r="L204" s="837"/>
      <c r="M204" s="837"/>
      <c r="N204" s="837">
        <f ca="1">IFERROR(MAX(N194,ROUNDUP(((N203*INDEX(INDIRECT("'"&amp;$H$3&amp;"'!$H$43:$H$78"),MATCH(INDIRECT("'"&amp;$H$3&amp;"'!N156")&amp;"Average duration (hrs) per trip",INDIRECT("'"&amp;$H$3&amp;"'!$F$43:$F$78"),0)))+(N194*((1/60)*(INDIRECT("'"&amp;$H$3&amp;"'!N168")+INDIRECT("'"&amp;$H$3&amp;"'!$H$19")*(INDIRECT("'"&amp;$H$3&amp;"'!N169")+(INDIRECT("'"&amp;$H$3&amp;"'!N170")*('2_Outputs'!N$187/INDIRECT("'"&amp;$H$3&amp;"'!N$96")/INDIRECT("'"&amp;$H$3&amp;"'!$H$19"))))))))/INDIRECT("'"&amp;$H$3&amp;"'!$H$10"),0)),0)</f>
        <v>0</v>
      </c>
      <c r="O204" s="837"/>
      <c r="P204" s="837"/>
      <c r="Q204" s="837">
        <f ca="1">IFERROR(MAX(Q194,ROUNDUP(((Q203*INDEX(INDIRECT("'"&amp;$H$3&amp;"'!$H$43:$H$78"),MATCH(INDIRECT("'"&amp;$H$3&amp;"'!Q156")&amp;"Average duration (hrs) per trip",INDIRECT("'"&amp;$H$3&amp;"'!$F$43:$F$78"),0)))+(Q194*((1/60)*(INDIRECT("'"&amp;$H$3&amp;"'!Q168")+INDIRECT("'"&amp;$H$3&amp;"'!$H$19")*(INDIRECT("'"&amp;$H$3&amp;"'!Q169")+(INDIRECT("'"&amp;$H$3&amp;"'!Q170")*('2_Outputs'!Q$187/INDIRECT("'"&amp;$H$3&amp;"'!Q$96")/INDIRECT("'"&amp;$H$3&amp;"'!$H$19"))))))))/INDIRECT("'"&amp;$H$3&amp;"'!$H$10"),0)),0)</f>
        <v>0</v>
      </c>
      <c r="R204" s="837"/>
      <c r="S204" s="837"/>
      <c r="T204" s="837">
        <f ca="1">IFERROR(MAX(T194,ROUNDUP(((T203*INDEX(INDIRECT("'"&amp;$H$3&amp;"'!$H$43:$H$78"),MATCH(INDIRECT("'"&amp;$H$3&amp;"'!T156")&amp;"Average duration (hrs) per trip",INDIRECT("'"&amp;$H$3&amp;"'!$F$43:$F$78"),0)))+(T194*((1/60)*(INDIRECT("'"&amp;$H$3&amp;"'!T168")+INDIRECT("'"&amp;$H$3&amp;"'!$H$19")*(INDIRECT("'"&amp;$H$3&amp;"'!T169")+(INDIRECT("'"&amp;$H$3&amp;"'!T170")*('2_Outputs'!T$187/INDIRECT("'"&amp;$H$3&amp;"'!T$96")/INDIRECT("'"&amp;$H$3&amp;"'!$H$19"))))))))/INDIRECT("'"&amp;$H$3&amp;"'!$H$10"),0)),0)</f>
        <v>0</v>
      </c>
      <c r="U204" s="837"/>
      <c r="V204" s="837"/>
      <c r="W204" s="837">
        <f ca="1">IFERROR(MAX(W194,ROUNDUP(((W203*INDEX(INDIRECT("'"&amp;$H$3&amp;"'!$H$43:$H$78"),MATCH(INDIRECT("'"&amp;$H$3&amp;"'!W156")&amp;"Average duration (hrs) per trip",INDIRECT("'"&amp;$H$3&amp;"'!$F$43:$F$78"),0)))+(W194*((1/60)*(INDIRECT("'"&amp;$H$3&amp;"'!W168")+INDIRECT("'"&amp;$H$3&amp;"'!$H$19")*(INDIRECT("'"&amp;$H$3&amp;"'!W169")+(INDIRECT("'"&amp;$H$3&amp;"'!W170")*('2_Outputs'!W$187/INDIRECT("'"&amp;$H$3&amp;"'!W$96")/INDIRECT("'"&amp;$H$3&amp;"'!$H$19"))))))))/INDIRECT("'"&amp;$H$3&amp;"'!$H$10"),0)),0)</f>
        <v>0</v>
      </c>
      <c r="X204" s="1468"/>
      <c r="Y204" s="36"/>
      <c r="Z204" s="36"/>
      <c r="AA204" s="36"/>
      <c r="AB204" s="36"/>
      <c r="AC204" s="36"/>
      <c r="AD204" s="36"/>
      <c r="AE204" s="36"/>
      <c r="AF204" s="36"/>
      <c r="AG204" s="36"/>
      <c r="AH204" s="36"/>
      <c r="AI204" s="36"/>
      <c r="AJ204" s="36"/>
      <c r="AK204" s="242"/>
      <c r="AL204" s="36"/>
      <c r="AM204" s="36"/>
      <c r="AN204" s="36"/>
    </row>
    <row r="205" spans="6:40" ht="15" customHeight="1" outlineLevel="1">
      <c r="F205" s="1647" t="s">
        <v>148</v>
      </c>
      <c r="G205" s="1614"/>
      <c r="H205" s="848"/>
      <c r="I205" s="848"/>
      <c r="J205" s="848"/>
      <c r="K205" s="848"/>
      <c r="L205" s="848"/>
      <c r="M205" s="848"/>
      <c r="N205" s="848"/>
      <c r="O205" s="848"/>
      <c r="P205" s="848"/>
      <c r="Q205" s="848"/>
      <c r="R205" s="1646"/>
      <c r="S205" s="1646"/>
      <c r="T205" s="848"/>
      <c r="U205" s="1646"/>
      <c r="V205" s="1646"/>
      <c r="W205" s="848"/>
      <c r="X205" s="1471"/>
      <c r="Y205" s="36"/>
      <c r="Z205" s="36"/>
      <c r="AA205" s="36"/>
      <c r="AB205" s="36"/>
      <c r="AC205" s="36"/>
      <c r="AD205" s="36"/>
      <c r="AE205" s="36"/>
      <c r="AF205" s="36"/>
      <c r="AG205" s="36"/>
      <c r="AH205" s="36"/>
      <c r="AI205" s="36"/>
      <c r="AJ205" s="36"/>
      <c r="AK205" s="242"/>
      <c r="AL205" s="36"/>
      <c r="AM205" s="36"/>
      <c r="AN205" s="36"/>
    </row>
    <row r="206" spans="6:40" ht="15" customHeight="1" outlineLevel="1">
      <c r="F206" s="86"/>
      <c r="G206" s="51" t="s">
        <v>151</v>
      </c>
      <c r="H206" s="836"/>
      <c r="I206" s="836"/>
      <c r="J206" s="836"/>
      <c r="K206" s="836">
        <f ca="1">IFERROR(IF(COUNTIF(INDIRECT("'"&amp;$H$3&amp;"'!K156"),"Public Transport*")&lt;1,ROUND(INDIRECT("'"&amp;$H$3&amp;"'!K$95")*INDIRECT("'"&amp;$H$3&amp;"'!K155"),0),0),0)</f>
        <v>0</v>
      </c>
      <c r="L206" s="836"/>
      <c r="M206" s="836"/>
      <c r="N206" s="836">
        <f ca="1">IFERROR(IF(COUNTIF(INDIRECT("'"&amp;$H$3&amp;"'!N156"),"Public Transport*")&lt;1,ROUND(INDIRECT("'"&amp;$H$3&amp;"'!N$95")*INDIRECT("'"&amp;$H$3&amp;"'!N155"),0),0),0)</f>
        <v>0</v>
      </c>
      <c r="O206" s="836"/>
      <c r="P206" s="836"/>
      <c r="Q206" s="836">
        <f ca="1">IFERROR(IF(COUNTIF(INDIRECT("'"&amp;$H$3&amp;"'!Q156"),"Public Transport*")&lt;1,ROUND(INDIRECT("'"&amp;$H$3&amp;"'!Q$95")*INDIRECT("'"&amp;$H$3&amp;"'!Q155"),0),0),0)</f>
        <v>0</v>
      </c>
      <c r="R206" s="1652"/>
      <c r="S206" s="1652"/>
      <c r="T206" s="836">
        <f ca="1">IFERROR(IF(COUNTIF(INDIRECT("'"&amp;$H$3&amp;"'!T156"),"Public Transport*")&lt;1,ROUND(INDIRECT("'"&amp;$H$3&amp;"'!T$95")*INDIRECT("'"&amp;$H$3&amp;"'!T155"),0),0),0)</f>
        <v>0</v>
      </c>
      <c r="U206" s="1652"/>
      <c r="V206" s="1652"/>
      <c r="W206" s="836">
        <f ca="1">IFERROR(IF(COUNTIF(INDIRECT("'"&amp;$H$3&amp;"'!W156"),"Public Transport*")&lt;1,ROUND(INDIRECT("'"&amp;$H$3&amp;"'!W$95")*INDIRECT("'"&amp;$H$3&amp;"'!W155"),0),0),0)</f>
        <v>0</v>
      </c>
      <c r="X206" s="1469"/>
      <c r="Y206" s="36"/>
      <c r="Z206" s="36"/>
      <c r="AA206" s="36"/>
      <c r="AB206" s="36"/>
      <c r="AC206" s="36"/>
      <c r="AD206" s="36"/>
      <c r="AE206" s="36"/>
      <c r="AF206" s="36"/>
      <c r="AG206" s="36"/>
      <c r="AH206" s="36"/>
      <c r="AI206" s="36"/>
      <c r="AJ206" s="36"/>
      <c r="AK206" s="242"/>
      <c r="AL206" s="36"/>
      <c r="AM206" s="36"/>
      <c r="AN206" s="36"/>
    </row>
    <row r="207" spans="6:40" ht="15" customHeight="1" outlineLevel="1">
      <c r="F207" s="52"/>
      <c r="G207" s="51" t="s">
        <v>58</v>
      </c>
      <c r="H207" s="837"/>
      <c r="I207" s="837"/>
      <c r="J207" s="837"/>
      <c r="K207" s="837">
        <f ca="1">IFERROR(IF(INDIRECT("'"&amp;$H$3&amp;"'!K163")="Route-based",K216*K217,IF(INDIRECT("'"&amp;$H$3&amp;"'!K163")="Point-to-point",K221*K222,0)),0)</f>
        <v>0</v>
      </c>
      <c r="L207" s="837"/>
      <c r="M207" s="837"/>
      <c r="N207" s="837">
        <f ca="1">IFERROR(IF(INDIRECT("'"&amp;$H$3&amp;"'!N163")="Route-based",N216*N217,IF(INDIRECT("'"&amp;$H$3&amp;"'!N163")="Point-to-point",N221*N222,0)),0)</f>
        <v>0</v>
      </c>
      <c r="O207" s="837"/>
      <c r="P207" s="837"/>
      <c r="Q207" s="837">
        <f ca="1">IFERROR(IF(INDIRECT("'"&amp;$H$3&amp;"'!Q163")="Route-based",Q216*Q217,IF(INDIRECT("'"&amp;$H$3&amp;"'!Q163")="Point-to-point",Q221*Q222,0)),0)</f>
        <v>0</v>
      </c>
      <c r="R207" s="1650"/>
      <c r="S207" s="1650"/>
      <c r="T207" s="837">
        <f ca="1">IFERROR(IF(INDIRECT("'"&amp;$H$3&amp;"'!T163")="Route-based",T216*T217,IF(INDIRECT("'"&amp;$H$3&amp;"'!T163")="Point-to-point",T221*T222,0)),0)</f>
        <v>0</v>
      </c>
      <c r="U207" s="1650"/>
      <c r="V207" s="1650"/>
      <c r="W207" s="837">
        <f ca="1">IFERROR(IF(INDIRECT("'"&amp;$H$3&amp;"'!W163")="Route-based",W216*W217,IF(INDIRECT("'"&amp;$H$3&amp;"'!W163")="Point-to-point",W221*W222,0)),0)</f>
        <v>0</v>
      </c>
      <c r="X207" s="1472"/>
      <c r="Y207" s="36"/>
      <c r="Z207" s="36"/>
      <c r="AA207" s="36"/>
      <c r="AB207" s="36"/>
      <c r="AC207" s="36"/>
      <c r="AD207" s="36"/>
      <c r="AE207" s="36"/>
      <c r="AF207" s="36"/>
      <c r="AG207" s="36"/>
      <c r="AH207" s="36"/>
      <c r="AI207" s="36"/>
      <c r="AJ207" s="36"/>
      <c r="AK207" s="242"/>
      <c r="AL207" s="36"/>
      <c r="AM207" s="36"/>
      <c r="AN207" s="36"/>
    </row>
    <row r="208" spans="6:40" ht="15" customHeight="1" outlineLevel="1">
      <c r="F208" s="52"/>
      <c r="G208" s="51" t="s">
        <v>389</v>
      </c>
      <c r="H208" s="837"/>
      <c r="I208" s="837"/>
      <c r="J208" s="837"/>
      <c r="K208" s="837">
        <f ca="1">IFERROR(IF(INDIRECT("'"&amp;$H$3&amp;"'!K183")="Route-based",K216,IF(INDIRECT("'"&amp;$H$3&amp;"'!K183")="Point-to-point",K221,0)),"")</f>
        <v>0</v>
      </c>
      <c r="L208" s="837"/>
      <c r="M208" s="837"/>
      <c r="N208" s="837">
        <f ca="1">IFERROR(IF(INDIRECT("'"&amp;$H$3&amp;"'!N183")="Route-based",N216,IF(INDIRECT("'"&amp;$H$3&amp;"'!N183")="Point-to-point",N221,0)),"")</f>
        <v>0</v>
      </c>
      <c r="O208" s="837"/>
      <c r="P208" s="837"/>
      <c r="Q208" s="837">
        <f ca="1">IFERROR(IF(INDIRECT("'"&amp;$H$3&amp;"'!Q183")="Route-based",Q216,IF(INDIRECT("'"&amp;$H$3&amp;"'!Q183")="Point-to-point",Q221,0)),"")</f>
        <v>0</v>
      </c>
      <c r="R208" s="1650"/>
      <c r="S208" s="1650"/>
      <c r="T208" s="837">
        <f ca="1">IFERROR(IF(INDIRECT("'"&amp;$H$3&amp;"'!T183")="Route-based",T216,IF(INDIRECT("'"&amp;$H$3&amp;"'!T183")="Point-to-point",T221,0)),"")</f>
        <v>0</v>
      </c>
      <c r="U208" s="1650"/>
      <c r="V208" s="1650"/>
      <c r="W208" s="837">
        <f ca="1">IFERROR(IF(INDIRECT("'"&amp;$H$3&amp;"'!W183")="Route-based",W216,IF(INDIRECT("'"&amp;$H$3&amp;"'!W183")="Point-to-point",W221,0)),"")</f>
        <v>0</v>
      </c>
      <c r="X208" s="1472"/>
      <c r="Y208" s="36"/>
      <c r="Z208" s="36"/>
      <c r="AA208" s="36"/>
      <c r="AB208" s="36"/>
      <c r="AC208" s="36"/>
      <c r="AD208" s="36"/>
      <c r="AE208" s="36"/>
      <c r="AF208" s="36"/>
      <c r="AG208" s="36"/>
      <c r="AH208" s="36"/>
      <c r="AI208" s="36"/>
      <c r="AJ208" s="36"/>
      <c r="AK208" s="242"/>
      <c r="AL208" s="36"/>
      <c r="AM208" s="36"/>
      <c r="AN208" s="36"/>
    </row>
    <row r="209" spans="6:40" ht="15" customHeight="1" outlineLevel="1">
      <c r="F209" s="52"/>
      <c r="G209" s="51" t="s">
        <v>49</v>
      </c>
      <c r="H209" s="837"/>
      <c r="I209" s="837"/>
      <c r="J209" s="837"/>
      <c r="K209" s="837">
        <f ca="1">IFERROR(IF(INDIRECT("'"&amp;$H$3&amp;"'!K163")="Route-based",ROUND(K218*K216/INDIRECT("'"&amp;$H$3&amp;"'!$H$10"),0),IF(INDIRECT("'"&amp;$H$3&amp;"'!K163")="Point-to-point",ROUND(((K221*((1/60)*(INDIRECT("'"&amp;$H$3&amp;"'!K168")+INDIRECT("'"&amp;$H$3&amp;"'!$H$19")*(INDIRECT("'"&amp;$H$3&amp;"'!K169")+(INDIRECT("'"&amp;$H$3&amp;"'!K170")*(MIN(('2_Outputs'!K$187/INDIRECT("'"&amp;$H$3&amp;"'!K$96")),INDEX(INDIRECT("'"&amp;$H$3&amp;"'!$H$49:$H$78"),MATCH(INDIRECT("'"&amp;$H$3&amp;"'!K156")&amp;"Delivery Capacity (m^3)",INDIRECT("'"&amp;$H$3&amp;"'!$F$49:$F$78"),0)))/INDIRECT("'"&amp;$H$3&amp;"'!$H$19")))))))+(K207/INDIRECT("'"&amp;$H$3&amp;"'!K172")))/INDIRECT("'"&amp;$H$3&amp;"'!$H$10"),0),0)),0)</f>
        <v>0</v>
      </c>
      <c r="L209" s="837"/>
      <c r="M209" s="837"/>
      <c r="N209" s="837">
        <f ca="1">IFERROR(IF(INDIRECT("'"&amp;$H$3&amp;"'!N163")="Route-based",ROUND(N218*N216/INDIRECT("'"&amp;$H$3&amp;"'!$H$10"),0),IF(INDIRECT("'"&amp;$H$3&amp;"'!N163")="Point-to-point",ROUND(((N221*((1/60)*(INDIRECT("'"&amp;$H$3&amp;"'!N168")+INDIRECT("'"&amp;$H$3&amp;"'!$H$19")*(INDIRECT("'"&amp;$H$3&amp;"'!N169")+(INDIRECT("'"&amp;$H$3&amp;"'!N170")*(MIN(('2_Outputs'!N$187/INDIRECT("'"&amp;$H$3&amp;"'!N$96")),INDEX(INDIRECT("'"&amp;$H$3&amp;"'!$H$49:$H$78"),MATCH(INDIRECT("'"&amp;$H$3&amp;"'!N156")&amp;"Delivery Capacity (m^3)",INDIRECT("'"&amp;$H$3&amp;"'!$F$49:$F$78"),0)))/INDIRECT("'"&amp;$H$3&amp;"'!$H$19")))))))+(N207/INDIRECT("'"&amp;$H$3&amp;"'!N172")))/INDIRECT("'"&amp;$H$3&amp;"'!$H$10"),0),0)),0)</f>
        <v>0</v>
      </c>
      <c r="O209" s="837"/>
      <c r="P209" s="837"/>
      <c r="Q209" s="837">
        <f ca="1">IFERROR(IF(INDIRECT("'"&amp;$H$3&amp;"'!Q163")="Route-based",ROUND(Q218*Q216/INDIRECT("'"&amp;$H$3&amp;"'!$H$10"),0),IF(INDIRECT("'"&amp;$H$3&amp;"'!Q163")="Point-to-point",ROUND(((Q221*((1/60)*(INDIRECT("'"&amp;$H$3&amp;"'!Q168")+INDIRECT("'"&amp;$H$3&amp;"'!$H$19")*(INDIRECT("'"&amp;$H$3&amp;"'!Q169")+(INDIRECT("'"&amp;$H$3&amp;"'!Q170")*(MIN(('2_Outputs'!Q$187/INDIRECT("'"&amp;$H$3&amp;"'!Q$96")),INDEX(INDIRECT("'"&amp;$H$3&amp;"'!$H$49:$H$78"),MATCH(INDIRECT("'"&amp;$H$3&amp;"'!Q156")&amp;"Delivery Capacity (m^3)",INDIRECT("'"&amp;$H$3&amp;"'!$F$49:$F$78"),0)))/INDIRECT("'"&amp;$H$3&amp;"'!$H$19")))))))+(Q207/INDIRECT("'"&amp;$H$3&amp;"'!Q172")))/INDIRECT("'"&amp;$H$3&amp;"'!$H$10"),0),0)),0)</f>
        <v>0</v>
      </c>
      <c r="R209" s="837"/>
      <c r="S209" s="837"/>
      <c r="T209" s="837">
        <f ca="1">IFERROR(IF(INDIRECT("'"&amp;$H$3&amp;"'!T163")="Route-based",ROUND(T218*T216/INDIRECT("'"&amp;$H$3&amp;"'!$H$10"),0),IF(INDIRECT("'"&amp;$H$3&amp;"'!T163")="Point-to-point",ROUND(((T221*((1/60)*(INDIRECT("'"&amp;$H$3&amp;"'!T168")+INDIRECT("'"&amp;$H$3&amp;"'!$H$19")*(INDIRECT("'"&amp;$H$3&amp;"'!T169")+(INDIRECT("'"&amp;$H$3&amp;"'!T170")*(MIN(('2_Outputs'!T$187/INDIRECT("'"&amp;$H$3&amp;"'!T$96")),INDEX(INDIRECT("'"&amp;$H$3&amp;"'!$H$49:$H$78"),MATCH(INDIRECT("'"&amp;$H$3&amp;"'!T156")&amp;"Delivery Capacity (m^3)",INDIRECT("'"&amp;$H$3&amp;"'!$F$49:$F$78"),0)))/INDIRECT("'"&amp;$H$3&amp;"'!$H$19")))))))+(T207/INDIRECT("'"&amp;$H$3&amp;"'!T172")))/INDIRECT("'"&amp;$H$3&amp;"'!$H$10"),0),0)),0)</f>
        <v>0</v>
      </c>
      <c r="U209" s="837"/>
      <c r="V209" s="837"/>
      <c r="W209" s="837">
        <f ca="1">IFERROR(IF(INDIRECT("'"&amp;$H$3&amp;"'!W163")="Route-based",ROUND(W218*W216/INDIRECT("'"&amp;$H$3&amp;"'!$H$10"),0),IF(INDIRECT("'"&amp;$H$3&amp;"'!W163")="Point-to-point",ROUND(((W221*((1/60)*(INDIRECT("'"&amp;$H$3&amp;"'!W168")+INDIRECT("'"&amp;$H$3&amp;"'!$H$19")*(INDIRECT("'"&amp;$H$3&amp;"'!W169")+(INDIRECT("'"&amp;$H$3&amp;"'!W170")*(MIN(('2_Outputs'!W$187/INDIRECT("'"&amp;$H$3&amp;"'!W$96")),INDEX(INDIRECT("'"&amp;$H$3&amp;"'!$H$49:$H$78"),MATCH(INDIRECT("'"&amp;$H$3&amp;"'!W156")&amp;"Delivery Capacity (m^3)",INDIRECT("'"&amp;$H$3&amp;"'!$F$49:$F$78"),0)))/INDIRECT("'"&amp;$H$3&amp;"'!$H$19")))))))+(W207/INDIRECT("'"&amp;$H$3&amp;"'!W172")))/INDIRECT("'"&amp;$H$3&amp;"'!$H$10"),0),0)),0)</f>
        <v>0</v>
      </c>
      <c r="X209" s="1472"/>
      <c r="Y209" s="36"/>
      <c r="Z209" s="36"/>
      <c r="AA209" s="36"/>
      <c r="AB209" s="36"/>
      <c r="AC209" s="36"/>
      <c r="AD209" s="36"/>
      <c r="AE209" s="36"/>
      <c r="AF209" s="36"/>
      <c r="AG209" s="36"/>
      <c r="AH209" s="36"/>
      <c r="AI209" s="36"/>
      <c r="AJ209" s="36"/>
      <c r="AK209" s="36"/>
      <c r="AL209" s="36"/>
      <c r="AM209" s="36"/>
      <c r="AN209" s="36"/>
    </row>
    <row r="210" spans="6:40" ht="15" customHeight="1" outlineLevel="1">
      <c r="F210" s="52"/>
      <c r="G210" s="51" t="s">
        <v>189</v>
      </c>
      <c r="H210" s="839"/>
      <c r="I210" s="839"/>
      <c r="J210" s="839"/>
      <c r="K210" s="839">
        <f ca="1">IFERROR(IF(INDIRECT("'"&amp;$H$3&amp;"'!K163")="Route-based",('2_Outputs'!K$187*K206)/(K216*INDEX(INDIRECT("'"&amp;$H$3&amp;"'!$H$49:$H$78"),MATCH(INDIRECT("'"&amp;$H$3&amp;"'!K156")&amp;"Delivery Capacity (m^3)",INDIRECT("'"&amp;$H$3&amp;"'!$F$49:$F$78"),0))),IF(INDIRECT("'"&amp;$H$3&amp;"'!K163")="Point-to-point",('2_Outputs'!K$187*K206)/(K221*INDEX(INDIRECT("'"&amp;$H$3&amp;"'!$H$49:$H$78"),MATCH(INDIRECT("'"&amp;$H$3&amp;"'!K156")&amp;"Delivery Capacity (m^3)",INDIRECT("'"&amp;$H$3&amp;"'!$F$49:$F$78"),0))),0)),0)</f>
        <v>0</v>
      </c>
      <c r="L210" s="839"/>
      <c r="M210" s="839"/>
      <c r="N210" s="839">
        <f ca="1">IFERROR(IF(INDIRECT("'"&amp;$H$3&amp;"'!N163")="Route-based",('2_Outputs'!N$187*N206)/(N216*INDEX(INDIRECT("'"&amp;$H$3&amp;"'!$H$49:$H$78"),MATCH(INDIRECT("'"&amp;$H$3&amp;"'!N156")&amp;"Delivery Capacity (m^3)",INDIRECT("'"&amp;$H$3&amp;"'!$F$49:$F$78"),0))),IF(INDIRECT("'"&amp;$H$3&amp;"'!N163")="Point-to-point",('2_Outputs'!N$187*N206)/(N221*INDEX(INDIRECT("'"&amp;$H$3&amp;"'!$H$49:$H$78"),MATCH(INDIRECT("'"&amp;$H$3&amp;"'!N156")&amp;"Delivery Capacity (m^3)",INDIRECT("'"&amp;$H$3&amp;"'!$F$49:$F$78"),0))),0)),0)</f>
        <v>0</v>
      </c>
      <c r="O210" s="839"/>
      <c r="P210" s="839"/>
      <c r="Q210" s="839">
        <f ca="1">IFERROR(IF(INDIRECT("'"&amp;$H$3&amp;"'!Q163")="Route-based",('2_Outputs'!Q$187*Q206)/(Q216*INDEX(INDIRECT("'"&amp;$H$3&amp;"'!$H$49:$H$78"),MATCH(INDIRECT("'"&amp;$H$3&amp;"'!Q156")&amp;"Delivery Capacity (m^3)",INDIRECT("'"&amp;$H$3&amp;"'!$F$49:$F$78"),0))),IF(INDIRECT("'"&amp;$H$3&amp;"'!Q163")="Point-to-point",('2_Outputs'!Q$187*Q206)/(Q221*INDEX(INDIRECT("'"&amp;$H$3&amp;"'!$H$49:$H$78"),MATCH(INDIRECT("'"&amp;$H$3&amp;"'!Q156")&amp;"Delivery Capacity (m^3)",INDIRECT("'"&amp;$H$3&amp;"'!$F$49:$F$78"),0))),0)),0)</f>
        <v>0</v>
      </c>
      <c r="R210" s="839"/>
      <c r="S210" s="839"/>
      <c r="T210" s="839">
        <f ca="1">IFERROR(IF(INDIRECT("'"&amp;$H$3&amp;"'!T163")="Route-based",('2_Outputs'!T$187*T206)/(T216*INDEX(INDIRECT("'"&amp;$H$3&amp;"'!$H$49:$H$78"),MATCH(INDIRECT("'"&amp;$H$3&amp;"'!T156")&amp;"Delivery Capacity (m^3)",INDIRECT("'"&amp;$H$3&amp;"'!$F$49:$F$78"),0))),IF(INDIRECT("'"&amp;$H$3&amp;"'!T163")="Point-to-point",('2_Outputs'!T$187*T206)/(T221*INDEX(INDIRECT("'"&amp;$H$3&amp;"'!$H$49:$H$78"),MATCH(INDIRECT("'"&amp;$H$3&amp;"'!T156")&amp;"Delivery Capacity (m^3)",INDIRECT("'"&amp;$H$3&amp;"'!$F$49:$F$78"),0))),0)),0)</f>
        <v>0</v>
      </c>
      <c r="U210" s="839"/>
      <c r="V210" s="839"/>
      <c r="W210" s="839">
        <f ca="1">IFERROR(IF(INDIRECT("'"&amp;$H$3&amp;"'!W163")="Route-based",('2_Outputs'!W$187*W206)/(W216*INDEX(INDIRECT("'"&amp;$H$3&amp;"'!$H$49:$H$78"),MATCH(INDIRECT("'"&amp;$H$3&amp;"'!W156")&amp;"Delivery Capacity (m^3)",INDIRECT("'"&amp;$H$3&amp;"'!$F$49:$F$78"),0))),IF(INDIRECT("'"&amp;$H$3&amp;"'!W163")="Point-to-point",('2_Outputs'!W$187*W206)/(W221*INDEX(INDIRECT("'"&amp;$H$3&amp;"'!$H$49:$H$78"),MATCH(INDIRECT("'"&amp;$H$3&amp;"'!W156")&amp;"Delivery Capacity (m^3)",INDIRECT("'"&amp;$H$3&amp;"'!$F$49:$F$78"),0))),0)),0)</f>
        <v>0</v>
      </c>
      <c r="X210" s="1473"/>
      <c r="Y210" s="36"/>
      <c r="Z210" s="36"/>
      <c r="AA210" s="36"/>
      <c r="AB210" s="36"/>
      <c r="AC210" s="36"/>
      <c r="AD210" s="36"/>
      <c r="AE210" s="36"/>
      <c r="AF210" s="36"/>
      <c r="AG210" s="36"/>
      <c r="AH210" s="36"/>
      <c r="AI210" s="36"/>
      <c r="AJ210" s="36"/>
      <c r="AK210" s="36" t="s">
        <v>191</v>
      </c>
      <c r="AL210" s="36"/>
      <c r="AM210" s="36"/>
      <c r="AN210" s="36"/>
    </row>
    <row r="211" spans="6:40" ht="15" customHeight="1" outlineLevel="1">
      <c r="F211" s="52"/>
      <c r="G211" s="51" t="s">
        <v>201</v>
      </c>
      <c r="H211" s="839"/>
      <c r="I211" s="839"/>
      <c r="J211" s="839"/>
      <c r="K211" s="839">
        <f ca="1">IFERROR((K209+IF(INDIRECT("'"&amp;$H$3&amp;"'!K225")="Yes",K310,0)+IF(INDIRECT("'"&amp;$H$3&amp;"'!K289")="Yes",K399,0))/(INDIRECT("'"&amp;$H$3&amp;"'!K160")*INDIRECT("'"&amp;$H$3&amp;"'!$H$9")),0)</f>
        <v>0</v>
      </c>
      <c r="L211" s="839"/>
      <c r="M211" s="839"/>
      <c r="N211" s="839">
        <f ca="1">IFERROR((N209+IF(INDIRECT("'"&amp;$H$3&amp;"'!N225")="Yes",N310,0)+IF(INDIRECT("'"&amp;$H$3&amp;"'!N289")="Yes",N399,0))/(INDIRECT("'"&amp;$H$3&amp;"'!N160")*INDIRECT("'"&amp;$H$3&amp;"'!$H$9")),0)</f>
        <v>0</v>
      </c>
      <c r="O211" s="839"/>
      <c r="P211" s="839"/>
      <c r="Q211" s="839">
        <f ca="1">IFERROR((Q209+IF(INDIRECT("'"&amp;$H$3&amp;"'!Q225")="Yes",Q310,0)+IF(INDIRECT("'"&amp;$H$3&amp;"'!Q289")="Yes",Q399,0))/(INDIRECT("'"&amp;$H$3&amp;"'!Q160")*INDIRECT("'"&amp;$H$3&amp;"'!$H$9")),0)</f>
        <v>0</v>
      </c>
      <c r="R211" s="839"/>
      <c r="S211" s="839"/>
      <c r="T211" s="839">
        <f ca="1">IFERROR((T209+IF(INDIRECT("'"&amp;$H$3&amp;"'!T225")="Yes",T310,0)+IF(INDIRECT("'"&amp;$H$3&amp;"'!T289")="Yes",T399,0))/(INDIRECT("'"&amp;$H$3&amp;"'!T160")*INDIRECT("'"&amp;$H$3&amp;"'!$H$9")),0)</f>
        <v>0</v>
      </c>
      <c r="U211" s="839"/>
      <c r="V211" s="839"/>
      <c r="W211" s="839">
        <f ca="1">IFERROR((W209+IF(INDIRECT("'"&amp;$H$3&amp;"'!W225")="Yes",W310,0)+IF(INDIRECT("'"&amp;$H$3&amp;"'!W289")="Yes",W399,0))/(INDIRECT("'"&amp;$H$3&amp;"'!W160")*INDIRECT("'"&amp;$H$3&amp;"'!$H$9")),0)</f>
        <v>0</v>
      </c>
      <c r="X211" s="1473"/>
      <c r="Y211" s="36"/>
      <c r="Z211" s="36"/>
      <c r="AA211" s="36"/>
      <c r="AB211" s="36"/>
      <c r="AC211" s="36"/>
      <c r="AD211" s="36"/>
      <c r="AE211" s="36"/>
      <c r="AF211" s="36"/>
      <c r="AG211" s="36"/>
      <c r="AH211" s="36"/>
      <c r="AI211" s="36"/>
      <c r="AJ211" s="36"/>
      <c r="AK211" s="36"/>
      <c r="AL211" s="36"/>
      <c r="AM211" s="36"/>
      <c r="AN211" s="36"/>
    </row>
    <row r="212" spans="6:40" ht="15" customHeight="1" outlineLevel="1">
      <c r="F212" s="52"/>
      <c r="G212" s="1613" t="s">
        <v>133</v>
      </c>
      <c r="H212" s="842"/>
      <c r="I212" s="842"/>
      <c r="J212" s="842"/>
      <c r="K212" s="842"/>
      <c r="L212" s="842"/>
      <c r="M212" s="842"/>
      <c r="N212" s="842"/>
      <c r="O212" s="842"/>
      <c r="P212" s="842"/>
      <c r="Q212" s="842"/>
      <c r="R212" s="1650"/>
      <c r="S212" s="1650"/>
      <c r="T212" s="842"/>
      <c r="U212" s="1650"/>
      <c r="V212" s="1650"/>
      <c r="W212" s="842"/>
      <c r="X212" s="1470"/>
      <c r="Y212" s="36"/>
      <c r="Z212" s="36"/>
      <c r="AA212" s="36"/>
      <c r="AB212" s="36"/>
      <c r="AC212" s="36"/>
      <c r="AD212" s="36"/>
      <c r="AE212" s="36"/>
      <c r="AF212" s="36"/>
      <c r="AG212" s="36"/>
      <c r="AH212" s="36"/>
      <c r="AI212" s="36"/>
      <c r="AJ212" s="36"/>
      <c r="AK212" s="36"/>
      <c r="AL212" s="36"/>
      <c r="AM212" s="36"/>
      <c r="AN212" s="36"/>
    </row>
    <row r="213" spans="6:40" ht="15" customHeight="1" outlineLevel="1">
      <c r="F213" s="52"/>
      <c r="G213" s="51" t="s">
        <v>127</v>
      </c>
      <c r="H213" s="836"/>
      <c r="I213" s="836"/>
      <c r="J213" s="836"/>
      <c r="K213" s="836">
        <f ca="1">IFERROR(INDEX(INDIRECT("'"&amp;$H$3&amp;"'!$H$49:$H$78"),MATCH(INDIRECT("'"&amp;$H$3&amp;"'!K156")&amp;"Delivery Capacity (m^3)",INDIRECT("'"&amp;$H$3&amp;"'!$F$49:$F$78"),0))/('2_Outputs'!K$187/INDIRECT("'"&amp;$H$3&amp;"'!K$96")),0)</f>
        <v>0</v>
      </c>
      <c r="L213" s="836"/>
      <c r="M213" s="836"/>
      <c r="N213" s="836">
        <f ca="1">IFERROR(INDEX(INDIRECT("'"&amp;$H$3&amp;"'!$H$49:$H$78"),MATCH(INDIRECT("'"&amp;$H$3&amp;"'!N156")&amp;"Delivery Capacity (m^3)",INDIRECT("'"&amp;$H$3&amp;"'!$F$49:$F$78"),0))/('2_Outputs'!N$187/INDIRECT("'"&amp;$H$3&amp;"'!N$96")),0)</f>
        <v>0</v>
      </c>
      <c r="O213" s="836"/>
      <c r="P213" s="836"/>
      <c r="Q213" s="836">
        <f ca="1">IFERROR(INDEX(INDIRECT("'"&amp;$H$3&amp;"'!$H$49:$H$78"),MATCH(INDIRECT("'"&amp;$H$3&amp;"'!Q156")&amp;"Delivery Capacity (m^3)",INDIRECT("'"&amp;$H$3&amp;"'!$F$49:$F$78"),0))/('2_Outputs'!Q$187/INDIRECT("'"&amp;$H$3&amp;"'!Q$96")),0)</f>
        <v>0</v>
      </c>
      <c r="R213" s="836"/>
      <c r="S213" s="836"/>
      <c r="T213" s="836">
        <f ca="1">IFERROR(INDEX(INDIRECT("'"&amp;$H$3&amp;"'!$H$49:$H$78"),MATCH(INDIRECT("'"&amp;$H$3&amp;"'!T156")&amp;"Delivery Capacity (m^3)",INDIRECT("'"&amp;$H$3&amp;"'!$F$49:$F$78"),0))/('2_Outputs'!T$187/INDIRECT("'"&amp;$H$3&amp;"'!T$96")),0)</f>
        <v>0</v>
      </c>
      <c r="U213" s="836"/>
      <c r="V213" s="836"/>
      <c r="W213" s="836">
        <f ca="1">IFERROR(INDEX(INDIRECT("'"&amp;$H$3&amp;"'!$H$49:$H$78"),MATCH(INDIRECT("'"&amp;$H$3&amp;"'!W156")&amp;"Delivery Capacity (m^3)",INDIRECT("'"&amp;$H$3&amp;"'!$F$49:$F$78"),0))/('2_Outputs'!W$187/INDIRECT("'"&amp;$H$3&amp;"'!W$96")),0)</f>
        <v>0</v>
      </c>
      <c r="X213" s="1465"/>
      <c r="Y213" s="36"/>
      <c r="Z213" s="36"/>
      <c r="AA213" s="36"/>
      <c r="AB213" s="36"/>
      <c r="AC213" s="36"/>
      <c r="AD213" s="36"/>
      <c r="AE213" s="36"/>
      <c r="AF213" s="36"/>
      <c r="AG213" s="36"/>
      <c r="AH213" s="36"/>
      <c r="AI213" s="36"/>
      <c r="AJ213" s="36"/>
      <c r="AK213" s="36"/>
      <c r="AL213" s="36"/>
      <c r="AM213" s="36"/>
      <c r="AN213" s="36"/>
    </row>
    <row r="214" spans="6:40" ht="15" customHeight="1" outlineLevel="1" collapsed="1">
      <c r="F214" s="52"/>
      <c r="G214" s="51" t="s">
        <v>128</v>
      </c>
      <c r="H214" s="836"/>
      <c r="I214" s="836"/>
      <c r="J214" s="836"/>
      <c r="K214" s="836">
        <f ca="1">IFERROR(((INDIRECT("'"&amp;$H$3&amp;"'!K164")*INDIRECT("'"&amp;$H$3&amp;"'!$H$10"))-(2*INDIRECT("'"&amp;$H$3&amp;"'!K$98")/INDIRECT("'"&amp;$H$3&amp;"'!K172"))+(INDIRECT("'"&amp;$H$3&amp;"'!K$99")/INDIRECT("'"&amp;$H$3&amp;"'!K171")))/(((1/60)*(INDIRECT("'"&amp;$H$3&amp;"'!K168")+INDIRECT("'"&amp;$H$3&amp;"'!$H$19")*(INDIRECT("'"&amp;$H$3&amp;"'!K169")+(INDIRECT("'"&amp;$H$3&amp;"'!K170")*('2_Outputs'!K$187/INDIRECT("'"&amp;$H$3&amp;"'!K$96")/INDIRECT("'"&amp;$H$3&amp;"'!$H$19"))))))+(INDIRECT("'"&amp;$H$3&amp;"'!K$99")/INDIRECT("'"&amp;$H$3&amp;"'!K171"))),0)</f>
        <v>0</v>
      </c>
      <c r="L214" s="836"/>
      <c r="M214" s="836"/>
      <c r="N214" s="836">
        <f ca="1">IFERROR(((INDIRECT("'"&amp;$H$3&amp;"'!N164")*INDIRECT("'"&amp;$H$3&amp;"'!$H$10"))-(2*INDIRECT("'"&amp;$H$3&amp;"'!N$98")/INDIRECT("'"&amp;$H$3&amp;"'!N172"))+(INDIRECT("'"&amp;$H$3&amp;"'!N$99")/INDIRECT("'"&amp;$H$3&amp;"'!N171")))/(((1/60)*(INDIRECT("'"&amp;$H$3&amp;"'!N168")+INDIRECT("'"&amp;$H$3&amp;"'!$H$19")*(INDIRECT("'"&amp;$H$3&amp;"'!N169")+(INDIRECT("'"&amp;$H$3&amp;"'!N170")*('2_Outputs'!N$187/INDIRECT("'"&amp;$H$3&amp;"'!N$96")/INDIRECT("'"&amp;$H$3&amp;"'!$H$19"))))))+(INDIRECT("'"&amp;$H$3&amp;"'!N$99")/INDIRECT("'"&amp;$H$3&amp;"'!N171"))),0)</f>
        <v>0</v>
      </c>
      <c r="O214" s="836"/>
      <c r="P214" s="836"/>
      <c r="Q214" s="836">
        <f ca="1">IFERROR(((INDIRECT("'"&amp;$H$3&amp;"'!Q164")*INDIRECT("'"&amp;$H$3&amp;"'!$H$10"))-(2*INDIRECT("'"&amp;$H$3&amp;"'!Q$98")/INDIRECT("'"&amp;$H$3&amp;"'!Q172"))+(INDIRECT("'"&amp;$H$3&amp;"'!Q$99")/INDIRECT("'"&amp;$H$3&amp;"'!Q171")))/(((1/60)*(INDIRECT("'"&amp;$H$3&amp;"'!Q168")+INDIRECT("'"&amp;$H$3&amp;"'!$H$19")*(INDIRECT("'"&amp;$H$3&amp;"'!Q169")+(INDIRECT("'"&amp;$H$3&amp;"'!Q170")*('2_Outputs'!Q$187/INDIRECT("'"&amp;$H$3&amp;"'!Q$96")/INDIRECT("'"&amp;$H$3&amp;"'!$H$19"))))))+(INDIRECT("'"&amp;$H$3&amp;"'!Q$99")/INDIRECT("'"&amp;$H$3&amp;"'!Q171"))),0)</f>
        <v>0</v>
      </c>
      <c r="R214" s="836"/>
      <c r="S214" s="836"/>
      <c r="T214" s="836">
        <f ca="1">IFERROR(((INDIRECT("'"&amp;$H$3&amp;"'!T164")*INDIRECT("'"&amp;$H$3&amp;"'!$H$10"))-(2*INDIRECT("'"&amp;$H$3&amp;"'!T$98")/INDIRECT("'"&amp;$H$3&amp;"'!T172"))+(INDIRECT("'"&amp;$H$3&amp;"'!T$99")/INDIRECT("'"&amp;$H$3&amp;"'!T171")))/(((1/60)*(INDIRECT("'"&amp;$H$3&amp;"'!T168")+INDIRECT("'"&amp;$H$3&amp;"'!$H$19")*(INDIRECT("'"&amp;$H$3&amp;"'!T169")+(INDIRECT("'"&amp;$H$3&amp;"'!T170")*('2_Outputs'!T$187/INDIRECT("'"&amp;$H$3&amp;"'!T$96")/INDIRECT("'"&amp;$H$3&amp;"'!$H$19"))))))+(INDIRECT("'"&amp;$H$3&amp;"'!T$99")/INDIRECT("'"&amp;$H$3&amp;"'!T171"))),0)</f>
        <v>0</v>
      </c>
      <c r="U214" s="836"/>
      <c r="V214" s="836"/>
      <c r="W214" s="836">
        <f ca="1">IFERROR(((INDIRECT("'"&amp;$H$3&amp;"'!W164")*INDIRECT("'"&amp;$H$3&amp;"'!$H$10"))-(2*INDIRECT("'"&amp;$H$3&amp;"'!W$98")/INDIRECT("'"&amp;$H$3&amp;"'!W172"))+(INDIRECT("'"&amp;$H$3&amp;"'!W$99")/INDIRECT("'"&amp;$H$3&amp;"'!W171")))/(((1/60)*(INDIRECT("'"&amp;$H$3&amp;"'!W168")+INDIRECT("'"&amp;$H$3&amp;"'!$H$19")*(INDIRECT("'"&amp;$H$3&amp;"'!W169")+(INDIRECT("'"&amp;$H$3&amp;"'!W170")*('2_Outputs'!W$187/INDIRECT("'"&amp;$H$3&amp;"'!W$96")/INDIRECT("'"&amp;$H$3&amp;"'!$H$19"))))))+(INDIRECT("'"&amp;$H$3&amp;"'!W$99")/INDIRECT("'"&amp;$H$3&amp;"'!W171"))),0)</f>
        <v>0</v>
      </c>
      <c r="X214" s="1465"/>
      <c r="Y214" s="36"/>
      <c r="Z214" s="36"/>
      <c r="AA214" s="36"/>
      <c r="AB214" s="36"/>
      <c r="AC214" s="36"/>
      <c r="AD214" s="36"/>
      <c r="AE214" s="36"/>
      <c r="AF214" s="36"/>
      <c r="AG214" s="36"/>
      <c r="AH214" s="36"/>
      <c r="AI214" s="36"/>
      <c r="AJ214" s="36"/>
      <c r="AK214" s="242"/>
      <c r="AL214" s="36"/>
      <c r="AM214" s="36"/>
      <c r="AN214" s="36"/>
    </row>
    <row r="215" spans="6:40" ht="15" customHeight="1" outlineLevel="1">
      <c r="F215" s="52"/>
      <c r="G215" s="51" t="s">
        <v>129</v>
      </c>
      <c r="H215" s="836"/>
      <c r="I215" s="836"/>
      <c r="J215" s="836"/>
      <c r="K215" s="836">
        <f ca="1">IFERROR(MIN(K214,K213),0)</f>
        <v>0</v>
      </c>
      <c r="L215" s="836"/>
      <c r="M215" s="836"/>
      <c r="N215" s="836">
        <f ca="1">IFERROR(MIN(N214,N213),0)</f>
        <v>0</v>
      </c>
      <c r="O215" s="836"/>
      <c r="P215" s="836"/>
      <c r="Q215" s="836">
        <f ca="1">IFERROR(MIN(Q214,Q213),0)</f>
        <v>0</v>
      </c>
      <c r="R215" s="836"/>
      <c r="S215" s="836"/>
      <c r="T215" s="836">
        <f ca="1">IFERROR(MIN(T214,T213),0)</f>
        <v>0</v>
      </c>
      <c r="U215" s="836"/>
      <c r="V215" s="836"/>
      <c r="W215" s="836">
        <f ca="1">IFERROR(MIN(W214,W213),0)</f>
        <v>0</v>
      </c>
      <c r="X215" s="1465"/>
      <c r="Y215" s="36"/>
      <c r="Z215" s="36"/>
      <c r="AA215" s="36"/>
      <c r="AB215" s="36"/>
      <c r="AC215" s="36"/>
      <c r="AD215" s="36"/>
      <c r="AE215" s="36"/>
      <c r="AF215" s="36"/>
      <c r="AG215" s="36"/>
      <c r="AH215" s="36"/>
      <c r="AI215" s="36"/>
      <c r="AJ215" s="36"/>
      <c r="AK215" s="242"/>
      <c r="AL215" s="36"/>
      <c r="AM215" s="36"/>
      <c r="AN215" s="36"/>
    </row>
    <row r="216" spans="6:40" ht="15" customHeight="1" outlineLevel="1">
      <c r="F216" s="52"/>
      <c r="G216" s="51" t="s">
        <v>188</v>
      </c>
      <c r="H216" s="836"/>
      <c r="I216" s="836"/>
      <c r="J216" s="836"/>
      <c r="K216" s="836">
        <f ca="1">IFERROR(ROUND(K206*INDIRECT("'"&amp;$H$3&amp;"'!K$96")/K215,0),0)</f>
        <v>0</v>
      </c>
      <c r="L216" s="836"/>
      <c r="M216" s="836"/>
      <c r="N216" s="836">
        <f ca="1">IFERROR(ROUND(N206*INDIRECT("'"&amp;$H$3&amp;"'!N$96")/N215,0),0)</f>
        <v>0</v>
      </c>
      <c r="O216" s="836"/>
      <c r="P216" s="836"/>
      <c r="Q216" s="836">
        <f ca="1">IFERROR(ROUND(Q206*INDIRECT("'"&amp;$H$3&amp;"'!Q$96")/Q215,0),0)</f>
        <v>0</v>
      </c>
      <c r="R216" s="836"/>
      <c r="S216" s="836"/>
      <c r="T216" s="836">
        <f ca="1">IFERROR(ROUND(T206*INDIRECT("'"&amp;$H$3&amp;"'!T$96")/T215,0),0)</f>
        <v>0</v>
      </c>
      <c r="U216" s="836"/>
      <c r="V216" s="836"/>
      <c r="W216" s="836">
        <f ca="1">IFERROR(ROUND(W206*INDIRECT("'"&amp;$H$3&amp;"'!W$96")/W215,0),0)</f>
        <v>0</v>
      </c>
      <c r="X216" s="1465"/>
      <c r="Y216" s="36"/>
      <c r="Z216" s="36"/>
      <c r="AA216" s="36"/>
      <c r="AB216" s="36"/>
      <c r="AC216" s="36"/>
      <c r="AD216" s="36"/>
      <c r="AE216" s="36"/>
      <c r="AF216" s="36"/>
      <c r="AG216" s="36"/>
      <c r="AH216" s="36"/>
      <c r="AI216" s="36"/>
      <c r="AJ216" s="36"/>
      <c r="AK216" s="242"/>
      <c r="AL216" s="36"/>
      <c r="AM216" s="36"/>
      <c r="AN216" s="36"/>
    </row>
    <row r="217" spans="6:40" ht="15" customHeight="1" outlineLevel="1">
      <c r="F217" s="52"/>
      <c r="G217" s="51" t="s">
        <v>88</v>
      </c>
      <c r="H217" s="836"/>
      <c r="I217" s="836"/>
      <c r="J217" s="836"/>
      <c r="K217" s="836">
        <f ca="1">IFERROR(IF(K206=0,0,(2*INDIRECT("'"&amp;$H$3&amp;"'!K$98"))+((MAX(K215,1)-1)*INDIRECT("'"&amp;$H$3&amp;"'!K$99"))),0)</f>
        <v>0</v>
      </c>
      <c r="L217" s="836"/>
      <c r="M217" s="836"/>
      <c r="N217" s="836">
        <f ca="1">IFERROR(IF(N206=0,0,(2*INDIRECT("'"&amp;$H$3&amp;"'!N$98"))+((MAX(N215,1)-1)*INDIRECT("'"&amp;$H$3&amp;"'!N$99"))),0)</f>
        <v>0</v>
      </c>
      <c r="O217" s="836"/>
      <c r="P217" s="836"/>
      <c r="Q217" s="836">
        <f ca="1">IFERROR(IF(Q206=0,0,(2*INDIRECT("'"&amp;$H$3&amp;"'!Q$98"))+((MAX(Q215,1)-1)*INDIRECT("'"&amp;$H$3&amp;"'!Q$99"))),0)</f>
        <v>0</v>
      </c>
      <c r="R217" s="836"/>
      <c r="S217" s="836"/>
      <c r="T217" s="836">
        <f ca="1">IFERROR(IF(T206=0,0,(2*INDIRECT("'"&amp;$H$3&amp;"'!T$98"))+((MAX(T215,1)-1)*INDIRECT("'"&amp;$H$3&amp;"'!T$99"))),0)</f>
        <v>0</v>
      </c>
      <c r="U217" s="836"/>
      <c r="V217" s="836"/>
      <c r="W217" s="836">
        <f ca="1">IFERROR(IF(W206=0,0,(2*INDIRECT("'"&amp;$H$3&amp;"'!W$98"))+((MAX(W215,1)-1)*INDIRECT("'"&amp;$H$3&amp;"'!W$99"))),0)</f>
        <v>0</v>
      </c>
      <c r="X217" s="1465"/>
      <c r="Y217" s="36"/>
      <c r="Z217" s="36"/>
      <c r="AA217" s="36"/>
      <c r="AB217" s="36"/>
      <c r="AC217" s="36"/>
      <c r="AD217" s="36"/>
      <c r="AE217" s="36"/>
      <c r="AF217" s="36"/>
      <c r="AG217" s="36"/>
      <c r="AH217" s="36"/>
      <c r="AI217" s="36"/>
      <c r="AJ217" s="36"/>
      <c r="AK217" s="242"/>
      <c r="AL217" s="36"/>
      <c r="AM217" s="36"/>
      <c r="AN217" s="36"/>
    </row>
    <row r="218" spans="6:40" ht="15" customHeight="1" outlineLevel="1">
      <c r="F218" s="52"/>
      <c r="G218" s="51" t="s">
        <v>199</v>
      </c>
      <c r="H218" s="836"/>
      <c r="I218" s="836"/>
      <c r="J218" s="836"/>
      <c r="K218" s="836">
        <f ca="1">IFERROR((ROUNDUP(K215,0)*(1/60)*INDIRECT("'"&amp;$H$3&amp;"'!K168"))+(K215*((1/60)*(INDIRECT("'"&amp;$H$3&amp;"'!$H$19")*(INDIRECT("'"&amp;$H$3&amp;"'!K169")+(INDIRECT("'"&amp;$H$3&amp;"'!K170")*('2_Outputs'!K$187/INDIRECT("'"&amp;$H$3&amp;"'!K$96")/INDIRECT("'"&amp;$H$3&amp;"'!$H$19")))))))+((2*INDIRECT("'"&amp;$H$3&amp;"'!K$98"))/INDIRECT("'"&amp;$H$3&amp;"'!K172"))+(((MAX(K215,1)-1)*INDIRECT("'"&amp;$H$3&amp;"'!K$99"))/INDIRECT("'"&amp;$H$3&amp;"'!K171")),0)</f>
        <v>0</v>
      </c>
      <c r="L218" s="836"/>
      <c r="M218" s="836"/>
      <c r="N218" s="836">
        <f ca="1">IFERROR((ROUNDUP(N215,0)*(1/60)*INDIRECT("'"&amp;$H$3&amp;"'!N168"))+(N215*((1/60)*(INDIRECT("'"&amp;$H$3&amp;"'!$H$19")*(INDIRECT("'"&amp;$H$3&amp;"'!N169")+(INDIRECT("'"&amp;$H$3&amp;"'!N170")*('2_Outputs'!N$187/INDIRECT("'"&amp;$H$3&amp;"'!N$96")/INDIRECT("'"&amp;$H$3&amp;"'!$H$19")))))))+((2*INDIRECT("'"&amp;$H$3&amp;"'!N$98"))/INDIRECT("'"&amp;$H$3&amp;"'!N172"))+(((MAX(N215,1)-1)*INDIRECT("'"&amp;$H$3&amp;"'!N$99"))/INDIRECT("'"&amp;$H$3&amp;"'!N171")),0)</f>
        <v>0</v>
      </c>
      <c r="O218" s="836"/>
      <c r="P218" s="836"/>
      <c r="Q218" s="836">
        <f ca="1">IFERROR((ROUNDUP(Q215,0)*(1/60)*INDIRECT("'"&amp;$H$3&amp;"'!Q168"))+(Q215*((1/60)*(INDIRECT("'"&amp;$H$3&amp;"'!$H$19")*(INDIRECT("'"&amp;$H$3&amp;"'!Q169")+(INDIRECT("'"&amp;$H$3&amp;"'!Q170")*('2_Outputs'!Q$187/INDIRECT("'"&amp;$H$3&amp;"'!Q$96")/INDIRECT("'"&amp;$H$3&amp;"'!$H$19")))))))+((2*INDIRECT("'"&amp;$H$3&amp;"'!Q$98"))/INDIRECT("'"&amp;$H$3&amp;"'!Q172"))+(((MAX(Q215,1)-1)*INDIRECT("'"&amp;$H$3&amp;"'!Q$99"))/INDIRECT("'"&amp;$H$3&amp;"'!Q171")),0)</f>
        <v>0</v>
      </c>
      <c r="R218" s="836"/>
      <c r="S218" s="836"/>
      <c r="T218" s="836">
        <f ca="1">IFERROR((ROUNDUP(T215,0)*(1/60)*INDIRECT("'"&amp;$H$3&amp;"'!T168"))+(T215*((1/60)*(INDIRECT("'"&amp;$H$3&amp;"'!$H$19")*(INDIRECT("'"&amp;$H$3&amp;"'!T169")+(INDIRECT("'"&amp;$H$3&amp;"'!T170")*('2_Outputs'!T$187/INDIRECT("'"&amp;$H$3&amp;"'!T$96")/INDIRECT("'"&amp;$H$3&amp;"'!$H$19")))))))+((2*INDIRECT("'"&amp;$H$3&amp;"'!T$98"))/INDIRECT("'"&amp;$H$3&amp;"'!T172"))+(((MAX(T215,1)-1)*INDIRECT("'"&amp;$H$3&amp;"'!T$99"))/INDIRECT("'"&amp;$H$3&amp;"'!T171")),0)</f>
        <v>0</v>
      </c>
      <c r="U218" s="836"/>
      <c r="V218" s="836"/>
      <c r="W218" s="836">
        <f ca="1">IFERROR((ROUNDUP(W215,0)*(1/60)*INDIRECT("'"&amp;$H$3&amp;"'!W168"))+(W215*((1/60)*(INDIRECT("'"&amp;$H$3&amp;"'!$H$19")*(INDIRECT("'"&amp;$H$3&amp;"'!W169")+(INDIRECT("'"&amp;$H$3&amp;"'!W170")*('2_Outputs'!W$187/INDIRECT("'"&amp;$H$3&amp;"'!W$96")/INDIRECT("'"&amp;$H$3&amp;"'!$H$19")))))))+((2*INDIRECT("'"&amp;$H$3&amp;"'!W$98"))/INDIRECT("'"&amp;$H$3&amp;"'!W172"))+(((MAX(W215,1)-1)*INDIRECT("'"&amp;$H$3&amp;"'!W$99"))/INDIRECT("'"&amp;$H$3&amp;"'!W171")),0)</f>
        <v>0</v>
      </c>
      <c r="X218" s="1465"/>
      <c r="Y218" s="36"/>
      <c r="Z218" s="36"/>
      <c r="AA218" s="36"/>
      <c r="AB218" s="36"/>
      <c r="AC218" s="36"/>
      <c r="AD218" s="36"/>
      <c r="AE218" s="36"/>
      <c r="AF218" s="36"/>
      <c r="AG218" s="36"/>
      <c r="AH218" s="36"/>
      <c r="AI218" s="36"/>
      <c r="AJ218" s="36"/>
      <c r="AK218" s="242"/>
      <c r="AL218" s="36"/>
      <c r="AM218" s="36"/>
      <c r="AN218" s="36"/>
    </row>
    <row r="219" spans="6:40" ht="15" customHeight="1" outlineLevel="1">
      <c r="F219" s="52"/>
      <c r="G219" s="51" t="s">
        <v>200</v>
      </c>
      <c r="H219" s="836"/>
      <c r="I219" s="836"/>
      <c r="J219" s="836"/>
      <c r="K219" s="836">
        <f ca="1">IFERROR((INDIRECT("'"&amp;$H$3&amp;"'!$H$10")*INDIRECT("'"&amp;$H$3&amp;"'!$H$9")*INDIRECT("'"&amp;$H$3&amp;"'!K160"))/K218,0)</f>
        <v>0</v>
      </c>
      <c r="L219" s="836"/>
      <c r="M219" s="836"/>
      <c r="N219" s="836">
        <f ca="1">IFERROR((INDIRECT("'"&amp;$H$3&amp;"'!$H$10")*INDIRECT("'"&amp;$H$3&amp;"'!$H$9")*INDIRECT("'"&amp;$H$3&amp;"'!N160"))/N218,0)</f>
        <v>0</v>
      </c>
      <c r="O219" s="836"/>
      <c r="P219" s="836"/>
      <c r="Q219" s="836">
        <f ca="1">IFERROR((INDIRECT("'"&amp;$H$3&amp;"'!$H$10")*INDIRECT("'"&amp;$H$3&amp;"'!$H$9")*INDIRECT("'"&amp;$H$3&amp;"'!Q160"))/Q218,0)</f>
        <v>0</v>
      </c>
      <c r="R219" s="836"/>
      <c r="S219" s="836"/>
      <c r="T219" s="836">
        <f ca="1">IFERROR((INDIRECT("'"&amp;$H$3&amp;"'!$H$10")*INDIRECT("'"&amp;$H$3&amp;"'!$H$9")*INDIRECT("'"&amp;$H$3&amp;"'!T160"))/T218,0)</f>
        <v>0</v>
      </c>
      <c r="U219" s="836"/>
      <c r="V219" s="836"/>
      <c r="W219" s="836">
        <f ca="1">IFERROR((INDIRECT("'"&amp;$H$3&amp;"'!$H$10")*INDIRECT("'"&amp;$H$3&amp;"'!$H$9")*INDIRECT("'"&amp;$H$3&amp;"'!W160"))/W218,0)</f>
        <v>0</v>
      </c>
      <c r="X219" s="1465"/>
      <c r="Y219" s="36"/>
      <c r="Z219" s="36"/>
      <c r="AA219" s="36"/>
      <c r="AB219" s="36"/>
      <c r="AC219" s="36"/>
      <c r="AD219" s="36"/>
      <c r="AE219" s="36"/>
      <c r="AF219" s="36"/>
      <c r="AG219" s="36"/>
      <c r="AH219" s="36"/>
      <c r="AI219" s="36"/>
      <c r="AJ219" s="36"/>
      <c r="AK219" s="242"/>
      <c r="AL219" s="36"/>
      <c r="AM219" s="36"/>
      <c r="AN219" s="36"/>
    </row>
    <row r="220" spans="6:40" ht="15" customHeight="1" outlineLevel="1">
      <c r="F220" s="52"/>
      <c r="G220" s="1613" t="s">
        <v>134</v>
      </c>
      <c r="H220" s="842"/>
      <c r="I220" s="842"/>
      <c r="J220" s="842"/>
      <c r="K220" s="842"/>
      <c r="L220" s="842"/>
      <c r="M220" s="842"/>
      <c r="N220" s="842"/>
      <c r="O220" s="842"/>
      <c r="P220" s="842"/>
      <c r="Q220" s="842"/>
      <c r="R220" s="1650"/>
      <c r="S220" s="1650"/>
      <c r="T220" s="842"/>
      <c r="U220" s="1650"/>
      <c r="V220" s="1650"/>
      <c r="W220" s="842"/>
      <c r="X220" s="1470"/>
      <c r="Y220" s="36"/>
      <c r="Z220" s="36"/>
      <c r="AA220" s="36"/>
      <c r="AB220" s="36"/>
      <c r="AC220" s="36"/>
      <c r="AD220" s="36"/>
      <c r="AE220" s="36"/>
      <c r="AF220" s="36"/>
      <c r="AG220" s="36"/>
      <c r="AH220" s="36"/>
      <c r="AI220" s="36"/>
      <c r="AJ220" s="36"/>
      <c r="AK220" s="36"/>
      <c r="AL220" s="36"/>
      <c r="AM220" s="36"/>
      <c r="AN220" s="36"/>
    </row>
    <row r="221" spans="6:40" ht="15" customHeight="1" outlineLevel="1">
      <c r="F221" s="52"/>
      <c r="G221" s="51" t="s">
        <v>188</v>
      </c>
      <c r="H221" s="836"/>
      <c r="I221" s="836"/>
      <c r="J221" s="836"/>
      <c r="K221" s="1656">
        <f ca="1">IFERROR(ROUND(K206*INDIRECT("'"&amp;$H$3&amp;"'!K$96")*MAX(1,('2_Outputs'!K$187/INDIRECT("'"&amp;$H$3&amp;"'!K$96"))/INDEX(INDIRECT("'"&amp;$H$3&amp;"'!$H$49:$H$78"),MATCH(INDIRECT("'"&amp;$H$3&amp;"'!K156")&amp;"Delivery Capacity (m^3)",INDIRECT("'"&amp;$H$3&amp;"'!$F$49:$F$78"),0))),0),0)</f>
        <v>0</v>
      </c>
      <c r="L221" s="1656"/>
      <c r="M221" s="1656"/>
      <c r="N221" s="1656">
        <f ca="1">IFERROR(ROUND(N206*INDIRECT("'"&amp;$H$3&amp;"'!N$96")*MAX(1,('2_Outputs'!N$187/INDIRECT("'"&amp;$H$3&amp;"'!N$96"))/INDEX(INDIRECT("'"&amp;$H$3&amp;"'!$H$49:$H$78"),MATCH(INDIRECT("'"&amp;$H$3&amp;"'!N156")&amp;"Delivery Capacity (m^3)",INDIRECT("'"&amp;$H$3&amp;"'!$F$49:$F$78"),0))),0),0)</f>
        <v>0</v>
      </c>
      <c r="O221" s="836"/>
      <c r="P221" s="836"/>
      <c r="Q221" s="836">
        <f ca="1">IFERROR(ROUND(Q206*INDIRECT("'"&amp;$H$3&amp;"'!Q$96")*MAX(1,('2_Outputs'!Q$187/INDIRECT("'"&amp;$H$3&amp;"'!Q$96"))/INDEX(INDIRECT("'"&amp;$H$3&amp;"'!$H$49:$H$78"),MATCH(INDIRECT("'"&amp;$H$3&amp;"'!Q156")&amp;"Delivery Capacity (m^3)",INDIRECT("'"&amp;$H$3&amp;"'!$F$49:$F$78"),0))),0),0)</f>
        <v>0</v>
      </c>
      <c r="R221" s="836"/>
      <c r="S221" s="836"/>
      <c r="T221" s="836">
        <f ca="1">IFERROR(ROUND(T206*INDIRECT("'"&amp;$H$3&amp;"'!T$96")*MAX(1,('2_Outputs'!T$187/INDIRECT("'"&amp;$H$3&amp;"'!T$96"))/INDEX(INDIRECT("'"&amp;$H$3&amp;"'!$H$49:$H$78"),MATCH(INDIRECT("'"&amp;$H$3&amp;"'!T156")&amp;"Delivery Capacity (m^3)",INDIRECT("'"&amp;$H$3&amp;"'!$F$49:$F$78"),0))),0),0)</f>
        <v>0</v>
      </c>
      <c r="U221" s="836"/>
      <c r="V221" s="836"/>
      <c r="W221" s="836">
        <f ca="1">IFERROR(ROUND(W206*INDIRECT("'"&amp;$H$3&amp;"'!W$96")*MAX(1,('2_Outputs'!W$187/INDIRECT("'"&amp;$H$3&amp;"'!W$96"))/INDEX(INDIRECT("'"&amp;$H$3&amp;"'!$H$49:$H$78"),MATCH(INDIRECT("'"&amp;$H$3&amp;"'!W156")&amp;"Delivery Capacity (m^3)",INDIRECT("'"&amp;$H$3&amp;"'!$F$49:$F$78"),0))),0),0)</f>
        <v>0</v>
      </c>
      <c r="X221" s="1465"/>
      <c r="Y221" s="36"/>
      <c r="Z221" s="36"/>
      <c r="AA221" s="36"/>
      <c r="AB221" s="36" t="s">
        <v>192</v>
      </c>
      <c r="AC221" s="36"/>
      <c r="AD221" s="36" t="s">
        <v>193</v>
      </c>
      <c r="AE221" s="36"/>
      <c r="AF221" s="36"/>
      <c r="AG221" s="36"/>
      <c r="AH221" s="36"/>
      <c r="AI221" s="36"/>
      <c r="AJ221" s="36"/>
      <c r="AK221" s="36"/>
      <c r="AL221" s="36"/>
      <c r="AM221" s="36"/>
      <c r="AN221" s="36"/>
    </row>
    <row r="222" spans="6:40" ht="15" customHeight="1" outlineLevel="1">
      <c r="F222" s="52"/>
      <c r="G222" s="51" t="s">
        <v>88</v>
      </c>
      <c r="H222" s="836"/>
      <c r="I222" s="836"/>
      <c r="J222" s="836"/>
      <c r="K222" s="1656">
        <f ca="1">IFERROR(IF(K206=0,0,2*INDIRECT("'"&amp;$H$3&amp;"'!K$98")),0)</f>
        <v>0</v>
      </c>
      <c r="L222" s="1656"/>
      <c r="M222" s="1656"/>
      <c r="N222" s="1656">
        <f ca="1">IFERROR(IF(N206=0,0,2*INDIRECT("'"&amp;$H$3&amp;"'!N$98")),0)</f>
        <v>0</v>
      </c>
      <c r="O222" s="836"/>
      <c r="P222" s="836"/>
      <c r="Q222" s="836">
        <f ca="1">IFERROR(IF(Q206=0,0,2*INDIRECT("'"&amp;$H$3&amp;"'!Q$98")),0)</f>
        <v>0</v>
      </c>
      <c r="R222" s="836"/>
      <c r="S222" s="836"/>
      <c r="T222" s="836">
        <f ca="1">IFERROR(IF(T206=0,0,2*INDIRECT("'"&amp;$H$3&amp;"'!T$98")),0)</f>
        <v>0</v>
      </c>
      <c r="U222" s="836"/>
      <c r="V222" s="836"/>
      <c r="W222" s="836">
        <f ca="1">IFERROR(IF(W206=0,0,2*INDIRECT("'"&amp;$H$3&amp;"'!W$98")),0)</f>
        <v>0</v>
      </c>
      <c r="X222" s="1465"/>
      <c r="Y222" s="36"/>
      <c r="Z222" s="36"/>
      <c r="AA222" s="36"/>
      <c r="AB222" s="36" t="s">
        <v>194</v>
      </c>
      <c r="AC222" s="36"/>
      <c r="AD222" s="36" t="s">
        <v>195</v>
      </c>
      <c r="AE222" s="36"/>
      <c r="AF222" s="36"/>
      <c r="AG222" s="36"/>
      <c r="AH222" s="36"/>
      <c r="AI222" s="36"/>
      <c r="AJ222" s="36"/>
      <c r="AK222" s="36"/>
      <c r="AL222" s="36"/>
      <c r="AM222" s="36"/>
      <c r="AN222" s="36"/>
    </row>
    <row r="223" spans="6:40" ht="15" customHeight="1" outlineLevel="1">
      <c r="F223" s="52"/>
      <c r="G223" s="51" t="s">
        <v>200</v>
      </c>
      <c r="H223" s="839"/>
      <c r="I223" s="839"/>
      <c r="J223" s="839"/>
      <c r="K223" s="1657">
        <f ca="1">IFERROR((INDIRECT("'"&amp;$H$3&amp;"'!$H$10")*INDIRECT("'"&amp;$H$3&amp;"'!$H$9")*INDIRECT("'"&amp;$H$3&amp;"'!K160"))/((K222/INDIRECT("'"&amp;$H$3&amp;"'!K172"))+((1/60)*(INDIRECT("'"&amp;$H$3&amp;"'!K168")+INDIRECT("'"&amp;$H$3&amp;"'!$H$19")*(INDIRECT("'"&amp;$H$3&amp;"'!K169")+(INDIRECT("'"&amp;$H$3&amp;"'!K170")*(MIN(('2_Outputs'!K$187/INDIRECT("'"&amp;$H$3&amp;"'!K$96")),INDEX(INDIRECT("'"&amp;$H$3&amp;"'!$H$49:$H$78"),MATCH(INDIRECT("'"&amp;$H$3&amp;"'!K156")&amp;"Delivery Capacity (m^3)",INDIRECT("'"&amp;$H$3&amp;"'!$F$49:$F$78"),0)))/INDIRECT("'"&amp;$H$3&amp;"'!$H$19"))))))),0)</f>
        <v>0</v>
      </c>
      <c r="L223" s="1657"/>
      <c r="M223" s="1657"/>
      <c r="N223" s="1657">
        <f ca="1">IFERROR((INDIRECT("'"&amp;$H$3&amp;"'!$H$10")*INDIRECT("'"&amp;$H$3&amp;"'!$H$9")*INDIRECT("'"&amp;$H$3&amp;"'!N160"))/((N222/INDIRECT("'"&amp;$H$3&amp;"'!N172"))+((1/60)*(INDIRECT("'"&amp;$H$3&amp;"'!N168")+INDIRECT("'"&amp;$H$3&amp;"'!$H$19")*(INDIRECT("'"&amp;$H$3&amp;"'!N169")+(INDIRECT("'"&amp;$H$3&amp;"'!N170")*(MIN(('2_Outputs'!N$187/INDIRECT("'"&amp;$H$3&amp;"'!N$96")),INDEX(INDIRECT("'"&amp;$H$3&amp;"'!$H$49:$H$78"),MATCH(INDIRECT("'"&amp;$H$3&amp;"'!N156")&amp;"Delivery Capacity (m^3)",INDIRECT("'"&amp;$H$3&amp;"'!$F$49:$F$78"),0)))/INDIRECT("'"&amp;$H$3&amp;"'!$H$19"))))))),0)</f>
        <v>0</v>
      </c>
      <c r="O223" s="839"/>
      <c r="P223" s="839"/>
      <c r="Q223" s="839">
        <f ca="1">IFERROR((INDIRECT("'"&amp;$H$3&amp;"'!$H$10")*INDIRECT("'"&amp;$H$3&amp;"'!$H$9")*INDIRECT("'"&amp;$H$3&amp;"'!Q160"))/((Q222/INDIRECT("'"&amp;$H$3&amp;"'!Q172"))+((1/60)*(INDIRECT("'"&amp;$H$3&amp;"'!Q168")+INDIRECT("'"&amp;$H$3&amp;"'!$H$19")*(INDIRECT("'"&amp;$H$3&amp;"'!Q169")+(INDIRECT("'"&amp;$H$3&amp;"'!Q170")*(MIN(('2_Outputs'!Q$187/INDIRECT("'"&amp;$H$3&amp;"'!Q$96")),INDEX(INDIRECT("'"&amp;$H$3&amp;"'!$H$49:$H$78"),MATCH(INDIRECT("'"&amp;$H$3&amp;"'!Q156")&amp;"Delivery Capacity (m^3)",INDIRECT("'"&amp;$H$3&amp;"'!$F$49:$F$78"),0)))/INDIRECT("'"&amp;$H$3&amp;"'!$H$19"))))))),0)</f>
        <v>0</v>
      </c>
      <c r="R223" s="839"/>
      <c r="S223" s="839"/>
      <c r="T223" s="839">
        <f ca="1">IFERROR((INDIRECT("'"&amp;$H$3&amp;"'!$H$10")*INDIRECT("'"&amp;$H$3&amp;"'!$H$9")*INDIRECT("'"&amp;$H$3&amp;"'!T160"))/((T222/INDIRECT("'"&amp;$H$3&amp;"'!T172"))+((1/60)*(INDIRECT("'"&amp;$H$3&amp;"'!T168")+INDIRECT("'"&amp;$H$3&amp;"'!$H$19")*(INDIRECT("'"&amp;$H$3&amp;"'!T169")+(INDIRECT("'"&amp;$H$3&amp;"'!T170")*(MIN(('2_Outputs'!T$187/INDIRECT("'"&amp;$H$3&amp;"'!T$96")),INDEX(INDIRECT("'"&amp;$H$3&amp;"'!$H$49:$H$78"),MATCH(INDIRECT("'"&amp;$H$3&amp;"'!T156")&amp;"Delivery Capacity (m^3)",INDIRECT("'"&amp;$H$3&amp;"'!$F$49:$F$78"),0)))/INDIRECT("'"&amp;$H$3&amp;"'!$H$19"))))))),0)</f>
        <v>0</v>
      </c>
      <c r="U223" s="839"/>
      <c r="V223" s="839"/>
      <c r="W223" s="839">
        <f ca="1">IFERROR((INDIRECT("'"&amp;$H$3&amp;"'!$H$10")*INDIRECT("'"&amp;$H$3&amp;"'!$H$9")*INDIRECT("'"&amp;$H$3&amp;"'!W160"))/((W222/INDIRECT("'"&amp;$H$3&amp;"'!W172"))+((1/60)*(INDIRECT("'"&amp;$H$3&amp;"'!W168")+INDIRECT("'"&amp;$H$3&amp;"'!$H$19")*(INDIRECT("'"&amp;$H$3&amp;"'!W169")+(INDIRECT("'"&amp;$H$3&amp;"'!W170")*(MIN(('2_Outputs'!W$187/INDIRECT("'"&amp;$H$3&amp;"'!W$96")),INDEX(INDIRECT("'"&amp;$H$3&amp;"'!$H$49:$H$78"),MATCH(INDIRECT("'"&amp;$H$3&amp;"'!W156")&amp;"Delivery Capacity (m^3)",INDIRECT("'"&amp;$H$3&amp;"'!$F$49:$F$78"),0)))/INDIRECT("'"&amp;$H$3&amp;"'!$H$19"))))))),0)</f>
        <v>0</v>
      </c>
      <c r="X223" s="1473"/>
      <c r="Y223" s="36"/>
      <c r="Z223" s="36"/>
      <c r="AA223" s="36"/>
      <c r="AB223" s="36"/>
      <c r="AC223" s="36"/>
      <c r="AD223" s="36"/>
      <c r="AE223" s="36"/>
      <c r="AF223" s="36"/>
      <c r="AG223" s="36"/>
      <c r="AH223" s="36"/>
      <c r="AI223" s="36"/>
      <c r="AJ223" s="36"/>
      <c r="AK223" s="36"/>
      <c r="AL223" s="36"/>
      <c r="AM223" s="36"/>
      <c r="AN223" s="36"/>
    </row>
    <row r="224" spans="6:40" ht="48" customHeight="1">
      <c r="F224" s="1638" t="s">
        <v>2502</v>
      </c>
      <c r="G224" s="1639"/>
      <c r="H224" s="1655"/>
      <c r="I224" s="1655"/>
      <c r="J224" s="1655"/>
      <c r="K224" s="1522" t="str">
        <f ca="1">IF($H$9&gt;=2,INDIRECT("'"&amp;$H$3&amp;"'!J$130"),"")</f>
        <v>CMS  to  Regional WH</v>
      </c>
      <c r="L224" s="1522" t="str">
        <f t="shared" ref="L224:V224" ca="1" si="17">IF($H$9&gt;=1,"Tier 1","")</f>
        <v>Tier 1</v>
      </c>
      <c r="M224" s="1522" t="str">
        <f t="shared" ca="1" si="17"/>
        <v>Tier 1</v>
      </c>
      <c r="N224" s="1522" t="str">
        <f ca="1">IF($H$9&gt;=3,INDIRECT("'"&amp;$H$3&amp;"'!M$130"),"")</f>
        <v>Regional WH  to  Health Facility</v>
      </c>
      <c r="O224" s="1522" t="str">
        <f t="shared" ca="1" si="17"/>
        <v>Tier 1</v>
      </c>
      <c r="P224" s="1522" t="str">
        <f t="shared" ca="1" si="17"/>
        <v>Tier 1</v>
      </c>
      <c r="Q224" s="1523" t="str">
        <f ca="1">IF($H$9&gt;=4,INDIRECT("'"&amp;$H$3&amp;"'!P$130"),"")</f>
        <v/>
      </c>
      <c r="R224" s="1512" t="str">
        <f t="shared" ca="1" si="17"/>
        <v>Tier 1</v>
      </c>
      <c r="S224" s="1512" t="str">
        <f t="shared" ca="1" si="17"/>
        <v>Tier 1</v>
      </c>
      <c r="T224" s="1523" t="str">
        <f ca="1">IF($H$9&gt;=5,INDIRECT("'"&amp;$H$3&amp;"'!S$130"),"")</f>
        <v/>
      </c>
      <c r="U224" s="1524" t="str">
        <f t="shared" ca="1" si="17"/>
        <v>Tier 1</v>
      </c>
      <c r="V224" s="1524" t="str">
        <f t="shared" ca="1" si="17"/>
        <v>Tier 1</v>
      </c>
      <c r="W224" s="1523" t="str">
        <f ca="1">IF($H$9&gt;=6,INDIRECT("'"&amp;$H$3&amp;"'!V$130"),"")</f>
        <v/>
      </c>
      <c r="X224" s="1474"/>
      <c r="Y224" s="36"/>
      <c r="Z224" s="36"/>
      <c r="AA224" s="36"/>
      <c r="AB224" s="36"/>
      <c r="AC224" s="36"/>
      <c r="AD224" s="36"/>
      <c r="AE224" s="36"/>
      <c r="AF224" s="36"/>
      <c r="AG224" s="36"/>
      <c r="AH224" s="36"/>
      <c r="AI224" s="36"/>
      <c r="AJ224" s="36"/>
      <c r="AK224" s="242"/>
      <c r="AL224" s="36"/>
      <c r="AM224" s="36"/>
      <c r="AN224" s="36"/>
    </row>
    <row r="225" spans="6:40" ht="15" customHeight="1" outlineLevel="1">
      <c r="F225" s="1641"/>
      <c r="G225" s="51" t="s">
        <v>414</v>
      </c>
      <c r="H225" s="836"/>
      <c r="I225" s="836"/>
      <c r="J225" s="836"/>
      <c r="K225" s="836">
        <f ca="1">IFERROR(IF(INDIRECT("'"&amp;$H$3&amp;"'!K133")=0,0,IF(INDIRECT("'"&amp;$H$3&amp;"'!K193")="Yes",'2_Outputs'!K64,IF(OR(AND(INDIRECT("'"&amp;$H$3&amp;"'!K133")&gt;0,INDIRECT("'"&amp;$H$3&amp;"'!K153")="Yes"),AND(INDIRECT("'"&amp;$H$3&amp;"'!K133")&gt;1,INDIRECT("'"&amp;$H$3&amp;"'!K173")="Yes")),'2_Outputs'!K57,'2_Outputs'!K52))),0)</f>
        <v>3079.125</v>
      </c>
      <c r="L225" s="836"/>
      <c r="M225" s="836"/>
      <c r="N225" s="1658">
        <f ca="1">IFERROR(IF(INDIRECT("'"&amp;$H$3&amp;"'!N133")=0,0,IF(INDIRECT("'"&amp;$H$3&amp;"'!N193")="Yes",'2_Outputs'!N64,IF(OR(AND(INDIRECT("'"&amp;$H$3&amp;"'!N133")&gt;0,INDIRECT("'"&amp;$H$3&amp;"'!N153")="Yes"),AND(INDIRECT("'"&amp;$H$3&amp;"'!N133")&gt;1,INDIRECT("'"&amp;$H$3&amp;"'!N173")="Yes")),'2_Outputs'!N57,'2_Outputs'!N52))),0)</f>
        <v>8.5</v>
      </c>
      <c r="O225" s="836"/>
      <c r="P225" s="836"/>
      <c r="Q225" s="836">
        <f ca="1">IFERROR(IF(INDIRECT("'"&amp;$H$3&amp;"'!Q133")=0,0,IF(INDIRECT("'"&amp;$H$3&amp;"'!Q193")="Yes",'2_Outputs'!Q64,IF(OR(AND(INDIRECT("'"&amp;$H$3&amp;"'!Q133")&gt;0,INDIRECT("'"&amp;$H$3&amp;"'!Q153")="Yes"),AND(INDIRECT("'"&amp;$H$3&amp;"'!Q133")&gt;1,INDIRECT("'"&amp;$H$3&amp;"'!Q173")="Yes")),'2_Outputs'!Q57,'2_Outputs'!Q52))),0)</f>
        <v>0</v>
      </c>
      <c r="R225" s="836"/>
      <c r="S225" s="836"/>
      <c r="T225" s="836">
        <f ca="1">IFERROR(IF(INDIRECT("'"&amp;$H$3&amp;"'!T133")=0,0,IF(INDIRECT("'"&amp;$H$3&amp;"'!T193")="Yes",'2_Outputs'!T64,IF(OR(AND(INDIRECT("'"&amp;$H$3&amp;"'!T133")&gt;0,INDIRECT("'"&amp;$H$3&amp;"'!T153")="Yes"),AND(INDIRECT("'"&amp;$H$3&amp;"'!T133")&gt;1,INDIRECT("'"&amp;$H$3&amp;"'!T173")="Yes")),'2_Outputs'!T57,'2_Outputs'!T52))),0)</f>
        <v>0</v>
      </c>
      <c r="U225" s="836"/>
      <c r="V225" s="836"/>
      <c r="W225" s="836">
        <f ca="1">IFERROR(IF(INDIRECT("'"&amp;$H$3&amp;"'!W133")=0,0,IF(INDIRECT("'"&amp;$H$3&amp;"'!W193")="Yes",'2_Outputs'!W64,IF(OR(AND(INDIRECT("'"&amp;$H$3&amp;"'!W133")&gt;0,INDIRECT("'"&amp;$H$3&amp;"'!W153")="Yes"),AND(INDIRECT("'"&amp;$H$3&amp;"'!W133")&gt;1,INDIRECT("'"&amp;$H$3&amp;"'!W173")="Yes")),'2_Outputs'!W57,'2_Outputs'!W52))),0)</f>
        <v>0</v>
      </c>
      <c r="X225" s="1465"/>
      <c r="AK225" s="1"/>
    </row>
    <row r="226" spans="6:40" ht="15" customHeight="1" outlineLevel="1">
      <c r="F226" s="1614" t="s">
        <v>387</v>
      </c>
      <c r="G226" s="1614"/>
      <c r="H226" s="848"/>
      <c r="I226" s="848"/>
      <c r="J226" s="848"/>
      <c r="K226" s="848"/>
      <c r="L226" s="848"/>
      <c r="M226" s="848"/>
      <c r="N226" s="848"/>
      <c r="O226" s="848"/>
      <c r="P226" s="848"/>
      <c r="Q226" s="1643"/>
      <c r="R226" s="1644"/>
      <c r="S226" s="1644"/>
      <c r="T226" s="1643"/>
      <c r="U226" s="1644"/>
      <c r="V226" s="1644"/>
      <c r="W226" s="1643"/>
      <c r="X226" s="1466"/>
      <c r="AK226" s="1"/>
    </row>
    <row r="227" spans="6:40" ht="15" customHeight="1" outlineLevel="1">
      <c r="F227" s="52"/>
      <c r="G227" s="51" t="s">
        <v>390</v>
      </c>
      <c r="H227" s="836"/>
      <c r="I227" s="836"/>
      <c r="J227" s="836"/>
      <c r="K227" s="836">
        <f ca="1">IFERROR(((K$64*INDIRECT("'"&amp;$H$3&amp;"'!K$95"))*(IF(COUNTIF(INDIRECT("'"&amp;$H$3&amp;"'!K176"),"Public Transport*")=1,K232,K244)/INDIRECT("'"&amp;$H$3&amp;"'!K$95")))/IF(COUNTIF(INDIRECT("'"&amp;$H$3&amp;"'!K176"),"Public Transport*")=1,K230,K246),0)</f>
        <v>0</v>
      </c>
      <c r="L227" s="836"/>
      <c r="M227" s="836"/>
      <c r="N227" s="836">
        <f ca="1">IFERROR(((N$64*INDIRECT("'"&amp;$H$3&amp;"'!N$95"))*(IF(COUNTIF(INDIRECT("'"&amp;$H$3&amp;"'!N176"),"Public Transport*")=1,N232,N244)/INDIRECT("'"&amp;$H$3&amp;"'!N$95")))/IF(COUNTIF(INDIRECT("'"&amp;$H$3&amp;"'!N176"),"Public Transport*")=1,N230,N246),0)</f>
        <v>0</v>
      </c>
      <c r="O227" s="836"/>
      <c r="P227" s="836"/>
      <c r="Q227" s="836">
        <f ca="1">IFERROR(((Q$64*INDIRECT("'"&amp;$H$3&amp;"'!Q$95"))*(IF(COUNTIF(INDIRECT("'"&amp;$H$3&amp;"'!Q176"),"Public Transport*")=1,Q232,Q244)/INDIRECT("'"&amp;$H$3&amp;"'!Q$95")))/IF(COUNTIF(INDIRECT("'"&amp;$H$3&amp;"'!Q176"),"Public Transport*")=1,Q230,Q246),0)</f>
        <v>0</v>
      </c>
      <c r="R227" s="1646"/>
      <c r="S227" s="1646"/>
      <c r="T227" s="836">
        <f ca="1">IFERROR(((T$64*INDIRECT("'"&amp;$H$3&amp;"'!T$95"))*(IF(COUNTIF(INDIRECT("'"&amp;$H$3&amp;"'!T176"),"Public Transport*")=1,T232,T244)/INDIRECT("'"&amp;$H$3&amp;"'!T$95")))/IF(COUNTIF(INDIRECT("'"&amp;$H$3&amp;"'!T176"),"Public Transport*")=1,T230,T246),0)</f>
        <v>0</v>
      </c>
      <c r="U227" s="1646"/>
      <c r="V227" s="1646"/>
      <c r="W227" s="836">
        <f ca="1">IFERROR(((W$64*INDIRECT("'"&amp;$H$3&amp;"'!W$95"))*(IF(COUNTIF(INDIRECT("'"&amp;$H$3&amp;"'!W176"),"Public Transport*")=1,W232,W244)/INDIRECT("'"&amp;$H$3&amp;"'!W$95")))/IF(COUNTIF(INDIRECT("'"&amp;$H$3&amp;"'!W176"),"Public Transport*")=1,W230,W246),0)</f>
        <v>0</v>
      </c>
      <c r="X227" s="1465"/>
      <c r="Y227" s="36"/>
      <c r="Z227" s="36"/>
      <c r="AA227" s="36"/>
      <c r="AB227" s="36"/>
      <c r="AC227" s="36"/>
      <c r="AD227" s="36"/>
      <c r="AE227" s="36"/>
      <c r="AF227" s="36"/>
      <c r="AG227" s="36"/>
      <c r="AH227" s="36"/>
      <c r="AI227" s="36"/>
      <c r="AJ227" s="36"/>
      <c r="AK227" s="242"/>
      <c r="AL227" s="36"/>
      <c r="AM227" s="36"/>
      <c r="AN227" s="36"/>
    </row>
    <row r="228" spans="6:40" ht="15" customHeight="1" outlineLevel="1">
      <c r="F228" s="52"/>
      <c r="G228" s="51" t="s">
        <v>391</v>
      </c>
      <c r="H228" s="836"/>
      <c r="I228" s="836"/>
      <c r="J228" s="836"/>
      <c r="K228" s="836">
        <f ca="1">IFERROR(IF(COUNTIF(INDIRECT("'"&amp;$H$3&amp;"'!K176"),"Public Transport*")=1,(K231/INDIRECT("'"&amp;$H$3&amp;"'!$H$9")),(K247/INDIRECT("'"&amp;$H$3&amp;"'!$H$9"))),0)</f>
        <v>0</v>
      </c>
      <c r="L228" s="836"/>
      <c r="M228" s="836"/>
      <c r="N228" s="836">
        <f ca="1">IFERROR(IF(COUNTIF(INDIRECT("'"&amp;$H$3&amp;"'!N176"),"Public Transport*")=1,(N231/INDIRECT("'"&amp;$H$3&amp;"'!$H$9")),(N247/INDIRECT("'"&amp;$H$3&amp;"'!$H$9"))),0)</f>
        <v>0</v>
      </c>
      <c r="O228" s="836"/>
      <c r="P228" s="836"/>
      <c r="Q228" s="836">
        <f ca="1">IFERROR(IF(COUNTIF(INDIRECT("'"&amp;$H$3&amp;"'!Q176"),"Public Transport*")=1,(Q231/INDIRECT("'"&amp;$H$3&amp;"'!$H$9")),(Q247/INDIRECT("'"&amp;$H$3&amp;"'!$H$9"))),0)</f>
        <v>0</v>
      </c>
      <c r="R228" s="1646"/>
      <c r="S228" s="1646"/>
      <c r="T228" s="836">
        <f ca="1">IFERROR(IF(COUNTIF(INDIRECT("'"&amp;$H$3&amp;"'!T176"),"Public Transport*")=1,(T231/INDIRECT("'"&amp;$H$3&amp;"'!$H$9")),(T247/INDIRECT("'"&amp;$H$3&amp;"'!$H$9"))),0)</f>
        <v>0</v>
      </c>
      <c r="U228" s="1646"/>
      <c r="V228" s="1646"/>
      <c r="W228" s="836">
        <f ca="1">IFERROR(IF(COUNTIF(INDIRECT("'"&amp;$H$3&amp;"'!W176"),"Public Transport*")=1,(W231/INDIRECT("'"&amp;$H$3&amp;"'!$H$9")),(W247/INDIRECT("'"&amp;$H$3&amp;"'!$H$9"))),0)</f>
        <v>0</v>
      </c>
      <c r="X228" s="1465"/>
      <c r="Y228" s="36"/>
      <c r="Z228" s="36"/>
      <c r="AA228" s="36"/>
      <c r="AB228" s="36"/>
      <c r="AC228" s="36"/>
      <c r="AD228" s="36"/>
      <c r="AE228" s="36"/>
      <c r="AF228" s="36"/>
      <c r="AG228" s="36"/>
      <c r="AH228" s="36"/>
      <c r="AI228" s="36"/>
      <c r="AJ228" s="36"/>
      <c r="AK228" s="242"/>
      <c r="AL228" s="36"/>
      <c r="AM228" s="36"/>
      <c r="AN228" s="36"/>
    </row>
    <row r="229" spans="6:40" ht="15" customHeight="1" outlineLevel="1">
      <c r="F229" s="1659" t="s">
        <v>149</v>
      </c>
      <c r="G229" s="1614"/>
      <c r="H229" s="848"/>
      <c r="I229" s="848"/>
      <c r="J229" s="848"/>
      <c r="K229" s="848"/>
      <c r="L229" s="848"/>
      <c r="M229" s="848"/>
      <c r="N229" s="848"/>
      <c r="O229" s="1644"/>
      <c r="P229" s="1644"/>
      <c r="Q229" s="1648"/>
      <c r="R229" s="1650"/>
      <c r="S229" s="1650"/>
      <c r="T229" s="1648"/>
      <c r="U229" s="1650"/>
      <c r="V229" s="1650"/>
      <c r="W229" s="1648"/>
      <c r="X229" s="1467"/>
      <c r="Y229" s="36"/>
      <c r="Z229" s="36"/>
      <c r="AA229" s="36"/>
      <c r="AB229" s="36"/>
      <c r="AC229" s="36"/>
      <c r="AD229" s="36"/>
      <c r="AE229" s="36"/>
      <c r="AF229" s="36"/>
      <c r="AG229" s="36"/>
      <c r="AH229" s="36"/>
      <c r="AI229" s="36"/>
      <c r="AJ229" s="36"/>
      <c r="AK229" s="242"/>
      <c r="AL229" s="36"/>
      <c r="AM229" s="36"/>
      <c r="AN229" s="36"/>
    </row>
    <row r="230" spans="6:40" ht="15" customHeight="1" outlineLevel="1">
      <c r="F230" s="52"/>
      <c r="G230" s="51" t="s">
        <v>146</v>
      </c>
      <c r="H230" s="837"/>
      <c r="I230" s="837"/>
      <c r="J230" s="837"/>
      <c r="K230" s="837">
        <f ca="1">IFERROR(IF(COUNTIF(INDIRECT("'"&amp;$H$3&amp;"'!K176"),"Public Transport*")=1,IF(INDIRECT("'"&amp;$H$3&amp;"'!K183")="Route-based",K238*INDIRECT("'"&amp;$H$3&amp;"'!K$96"),IF(INDIRECT("'"&amp;$H$3&amp;"'!K183")="Point-to-point",K241*INDIRECT("'"&amp;$H$3&amp;"'!K$96"),0)),0),0)</f>
        <v>0</v>
      </c>
      <c r="L230" s="837"/>
      <c r="M230" s="837"/>
      <c r="N230" s="837">
        <f ca="1">IFERROR(IF(COUNTIF(INDIRECT("'"&amp;$H$3&amp;"'!N176"),"Public Transport*")=1,IF(INDIRECT("'"&amp;$H$3&amp;"'!N183")="Route-based",N238*INDIRECT("'"&amp;$H$3&amp;"'!N$96"),IF(INDIRECT("'"&amp;$H$3&amp;"'!N183")="Point-to-point",N241*INDIRECT("'"&amp;$H$3&amp;"'!N$96"),0)),0),0)</f>
        <v>0</v>
      </c>
      <c r="O230" s="837"/>
      <c r="P230" s="837"/>
      <c r="Q230" s="837">
        <f ca="1">IFERROR(IF(COUNTIF(INDIRECT("'"&amp;$H$3&amp;"'!Q176"),"Public Transport*")=1,IF(INDIRECT("'"&amp;$H$3&amp;"'!Q183")="Route-based",Q238*INDIRECT("'"&amp;$H$3&amp;"'!Q$96"),IF(INDIRECT("'"&amp;$H$3&amp;"'!Q183")="Point-to-point",Q241*INDIRECT("'"&amp;$H$3&amp;"'!Q$96"),0)),0),0)</f>
        <v>0</v>
      </c>
      <c r="R230" s="1650"/>
      <c r="S230" s="1650"/>
      <c r="T230" s="837">
        <f ca="1">IFERROR(IF(COUNTIF(INDIRECT("'"&amp;$H$3&amp;"'!T176"),"Public Transport*")=1,IF(INDIRECT("'"&amp;$H$3&amp;"'!T183")="Route-based",T238*INDIRECT("'"&amp;$H$3&amp;"'!T$96"),IF(INDIRECT("'"&amp;$H$3&amp;"'!T183")="Point-to-point",T241*INDIRECT("'"&amp;$H$3&amp;"'!T$96"),0)),0),0)</f>
        <v>0</v>
      </c>
      <c r="U230" s="1650"/>
      <c r="V230" s="1650"/>
      <c r="W230" s="837">
        <f ca="1">IFERROR(IF(COUNTIF(INDIRECT("'"&amp;$H$3&amp;"'!W176"),"Public Transport*")=1,IF(INDIRECT("'"&amp;$H$3&amp;"'!W183")="Route-based",W238*INDIRECT("'"&amp;$H$3&amp;"'!W$96"),IF(INDIRECT("'"&amp;$H$3&amp;"'!W183")="Point-to-point",W241*INDIRECT("'"&amp;$H$3&amp;"'!W$96"),0)),0),0)</f>
        <v>0</v>
      </c>
      <c r="X230" s="1468"/>
      <c r="Y230" s="36"/>
      <c r="Z230" s="36"/>
      <c r="AA230" s="36"/>
      <c r="AB230" s="36"/>
      <c r="AC230" s="36"/>
      <c r="AD230" s="36"/>
      <c r="AE230" s="36"/>
      <c r="AF230" s="36"/>
      <c r="AG230" s="36"/>
      <c r="AH230" s="36"/>
      <c r="AI230" s="36"/>
      <c r="AJ230" s="36"/>
      <c r="AK230" s="242"/>
      <c r="AL230" s="36"/>
      <c r="AM230" s="36"/>
      <c r="AN230" s="36"/>
    </row>
    <row r="231" spans="6:40" ht="15" customHeight="1" outlineLevel="1">
      <c r="F231" s="52"/>
      <c r="G231" s="51" t="s">
        <v>147</v>
      </c>
      <c r="H231" s="837"/>
      <c r="I231" s="837"/>
      <c r="J231" s="837"/>
      <c r="K231" s="837">
        <f ca="1">IFERROR(IF(INDIRECT("'"&amp;$H$3&amp;"'!K183")="Route-based",K239*INDIRECT("'"&amp;$H$3&amp;"'!K$96"),IF(INDIRECT("'"&amp;$H$3&amp;"'!K183")="Point-to-point",K242*INDIRECT("'"&amp;$H$3&amp;"'!K$96"),0)),0)</f>
        <v>0</v>
      </c>
      <c r="L231" s="837"/>
      <c r="M231" s="837"/>
      <c r="N231" s="837">
        <f ca="1">IFERROR(IF(INDIRECT("'"&amp;$H$3&amp;"'!N183")="Route-based",N239*INDIRECT("'"&amp;$H$3&amp;"'!N$96"),IF(INDIRECT("'"&amp;$H$3&amp;"'!N183")="Point-to-point",N242*INDIRECT("'"&amp;$H$3&amp;"'!N$96"),0)),0)</f>
        <v>0</v>
      </c>
      <c r="O231" s="837"/>
      <c r="P231" s="837"/>
      <c r="Q231" s="837">
        <f ca="1">IFERROR(IF(INDIRECT("'"&amp;$H$3&amp;"'!Q183")="Route-based",Q239*INDIRECT("'"&amp;$H$3&amp;"'!Q$96"),IF(INDIRECT("'"&amp;$H$3&amp;"'!Q183")="Point-to-point",Q242*INDIRECT("'"&amp;$H$3&amp;"'!Q$96"),0)),0)</f>
        <v>0</v>
      </c>
      <c r="R231" s="1650"/>
      <c r="S231" s="1650"/>
      <c r="T231" s="837">
        <f ca="1">IFERROR(IF(INDIRECT("'"&amp;$H$3&amp;"'!T183")="Route-based",T239*INDIRECT("'"&amp;$H$3&amp;"'!T$96"),IF(INDIRECT("'"&amp;$H$3&amp;"'!T183")="Point-to-point",T242*INDIRECT("'"&amp;$H$3&amp;"'!T$96"),0)),0)</f>
        <v>0</v>
      </c>
      <c r="U231" s="1650"/>
      <c r="V231" s="1650"/>
      <c r="W231" s="837">
        <f ca="1">IFERROR(IF(INDIRECT("'"&amp;$H$3&amp;"'!W183")="Route-based",W239*INDIRECT("'"&amp;$H$3&amp;"'!W$96"),IF(INDIRECT("'"&amp;$H$3&amp;"'!W183")="Point-to-point",W242*INDIRECT("'"&amp;$H$3&amp;"'!W$96"),0)),0)</f>
        <v>0</v>
      </c>
      <c r="X231" s="1468"/>
      <c r="Y231" s="36"/>
      <c r="Z231" s="36"/>
      <c r="AA231" s="36"/>
      <c r="AB231" s="36"/>
      <c r="AC231" s="36"/>
      <c r="AD231" s="36"/>
      <c r="AE231" s="36"/>
      <c r="AF231" s="36"/>
      <c r="AG231" s="36"/>
      <c r="AH231" s="36"/>
      <c r="AI231" s="36"/>
      <c r="AJ231" s="36"/>
      <c r="AK231" s="36"/>
      <c r="AL231" s="36"/>
      <c r="AM231" s="36"/>
      <c r="AN231" s="36"/>
    </row>
    <row r="232" spans="6:40" ht="15" customHeight="1" outlineLevel="1">
      <c r="F232" s="52"/>
      <c r="G232" s="51" t="s">
        <v>142</v>
      </c>
      <c r="H232" s="1651"/>
      <c r="I232" s="1651"/>
      <c r="J232" s="1651"/>
      <c r="K232" s="1651">
        <f ca="1">IFERROR(IF(COUNTIF(INDIRECT("'"&amp;$H$3&amp;"'!K176"),"Public Transport*")=1,ROUND(INDIRECT("'"&amp;$H$3&amp;"'!K$95")*INDIRECT("'"&amp;$H$3&amp;"'!K175"),0),0),0)</f>
        <v>0</v>
      </c>
      <c r="L232" s="1651"/>
      <c r="M232" s="1651"/>
      <c r="N232" s="1651">
        <f ca="1">IFERROR(IF(COUNTIF(INDIRECT("'"&amp;$H$3&amp;"'!N176"),"Public Transport*")=1,ROUND(INDIRECT("'"&amp;$H$3&amp;"'!N$95")*INDIRECT("'"&amp;$H$3&amp;"'!N175"),0),0),0)</f>
        <v>0</v>
      </c>
      <c r="O232" s="1651"/>
      <c r="P232" s="1651"/>
      <c r="Q232" s="1651">
        <f ca="1">IFERROR(IF(COUNTIF(INDIRECT("'"&amp;$H$3&amp;"'!Q176"),"Public Transport*")=1,ROUND(INDIRECT("'"&amp;$H$3&amp;"'!Q$95")*INDIRECT("'"&amp;$H$3&amp;"'!Q175"),0),0),0)</f>
        <v>0</v>
      </c>
      <c r="R232" s="1652"/>
      <c r="S232" s="1652"/>
      <c r="T232" s="1651">
        <f ca="1">IFERROR(IF(COUNTIF(INDIRECT("'"&amp;$H$3&amp;"'!T176"),"Public Transport*")=1,ROUND(INDIRECT("'"&amp;$H$3&amp;"'!T$95")*INDIRECT("'"&amp;$H$3&amp;"'!T175"),0),0),0)</f>
        <v>0</v>
      </c>
      <c r="U232" s="1652"/>
      <c r="V232" s="1652"/>
      <c r="W232" s="1651">
        <f ca="1">IFERROR(IF(COUNTIF(INDIRECT("'"&amp;$H$3&amp;"'!W176"),"Public Transport*")=1,ROUND(INDIRECT("'"&amp;$H$3&amp;"'!W$95")*INDIRECT("'"&amp;$H$3&amp;"'!W175"),0),0),0)</f>
        <v>0</v>
      </c>
      <c r="X232" s="1466"/>
      <c r="Y232" s="36"/>
      <c r="Z232" s="36"/>
      <c r="AA232" s="36"/>
      <c r="AB232" s="36"/>
      <c r="AC232" s="36"/>
      <c r="AD232" s="36"/>
      <c r="AE232" s="36"/>
      <c r="AF232" s="36"/>
      <c r="AG232" s="36"/>
      <c r="AH232" s="36"/>
      <c r="AI232" s="36"/>
      <c r="AJ232" s="36"/>
      <c r="AK232" s="36"/>
      <c r="AL232" s="36"/>
      <c r="AM232" s="36"/>
      <c r="AN232" s="36" t="s">
        <v>190</v>
      </c>
    </row>
    <row r="233" spans="6:40" ht="15" customHeight="1" outlineLevel="1">
      <c r="F233" s="52"/>
      <c r="G233" s="51" t="s">
        <v>158</v>
      </c>
      <c r="H233" s="836"/>
      <c r="I233" s="836"/>
      <c r="J233" s="836"/>
      <c r="K233" s="836">
        <f ca="1">IFERROR(INDEX(INDIRECT("'"&amp;$H$3&amp;"'!$H$43:$H$78"),MATCH(INDIRECT("'"&amp;$H$3&amp;"'!K176")&amp;"Maximum delivery capacity (m^3)", INDIRECT("'"&amp;$H$3&amp;"'!$F$43:$F$78"),0))/('2_Outputs'!K$225/INDIRECT("'"&amp;$H$3&amp;"'!K$96")),0)</f>
        <v>0</v>
      </c>
      <c r="L233" s="836"/>
      <c r="M233" s="836"/>
      <c r="N233" s="836">
        <f ca="1">IFERROR(INDEX(INDIRECT("'"&amp;$H$3&amp;"'!$H$43:$H$78"),MATCH(INDIRECT("'"&amp;$H$3&amp;"'!N176")&amp;"Maximum delivery capacity (m^3)", INDIRECT("'"&amp;$H$3&amp;"'!$F$43:$F$78"),0))/('2_Outputs'!N$225/INDIRECT("'"&amp;$H$3&amp;"'!N$96")),0)</f>
        <v>0</v>
      </c>
      <c r="O233" s="836"/>
      <c r="P233" s="836"/>
      <c r="Q233" s="836">
        <f ca="1">IFERROR(INDEX(INDIRECT("'"&amp;$H$3&amp;"'!$H$43:$H$78"),MATCH(INDIRECT("'"&amp;$H$3&amp;"'!Q176")&amp;"Maximum delivery capacity (m^3)", INDIRECT("'"&amp;$H$3&amp;"'!$F$43:$F$78"),0))/('2_Outputs'!Q$225/INDIRECT("'"&amp;$H$3&amp;"'!Q$96")),0)</f>
        <v>0</v>
      </c>
      <c r="R233" s="836"/>
      <c r="S233" s="836"/>
      <c r="T233" s="836">
        <f ca="1">IFERROR(INDEX(INDIRECT("'"&amp;$H$3&amp;"'!$H$43:$H$78"),MATCH(INDIRECT("'"&amp;$H$3&amp;"'!T176")&amp;"Maximum delivery capacity (m^3)", INDIRECT("'"&amp;$H$3&amp;"'!$F$43:$F$78"),0))/('2_Outputs'!T$225/INDIRECT("'"&amp;$H$3&amp;"'!T$96")),0)</f>
        <v>0</v>
      </c>
      <c r="U233" s="836"/>
      <c r="V233" s="836"/>
      <c r="W233" s="836">
        <f ca="1">IFERROR(INDEX(INDIRECT("'"&amp;$H$3&amp;"'!$H$43:$H$78"),MATCH(INDIRECT("'"&amp;$H$3&amp;"'!W176")&amp;"Maximum delivery capacity (m^3)", INDIRECT("'"&amp;$H$3&amp;"'!$F$43:$F$78"),0))/('2_Outputs'!W$225/INDIRECT("'"&amp;$H$3&amp;"'!W$96")),0)</f>
        <v>0</v>
      </c>
      <c r="X233" s="1469"/>
      <c r="Y233" s="36"/>
      <c r="Z233" s="36"/>
      <c r="AA233" s="36"/>
      <c r="AB233" s="36"/>
      <c r="AC233" s="36"/>
      <c r="AD233" s="36"/>
      <c r="AE233" s="36"/>
      <c r="AF233" s="36"/>
      <c r="AG233" s="36"/>
      <c r="AH233" s="36"/>
      <c r="AI233" s="36"/>
      <c r="AJ233" s="36"/>
      <c r="AK233" s="36"/>
      <c r="AL233" s="36"/>
      <c r="AM233" s="36"/>
      <c r="AN233" s="36"/>
    </row>
    <row r="234" spans="6:40" ht="15" customHeight="1" outlineLevel="1">
      <c r="F234" s="52"/>
      <c r="G234" s="1613" t="s">
        <v>150</v>
      </c>
      <c r="H234" s="842"/>
      <c r="I234" s="842"/>
      <c r="J234" s="842"/>
      <c r="K234" s="842"/>
      <c r="L234" s="842"/>
      <c r="M234" s="842"/>
      <c r="N234" s="842"/>
      <c r="O234" s="842"/>
      <c r="P234" s="842"/>
      <c r="Q234" s="842"/>
      <c r="R234" s="1650"/>
      <c r="S234" s="1650"/>
      <c r="T234" s="842"/>
      <c r="U234" s="1650"/>
      <c r="V234" s="1650"/>
      <c r="W234" s="842"/>
      <c r="X234" s="1470"/>
      <c r="Y234" s="36"/>
      <c r="Z234" s="36"/>
      <c r="AA234" s="36"/>
      <c r="AB234" s="36"/>
      <c r="AC234" s="36"/>
      <c r="AD234" s="36"/>
      <c r="AE234" s="36"/>
      <c r="AF234" s="36"/>
      <c r="AG234" s="36"/>
      <c r="AH234" s="36"/>
      <c r="AI234" s="36"/>
      <c r="AJ234" s="36"/>
      <c r="AK234" s="36"/>
      <c r="AL234" s="36"/>
      <c r="AM234" s="36"/>
      <c r="AN234" s="36"/>
    </row>
    <row r="235" spans="6:40" ht="15" customHeight="1" outlineLevel="1">
      <c r="F235" s="52"/>
      <c r="G235" s="51" t="s">
        <v>140</v>
      </c>
      <c r="H235" s="836"/>
      <c r="I235" s="836"/>
      <c r="J235" s="836"/>
      <c r="K235" s="836">
        <f ca="1">IFERROR(ROUND(INDIRECT("'"&amp;$H$3&amp;"'!$H$10")/(((1/60)*(INDIRECT("'"&amp;$H$3&amp;"'!K188")+INDIRECT("'"&amp;$H$3&amp;"'!$H$19")*(INDIRECT("'"&amp;$H$3&amp;"'!K189")+(INDIRECT("'"&amp;$H$3&amp;"'!K190")*('2_Outputs'!K$225/INDIRECT("'"&amp;$H$3&amp;"'!K$96")/INDIRECT("'"&amp;$H$3&amp;"'!$H$19"))))))+INDEX(INDIRECT("'"&amp;$H$3&amp;"'!$H$43:$H$78"),MATCH(INDIRECT("'"&amp;$H$3&amp;"'!K176")&amp;"Average duration (hrs) per trip",INDIRECT("'"&amp;$H$3&amp;"'!$F$43:$F$78"),0))),1),0)</f>
        <v>0</v>
      </c>
      <c r="L235" s="836"/>
      <c r="M235" s="836"/>
      <c r="N235" s="836">
        <f ca="1">IFERROR(ROUND(INDIRECT("'"&amp;$H$3&amp;"'!$H$10")/(((1/60)*(INDIRECT("'"&amp;$H$3&amp;"'!N188")+INDIRECT("'"&amp;$H$3&amp;"'!$H$19")*(INDIRECT("'"&amp;$H$3&amp;"'!N189")+(INDIRECT("'"&amp;$H$3&amp;"'!N190")*('2_Outputs'!N$225/INDIRECT("'"&amp;$H$3&amp;"'!N$96")/INDIRECT("'"&amp;$H$3&amp;"'!$H$19"))))))+INDEX(INDIRECT("'"&amp;$H$3&amp;"'!$H$43:$H$78"),MATCH(INDIRECT("'"&amp;$H$3&amp;"'!N176")&amp;"Average duration (hrs) per trip",INDIRECT("'"&amp;$H$3&amp;"'!$F$43:$F$78"),0))),1),0)</f>
        <v>0</v>
      </c>
      <c r="O235" s="836"/>
      <c r="P235" s="836"/>
      <c r="Q235" s="836">
        <f ca="1">IFERROR(ROUND(INDIRECT("'"&amp;$H$3&amp;"'!$H$10")/(((1/60)*(INDIRECT("'"&amp;$H$3&amp;"'!Q188")+INDIRECT("'"&amp;$H$3&amp;"'!$H$19")*(INDIRECT("'"&amp;$H$3&amp;"'!Q189")+(INDIRECT("'"&amp;$H$3&amp;"'!Q190")*('2_Outputs'!Q$225/INDIRECT("'"&amp;$H$3&amp;"'!Q$96")/INDIRECT("'"&amp;$H$3&amp;"'!$H$19"))))))+INDEX(INDIRECT("'"&amp;$H$3&amp;"'!$H$43:$H$78"),MATCH(INDIRECT("'"&amp;$H$3&amp;"'!Q176")&amp;"Average duration (hrs) per trip",INDIRECT("'"&amp;$H$3&amp;"'!$F$43:$F$78"),0))),1),0)</f>
        <v>0</v>
      </c>
      <c r="R235" s="836"/>
      <c r="S235" s="836"/>
      <c r="T235" s="836">
        <f ca="1">IFERROR(ROUND(INDIRECT("'"&amp;$H$3&amp;"'!$H$10")/(((1/60)*(INDIRECT("'"&amp;$H$3&amp;"'!T188")+INDIRECT("'"&amp;$H$3&amp;"'!$H$19")*(INDIRECT("'"&amp;$H$3&amp;"'!T189")+(INDIRECT("'"&amp;$H$3&amp;"'!T190")*('2_Outputs'!T$225/INDIRECT("'"&amp;$H$3&amp;"'!T$96")/INDIRECT("'"&amp;$H$3&amp;"'!$H$19"))))))+INDEX(INDIRECT("'"&amp;$H$3&amp;"'!$H$43:$H$78"),MATCH(INDIRECT("'"&amp;$H$3&amp;"'!T176")&amp;"Average duration (hrs) per trip",INDIRECT("'"&amp;$H$3&amp;"'!$F$43:$F$78"),0))),1),0)</f>
        <v>0</v>
      </c>
      <c r="U235" s="836"/>
      <c r="V235" s="836"/>
      <c r="W235" s="836">
        <f ca="1">IFERROR(ROUND(INDIRECT("'"&amp;$H$3&amp;"'!$H$10")/(((1/60)*(INDIRECT("'"&amp;$H$3&amp;"'!W188")+INDIRECT("'"&amp;$H$3&amp;"'!$H$19")*(INDIRECT("'"&amp;$H$3&amp;"'!W189")+(INDIRECT("'"&amp;$H$3&amp;"'!W190")*('2_Outputs'!W$225/INDIRECT("'"&amp;$H$3&amp;"'!W$96")/INDIRECT("'"&amp;$H$3&amp;"'!$H$19"))))))+INDEX(INDIRECT("'"&amp;$H$3&amp;"'!$H$43:$H$78"),MATCH(INDIRECT("'"&amp;$H$3&amp;"'!W176")&amp;"Average duration (hrs) per trip",INDIRECT("'"&amp;$H$3&amp;"'!$F$43:$F$78"),0))),1),0)</f>
        <v>0</v>
      </c>
      <c r="X235" s="1469"/>
      <c r="Y235" s="36"/>
      <c r="Z235" s="36"/>
      <c r="AA235" s="36"/>
      <c r="AB235" s="36"/>
      <c r="AC235" s="36"/>
      <c r="AD235" s="36"/>
      <c r="AE235" s="36"/>
      <c r="AF235" s="36"/>
      <c r="AG235" s="36"/>
      <c r="AH235" s="36"/>
      <c r="AI235" s="36"/>
      <c r="AJ235" s="36"/>
      <c r="AK235" s="36"/>
      <c r="AL235" s="36"/>
      <c r="AM235" s="36"/>
      <c r="AN235" s="36"/>
    </row>
    <row r="236" spans="6:40" ht="15" customHeight="1" outlineLevel="1">
      <c r="F236" s="52"/>
      <c r="G236" s="51" t="s">
        <v>141</v>
      </c>
      <c r="H236" s="836"/>
      <c r="I236" s="836"/>
      <c r="J236" s="836"/>
      <c r="K236" s="836">
        <f ca="1">IFERROR(MIN(ROUND(K235*INDIRECT("'"&amp;$H$3&amp;"'!K184"),0),K233),0)</f>
        <v>0</v>
      </c>
      <c r="L236" s="836"/>
      <c r="M236" s="836"/>
      <c r="N236" s="836">
        <f ca="1">IFERROR(MIN(ROUND(N235*INDIRECT("'"&amp;$H$3&amp;"'!N184"),0),N233),0)</f>
        <v>0</v>
      </c>
      <c r="O236" s="836"/>
      <c r="P236" s="836"/>
      <c r="Q236" s="836">
        <f ca="1">IFERROR(MIN(ROUND(Q235*INDIRECT("'"&amp;$H$3&amp;"'!Q184"),0),Q233),0)</f>
        <v>0</v>
      </c>
      <c r="R236" s="836"/>
      <c r="S236" s="836"/>
      <c r="T236" s="836">
        <f ca="1">IFERROR(MIN(ROUND(T235*INDIRECT("'"&amp;$H$3&amp;"'!T184"),0),T233),0)</f>
        <v>0</v>
      </c>
      <c r="U236" s="836"/>
      <c r="V236" s="836"/>
      <c r="W236" s="836">
        <f ca="1">IFERROR(MIN(ROUND(W235*INDIRECT("'"&amp;$H$3&amp;"'!W184"),0),W233),0)</f>
        <v>0</v>
      </c>
      <c r="X236" s="1469"/>
      <c r="Y236" s="36"/>
      <c r="Z236" s="36"/>
      <c r="AA236" s="36"/>
      <c r="AB236" s="36"/>
      <c r="AC236" s="36"/>
      <c r="AD236" s="36"/>
      <c r="AE236" s="36"/>
      <c r="AF236" s="36"/>
      <c r="AG236" s="36"/>
      <c r="AH236" s="36"/>
      <c r="AI236" s="36"/>
      <c r="AJ236" s="36"/>
      <c r="AK236" s="36"/>
      <c r="AL236" s="36"/>
      <c r="AM236" s="36"/>
      <c r="AN236" s="36"/>
    </row>
    <row r="237" spans="6:40" ht="15" customHeight="1" outlineLevel="1">
      <c r="F237" s="52"/>
      <c r="G237" s="51" t="s">
        <v>143</v>
      </c>
      <c r="H237" s="836"/>
      <c r="I237" s="836"/>
      <c r="J237" s="836"/>
      <c r="K237" s="836">
        <f ca="1">IFERROR(ROUNDUP(K232/K236,0),0)</f>
        <v>0</v>
      </c>
      <c r="L237" s="836"/>
      <c r="M237" s="836"/>
      <c r="N237" s="836">
        <f ca="1">IFERROR(ROUNDUP(N232/N236,0),0)</f>
        <v>0</v>
      </c>
      <c r="O237" s="836"/>
      <c r="P237" s="836"/>
      <c r="Q237" s="836">
        <f ca="1">IFERROR(ROUNDUP(Q232/Q236,0),0)</f>
        <v>0</v>
      </c>
      <c r="R237" s="836"/>
      <c r="S237" s="836"/>
      <c r="T237" s="836">
        <f ca="1">IFERROR(ROUNDUP(T232/T236,0),0)</f>
        <v>0</v>
      </c>
      <c r="U237" s="836"/>
      <c r="V237" s="836"/>
      <c r="W237" s="836">
        <f ca="1">IFERROR(ROUNDUP(W232/W236,0),0)</f>
        <v>0</v>
      </c>
      <c r="X237" s="1469"/>
      <c r="Y237" s="36"/>
      <c r="Z237" s="36"/>
      <c r="AA237" s="36"/>
      <c r="AB237" s="36"/>
      <c r="AC237" s="36"/>
      <c r="AD237" s="36"/>
      <c r="AE237" s="36"/>
      <c r="AF237" s="36"/>
      <c r="AG237" s="36"/>
      <c r="AH237" s="36"/>
      <c r="AI237" s="36"/>
      <c r="AJ237" s="36"/>
      <c r="AK237" s="242"/>
      <c r="AL237" s="36"/>
      <c r="AM237" s="36"/>
      <c r="AN237" s="36"/>
    </row>
    <row r="238" spans="6:40" ht="15" customHeight="1" outlineLevel="1">
      <c r="F238" s="52"/>
      <c r="G238" s="51" t="s">
        <v>144</v>
      </c>
      <c r="H238" s="836"/>
      <c r="I238" s="836"/>
      <c r="J238" s="836"/>
      <c r="K238" s="836">
        <f ca="1">IFERROR((K237*(MAX(K236,1)+1)),0)</f>
        <v>0</v>
      </c>
      <c r="L238" s="836"/>
      <c r="M238" s="836"/>
      <c r="N238" s="836">
        <f ca="1">IFERROR((N237*(MAX(N236,1)+1)),0)</f>
        <v>0</v>
      </c>
      <c r="O238" s="836"/>
      <c r="P238" s="836"/>
      <c r="Q238" s="836">
        <f ca="1">IFERROR((Q237*(MAX(Q236,1)+1)),0)</f>
        <v>0</v>
      </c>
      <c r="R238" s="836"/>
      <c r="S238" s="836"/>
      <c r="T238" s="836">
        <f ca="1">IFERROR((T237*(MAX(T236,1)+1)),0)</f>
        <v>0</v>
      </c>
      <c r="U238" s="836"/>
      <c r="V238" s="836"/>
      <c r="W238" s="836">
        <f ca="1">IFERROR((W237*(MAX(W236,1)+1)),0)</f>
        <v>0</v>
      </c>
      <c r="X238" s="1469"/>
      <c r="Y238" s="36"/>
      <c r="Z238" s="36"/>
      <c r="AA238" s="36"/>
      <c r="AB238" s="36"/>
      <c r="AC238" s="36"/>
      <c r="AD238" s="36"/>
      <c r="AE238" s="36"/>
      <c r="AF238" s="36"/>
      <c r="AG238" s="36"/>
      <c r="AH238" s="36"/>
      <c r="AI238" s="36"/>
      <c r="AJ238" s="36"/>
      <c r="AK238" s="242"/>
      <c r="AL238" s="36"/>
      <c r="AM238" s="36"/>
      <c r="AN238" s="36"/>
    </row>
    <row r="239" spans="6:40" ht="15" customHeight="1" outlineLevel="1">
      <c r="F239" s="52"/>
      <c r="G239" s="51" t="s">
        <v>145</v>
      </c>
      <c r="H239" s="836"/>
      <c r="I239" s="836"/>
      <c r="J239" s="836"/>
      <c r="K239" s="836">
        <f ca="1">IFERROR(ROUNDUP(((K238*INDEX(INDIRECT("'"&amp;$H$3&amp;"'!$H$43:$H$78"),MATCH(INDIRECT("'"&amp;$H$3&amp;"'!K176")&amp;"Average duration (hrs) per trip",INDIRECT("'"&amp;$H$3&amp;"'!$F$43:$F$78"),0)))+(K232*((1/60)*(INDIRECT("'"&amp;$H$3&amp;"'!K188")+INDIRECT("'"&amp;$H$3&amp;"'!$H$19")*(INDIRECT("'"&amp;$H$3&amp;"'!K189")+(INDIRECT("'"&amp;$H$3&amp;"'!K190")*('2_Outputs'!K$225/INDIRECT("'"&amp;$H$3&amp;"'!K$96")/INDIRECT("'"&amp;$H$3&amp;"'!$H$19"))))))))/INDIRECT("'"&amp;$H$3&amp;"'!$H$10"),0),0)</f>
        <v>0</v>
      </c>
      <c r="L239" s="836"/>
      <c r="M239" s="836"/>
      <c r="N239" s="836">
        <f ca="1">IFERROR(ROUNDUP(((N238*INDEX(INDIRECT("'"&amp;$H$3&amp;"'!$H$43:$H$78"),MATCH(INDIRECT("'"&amp;$H$3&amp;"'!N176")&amp;"Average duration (hrs) per trip",INDIRECT("'"&amp;$H$3&amp;"'!$F$43:$F$78"),0)))+(N232*((1/60)*(INDIRECT("'"&amp;$H$3&amp;"'!N188")+INDIRECT("'"&amp;$H$3&amp;"'!$H$19")*(INDIRECT("'"&amp;$H$3&amp;"'!N189")+(INDIRECT("'"&amp;$H$3&amp;"'!N190")*('2_Outputs'!N$225/INDIRECT("'"&amp;$H$3&amp;"'!N$96")/INDIRECT("'"&amp;$H$3&amp;"'!$H$19"))))))))/INDIRECT("'"&amp;$H$3&amp;"'!$H$10"),0),0)</f>
        <v>0</v>
      </c>
      <c r="O239" s="836"/>
      <c r="P239" s="836"/>
      <c r="Q239" s="836">
        <f ca="1">IFERROR(ROUNDUP(((Q238*INDEX(INDIRECT("'"&amp;$H$3&amp;"'!$H$43:$H$78"),MATCH(INDIRECT("'"&amp;$H$3&amp;"'!Q176")&amp;"Average duration (hrs) per trip",INDIRECT("'"&amp;$H$3&amp;"'!$F$43:$F$78"),0)))+(Q232*((1/60)*(INDIRECT("'"&amp;$H$3&amp;"'!Q188")+INDIRECT("'"&amp;$H$3&amp;"'!$H$19")*(INDIRECT("'"&amp;$H$3&amp;"'!Q189")+(INDIRECT("'"&amp;$H$3&amp;"'!Q190")*('2_Outputs'!Q$225/INDIRECT("'"&amp;$H$3&amp;"'!Q$96")/INDIRECT("'"&amp;$H$3&amp;"'!$H$19"))))))))/INDIRECT("'"&amp;$H$3&amp;"'!$H$10"),0),0)</f>
        <v>0</v>
      </c>
      <c r="R239" s="836"/>
      <c r="S239" s="836"/>
      <c r="T239" s="836">
        <f ca="1">IFERROR(ROUNDUP(((T238*INDEX(INDIRECT("'"&amp;$H$3&amp;"'!$H$43:$H$78"),MATCH(INDIRECT("'"&amp;$H$3&amp;"'!T176")&amp;"Average duration (hrs) per trip",INDIRECT("'"&amp;$H$3&amp;"'!$F$43:$F$78"),0)))+(T232*((1/60)*(INDIRECT("'"&amp;$H$3&amp;"'!T188")+INDIRECT("'"&amp;$H$3&amp;"'!$H$19")*(INDIRECT("'"&amp;$H$3&amp;"'!T189")+(INDIRECT("'"&amp;$H$3&amp;"'!T190")*('2_Outputs'!T$225/INDIRECT("'"&amp;$H$3&amp;"'!T$96")/INDIRECT("'"&amp;$H$3&amp;"'!$H$19"))))))))/INDIRECT("'"&amp;$H$3&amp;"'!$H$10"),0),0)</f>
        <v>0</v>
      </c>
      <c r="U239" s="836"/>
      <c r="V239" s="836"/>
      <c r="W239" s="836">
        <f ca="1">IFERROR(ROUNDUP(((W238*INDEX(INDIRECT("'"&amp;$H$3&amp;"'!$H$43:$H$78"),MATCH(INDIRECT("'"&amp;$H$3&amp;"'!W176")&amp;"Average duration (hrs) per trip",INDIRECT("'"&amp;$H$3&amp;"'!$F$43:$F$78"),0)))+(W232*((1/60)*(INDIRECT("'"&amp;$H$3&amp;"'!W188")+INDIRECT("'"&amp;$H$3&amp;"'!$H$19")*(INDIRECT("'"&amp;$H$3&amp;"'!W189")+(INDIRECT("'"&amp;$H$3&amp;"'!W190")*('2_Outputs'!W$225/INDIRECT("'"&amp;$H$3&amp;"'!W$96")/INDIRECT("'"&amp;$H$3&amp;"'!$H$19"))))))))/INDIRECT("'"&amp;$H$3&amp;"'!$H$10"),0),0)</f>
        <v>0</v>
      </c>
      <c r="X239" s="1469"/>
      <c r="Y239" s="36"/>
      <c r="Z239" s="36"/>
      <c r="AA239" s="36"/>
      <c r="AB239" s="36"/>
      <c r="AC239" s="36"/>
      <c r="AD239" s="36"/>
      <c r="AE239" s="36"/>
      <c r="AF239" s="36"/>
      <c r="AG239" s="36"/>
      <c r="AH239" s="36"/>
      <c r="AI239" s="36"/>
      <c r="AJ239" s="36"/>
      <c r="AK239" s="242"/>
      <c r="AL239" s="36"/>
      <c r="AM239" s="36"/>
      <c r="AN239" s="36"/>
    </row>
    <row r="240" spans="6:40" ht="15" customHeight="1" outlineLevel="1">
      <c r="F240" s="52"/>
      <c r="G240" s="1613" t="s">
        <v>841</v>
      </c>
      <c r="H240" s="842"/>
      <c r="I240" s="842"/>
      <c r="J240" s="842"/>
      <c r="K240" s="842"/>
      <c r="L240" s="842"/>
      <c r="M240" s="842"/>
      <c r="N240" s="842"/>
      <c r="O240" s="842"/>
      <c r="P240" s="842"/>
      <c r="Q240" s="842"/>
      <c r="R240" s="1650"/>
      <c r="S240" s="1650"/>
      <c r="T240" s="842"/>
      <c r="U240" s="1650"/>
      <c r="V240" s="1650"/>
      <c r="W240" s="842"/>
      <c r="X240" s="1470"/>
      <c r="Y240" s="36"/>
      <c r="Z240" s="36"/>
      <c r="AA240" s="36"/>
      <c r="AB240" s="36"/>
      <c r="AC240" s="36"/>
      <c r="AD240" s="36"/>
      <c r="AE240" s="36"/>
      <c r="AF240" s="36"/>
      <c r="AG240" s="36"/>
      <c r="AH240" s="36"/>
      <c r="AI240" s="36"/>
      <c r="AJ240" s="36"/>
      <c r="AK240" s="36"/>
      <c r="AL240" s="36"/>
      <c r="AM240" s="36"/>
      <c r="AN240" s="36"/>
    </row>
    <row r="241" spans="6:40" ht="15" customHeight="1" outlineLevel="1">
      <c r="F241" s="52"/>
      <c r="G241" s="51" t="s">
        <v>144</v>
      </c>
      <c r="H241" s="836"/>
      <c r="I241" s="836"/>
      <c r="J241" s="836"/>
      <c r="K241" s="836">
        <f ca="1">IFERROR((K232/MIN(K233,1))*2,0)</f>
        <v>0</v>
      </c>
      <c r="L241" s="836"/>
      <c r="M241" s="836"/>
      <c r="N241" s="836">
        <f ca="1">IFERROR((N232/MIN(N233,1))*2,0)</f>
        <v>0</v>
      </c>
      <c r="O241" s="836"/>
      <c r="P241" s="836"/>
      <c r="Q241" s="836">
        <f ca="1">IFERROR((Q232/MIN(Q233,1))*2,0)</f>
        <v>0</v>
      </c>
      <c r="R241" s="836"/>
      <c r="S241" s="836"/>
      <c r="T241" s="836">
        <f ca="1">IFERROR((T232/MIN(T233,1))*2,0)</f>
        <v>0</v>
      </c>
      <c r="U241" s="836"/>
      <c r="V241" s="836"/>
      <c r="W241" s="836">
        <f ca="1">IFERROR((W232/MIN(W233,1))*2,0)</f>
        <v>0</v>
      </c>
      <c r="X241" s="1469"/>
      <c r="Y241" s="36"/>
      <c r="Z241" s="36"/>
      <c r="AA241" s="36"/>
      <c r="AB241" s="36"/>
      <c r="AC241" s="36"/>
      <c r="AD241" s="36"/>
      <c r="AE241" s="36"/>
      <c r="AF241" s="36"/>
      <c r="AG241" s="36"/>
      <c r="AH241" s="36"/>
      <c r="AI241" s="36"/>
      <c r="AJ241" s="36"/>
      <c r="AK241" s="36"/>
      <c r="AL241" s="36"/>
      <c r="AM241" s="36"/>
      <c r="AN241" s="36"/>
    </row>
    <row r="242" spans="6:40" ht="15" customHeight="1" outlineLevel="1">
      <c r="F242" s="52"/>
      <c r="G242" s="51" t="s">
        <v>145</v>
      </c>
      <c r="H242" s="837"/>
      <c r="I242" s="837"/>
      <c r="J242" s="837"/>
      <c r="K242" s="837">
        <f ca="1">IFERROR(MAX(K232,ROUNDUP(((K241*INDEX(INDIRECT("'"&amp;$H$3&amp;"'!$H$43:$H$78"),MATCH(INDIRECT("'"&amp;$H$3&amp;"'!K176")&amp;"Average duration (hrs) per trip",INDIRECT("'"&amp;$H$3&amp;"'!$F$43:$F$78"),0)))+(K232*((1/60)*(INDIRECT("'"&amp;$H$3&amp;"'!K188")+INDIRECT("'"&amp;$H$3&amp;"'!$H$19")*(INDIRECT("'"&amp;$H$3&amp;"'!K189")+(INDIRECT("'"&amp;$H$3&amp;"'!K190")*('2_Outputs'!K$225/INDIRECT("'"&amp;$H$3&amp;"'!K$96")/INDIRECT("'"&amp;$H$3&amp;"'!$H$19"))))))))/INDIRECT("'"&amp;$H$3&amp;"'!$H$10"),0)),0)</f>
        <v>0</v>
      </c>
      <c r="L242" s="837"/>
      <c r="M242" s="837"/>
      <c r="N242" s="837">
        <f ca="1">IFERROR(MAX(N232,ROUNDUP(((N241*INDEX(INDIRECT("'"&amp;$H$3&amp;"'!$H$43:$H$78"),MATCH(INDIRECT("'"&amp;$H$3&amp;"'!N176")&amp;"Average duration (hrs) per trip",INDIRECT("'"&amp;$H$3&amp;"'!$F$43:$F$78"),0)))+(N232*((1/60)*(INDIRECT("'"&amp;$H$3&amp;"'!N188")+INDIRECT("'"&amp;$H$3&amp;"'!$H$19")*(INDIRECT("'"&amp;$H$3&amp;"'!N189")+(INDIRECT("'"&amp;$H$3&amp;"'!N190")*('2_Outputs'!N$225/INDIRECT("'"&amp;$H$3&amp;"'!N$96")/INDIRECT("'"&amp;$H$3&amp;"'!$H$19"))))))))/INDIRECT("'"&amp;$H$3&amp;"'!$H$10"),0)),0)</f>
        <v>0</v>
      </c>
      <c r="O242" s="837"/>
      <c r="P242" s="837"/>
      <c r="Q242" s="837">
        <f ca="1">IFERROR(MAX(Q232,ROUNDUP(((Q241*INDEX(INDIRECT("'"&amp;$H$3&amp;"'!$H$43:$H$78"),MATCH(INDIRECT("'"&amp;$H$3&amp;"'!Q176")&amp;"Average duration (hrs) per trip",INDIRECT("'"&amp;$H$3&amp;"'!$F$43:$F$78"),0)))+(Q232*((1/60)*(INDIRECT("'"&amp;$H$3&amp;"'!Q188")+INDIRECT("'"&amp;$H$3&amp;"'!$H$19")*(INDIRECT("'"&amp;$H$3&amp;"'!Q189")+(INDIRECT("'"&amp;$H$3&amp;"'!Q190")*('2_Outputs'!Q$225/INDIRECT("'"&amp;$H$3&amp;"'!Q$96")/INDIRECT("'"&amp;$H$3&amp;"'!$H$19"))))))))/INDIRECT("'"&amp;$H$3&amp;"'!$H$10"),0)),0)</f>
        <v>0</v>
      </c>
      <c r="R242" s="837"/>
      <c r="S242" s="837"/>
      <c r="T242" s="837">
        <f ca="1">IFERROR(MAX(T232,ROUNDUP(((T241*INDEX(INDIRECT("'"&amp;$H$3&amp;"'!$H$43:$H$78"),MATCH(INDIRECT("'"&amp;$H$3&amp;"'!T176")&amp;"Average duration (hrs) per trip",INDIRECT("'"&amp;$H$3&amp;"'!$F$43:$F$78"),0)))+(T232*((1/60)*(INDIRECT("'"&amp;$H$3&amp;"'!T188")+INDIRECT("'"&amp;$H$3&amp;"'!$H$19")*(INDIRECT("'"&amp;$H$3&amp;"'!T189")+(INDIRECT("'"&amp;$H$3&amp;"'!T190")*('2_Outputs'!T$225/INDIRECT("'"&amp;$H$3&amp;"'!T$96")/INDIRECT("'"&amp;$H$3&amp;"'!$H$19"))))))))/INDIRECT("'"&amp;$H$3&amp;"'!$H$10"),0)),0)</f>
        <v>0</v>
      </c>
      <c r="U242" s="837"/>
      <c r="V242" s="837"/>
      <c r="W242" s="837">
        <f ca="1">IFERROR(MAX(W232,ROUNDUP(((W241*INDEX(INDIRECT("'"&amp;$H$3&amp;"'!$H$43:$H$78"),MATCH(INDIRECT("'"&amp;$H$3&amp;"'!W176")&amp;"Average duration (hrs) per trip",INDIRECT("'"&amp;$H$3&amp;"'!$F$43:$F$78"),0)))+(W232*((1/60)*(INDIRECT("'"&amp;$H$3&amp;"'!W188")+INDIRECT("'"&amp;$H$3&amp;"'!$H$19")*(INDIRECT("'"&amp;$H$3&amp;"'!W189")+(INDIRECT("'"&amp;$H$3&amp;"'!W190")*('2_Outputs'!W$225/INDIRECT("'"&amp;$H$3&amp;"'!W$96")/INDIRECT("'"&amp;$H$3&amp;"'!$H$19"))))))))/INDIRECT("'"&amp;$H$3&amp;"'!$H$10"),0)),0)</f>
        <v>0</v>
      </c>
      <c r="X242" s="1468"/>
      <c r="Y242" s="36"/>
      <c r="Z242" s="36"/>
      <c r="AA242" s="36"/>
      <c r="AB242" s="36"/>
      <c r="AC242" s="36"/>
      <c r="AD242" s="36"/>
      <c r="AE242" s="36"/>
      <c r="AF242" s="36"/>
      <c r="AG242" s="36"/>
      <c r="AH242" s="36"/>
      <c r="AI242" s="36"/>
      <c r="AJ242" s="36"/>
      <c r="AK242" s="242"/>
      <c r="AL242" s="36"/>
      <c r="AM242" s="36"/>
      <c r="AN242" s="36"/>
    </row>
    <row r="243" spans="6:40" ht="15" customHeight="1" outlineLevel="1">
      <c r="F243" s="1659" t="s">
        <v>148</v>
      </c>
      <c r="G243" s="1614"/>
      <c r="H243" s="848"/>
      <c r="I243" s="848"/>
      <c r="J243" s="848"/>
      <c r="K243" s="848"/>
      <c r="L243" s="848"/>
      <c r="M243" s="848"/>
      <c r="N243" s="848"/>
      <c r="O243" s="848"/>
      <c r="P243" s="848"/>
      <c r="Q243" s="848"/>
      <c r="R243" s="1646"/>
      <c r="S243" s="1646"/>
      <c r="T243" s="848"/>
      <c r="U243" s="1646"/>
      <c r="V243" s="1646"/>
      <c r="W243" s="848"/>
      <c r="X243" s="1471"/>
      <c r="Y243" s="36"/>
      <c r="Z243" s="36"/>
      <c r="AA243" s="36"/>
      <c r="AB243" s="36"/>
      <c r="AC243" s="36"/>
      <c r="AD243" s="36"/>
      <c r="AE243" s="36"/>
      <c r="AF243" s="36"/>
      <c r="AG243" s="36"/>
      <c r="AH243" s="36"/>
      <c r="AI243" s="36"/>
      <c r="AJ243" s="36"/>
      <c r="AK243" s="242"/>
      <c r="AL243" s="36"/>
      <c r="AM243" s="36"/>
      <c r="AN243" s="36"/>
    </row>
    <row r="244" spans="6:40" ht="15" customHeight="1" outlineLevel="1">
      <c r="F244" s="86"/>
      <c r="G244" s="51" t="s">
        <v>151</v>
      </c>
      <c r="H244" s="836"/>
      <c r="I244" s="836"/>
      <c r="J244" s="836"/>
      <c r="K244" s="836">
        <f ca="1">IFERROR(IF(COUNTIF(INDIRECT("'"&amp;$H$3&amp;"'!K176"),"Public Transport*")&lt;1,ROUND(INDIRECT("'"&amp;$H$3&amp;"'!K$95")*INDIRECT("'"&amp;$H$3&amp;"'!K175"),0),0),0)</f>
        <v>0</v>
      </c>
      <c r="L244" s="836"/>
      <c r="M244" s="836"/>
      <c r="N244" s="836">
        <f ca="1">IFERROR(IF(COUNTIF(INDIRECT("'"&amp;$H$3&amp;"'!N176"),"Public Transport*")&lt;1,ROUND(INDIRECT("'"&amp;$H$3&amp;"'!N$95")*INDIRECT("'"&amp;$H$3&amp;"'!N175"),0),0),0)</f>
        <v>0</v>
      </c>
      <c r="O244" s="836"/>
      <c r="P244" s="836"/>
      <c r="Q244" s="836">
        <f ca="1">IFERROR(IF(COUNTIF(INDIRECT("'"&amp;$H$3&amp;"'!Q176"),"Public Transport*")&lt;1,ROUND(INDIRECT("'"&amp;$H$3&amp;"'!Q$95")*INDIRECT("'"&amp;$H$3&amp;"'!Q175"),0),0),0)</f>
        <v>0</v>
      </c>
      <c r="R244" s="1652"/>
      <c r="S244" s="1652"/>
      <c r="T244" s="836">
        <f ca="1">IFERROR(IF(COUNTIF(INDIRECT("'"&amp;$H$3&amp;"'!T176"),"Public Transport*")&lt;1,ROUND(INDIRECT("'"&amp;$H$3&amp;"'!T$95")*INDIRECT("'"&amp;$H$3&amp;"'!T175"),0),0),0)</f>
        <v>0</v>
      </c>
      <c r="U244" s="1652"/>
      <c r="V244" s="1652"/>
      <c r="W244" s="836">
        <f ca="1">IFERROR(IF(COUNTIF(INDIRECT("'"&amp;$H$3&amp;"'!W176"),"Public Transport*")&lt;1,ROUND(INDIRECT("'"&amp;$H$3&amp;"'!W$95")*INDIRECT("'"&amp;$H$3&amp;"'!W175"),0),0),0)</f>
        <v>0</v>
      </c>
      <c r="X244" s="1469"/>
      <c r="Y244" s="36"/>
      <c r="Z244" s="36"/>
      <c r="AA244" s="36"/>
      <c r="AB244" s="36"/>
      <c r="AC244" s="36"/>
      <c r="AD244" s="36"/>
      <c r="AE244" s="36"/>
      <c r="AF244" s="36"/>
      <c r="AG244" s="36"/>
      <c r="AH244" s="36"/>
      <c r="AI244" s="36"/>
      <c r="AJ244" s="36"/>
      <c r="AK244" s="242"/>
      <c r="AL244" s="36"/>
      <c r="AM244" s="36"/>
      <c r="AN244" s="36"/>
    </row>
    <row r="245" spans="6:40" ht="15" customHeight="1" outlineLevel="1">
      <c r="F245" s="52"/>
      <c r="G245" s="51" t="s">
        <v>58</v>
      </c>
      <c r="H245" s="837"/>
      <c r="I245" s="837"/>
      <c r="J245" s="837"/>
      <c r="K245" s="837">
        <f ca="1">IFERROR(IF(INDIRECT("'"&amp;$H$3&amp;"'!K183")="Route-based",K254*K255,IF(INDIRECT("'"&amp;$H$3&amp;"'!K183")="Point-to-point",K259*K260,0)),0)</f>
        <v>0</v>
      </c>
      <c r="L245" s="837"/>
      <c r="M245" s="837"/>
      <c r="N245" s="837">
        <f ca="1">IFERROR(IF(INDIRECT("'"&amp;$H$3&amp;"'!N183")="Route-based",N254*N255,IF(INDIRECT("'"&amp;$H$3&amp;"'!N183")="Point-to-point",N259*N260,0)),0)</f>
        <v>0</v>
      </c>
      <c r="O245" s="837"/>
      <c r="P245" s="837"/>
      <c r="Q245" s="837">
        <f ca="1">IFERROR(IF(INDIRECT("'"&amp;$H$3&amp;"'!Q183")="Route-based",Q254*Q255,IF(INDIRECT("'"&amp;$H$3&amp;"'!Q183")="Point-to-point",Q259*Q260,0)),0)</f>
        <v>0</v>
      </c>
      <c r="R245" s="1650"/>
      <c r="S245" s="1650"/>
      <c r="T245" s="837">
        <f ca="1">IFERROR(IF(INDIRECT("'"&amp;$H$3&amp;"'!T183")="Route-based",T254*T255,IF(INDIRECT("'"&amp;$H$3&amp;"'!T183")="Point-to-point",T259*T260,0)),0)</f>
        <v>0</v>
      </c>
      <c r="U245" s="1650"/>
      <c r="V245" s="1650"/>
      <c r="W245" s="837">
        <f ca="1">IFERROR(IF(INDIRECT("'"&amp;$H$3&amp;"'!W183")="Route-based",W254*W255,IF(INDIRECT("'"&amp;$H$3&amp;"'!W183")="Point-to-point",W259*W260,0)),0)</f>
        <v>0</v>
      </c>
      <c r="X245" s="1472"/>
      <c r="Y245" s="36"/>
      <c r="Z245" s="36"/>
      <c r="AA245" s="36"/>
      <c r="AB245" s="36"/>
      <c r="AC245" s="36"/>
      <c r="AD245" s="36"/>
      <c r="AE245" s="36"/>
      <c r="AF245" s="36"/>
      <c r="AG245" s="36"/>
      <c r="AH245" s="36"/>
      <c r="AI245" s="36"/>
      <c r="AJ245" s="36"/>
      <c r="AK245" s="242"/>
      <c r="AL245" s="36"/>
      <c r="AM245" s="36"/>
      <c r="AN245" s="36"/>
    </row>
    <row r="246" spans="6:40" ht="15" customHeight="1" outlineLevel="1">
      <c r="F246" s="52"/>
      <c r="G246" s="51" t="s">
        <v>389</v>
      </c>
      <c r="H246" s="837"/>
      <c r="I246" s="837"/>
      <c r="J246" s="837"/>
      <c r="K246" s="837">
        <f ca="1">IFERROR(IF(INDIRECT("'"&amp;$H$3&amp;"'!K223")="Route-based",K254,IF(INDIRECT("'"&amp;$H$3&amp;"'!K223")="Point-to-point",K259,0)),"")</f>
        <v>0</v>
      </c>
      <c r="L246" s="837"/>
      <c r="M246" s="837"/>
      <c r="N246" s="837">
        <f ca="1">IFERROR(IF(INDIRECT("'"&amp;$H$3&amp;"'!N223")="Route-based",N254,IF(INDIRECT("'"&amp;$H$3&amp;"'!N223")="Point-to-point",N259,0)),"")</f>
        <v>0</v>
      </c>
      <c r="O246" s="837"/>
      <c r="P246" s="837"/>
      <c r="Q246" s="837">
        <f ca="1">IFERROR(IF(INDIRECT("'"&amp;$H$3&amp;"'!Q223")="Route-based",Q254,IF(INDIRECT("'"&amp;$H$3&amp;"'!Q223")="Point-to-point",Q259,0)),"")</f>
        <v>0</v>
      </c>
      <c r="R246" s="1650"/>
      <c r="S246" s="1650"/>
      <c r="T246" s="837">
        <f ca="1">IFERROR(IF(INDIRECT("'"&amp;$H$3&amp;"'!T223")="Route-based",T254,IF(INDIRECT("'"&amp;$H$3&amp;"'!T223")="Point-to-point",T259,0)),"")</f>
        <v>0</v>
      </c>
      <c r="U246" s="1650"/>
      <c r="V246" s="1650"/>
      <c r="W246" s="837">
        <f ca="1">IFERROR(IF(INDIRECT("'"&amp;$H$3&amp;"'!W223")="Route-based",W254,IF(INDIRECT("'"&amp;$H$3&amp;"'!W223")="Point-to-point",W259,0)),"")</f>
        <v>0</v>
      </c>
      <c r="X246" s="1472"/>
      <c r="Y246" s="36"/>
      <c r="Z246" s="36"/>
      <c r="AA246" s="36"/>
      <c r="AB246" s="36"/>
      <c r="AC246" s="36"/>
      <c r="AD246" s="36"/>
      <c r="AE246" s="36"/>
      <c r="AF246" s="36"/>
      <c r="AG246" s="36"/>
      <c r="AH246" s="36"/>
      <c r="AI246" s="36"/>
      <c r="AJ246" s="36"/>
      <c r="AK246" s="242"/>
      <c r="AL246" s="36"/>
      <c r="AM246" s="36"/>
      <c r="AN246" s="36"/>
    </row>
    <row r="247" spans="6:40" ht="15" customHeight="1" outlineLevel="1">
      <c r="F247" s="52"/>
      <c r="G247" s="51" t="s">
        <v>49</v>
      </c>
      <c r="H247" s="837"/>
      <c r="I247" s="837"/>
      <c r="J247" s="837"/>
      <c r="K247" s="837">
        <f ca="1">IFERROR(IF(INDIRECT("'"&amp;$H$3&amp;"'!K183")="Route-based",ROUND(K256*K254/INDIRECT("'"&amp;$H$3&amp;"'!$H$10"),0),IF(INDIRECT("'"&amp;$H$3&amp;"'!K183")="Point-to-point",ROUND(((K259*((1/60)*(INDIRECT("'"&amp;$H$3&amp;"'!K188")+INDIRECT("'"&amp;$H$3&amp;"'!$H$19")*(INDIRECT("'"&amp;$H$3&amp;"'!K189")+(INDIRECT("'"&amp;$H$3&amp;"'!K190")*(MIN(('2_Outputs'!K$225/INDIRECT("'"&amp;$H$3&amp;"'!K$96")),INDEX(INDIRECT("'"&amp;$H$3&amp;"'!$H$49:$H$78"),MATCH(INDIRECT("'"&amp;$H$3&amp;"'!K176")&amp;"Delivery Capacity (m^3)",INDIRECT("'"&amp;$H$3&amp;"'!$F$49:$F$78"),0)))/INDIRECT("'"&amp;$H$3&amp;"'!$H$19")))))))+(K245/INDIRECT("'"&amp;$H$3&amp;"'!K192")))/INDIRECT("'"&amp;$H$3&amp;"'!$H$10"),0),0)),0)</f>
        <v>0</v>
      </c>
      <c r="L247" s="837"/>
      <c r="M247" s="837"/>
      <c r="N247" s="837">
        <f ca="1">IFERROR(IF(INDIRECT("'"&amp;$H$3&amp;"'!N183")="Route-based",ROUND(N256*N254/INDIRECT("'"&amp;$H$3&amp;"'!$H$10"),0),IF(INDIRECT("'"&amp;$H$3&amp;"'!N183")="Point-to-point",ROUND(((N259*((1/60)*(INDIRECT("'"&amp;$H$3&amp;"'!N188")+INDIRECT("'"&amp;$H$3&amp;"'!$H$19")*(INDIRECT("'"&amp;$H$3&amp;"'!N189")+(INDIRECT("'"&amp;$H$3&amp;"'!N190")*(MIN(('2_Outputs'!N$225/INDIRECT("'"&amp;$H$3&amp;"'!N$96")),INDEX(INDIRECT("'"&amp;$H$3&amp;"'!$H$49:$H$78"),MATCH(INDIRECT("'"&amp;$H$3&amp;"'!N176")&amp;"Delivery Capacity (m^3)",INDIRECT("'"&amp;$H$3&amp;"'!$F$49:$F$78"),0)))/INDIRECT("'"&amp;$H$3&amp;"'!$H$19")))))))+(N245/INDIRECT("'"&amp;$H$3&amp;"'!N192")))/INDIRECT("'"&amp;$H$3&amp;"'!$H$10"),0),0)),0)</f>
        <v>0</v>
      </c>
      <c r="O247" s="837"/>
      <c r="P247" s="837"/>
      <c r="Q247" s="837">
        <f ca="1">IFERROR(IF(INDIRECT("'"&amp;$H$3&amp;"'!Q183")="Route-based",ROUND(Q256*Q254/INDIRECT("'"&amp;$H$3&amp;"'!$H$10"),0),IF(INDIRECT("'"&amp;$H$3&amp;"'!Q183")="Point-to-point",ROUND(((Q259*((1/60)*(INDIRECT("'"&amp;$H$3&amp;"'!Q188")+INDIRECT("'"&amp;$H$3&amp;"'!$H$19")*(INDIRECT("'"&amp;$H$3&amp;"'!Q189")+(INDIRECT("'"&amp;$H$3&amp;"'!Q190")*(MIN(('2_Outputs'!Q$225/INDIRECT("'"&amp;$H$3&amp;"'!Q$96")),INDEX(INDIRECT("'"&amp;$H$3&amp;"'!$H$49:$H$78"),MATCH(INDIRECT("'"&amp;$H$3&amp;"'!Q176")&amp;"Delivery Capacity (m^3)",INDIRECT("'"&amp;$H$3&amp;"'!$F$49:$F$78"),0)))/INDIRECT("'"&amp;$H$3&amp;"'!$H$19")))))))+(Q245/INDIRECT("'"&amp;$H$3&amp;"'!Q192")))/INDIRECT("'"&amp;$H$3&amp;"'!$H$10"),0),0)),0)</f>
        <v>0</v>
      </c>
      <c r="R247" s="837"/>
      <c r="S247" s="837"/>
      <c r="T247" s="837">
        <f ca="1">IFERROR(IF(INDIRECT("'"&amp;$H$3&amp;"'!T183")="Route-based",ROUND(T256*T254/INDIRECT("'"&amp;$H$3&amp;"'!$H$10"),0),IF(INDIRECT("'"&amp;$H$3&amp;"'!T183")="Point-to-point",ROUND(((T259*((1/60)*(INDIRECT("'"&amp;$H$3&amp;"'!T188")+INDIRECT("'"&amp;$H$3&amp;"'!$H$19")*(INDIRECT("'"&amp;$H$3&amp;"'!T189")+(INDIRECT("'"&amp;$H$3&amp;"'!T190")*(MIN(('2_Outputs'!T$225/INDIRECT("'"&amp;$H$3&amp;"'!T$96")),INDEX(INDIRECT("'"&amp;$H$3&amp;"'!$H$49:$H$78"),MATCH(INDIRECT("'"&amp;$H$3&amp;"'!T176")&amp;"Delivery Capacity (m^3)",INDIRECT("'"&amp;$H$3&amp;"'!$F$49:$F$78"),0)))/INDIRECT("'"&amp;$H$3&amp;"'!$H$19")))))))+(T245/INDIRECT("'"&amp;$H$3&amp;"'!T192")))/INDIRECT("'"&amp;$H$3&amp;"'!$H$10"),0),0)),0)</f>
        <v>0</v>
      </c>
      <c r="U247" s="837"/>
      <c r="V247" s="837"/>
      <c r="W247" s="837">
        <f ca="1">IFERROR(IF(INDIRECT("'"&amp;$H$3&amp;"'!W183")="Route-based",ROUND(W256*W254/INDIRECT("'"&amp;$H$3&amp;"'!$H$10"),0),IF(INDIRECT("'"&amp;$H$3&amp;"'!W183")="Point-to-point",ROUND(((W259*((1/60)*(INDIRECT("'"&amp;$H$3&amp;"'!W188")+INDIRECT("'"&amp;$H$3&amp;"'!$H$19")*(INDIRECT("'"&amp;$H$3&amp;"'!W189")+(INDIRECT("'"&amp;$H$3&amp;"'!W190")*(MIN(('2_Outputs'!W$225/INDIRECT("'"&amp;$H$3&amp;"'!W$96")),INDEX(INDIRECT("'"&amp;$H$3&amp;"'!$H$49:$H$78"),MATCH(INDIRECT("'"&amp;$H$3&amp;"'!W176")&amp;"Delivery Capacity (m^3)",INDIRECT("'"&amp;$H$3&amp;"'!$F$49:$F$78"),0)))/INDIRECT("'"&amp;$H$3&amp;"'!$H$19")))))))+(W245/INDIRECT("'"&amp;$H$3&amp;"'!W192")))/INDIRECT("'"&amp;$H$3&amp;"'!$H$10"),0),0)),0)</f>
        <v>0</v>
      </c>
      <c r="X247" s="1472"/>
      <c r="Y247" s="36"/>
      <c r="Z247" s="36"/>
      <c r="AA247" s="36"/>
      <c r="AB247" s="36"/>
      <c r="AC247" s="36"/>
      <c r="AD247" s="36"/>
      <c r="AE247" s="36"/>
      <c r="AF247" s="36"/>
      <c r="AG247" s="36"/>
      <c r="AH247" s="36"/>
      <c r="AI247" s="36"/>
      <c r="AJ247" s="36"/>
      <c r="AK247" s="36"/>
      <c r="AL247" s="36"/>
      <c r="AM247" s="36"/>
      <c r="AN247" s="36"/>
    </row>
    <row r="248" spans="6:40" ht="15" customHeight="1" outlineLevel="1">
      <c r="F248" s="52"/>
      <c r="G248" s="51" t="s">
        <v>189</v>
      </c>
      <c r="H248" s="839"/>
      <c r="I248" s="839"/>
      <c r="J248" s="839"/>
      <c r="K248" s="839">
        <f ca="1">IFERROR(IF(INDIRECT("'"&amp;$H$3&amp;"'!K183")="Route-based",('2_Outputs'!K$225*K244)/(K254*INDEX(INDIRECT("'"&amp;$H$3&amp;"'!$H$49:$H$78"),MATCH(INDIRECT("'"&amp;$H$3&amp;"'!K176")&amp;"Delivery Capacity (m^3)",INDIRECT("'"&amp;$H$3&amp;"'!$F$49:$F$78"),0))),IF(INDIRECT("'"&amp;$H$3&amp;"'!K183")="Point-to-point",('2_Outputs'!K$225*K244)/(K259*INDEX(INDIRECT("'"&amp;$H$3&amp;"'!$H$49:$H$78"),MATCH(INDIRECT("'"&amp;$H$3&amp;"'!K176")&amp;"Delivery Capacity (m^3)",INDIRECT("'"&amp;$H$3&amp;"'!$F$49:$F$78"),0))),0)),0)</f>
        <v>0</v>
      </c>
      <c r="L248" s="839"/>
      <c r="M248" s="839"/>
      <c r="N248" s="839">
        <f ca="1">IFERROR(IF(INDIRECT("'"&amp;$H$3&amp;"'!N183")="Route-based",('2_Outputs'!N$225*N244)/(N254*INDEX(INDIRECT("'"&amp;$H$3&amp;"'!$H$49:$H$78"),MATCH(INDIRECT("'"&amp;$H$3&amp;"'!N176")&amp;"Delivery Capacity (m^3)",INDIRECT("'"&amp;$H$3&amp;"'!$F$49:$F$78"),0))),IF(INDIRECT("'"&amp;$H$3&amp;"'!N183")="Point-to-point",('2_Outputs'!N$225*N244)/(N259*INDEX(INDIRECT("'"&amp;$H$3&amp;"'!$H$49:$H$78"),MATCH(INDIRECT("'"&amp;$H$3&amp;"'!N176")&amp;"Delivery Capacity (m^3)",INDIRECT("'"&amp;$H$3&amp;"'!$F$49:$F$78"),0))),0)),0)</f>
        <v>0</v>
      </c>
      <c r="O248" s="839"/>
      <c r="P248" s="839"/>
      <c r="Q248" s="839">
        <f ca="1">IFERROR(IF(INDIRECT("'"&amp;$H$3&amp;"'!Q183")="Route-based",('2_Outputs'!Q$225*Q244)/(Q254*INDEX(INDIRECT("'"&amp;$H$3&amp;"'!$H$49:$H$78"),MATCH(INDIRECT("'"&amp;$H$3&amp;"'!Q176")&amp;"Delivery Capacity (m^3)",INDIRECT("'"&amp;$H$3&amp;"'!$F$49:$F$78"),0))),IF(INDIRECT("'"&amp;$H$3&amp;"'!Q183")="Point-to-point",('2_Outputs'!Q$225*Q244)/(Q259*INDEX(INDIRECT("'"&amp;$H$3&amp;"'!$H$49:$H$78"),MATCH(INDIRECT("'"&amp;$H$3&amp;"'!Q176")&amp;"Delivery Capacity (m^3)",INDIRECT("'"&amp;$H$3&amp;"'!$F$49:$F$78"),0))),0)),0)</f>
        <v>0</v>
      </c>
      <c r="R248" s="839"/>
      <c r="S248" s="839"/>
      <c r="T248" s="839">
        <f ca="1">IFERROR(IF(INDIRECT("'"&amp;$H$3&amp;"'!T183")="Route-based",('2_Outputs'!T$225*T244)/(T254*INDEX(INDIRECT("'"&amp;$H$3&amp;"'!$H$49:$H$78"),MATCH(INDIRECT("'"&amp;$H$3&amp;"'!T176")&amp;"Delivery Capacity (m^3)",INDIRECT("'"&amp;$H$3&amp;"'!$F$49:$F$78"),0))),IF(INDIRECT("'"&amp;$H$3&amp;"'!T183")="Point-to-point",('2_Outputs'!T$225*T244)/(T259*INDEX(INDIRECT("'"&amp;$H$3&amp;"'!$H$49:$H$78"),MATCH(INDIRECT("'"&amp;$H$3&amp;"'!T176")&amp;"Delivery Capacity (m^3)",INDIRECT("'"&amp;$H$3&amp;"'!$F$49:$F$78"),0))),0)),0)</f>
        <v>0</v>
      </c>
      <c r="U248" s="839"/>
      <c r="V248" s="839"/>
      <c r="W248" s="839">
        <f ca="1">IFERROR(IF(INDIRECT("'"&amp;$H$3&amp;"'!W183")="Route-based",('2_Outputs'!W$225*W244)/(W254*INDEX(INDIRECT("'"&amp;$H$3&amp;"'!$H$49:$H$78"),MATCH(INDIRECT("'"&amp;$H$3&amp;"'!W176")&amp;"Delivery Capacity (m^3)",INDIRECT("'"&amp;$H$3&amp;"'!$F$49:$F$78"),0))),IF(INDIRECT("'"&amp;$H$3&amp;"'!W183")="Point-to-point",('2_Outputs'!W$225*W244)/(W259*INDEX(INDIRECT("'"&amp;$H$3&amp;"'!$H$49:$H$78"),MATCH(INDIRECT("'"&amp;$H$3&amp;"'!W176")&amp;"Delivery Capacity (m^3)",INDIRECT("'"&amp;$H$3&amp;"'!$F$49:$F$78"),0))),0)),0)</f>
        <v>0</v>
      </c>
      <c r="X248" s="1473"/>
      <c r="Y248" s="36"/>
      <c r="Z248" s="36"/>
      <c r="AA248" s="36"/>
      <c r="AB248" s="36"/>
      <c r="AC248" s="36"/>
      <c r="AD248" s="36"/>
      <c r="AE248" s="36"/>
      <c r="AF248" s="36"/>
      <c r="AG248" s="36"/>
      <c r="AH248" s="36"/>
      <c r="AI248" s="36"/>
      <c r="AJ248" s="36"/>
      <c r="AK248" s="36" t="s">
        <v>191</v>
      </c>
      <c r="AL248" s="36"/>
      <c r="AM248" s="36"/>
      <c r="AN248" s="36"/>
    </row>
    <row r="249" spans="6:40" ht="15" customHeight="1" outlineLevel="1">
      <c r="F249" s="52"/>
      <c r="G249" s="51" t="s">
        <v>201</v>
      </c>
      <c r="H249" s="839"/>
      <c r="I249" s="839"/>
      <c r="J249" s="839"/>
      <c r="K249" s="839">
        <f ca="1">IFERROR((K247+IF(INDIRECT("'"&amp;$H$3&amp;"'!K245")="Yes",K339,0)+IF(INDIRECT("'"&amp;$H$3&amp;"'!K309")="Yes",K428,0))/(INDIRECT("'"&amp;$H$3&amp;"'!K180")*INDIRECT("'"&amp;$H$3&amp;"'!$H$9")),0)</f>
        <v>0</v>
      </c>
      <c r="L249" s="839"/>
      <c r="M249" s="839"/>
      <c r="N249" s="839">
        <f ca="1">IFERROR((N247+IF(INDIRECT("'"&amp;$H$3&amp;"'!N245")="Yes",N339,0)+IF(INDIRECT("'"&amp;$H$3&amp;"'!N309")="Yes",N428,0))/(INDIRECT("'"&amp;$H$3&amp;"'!N180")*INDIRECT("'"&amp;$H$3&amp;"'!$H$9")),0)</f>
        <v>0</v>
      </c>
      <c r="O249" s="839"/>
      <c r="P249" s="839"/>
      <c r="Q249" s="839">
        <f ca="1">IFERROR((Q247+IF(INDIRECT("'"&amp;$H$3&amp;"'!Q245")="Yes",Q339,0)+IF(INDIRECT("'"&amp;$H$3&amp;"'!Q309")="Yes",Q428,0))/(INDIRECT("'"&amp;$H$3&amp;"'!Q180")*INDIRECT("'"&amp;$H$3&amp;"'!$H$9")),0)</f>
        <v>0</v>
      </c>
      <c r="R249" s="839"/>
      <c r="S249" s="839"/>
      <c r="T249" s="839">
        <f ca="1">IFERROR((T247+IF(INDIRECT("'"&amp;$H$3&amp;"'!T245")="Yes",T339,0)+IF(INDIRECT("'"&amp;$H$3&amp;"'!T309")="Yes",T428,0))/(INDIRECT("'"&amp;$H$3&amp;"'!T180")*INDIRECT("'"&amp;$H$3&amp;"'!$H$9")),0)</f>
        <v>0</v>
      </c>
      <c r="U249" s="839"/>
      <c r="V249" s="839"/>
      <c r="W249" s="839">
        <f ca="1">IFERROR((W247+IF(INDIRECT("'"&amp;$H$3&amp;"'!W245")="Yes",W339,0)+IF(INDIRECT("'"&amp;$H$3&amp;"'!W309")="Yes",W428,0))/(INDIRECT("'"&amp;$H$3&amp;"'!W180")*INDIRECT("'"&amp;$H$3&amp;"'!$H$9")),0)</f>
        <v>0</v>
      </c>
      <c r="X249" s="1473"/>
      <c r="Y249" s="36"/>
      <c r="Z249" s="36"/>
      <c r="AA249" s="36"/>
      <c r="AB249" s="36"/>
      <c r="AC249" s="36"/>
      <c r="AD249" s="36"/>
      <c r="AE249" s="36"/>
      <c r="AF249" s="36"/>
      <c r="AG249" s="36"/>
      <c r="AH249" s="36"/>
      <c r="AI249" s="36"/>
      <c r="AJ249" s="36"/>
      <c r="AK249" s="36"/>
      <c r="AL249" s="36"/>
      <c r="AM249" s="36"/>
      <c r="AN249" s="36"/>
    </row>
    <row r="250" spans="6:40" ht="15" customHeight="1" outlineLevel="1">
      <c r="F250" s="52"/>
      <c r="G250" s="1613" t="s">
        <v>133</v>
      </c>
      <c r="H250" s="842"/>
      <c r="I250" s="842"/>
      <c r="J250" s="842"/>
      <c r="K250" s="842"/>
      <c r="L250" s="842"/>
      <c r="M250" s="842"/>
      <c r="N250" s="842"/>
      <c r="O250" s="842"/>
      <c r="P250" s="842"/>
      <c r="Q250" s="842"/>
      <c r="R250" s="1650"/>
      <c r="S250" s="1650"/>
      <c r="T250" s="842"/>
      <c r="U250" s="1650"/>
      <c r="V250" s="1650"/>
      <c r="W250" s="842"/>
      <c r="X250" s="1470"/>
      <c r="Y250" s="36"/>
      <c r="Z250" s="36"/>
      <c r="AA250" s="36"/>
      <c r="AB250" s="36"/>
      <c r="AC250" s="36"/>
      <c r="AD250" s="36"/>
      <c r="AE250" s="36"/>
      <c r="AF250" s="36"/>
      <c r="AG250" s="36"/>
      <c r="AH250" s="36"/>
      <c r="AI250" s="36"/>
      <c r="AJ250" s="36"/>
      <c r="AK250" s="36"/>
      <c r="AL250" s="36"/>
      <c r="AM250" s="36"/>
      <c r="AN250" s="36"/>
    </row>
    <row r="251" spans="6:40" ht="15" customHeight="1" outlineLevel="1">
      <c r="F251" s="52"/>
      <c r="G251" s="51" t="s">
        <v>127</v>
      </c>
      <c r="H251" s="836"/>
      <c r="I251" s="836"/>
      <c r="J251" s="836"/>
      <c r="K251" s="836">
        <f ca="1">IFERROR(INDEX(INDIRECT("'"&amp;$H$3&amp;"'!$H$49:$H$78"),MATCH(INDIRECT("'"&amp;$H$3&amp;"'!K176")&amp;"Delivery Capacity (m^3)",INDIRECT("'"&amp;$H$3&amp;"'!$F$49:$F$78"),0))/('2_Outputs'!K$225/INDIRECT("'"&amp;$H$3&amp;"'!K$96")),0)</f>
        <v>0</v>
      </c>
      <c r="L251" s="836"/>
      <c r="M251" s="836"/>
      <c r="N251" s="836">
        <f ca="1">IFERROR(INDEX(INDIRECT("'"&amp;$H$3&amp;"'!$H$49:$H$78"),MATCH(INDIRECT("'"&amp;$H$3&amp;"'!N176")&amp;"Delivery Capacity (m^3)",INDIRECT("'"&amp;$H$3&amp;"'!$F$49:$F$78"),0))/('2_Outputs'!N$225/INDIRECT("'"&amp;$H$3&amp;"'!N$96")),0)</f>
        <v>0</v>
      </c>
      <c r="O251" s="836"/>
      <c r="P251" s="836"/>
      <c r="Q251" s="836">
        <f ca="1">IFERROR(INDEX(INDIRECT("'"&amp;$H$3&amp;"'!$H$49:$H$78"),MATCH(INDIRECT("'"&amp;$H$3&amp;"'!Q176")&amp;"Delivery Capacity (m^3)",INDIRECT("'"&amp;$H$3&amp;"'!$F$49:$F$78"),0))/('2_Outputs'!Q$225/INDIRECT("'"&amp;$H$3&amp;"'!Q$96")),0)</f>
        <v>0</v>
      </c>
      <c r="R251" s="836"/>
      <c r="S251" s="836"/>
      <c r="T251" s="836">
        <f ca="1">IFERROR(INDEX(INDIRECT("'"&amp;$H$3&amp;"'!$H$49:$H$78"),MATCH(INDIRECT("'"&amp;$H$3&amp;"'!T176")&amp;"Delivery Capacity (m^3)",INDIRECT("'"&amp;$H$3&amp;"'!$F$49:$F$78"),0))/('2_Outputs'!T$225/INDIRECT("'"&amp;$H$3&amp;"'!T$96")),0)</f>
        <v>0</v>
      </c>
      <c r="U251" s="836"/>
      <c r="V251" s="836"/>
      <c r="W251" s="836">
        <f ca="1">IFERROR(INDEX(INDIRECT("'"&amp;$H$3&amp;"'!$H$49:$H$78"),MATCH(INDIRECT("'"&amp;$H$3&amp;"'!W176")&amp;"Delivery Capacity (m^3)",INDIRECT("'"&amp;$H$3&amp;"'!$F$49:$F$78"),0))/('2_Outputs'!W$225/INDIRECT("'"&amp;$H$3&amp;"'!W$96")),0)</f>
        <v>0</v>
      </c>
      <c r="X251" s="1465"/>
      <c r="Y251" s="36"/>
      <c r="Z251" s="36"/>
      <c r="AA251" s="36"/>
      <c r="AB251" s="36"/>
      <c r="AC251" s="36"/>
      <c r="AD251" s="36"/>
      <c r="AE251" s="36"/>
      <c r="AF251" s="36"/>
      <c r="AG251" s="36"/>
      <c r="AH251" s="36"/>
      <c r="AI251" s="36"/>
      <c r="AJ251" s="36"/>
      <c r="AK251" s="36"/>
      <c r="AL251" s="36"/>
      <c r="AM251" s="36"/>
      <c r="AN251" s="36"/>
    </row>
    <row r="252" spans="6:40" ht="15" customHeight="1" outlineLevel="1" collapsed="1">
      <c r="F252" s="52"/>
      <c r="G252" s="51" t="s">
        <v>128</v>
      </c>
      <c r="H252" s="836"/>
      <c r="I252" s="836"/>
      <c r="J252" s="836"/>
      <c r="K252" s="836">
        <f ca="1">IFERROR(((INDIRECT("'"&amp;$H$3&amp;"'!K184")*INDIRECT("'"&amp;$H$3&amp;"'!$H$10"))-(2*INDIRECT("'"&amp;$H$3&amp;"'!K$98")/INDIRECT("'"&amp;$H$3&amp;"'!K192"))+(INDIRECT("'"&amp;$H$3&amp;"'!K$99")/INDIRECT("'"&amp;$H$3&amp;"'!K191")))/(((1/60)*(INDIRECT("'"&amp;$H$3&amp;"'!K188")+INDIRECT("'"&amp;$H$3&amp;"'!$H$19")*(INDIRECT("'"&amp;$H$3&amp;"'!K189")+(INDIRECT("'"&amp;$H$3&amp;"'!K190")*('2_Outputs'!K$225/INDIRECT("'"&amp;$H$3&amp;"'!K$96")/INDIRECT("'"&amp;$H$3&amp;"'!$H$19"))))))+(INDIRECT("'"&amp;$H$3&amp;"'!K$99")/INDIRECT("'"&amp;$H$3&amp;"'!K191"))),0)</f>
        <v>0</v>
      </c>
      <c r="L252" s="836"/>
      <c r="M252" s="836"/>
      <c r="N252" s="836">
        <f ca="1">IFERROR(((INDIRECT("'"&amp;$H$3&amp;"'!N184")*INDIRECT("'"&amp;$H$3&amp;"'!$H$10"))-(2*INDIRECT("'"&amp;$H$3&amp;"'!N$98")/INDIRECT("'"&amp;$H$3&amp;"'!N192"))+(INDIRECT("'"&amp;$H$3&amp;"'!N$99")/INDIRECT("'"&amp;$H$3&amp;"'!N191")))/(((1/60)*(INDIRECT("'"&amp;$H$3&amp;"'!N188")+INDIRECT("'"&amp;$H$3&amp;"'!$H$19")*(INDIRECT("'"&amp;$H$3&amp;"'!N189")+(INDIRECT("'"&amp;$H$3&amp;"'!N190")*('2_Outputs'!N$225/INDIRECT("'"&amp;$H$3&amp;"'!N$96")/INDIRECT("'"&amp;$H$3&amp;"'!$H$19"))))))+(INDIRECT("'"&amp;$H$3&amp;"'!N$99")/INDIRECT("'"&amp;$H$3&amp;"'!N191"))),0)</f>
        <v>0</v>
      </c>
      <c r="O252" s="836"/>
      <c r="P252" s="836"/>
      <c r="Q252" s="836">
        <f ca="1">IFERROR(((INDIRECT("'"&amp;$H$3&amp;"'!Q184")*INDIRECT("'"&amp;$H$3&amp;"'!$H$10"))-(2*INDIRECT("'"&amp;$H$3&amp;"'!Q$98")/INDIRECT("'"&amp;$H$3&amp;"'!Q192"))+(INDIRECT("'"&amp;$H$3&amp;"'!Q$99")/INDIRECT("'"&amp;$H$3&amp;"'!Q191")))/(((1/60)*(INDIRECT("'"&amp;$H$3&amp;"'!Q188")+INDIRECT("'"&amp;$H$3&amp;"'!$H$19")*(INDIRECT("'"&amp;$H$3&amp;"'!Q189")+(INDIRECT("'"&amp;$H$3&amp;"'!Q190")*('2_Outputs'!Q$225/INDIRECT("'"&amp;$H$3&amp;"'!Q$96")/INDIRECT("'"&amp;$H$3&amp;"'!$H$19"))))))+(INDIRECT("'"&amp;$H$3&amp;"'!Q$99")/INDIRECT("'"&amp;$H$3&amp;"'!Q191"))),0)</f>
        <v>0</v>
      </c>
      <c r="R252" s="836"/>
      <c r="S252" s="836"/>
      <c r="T252" s="836">
        <f ca="1">IFERROR(((INDIRECT("'"&amp;$H$3&amp;"'!T184")*INDIRECT("'"&amp;$H$3&amp;"'!$H$10"))-(2*INDIRECT("'"&amp;$H$3&amp;"'!T$98")/INDIRECT("'"&amp;$H$3&amp;"'!T192"))+(INDIRECT("'"&amp;$H$3&amp;"'!T$99")/INDIRECT("'"&amp;$H$3&amp;"'!T191")))/(((1/60)*(INDIRECT("'"&amp;$H$3&amp;"'!T188")+INDIRECT("'"&amp;$H$3&amp;"'!$H$19")*(INDIRECT("'"&amp;$H$3&amp;"'!T189")+(INDIRECT("'"&amp;$H$3&amp;"'!T190")*('2_Outputs'!T$225/INDIRECT("'"&amp;$H$3&amp;"'!T$96")/INDIRECT("'"&amp;$H$3&amp;"'!$H$19"))))))+(INDIRECT("'"&amp;$H$3&amp;"'!T$99")/INDIRECT("'"&amp;$H$3&amp;"'!T191"))),0)</f>
        <v>0</v>
      </c>
      <c r="U252" s="836"/>
      <c r="V252" s="836"/>
      <c r="W252" s="836">
        <f ca="1">IFERROR(((INDIRECT("'"&amp;$H$3&amp;"'!W184")*INDIRECT("'"&amp;$H$3&amp;"'!$H$10"))-(2*INDIRECT("'"&amp;$H$3&amp;"'!W$98")/INDIRECT("'"&amp;$H$3&amp;"'!W192"))+(INDIRECT("'"&amp;$H$3&amp;"'!W$99")/INDIRECT("'"&amp;$H$3&amp;"'!W191")))/(((1/60)*(INDIRECT("'"&amp;$H$3&amp;"'!W188")+INDIRECT("'"&amp;$H$3&amp;"'!$H$19")*(INDIRECT("'"&amp;$H$3&amp;"'!W189")+(INDIRECT("'"&amp;$H$3&amp;"'!W190")*('2_Outputs'!W$225/INDIRECT("'"&amp;$H$3&amp;"'!W$96")/INDIRECT("'"&amp;$H$3&amp;"'!$H$19"))))))+(INDIRECT("'"&amp;$H$3&amp;"'!W$99")/INDIRECT("'"&amp;$H$3&amp;"'!W191"))),0)</f>
        <v>0</v>
      </c>
      <c r="X252" s="1465"/>
      <c r="Y252" s="36"/>
      <c r="Z252" s="36"/>
      <c r="AA252" s="36"/>
      <c r="AB252" s="36"/>
      <c r="AC252" s="36"/>
      <c r="AD252" s="36"/>
      <c r="AE252" s="36"/>
      <c r="AF252" s="36"/>
      <c r="AG252" s="36"/>
      <c r="AH252" s="36"/>
      <c r="AI252" s="36"/>
      <c r="AJ252" s="36"/>
      <c r="AK252" s="242"/>
      <c r="AL252" s="36"/>
      <c r="AM252" s="36"/>
      <c r="AN252" s="36"/>
    </row>
    <row r="253" spans="6:40" ht="15" customHeight="1" outlineLevel="1">
      <c r="F253" s="52"/>
      <c r="G253" s="51" t="s">
        <v>129</v>
      </c>
      <c r="H253" s="836"/>
      <c r="I253" s="836"/>
      <c r="J253" s="836"/>
      <c r="K253" s="836">
        <f ca="1">IFERROR(MIN(K252,K251),0)</f>
        <v>0</v>
      </c>
      <c r="L253" s="836"/>
      <c r="M253" s="836"/>
      <c r="N253" s="836">
        <f ca="1">IFERROR(MIN(N252,N251),0)</f>
        <v>0</v>
      </c>
      <c r="O253" s="836"/>
      <c r="P253" s="836"/>
      <c r="Q253" s="836">
        <f ca="1">IFERROR(MIN(Q252,Q251),0)</f>
        <v>0</v>
      </c>
      <c r="R253" s="836"/>
      <c r="S253" s="836"/>
      <c r="T253" s="836">
        <f ca="1">IFERROR(MIN(T252,T251),0)</f>
        <v>0</v>
      </c>
      <c r="U253" s="836"/>
      <c r="V253" s="836"/>
      <c r="W253" s="836">
        <f ca="1">IFERROR(MIN(W252,W251),0)</f>
        <v>0</v>
      </c>
      <c r="X253" s="1465"/>
      <c r="Y253" s="36"/>
      <c r="Z253" s="36"/>
      <c r="AA253" s="36"/>
      <c r="AB253" s="36"/>
      <c r="AC253" s="36"/>
      <c r="AD253" s="36"/>
      <c r="AE253" s="36"/>
      <c r="AF253" s="36"/>
      <c r="AG253" s="36"/>
      <c r="AH253" s="36"/>
      <c r="AI253" s="36"/>
      <c r="AJ253" s="36"/>
      <c r="AK253" s="242"/>
      <c r="AL253" s="36"/>
      <c r="AM253" s="36"/>
      <c r="AN253" s="36"/>
    </row>
    <row r="254" spans="6:40" ht="15" customHeight="1" outlineLevel="1">
      <c r="F254" s="52"/>
      <c r="G254" s="51" t="s">
        <v>188</v>
      </c>
      <c r="H254" s="836"/>
      <c r="I254" s="836"/>
      <c r="J254" s="836"/>
      <c r="K254" s="836">
        <f ca="1">IFERROR(ROUND(K244*INDIRECT("'"&amp;$H$3&amp;"'!K$96")/K253,0),0)</f>
        <v>0</v>
      </c>
      <c r="L254" s="836"/>
      <c r="M254" s="836"/>
      <c r="N254" s="836">
        <f ca="1">IFERROR(ROUND(N244*INDIRECT("'"&amp;$H$3&amp;"'!N$96")/N253,0),0)</f>
        <v>0</v>
      </c>
      <c r="O254" s="836"/>
      <c r="P254" s="836"/>
      <c r="Q254" s="836">
        <f ca="1">IFERROR(ROUND(Q244*INDIRECT("'"&amp;$H$3&amp;"'!Q$96")/Q253,0),0)</f>
        <v>0</v>
      </c>
      <c r="R254" s="836"/>
      <c r="S254" s="836"/>
      <c r="T254" s="836">
        <f ca="1">IFERROR(ROUND(T244*INDIRECT("'"&amp;$H$3&amp;"'!T$96")/T253,0),0)</f>
        <v>0</v>
      </c>
      <c r="U254" s="836"/>
      <c r="V254" s="836"/>
      <c r="W254" s="836">
        <f ca="1">IFERROR(ROUND(W244*INDIRECT("'"&amp;$H$3&amp;"'!W$96")/W253,0),0)</f>
        <v>0</v>
      </c>
      <c r="X254" s="1465"/>
      <c r="Y254" s="36"/>
      <c r="Z254" s="36"/>
      <c r="AA254" s="36"/>
      <c r="AB254" s="36"/>
      <c r="AC254" s="36"/>
      <c r="AD254" s="36"/>
      <c r="AE254" s="36"/>
      <c r="AF254" s="36"/>
      <c r="AG254" s="36"/>
      <c r="AH254" s="36"/>
      <c r="AI254" s="36"/>
      <c r="AJ254" s="36"/>
      <c r="AK254" s="242"/>
      <c r="AL254" s="36"/>
      <c r="AM254" s="36"/>
      <c r="AN254" s="36"/>
    </row>
    <row r="255" spans="6:40" ht="15" customHeight="1" outlineLevel="1">
      <c r="F255" s="52"/>
      <c r="G255" s="51" t="s">
        <v>88</v>
      </c>
      <c r="H255" s="836"/>
      <c r="I255" s="836"/>
      <c r="J255" s="836"/>
      <c r="K255" s="836">
        <f ca="1">IFERROR(IF(K244=0,0,(2*INDIRECT("'"&amp;$H$3&amp;"'!K$98"))+((MAX(K253,1)-1)*INDIRECT("'"&amp;$H$3&amp;"'!K$99"))),0)</f>
        <v>0</v>
      </c>
      <c r="L255" s="836"/>
      <c r="M255" s="836"/>
      <c r="N255" s="836">
        <f ca="1">IFERROR(IF(N244=0,0,(2*INDIRECT("'"&amp;$H$3&amp;"'!N$98"))+((MAX(N253,1)-1)*INDIRECT("'"&amp;$H$3&amp;"'!N$99"))),0)</f>
        <v>0</v>
      </c>
      <c r="O255" s="836"/>
      <c r="P255" s="836"/>
      <c r="Q255" s="836">
        <f ca="1">IFERROR(IF(Q244=0,0,(2*INDIRECT("'"&amp;$H$3&amp;"'!Q$98"))+((MAX(Q253,1)-1)*INDIRECT("'"&amp;$H$3&amp;"'!Q$99"))),0)</f>
        <v>0</v>
      </c>
      <c r="R255" s="836"/>
      <c r="S255" s="836"/>
      <c r="T255" s="836">
        <f ca="1">IFERROR(IF(T244=0,0,(2*INDIRECT("'"&amp;$H$3&amp;"'!T$98"))+((MAX(T253,1)-1)*INDIRECT("'"&amp;$H$3&amp;"'!T$99"))),0)</f>
        <v>0</v>
      </c>
      <c r="U255" s="836"/>
      <c r="V255" s="836"/>
      <c r="W255" s="836">
        <f ca="1">IFERROR(IF(W244=0,0,(2*INDIRECT("'"&amp;$H$3&amp;"'!W$98"))+((MAX(W253,1)-1)*INDIRECT("'"&amp;$H$3&amp;"'!W$99"))),0)</f>
        <v>0</v>
      </c>
      <c r="X255" s="1465"/>
      <c r="Y255" s="36"/>
      <c r="Z255" s="36"/>
      <c r="AA255" s="36"/>
      <c r="AB255" s="36"/>
      <c r="AC255" s="36"/>
      <c r="AD255" s="36"/>
      <c r="AE255" s="36"/>
      <c r="AF255" s="36"/>
      <c r="AG255" s="36"/>
      <c r="AH255" s="36"/>
      <c r="AI255" s="36"/>
      <c r="AJ255" s="36"/>
      <c r="AK255" s="242"/>
      <c r="AL255" s="36"/>
      <c r="AM255" s="36"/>
      <c r="AN255" s="36"/>
    </row>
    <row r="256" spans="6:40" ht="15" customHeight="1" outlineLevel="1">
      <c r="F256" s="52"/>
      <c r="G256" s="51" t="s">
        <v>199</v>
      </c>
      <c r="H256" s="836"/>
      <c r="I256" s="836"/>
      <c r="J256" s="836"/>
      <c r="K256" s="836">
        <f ca="1">IFERROR((ROUNDUP(K253,0)*(1/60)*INDIRECT("'"&amp;$H$3&amp;"'!K188"))+(K253*((1/60)*(INDIRECT("'"&amp;$H$3&amp;"'!$H$19")*(INDIRECT("'"&amp;$H$3&amp;"'!K189")+(INDIRECT("'"&amp;$H$3&amp;"'!K190")*('2_Outputs'!K$225/INDIRECT("'"&amp;$H$3&amp;"'!K$96")/INDIRECT("'"&amp;$H$3&amp;"'!$H$19")))))))+((2*INDIRECT("'"&amp;$H$3&amp;"'!K$98"))/INDIRECT("'"&amp;$H$3&amp;"'!K192"))+(((MAX(K253,1)-1)*INDIRECT("'"&amp;$H$3&amp;"'!K$99"))/INDIRECT("'"&amp;$H$3&amp;"'!K191")),0)</f>
        <v>0</v>
      </c>
      <c r="L256" s="836"/>
      <c r="M256" s="836"/>
      <c r="N256" s="836">
        <f ca="1">IFERROR((ROUNDUP(N253,0)*(1/60)*INDIRECT("'"&amp;$H$3&amp;"'!N188"))+(N253*((1/60)*(INDIRECT("'"&amp;$H$3&amp;"'!$H$19")*(INDIRECT("'"&amp;$H$3&amp;"'!N189")+(INDIRECT("'"&amp;$H$3&amp;"'!N190")*('2_Outputs'!N$225/INDIRECT("'"&amp;$H$3&amp;"'!N$96")/INDIRECT("'"&amp;$H$3&amp;"'!$H$19")))))))+((2*INDIRECT("'"&amp;$H$3&amp;"'!N$98"))/INDIRECT("'"&amp;$H$3&amp;"'!N192"))+(((MAX(N253,1)-1)*INDIRECT("'"&amp;$H$3&amp;"'!N$99"))/INDIRECT("'"&amp;$H$3&amp;"'!N191")),0)</f>
        <v>0</v>
      </c>
      <c r="O256" s="836"/>
      <c r="P256" s="836"/>
      <c r="Q256" s="836">
        <f ca="1">IFERROR((ROUNDUP(Q253,0)*(1/60)*INDIRECT("'"&amp;$H$3&amp;"'!Q188"))+(Q253*((1/60)*(INDIRECT("'"&amp;$H$3&amp;"'!$H$19")*(INDIRECT("'"&amp;$H$3&amp;"'!Q189")+(INDIRECT("'"&amp;$H$3&amp;"'!Q190")*('2_Outputs'!Q$225/INDIRECT("'"&amp;$H$3&amp;"'!Q$96")/INDIRECT("'"&amp;$H$3&amp;"'!$H$19")))))))+((2*INDIRECT("'"&amp;$H$3&amp;"'!Q$98"))/INDIRECT("'"&amp;$H$3&amp;"'!Q192"))+(((MAX(Q253,1)-1)*INDIRECT("'"&amp;$H$3&amp;"'!Q$99"))/INDIRECT("'"&amp;$H$3&amp;"'!Q191")),0)</f>
        <v>0</v>
      </c>
      <c r="R256" s="836"/>
      <c r="S256" s="836"/>
      <c r="T256" s="836">
        <f ca="1">IFERROR((ROUNDUP(T253,0)*(1/60)*INDIRECT("'"&amp;$H$3&amp;"'!T188"))+(T253*((1/60)*(INDIRECT("'"&amp;$H$3&amp;"'!$H$19")*(INDIRECT("'"&amp;$H$3&amp;"'!T189")+(INDIRECT("'"&amp;$H$3&amp;"'!T190")*('2_Outputs'!T$225/INDIRECT("'"&amp;$H$3&amp;"'!T$96")/INDIRECT("'"&amp;$H$3&amp;"'!$H$19")))))))+((2*INDIRECT("'"&amp;$H$3&amp;"'!T$98"))/INDIRECT("'"&amp;$H$3&amp;"'!T192"))+(((MAX(T253,1)-1)*INDIRECT("'"&amp;$H$3&amp;"'!T$99"))/INDIRECT("'"&amp;$H$3&amp;"'!T191")),0)</f>
        <v>0</v>
      </c>
      <c r="U256" s="836"/>
      <c r="V256" s="836"/>
      <c r="W256" s="836">
        <f ca="1">IFERROR((ROUNDUP(W253,0)*(1/60)*INDIRECT("'"&amp;$H$3&amp;"'!W188"))+(W253*((1/60)*(INDIRECT("'"&amp;$H$3&amp;"'!$H$19")*(INDIRECT("'"&amp;$H$3&amp;"'!W189")+(INDIRECT("'"&amp;$H$3&amp;"'!W190")*('2_Outputs'!W$225/INDIRECT("'"&amp;$H$3&amp;"'!W$96")/INDIRECT("'"&amp;$H$3&amp;"'!$H$19")))))))+((2*INDIRECT("'"&amp;$H$3&amp;"'!W$98"))/INDIRECT("'"&amp;$H$3&amp;"'!W192"))+(((MAX(W253,1)-1)*INDIRECT("'"&amp;$H$3&amp;"'!W$99"))/INDIRECT("'"&amp;$H$3&amp;"'!W191")),0)</f>
        <v>0</v>
      </c>
      <c r="X256" s="1465"/>
      <c r="Y256" s="36"/>
      <c r="Z256" s="36"/>
      <c r="AA256" s="36"/>
      <c r="AB256" s="36"/>
      <c r="AC256" s="36"/>
      <c r="AD256" s="36"/>
      <c r="AE256" s="36"/>
      <c r="AF256" s="36"/>
      <c r="AG256" s="36"/>
      <c r="AH256" s="36"/>
      <c r="AI256" s="36"/>
      <c r="AJ256" s="36"/>
      <c r="AK256" s="242"/>
      <c r="AL256" s="36"/>
      <c r="AM256" s="36"/>
      <c r="AN256" s="36"/>
    </row>
    <row r="257" spans="6:40" ht="15" customHeight="1" outlineLevel="1">
      <c r="F257" s="52"/>
      <c r="G257" s="51" t="s">
        <v>200</v>
      </c>
      <c r="H257" s="836"/>
      <c r="I257" s="836"/>
      <c r="J257" s="836"/>
      <c r="K257" s="836">
        <f ca="1">IFERROR((INDIRECT("'"&amp;$H$3&amp;"'!$H$10")*INDIRECT("'"&amp;$H$3&amp;"'!$H$9")*INDIRECT("'"&amp;$H$3&amp;"'!K180"))/K256,0)</f>
        <v>0</v>
      </c>
      <c r="L257" s="836"/>
      <c r="M257" s="836"/>
      <c r="N257" s="836">
        <f ca="1">IFERROR((INDIRECT("'"&amp;$H$3&amp;"'!$H$10")*INDIRECT("'"&amp;$H$3&amp;"'!$H$9")*INDIRECT("'"&amp;$H$3&amp;"'!N180"))/N256,0)</f>
        <v>0</v>
      </c>
      <c r="O257" s="836"/>
      <c r="P257" s="836"/>
      <c r="Q257" s="836">
        <f ca="1">IFERROR((INDIRECT("'"&amp;$H$3&amp;"'!$H$10")*INDIRECT("'"&amp;$H$3&amp;"'!$H$9")*INDIRECT("'"&amp;$H$3&amp;"'!Q180"))/Q256,0)</f>
        <v>0</v>
      </c>
      <c r="R257" s="836"/>
      <c r="S257" s="836"/>
      <c r="T257" s="836">
        <f ca="1">IFERROR((INDIRECT("'"&amp;$H$3&amp;"'!$H$10")*INDIRECT("'"&amp;$H$3&amp;"'!$H$9")*INDIRECT("'"&amp;$H$3&amp;"'!T180"))/T256,0)</f>
        <v>0</v>
      </c>
      <c r="U257" s="836"/>
      <c r="V257" s="836"/>
      <c r="W257" s="836">
        <f ca="1">IFERROR((INDIRECT("'"&amp;$H$3&amp;"'!$H$10")*INDIRECT("'"&amp;$H$3&amp;"'!$H$9")*INDIRECT("'"&amp;$H$3&amp;"'!W180"))/W256,0)</f>
        <v>0</v>
      </c>
      <c r="X257" s="1465"/>
      <c r="Y257" s="36"/>
      <c r="Z257" s="36"/>
      <c r="AA257" s="36"/>
      <c r="AB257" s="36"/>
      <c r="AC257" s="36"/>
      <c r="AD257" s="36"/>
      <c r="AE257" s="36"/>
      <c r="AF257" s="36"/>
      <c r="AG257" s="36"/>
      <c r="AH257" s="36"/>
      <c r="AI257" s="36"/>
      <c r="AJ257" s="36"/>
      <c r="AK257" s="242"/>
      <c r="AL257" s="36"/>
      <c r="AM257" s="36"/>
      <c r="AN257" s="36"/>
    </row>
    <row r="258" spans="6:40" ht="15" customHeight="1" outlineLevel="1">
      <c r="F258" s="52"/>
      <c r="G258" s="1613" t="s">
        <v>134</v>
      </c>
      <c r="H258" s="842"/>
      <c r="I258" s="842"/>
      <c r="J258" s="842"/>
      <c r="K258" s="842"/>
      <c r="L258" s="842"/>
      <c r="M258" s="842"/>
      <c r="N258" s="842"/>
      <c r="O258" s="842"/>
      <c r="P258" s="842"/>
      <c r="Q258" s="842"/>
      <c r="R258" s="1650"/>
      <c r="S258" s="1650"/>
      <c r="T258" s="842"/>
      <c r="U258" s="1650"/>
      <c r="V258" s="1650"/>
      <c r="W258" s="842"/>
      <c r="X258" s="1470"/>
      <c r="Y258" s="36"/>
      <c r="Z258" s="36"/>
      <c r="AA258" s="36"/>
      <c r="AB258" s="36"/>
      <c r="AC258" s="36"/>
      <c r="AD258" s="36"/>
      <c r="AE258" s="36"/>
      <c r="AF258" s="36"/>
      <c r="AG258" s="36"/>
      <c r="AH258" s="36"/>
      <c r="AI258" s="36"/>
      <c r="AJ258" s="36"/>
      <c r="AK258" s="36"/>
      <c r="AL258" s="36"/>
      <c r="AM258" s="36"/>
      <c r="AN258" s="36"/>
    </row>
    <row r="259" spans="6:40" ht="15" customHeight="1" outlineLevel="1">
      <c r="F259" s="52"/>
      <c r="G259" s="51" t="s">
        <v>188</v>
      </c>
      <c r="H259" s="836"/>
      <c r="I259" s="836"/>
      <c r="J259" s="836"/>
      <c r="K259" s="836">
        <f ca="1">IFERROR(K244*INDIRECT("'"&amp;$H$3&amp;"'!K$96")*MAX(1,ROUND(('2_Outputs'!K$225/INDIRECT("'"&amp;$H$3&amp;"'!K$96"))/INDEX(INDIRECT("'"&amp;$H$3&amp;"'!$H$49:$H$78"),MATCH(INDIRECT("'"&amp;$H$3&amp;"'!K176")&amp;"Delivery Capacity (m^3)",INDIRECT("'"&amp;$H$3&amp;"'!$F$49:$F$78"),0)),0)),0)</f>
        <v>0</v>
      </c>
      <c r="L259" s="836"/>
      <c r="M259" s="836"/>
      <c r="N259" s="836">
        <f ca="1">IFERROR(N244*INDIRECT("'"&amp;$H$3&amp;"'!N$96")*MAX(1,ROUND(('2_Outputs'!N$225/INDIRECT("'"&amp;$H$3&amp;"'!N$96"))/INDEX(INDIRECT("'"&amp;$H$3&amp;"'!$H$49:$H$78"),MATCH(INDIRECT("'"&amp;$H$3&amp;"'!N176")&amp;"Delivery Capacity (m^3)",INDIRECT("'"&amp;$H$3&amp;"'!$F$49:$F$78"),0)),0)),0)</f>
        <v>0</v>
      </c>
      <c r="O259" s="836"/>
      <c r="P259" s="836"/>
      <c r="Q259" s="836">
        <f ca="1">IFERROR(Q244*INDIRECT("'"&amp;$H$3&amp;"'!Q$96")*MAX(1,ROUND(('2_Outputs'!Q$225/INDIRECT("'"&amp;$H$3&amp;"'!Q$96"))/INDEX(INDIRECT("'"&amp;$H$3&amp;"'!$H$49:$H$78"),MATCH(INDIRECT("'"&amp;$H$3&amp;"'!Q176")&amp;"Delivery Capacity (m^3)",INDIRECT("'"&amp;$H$3&amp;"'!$F$49:$F$78"),0)),0)),0)</f>
        <v>0</v>
      </c>
      <c r="R259" s="836"/>
      <c r="S259" s="836"/>
      <c r="T259" s="836">
        <f ca="1">IFERROR(T244*INDIRECT("'"&amp;$H$3&amp;"'!T$96")*MAX(1,ROUND(('2_Outputs'!T$225/INDIRECT("'"&amp;$H$3&amp;"'!T$96"))/INDEX(INDIRECT("'"&amp;$H$3&amp;"'!$H$49:$H$78"),MATCH(INDIRECT("'"&amp;$H$3&amp;"'!T176")&amp;"Delivery Capacity (m^3)",INDIRECT("'"&amp;$H$3&amp;"'!$F$49:$F$78"),0)),0)),0)</f>
        <v>0</v>
      </c>
      <c r="U259" s="836"/>
      <c r="V259" s="836"/>
      <c r="W259" s="836">
        <f ca="1">IFERROR(W244*INDIRECT("'"&amp;$H$3&amp;"'!W$96")*MAX(1,ROUND(('2_Outputs'!W$225/INDIRECT("'"&amp;$H$3&amp;"'!W$96"))/INDEX(INDIRECT("'"&amp;$H$3&amp;"'!$H$49:$H$78"),MATCH(INDIRECT("'"&amp;$H$3&amp;"'!W176")&amp;"Delivery Capacity (m^3)",INDIRECT("'"&amp;$H$3&amp;"'!$F$49:$F$78"),0)),0)),0)</f>
        <v>0</v>
      </c>
      <c r="X259" s="1465"/>
      <c r="Y259" s="36"/>
      <c r="Z259" s="36"/>
      <c r="AA259" s="36"/>
      <c r="AB259" s="36" t="s">
        <v>192</v>
      </c>
      <c r="AC259" s="36"/>
      <c r="AD259" s="36" t="s">
        <v>193</v>
      </c>
      <c r="AE259" s="36"/>
      <c r="AF259" s="36"/>
      <c r="AG259" s="36"/>
      <c r="AH259" s="36"/>
      <c r="AI259" s="36"/>
      <c r="AJ259" s="36"/>
      <c r="AK259" s="36"/>
      <c r="AL259" s="36"/>
      <c r="AM259" s="36"/>
      <c r="AN259" s="36"/>
    </row>
    <row r="260" spans="6:40" ht="15" customHeight="1" outlineLevel="1">
      <c r="F260" s="52"/>
      <c r="G260" s="51" t="s">
        <v>88</v>
      </c>
      <c r="H260" s="836"/>
      <c r="I260" s="836"/>
      <c r="J260" s="836"/>
      <c r="K260" s="836">
        <f ca="1">IFERROR(IF(K244=0,0,2*INDIRECT("'"&amp;$H$3&amp;"'!K$98")),0)</f>
        <v>0</v>
      </c>
      <c r="L260" s="836"/>
      <c r="M260" s="836"/>
      <c r="N260" s="836">
        <f ca="1">IFERROR(IF(N244=0,0,2*INDIRECT("'"&amp;$H$3&amp;"'!N$98")),0)</f>
        <v>0</v>
      </c>
      <c r="O260" s="836"/>
      <c r="P260" s="836"/>
      <c r="Q260" s="836">
        <f ca="1">IFERROR(IF(Q244=0,0,2*INDIRECT("'"&amp;$H$3&amp;"'!Q$98")),0)</f>
        <v>0</v>
      </c>
      <c r="R260" s="836"/>
      <c r="S260" s="836"/>
      <c r="T260" s="836">
        <f ca="1">IFERROR(IF(T244=0,0,2*INDIRECT("'"&amp;$H$3&amp;"'!T$98")),0)</f>
        <v>0</v>
      </c>
      <c r="U260" s="836"/>
      <c r="V260" s="836"/>
      <c r="W260" s="836">
        <f ca="1">IFERROR(IF(W244=0,0,2*INDIRECT("'"&amp;$H$3&amp;"'!W$98")),0)</f>
        <v>0</v>
      </c>
      <c r="X260" s="1465"/>
      <c r="Y260" s="36"/>
      <c r="Z260" s="36"/>
      <c r="AA260" s="36"/>
      <c r="AB260" s="36" t="s">
        <v>194</v>
      </c>
      <c r="AC260" s="36"/>
      <c r="AD260" s="36" t="s">
        <v>195</v>
      </c>
      <c r="AE260" s="36"/>
      <c r="AF260" s="36"/>
      <c r="AG260" s="36"/>
      <c r="AH260" s="36"/>
      <c r="AI260" s="36"/>
      <c r="AJ260" s="36"/>
      <c r="AK260" s="36"/>
      <c r="AL260" s="36"/>
      <c r="AM260" s="36"/>
      <c r="AN260" s="36"/>
    </row>
    <row r="261" spans="6:40" ht="15" customHeight="1" outlineLevel="1">
      <c r="F261" s="52"/>
      <c r="G261" s="51" t="s">
        <v>200</v>
      </c>
      <c r="H261" s="839"/>
      <c r="I261" s="839"/>
      <c r="J261" s="839"/>
      <c r="K261" s="839">
        <f ca="1">IFERROR((INDIRECT("'"&amp;$H$3&amp;"'!$H$10")*INDIRECT("'"&amp;$H$3&amp;"'!$H$9")*INDIRECT("'"&amp;$H$3&amp;"'!K180"))/((K260/INDIRECT("'"&amp;$H$3&amp;"'!K192"))+((1/60)*(INDIRECT("'"&amp;$H$3&amp;"'!K188")+INDIRECT("'"&amp;$H$3&amp;"'!$H$19")*(INDIRECT("'"&amp;$H$3&amp;"'!K189")+(INDIRECT("'"&amp;$H$3&amp;"'!K190")*(MIN(('2_Outputs'!K$225/INDIRECT("'"&amp;$H$3&amp;"'!K$96")),INDEX(INDIRECT("'"&amp;$H$3&amp;"'!$H$49:$H$78"),MATCH(INDIRECT("'"&amp;$H$3&amp;"'!K176")&amp;"Delivery Capacity (m^3)",INDIRECT("'"&amp;$H$3&amp;"'!$F$49:$F$78"),0)))/INDIRECT("'"&amp;$H$3&amp;"'!$H$19"))))))),0)</f>
        <v>0</v>
      </c>
      <c r="L261" s="839"/>
      <c r="M261" s="839"/>
      <c r="N261" s="839">
        <f ca="1">IFERROR((INDIRECT("'"&amp;$H$3&amp;"'!$H$10")*INDIRECT("'"&amp;$H$3&amp;"'!$H$9")*INDIRECT("'"&amp;$H$3&amp;"'!N180"))/((N260/INDIRECT("'"&amp;$H$3&amp;"'!N192"))+((1/60)*(INDIRECT("'"&amp;$H$3&amp;"'!N188")+INDIRECT("'"&amp;$H$3&amp;"'!$H$19")*(INDIRECT("'"&amp;$H$3&amp;"'!N189")+(INDIRECT("'"&amp;$H$3&amp;"'!N190")*(MIN(('2_Outputs'!N$225/INDIRECT("'"&amp;$H$3&amp;"'!N$96")),INDEX(INDIRECT("'"&amp;$H$3&amp;"'!$H$49:$H$78"),MATCH(INDIRECT("'"&amp;$H$3&amp;"'!N176")&amp;"Delivery Capacity (m^3)",INDIRECT("'"&amp;$H$3&amp;"'!$F$49:$F$78"),0)))/INDIRECT("'"&amp;$H$3&amp;"'!$H$19"))))))),0)</f>
        <v>0</v>
      </c>
      <c r="O261" s="839"/>
      <c r="P261" s="839"/>
      <c r="Q261" s="839">
        <f ca="1">IFERROR((INDIRECT("'"&amp;$H$3&amp;"'!$H$10")*INDIRECT("'"&amp;$H$3&amp;"'!$H$9")*INDIRECT("'"&amp;$H$3&amp;"'!Q180"))/((Q260/INDIRECT("'"&amp;$H$3&amp;"'!Q192"))+((1/60)*(INDIRECT("'"&amp;$H$3&amp;"'!Q188")+INDIRECT("'"&amp;$H$3&amp;"'!$H$19")*(INDIRECT("'"&amp;$H$3&amp;"'!Q189")+(INDIRECT("'"&amp;$H$3&amp;"'!Q190")*(MIN(('2_Outputs'!Q$225/INDIRECT("'"&amp;$H$3&amp;"'!Q$96")),INDEX(INDIRECT("'"&amp;$H$3&amp;"'!$H$49:$H$78"),MATCH(INDIRECT("'"&amp;$H$3&amp;"'!Q176")&amp;"Delivery Capacity (m^3)",INDIRECT("'"&amp;$H$3&amp;"'!$F$49:$F$78"),0)))/INDIRECT("'"&amp;$H$3&amp;"'!$H$19"))))))),0)</f>
        <v>0</v>
      </c>
      <c r="R261" s="839"/>
      <c r="S261" s="839"/>
      <c r="T261" s="839">
        <f ca="1">IFERROR((INDIRECT("'"&amp;$H$3&amp;"'!$H$10")*INDIRECT("'"&amp;$H$3&amp;"'!$H$9")*INDIRECT("'"&amp;$H$3&amp;"'!T180"))/((T260/INDIRECT("'"&amp;$H$3&amp;"'!T192"))+((1/60)*(INDIRECT("'"&amp;$H$3&amp;"'!T188")+INDIRECT("'"&amp;$H$3&amp;"'!$H$19")*(INDIRECT("'"&amp;$H$3&amp;"'!T189")+(INDIRECT("'"&amp;$H$3&amp;"'!T190")*(MIN(('2_Outputs'!T$225/INDIRECT("'"&amp;$H$3&amp;"'!T$96")),INDEX(INDIRECT("'"&amp;$H$3&amp;"'!$H$49:$H$78"),MATCH(INDIRECT("'"&amp;$H$3&amp;"'!T176")&amp;"Delivery Capacity (m^3)",INDIRECT("'"&amp;$H$3&amp;"'!$F$49:$F$78"),0)))/INDIRECT("'"&amp;$H$3&amp;"'!$H$19"))))))),0)</f>
        <v>0</v>
      </c>
      <c r="U261" s="839"/>
      <c r="V261" s="839"/>
      <c r="W261" s="839">
        <f ca="1">IFERROR((INDIRECT("'"&amp;$H$3&amp;"'!$H$10")*INDIRECT("'"&amp;$H$3&amp;"'!$H$9")*INDIRECT("'"&amp;$H$3&amp;"'!W180"))/((W260/INDIRECT("'"&amp;$H$3&amp;"'!W192"))+((1/60)*(INDIRECT("'"&amp;$H$3&amp;"'!W188")+INDIRECT("'"&amp;$H$3&amp;"'!$H$19")*(INDIRECT("'"&amp;$H$3&amp;"'!W189")+(INDIRECT("'"&amp;$H$3&amp;"'!W190")*(MIN(('2_Outputs'!W$225/INDIRECT("'"&amp;$H$3&amp;"'!W$96")),INDEX(INDIRECT("'"&amp;$H$3&amp;"'!$H$49:$H$78"),MATCH(INDIRECT("'"&amp;$H$3&amp;"'!W176")&amp;"Delivery Capacity (m^3)",INDIRECT("'"&amp;$H$3&amp;"'!$F$49:$F$78"),0)))/INDIRECT("'"&amp;$H$3&amp;"'!$H$19"))))))),0)</f>
        <v>0</v>
      </c>
      <c r="X261" s="1473"/>
      <c r="Y261" s="36"/>
      <c r="Z261" s="36"/>
      <c r="AA261" s="36"/>
      <c r="AB261" s="36"/>
      <c r="AC261" s="36"/>
      <c r="AD261" s="36"/>
      <c r="AE261" s="36"/>
      <c r="AF261" s="36"/>
      <c r="AG261" s="36"/>
      <c r="AH261" s="36"/>
      <c r="AI261" s="36"/>
      <c r="AJ261" s="36"/>
      <c r="AK261" s="36"/>
      <c r="AL261" s="36"/>
      <c r="AM261" s="36"/>
      <c r="AN261" s="36"/>
    </row>
    <row r="262" spans="6:40" ht="15" customHeight="1">
      <c r="F262" s="52"/>
      <c r="G262" s="52"/>
      <c r="H262" s="1660"/>
      <c r="I262" s="1660"/>
      <c r="J262" s="1660"/>
      <c r="K262" s="1660"/>
      <c r="L262" s="1660"/>
      <c r="M262" s="1660"/>
      <c r="N262" s="1660"/>
      <c r="O262" s="1660"/>
      <c r="P262" s="1660"/>
      <c r="Q262" s="1660"/>
      <c r="R262" s="1641"/>
      <c r="S262" s="1641"/>
      <c r="T262" s="1641"/>
      <c r="U262" s="1641"/>
      <c r="V262" s="1641"/>
      <c r="W262" s="1641"/>
      <c r="X262" s="1397"/>
      <c r="Y262" s="36"/>
      <c r="Z262" s="36"/>
      <c r="AA262" s="36"/>
      <c r="AB262" s="36"/>
      <c r="AC262" s="36"/>
      <c r="AD262" s="36"/>
      <c r="AE262" s="36"/>
      <c r="AF262" s="36"/>
      <c r="AG262" s="36"/>
      <c r="AH262" s="36"/>
      <c r="AI262" s="36"/>
      <c r="AJ262" s="36"/>
      <c r="AK262" s="36"/>
      <c r="AL262" s="36"/>
      <c r="AM262" s="36"/>
      <c r="AN262" s="36"/>
    </row>
    <row r="263" spans="6:40" ht="15" customHeight="1">
      <c r="F263" s="52"/>
      <c r="G263" s="52"/>
      <c r="H263" s="1660"/>
      <c r="I263" s="1660"/>
      <c r="J263" s="1660"/>
      <c r="K263" s="1660"/>
      <c r="L263" s="1660"/>
      <c r="M263" s="1660"/>
      <c r="N263" s="1660"/>
      <c r="O263" s="1660"/>
      <c r="P263" s="1660"/>
      <c r="Q263" s="1660"/>
      <c r="R263" s="1641"/>
      <c r="S263" s="1641"/>
      <c r="T263" s="1641"/>
      <c r="U263" s="1641"/>
      <c r="V263" s="1641"/>
      <c r="W263" s="1641"/>
      <c r="X263" s="1397"/>
      <c r="Y263" s="36"/>
      <c r="Z263" s="36"/>
      <c r="AA263" s="36"/>
      <c r="AB263" s="36"/>
      <c r="AC263" s="36"/>
      <c r="AD263" s="36"/>
      <c r="AE263" s="36"/>
      <c r="AF263" s="36"/>
      <c r="AG263" s="36"/>
      <c r="AH263" s="36"/>
      <c r="AI263" s="36"/>
      <c r="AJ263" s="36"/>
      <c r="AK263" s="36"/>
      <c r="AL263" s="36"/>
      <c r="AM263" s="36"/>
      <c r="AN263" s="36"/>
    </row>
    <row r="264" spans="6:40" ht="48" customHeight="1">
      <c r="F264" s="1661" t="s">
        <v>2503</v>
      </c>
      <c r="G264" s="1662"/>
      <c r="H264" s="1663"/>
      <c r="I264" s="1663"/>
      <c r="J264" s="1663"/>
      <c r="K264" s="1519" t="str">
        <f ca="1">IF($H$9&gt;=2,INDIRECT("'"&amp;$H$3&amp;"'!J$130"),"")</f>
        <v>CMS  to  Regional WH</v>
      </c>
      <c r="L264" s="1519" t="str">
        <f t="shared" ref="L264:V264" ca="1" si="18">IF($H$9&gt;=1,"Tier 1","")</f>
        <v>Tier 1</v>
      </c>
      <c r="M264" s="1519" t="str">
        <f t="shared" ca="1" si="18"/>
        <v>Tier 1</v>
      </c>
      <c r="N264" s="1519" t="str">
        <f ca="1">IF($H$9&gt;=3,INDIRECT("'"&amp;$H$3&amp;"'!M$130"),"")</f>
        <v>Regional WH  to  Health Facility</v>
      </c>
      <c r="O264" s="1519" t="str">
        <f t="shared" ca="1" si="18"/>
        <v>Tier 1</v>
      </c>
      <c r="P264" s="1519" t="str">
        <f t="shared" ca="1" si="18"/>
        <v>Tier 1</v>
      </c>
      <c r="Q264" s="1520" t="str">
        <f ca="1">IF($H$9&gt;=4,INDIRECT("'"&amp;$H$3&amp;"'!P$130"),"")</f>
        <v/>
      </c>
      <c r="R264" s="1519" t="str">
        <f t="shared" ca="1" si="18"/>
        <v>Tier 1</v>
      </c>
      <c r="S264" s="1521" t="str">
        <f t="shared" ca="1" si="18"/>
        <v>Tier 1</v>
      </c>
      <c r="T264" s="1520" t="str">
        <f ca="1">IF($H$9&gt;=5,INDIRECT("'"&amp;$H$3&amp;"'!S$130"),"")</f>
        <v/>
      </c>
      <c r="U264" s="1521" t="str">
        <f t="shared" ca="1" si="18"/>
        <v>Tier 1</v>
      </c>
      <c r="V264" s="1521" t="str">
        <f t="shared" ca="1" si="18"/>
        <v>Tier 1</v>
      </c>
      <c r="W264" s="1520" t="str">
        <f ca="1">IF($H$9&gt;=6,INDIRECT("'"&amp;$H$3&amp;"'!V$130"),"")</f>
        <v/>
      </c>
      <c r="X264" s="1464"/>
      <c r="Y264" s="264"/>
      <c r="Z264" s="264"/>
      <c r="AA264" s="264"/>
      <c r="AB264" s="36"/>
      <c r="AC264" s="36"/>
      <c r="AD264" s="36"/>
      <c r="AE264" s="36"/>
      <c r="AF264" s="36"/>
      <c r="AG264" s="36"/>
      <c r="AH264" s="36"/>
      <c r="AI264" s="36"/>
      <c r="AJ264" s="36"/>
      <c r="AK264" s="36"/>
      <c r="AL264" s="36"/>
      <c r="AM264" s="36"/>
      <c r="AN264" s="36"/>
    </row>
    <row r="265" spans="6:40" ht="15" customHeight="1" outlineLevel="1">
      <c r="F265" s="1664" t="s">
        <v>149</v>
      </c>
      <c r="G265" s="1664"/>
      <c r="H265" s="862"/>
      <c r="I265" s="862"/>
      <c r="J265" s="862"/>
      <c r="K265" s="862"/>
      <c r="L265" s="862"/>
      <c r="M265" s="862"/>
      <c r="N265" s="862"/>
      <c r="O265" s="1664"/>
      <c r="P265" s="1664"/>
      <c r="Q265" s="1665"/>
      <c r="R265" s="1666"/>
      <c r="S265" s="1666"/>
      <c r="T265" s="1665"/>
      <c r="U265" s="1666"/>
      <c r="V265" s="1666"/>
      <c r="W265" s="1665"/>
      <c r="Y265" s="36"/>
      <c r="Z265" s="36"/>
      <c r="AA265" s="36"/>
      <c r="AB265" s="36"/>
      <c r="AC265" s="36"/>
      <c r="AD265" s="36"/>
      <c r="AE265" s="36"/>
      <c r="AF265" s="36"/>
      <c r="AG265" s="36"/>
      <c r="AH265" s="36"/>
      <c r="AI265" s="36"/>
      <c r="AJ265" s="36"/>
      <c r="AK265" s="36"/>
      <c r="AL265" s="36"/>
      <c r="AM265" s="36"/>
      <c r="AN265" s="36"/>
    </row>
    <row r="266" spans="6:40" ht="15" customHeight="1" outlineLevel="1">
      <c r="F266" s="52"/>
      <c r="G266" s="52" t="s">
        <v>146</v>
      </c>
      <c r="H266" s="822"/>
      <c r="I266" s="822"/>
      <c r="J266" s="822"/>
      <c r="K266" s="822">
        <f ca="1">IFERROR(IF(COUNTIF(INDIRECT("'"&amp;$H$3&amp;"'!K200"),"Public Transport*")=1,IF(INDIRECT("'"&amp;$H$3&amp;"'!K208")="Route-based",K273*INDIRECT("'"&amp;$H$3&amp;"'!K$96"),IF(INDIRECT("'"&amp;$H$3&amp;"'!K208")="Point-to-point",K276*INDIRECT("'"&amp;$H$3&amp;"'!K$96"),0)),0),0)</f>
        <v>0</v>
      </c>
      <c r="L266" s="822"/>
      <c r="M266" s="822"/>
      <c r="N266" s="822">
        <f ca="1">IFERROR(IF(COUNTIF(INDIRECT("'"&amp;$H$3&amp;"'!N200"),"Public Transport*")=1,IF(INDIRECT("'"&amp;$H$3&amp;"'!N208")="Route-based",N273*INDIRECT("'"&amp;$H$3&amp;"'!N$96"),IF(INDIRECT("'"&amp;$H$3&amp;"'!N208")="Point-to-point",N276*INDIRECT("'"&amp;$H$3&amp;"'!N$96"),0)),0),0)</f>
        <v>0</v>
      </c>
      <c r="O266" s="822"/>
      <c r="P266" s="822"/>
      <c r="Q266" s="822">
        <f ca="1">IFERROR(IF(COUNTIF(INDIRECT("'"&amp;$H$3&amp;"'!Q200"),"Public Transport*")=1,IF(INDIRECT("'"&amp;$H$3&amp;"'!Q208")="Route-based",Q273*INDIRECT("'"&amp;$H$3&amp;"'!Q$96"),IF(INDIRECT("'"&amp;$H$3&amp;"'!Q208")="Point-to-point",Q276*INDIRECT("'"&amp;$H$3&amp;"'!Q$96"),0)),0),0)</f>
        <v>0</v>
      </c>
      <c r="R266" s="1667"/>
      <c r="S266" s="1667"/>
      <c r="T266" s="822">
        <f ca="1">IFERROR(IF(COUNTIF(INDIRECT("'"&amp;$H$3&amp;"'!T200"),"Public Transport*")=1,IF(INDIRECT("'"&amp;$H$3&amp;"'!T208")="Route-based",T273*INDIRECT("'"&amp;$H$3&amp;"'!T$96"),IF(INDIRECT("'"&amp;$H$3&amp;"'!T208")="Point-to-point",T276*INDIRECT("'"&amp;$H$3&amp;"'!T$96"),0)),0),0)</f>
        <v>0</v>
      </c>
      <c r="U266" s="1667"/>
      <c r="V266" s="1667"/>
      <c r="W266" s="822">
        <f ca="1">IFERROR(IF(COUNTIF(INDIRECT("'"&amp;$H$3&amp;"'!W200"),"Public Transport*")=1,IF(INDIRECT("'"&amp;$H$3&amp;"'!W208")="Route-based",W273*INDIRECT("'"&amp;$H$3&amp;"'!W$96"),IF(INDIRECT("'"&amp;$H$3&amp;"'!W208")="Point-to-point",W276*INDIRECT("'"&amp;$H$3&amp;"'!W$96"),0)),0),0)</f>
        <v>0</v>
      </c>
      <c r="X266" s="1475"/>
      <c r="Y266" s="36"/>
      <c r="Z266" s="36"/>
      <c r="AA266" s="36"/>
      <c r="AB266" s="36"/>
      <c r="AC266" s="36"/>
      <c r="AD266" s="36"/>
      <c r="AE266" s="36"/>
      <c r="AF266" s="36"/>
      <c r="AG266" s="36"/>
      <c r="AH266" s="36"/>
      <c r="AI266" s="36"/>
      <c r="AJ266" s="36"/>
      <c r="AK266" s="36"/>
      <c r="AL266" s="36"/>
      <c r="AM266" s="36"/>
      <c r="AN266" s="36"/>
    </row>
    <row r="267" spans="6:40" ht="15" customHeight="1" outlineLevel="1">
      <c r="F267" s="52"/>
      <c r="G267" s="52" t="s">
        <v>147</v>
      </c>
      <c r="H267" s="822"/>
      <c r="I267" s="822"/>
      <c r="J267" s="822"/>
      <c r="K267" s="822">
        <f ca="1">IFERROR(IF(INDIRECT("'"&amp;$H$3&amp;"'!K208")="Route-based",K274*INDIRECT("'"&amp;$H$3&amp;"'!K$96"),IF(INDIRECT("'"&amp;$H$3&amp;"'!K208")="Point-to-point",K277*INDIRECT("'"&amp;$H$3&amp;"'!K$96"),0)),0)</f>
        <v>0</v>
      </c>
      <c r="L267" s="822"/>
      <c r="M267" s="822"/>
      <c r="N267" s="822">
        <f ca="1">IFERROR(IF(INDIRECT("'"&amp;$H$3&amp;"'!N208")="Route-based",N274*INDIRECT("'"&amp;$H$3&amp;"'!N$96"),IF(INDIRECT("'"&amp;$H$3&amp;"'!N208")="Point-to-point",N277*INDIRECT("'"&amp;$H$3&amp;"'!N$96"),0)),0)</f>
        <v>0</v>
      </c>
      <c r="O267" s="822"/>
      <c r="P267" s="822"/>
      <c r="Q267" s="822">
        <f ca="1">IFERROR(IF(INDIRECT("'"&amp;$H$3&amp;"'!Q208")="Route-based",Q274*INDIRECT("'"&amp;$H$3&amp;"'!Q$96"),IF(INDIRECT("'"&amp;$H$3&amp;"'!Q208")="Point-to-point",Q277*INDIRECT("'"&amp;$H$3&amp;"'!Q$96"),0)),0)</f>
        <v>0</v>
      </c>
      <c r="R267" s="1667"/>
      <c r="S267" s="1667"/>
      <c r="T267" s="822">
        <f ca="1">IFERROR(IF(INDIRECT("'"&amp;$H$3&amp;"'!T208")="Route-based",T274*INDIRECT("'"&amp;$H$3&amp;"'!T$96"),IF(INDIRECT("'"&amp;$H$3&amp;"'!T208")="Point-to-point",T277*INDIRECT("'"&amp;$H$3&amp;"'!T$96"),0)),0)</f>
        <v>0</v>
      </c>
      <c r="U267" s="1667"/>
      <c r="V267" s="1667"/>
      <c r="W267" s="822">
        <f ca="1">IFERROR(IF(INDIRECT("'"&amp;$H$3&amp;"'!W208")="Route-based",W274*INDIRECT("'"&amp;$H$3&amp;"'!W$96"),IF(INDIRECT("'"&amp;$H$3&amp;"'!W208")="Point-to-point",W277*INDIRECT("'"&amp;$H$3&amp;"'!W$96"),0)),0)</f>
        <v>0</v>
      </c>
      <c r="X267" s="1475"/>
      <c r="Y267" s="36"/>
      <c r="Z267" s="36"/>
      <c r="AA267" s="36"/>
      <c r="AB267" s="36"/>
      <c r="AC267" s="36"/>
      <c r="AD267" s="36"/>
      <c r="AE267" s="36"/>
      <c r="AF267" s="36"/>
      <c r="AG267" s="36"/>
      <c r="AH267" s="36"/>
      <c r="AI267" s="36"/>
      <c r="AJ267" s="36"/>
      <c r="AK267" s="36"/>
      <c r="AL267" s="36"/>
      <c r="AM267" s="36"/>
      <c r="AN267" s="36"/>
    </row>
    <row r="268" spans="6:40" ht="15" customHeight="1" outlineLevel="1">
      <c r="F268" s="52"/>
      <c r="G268" s="52" t="s">
        <v>142</v>
      </c>
      <c r="H268" s="1668"/>
      <c r="I268" s="1668"/>
      <c r="J268" s="1668"/>
      <c r="K268" s="1668">
        <f ca="1">IFERROR(IF(COUNTIF(INDIRECT("'"&amp;$H$3&amp;"'!K200"),"Public Transport*")&gt;0,ROUND(INDIRECT("'"&amp;$H$3&amp;"'!K$95")*INDIRECT("'"&amp;$H$3&amp;"'!K199"),0),0),0)</f>
        <v>0</v>
      </c>
      <c r="L268" s="1668"/>
      <c r="M268" s="1668"/>
      <c r="N268" s="1668">
        <f ca="1">IFERROR(IF(COUNTIF(INDIRECT("'"&amp;$H$3&amp;"'!N200"),"Public Transport*")&gt;0,ROUND(INDIRECT("'"&amp;$H$3&amp;"'!N$95")*INDIRECT("'"&amp;$H$3&amp;"'!N199"),0),0),0)</f>
        <v>0</v>
      </c>
      <c r="O268" s="1668"/>
      <c r="P268" s="1668"/>
      <c r="Q268" s="1668">
        <f ca="1">IFERROR(IF(COUNTIF(INDIRECT("'"&amp;$H$3&amp;"'!Q200"),"Public Transport*")&gt;0,ROUND(INDIRECT("'"&amp;$H$3&amp;"'!Q$95")*INDIRECT("'"&amp;$H$3&amp;"'!Q199"),0),0),0)</f>
        <v>0</v>
      </c>
      <c r="R268" s="1667"/>
      <c r="S268" s="1667"/>
      <c r="T268" s="1668">
        <f ca="1">IFERROR(IF(COUNTIF(INDIRECT("'"&amp;$H$3&amp;"'!T200"),"Public Transport*")&gt;0,ROUND(INDIRECT("'"&amp;$H$3&amp;"'!T$95")*INDIRECT("'"&amp;$H$3&amp;"'!T199"),0),0),0)</f>
        <v>0</v>
      </c>
      <c r="U268" s="1667"/>
      <c r="V268" s="1667"/>
      <c r="W268" s="1668">
        <f ca="1">IFERROR(IF(COUNTIF(INDIRECT("'"&amp;$H$3&amp;"'!W200"),"Public Transport*")&gt;0,ROUND(INDIRECT("'"&amp;$H$3&amp;"'!W$95")*INDIRECT("'"&amp;$H$3&amp;"'!W199"),0),0),0)</f>
        <v>0</v>
      </c>
      <c r="X268" s="1476"/>
      <c r="Y268" s="36"/>
      <c r="Z268" s="36"/>
      <c r="AA268" s="36"/>
      <c r="AB268" s="36"/>
      <c r="AC268" s="36"/>
      <c r="AD268" s="36"/>
      <c r="AE268" s="36"/>
      <c r="AF268" s="36"/>
      <c r="AG268" s="36"/>
      <c r="AH268" s="36"/>
      <c r="AI268" s="36"/>
      <c r="AJ268" s="36"/>
      <c r="AK268" s="36"/>
      <c r="AL268" s="36"/>
      <c r="AM268" s="36"/>
      <c r="AN268" s="36"/>
    </row>
    <row r="269" spans="6:40" ht="15" customHeight="1" outlineLevel="1">
      <c r="F269" s="52"/>
      <c r="G269" s="1669" t="s">
        <v>150</v>
      </c>
      <c r="H269" s="829"/>
      <c r="I269" s="829"/>
      <c r="J269" s="829"/>
      <c r="K269" s="829"/>
      <c r="L269" s="829"/>
      <c r="M269" s="829"/>
      <c r="N269" s="829"/>
      <c r="O269" s="829"/>
      <c r="P269" s="829"/>
      <c r="Q269" s="829"/>
      <c r="R269" s="1667"/>
      <c r="S269" s="1667"/>
      <c r="T269" s="829"/>
      <c r="U269" s="1667"/>
      <c r="V269" s="1667"/>
      <c r="W269" s="829"/>
      <c r="X269" s="1477"/>
      <c r="Y269" s="36"/>
      <c r="Z269" s="36"/>
      <c r="AA269" s="36"/>
      <c r="AB269" s="36"/>
      <c r="AC269" s="36"/>
      <c r="AD269" s="36"/>
      <c r="AE269" s="36"/>
      <c r="AF269" s="36"/>
      <c r="AG269" s="36"/>
      <c r="AH269" s="36"/>
      <c r="AI269" s="36"/>
      <c r="AJ269" s="36"/>
      <c r="AK269" s="36"/>
      <c r="AL269" s="36"/>
      <c r="AM269" s="36"/>
      <c r="AN269" s="36"/>
    </row>
    <row r="270" spans="6:40" ht="15" customHeight="1" outlineLevel="1">
      <c r="F270" s="52"/>
      <c r="G270" s="52" t="s">
        <v>140</v>
      </c>
      <c r="H270" s="824"/>
      <c r="I270" s="824"/>
      <c r="J270" s="824"/>
      <c r="K270" s="824">
        <f ca="1">IFERROR(ROUND(INDIRECT("'"&amp;$H$3&amp;"'!$H$10")/(((1/60)*(INDIRECT("'"&amp;$H$3&amp;"'!K213")+INDIRECT("'"&amp;$H$3&amp;"'!$H$19")*(INDIRECT("'"&amp;$H$3&amp;"'!K214")+(INDIRECT("'"&amp;$H$3&amp;"'!K215")*('2_Outputs'!K$52/INDIRECT("'"&amp;$H$3&amp;"'!K$96")/INDIRECT("'"&amp;$H$3&amp;"'!$H$19"))))))+INDEX(INDIRECT("'"&amp;$H$3&amp;"'!$H$43:$H$78"),MATCH(INDIRECT("'"&amp;$H$3&amp;"'!K200")&amp;"Average duration (hrs) per trip",INDIRECT("'"&amp;$H$3&amp;"'!$F$43:$F$78"),0))),1),0)</f>
        <v>0</v>
      </c>
      <c r="L270" s="824"/>
      <c r="M270" s="824"/>
      <c r="N270" s="824">
        <f ca="1">IFERROR(ROUND(INDIRECT("'"&amp;$H$3&amp;"'!$H$10")/(((1/60)*(INDIRECT("'"&amp;$H$3&amp;"'!N213")+INDIRECT("'"&amp;$H$3&amp;"'!$H$19")*(INDIRECT("'"&amp;$H$3&amp;"'!N214")+(INDIRECT("'"&amp;$H$3&amp;"'!N215")*('2_Outputs'!N$52/INDIRECT("'"&amp;$H$3&amp;"'!N$96")/INDIRECT("'"&amp;$H$3&amp;"'!$H$19"))))))+INDEX(INDIRECT("'"&amp;$H$3&amp;"'!$H$43:$H$78"),MATCH(INDIRECT("'"&amp;$H$3&amp;"'!N200")&amp;"Average duration (hrs) per trip",INDIRECT("'"&amp;$H$3&amp;"'!$F$43:$F$78"),0))),1),0)</f>
        <v>0</v>
      </c>
      <c r="O270" s="824"/>
      <c r="P270" s="824"/>
      <c r="Q270" s="824">
        <f ca="1">IFERROR(ROUND(INDIRECT("'"&amp;$H$3&amp;"'!$H$10")/(((1/60)*(INDIRECT("'"&amp;$H$3&amp;"'!Q213")+INDIRECT("'"&amp;$H$3&amp;"'!$H$19")*(INDIRECT("'"&amp;$H$3&amp;"'!Q214")+(INDIRECT("'"&amp;$H$3&amp;"'!Q215")*('2_Outputs'!Q$52/INDIRECT("'"&amp;$H$3&amp;"'!Q$96")/INDIRECT("'"&amp;$H$3&amp;"'!$H$19"))))))+INDEX(INDIRECT("'"&amp;$H$3&amp;"'!$H$43:$H$78"),MATCH(INDIRECT("'"&amp;$H$3&amp;"'!Q200")&amp;"Average duration (hrs) per trip",INDIRECT("'"&amp;$H$3&amp;"'!$F$43:$F$78"),0))),1),0)</f>
        <v>0</v>
      </c>
      <c r="R270" s="1667"/>
      <c r="S270" s="1667"/>
      <c r="T270" s="824">
        <f ca="1">IFERROR(ROUND(INDIRECT("'"&amp;$H$3&amp;"'!$H$10")/(((1/60)*(INDIRECT("'"&amp;$H$3&amp;"'!T213")+INDIRECT("'"&amp;$H$3&amp;"'!$H$19")*(INDIRECT("'"&amp;$H$3&amp;"'!T214")+(INDIRECT("'"&amp;$H$3&amp;"'!T215")*('2_Outputs'!T$52/INDIRECT("'"&amp;$H$3&amp;"'!T$96")/INDIRECT("'"&amp;$H$3&amp;"'!$H$19"))))))+INDEX(INDIRECT("'"&amp;$H$3&amp;"'!$H$43:$H$78"),MATCH(INDIRECT("'"&amp;$H$3&amp;"'!T200")&amp;"Average duration (hrs) per trip",INDIRECT("'"&amp;$H$3&amp;"'!$F$43:$F$78"),0))),1),0)</f>
        <v>0</v>
      </c>
      <c r="U270" s="1667"/>
      <c r="V270" s="1667"/>
      <c r="W270" s="824">
        <f ca="1">IFERROR(ROUND(INDIRECT("'"&amp;$H$3&amp;"'!$H$10")/(((1/60)*(INDIRECT("'"&amp;$H$3&amp;"'!W213")+INDIRECT("'"&amp;$H$3&amp;"'!$H$19")*(INDIRECT("'"&amp;$H$3&amp;"'!W214")+(INDIRECT("'"&amp;$H$3&amp;"'!W215")*('2_Outputs'!W$52/INDIRECT("'"&amp;$H$3&amp;"'!W$96")/INDIRECT("'"&amp;$H$3&amp;"'!$H$19"))))))+INDEX(INDIRECT("'"&amp;$H$3&amp;"'!$H$43:$H$78"),MATCH(INDIRECT("'"&amp;$H$3&amp;"'!W200")&amp;"Average duration (hrs) per trip",INDIRECT("'"&amp;$H$3&amp;"'!$F$43:$F$78"),0))),1),0)</f>
        <v>0</v>
      </c>
      <c r="X270" s="1478"/>
      <c r="Y270" s="36"/>
      <c r="Z270" s="36"/>
      <c r="AA270" s="36"/>
      <c r="AB270" s="36"/>
      <c r="AC270" s="36"/>
      <c r="AD270" s="36"/>
      <c r="AE270" s="36"/>
      <c r="AF270" s="36"/>
      <c r="AG270" s="36"/>
      <c r="AH270" s="36"/>
      <c r="AI270" s="36"/>
      <c r="AJ270" s="36"/>
      <c r="AK270" s="36"/>
      <c r="AL270" s="36"/>
      <c r="AM270" s="36"/>
      <c r="AN270" s="36"/>
    </row>
    <row r="271" spans="6:40" ht="15" customHeight="1" outlineLevel="1">
      <c r="F271" s="52"/>
      <c r="G271" s="52" t="s">
        <v>141</v>
      </c>
      <c r="H271" s="824"/>
      <c r="I271" s="824"/>
      <c r="J271" s="824"/>
      <c r="K271" s="824">
        <f ca="1">IFERROR(ROUND(K270*INDIRECT("'"&amp;$H$3&amp;"'!K209"),0),0)</f>
        <v>0</v>
      </c>
      <c r="L271" s="824"/>
      <c r="M271" s="824"/>
      <c r="N271" s="824">
        <f ca="1">IFERROR(ROUND(N270*INDIRECT("'"&amp;$H$3&amp;"'!N209"),0),0)</f>
        <v>0</v>
      </c>
      <c r="O271" s="824"/>
      <c r="P271" s="824"/>
      <c r="Q271" s="824">
        <f ca="1">IFERROR(ROUND(Q270*INDIRECT("'"&amp;$H$3&amp;"'!Q209"),0),0)</f>
        <v>0</v>
      </c>
      <c r="R271" s="1667"/>
      <c r="S271" s="1667"/>
      <c r="T271" s="824">
        <f ca="1">IFERROR(ROUND(T270*INDIRECT("'"&amp;$H$3&amp;"'!T209"),0),0)</f>
        <v>0</v>
      </c>
      <c r="U271" s="1667"/>
      <c r="V271" s="1667"/>
      <c r="W271" s="824">
        <f ca="1">IFERROR(ROUND(W270*INDIRECT("'"&amp;$H$3&amp;"'!W209"),0),0)</f>
        <v>0</v>
      </c>
      <c r="X271" s="1478"/>
      <c r="Y271" s="36"/>
      <c r="Z271" s="36"/>
      <c r="AA271" s="36"/>
      <c r="AB271" s="36"/>
      <c r="AC271" s="36"/>
      <c r="AD271" s="36"/>
      <c r="AE271" s="36"/>
      <c r="AF271" s="36"/>
      <c r="AG271" s="36"/>
      <c r="AH271" s="36"/>
      <c r="AI271" s="36"/>
      <c r="AJ271" s="36"/>
      <c r="AK271" s="36"/>
      <c r="AL271" s="36"/>
      <c r="AM271" s="36"/>
      <c r="AN271" s="36"/>
    </row>
    <row r="272" spans="6:40" ht="15" customHeight="1" outlineLevel="1">
      <c r="F272" s="52"/>
      <c r="G272" s="52" t="s">
        <v>143</v>
      </c>
      <c r="H272" s="824"/>
      <c r="I272" s="824"/>
      <c r="J272" s="824"/>
      <c r="K272" s="824">
        <f ca="1">IFERROR(K268/K271,0)</f>
        <v>0</v>
      </c>
      <c r="L272" s="824"/>
      <c r="M272" s="824"/>
      <c r="N272" s="824">
        <f ca="1">IFERROR(N268/N271,0)</f>
        <v>0</v>
      </c>
      <c r="O272" s="824"/>
      <c r="P272" s="824"/>
      <c r="Q272" s="824">
        <f ca="1">IFERROR(Q268/Q271,0)</f>
        <v>0</v>
      </c>
      <c r="R272" s="1667"/>
      <c r="S272" s="1667"/>
      <c r="T272" s="824">
        <f ca="1">IFERROR(T268/T271,0)</f>
        <v>0</v>
      </c>
      <c r="U272" s="1667"/>
      <c r="V272" s="1667"/>
      <c r="W272" s="824">
        <f ca="1">IFERROR(W268/W271,0)</f>
        <v>0</v>
      </c>
      <c r="X272" s="1478"/>
      <c r="Y272" s="36"/>
      <c r="Z272" s="36"/>
      <c r="AA272" s="36"/>
      <c r="AB272" s="36"/>
      <c r="AC272" s="36"/>
      <c r="AD272" s="36"/>
      <c r="AE272" s="36"/>
      <c r="AF272" s="36"/>
      <c r="AG272" s="36"/>
      <c r="AH272" s="36"/>
      <c r="AI272" s="36"/>
      <c r="AJ272" s="36"/>
      <c r="AK272" s="36"/>
      <c r="AL272" s="36"/>
      <c r="AM272" s="36"/>
      <c r="AN272" s="36"/>
    </row>
    <row r="273" spans="6:40" ht="15" customHeight="1" outlineLevel="1">
      <c r="F273" s="52"/>
      <c r="G273" s="52" t="s">
        <v>144</v>
      </c>
      <c r="H273" s="824"/>
      <c r="I273" s="824"/>
      <c r="J273" s="824"/>
      <c r="K273" s="824">
        <f ca="1">IFERROR((K272*(K271+1)),0)</f>
        <v>0</v>
      </c>
      <c r="L273" s="824"/>
      <c r="M273" s="824"/>
      <c r="N273" s="824">
        <f ca="1">IFERROR((N272*(N271+1)),0)</f>
        <v>0</v>
      </c>
      <c r="O273" s="824"/>
      <c r="P273" s="824"/>
      <c r="Q273" s="824">
        <f ca="1">IFERROR((Q272*(Q271+1)),0)</f>
        <v>0</v>
      </c>
      <c r="R273" s="1667"/>
      <c r="S273" s="1667"/>
      <c r="T273" s="824">
        <f ca="1">IFERROR((T272*(T271+1)),0)</f>
        <v>0</v>
      </c>
      <c r="U273" s="1667"/>
      <c r="V273" s="1667"/>
      <c r="W273" s="824">
        <f ca="1">IFERROR((W272*(W271+1)),0)</f>
        <v>0</v>
      </c>
      <c r="X273" s="1478"/>
      <c r="Y273" s="36"/>
      <c r="Z273" s="36"/>
      <c r="AA273" s="36"/>
      <c r="AB273" s="36"/>
      <c r="AC273" s="36"/>
      <c r="AD273" s="36"/>
      <c r="AE273" s="36"/>
      <c r="AF273" s="36"/>
      <c r="AG273" s="36"/>
      <c r="AH273" s="36"/>
      <c r="AI273" s="36"/>
      <c r="AJ273" s="36"/>
      <c r="AK273" s="36"/>
      <c r="AL273" s="242"/>
      <c r="AM273" s="36"/>
      <c r="AN273" s="36"/>
    </row>
    <row r="274" spans="6:40" ht="15" customHeight="1" outlineLevel="1">
      <c r="F274" s="52"/>
      <c r="G274" s="52" t="s">
        <v>145</v>
      </c>
      <c r="H274" s="824"/>
      <c r="I274" s="824"/>
      <c r="J274" s="824"/>
      <c r="K274" s="824">
        <f ca="1">IFERROR(ROUNDUP(((K273*INDEX(INDIRECT("'"&amp;$H$3&amp;"'!$H$43:$H$78"),MATCH(INDIRECT("'"&amp;$H$3&amp;"'!K200")&amp;"Average duration (hrs) per trip",INDIRECT("'"&amp;$H$3&amp;"'!$F$43:$F$78"),0)))+(K268*((1/60)*(INDIRECT("'"&amp;$H$3&amp;"'!K213")+INDIRECT("'"&amp;$H$3&amp;"'!$H$19")*(INDIRECT("'"&amp;$H$3&amp;"'!K214")+(INDIRECT("'"&amp;$H$3&amp;"'!K215")*('2_Outputs'!K$52/INDIRECT("'"&amp;$H$3&amp;"'!K$96")/INDIRECT("'"&amp;$H$3&amp;"'!$H$19"))))))))/INDIRECT("'"&amp;$H$3&amp;"'!$H$10"),0),0)</f>
        <v>0</v>
      </c>
      <c r="L274" s="824"/>
      <c r="M274" s="824"/>
      <c r="N274" s="824">
        <f ca="1">IFERROR(ROUNDUP(((N273*INDEX(INDIRECT("'"&amp;$H$3&amp;"'!$H$43:$H$78"),MATCH(INDIRECT("'"&amp;$H$3&amp;"'!N200")&amp;"Average duration (hrs) per trip",INDIRECT("'"&amp;$H$3&amp;"'!$F$43:$F$78"),0)))+(N268*((1/60)*(INDIRECT("'"&amp;$H$3&amp;"'!N213")+INDIRECT("'"&amp;$H$3&amp;"'!$H$19")*(INDIRECT("'"&amp;$H$3&amp;"'!N214")+(INDIRECT("'"&amp;$H$3&amp;"'!N215")*('2_Outputs'!N$52/INDIRECT("'"&amp;$H$3&amp;"'!N$96")/INDIRECT("'"&amp;$H$3&amp;"'!$H$19"))))))))/INDIRECT("'"&amp;$H$3&amp;"'!$H$10"),0),0)</f>
        <v>0</v>
      </c>
      <c r="O274" s="824"/>
      <c r="P274" s="824"/>
      <c r="Q274" s="824">
        <f ca="1">IFERROR(ROUNDUP(((Q273*INDEX(INDIRECT("'"&amp;$H$3&amp;"'!$H$43:$H$78"),MATCH(INDIRECT("'"&amp;$H$3&amp;"'!Q200")&amp;"Average duration (hrs) per trip",INDIRECT("'"&amp;$H$3&amp;"'!$F$43:$F$78"),0)))+(Q268*((1/60)*(INDIRECT("'"&amp;$H$3&amp;"'!Q213")+INDIRECT("'"&amp;$H$3&amp;"'!$H$19")*(INDIRECT("'"&amp;$H$3&amp;"'!Q214")+(INDIRECT("'"&amp;$H$3&amp;"'!Q215")*('2_Outputs'!Q$52/INDIRECT("'"&amp;$H$3&amp;"'!Q$96")/INDIRECT("'"&amp;$H$3&amp;"'!$H$19"))))))))/INDIRECT("'"&amp;$H$3&amp;"'!$H$10"),0),0)</f>
        <v>0</v>
      </c>
      <c r="R274" s="1667"/>
      <c r="S274" s="1667"/>
      <c r="T274" s="824">
        <f ca="1">IFERROR(ROUNDUP(((T273*INDEX(INDIRECT("'"&amp;$H$3&amp;"'!$H$43:$H$78"),MATCH(INDIRECT("'"&amp;$H$3&amp;"'!T200")&amp;"Average duration (hrs) per trip",INDIRECT("'"&amp;$H$3&amp;"'!$F$43:$F$78"),0)))+(T268*((1/60)*(INDIRECT("'"&amp;$H$3&amp;"'!T213")+INDIRECT("'"&amp;$H$3&amp;"'!$H$19")*(INDIRECT("'"&amp;$H$3&amp;"'!T214")+(INDIRECT("'"&amp;$H$3&amp;"'!T215")*('2_Outputs'!T$52/INDIRECT("'"&amp;$H$3&amp;"'!T$96")/INDIRECT("'"&amp;$H$3&amp;"'!$H$19"))))))))/INDIRECT("'"&amp;$H$3&amp;"'!$H$10"),0),0)</f>
        <v>0</v>
      </c>
      <c r="U274" s="1667"/>
      <c r="V274" s="1667"/>
      <c r="W274" s="824">
        <f ca="1">IFERROR(ROUNDUP(((W273*INDEX(INDIRECT("'"&amp;$H$3&amp;"'!$H$43:$H$78"),MATCH(INDIRECT("'"&amp;$H$3&amp;"'!W200")&amp;"Average duration (hrs) per trip",INDIRECT("'"&amp;$H$3&amp;"'!$F$43:$F$78"),0)))+(W268*((1/60)*(INDIRECT("'"&amp;$H$3&amp;"'!W213")+INDIRECT("'"&amp;$H$3&amp;"'!$H$19")*(INDIRECT("'"&amp;$H$3&amp;"'!W214")+(INDIRECT("'"&amp;$H$3&amp;"'!W215")*('2_Outputs'!W$52/INDIRECT("'"&amp;$H$3&amp;"'!W$96")/INDIRECT("'"&amp;$H$3&amp;"'!$H$19"))))))))/INDIRECT("'"&amp;$H$3&amp;"'!$H$10"),0),0)</f>
        <v>0</v>
      </c>
      <c r="X274" s="1478"/>
      <c r="Y274" s="36"/>
      <c r="Z274" s="36"/>
      <c r="AA274" s="36"/>
      <c r="AB274" s="36"/>
      <c r="AC274" s="36"/>
      <c r="AD274" s="36"/>
      <c r="AE274" s="36"/>
      <c r="AF274" s="36"/>
      <c r="AG274" s="36"/>
      <c r="AH274" s="36"/>
      <c r="AI274" s="36"/>
      <c r="AJ274" s="36"/>
      <c r="AK274" s="36"/>
      <c r="AL274" s="242"/>
      <c r="AM274" s="36"/>
      <c r="AN274" s="36"/>
    </row>
    <row r="275" spans="6:40" ht="15" customHeight="1" outlineLevel="1">
      <c r="F275" s="52"/>
      <c r="G275" s="1669" t="s">
        <v>840</v>
      </c>
      <c r="H275" s="829"/>
      <c r="I275" s="829"/>
      <c r="J275" s="829"/>
      <c r="K275" s="829"/>
      <c r="L275" s="829"/>
      <c r="M275" s="829"/>
      <c r="N275" s="829"/>
      <c r="O275" s="829"/>
      <c r="P275" s="829"/>
      <c r="Q275" s="829"/>
      <c r="R275" s="1667"/>
      <c r="S275" s="1667"/>
      <c r="T275" s="829"/>
      <c r="U275" s="1667"/>
      <c r="V275" s="1667"/>
      <c r="W275" s="829"/>
      <c r="X275" s="1477"/>
      <c r="Y275" s="36"/>
      <c r="Z275" s="36"/>
      <c r="AA275" s="36"/>
      <c r="AB275" s="36"/>
      <c r="AC275" s="36"/>
      <c r="AD275" s="36"/>
      <c r="AE275" s="36"/>
      <c r="AF275" s="36"/>
      <c r="AG275" s="36"/>
      <c r="AH275" s="36"/>
      <c r="AI275" s="36"/>
      <c r="AJ275" s="36"/>
      <c r="AK275" s="36"/>
      <c r="AL275" s="242"/>
      <c r="AM275" s="36"/>
      <c r="AN275" s="36"/>
    </row>
    <row r="276" spans="6:40" ht="15" customHeight="1" outlineLevel="1">
      <c r="F276" s="52"/>
      <c r="G276" s="52" t="s">
        <v>144</v>
      </c>
      <c r="H276" s="824"/>
      <c r="I276" s="824"/>
      <c r="J276" s="824"/>
      <c r="K276" s="824">
        <f ca="1">K268*2</f>
        <v>0</v>
      </c>
      <c r="L276" s="824"/>
      <c r="M276" s="824"/>
      <c r="N276" s="824">
        <f ca="1">N268*2</f>
        <v>0</v>
      </c>
      <c r="O276" s="824"/>
      <c r="P276" s="824"/>
      <c r="Q276" s="824">
        <f ca="1">Q268*2</f>
        <v>0</v>
      </c>
      <c r="R276" s="1667"/>
      <c r="S276" s="1667"/>
      <c r="T276" s="824">
        <f ca="1">T268*2</f>
        <v>0</v>
      </c>
      <c r="U276" s="1667"/>
      <c r="V276" s="1667"/>
      <c r="W276" s="824">
        <f ca="1">W268*2</f>
        <v>0</v>
      </c>
      <c r="X276" s="1478"/>
      <c r="Y276" s="36"/>
      <c r="Z276" s="36"/>
      <c r="AA276" s="36"/>
      <c r="AB276" s="36"/>
      <c r="AC276" s="36"/>
      <c r="AD276" s="36"/>
      <c r="AE276" s="36"/>
      <c r="AF276" s="36"/>
      <c r="AG276" s="36"/>
      <c r="AH276" s="36"/>
      <c r="AI276" s="36"/>
      <c r="AJ276" s="36"/>
      <c r="AK276" s="36"/>
      <c r="AL276" s="36"/>
      <c r="AM276" s="36"/>
      <c r="AN276" s="36"/>
    </row>
    <row r="277" spans="6:40" ht="15" customHeight="1" outlineLevel="1">
      <c r="F277" s="52"/>
      <c r="G277" s="52" t="s">
        <v>145</v>
      </c>
      <c r="H277" s="822"/>
      <c r="I277" s="822"/>
      <c r="J277" s="822"/>
      <c r="K277" s="822">
        <f ca="1">IFERROR(MAX(K268,ROUNDUP(((K276*INDEX(INDIRECT("'"&amp;$H$3&amp;"'!$H$43:$H$78"),MATCH(INDIRECT("'"&amp;$H$3&amp;"'!K200")&amp;"Average duration (hrs) per trip",INDIRECT("'"&amp;$H$3&amp;"'!$F$43:$F$78"),0)))+(K268*((1/60)*(INDIRECT("'"&amp;$H$3&amp;"'!K213")+INDIRECT("'"&amp;$H$3&amp;"'!$H$19")*(INDIRECT("'"&amp;$H$3&amp;"'!K214")+(INDIRECT("'"&amp;$H$3&amp;"'!K215")*('2_Outputs'!K$52/INDIRECT("'"&amp;$H$3&amp;"'!K$96")/INDIRECT("'"&amp;$H$3&amp;"'!$H$19"))))))))/INDIRECT("'"&amp;$H$3&amp;"'!$H$10"),0)),0)</f>
        <v>0</v>
      </c>
      <c r="L277" s="822"/>
      <c r="M277" s="822"/>
      <c r="N277" s="822">
        <f ca="1">IFERROR(MAX(N268,ROUNDUP(((N276*INDEX(INDIRECT("'"&amp;$H$3&amp;"'!$H$43:$H$78"),MATCH(INDIRECT("'"&amp;$H$3&amp;"'!N200")&amp;"Average duration (hrs) per trip",INDIRECT("'"&amp;$H$3&amp;"'!$F$43:$F$78"),0)))+(N268*((1/60)*(INDIRECT("'"&amp;$H$3&amp;"'!N213")+INDIRECT("'"&amp;$H$3&amp;"'!$H$19")*(INDIRECT("'"&amp;$H$3&amp;"'!N214")+(INDIRECT("'"&amp;$H$3&amp;"'!N215")*('2_Outputs'!N$52/INDIRECT("'"&amp;$H$3&amp;"'!N$96")/INDIRECT("'"&amp;$H$3&amp;"'!$H$19"))))))))/INDIRECT("'"&amp;$H$3&amp;"'!$H$10"),0)),0)</f>
        <v>0</v>
      </c>
      <c r="O277" s="822"/>
      <c r="P277" s="822"/>
      <c r="Q277" s="822">
        <f ca="1">IFERROR(MAX(Q268,ROUNDUP(((Q276*INDEX(INDIRECT("'"&amp;$H$3&amp;"'!$H$43:$H$78"),MATCH(INDIRECT("'"&amp;$H$3&amp;"'!Q200")&amp;"Average duration (hrs) per trip",INDIRECT("'"&amp;$H$3&amp;"'!$F$43:$F$78"),0)))+(Q268*((1/60)*(INDIRECT("'"&amp;$H$3&amp;"'!Q213")+INDIRECT("'"&amp;$H$3&amp;"'!$H$19")*(INDIRECT("'"&amp;$H$3&amp;"'!Q214")+(INDIRECT("'"&amp;$H$3&amp;"'!Q215")*('2_Outputs'!Q$52/INDIRECT("'"&amp;$H$3&amp;"'!Q$96")/INDIRECT("'"&amp;$H$3&amp;"'!$H$19"))))))))/INDIRECT("'"&amp;$H$3&amp;"'!$H$10"),0)),0)</f>
        <v>0</v>
      </c>
      <c r="R277" s="1670"/>
      <c r="S277" s="1670"/>
      <c r="T277" s="822">
        <f ca="1">IFERROR(MAX(T268,ROUNDUP(((T276*INDEX(INDIRECT("'"&amp;$H$3&amp;"'!$H$43:$H$78"),MATCH(INDIRECT("'"&amp;$H$3&amp;"'!T200")&amp;"Average duration (hrs) per trip",INDIRECT("'"&amp;$H$3&amp;"'!$F$43:$F$78"),0)))+(T268*((1/60)*(INDIRECT("'"&amp;$H$3&amp;"'!T213")+INDIRECT("'"&amp;$H$3&amp;"'!$H$19")*(INDIRECT("'"&amp;$H$3&amp;"'!T214")+(INDIRECT("'"&amp;$H$3&amp;"'!T215")*('2_Outputs'!T$52/INDIRECT("'"&amp;$H$3&amp;"'!T$96")/INDIRECT("'"&amp;$H$3&amp;"'!$H$19"))))))))/INDIRECT("'"&amp;$H$3&amp;"'!$H$10"),0)),0)</f>
        <v>0</v>
      </c>
      <c r="U277" s="1670"/>
      <c r="V277" s="1670"/>
      <c r="W277" s="822">
        <f ca="1">IFERROR(MAX(W268,ROUNDUP(((W276*INDEX(INDIRECT("'"&amp;$H$3&amp;"'!$H$43:$H$78"),MATCH(INDIRECT("'"&amp;$H$3&amp;"'!W200")&amp;"Average duration (hrs) per trip",INDIRECT("'"&amp;$H$3&amp;"'!$F$43:$F$78"),0)))+(W268*((1/60)*(INDIRECT("'"&amp;$H$3&amp;"'!W213")+INDIRECT("'"&amp;$H$3&amp;"'!$H$19")*(INDIRECT("'"&amp;$H$3&amp;"'!W214")+(INDIRECT("'"&amp;$H$3&amp;"'!W215")*('2_Outputs'!W$52/INDIRECT("'"&amp;$H$3&amp;"'!W$96")/INDIRECT("'"&amp;$H$3&amp;"'!$H$19"))))))))/INDIRECT("'"&amp;$H$3&amp;"'!$H$10"),0)),0)</f>
        <v>0</v>
      </c>
      <c r="X277" s="1475"/>
      <c r="Y277" s="36"/>
      <c r="Z277" s="36"/>
      <c r="AA277" s="36"/>
      <c r="AB277" s="36"/>
      <c r="AC277" s="36"/>
      <c r="AD277" s="36"/>
      <c r="AE277" s="36"/>
      <c r="AF277" s="36"/>
      <c r="AG277" s="36"/>
      <c r="AH277" s="36"/>
      <c r="AI277" s="36"/>
      <c r="AJ277" s="36"/>
      <c r="AK277" s="36"/>
      <c r="AL277" s="36"/>
      <c r="AM277" s="36"/>
      <c r="AN277" s="36"/>
    </row>
    <row r="278" spans="6:40" ht="15" customHeight="1" outlineLevel="1">
      <c r="F278" s="1664" t="s">
        <v>148</v>
      </c>
      <c r="G278" s="1664"/>
      <c r="H278" s="1671"/>
      <c r="I278" s="1671"/>
      <c r="J278" s="1671"/>
      <c r="K278" s="1671"/>
      <c r="L278" s="1671"/>
      <c r="M278" s="1671"/>
      <c r="N278" s="1671"/>
      <c r="O278" s="1671"/>
      <c r="P278" s="1671"/>
      <c r="Q278" s="1671"/>
      <c r="R278" s="1672"/>
      <c r="S278" s="1672"/>
      <c r="T278" s="1671"/>
      <c r="U278" s="1672"/>
      <c r="V278" s="1672"/>
      <c r="W278" s="1671"/>
      <c r="X278" s="1479"/>
      <c r="Y278" s="36"/>
      <c r="Z278" s="36"/>
      <c r="AA278" s="36"/>
      <c r="AB278" s="36"/>
      <c r="AC278" s="36"/>
      <c r="AD278" s="36"/>
      <c r="AE278" s="36"/>
      <c r="AF278" s="36"/>
      <c r="AG278" s="36"/>
      <c r="AH278" s="36"/>
      <c r="AI278" s="36"/>
      <c r="AJ278" s="36"/>
      <c r="AK278" s="242"/>
      <c r="AL278" s="36"/>
      <c r="AM278" s="36"/>
      <c r="AN278" s="36"/>
    </row>
    <row r="279" spans="6:40" ht="15" customHeight="1" outlineLevel="1">
      <c r="F279" s="86"/>
      <c r="G279" s="51" t="s">
        <v>151</v>
      </c>
      <c r="H279" s="826"/>
      <c r="I279" s="826"/>
      <c r="J279" s="826"/>
      <c r="K279" s="836">
        <f ca="1">IFERROR(IF(COUNTIF(INDIRECT("'"&amp;$H$3&amp;"'!K200"),"Public Transport*")&lt;1,ROUND(INDIRECT("'"&amp;$H$3&amp;"'!K$95")*INDIRECT("'"&amp;$H$3&amp;"'!K199"),0),0),0)</f>
        <v>0</v>
      </c>
      <c r="L279" s="826"/>
      <c r="M279" s="826"/>
      <c r="N279" s="836">
        <f ca="1">IFERROR(IF(COUNTIF(INDIRECT("'"&amp;$H$3&amp;"'!N200"),"Public Transport*")&lt;1,ROUND(INDIRECT("'"&amp;$H$3&amp;"'!N$95")*INDIRECT("'"&amp;$H$3&amp;"'!N199"),0),0),0)</f>
        <v>345</v>
      </c>
      <c r="O279" s="826"/>
      <c r="P279" s="826"/>
      <c r="Q279" s="826">
        <f ca="1">IFERROR(IF(COUNTIF(INDIRECT("'"&amp;$H$3&amp;"'!Q200"),"Public Transport*")&lt;1,ROUND(INDIRECT("'"&amp;$H$3&amp;"'!Q$95")*INDIRECT("'"&amp;$H$3&amp;"'!Q199"),0),0),0)</f>
        <v>0</v>
      </c>
      <c r="R279" s="1672"/>
      <c r="S279" s="1672"/>
      <c r="T279" s="826">
        <f ca="1">IFERROR(IF(COUNTIF(INDIRECT("'"&amp;$H$3&amp;"'!T200"),"Public Transport*")&lt;1,ROUND(INDIRECT("'"&amp;$H$3&amp;"'!T$95")*INDIRECT("'"&amp;$H$3&amp;"'!T199"),0),0),0)</f>
        <v>0</v>
      </c>
      <c r="U279" s="1672"/>
      <c r="V279" s="1672"/>
      <c r="W279" s="826">
        <f ca="1">IFERROR(IF(COUNTIF(INDIRECT("'"&amp;$H$3&amp;"'!W200"),"Public Transport*")&lt;1,ROUND(INDIRECT("'"&amp;$H$3&amp;"'!W$95")*INDIRECT("'"&amp;$H$3&amp;"'!W199"),0),0),0)</f>
        <v>0</v>
      </c>
      <c r="X279" s="1480"/>
      <c r="Y279" s="36"/>
      <c r="Z279" s="36"/>
      <c r="AA279" s="36"/>
      <c r="AB279" s="36"/>
      <c r="AC279" s="36"/>
      <c r="AD279" s="36"/>
      <c r="AE279" s="36"/>
      <c r="AF279" s="36"/>
      <c r="AG279" s="36"/>
      <c r="AH279" s="36"/>
      <c r="AI279" s="36"/>
      <c r="AJ279" s="36"/>
      <c r="AK279" s="242"/>
      <c r="AL279" s="36"/>
      <c r="AM279" s="36"/>
      <c r="AN279" s="36"/>
    </row>
    <row r="280" spans="6:40" ht="15" customHeight="1" outlineLevel="1">
      <c r="F280" s="52"/>
      <c r="G280" s="51" t="s">
        <v>85</v>
      </c>
      <c r="H280" s="827"/>
      <c r="I280" s="827"/>
      <c r="J280" s="827"/>
      <c r="K280" s="837">
        <f ca="1">IFERROR(IF(INDIRECT("'"&amp;$H$3&amp;"'!K208")="Route-based",K285*K286,IF(INDIRECT("'"&amp;$H$3&amp;"'!K208")="Point-to-point",K290*K291,0)),0)</f>
        <v>0</v>
      </c>
      <c r="L280" s="827"/>
      <c r="M280" s="827"/>
      <c r="N280" s="837">
        <f ca="1">IFERROR(IF(INDIRECT("'"&amp;$H$3&amp;"'!N208")="Route-based",N285*N286,IF(INDIRECT("'"&amp;$H$3&amp;"'!N208")="Point-to-point",N290*N291,0)),0)</f>
        <v>241183.33871043762</v>
      </c>
      <c r="O280" s="827"/>
      <c r="P280" s="827"/>
      <c r="Q280" s="827">
        <f ca="1">IFERROR(IF(INDIRECT("'"&amp;$H$3&amp;"'!Q208")="Route-based",Q285*Q286,IF(INDIRECT("'"&amp;$H$3&amp;"'!Q208")="Point-to-point",Q290*Q291,0)),0)</f>
        <v>0</v>
      </c>
      <c r="R280" s="1670"/>
      <c r="S280" s="1670"/>
      <c r="T280" s="827">
        <f ca="1">IFERROR(IF(INDIRECT("'"&amp;$H$3&amp;"'!T208")="Route-based",T285*T286,IF(INDIRECT("'"&amp;$H$3&amp;"'!T208")="Point-to-point",T290*T291,0)),0)</f>
        <v>0</v>
      </c>
      <c r="U280" s="1670"/>
      <c r="V280" s="1670"/>
      <c r="W280" s="827">
        <f ca="1">IFERROR(IF(INDIRECT("'"&amp;$H$3&amp;"'!W208")="Route-based",W285*W286,IF(INDIRECT("'"&amp;$H$3&amp;"'!W208")="Point-to-point",W290*W291,0)),0)</f>
        <v>0</v>
      </c>
      <c r="X280" s="1481"/>
      <c r="Y280" s="36"/>
      <c r="Z280" s="36"/>
      <c r="AA280" s="36"/>
      <c r="AB280" s="36"/>
      <c r="AC280" s="36"/>
      <c r="AD280" s="36"/>
      <c r="AE280" s="36" t="s">
        <v>202</v>
      </c>
      <c r="AF280" s="36"/>
      <c r="AG280" s="36"/>
      <c r="AH280" s="36"/>
      <c r="AI280" s="36"/>
      <c r="AJ280" s="36"/>
      <c r="AK280" s="242"/>
      <c r="AL280" s="36"/>
      <c r="AM280" s="36"/>
      <c r="AN280" s="36"/>
    </row>
    <row r="281" spans="6:40" ht="15" customHeight="1" outlineLevel="1">
      <c r="F281" s="52"/>
      <c r="G281" s="51" t="s">
        <v>59</v>
      </c>
      <c r="H281" s="828"/>
      <c r="I281" s="828"/>
      <c r="J281" s="828"/>
      <c r="K281" s="837">
        <f ca="1">IFERROR(IF(INDIRECT("'"&amp;$H$3&amp;"'!K208")="Route-based",ROUND(K285*K287/INDIRECT("'"&amp;$H$3&amp;"'!$H$10"),0),IF(INDIRECT("'"&amp;$H$3&amp;"'!K208")="Point-to-point",ROUND(((K279*INDIRECT("'"&amp;$H$3&amp;"'!K$96")*((1/60)*(INDIRECT("'"&amp;$H$3&amp;"'!K213")+INDIRECT("'"&amp;$H$3&amp;"'!$H$19")*(INDIRECT("'"&amp;$H$3&amp;"'!K214")+(INDIRECT("'"&amp;$H$3&amp;"'!K215")*('2_Outputs'!K$52/INDIRECT("'"&amp;$H$3&amp;"'!K$96")/INDIRECT("'"&amp;$H$3&amp;"'!$H$19")))))))+(K280/INDIRECT("'"&amp;$H$3&amp;"'!K217")))/INDIRECT("'"&amp;$H$3&amp;"'!$H$10"),0),0)),0)</f>
        <v>0</v>
      </c>
      <c r="L281" s="828"/>
      <c r="M281" s="828"/>
      <c r="N281" s="837">
        <f ca="1">IFERROR(IF(INDIRECT("'"&amp;$H$3&amp;"'!N208")="Route-based",ROUND(N285*N287/INDIRECT("'"&amp;$H$3&amp;"'!$H$10"),0),IF(INDIRECT("'"&amp;$H$3&amp;"'!N208")="Point-to-point",ROUND(((N279*INDIRECT("'"&amp;$H$3&amp;"'!N$96")*((1/60)*(INDIRECT("'"&amp;$H$3&amp;"'!N213")+INDIRECT("'"&amp;$H$3&amp;"'!$H$19")*(INDIRECT("'"&amp;$H$3&amp;"'!N214")+(INDIRECT("'"&amp;$H$3&amp;"'!N215")*('2_Outputs'!N$52/INDIRECT("'"&amp;$H$3&amp;"'!N$96")/INDIRECT("'"&amp;$H$3&amp;"'!$H$19")))))))+(N280/INDIRECT("'"&amp;$H$3&amp;"'!N217")))/INDIRECT("'"&amp;$H$3&amp;"'!$H$10"),0),0)),0)</f>
        <v>941</v>
      </c>
      <c r="O281" s="828"/>
      <c r="P281" s="828"/>
      <c r="Q281" s="828">
        <f ca="1">IFERROR(IF(INDIRECT("'"&amp;$H$3&amp;"'!Q208")="Route-based",ROUND(Q285*Q287/INDIRECT("'"&amp;$H$3&amp;"'!$H$10"),0),IF(INDIRECT("'"&amp;$H$3&amp;"'!Q208")="Point-to-point",ROUND(((Q279*INDIRECT("'"&amp;$H$3&amp;"'!Q$96")*((1/60)*(INDIRECT("'"&amp;$H$3&amp;"'!Q213")+INDIRECT("'"&amp;$H$3&amp;"'!$H$19")*(INDIRECT("'"&amp;$H$3&amp;"'!Q214")+(INDIRECT("'"&amp;$H$3&amp;"'!Q215")*('2_Outputs'!Q$52/INDIRECT("'"&amp;$H$3&amp;"'!Q$96")/INDIRECT("'"&amp;$H$3&amp;"'!$H$19")))))))+(Q280/INDIRECT("'"&amp;$H$3&amp;"'!Q217")))/INDIRECT("'"&amp;$H$3&amp;"'!$H$10"),0),0)),0)</f>
        <v>0</v>
      </c>
      <c r="R281" s="828"/>
      <c r="S281" s="828"/>
      <c r="T281" s="828">
        <f ca="1">IFERROR(IF(INDIRECT("'"&amp;$H$3&amp;"'!T208")="Route-based",ROUND(T285*T287/INDIRECT("'"&amp;$H$3&amp;"'!$H$10"),0),IF(INDIRECT("'"&amp;$H$3&amp;"'!T208")="Point-to-point",ROUND(((T279*INDIRECT("'"&amp;$H$3&amp;"'!T$96")*((1/60)*(INDIRECT("'"&amp;$H$3&amp;"'!T213")+INDIRECT("'"&amp;$H$3&amp;"'!$H$19")*(INDIRECT("'"&amp;$H$3&amp;"'!T214")+(INDIRECT("'"&amp;$H$3&amp;"'!T215")*('2_Outputs'!T$52/INDIRECT("'"&amp;$H$3&amp;"'!T$96")/INDIRECT("'"&amp;$H$3&amp;"'!$H$19")))))))+(T280/INDIRECT("'"&amp;$H$3&amp;"'!T217")))/INDIRECT("'"&amp;$H$3&amp;"'!$H$10"),0),0)),0)</f>
        <v>0</v>
      </c>
      <c r="U281" s="828"/>
      <c r="V281" s="828"/>
      <c r="W281" s="828">
        <f ca="1">IFERROR(IF(INDIRECT("'"&amp;$H$3&amp;"'!W208")="Route-based",ROUND(W285*W287/INDIRECT("'"&amp;$H$3&amp;"'!$H$10"),0),IF(INDIRECT("'"&amp;$H$3&amp;"'!W208")="Point-to-point",ROUND(((W279*INDIRECT("'"&amp;$H$3&amp;"'!W$96")*((1/60)*(INDIRECT("'"&amp;$H$3&amp;"'!W213")+INDIRECT("'"&amp;$H$3&amp;"'!$H$19")*(INDIRECT("'"&amp;$H$3&amp;"'!W214")+(INDIRECT("'"&amp;$H$3&amp;"'!W215")*('2_Outputs'!W$52/INDIRECT("'"&amp;$H$3&amp;"'!W$96")/INDIRECT("'"&amp;$H$3&amp;"'!$H$19")))))))+(W280/INDIRECT("'"&amp;$H$3&amp;"'!W217")))/INDIRECT("'"&amp;$H$3&amp;"'!$H$10"),0),0)),0)</f>
        <v>0</v>
      </c>
      <c r="X281" s="1482"/>
      <c r="Y281" s="36"/>
      <c r="Z281" s="36"/>
      <c r="AA281" s="36"/>
      <c r="AB281" s="36"/>
      <c r="AC281" s="36"/>
      <c r="AD281" s="36"/>
      <c r="AE281" s="36" t="s">
        <v>202</v>
      </c>
      <c r="AF281" s="36"/>
      <c r="AG281" s="36"/>
      <c r="AH281" s="36"/>
      <c r="AI281" s="36"/>
      <c r="AJ281" s="36"/>
      <c r="AK281" s="242"/>
      <c r="AL281" s="36"/>
      <c r="AM281" s="36"/>
      <c r="AN281" s="36"/>
    </row>
    <row r="282" spans="6:40" ht="15" customHeight="1" outlineLevel="1">
      <c r="F282" s="52"/>
      <c r="G282" s="51" t="s">
        <v>86</v>
      </c>
      <c r="H282" s="830"/>
      <c r="I282" s="830"/>
      <c r="J282" s="830"/>
      <c r="K282" s="839">
        <f ca="1">IFERROR(IF(INDIRECT("'"&amp;$H$3&amp;"'!K208")="Route-based",IF(INDIRECT("'"&amp;$H$3&amp;"'!K205")="Yes",K173, IF(INDIRECT("'"&amp;$H$3&amp;"'!K205")="No",K281/(INDIRECT("'"&amp;$H$3&amp;"'!$H$9")*INDIRECT("'"&amp;$H$3&amp;"'!K204")))),
IF(INDIRECT("'"&amp;$H$3&amp;"'!K208")="Point-to-point",IF(INDIRECT("'"&amp;$H$3&amp;"'!K205")="Yes",K173,IF(INDIRECT("'"&amp;$H$3&amp;"'!K205")="No",K281/(INDIRECT("'"&amp;$H$3&amp;"'!$H$9")*INDIRECT("'"&amp;$H$3&amp;"'!K204")))),0)),0)</f>
        <v>0</v>
      </c>
      <c r="L282" s="830"/>
      <c r="M282" s="830"/>
      <c r="N282" s="839">
        <f ca="1">IFERROR(IF(INDIRECT("'"&amp;$H$3&amp;"'!N208")="Route-based",IF(INDIRECT("'"&amp;$H$3&amp;"'!N205")="Yes",N173, IF(INDIRECT("'"&amp;$H$3&amp;"'!N205")="No",N281/(INDIRECT("'"&amp;$H$3&amp;"'!$H$9")*INDIRECT("'"&amp;$H$3&amp;"'!N204")))),
IF(INDIRECT("'"&amp;$H$3&amp;"'!N208")="Point-to-point",IF(INDIRECT("'"&amp;$H$3&amp;"'!N205")="Yes",N173,IF(INDIRECT("'"&amp;$H$3&amp;"'!N205")="No",N281/(INDIRECT("'"&amp;$H$3&amp;"'!$H$9")*INDIRECT("'"&amp;$H$3&amp;"'!N204")))),0)),0)</f>
        <v>0.78416666666666668</v>
      </c>
      <c r="O282" s="830"/>
      <c r="P282" s="830"/>
      <c r="Q282" s="830">
        <f ca="1">IFERROR(IF(INDIRECT("'"&amp;$H$3&amp;"'!Q208")="Route-based",IF(INDIRECT("'"&amp;$H$3&amp;"'!Q205")="Yes",Q173, IF(INDIRECT("'"&amp;$H$3&amp;"'!Q205")="No",Q281/(INDIRECT("'"&amp;$H$3&amp;"'!$H$9")*INDIRECT("'"&amp;$H$3&amp;"'!Q204")))),
IF(INDIRECT("'"&amp;$H$3&amp;"'!Q208")="Point-to-point",IF(INDIRECT("'"&amp;$H$3&amp;"'!Q205")="Yes",Q173,IF(INDIRECT("'"&amp;$H$3&amp;"'!Q205")="No",Q281/(INDIRECT("'"&amp;$H$3&amp;"'!$H$9")*INDIRECT("'"&amp;$H$3&amp;"'!Q204")))),0)),0)</f>
        <v>0</v>
      </c>
      <c r="R282" s="830"/>
      <c r="S282" s="830"/>
      <c r="T282" s="830">
        <f ca="1">IFERROR(IF(INDIRECT("'"&amp;$H$3&amp;"'!T208")="Route-based",IF(INDIRECT("'"&amp;$H$3&amp;"'!T205")="Yes",T173, IF(INDIRECT("'"&amp;$H$3&amp;"'!T205")="No",T281/(INDIRECT("'"&amp;$H$3&amp;"'!$H$9")*INDIRECT("'"&amp;$H$3&amp;"'!T204")))),
IF(INDIRECT("'"&amp;$H$3&amp;"'!T208")="Point-to-point",IF(INDIRECT("'"&amp;$H$3&amp;"'!T205")="Yes",T173,IF(INDIRECT("'"&amp;$H$3&amp;"'!T205")="No",T281/(INDIRECT("'"&amp;$H$3&amp;"'!$H$9")*INDIRECT("'"&amp;$H$3&amp;"'!T204")))),0)),0)</f>
        <v>0</v>
      </c>
      <c r="U282" s="830"/>
      <c r="V282" s="830"/>
      <c r="W282" s="830">
        <f ca="1">IFERROR(IF(INDIRECT("'"&amp;$H$3&amp;"'!W208")="Route-based",IF(INDIRECT("'"&amp;$H$3&amp;"'!W205")="Yes",W173, IF(INDIRECT("'"&amp;$H$3&amp;"'!W205")="No",W281/(INDIRECT("'"&amp;$H$3&amp;"'!$H$9")*INDIRECT("'"&amp;$H$3&amp;"'!W204")))),
IF(INDIRECT("'"&amp;$H$3&amp;"'!W208")="Point-to-point",IF(INDIRECT("'"&amp;$H$3&amp;"'!W205")="Yes",W173,IF(INDIRECT("'"&amp;$H$3&amp;"'!W205")="No",W281/(INDIRECT("'"&amp;$H$3&amp;"'!$H$9")*INDIRECT("'"&amp;$H$3&amp;"'!W204")))),0)),0)</f>
        <v>0</v>
      </c>
      <c r="X282" s="1477"/>
      <c r="Y282" s="36"/>
      <c r="Z282" s="36"/>
      <c r="AA282" s="36"/>
      <c r="AB282" s="36"/>
      <c r="AC282" s="36"/>
      <c r="AD282" s="36"/>
      <c r="AE282" s="36" t="s">
        <v>202</v>
      </c>
      <c r="AF282" s="36"/>
      <c r="AG282" s="36"/>
      <c r="AH282" s="36"/>
      <c r="AI282" s="36"/>
      <c r="AJ282" s="36"/>
      <c r="AK282" s="36" t="s">
        <v>191</v>
      </c>
      <c r="AL282" s="36"/>
      <c r="AM282" s="36"/>
      <c r="AN282" s="36"/>
    </row>
    <row r="283" spans="6:40" ht="15" customHeight="1" outlineLevel="1" collapsed="1">
      <c r="F283" s="52"/>
      <c r="G283" s="1669" t="s">
        <v>133</v>
      </c>
      <c r="H283" s="829"/>
      <c r="I283" s="829"/>
      <c r="J283" s="829"/>
      <c r="K283" s="842"/>
      <c r="L283" s="829"/>
      <c r="M283" s="829"/>
      <c r="N283" s="842"/>
      <c r="O283" s="829"/>
      <c r="P283" s="829"/>
      <c r="Q283" s="829"/>
      <c r="R283" s="1670"/>
      <c r="S283" s="1670"/>
      <c r="T283" s="829"/>
      <c r="U283" s="1670"/>
      <c r="V283" s="1670"/>
      <c r="W283" s="829"/>
      <c r="X283" s="1477"/>
      <c r="Y283" s="36"/>
      <c r="Z283" s="36"/>
      <c r="AA283" s="36"/>
      <c r="AB283" s="36"/>
      <c r="AC283" s="36"/>
      <c r="AD283" s="36"/>
      <c r="AE283" s="36"/>
      <c r="AF283" s="36"/>
      <c r="AG283" s="36"/>
      <c r="AH283" s="36"/>
      <c r="AI283" s="36"/>
      <c r="AJ283" s="36"/>
      <c r="AK283" s="36"/>
      <c r="AL283" s="36"/>
      <c r="AM283" s="36"/>
      <c r="AN283" s="36"/>
    </row>
    <row r="284" spans="6:40" ht="15" customHeight="1" outlineLevel="1">
      <c r="F284" s="52"/>
      <c r="G284" s="52" t="s">
        <v>129</v>
      </c>
      <c r="H284" s="826"/>
      <c r="I284" s="826"/>
      <c r="J284" s="826"/>
      <c r="K284" s="836">
        <f ca="1">IFERROR(((INDIRECT("'"&amp;$H$3&amp;"'!K209")*INDIRECT("'"&amp;$H$3&amp;"'!$H$10"))-(2*INDIRECT("'"&amp;$H$3&amp;"'!K$98")/INDIRECT("'"&amp;$H$3&amp;"'!K217"))+(INDIRECT("'"&amp;$H$3&amp;"'!K$99")/INDIRECT("'"&amp;$H$3&amp;"'!K216")))/(((1/60)*(INDIRECT("'"&amp;$H$3&amp;"'!K213")+INDIRECT("'"&amp;$H$3&amp;"'!$H$19")*(INDIRECT("'"&amp;$H$3&amp;"'!K214")+(INDIRECT("'"&amp;$H$3&amp;"'!K215")*('2_Outputs'!K$52/INDIRECT("'"&amp;$H$3&amp;"'!K$96")/INDIRECT("'"&amp;$H$3&amp;"'!$H$19"))))))+(INDIRECT("'"&amp;$H$3&amp;"'!K$99")/INDIRECT("'"&amp;$H$3&amp;"'!K216"))),0)</f>
        <v>0</v>
      </c>
      <c r="L284" s="826"/>
      <c r="M284" s="826"/>
      <c r="N284" s="836">
        <f ca="1">IFERROR(((INDIRECT("'"&amp;$H$3&amp;"'!N209")*INDIRECT("'"&amp;$H$3&amp;"'!$H$10"))-(2*INDIRECT("'"&amp;$H$3&amp;"'!N$98")/INDIRECT("'"&amp;$H$3&amp;"'!N217"))+(INDIRECT("'"&amp;$H$3&amp;"'!N$99")/INDIRECT("'"&amp;$H$3&amp;"'!N216")))/(((1/60)*(INDIRECT("'"&amp;$H$3&amp;"'!N213")+INDIRECT("'"&amp;$H$3&amp;"'!$H$19")*(INDIRECT("'"&amp;$H$3&amp;"'!N214")+(INDIRECT("'"&amp;$H$3&amp;"'!N215")*('2_Outputs'!N$52/INDIRECT("'"&amp;$H$3&amp;"'!N$96")/INDIRECT("'"&amp;$H$3&amp;"'!$H$19"))))))+(INDIRECT("'"&amp;$H$3&amp;"'!N$99")/INDIRECT("'"&amp;$H$3&amp;"'!N216"))),0)</f>
        <v>1.4796746854959169</v>
      </c>
      <c r="O284" s="826"/>
      <c r="P284" s="826"/>
      <c r="Q284" s="826">
        <f ca="1">IFERROR(((INDIRECT("'"&amp;$H$3&amp;"'!Q209")*INDIRECT("'"&amp;$H$3&amp;"'!$H$10"))-(2*INDIRECT("'"&amp;$H$3&amp;"'!Q$98")/INDIRECT("'"&amp;$H$3&amp;"'!Q217"))+(INDIRECT("'"&amp;$H$3&amp;"'!Q$99")/INDIRECT("'"&amp;$H$3&amp;"'!Q216")))/(((1/60)*(INDIRECT("'"&amp;$H$3&amp;"'!Q213")+INDIRECT("'"&amp;$H$3&amp;"'!$H$19")*(INDIRECT("'"&amp;$H$3&amp;"'!Q214")+(INDIRECT("'"&amp;$H$3&amp;"'!Q215")*('2_Outputs'!Q$52/INDIRECT("'"&amp;$H$3&amp;"'!Q$96")/INDIRECT("'"&amp;$H$3&amp;"'!$H$19"))))))+(INDIRECT("'"&amp;$H$3&amp;"'!Q$99")/INDIRECT("'"&amp;$H$3&amp;"'!Q216"))),0)</f>
        <v>0</v>
      </c>
      <c r="R284" s="826"/>
      <c r="S284" s="826"/>
      <c r="T284" s="826">
        <f ca="1">IFERROR(((INDIRECT("'"&amp;$H$3&amp;"'!T209")*INDIRECT("'"&amp;$H$3&amp;"'!$H$10"))-(2*INDIRECT("'"&amp;$H$3&amp;"'!T$98")/INDIRECT("'"&amp;$H$3&amp;"'!T217"))+(INDIRECT("'"&amp;$H$3&amp;"'!T$99")/INDIRECT("'"&amp;$H$3&amp;"'!T216")))/(((1/60)*(INDIRECT("'"&amp;$H$3&amp;"'!T213")+INDIRECT("'"&amp;$H$3&amp;"'!$H$19")*(INDIRECT("'"&amp;$H$3&amp;"'!T214")+(INDIRECT("'"&amp;$H$3&amp;"'!T215")*('2_Outputs'!T$52/INDIRECT("'"&amp;$H$3&amp;"'!T$96")/INDIRECT("'"&amp;$H$3&amp;"'!$H$19"))))))+(INDIRECT("'"&amp;$H$3&amp;"'!T$99")/INDIRECT("'"&amp;$H$3&amp;"'!T216"))),0)</f>
        <v>0</v>
      </c>
      <c r="U284" s="826"/>
      <c r="V284" s="826"/>
      <c r="W284" s="826">
        <f ca="1">IFERROR(((INDIRECT("'"&amp;$H$3&amp;"'!W209")*INDIRECT("'"&amp;$H$3&amp;"'!$H$10"))-(2*INDIRECT("'"&amp;$H$3&amp;"'!W$98")/INDIRECT("'"&amp;$H$3&amp;"'!W217"))+(INDIRECT("'"&amp;$H$3&amp;"'!W$99")/INDIRECT("'"&amp;$H$3&amp;"'!W216")))/(((1/60)*(INDIRECT("'"&amp;$H$3&amp;"'!W213")+INDIRECT("'"&amp;$H$3&amp;"'!$H$19")*(INDIRECT("'"&amp;$H$3&amp;"'!W214")+(INDIRECT("'"&amp;$H$3&amp;"'!W215")*('2_Outputs'!W$52/INDIRECT("'"&amp;$H$3&amp;"'!W$96")/INDIRECT("'"&amp;$H$3&amp;"'!$H$19"))))))+(INDIRECT("'"&amp;$H$3&amp;"'!W$99")/INDIRECT("'"&amp;$H$3&amp;"'!W216"))),0)</f>
        <v>0</v>
      </c>
      <c r="X284" s="1480"/>
      <c r="Y284" s="36"/>
      <c r="Z284" s="36"/>
      <c r="AA284" s="36"/>
      <c r="AB284" s="36"/>
      <c r="AC284" s="36"/>
      <c r="AD284" s="36"/>
      <c r="AE284" s="36"/>
      <c r="AF284" s="36"/>
      <c r="AG284" s="36"/>
      <c r="AH284" s="36"/>
      <c r="AI284" s="36"/>
      <c r="AJ284" s="36"/>
      <c r="AK284" s="36"/>
      <c r="AL284" s="36"/>
      <c r="AM284" s="36"/>
      <c r="AN284" s="36"/>
    </row>
    <row r="285" spans="6:40" ht="15" customHeight="1" outlineLevel="1">
      <c r="F285" s="52"/>
      <c r="G285" s="52" t="s">
        <v>206</v>
      </c>
      <c r="H285" s="826"/>
      <c r="I285" s="826"/>
      <c r="J285" s="826"/>
      <c r="K285" s="836">
        <f ca="1">IFERROR(ROUND(K279*INDIRECT("'"&amp;$H$3&amp;"'!K$96")/K284,0),0)</f>
        <v>0</v>
      </c>
      <c r="L285" s="826"/>
      <c r="M285" s="826"/>
      <c r="N285" s="836">
        <f ca="1">IFERROR(ROUND(N279*INDIRECT("'"&amp;$H$3&amp;"'!N$96")/N284,0),0)</f>
        <v>933</v>
      </c>
      <c r="O285" s="826"/>
      <c r="P285" s="826"/>
      <c r="Q285" s="826">
        <f ca="1">IFERROR(ROUND(Q279*INDIRECT("'"&amp;$H$3&amp;"'!Q$96")/Q284,0),0)</f>
        <v>0</v>
      </c>
      <c r="R285" s="826"/>
      <c r="S285" s="826"/>
      <c r="T285" s="826">
        <f ca="1">IFERROR(ROUND(T279*INDIRECT("'"&amp;$H$3&amp;"'!T$96")/T284,0),0)</f>
        <v>0</v>
      </c>
      <c r="U285" s="826"/>
      <c r="V285" s="826"/>
      <c r="W285" s="826">
        <f ca="1">IFERROR(ROUND(W279*INDIRECT("'"&amp;$H$3&amp;"'!W$96")/W284,0),0)</f>
        <v>0</v>
      </c>
      <c r="X285" s="1480"/>
      <c r="Y285" s="36"/>
      <c r="Z285" s="36"/>
      <c r="AA285" s="36"/>
      <c r="AB285" s="36"/>
      <c r="AC285" s="36"/>
      <c r="AD285" s="36"/>
      <c r="AE285" s="36"/>
      <c r="AF285" s="36"/>
      <c r="AG285" s="36"/>
      <c r="AH285" s="36"/>
      <c r="AI285" s="36"/>
      <c r="AJ285" s="36"/>
      <c r="AK285" s="242"/>
      <c r="AL285" s="36"/>
      <c r="AM285" s="36"/>
      <c r="AN285" s="36"/>
    </row>
    <row r="286" spans="6:40" ht="15" customHeight="1" outlineLevel="1">
      <c r="F286" s="52"/>
      <c r="G286" s="52" t="s">
        <v>87</v>
      </c>
      <c r="H286" s="826"/>
      <c r="I286" s="826"/>
      <c r="J286" s="826"/>
      <c r="K286" s="836">
        <f ca="1">IFERROR(IF(K279=0,0,(2*INDIRECT("'"&amp;$H$3&amp;"'!K$98"))+((MAX(K284, 1)-1)*INDIRECT("'"&amp;$H$3&amp;"'!K$99"))),0)</f>
        <v>0</v>
      </c>
      <c r="L286" s="826"/>
      <c r="M286" s="826"/>
      <c r="N286" s="836">
        <f ca="1">IFERROR(IF(N279=0,0,(2*INDIRECT("'"&amp;$H$3&amp;"'!N$98"))+((MAX(N284, 1)-1)*INDIRECT("'"&amp;$H$3&amp;"'!N$99"))),0)</f>
        <v>258.50304256209819</v>
      </c>
      <c r="O286" s="826"/>
      <c r="P286" s="826"/>
      <c r="Q286" s="826">
        <f ca="1">IFERROR(IF(Q279=0,0,(2*INDIRECT("'"&amp;$H$3&amp;"'!Q$98"))+((MAX(Q284, 1)-1)*INDIRECT("'"&amp;$H$3&amp;"'!Q$99"))),0)</f>
        <v>0</v>
      </c>
      <c r="R286" s="826"/>
      <c r="S286" s="826"/>
      <c r="T286" s="826">
        <f ca="1">IFERROR(IF(T279=0,0,(2*INDIRECT("'"&amp;$H$3&amp;"'!T$98"))+((MAX(T284, 1)-1)*INDIRECT("'"&amp;$H$3&amp;"'!T$99"))),0)</f>
        <v>0</v>
      </c>
      <c r="U286" s="826"/>
      <c r="V286" s="826"/>
      <c r="W286" s="826">
        <f ca="1">IFERROR(IF(W279=0,0,(2*INDIRECT("'"&amp;$H$3&amp;"'!W$98"))+((MAX(W284, 1)-1)*INDIRECT("'"&amp;$H$3&amp;"'!W$99"))),0)</f>
        <v>0</v>
      </c>
      <c r="X286" s="1480"/>
      <c r="Y286" s="36"/>
      <c r="Z286" s="36"/>
      <c r="AA286" s="36"/>
      <c r="AB286" s="36"/>
      <c r="AC286" s="36"/>
      <c r="AD286" s="36"/>
      <c r="AE286" s="36"/>
      <c r="AF286" s="36"/>
      <c r="AG286" s="36"/>
      <c r="AH286" s="36"/>
      <c r="AI286" s="36"/>
      <c r="AJ286" s="36"/>
      <c r="AK286" s="242"/>
      <c r="AL286" s="36"/>
      <c r="AM286" s="36"/>
      <c r="AN286" s="36"/>
    </row>
    <row r="287" spans="6:40" ht="15" customHeight="1" outlineLevel="1">
      <c r="F287" s="52"/>
      <c r="G287" s="51" t="s">
        <v>203</v>
      </c>
      <c r="H287" s="826"/>
      <c r="I287" s="826"/>
      <c r="J287" s="826"/>
      <c r="K287" s="836">
        <f ca="1">IFERROR((ROUNDUP(K284,1)*((1/60)*(INDIRECT("'"&amp;$H$3&amp;"'!K213")+INDIRECT("'"&amp;$H$3&amp;"'!$H$19")*(INDIRECT("'"&amp;$H$3&amp;"'!K214")+(INDIRECT("'"&amp;$H$3&amp;"'!K215")*('2_Outputs'!K$52/INDIRECT("'"&amp;$H$3&amp;"'!K$96")/INDIRECT("'"&amp;$H$3&amp;"'!$H$19")))))))+((2*INDIRECT("'"&amp;$H$3&amp;"'!K$98"))/INDIRECT("'"&amp;$H$3&amp;"'!K217"))+(((MAX(K284,1)-1)*INDIRECT("'"&amp;$H$3&amp;"'!K$99"))/INDIRECT("'"&amp;$H$3&amp;"'!K216")),0)</f>
        <v>0</v>
      </c>
      <c r="L287" s="826"/>
      <c r="M287" s="826"/>
      <c r="N287" s="836">
        <f ca="1">IFERROR((ROUNDUP(N284,1)*((1/60)*(INDIRECT("'"&amp;$H$3&amp;"'!N213")+INDIRECT("'"&amp;$H$3&amp;"'!$H$19")*(INDIRECT("'"&amp;$H$3&amp;"'!N214")+(INDIRECT("'"&amp;$H$3&amp;"'!N215")*('2_Outputs'!N$52/INDIRECT("'"&amp;$H$3&amp;"'!N$96")/INDIRECT("'"&amp;$H$3&amp;"'!$H$19")))))))+((2*INDIRECT("'"&amp;$H$3&amp;"'!N$98"))/INDIRECT("'"&amp;$H$3&amp;"'!N217"))+(((MAX(N284,1)-1)*INDIRECT("'"&amp;$H$3&amp;"'!N$99"))/INDIRECT("'"&amp;$H$3&amp;"'!N216")),0)</f>
        <v>8.0711386007642911</v>
      </c>
      <c r="O287" s="826"/>
      <c r="P287" s="826"/>
      <c r="Q287" s="826">
        <f ca="1">IFERROR((ROUNDUP(Q284,1)*((1/60)*(INDIRECT("'"&amp;$H$3&amp;"'!Q213")+INDIRECT("'"&amp;$H$3&amp;"'!$H$19")*(INDIRECT("'"&amp;$H$3&amp;"'!Q214")+(INDIRECT("'"&amp;$H$3&amp;"'!Q215")*('2_Outputs'!Q$52/INDIRECT("'"&amp;$H$3&amp;"'!Q$96")/INDIRECT("'"&amp;$H$3&amp;"'!$H$19")))))))+((2*INDIRECT("'"&amp;$H$3&amp;"'!Q$98"))/INDIRECT("'"&amp;$H$3&amp;"'!Q217"))+(((MAX(Q284,1)-1)*INDIRECT("'"&amp;$H$3&amp;"'!Q$99"))/INDIRECT("'"&amp;$H$3&amp;"'!Q216")),0)</f>
        <v>0</v>
      </c>
      <c r="R287" s="826"/>
      <c r="S287" s="826"/>
      <c r="T287" s="826">
        <f ca="1">IFERROR((ROUNDUP(T284,1)*((1/60)*(INDIRECT("'"&amp;$H$3&amp;"'!T213")+INDIRECT("'"&amp;$H$3&amp;"'!$H$19")*(INDIRECT("'"&amp;$H$3&amp;"'!T214")+(INDIRECT("'"&amp;$H$3&amp;"'!T215")*('2_Outputs'!T$52/INDIRECT("'"&amp;$H$3&amp;"'!T$96")/INDIRECT("'"&amp;$H$3&amp;"'!$H$19")))))))+((2*INDIRECT("'"&amp;$H$3&amp;"'!T$98"))/INDIRECT("'"&amp;$H$3&amp;"'!T217"))+(((MAX(T284,1)-1)*INDIRECT("'"&amp;$H$3&amp;"'!T$99"))/INDIRECT("'"&amp;$H$3&amp;"'!T216")),0)</f>
        <v>0</v>
      </c>
      <c r="U287" s="826"/>
      <c r="V287" s="826"/>
      <c r="W287" s="826">
        <f ca="1">IFERROR((ROUNDUP(W284,1)*((1/60)*(INDIRECT("'"&amp;$H$3&amp;"'!W213")+INDIRECT("'"&amp;$H$3&amp;"'!$H$19")*(INDIRECT("'"&amp;$H$3&amp;"'!W214")+(INDIRECT("'"&amp;$H$3&amp;"'!W215")*('2_Outputs'!W$52/INDIRECT("'"&amp;$H$3&amp;"'!W$96")/INDIRECT("'"&amp;$H$3&amp;"'!$H$19")))))))+((2*INDIRECT("'"&amp;$H$3&amp;"'!W$98"))/INDIRECT("'"&amp;$H$3&amp;"'!W217"))+(((MAX(W284,1)-1)*INDIRECT("'"&amp;$H$3&amp;"'!W$99"))/INDIRECT("'"&amp;$H$3&amp;"'!W216")),0)</f>
        <v>0</v>
      </c>
      <c r="X287" s="1483"/>
      <c r="Y287" s="36"/>
      <c r="Z287" s="36"/>
      <c r="AA287" s="36"/>
      <c r="AB287" s="36"/>
      <c r="AC287" s="36"/>
      <c r="AD287" s="36"/>
      <c r="AE287" s="36" t="s">
        <v>205</v>
      </c>
      <c r="AF287" s="36"/>
      <c r="AG287" s="36"/>
      <c r="AH287" s="36"/>
      <c r="AI287" s="36"/>
      <c r="AJ287" s="36"/>
      <c r="AK287" s="242"/>
      <c r="AL287" s="36"/>
      <c r="AM287" s="36"/>
      <c r="AN287" s="36"/>
    </row>
    <row r="288" spans="6:40" ht="15" customHeight="1" outlineLevel="1">
      <c r="F288" s="52"/>
      <c r="G288" s="51" t="s">
        <v>204</v>
      </c>
      <c r="H288" s="826"/>
      <c r="I288" s="826"/>
      <c r="J288" s="826"/>
      <c r="K288" s="836">
        <f ca="1">IFERROR((INDIRECT("'"&amp;$H$3&amp;"'!$H$10")*INDIRECT("'"&amp;$H$3&amp;"'!$H$9")*INDIRECT("'"&amp;$H$3&amp;"'!K204"))/K287,0)</f>
        <v>0</v>
      </c>
      <c r="L288" s="826"/>
      <c r="M288" s="826"/>
      <c r="N288" s="836">
        <f ca="1">IFERROR((INDIRECT("'"&amp;$H$3&amp;"'!$H$10")*INDIRECT("'"&amp;$H$3&amp;"'!$H$9")*INDIRECT("'"&amp;$H$3&amp;"'!N204"))/N287,0)</f>
        <v>1189.4232616809397</v>
      </c>
      <c r="O288" s="826"/>
      <c r="P288" s="826"/>
      <c r="Q288" s="826">
        <f ca="1">IFERROR((INDIRECT("'"&amp;$H$3&amp;"'!$H$10")*INDIRECT("'"&amp;$H$3&amp;"'!$H$9")*INDIRECT("'"&amp;$H$3&amp;"'!Q204"))/Q287,0)</f>
        <v>0</v>
      </c>
      <c r="R288" s="826"/>
      <c r="S288" s="826"/>
      <c r="T288" s="826">
        <f ca="1">IFERROR((INDIRECT("'"&amp;$H$3&amp;"'!$H$10")*INDIRECT("'"&amp;$H$3&amp;"'!$H$9")*INDIRECT("'"&amp;$H$3&amp;"'!T204"))/T287,0)</f>
        <v>0</v>
      </c>
      <c r="U288" s="826"/>
      <c r="V288" s="826"/>
      <c r="W288" s="826">
        <f ca="1">IFERROR((INDIRECT("'"&amp;$H$3&amp;"'!$H$10")*INDIRECT("'"&amp;$H$3&amp;"'!$H$9")*INDIRECT("'"&amp;$H$3&amp;"'!W204"))/W287,0)</f>
        <v>0</v>
      </c>
      <c r="X288" s="1483"/>
      <c r="Y288" s="36"/>
      <c r="Z288" s="36"/>
      <c r="AA288" s="36"/>
      <c r="AB288" s="36"/>
      <c r="AC288" s="36"/>
      <c r="AD288" s="36"/>
      <c r="AE288" s="36"/>
      <c r="AF288" s="36"/>
      <c r="AG288" s="36"/>
      <c r="AH288" s="36"/>
      <c r="AI288" s="36"/>
      <c r="AJ288" s="36"/>
      <c r="AK288" s="242"/>
      <c r="AL288" s="36"/>
      <c r="AM288" s="36"/>
      <c r="AN288" s="36"/>
    </row>
    <row r="289" spans="6:40" ht="15" customHeight="1" outlineLevel="1">
      <c r="F289" s="52"/>
      <c r="G289" s="1669" t="s">
        <v>134</v>
      </c>
      <c r="H289" s="829"/>
      <c r="I289" s="829"/>
      <c r="J289" s="829"/>
      <c r="K289" s="842"/>
      <c r="L289" s="829"/>
      <c r="M289" s="829"/>
      <c r="N289" s="842"/>
      <c r="O289" s="829"/>
      <c r="P289" s="829"/>
      <c r="Q289" s="829"/>
      <c r="R289" s="1670"/>
      <c r="S289" s="1670"/>
      <c r="T289" s="829"/>
      <c r="U289" s="1670"/>
      <c r="V289" s="1670"/>
      <c r="W289" s="829"/>
      <c r="X289" s="1477"/>
      <c r="Y289" s="36"/>
      <c r="Z289" s="36"/>
      <c r="AA289" s="36"/>
      <c r="AB289" s="36"/>
      <c r="AC289" s="36"/>
      <c r="AD289" s="36"/>
      <c r="AE289" s="36"/>
      <c r="AF289" s="36"/>
      <c r="AG289" s="36"/>
      <c r="AH289" s="36"/>
      <c r="AI289" s="36"/>
      <c r="AJ289" s="36"/>
      <c r="AK289" s="242"/>
      <c r="AL289" s="36"/>
      <c r="AM289" s="36"/>
      <c r="AN289" s="36"/>
    </row>
    <row r="290" spans="6:40" ht="15" customHeight="1" outlineLevel="1">
      <c r="F290" s="52"/>
      <c r="G290" s="52" t="s">
        <v>206</v>
      </c>
      <c r="H290" s="826"/>
      <c r="I290" s="826"/>
      <c r="J290" s="826"/>
      <c r="K290" s="836">
        <f ca="1">IFERROR(K279*INDIRECT("'"&amp;$H$3&amp;"'!K$96"),0)</f>
        <v>0</v>
      </c>
      <c r="L290" s="826"/>
      <c r="M290" s="826"/>
      <c r="N290" s="836">
        <f ca="1">IFERROR(N279*INDIRECT("'"&amp;$H$3&amp;"'!N$96"),0)</f>
        <v>1380</v>
      </c>
      <c r="O290" s="826"/>
      <c r="P290" s="826"/>
      <c r="Q290" s="826">
        <f ca="1">IFERROR(Q279*INDIRECT("'"&amp;$H$3&amp;"'!Q$96"),0)</f>
        <v>0</v>
      </c>
      <c r="R290" s="1670"/>
      <c r="S290" s="1670"/>
      <c r="T290" s="826">
        <f ca="1">IFERROR(T279*INDIRECT("'"&amp;$H$3&amp;"'!T$96"),0)</f>
        <v>0</v>
      </c>
      <c r="U290" s="1670"/>
      <c r="V290" s="1670"/>
      <c r="W290" s="826">
        <f ca="1">IFERROR(W279*INDIRECT("'"&amp;$H$3&amp;"'!W$96"),0)</f>
        <v>0</v>
      </c>
      <c r="X290" s="1480"/>
      <c r="Y290" s="36"/>
      <c r="Z290" s="36"/>
      <c r="AA290" s="36"/>
      <c r="AB290" s="36" t="s">
        <v>192</v>
      </c>
      <c r="AC290" s="36"/>
      <c r="AD290" s="36" t="s">
        <v>193</v>
      </c>
      <c r="AE290" s="36"/>
      <c r="AF290" s="36"/>
      <c r="AG290" s="36"/>
      <c r="AH290" s="36"/>
      <c r="AI290" s="36"/>
      <c r="AJ290" s="36"/>
      <c r="AK290" s="36"/>
      <c r="AL290" s="36"/>
      <c r="AM290" s="36"/>
      <c r="AN290" s="36"/>
    </row>
    <row r="291" spans="6:40" ht="15" customHeight="1" outlineLevel="1">
      <c r="F291" s="52"/>
      <c r="G291" s="52" t="s">
        <v>87</v>
      </c>
      <c r="H291" s="826"/>
      <c r="I291" s="826"/>
      <c r="J291" s="826"/>
      <c r="K291" s="836">
        <f ca="1">IFERROR(IF(K279=0,0,2*INDIRECT("'"&amp;$H$3&amp;"'!K$98")),0)</f>
        <v>0</v>
      </c>
      <c r="L291" s="826"/>
      <c r="M291" s="826"/>
      <c r="N291" s="836">
        <f ca="1">IFERROR(IF(N279=0,0,2*INDIRECT("'"&amp;$H$3&amp;"'!N$98")),0)</f>
        <v>248.38412077024208</v>
      </c>
      <c r="O291" s="826"/>
      <c r="P291" s="826"/>
      <c r="Q291" s="826">
        <f ca="1">IFERROR(IF(Q279=0,0,2*INDIRECT("'"&amp;$H$3&amp;"'!Q$98")),0)</f>
        <v>0</v>
      </c>
      <c r="R291" s="826"/>
      <c r="S291" s="826"/>
      <c r="T291" s="826">
        <f ca="1">IFERROR(IF(T279=0,0,2*INDIRECT("'"&amp;$H$3&amp;"'!T$98")),0)</f>
        <v>0</v>
      </c>
      <c r="U291" s="826"/>
      <c r="V291" s="826"/>
      <c r="W291" s="826">
        <f ca="1">IFERROR(IF(W279=0,0,2*INDIRECT("'"&amp;$H$3&amp;"'!W$98")),0)</f>
        <v>0</v>
      </c>
      <c r="X291" s="1480"/>
      <c r="Y291" s="36"/>
      <c r="Z291" s="36"/>
      <c r="AA291" s="36"/>
      <c r="AB291" s="36" t="s">
        <v>194</v>
      </c>
      <c r="AC291" s="36"/>
      <c r="AD291" s="36" t="s">
        <v>195</v>
      </c>
      <c r="AE291" s="36"/>
      <c r="AF291" s="36"/>
      <c r="AG291" s="36"/>
      <c r="AH291" s="36"/>
      <c r="AI291" s="36"/>
      <c r="AJ291" s="36"/>
      <c r="AK291" s="36"/>
      <c r="AL291" s="36"/>
      <c r="AM291" s="36"/>
      <c r="AN291" s="36"/>
    </row>
    <row r="292" spans="6:40" ht="15" customHeight="1" outlineLevel="1">
      <c r="F292" s="52"/>
      <c r="G292" s="51" t="s">
        <v>204</v>
      </c>
      <c r="H292" s="828"/>
      <c r="I292" s="828"/>
      <c r="J292" s="828"/>
      <c r="K292" s="837">
        <f ca="1">IFERROR((INDIRECT("'"&amp;$H$3&amp;"'!$H$10")*INDIRECT("'"&amp;$H$3&amp;"'!$H$9")*INDIRECT("'"&amp;$H$3&amp;"'!K204"))/((K291/INDIRECT("'"&amp;$H$3&amp;"'!K217"))+((1/60)*(INDIRECT("'"&amp;$H$3&amp;"'!K213")+INDIRECT("'"&amp;$H$3&amp;"'!$H$19")*(INDIRECT("'"&amp;$H$3&amp;"'!K214")+(INDIRECT("'"&amp;$H$3&amp;"'!K215")*('2_Outputs'!K$52/INDIRECT("'"&amp;$H$3&amp;"'!K$96")/INDIRECT("'"&amp;$H$3&amp;"'!$H$19"))))))),0)</f>
        <v>0</v>
      </c>
      <c r="L292" s="828"/>
      <c r="M292" s="828"/>
      <c r="N292" s="837">
        <f ca="1">IFERROR((INDIRECT("'"&amp;$H$3&amp;"'!$H$10")*INDIRECT("'"&amp;$H$3&amp;"'!$H$9")*INDIRECT("'"&amp;$H$3&amp;"'!N204"))/((N291/INDIRECT("'"&amp;$H$3&amp;"'!N217"))+((1/60)*(INDIRECT("'"&amp;$H$3&amp;"'!N213")+INDIRECT("'"&amp;$H$3&amp;"'!$H$19")*(INDIRECT("'"&amp;$H$3&amp;"'!N214")+(INDIRECT("'"&amp;$H$3&amp;"'!N215")*('2_Outputs'!N$52/INDIRECT("'"&amp;$H$3&amp;"'!N$96")/INDIRECT("'"&amp;$H$3&amp;"'!$H$19"))))))),0)</f>
        <v>1604.3206473532164</v>
      </c>
      <c r="O292" s="828"/>
      <c r="P292" s="828"/>
      <c r="Q292" s="828">
        <f ca="1">IFERROR((INDIRECT("'"&amp;$H$3&amp;"'!$H$10")*INDIRECT("'"&amp;$H$3&amp;"'!$H$9")*INDIRECT("'"&amp;$H$3&amp;"'!Q204"))/((Q291/INDIRECT("'"&amp;$H$3&amp;"'!Q217"))+((1/60)*(INDIRECT("'"&amp;$H$3&amp;"'!Q213")+INDIRECT("'"&amp;$H$3&amp;"'!$H$19")*(INDIRECT("'"&amp;$H$3&amp;"'!Q214")+(INDIRECT("'"&amp;$H$3&amp;"'!Q215")*('2_Outputs'!Q$52/INDIRECT("'"&amp;$H$3&amp;"'!Q$96")/INDIRECT("'"&amp;$H$3&amp;"'!$H$19"))))))),0)</f>
        <v>0</v>
      </c>
      <c r="R292" s="1670"/>
      <c r="S292" s="1670"/>
      <c r="T292" s="828">
        <f ca="1">IFERROR((INDIRECT("'"&amp;$H$3&amp;"'!$H$10")*INDIRECT("'"&amp;$H$3&amp;"'!$H$9")*INDIRECT("'"&amp;$H$3&amp;"'!T204"))/((T291/INDIRECT("'"&amp;$H$3&amp;"'!T217"))+((1/60)*(INDIRECT("'"&amp;$H$3&amp;"'!T213")+INDIRECT("'"&amp;$H$3&amp;"'!$H$19")*(INDIRECT("'"&amp;$H$3&amp;"'!T214")+(INDIRECT("'"&amp;$H$3&amp;"'!T215")*('2_Outputs'!T$52/INDIRECT("'"&amp;$H$3&amp;"'!T$96")/INDIRECT("'"&amp;$H$3&amp;"'!$H$19"))))))),0)</f>
        <v>0</v>
      </c>
      <c r="U292" s="1670"/>
      <c r="V292" s="1670"/>
      <c r="W292" s="828">
        <f ca="1">IFERROR((INDIRECT("'"&amp;$H$3&amp;"'!$H$10")*INDIRECT("'"&amp;$H$3&amp;"'!$H$9")*INDIRECT("'"&amp;$H$3&amp;"'!W204"))/((W291/INDIRECT("'"&amp;$H$3&amp;"'!W217"))+((1/60)*(INDIRECT("'"&amp;$H$3&amp;"'!W213")+INDIRECT("'"&amp;$H$3&amp;"'!$H$19")*(INDIRECT("'"&amp;$H$3&amp;"'!W214")+(INDIRECT("'"&amp;$H$3&amp;"'!W215")*('2_Outputs'!W$52/INDIRECT("'"&amp;$H$3&amp;"'!W$96")/INDIRECT("'"&amp;$H$3&amp;"'!$H$19"))))))),0)</f>
        <v>0</v>
      </c>
      <c r="X292" s="1482"/>
      <c r="Y292" s="36"/>
      <c r="Z292" s="36"/>
      <c r="AA292" s="36"/>
      <c r="AB292" s="36" t="s">
        <v>196</v>
      </c>
      <c r="AC292" s="36"/>
      <c r="AD292" s="36" t="s">
        <v>197</v>
      </c>
      <c r="AE292" s="36"/>
      <c r="AF292" s="36"/>
      <c r="AG292" s="36"/>
      <c r="AH292" s="36"/>
      <c r="AI292" s="36"/>
      <c r="AJ292" s="36"/>
      <c r="AK292" s="36"/>
      <c r="AL292" s="36"/>
      <c r="AM292" s="36"/>
      <c r="AN292" s="36"/>
    </row>
    <row r="293" spans="6:40" ht="48" customHeight="1">
      <c r="F293" s="1661" t="s">
        <v>2504</v>
      </c>
      <c r="G293" s="1662"/>
      <c r="H293" s="1673"/>
      <c r="I293" s="1673"/>
      <c r="J293" s="1673"/>
      <c r="K293" s="1516" t="str">
        <f ca="1">IF($H$9&gt;=2,INDIRECT("'"&amp;$H$3&amp;"'!J$130"),"")</f>
        <v>CMS  to  Regional WH</v>
      </c>
      <c r="L293" s="1516" t="str">
        <f t="shared" ref="L293:V293" ca="1" si="19">IF($H$9&gt;=1,"Tier 1","")</f>
        <v>Tier 1</v>
      </c>
      <c r="M293" s="1516" t="str">
        <f t="shared" ca="1" si="19"/>
        <v>Tier 1</v>
      </c>
      <c r="N293" s="1516" t="str">
        <f ca="1">IF($H$9&gt;=3,INDIRECT("'"&amp;$H$3&amp;"'!M$130"),"")</f>
        <v>Regional WH  to  Health Facility</v>
      </c>
      <c r="O293" s="1516" t="str">
        <f t="shared" ca="1" si="19"/>
        <v>Tier 1</v>
      </c>
      <c r="P293" s="1516" t="str">
        <f t="shared" ca="1" si="19"/>
        <v>Tier 1</v>
      </c>
      <c r="Q293" s="1517" t="str">
        <f ca="1">IF($H$9&gt;=4,INDIRECT("'"&amp;$H$3&amp;"'!P$130"),"")</f>
        <v/>
      </c>
      <c r="R293" s="1511" t="str">
        <f t="shared" ca="1" si="19"/>
        <v>Tier 1</v>
      </c>
      <c r="S293" s="1511" t="str">
        <f t="shared" ca="1" si="19"/>
        <v>Tier 1</v>
      </c>
      <c r="T293" s="1517" t="str">
        <f ca="1">IF($H$9&gt;=5,INDIRECT("'"&amp;$H$3&amp;"'!S$130"),"")</f>
        <v/>
      </c>
      <c r="U293" s="1518" t="str">
        <f t="shared" ca="1" si="19"/>
        <v>Tier 1</v>
      </c>
      <c r="V293" s="1518" t="str">
        <f t="shared" ca="1" si="19"/>
        <v>Tier 1</v>
      </c>
      <c r="W293" s="1517" t="str">
        <f ca="1">IF($H$9&gt;=6,INDIRECT("'"&amp;$H$3&amp;"'!V$130"),"")</f>
        <v/>
      </c>
      <c r="X293" s="1474"/>
      <c r="Y293" s="36"/>
      <c r="Z293" s="36"/>
      <c r="AA293" s="36"/>
      <c r="AB293" s="36" t="s">
        <v>230</v>
      </c>
      <c r="AC293" s="36"/>
      <c r="AD293" s="36" t="s">
        <v>229</v>
      </c>
      <c r="AE293" s="36"/>
      <c r="AF293" s="36"/>
      <c r="AG293" s="36"/>
      <c r="AH293" s="36"/>
      <c r="AI293" s="36"/>
      <c r="AJ293" s="36"/>
      <c r="AK293" s="36"/>
      <c r="AL293" s="36"/>
      <c r="AM293" s="36"/>
      <c r="AN293" s="36"/>
    </row>
    <row r="294" spans="6:40" ht="15" customHeight="1" outlineLevel="1">
      <c r="F294" s="1664" t="s">
        <v>149</v>
      </c>
      <c r="G294" s="1664"/>
      <c r="H294" s="865"/>
      <c r="I294" s="865"/>
      <c r="J294" s="865"/>
      <c r="K294" s="865"/>
      <c r="L294" s="865"/>
      <c r="M294" s="865"/>
      <c r="N294" s="865"/>
      <c r="O294" s="1674"/>
      <c r="P294" s="1674"/>
      <c r="Q294" s="1671"/>
      <c r="R294" s="1672"/>
      <c r="S294" s="1672"/>
      <c r="T294" s="1671"/>
      <c r="U294" s="1672"/>
      <c r="V294" s="1672"/>
      <c r="W294" s="1671"/>
      <c r="X294" s="1479"/>
      <c r="Y294" s="36"/>
      <c r="Z294" s="36"/>
      <c r="AA294" s="36"/>
      <c r="AB294" s="36"/>
      <c r="AC294" s="36"/>
      <c r="AD294" s="36"/>
      <c r="AE294" s="36"/>
      <c r="AF294" s="36"/>
      <c r="AG294" s="36"/>
      <c r="AH294" s="36"/>
      <c r="AI294" s="36"/>
      <c r="AJ294" s="36"/>
      <c r="AK294" s="242"/>
      <c r="AL294" s="36"/>
      <c r="AM294" s="36"/>
      <c r="AN294" s="36"/>
    </row>
    <row r="295" spans="6:40" ht="15" customHeight="1" outlineLevel="1">
      <c r="F295" s="52"/>
      <c r="G295" s="51" t="s">
        <v>146</v>
      </c>
      <c r="H295" s="837"/>
      <c r="I295" s="837"/>
      <c r="J295" s="837"/>
      <c r="K295" s="837">
        <f ca="1">IFERROR(IF(COUNTIF(INDIRECT("'"&amp;$H$3&amp;"'!K220"),"Public Transport*")=1,IF(INDIRECT("'"&amp;$H$3&amp;"'!K228")="Route-based",K302*INDIRECT("'"&amp;$H$3&amp;"'!K$96"),IF(INDIRECT("'"&amp;$H$3&amp;"'!K228")="Point-to-point",K305*INDIRECT("'"&amp;$H$3&amp;"'!K$96"),0)),0),0)</f>
        <v>0</v>
      </c>
      <c r="L295" s="837"/>
      <c r="M295" s="837"/>
      <c r="N295" s="837">
        <f ca="1">IFERROR(IF(COUNTIF(INDIRECT("'"&amp;$H$3&amp;"'!N220"),"Public Transport*")=1,IF(INDIRECT("'"&amp;$H$3&amp;"'!N228")="Route-based",N302*INDIRECT("'"&amp;$H$3&amp;"'!N$96"),IF(INDIRECT("'"&amp;$H$3&amp;"'!N228")="Point-to-point",N305*INDIRECT("'"&amp;$H$3&amp;"'!N$96"),0)),0),0)</f>
        <v>0</v>
      </c>
      <c r="O295" s="837"/>
      <c r="P295" s="837"/>
      <c r="Q295" s="837">
        <f ca="1">IFERROR(IF(COUNTIF(INDIRECT("'"&amp;$H$3&amp;"'!Q220"),"Public Transport*")=1,IF(INDIRECT("'"&amp;$H$3&amp;"'!Q228")="Route-based",Q302*INDIRECT("'"&amp;$H$3&amp;"'!Q$96"),IF(INDIRECT("'"&amp;$H$3&amp;"'!Q228")="Point-to-point",Q305*INDIRECT("'"&amp;$H$3&amp;"'!Q$96"),0)),0),0)</f>
        <v>0</v>
      </c>
      <c r="R295" s="1650"/>
      <c r="S295" s="1650"/>
      <c r="T295" s="837">
        <f ca="1">IFERROR(IF(COUNTIF(INDIRECT("'"&amp;$H$3&amp;"'!T220"),"Public Transport*")=1,IF(INDIRECT("'"&amp;$H$3&amp;"'!T228")="Route-based",T302*INDIRECT("'"&amp;$H$3&amp;"'!T$96"),IF(INDIRECT("'"&amp;$H$3&amp;"'!T228")="Point-to-point",T305*INDIRECT("'"&amp;$H$3&amp;"'!T$96"),0)),0),0)</f>
        <v>0</v>
      </c>
      <c r="U295" s="1650"/>
      <c r="V295" s="1650"/>
      <c r="W295" s="837">
        <f ca="1">IFERROR(IF(COUNTIF(INDIRECT("'"&amp;$H$3&amp;"'!W220"),"Public Transport*")=1,IF(INDIRECT("'"&amp;$H$3&amp;"'!W228")="Route-based",W302*INDIRECT("'"&amp;$H$3&amp;"'!W$96"),IF(INDIRECT("'"&amp;$H$3&amp;"'!W228")="Point-to-point",W305*INDIRECT("'"&amp;$H$3&amp;"'!W$96"),0)),0),0)</f>
        <v>0</v>
      </c>
      <c r="X295" s="1468"/>
      <c r="Y295" s="36"/>
      <c r="Z295" s="36"/>
      <c r="AA295" s="36"/>
      <c r="AB295" s="36"/>
      <c r="AC295" s="36"/>
      <c r="AD295" s="36"/>
      <c r="AE295" s="36"/>
      <c r="AF295" s="36"/>
      <c r="AG295" s="36"/>
      <c r="AH295" s="36"/>
      <c r="AI295" s="36"/>
      <c r="AJ295" s="36"/>
      <c r="AK295" s="242"/>
      <c r="AL295" s="36"/>
      <c r="AM295" s="36"/>
      <c r="AN295" s="36"/>
    </row>
    <row r="296" spans="6:40" ht="15" customHeight="1" outlineLevel="1">
      <c r="F296" s="52"/>
      <c r="G296" s="51" t="s">
        <v>147</v>
      </c>
      <c r="H296" s="837"/>
      <c r="I296" s="837"/>
      <c r="J296" s="837"/>
      <c r="K296" s="837">
        <f ca="1">IFERROR(IF(INDIRECT("'"&amp;$H$3&amp;"'!K228")="Route-based",K303*INDIRECT("'"&amp;$H$3&amp;"'!K$96"),IF(INDIRECT("'"&amp;$H$3&amp;"'!K228")="Point-to-point",K306*INDIRECT("'"&amp;$H$3&amp;"'!K$96"),0)),0)</f>
        <v>0</v>
      </c>
      <c r="L296" s="837"/>
      <c r="M296" s="837"/>
      <c r="N296" s="837">
        <f ca="1">IFERROR(IF(INDIRECT("'"&amp;$H$3&amp;"'!N228")="Route-based",N303*INDIRECT("'"&amp;$H$3&amp;"'!N$96"),IF(INDIRECT("'"&amp;$H$3&amp;"'!N228")="Point-to-point",N306*INDIRECT("'"&amp;$H$3&amp;"'!N$96"),0)),0)</f>
        <v>0</v>
      </c>
      <c r="O296" s="837"/>
      <c r="P296" s="837"/>
      <c r="Q296" s="837">
        <f ca="1">IFERROR(IF(INDIRECT("'"&amp;$H$3&amp;"'!Q228")="Route-based",Q303*INDIRECT("'"&amp;$H$3&amp;"'!Q$96"),IF(INDIRECT("'"&amp;$H$3&amp;"'!Q228")="Point-to-point",Q306*INDIRECT("'"&amp;$H$3&amp;"'!Q$96"),0)),0)</f>
        <v>0</v>
      </c>
      <c r="R296" s="1650"/>
      <c r="S296" s="1650"/>
      <c r="T296" s="837">
        <f ca="1">IFERROR(IF(INDIRECT("'"&amp;$H$3&amp;"'!T228")="Route-based",T303*INDIRECT("'"&amp;$H$3&amp;"'!T$96"),IF(INDIRECT("'"&amp;$H$3&amp;"'!T228")="Point-to-point",T306*INDIRECT("'"&amp;$H$3&amp;"'!T$96"),0)),0)</f>
        <v>0</v>
      </c>
      <c r="U296" s="1650"/>
      <c r="V296" s="1650"/>
      <c r="W296" s="837">
        <f ca="1">IFERROR(IF(INDIRECT("'"&amp;$H$3&amp;"'!W228")="Route-based",W303*INDIRECT("'"&amp;$H$3&amp;"'!W$96"),IF(INDIRECT("'"&amp;$H$3&amp;"'!W228")="Point-to-point",W306*INDIRECT("'"&amp;$H$3&amp;"'!W$96"),0)),0)</f>
        <v>0</v>
      </c>
      <c r="X296" s="1468"/>
      <c r="Y296" s="36"/>
      <c r="Z296" s="36"/>
      <c r="AA296" s="36"/>
      <c r="AB296" s="36"/>
      <c r="AC296" s="36"/>
      <c r="AD296" s="36"/>
      <c r="AE296" s="36"/>
      <c r="AF296" s="36"/>
      <c r="AG296" s="36"/>
      <c r="AH296" s="36"/>
      <c r="AI296" s="36"/>
      <c r="AJ296" s="36"/>
      <c r="AK296" s="242"/>
      <c r="AL296" s="36"/>
      <c r="AM296" s="36"/>
      <c r="AN296" s="36"/>
    </row>
    <row r="297" spans="6:40" ht="15" customHeight="1" outlineLevel="1">
      <c r="F297" s="52"/>
      <c r="G297" s="51" t="s">
        <v>142</v>
      </c>
      <c r="H297" s="1651"/>
      <c r="I297" s="1651"/>
      <c r="J297" s="1651"/>
      <c r="K297" s="1651">
        <f ca="1">IFERROR(IF(COUNTIF(INDIRECT("'"&amp;$H$3&amp;"'!K220"),"Public Transport*")&gt;0,ROUND(INDIRECT("'"&amp;$H$3&amp;"'!K$95")*INDIRECT("'"&amp;$H$3&amp;"'!K219"),0),0),0)</f>
        <v>0</v>
      </c>
      <c r="L297" s="1651"/>
      <c r="M297" s="1651"/>
      <c r="N297" s="1651">
        <f ca="1">IFERROR(IF(COUNTIF(INDIRECT("'"&amp;$H$3&amp;"'!N220"),"Public Transport*")&gt;0,ROUND(INDIRECT("'"&amp;$H$3&amp;"'!N$95")*INDIRECT("'"&amp;$H$3&amp;"'!N219"),0),0),0)</f>
        <v>0</v>
      </c>
      <c r="O297" s="1651"/>
      <c r="P297" s="1651"/>
      <c r="Q297" s="1651">
        <f ca="1">IFERROR(IF(COUNTIF(INDIRECT("'"&amp;$H$3&amp;"'!Q220"),"Public Transport*")&gt;0,ROUND(INDIRECT("'"&amp;$H$3&amp;"'!Q$95")*INDIRECT("'"&amp;$H$3&amp;"'!Q219"),0),0),0)</f>
        <v>0</v>
      </c>
      <c r="R297" s="1650"/>
      <c r="S297" s="1650"/>
      <c r="T297" s="1651">
        <f ca="1">IFERROR(IF(COUNTIF(INDIRECT("'"&amp;$H$3&amp;"'!T220"),"Public Transport*")&gt;0,ROUND(INDIRECT("'"&amp;$H$3&amp;"'!T$95")*INDIRECT("'"&amp;$H$3&amp;"'!T219"),0),0),0)</f>
        <v>0</v>
      </c>
      <c r="U297" s="1650"/>
      <c r="V297" s="1650"/>
      <c r="W297" s="1651">
        <f ca="1">IFERROR(IF(COUNTIF(INDIRECT("'"&amp;$H$3&amp;"'!W220"),"Public Transport*")&gt;0,ROUND(INDIRECT("'"&amp;$H$3&amp;"'!W$95")*INDIRECT("'"&amp;$H$3&amp;"'!W219"),0),0),0)</f>
        <v>0</v>
      </c>
      <c r="X297" s="1466"/>
      <c r="Y297" s="36"/>
      <c r="Z297" s="36"/>
      <c r="AA297" s="36"/>
      <c r="AB297" s="36"/>
      <c r="AC297" s="36"/>
      <c r="AD297" s="36"/>
      <c r="AE297" s="36"/>
      <c r="AF297" s="36"/>
      <c r="AG297" s="36"/>
      <c r="AH297" s="36"/>
      <c r="AI297" s="36"/>
      <c r="AJ297" s="36"/>
      <c r="AK297" s="36"/>
      <c r="AL297" s="36"/>
      <c r="AM297" s="36"/>
      <c r="AN297" s="36"/>
    </row>
    <row r="298" spans="6:40" ht="15" customHeight="1" outlineLevel="1">
      <c r="F298" s="52"/>
      <c r="G298" s="1613" t="s">
        <v>150</v>
      </c>
      <c r="H298" s="842"/>
      <c r="I298" s="842"/>
      <c r="J298" s="842"/>
      <c r="K298" s="842"/>
      <c r="L298" s="842"/>
      <c r="M298" s="842"/>
      <c r="N298" s="842"/>
      <c r="O298" s="842"/>
      <c r="P298" s="842"/>
      <c r="Q298" s="842"/>
      <c r="R298" s="1650"/>
      <c r="S298" s="1650"/>
      <c r="T298" s="842"/>
      <c r="U298" s="1650"/>
      <c r="V298" s="1650"/>
      <c r="W298" s="842"/>
      <c r="X298" s="1470"/>
      <c r="Y298" s="36"/>
      <c r="Z298" s="36"/>
      <c r="AA298" s="36"/>
      <c r="AB298" s="36"/>
      <c r="AC298" s="36"/>
      <c r="AD298" s="36"/>
      <c r="AE298" s="36"/>
      <c r="AF298" s="36"/>
      <c r="AG298" s="36"/>
      <c r="AH298" s="36"/>
      <c r="AI298" s="36"/>
      <c r="AJ298" s="36"/>
      <c r="AK298" s="36"/>
      <c r="AL298" s="36"/>
      <c r="AM298" s="36"/>
      <c r="AN298" s="36"/>
    </row>
    <row r="299" spans="6:40" ht="15" customHeight="1" outlineLevel="1">
      <c r="F299" s="52"/>
      <c r="G299" s="51" t="s">
        <v>140</v>
      </c>
      <c r="H299" s="836"/>
      <c r="I299" s="836"/>
      <c r="J299" s="836"/>
      <c r="K299" s="836">
        <f ca="1">IFERROR(ROUND(INDIRECT("'"&amp;$H$3&amp;"'!$H$10")/(((1/60)*(INDIRECT("'"&amp;$H$3&amp;"'!K233")+INDIRECT("'"&amp;$H$3&amp;"'!$H$19")*(INDIRECT("'"&amp;$H$3&amp;"'!K234")+(INDIRECT("'"&amp;$H$3&amp;"'!K235")*('2_Outputs'!K$52/INDIRECT("'"&amp;$H$3&amp;"'!K$96")/INDIRECT("'"&amp;$H$3&amp;"'!$H$19"))))))+INDEX(INDIRECT("'"&amp;$H$3&amp;"'!$H$43:$H$78"),MATCH(INDIRECT("'"&amp;$H$3&amp;"'!K220")&amp;"Average duration (hrs) per trip",INDIRECT("'"&amp;$H$3&amp;"'!$F$43:$F$78"),0))),1),0)</f>
        <v>0</v>
      </c>
      <c r="L299" s="836"/>
      <c r="M299" s="836"/>
      <c r="N299" s="836">
        <f ca="1">IFERROR(ROUND(INDIRECT("'"&amp;$H$3&amp;"'!$H$10")/(((1/60)*(INDIRECT("'"&amp;$H$3&amp;"'!N233")+INDIRECT("'"&amp;$H$3&amp;"'!$H$19")*(INDIRECT("'"&amp;$H$3&amp;"'!N234")+(INDIRECT("'"&amp;$H$3&amp;"'!N235")*('2_Outputs'!N$52/INDIRECT("'"&amp;$H$3&amp;"'!N$96")/INDIRECT("'"&amp;$H$3&amp;"'!$H$19"))))))+INDEX(INDIRECT("'"&amp;$H$3&amp;"'!$H$43:$H$78"),MATCH(INDIRECT("'"&amp;$H$3&amp;"'!N220")&amp;"Average duration (hrs) per trip",INDIRECT("'"&amp;$H$3&amp;"'!$F$43:$F$78"),0))),1),0)</f>
        <v>0</v>
      </c>
      <c r="O299" s="836"/>
      <c r="P299" s="836"/>
      <c r="Q299" s="836">
        <f ca="1">IFERROR(ROUND(INDIRECT("'"&amp;$H$3&amp;"'!$H$10")/(((1/60)*(INDIRECT("'"&amp;$H$3&amp;"'!Q233")+INDIRECT("'"&amp;$H$3&amp;"'!$H$19")*(INDIRECT("'"&amp;$H$3&amp;"'!Q234")+(INDIRECT("'"&amp;$H$3&amp;"'!Q235")*('2_Outputs'!Q$52/INDIRECT("'"&amp;$H$3&amp;"'!Q$96")/INDIRECT("'"&amp;$H$3&amp;"'!$H$19"))))))+INDEX(INDIRECT("'"&amp;$H$3&amp;"'!$H$43:$H$78"),MATCH(INDIRECT("'"&amp;$H$3&amp;"'!Q220")&amp;"Average duration (hrs) per trip",INDIRECT("'"&amp;$H$3&amp;"'!$F$43:$F$78"),0))),1),0)</f>
        <v>0</v>
      </c>
      <c r="R299" s="836"/>
      <c r="S299" s="836"/>
      <c r="T299" s="836">
        <f ca="1">IFERROR(ROUND(INDIRECT("'"&amp;$H$3&amp;"'!$H$10")/(((1/60)*(INDIRECT("'"&amp;$H$3&amp;"'!T233")+INDIRECT("'"&amp;$H$3&amp;"'!$H$19")*(INDIRECT("'"&amp;$H$3&amp;"'!T234")+(INDIRECT("'"&amp;$H$3&amp;"'!T235")*('2_Outputs'!T$52/INDIRECT("'"&amp;$H$3&amp;"'!T$96")/INDIRECT("'"&amp;$H$3&amp;"'!$H$19"))))))+INDEX(INDIRECT("'"&amp;$H$3&amp;"'!$H$43:$H$78"),MATCH(INDIRECT("'"&amp;$H$3&amp;"'!T220")&amp;"Average duration (hrs) per trip",INDIRECT("'"&amp;$H$3&amp;"'!$F$43:$F$78"),0))),1),0)</f>
        <v>0</v>
      </c>
      <c r="U299" s="836"/>
      <c r="V299" s="836"/>
      <c r="W299" s="836">
        <f ca="1">IFERROR(ROUND(INDIRECT("'"&amp;$H$3&amp;"'!$H$10")/(((1/60)*(INDIRECT("'"&amp;$H$3&amp;"'!W233")+INDIRECT("'"&amp;$H$3&amp;"'!$H$19")*(INDIRECT("'"&amp;$H$3&amp;"'!W234")+(INDIRECT("'"&amp;$H$3&amp;"'!W235")*('2_Outputs'!W$52/INDIRECT("'"&amp;$H$3&amp;"'!W$96")/INDIRECT("'"&amp;$H$3&amp;"'!$H$19"))))))+INDEX(INDIRECT("'"&amp;$H$3&amp;"'!$H$43:$H$78"),MATCH(INDIRECT("'"&amp;$H$3&amp;"'!W220")&amp;"Average duration (hrs) per trip",INDIRECT("'"&amp;$H$3&amp;"'!$F$43:$F$78"),0))),1),0)</f>
        <v>0</v>
      </c>
      <c r="X299" s="1469"/>
      <c r="Y299" s="36"/>
      <c r="Z299" s="36"/>
      <c r="AA299" s="36"/>
      <c r="AB299" s="36"/>
      <c r="AC299" s="36"/>
      <c r="AD299" s="36"/>
      <c r="AE299" s="36"/>
      <c r="AF299" s="36"/>
      <c r="AG299" s="36"/>
      <c r="AH299" s="36"/>
      <c r="AI299" s="36"/>
      <c r="AJ299" s="36"/>
      <c r="AK299" s="36"/>
      <c r="AL299" s="36"/>
      <c r="AM299" s="36"/>
      <c r="AN299" s="36"/>
    </row>
    <row r="300" spans="6:40" ht="15" customHeight="1" outlineLevel="1">
      <c r="F300" s="52"/>
      <c r="G300" s="51" t="s">
        <v>141</v>
      </c>
      <c r="H300" s="836"/>
      <c r="I300" s="836"/>
      <c r="J300" s="836"/>
      <c r="K300" s="836">
        <f ca="1">IFERROR(ROUND(K299*INDIRECT("'"&amp;$H$3&amp;"'!K229"),0),0)</f>
        <v>0</v>
      </c>
      <c r="L300" s="836"/>
      <c r="M300" s="836"/>
      <c r="N300" s="836">
        <f ca="1">IFERROR(ROUND(N299*INDIRECT("'"&amp;$H$3&amp;"'!N229"),0),0)</f>
        <v>0</v>
      </c>
      <c r="O300" s="836"/>
      <c r="P300" s="836"/>
      <c r="Q300" s="836">
        <f ca="1">IFERROR(ROUND(Q299*INDIRECT("'"&amp;$H$3&amp;"'!Q229"),0),0)</f>
        <v>0</v>
      </c>
      <c r="R300" s="836"/>
      <c r="S300" s="836"/>
      <c r="T300" s="836">
        <f ca="1">IFERROR(ROUND(T299*INDIRECT("'"&amp;$H$3&amp;"'!T229"),0),0)</f>
        <v>0</v>
      </c>
      <c r="U300" s="836"/>
      <c r="V300" s="836"/>
      <c r="W300" s="836">
        <f ca="1">IFERROR(ROUND(W299*INDIRECT("'"&amp;$H$3&amp;"'!W229"),0),0)</f>
        <v>0</v>
      </c>
      <c r="X300" s="1469"/>
      <c r="Y300" s="36"/>
      <c r="Z300" s="36"/>
      <c r="AA300" s="36"/>
      <c r="AB300" s="36"/>
      <c r="AC300" s="36"/>
      <c r="AD300" s="36"/>
      <c r="AE300" s="36"/>
      <c r="AF300" s="36"/>
      <c r="AG300" s="36"/>
      <c r="AH300" s="36"/>
      <c r="AI300" s="36"/>
      <c r="AJ300" s="36"/>
      <c r="AK300" s="36"/>
      <c r="AL300" s="36"/>
      <c r="AM300" s="36"/>
      <c r="AN300" s="36"/>
    </row>
    <row r="301" spans="6:40" ht="15" customHeight="1" outlineLevel="1">
      <c r="F301" s="52"/>
      <c r="G301" s="51" t="s">
        <v>143</v>
      </c>
      <c r="H301" s="836"/>
      <c r="I301" s="836"/>
      <c r="J301" s="836"/>
      <c r="K301" s="836">
        <f ca="1">IFERROR(K297/K300,0)</f>
        <v>0</v>
      </c>
      <c r="L301" s="836"/>
      <c r="M301" s="836"/>
      <c r="N301" s="836">
        <f ca="1">IFERROR(N297/N300,0)</f>
        <v>0</v>
      </c>
      <c r="O301" s="836"/>
      <c r="P301" s="836"/>
      <c r="Q301" s="836">
        <f ca="1">IFERROR(Q297/Q300,0)</f>
        <v>0</v>
      </c>
      <c r="R301" s="836"/>
      <c r="S301" s="836"/>
      <c r="T301" s="836">
        <f ca="1">IFERROR(T297/T300,0)</f>
        <v>0</v>
      </c>
      <c r="U301" s="836"/>
      <c r="V301" s="836"/>
      <c r="W301" s="836">
        <f ca="1">IFERROR(W297/W300,0)</f>
        <v>0</v>
      </c>
      <c r="X301" s="1469"/>
      <c r="Y301" s="36"/>
      <c r="Z301" s="36"/>
      <c r="AA301" s="36"/>
      <c r="AB301" s="36"/>
      <c r="AC301" s="36"/>
      <c r="AD301" s="36"/>
      <c r="AE301" s="36"/>
      <c r="AF301" s="36"/>
      <c r="AG301" s="36"/>
      <c r="AH301" s="36"/>
      <c r="AI301" s="36"/>
      <c r="AJ301" s="36"/>
      <c r="AK301" s="36"/>
      <c r="AL301" s="36"/>
      <c r="AM301" s="36"/>
      <c r="AN301" s="36"/>
    </row>
    <row r="302" spans="6:40" ht="15" customHeight="1" outlineLevel="1">
      <c r="F302" s="52"/>
      <c r="G302" s="51" t="s">
        <v>144</v>
      </c>
      <c r="H302" s="836"/>
      <c r="I302" s="836"/>
      <c r="J302" s="836"/>
      <c r="K302" s="836">
        <f ca="1">IFERROR((K301*(K300+1)),0)</f>
        <v>0</v>
      </c>
      <c r="L302" s="836"/>
      <c r="M302" s="836"/>
      <c r="N302" s="836">
        <f ca="1">IFERROR((N301*(N300+1)),0)</f>
        <v>0</v>
      </c>
      <c r="O302" s="836"/>
      <c r="P302" s="836"/>
      <c r="Q302" s="836">
        <f ca="1">IFERROR((Q301*(Q300+1)),0)</f>
        <v>0</v>
      </c>
      <c r="R302" s="836"/>
      <c r="S302" s="836"/>
      <c r="T302" s="836">
        <f ca="1">IFERROR((T301*(T300+1)),0)</f>
        <v>0</v>
      </c>
      <c r="U302" s="836"/>
      <c r="V302" s="836"/>
      <c r="W302" s="836">
        <f ca="1">IFERROR((W301*(W300+1)),0)</f>
        <v>0</v>
      </c>
      <c r="X302" s="1469"/>
      <c r="Y302" s="36"/>
      <c r="Z302" s="36"/>
      <c r="AA302" s="36"/>
      <c r="AB302" s="36"/>
      <c r="AC302" s="36"/>
      <c r="AD302" s="36"/>
      <c r="AE302" s="36"/>
      <c r="AF302" s="36"/>
      <c r="AG302" s="36"/>
      <c r="AH302" s="36"/>
      <c r="AI302" s="36"/>
      <c r="AJ302" s="36"/>
      <c r="AK302" s="242"/>
      <c r="AL302" s="36"/>
      <c r="AM302" s="36"/>
      <c r="AN302" s="36"/>
    </row>
    <row r="303" spans="6:40" ht="15" customHeight="1" outlineLevel="1">
      <c r="F303" s="52"/>
      <c r="G303" s="51" t="s">
        <v>145</v>
      </c>
      <c r="H303" s="836"/>
      <c r="I303" s="836"/>
      <c r="J303" s="836"/>
      <c r="K303" s="836">
        <f ca="1">IFERROR(ROUNDUP(((K302*INDEX(INDIRECT("'"&amp;$H$3&amp;"'!$H$43:$H$78"),MATCH(INDIRECT("'"&amp;$H$3&amp;"'!K220")&amp;"Average duration (hrs) per trip",INDIRECT("'"&amp;$H$3&amp;"'!$F$43:$F$78"),0)))+(K297*((1/60)*(INDIRECT("'"&amp;$H$3&amp;"'!K233")+INDIRECT("'"&amp;$H$3&amp;"'!$H$19")*(INDIRECT("'"&amp;$H$3&amp;"'!K234")+(INDIRECT("'"&amp;$H$3&amp;"'!K235")*('2_Outputs'!K$52/INDIRECT("'"&amp;$H$3&amp;"'!K$96")/INDIRECT("'"&amp;$H$3&amp;"'!$H$19"))))))))/INDIRECT("'"&amp;$H$3&amp;"'!$H$10"),0),0)</f>
        <v>0</v>
      </c>
      <c r="L303" s="836"/>
      <c r="M303" s="836"/>
      <c r="N303" s="836">
        <f ca="1">IFERROR(ROUNDUP(((N302*INDEX(INDIRECT("'"&amp;$H$3&amp;"'!$H$43:$H$78"),MATCH(INDIRECT("'"&amp;$H$3&amp;"'!N220")&amp;"Average duration (hrs) per trip",INDIRECT("'"&amp;$H$3&amp;"'!$F$43:$F$78"),0)))+(N297*((1/60)*(INDIRECT("'"&amp;$H$3&amp;"'!N233")+INDIRECT("'"&amp;$H$3&amp;"'!$H$19")*(INDIRECT("'"&amp;$H$3&amp;"'!N234")+(INDIRECT("'"&amp;$H$3&amp;"'!N235")*('2_Outputs'!N$52/INDIRECT("'"&amp;$H$3&amp;"'!N$96")/INDIRECT("'"&amp;$H$3&amp;"'!$H$19"))))))))/INDIRECT("'"&amp;$H$3&amp;"'!$H$10"),0),0)</f>
        <v>0</v>
      </c>
      <c r="O303" s="836"/>
      <c r="P303" s="836"/>
      <c r="Q303" s="836">
        <f ca="1">IFERROR(ROUNDUP(((Q302*INDEX(INDIRECT("'"&amp;$H$3&amp;"'!$H$43:$H$78"),MATCH(INDIRECT("'"&amp;$H$3&amp;"'!Q220")&amp;"Average duration (hrs) per trip",INDIRECT("'"&amp;$H$3&amp;"'!$F$43:$F$78"),0)))+(Q297*((1/60)*(INDIRECT("'"&amp;$H$3&amp;"'!Q233")+INDIRECT("'"&amp;$H$3&amp;"'!$H$19")*(INDIRECT("'"&amp;$H$3&amp;"'!Q234")+(INDIRECT("'"&amp;$H$3&amp;"'!Q235")*('2_Outputs'!Q$52/INDIRECT("'"&amp;$H$3&amp;"'!Q$96")/INDIRECT("'"&amp;$H$3&amp;"'!$H$19"))))))))/INDIRECT("'"&amp;$H$3&amp;"'!$H$10"),0),0)</f>
        <v>0</v>
      </c>
      <c r="R303" s="836"/>
      <c r="S303" s="836"/>
      <c r="T303" s="836">
        <f ca="1">IFERROR(ROUNDUP(((T302*INDEX(INDIRECT("'"&amp;$H$3&amp;"'!$H$43:$H$78"),MATCH(INDIRECT("'"&amp;$H$3&amp;"'!T220")&amp;"Average duration (hrs) per trip",INDIRECT("'"&amp;$H$3&amp;"'!$F$43:$F$78"),0)))+(T297*((1/60)*(INDIRECT("'"&amp;$H$3&amp;"'!T233")+INDIRECT("'"&amp;$H$3&amp;"'!$H$19")*(INDIRECT("'"&amp;$H$3&amp;"'!T234")+(INDIRECT("'"&amp;$H$3&amp;"'!T235")*('2_Outputs'!T$52/INDIRECT("'"&amp;$H$3&amp;"'!T$96")/INDIRECT("'"&amp;$H$3&amp;"'!$H$19"))))))))/INDIRECT("'"&amp;$H$3&amp;"'!$H$10"),0),0)</f>
        <v>0</v>
      </c>
      <c r="U303" s="836"/>
      <c r="V303" s="836"/>
      <c r="W303" s="836">
        <f ca="1">IFERROR(ROUNDUP(((W302*INDEX(INDIRECT("'"&amp;$H$3&amp;"'!$H$43:$H$78"),MATCH(INDIRECT("'"&amp;$H$3&amp;"'!W220")&amp;"Average duration (hrs) per trip",INDIRECT("'"&amp;$H$3&amp;"'!$F$43:$F$78"),0)))+(W297*((1/60)*(INDIRECT("'"&amp;$H$3&amp;"'!W233")+INDIRECT("'"&amp;$H$3&amp;"'!$H$19")*(INDIRECT("'"&amp;$H$3&amp;"'!W234")+(INDIRECT("'"&amp;$H$3&amp;"'!W235")*('2_Outputs'!W$52/INDIRECT("'"&amp;$H$3&amp;"'!W$96")/INDIRECT("'"&amp;$H$3&amp;"'!$H$19"))))))))/INDIRECT("'"&amp;$H$3&amp;"'!$H$10"),0),0)</f>
        <v>0</v>
      </c>
      <c r="X303" s="1469"/>
      <c r="Y303" s="36"/>
      <c r="Z303" s="36"/>
      <c r="AA303" s="36"/>
      <c r="AB303" s="36"/>
      <c r="AC303" s="36"/>
      <c r="AD303" s="36"/>
      <c r="AE303" s="36"/>
      <c r="AF303" s="36"/>
      <c r="AG303" s="36"/>
      <c r="AH303" s="36"/>
      <c r="AI303" s="36"/>
      <c r="AJ303" s="36"/>
      <c r="AK303" s="242"/>
      <c r="AL303" s="36"/>
      <c r="AM303" s="36"/>
      <c r="AN303" s="36"/>
    </row>
    <row r="304" spans="6:40" ht="15" customHeight="1" outlineLevel="1">
      <c r="F304" s="52"/>
      <c r="G304" s="1613" t="s">
        <v>841</v>
      </c>
      <c r="H304" s="842"/>
      <c r="I304" s="842"/>
      <c r="J304" s="842"/>
      <c r="K304" s="842"/>
      <c r="L304" s="842"/>
      <c r="M304" s="842"/>
      <c r="N304" s="842"/>
      <c r="O304" s="842"/>
      <c r="P304" s="842"/>
      <c r="Q304" s="842"/>
      <c r="R304" s="1650"/>
      <c r="S304" s="1650"/>
      <c r="T304" s="842"/>
      <c r="U304" s="1650"/>
      <c r="V304" s="1650"/>
      <c r="W304" s="842"/>
      <c r="X304" s="1470"/>
      <c r="Y304" s="36"/>
      <c r="Z304" s="36"/>
      <c r="AA304" s="36"/>
      <c r="AB304" s="36"/>
      <c r="AC304" s="36"/>
      <c r="AD304" s="36"/>
      <c r="AE304" s="36"/>
      <c r="AF304" s="36"/>
      <c r="AG304" s="36"/>
      <c r="AH304" s="36"/>
      <c r="AI304" s="36"/>
      <c r="AJ304" s="36"/>
      <c r="AK304" s="242"/>
      <c r="AL304" s="36"/>
      <c r="AM304" s="36"/>
      <c r="AN304" s="36"/>
    </row>
    <row r="305" spans="6:40" ht="15" customHeight="1" outlineLevel="1">
      <c r="F305" s="52"/>
      <c r="G305" s="51" t="s">
        <v>144</v>
      </c>
      <c r="H305" s="836"/>
      <c r="I305" s="836"/>
      <c r="J305" s="836"/>
      <c r="K305" s="836">
        <f ca="1">IFERROR(K297*2,0)</f>
        <v>0</v>
      </c>
      <c r="L305" s="836"/>
      <c r="M305" s="836"/>
      <c r="N305" s="836">
        <f ca="1">IFERROR(N297*2,0)</f>
        <v>0</v>
      </c>
      <c r="O305" s="836"/>
      <c r="P305" s="836"/>
      <c r="Q305" s="836">
        <f ca="1">IFERROR(Q297*2,0)</f>
        <v>0</v>
      </c>
      <c r="R305" s="836"/>
      <c r="S305" s="836"/>
      <c r="T305" s="836">
        <f ca="1">IFERROR(T297*2,0)</f>
        <v>0</v>
      </c>
      <c r="U305" s="836"/>
      <c r="V305" s="836"/>
      <c r="W305" s="836">
        <f ca="1">IFERROR(W297*2,0)</f>
        <v>0</v>
      </c>
      <c r="X305" s="1469"/>
      <c r="Y305" s="36"/>
      <c r="Z305" s="36"/>
      <c r="AA305" s="36"/>
      <c r="AB305" s="36"/>
      <c r="AC305" s="36"/>
      <c r="AD305" s="36"/>
      <c r="AE305" s="36"/>
      <c r="AF305" s="36"/>
      <c r="AG305" s="36"/>
      <c r="AH305" s="36"/>
      <c r="AI305" s="36"/>
      <c r="AJ305" s="36"/>
      <c r="AK305" s="36"/>
      <c r="AL305" s="36"/>
      <c r="AM305" s="36"/>
      <c r="AN305" s="36"/>
    </row>
    <row r="306" spans="6:40" ht="15" customHeight="1" outlineLevel="1">
      <c r="F306" s="52"/>
      <c r="G306" s="51" t="s">
        <v>145</v>
      </c>
      <c r="H306" s="837"/>
      <c r="I306" s="837"/>
      <c r="J306" s="837"/>
      <c r="K306" s="837">
        <f ca="1">IFERROR(MAX(K297,ROUNDUP(((K305*INDEX(INDIRECT("'"&amp;$H$3&amp;"'!$H$43:$H$78"),MATCH(INDIRECT("'"&amp;$H$3&amp;"'!K220")&amp;"Average duration (hrs) per trip",INDIRECT("'"&amp;$H$3&amp;"'!$F$43:$F$78"),0)))+(K297*((1/60)*(INDIRECT("'"&amp;$H$3&amp;"'!K233")+INDIRECT("'"&amp;$H$3&amp;"'!$H$19")*(INDIRECT("'"&amp;$H$3&amp;"'!K234")+(INDIRECT("'"&amp;$H$3&amp;"'!K235")*('2_Outputs'!K$52/INDIRECT("'"&amp;$H$3&amp;"'!K$96")/INDIRECT("'"&amp;$H$3&amp;"'!$H$19"))))))))/INDIRECT("'"&amp;$H$3&amp;"'!$H$10"),0)),0)</f>
        <v>0</v>
      </c>
      <c r="L306" s="837"/>
      <c r="M306" s="837"/>
      <c r="N306" s="837">
        <f ca="1">IFERROR(MAX(N297,ROUNDUP(((N305*INDEX(INDIRECT("'"&amp;$H$3&amp;"'!$H$43:$H$78"),MATCH(INDIRECT("'"&amp;$H$3&amp;"'!N220")&amp;"Average duration (hrs) per trip",INDIRECT("'"&amp;$H$3&amp;"'!$F$43:$F$78"),0)))+(N297*((1/60)*(INDIRECT("'"&amp;$H$3&amp;"'!N233")+INDIRECT("'"&amp;$H$3&amp;"'!$H$19")*(INDIRECT("'"&amp;$H$3&amp;"'!N234")+(INDIRECT("'"&amp;$H$3&amp;"'!N235")*('2_Outputs'!N$52/INDIRECT("'"&amp;$H$3&amp;"'!N$96")/INDIRECT("'"&amp;$H$3&amp;"'!$H$19"))))))))/INDIRECT("'"&amp;$H$3&amp;"'!$H$10"),0)),0)</f>
        <v>0</v>
      </c>
      <c r="O306" s="837"/>
      <c r="P306" s="837"/>
      <c r="Q306" s="837">
        <f ca="1">IFERROR(MAX(Q297,ROUNDUP(((Q305*INDEX(INDIRECT("'"&amp;$H$3&amp;"'!$H$43:$H$78"),MATCH(INDIRECT("'"&amp;$H$3&amp;"'!Q220")&amp;"Average duration (hrs) per trip",INDIRECT("'"&amp;$H$3&amp;"'!$F$43:$F$78"),0)))+(Q297*((1/60)*(INDIRECT("'"&amp;$H$3&amp;"'!Q233")+INDIRECT("'"&amp;$H$3&amp;"'!$H$19")*(INDIRECT("'"&amp;$H$3&amp;"'!Q234")+(INDIRECT("'"&amp;$H$3&amp;"'!Q235")*('2_Outputs'!Q$52/INDIRECT("'"&amp;$H$3&amp;"'!Q$96")/INDIRECT("'"&amp;$H$3&amp;"'!$H$19"))))))))/INDIRECT("'"&amp;$H$3&amp;"'!$H$10"),0)),0)</f>
        <v>0</v>
      </c>
      <c r="R306" s="837"/>
      <c r="S306" s="837"/>
      <c r="T306" s="837">
        <f ca="1">IFERROR(MAX(T297,ROUNDUP(((T305*INDEX(INDIRECT("'"&amp;$H$3&amp;"'!$H$43:$H$78"),MATCH(INDIRECT("'"&amp;$H$3&amp;"'!T220")&amp;"Average duration (hrs) per trip",INDIRECT("'"&amp;$H$3&amp;"'!$F$43:$F$78"),0)))+(T297*((1/60)*(INDIRECT("'"&amp;$H$3&amp;"'!T233")+INDIRECT("'"&amp;$H$3&amp;"'!$H$19")*(INDIRECT("'"&amp;$H$3&amp;"'!T234")+(INDIRECT("'"&amp;$H$3&amp;"'!T235")*('2_Outputs'!T$52/INDIRECT("'"&amp;$H$3&amp;"'!T$96")/INDIRECT("'"&amp;$H$3&amp;"'!$H$19"))))))))/INDIRECT("'"&amp;$H$3&amp;"'!$H$10"),0)),0)</f>
        <v>0</v>
      </c>
      <c r="U306" s="837"/>
      <c r="V306" s="837"/>
      <c r="W306" s="837">
        <f ca="1">IFERROR(MAX(W297,ROUNDUP(((W305*INDEX(INDIRECT("'"&amp;$H$3&amp;"'!$H$43:$H$78"),MATCH(INDIRECT("'"&amp;$H$3&amp;"'!W220")&amp;"Average duration (hrs) per trip",INDIRECT("'"&amp;$H$3&amp;"'!$F$43:$F$78"),0)))+(W297*((1/60)*(INDIRECT("'"&amp;$H$3&amp;"'!W233")+INDIRECT("'"&amp;$H$3&amp;"'!$H$19")*(INDIRECT("'"&amp;$H$3&amp;"'!W234")+(INDIRECT("'"&amp;$H$3&amp;"'!W235")*('2_Outputs'!W$52/INDIRECT("'"&amp;$H$3&amp;"'!W$96")/INDIRECT("'"&amp;$H$3&amp;"'!$H$19"))))))))/INDIRECT("'"&amp;$H$3&amp;"'!$H$10"),0)),0)</f>
        <v>0</v>
      </c>
      <c r="X306" s="1468"/>
      <c r="Y306" s="36"/>
      <c r="Z306" s="36"/>
      <c r="AA306" s="36"/>
      <c r="AB306" s="36"/>
      <c r="AC306" s="36"/>
      <c r="AD306" s="36"/>
      <c r="AE306" s="36"/>
      <c r="AF306" s="36"/>
      <c r="AG306" s="36"/>
      <c r="AH306" s="36"/>
      <c r="AI306" s="36"/>
      <c r="AJ306" s="36"/>
      <c r="AK306" s="36"/>
      <c r="AL306" s="36"/>
      <c r="AM306" s="36"/>
      <c r="AN306" s="36"/>
    </row>
    <row r="307" spans="6:40" ht="15" customHeight="1" outlineLevel="1">
      <c r="F307" s="1664" t="s">
        <v>148</v>
      </c>
      <c r="G307" s="1675"/>
      <c r="H307" s="1676"/>
      <c r="I307" s="1676"/>
      <c r="J307" s="1676"/>
      <c r="K307" s="1676"/>
      <c r="L307" s="1676"/>
      <c r="M307" s="1676"/>
      <c r="N307" s="1676"/>
      <c r="O307" s="1676"/>
      <c r="P307" s="1676"/>
      <c r="Q307" s="1676"/>
      <c r="R307" s="1646"/>
      <c r="S307" s="1646"/>
      <c r="T307" s="1676"/>
      <c r="U307" s="1646"/>
      <c r="V307" s="1646"/>
      <c r="W307" s="1676"/>
      <c r="X307" s="1467"/>
      <c r="Y307" s="36"/>
      <c r="Z307" s="36"/>
      <c r="AA307" s="36"/>
      <c r="AB307" s="36"/>
      <c r="AC307" s="36"/>
      <c r="AD307" s="36"/>
      <c r="AE307" s="36"/>
      <c r="AF307" s="36"/>
      <c r="AG307" s="36"/>
      <c r="AH307" s="36"/>
      <c r="AI307" s="36"/>
      <c r="AJ307" s="36"/>
      <c r="AK307" s="242"/>
      <c r="AL307" s="36"/>
      <c r="AM307" s="36"/>
      <c r="AN307" s="36"/>
    </row>
    <row r="308" spans="6:40" ht="15" customHeight="1" outlineLevel="1">
      <c r="F308" s="86"/>
      <c r="G308" s="51" t="s">
        <v>151</v>
      </c>
      <c r="H308" s="836"/>
      <c r="I308" s="836"/>
      <c r="J308" s="836"/>
      <c r="K308" s="836">
        <f ca="1">IFERROR(IF(COUNTIF(INDIRECT("'"&amp;$H$3&amp;"'!K220"),"Public Transport*")&lt;1,ROUND(INDIRECT("'"&amp;$H$3&amp;"'!K$95")*INDIRECT("'"&amp;$H$3&amp;"'!K219"),0),0),0)</f>
        <v>0</v>
      </c>
      <c r="L308" s="836"/>
      <c r="M308" s="836"/>
      <c r="N308" s="836">
        <f ca="1">IFERROR(IF(COUNTIF(INDIRECT("'"&amp;$H$3&amp;"'!N220"),"Public Transport*")&lt;1,ROUND(INDIRECT("'"&amp;$H$3&amp;"'!N$95")*INDIRECT("'"&amp;$H$3&amp;"'!N219"),0),0),0)</f>
        <v>0</v>
      </c>
      <c r="O308" s="836"/>
      <c r="P308" s="836"/>
      <c r="Q308" s="836">
        <f ca="1">IFERROR(IF(COUNTIF(INDIRECT("'"&amp;$H$3&amp;"'!Q220"),"Public Transport*")&lt;1,ROUND(INDIRECT("'"&amp;$H$3&amp;"'!Q$95")*INDIRECT("'"&amp;$H$3&amp;"'!Q219"),0),0),0)</f>
        <v>0</v>
      </c>
      <c r="R308" s="1646"/>
      <c r="S308" s="1646"/>
      <c r="T308" s="836">
        <f ca="1">IFERROR(IF(COUNTIF(INDIRECT("'"&amp;$H$3&amp;"'!T220"),"Public Transport*")&lt;1,ROUND(INDIRECT("'"&amp;$H$3&amp;"'!T$95")*INDIRECT("'"&amp;$H$3&amp;"'!T219"),0),0),0)</f>
        <v>0</v>
      </c>
      <c r="U308" s="1646"/>
      <c r="V308" s="1646"/>
      <c r="W308" s="836">
        <f ca="1">IFERROR(IF(COUNTIF(INDIRECT("'"&amp;$H$3&amp;"'!W220"),"Public Transport*")&lt;1,ROUND(INDIRECT("'"&amp;$H$3&amp;"'!W$95")*INDIRECT("'"&amp;$H$3&amp;"'!W219"),0),0),0)</f>
        <v>0</v>
      </c>
      <c r="X308" s="1469"/>
      <c r="Y308" s="36"/>
      <c r="Z308" s="36"/>
      <c r="AA308" s="36"/>
      <c r="AB308" s="36"/>
      <c r="AC308" s="36"/>
      <c r="AD308" s="36"/>
      <c r="AE308" s="36"/>
      <c r="AF308" s="36"/>
      <c r="AG308" s="36"/>
      <c r="AH308" s="36"/>
      <c r="AI308" s="36"/>
      <c r="AJ308" s="36"/>
      <c r="AK308" s="242"/>
      <c r="AL308" s="36"/>
      <c r="AM308" s="36"/>
      <c r="AN308" s="36"/>
    </row>
    <row r="309" spans="6:40" ht="15" customHeight="1" outlineLevel="1">
      <c r="F309" s="52"/>
      <c r="G309" s="51" t="s">
        <v>85</v>
      </c>
      <c r="H309" s="837"/>
      <c r="I309" s="837"/>
      <c r="J309" s="837"/>
      <c r="K309" s="837">
        <f ca="1">IFERROR(IF(INDIRECT("'"&amp;$H$3&amp;"'!K228")="Route-based",K314*K315,IF(INDIRECT("'"&amp;$H$3&amp;"'!K228")="Point-to-point",K319*K320,0)),0)</f>
        <v>0</v>
      </c>
      <c r="L309" s="837"/>
      <c r="M309" s="837"/>
      <c r="N309" s="837">
        <f ca="1">IFERROR(IF(INDIRECT("'"&amp;$H$3&amp;"'!N228")="Route-based",N314*N315,IF(INDIRECT("'"&amp;$H$3&amp;"'!N228")="Point-to-point",N319*N320,0)),0)</f>
        <v>0</v>
      </c>
      <c r="O309" s="837"/>
      <c r="P309" s="837"/>
      <c r="Q309" s="837">
        <f ca="1">IFERROR(IF(INDIRECT("'"&amp;$H$3&amp;"'!Q228")="Route-based",Q314*Q315,IF(INDIRECT("'"&amp;$H$3&amp;"'!Q228")="Point-to-point",Q319*Q320,0)),0)</f>
        <v>0</v>
      </c>
      <c r="R309" s="1650"/>
      <c r="S309" s="1650"/>
      <c r="T309" s="837">
        <f ca="1">IFERROR(IF(INDIRECT("'"&amp;$H$3&amp;"'!T228")="Route-based",T314*T315,IF(INDIRECT("'"&amp;$H$3&amp;"'!T228")="Point-to-point",T319*T320,0)),0)</f>
        <v>0</v>
      </c>
      <c r="U309" s="1650"/>
      <c r="V309" s="1650"/>
      <c r="W309" s="837">
        <f ca="1">IFERROR(IF(INDIRECT("'"&amp;$H$3&amp;"'!W228")="Route-based",W314*W315,IF(INDIRECT("'"&amp;$H$3&amp;"'!W228")="Point-to-point",W319*W320,0)),0)</f>
        <v>0</v>
      </c>
      <c r="X309" s="1468"/>
      <c r="Y309" s="36"/>
      <c r="Z309" s="36"/>
      <c r="AA309" s="36"/>
      <c r="AB309" s="36"/>
      <c r="AC309" s="36"/>
      <c r="AD309" s="36"/>
      <c r="AE309" s="36"/>
      <c r="AF309" s="36"/>
      <c r="AG309" s="36"/>
      <c r="AH309" s="36"/>
      <c r="AI309" s="36"/>
      <c r="AJ309" s="36"/>
      <c r="AK309" s="242"/>
      <c r="AL309" s="36"/>
      <c r="AM309" s="36"/>
      <c r="AN309" s="36"/>
    </row>
    <row r="310" spans="6:40" ht="15" customHeight="1" outlineLevel="1">
      <c r="F310" s="52"/>
      <c r="G310" s="51" t="s">
        <v>59</v>
      </c>
      <c r="H310" s="837"/>
      <c r="I310" s="837"/>
      <c r="J310" s="837"/>
      <c r="K310" s="837">
        <f ca="1">IFERROR(IF(INDIRECT("'"&amp;$H$3&amp;"'!K228")="Route-based",ROUND(K314*K316/INDIRECT("'"&amp;$H$3&amp;"'!$H$10"),0),IF(INDIRECT("'"&amp;$H$3&amp;"'!K228")="Point-to-point",ROUND(((K308*INDIRECT("'"&amp;$H$3&amp;"'!K$96")*((1/60)*(INDIRECT("'"&amp;$H$3&amp;"'!K233")+INDIRECT("'"&amp;$H$3&amp;"'!$H$19")*(INDIRECT("'"&amp;$H$3&amp;"'!K234")+(INDIRECT("'"&amp;$H$3&amp;"'!K235")*('2_Outputs'!K$52/INDIRECT("'"&amp;$H$3&amp;"'!K$96")/INDIRECT("'"&amp;$H$3&amp;"'!$H$19")))))))+(K309/INDIRECT("'"&amp;$H$3&amp;"'!K237")))/INDIRECT("'"&amp;$H$3&amp;"'!$H$10"),0),0)),0)</f>
        <v>0</v>
      </c>
      <c r="L310" s="837"/>
      <c r="M310" s="837"/>
      <c r="N310" s="837">
        <f ca="1">IFERROR(IF(INDIRECT("'"&amp;$H$3&amp;"'!N228")="Route-based",ROUND(N314*N316/INDIRECT("'"&amp;$H$3&amp;"'!$H$10"),0),IF(INDIRECT("'"&amp;$H$3&amp;"'!N228")="Point-to-point",ROUND(((N308*INDIRECT("'"&amp;$H$3&amp;"'!N$96")*((1/60)*(INDIRECT("'"&amp;$H$3&amp;"'!N233")+INDIRECT("'"&amp;$H$3&amp;"'!$H$19")*(INDIRECT("'"&amp;$H$3&amp;"'!N234")+(INDIRECT("'"&amp;$H$3&amp;"'!N235")*('2_Outputs'!N$52/INDIRECT("'"&amp;$H$3&amp;"'!N$96")/INDIRECT("'"&amp;$H$3&amp;"'!$H$19")))))))+(N309/INDIRECT("'"&amp;$H$3&amp;"'!N237")))/INDIRECT("'"&amp;$H$3&amp;"'!$H$10"),0),0)),0)</f>
        <v>0</v>
      </c>
      <c r="O310" s="837"/>
      <c r="P310" s="837"/>
      <c r="Q310" s="837">
        <f ca="1">IFERROR(IF(INDIRECT("'"&amp;$H$3&amp;"'!Q228")="Route-based",ROUND(Q314*Q316/INDIRECT("'"&amp;$H$3&amp;"'!$H$10"),0),IF(INDIRECT("'"&amp;$H$3&amp;"'!Q228")="Point-to-point",ROUND(((Q308*INDIRECT("'"&amp;$H$3&amp;"'!Q$96")*((1/60)*(INDIRECT("'"&amp;$H$3&amp;"'!Q233")+INDIRECT("'"&amp;$H$3&amp;"'!$H$19")*(INDIRECT("'"&amp;$H$3&amp;"'!Q234")+(INDIRECT("'"&amp;$H$3&amp;"'!Q235")*('2_Outputs'!Q$52/INDIRECT("'"&amp;$H$3&amp;"'!Q$96")/INDIRECT("'"&amp;$H$3&amp;"'!$H$19")))))))+(Q309/INDIRECT("'"&amp;$H$3&amp;"'!Q237")))/INDIRECT("'"&amp;$H$3&amp;"'!$H$10"),0),0)),0)</f>
        <v>0</v>
      </c>
      <c r="R310" s="837"/>
      <c r="S310" s="837"/>
      <c r="T310" s="837">
        <f ca="1">IFERROR(IF(INDIRECT("'"&amp;$H$3&amp;"'!T228")="Route-based",ROUND(T314*T316/INDIRECT("'"&amp;$H$3&amp;"'!$H$10"),0),IF(INDIRECT("'"&amp;$H$3&amp;"'!T228")="Point-to-point",ROUND(((T308*INDIRECT("'"&amp;$H$3&amp;"'!T$96")*((1/60)*(INDIRECT("'"&amp;$H$3&amp;"'!T233")+INDIRECT("'"&amp;$H$3&amp;"'!$H$19")*(INDIRECT("'"&amp;$H$3&amp;"'!T234")+(INDIRECT("'"&amp;$H$3&amp;"'!T235")*('2_Outputs'!T$52/INDIRECT("'"&amp;$H$3&amp;"'!T$96")/INDIRECT("'"&amp;$H$3&amp;"'!$H$19")))))))+(T309/INDIRECT("'"&amp;$H$3&amp;"'!T237")))/INDIRECT("'"&amp;$H$3&amp;"'!$H$10"),0),0)),0)</f>
        <v>0</v>
      </c>
      <c r="U310" s="837"/>
      <c r="V310" s="837"/>
      <c r="W310" s="837">
        <f ca="1">IFERROR(IF(INDIRECT("'"&amp;$H$3&amp;"'!W228")="Route-based",ROUND(W314*W316/INDIRECT("'"&amp;$H$3&amp;"'!$H$10"),0),IF(INDIRECT("'"&amp;$H$3&amp;"'!W228")="Point-to-point",ROUND(((W308*INDIRECT("'"&amp;$H$3&amp;"'!W$96")*((1/60)*(INDIRECT("'"&amp;$H$3&amp;"'!W233")+INDIRECT("'"&amp;$H$3&amp;"'!$H$19")*(INDIRECT("'"&amp;$H$3&amp;"'!W234")+(INDIRECT("'"&amp;$H$3&amp;"'!W235")*('2_Outputs'!W$52/INDIRECT("'"&amp;$H$3&amp;"'!W$96")/INDIRECT("'"&amp;$H$3&amp;"'!$H$19")))))))+(W309/INDIRECT("'"&amp;$H$3&amp;"'!W237")))/INDIRECT("'"&amp;$H$3&amp;"'!$H$10"),0),0)),0)</f>
        <v>0</v>
      </c>
      <c r="X310" s="1468"/>
      <c r="Y310" s="36"/>
      <c r="Z310" s="36"/>
      <c r="AA310" s="36"/>
      <c r="AB310" s="36"/>
      <c r="AC310" s="36"/>
      <c r="AD310" s="36"/>
      <c r="AE310" s="36"/>
      <c r="AF310" s="36"/>
      <c r="AG310" s="36"/>
      <c r="AH310" s="36"/>
      <c r="AI310" s="36"/>
      <c r="AJ310" s="36"/>
      <c r="AK310" s="242"/>
      <c r="AL310" s="36"/>
      <c r="AM310" s="36"/>
      <c r="AN310" s="36"/>
    </row>
    <row r="311" spans="6:40" ht="15" customHeight="1" outlineLevel="1">
      <c r="F311" s="52"/>
      <c r="G311" s="51" t="s">
        <v>86</v>
      </c>
      <c r="H311" s="839"/>
      <c r="I311" s="839"/>
      <c r="J311" s="839"/>
      <c r="K311" s="839">
        <f ca="1">IFERROR(IF(INDIRECT("'"&amp;$H$3&amp;"'!K228")="Route-based",IF(INDIRECT("'"&amp;$H$3&amp;"'!K225")="Yes",K211, IF(INDIRECT("'"&amp;$H$3&amp;"'!K225")="No",K310/(INDIRECT("'"&amp;$H$3&amp;"'!$H$9")*INDIRECT("'"&amp;$H$3&amp;"'!K224")))),
IF(INDIRECT("'"&amp;$H$3&amp;"'!K228")="Point-to-point",IF(INDIRECT("'"&amp;$H$3&amp;"'!K225")="Yes",K211,IF(INDIRECT("'"&amp;$H$3&amp;"'!K225")="No",K310/(INDIRECT("'"&amp;$H$3&amp;"'!$H$9")*INDIRECT("'"&amp;$H$3&amp;"'!K224")))),0)),0)</f>
        <v>0</v>
      </c>
      <c r="L311" s="839"/>
      <c r="M311" s="839"/>
      <c r="N311" s="839">
        <f ca="1">IFERROR(IF(INDIRECT("'"&amp;$H$3&amp;"'!N228")="Route-based",IF(INDIRECT("'"&amp;$H$3&amp;"'!N225")="Yes",N211, IF(INDIRECT("'"&amp;$H$3&amp;"'!N225")="No",N310/(INDIRECT("'"&amp;$H$3&amp;"'!$H$9")*INDIRECT("'"&amp;$H$3&amp;"'!N224")))),
IF(INDIRECT("'"&amp;$H$3&amp;"'!N228")="Point-to-point",IF(INDIRECT("'"&amp;$H$3&amp;"'!N225")="Yes",N211,IF(INDIRECT("'"&amp;$H$3&amp;"'!N225")="No",N310/(INDIRECT("'"&amp;$H$3&amp;"'!$H$9")*INDIRECT("'"&amp;$H$3&amp;"'!N224")))),0)),0)</f>
        <v>0</v>
      </c>
      <c r="O311" s="839"/>
      <c r="P311" s="839"/>
      <c r="Q311" s="839">
        <f ca="1">IFERROR(IF(INDIRECT("'"&amp;$H$3&amp;"'!Q228")="Route-based",IF(INDIRECT("'"&amp;$H$3&amp;"'!Q225")="Yes",Q211, IF(INDIRECT("'"&amp;$H$3&amp;"'!Q225")="No",Q310/(INDIRECT("'"&amp;$H$3&amp;"'!$H$9")*INDIRECT("'"&amp;$H$3&amp;"'!Q224")))),
IF(INDIRECT("'"&amp;$H$3&amp;"'!Q228")="Point-to-point",IF(INDIRECT("'"&amp;$H$3&amp;"'!Q225")="Yes",Q211,IF(INDIRECT("'"&amp;$H$3&amp;"'!Q225")="No",Q310/(INDIRECT("'"&amp;$H$3&amp;"'!$H$9")*INDIRECT("'"&amp;$H$3&amp;"'!Q224")))),0)),0)</f>
        <v>0</v>
      </c>
      <c r="R311" s="839"/>
      <c r="S311" s="839"/>
      <c r="T311" s="839">
        <f ca="1">IFERROR(IF(INDIRECT("'"&amp;$H$3&amp;"'!T228")="Route-based",IF(INDIRECT("'"&amp;$H$3&amp;"'!T225")="Yes",T211, IF(INDIRECT("'"&amp;$H$3&amp;"'!T225")="No",T310/(INDIRECT("'"&amp;$H$3&amp;"'!$H$9")*INDIRECT("'"&amp;$H$3&amp;"'!T224")))),
IF(INDIRECT("'"&amp;$H$3&amp;"'!T228")="Point-to-point",IF(INDIRECT("'"&amp;$H$3&amp;"'!T225")="Yes",T211,IF(INDIRECT("'"&amp;$H$3&amp;"'!T225")="No",T310/(INDIRECT("'"&amp;$H$3&amp;"'!$H$9")*INDIRECT("'"&amp;$H$3&amp;"'!T224")))),0)),0)</f>
        <v>0</v>
      </c>
      <c r="U311" s="839"/>
      <c r="V311" s="839"/>
      <c r="W311" s="839">
        <f ca="1">IFERROR(IF(INDIRECT("'"&amp;$H$3&amp;"'!W228")="Route-based",IF(INDIRECT("'"&amp;$H$3&amp;"'!W225")="Yes",W211, IF(INDIRECT("'"&amp;$H$3&amp;"'!W225")="No",W310/(INDIRECT("'"&amp;$H$3&amp;"'!$H$9")*INDIRECT("'"&amp;$H$3&amp;"'!W224")))),
IF(INDIRECT("'"&amp;$H$3&amp;"'!W228")="Point-to-point",IF(INDIRECT("'"&amp;$H$3&amp;"'!W225")="Yes",W211,IF(INDIRECT("'"&amp;$H$3&amp;"'!W225")="No",W310/(INDIRECT("'"&amp;$H$3&amp;"'!$H$9")*INDIRECT("'"&amp;$H$3&amp;"'!W224")))),0)),0)</f>
        <v>0</v>
      </c>
      <c r="X311" s="1470"/>
      <c r="Y311" s="36"/>
      <c r="Z311" s="36"/>
      <c r="AA311" s="36"/>
      <c r="AB311" s="36"/>
      <c r="AC311" s="36"/>
      <c r="AD311" s="36"/>
      <c r="AE311" s="36"/>
      <c r="AF311" s="36"/>
      <c r="AG311" s="36"/>
      <c r="AH311" s="36"/>
      <c r="AI311" s="36"/>
      <c r="AJ311" s="36"/>
      <c r="AK311" s="36" t="s">
        <v>191</v>
      </c>
      <c r="AL311" s="36"/>
      <c r="AM311" s="36"/>
      <c r="AN311" s="36"/>
    </row>
    <row r="312" spans="6:40" ht="15" customHeight="1" outlineLevel="1" collapsed="1">
      <c r="F312" s="52"/>
      <c r="G312" s="1613" t="s">
        <v>133</v>
      </c>
      <c r="H312" s="842"/>
      <c r="I312" s="842"/>
      <c r="J312" s="842"/>
      <c r="K312" s="842"/>
      <c r="L312" s="842"/>
      <c r="M312" s="842"/>
      <c r="N312" s="842"/>
      <c r="O312" s="842"/>
      <c r="P312" s="842"/>
      <c r="Q312" s="842"/>
      <c r="R312" s="1650"/>
      <c r="S312" s="1650"/>
      <c r="T312" s="842"/>
      <c r="U312" s="1650"/>
      <c r="V312" s="1650"/>
      <c r="W312" s="842"/>
      <c r="X312" s="1470"/>
      <c r="Y312" s="36"/>
      <c r="Z312" s="36"/>
      <c r="AA312" s="36"/>
      <c r="AB312" s="36"/>
      <c r="AC312" s="36"/>
      <c r="AD312" s="36"/>
      <c r="AE312" s="36"/>
      <c r="AF312" s="36"/>
      <c r="AG312" s="36"/>
      <c r="AH312" s="36"/>
      <c r="AI312" s="36"/>
      <c r="AJ312" s="36"/>
      <c r="AK312" s="36"/>
      <c r="AL312" s="36"/>
      <c r="AM312" s="36"/>
      <c r="AN312" s="36"/>
    </row>
    <row r="313" spans="6:40" ht="15" customHeight="1" outlineLevel="1">
      <c r="F313" s="52"/>
      <c r="G313" s="51" t="s">
        <v>129</v>
      </c>
      <c r="H313" s="836"/>
      <c r="I313" s="836"/>
      <c r="J313" s="836"/>
      <c r="K313" s="836">
        <f ca="1">IFERROR(((INDIRECT("'"&amp;$H$3&amp;"'!K229")*INDIRECT("'"&amp;$H$3&amp;"'!$H$10"))-(2*INDIRECT("'"&amp;$H$3&amp;"'!K$98")/INDIRECT("'"&amp;$H$3&amp;"'!K237"))+(INDIRECT("'"&amp;$H$3&amp;"'!K$99")/INDIRECT("'"&amp;$H$3&amp;"'!K236")))/(((1/60)*(INDIRECT("'"&amp;$H$3&amp;"'!K233")+INDIRECT("'"&amp;$H$3&amp;"'!$H$19")*(INDIRECT("'"&amp;$H$3&amp;"'!K234")+(INDIRECT("'"&amp;$H$3&amp;"'!K235")*('2_Outputs'!K$52/INDIRECT("'"&amp;$H$3&amp;"'!K$96")/INDIRECT("'"&amp;$H$3&amp;"'!$H$19"))))))+(INDIRECT("'"&amp;$H$3&amp;"'!K$99")/INDIRECT("'"&amp;$H$3&amp;"'!K236"))),0)</f>
        <v>0</v>
      </c>
      <c r="L313" s="836"/>
      <c r="M313" s="836"/>
      <c r="N313" s="836">
        <f ca="1">IFERROR(((INDIRECT("'"&amp;$H$3&amp;"'!N229")*INDIRECT("'"&amp;$H$3&amp;"'!$H$10"))-(2*INDIRECT("'"&amp;$H$3&amp;"'!N$98")/INDIRECT("'"&amp;$H$3&amp;"'!N237"))+(INDIRECT("'"&amp;$H$3&amp;"'!N$99")/INDIRECT("'"&amp;$H$3&amp;"'!N236")))/(((1/60)*(INDIRECT("'"&amp;$H$3&amp;"'!N233")+INDIRECT("'"&amp;$H$3&amp;"'!$H$19")*(INDIRECT("'"&amp;$H$3&amp;"'!N234")+(INDIRECT("'"&amp;$H$3&amp;"'!N235")*('2_Outputs'!N$52/INDIRECT("'"&amp;$H$3&amp;"'!N$96")/INDIRECT("'"&amp;$H$3&amp;"'!$H$19"))))))+(INDIRECT("'"&amp;$H$3&amp;"'!N$99")/INDIRECT("'"&amp;$H$3&amp;"'!N236"))),0)</f>
        <v>0</v>
      </c>
      <c r="O313" s="836"/>
      <c r="P313" s="836"/>
      <c r="Q313" s="836">
        <f ca="1">IFERROR(((INDIRECT("'"&amp;$H$3&amp;"'!Q229")*INDIRECT("'"&amp;$H$3&amp;"'!$H$10"))-(2*INDIRECT("'"&amp;$H$3&amp;"'!Q$98")/INDIRECT("'"&amp;$H$3&amp;"'!Q237"))+(INDIRECT("'"&amp;$H$3&amp;"'!Q$99")/INDIRECT("'"&amp;$H$3&amp;"'!Q236")))/(((1/60)*(INDIRECT("'"&amp;$H$3&amp;"'!Q233")+INDIRECT("'"&amp;$H$3&amp;"'!$H$19")*(INDIRECT("'"&amp;$H$3&amp;"'!Q234")+(INDIRECT("'"&amp;$H$3&amp;"'!Q235")*('2_Outputs'!Q$52/INDIRECT("'"&amp;$H$3&amp;"'!Q$96")/INDIRECT("'"&amp;$H$3&amp;"'!$H$19"))))))+(INDIRECT("'"&amp;$H$3&amp;"'!Q$99")/INDIRECT("'"&amp;$H$3&amp;"'!Q236"))),0)</f>
        <v>0</v>
      </c>
      <c r="R313" s="836"/>
      <c r="S313" s="836"/>
      <c r="T313" s="836">
        <f ca="1">IFERROR(((INDIRECT("'"&amp;$H$3&amp;"'!T229")*INDIRECT("'"&amp;$H$3&amp;"'!$H$10"))-(2*INDIRECT("'"&amp;$H$3&amp;"'!T$98")/INDIRECT("'"&amp;$H$3&amp;"'!T237"))+(INDIRECT("'"&amp;$H$3&amp;"'!T$99")/INDIRECT("'"&amp;$H$3&amp;"'!T236")))/(((1/60)*(INDIRECT("'"&amp;$H$3&amp;"'!T233")+INDIRECT("'"&amp;$H$3&amp;"'!$H$19")*(INDIRECT("'"&amp;$H$3&amp;"'!T234")+(INDIRECT("'"&amp;$H$3&amp;"'!T235")*('2_Outputs'!T$52/INDIRECT("'"&amp;$H$3&amp;"'!T$96")/INDIRECT("'"&amp;$H$3&amp;"'!$H$19"))))))+(INDIRECT("'"&amp;$H$3&amp;"'!T$99")/INDIRECT("'"&amp;$H$3&amp;"'!T236"))),0)</f>
        <v>0</v>
      </c>
      <c r="U313" s="836"/>
      <c r="V313" s="836"/>
      <c r="W313" s="836">
        <f ca="1">IFERROR(((INDIRECT("'"&amp;$H$3&amp;"'!W229")*INDIRECT("'"&amp;$H$3&amp;"'!$H$10"))-(2*INDIRECT("'"&amp;$H$3&amp;"'!W$98")/INDIRECT("'"&amp;$H$3&amp;"'!W237"))+(INDIRECT("'"&amp;$H$3&amp;"'!W$99")/INDIRECT("'"&amp;$H$3&amp;"'!W236")))/(((1/60)*(INDIRECT("'"&amp;$H$3&amp;"'!W233")+INDIRECT("'"&amp;$H$3&amp;"'!$H$19")*(INDIRECT("'"&amp;$H$3&amp;"'!W234")+(INDIRECT("'"&amp;$H$3&amp;"'!W235")*('2_Outputs'!W$52/INDIRECT("'"&amp;$H$3&amp;"'!W$96")/INDIRECT("'"&amp;$H$3&amp;"'!$H$19"))))))+(INDIRECT("'"&amp;$H$3&amp;"'!W$99")/INDIRECT("'"&amp;$H$3&amp;"'!W236"))),0)</f>
        <v>0</v>
      </c>
      <c r="X313" s="1469"/>
      <c r="Y313" s="36"/>
      <c r="Z313" s="36"/>
      <c r="AA313" s="36"/>
      <c r="AB313" s="36"/>
      <c r="AC313" s="36"/>
      <c r="AD313" s="36"/>
      <c r="AE313" s="36"/>
      <c r="AF313" s="36"/>
      <c r="AG313" s="36"/>
      <c r="AH313" s="36"/>
      <c r="AI313" s="36"/>
      <c r="AJ313" s="36"/>
      <c r="AK313" s="36"/>
      <c r="AL313" s="36"/>
      <c r="AM313" s="36"/>
      <c r="AN313" s="36"/>
    </row>
    <row r="314" spans="6:40" ht="15" customHeight="1" outlineLevel="1">
      <c r="F314" s="52"/>
      <c r="G314" s="51" t="s">
        <v>206</v>
      </c>
      <c r="H314" s="836"/>
      <c r="I314" s="836"/>
      <c r="J314" s="836"/>
      <c r="K314" s="836">
        <f ca="1">IFERROR(ROUND(K308*INDIRECT("'"&amp;$H$3&amp;"'!K$96")/K313,0),0)</f>
        <v>0</v>
      </c>
      <c r="L314" s="836"/>
      <c r="M314" s="836"/>
      <c r="N314" s="836">
        <f ca="1">IFERROR(ROUND(N308*INDIRECT("'"&amp;$H$3&amp;"'!N$96")/N313,0),0)</f>
        <v>0</v>
      </c>
      <c r="O314" s="836"/>
      <c r="P314" s="836"/>
      <c r="Q314" s="836">
        <f ca="1">IFERROR(ROUND(Q308*INDIRECT("'"&amp;$H$3&amp;"'!Q$96")/Q313,0),0)</f>
        <v>0</v>
      </c>
      <c r="R314" s="836"/>
      <c r="S314" s="836"/>
      <c r="T314" s="836">
        <f ca="1">IFERROR(ROUND(T308*INDIRECT("'"&amp;$H$3&amp;"'!T$96")/T313,0),0)</f>
        <v>0</v>
      </c>
      <c r="U314" s="836"/>
      <c r="V314" s="836"/>
      <c r="W314" s="836">
        <f ca="1">IFERROR(ROUND(W308*INDIRECT("'"&amp;$H$3&amp;"'!W$96")/W313,0),0)</f>
        <v>0</v>
      </c>
      <c r="X314" s="1469"/>
      <c r="Y314" s="36"/>
      <c r="Z314" s="36"/>
      <c r="AA314" s="36"/>
      <c r="AB314" s="36"/>
      <c r="AC314" s="36"/>
      <c r="AD314" s="36"/>
      <c r="AE314" s="36"/>
      <c r="AF314" s="36"/>
      <c r="AG314" s="36"/>
      <c r="AH314" s="36"/>
      <c r="AI314" s="36"/>
      <c r="AJ314" s="36"/>
      <c r="AK314" s="36"/>
      <c r="AL314" s="36"/>
      <c r="AM314" s="36"/>
      <c r="AN314" s="36"/>
    </row>
    <row r="315" spans="6:40" ht="15" customHeight="1" outlineLevel="1">
      <c r="F315" s="52"/>
      <c r="G315" s="51" t="s">
        <v>87</v>
      </c>
      <c r="H315" s="836"/>
      <c r="I315" s="836"/>
      <c r="J315" s="836"/>
      <c r="K315" s="836">
        <f ca="1">IFERROR(IF(K308=0,0,(2*INDIRECT("'"&amp;$H$3&amp;"'!K$98"))+((MAX(K313, 1)-1)*INDIRECT("'"&amp;$H$3&amp;"'!K$99"))),0)</f>
        <v>0</v>
      </c>
      <c r="L315" s="836"/>
      <c r="M315" s="836"/>
      <c r="N315" s="836">
        <f ca="1">IFERROR(IF(N308=0,0,(2*INDIRECT("'"&amp;$H$3&amp;"'!N$98"))+((MAX(N313, 1)-1)*INDIRECT("'"&amp;$H$3&amp;"'!N$99"))),0)</f>
        <v>0</v>
      </c>
      <c r="O315" s="836"/>
      <c r="P315" s="836"/>
      <c r="Q315" s="836">
        <f ca="1">IFERROR(IF(Q308=0,0,(2*INDIRECT("'"&amp;$H$3&amp;"'!Q$98"))+((MAX(Q313, 1)-1)*INDIRECT("'"&amp;$H$3&amp;"'!Q$99"))),0)</f>
        <v>0</v>
      </c>
      <c r="R315" s="836"/>
      <c r="S315" s="836"/>
      <c r="T315" s="836">
        <f ca="1">IFERROR(IF(T308=0,0,(2*INDIRECT("'"&amp;$H$3&amp;"'!T$98"))+((MAX(T313, 1)-1)*INDIRECT("'"&amp;$H$3&amp;"'!T$99"))),0)</f>
        <v>0</v>
      </c>
      <c r="U315" s="836"/>
      <c r="V315" s="836"/>
      <c r="W315" s="836">
        <f ca="1">IFERROR(IF(W308=0,0,(2*INDIRECT("'"&amp;$H$3&amp;"'!W$98"))+((MAX(W313, 1)-1)*INDIRECT("'"&amp;$H$3&amp;"'!W$99"))),0)</f>
        <v>0</v>
      </c>
      <c r="X315" s="1469"/>
      <c r="Y315" s="36"/>
      <c r="Z315" s="36"/>
      <c r="AA315" s="36"/>
      <c r="AB315" s="36"/>
      <c r="AC315" s="36"/>
      <c r="AD315" s="36"/>
      <c r="AE315" s="36"/>
      <c r="AF315" s="36"/>
      <c r="AG315" s="36"/>
      <c r="AH315" s="36"/>
      <c r="AI315" s="36"/>
      <c r="AJ315" s="36"/>
      <c r="AK315" s="36"/>
      <c r="AL315" s="36"/>
      <c r="AM315" s="36"/>
      <c r="AN315" s="36"/>
    </row>
    <row r="316" spans="6:40" ht="15" customHeight="1" outlineLevel="1">
      <c r="F316" s="52"/>
      <c r="G316" s="51" t="s">
        <v>203</v>
      </c>
      <c r="H316" s="836"/>
      <c r="I316" s="836"/>
      <c r="J316" s="836"/>
      <c r="K316" s="836">
        <f ca="1">IFERROR((ROUNDUP(K313,1)*((1/60)*(INDIRECT("'"&amp;$H$3&amp;"'!K233")+INDIRECT("'"&amp;$H$3&amp;"'!$H$19")*(INDIRECT("'"&amp;$H$3&amp;"'!K234")+(INDIRECT("'"&amp;$H$3&amp;"'!K235")*('2_Outputs'!K$52/INDIRECT("'"&amp;$H$3&amp;"'!K$96")/INDIRECT("'"&amp;$H$3&amp;"'!$H$19")))))))+((2*INDIRECT("'"&amp;$H$3&amp;"'!K$98"))/INDIRECT("'"&amp;$H$3&amp;"'!K237"))+(((MAX(K313,1)-1)*INDIRECT("'"&amp;$H$3&amp;"'!K$99"))/INDIRECT("'"&amp;$H$3&amp;"'!K236")),0)</f>
        <v>0</v>
      </c>
      <c r="L316" s="836"/>
      <c r="M316" s="836"/>
      <c r="N316" s="836">
        <f ca="1">IFERROR((ROUNDUP(N313,1)*((1/60)*(INDIRECT("'"&amp;$H$3&amp;"'!N233")+INDIRECT("'"&amp;$H$3&amp;"'!$H$19")*(INDIRECT("'"&amp;$H$3&amp;"'!N234")+(INDIRECT("'"&amp;$H$3&amp;"'!N235")*('2_Outputs'!N$52/INDIRECT("'"&amp;$H$3&amp;"'!N$96")/INDIRECT("'"&amp;$H$3&amp;"'!$H$19")))))))+((2*INDIRECT("'"&amp;$H$3&amp;"'!N$98"))/INDIRECT("'"&amp;$H$3&amp;"'!N237"))+(((MAX(N313,1)-1)*INDIRECT("'"&amp;$H$3&amp;"'!N$99"))/INDIRECT("'"&amp;$H$3&amp;"'!N236")),0)</f>
        <v>0</v>
      </c>
      <c r="O316" s="836"/>
      <c r="P316" s="836"/>
      <c r="Q316" s="836">
        <f ca="1">IFERROR((ROUNDUP(Q313,1)*((1/60)*(INDIRECT("'"&amp;$H$3&amp;"'!Q233")+INDIRECT("'"&amp;$H$3&amp;"'!$H$19")*(INDIRECT("'"&amp;$H$3&amp;"'!Q234")+(INDIRECT("'"&amp;$H$3&amp;"'!Q235")*('2_Outputs'!Q$52/INDIRECT("'"&amp;$H$3&amp;"'!Q$96")/INDIRECT("'"&amp;$H$3&amp;"'!$H$19")))))))+((2*INDIRECT("'"&amp;$H$3&amp;"'!Q$98"))/INDIRECT("'"&amp;$H$3&amp;"'!Q237"))+(((MAX(Q313,1)-1)*INDIRECT("'"&amp;$H$3&amp;"'!Q$99"))/INDIRECT("'"&amp;$H$3&amp;"'!Q236")),0)</f>
        <v>0</v>
      </c>
      <c r="R316" s="836"/>
      <c r="S316" s="836"/>
      <c r="T316" s="836">
        <f ca="1">IFERROR((ROUNDUP(T313,1)*((1/60)*(INDIRECT("'"&amp;$H$3&amp;"'!T233")+INDIRECT("'"&amp;$H$3&amp;"'!$H$19")*(INDIRECT("'"&amp;$H$3&amp;"'!T234")+(INDIRECT("'"&amp;$H$3&amp;"'!T235")*('2_Outputs'!T$52/INDIRECT("'"&amp;$H$3&amp;"'!T$96")/INDIRECT("'"&amp;$H$3&amp;"'!$H$19")))))))+((2*INDIRECT("'"&amp;$H$3&amp;"'!T$98"))/INDIRECT("'"&amp;$H$3&amp;"'!T237"))+(((MAX(T313,1)-1)*INDIRECT("'"&amp;$H$3&amp;"'!T$99"))/INDIRECT("'"&amp;$H$3&amp;"'!T236")),0)</f>
        <v>0</v>
      </c>
      <c r="U316" s="836"/>
      <c r="V316" s="836"/>
      <c r="W316" s="836">
        <f ca="1">IFERROR((ROUNDUP(W313,1)*((1/60)*(INDIRECT("'"&amp;$H$3&amp;"'!W233")+INDIRECT("'"&amp;$H$3&amp;"'!$H$19")*(INDIRECT("'"&amp;$H$3&amp;"'!W234")+(INDIRECT("'"&amp;$H$3&amp;"'!W235")*('2_Outputs'!W$52/INDIRECT("'"&amp;$H$3&amp;"'!W$96")/INDIRECT("'"&amp;$H$3&amp;"'!$H$19")))))))+((2*INDIRECT("'"&amp;$H$3&amp;"'!W$98"))/INDIRECT("'"&amp;$H$3&amp;"'!W237"))+(((MAX(W313,1)-1)*INDIRECT("'"&amp;$H$3&amp;"'!W$99"))/INDIRECT("'"&amp;$H$3&amp;"'!W236")),0)</f>
        <v>0</v>
      </c>
      <c r="X316" s="1465"/>
      <c r="Y316" s="36"/>
      <c r="Z316" s="36"/>
      <c r="AA316" s="36"/>
      <c r="AB316" s="36"/>
      <c r="AC316" s="36"/>
      <c r="AD316" s="36"/>
      <c r="AE316" s="36"/>
      <c r="AF316" s="36"/>
      <c r="AG316" s="36"/>
      <c r="AH316" s="36"/>
      <c r="AI316" s="36"/>
      <c r="AJ316" s="36"/>
      <c r="AK316" s="36"/>
      <c r="AL316" s="36"/>
      <c r="AM316" s="36"/>
      <c r="AN316" s="36"/>
    </row>
    <row r="317" spans="6:40" ht="15" customHeight="1" outlineLevel="1">
      <c r="F317" s="52"/>
      <c r="G317" s="51" t="s">
        <v>204</v>
      </c>
      <c r="H317" s="836"/>
      <c r="I317" s="836"/>
      <c r="J317" s="836"/>
      <c r="K317" s="836">
        <f ca="1">IFERROR((INDIRECT("'"&amp;$H$3&amp;"'!$H$10")*INDIRECT("'"&amp;$H$3&amp;"'!$H$9")*INDIRECT("'"&amp;$H$3&amp;"'!K224"))/K316,0)</f>
        <v>0</v>
      </c>
      <c r="L317" s="836"/>
      <c r="M317" s="836"/>
      <c r="N317" s="836">
        <f ca="1">IFERROR((INDIRECT("'"&amp;$H$3&amp;"'!$H$10")*INDIRECT("'"&amp;$H$3&amp;"'!$H$9")*INDIRECT("'"&amp;$H$3&amp;"'!N224"))/N316,0)</f>
        <v>0</v>
      </c>
      <c r="O317" s="836"/>
      <c r="P317" s="836"/>
      <c r="Q317" s="836">
        <f ca="1">IFERROR((INDIRECT("'"&amp;$H$3&amp;"'!$H$10")*INDIRECT("'"&amp;$H$3&amp;"'!$H$9")*INDIRECT("'"&amp;$H$3&amp;"'!Q224"))/Q316,0)</f>
        <v>0</v>
      </c>
      <c r="R317" s="836"/>
      <c r="S317" s="836"/>
      <c r="T317" s="836">
        <f ca="1">IFERROR((INDIRECT("'"&amp;$H$3&amp;"'!$H$10")*INDIRECT("'"&amp;$H$3&amp;"'!$H$9")*INDIRECT("'"&amp;$H$3&amp;"'!T224"))/T316,0)</f>
        <v>0</v>
      </c>
      <c r="U317" s="836"/>
      <c r="V317" s="836"/>
      <c r="W317" s="836">
        <f ca="1">IFERROR((INDIRECT("'"&amp;$H$3&amp;"'!$H$10")*INDIRECT("'"&amp;$H$3&amp;"'!$H$9")*INDIRECT("'"&amp;$H$3&amp;"'!W224"))/W316,0)</f>
        <v>0</v>
      </c>
      <c r="X317" s="1465"/>
      <c r="Y317" s="36"/>
      <c r="Z317" s="36"/>
      <c r="AA317" s="36"/>
      <c r="AB317" s="36"/>
      <c r="AC317" s="36"/>
      <c r="AD317" s="36"/>
      <c r="AE317" s="36"/>
      <c r="AF317" s="36"/>
      <c r="AG317" s="36"/>
      <c r="AH317" s="36"/>
      <c r="AI317" s="36"/>
      <c r="AJ317" s="36"/>
      <c r="AK317" s="242"/>
      <c r="AL317" s="36"/>
      <c r="AM317" s="36"/>
      <c r="AN317" s="36"/>
    </row>
    <row r="318" spans="6:40" ht="15" customHeight="1" outlineLevel="1">
      <c r="F318" s="52"/>
      <c r="G318" s="1613" t="s">
        <v>134</v>
      </c>
      <c r="H318" s="842"/>
      <c r="I318" s="842"/>
      <c r="J318" s="842"/>
      <c r="K318" s="842"/>
      <c r="L318" s="842"/>
      <c r="M318" s="842"/>
      <c r="N318" s="842"/>
      <c r="O318" s="842"/>
      <c r="P318" s="842"/>
      <c r="Q318" s="842"/>
      <c r="R318" s="1650"/>
      <c r="S318" s="1650"/>
      <c r="T318" s="842"/>
      <c r="U318" s="1650"/>
      <c r="V318" s="1650"/>
      <c r="W318" s="842"/>
      <c r="X318" s="1470"/>
      <c r="Y318" s="36"/>
      <c r="Z318" s="36"/>
      <c r="AA318" s="36"/>
      <c r="AB318" s="36"/>
      <c r="AC318" s="36"/>
      <c r="AD318" s="36"/>
      <c r="AE318" s="36"/>
      <c r="AF318" s="36"/>
      <c r="AG318" s="36"/>
      <c r="AH318" s="36"/>
      <c r="AI318" s="36"/>
      <c r="AJ318" s="36"/>
      <c r="AK318" s="242"/>
      <c r="AL318" s="36"/>
      <c r="AM318" s="36"/>
      <c r="AN318" s="36"/>
    </row>
    <row r="319" spans="6:40" ht="15" customHeight="1" outlineLevel="1">
      <c r="F319" s="52"/>
      <c r="G319" s="51" t="s">
        <v>206</v>
      </c>
      <c r="H319" s="836"/>
      <c r="I319" s="836"/>
      <c r="J319" s="836"/>
      <c r="K319" s="836">
        <f ca="1">IFERROR(K308*INDIRECT("'"&amp;$H$3&amp;"'!K$96"),0)</f>
        <v>0</v>
      </c>
      <c r="L319" s="836"/>
      <c r="M319" s="836"/>
      <c r="N319" s="836">
        <f ca="1">IFERROR(N308*INDIRECT("'"&amp;$H$3&amp;"'!N$96"),0)</f>
        <v>0</v>
      </c>
      <c r="O319" s="836"/>
      <c r="P319" s="836"/>
      <c r="Q319" s="836">
        <f ca="1">IFERROR(Q308*INDIRECT("'"&amp;$H$3&amp;"'!Q$96"),0)</f>
        <v>0</v>
      </c>
      <c r="R319" s="836"/>
      <c r="S319" s="836"/>
      <c r="T319" s="836">
        <f ca="1">IFERROR(T308*INDIRECT("'"&amp;$H$3&amp;"'!T$96"),0)</f>
        <v>0</v>
      </c>
      <c r="U319" s="836"/>
      <c r="V319" s="836"/>
      <c r="W319" s="836">
        <f ca="1">IFERROR(W308*INDIRECT("'"&amp;$H$3&amp;"'!W$96"),0)</f>
        <v>0</v>
      </c>
      <c r="X319" s="1469"/>
      <c r="Y319" s="36"/>
      <c r="Z319" s="36"/>
      <c r="AA319" s="36"/>
      <c r="AB319" s="36" t="s">
        <v>192</v>
      </c>
      <c r="AC319" s="36"/>
      <c r="AD319" s="36" t="s">
        <v>193</v>
      </c>
      <c r="AE319" s="36"/>
      <c r="AF319" s="36"/>
      <c r="AG319" s="36"/>
      <c r="AH319" s="36"/>
      <c r="AI319" s="36"/>
      <c r="AJ319" s="36"/>
      <c r="AK319" s="36"/>
      <c r="AL319" s="36"/>
      <c r="AM319" s="36"/>
      <c r="AN319" s="36"/>
    </row>
    <row r="320" spans="6:40" ht="15" customHeight="1" outlineLevel="1">
      <c r="F320" s="52"/>
      <c r="G320" s="51" t="s">
        <v>87</v>
      </c>
      <c r="H320" s="836"/>
      <c r="I320" s="836"/>
      <c r="J320" s="836"/>
      <c r="K320" s="836">
        <f ca="1">IFERROR(IF(K308=0,0,2*INDIRECT("'"&amp;$H$3&amp;"'!K$98")),0)</f>
        <v>0</v>
      </c>
      <c r="L320" s="836"/>
      <c r="M320" s="836"/>
      <c r="N320" s="836">
        <f ca="1">IFERROR(IF(N308=0,0,2*INDIRECT("'"&amp;$H$3&amp;"'!N$98")),0)</f>
        <v>0</v>
      </c>
      <c r="O320" s="836"/>
      <c r="P320" s="836"/>
      <c r="Q320" s="836">
        <f ca="1">IFERROR(IF(Q308=0,0,2*INDIRECT("'"&amp;$H$3&amp;"'!Q$98")),0)</f>
        <v>0</v>
      </c>
      <c r="R320" s="836"/>
      <c r="S320" s="836"/>
      <c r="T320" s="836">
        <f ca="1">IFERROR(IF(T308=0,0,2*INDIRECT("'"&amp;$H$3&amp;"'!T$98")),0)</f>
        <v>0</v>
      </c>
      <c r="U320" s="836"/>
      <c r="V320" s="836"/>
      <c r="W320" s="836">
        <f ca="1">IFERROR(IF(W308=0,0,2*INDIRECT("'"&amp;$H$3&amp;"'!W$98")),0)</f>
        <v>0</v>
      </c>
      <c r="X320" s="1469"/>
      <c r="Y320" s="36"/>
      <c r="Z320" s="36"/>
      <c r="AA320" s="36"/>
      <c r="AB320" s="36" t="s">
        <v>194</v>
      </c>
      <c r="AC320" s="36"/>
      <c r="AD320" s="36" t="s">
        <v>195</v>
      </c>
      <c r="AE320" s="36"/>
      <c r="AF320" s="36"/>
      <c r="AG320" s="36"/>
      <c r="AH320" s="36"/>
      <c r="AI320" s="36"/>
      <c r="AJ320" s="36"/>
      <c r="AK320" s="36"/>
      <c r="AL320" s="36"/>
      <c r="AM320" s="36"/>
      <c r="AN320" s="36"/>
    </row>
    <row r="321" spans="6:40" ht="15" customHeight="1" outlineLevel="1">
      <c r="F321" s="52"/>
      <c r="G321" s="51" t="s">
        <v>204</v>
      </c>
      <c r="H321" s="837"/>
      <c r="I321" s="837"/>
      <c r="J321" s="837"/>
      <c r="K321" s="837">
        <f ca="1">IFERROR((INDIRECT("'"&amp;$H$3&amp;"'!$H$10")*INDIRECT("'"&amp;$H$3&amp;"'!$H$9")*INDIRECT("'"&amp;$H$3&amp;"'!K224"))/((K320/INDIRECT("'"&amp;$H$3&amp;"'!K237"))+((1/60)*(INDIRECT("'"&amp;$H$3&amp;"'!K233")+INDIRECT("'"&amp;$H$3&amp;"'!$H$19")*(INDIRECT("'"&amp;$H$3&amp;"'!K234")+(INDIRECT("'"&amp;$H$3&amp;"'!K235")*('2_Outputs'!K$52/INDIRECT("'"&amp;$H$3&amp;"'!K$96")/INDIRECT("'"&amp;$H$3&amp;"'!$H$19"))))))),0)</f>
        <v>0</v>
      </c>
      <c r="L321" s="837"/>
      <c r="M321" s="837"/>
      <c r="N321" s="837">
        <f ca="1">IFERROR((INDIRECT("'"&amp;$H$3&amp;"'!$H$10")*INDIRECT("'"&amp;$H$3&amp;"'!$H$9")*INDIRECT("'"&amp;$H$3&amp;"'!N224"))/((N320/INDIRECT("'"&amp;$H$3&amp;"'!N237"))+((1/60)*(INDIRECT("'"&amp;$H$3&amp;"'!N233")+INDIRECT("'"&amp;$H$3&amp;"'!$H$19")*(INDIRECT("'"&amp;$H$3&amp;"'!N234")+(INDIRECT("'"&amp;$H$3&amp;"'!N235")*('2_Outputs'!N$52/INDIRECT("'"&amp;$H$3&amp;"'!N$96")/INDIRECT("'"&amp;$H$3&amp;"'!$H$19"))))))),0)</f>
        <v>0</v>
      </c>
      <c r="O321" s="837"/>
      <c r="P321" s="837"/>
      <c r="Q321" s="837">
        <f ca="1">IFERROR((INDIRECT("'"&amp;$H$3&amp;"'!$H$10")*INDIRECT("'"&amp;$H$3&amp;"'!$H$9")*INDIRECT("'"&amp;$H$3&amp;"'!Q224"))/((Q320/INDIRECT("'"&amp;$H$3&amp;"'!Q237"))+((1/60)*(INDIRECT("'"&amp;$H$3&amp;"'!Q233")+INDIRECT("'"&amp;$H$3&amp;"'!$H$19")*(INDIRECT("'"&amp;$H$3&amp;"'!Q234")+(INDIRECT("'"&amp;$H$3&amp;"'!Q235")*('2_Outputs'!Q$52/INDIRECT("'"&amp;$H$3&amp;"'!Q$96")/INDIRECT("'"&amp;$H$3&amp;"'!$H$19"))))))),0)</f>
        <v>0</v>
      </c>
      <c r="R321" s="837"/>
      <c r="S321" s="837"/>
      <c r="T321" s="837">
        <f ca="1">IFERROR((INDIRECT("'"&amp;$H$3&amp;"'!$H$10")*INDIRECT("'"&amp;$H$3&amp;"'!$H$9")*INDIRECT("'"&amp;$H$3&amp;"'!T224"))/((T320/INDIRECT("'"&amp;$H$3&amp;"'!T237"))+((1/60)*(INDIRECT("'"&amp;$H$3&amp;"'!T233")+INDIRECT("'"&amp;$H$3&amp;"'!$H$19")*(INDIRECT("'"&amp;$H$3&amp;"'!T234")+(INDIRECT("'"&amp;$H$3&amp;"'!T235")*('2_Outputs'!T$52/INDIRECT("'"&amp;$H$3&amp;"'!T$96")/INDIRECT("'"&amp;$H$3&amp;"'!$H$19"))))))),0)</f>
        <v>0</v>
      </c>
      <c r="U321" s="837"/>
      <c r="V321" s="837"/>
      <c r="W321" s="837">
        <f ca="1">IFERROR((INDIRECT("'"&amp;$H$3&amp;"'!$H$10")*INDIRECT("'"&amp;$H$3&amp;"'!$H$9")*INDIRECT("'"&amp;$H$3&amp;"'!W224"))/((W320/INDIRECT("'"&amp;$H$3&amp;"'!W237"))+((1/60)*(INDIRECT("'"&amp;$H$3&amp;"'!W233")+INDIRECT("'"&amp;$H$3&amp;"'!$H$19")*(INDIRECT("'"&amp;$H$3&amp;"'!W234")+(INDIRECT("'"&amp;$H$3&amp;"'!W235")*('2_Outputs'!W$52/INDIRECT("'"&amp;$H$3&amp;"'!W$96")/INDIRECT("'"&amp;$H$3&amp;"'!$H$19"))))))),0)</f>
        <v>0</v>
      </c>
      <c r="X321" s="1468"/>
      <c r="Y321" s="36"/>
      <c r="Z321" s="36"/>
      <c r="AA321" s="36"/>
      <c r="AB321" s="36" t="s">
        <v>196</v>
      </c>
      <c r="AC321" s="36"/>
      <c r="AD321" s="36" t="s">
        <v>197</v>
      </c>
      <c r="AE321" s="36"/>
      <c r="AF321" s="36"/>
      <c r="AG321" s="36"/>
      <c r="AH321" s="36"/>
      <c r="AI321" s="36"/>
      <c r="AJ321" s="36"/>
      <c r="AK321" s="36"/>
      <c r="AL321" s="36"/>
      <c r="AM321" s="36"/>
      <c r="AN321" s="36"/>
    </row>
    <row r="322" spans="6:40" ht="48" customHeight="1">
      <c r="F322" s="1661" t="s">
        <v>2505</v>
      </c>
      <c r="G322" s="1662"/>
      <c r="H322" s="1673"/>
      <c r="I322" s="1673"/>
      <c r="J322" s="1673"/>
      <c r="K322" s="1516" t="str">
        <f ca="1">IF($H$9&gt;=2,INDIRECT("'"&amp;$H$3&amp;"'!J$130"),"")</f>
        <v>CMS  to  Regional WH</v>
      </c>
      <c r="L322" s="1516" t="str">
        <f t="shared" ref="L322:V322" ca="1" si="20">IF($H$9&gt;=1,"Tier 1","")</f>
        <v>Tier 1</v>
      </c>
      <c r="M322" s="1516" t="str">
        <f t="shared" ca="1" si="20"/>
        <v>Tier 1</v>
      </c>
      <c r="N322" s="1516" t="str">
        <f ca="1">IF($H$9&gt;=3,INDIRECT("'"&amp;$H$3&amp;"'!M$130"),"")</f>
        <v>Regional WH  to  Health Facility</v>
      </c>
      <c r="O322" s="1516" t="str">
        <f t="shared" ca="1" si="20"/>
        <v>Tier 1</v>
      </c>
      <c r="P322" s="1516" t="str">
        <f t="shared" ca="1" si="20"/>
        <v>Tier 1</v>
      </c>
      <c r="Q322" s="1517" t="str">
        <f ca="1">IF($H$9&gt;=4,INDIRECT("'"&amp;$H$3&amp;"'!P$130"),"")</f>
        <v/>
      </c>
      <c r="R322" s="1511" t="str">
        <f t="shared" ca="1" si="20"/>
        <v>Tier 1</v>
      </c>
      <c r="S322" s="1511" t="str">
        <f t="shared" ca="1" si="20"/>
        <v>Tier 1</v>
      </c>
      <c r="T322" s="1517" t="str">
        <f ca="1">IF($H$9&gt;=5,INDIRECT("'"&amp;$H$3&amp;"'!S$130"),"")</f>
        <v/>
      </c>
      <c r="U322" s="1518" t="str">
        <f t="shared" ca="1" si="20"/>
        <v>Tier 1</v>
      </c>
      <c r="V322" s="1518" t="str">
        <f t="shared" ca="1" si="20"/>
        <v>Tier 1</v>
      </c>
      <c r="W322" s="1517" t="str">
        <f ca="1">IF($H$9&gt;=6,INDIRECT("'"&amp;$H$3&amp;"'!V$130"),"")</f>
        <v/>
      </c>
      <c r="X322" s="1474"/>
      <c r="Y322" s="36"/>
      <c r="Z322" s="36"/>
      <c r="AA322" s="36"/>
      <c r="AB322" s="36"/>
      <c r="AC322" s="36"/>
      <c r="AD322" s="36"/>
      <c r="AE322" s="36"/>
      <c r="AF322" s="36"/>
      <c r="AG322" s="36"/>
      <c r="AH322" s="36"/>
      <c r="AI322" s="36"/>
      <c r="AJ322" s="36"/>
      <c r="AK322" s="36"/>
      <c r="AL322" s="36"/>
      <c r="AM322" s="36"/>
      <c r="AN322" s="36"/>
    </row>
    <row r="323" spans="6:40" ht="15" customHeight="1" outlineLevel="1">
      <c r="F323" s="1664" t="s">
        <v>149</v>
      </c>
      <c r="G323" s="1664"/>
      <c r="H323" s="865"/>
      <c r="I323" s="865"/>
      <c r="J323" s="865"/>
      <c r="K323" s="865"/>
      <c r="L323" s="865"/>
      <c r="M323" s="865"/>
      <c r="N323" s="865"/>
      <c r="O323" s="1674"/>
      <c r="P323" s="1674"/>
      <c r="Q323" s="1671"/>
      <c r="R323" s="1672"/>
      <c r="S323" s="1672"/>
      <c r="T323" s="1671"/>
      <c r="U323" s="1672"/>
      <c r="V323" s="1672"/>
      <c r="W323" s="1671"/>
      <c r="X323" s="1479"/>
      <c r="Y323" s="36"/>
      <c r="Z323" s="36"/>
      <c r="AA323" s="36"/>
      <c r="AB323" s="36"/>
      <c r="AC323" s="36"/>
      <c r="AD323" s="36"/>
      <c r="AE323" s="36"/>
      <c r="AF323" s="36"/>
      <c r="AG323" s="36"/>
      <c r="AH323" s="36"/>
      <c r="AI323" s="36"/>
      <c r="AJ323" s="36"/>
      <c r="AK323" s="242"/>
      <c r="AL323" s="36"/>
      <c r="AM323" s="36"/>
      <c r="AN323" s="36"/>
    </row>
    <row r="324" spans="6:40" ht="15" customHeight="1" outlineLevel="1">
      <c r="F324" s="52"/>
      <c r="G324" s="51" t="s">
        <v>146</v>
      </c>
      <c r="H324" s="837"/>
      <c r="I324" s="837"/>
      <c r="J324" s="837"/>
      <c r="K324" s="837">
        <f ca="1">IFERROR(IF(COUNTIF(INDIRECT("'"&amp;$H$3&amp;"'!K240"),"Public Transport*")=1,IF(INDIRECT("'"&amp;$H$3&amp;"'!K248")="Route-based",K331*INDIRECT("'"&amp;$H$3&amp;"'!K$96"),IF(INDIRECT("'"&amp;$H$3&amp;"'!K248")="Point-to-point",K334*INDIRECT("'"&amp;$H$3&amp;"'!K$96"),0)),0),0)</f>
        <v>0</v>
      </c>
      <c r="L324" s="837"/>
      <c r="M324" s="837"/>
      <c r="N324" s="837">
        <f ca="1">IFERROR(IF(COUNTIF(INDIRECT("'"&amp;$H$3&amp;"'!N240"),"Public Transport*")=1,IF(INDIRECT("'"&amp;$H$3&amp;"'!N248")="Route-based",N331*INDIRECT("'"&amp;$H$3&amp;"'!N$96"),IF(INDIRECT("'"&amp;$H$3&amp;"'!N248")="Point-to-point",N334*INDIRECT("'"&amp;$H$3&amp;"'!N$96"),0)),0),0)</f>
        <v>0</v>
      </c>
      <c r="O324" s="837"/>
      <c r="P324" s="837"/>
      <c r="Q324" s="837">
        <f ca="1">IFERROR(IF(COUNTIF(INDIRECT("'"&amp;$H$3&amp;"'!Q240"),"Public Transport*")=1,IF(INDIRECT("'"&amp;$H$3&amp;"'!Q248")="Route-based",Q331*INDIRECT("'"&amp;$H$3&amp;"'!Q$96"),IF(INDIRECT("'"&amp;$H$3&amp;"'!Q248")="Point-to-point",Q334*INDIRECT("'"&amp;$H$3&amp;"'!Q$96"),0)),0),0)</f>
        <v>0</v>
      </c>
      <c r="R324" s="1650"/>
      <c r="S324" s="1650"/>
      <c r="T324" s="837">
        <f ca="1">IFERROR(IF(COUNTIF(INDIRECT("'"&amp;$H$3&amp;"'!T240"),"Public Transport*")=1,IF(INDIRECT("'"&amp;$H$3&amp;"'!T248")="Route-based",T331*INDIRECT("'"&amp;$H$3&amp;"'!T$96"),IF(INDIRECT("'"&amp;$H$3&amp;"'!T248")="Point-to-point",T334*INDIRECT("'"&amp;$H$3&amp;"'!T$96"),0)),0),0)</f>
        <v>0</v>
      </c>
      <c r="U324" s="1650"/>
      <c r="V324" s="1650"/>
      <c r="W324" s="837">
        <f ca="1">IFERROR(IF(COUNTIF(INDIRECT("'"&amp;$H$3&amp;"'!W240"),"Public Transport*")=1,IF(INDIRECT("'"&amp;$H$3&amp;"'!W248")="Route-based",W331*INDIRECT("'"&amp;$H$3&amp;"'!W$96"),IF(INDIRECT("'"&amp;$H$3&amp;"'!W248")="Point-to-point",W334*INDIRECT("'"&amp;$H$3&amp;"'!W$96"),0)),0),0)</f>
        <v>0</v>
      </c>
      <c r="X324" s="1468"/>
      <c r="Y324" s="36"/>
      <c r="Z324" s="36"/>
      <c r="AA324" s="36"/>
      <c r="AB324" s="36"/>
      <c r="AC324" s="36"/>
      <c r="AD324" s="36"/>
      <c r="AE324" s="36"/>
      <c r="AF324" s="36"/>
      <c r="AG324" s="36"/>
      <c r="AH324" s="36"/>
      <c r="AI324" s="36"/>
      <c r="AJ324" s="36"/>
      <c r="AK324" s="242"/>
      <c r="AL324" s="36"/>
      <c r="AM324" s="36"/>
      <c r="AN324" s="36"/>
    </row>
    <row r="325" spans="6:40" ht="15" customHeight="1" outlineLevel="1">
      <c r="F325" s="52"/>
      <c r="G325" s="51" t="s">
        <v>147</v>
      </c>
      <c r="H325" s="837"/>
      <c r="I325" s="837"/>
      <c r="J325" s="837"/>
      <c r="K325" s="837">
        <f ca="1">IFERROR(IF(INDIRECT("'"&amp;$H$3&amp;"'!K248")="Route-based",K332*INDIRECT("'"&amp;$H$3&amp;"'!K$96"),IF(INDIRECT("'"&amp;$H$3&amp;"'!K248")="Point-to-point",K335*INDIRECT("'"&amp;$H$3&amp;"'!K$96"),0)),0)</f>
        <v>0</v>
      </c>
      <c r="L325" s="837"/>
      <c r="M325" s="837"/>
      <c r="N325" s="837">
        <f ca="1">IFERROR(IF(INDIRECT("'"&amp;$H$3&amp;"'!N248")="Route-based",N332*INDIRECT("'"&amp;$H$3&amp;"'!N$96"),IF(INDIRECT("'"&amp;$H$3&amp;"'!N248")="Point-to-point",N335*INDIRECT("'"&amp;$H$3&amp;"'!N$96"),0)),0)</f>
        <v>0</v>
      </c>
      <c r="O325" s="837"/>
      <c r="P325" s="837"/>
      <c r="Q325" s="837">
        <f ca="1">IFERROR(IF(INDIRECT("'"&amp;$H$3&amp;"'!Q248")="Route-based",Q332*INDIRECT("'"&amp;$H$3&amp;"'!Q$96"),IF(INDIRECT("'"&amp;$H$3&amp;"'!Q248")="Point-to-point",Q335*INDIRECT("'"&amp;$H$3&amp;"'!Q$96"),0)),0)</f>
        <v>0</v>
      </c>
      <c r="R325" s="1650"/>
      <c r="S325" s="1650"/>
      <c r="T325" s="837">
        <f ca="1">IFERROR(IF(INDIRECT("'"&amp;$H$3&amp;"'!T248")="Route-based",T332*INDIRECT("'"&amp;$H$3&amp;"'!T$96"),IF(INDIRECT("'"&amp;$H$3&amp;"'!T248")="Point-to-point",T335*INDIRECT("'"&amp;$H$3&amp;"'!T$96"),0)),0)</f>
        <v>0</v>
      </c>
      <c r="U325" s="1650"/>
      <c r="V325" s="1650"/>
      <c r="W325" s="837">
        <f ca="1">IFERROR(IF(INDIRECT("'"&amp;$H$3&amp;"'!W248")="Route-based",W332*INDIRECT("'"&amp;$H$3&amp;"'!W$96"),IF(INDIRECT("'"&amp;$H$3&amp;"'!W248")="Point-to-point",W335*INDIRECT("'"&amp;$H$3&amp;"'!W$96"),0)),0)</f>
        <v>0</v>
      </c>
      <c r="X325" s="1468"/>
      <c r="Y325" s="36"/>
      <c r="Z325" s="36"/>
      <c r="AA325" s="36"/>
      <c r="AB325" s="36"/>
      <c r="AC325" s="36"/>
      <c r="AD325" s="36"/>
      <c r="AE325" s="36"/>
      <c r="AF325" s="36"/>
      <c r="AG325" s="36"/>
      <c r="AH325" s="36"/>
      <c r="AI325" s="36"/>
      <c r="AJ325" s="36"/>
      <c r="AK325" s="242"/>
      <c r="AL325" s="36"/>
      <c r="AM325" s="36"/>
      <c r="AN325" s="36"/>
    </row>
    <row r="326" spans="6:40" ht="15" customHeight="1" outlineLevel="1">
      <c r="F326" s="52"/>
      <c r="G326" s="51" t="s">
        <v>142</v>
      </c>
      <c r="H326" s="1651"/>
      <c r="I326" s="1651"/>
      <c r="J326" s="1651"/>
      <c r="K326" s="1651">
        <f ca="1">IFERROR(IF(COUNTIF(INDIRECT("'"&amp;$H$3&amp;"'!K240"),"Public Transport*")&gt;0,ROUND(INDIRECT("'"&amp;$H$3&amp;"'!K$95")*INDIRECT("'"&amp;$H$3&amp;"'!K239"),0),0),0)</f>
        <v>0</v>
      </c>
      <c r="L326" s="1651"/>
      <c r="M326" s="1651"/>
      <c r="N326" s="1651">
        <f ca="1">IFERROR(IF(COUNTIF(INDIRECT("'"&amp;$H$3&amp;"'!N240"),"Public Transport*")&gt;0,ROUND(INDIRECT("'"&amp;$H$3&amp;"'!N$95")*INDIRECT("'"&amp;$H$3&amp;"'!N239"),0),0),0)</f>
        <v>0</v>
      </c>
      <c r="O326" s="1651"/>
      <c r="P326" s="1651"/>
      <c r="Q326" s="1651">
        <f ca="1">IFERROR(IF(COUNTIF(INDIRECT("'"&amp;$H$3&amp;"'!Q240"),"Public Transport*")&gt;0,ROUND(INDIRECT("'"&amp;$H$3&amp;"'!Q$95")*INDIRECT("'"&amp;$H$3&amp;"'!Q239"),0),0),0)</f>
        <v>0</v>
      </c>
      <c r="R326" s="1650"/>
      <c r="S326" s="1650"/>
      <c r="T326" s="1651">
        <f ca="1">IFERROR(IF(COUNTIF(INDIRECT("'"&amp;$H$3&amp;"'!T240"),"Public Transport*")&gt;0,ROUND(INDIRECT("'"&amp;$H$3&amp;"'!T$95")*INDIRECT("'"&amp;$H$3&amp;"'!T239"),0),0),0)</f>
        <v>0</v>
      </c>
      <c r="U326" s="1650"/>
      <c r="V326" s="1650"/>
      <c r="W326" s="1651">
        <f ca="1">IFERROR(IF(COUNTIF(INDIRECT("'"&amp;$H$3&amp;"'!W240"),"Public Transport*")&gt;0,ROUND(INDIRECT("'"&amp;$H$3&amp;"'!W$95")*INDIRECT("'"&amp;$H$3&amp;"'!W239"),0),0),0)</f>
        <v>0</v>
      </c>
      <c r="X326" s="1466"/>
      <c r="Y326" s="36"/>
      <c r="Z326" s="36"/>
      <c r="AA326" s="36"/>
      <c r="AB326" s="36"/>
      <c r="AC326" s="36"/>
      <c r="AD326" s="36"/>
      <c r="AE326" s="36"/>
      <c r="AF326" s="36"/>
      <c r="AG326" s="36"/>
      <c r="AH326" s="36"/>
      <c r="AI326" s="36"/>
      <c r="AJ326" s="36"/>
      <c r="AK326" s="36"/>
      <c r="AL326" s="36"/>
      <c r="AM326" s="36"/>
      <c r="AN326" s="36"/>
    </row>
    <row r="327" spans="6:40" ht="15" customHeight="1" outlineLevel="1">
      <c r="F327" s="52"/>
      <c r="G327" s="1613" t="s">
        <v>150</v>
      </c>
      <c r="H327" s="842"/>
      <c r="I327" s="842"/>
      <c r="J327" s="842"/>
      <c r="K327" s="842"/>
      <c r="L327" s="842"/>
      <c r="M327" s="842"/>
      <c r="N327" s="842"/>
      <c r="O327" s="842"/>
      <c r="P327" s="842"/>
      <c r="Q327" s="842"/>
      <c r="R327" s="1650"/>
      <c r="S327" s="1650"/>
      <c r="T327" s="842"/>
      <c r="U327" s="1650"/>
      <c r="V327" s="1650"/>
      <c r="W327" s="842"/>
      <c r="X327" s="1470"/>
      <c r="Y327" s="36"/>
      <c r="Z327" s="36"/>
      <c r="AA327" s="36"/>
      <c r="AB327" s="36"/>
      <c r="AC327" s="36"/>
      <c r="AD327" s="36"/>
      <c r="AE327" s="36"/>
      <c r="AF327" s="36"/>
      <c r="AG327" s="36"/>
      <c r="AH327" s="36"/>
      <c r="AI327" s="36"/>
      <c r="AJ327" s="36"/>
      <c r="AK327" s="36"/>
      <c r="AL327" s="36"/>
      <c r="AM327" s="36"/>
      <c r="AN327" s="36"/>
    </row>
    <row r="328" spans="6:40" ht="15" customHeight="1" outlineLevel="1">
      <c r="F328" s="52"/>
      <c r="G328" s="51" t="s">
        <v>140</v>
      </c>
      <c r="H328" s="836"/>
      <c r="I328" s="836"/>
      <c r="J328" s="836"/>
      <c r="K328" s="836">
        <f ca="1">IFERROR(ROUND(INDIRECT("'"&amp;$H$3&amp;"'!$H$10")/(((1/60)*(INDIRECT("'"&amp;$H$3&amp;"'!K253")+INDIRECT("'"&amp;$H$3&amp;"'!$H$19")*(INDIRECT("'"&amp;$H$3&amp;"'!K254")+(INDIRECT("'"&amp;$H$3&amp;"'!K255")*('2_Outputs'!K$52/INDIRECT("'"&amp;$H$3&amp;"'!K$96")/INDIRECT("'"&amp;$H$3&amp;"'!$H$19"))))))+INDEX(INDIRECT("'"&amp;$H$3&amp;"'!$H$43:$H$78"),MATCH(INDIRECT("'"&amp;$H$3&amp;"'!K240")&amp;"Average duration (hrs) per trip",INDIRECT("'"&amp;$H$3&amp;"'!$F$43:$F$78"),0))),1),0)</f>
        <v>0</v>
      </c>
      <c r="L328" s="836"/>
      <c r="M328" s="836"/>
      <c r="N328" s="836">
        <f ca="1">IFERROR(ROUND(INDIRECT("'"&amp;$H$3&amp;"'!$H$10")/(((1/60)*(INDIRECT("'"&amp;$H$3&amp;"'!N253")+INDIRECT("'"&amp;$H$3&amp;"'!$H$19")*(INDIRECT("'"&amp;$H$3&amp;"'!N254")+(INDIRECT("'"&amp;$H$3&amp;"'!N255")*('2_Outputs'!N$52/INDIRECT("'"&amp;$H$3&amp;"'!N$96")/INDIRECT("'"&amp;$H$3&amp;"'!$H$19"))))))+INDEX(INDIRECT("'"&amp;$H$3&amp;"'!$H$43:$H$78"),MATCH(INDIRECT("'"&amp;$H$3&amp;"'!N240")&amp;"Average duration (hrs) per trip",INDIRECT("'"&amp;$H$3&amp;"'!$F$43:$F$78"),0))),1),0)</f>
        <v>0</v>
      </c>
      <c r="O328" s="836"/>
      <c r="P328" s="836"/>
      <c r="Q328" s="836">
        <f ca="1">IFERROR(ROUND(INDIRECT("'"&amp;$H$3&amp;"'!$H$10")/(((1/60)*(INDIRECT("'"&amp;$H$3&amp;"'!Q253")+INDIRECT("'"&amp;$H$3&amp;"'!$H$19")*(INDIRECT("'"&amp;$H$3&amp;"'!Q254")+(INDIRECT("'"&amp;$H$3&amp;"'!Q255")*('2_Outputs'!Q$52/INDIRECT("'"&amp;$H$3&amp;"'!Q$96")/INDIRECT("'"&amp;$H$3&amp;"'!$H$19"))))))+INDEX(INDIRECT("'"&amp;$H$3&amp;"'!$H$43:$H$78"),MATCH(INDIRECT("'"&amp;$H$3&amp;"'!Q240")&amp;"Average duration (hrs) per trip",INDIRECT("'"&amp;$H$3&amp;"'!$F$43:$F$78"),0))),1),0)</f>
        <v>0</v>
      </c>
      <c r="R328" s="836"/>
      <c r="S328" s="836"/>
      <c r="T328" s="836">
        <f ca="1">IFERROR(ROUND(INDIRECT("'"&amp;$H$3&amp;"'!$H$10")/(((1/60)*(INDIRECT("'"&amp;$H$3&amp;"'!T253")+INDIRECT("'"&amp;$H$3&amp;"'!$H$19")*(INDIRECT("'"&amp;$H$3&amp;"'!T254")+(INDIRECT("'"&amp;$H$3&amp;"'!T255")*('2_Outputs'!T$52/INDIRECT("'"&amp;$H$3&amp;"'!T$96")/INDIRECT("'"&amp;$H$3&amp;"'!$H$19"))))))+INDEX(INDIRECT("'"&amp;$H$3&amp;"'!$H$43:$H$78"),MATCH(INDIRECT("'"&amp;$H$3&amp;"'!T240")&amp;"Average duration (hrs) per trip",INDIRECT("'"&amp;$H$3&amp;"'!$F$43:$F$78"),0))),1),0)</f>
        <v>0</v>
      </c>
      <c r="U328" s="836"/>
      <c r="V328" s="836"/>
      <c r="W328" s="836">
        <f ca="1">IFERROR(ROUND(INDIRECT("'"&amp;$H$3&amp;"'!$H$10")/(((1/60)*(INDIRECT("'"&amp;$H$3&amp;"'!W253")+INDIRECT("'"&amp;$H$3&amp;"'!$H$19")*(INDIRECT("'"&amp;$H$3&amp;"'!W254")+(INDIRECT("'"&amp;$H$3&amp;"'!W255")*('2_Outputs'!W$52/INDIRECT("'"&amp;$H$3&amp;"'!W$96")/INDIRECT("'"&amp;$H$3&amp;"'!$H$19"))))))+INDEX(INDIRECT("'"&amp;$H$3&amp;"'!$H$43:$H$78"),MATCH(INDIRECT("'"&amp;$H$3&amp;"'!W240")&amp;"Average duration (hrs) per trip",INDIRECT("'"&amp;$H$3&amp;"'!$F$43:$F$78"),0))),1),0)</f>
        <v>0</v>
      </c>
      <c r="X328" s="1469"/>
      <c r="Y328" s="36"/>
      <c r="Z328" s="36"/>
      <c r="AA328" s="36"/>
      <c r="AB328" s="36"/>
      <c r="AC328" s="36"/>
      <c r="AD328" s="36"/>
      <c r="AE328" s="36"/>
      <c r="AF328" s="36"/>
      <c r="AG328" s="36"/>
      <c r="AH328" s="36"/>
      <c r="AI328" s="36"/>
      <c r="AJ328" s="36"/>
      <c r="AK328" s="36"/>
      <c r="AL328" s="36"/>
      <c r="AM328" s="36"/>
      <c r="AN328" s="36"/>
    </row>
    <row r="329" spans="6:40" ht="15" customHeight="1" outlineLevel="1">
      <c r="F329" s="52"/>
      <c r="G329" s="51" t="s">
        <v>141</v>
      </c>
      <c r="H329" s="836"/>
      <c r="I329" s="836"/>
      <c r="J329" s="836"/>
      <c r="K329" s="836">
        <f ca="1">IFERROR(ROUND(K328*INDIRECT("'"&amp;$H$3&amp;"'!K249"),0),0)</f>
        <v>0</v>
      </c>
      <c r="L329" s="836"/>
      <c r="M329" s="836"/>
      <c r="N329" s="836">
        <f ca="1">IFERROR(ROUND(N328*INDIRECT("'"&amp;$H$3&amp;"'!N249"),0),0)</f>
        <v>0</v>
      </c>
      <c r="O329" s="836"/>
      <c r="P329" s="836"/>
      <c r="Q329" s="836">
        <f ca="1">IFERROR(ROUND(Q328*INDIRECT("'"&amp;$H$3&amp;"'!Q249"),0),0)</f>
        <v>0</v>
      </c>
      <c r="R329" s="836"/>
      <c r="S329" s="836"/>
      <c r="T329" s="836">
        <f ca="1">IFERROR(ROUND(T328*INDIRECT("'"&amp;$H$3&amp;"'!T249"),0),0)</f>
        <v>0</v>
      </c>
      <c r="U329" s="836"/>
      <c r="V329" s="836"/>
      <c r="W329" s="836">
        <f ca="1">IFERROR(ROUND(W328*INDIRECT("'"&amp;$H$3&amp;"'!W249"),0),0)</f>
        <v>0</v>
      </c>
      <c r="X329" s="1469"/>
      <c r="Y329" s="36"/>
      <c r="Z329" s="36"/>
      <c r="AA329" s="36"/>
      <c r="AB329" s="36"/>
      <c r="AC329" s="36"/>
      <c r="AD329" s="36"/>
      <c r="AE329" s="36"/>
      <c r="AF329" s="36"/>
      <c r="AG329" s="36"/>
      <c r="AH329" s="36"/>
      <c r="AI329" s="36"/>
      <c r="AJ329" s="36"/>
      <c r="AK329" s="36"/>
      <c r="AL329" s="36"/>
      <c r="AM329" s="36"/>
      <c r="AN329" s="36"/>
    </row>
    <row r="330" spans="6:40" ht="15" customHeight="1" outlineLevel="1">
      <c r="F330" s="52"/>
      <c r="G330" s="51" t="s">
        <v>143</v>
      </c>
      <c r="H330" s="836"/>
      <c r="I330" s="836"/>
      <c r="J330" s="836"/>
      <c r="K330" s="836">
        <f ca="1">IFERROR(K326/K329,0)</f>
        <v>0</v>
      </c>
      <c r="L330" s="836"/>
      <c r="M330" s="836"/>
      <c r="N330" s="836">
        <f ca="1">IFERROR(N326/N329,0)</f>
        <v>0</v>
      </c>
      <c r="O330" s="836"/>
      <c r="P330" s="836"/>
      <c r="Q330" s="836">
        <f ca="1">IFERROR(Q326/Q329,0)</f>
        <v>0</v>
      </c>
      <c r="R330" s="836"/>
      <c r="S330" s="836"/>
      <c r="T330" s="836">
        <f ca="1">IFERROR(T326/T329,0)</f>
        <v>0</v>
      </c>
      <c r="U330" s="836"/>
      <c r="V330" s="836"/>
      <c r="W330" s="836">
        <f ca="1">IFERROR(W326/W329,0)</f>
        <v>0</v>
      </c>
      <c r="X330" s="1469"/>
      <c r="Y330" s="36"/>
      <c r="Z330" s="36"/>
      <c r="AA330" s="36"/>
      <c r="AB330" s="36"/>
      <c r="AC330" s="36"/>
      <c r="AD330" s="36"/>
      <c r="AE330" s="36"/>
      <c r="AF330" s="36"/>
      <c r="AG330" s="36"/>
      <c r="AH330" s="36"/>
      <c r="AI330" s="36"/>
      <c r="AJ330" s="36"/>
      <c r="AK330" s="36"/>
      <c r="AL330" s="36"/>
      <c r="AM330" s="36"/>
      <c r="AN330" s="36"/>
    </row>
    <row r="331" spans="6:40" ht="15" customHeight="1" outlineLevel="1">
      <c r="F331" s="52"/>
      <c r="G331" s="51" t="s">
        <v>144</v>
      </c>
      <c r="H331" s="836"/>
      <c r="I331" s="836"/>
      <c r="J331" s="836"/>
      <c r="K331" s="836">
        <f ca="1">IFERROR((K330*(K329+1)),0)</f>
        <v>0</v>
      </c>
      <c r="L331" s="836"/>
      <c r="M331" s="836"/>
      <c r="N331" s="836">
        <f ca="1">IFERROR((N330*(N329+1)),0)</f>
        <v>0</v>
      </c>
      <c r="O331" s="836"/>
      <c r="P331" s="836"/>
      <c r="Q331" s="836">
        <f ca="1">IFERROR((Q330*(Q329+1)),0)</f>
        <v>0</v>
      </c>
      <c r="R331" s="836"/>
      <c r="S331" s="836"/>
      <c r="T331" s="836">
        <f ca="1">IFERROR((T330*(T329+1)),0)</f>
        <v>0</v>
      </c>
      <c r="U331" s="836"/>
      <c r="V331" s="836"/>
      <c r="W331" s="836">
        <f ca="1">IFERROR((W330*(W329+1)),0)</f>
        <v>0</v>
      </c>
      <c r="X331" s="1469"/>
      <c r="Y331" s="36"/>
      <c r="Z331" s="36"/>
      <c r="AA331" s="36"/>
      <c r="AB331" s="36"/>
      <c r="AC331" s="36"/>
      <c r="AD331" s="36"/>
      <c r="AE331" s="36"/>
      <c r="AF331" s="36"/>
      <c r="AG331" s="36"/>
      <c r="AH331" s="36"/>
      <c r="AI331" s="36"/>
      <c r="AJ331" s="36"/>
      <c r="AK331" s="242"/>
      <c r="AL331" s="36"/>
      <c r="AM331" s="36"/>
      <c r="AN331" s="36"/>
    </row>
    <row r="332" spans="6:40" ht="15" customHeight="1" outlineLevel="1">
      <c r="F332" s="52"/>
      <c r="G332" s="51" t="s">
        <v>145</v>
      </c>
      <c r="H332" s="836"/>
      <c r="I332" s="836"/>
      <c r="J332" s="836"/>
      <c r="K332" s="836">
        <f ca="1">IFERROR(ROUNDUP(((K331*INDEX(INDIRECT("'"&amp;$H$3&amp;"'!$H$43:$H$78"),MATCH(INDIRECT("'"&amp;$H$3&amp;"'!K240")&amp;"Average duration (hrs) per trip",INDIRECT("'"&amp;$H$3&amp;"'!$F$43:$F$78"),0)))+(K326*((1/60)*(INDIRECT("'"&amp;$H$3&amp;"'!K253")+INDIRECT("'"&amp;$H$3&amp;"'!$H$19")*(INDIRECT("'"&amp;$H$3&amp;"'!K254")+(INDIRECT("'"&amp;$H$3&amp;"'!K255")*('2_Outputs'!K$52/INDIRECT("'"&amp;$H$3&amp;"'!K$96")/INDIRECT("'"&amp;$H$3&amp;"'!$H$19"))))))))/INDIRECT("'"&amp;$H$3&amp;"'!$H$10"),0),0)</f>
        <v>0</v>
      </c>
      <c r="L332" s="836"/>
      <c r="M332" s="836"/>
      <c r="N332" s="836">
        <f ca="1">IFERROR(ROUNDUP(((N331*INDEX(INDIRECT("'"&amp;$H$3&amp;"'!$H$43:$H$78"),MATCH(INDIRECT("'"&amp;$H$3&amp;"'!N240")&amp;"Average duration (hrs) per trip",INDIRECT("'"&amp;$H$3&amp;"'!$F$43:$F$78"),0)))+(N326*((1/60)*(INDIRECT("'"&amp;$H$3&amp;"'!N253")+INDIRECT("'"&amp;$H$3&amp;"'!$H$19")*(INDIRECT("'"&amp;$H$3&amp;"'!N254")+(INDIRECT("'"&amp;$H$3&amp;"'!N255")*('2_Outputs'!N$52/INDIRECT("'"&amp;$H$3&amp;"'!N$96")/INDIRECT("'"&amp;$H$3&amp;"'!$H$19"))))))))/INDIRECT("'"&amp;$H$3&amp;"'!$H$10"),0),0)</f>
        <v>0</v>
      </c>
      <c r="O332" s="836"/>
      <c r="P332" s="836"/>
      <c r="Q332" s="836">
        <f ca="1">IFERROR(ROUNDUP(((Q331*INDEX(INDIRECT("'"&amp;$H$3&amp;"'!$H$43:$H$78"),MATCH(INDIRECT("'"&amp;$H$3&amp;"'!Q240")&amp;"Average duration (hrs) per trip",INDIRECT("'"&amp;$H$3&amp;"'!$F$43:$F$78"),0)))+(Q326*((1/60)*(INDIRECT("'"&amp;$H$3&amp;"'!Q253")+INDIRECT("'"&amp;$H$3&amp;"'!$H$19")*(INDIRECT("'"&amp;$H$3&amp;"'!Q254")+(INDIRECT("'"&amp;$H$3&amp;"'!Q255")*('2_Outputs'!Q$52/INDIRECT("'"&amp;$H$3&amp;"'!Q$96")/INDIRECT("'"&amp;$H$3&amp;"'!$H$19"))))))))/INDIRECT("'"&amp;$H$3&amp;"'!$H$10"),0),0)</f>
        <v>0</v>
      </c>
      <c r="R332" s="836"/>
      <c r="S332" s="836"/>
      <c r="T332" s="836">
        <f ca="1">IFERROR(ROUNDUP(((T331*INDEX(INDIRECT("'"&amp;$H$3&amp;"'!$H$43:$H$78"),MATCH(INDIRECT("'"&amp;$H$3&amp;"'!T240")&amp;"Average duration (hrs) per trip",INDIRECT("'"&amp;$H$3&amp;"'!$F$43:$F$78"),0)))+(T326*((1/60)*(INDIRECT("'"&amp;$H$3&amp;"'!T253")+INDIRECT("'"&amp;$H$3&amp;"'!$H$19")*(INDIRECT("'"&amp;$H$3&amp;"'!T254")+(INDIRECT("'"&amp;$H$3&amp;"'!T255")*('2_Outputs'!T$52/INDIRECT("'"&amp;$H$3&amp;"'!T$96")/INDIRECT("'"&amp;$H$3&amp;"'!$H$19"))))))))/INDIRECT("'"&amp;$H$3&amp;"'!$H$10"),0),0)</f>
        <v>0</v>
      </c>
      <c r="U332" s="836"/>
      <c r="V332" s="836"/>
      <c r="W332" s="836">
        <f ca="1">IFERROR(ROUNDUP(((W331*INDEX(INDIRECT("'"&amp;$H$3&amp;"'!$H$43:$H$78"),MATCH(INDIRECT("'"&amp;$H$3&amp;"'!W240")&amp;"Average duration (hrs) per trip",INDIRECT("'"&amp;$H$3&amp;"'!$F$43:$F$78"),0)))+(W326*((1/60)*(INDIRECT("'"&amp;$H$3&amp;"'!W253")+INDIRECT("'"&amp;$H$3&amp;"'!$H$19")*(INDIRECT("'"&amp;$H$3&amp;"'!W254")+(INDIRECT("'"&amp;$H$3&amp;"'!W255")*('2_Outputs'!W$52/INDIRECT("'"&amp;$H$3&amp;"'!W$96")/INDIRECT("'"&amp;$H$3&amp;"'!$H$19"))))))))/INDIRECT("'"&amp;$H$3&amp;"'!$H$10"),0),0)</f>
        <v>0</v>
      </c>
      <c r="X332" s="1469"/>
      <c r="Y332" s="36"/>
      <c r="Z332" s="36"/>
      <c r="AA332" s="36"/>
      <c r="AB332" s="36"/>
      <c r="AC332" s="36"/>
      <c r="AD332" s="36"/>
      <c r="AE332" s="36"/>
      <c r="AF332" s="36"/>
      <c r="AG332" s="36"/>
      <c r="AH332" s="36"/>
      <c r="AI332" s="36"/>
      <c r="AJ332" s="36"/>
      <c r="AK332" s="242"/>
      <c r="AL332" s="36"/>
      <c r="AM332" s="36"/>
      <c r="AN332" s="36"/>
    </row>
    <row r="333" spans="6:40" ht="15" customHeight="1" outlineLevel="1">
      <c r="F333" s="52"/>
      <c r="G333" s="1613" t="s">
        <v>841</v>
      </c>
      <c r="H333" s="842"/>
      <c r="I333" s="842"/>
      <c r="J333" s="842"/>
      <c r="K333" s="842"/>
      <c r="L333" s="842"/>
      <c r="M333" s="842"/>
      <c r="N333" s="842"/>
      <c r="O333" s="842"/>
      <c r="P333" s="842"/>
      <c r="Q333" s="842"/>
      <c r="R333" s="1650"/>
      <c r="S333" s="1650"/>
      <c r="T333" s="842"/>
      <c r="U333" s="1650"/>
      <c r="V333" s="1650"/>
      <c r="W333" s="842"/>
      <c r="X333" s="1470"/>
      <c r="Y333" s="36"/>
      <c r="Z333" s="36"/>
      <c r="AA333" s="36"/>
      <c r="AB333" s="36"/>
      <c r="AC333" s="36"/>
      <c r="AD333" s="36"/>
      <c r="AE333" s="36"/>
      <c r="AF333" s="36"/>
      <c r="AG333" s="36"/>
      <c r="AH333" s="36"/>
      <c r="AI333" s="36"/>
      <c r="AJ333" s="36"/>
      <c r="AK333" s="242"/>
      <c r="AL333" s="36"/>
      <c r="AM333" s="36"/>
      <c r="AN333" s="36"/>
    </row>
    <row r="334" spans="6:40" ht="15" customHeight="1" outlineLevel="1">
      <c r="F334" s="52"/>
      <c r="G334" s="51" t="s">
        <v>144</v>
      </c>
      <c r="H334" s="836"/>
      <c r="I334" s="836"/>
      <c r="J334" s="836"/>
      <c r="K334" s="836">
        <f ca="1">IFERROR(K326*2,0)</f>
        <v>0</v>
      </c>
      <c r="L334" s="836"/>
      <c r="M334" s="836"/>
      <c r="N334" s="836">
        <f ca="1">IFERROR(N326*2,0)</f>
        <v>0</v>
      </c>
      <c r="O334" s="836"/>
      <c r="P334" s="836"/>
      <c r="Q334" s="836">
        <f ca="1">IFERROR(Q326*2,0)</f>
        <v>0</v>
      </c>
      <c r="R334" s="836"/>
      <c r="S334" s="836"/>
      <c r="T334" s="836">
        <f ca="1">IFERROR(T326*2,0)</f>
        <v>0</v>
      </c>
      <c r="U334" s="836"/>
      <c r="V334" s="836"/>
      <c r="W334" s="836">
        <f ca="1">IFERROR(W326*2,0)</f>
        <v>0</v>
      </c>
      <c r="X334" s="1469"/>
      <c r="Y334" s="36"/>
      <c r="Z334" s="36"/>
      <c r="AA334" s="36"/>
      <c r="AB334" s="36"/>
      <c r="AC334" s="36"/>
      <c r="AD334" s="36"/>
      <c r="AE334" s="36"/>
      <c r="AF334" s="36"/>
      <c r="AG334" s="36"/>
      <c r="AH334" s="36"/>
      <c r="AI334" s="36"/>
      <c r="AJ334" s="36"/>
      <c r="AK334" s="36"/>
      <c r="AL334" s="36"/>
      <c r="AM334" s="36"/>
      <c r="AN334" s="36"/>
    </row>
    <row r="335" spans="6:40" ht="15" customHeight="1" outlineLevel="1">
      <c r="F335" s="52"/>
      <c r="G335" s="51" t="s">
        <v>145</v>
      </c>
      <c r="H335" s="837"/>
      <c r="I335" s="837"/>
      <c r="J335" s="837"/>
      <c r="K335" s="837">
        <f ca="1">IFERROR(MAX(K326,ROUNDUP(((K334*INDEX(INDIRECT("'"&amp;$H$3&amp;"'!$H$43:$H$78"),MATCH(INDIRECT("'"&amp;$H$3&amp;"'!K240")&amp;"Average duration (hrs) per trip",INDIRECT("'"&amp;$H$3&amp;"'!$F$43:$F$78"),0)))+(K326*((1/60)*(INDIRECT("'"&amp;$H$3&amp;"'!K253")+INDIRECT("'"&amp;$H$3&amp;"'!$H$19")*(INDIRECT("'"&amp;$H$3&amp;"'!K254")+(INDIRECT("'"&amp;$H$3&amp;"'!K255")*('2_Outputs'!K$52/INDIRECT("'"&amp;$H$3&amp;"'!K$96")/INDIRECT("'"&amp;$H$3&amp;"'!$H$19"))))))))/INDIRECT("'"&amp;$H$3&amp;"'!$H$10"),0)),0)</f>
        <v>0</v>
      </c>
      <c r="L335" s="837"/>
      <c r="M335" s="837"/>
      <c r="N335" s="837">
        <f ca="1">IFERROR(MAX(N326,ROUNDUP(((N334*INDEX(INDIRECT("'"&amp;$H$3&amp;"'!$H$43:$H$78"),MATCH(INDIRECT("'"&amp;$H$3&amp;"'!N240")&amp;"Average duration (hrs) per trip",INDIRECT("'"&amp;$H$3&amp;"'!$F$43:$F$78"),0)))+(N326*((1/60)*(INDIRECT("'"&amp;$H$3&amp;"'!N253")+INDIRECT("'"&amp;$H$3&amp;"'!$H$19")*(INDIRECT("'"&amp;$H$3&amp;"'!N254")+(INDIRECT("'"&amp;$H$3&amp;"'!N255")*('2_Outputs'!N$52/INDIRECT("'"&amp;$H$3&amp;"'!N$96")/INDIRECT("'"&amp;$H$3&amp;"'!$H$19"))))))))/INDIRECT("'"&amp;$H$3&amp;"'!$H$10"),0)),0)</f>
        <v>0</v>
      </c>
      <c r="O335" s="837"/>
      <c r="P335" s="837"/>
      <c r="Q335" s="837">
        <f ca="1">IFERROR(MAX(Q326,ROUNDUP(((Q334*INDEX(INDIRECT("'"&amp;$H$3&amp;"'!$H$43:$H$78"),MATCH(INDIRECT("'"&amp;$H$3&amp;"'!Q240")&amp;"Average duration (hrs) per trip",INDIRECT("'"&amp;$H$3&amp;"'!$F$43:$F$78"),0)))+(Q326*((1/60)*(INDIRECT("'"&amp;$H$3&amp;"'!Q253")+INDIRECT("'"&amp;$H$3&amp;"'!$H$19")*(INDIRECT("'"&amp;$H$3&amp;"'!Q254")+(INDIRECT("'"&amp;$H$3&amp;"'!Q255")*('2_Outputs'!Q$52/INDIRECT("'"&amp;$H$3&amp;"'!Q$96")/INDIRECT("'"&amp;$H$3&amp;"'!$H$19"))))))))/INDIRECT("'"&amp;$H$3&amp;"'!$H$10"),0)),0)</f>
        <v>0</v>
      </c>
      <c r="R335" s="837"/>
      <c r="S335" s="837"/>
      <c r="T335" s="837">
        <f ca="1">IFERROR(MAX(T326,ROUNDUP(((T334*INDEX(INDIRECT("'"&amp;$H$3&amp;"'!$H$43:$H$78"),MATCH(INDIRECT("'"&amp;$H$3&amp;"'!T240")&amp;"Average duration (hrs) per trip",INDIRECT("'"&amp;$H$3&amp;"'!$F$43:$F$78"),0)))+(T326*((1/60)*(INDIRECT("'"&amp;$H$3&amp;"'!T253")+INDIRECT("'"&amp;$H$3&amp;"'!$H$19")*(INDIRECT("'"&amp;$H$3&amp;"'!T254")+(INDIRECT("'"&amp;$H$3&amp;"'!T255")*('2_Outputs'!T$52/INDIRECT("'"&amp;$H$3&amp;"'!T$96")/INDIRECT("'"&amp;$H$3&amp;"'!$H$19"))))))))/INDIRECT("'"&amp;$H$3&amp;"'!$H$10"),0)),0)</f>
        <v>0</v>
      </c>
      <c r="U335" s="837"/>
      <c r="V335" s="837"/>
      <c r="W335" s="837">
        <f ca="1">IFERROR(MAX(W326,ROUNDUP(((W334*INDEX(INDIRECT("'"&amp;$H$3&amp;"'!$H$43:$H$78"),MATCH(INDIRECT("'"&amp;$H$3&amp;"'!W240")&amp;"Average duration (hrs) per trip",INDIRECT("'"&amp;$H$3&amp;"'!$F$43:$F$78"),0)))+(W326*((1/60)*(INDIRECT("'"&amp;$H$3&amp;"'!W253")+INDIRECT("'"&amp;$H$3&amp;"'!$H$19")*(INDIRECT("'"&amp;$H$3&amp;"'!W254")+(INDIRECT("'"&amp;$H$3&amp;"'!W255")*('2_Outputs'!W$52/INDIRECT("'"&amp;$H$3&amp;"'!W$96")/INDIRECT("'"&amp;$H$3&amp;"'!$H$19"))))))))/INDIRECT("'"&amp;$H$3&amp;"'!$H$10"),0)),0)</f>
        <v>0</v>
      </c>
      <c r="X335" s="1468"/>
      <c r="Y335" s="36"/>
      <c r="Z335" s="36"/>
      <c r="AA335" s="36"/>
      <c r="AB335" s="36"/>
      <c r="AC335" s="36"/>
      <c r="AD335" s="36"/>
      <c r="AE335" s="36"/>
      <c r="AF335" s="36"/>
      <c r="AG335" s="36"/>
      <c r="AH335" s="36"/>
      <c r="AI335" s="36"/>
      <c r="AJ335" s="36"/>
      <c r="AK335" s="36"/>
      <c r="AL335" s="36"/>
      <c r="AM335" s="36"/>
      <c r="AN335" s="36"/>
    </row>
    <row r="336" spans="6:40" ht="15" customHeight="1" outlineLevel="1">
      <c r="F336" s="1664" t="s">
        <v>148</v>
      </c>
      <c r="G336" s="1675"/>
      <c r="H336" s="1676"/>
      <c r="I336" s="1676"/>
      <c r="J336" s="1676"/>
      <c r="K336" s="1676"/>
      <c r="L336" s="1676"/>
      <c r="M336" s="1676"/>
      <c r="N336" s="1676"/>
      <c r="O336" s="1676"/>
      <c r="P336" s="1676"/>
      <c r="Q336" s="1676"/>
      <c r="R336" s="1646"/>
      <c r="S336" s="1646"/>
      <c r="T336" s="1676"/>
      <c r="U336" s="1646"/>
      <c r="V336" s="1646"/>
      <c r="W336" s="1676"/>
      <c r="X336" s="1467"/>
      <c r="Y336" s="36"/>
      <c r="Z336" s="36"/>
      <c r="AA336" s="36"/>
      <c r="AB336" s="36"/>
      <c r="AC336" s="36"/>
      <c r="AD336" s="36"/>
      <c r="AE336" s="36"/>
      <c r="AF336" s="36"/>
      <c r="AG336" s="36"/>
      <c r="AH336" s="36"/>
      <c r="AI336" s="36"/>
      <c r="AJ336" s="36"/>
      <c r="AK336" s="242"/>
      <c r="AL336" s="36"/>
      <c r="AM336" s="36"/>
      <c r="AN336" s="36"/>
    </row>
    <row r="337" spans="6:40" ht="15" customHeight="1" outlineLevel="1">
      <c r="F337" s="86"/>
      <c r="G337" s="51" t="s">
        <v>151</v>
      </c>
      <c r="H337" s="836"/>
      <c r="I337" s="836"/>
      <c r="J337" s="836"/>
      <c r="K337" s="836">
        <f ca="1">IFERROR(IF(COUNTIF(INDIRECT("'"&amp;$H$3&amp;"'!K240"),"Public Transport*")&lt;1,ROUND(INDIRECT("'"&amp;$H$3&amp;"'!K$95")*INDIRECT("'"&amp;$H$3&amp;"'!K239"),0),0),0)</f>
        <v>0</v>
      </c>
      <c r="L337" s="836"/>
      <c r="M337" s="836"/>
      <c r="N337" s="836">
        <f ca="1">IFERROR(IF(COUNTIF(INDIRECT("'"&amp;$H$3&amp;"'!N240"),"Public Transport*")&lt;1,ROUND(INDIRECT("'"&amp;$H$3&amp;"'!N$95")*INDIRECT("'"&amp;$H$3&amp;"'!N239"),0),0),0)</f>
        <v>0</v>
      </c>
      <c r="O337" s="836"/>
      <c r="P337" s="836"/>
      <c r="Q337" s="836">
        <f ca="1">IFERROR(IF(COUNTIF(INDIRECT("'"&amp;$H$3&amp;"'!Q240"),"Public Transport*")&lt;1,ROUND(INDIRECT("'"&amp;$H$3&amp;"'!Q$95")*INDIRECT("'"&amp;$H$3&amp;"'!Q239"),0),0),0)</f>
        <v>0</v>
      </c>
      <c r="R337" s="1646"/>
      <c r="S337" s="1646"/>
      <c r="T337" s="836">
        <f ca="1">IFERROR(IF(COUNTIF(INDIRECT("'"&amp;$H$3&amp;"'!T240"),"Public Transport*")&lt;1,ROUND(INDIRECT("'"&amp;$H$3&amp;"'!T$95")*INDIRECT("'"&amp;$H$3&amp;"'!T239"),0),0),0)</f>
        <v>0</v>
      </c>
      <c r="U337" s="1646"/>
      <c r="V337" s="1646"/>
      <c r="W337" s="836">
        <f ca="1">IFERROR(IF(COUNTIF(INDIRECT("'"&amp;$H$3&amp;"'!W240"),"Public Transport*")&lt;1,ROUND(INDIRECT("'"&amp;$H$3&amp;"'!W$95")*INDIRECT("'"&amp;$H$3&amp;"'!W239"),0),0),0)</f>
        <v>0</v>
      </c>
      <c r="X337" s="1469"/>
      <c r="Y337" s="36"/>
      <c r="Z337" s="36"/>
      <c r="AA337" s="36"/>
      <c r="AB337" s="36"/>
      <c r="AC337" s="36"/>
      <c r="AD337" s="36"/>
      <c r="AE337" s="36"/>
      <c r="AF337" s="36"/>
      <c r="AG337" s="36"/>
      <c r="AH337" s="36"/>
      <c r="AI337" s="36"/>
      <c r="AJ337" s="36"/>
      <c r="AK337" s="242"/>
      <c r="AL337" s="36"/>
      <c r="AM337" s="36"/>
      <c r="AN337" s="36"/>
    </row>
    <row r="338" spans="6:40" ht="15" customHeight="1" outlineLevel="1">
      <c r="F338" s="52"/>
      <c r="G338" s="51" t="s">
        <v>85</v>
      </c>
      <c r="H338" s="837"/>
      <c r="I338" s="837"/>
      <c r="J338" s="837"/>
      <c r="K338" s="837">
        <f ca="1">IFERROR(IF(INDIRECT("'"&amp;$H$3&amp;"'!K248")="Route-based",K343*K344,IF(INDIRECT("'"&amp;$H$3&amp;"'!K248")="Point-to-point",K348*K349,0)),0)</f>
        <v>0</v>
      </c>
      <c r="L338" s="837"/>
      <c r="M338" s="837"/>
      <c r="N338" s="837">
        <f ca="1">IFERROR(IF(INDIRECT("'"&amp;$H$3&amp;"'!N248")="Route-based",N343*N344,IF(INDIRECT("'"&amp;$H$3&amp;"'!N248")="Point-to-point",N348*N349,0)),0)</f>
        <v>0</v>
      </c>
      <c r="O338" s="837"/>
      <c r="P338" s="837"/>
      <c r="Q338" s="837">
        <f ca="1">IFERROR(IF(INDIRECT("'"&amp;$H$3&amp;"'!Q248")="Route-based",Q343*Q344,IF(INDIRECT("'"&amp;$H$3&amp;"'!Q248")="Point-to-point",Q348*Q349,0)),0)</f>
        <v>0</v>
      </c>
      <c r="R338" s="1650"/>
      <c r="S338" s="1650"/>
      <c r="T338" s="837">
        <f ca="1">IFERROR(IF(INDIRECT("'"&amp;$H$3&amp;"'!T248")="Route-based",T343*T344,IF(INDIRECT("'"&amp;$H$3&amp;"'!T248")="Point-to-point",T348*T349,0)),0)</f>
        <v>0</v>
      </c>
      <c r="U338" s="1650"/>
      <c r="V338" s="1650"/>
      <c r="W338" s="837">
        <f ca="1">IFERROR(IF(INDIRECT("'"&amp;$H$3&amp;"'!W248")="Route-based",W343*W344,IF(INDIRECT("'"&amp;$H$3&amp;"'!W248")="Point-to-point",W348*W349,0)),0)</f>
        <v>0</v>
      </c>
      <c r="X338" s="1468"/>
      <c r="Y338" s="36"/>
      <c r="Z338" s="36"/>
      <c r="AA338" s="36"/>
      <c r="AB338" s="36"/>
      <c r="AC338" s="36"/>
      <c r="AD338" s="36"/>
      <c r="AE338" s="36"/>
      <c r="AF338" s="36"/>
      <c r="AG338" s="36"/>
      <c r="AH338" s="36"/>
      <c r="AI338" s="36"/>
      <c r="AJ338" s="36"/>
      <c r="AK338" s="242"/>
      <c r="AL338" s="36"/>
      <c r="AM338" s="36"/>
      <c r="AN338" s="36"/>
    </row>
    <row r="339" spans="6:40" ht="15" customHeight="1" outlineLevel="1">
      <c r="F339" s="52"/>
      <c r="G339" s="51" t="s">
        <v>59</v>
      </c>
      <c r="H339" s="837"/>
      <c r="I339" s="837"/>
      <c r="J339" s="837"/>
      <c r="K339" s="837">
        <f ca="1">IFERROR(IF(INDIRECT("'"&amp;$H$3&amp;"'!K248")="Route-based",ROUND(K343*K345/INDIRECT("'"&amp;$H$3&amp;"'!$H$10"),0),IF(INDIRECT("'"&amp;$H$3&amp;"'!K248")="Point-to-point",ROUND(((K337*INDIRECT("'"&amp;$H$3&amp;"'!K$96")*((1/60)*(INDIRECT("'"&amp;$H$3&amp;"'!K253")+INDIRECT("'"&amp;$H$3&amp;"'!$H$19")*(INDIRECT("'"&amp;$H$3&amp;"'!K254")+(INDIRECT("'"&amp;$H$3&amp;"'!K255")*('2_Outputs'!K$52/INDIRECT("'"&amp;$H$3&amp;"'!K$96")/INDIRECT("'"&amp;$H$3&amp;"'!$H$19")))))))+(K338/INDIRECT("'"&amp;$H$3&amp;"'!K257")))/INDIRECT("'"&amp;$H$3&amp;"'!$H$10"),0),0)),0)</f>
        <v>0</v>
      </c>
      <c r="L339" s="837"/>
      <c r="M339" s="837"/>
      <c r="N339" s="837">
        <f ca="1">IFERROR(IF(INDIRECT("'"&amp;$H$3&amp;"'!N248")="Route-based",ROUND(N343*N345/INDIRECT("'"&amp;$H$3&amp;"'!$H$10"),0),IF(INDIRECT("'"&amp;$H$3&amp;"'!N248")="Point-to-point",ROUND(((N337*INDIRECT("'"&amp;$H$3&amp;"'!N$96")*((1/60)*(INDIRECT("'"&amp;$H$3&amp;"'!N253")+INDIRECT("'"&amp;$H$3&amp;"'!$H$19")*(INDIRECT("'"&amp;$H$3&amp;"'!N254")+(INDIRECT("'"&amp;$H$3&amp;"'!N255")*('2_Outputs'!N$52/INDIRECT("'"&amp;$H$3&amp;"'!N$96")/INDIRECT("'"&amp;$H$3&amp;"'!$H$19")))))))+(N338/INDIRECT("'"&amp;$H$3&amp;"'!N257")))/INDIRECT("'"&amp;$H$3&amp;"'!$H$10"),0),0)),0)</f>
        <v>0</v>
      </c>
      <c r="O339" s="837"/>
      <c r="P339" s="837"/>
      <c r="Q339" s="837">
        <f ca="1">IFERROR(IF(INDIRECT("'"&amp;$H$3&amp;"'!Q248")="Route-based",ROUND(Q343*Q345/INDIRECT("'"&amp;$H$3&amp;"'!$H$10"),0),IF(INDIRECT("'"&amp;$H$3&amp;"'!Q248")="Point-to-point",ROUND(((Q337*INDIRECT("'"&amp;$H$3&amp;"'!Q$96")*((1/60)*(INDIRECT("'"&amp;$H$3&amp;"'!Q253")+INDIRECT("'"&amp;$H$3&amp;"'!$H$19")*(INDIRECT("'"&amp;$H$3&amp;"'!Q254")+(INDIRECT("'"&amp;$H$3&amp;"'!Q255")*('2_Outputs'!Q$52/INDIRECT("'"&amp;$H$3&amp;"'!Q$96")/INDIRECT("'"&amp;$H$3&amp;"'!$H$19")))))))+(Q338/INDIRECT("'"&amp;$H$3&amp;"'!Q257")))/INDIRECT("'"&amp;$H$3&amp;"'!$H$10"),0),0)),0)</f>
        <v>0</v>
      </c>
      <c r="R339" s="837"/>
      <c r="S339" s="837"/>
      <c r="T339" s="837">
        <f ca="1">IFERROR(IF(INDIRECT("'"&amp;$H$3&amp;"'!T248")="Route-based",ROUND(T343*T345/INDIRECT("'"&amp;$H$3&amp;"'!$H$10"),0),IF(INDIRECT("'"&amp;$H$3&amp;"'!T248")="Point-to-point",ROUND(((T337*INDIRECT("'"&amp;$H$3&amp;"'!T$96")*((1/60)*(INDIRECT("'"&amp;$H$3&amp;"'!T253")+INDIRECT("'"&amp;$H$3&amp;"'!$H$19")*(INDIRECT("'"&amp;$H$3&amp;"'!T254")+(INDIRECT("'"&amp;$H$3&amp;"'!T255")*('2_Outputs'!T$52/INDIRECT("'"&amp;$H$3&amp;"'!T$96")/INDIRECT("'"&amp;$H$3&amp;"'!$H$19")))))))+(T338/INDIRECT("'"&amp;$H$3&amp;"'!T257")))/INDIRECT("'"&amp;$H$3&amp;"'!$H$10"),0),0)),0)</f>
        <v>0</v>
      </c>
      <c r="U339" s="837"/>
      <c r="V339" s="837"/>
      <c r="W339" s="837">
        <f ca="1">IFERROR(IF(INDIRECT("'"&amp;$H$3&amp;"'!W248")="Route-based",ROUND(W343*W345/INDIRECT("'"&amp;$H$3&amp;"'!$H$10"),0),IF(INDIRECT("'"&amp;$H$3&amp;"'!W248")="Point-to-point",ROUND(((W337*INDIRECT("'"&amp;$H$3&amp;"'!W$96")*((1/60)*(INDIRECT("'"&amp;$H$3&amp;"'!W253")+INDIRECT("'"&amp;$H$3&amp;"'!$H$19")*(INDIRECT("'"&amp;$H$3&amp;"'!W254")+(INDIRECT("'"&amp;$H$3&amp;"'!W255")*('2_Outputs'!W$52/INDIRECT("'"&amp;$H$3&amp;"'!W$96")/INDIRECT("'"&amp;$H$3&amp;"'!$H$19")))))))+(W338/INDIRECT("'"&amp;$H$3&amp;"'!W257")))/INDIRECT("'"&amp;$H$3&amp;"'!$H$10"),0),0)),0)</f>
        <v>0</v>
      </c>
      <c r="X339" s="1468"/>
      <c r="Y339" s="36"/>
      <c r="Z339" s="36"/>
      <c r="AA339" s="36"/>
      <c r="AB339" s="36"/>
      <c r="AC339" s="36"/>
      <c r="AD339" s="36"/>
      <c r="AE339" s="36"/>
      <c r="AF339" s="36"/>
      <c r="AG339" s="36"/>
      <c r="AH339" s="36"/>
      <c r="AI339" s="36"/>
      <c r="AJ339" s="36"/>
      <c r="AK339" s="242"/>
      <c r="AL339" s="36"/>
      <c r="AM339" s="36"/>
      <c r="AN339" s="36"/>
    </row>
    <row r="340" spans="6:40" ht="15" customHeight="1" outlineLevel="1">
      <c r="F340" s="52"/>
      <c r="G340" s="51" t="s">
        <v>86</v>
      </c>
      <c r="H340" s="839"/>
      <c r="I340" s="839"/>
      <c r="J340" s="839"/>
      <c r="K340" s="839">
        <f ca="1">IFERROR(IF(INDIRECT("'"&amp;$H$3&amp;"'!K248")="Route-based",IF(INDIRECT("'"&amp;$H$3&amp;"'!K245")="Yes",K249, IF(INDIRECT("'"&amp;$H$3&amp;"'!K245")="No",K339/(INDIRECT("'"&amp;$H$3&amp;"'!$H$9")*INDIRECT("'"&amp;$H$3&amp;"'!K244")))),
IF(INDIRECT("'"&amp;$H$3&amp;"'!K248")="Point-to-point",IF(INDIRECT("'"&amp;$H$3&amp;"'!K245")="Yes",K249,IF(INDIRECT("'"&amp;$H$3&amp;"'!K245")="No",K339/(INDIRECT("'"&amp;$H$3&amp;"'!$H$9")*INDIRECT("'"&amp;$H$3&amp;"'!K244")))),0)),0)</f>
        <v>0</v>
      </c>
      <c r="L340" s="839"/>
      <c r="M340" s="839"/>
      <c r="N340" s="839">
        <f ca="1">IFERROR(IF(INDIRECT("'"&amp;$H$3&amp;"'!N248")="Route-based",IF(INDIRECT("'"&amp;$H$3&amp;"'!N245")="Yes",N249, IF(INDIRECT("'"&amp;$H$3&amp;"'!N245")="No",N339/(INDIRECT("'"&amp;$H$3&amp;"'!$H$9")*INDIRECT("'"&amp;$H$3&amp;"'!N244")))),
IF(INDIRECT("'"&amp;$H$3&amp;"'!N248")="Point-to-point",IF(INDIRECT("'"&amp;$H$3&amp;"'!N245")="Yes",N249,IF(INDIRECT("'"&amp;$H$3&amp;"'!N245")="No",N339/(INDIRECT("'"&amp;$H$3&amp;"'!$H$9")*INDIRECT("'"&amp;$H$3&amp;"'!N244")))),0)),0)</f>
        <v>0</v>
      </c>
      <c r="O340" s="839"/>
      <c r="P340" s="839"/>
      <c r="Q340" s="839">
        <f ca="1">IFERROR(IF(INDIRECT("'"&amp;$H$3&amp;"'!Q248")="Route-based",IF(INDIRECT("'"&amp;$H$3&amp;"'!Q245")="Yes",Q249, IF(INDIRECT("'"&amp;$H$3&amp;"'!Q245")="No",Q339/(INDIRECT("'"&amp;$H$3&amp;"'!$H$9")*INDIRECT("'"&amp;$H$3&amp;"'!Q244")))),
IF(INDIRECT("'"&amp;$H$3&amp;"'!Q248")="Point-to-point",IF(INDIRECT("'"&amp;$H$3&amp;"'!Q245")="Yes",Q249,IF(INDIRECT("'"&amp;$H$3&amp;"'!Q245")="No",Q339/(INDIRECT("'"&amp;$H$3&amp;"'!$H$9")*INDIRECT("'"&amp;$H$3&amp;"'!Q244")))),0)),0)</f>
        <v>0</v>
      </c>
      <c r="R340" s="839"/>
      <c r="S340" s="839"/>
      <c r="T340" s="839">
        <f ca="1">IFERROR(IF(INDIRECT("'"&amp;$H$3&amp;"'!T248")="Route-based",IF(INDIRECT("'"&amp;$H$3&amp;"'!T245")="Yes",T249, IF(INDIRECT("'"&amp;$H$3&amp;"'!T245")="No",T339/(INDIRECT("'"&amp;$H$3&amp;"'!$H$9")*INDIRECT("'"&amp;$H$3&amp;"'!T244")))),
IF(INDIRECT("'"&amp;$H$3&amp;"'!T248")="Point-to-point",IF(INDIRECT("'"&amp;$H$3&amp;"'!T245")="Yes",T249,IF(INDIRECT("'"&amp;$H$3&amp;"'!T245")="No",T339/(INDIRECT("'"&amp;$H$3&amp;"'!$H$9")*INDIRECT("'"&amp;$H$3&amp;"'!T244")))),0)),0)</f>
        <v>0</v>
      </c>
      <c r="U340" s="839"/>
      <c r="V340" s="839"/>
      <c r="W340" s="839">
        <f ca="1">IFERROR(IF(INDIRECT("'"&amp;$H$3&amp;"'!W248")="Route-based",IF(INDIRECT("'"&amp;$H$3&amp;"'!W245")="Yes",W249, IF(INDIRECT("'"&amp;$H$3&amp;"'!W245")="No",W339/(INDIRECT("'"&amp;$H$3&amp;"'!$H$9")*INDIRECT("'"&amp;$H$3&amp;"'!W244")))),
IF(INDIRECT("'"&amp;$H$3&amp;"'!W248")="Point-to-point",IF(INDIRECT("'"&amp;$H$3&amp;"'!W245")="Yes",W249,IF(INDIRECT("'"&amp;$H$3&amp;"'!W245")="No",W339/(INDIRECT("'"&amp;$H$3&amp;"'!$H$9")*INDIRECT("'"&amp;$H$3&amp;"'!W244")))),0)),0)</f>
        <v>0</v>
      </c>
      <c r="X340" s="1470"/>
      <c r="Y340" s="36"/>
      <c r="Z340" s="36"/>
      <c r="AA340" s="36"/>
      <c r="AB340" s="36"/>
      <c r="AC340" s="36"/>
      <c r="AD340" s="36"/>
      <c r="AE340" s="36"/>
      <c r="AF340" s="36"/>
      <c r="AG340" s="36"/>
      <c r="AH340" s="36"/>
      <c r="AI340" s="36"/>
      <c r="AJ340" s="36"/>
      <c r="AK340" s="36" t="s">
        <v>191</v>
      </c>
      <c r="AL340" s="36"/>
      <c r="AM340" s="36"/>
      <c r="AN340" s="36"/>
    </row>
    <row r="341" spans="6:40" ht="15" customHeight="1" outlineLevel="1" collapsed="1">
      <c r="F341" s="52"/>
      <c r="G341" s="1613" t="s">
        <v>133</v>
      </c>
      <c r="H341" s="842"/>
      <c r="I341" s="842"/>
      <c r="J341" s="842"/>
      <c r="K341" s="842"/>
      <c r="L341" s="842"/>
      <c r="M341" s="842"/>
      <c r="N341" s="842"/>
      <c r="O341" s="842"/>
      <c r="P341" s="842"/>
      <c r="Q341" s="842"/>
      <c r="R341" s="1650"/>
      <c r="S341" s="1650"/>
      <c r="T341" s="842"/>
      <c r="U341" s="1650"/>
      <c r="V341" s="1650"/>
      <c r="W341" s="842"/>
      <c r="X341" s="1470"/>
      <c r="Y341" s="36"/>
      <c r="Z341" s="36"/>
      <c r="AA341" s="36"/>
      <c r="AB341" s="36"/>
      <c r="AC341" s="36"/>
      <c r="AD341" s="36"/>
      <c r="AE341" s="36"/>
      <c r="AF341" s="36"/>
      <c r="AG341" s="36"/>
      <c r="AH341" s="36"/>
      <c r="AI341" s="36"/>
      <c r="AJ341" s="36"/>
      <c r="AK341" s="36"/>
      <c r="AL341" s="36"/>
      <c r="AM341" s="36"/>
      <c r="AN341" s="36"/>
    </row>
    <row r="342" spans="6:40" ht="15" customHeight="1" outlineLevel="1">
      <c r="F342" s="52"/>
      <c r="G342" s="51" t="s">
        <v>129</v>
      </c>
      <c r="H342" s="836"/>
      <c r="I342" s="836"/>
      <c r="J342" s="836"/>
      <c r="K342" s="836">
        <f ca="1">IFERROR(((INDIRECT("'"&amp;$H$3&amp;"'!K249")*INDIRECT("'"&amp;$H$3&amp;"'!$H$10"))-(2*INDIRECT("'"&amp;$H$3&amp;"'!K$98")/INDIRECT("'"&amp;$H$3&amp;"'!K257"))+(INDIRECT("'"&amp;$H$3&amp;"'!K$99")/INDIRECT("'"&amp;$H$3&amp;"'!K256")))/(((1/60)*(INDIRECT("'"&amp;$H$3&amp;"'!K253")+INDIRECT("'"&amp;$H$3&amp;"'!$H$19")*(INDIRECT("'"&amp;$H$3&amp;"'!K254")+(INDIRECT("'"&amp;$H$3&amp;"'!K255")*('2_Outputs'!K$52/INDIRECT("'"&amp;$H$3&amp;"'!K$96")/INDIRECT("'"&amp;$H$3&amp;"'!$H$19"))))))+(INDIRECT("'"&amp;$H$3&amp;"'!K$99")/INDIRECT("'"&amp;$H$3&amp;"'!K256"))),0)</f>
        <v>0</v>
      </c>
      <c r="L342" s="836"/>
      <c r="M342" s="836"/>
      <c r="N342" s="836">
        <f ca="1">IFERROR(((INDIRECT("'"&amp;$H$3&amp;"'!N249")*INDIRECT("'"&amp;$H$3&amp;"'!$H$10"))-(2*INDIRECT("'"&amp;$H$3&amp;"'!N$98")/INDIRECT("'"&amp;$H$3&amp;"'!N257"))+(INDIRECT("'"&amp;$H$3&amp;"'!N$99")/INDIRECT("'"&amp;$H$3&amp;"'!N256")))/(((1/60)*(INDIRECT("'"&amp;$H$3&amp;"'!N253")+INDIRECT("'"&amp;$H$3&amp;"'!$H$19")*(INDIRECT("'"&amp;$H$3&amp;"'!N254")+(INDIRECT("'"&amp;$H$3&amp;"'!N255")*('2_Outputs'!N$52/INDIRECT("'"&amp;$H$3&amp;"'!N$96")/INDIRECT("'"&amp;$H$3&amp;"'!$H$19"))))))+(INDIRECT("'"&amp;$H$3&amp;"'!N$99")/INDIRECT("'"&amp;$H$3&amp;"'!N256"))),0)</f>
        <v>0</v>
      </c>
      <c r="O342" s="836"/>
      <c r="P342" s="836"/>
      <c r="Q342" s="836">
        <f ca="1">IFERROR(((INDIRECT("'"&amp;$H$3&amp;"'!Q249")*INDIRECT("'"&amp;$H$3&amp;"'!$H$10"))-(2*INDIRECT("'"&amp;$H$3&amp;"'!Q$98")/INDIRECT("'"&amp;$H$3&amp;"'!Q257"))+(INDIRECT("'"&amp;$H$3&amp;"'!Q$99")/INDIRECT("'"&amp;$H$3&amp;"'!Q256")))/(((1/60)*(INDIRECT("'"&amp;$H$3&amp;"'!Q253")+INDIRECT("'"&amp;$H$3&amp;"'!$H$19")*(INDIRECT("'"&amp;$H$3&amp;"'!Q254")+(INDIRECT("'"&amp;$H$3&amp;"'!Q255")*('2_Outputs'!Q$52/INDIRECT("'"&amp;$H$3&amp;"'!Q$96")/INDIRECT("'"&amp;$H$3&amp;"'!$H$19"))))))+(INDIRECT("'"&amp;$H$3&amp;"'!Q$99")/INDIRECT("'"&amp;$H$3&amp;"'!Q256"))),0)</f>
        <v>0</v>
      </c>
      <c r="R342" s="836"/>
      <c r="S342" s="836"/>
      <c r="T342" s="836">
        <f ca="1">IFERROR(((INDIRECT("'"&amp;$H$3&amp;"'!T249")*INDIRECT("'"&amp;$H$3&amp;"'!$H$10"))-(2*INDIRECT("'"&amp;$H$3&amp;"'!T$98")/INDIRECT("'"&amp;$H$3&amp;"'!T257"))+(INDIRECT("'"&amp;$H$3&amp;"'!T$99")/INDIRECT("'"&amp;$H$3&amp;"'!T256")))/(((1/60)*(INDIRECT("'"&amp;$H$3&amp;"'!T253")+INDIRECT("'"&amp;$H$3&amp;"'!$H$19")*(INDIRECT("'"&amp;$H$3&amp;"'!T254")+(INDIRECT("'"&amp;$H$3&amp;"'!T255")*('2_Outputs'!T$52/INDIRECT("'"&amp;$H$3&amp;"'!T$96")/INDIRECT("'"&amp;$H$3&amp;"'!$H$19"))))))+(INDIRECT("'"&amp;$H$3&amp;"'!T$99")/INDIRECT("'"&amp;$H$3&amp;"'!T256"))),0)</f>
        <v>0</v>
      </c>
      <c r="U342" s="836"/>
      <c r="V342" s="836"/>
      <c r="W342" s="836">
        <f ca="1">IFERROR(((INDIRECT("'"&amp;$H$3&amp;"'!W249")*INDIRECT("'"&amp;$H$3&amp;"'!$H$10"))-(2*INDIRECT("'"&amp;$H$3&amp;"'!W$98")/INDIRECT("'"&amp;$H$3&amp;"'!W257"))+(INDIRECT("'"&amp;$H$3&amp;"'!W$99")/INDIRECT("'"&amp;$H$3&amp;"'!W256")))/(((1/60)*(INDIRECT("'"&amp;$H$3&amp;"'!W253")+INDIRECT("'"&amp;$H$3&amp;"'!$H$19")*(INDIRECT("'"&amp;$H$3&amp;"'!W254")+(INDIRECT("'"&amp;$H$3&amp;"'!W255")*('2_Outputs'!W$52/INDIRECT("'"&amp;$H$3&amp;"'!W$96")/INDIRECT("'"&amp;$H$3&amp;"'!$H$19"))))))+(INDIRECT("'"&amp;$H$3&amp;"'!W$99")/INDIRECT("'"&amp;$H$3&amp;"'!W256"))),0)</f>
        <v>0</v>
      </c>
      <c r="X342" s="1469"/>
      <c r="Y342" s="36"/>
      <c r="Z342" s="36"/>
      <c r="AA342" s="36"/>
      <c r="AB342" s="36"/>
      <c r="AC342" s="36"/>
      <c r="AD342" s="36"/>
      <c r="AE342" s="36"/>
      <c r="AF342" s="36"/>
      <c r="AG342" s="36"/>
      <c r="AH342" s="36"/>
      <c r="AI342" s="36"/>
      <c r="AJ342" s="36"/>
      <c r="AK342" s="36"/>
      <c r="AL342" s="36"/>
      <c r="AM342" s="36"/>
      <c r="AN342" s="36"/>
    </row>
    <row r="343" spans="6:40" ht="15" customHeight="1" outlineLevel="1">
      <c r="F343" s="52"/>
      <c r="G343" s="51" t="s">
        <v>206</v>
      </c>
      <c r="H343" s="836"/>
      <c r="I343" s="836"/>
      <c r="J343" s="836"/>
      <c r="K343" s="836">
        <f ca="1">IFERROR(ROUND(K337*INDIRECT("'"&amp;$H$3&amp;"'!K$96")/K342,0),0)</f>
        <v>0</v>
      </c>
      <c r="L343" s="836"/>
      <c r="M343" s="836"/>
      <c r="N343" s="836">
        <f ca="1">IFERROR(ROUND(N337*INDIRECT("'"&amp;$H$3&amp;"'!N$96")/N342,0),0)</f>
        <v>0</v>
      </c>
      <c r="O343" s="836"/>
      <c r="P343" s="836"/>
      <c r="Q343" s="836">
        <f ca="1">IFERROR(ROUND(Q337*INDIRECT("'"&amp;$H$3&amp;"'!Q$96")/Q342,0),0)</f>
        <v>0</v>
      </c>
      <c r="R343" s="836"/>
      <c r="S343" s="836"/>
      <c r="T343" s="836">
        <f ca="1">IFERROR(ROUND(T337*INDIRECT("'"&amp;$H$3&amp;"'!T$96")/T342,0),0)</f>
        <v>0</v>
      </c>
      <c r="U343" s="836"/>
      <c r="V343" s="836"/>
      <c r="W343" s="836">
        <f ca="1">IFERROR(ROUND(W337*INDIRECT("'"&amp;$H$3&amp;"'!W$96")/W342,0),0)</f>
        <v>0</v>
      </c>
      <c r="X343" s="1469"/>
      <c r="Y343" s="36"/>
      <c r="Z343" s="36"/>
      <c r="AA343" s="36"/>
      <c r="AB343" s="36"/>
      <c r="AC343" s="36"/>
      <c r="AD343" s="36"/>
      <c r="AE343" s="36"/>
      <c r="AF343" s="36"/>
      <c r="AG343" s="36"/>
      <c r="AH343" s="36"/>
      <c r="AI343" s="36"/>
      <c r="AJ343" s="36"/>
      <c r="AK343" s="36"/>
      <c r="AL343" s="36"/>
      <c r="AM343" s="36"/>
      <c r="AN343" s="36"/>
    </row>
    <row r="344" spans="6:40" ht="15" customHeight="1" outlineLevel="1">
      <c r="F344" s="52"/>
      <c r="G344" s="51" t="s">
        <v>87</v>
      </c>
      <c r="H344" s="836"/>
      <c r="I344" s="836"/>
      <c r="J344" s="836"/>
      <c r="K344" s="836">
        <f ca="1">IFERROR(IF(K337=0,0,(2*INDIRECT("'"&amp;$H$3&amp;"'!K$98"))+((MAX(K342, 1)-1)*INDIRECT("'"&amp;$H$3&amp;"'!K$99"))),0)</f>
        <v>0</v>
      </c>
      <c r="L344" s="836"/>
      <c r="M344" s="836"/>
      <c r="N344" s="836">
        <f ca="1">IFERROR(IF(N337=0,0,(2*INDIRECT("'"&amp;$H$3&amp;"'!N$98"))+((MAX(N342, 1)-1)*INDIRECT("'"&amp;$H$3&amp;"'!N$99"))),0)</f>
        <v>0</v>
      </c>
      <c r="O344" s="836"/>
      <c r="P344" s="836"/>
      <c r="Q344" s="836">
        <f ca="1">IFERROR(IF(Q337=0,0,(2*INDIRECT("'"&amp;$H$3&amp;"'!Q$98"))+((MAX(Q342, 1)-1)*INDIRECT("'"&amp;$H$3&amp;"'!Q$99"))),0)</f>
        <v>0</v>
      </c>
      <c r="R344" s="836"/>
      <c r="S344" s="836"/>
      <c r="T344" s="836">
        <f ca="1">IFERROR(IF(T337=0,0,(2*INDIRECT("'"&amp;$H$3&amp;"'!T$98"))+((MAX(T342, 1)-1)*INDIRECT("'"&amp;$H$3&amp;"'!T$99"))),0)</f>
        <v>0</v>
      </c>
      <c r="U344" s="836"/>
      <c r="V344" s="836"/>
      <c r="W344" s="836">
        <f ca="1">IFERROR(IF(W337=0,0,(2*INDIRECT("'"&amp;$H$3&amp;"'!W$98"))+((MAX(W342, 1)-1)*INDIRECT("'"&amp;$H$3&amp;"'!W$99"))),0)</f>
        <v>0</v>
      </c>
      <c r="X344" s="1469"/>
      <c r="Y344" s="36"/>
      <c r="Z344" s="36"/>
      <c r="AA344" s="36"/>
      <c r="AB344" s="36"/>
      <c r="AC344" s="36"/>
      <c r="AD344" s="36"/>
      <c r="AE344" s="36"/>
      <c r="AF344" s="36"/>
      <c r="AG344" s="36"/>
      <c r="AH344" s="36"/>
      <c r="AI344" s="36"/>
      <c r="AJ344" s="36"/>
      <c r="AK344" s="36"/>
      <c r="AL344" s="36"/>
      <c r="AM344" s="36"/>
      <c r="AN344" s="36"/>
    </row>
    <row r="345" spans="6:40" ht="15" customHeight="1" outlineLevel="1">
      <c r="F345" s="52"/>
      <c r="G345" s="51" t="s">
        <v>203</v>
      </c>
      <c r="H345" s="836"/>
      <c r="I345" s="836"/>
      <c r="J345" s="836"/>
      <c r="K345" s="836">
        <f ca="1">IFERROR((ROUNDUP(K342,1)*((1/60)*(INDIRECT("'"&amp;$H$3&amp;"'!K253")+INDIRECT("'"&amp;$H$3&amp;"'!$H$19")*(INDIRECT("'"&amp;$H$3&amp;"'!K254")+(INDIRECT("'"&amp;$H$3&amp;"'!K255")*('2_Outputs'!K$52/INDIRECT("'"&amp;$H$3&amp;"'!K$96")/INDIRECT("'"&amp;$H$3&amp;"'!$H$19")))))))+((2*INDIRECT("'"&amp;$H$3&amp;"'!K$98"))/INDIRECT("'"&amp;$H$3&amp;"'!K257"))+(((MAX(K342,1)-1)*INDIRECT("'"&amp;$H$3&amp;"'!K$99"))/INDIRECT("'"&amp;$H$3&amp;"'!K256")),0)</f>
        <v>0</v>
      </c>
      <c r="L345" s="836"/>
      <c r="M345" s="836"/>
      <c r="N345" s="836">
        <f ca="1">IFERROR((ROUNDUP(N342,1)*((1/60)*(INDIRECT("'"&amp;$H$3&amp;"'!N253")+INDIRECT("'"&amp;$H$3&amp;"'!$H$19")*(INDIRECT("'"&amp;$H$3&amp;"'!N254")+(INDIRECT("'"&amp;$H$3&amp;"'!N255")*('2_Outputs'!N$52/INDIRECT("'"&amp;$H$3&amp;"'!N$96")/INDIRECT("'"&amp;$H$3&amp;"'!$H$19")))))))+((2*INDIRECT("'"&amp;$H$3&amp;"'!N$98"))/INDIRECT("'"&amp;$H$3&amp;"'!N257"))+(((MAX(N342,1)-1)*INDIRECT("'"&amp;$H$3&amp;"'!N$99"))/INDIRECT("'"&amp;$H$3&amp;"'!N256")),0)</f>
        <v>0</v>
      </c>
      <c r="O345" s="836"/>
      <c r="P345" s="836"/>
      <c r="Q345" s="836">
        <f ca="1">IFERROR((ROUNDUP(Q342,1)*((1/60)*(INDIRECT("'"&amp;$H$3&amp;"'!Q253")+INDIRECT("'"&amp;$H$3&amp;"'!$H$19")*(INDIRECT("'"&amp;$H$3&amp;"'!Q254")+(INDIRECT("'"&amp;$H$3&amp;"'!Q255")*('2_Outputs'!Q$52/INDIRECT("'"&amp;$H$3&amp;"'!Q$96")/INDIRECT("'"&amp;$H$3&amp;"'!$H$19")))))))+((2*INDIRECT("'"&amp;$H$3&amp;"'!Q$98"))/INDIRECT("'"&amp;$H$3&amp;"'!Q257"))+(((MAX(Q342,1)-1)*INDIRECT("'"&amp;$H$3&amp;"'!Q$99"))/INDIRECT("'"&amp;$H$3&amp;"'!Q256")),0)</f>
        <v>0</v>
      </c>
      <c r="R345" s="836"/>
      <c r="S345" s="836"/>
      <c r="T345" s="836">
        <f ca="1">IFERROR((ROUNDUP(T342,1)*((1/60)*(INDIRECT("'"&amp;$H$3&amp;"'!T253")+INDIRECT("'"&amp;$H$3&amp;"'!$H$19")*(INDIRECT("'"&amp;$H$3&amp;"'!T254")+(INDIRECT("'"&amp;$H$3&amp;"'!T255")*('2_Outputs'!T$52/INDIRECT("'"&amp;$H$3&amp;"'!T$96")/INDIRECT("'"&amp;$H$3&amp;"'!$H$19")))))))+((2*INDIRECT("'"&amp;$H$3&amp;"'!T$98"))/INDIRECT("'"&amp;$H$3&amp;"'!T257"))+(((MAX(T342,1)-1)*INDIRECT("'"&amp;$H$3&amp;"'!T$99"))/INDIRECT("'"&amp;$H$3&amp;"'!T256")),0)</f>
        <v>0</v>
      </c>
      <c r="U345" s="836"/>
      <c r="V345" s="836"/>
      <c r="W345" s="836">
        <f ca="1">IFERROR((ROUNDUP(W342,1)*((1/60)*(INDIRECT("'"&amp;$H$3&amp;"'!W253")+INDIRECT("'"&amp;$H$3&amp;"'!$H$19")*(INDIRECT("'"&amp;$H$3&amp;"'!W254")+(INDIRECT("'"&amp;$H$3&amp;"'!W255")*('2_Outputs'!W$52/INDIRECT("'"&amp;$H$3&amp;"'!W$96")/INDIRECT("'"&amp;$H$3&amp;"'!$H$19")))))))+((2*INDIRECT("'"&amp;$H$3&amp;"'!W$98"))/INDIRECT("'"&amp;$H$3&amp;"'!W257"))+(((MAX(W342,1)-1)*INDIRECT("'"&amp;$H$3&amp;"'!W$99"))/INDIRECT("'"&amp;$H$3&amp;"'!W256")),0)</f>
        <v>0</v>
      </c>
      <c r="X345" s="1465"/>
      <c r="Y345" s="36"/>
      <c r="Z345" s="36"/>
      <c r="AA345" s="36"/>
      <c r="AB345" s="36"/>
      <c r="AC345" s="36"/>
      <c r="AD345" s="36"/>
      <c r="AE345" s="36"/>
      <c r="AF345" s="36"/>
      <c r="AG345" s="36"/>
      <c r="AH345" s="36"/>
      <c r="AI345" s="36"/>
      <c r="AJ345" s="36"/>
      <c r="AK345" s="36"/>
      <c r="AL345" s="36"/>
      <c r="AM345" s="36"/>
      <c r="AN345" s="36"/>
    </row>
    <row r="346" spans="6:40" ht="15" customHeight="1" outlineLevel="1">
      <c r="F346" s="52"/>
      <c r="G346" s="51" t="s">
        <v>204</v>
      </c>
      <c r="H346" s="836"/>
      <c r="I346" s="836"/>
      <c r="J346" s="836"/>
      <c r="K346" s="836">
        <f ca="1">IFERROR((INDIRECT("'"&amp;$H$3&amp;"'!$H$10")*INDIRECT("'"&amp;$H$3&amp;"'!$H$9")*INDIRECT("'"&amp;$H$3&amp;"'!K244"))/K345,0)</f>
        <v>0</v>
      </c>
      <c r="L346" s="836"/>
      <c r="M346" s="836"/>
      <c r="N346" s="836">
        <f ca="1">IFERROR((INDIRECT("'"&amp;$H$3&amp;"'!$H$10")*INDIRECT("'"&amp;$H$3&amp;"'!$H$9")*INDIRECT("'"&amp;$H$3&amp;"'!N244"))/N345,0)</f>
        <v>0</v>
      </c>
      <c r="O346" s="836"/>
      <c r="P346" s="836"/>
      <c r="Q346" s="836">
        <f ca="1">IFERROR((INDIRECT("'"&amp;$H$3&amp;"'!$H$10")*INDIRECT("'"&amp;$H$3&amp;"'!$H$9")*INDIRECT("'"&amp;$H$3&amp;"'!Q244"))/Q345,0)</f>
        <v>0</v>
      </c>
      <c r="R346" s="836"/>
      <c r="S346" s="836"/>
      <c r="T346" s="836">
        <f ca="1">IFERROR((INDIRECT("'"&amp;$H$3&amp;"'!$H$10")*INDIRECT("'"&amp;$H$3&amp;"'!$H$9")*INDIRECT("'"&amp;$H$3&amp;"'!T244"))/T345,0)</f>
        <v>0</v>
      </c>
      <c r="U346" s="836"/>
      <c r="V346" s="836"/>
      <c r="W346" s="836">
        <f ca="1">IFERROR((INDIRECT("'"&amp;$H$3&amp;"'!$H$10")*INDIRECT("'"&amp;$H$3&amp;"'!$H$9")*INDIRECT("'"&amp;$H$3&amp;"'!W244"))/W345,0)</f>
        <v>0</v>
      </c>
      <c r="X346" s="1465"/>
      <c r="Y346" s="36"/>
      <c r="Z346" s="36"/>
      <c r="AA346" s="36"/>
      <c r="AB346" s="36"/>
      <c r="AC346" s="36"/>
      <c r="AD346" s="36"/>
      <c r="AE346" s="36"/>
      <c r="AF346" s="36"/>
      <c r="AG346" s="36"/>
      <c r="AH346" s="36"/>
      <c r="AI346" s="36"/>
      <c r="AJ346" s="36"/>
      <c r="AK346" s="242"/>
      <c r="AL346" s="36"/>
      <c r="AM346" s="36"/>
      <c r="AN346" s="36"/>
    </row>
    <row r="347" spans="6:40" ht="15" customHeight="1" outlineLevel="1">
      <c r="F347" s="52"/>
      <c r="G347" s="1613" t="s">
        <v>134</v>
      </c>
      <c r="H347" s="842"/>
      <c r="I347" s="842"/>
      <c r="J347" s="842"/>
      <c r="K347" s="842"/>
      <c r="L347" s="842"/>
      <c r="M347" s="842"/>
      <c r="N347" s="842"/>
      <c r="O347" s="842"/>
      <c r="P347" s="842"/>
      <c r="Q347" s="842"/>
      <c r="R347" s="1650"/>
      <c r="S347" s="1650"/>
      <c r="T347" s="842"/>
      <c r="U347" s="1650"/>
      <c r="V347" s="1650"/>
      <c r="W347" s="842"/>
      <c r="X347" s="1470"/>
      <c r="Y347" s="36"/>
      <c r="Z347" s="36"/>
      <c r="AA347" s="36"/>
      <c r="AB347" s="36"/>
      <c r="AC347" s="36"/>
      <c r="AD347" s="36"/>
      <c r="AE347" s="36"/>
      <c r="AF347" s="36"/>
      <c r="AG347" s="36"/>
      <c r="AH347" s="36"/>
      <c r="AI347" s="36"/>
      <c r="AJ347" s="36"/>
      <c r="AK347" s="242"/>
      <c r="AL347" s="36"/>
      <c r="AM347" s="36"/>
      <c r="AN347" s="36"/>
    </row>
    <row r="348" spans="6:40" ht="15" customHeight="1" outlineLevel="1">
      <c r="F348" s="52"/>
      <c r="G348" s="51" t="s">
        <v>206</v>
      </c>
      <c r="H348" s="836"/>
      <c r="I348" s="836"/>
      <c r="J348" s="836"/>
      <c r="K348" s="836">
        <f ca="1">IFERROR(K337*INDIRECT("'"&amp;$H$3&amp;"'!K$96"),0)</f>
        <v>0</v>
      </c>
      <c r="L348" s="836"/>
      <c r="M348" s="836"/>
      <c r="N348" s="836">
        <f ca="1">IFERROR(N337*INDIRECT("'"&amp;$H$3&amp;"'!N$96"),0)</f>
        <v>0</v>
      </c>
      <c r="O348" s="836"/>
      <c r="P348" s="836"/>
      <c r="Q348" s="836">
        <f ca="1">IFERROR(Q337*INDIRECT("'"&amp;$H$3&amp;"'!Q$96"),0)</f>
        <v>0</v>
      </c>
      <c r="R348" s="836"/>
      <c r="S348" s="836"/>
      <c r="T348" s="836">
        <f ca="1">IFERROR(T337*INDIRECT("'"&amp;$H$3&amp;"'!T$96"),0)</f>
        <v>0</v>
      </c>
      <c r="U348" s="836"/>
      <c r="V348" s="836"/>
      <c r="W348" s="836">
        <f ca="1">IFERROR(W337*INDIRECT("'"&amp;$H$3&amp;"'!W$96"),0)</f>
        <v>0</v>
      </c>
      <c r="X348" s="1469"/>
      <c r="Y348" s="36"/>
      <c r="Z348" s="36"/>
      <c r="AA348" s="36"/>
      <c r="AB348" s="36" t="s">
        <v>192</v>
      </c>
      <c r="AC348" s="36"/>
      <c r="AD348" s="36" t="s">
        <v>193</v>
      </c>
      <c r="AE348" s="36"/>
      <c r="AF348" s="36"/>
      <c r="AG348" s="36"/>
      <c r="AH348" s="36"/>
      <c r="AI348" s="36"/>
      <c r="AJ348" s="36"/>
      <c r="AK348" s="36"/>
      <c r="AL348" s="36"/>
      <c r="AM348" s="36"/>
      <c r="AN348" s="36"/>
    </row>
    <row r="349" spans="6:40" ht="15" customHeight="1" outlineLevel="1">
      <c r="F349" s="52"/>
      <c r="G349" s="51" t="s">
        <v>87</v>
      </c>
      <c r="H349" s="836"/>
      <c r="I349" s="836"/>
      <c r="J349" s="836"/>
      <c r="K349" s="836">
        <f ca="1">IFERROR(IF(K337=0,0,2*INDIRECT("'"&amp;$H$3&amp;"'!K$98")),0)</f>
        <v>0</v>
      </c>
      <c r="L349" s="836"/>
      <c r="M349" s="836"/>
      <c r="N349" s="836">
        <f ca="1">IFERROR(IF(N337=0,0,2*INDIRECT("'"&amp;$H$3&amp;"'!N$98")),0)</f>
        <v>0</v>
      </c>
      <c r="O349" s="836"/>
      <c r="P349" s="836"/>
      <c r="Q349" s="836">
        <f ca="1">IFERROR(IF(Q337=0,0,2*INDIRECT("'"&amp;$H$3&amp;"'!Q$98")),0)</f>
        <v>0</v>
      </c>
      <c r="R349" s="836"/>
      <c r="S349" s="836"/>
      <c r="T349" s="836">
        <f ca="1">IFERROR(IF(T337=0,0,2*INDIRECT("'"&amp;$H$3&amp;"'!T$98")),0)</f>
        <v>0</v>
      </c>
      <c r="U349" s="836"/>
      <c r="V349" s="836"/>
      <c r="W349" s="836">
        <f ca="1">IFERROR(IF(W337=0,0,2*INDIRECT("'"&amp;$H$3&amp;"'!W$98")),0)</f>
        <v>0</v>
      </c>
      <c r="X349" s="1469"/>
      <c r="Y349" s="36"/>
      <c r="Z349" s="36"/>
      <c r="AA349" s="36"/>
      <c r="AB349" s="36" t="s">
        <v>194</v>
      </c>
      <c r="AC349" s="36"/>
      <c r="AD349" s="36" t="s">
        <v>195</v>
      </c>
      <c r="AE349" s="36"/>
      <c r="AF349" s="36"/>
      <c r="AG349" s="36"/>
      <c r="AH349" s="36"/>
      <c r="AI349" s="36"/>
      <c r="AJ349" s="36"/>
      <c r="AK349" s="36"/>
      <c r="AL349" s="36"/>
      <c r="AM349" s="36"/>
      <c r="AN349" s="36"/>
    </row>
    <row r="350" spans="6:40" ht="15" customHeight="1" outlineLevel="1">
      <c r="F350" s="52"/>
      <c r="G350" s="51" t="s">
        <v>204</v>
      </c>
      <c r="H350" s="837"/>
      <c r="I350" s="837"/>
      <c r="J350" s="837"/>
      <c r="K350" s="837">
        <f ca="1">IFERROR((INDIRECT("'"&amp;$H$3&amp;"'!$H$10")*INDIRECT("'"&amp;$H$3&amp;"'!$H$9")*INDIRECT("'"&amp;$H$3&amp;"'!K244"))/((K349/INDIRECT("'"&amp;$H$3&amp;"'!K257"))+((1/60)*(INDIRECT("'"&amp;$H$3&amp;"'!K253")+INDIRECT("'"&amp;$H$3&amp;"'!$H$19")*(INDIRECT("'"&amp;$H$3&amp;"'!K254")+(INDIRECT("'"&amp;$H$3&amp;"'!K255")*('2_Outputs'!K$52/INDIRECT("'"&amp;$H$3&amp;"'!K$96")/INDIRECT("'"&amp;$H$3&amp;"'!$H$19"))))))),0)</f>
        <v>0</v>
      </c>
      <c r="L350" s="837"/>
      <c r="M350" s="837"/>
      <c r="N350" s="837">
        <f ca="1">IFERROR((INDIRECT("'"&amp;$H$3&amp;"'!$H$10")*INDIRECT("'"&amp;$H$3&amp;"'!$H$9")*INDIRECT("'"&amp;$H$3&amp;"'!N244"))/((N349/INDIRECT("'"&amp;$H$3&amp;"'!N257"))+((1/60)*(INDIRECT("'"&amp;$H$3&amp;"'!N253")+INDIRECT("'"&amp;$H$3&amp;"'!$H$19")*(INDIRECT("'"&amp;$H$3&amp;"'!N254")+(INDIRECT("'"&amp;$H$3&amp;"'!N255")*('2_Outputs'!N$52/INDIRECT("'"&amp;$H$3&amp;"'!N$96")/INDIRECT("'"&amp;$H$3&amp;"'!$H$19"))))))),0)</f>
        <v>0</v>
      </c>
      <c r="O350" s="837"/>
      <c r="P350" s="837"/>
      <c r="Q350" s="837">
        <f ca="1">IFERROR((INDIRECT("'"&amp;$H$3&amp;"'!$H$10")*INDIRECT("'"&amp;$H$3&amp;"'!$H$9")*INDIRECT("'"&amp;$H$3&amp;"'!Q244"))/((Q349/INDIRECT("'"&amp;$H$3&amp;"'!Q257"))+((1/60)*(INDIRECT("'"&amp;$H$3&amp;"'!Q253")+INDIRECT("'"&amp;$H$3&amp;"'!$H$19")*(INDIRECT("'"&amp;$H$3&amp;"'!Q254")+(INDIRECT("'"&amp;$H$3&amp;"'!Q255")*('2_Outputs'!Q$52/INDIRECT("'"&amp;$H$3&amp;"'!Q$96")/INDIRECT("'"&amp;$H$3&amp;"'!$H$19"))))))),0)</f>
        <v>0</v>
      </c>
      <c r="R350" s="837"/>
      <c r="S350" s="837"/>
      <c r="T350" s="837">
        <f ca="1">IFERROR((INDIRECT("'"&amp;$H$3&amp;"'!$H$10")*INDIRECT("'"&amp;$H$3&amp;"'!$H$9")*INDIRECT("'"&amp;$H$3&amp;"'!T244"))/((T349/INDIRECT("'"&amp;$H$3&amp;"'!T257"))+((1/60)*(INDIRECT("'"&amp;$H$3&amp;"'!T253")+INDIRECT("'"&amp;$H$3&amp;"'!$H$19")*(INDIRECT("'"&amp;$H$3&amp;"'!T254")+(INDIRECT("'"&amp;$H$3&amp;"'!T255")*('2_Outputs'!T$52/INDIRECT("'"&amp;$H$3&amp;"'!T$96")/INDIRECT("'"&amp;$H$3&amp;"'!$H$19"))))))),0)</f>
        <v>0</v>
      </c>
      <c r="U350" s="837"/>
      <c r="V350" s="837"/>
      <c r="W350" s="837">
        <f ca="1">IFERROR((INDIRECT("'"&amp;$H$3&amp;"'!$H$10")*INDIRECT("'"&amp;$H$3&amp;"'!$H$9")*INDIRECT("'"&amp;$H$3&amp;"'!W244"))/((W349/INDIRECT("'"&amp;$H$3&amp;"'!W257"))+((1/60)*(INDIRECT("'"&amp;$H$3&amp;"'!W253")+INDIRECT("'"&amp;$H$3&amp;"'!$H$19")*(INDIRECT("'"&amp;$H$3&amp;"'!W254")+(INDIRECT("'"&amp;$H$3&amp;"'!W255")*('2_Outputs'!W$52/INDIRECT("'"&amp;$H$3&amp;"'!W$96")/INDIRECT("'"&amp;$H$3&amp;"'!$H$19"))))))),0)</f>
        <v>0</v>
      </c>
      <c r="X350" s="1468"/>
      <c r="Y350" s="36"/>
      <c r="Z350" s="36"/>
      <c r="AA350" s="36"/>
      <c r="AB350" s="36" t="s">
        <v>196</v>
      </c>
      <c r="AC350" s="36"/>
      <c r="AD350" s="36" t="s">
        <v>197</v>
      </c>
      <c r="AE350" s="36"/>
      <c r="AF350" s="36"/>
      <c r="AG350" s="36"/>
      <c r="AH350" s="36"/>
      <c r="AI350" s="36"/>
      <c r="AJ350" s="36"/>
      <c r="AK350" s="36"/>
      <c r="AL350" s="36"/>
      <c r="AM350" s="36"/>
      <c r="AN350" s="36"/>
    </row>
    <row r="351" spans="6:40" ht="15" customHeight="1">
      <c r="F351" s="52"/>
      <c r="G351" s="52"/>
      <c r="H351" s="1660"/>
      <c r="I351" s="1660"/>
      <c r="J351" s="1660"/>
      <c r="K351" s="1660"/>
      <c r="L351" s="1660"/>
      <c r="M351" s="1660"/>
      <c r="N351" s="1660"/>
      <c r="O351" s="1660"/>
      <c r="P351" s="1660"/>
      <c r="Q351" s="1660"/>
      <c r="R351" s="1677"/>
      <c r="S351" s="1677"/>
      <c r="T351" s="1677"/>
      <c r="U351" s="1677"/>
      <c r="V351" s="1677"/>
      <c r="W351" s="1677"/>
      <c r="X351" s="1484"/>
      <c r="Y351" s="36"/>
      <c r="Z351" s="36"/>
      <c r="AA351" s="36"/>
      <c r="AB351" s="36"/>
      <c r="AC351" s="36"/>
      <c r="AD351" s="36"/>
      <c r="AE351" s="36"/>
      <c r="AF351" s="36"/>
      <c r="AG351" s="36"/>
      <c r="AH351" s="36"/>
      <c r="AI351" s="36"/>
      <c r="AJ351" s="36"/>
      <c r="AK351" s="36"/>
      <c r="AL351" s="36"/>
      <c r="AM351" s="36"/>
      <c r="AN351" s="36"/>
    </row>
    <row r="352" spans="6:40" ht="15" customHeight="1">
      <c r="F352" s="52"/>
      <c r="G352" s="52"/>
      <c r="H352" s="1660"/>
      <c r="I352" s="1660"/>
      <c r="J352" s="1660"/>
      <c r="K352" s="1660"/>
      <c r="L352" s="1660"/>
      <c r="M352" s="1660"/>
      <c r="N352" s="1660"/>
      <c r="O352" s="1660"/>
      <c r="P352" s="1660"/>
      <c r="Q352" s="1660"/>
      <c r="R352" s="1641"/>
      <c r="S352" s="1641"/>
      <c r="T352" s="1641"/>
      <c r="U352" s="1641"/>
      <c r="V352" s="1641"/>
      <c r="W352" s="1641"/>
      <c r="X352" s="1397"/>
      <c r="Y352" s="36"/>
      <c r="Z352" s="36"/>
      <c r="AA352" s="36"/>
      <c r="AB352" s="36"/>
      <c r="AC352" s="36"/>
      <c r="AD352" s="36"/>
      <c r="AE352" s="36"/>
      <c r="AF352" s="36"/>
      <c r="AG352" s="36"/>
      <c r="AH352" s="36"/>
      <c r="AI352" s="36"/>
      <c r="AJ352" s="36"/>
      <c r="AK352" s="36"/>
      <c r="AL352" s="36"/>
      <c r="AM352" s="36"/>
      <c r="AN352" s="36"/>
    </row>
    <row r="353" spans="6:40" ht="48" customHeight="1">
      <c r="F353" s="1678" t="s">
        <v>156</v>
      </c>
      <c r="G353" s="1679"/>
      <c r="H353" s="1680"/>
      <c r="I353" s="1680"/>
      <c r="J353" s="1680"/>
      <c r="K353" s="1513" t="str">
        <f ca="1">IF($H$9&gt;=2,INDIRECT("'"&amp;$H$3&amp;"'!J$130"),"")</f>
        <v>CMS  to  Regional WH</v>
      </c>
      <c r="L353" s="1513" t="str">
        <f t="shared" ref="L353:V353" ca="1" si="21">IF($H$9&gt;=1,"Tier 1","")</f>
        <v>Tier 1</v>
      </c>
      <c r="M353" s="1513" t="str">
        <f t="shared" ca="1" si="21"/>
        <v>Tier 1</v>
      </c>
      <c r="N353" s="1513" t="str">
        <f ca="1">IF($H$9&gt;=3,INDIRECT("'"&amp;$H$3&amp;"'!M$130"),"")</f>
        <v>Regional WH  to  Health Facility</v>
      </c>
      <c r="O353" s="1513" t="str">
        <f t="shared" ca="1" si="21"/>
        <v>Tier 1</v>
      </c>
      <c r="P353" s="1513" t="str">
        <f t="shared" ca="1" si="21"/>
        <v>Tier 1</v>
      </c>
      <c r="Q353" s="1514" t="str">
        <f ca="1">IF($H$9&gt;=4,INDIRECT("'"&amp;$H$3&amp;"'!P$130"),"")</f>
        <v/>
      </c>
      <c r="R353" s="1515" t="str">
        <f t="shared" ca="1" si="21"/>
        <v>Tier 1</v>
      </c>
      <c r="S353" s="1515" t="str">
        <f t="shared" ca="1" si="21"/>
        <v>Tier 1</v>
      </c>
      <c r="T353" s="1514" t="str">
        <f ca="1">IF($H$9&gt;=5,INDIRECT("'"&amp;$H$3&amp;"'!S$130"),"")</f>
        <v/>
      </c>
      <c r="U353" s="1515" t="str">
        <f t="shared" ca="1" si="21"/>
        <v>Tier 1</v>
      </c>
      <c r="V353" s="1515" t="str">
        <f t="shared" ca="1" si="21"/>
        <v>Tier 1</v>
      </c>
      <c r="W353" s="1514" t="str">
        <f ca="1">IF($H$9&gt;=6,INDIRECT("'"&amp;$H$3&amp;"'!V$130"),"")</f>
        <v/>
      </c>
      <c r="X353" s="1464"/>
      <c r="Y353" s="36"/>
      <c r="Z353" s="36"/>
      <c r="AA353" s="36"/>
      <c r="AB353" s="36"/>
      <c r="AC353" s="36"/>
      <c r="AD353" s="36"/>
      <c r="AE353" s="36"/>
      <c r="AF353" s="36"/>
      <c r="AG353" s="36"/>
      <c r="AH353" s="36"/>
      <c r="AI353" s="36"/>
      <c r="AJ353" s="36"/>
      <c r="AK353" s="242"/>
      <c r="AL353" s="36"/>
      <c r="AM353" s="36"/>
      <c r="AN353" s="36"/>
    </row>
    <row r="354" spans="6:40" ht="15" customHeight="1" outlineLevel="1">
      <c r="F354" s="1681" t="s">
        <v>149</v>
      </c>
      <c r="G354" s="1681"/>
      <c r="H354" s="78"/>
      <c r="I354" s="78"/>
      <c r="J354" s="78"/>
      <c r="K354" s="78"/>
      <c r="L354" s="78"/>
      <c r="M354" s="78"/>
      <c r="N354" s="78"/>
      <c r="O354" s="1681"/>
      <c r="P354" s="1681"/>
      <c r="Q354" s="1682"/>
      <c r="R354" s="1641"/>
      <c r="S354" s="1641"/>
      <c r="T354" s="1682"/>
      <c r="U354" s="1641"/>
      <c r="V354" s="1641"/>
      <c r="W354" s="1682"/>
      <c r="Y354" s="36"/>
      <c r="Z354" s="36"/>
      <c r="AA354" s="36"/>
      <c r="AB354" s="36"/>
      <c r="AC354" s="36"/>
      <c r="AD354" s="36"/>
      <c r="AE354" s="36"/>
      <c r="AF354" s="36"/>
      <c r="AG354" s="36"/>
      <c r="AH354" s="36"/>
      <c r="AI354" s="36"/>
      <c r="AJ354" s="36"/>
      <c r="AK354" s="242"/>
      <c r="AL354" s="36"/>
      <c r="AM354" s="36"/>
      <c r="AN354" s="36"/>
    </row>
    <row r="355" spans="6:40" ht="15" customHeight="1" outlineLevel="1">
      <c r="F355" s="52"/>
      <c r="G355" s="51" t="s">
        <v>146</v>
      </c>
      <c r="H355" s="837"/>
      <c r="I355" s="837"/>
      <c r="J355" s="837"/>
      <c r="K355" s="837">
        <f ca="1">IFERROR(IF(COUNTIF(INDIRECT("'"&amp;$H$3&amp;"'!K264"),"Public Transport*")=1,IF(INDIRECT("'"&amp;$H$3&amp;"'!K272")="Route-based",K362*INDIRECT("'"&amp;$H$3&amp;"'!K$261"),IF(INDIRECT("'"&amp;$H$3&amp;"'!K272")="Point-to-point",K365*INDIRECT("'"&amp;$H$3&amp;"'!K$261"),0)),0),0)</f>
        <v>0</v>
      </c>
      <c r="L355" s="837"/>
      <c r="M355" s="837"/>
      <c r="N355" s="837">
        <f ca="1">IFERROR(IF(COUNTIF(INDIRECT("'"&amp;$H$3&amp;"'!N264"),"Public Transport*")=1,IF(INDIRECT("'"&amp;$H$3&amp;"'!N272")="Route-based",N362*INDIRECT("'"&amp;$H$3&amp;"'!N$261"),IF(INDIRECT("'"&amp;$H$3&amp;"'!N272")="Point-to-point",N365*INDIRECT("'"&amp;$H$3&amp;"'!N$261"),0)),0),0)</f>
        <v>0</v>
      </c>
      <c r="O355" s="837"/>
      <c r="P355" s="837"/>
      <c r="Q355" s="837">
        <f ca="1">IFERROR(IF(COUNTIF(INDIRECT("'"&amp;$H$3&amp;"'!Q264"),"Public Transport*")=1,IF(INDIRECT("'"&amp;$H$3&amp;"'!Q272")="Route-based",Q362*INDIRECT("'"&amp;$H$3&amp;"'!Q$261"),IF(INDIRECT("'"&amp;$H$3&amp;"'!Q272")="Point-to-point",Q365*INDIRECT("'"&amp;$H$3&amp;"'!Q$261"),0)),0),0)</f>
        <v>0</v>
      </c>
      <c r="R355" s="1650"/>
      <c r="S355" s="1650"/>
      <c r="T355" s="837">
        <f ca="1">IFERROR(IF(COUNTIF(INDIRECT("'"&amp;$H$3&amp;"'!T264"),"Public Transport*")=1,IF(INDIRECT("'"&amp;$H$3&amp;"'!T272")="Route-based",T362*INDIRECT("'"&amp;$H$3&amp;"'!T$261"),IF(INDIRECT("'"&amp;$H$3&amp;"'!T272")="Point-to-point",T365*INDIRECT("'"&amp;$H$3&amp;"'!T$261"),0)),0),0)</f>
        <v>0</v>
      </c>
      <c r="U355" s="1650"/>
      <c r="V355" s="1650"/>
      <c r="W355" s="837">
        <f ca="1">IFERROR(IF(COUNTIF(INDIRECT("'"&amp;$H$3&amp;"'!W264"),"Public Transport*")=1,IF(INDIRECT("'"&amp;$H$3&amp;"'!W272")="Route-based",W362*INDIRECT("'"&amp;$H$3&amp;"'!W$261"),IF(INDIRECT("'"&amp;$H$3&amp;"'!W272")="Point-to-point",W365*INDIRECT("'"&amp;$H$3&amp;"'!W$261"),0)),0),0)</f>
        <v>0</v>
      </c>
      <c r="X355" s="1468"/>
      <c r="Y355" s="36"/>
      <c r="Z355" s="36"/>
      <c r="AA355" s="36"/>
      <c r="AB355" s="36"/>
      <c r="AC355" s="36"/>
      <c r="AD355" s="36"/>
      <c r="AE355" s="36"/>
      <c r="AF355" s="36"/>
      <c r="AG355" s="36"/>
      <c r="AH355" s="36"/>
      <c r="AI355" s="36"/>
      <c r="AJ355" s="36"/>
      <c r="AK355" s="242"/>
      <c r="AL355" s="36"/>
      <c r="AM355" s="36"/>
      <c r="AN355" s="36"/>
    </row>
    <row r="356" spans="6:40" ht="15" customHeight="1" outlineLevel="1">
      <c r="F356" s="52"/>
      <c r="G356" s="51" t="s">
        <v>147</v>
      </c>
      <c r="H356" s="837"/>
      <c r="I356" s="837"/>
      <c r="J356" s="837"/>
      <c r="K356" s="837">
        <f ca="1">IFERROR(IF(INDIRECT("'"&amp;$H$3&amp;"'!K272")="Route-based",K363*INDIRECT("'"&amp;$H$3&amp;"'!K$261"),IF(INDIRECT("'"&amp;$H$3&amp;"'!K272")="Point-to-point",K366*INDIRECT("'"&amp;$H$3&amp;"'!K$261"),0)),0)</f>
        <v>0</v>
      </c>
      <c r="L356" s="837"/>
      <c r="M356" s="837"/>
      <c r="N356" s="837">
        <f ca="1">IFERROR(IF(INDIRECT("'"&amp;$H$3&amp;"'!N272")="Route-based",N363*INDIRECT("'"&amp;$H$3&amp;"'!N$261"),IF(INDIRECT("'"&amp;$H$3&amp;"'!N272")="Point-to-point",N366*INDIRECT("'"&amp;$H$3&amp;"'!N$261"),0)),0)</f>
        <v>0</v>
      </c>
      <c r="O356" s="837"/>
      <c r="P356" s="837"/>
      <c r="Q356" s="837">
        <f ca="1">IFERROR(IF(INDIRECT("'"&amp;$H$3&amp;"'!Q272")="Route-based",Q363*INDIRECT("'"&amp;$H$3&amp;"'!Q$261"),IF(INDIRECT("'"&amp;$H$3&amp;"'!Q272")="Point-to-point",Q366*INDIRECT("'"&amp;$H$3&amp;"'!Q$261"),0)),0)</f>
        <v>0</v>
      </c>
      <c r="R356" s="1650"/>
      <c r="S356" s="1650"/>
      <c r="T356" s="837">
        <f ca="1">IFERROR(IF(INDIRECT("'"&amp;$H$3&amp;"'!T272")="Route-based",T363*INDIRECT("'"&amp;$H$3&amp;"'!T$261"),IF(INDIRECT("'"&amp;$H$3&amp;"'!T272")="Point-to-point",T366*INDIRECT("'"&amp;$H$3&amp;"'!T$261"),0)),0)</f>
        <v>0</v>
      </c>
      <c r="U356" s="1650"/>
      <c r="V356" s="1650"/>
      <c r="W356" s="837">
        <f ca="1">IFERROR(IF(INDIRECT("'"&amp;$H$3&amp;"'!W272")="Route-based",W363*INDIRECT("'"&amp;$H$3&amp;"'!W$261"),IF(INDIRECT("'"&amp;$H$3&amp;"'!W272")="Point-to-point",W366*INDIRECT("'"&amp;$H$3&amp;"'!W$261"),0)),0)</f>
        <v>0</v>
      </c>
      <c r="X356" s="1468"/>
      <c r="Y356" s="36"/>
      <c r="Z356" s="36"/>
      <c r="AA356" s="36"/>
      <c r="AB356" s="36"/>
      <c r="AC356" s="36"/>
      <c r="AD356" s="36"/>
      <c r="AE356" s="36"/>
      <c r="AF356" s="36"/>
      <c r="AG356" s="36"/>
      <c r="AH356" s="36"/>
      <c r="AI356" s="36"/>
      <c r="AJ356" s="36"/>
      <c r="AK356" s="36"/>
      <c r="AL356" s="36"/>
      <c r="AM356" s="36"/>
      <c r="AN356" s="36"/>
    </row>
    <row r="357" spans="6:40" ht="15" customHeight="1" outlineLevel="1">
      <c r="F357" s="52"/>
      <c r="G357" s="51" t="s">
        <v>142</v>
      </c>
      <c r="H357" s="1651"/>
      <c r="I357" s="1651"/>
      <c r="J357" s="1651"/>
      <c r="K357" s="1651">
        <f ca="1">IFERROR(IF(COUNTIF(INDIRECT("'"&amp;$H$3&amp;"'!K264"),"Public Transport*")&gt;0,ROUND(INDIRECT("'"&amp;$H$3&amp;"'!K$95")*INDIRECT("'"&amp;$H$3&amp;"'!K263"),0),0),0)</f>
        <v>0</v>
      </c>
      <c r="L357" s="1651"/>
      <c r="M357" s="1651"/>
      <c r="N357" s="1651">
        <f ca="1">IFERROR(IF(COUNTIF(INDIRECT("'"&amp;$H$3&amp;"'!N264"),"Public Transport*")&gt;0,ROUND(INDIRECT("'"&amp;$H$3&amp;"'!N$95")*INDIRECT("'"&amp;$H$3&amp;"'!N263"),0),0),0)</f>
        <v>0</v>
      </c>
      <c r="O357" s="1651"/>
      <c r="P357" s="1651"/>
      <c r="Q357" s="1651">
        <f ca="1">IFERROR(IF(COUNTIF(INDIRECT("'"&amp;$H$3&amp;"'!Q264"),"Public Transport*")&gt;0,ROUND(INDIRECT("'"&amp;$H$3&amp;"'!Q$95")*INDIRECT("'"&amp;$H$3&amp;"'!Q263"),0),0),0)</f>
        <v>0</v>
      </c>
      <c r="R357" s="1650"/>
      <c r="S357" s="1650"/>
      <c r="T357" s="1651">
        <f ca="1">IFERROR(IF(COUNTIF(INDIRECT("'"&amp;$H$3&amp;"'!T264"),"Public Transport*")&gt;0,ROUND(INDIRECT("'"&amp;$H$3&amp;"'!T$95")*INDIRECT("'"&amp;$H$3&amp;"'!T263"),0),0),0)</f>
        <v>0</v>
      </c>
      <c r="U357" s="1650"/>
      <c r="V357" s="1650"/>
      <c r="W357" s="1651">
        <f ca="1">IFERROR(IF(COUNTIF(INDIRECT("'"&amp;$H$3&amp;"'!W264"),"Public Transport*")&gt;0,ROUND(INDIRECT("'"&amp;$H$3&amp;"'!W$95")*INDIRECT("'"&amp;$H$3&amp;"'!W263"),0),0),0)</f>
        <v>0</v>
      </c>
      <c r="X357" s="1466"/>
      <c r="Y357" s="36"/>
      <c r="Z357" s="36"/>
      <c r="AA357" s="36"/>
      <c r="AB357" s="36"/>
      <c r="AC357" s="36"/>
      <c r="AD357" s="36"/>
      <c r="AE357" s="36"/>
      <c r="AF357" s="36"/>
      <c r="AG357" s="36"/>
      <c r="AH357" s="36"/>
      <c r="AI357" s="36"/>
      <c r="AJ357" s="36"/>
      <c r="AK357" s="36"/>
      <c r="AL357" s="36"/>
      <c r="AM357" s="36"/>
      <c r="AN357" s="36"/>
    </row>
    <row r="358" spans="6:40" ht="15" customHeight="1" outlineLevel="1">
      <c r="F358" s="52"/>
      <c r="G358" s="1613" t="s">
        <v>150</v>
      </c>
      <c r="H358" s="842"/>
      <c r="I358" s="842"/>
      <c r="J358" s="842"/>
      <c r="K358" s="842"/>
      <c r="L358" s="842"/>
      <c r="M358" s="842"/>
      <c r="N358" s="842"/>
      <c r="O358" s="842"/>
      <c r="P358" s="842"/>
      <c r="Q358" s="842"/>
      <c r="R358" s="1650"/>
      <c r="S358" s="1650"/>
      <c r="T358" s="842"/>
      <c r="U358" s="1650"/>
      <c r="V358" s="1650"/>
      <c r="W358" s="842"/>
      <c r="X358" s="1470"/>
      <c r="Y358" s="36"/>
      <c r="Z358" s="36"/>
      <c r="AA358" s="36"/>
      <c r="AB358" s="36"/>
      <c r="AC358" s="36"/>
      <c r="AD358" s="36"/>
      <c r="AE358" s="36"/>
      <c r="AF358" s="36"/>
      <c r="AG358" s="36"/>
      <c r="AH358" s="36"/>
      <c r="AI358" s="36"/>
      <c r="AJ358" s="36"/>
      <c r="AK358" s="36"/>
      <c r="AL358" s="36"/>
      <c r="AM358" s="36"/>
      <c r="AN358" s="36"/>
    </row>
    <row r="359" spans="6:40" ht="15" customHeight="1" outlineLevel="1">
      <c r="F359" s="52"/>
      <c r="G359" s="51" t="s">
        <v>140</v>
      </c>
      <c r="H359" s="836"/>
      <c r="I359" s="836"/>
      <c r="J359" s="836"/>
      <c r="K359" s="836">
        <f ca="1">IFERROR(ROUND(INDIRECT("'"&amp;$H$3&amp;"'!$H$10")/(((1/60)*(INDIRECT("'"&amp;$H$3&amp;"'!K277")+INDIRECT("'"&amp;$H$3&amp;"'!$H$19")*(INDIRECT("'"&amp;$H$3&amp;"'!K278")+(INDIRECT("'"&amp;$H$3&amp;"'!K279")*('2_Outputs'!K$52/INDIRECT("'"&amp;$H$3&amp;"'!K$96")/INDIRECT("'"&amp;$H$3&amp;"'!$H$19"))))))+INDEX(INDIRECT("'"&amp;$H$3&amp;"'!$H$43:$H$78"),MATCH(INDIRECT("'"&amp;$H$3&amp;"'!K264")&amp;"Average duration (hrs) per trip",INDIRECT("'"&amp;$H$3&amp;"'!$F$43:$F$78"),0))),1),0)</f>
        <v>0</v>
      </c>
      <c r="L359" s="836"/>
      <c r="M359" s="836"/>
      <c r="N359" s="836">
        <f ca="1">IFERROR(ROUND(INDIRECT("'"&amp;$H$3&amp;"'!$H$10")/(((1/60)*(INDIRECT("'"&amp;$H$3&amp;"'!N277")+INDIRECT("'"&amp;$H$3&amp;"'!$H$19")*(INDIRECT("'"&amp;$H$3&amp;"'!N278")+(INDIRECT("'"&amp;$H$3&amp;"'!N279")*('2_Outputs'!N$52/INDIRECT("'"&amp;$H$3&amp;"'!N$261")/INDIRECT("'"&amp;$H$3&amp;"'!$H$19"))))))+INDEX(INDIRECT("'"&amp;$H$3&amp;"'!$H$43:$H$78"),MATCH(INDIRECT("'"&amp;$H$3&amp;"'!N264")&amp;"Average duration (hrs) per trip",INDIRECT("'"&amp;$H$3&amp;"'!$F$43:$F$78"),0))),1),0)</f>
        <v>0</v>
      </c>
      <c r="O359" s="836"/>
      <c r="P359" s="836"/>
      <c r="Q359" s="836">
        <f ca="1">IFERROR(ROUND(INDIRECT("'"&amp;$H$3&amp;"'!$H$10")/(((1/60)*(INDIRECT("'"&amp;$H$3&amp;"'!Q277")+INDIRECT("'"&amp;$H$3&amp;"'!$H$19")*(INDIRECT("'"&amp;$H$3&amp;"'!Q278")+(INDIRECT("'"&amp;$H$3&amp;"'!Q279")*('2_Outputs'!Q$52/INDIRECT("'"&amp;$H$3&amp;"'!Q$261")/INDIRECT("'"&amp;$H$3&amp;"'!$H$19"))))))+INDEX(INDIRECT("'"&amp;$H$3&amp;"'!$H$43:$H$78"),MATCH(INDIRECT("'"&amp;$H$3&amp;"'!Q264")&amp;"Average duration (hrs) per trip",INDIRECT("'"&amp;$H$3&amp;"'!$F$43:$F$78"),0))),1),0)</f>
        <v>0</v>
      </c>
      <c r="R359" s="836"/>
      <c r="S359" s="836"/>
      <c r="T359" s="836">
        <f ca="1">IFERROR(ROUND(INDIRECT("'"&amp;$H$3&amp;"'!$H$10")/(((1/60)*(INDIRECT("'"&amp;$H$3&amp;"'!T277")+INDIRECT("'"&amp;$H$3&amp;"'!$H$19")*(INDIRECT("'"&amp;$H$3&amp;"'!T278")+(INDIRECT("'"&amp;$H$3&amp;"'!T279")*('2_Outputs'!T$52/INDIRECT("'"&amp;$H$3&amp;"'!T$261")/INDIRECT("'"&amp;$H$3&amp;"'!$H$19"))))))+INDEX(INDIRECT("'"&amp;$H$3&amp;"'!$H$43:$H$78"),MATCH(INDIRECT("'"&amp;$H$3&amp;"'!T264")&amp;"Average duration (hrs) per trip",INDIRECT("'"&amp;$H$3&amp;"'!$F$43:$F$78"),0))),1),0)</f>
        <v>0</v>
      </c>
      <c r="U359" s="836"/>
      <c r="V359" s="836"/>
      <c r="W359" s="836">
        <f ca="1">IFERROR(ROUND(INDIRECT("'"&amp;$H$3&amp;"'!$H$10")/(((1/60)*(INDIRECT("'"&amp;$H$3&amp;"'!W277")+INDIRECT("'"&amp;$H$3&amp;"'!$H$19")*(INDIRECT("'"&amp;$H$3&amp;"'!W278")+(INDIRECT("'"&amp;$H$3&amp;"'!W279")*('2_Outputs'!W$52/INDIRECT("'"&amp;$H$3&amp;"'!W$261")/INDIRECT("'"&amp;$H$3&amp;"'!$H$19"))))))+INDEX(INDIRECT("'"&amp;$H$3&amp;"'!$H$43:$H$78"),MATCH(INDIRECT("'"&amp;$H$3&amp;"'!W264")&amp;"Average duration (hrs) per trip",INDIRECT("'"&amp;$H$3&amp;"'!$F$43:$F$78"),0))),1),0)</f>
        <v>0</v>
      </c>
      <c r="X359" s="1469"/>
      <c r="Y359" s="36"/>
      <c r="Z359" s="36"/>
      <c r="AA359" s="36"/>
      <c r="AB359" s="36"/>
      <c r="AC359" s="36"/>
      <c r="AD359" s="36"/>
      <c r="AE359" s="36"/>
      <c r="AF359" s="36"/>
      <c r="AG359" s="36"/>
      <c r="AH359" s="36"/>
      <c r="AI359" s="36"/>
      <c r="AJ359" s="36"/>
      <c r="AK359" s="36"/>
      <c r="AL359" s="36"/>
      <c r="AM359" s="36"/>
      <c r="AN359" s="36"/>
    </row>
    <row r="360" spans="6:40" ht="15" customHeight="1" outlineLevel="1">
      <c r="F360" s="52"/>
      <c r="G360" s="51" t="s">
        <v>141</v>
      </c>
      <c r="H360" s="836"/>
      <c r="I360" s="836"/>
      <c r="J360" s="836"/>
      <c r="K360" s="836">
        <f ca="1">IFERROR(ROUND(K359*INDIRECT("'"&amp;$H$3&amp;"'!K273"),0),0)</f>
        <v>0</v>
      </c>
      <c r="L360" s="836"/>
      <c r="M360" s="836"/>
      <c r="N360" s="836">
        <f ca="1">IFERROR(ROUND(N359*INDIRECT("'"&amp;$H$3&amp;"'!N273"),0),0)</f>
        <v>0</v>
      </c>
      <c r="O360" s="836"/>
      <c r="P360" s="836"/>
      <c r="Q360" s="836">
        <f ca="1">IFERROR(ROUND(Q359*INDIRECT("'"&amp;$H$3&amp;"'!Q273"),0),0)</f>
        <v>0</v>
      </c>
      <c r="R360" s="836"/>
      <c r="S360" s="836"/>
      <c r="T360" s="836">
        <f ca="1">IFERROR(ROUND(T359*INDIRECT("'"&amp;$H$3&amp;"'!T273"),0),0)</f>
        <v>0</v>
      </c>
      <c r="U360" s="836"/>
      <c r="V360" s="836"/>
      <c r="W360" s="836">
        <f ca="1">IFERROR(ROUND(W359*INDIRECT("'"&amp;$H$3&amp;"'!W273"),0),0)</f>
        <v>0</v>
      </c>
      <c r="X360" s="1469"/>
      <c r="Y360" s="36"/>
      <c r="Z360" s="36"/>
      <c r="AA360" s="36"/>
      <c r="AB360" s="36"/>
      <c r="AC360" s="36"/>
      <c r="AD360" s="36"/>
      <c r="AE360" s="36"/>
      <c r="AF360" s="36"/>
      <c r="AG360" s="36"/>
      <c r="AH360" s="36"/>
      <c r="AI360" s="36"/>
      <c r="AJ360" s="36"/>
      <c r="AK360" s="36"/>
      <c r="AL360" s="36"/>
      <c r="AM360" s="36"/>
      <c r="AN360" s="36"/>
    </row>
    <row r="361" spans="6:40" ht="15" customHeight="1" outlineLevel="1">
      <c r="F361" s="52"/>
      <c r="G361" s="51" t="s">
        <v>143</v>
      </c>
      <c r="H361" s="836"/>
      <c r="I361" s="836"/>
      <c r="J361" s="836"/>
      <c r="K361" s="836">
        <f ca="1">IFERROR(ROUNDUP(K357/K360,0),0)</f>
        <v>0</v>
      </c>
      <c r="L361" s="836"/>
      <c r="M361" s="836"/>
      <c r="N361" s="836">
        <f ca="1">IFERROR(ROUNDUP(N357/N360,0),0)</f>
        <v>0</v>
      </c>
      <c r="O361" s="836"/>
      <c r="P361" s="836"/>
      <c r="Q361" s="836">
        <f ca="1">IFERROR(ROUNDUP(Q357/Q360,0),0)</f>
        <v>0</v>
      </c>
      <c r="R361" s="836"/>
      <c r="S361" s="836"/>
      <c r="T361" s="836">
        <f ca="1">IFERROR(ROUNDUP(T357/T360,0),0)</f>
        <v>0</v>
      </c>
      <c r="U361" s="836"/>
      <c r="V361" s="836"/>
      <c r="W361" s="836">
        <f ca="1">IFERROR(ROUNDUP(W357/W360,0),0)</f>
        <v>0</v>
      </c>
      <c r="X361" s="1469"/>
      <c r="Y361" s="36"/>
      <c r="Z361" s="36"/>
      <c r="AA361" s="36"/>
      <c r="AB361" s="36"/>
      <c r="AC361" s="36"/>
      <c r="AD361" s="36"/>
      <c r="AE361" s="36"/>
      <c r="AF361" s="36"/>
      <c r="AG361" s="36"/>
      <c r="AH361" s="36"/>
      <c r="AI361" s="36"/>
      <c r="AJ361" s="36"/>
      <c r="AK361" s="242"/>
      <c r="AL361" s="36"/>
      <c r="AM361" s="36"/>
      <c r="AN361" s="36"/>
    </row>
    <row r="362" spans="6:40" ht="15" customHeight="1" outlineLevel="1">
      <c r="F362" s="52"/>
      <c r="G362" s="51" t="s">
        <v>144</v>
      </c>
      <c r="H362" s="836"/>
      <c r="I362" s="836"/>
      <c r="J362" s="836"/>
      <c r="K362" s="836">
        <f ca="1">IFERROR((K361*(K360+1)),0)</f>
        <v>0</v>
      </c>
      <c r="L362" s="836"/>
      <c r="M362" s="836"/>
      <c r="N362" s="836">
        <f ca="1">IFERROR((N361*(N360+1)),0)</f>
        <v>0</v>
      </c>
      <c r="O362" s="836"/>
      <c r="P362" s="836"/>
      <c r="Q362" s="836">
        <f ca="1">IFERROR((Q361*(Q360+1)),0)</f>
        <v>0</v>
      </c>
      <c r="R362" s="836"/>
      <c r="S362" s="836"/>
      <c r="T362" s="836">
        <f ca="1">IFERROR((T361*(T360+1)),0)</f>
        <v>0</v>
      </c>
      <c r="U362" s="836"/>
      <c r="V362" s="836"/>
      <c r="W362" s="836">
        <f ca="1">IFERROR((W361*(W360+1)),0)</f>
        <v>0</v>
      </c>
      <c r="X362" s="1469"/>
      <c r="Y362" s="36"/>
      <c r="Z362" s="36"/>
      <c r="AA362" s="36"/>
      <c r="AB362" s="36"/>
      <c r="AC362" s="36"/>
      <c r="AD362" s="36"/>
      <c r="AE362" s="36"/>
      <c r="AF362" s="36"/>
      <c r="AG362" s="36"/>
      <c r="AH362" s="36"/>
      <c r="AI362" s="36"/>
      <c r="AJ362" s="36"/>
      <c r="AK362" s="242"/>
      <c r="AL362" s="36"/>
      <c r="AM362" s="36"/>
      <c r="AN362" s="36"/>
    </row>
    <row r="363" spans="6:40" ht="15" customHeight="1" outlineLevel="1">
      <c r="F363" s="52"/>
      <c r="G363" s="51" t="s">
        <v>145</v>
      </c>
      <c r="H363" s="836"/>
      <c r="I363" s="836"/>
      <c r="J363" s="836"/>
      <c r="K363" s="836">
        <f ca="1">IFERROR(ROUNDUP(((K362*INDEX(INDIRECT("'"&amp;$H$3&amp;"'!$H$43:$H$78"),MATCH(INDIRECT("'"&amp;$H$3&amp;"'!K264")&amp;"Average duration (hrs) per trip",INDIRECT("'"&amp;$H$3&amp;"'!$F$43:$F$78"),0)))+(K357*((1/60)*(INDIRECT("'"&amp;$H$3&amp;"'!K277")+INDIRECT("'"&amp;$H$3&amp;"'!$H$19")*(INDIRECT("'"&amp;$H$3&amp;"'!K278")+(INDIRECT("'"&amp;$H$3&amp;"'!K279")*('2_Outputs'!K$52/INDIRECT("'"&amp;$H$3&amp;"'!K$261")/INDIRECT("'"&amp;$H$3&amp;"'!$H$19"))))))))/INDIRECT("'"&amp;$H$3&amp;"'!$H$10"),0),0)</f>
        <v>0</v>
      </c>
      <c r="L363" s="836"/>
      <c r="M363" s="836"/>
      <c r="N363" s="836">
        <f ca="1">IFERROR(ROUNDUP(((N362*INDEX(INDIRECT("'"&amp;$H$3&amp;"'!$H$43:$H$78"),MATCH(INDIRECT("'"&amp;$H$3&amp;"'!N264")&amp;"Average duration (hrs) per trip",INDIRECT("'"&amp;$H$3&amp;"'!$F$43:$F$78"),0)))+(N357*((1/60)*(INDIRECT("'"&amp;$H$3&amp;"'!N277")+INDIRECT("'"&amp;$H$3&amp;"'!$H$19")*(INDIRECT("'"&amp;$H$3&amp;"'!N278")+(INDIRECT("'"&amp;$H$3&amp;"'!N279")*('2_Outputs'!N$52/INDIRECT("'"&amp;$H$3&amp;"'!N$261")/INDIRECT("'"&amp;$H$3&amp;"'!$H$19"))))))))/INDIRECT("'"&amp;$H$3&amp;"'!$H$10"),0),0)</f>
        <v>0</v>
      </c>
      <c r="O363" s="836"/>
      <c r="P363" s="836"/>
      <c r="Q363" s="836">
        <f ca="1">IFERROR(ROUNDUP(((Q362*INDEX(INDIRECT("'"&amp;$H$3&amp;"'!$H$43:$H$78"),MATCH(INDIRECT("'"&amp;$H$3&amp;"'!Q264")&amp;"Average duration (hrs) per trip",INDIRECT("'"&amp;$H$3&amp;"'!$F$43:$F$78"),0)))+(Q357*((1/60)*(INDIRECT("'"&amp;$H$3&amp;"'!Q277")+INDIRECT("'"&amp;$H$3&amp;"'!$H$19")*(INDIRECT("'"&amp;$H$3&amp;"'!Q278")+(INDIRECT("'"&amp;$H$3&amp;"'!Q279")*('2_Outputs'!Q$52/INDIRECT("'"&amp;$H$3&amp;"'!Q$261")/INDIRECT("'"&amp;$H$3&amp;"'!$H$19"))))))))/INDIRECT("'"&amp;$H$3&amp;"'!$H$10"),0),0)</f>
        <v>0</v>
      </c>
      <c r="R363" s="836"/>
      <c r="S363" s="836"/>
      <c r="T363" s="836">
        <f ca="1">IFERROR(ROUNDUP(((T362*INDEX(INDIRECT("'"&amp;$H$3&amp;"'!$H$43:$H$78"),MATCH(INDIRECT("'"&amp;$H$3&amp;"'!T264")&amp;"Average duration (hrs) per trip",INDIRECT("'"&amp;$H$3&amp;"'!$F$43:$F$78"),0)))+(T357*((1/60)*(INDIRECT("'"&amp;$H$3&amp;"'!T277")+INDIRECT("'"&amp;$H$3&amp;"'!$H$19")*(INDIRECT("'"&amp;$H$3&amp;"'!T278")+(INDIRECT("'"&amp;$H$3&amp;"'!T279")*('2_Outputs'!T$52/INDIRECT("'"&amp;$H$3&amp;"'!T$261")/INDIRECT("'"&amp;$H$3&amp;"'!$H$19"))))))))/INDIRECT("'"&amp;$H$3&amp;"'!$H$10"),0),0)</f>
        <v>0</v>
      </c>
      <c r="U363" s="836"/>
      <c r="V363" s="836"/>
      <c r="W363" s="836">
        <f ca="1">IFERROR(ROUNDUP(((W362*INDEX(INDIRECT("'"&amp;$H$3&amp;"'!$H$43:$H$78"),MATCH(INDIRECT("'"&amp;$H$3&amp;"'!W264")&amp;"Average duration (hrs) per trip",INDIRECT("'"&amp;$H$3&amp;"'!$F$43:$F$78"),0)))+(W357*((1/60)*(INDIRECT("'"&amp;$H$3&amp;"'!W277")+INDIRECT("'"&amp;$H$3&amp;"'!$H$19")*(INDIRECT("'"&amp;$H$3&amp;"'!W278")+(INDIRECT("'"&amp;$H$3&amp;"'!W279")*('2_Outputs'!W$52/INDIRECT("'"&amp;$H$3&amp;"'!W$261")/INDIRECT("'"&amp;$H$3&amp;"'!$H$19"))))))))/INDIRECT("'"&amp;$H$3&amp;"'!$H$10"),0),0)</f>
        <v>0</v>
      </c>
      <c r="X363" s="1469"/>
      <c r="Y363" s="36"/>
      <c r="Z363" s="36"/>
      <c r="AA363" s="36"/>
      <c r="AB363" s="36"/>
      <c r="AC363" s="36"/>
      <c r="AD363" s="36"/>
      <c r="AE363" s="36"/>
      <c r="AF363" s="36"/>
      <c r="AG363" s="36"/>
      <c r="AH363" s="36"/>
      <c r="AI363" s="36"/>
      <c r="AJ363" s="36"/>
      <c r="AK363" s="242"/>
      <c r="AL363" s="36"/>
      <c r="AM363" s="36"/>
      <c r="AN363" s="36"/>
    </row>
    <row r="364" spans="6:40" ht="15" customHeight="1" outlineLevel="1">
      <c r="F364" s="52"/>
      <c r="G364" s="1613" t="s">
        <v>841</v>
      </c>
      <c r="H364" s="842"/>
      <c r="I364" s="842"/>
      <c r="J364" s="842"/>
      <c r="K364" s="842"/>
      <c r="L364" s="842"/>
      <c r="M364" s="842"/>
      <c r="N364" s="842"/>
      <c r="O364" s="842"/>
      <c r="P364" s="842"/>
      <c r="Q364" s="842"/>
      <c r="R364" s="1650"/>
      <c r="S364" s="1650"/>
      <c r="T364" s="842"/>
      <c r="U364" s="1650"/>
      <c r="V364" s="1650"/>
      <c r="W364" s="842"/>
      <c r="X364" s="1470"/>
      <c r="Y364" s="36"/>
      <c r="Z364" s="36"/>
      <c r="AA364" s="36"/>
      <c r="AB364" s="36"/>
      <c r="AC364" s="36"/>
      <c r="AD364" s="36"/>
      <c r="AE364" s="36"/>
      <c r="AF364" s="36"/>
      <c r="AG364" s="36"/>
      <c r="AH364" s="36"/>
      <c r="AI364" s="36"/>
      <c r="AJ364" s="36"/>
      <c r="AK364" s="36"/>
      <c r="AL364" s="36"/>
      <c r="AM364" s="36"/>
      <c r="AN364" s="36"/>
    </row>
    <row r="365" spans="6:40" ht="15" customHeight="1" outlineLevel="1">
      <c r="F365" s="52"/>
      <c r="G365" s="51" t="s">
        <v>144</v>
      </c>
      <c r="H365" s="836"/>
      <c r="I365" s="836"/>
      <c r="J365" s="836"/>
      <c r="K365" s="836">
        <f ca="1">IFERROR(K357*2,0)</f>
        <v>0</v>
      </c>
      <c r="L365" s="836"/>
      <c r="M365" s="836"/>
      <c r="N365" s="836">
        <f ca="1">IFERROR(N357*2,0)</f>
        <v>0</v>
      </c>
      <c r="O365" s="836"/>
      <c r="P365" s="836"/>
      <c r="Q365" s="836">
        <f ca="1">IFERROR(Q357*2,0)</f>
        <v>0</v>
      </c>
      <c r="R365" s="836"/>
      <c r="S365" s="836"/>
      <c r="T365" s="836">
        <f ca="1">IFERROR(T357*2,0)</f>
        <v>0</v>
      </c>
      <c r="U365" s="836"/>
      <c r="V365" s="836"/>
      <c r="W365" s="836">
        <f ca="1">IFERROR(W357*2,0)</f>
        <v>0</v>
      </c>
      <c r="X365" s="1469"/>
      <c r="Y365" s="36"/>
      <c r="Z365" s="36"/>
      <c r="AA365" s="36"/>
      <c r="AB365" s="36"/>
      <c r="AC365" s="36"/>
      <c r="AD365" s="36"/>
      <c r="AE365" s="36"/>
      <c r="AF365" s="36"/>
      <c r="AG365" s="36"/>
      <c r="AH365" s="36"/>
      <c r="AI365" s="36"/>
      <c r="AJ365" s="36"/>
      <c r="AK365" s="36"/>
      <c r="AL365" s="36"/>
      <c r="AM365" s="36"/>
      <c r="AN365" s="36"/>
    </row>
    <row r="366" spans="6:40" ht="15" customHeight="1" outlineLevel="1">
      <c r="F366" s="52"/>
      <c r="G366" s="51" t="s">
        <v>145</v>
      </c>
      <c r="H366" s="837"/>
      <c r="I366" s="837"/>
      <c r="J366" s="837"/>
      <c r="K366" s="837">
        <f ca="1">IFERROR(MAX(K357,ROUNDUP(((K365*INDEX(INDIRECT("'"&amp;$H$3&amp;"'!$H$43:$H$78"),MATCH(INDIRECT("'"&amp;$H$3&amp;"'!K264")&amp;"Average duration (hrs) per trip",INDIRECT("'"&amp;$H$3&amp;"'!$F$43:$F$78"),0)))+(K357*((1/60)*(INDIRECT("'"&amp;$H$3&amp;"'!K277")+INDIRECT("'"&amp;$H$3&amp;"'!$H$19")*(INDIRECT("'"&amp;$H$3&amp;"'!K278")+(INDIRECT("'"&amp;$H$3&amp;"'!K279")*('2_Outputs'!K$52/INDIRECT("'"&amp;$H$3&amp;"'!K$261")/INDIRECT("'"&amp;$H$3&amp;"'!$H$19"))))))))/INDIRECT("'"&amp;$H$3&amp;"'!$H$10"),0)),0)</f>
        <v>0</v>
      </c>
      <c r="L366" s="837"/>
      <c r="M366" s="837"/>
      <c r="N366" s="837">
        <f ca="1">IFERROR(MAX(N357,ROUNDUP(((N365*INDEX(INDIRECT("'"&amp;$H$3&amp;"'!$H$43:$H$78"),MATCH(INDIRECT("'"&amp;$H$3&amp;"'!N264")&amp;"Average duration (hrs) per trip",INDIRECT("'"&amp;$H$3&amp;"'!$F$43:$F$78"),0)))+(N357*((1/60)*(INDIRECT("'"&amp;$H$3&amp;"'!N277")+INDIRECT("'"&amp;$H$3&amp;"'!$H$19")*(INDIRECT("'"&amp;$H$3&amp;"'!N278")+(INDIRECT("'"&amp;$H$3&amp;"'!N279")*('2_Outputs'!N$52/INDIRECT("'"&amp;$H$3&amp;"'!N$261")/INDIRECT("'"&amp;$H$3&amp;"'!$H$19"))))))))/INDIRECT("'"&amp;$H$3&amp;"'!$H$10"),0)),0)</f>
        <v>0</v>
      </c>
      <c r="O366" s="837"/>
      <c r="P366" s="837"/>
      <c r="Q366" s="837">
        <f ca="1">IFERROR(MAX(Q357,ROUNDUP(((Q365*INDEX(INDIRECT("'"&amp;$H$3&amp;"'!$H$43:$H$78"),MATCH(INDIRECT("'"&amp;$H$3&amp;"'!Q264")&amp;"Average duration (hrs) per trip",INDIRECT("'"&amp;$H$3&amp;"'!$F$43:$F$78"),0)))+(Q357*((1/60)*(INDIRECT("'"&amp;$H$3&amp;"'!Q277")+INDIRECT("'"&amp;$H$3&amp;"'!$H$19")*(INDIRECT("'"&amp;$H$3&amp;"'!Q278")+(INDIRECT("'"&amp;$H$3&amp;"'!Q279")*('2_Outputs'!Q$52/INDIRECT("'"&amp;$H$3&amp;"'!Q$261")/INDIRECT("'"&amp;$H$3&amp;"'!$H$19"))))))))/INDIRECT("'"&amp;$H$3&amp;"'!$H$10"),0)),0)</f>
        <v>0</v>
      </c>
      <c r="R366" s="837"/>
      <c r="S366" s="837"/>
      <c r="T366" s="837">
        <f ca="1">IFERROR(MAX(T357,ROUNDUP(((T365*INDEX(INDIRECT("'"&amp;$H$3&amp;"'!$H$43:$H$78"),MATCH(INDIRECT("'"&amp;$H$3&amp;"'!T264")&amp;"Average duration (hrs) per trip",INDIRECT("'"&amp;$H$3&amp;"'!$F$43:$F$78"),0)))+(T357*((1/60)*(INDIRECT("'"&amp;$H$3&amp;"'!T277")+INDIRECT("'"&amp;$H$3&amp;"'!$H$19")*(INDIRECT("'"&amp;$H$3&amp;"'!T278")+(INDIRECT("'"&amp;$H$3&amp;"'!T279")*('2_Outputs'!T$52/INDIRECT("'"&amp;$H$3&amp;"'!T$261")/INDIRECT("'"&amp;$H$3&amp;"'!$H$19"))))))))/INDIRECT("'"&amp;$H$3&amp;"'!$H$10"),0)),0)</f>
        <v>0</v>
      </c>
      <c r="U366" s="837"/>
      <c r="V366" s="837"/>
      <c r="W366" s="837">
        <f ca="1">IFERROR(MAX(W357,ROUNDUP(((W365*INDEX(INDIRECT("'"&amp;$H$3&amp;"'!$H$43:$H$78"),MATCH(INDIRECT("'"&amp;$H$3&amp;"'!W264")&amp;"Average duration (hrs) per trip",INDIRECT("'"&amp;$H$3&amp;"'!$F$43:$F$78"),0)))+(W357*((1/60)*(INDIRECT("'"&amp;$H$3&amp;"'!W277")+INDIRECT("'"&amp;$H$3&amp;"'!$H$19")*(INDIRECT("'"&amp;$H$3&amp;"'!W278")+(INDIRECT("'"&amp;$H$3&amp;"'!W279")*('2_Outputs'!W$52/INDIRECT("'"&amp;$H$3&amp;"'!W$261")/INDIRECT("'"&amp;$H$3&amp;"'!$H$19"))))))))/INDIRECT("'"&amp;$H$3&amp;"'!$H$10"),0)),0)</f>
        <v>0</v>
      </c>
      <c r="X366" s="1468"/>
      <c r="Y366" s="36"/>
      <c r="Z366" s="36"/>
      <c r="AA366" s="36"/>
      <c r="AB366" s="36"/>
      <c r="AC366" s="36"/>
      <c r="AD366" s="36"/>
      <c r="AE366" s="36"/>
      <c r="AF366" s="36"/>
      <c r="AG366" s="36"/>
      <c r="AH366" s="36"/>
      <c r="AI366" s="36"/>
      <c r="AJ366" s="36"/>
      <c r="AK366" s="36"/>
      <c r="AL366" s="36"/>
      <c r="AM366" s="36"/>
      <c r="AN366" s="36"/>
    </row>
    <row r="367" spans="6:40" ht="15" customHeight="1" outlineLevel="1">
      <c r="F367" s="1681" t="s">
        <v>148</v>
      </c>
      <c r="G367" s="1683"/>
      <c r="H367" s="851"/>
      <c r="I367" s="851"/>
      <c r="J367" s="851"/>
      <c r="K367" s="851"/>
      <c r="L367" s="851"/>
      <c r="M367" s="851"/>
      <c r="N367" s="851"/>
      <c r="O367" s="851"/>
      <c r="P367" s="851"/>
      <c r="Q367" s="851"/>
      <c r="R367" s="1646"/>
      <c r="S367" s="1646"/>
      <c r="T367" s="851"/>
      <c r="U367" s="1646"/>
      <c r="V367" s="1646"/>
      <c r="W367" s="851"/>
      <c r="X367" s="1471"/>
      <c r="Y367" s="36"/>
      <c r="Z367" s="36"/>
      <c r="AA367" s="36"/>
      <c r="AB367" s="36"/>
      <c r="AC367" s="36"/>
      <c r="AD367" s="36"/>
      <c r="AE367" s="36"/>
      <c r="AF367" s="36"/>
      <c r="AG367" s="36"/>
      <c r="AH367" s="36"/>
      <c r="AI367" s="36"/>
      <c r="AJ367" s="36"/>
      <c r="AK367" s="242"/>
      <c r="AL367" s="36"/>
      <c r="AM367" s="36"/>
      <c r="AN367" s="36"/>
    </row>
    <row r="368" spans="6:40" ht="15" customHeight="1" outlineLevel="1">
      <c r="F368" s="86"/>
      <c r="G368" s="51" t="s">
        <v>151</v>
      </c>
      <c r="H368" s="836"/>
      <c r="I368" s="836"/>
      <c r="J368" s="836"/>
      <c r="K368" s="836">
        <f ca="1">IFERROR(IF(COUNTIF(INDIRECT("'"&amp;$H$3&amp;"'!K264"),"Public Transport*")&lt;1,ROUND(INDIRECT("'"&amp;$H$3&amp;"'!K$95")*INDIRECT("'"&amp;$H$3&amp;"'!K263"),0),0),0)</f>
        <v>0</v>
      </c>
      <c r="L368" s="836"/>
      <c r="M368" s="836"/>
      <c r="N368" s="836">
        <f ca="1">IFERROR(IF(COUNTIF(INDIRECT("'"&amp;$H$3&amp;"'!N264"),"Public Transport*")&lt;1,ROUND(INDIRECT("'"&amp;$H$3&amp;"'!N$95")*INDIRECT("'"&amp;$H$3&amp;"'!N263"),0),0),0)</f>
        <v>0</v>
      </c>
      <c r="O368" s="836"/>
      <c r="P368" s="836"/>
      <c r="Q368" s="836">
        <f ca="1">IFERROR(IF(COUNTIF(INDIRECT("'"&amp;$H$3&amp;"'!Q264"),"Public Transport*")&lt;1,ROUND(INDIRECT("'"&amp;$H$3&amp;"'!Q$95")*INDIRECT("'"&amp;$H$3&amp;"'!Q263"),0),0),0)</f>
        <v>0</v>
      </c>
      <c r="R368" s="1646"/>
      <c r="S368" s="1646"/>
      <c r="T368" s="836">
        <f ca="1">IFERROR(IF(COUNTIF(INDIRECT("'"&amp;$H$3&amp;"'!T264"),"Public Transport*")&lt;1,ROUND(INDIRECT("'"&amp;$H$3&amp;"'!T$95")*INDIRECT("'"&amp;$H$3&amp;"'!T263"),0),0),0)</f>
        <v>0</v>
      </c>
      <c r="U368" s="1646"/>
      <c r="V368" s="1646"/>
      <c r="W368" s="836">
        <f ca="1">IFERROR(IF(COUNTIF(INDIRECT("'"&amp;$H$3&amp;"'!W264"),"Public Transport*")&lt;1,ROUND(INDIRECT("'"&amp;$H$3&amp;"'!W$95")*INDIRECT("'"&amp;$H$3&amp;"'!W263"),0),0),0)</f>
        <v>0</v>
      </c>
      <c r="X368" s="1469"/>
      <c r="Y368" s="36"/>
      <c r="Z368" s="36"/>
      <c r="AA368" s="36"/>
      <c r="AB368" s="36"/>
      <c r="AC368" s="36"/>
      <c r="AD368" s="36"/>
      <c r="AE368" s="36"/>
      <c r="AF368" s="36"/>
      <c r="AG368" s="36"/>
      <c r="AH368" s="36"/>
      <c r="AI368" s="36"/>
      <c r="AJ368" s="36"/>
      <c r="AK368" s="242"/>
      <c r="AL368" s="36"/>
      <c r="AM368" s="36"/>
      <c r="AN368" s="36"/>
    </row>
    <row r="369" spans="6:40" ht="15" customHeight="1" outlineLevel="1">
      <c r="F369" s="52"/>
      <c r="G369" s="51" t="s">
        <v>85</v>
      </c>
      <c r="H369" s="837"/>
      <c r="I369" s="837"/>
      <c r="J369" s="837"/>
      <c r="K369" s="837">
        <f ca="1">IFERROR(IF(INDIRECT("'"&amp;$H$3&amp;"'!K272")="Route-based",K374*K375,IF(INDIRECT("'"&amp;$H$3&amp;"'!K272")="Point-to-point",K379*K380,0)),0)</f>
        <v>0</v>
      </c>
      <c r="L369" s="837"/>
      <c r="M369" s="837"/>
      <c r="N369" s="837">
        <f ca="1">IFERROR(IF(INDIRECT("'"&amp;$H$3&amp;"'!N272")="Route-based",N374*N375,IF(INDIRECT("'"&amp;$H$3&amp;"'!N272")="Point-to-point",N379*N380,0)),0)</f>
        <v>0</v>
      </c>
      <c r="O369" s="837"/>
      <c r="P369" s="837"/>
      <c r="Q369" s="837">
        <f ca="1">IFERROR(IF(INDIRECT("'"&amp;$H$3&amp;"'!Q272")="Route-based",Q374*Q375,IF(INDIRECT("'"&amp;$H$3&amp;"'!Q272")="Point-to-point",Q379*Q380,0)),0)</f>
        <v>0</v>
      </c>
      <c r="R369" s="1650"/>
      <c r="S369" s="1650"/>
      <c r="T369" s="837">
        <f ca="1">IFERROR(IF(INDIRECT("'"&amp;$H$3&amp;"'!T272")="Route-based",T374*T375,IF(INDIRECT("'"&amp;$H$3&amp;"'!T272")="Point-to-point",T379*T380,0)),0)</f>
        <v>0</v>
      </c>
      <c r="U369" s="1650"/>
      <c r="V369" s="1650"/>
      <c r="W369" s="837">
        <f ca="1">IFERROR(IF(INDIRECT("'"&amp;$H$3&amp;"'!W272")="Route-based",W374*W375,IF(INDIRECT("'"&amp;$H$3&amp;"'!W272")="Point-to-point",W379*W380,0)),0)</f>
        <v>0</v>
      </c>
      <c r="X369" s="1468"/>
      <c r="Y369" s="36"/>
      <c r="Z369" s="36"/>
      <c r="AA369" s="36"/>
      <c r="AB369" s="36"/>
      <c r="AC369" s="36"/>
      <c r="AD369" s="36"/>
      <c r="AE369" s="36"/>
      <c r="AF369" s="36"/>
      <c r="AG369" s="36"/>
      <c r="AH369" s="36"/>
      <c r="AI369" s="36"/>
      <c r="AJ369" s="36"/>
      <c r="AK369" s="242"/>
      <c r="AL369" s="36"/>
      <c r="AM369" s="36"/>
      <c r="AN369" s="36"/>
    </row>
    <row r="370" spans="6:40" ht="15" customHeight="1" outlineLevel="1">
      <c r="F370" s="52"/>
      <c r="G370" s="51" t="s">
        <v>59</v>
      </c>
      <c r="H370" s="837"/>
      <c r="I370" s="837"/>
      <c r="J370" s="837"/>
      <c r="K370" s="837">
        <f ca="1">IFERROR(IF(INDIRECT("'"&amp;$H$3&amp;"'!K272")="Route-based",ROUND(K374*K376/INDIRECT("'"&amp;$H$3&amp;"'!$H$10"),0),IF(INDIRECT("'"&amp;$H$3&amp;"'!K272")="Point-to-point",ROUND(((K368*INDIRECT("'"&amp;$H$3&amp;"'!K$261")*((1/60)*(INDIRECT("'"&amp;$H$3&amp;"'!K277")+INDIRECT("'"&amp;$H$3&amp;"'!$H$19")*(INDIRECT("'"&amp;$H$3&amp;"'!K278")+(INDIRECT("'"&amp;$H$3&amp;"'!K279")*('2_Outputs'!K$52/INDIRECT("'"&amp;$H$3&amp;"'!K$261")/INDIRECT("'"&amp;$H$3&amp;"'!$H$19")))))))+(K369/INDIRECT("'"&amp;$H$3&amp;"'!K281")))/INDIRECT("'"&amp;$H$3&amp;"'!$H$10"),0),0)),0)</f>
        <v>0</v>
      </c>
      <c r="L370" s="837"/>
      <c r="M370" s="837"/>
      <c r="N370" s="837">
        <f ca="1">IFERROR(IF(INDIRECT("'"&amp;$H$3&amp;"'!N272")="Route-based",ROUND(N374*N376/INDIRECT("'"&amp;$H$3&amp;"'!$H$10"),0),IF(INDIRECT("'"&amp;$H$3&amp;"'!N272")="Point-to-point",ROUND(((N368*INDIRECT("'"&amp;$H$3&amp;"'!N$261")*((1/60)*(INDIRECT("'"&amp;$H$3&amp;"'!N277")+INDIRECT("'"&amp;$H$3&amp;"'!$H$19")*(INDIRECT("'"&amp;$H$3&amp;"'!N278")+(INDIRECT("'"&amp;$H$3&amp;"'!N279")*('2_Outputs'!N$52/INDIRECT("'"&amp;$H$3&amp;"'!N$261")/INDIRECT("'"&amp;$H$3&amp;"'!$H$19")))))))+(N369/INDIRECT("'"&amp;$H$3&amp;"'!N281")))/INDIRECT("'"&amp;$H$3&amp;"'!$H$10"),0),0)),0)</f>
        <v>0</v>
      </c>
      <c r="O370" s="837"/>
      <c r="P370" s="837"/>
      <c r="Q370" s="837">
        <f ca="1">IFERROR(IF(INDIRECT("'"&amp;$H$3&amp;"'!Q272")="Route-based",ROUND(Q374*Q376/INDIRECT("'"&amp;$H$3&amp;"'!$H$10"),0),IF(INDIRECT("'"&amp;$H$3&amp;"'!Q272")="Point-to-point",ROUND(((Q368*INDIRECT("'"&amp;$H$3&amp;"'!Q$261")*((1/60)*(INDIRECT("'"&amp;$H$3&amp;"'!Q277")+INDIRECT("'"&amp;$H$3&amp;"'!$H$19")*(INDIRECT("'"&amp;$H$3&amp;"'!Q278")+(INDIRECT("'"&amp;$H$3&amp;"'!Q279")*('2_Outputs'!Q$52/INDIRECT("'"&amp;$H$3&amp;"'!Q$261")/INDIRECT("'"&amp;$H$3&amp;"'!$H$19")))))))+(Q369/INDIRECT("'"&amp;$H$3&amp;"'!Q281")))/INDIRECT("'"&amp;$H$3&amp;"'!$H$10"),0),0)),0)</f>
        <v>0</v>
      </c>
      <c r="R370" s="837"/>
      <c r="S370" s="837"/>
      <c r="T370" s="837">
        <f ca="1">IFERROR(IF(INDIRECT("'"&amp;$H$3&amp;"'!T272")="Route-based",ROUND(T374*T376/INDIRECT("'"&amp;$H$3&amp;"'!$H$10"),0),IF(INDIRECT("'"&amp;$H$3&amp;"'!T272")="Point-to-point",ROUND(((T368*INDIRECT("'"&amp;$H$3&amp;"'!T$261")*((1/60)*(INDIRECT("'"&amp;$H$3&amp;"'!T277")+INDIRECT("'"&amp;$H$3&amp;"'!$H$19")*(INDIRECT("'"&amp;$H$3&amp;"'!T278")+(INDIRECT("'"&amp;$H$3&amp;"'!T279")*('2_Outputs'!T$52/INDIRECT("'"&amp;$H$3&amp;"'!T$261")/INDIRECT("'"&amp;$H$3&amp;"'!$H$19")))))))+(T369/INDIRECT("'"&amp;$H$3&amp;"'!T281")))/INDIRECT("'"&amp;$H$3&amp;"'!$H$10"),0),0)),0)</f>
        <v>0</v>
      </c>
      <c r="U370" s="837"/>
      <c r="V370" s="837"/>
      <c r="W370" s="837">
        <f ca="1">IFERROR(IF(INDIRECT("'"&amp;$H$3&amp;"'!W272")="Route-based",ROUND(W374*W376/INDIRECT("'"&amp;$H$3&amp;"'!$H$10"),0),IF(INDIRECT("'"&amp;$H$3&amp;"'!W272")="Point-to-point",ROUND(((W368*INDIRECT("'"&amp;$H$3&amp;"'!W$261")*((1/60)*(INDIRECT("'"&amp;$H$3&amp;"'!W277")+INDIRECT("'"&amp;$H$3&amp;"'!$H$19")*(INDIRECT("'"&amp;$H$3&amp;"'!W278")+(INDIRECT("'"&amp;$H$3&amp;"'!W279")*('2_Outputs'!W$52/INDIRECT("'"&amp;$H$3&amp;"'!W$261")/INDIRECT("'"&amp;$H$3&amp;"'!$H$19")))))))+(W369/INDIRECT("'"&amp;$H$3&amp;"'!W281")))/INDIRECT("'"&amp;$H$3&amp;"'!$H$10"),0),0)),0)</f>
        <v>0</v>
      </c>
      <c r="X370" s="1468"/>
      <c r="Y370" s="36"/>
      <c r="Z370" s="36"/>
      <c r="AA370" s="36"/>
      <c r="AB370" s="36"/>
      <c r="AC370" s="36"/>
      <c r="AD370" s="36"/>
      <c r="AE370" s="36"/>
      <c r="AF370" s="36"/>
      <c r="AG370" s="36"/>
      <c r="AH370" s="36"/>
      <c r="AI370" s="36"/>
      <c r="AJ370" s="36"/>
      <c r="AK370" s="242"/>
      <c r="AL370" s="36"/>
      <c r="AM370" s="36"/>
      <c r="AN370" s="36"/>
    </row>
    <row r="371" spans="6:40" ht="15" customHeight="1" outlineLevel="1">
      <c r="F371" s="52"/>
      <c r="G371" s="51" t="s">
        <v>86</v>
      </c>
      <c r="H371" s="839"/>
      <c r="I371" s="839"/>
      <c r="J371" s="839"/>
      <c r="K371" s="839">
        <f ca="1">IFERROR(IF(INDIRECT("'"&amp;$H$3&amp;"'!K272")="Route-based",IF(INDIRECT("'"&amp;$H$3&amp;"'!K269")="Yes",K173, IF(INDIRECT("'"&amp;$H$3&amp;"'!K269")="No",K370/(INDIRECT("'"&amp;$H$3&amp;"'!$H$9")*INDIRECT("'"&amp;$H$3&amp;"'!K268")))),
IF(INDIRECT("'"&amp;$H$3&amp;"'!K272")="Point-to-point",IF(INDIRECT("'"&amp;$H$3&amp;"'!K269")="Yes",K173,IF(INDIRECT("'"&amp;$H$3&amp;"'!K269")="No",K370/(INDIRECT("'"&amp;$H$3&amp;"'!$H$9")*INDIRECT("'"&amp;$H$3&amp;"'!K268")))),0)),0)</f>
        <v>0</v>
      </c>
      <c r="L371" s="839"/>
      <c r="M371" s="839"/>
      <c r="N371" s="839">
        <f ca="1">IFERROR(IF(INDIRECT("'"&amp;$H$3&amp;"'!N272")="Route-based",IF(INDIRECT("'"&amp;$H$3&amp;"'!N269")="Yes",N173, IF(INDIRECT("'"&amp;$H$3&amp;"'!N269")="No",N370/(INDIRECT("'"&amp;$H$3&amp;"'!$H$9")*INDIRECT("'"&amp;$H$3&amp;"'!N268")))),
IF(INDIRECT("'"&amp;$H$3&amp;"'!N272")="Point-to-point",IF(INDIRECT("'"&amp;$H$3&amp;"'!N269")="Yes",N173,IF(INDIRECT("'"&amp;$H$3&amp;"'!N269")="No",N370/(INDIRECT("'"&amp;$H$3&amp;"'!$H$9")*INDIRECT("'"&amp;$H$3&amp;"'!N268")))),0)),0)</f>
        <v>0</v>
      </c>
      <c r="O371" s="839"/>
      <c r="P371" s="839"/>
      <c r="Q371" s="839">
        <f ca="1">IFERROR(IF(INDIRECT("'"&amp;$H$3&amp;"'!Q272")="Route-based",IF(INDIRECT("'"&amp;$H$3&amp;"'!Q269")="Yes",Q173, IF(INDIRECT("'"&amp;$H$3&amp;"'!Q269")="No",Q370/(INDIRECT("'"&amp;$H$3&amp;"'!$H$9")*INDIRECT("'"&amp;$H$3&amp;"'!Q268")))),
IF(INDIRECT("'"&amp;$H$3&amp;"'!Q272")="Point-to-point",IF(INDIRECT("'"&amp;$H$3&amp;"'!Q269")="Yes",Q173,IF(INDIRECT("'"&amp;$H$3&amp;"'!Q269")="No",Q370/(INDIRECT("'"&amp;$H$3&amp;"'!$H$9")*INDIRECT("'"&amp;$H$3&amp;"'!Q268")))),0)),0)</f>
        <v>0</v>
      </c>
      <c r="R371" s="839"/>
      <c r="S371" s="839"/>
      <c r="T371" s="839">
        <f ca="1">IFERROR(IF(INDIRECT("'"&amp;$H$3&amp;"'!T272")="Route-based",IF(INDIRECT("'"&amp;$H$3&amp;"'!T269")="Yes",T173, IF(INDIRECT("'"&amp;$H$3&amp;"'!T269")="No",T370/(INDIRECT("'"&amp;$H$3&amp;"'!$H$9")*INDIRECT("'"&amp;$H$3&amp;"'!T268")))),
IF(INDIRECT("'"&amp;$H$3&amp;"'!T272")="Point-to-point",IF(INDIRECT("'"&amp;$H$3&amp;"'!T269")="Yes",T173,IF(INDIRECT("'"&amp;$H$3&amp;"'!T269")="No",T370/(INDIRECT("'"&amp;$H$3&amp;"'!$H$9")*INDIRECT("'"&amp;$H$3&amp;"'!T268")))),0)),0)</f>
        <v>0</v>
      </c>
      <c r="U371" s="839"/>
      <c r="V371" s="839"/>
      <c r="W371" s="839">
        <f ca="1">IFERROR(IF(INDIRECT("'"&amp;$H$3&amp;"'!W272")="Route-based",IF(INDIRECT("'"&amp;$H$3&amp;"'!W269")="Yes",W173, IF(INDIRECT("'"&amp;$H$3&amp;"'!W269")="No",W370/(INDIRECT("'"&amp;$H$3&amp;"'!$H$9")*INDIRECT("'"&amp;$H$3&amp;"'!W268")))),
IF(INDIRECT("'"&amp;$H$3&amp;"'!W272")="Point-to-point",IF(INDIRECT("'"&amp;$H$3&amp;"'!W269")="Yes",W173,IF(INDIRECT("'"&amp;$H$3&amp;"'!W269")="No",W370/(INDIRECT("'"&amp;$H$3&amp;"'!$H$9")*INDIRECT("'"&amp;$H$3&amp;"'!W268")))),0)),0)</f>
        <v>0</v>
      </c>
      <c r="X371" s="1470"/>
      <c r="Y371" s="36"/>
      <c r="Z371" s="36"/>
      <c r="AA371" s="36"/>
      <c r="AB371" s="36"/>
      <c r="AC371" s="36"/>
      <c r="AD371" s="36"/>
      <c r="AE371" s="36"/>
      <c r="AF371" s="36"/>
      <c r="AG371" s="36"/>
      <c r="AH371" s="36"/>
      <c r="AI371" s="36"/>
      <c r="AJ371" s="36"/>
      <c r="AK371" s="36" t="s">
        <v>191</v>
      </c>
      <c r="AL371" s="36"/>
      <c r="AM371" s="36"/>
      <c r="AN371" s="36"/>
    </row>
    <row r="372" spans="6:40" ht="15" customHeight="1" outlineLevel="1" collapsed="1">
      <c r="F372" s="52"/>
      <c r="G372" s="1613" t="s">
        <v>133</v>
      </c>
      <c r="H372" s="842"/>
      <c r="I372" s="842"/>
      <c r="J372" s="842"/>
      <c r="K372" s="842"/>
      <c r="L372" s="842"/>
      <c r="M372" s="842"/>
      <c r="N372" s="842"/>
      <c r="O372" s="842"/>
      <c r="P372" s="842"/>
      <c r="Q372" s="842"/>
      <c r="R372" s="1650"/>
      <c r="S372" s="1650"/>
      <c r="T372" s="842"/>
      <c r="U372" s="1650"/>
      <c r="V372" s="1650"/>
      <c r="W372" s="842"/>
      <c r="X372" s="1470"/>
      <c r="Y372" s="36"/>
      <c r="Z372" s="36"/>
      <c r="AA372" s="36"/>
      <c r="AB372" s="36"/>
      <c r="AC372" s="36"/>
      <c r="AD372" s="36"/>
      <c r="AE372" s="36"/>
      <c r="AF372" s="36"/>
      <c r="AG372" s="36"/>
      <c r="AH372" s="36"/>
      <c r="AI372" s="36"/>
      <c r="AJ372" s="36"/>
      <c r="AK372" s="36"/>
      <c r="AL372" s="36"/>
      <c r="AM372" s="36"/>
      <c r="AN372" s="36"/>
    </row>
    <row r="373" spans="6:40" ht="15" customHeight="1" outlineLevel="1">
      <c r="F373" s="52"/>
      <c r="G373" s="51" t="s">
        <v>129</v>
      </c>
      <c r="H373" s="836"/>
      <c r="I373" s="836"/>
      <c r="J373" s="836"/>
      <c r="K373" s="836">
        <f ca="1">IFERROR(((INDIRECT("'"&amp;$H$3&amp;"'!K273")*INDIRECT("'"&amp;$H$3&amp;"'!$H$10"))-(2*INDIRECT("'"&amp;$H$3&amp;"'!K$98")/INDIRECT("'"&amp;$H$3&amp;"'!K281"))+(INDIRECT("'"&amp;$H$3&amp;"'!K$99")/INDIRECT("'"&amp;$H$3&amp;"'!K280")))/(((1/60)*(INDIRECT("'"&amp;$H$3&amp;"'!K277")+INDIRECT("'"&amp;$H$3&amp;"'!$H$19")*(INDIRECT("'"&amp;$H$3&amp;"'!K278")+(INDIRECT("'"&amp;$H$3&amp;"'!K279")*('2_Outputs'!K$52/INDIRECT("'"&amp;$H$3&amp;"'!K$261")/INDIRECT("'"&amp;$H$3&amp;"'!$H$19"))))))+(INDIRECT("'"&amp;$H$3&amp;"'!K$99")/INDIRECT("'"&amp;$H$3&amp;"'!K280"))),0)</f>
        <v>0</v>
      </c>
      <c r="L373" s="836"/>
      <c r="M373" s="836"/>
      <c r="N373" s="836">
        <f ca="1">IFERROR(((INDIRECT("'"&amp;$H$3&amp;"'!N273")*INDIRECT("'"&amp;$H$3&amp;"'!$H$10"))-(2*INDIRECT("'"&amp;$H$3&amp;"'!N$98")/INDIRECT("'"&amp;$H$3&amp;"'!N281"))+(INDIRECT("'"&amp;$H$3&amp;"'!N$99")/INDIRECT("'"&amp;$H$3&amp;"'!N280")))/(((1/60)*(INDIRECT("'"&amp;$H$3&amp;"'!N277")+INDIRECT("'"&amp;$H$3&amp;"'!$H$19")*(INDIRECT("'"&amp;$H$3&amp;"'!N278")+(INDIRECT("'"&amp;$H$3&amp;"'!N279")*('2_Outputs'!N$52/INDIRECT("'"&amp;$H$3&amp;"'!N$261")/INDIRECT("'"&amp;$H$3&amp;"'!$H$19"))))))+(INDIRECT("'"&amp;$H$3&amp;"'!N$99")/INDIRECT("'"&amp;$H$3&amp;"'!N280"))),0)</f>
        <v>0</v>
      </c>
      <c r="O373" s="836"/>
      <c r="P373" s="836"/>
      <c r="Q373" s="836">
        <f ca="1">IFERROR(((INDIRECT("'"&amp;$H$3&amp;"'!Q273")*INDIRECT("'"&amp;$H$3&amp;"'!$H$10"))-(2*INDIRECT("'"&amp;$H$3&amp;"'!Q$98")/INDIRECT("'"&amp;$H$3&amp;"'!Q281"))+(INDIRECT("'"&amp;$H$3&amp;"'!Q$99")/INDIRECT("'"&amp;$H$3&amp;"'!Q280")))/(((1/60)*(INDIRECT("'"&amp;$H$3&amp;"'!Q277")+INDIRECT("'"&amp;$H$3&amp;"'!$H$19")*(INDIRECT("'"&amp;$H$3&amp;"'!Q278")+(INDIRECT("'"&amp;$H$3&amp;"'!Q279")*('2_Outputs'!Q$52/INDIRECT("'"&amp;$H$3&amp;"'!Q$261")/INDIRECT("'"&amp;$H$3&amp;"'!$H$19"))))))+(INDIRECT("'"&amp;$H$3&amp;"'!Q$99")/INDIRECT("'"&amp;$H$3&amp;"'!Q280"))),0)</f>
        <v>0</v>
      </c>
      <c r="R373" s="836"/>
      <c r="S373" s="836"/>
      <c r="T373" s="836">
        <f ca="1">IFERROR(((INDIRECT("'"&amp;$H$3&amp;"'!T273")*INDIRECT("'"&amp;$H$3&amp;"'!$H$10"))-(2*INDIRECT("'"&amp;$H$3&amp;"'!T$98")/INDIRECT("'"&amp;$H$3&amp;"'!T281"))+(INDIRECT("'"&amp;$H$3&amp;"'!T$99")/INDIRECT("'"&amp;$H$3&amp;"'!T280")))/(((1/60)*(INDIRECT("'"&amp;$H$3&amp;"'!T277")+INDIRECT("'"&amp;$H$3&amp;"'!$H$19")*(INDIRECT("'"&amp;$H$3&amp;"'!T278")+(INDIRECT("'"&amp;$H$3&amp;"'!T279")*('2_Outputs'!T$52/INDIRECT("'"&amp;$H$3&amp;"'!T$261")/INDIRECT("'"&amp;$H$3&amp;"'!$H$19"))))))+(INDIRECT("'"&amp;$H$3&amp;"'!T$99")/INDIRECT("'"&amp;$H$3&amp;"'!T280"))),0)</f>
        <v>0</v>
      </c>
      <c r="U373" s="836"/>
      <c r="V373" s="836"/>
      <c r="W373" s="836">
        <f ca="1">IFERROR(((INDIRECT("'"&amp;$H$3&amp;"'!W273")*INDIRECT("'"&amp;$H$3&amp;"'!$H$10"))-(2*INDIRECT("'"&amp;$H$3&amp;"'!W$98")/INDIRECT("'"&amp;$H$3&amp;"'!W281"))+(INDIRECT("'"&amp;$H$3&amp;"'!W$99")/INDIRECT("'"&amp;$H$3&amp;"'!W280")))/(((1/60)*(INDIRECT("'"&amp;$H$3&amp;"'!W277")+INDIRECT("'"&amp;$H$3&amp;"'!$H$19")*(INDIRECT("'"&amp;$H$3&amp;"'!W278")+(INDIRECT("'"&amp;$H$3&amp;"'!W279")*('2_Outputs'!W$52/INDIRECT("'"&amp;$H$3&amp;"'!W$261")/INDIRECT("'"&amp;$H$3&amp;"'!$H$19"))))))+(INDIRECT("'"&amp;$H$3&amp;"'!W$99")/INDIRECT("'"&amp;$H$3&amp;"'!W280"))),0)</f>
        <v>0</v>
      </c>
      <c r="X373" s="1469"/>
      <c r="Y373" s="36"/>
      <c r="Z373" s="36"/>
      <c r="AA373" s="36"/>
      <c r="AB373" s="36"/>
      <c r="AC373" s="36"/>
      <c r="AD373" s="36"/>
      <c r="AE373" s="36"/>
      <c r="AF373" s="36"/>
      <c r="AG373" s="36"/>
      <c r="AH373" s="36"/>
      <c r="AI373" s="36"/>
      <c r="AJ373" s="36"/>
      <c r="AK373" s="36"/>
      <c r="AL373" s="36"/>
      <c r="AM373" s="36"/>
      <c r="AN373" s="36"/>
    </row>
    <row r="374" spans="6:40" ht="15" customHeight="1" outlineLevel="1">
      <c r="F374" s="52"/>
      <c r="G374" s="51" t="s">
        <v>206</v>
      </c>
      <c r="H374" s="836"/>
      <c r="I374" s="836"/>
      <c r="J374" s="836"/>
      <c r="K374" s="836">
        <f ca="1">IFERROR(ROUND(K368*INDIRECT("'"&amp;$H$3&amp;"'!K$261")/K373,0),0)</f>
        <v>0</v>
      </c>
      <c r="L374" s="836"/>
      <c r="M374" s="836"/>
      <c r="N374" s="836">
        <f ca="1">IFERROR(ROUND(N368*INDIRECT("'"&amp;$H$3&amp;"'!N$261")/N373,0),0)</f>
        <v>0</v>
      </c>
      <c r="O374" s="836"/>
      <c r="P374" s="836"/>
      <c r="Q374" s="836">
        <f ca="1">IFERROR(ROUND(Q368*INDIRECT("'"&amp;$H$3&amp;"'!Q$261")/Q373,0),0)</f>
        <v>0</v>
      </c>
      <c r="R374" s="836"/>
      <c r="S374" s="836"/>
      <c r="T374" s="836">
        <f ca="1">IFERROR(ROUND(T368*INDIRECT("'"&amp;$H$3&amp;"'!T$261")/T373,0),0)</f>
        <v>0</v>
      </c>
      <c r="U374" s="836"/>
      <c r="V374" s="836"/>
      <c r="W374" s="836">
        <f ca="1">IFERROR(ROUND(W368*INDIRECT("'"&amp;$H$3&amp;"'!W$261")/W373,0),0)</f>
        <v>0</v>
      </c>
      <c r="X374" s="1469"/>
      <c r="Y374" s="36"/>
      <c r="Z374" s="36"/>
      <c r="AA374" s="36"/>
      <c r="AB374" s="36"/>
      <c r="AC374" s="36"/>
      <c r="AD374" s="36"/>
      <c r="AE374" s="36"/>
      <c r="AF374" s="36"/>
      <c r="AG374" s="36"/>
      <c r="AH374" s="36"/>
      <c r="AI374" s="36"/>
      <c r="AJ374" s="36"/>
      <c r="AK374" s="36"/>
      <c r="AL374" s="36"/>
      <c r="AM374" s="36"/>
      <c r="AN374" s="36"/>
    </row>
    <row r="375" spans="6:40" ht="15" customHeight="1" outlineLevel="1">
      <c r="F375" s="52"/>
      <c r="G375" s="51" t="s">
        <v>87</v>
      </c>
      <c r="H375" s="836"/>
      <c r="I375" s="836"/>
      <c r="J375" s="836"/>
      <c r="K375" s="836">
        <f ca="1">IFERROR(IF(K368=0,0,(2*INDIRECT("'"&amp;$H$3&amp;"'!K$98"))+((MAX(K373, 1)-1)*INDIRECT("'"&amp;$H$3&amp;"'!K$99"))),0)</f>
        <v>0</v>
      </c>
      <c r="L375" s="836"/>
      <c r="M375" s="836"/>
      <c r="N375" s="836">
        <f ca="1">IFERROR(IF(N368=0,0,(2*INDIRECT("'"&amp;$H$3&amp;"'!N$98"))+((MAX(N373, 1)-1)*INDIRECT("'"&amp;$H$3&amp;"'!N$99"))),0)</f>
        <v>0</v>
      </c>
      <c r="O375" s="836"/>
      <c r="P375" s="836"/>
      <c r="Q375" s="836">
        <f ca="1">IFERROR(IF(Q368=0,0,(2*INDIRECT("'"&amp;$H$3&amp;"'!Q$98"))+((MAX(Q373, 1)-1)*INDIRECT("'"&amp;$H$3&amp;"'!Q$99"))),0)</f>
        <v>0</v>
      </c>
      <c r="R375" s="836"/>
      <c r="S375" s="836"/>
      <c r="T375" s="836">
        <f ca="1">IFERROR(IF(T368=0,0,(2*INDIRECT("'"&amp;$H$3&amp;"'!T$98"))+((MAX(T373, 1)-1)*INDIRECT("'"&amp;$H$3&amp;"'!T$99"))),0)</f>
        <v>0</v>
      </c>
      <c r="U375" s="836"/>
      <c r="V375" s="836"/>
      <c r="W375" s="836">
        <f ca="1">IFERROR(IF(W368=0,0,(2*INDIRECT("'"&amp;$H$3&amp;"'!W$98"))+((MAX(W373, 1)-1)*INDIRECT("'"&amp;$H$3&amp;"'!W$99"))),0)</f>
        <v>0</v>
      </c>
      <c r="X375" s="1469"/>
      <c r="Y375" s="36"/>
      <c r="Z375" s="36"/>
      <c r="AA375" s="36"/>
      <c r="AB375" s="36"/>
      <c r="AC375" s="36"/>
      <c r="AD375" s="36"/>
      <c r="AE375" s="36"/>
      <c r="AF375" s="36"/>
      <c r="AG375" s="36"/>
      <c r="AH375" s="36"/>
      <c r="AI375" s="36"/>
      <c r="AJ375" s="36"/>
      <c r="AK375" s="36"/>
      <c r="AL375" s="36"/>
      <c r="AM375" s="36"/>
      <c r="AN375" s="36"/>
    </row>
    <row r="376" spans="6:40" ht="15" customHeight="1" outlineLevel="1">
      <c r="F376" s="52"/>
      <c r="G376" s="51" t="s">
        <v>203</v>
      </c>
      <c r="H376" s="836"/>
      <c r="I376" s="836"/>
      <c r="J376" s="836"/>
      <c r="K376" s="836">
        <f ca="1">IFERROR((ROUNDUP(K373,1)*((1/60)*(INDIRECT("'"&amp;$H$3&amp;"'!K277")+INDIRECT("'"&amp;$H$3&amp;"'!$H$19")*(INDIRECT("'"&amp;$H$3&amp;"'!K278")+(INDIRECT("'"&amp;$H$3&amp;"'!K279")*('2_Outputs'!K$52/INDIRECT("'"&amp;$H$3&amp;"'!K$261")/INDIRECT("'"&amp;$H$3&amp;"'!$H$19")))))))+((2*INDIRECT("'"&amp;$H$3&amp;"'!K$98"))/INDIRECT("'"&amp;$H$3&amp;"'!K281"))+(((MAX(K373,1)-1)*INDIRECT("'"&amp;$H$3&amp;"'!K$99"))/INDIRECT("'"&amp;$H$3&amp;"'!K280")),0)</f>
        <v>0</v>
      </c>
      <c r="L376" s="836"/>
      <c r="M376" s="836"/>
      <c r="N376" s="836">
        <f ca="1">IFERROR((ROUNDUP(N373,1)*((1/60)*(INDIRECT("'"&amp;$H$3&amp;"'!N277")+INDIRECT("'"&amp;$H$3&amp;"'!$H$19")*(INDIRECT("'"&amp;$H$3&amp;"'!N278")+(INDIRECT("'"&amp;$H$3&amp;"'!N279")*('2_Outputs'!N$52/INDIRECT("'"&amp;$H$3&amp;"'!N$261")/INDIRECT("'"&amp;$H$3&amp;"'!$H$19")))))))+((2*INDIRECT("'"&amp;$H$3&amp;"'!N$98"))/INDIRECT("'"&amp;$H$3&amp;"'!N281"))+(((MAX(N373,1)-1)*INDIRECT("'"&amp;$H$3&amp;"'!N$99"))/INDIRECT("'"&amp;$H$3&amp;"'!N280")),0)</f>
        <v>0</v>
      </c>
      <c r="O376" s="836"/>
      <c r="P376" s="836"/>
      <c r="Q376" s="836">
        <f ca="1">IFERROR((ROUNDUP(Q373,1)*((1/60)*(INDIRECT("'"&amp;$H$3&amp;"'!Q277")+INDIRECT("'"&amp;$H$3&amp;"'!$H$19")*(INDIRECT("'"&amp;$H$3&amp;"'!Q278")+(INDIRECT("'"&amp;$H$3&amp;"'!Q279")*('2_Outputs'!Q$52/INDIRECT("'"&amp;$H$3&amp;"'!Q$261")/INDIRECT("'"&amp;$H$3&amp;"'!$H$19")))))))+((2*INDIRECT("'"&amp;$H$3&amp;"'!Q$98"))/INDIRECT("'"&amp;$H$3&amp;"'!Q281"))+(((MAX(Q373,1)-1)*INDIRECT("'"&amp;$H$3&amp;"'!Q$99"))/INDIRECT("'"&amp;$H$3&amp;"'!Q280")),0)</f>
        <v>0</v>
      </c>
      <c r="R376" s="836"/>
      <c r="S376" s="836"/>
      <c r="T376" s="836">
        <f ca="1">IFERROR((ROUNDUP(T373,1)*((1/60)*(INDIRECT("'"&amp;$H$3&amp;"'!T277")+INDIRECT("'"&amp;$H$3&amp;"'!$H$19")*(INDIRECT("'"&amp;$H$3&amp;"'!T278")+(INDIRECT("'"&amp;$H$3&amp;"'!T279")*('2_Outputs'!T$52/INDIRECT("'"&amp;$H$3&amp;"'!T$261")/INDIRECT("'"&amp;$H$3&amp;"'!$H$19")))))))+((2*INDIRECT("'"&amp;$H$3&amp;"'!T$98"))/INDIRECT("'"&amp;$H$3&amp;"'!T281"))+(((MAX(T373,1)-1)*INDIRECT("'"&amp;$H$3&amp;"'!T$99"))/INDIRECT("'"&amp;$H$3&amp;"'!T280")),0)</f>
        <v>0</v>
      </c>
      <c r="U376" s="836"/>
      <c r="V376" s="836"/>
      <c r="W376" s="836">
        <f ca="1">IFERROR((ROUNDUP(W373,1)*((1/60)*(INDIRECT("'"&amp;$H$3&amp;"'!W277")+INDIRECT("'"&amp;$H$3&amp;"'!$H$19")*(INDIRECT("'"&amp;$H$3&amp;"'!W278")+(INDIRECT("'"&amp;$H$3&amp;"'!W279")*('2_Outputs'!W$52/INDIRECT("'"&amp;$H$3&amp;"'!W$261")/INDIRECT("'"&amp;$H$3&amp;"'!$H$19")))))))+((2*INDIRECT("'"&amp;$H$3&amp;"'!W$98"))/INDIRECT("'"&amp;$H$3&amp;"'!W281"))+(((MAX(W373,1)-1)*INDIRECT("'"&amp;$H$3&amp;"'!W$99"))/INDIRECT("'"&amp;$H$3&amp;"'!W280")),0)</f>
        <v>0</v>
      </c>
      <c r="X376" s="1465"/>
      <c r="Y376" s="36"/>
      <c r="Z376" s="36"/>
      <c r="AA376" s="36"/>
      <c r="AB376" s="36"/>
      <c r="AC376" s="36"/>
      <c r="AD376" s="36"/>
      <c r="AE376" s="36"/>
      <c r="AF376" s="36"/>
      <c r="AG376" s="36"/>
      <c r="AH376" s="36"/>
      <c r="AI376" s="36"/>
      <c r="AJ376" s="36"/>
      <c r="AK376" s="36"/>
      <c r="AL376" s="36"/>
      <c r="AM376" s="36"/>
      <c r="AN376" s="36"/>
    </row>
    <row r="377" spans="6:40" ht="15" customHeight="1" outlineLevel="1">
      <c r="F377" s="52"/>
      <c r="G377" s="51" t="s">
        <v>204</v>
      </c>
      <c r="H377" s="836"/>
      <c r="I377" s="836"/>
      <c r="J377" s="836"/>
      <c r="K377" s="836">
        <f ca="1">IFERROR((INDIRECT("'"&amp;$H$3&amp;"'!$H$10")*INDIRECT("'"&amp;$H$3&amp;"'!$H$9")*INDIRECT("'"&amp;$H$3&amp;"'!K268"))/K376,0)</f>
        <v>0</v>
      </c>
      <c r="L377" s="836"/>
      <c r="M377" s="836"/>
      <c r="N377" s="836">
        <f ca="1">IFERROR((INDIRECT("'"&amp;$H$3&amp;"'!$H$10")*INDIRECT("'"&amp;$H$3&amp;"'!$H$9")*INDIRECT("'"&amp;$H$3&amp;"'!N268"))/N376,0)</f>
        <v>0</v>
      </c>
      <c r="O377" s="836"/>
      <c r="P377" s="836"/>
      <c r="Q377" s="836">
        <f ca="1">IFERROR((INDIRECT("'"&amp;$H$3&amp;"'!$H$10")*INDIRECT("'"&amp;$H$3&amp;"'!$H$9")*INDIRECT("'"&amp;$H$3&amp;"'!Q268"))/Q376,0)</f>
        <v>0</v>
      </c>
      <c r="R377" s="836"/>
      <c r="S377" s="836"/>
      <c r="T377" s="836">
        <f ca="1">IFERROR((INDIRECT("'"&amp;$H$3&amp;"'!$H$10")*INDIRECT("'"&amp;$H$3&amp;"'!$H$9")*INDIRECT("'"&amp;$H$3&amp;"'!T268"))/T376,0)</f>
        <v>0</v>
      </c>
      <c r="U377" s="836"/>
      <c r="V377" s="836"/>
      <c r="W377" s="836">
        <f ca="1">IFERROR((INDIRECT("'"&amp;$H$3&amp;"'!$H$10")*INDIRECT("'"&amp;$H$3&amp;"'!$H$9")*INDIRECT("'"&amp;$H$3&amp;"'!W268"))/W376,0)</f>
        <v>0</v>
      </c>
      <c r="X377" s="1465"/>
      <c r="Y377" s="36"/>
      <c r="Z377" s="36"/>
      <c r="AA377" s="36"/>
      <c r="AB377" s="36"/>
      <c r="AC377" s="36"/>
      <c r="AD377" s="36"/>
      <c r="AE377" s="36"/>
      <c r="AF377" s="36"/>
      <c r="AG377" s="36"/>
      <c r="AH377" s="36"/>
      <c r="AI377" s="36"/>
      <c r="AJ377" s="36"/>
      <c r="AK377" s="242"/>
      <c r="AL377" s="36"/>
      <c r="AM377" s="36"/>
      <c r="AN377" s="36"/>
    </row>
    <row r="378" spans="6:40" ht="15" customHeight="1" outlineLevel="1">
      <c r="F378" s="52"/>
      <c r="G378" s="1613" t="s">
        <v>134</v>
      </c>
      <c r="H378" s="842"/>
      <c r="I378" s="842"/>
      <c r="J378" s="842"/>
      <c r="K378" s="842"/>
      <c r="L378" s="842"/>
      <c r="M378" s="842"/>
      <c r="N378" s="842"/>
      <c r="O378" s="842"/>
      <c r="P378" s="842"/>
      <c r="Q378" s="842"/>
      <c r="R378" s="1650"/>
      <c r="S378" s="1650"/>
      <c r="T378" s="842"/>
      <c r="U378" s="1650"/>
      <c r="V378" s="1650"/>
      <c r="W378" s="842"/>
      <c r="X378" s="1470"/>
      <c r="Y378" s="36"/>
      <c r="Z378" s="36"/>
      <c r="AA378" s="36"/>
      <c r="AB378" s="36"/>
      <c r="AC378" s="36"/>
      <c r="AD378" s="36"/>
      <c r="AE378" s="36"/>
      <c r="AF378" s="36"/>
      <c r="AG378" s="36"/>
      <c r="AH378" s="36"/>
      <c r="AI378" s="36"/>
      <c r="AJ378" s="36"/>
      <c r="AK378" s="242"/>
      <c r="AL378" s="36"/>
      <c r="AM378" s="36"/>
      <c r="AN378" s="36"/>
    </row>
    <row r="379" spans="6:40" ht="15" customHeight="1" outlineLevel="1">
      <c r="F379" s="52"/>
      <c r="G379" s="51" t="s">
        <v>206</v>
      </c>
      <c r="H379" s="836"/>
      <c r="I379" s="836"/>
      <c r="J379" s="836"/>
      <c r="K379" s="836">
        <f ca="1">IFERROR(K368*INDIRECT("'"&amp;$H$3&amp;"'!K$261"),0)</f>
        <v>0</v>
      </c>
      <c r="L379" s="836"/>
      <c r="M379" s="836"/>
      <c r="N379" s="836">
        <f ca="1">IFERROR(N368*INDIRECT("'"&amp;$H$3&amp;"'!N$261"),0)</f>
        <v>0</v>
      </c>
      <c r="O379" s="836"/>
      <c r="P379" s="836"/>
      <c r="Q379" s="836">
        <f ca="1">IFERROR(Q368*INDIRECT("'"&amp;$H$3&amp;"'!Q$261"),0)</f>
        <v>0</v>
      </c>
      <c r="R379" s="836"/>
      <c r="S379" s="836"/>
      <c r="T379" s="836">
        <f ca="1">IFERROR(T368*INDIRECT("'"&amp;$H$3&amp;"'!T$261"),0)</f>
        <v>0</v>
      </c>
      <c r="U379" s="836"/>
      <c r="V379" s="836"/>
      <c r="W379" s="836">
        <f ca="1">IFERROR(W368*INDIRECT("'"&amp;$H$3&amp;"'!W$261"),0)</f>
        <v>0</v>
      </c>
      <c r="X379" s="1469"/>
      <c r="Y379" s="36"/>
      <c r="Z379" s="36"/>
      <c r="AA379" s="36"/>
      <c r="AB379" s="36" t="s">
        <v>192</v>
      </c>
      <c r="AC379" s="36"/>
      <c r="AD379" s="36" t="s">
        <v>193</v>
      </c>
      <c r="AE379" s="36"/>
      <c r="AF379" s="36"/>
      <c r="AG379" s="36"/>
      <c r="AH379" s="36"/>
      <c r="AI379" s="36"/>
      <c r="AJ379" s="36"/>
      <c r="AK379" s="36"/>
      <c r="AL379" s="36"/>
      <c r="AM379" s="36"/>
      <c r="AN379" s="36"/>
    </row>
    <row r="380" spans="6:40" ht="15" customHeight="1" outlineLevel="1">
      <c r="F380" s="52"/>
      <c r="G380" s="51" t="s">
        <v>87</v>
      </c>
      <c r="H380" s="836"/>
      <c r="I380" s="836"/>
      <c r="J380" s="836"/>
      <c r="K380" s="836">
        <f ca="1">IFERROR(IF(K368=0,0,2*INDIRECT("'"&amp;$H$3&amp;"'!K$98")),0)</f>
        <v>0</v>
      </c>
      <c r="L380" s="836"/>
      <c r="M380" s="836"/>
      <c r="N380" s="836">
        <f ca="1">IFERROR(IF(N368=0,0,2*INDIRECT("'"&amp;$H$3&amp;"'!N$98")),0)</f>
        <v>0</v>
      </c>
      <c r="O380" s="836"/>
      <c r="P380" s="836"/>
      <c r="Q380" s="836">
        <f ca="1">IFERROR(IF(Q368=0,0,2*INDIRECT("'"&amp;$H$3&amp;"'!Q$98")),0)</f>
        <v>0</v>
      </c>
      <c r="R380" s="836"/>
      <c r="S380" s="836"/>
      <c r="T380" s="836">
        <f ca="1">IFERROR(IF(T368=0,0,2*INDIRECT("'"&amp;$H$3&amp;"'!T$98")),0)</f>
        <v>0</v>
      </c>
      <c r="U380" s="836"/>
      <c r="V380" s="836"/>
      <c r="W380" s="836">
        <f ca="1">IFERROR(IF(W368=0,0,2*INDIRECT("'"&amp;$H$3&amp;"'!W$98")),0)</f>
        <v>0</v>
      </c>
      <c r="X380" s="1469"/>
      <c r="Y380" s="36"/>
      <c r="Z380" s="36"/>
      <c r="AA380" s="36"/>
      <c r="AB380" s="36" t="s">
        <v>194</v>
      </c>
      <c r="AC380" s="36"/>
      <c r="AD380" s="36" t="s">
        <v>195</v>
      </c>
      <c r="AE380" s="36"/>
      <c r="AF380" s="36"/>
      <c r="AG380" s="36"/>
      <c r="AH380" s="36"/>
      <c r="AI380" s="36"/>
      <c r="AJ380" s="36"/>
      <c r="AK380" s="36"/>
      <c r="AL380" s="36"/>
      <c r="AM380" s="36"/>
      <c r="AN380" s="36"/>
    </row>
    <row r="381" spans="6:40" ht="15" customHeight="1" outlineLevel="1">
      <c r="F381" s="52"/>
      <c r="G381" s="51" t="s">
        <v>204</v>
      </c>
      <c r="H381" s="837"/>
      <c r="I381" s="837"/>
      <c r="J381" s="837"/>
      <c r="K381" s="837">
        <f ca="1">IFERROR((INDIRECT("'"&amp;$H$3&amp;"'!$H$10")*INDIRECT("'"&amp;$H$3&amp;"'!$H$9")*INDIRECT("'"&amp;$H$3&amp;"'!K268"))/((K380/INDIRECT("'"&amp;$H$3&amp;"'!K281"))+((1/60)*(INDIRECT("'"&amp;$H$3&amp;"'!K277")+INDIRECT("'"&amp;$H$3&amp;"'!$H$19")*(INDIRECT("'"&amp;$H$3&amp;"'!K278")+(INDIRECT("'"&amp;$H$3&amp;"'!K279")*('2_Outputs'!K$52/INDIRECT("'"&amp;$H$3&amp;"'!K$261")/INDIRECT("'"&amp;$H$3&amp;"'!$H$19"))))))),0)</f>
        <v>0</v>
      </c>
      <c r="L381" s="837"/>
      <c r="M381" s="837"/>
      <c r="N381" s="837">
        <f ca="1">IFERROR((INDIRECT("'"&amp;$H$3&amp;"'!$H$10")*INDIRECT("'"&amp;$H$3&amp;"'!$H$9")*INDIRECT("'"&amp;$H$3&amp;"'!N268"))/((N380/INDIRECT("'"&amp;$H$3&amp;"'!N281"))+((1/60)*(INDIRECT("'"&amp;$H$3&amp;"'!N277")+INDIRECT("'"&amp;$H$3&amp;"'!$H$19")*(INDIRECT("'"&amp;$H$3&amp;"'!N278")+(INDIRECT("'"&amp;$H$3&amp;"'!N279")*('2_Outputs'!N$52/INDIRECT("'"&amp;$H$3&amp;"'!N$261")/INDIRECT("'"&amp;$H$3&amp;"'!$H$19"))))))),0)</f>
        <v>0</v>
      </c>
      <c r="O381" s="837"/>
      <c r="P381" s="837"/>
      <c r="Q381" s="837">
        <f ca="1">IFERROR((INDIRECT("'"&amp;$H$3&amp;"'!$H$10")*INDIRECT("'"&amp;$H$3&amp;"'!$H$9")*INDIRECT("'"&amp;$H$3&amp;"'!Q268"))/((Q380/INDIRECT("'"&amp;$H$3&amp;"'!Q281"))+((1/60)*(INDIRECT("'"&amp;$H$3&amp;"'!Q277")+INDIRECT("'"&amp;$H$3&amp;"'!$H$19")*(INDIRECT("'"&amp;$H$3&amp;"'!Q278")+(INDIRECT("'"&amp;$H$3&amp;"'!Q279")*('2_Outputs'!Q$52/INDIRECT("'"&amp;$H$3&amp;"'!Q$261")/INDIRECT("'"&amp;$H$3&amp;"'!$H$19"))))))),0)</f>
        <v>0</v>
      </c>
      <c r="R381" s="837"/>
      <c r="S381" s="837"/>
      <c r="T381" s="837">
        <f ca="1">IFERROR((INDIRECT("'"&amp;$H$3&amp;"'!$H$10")*INDIRECT("'"&amp;$H$3&amp;"'!$H$9")*INDIRECT("'"&amp;$H$3&amp;"'!T268"))/((T380/INDIRECT("'"&amp;$H$3&amp;"'!T281"))+((1/60)*(INDIRECT("'"&amp;$H$3&amp;"'!T277")+INDIRECT("'"&amp;$H$3&amp;"'!$H$19")*(INDIRECT("'"&amp;$H$3&amp;"'!T278")+(INDIRECT("'"&amp;$H$3&amp;"'!T279")*('2_Outputs'!T$52/INDIRECT("'"&amp;$H$3&amp;"'!T$261")/INDIRECT("'"&amp;$H$3&amp;"'!$H$19"))))))),0)</f>
        <v>0</v>
      </c>
      <c r="U381" s="837"/>
      <c r="V381" s="837"/>
      <c r="W381" s="837">
        <f ca="1">IFERROR((INDIRECT("'"&amp;$H$3&amp;"'!$H$10")*INDIRECT("'"&amp;$H$3&amp;"'!$H$9")*INDIRECT("'"&amp;$H$3&amp;"'!W268"))/((W380/INDIRECT("'"&amp;$H$3&amp;"'!W281"))+((1/60)*(INDIRECT("'"&amp;$H$3&amp;"'!W277")+INDIRECT("'"&amp;$H$3&amp;"'!$H$19")*(INDIRECT("'"&amp;$H$3&amp;"'!W278")+(INDIRECT("'"&amp;$H$3&amp;"'!W279")*('2_Outputs'!W$52/INDIRECT("'"&amp;$H$3&amp;"'!W$261")/INDIRECT("'"&amp;$H$3&amp;"'!$H$19"))))))),0)</f>
        <v>0</v>
      </c>
      <c r="X381" s="1468"/>
      <c r="Y381" s="36"/>
      <c r="Z381" s="36"/>
      <c r="AA381" s="36"/>
      <c r="AB381" s="36" t="s">
        <v>196</v>
      </c>
      <c r="AC381" s="36"/>
      <c r="AD381" s="36" t="s">
        <v>197</v>
      </c>
      <c r="AE381" s="36"/>
      <c r="AF381" s="36"/>
      <c r="AG381" s="36"/>
      <c r="AH381" s="36"/>
      <c r="AI381" s="36"/>
      <c r="AJ381" s="36"/>
      <c r="AK381" s="36"/>
      <c r="AL381" s="36"/>
      <c r="AM381" s="36"/>
      <c r="AN381" s="36"/>
    </row>
    <row r="382" spans="6:40" ht="48" customHeight="1">
      <c r="F382" s="1678" t="s">
        <v>157</v>
      </c>
      <c r="G382" s="1679"/>
      <c r="H382" s="1684"/>
      <c r="I382" s="1684"/>
      <c r="J382" s="1684"/>
      <c r="K382" s="1509" t="str">
        <f ca="1">IF($H$9&gt;=2,INDIRECT("'"&amp;$H$3&amp;"'!J$130"),"")</f>
        <v>CMS  to  Regional WH</v>
      </c>
      <c r="L382" s="1509" t="str">
        <f t="shared" ref="L382:V382" ca="1" si="22">IF($H$9&gt;=1,"Tier 1","")</f>
        <v>Tier 1</v>
      </c>
      <c r="M382" s="1509" t="str">
        <f t="shared" ca="1" si="22"/>
        <v>Tier 1</v>
      </c>
      <c r="N382" s="1509" t="str">
        <f ca="1">IF($H$9&gt;=3,INDIRECT("'"&amp;$H$3&amp;"'!M$130"),"")</f>
        <v>Regional WH  to  Health Facility</v>
      </c>
      <c r="O382" s="1509" t="str">
        <f t="shared" ca="1" si="22"/>
        <v>Tier 1</v>
      </c>
      <c r="P382" s="1509" t="str">
        <f t="shared" ca="1" si="22"/>
        <v>Tier 1</v>
      </c>
      <c r="Q382" s="1510" t="str">
        <f ca="1">IF($H$9&gt;=4,INDIRECT("'"&amp;$H$3&amp;"'!P$130"),"")</f>
        <v/>
      </c>
      <c r="R382" s="1511" t="str">
        <f t="shared" ca="1" si="22"/>
        <v>Tier 1</v>
      </c>
      <c r="S382" s="1511" t="str">
        <f t="shared" ca="1" si="22"/>
        <v>Tier 1</v>
      </c>
      <c r="T382" s="1510" t="str">
        <f ca="1">IF($H$9&gt;=5,INDIRECT("'"&amp;$H$3&amp;"'!S$130"),"")</f>
        <v/>
      </c>
      <c r="U382" s="1512" t="str">
        <f t="shared" ca="1" si="22"/>
        <v>Tier 1</v>
      </c>
      <c r="V382" s="1512" t="str">
        <f t="shared" ca="1" si="22"/>
        <v>Tier 1</v>
      </c>
      <c r="W382" s="1510" t="str">
        <f ca="1">IF($H$9&gt;=6,INDIRECT("'"&amp;$H$3&amp;"'!V$130"),"")</f>
        <v/>
      </c>
      <c r="X382" s="1474"/>
      <c r="Y382" s="36"/>
      <c r="Z382" s="36"/>
      <c r="AA382" s="36"/>
      <c r="AB382" s="36"/>
      <c r="AC382" s="36"/>
      <c r="AD382" s="36"/>
      <c r="AE382" s="36"/>
      <c r="AF382" s="36"/>
      <c r="AG382" s="36"/>
      <c r="AH382" s="36"/>
      <c r="AI382" s="36"/>
      <c r="AJ382" s="36"/>
      <c r="AK382" s="36"/>
      <c r="AL382" s="36"/>
      <c r="AM382" s="36"/>
      <c r="AN382" s="36"/>
    </row>
    <row r="383" spans="6:40" ht="15" customHeight="1" outlineLevel="1">
      <c r="F383" s="1681" t="s">
        <v>149</v>
      </c>
      <c r="G383" s="1681"/>
      <c r="H383" s="877"/>
      <c r="I383" s="877"/>
      <c r="J383" s="877"/>
      <c r="K383" s="877"/>
      <c r="L383" s="877"/>
      <c r="M383" s="877"/>
      <c r="N383" s="877"/>
      <c r="O383" s="1685"/>
      <c r="P383" s="1685"/>
      <c r="Q383" s="1686"/>
      <c r="R383" s="1672"/>
      <c r="S383" s="1672"/>
      <c r="T383" s="1686"/>
      <c r="U383" s="1672"/>
      <c r="V383" s="1672"/>
      <c r="W383" s="1686"/>
      <c r="X383" s="1479"/>
      <c r="Y383" s="36"/>
      <c r="Z383" s="36"/>
      <c r="AA383" s="36"/>
      <c r="AB383" s="36"/>
      <c r="AC383" s="36"/>
      <c r="AD383" s="36"/>
      <c r="AE383" s="36"/>
      <c r="AF383" s="36"/>
      <c r="AG383" s="36"/>
      <c r="AH383" s="36"/>
      <c r="AI383" s="36"/>
      <c r="AJ383" s="36"/>
      <c r="AK383" s="242"/>
      <c r="AL383" s="36"/>
      <c r="AM383" s="36"/>
      <c r="AN383" s="36"/>
    </row>
    <row r="384" spans="6:40" ht="15" customHeight="1" outlineLevel="1">
      <c r="F384" s="52"/>
      <c r="G384" s="51" t="s">
        <v>146</v>
      </c>
      <c r="H384" s="837"/>
      <c r="I384" s="837"/>
      <c r="J384" s="837"/>
      <c r="K384" s="837">
        <f ca="1">IFERROR(IF(COUNTIF(INDIRECT("'"&amp;$H$3&amp;"'!K284"),"Public Transport*")=1,IF(INDIRECT("'"&amp;$H$3&amp;"'!K292")="Route-based",K391*INDIRECT("'"&amp;$H$3&amp;"'!K$261"),IF(INDIRECT("'"&amp;$H$3&amp;"'!K292")="Point-to-point",K394*INDIRECT("'"&amp;$H$3&amp;"'!K$261"),0)),0),0)</f>
        <v>0</v>
      </c>
      <c r="L384" s="837"/>
      <c r="M384" s="837"/>
      <c r="N384" s="837">
        <f ca="1">IFERROR(IF(COUNTIF(INDIRECT("'"&amp;$H$3&amp;"'!N284"),"Public Transport*")=1,IF(INDIRECT("'"&amp;$H$3&amp;"'!N292")="Route-based",N391*INDIRECT("'"&amp;$H$3&amp;"'!N$261"),IF(INDIRECT("'"&amp;$H$3&amp;"'!N292")="Point-to-point",N394*INDIRECT("'"&amp;$H$3&amp;"'!N$261"),0)),0),0)</f>
        <v>0</v>
      </c>
      <c r="O384" s="837"/>
      <c r="P384" s="837"/>
      <c r="Q384" s="837">
        <f ca="1">IFERROR(IF(COUNTIF(INDIRECT("'"&amp;$H$3&amp;"'!Q284"),"Public Transport*")=1,IF(INDIRECT("'"&amp;$H$3&amp;"'!Q292")="Route-based",Q391*INDIRECT("'"&amp;$H$3&amp;"'!Q$261"),IF(INDIRECT("'"&amp;$H$3&amp;"'!Q292")="Point-to-point",Q394*INDIRECT("'"&amp;$H$3&amp;"'!Q$261"),0)),0),0)</f>
        <v>0</v>
      </c>
      <c r="R384" s="1650"/>
      <c r="S384" s="1650"/>
      <c r="T384" s="837">
        <f ca="1">IFERROR(IF(COUNTIF(INDIRECT("'"&amp;$H$3&amp;"'!T284"),"Public Transport*")=1,IF(INDIRECT("'"&amp;$H$3&amp;"'!T292")="Route-based",T391*INDIRECT("'"&amp;$H$3&amp;"'!T$261"),IF(INDIRECT("'"&amp;$H$3&amp;"'!T292")="Point-to-point",T394*INDIRECT("'"&amp;$H$3&amp;"'!T$261"),0)),0),0)</f>
        <v>0</v>
      </c>
      <c r="U384" s="1650"/>
      <c r="V384" s="1650"/>
      <c r="W384" s="837">
        <f ca="1">IFERROR(IF(COUNTIF(INDIRECT("'"&amp;$H$3&amp;"'!W284"),"Public Transport*")=1,IF(INDIRECT("'"&amp;$H$3&amp;"'!W292")="Route-based",W391*INDIRECT("'"&amp;$H$3&amp;"'!W$261"),IF(INDIRECT("'"&amp;$H$3&amp;"'!W292")="Point-to-point",W394*INDIRECT("'"&amp;$H$3&amp;"'!W$261"),0)),0),0)</f>
        <v>0</v>
      </c>
      <c r="X384" s="1468"/>
      <c r="Y384" s="36"/>
      <c r="Z384" s="36"/>
      <c r="AA384" s="36"/>
      <c r="AB384" s="36"/>
      <c r="AC384" s="36"/>
      <c r="AD384" s="36"/>
      <c r="AE384" s="36"/>
      <c r="AF384" s="36"/>
      <c r="AG384" s="36"/>
      <c r="AH384" s="36"/>
      <c r="AI384" s="36"/>
      <c r="AJ384" s="36"/>
      <c r="AK384" s="242"/>
      <c r="AL384" s="36"/>
      <c r="AM384" s="36"/>
      <c r="AN384" s="36"/>
    </row>
    <row r="385" spans="6:40" ht="15" customHeight="1" outlineLevel="1">
      <c r="F385" s="52"/>
      <c r="G385" s="51" t="s">
        <v>147</v>
      </c>
      <c r="H385" s="837"/>
      <c r="I385" s="837"/>
      <c r="J385" s="837"/>
      <c r="K385" s="837">
        <f ca="1">IFERROR(IF(INDIRECT("'"&amp;$H$3&amp;"'!K292")="Route-based",K392*INDIRECT("'"&amp;$H$3&amp;"'!K$261"),IF(INDIRECT("'"&amp;$H$3&amp;"'!K292")="Point-to-point",K395*INDIRECT("'"&amp;$H$3&amp;"'!K$261"),0)),0)</f>
        <v>0</v>
      </c>
      <c r="L385" s="837"/>
      <c r="M385" s="837"/>
      <c r="N385" s="837">
        <f ca="1">IFERROR(IF(INDIRECT("'"&amp;$H$3&amp;"'!N292")="Route-based",N392*INDIRECT("'"&amp;$H$3&amp;"'!N$261"),IF(INDIRECT("'"&amp;$H$3&amp;"'!N292")="Point-to-point",N395*INDIRECT("'"&amp;$H$3&amp;"'!N$261"),0)),0)</f>
        <v>0</v>
      </c>
      <c r="O385" s="837"/>
      <c r="P385" s="837"/>
      <c r="Q385" s="837">
        <f ca="1">IFERROR(IF(INDIRECT("'"&amp;$H$3&amp;"'!Q292")="Route-based",Q392*INDIRECT("'"&amp;$H$3&amp;"'!Q$261"),IF(INDIRECT("'"&amp;$H$3&amp;"'!Q292")="Point-to-point",Q395*INDIRECT("'"&amp;$H$3&amp;"'!Q$261"),0)),0)</f>
        <v>0</v>
      </c>
      <c r="R385" s="1650"/>
      <c r="S385" s="1650"/>
      <c r="T385" s="837">
        <f ca="1">IFERROR(IF(INDIRECT("'"&amp;$H$3&amp;"'!T292")="Route-based",T392*INDIRECT("'"&amp;$H$3&amp;"'!T$261"),IF(INDIRECT("'"&amp;$H$3&amp;"'!T292")="Point-to-point",T395*INDIRECT("'"&amp;$H$3&amp;"'!T$261"),0)),0)</f>
        <v>0</v>
      </c>
      <c r="U385" s="1650"/>
      <c r="V385" s="1650"/>
      <c r="W385" s="837">
        <f ca="1">IFERROR(IF(INDIRECT("'"&amp;$H$3&amp;"'!W292")="Route-based",W392*INDIRECT("'"&amp;$H$3&amp;"'!W$261"),IF(INDIRECT("'"&amp;$H$3&amp;"'!W292")="Point-to-point",W395*INDIRECT("'"&amp;$H$3&amp;"'!W$261"),0)),0)</f>
        <v>0</v>
      </c>
      <c r="X385" s="1468"/>
      <c r="Y385" s="36"/>
      <c r="Z385" s="36"/>
      <c r="AA385" s="36"/>
      <c r="AB385" s="36"/>
      <c r="AC385" s="36"/>
      <c r="AD385" s="36"/>
      <c r="AE385" s="36"/>
      <c r="AF385" s="36"/>
      <c r="AG385" s="36"/>
      <c r="AH385" s="36"/>
      <c r="AI385" s="36"/>
      <c r="AJ385" s="36"/>
      <c r="AK385" s="242"/>
      <c r="AL385" s="36"/>
      <c r="AM385" s="36"/>
      <c r="AN385" s="36"/>
    </row>
    <row r="386" spans="6:40" ht="15" customHeight="1" outlineLevel="1">
      <c r="F386" s="52"/>
      <c r="G386" s="51" t="s">
        <v>142</v>
      </c>
      <c r="H386" s="1651"/>
      <c r="I386" s="1651"/>
      <c r="J386" s="1651"/>
      <c r="K386" s="1651">
        <f ca="1">IFERROR(IF(COUNTIF(INDIRECT("'"&amp;$H$3&amp;"'!K284"),"Public Transport*")&gt;0,ROUND(INDIRECT("'"&amp;$H$3&amp;"'!K$95")*INDIRECT("'"&amp;$H$3&amp;"'!K283"),0),0),0)</f>
        <v>0</v>
      </c>
      <c r="L386" s="1651"/>
      <c r="M386" s="1651"/>
      <c r="N386" s="1651">
        <f ca="1">IFERROR(IF(COUNTIF(INDIRECT("'"&amp;$H$3&amp;"'!N284"),"Public Transport*")&gt;0,ROUND(INDIRECT("'"&amp;$H$3&amp;"'!N$95")*INDIRECT("'"&amp;$H$3&amp;"'!N283"),0),0),0)</f>
        <v>0</v>
      </c>
      <c r="O386" s="1651"/>
      <c r="P386" s="1651"/>
      <c r="Q386" s="1651">
        <f ca="1">IFERROR(IF(COUNTIF(INDIRECT("'"&amp;$H$3&amp;"'!Q284"),"Public Transport*")&gt;0,ROUND(INDIRECT("'"&amp;$H$3&amp;"'!Q$95")*INDIRECT("'"&amp;$H$3&amp;"'!Q283"),0),0),0)</f>
        <v>0</v>
      </c>
      <c r="R386" s="1650"/>
      <c r="S386" s="1650"/>
      <c r="T386" s="1651">
        <f ca="1">IFERROR(IF(COUNTIF(INDIRECT("'"&amp;$H$3&amp;"'!T284"),"Public Transport*")&gt;0,ROUND(INDIRECT("'"&amp;$H$3&amp;"'!T$95")*INDIRECT("'"&amp;$H$3&amp;"'!T283"),0),0),0)</f>
        <v>0</v>
      </c>
      <c r="U386" s="1650"/>
      <c r="V386" s="1650"/>
      <c r="W386" s="1651">
        <f ca="1">IFERROR(IF(COUNTIF(INDIRECT("'"&amp;$H$3&amp;"'!W284"),"Public Transport*")&gt;0,ROUND(INDIRECT("'"&amp;$H$3&amp;"'!W$95")*INDIRECT("'"&amp;$H$3&amp;"'!W283"),0),0),0)</f>
        <v>0</v>
      </c>
      <c r="X386" s="1466"/>
      <c r="Y386" s="36"/>
      <c r="Z386" s="36"/>
      <c r="AA386" s="36"/>
      <c r="AB386" s="36"/>
      <c r="AC386" s="36"/>
      <c r="AD386" s="36"/>
      <c r="AE386" s="36"/>
      <c r="AF386" s="36"/>
      <c r="AG386" s="36"/>
      <c r="AH386" s="36"/>
      <c r="AI386" s="36"/>
      <c r="AJ386" s="36"/>
      <c r="AK386" s="36"/>
      <c r="AL386" s="36"/>
      <c r="AM386" s="36"/>
      <c r="AN386" s="36"/>
    </row>
    <row r="387" spans="6:40" ht="15" customHeight="1" outlineLevel="1">
      <c r="F387" s="52"/>
      <c r="G387" s="1613" t="s">
        <v>150</v>
      </c>
      <c r="H387" s="842"/>
      <c r="I387" s="842"/>
      <c r="J387" s="842"/>
      <c r="K387" s="842"/>
      <c r="L387" s="842"/>
      <c r="M387" s="842"/>
      <c r="N387" s="842"/>
      <c r="O387" s="842"/>
      <c r="P387" s="842"/>
      <c r="Q387" s="842"/>
      <c r="R387" s="1650"/>
      <c r="S387" s="1650"/>
      <c r="T387" s="842"/>
      <c r="U387" s="1650"/>
      <c r="V387" s="1650"/>
      <c r="W387" s="842"/>
      <c r="X387" s="1470"/>
      <c r="Y387" s="36"/>
      <c r="Z387" s="36"/>
      <c r="AA387" s="36"/>
      <c r="AB387" s="36"/>
      <c r="AC387" s="36"/>
      <c r="AD387" s="36"/>
      <c r="AE387" s="36"/>
      <c r="AF387" s="36"/>
      <c r="AG387" s="36"/>
      <c r="AH387" s="36"/>
      <c r="AI387" s="36"/>
      <c r="AJ387" s="36"/>
      <c r="AK387" s="36"/>
      <c r="AL387" s="36"/>
      <c r="AM387" s="36"/>
      <c r="AN387" s="36"/>
    </row>
    <row r="388" spans="6:40" ht="15" customHeight="1" outlineLevel="1">
      <c r="F388" s="52"/>
      <c r="G388" s="51" t="s">
        <v>140</v>
      </c>
      <c r="H388" s="836"/>
      <c r="I388" s="836"/>
      <c r="J388" s="836"/>
      <c r="K388" s="836">
        <f ca="1">IFERROR(ROUND(INDIRECT("'"&amp;$H$3&amp;"'!$H$10")/(((1/60)*(INDIRECT("'"&amp;$H$3&amp;"'!K297")+INDIRECT("'"&amp;$H$3&amp;"'!$H$19")*(INDIRECT("'"&amp;$H$3&amp;"'!K298")+(INDIRECT("'"&amp;$H$3&amp;"'!K299")*('2_Outputs'!K$52/INDIRECT("'"&amp;$H$3&amp;"'!K$261")/INDIRECT("'"&amp;$H$3&amp;"'!$H$19"))))))+INDEX(INDIRECT("'"&amp;$H$3&amp;"'!$H$43:$H$78"),MATCH(INDIRECT("'"&amp;$H$3&amp;"'!K284")&amp;"Average duration (hrs) per trip",INDIRECT("'"&amp;$H$3&amp;"'!$F$43:$F$78"),0))),1),0)</f>
        <v>0</v>
      </c>
      <c r="L388" s="836"/>
      <c r="M388" s="836"/>
      <c r="N388" s="836">
        <f ca="1">IFERROR(ROUND(INDIRECT("'"&amp;$H$3&amp;"'!$H$10")/(((1/60)*(INDIRECT("'"&amp;$H$3&amp;"'!N297")+INDIRECT("'"&amp;$H$3&amp;"'!$H$19")*(INDIRECT("'"&amp;$H$3&amp;"'!N298")+(INDIRECT("'"&amp;$H$3&amp;"'!N299")*('2_Outputs'!N$52/INDIRECT("'"&amp;$H$3&amp;"'!N$261")/INDIRECT("'"&amp;$H$3&amp;"'!$H$19"))))))+INDEX(INDIRECT("'"&amp;$H$3&amp;"'!$H$43:$H$78"),MATCH(INDIRECT("'"&amp;$H$3&amp;"'!N284")&amp;"Average duration (hrs) per trip",INDIRECT("'"&amp;$H$3&amp;"'!$F$43:$F$78"),0))),1),0)</f>
        <v>0</v>
      </c>
      <c r="O388" s="836"/>
      <c r="P388" s="836"/>
      <c r="Q388" s="836">
        <f ca="1">IFERROR(ROUND(INDIRECT("'"&amp;$H$3&amp;"'!$H$10")/(((1/60)*(INDIRECT("'"&amp;$H$3&amp;"'!Q297")+INDIRECT("'"&amp;$H$3&amp;"'!$H$19")*(INDIRECT("'"&amp;$H$3&amp;"'!Q298")+(INDIRECT("'"&amp;$H$3&amp;"'!Q299")*('2_Outputs'!Q$52/INDIRECT("'"&amp;$H$3&amp;"'!Q$261")/INDIRECT("'"&amp;$H$3&amp;"'!$H$19"))))))+INDEX(INDIRECT("'"&amp;$H$3&amp;"'!$H$43:$H$78"),MATCH(INDIRECT("'"&amp;$H$3&amp;"'!Q284")&amp;"Average duration (hrs) per trip",INDIRECT("'"&amp;$H$3&amp;"'!$F$43:$F$78"),0))),1),0)</f>
        <v>0</v>
      </c>
      <c r="R388" s="836"/>
      <c r="S388" s="836"/>
      <c r="T388" s="836">
        <f ca="1">IFERROR(ROUND(INDIRECT("'"&amp;$H$3&amp;"'!$H$10")/(((1/60)*(INDIRECT("'"&amp;$H$3&amp;"'!T297")+INDIRECT("'"&amp;$H$3&amp;"'!$H$19")*(INDIRECT("'"&amp;$H$3&amp;"'!T298")+(INDIRECT("'"&amp;$H$3&amp;"'!T299")*('2_Outputs'!T$52/INDIRECT("'"&amp;$H$3&amp;"'!T$261")/INDIRECT("'"&amp;$H$3&amp;"'!$H$19"))))))+INDEX(INDIRECT("'"&amp;$H$3&amp;"'!$H$43:$H$78"),MATCH(INDIRECT("'"&amp;$H$3&amp;"'!T284")&amp;"Average duration (hrs) per trip",INDIRECT("'"&amp;$H$3&amp;"'!$F$43:$F$78"),0))),1),0)</f>
        <v>0</v>
      </c>
      <c r="U388" s="836"/>
      <c r="V388" s="836"/>
      <c r="W388" s="836">
        <f ca="1">IFERROR(ROUND(INDIRECT("'"&amp;$H$3&amp;"'!$H$10")/(((1/60)*(INDIRECT("'"&amp;$H$3&amp;"'!W297")+INDIRECT("'"&amp;$H$3&amp;"'!$H$19")*(INDIRECT("'"&amp;$H$3&amp;"'!W298")+(INDIRECT("'"&amp;$H$3&amp;"'!W299")*('2_Outputs'!W$52/INDIRECT("'"&amp;$H$3&amp;"'!W$261")/INDIRECT("'"&amp;$H$3&amp;"'!$H$19"))))))+INDEX(INDIRECT("'"&amp;$H$3&amp;"'!$H$43:$H$78"),MATCH(INDIRECT("'"&amp;$H$3&amp;"'!W284")&amp;"Average duration (hrs) per trip",INDIRECT("'"&amp;$H$3&amp;"'!$F$43:$F$78"),0))),1),0)</f>
        <v>0</v>
      </c>
      <c r="X388" s="1469"/>
      <c r="Y388" s="36"/>
      <c r="Z388" s="36"/>
      <c r="AA388" s="36"/>
      <c r="AB388" s="36"/>
      <c r="AC388" s="36"/>
      <c r="AD388" s="36"/>
      <c r="AE388" s="36"/>
      <c r="AF388" s="36"/>
      <c r="AG388" s="36"/>
      <c r="AH388" s="36"/>
      <c r="AI388" s="36"/>
      <c r="AJ388" s="36"/>
      <c r="AK388" s="36"/>
      <c r="AL388" s="36"/>
      <c r="AM388" s="36"/>
      <c r="AN388" s="36"/>
    </row>
    <row r="389" spans="6:40" ht="15" customHeight="1" outlineLevel="1">
      <c r="F389" s="52"/>
      <c r="G389" s="51" t="s">
        <v>141</v>
      </c>
      <c r="H389" s="836"/>
      <c r="I389" s="836"/>
      <c r="J389" s="836"/>
      <c r="K389" s="836">
        <f ca="1">IFERROR(ROUND(K388*INDIRECT("'"&amp;$H$3&amp;"'!K293"),0),0)</f>
        <v>0</v>
      </c>
      <c r="L389" s="836"/>
      <c r="M389" s="836"/>
      <c r="N389" s="836">
        <f ca="1">IFERROR(ROUND(N388*INDIRECT("'"&amp;$H$3&amp;"'!N293"),0),0)</f>
        <v>0</v>
      </c>
      <c r="O389" s="836"/>
      <c r="P389" s="836"/>
      <c r="Q389" s="836">
        <f ca="1">IFERROR(ROUND(Q388*INDIRECT("'"&amp;$H$3&amp;"'!Q293"),0),0)</f>
        <v>0</v>
      </c>
      <c r="R389" s="836"/>
      <c r="S389" s="836"/>
      <c r="T389" s="836">
        <f ca="1">IFERROR(ROUND(T388*INDIRECT("'"&amp;$H$3&amp;"'!T293"),0),0)</f>
        <v>0</v>
      </c>
      <c r="U389" s="836"/>
      <c r="V389" s="836"/>
      <c r="W389" s="836">
        <f ca="1">IFERROR(ROUND(W388*INDIRECT("'"&amp;$H$3&amp;"'!W293"),0),0)</f>
        <v>0</v>
      </c>
      <c r="X389" s="1469"/>
      <c r="Y389" s="36"/>
      <c r="Z389" s="36"/>
      <c r="AA389" s="36"/>
      <c r="AB389" s="36"/>
      <c r="AC389" s="36"/>
      <c r="AD389" s="36"/>
      <c r="AE389" s="36"/>
      <c r="AF389" s="36"/>
      <c r="AG389" s="36"/>
      <c r="AH389" s="36"/>
      <c r="AI389" s="36"/>
      <c r="AJ389" s="36"/>
      <c r="AK389" s="36"/>
      <c r="AL389" s="36"/>
      <c r="AM389" s="36"/>
      <c r="AN389" s="36"/>
    </row>
    <row r="390" spans="6:40" ht="15" customHeight="1" outlineLevel="1">
      <c r="F390" s="52"/>
      <c r="G390" s="51" t="s">
        <v>143</v>
      </c>
      <c r="H390" s="836"/>
      <c r="I390" s="836"/>
      <c r="J390" s="836"/>
      <c r="K390" s="836">
        <f ca="1">IFERROR(ROUNDUP(K386/K389,0),0)</f>
        <v>0</v>
      </c>
      <c r="L390" s="836"/>
      <c r="M390" s="836"/>
      <c r="N390" s="836">
        <f ca="1">IFERROR(ROUNDUP(N386/N389,0),0)</f>
        <v>0</v>
      </c>
      <c r="O390" s="836"/>
      <c r="P390" s="836"/>
      <c r="Q390" s="836">
        <f ca="1">IFERROR(ROUNDUP(Q386/Q389,0),0)</f>
        <v>0</v>
      </c>
      <c r="R390" s="836"/>
      <c r="S390" s="836"/>
      <c r="T390" s="836">
        <f ca="1">IFERROR(ROUNDUP(T386/T389,0),0)</f>
        <v>0</v>
      </c>
      <c r="U390" s="836"/>
      <c r="V390" s="836"/>
      <c r="W390" s="836">
        <f ca="1">IFERROR(ROUNDUP(W386/W389,0),0)</f>
        <v>0</v>
      </c>
      <c r="X390" s="1469"/>
      <c r="Y390" s="36"/>
      <c r="Z390" s="36"/>
      <c r="AA390" s="36"/>
      <c r="AB390" s="36"/>
      <c r="AC390" s="36"/>
      <c r="AD390" s="36"/>
      <c r="AE390" s="36"/>
      <c r="AF390" s="36"/>
      <c r="AG390" s="36"/>
      <c r="AH390" s="36"/>
      <c r="AI390" s="36"/>
      <c r="AJ390" s="36"/>
      <c r="AK390" s="36"/>
      <c r="AL390" s="36"/>
      <c r="AM390" s="36"/>
      <c r="AN390" s="36"/>
    </row>
    <row r="391" spans="6:40" ht="15" customHeight="1" outlineLevel="1">
      <c r="F391" s="52"/>
      <c r="G391" s="51" t="s">
        <v>144</v>
      </c>
      <c r="H391" s="836"/>
      <c r="I391" s="836"/>
      <c r="J391" s="836"/>
      <c r="K391" s="836">
        <f ca="1">IFERROR((K390*(K389+1)),0)</f>
        <v>0</v>
      </c>
      <c r="L391" s="836"/>
      <c r="M391" s="836"/>
      <c r="N391" s="836">
        <f ca="1">IFERROR((N390*(N389+1)),0)</f>
        <v>0</v>
      </c>
      <c r="O391" s="836"/>
      <c r="P391" s="836"/>
      <c r="Q391" s="836">
        <f ca="1">IFERROR((Q390*(Q389+1)),0)</f>
        <v>0</v>
      </c>
      <c r="R391" s="836"/>
      <c r="S391" s="836"/>
      <c r="T391" s="836">
        <f ca="1">IFERROR((T390*(T389+1)),0)</f>
        <v>0</v>
      </c>
      <c r="U391" s="836"/>
      <c r="V391" s="836"/>
      <c r="W391" s="836">
        <f ca="1">IFERROR((W390*(W389+1)),0)</f>
        <v>0</v>
      </c>
      <c r="X391" s="1469"/>
      <c r="Y391" s="36"/>
      <c r="Z391" s="36"/>
      <c r="AA391" s="36"/>
      <c r="AB391" s="36"/>
      <c r="AC391" s="36"/>
      <c r="AD391" s="36"/>
      <c r="AE391" s="36"/>
      <c r="AF391" s="36"/>
      <c r="AG391" s="36"/>
      <c r="AH391" s="36"/>
      <c r="AI391" s="36"/>
      <c r="AJ391" s="36"/>
      <c r="AK391" s="242"/>
      <c r="AL391" s="36"/>
      <c r="AM391" s="36"/>
      <c r="AN391" s="36"/>
    </row>
    <row r="392" spans="6:40" ht="15" customHeight="1" outlineLevel="1">
      <c r="F392" s="52"/>
      <c r="G392" s="51" t="s">
        <v>145</v>
      </c>
      <c r="H392" s="836"/>
      <c r="I392" s="836"/>
      <c r="J392" s="836"/>
      <c r="K392" s="836">
        <f ca="1">IFERROR(ROUNDUP(((K391*INDEX(INDIRECT("'"&amp;$H$3&amp;"'!$H$43:$H$78"),MATCH(INDIRECT("'"&amp;$H$3&amp;"'!K284")&amp;"Average duration (hrs) per trip",INDIRECT("'"&amp;$H$3&amp;"'!$F$43:$F$78"),0)))+(K386*((1/60)*(INDIRECT("'"&amp;$H$3&amp;"'!K297")+INDIRECT("'"&amp;$H$3&amp;"'!$H$19")*(INDIRECT("'"&amp;$H$3&amp;"'!K298")+(INDIRECT("'"&amp;$H$3&amp;"'!K299")*('2_Outputs'!K$52/INDIRECT("'"&amp;$H$3&amp;"'!K$261")/INDIRECT("'"&amp;$H$3&amp;"'!$H$19"))))))))/INDIRECT("'"&amp;$H$3&amp;"'!$H$10"),0),0)</f>
        <v>0</v>
      </c>
      <c r="L392" s="836"/>
      <c r="M392" s="836"/>
      <c r="N392" s="836">
        <f ca="1">IFERROR(ROUNDUP(((N391*INDEX(INDIRECT("'"&amp;$H$3&amp;"'!$H$43:$H$78"),MATCH(INDIRECT("'"&amp;$H$3&amp;"'!N284")&amp;"Average duration (hrs) per trip",INDIRECT("'"&amp;$H$3&amp;"'!$F$43:$F$78"),0)))+(N386*((1/60)*(INDIRECT("'"&amp;$H$3&amp;"'!N297")+INDIRECT("'"&amp;$H$3&amp;"'!$H$19")*(INDIRECT("'"&amp;$H$3&amp;"'!N298")+(INDIRECT("'"&amp;$H$3&amp;"'!N299")*('2_Outputs'!N$52/INDIRECT("'"&amp;$H$3&amp;"'!N$261")/INDIRECT("'"&amp;$H$3&amp;"'!$H$19"))))))))/INDIRECT("'"&amp;$H$3&amp;"'!$H$10"),0),0)</f>
        <v>0</v>
      </c>
      <c r="O392" s="836"/>
      <c r="P392" s="836"/>
      <c r="Q392" s="836">
        <f ca="1">IFERROR(ROUNDUP(((Q391*INDEX(INDIRECT("'"&amp;$H$3&amp;"'!$H$43:$H$78"),MATCH(INDIRECT("'"&amp;$H$3&amp;"'!Q284")&amp;"Average duration (hrs) per trip",INDIRECT("'"&amp;$H$3&amp;"'!$F$43:$F$78"),0)))+(Q386*((1/60)*(INDIRECT("'"&amp;$H$3&amp;"'!Q297")+INDIRECT("'"&amp;$H$3&amp;"'!$H$19")*(INDIRECT("'"&amp;$H$3&amp;"'!Q298")+(INDIRECT("'"&amp;$H$3&amp;"'!Q299")*('2_Outputs'!Q$52/INDIRECT("'"&amp;$H$3&amp;"'!Q$261")/INDIRECT("'"&amp;$H$3&amp;"'!$H$19"))))))))/INDIRECT("'"&amp;$H$3&amp;"'!$H$10"),0),0)</f>
        <v>0</v>
      </c>
      <c r="R392" s="836"/>
      <c r="S392" s="836"/>
      <c r="T392" s="836">
        <f ca="1">IFERROR(ROUNDUP(((T391*INDEX(INDIRECT("'"&amp;$H$3&amp;"'!$H$43:$H$78"),MATCH(INDIRECT("'"&amp;$H$3&amp;"'!T284")&amp;"Average duration (hrs) per trip",INDIRECT("'"&amp;$H$3&amp;"'!$F$43:$F$78"),0)))+(T386*((1/60)*(INDIRECT("'"&amp;$H$3&amp;"'!T297")+INDIRECT("'"&amp;$H$3&amp;"'!$H$19")*(INDIRECT("'"&amp;$H$3&amp;"'!T298")+(INDIRECT("'"&amp;$H$3&amp;"'!T299")*('2_Outputs'!T$52/INDIRECT("'"&amp;$H$3&amp;"'!T$261")/INDIRECT("'"&amp;$H$3&amp;"'!$H$19"))))))))/INDIRECT("'"&amp;$H$3&amp;"'!$H$10"),0),0)</f>
        <v>0</v>
      </c>
      <c r="U392" s="836"/>
      <c r="V392" s="836"/>
      <c r="W392" s="836">
        <f ca="1">IFERROR(ROUNDUP(((W391*INDEX(INDIRECT("'"&amp;$H$3&amp;"'!$H$43:$H$78"),MATCH(INDIRECT("'"&amp;$H$3&amp;"'!W284")&amp;"Average duration (hrs) per trip",INDIRECT("'"&amp;$H$3&amp;"'!$F$43:$F$78"),0)))+(W386*((1/60)*(INDIRECT("'"&amp;$H$3&amp;"'!W297")+INDIRECT("'"&amp;$H$3&amp;"'!$H$19")*(INDIRECT("'"&amp;$H$3&amp;"'!W298")+(INDIRECT("'"&amp;$H$3&amp;"'!W299")*('2_Outputs'!W$52/INDIRECT("'"&amp;$H$3&amp;"'!W$261")/INDIRECT("'"&amp;$H$3&amp;"'!$H$19"))))))))/INDIRECT("'"&amp;$H$3&amp;"'!$H$10"),0),0)</f>
        <v>0</v>
      </c>
      <c r="X392" s="1469"/>
      <c r="Y392" s="36"/>
      <c r="Z392" s="36"/>
      <c r="AA392" s="36"/>
      <c r="AB392" s="36"/>
      <c r="AC392" s="36"/>
      <c r="AD392" s="36"/>
      <c r="AE392" s="36"/>
      <c r="AF392" s="36"/>
      <c r="AG392" s="36"/>
      <c r="AH392" s="36"/>
      <c r="AI392" s="36"/>
      <c r="AJ392" s="36"/>
      <c r="AK392" s="242"/>
      <c r="AL392" s="36"/>
      <c r="AM392" s="36"/>
      <c r="AN392" s="36"/>
    </row>
    <row r="393" spans="6:40" ht="15" customHeight="1" outlineLevel="1">
      <c r="F393" s="52"/>
      <c r="G393" s="1613" t="s">
        <v>841</v>
      </c>
      <c r="H393" s="842"/>
      <c r="I393" s="842"/>
      <c r="J393" s="842"/>
      <c r="K393" s="842"/>
      <c r="L393" s="842"/>
      <c r="M393" s="842"/>
      <c r="N393" s="842"/>
      <c r="O393" s="842"/>
      <c r="P393" s="842"/>
      <c r="Q393" s="842"/>
      <c r="R393" s="1650"/>
      <c r="S393" s="1650"/>
      <c r="T393" s="842"/>
      <c r="U393" s="1650"/>
      <c r="V393" s="1650"/>
      <c r="W393" s="842"/>
      <c r="X393" s="1470"/>
      <c r="Y393" s="36"/>
      <c r="Z393" s="36"/>
      <c r="AA393" s="36"/>
      <c r="AB393" s="36"/>
      <c r="AC393" s="36"/>
      <c r="AD393" s="36"/>
      <c r="AE393" s="36"/>
      <c r="AF393" s="36"/>
      <c r="AG393" s="36"/>
      <c r="AH393" s="36"/>
      <c r="AI393" s="36"/>
      <c r="AJ393" s="36"/>
      <c r="AK393" s="242"/>
      <c r="AL393" s="36"/>
      <c r="AM393" s="36"/>
      <c r="AN393" s="36"/>
    </row>
    <row r="394" spans="6:40" ht="15" customHeight="1" outlineLevel="1">
      <c r="F394" s="52"/>
      <c r="G394" s="51" t="s">
        <v>144</v>
      </c>
      <c r="H394" s="836"/>
      <c r="I394" s="836"/>
      <c r="J394" s="836"/>
      <c r="K394" s="836">
        <f ca="1">IFERROR(K386*2,0)</f>
        <v>0</v>
      </c>
      <c r="L394" s="836"/>
      <c r="M394" s="836"/>
      <c r="N394" s="836">
        <f ca="1">IFERROR(N386*2,0)</f>
        <v>0</v>
      </c>
      <c r="O394" s="836"/>
      <c r="P394" s="836"/>
      <c r="Q394" s="836">
        <f ca="1">IFERROR(Q386*2,0)</f>
        <v>0</v>
      </c>
      <c r="R394" s="836"/>
      <c r="S394" s="836"/>
      <c r="T394" s="836">
        <f ca="1">IFERROR(T386*2,0)</f>
        <v>0</v>
      </c>
      <c r="U394" s="836"/>
      <c r="V394" s="836"/>
      <c r="W394" s="836">
        <f ca="1">IFERROR(W386*2,0)</f>
        <v>0</v>
      </c>
      <c r="X394" s="1469"/>
      <c r="Y394" s="36"/>
      <c r="Z394" s="36"/>
      <c r="AA394" s="36"/>
      <c r="AB394" s="36"/>
      <c r="AC394" s="36"/>
      <c r="AD394" s="36"/>
      <c r="AE394" s="36"/>
      <c r="AF394" s="36"/>
      <c r="AG394" s="36"/>
      <c r="AH394" s="36"/>
      <c r="AI394" s="36"/>
      <c r="AJ394" s="36"/>
      <c r="AK394" s="36"/>
      <c r="AL394" s="36"/>
      <c r="AM394" s="36"/>
      <c r="AN394" s="36"/>
    </row>
    <row r="395" spans="6:40" ht="15" customHeight="1" outlineLevel="1">
      <c r="F395" s="52"/>
      <c r="G395" s="51" t="s">
        <v>145</v>
      </c>
      <c r="H395" s="837"/>
      <c r="I395" s="837"/>
      <c r="J395" s="837"/>
      <c r="K395" s="837">
        <f ca="1">IFERROR(MAX(K386,ROUNDUP(((K394*INDEX(INDIRECT("'"&amp;$H$3&amp;"'!$H$43:$H$78"),MATCH(INDIRECT("'"&amp;$H$3&amp;"'!K284")&amp;"Average duration (hrs) per trip",INDIRECT("'"&amp;$H$3&amp;"'!$F$43:$F$78"),0)))+(K386*((1/60)*(INDIRECT("'"&amp;$H$3&amp;"'!K297")+INDIRECT("'"&amp;$H$3&amp;"'!$H$19")*(INDIRECT("'"&amp;$H$3&amp;"'!K298")+(INDIRECT("'"&amp;$H$3&amp;"'!K299")*('2_Outputs'!K$52/INDIRECT("'"&amp;$H$3&amp;"'!K$261")/INDIRECT("'"&amp;$H$3&amp;"'!$H$19"))))))))/INDIRECT("'"&amp;$H$3&amp;"'!$H$10"),0)),0)</f>
        <v>0</v>
      </c>
      <c r="L395" s="837"/>
      <c r="M395" s="837"/>
      <c r="N395" s="837">
        <f ca="1">IFERROR(MAX(N386,ROUNDUP(((N394*INDEX(INDIRECT("'"&amp;$H$3&amp;"'!$H$43:$H$78"),MATCH(INDIRECT("'"&amp;$H$3&amp;"'!N284")&amp;"Average duration (hrs) per trip",INDIRECT("'"&amp;$H$3&amp;"'!$F$43:$F$78"),0)))+(N386*((1/60)*(INDIRECT("'"&amp;$H$3&amp;"'!N297")+INDIRECT("'"&amp;$H$3&amp;"'!$H$19")*(INDIRECT("'"&amp;$H$3&amp;"'!N298")+(INDIRECT("'"&amp;$H$3&amp;"'!N299")*('2_Outputs'!N$52/INDIRECT("'"&amp;$H$3&amp;"'!N$261")/INDIRECT("'"&amp;$H$3&amp;"'!$H$19"))))))))/INDIRECT("'"&amp;$H$3&amp;"'!$H$10"),0)),0)</f>
        <v>0</v>
      </c>
      <c r="O395" s="837"/>
      <c r="P395" s="837"/>
      <c r="Q395" s="837">
        <f ca="1">IFERROR(MAX(Q386,ROUNDUP(((Q394*INDEX(INDIRECT("'"&amp;$H$3&amp;"'!$H$43:$H$78"),MATCH(INDIRECT("'"&amp;$H$3&amp;"'!Q284")&amp;"Average duration (hrs) per trip",INDIRECT("'"&amp;$H$3&amp;"'!$F$43:$F$78"),0)))+(Q386*((1/60)*(INDIRECT("'"&amp;$H$3&amp;"'!Q297")+INDIRECT("'"&amp;$H$3&amp;"'!$H$19")*(INDIRECT("'"&amp;$H$3&amp;"'!Q298")+(INDIRECT("'"&amp;$H$3&amp;"'!Q299")*('2_Outputs'!Q$52/INDIRECT("'"&amp;$H$3&amp;"'!Q$261")/INDIRECT("'"&amp;$H$3&amp;"'!$H$19"))))))))/INDIRECT("'"&amp;$H$3&amp;"'!$H$10"),0)),0)</f>
        <v>0</v>
      </c>
      <c r="R395" s="837"/>
      <c r="S395" s="837"/>
      <c r="T395" s="837">
        <f ca="1">IFERROR(MAX(T386,ROUNDUP(((T394*INDEX(INDIRECT("'"&amp;$H$3&amp;"'!$H$43:$H$78"),MATCH(INDIRECT("'"&amp;$H$3&amp;"'!T284")&amp;"Average duration (hrs) per trip",INDIRECT("'"&amp;$H$3&amp;"'!$F$43:$F$78"),0)))+(T386*((1/60)*(INDIRECT("'"&amp;$H$3&amp;"'!T297")+INDIRECT("'"&amp;$H$3&amp;"'!$H$19")*(INDIRECT("'"&amp;$H$3&amp;"'!T298")+(INDIRECT("'"&amp;$H$3&amp;"'!T299")*('2_Outputs'!T$52/INDIRECT("'"&amp;$H$3&amp;"'!T$261")/INDIRECT("'"&amp;$H$3&amp;"'!$H$19"))))))))/INDIRECT("'"&amp;$H$3&amp;"'!$H$10"),0)),0)</f>
        <v>0</v>
      </c>
      <c r="U395" s="837"/>
      <c r="V395" s="837"/>
      <c r="W395" s="837">
        <f ca="1">IFERROR(MAX(W386,ROUNDUP(((W394*INDEX(INDIRECT("'"&amp;$H$3&amp;"'!$H$43:$H$78"),MATCH(INDIRECT("'"&amp;$H$3&amp;"'!W284")&amp;"Average duration (hrs) per trip",INDIRECT("'"&amp;$H$3&amp;"'!$F$43:$F$78"),0)))+(W386*((1/60)*(INDIRECT("'"&amp;$H$3&amp;"'!W297")+INDIRECT("'"&amp;$H$3&amp;"'!$H$19")*(INDIRECT("'"&amp;$H$3&amp;"'!W298")+(INDIRECT("'"&amp;$H$3&amp;"'!W299")*('2_Outputs'!W$52/INDIRECT("'"&amp;$H$3&amp;"'!W$261")/INDIRECT("'"&amp;$H$3&amp;"'!$H$19"))))))))/INDIRECT("'"&amp;$H$3&amp;"'!$H$10"),0)),0)</f>
        <v>0</v>
      </c>
      <c r="X395" s="1468"/>
      <c r="Y395" s="36"/>
      <c r="Z395" s="36"/>
      <c r="AA395" s="36"/>
      <c r="AB395" s="36"/>
      <c r="AC395" s="36"/>
      <c r="AD395" s="36"/>
      <c r="AE395" s="36"/>
      <c r="AF395" s="36"/>
      <c r="AG395" s="36"/>
      <c r="AH395" s="36"/>
      <c r="AI395" s="36"/>
      <c r="AJ395" s="36"/>
      <c r="AK395" s="36"/>
      <c r="AL395" s="36"/>
      <c r="AM395" s="36"/>
      <c r="AN395" s="36"/>
    </row>
    <row r="396" spans="6:40" ht="15" customHeight="1" outlineLevel="1">
      <c r="F396" s="1681" t="s">
        <v>148</v>
      </c>
      <c r="G396" s="1683"/>
      <c r="H396" s="851"/>
      <c r="I396" s="851"/>
      <c r="J396" s="851"/>
      <c r="K396" s="851"/>
      <c r="L396" s="851"/>
      <c r="M396" s="851"/>
      <c r="N396" s="851"/>
      <c r="O396" s="851"/>
      <c r="P396" s="851"/>
      <c r="Q396" s="851"/>
      <c r="R396" s="1646"/>
      <c r="S396" s="1646"/>
      <c r="T396" s="851"/>
      <c r="U396" s="1646"/>
      <c r="V396" s="1646"/>
      <c r="W396" s="851"/>
      <c r="X396" s="1471"/>
      <c r="Y396" s="36"/>
      <c r="Z396" s="36"/>
      <c r="AA396" s="36"/>
      <c r="AB396" s="36"/>
      <c r="AC396" s="36"/>
      <c r="AD396" s="36"/>
      <c r="AE396" s="36"/>
      <c r="AF396" s="36"/>
      <c r="AG396" s="36"/>
      <c r="AH396" s="36"/>
      <c r="AI396" s="36"/>
      <c r="AJ396" s="36"/>
      <c r="AK396" s="242"/>
      <c r="AL396" s="36"/>
      <c r="AM396" s="36"/>
      <c r="AN396" s="36"/>
    </row>
    <row r="397" spans="6:40" ht="15" customHeight="1" outlineLevel="1">
      <c r="F397" s="86"/>
      <c r="G397" s="51" t="s">
        <v>151</v>
      </c>
      <c r="H397" s="836"/>
      <c r="I397" s="836"/>
      <c r="J397" s="836"/>
      <c r="K397" s="836">
        <f ca="1">IFERROR(IF(COUNTIF(INDIRECT("'"&amp;$H$3&amp;"'!K284"),"Public Transport*")&lt;1,ROUND(INDIRECT("'"&amp;$H$3&amp;"'!K$95")*INDIRECT("'"&amp;$H$3&amp;"'!K283"),0),0),0)</f>
        <v>0</v>
      </c>
      <c r="L397" s="836"/>
      <c r="M397" s="836"/>
      <c r="N397" s="836">
        <f ca="1">IFERROR(IF(COUNTIF(INDIRECT("'"&amp;$H$3&amp;"'!N284"),"Public Transport*")&lt;1,ROUND(INDIRECT("'"&amp;$H$3&amp;"'!N$95")*INDIRECT("'"&amp;$H$3&amp;"'!N283"),0),0),0)</f>
        <v>0</v>
      </c>
      <c r="O397" s="836"/>
      <c r="P397" s="836"/>
      <c r="Q397" s="836">
        <f ca="1">IFERROR(IF(COUNTIF(INDIRECT("'"&amp;$H$3&amp;"'!Q284"),"Public Transport*")&lt;1,ROUND(INDIRECT("'"&amp;$H$3&amp;"'!Q$95")*INDIRECT("'"&amp;$H$3&amp;"'!Q283"),0),0),0)</f>
        <v>0</v>
      </c>
      <c r="R397" s="836"/>
      <c r="S397" s="836"/>
      <c r="T397" s="836">
        <f ca="1">IFERROR(IF(COUNTIF(INDIRECT("'"&amp;$H$3&amp;"'!T284"),"Public Transport*")&lt;1,ROUND(INDIRECT("'"&amp;$H$3&amp;"'!T$95")*INDIRECT("'"&amp;$H$3&amp;"'!T283"),0),0),0)</f>
        <v>0</v>
      </c>
      <c r="U397" s="836"/>
      <c r="V397" s="836"/>
      <c r="W397" s="836">
        <f ca="1">IFERROR(IF(COUNTIF(INDIRECT("'"&amp;$H$3&amp;"'!W284"),"Public Transport*")&lt;1,ROUND(INDIRECT("'"&amp;$H$3&amp;"'!W$95")*INDIRECT("'"&amp;$H$3&amp;"'!W283"),0),0),0)</f>
        <v>0</v>
      </c>
      <c r="X397" s="1469"/>
      <c r="Y397" s="36"/>
      <c r="Z397" s="36"/>
      <c r="AA397" s="36"/>
      <c r="AB397" s="36"/>
      <c r="AC397" s="36"/>
      <c r="AD397" s="36"/>
      <c r="AE397" s="36"/>
      <c r="AF397" s="36"/>
      <c r="AG397" s="36"/>
      <c r="AH397" s="36"/>
      <c r="AI397" s="36"/>
      <c r="AJ397" s="36"/>
      <c r="AK397" s="242"/>
      <c r="AL397" s="36"/>
      <c r="AM397" s="36"/>
      <c r="AN397" s="36"/>
    </row>
    <row r="398" spans="6:40" ht="15" customHeight="1" outlineLevel="1">
      <c r="F398" s="52"/>
      <c r="G398" s="51" t="s">
        <v>85</v>
      </c>
      <c r="H398" s="837"/>
      <c r="I398" s="837"/>
      <c r="J398" s="837"/>
      <c r="K398" s="837">
        <f ca="1">IFERROR(IF(INDIRECT("'"&amp;$H$3&amp;"'!K292")="Route-based",K403*K404,IF(INDIRECT("'"&amp;$H$3&amp;"'!K292")="Point-to-point",K408*K409,0)),0)</f>
        <v>0</v>
      </c>
      <c r="L398" s="837"/>
      <c r="M398" s="837"/>
      <c r="N398" s="837">
        <f ca="1">IFERROR(IF(INDIRECT("'"&amp;$H$3&amp;"'!N292")="Route-based",N403*N404,IF(INDIRECT("'"&amp;$H$3&amp;"'!N292")="Point-to-point",N408*N409,0)),0)</f>
        <v>0</v>
      </c>
      <c r="O398" s="837"/>
      <c r="P398" s="837"/>
      <c r="Q398" s="837">
        <f ca="1">IFERROR(IF(INDIRECT("'"&amp;$H$3&amp;"'!Q292")="Route-based",Q403*Q404,IF(INDIRECT("'"&amp;$H$3&amp;"'!Q292")="Point-to-point",Q408*Q409,0)),0)</f>
        <v>0</v>
      </c>
      <c r="R398" s="837"/>
      <c r="S398" s="837"/>
      <c r="T398" s="837">
        <f ca="1">IFERROR(IF(INDIRECT("'"&amp;$H$3&amp;"'!T292")="Route-based",T403*T404,IF(INDIRECT("'"&amp;$H$3&amp;"'!T292")="Point-to-point",T408*T409,0)),0)</f>
        <v>0</v>
      </c>
      <c r="U398" s="837"/>
      <c r="V398" s="837"/>
      <c r="W398" s="837">
        <f ca="1">IFERROR(IF(INDIRECT("'"&amp;$H$3&amp;"'!W292")="Route-based",W403*W404,IF(INDIRECT("'"&amp;$H$3&amp;"'!W292")="Point-to-point",W408*W409,0)),0)</f>
        <v>0</v>
      </c>
      <c r="X398" s="1468"/>
      <c r="Y398" s="36"/>
      <c r="Z398" s="36"/>
      <c r="AA398" s="36"/>
      <c r="AB398" s="36"/>
      <c r="AC398" s="36"/>
      <c r="AD398" s="36"/>
      <c r="AE398" s="36"/>
      <c r="AF398" s="36"/>
      <c r="AG398" s="36"/>
      <c r="AH398" s="36"/>
      <c r="AI398" s="36"/>
      <c r="AJ398" s="36"/>
      <c r="AK398" s="242"/>
      <c r="AL398" s="36"/>
      <c r="AM398" s="36"/>
      <c r="AN398" s="36"/>
    </row>
    <row r="399" spans="6:40" ht="15" customHeight="1" outlineLevel="1">
      <c r="F399" s="52"/>
      <c r="G399" s="51" t="s">
        <v>59</v>
      </c>
      <c r="H399" s="837"/>
      <c r="I399" s="837"/>
      <c r="J399" s="837"/>
      <c r="K399" s="837">
        <f ca="1">IFERROR(IF(INDIRECT("'"&amp;$H$3&amp;"'!K292")="Route-based",ROUND(K403*K405/INDIRECT("'"&amp;$H$3&amp;"'!$H$10"),0),IF(INDIRECT("'"&amp;$H$3&amp;"'!K292")="Point-to-point",ROUND(((K397*INDIRECT("'"&amp;$H$3&amp;"'!K$261")*((1/60)*(INDIRECT("'"&amp;$H$3&amp;"'!K297")+INDIRECT("'"&amp;$H$3&amp;"'!$H$19")*(INDIRECT("'"&amp;$H$3&amp;"'!K298")+(INDIRECT("'"&amp;$H$3&amp;"'!K299")*('2_Outputs'!K$52/INDIRECT("'"&amp;$H$3&amp;"'!K$261")/INDIRECT("'"&amp;$H$3&amp;"'!$H$19")))))))+(K398/INDIRECT("'"&amp;$H$3&amp;"'!K301")))/INDIRECT("'"&amp;$H$3&amp;"'!$H$10"),0),0)),0)</f>
        <v>0</v>
      </c>
      <c r="L399" s="837"/>
      <c r="M399" s="837"/>
      <c r="N399" s="837">
        <f ca="1">IFERROR(IF(INDIRECT("'"&amp;$H$3&amp;"'!N292")="Route-based",ROUND(N403*N405/INDIRECT("'"&amp;$H$3&amp;"'!$H$10"),0),IF(INDIRECT("'"&amp;$H$3&amp;"'!N292")="Point-to-point",ROUND(((N397*INDIRECT("'"&amp;$H$3&amp;"'!N$261")*((1/60)*(INDIRECT("'"&amp;$H$3&amp;"'!N297")+INDIRECT("'"&amp;$H$3&amp;"'!$H$19")*(INDIRECT("'"&amp;$H$3&amp;"'!N298")+(INDIRECT("'"&amp;$H$3&amp;"'!N299")*('2_Outputs'!N$52/INDIRECT("'"&amp;$H$3&amp;"'!N$261")/INDIRECT("'"&amp;$H$3&amp;"'!$H$19")))))))+(N398/INDIRECT("'"&amp;$H$3&amp;"'!N301")))/INDIRECT("'"&amp;$H$3&amp;"'!$H$10"),0),0)),0)</f>
        <v>0</v>
      </c>
      <c r="O399" s="837"/>
      <c r="P399" s="837"/>
      <c r="Q399" s="837">
        <f ca="1">IFERROR(IF(INDIRECT("'"&amp;$H$3&amp;"'!Q292")="Route-based",ROUND(Q403*Q405/INDIRECT("'"&amp;$H$3&amp;"'!$H$10"),0),IF(INDIRECT("'"&amp;$H$3&amp;"'!Q292")="Point-to-point",ROUND(((Q397*INDIRECT("'"&amp;$H$3&amp;"'!Q$261")*((1/60)*(INDIRECT("'"&amp;$H$3&amp;"'!Q297")+INDIRECT("'"&amp;$H$3&amp;"'!$H$19")*(INDIRECT("'"&amp;$H$3&amp;"'!Q298")+(INDIRECT("'"&amp;$H$3&amp;"'!Q299")*('2_Outputs'!Q$52/INDIRECT("'"&amp;$H$3&amp;"'!Q$261")/INDIRECT("'"&amp;$H$3&amp;"'!$H$19")))))))+(Q398/INDIRECT("'"&amp;$H$3&amp;"'!Q301")))/INDIRECT("'"&amp;$H$3&amp;"'!$H$10"),0),0)),0)</f>
        <v>0</v>
      </c>
      <c r="R399" s="837"/>
      <c r="S399" s="837"/>
      <c r="T399" s="837">
        <f ca="1">IFERROR(IF(INDIRECT("'"&amp;$H$3&amp;"'!T292")="Route-based",ROUND(T403*T405/INDIRECT("'"&amp;$H$3&amp;"'!$H$10"),0),IF(INDIRECT("'"&amp;$H$3&amp;"'!T292")="Point-to-point",ROUND(((T397*INDIRECT("'"&amp;$H$3&amp;"'!T$261")*((1/60)*(INDIRECT("'"&amp;$H$3&amp;"'!T297")+INDIRECT("'"&amp;$H$3&amp;"'!$H$19")*(INDIRECT("'"&amp;$H$3&amp;"'!T298")+(INDIRECT("'"&amp;$H$3&amp;"'!T299")*('2_Outputs'!T$52/INDIRECT("'"&amp;$H$3&amp;"'!T$261")/INDIRECT("'"&amp;$H$3&amp;"'!$H$19")))))))+(T398/INDIRECT("'"&amp;$H$3&amp;"'!T301")))/INDIRECT("'"&amp;$H$3&amp;"'!$H$10"),0),0)),0)</f>
        <v>0</v>
      </c>
      <c r="U399" s="837"/>
      <c r="V399" s="837"/>
      <c r="W399" s="837">
        <f ca="1">IFERROR(IF(INDIRECT("'"&amp;$H$3&amp;"'!W292")="Route-based",ROUND(W403*W405/INDIRECT("'"&amp;$H$3&amp;"'!$H$10"),0),IF(INDIRECT("'"&amp;$H$3&amp;"'!W292")="Point-to-point",ROUND(((W397*INDIRECT("'"&amp;$H$3&amp;"'!W$261")*((1/60)*(INDIRECT("'"&amp;$H$3&amp;"'!W297")+INDIRECT("'"&amp;$H$3&amp;"'!$H$19")*(INDIRECT("'"&amp;$H$3&amp;"'!W298")+(INDIRECT("'"&amp;$H$3&amp;"'!W299")*('2_Outputs'!W$52/INDIRECT("'"&amp;$H$3&amp;"'!W$261")/INDIRECT("'"&amp;$H$3&amp;"'!$H$19")))))))+(W398/INDIRECT("'"&amp;$H$3&amp;"'!W301")))/INDIRECT("'"&amp;$H$3&amp;"'!$H$10"),0),0)),0)</f>
        <v>0</v>
      </c>
      <c r="X399" s="1468"/>
      <c r="Y399" s="36"/>
      <c r="Z399" s="36"/>
      <c r="AA399" s="36"/>
      <c r="AB399" s="36"/>
      <c r="AC399" s="36"/>
      <c r="AD399" s="36"/>
      <c r="AE399" s="36"/>
      <c r="AF399" s="36"/>
      <c r="AG399" s="36"/>
      <c r="AH399" s="36"/>
      <c r="AI399" s="36"/>
      <c r="AJ399" s="36"/>
      <c r="AK399" s="242"/>
      <c r="AL399" s="36"/>
      <c r="AM399" s="36"/>
      <c r="AN399" s="36"/>
    </row>
    <row r="400" spans="6:40" ht="15" customHeight="1" outlineLevel="1">
      <c r="F400" s="52"/>
      <c r="G400" s="51" t="s">
        <v>86</v>
      </c>
      <c r="H400" s="839"/>
      <c r="I400" s="839"/>
      <c r="J400" s="839"/>
      <c r="K400" s="839">
        <f ca="1">IFERROR(IF(INDIRECT("'"&amp;$H$3&amp;"'!K292")="Route-based",IF(INDIRECT("'"&amp;$H$3&amp;"'!K289")="Yes",K211, IF(INDIRECT("'"&amp;$H$3&amp;"'!K289")="No",K399/(INDIRECT("'"&amp;$H$3&amp;"'!$H$9")*INDIRECT("'"&amp;$H$3&amp;"'!K288")))),
IF(INDIRECT("'"&amp;$H$3&amp;"'!K292")="Point-to-point",IF(INDIRECT("'"&amp;$H$3&amp;"'!K289")="Yes",K211,IF(INDIRECT("'"&amp;$H$3&amp;"'!K289")="No",K399/(INDIRECT("'"&amp;$H$3&amp;"'!$H$9")*INDIRECT("'"&amp;$H$3&amp;"'!K288")))),0)),0)</f>
        <v>0</v>
      </c>
      <c r="L400" s="839"/>
      <c r="M400" s="839"/>
      <c r="N400" s="839">
        <f ca="1">IFERROR(IF(INDIRECT("'"&amp;$H$3&amp;"'!N292")="Route-based",IF(INDIRECT("'"&amp;$H$3&amp;"'!N289")="Yes",N211, IF(INDIRECT("'"&amp;$H$3&amp;"'!N289")="No",N399/(INDIRECT("'"&amp;$H$3&amp;"'!$H$9")*INDIRECT("'"&amp;$H$3&amp;"'!N288")))),
IF(INDIRECT("'"&amp;$H$3&amp;"'!N292")="Point-to-point",IF(INDIRECT("'"&amp;$H$3&amp;"'!N289")="Yes",N211,IF(INDIRECT("'"&amp;$H$3&amp;"'!N289")="No",N399/(INDIRECT("'"&amp;$H$3&amp;"'!$H$9")*INDIRECT("'"&amp;$H$3&amp;"'!N288")))),0)),0)</f>
        <v>0</v>
      </c>
      <c r="O400" s="839"/>
      <c r="P400" s="839"/>
      <c r="Q400" s="839">
        <f ca="1">IFERROR(IF(INDIRECT("'"&amp;$H$3&amp;"'!Q292")="Route-based",IF(INDIRECT("'"&amp;$H$3&amp;"'!Q289")="Yes",Q211, IF(INDIRECT("'"&amp;$H$3&amp;"'!Q289")="No",Q399/(INDIRECT("'"&amp;$H$3&amp;"'!$H$9")*INDIRECT("'"&amp;$H$3&amp;"'!Q288")))),
IF(INDIRECT("'"&amp;$H$3&amp;"'!Q292")="Point-to-point",IF(INDIRECT("'"&amp;$H$3&amp;"'!Q289")="Yes",Q211,IF(INDIRECT("'"&amp;$H$3&amp;"'!Q289")="No",Q399/(INDIRECT("'"&amp;$H$3&amp;"'!$H$9")*INDIRECT("'"&amp;$H$3&amp;"'!Q288")))),0)),0)</f>
        <v>0</v>
      </c>
      <c r="R400" s="839"/>
      <c r="S400" s="839"/>
      <c r="T400" s="839">
        <f ca="1">IFERROR(IF(INDIRECT("'"&amp;$H$3&amp;"'!T292")="Route-based",IF(INDIRECT("'"&amp;$H$3&amp;"'!T289")="Yes",T211, IF(INDIRECT("'"&amp;$H$3&amp;"'!T289")="No",T399/(INDIRECT("'"&amp;$H$3&amp;"'!$H$9")*INDIRECT("'"&amp;$H$3&amp;"'!T288")))),
IF(INDIRECT("'"&amp;$H$3&amp;"'!T292")="Point-to-point",IF(INDIRECT("'"&amp;$H$3&amp;"'!T289")="Yes",T211,IF(INDIRECT("'"&amp;$H$3&amp;"'!T289")="No",T399/(INDIRECT("'"&amp;$H$3&amp;"'!$H$9")*INDIRECT("'"&amp;$H$3&amp;"'!T288")))),0)),0)</f>
        <v>0</v>
      </c>
      <c r="U400" s="839"/>
      <c r="V400" s="839"/>
      <c r="W400" s="839">
        <f ca="1">IFERROR(IF(INDIRECT("'"&amp;$H$3&amp;"'!W292")="Route-based",IF(INDIRECT("'"&amp;$H$3&amp;"'!W289")="Yes",W211, IF(INDIRECT("'"&amp;$H$3&amp;"'!W289")="No",W399/(INDIRECT("'"&amp;$H$3&amp;"'!$H$9")*INDIRECT("'"&amp;$H$3&amp;"'!W288")))),
IF(INDIRECT("'"&amp;$H$3&amp;"'!W292")="Point-to-point",IF(INDIRECT("'"&amp;$H$3&amp;"'!W289")="Yes",W211,IF(INDIRECT("'"&amp;$H$3&amp;"'!W289")="No",W399/(INDIRECT("'"&amp;$H$3&amp;"'!$H$9")*INDIRECT("'"&amp;$H$3&amp;"'!W288")))),0)),0)</f>
        <v>0</v>
      </c>
      <c r="X400" s="1470"/>
      <c r="Y400" s="36"/>
      <c r="Z400" s="36"/>
      <c r="AA400" s="36"/>
      <c r="AB400" s="36"/>
      <c r="AC400" s="36"/>
      <c r="AD400" s="36"/>
      <c r="AE400" s="36"/>
      <c r="AF400" s="36"/>
      <c r="AG400" s="36"/>
      <c r="AH400" s="36"/>
      <c r="AI400" s="36"/>
      <c r="AJ400" s="36"/>
      <c r="AK400" s="36" t="s">
        <v>191</v>
      </c>
      <c r="AL400" s="36"/>
      <c r="AM400" s="36"/>
      <c r="AN400" s="36"/>
    </row>
    <row r="401" spans="6:40" ht="15" customHeight="1" outlineLevel="1" collapsed="1">
      <c r="F401" s="52"/>
      <c r="G401" s="1613" t="s">
        <v>133</v>
      </c>
      <c r="H401" s="842"/>
      <c r="I401" s="842"/>
      <c r="J401" s="842"/>
      <c r="K401" s="842"/>
      <c r="L401" s="842"/>
      <c r="M401" s="842"/>
      <c r="N401" s="842"/>
      <c r="O401" s="842"/>
      <c r="P401" s="842"/>
      <c r="Q401" s="842"/>
      <c r="R401" s="1650"/>
      <c r="S401" s="1650"/>
      <c r="T401" s="842"/>
      <c r="U401" s="1650"/>
      <c r="V401" s="1650"/>
      <c r="W401" s="842"/>
      <c r="X401" s="1470"/>
      <c r="Y401" s="36"/>
      <c r="Z401" s="36"/>
      <c r="AA401" s="36"/>
      <c r="AB401" s="36"/>
      <c r="AC401" s="36"/>
      <c r="AD401" s="36"/>
      <c r="AE401" s="36"/>
      <c r="AF401" s="36"/>
      <c r="AG401" s="36"/>
      <c r="AH401" s="36"/>
      <c r="AI401" s="36"/>
      <c r="AJ401" s="36"/>
      <c r="AK401" s="36"/>
      <c r="AL401" s="36"/>
      <c r="AM401" s="36"/>
      <c r="AN401" s="36"/>
    </row>
    <row r="402" spans="6:40" ht="15" customHeight="1" outlineLevel="1">
      <c r="F402" s="52"/>
      <c r="G402" s="51" t="s">
        <v>129</v>
      </c>
      <c r="H402" s="836"/>
      <c r="I402" s="836"/>
      <c r="J402" s="836"/>
      <c r="K402" s="836">
        <f ca="1">IFERROR(((INDIRECT("'"&amp;$H$3&amp;"'!K293")*INDIRECT("'"&amp;$H$3&amp;"'!$H$10"))-(2*INDIRECT("'"&amp;$H$3&amp;"'!K$98")/INDIRECT("'"&amp;$H$3&amp;"'!K301"))+(INDIRECT("'"&amp;$H$3&amp;"'!K$99")/INDIRECT("'"&amp;$H$3&amp;"'!K300")))/(((1/60)*(INDIRECT("'"&amp;$H$3&amp;"'!K297")+INDIRECT("'"&amp;$H$3&amp;"'!$H$19")*(INDIRECT("'"&amp;$H$3&amp;"'!K298")+(INDIRECT("'"&amp;$H$3&amp;"'!K299")*('2_Outputs'!K$52/INDIRECT("'"&amp;$H$3&amp;"'!K$261")/INDIRECT("'"&amp;$H$3&amp;"'!$H$19"))))))+(INDIRECT("'"&amp;$H$3&amp;"'!K$99")/INDIRECT("'"&amp;$H$3&amp;"'!K300"))),0)</f>
        <v>0</v>
      </c>
      <c r="L402" s="836"/>
      <c r="M402" s="836"/>
      <c r="N402" s="836">
        <f ca="1">IFERROR(((INDIRECT("'"&amp;$H$3&amp;"'!N293")*INDIRECT("'"&amp;$H$3&amp;"'!$H$10"))-(2*INDIRECT("'"&amp;$H$3&amp;"'!N$98")/INDIRECT("'"&amp;$H$3&amp;"'!N301"))+(INDIRECT("'"&amp;$H$3&amp;"'!N$99")/INDIRECT("'"&amp;$H$3&amp;"'!N300")))/(((1/60)*(INDIRECT("'"&amp;$H$3&amp;"'!N297")+INDIRECT("'"&amp;$H$3&amp;"'!$H$19")*(INDIRECT("'"&amp;$H$3&amp;"'!N298")+(INDIRECT("'"&amp;$H$3&amp;"'!N299")*('2_Outputs'!N$52/INDIRECT("'"&amp;$H$3&amp;"'!N$261")/INDIRECT("'"&amp;$H$3&amp;"'!$H$19"))))))+(INDIRECT("'"&amp;$H$3&amp;"'!N$99")/INDIRECT("'"&amp;$H$3&amp;"'!N300"))),0)</f>
        <v>0</v>
      </c>
      <c r="O402" s="836"/>
      <c r="P402" s="836"/>
      <c r="Q402" s="836">
        <f ca="1">IFERROR(((INDIRECT("'"&amp;$H$3&amp;"'!Q293")*INDIRECT("'"&amp;$H$3&amp;"'!$H$10"))-(2*INDIRECT("'"&amp;$H$3&amp;"'!Q$98")/INDIRECT("'"&amp;$H$3&amp;"'!Q301"))+(INDIRECT("'"&amp;$H$3&amp;"'!Q$99")/INDIRECT("'"&amp;$H$3&amp;"'!Q300")))/(((1/60)*(INDIRECT("'"&amp;$H$3&amp;"'!Q297")+INDIRECT("'"&amp;$H$3&amp;"'!$H$19")*(INDIRECT("'"&amp;$H$3&amp;"'!Q298")+(INDIRECT("'"&amp;$H$3&amp;"'!Q299")*('2_Outputs'!Q$52/INDIRECT("'"&amp;$H$3&amp;"'!Q$261")/INDIRECT("'"&amp;$H$3&amp;"'!$H$19"))))))+(INDIRECT("'"&amp;$H$3&amp;"'!Q$99")/INDIRECT("'"&amp;$H$3&amp;"'!Q300"))),0)</f>
        <v>0</v>
      </c>
      <c r="R402" s="836"/>
      <c r="S402" s="836"/>
      <c r="T402" s="836">
        <f ca="1">IFERROR(((INDIRECT("'"&amp;$H$3&amp;"'!T293")*INDIRECT("'"&amp;$H$3&amp;"'!$H$10"))-(2*INDIRECT("'"&amp;$H$3&amp;"'!T$98")/INDIRECT("'"&amp;$H$3&amp;"'!T301"))+(INDIRECT("'"&amp;$H$3&amp;"'!T$99")/INDIRECT("'"&amp;$H$3&amp;"'!T300")))/(((1/60)*(INDIRECT("'"&amp;$H$3&amp;"'!T297")+INDIRECT("'"&amp;$H$3&amp;"'!$H$19")*(INDIRECT("'"&amp;$H$3&amp;"'!T298")+(INDIRECT("'"&amp;$H$3&amp;"'!T299")*('2_Outputs'!T$52/INDIRECT("'"&amp;$H$3&amp;"'!T$261")/INDIRECT("'"&amp;$H$3&amp;"'!$H$19"))))))+(INDIRECT("'"&amp;$H$3&amp;"'!T$99")/INDIRECT("'"&amp;$H$3&amp;"'!T300"))),0)</f>
        <v>0</v>
      </c>
      <c r="U402" s="836"/>
      <c r="V402" s="836"/>
      <c r="W402" s="836">
        <f ca="1">IFERROR(((INDIRECT("'"&amp;$H$3&amp;"'!W293")*INDIRECT("'"&amp;$H$3&amp;"'!$H$10"))-(2*INDIRECT("'"&amp;$H$3&amp;"'!W$98")/INDIRECT("'"&amp;$H$3&amp;"'!W301"))+(INDIRECT("'"&amp;$H$3&amp;"'!W$99")/INDIRECT("'"&amp;$H$3&amp;"'!W300")))/(((1/60)*(INDIRECT("'"&amp;$H$3&amp;"'!W297")+INDIRECT("'"&amp;$H$3&amp;"'!$H$19")*(INDIRECT("'"&amp;$H$3&amp;"'!W298")+(INDIRECT("'"&amp;$H$3&amp;"'!W299")*('2_Outputs'!W$52/INDIRECT("'"&amp;$H$3&amp;"'!W$261")/INDIRECT("'"&amp;$H$3&amp;"'!$H$19"))))))+(INDIRECT("'"&amp;$H$3&amp;"'!W$99")/INDIRECT("'"&amp;$H$3&amp;"'!W300"))),0)</f>
        <v>0</v>
      </c>
      <c r="X402" s="1469"/>
      <c r="Y402" s="36"/>
      <c r="Z402" s="36"/>
      <c r="AA402" s="36"/>
      <c r="AB402" s="36"/>
      <c r="AC402" s="36"/>
      <c r="AD402" s="36"/>
      <c r="AE402" s="36"/>
      <c r="AF402" s="36"/>
      <c r="AG402" s="36"/>
      <c r="AH402" s="36"/>
      <c r="AI402" s="36"/>
      <c r="AJ402" s="36"/>
      <c r="AK402" s="36"/>
      <c r="AL402" s="36"/>
      <c r="AM402" s="36"/>
      <c r="AN402" s="36"/>
    </row>
    <row r="403" spans="6:40" ht="15" customHeight="1" outlineLevel="1">
      <c r="F403" s="52"/>
      <c r="G403" s="51" t="s">
        <v>206</v>
      </c>
      <c r="H403" s="836"/>
      <c r="I403" s="836"/>
      <c r="J403" s="836"/>
      <c r="K403" s="836">
        <f ca="1">IFERROR(ROUND(K397*INDIRECT("'"&amp;$H$3&amp;"'!K$261")/K402,0),0)</f>
        <v>0</v>
      </c>
      <c r="L403" s="836"/>
      <c r="M403" s="836"/>
      <c r="N403" s="836">
        <f ca="1">IFERROR(ROUND(N397*INDIRECT("'"&amp;$H$3&amp;"'!N$261")/N402,0),0)</f>
        <v>0</v>
      </c>
      <c r="O403" s="836"/>
      <c r="P403" s="836"/>
      <c r="Q403" s="836">
        <f ca="1">IFERROR(ROUND(Q397*INDIRECT("'"&amp;$H$3&amp;"'!Q$261")/Q402,0),0)</f>
        <v>0</v>
      </c>
      <c r="R403" s="836"/>
      <c r="S403" s="836"/>
      <c r="T403" s="836">
        <f ca="1">IFERROR(ROUND(T397*INDIRECT("'"&amp;$H$3&amp;"'!T$261")/T402,0),0)</f>
        <v>0</v>
      </c>
      <c r="U403" s="836"/>
      <c r="V403" s="836"/>
      <c r="W403" s="836">
        <f ca="1">IFERROR(ROUND(W397*INDIRECT("'"&amp;$H$3&amp;"'!W$261")/W402,0),0)</f>
        <v>0</v>
      </c>
      <c r="X403" s="1469"/>
      <c r="Y403" s="36"/>
      <c r="Z403" s="36"/>
      <c r="AA403" s="36"/>
      <c r="AB403" s="36"/>
      <c r="AC403" s="36"/>
      <c r="AD403" s="36"/>
      <c r="AE403" s="36"/>
      <c r="AF403" s="36"/>
      <c r="AG403" s="36"/>
      <c r="AH403" s="36"/>
      <c r="AI403" s="36"/>
      <c r="AJ403" s="36"/>
      <c r="AK403" s="36"/>
      <c r="AL403" s="36"/>
      <c r="AM403" s="36"/>
      <c r="AN403" s="36"/>
    </row>
    <row r="404" spans="6:40" ht="15" customHeight="1" outlineLevel="1">
      <c r="F404" s="52"/>
      <c r="G404" s="51" t="s">
        <v>87</v>
      </c>
      <c r="H404" s="836"/>
      <c r="I404" s="836"/>
      <c r="J404" s="836"/>
      <c r="K404" s="836">
        <f ca="1">IFERROR(IF(K397=0,0,(2*INDIRECT("'"&amp;$H$3&amp;"'!K$98"))+((MAX(K402, 1)-1)*INDIRECT("'"&amp;$H$3&amp;"'!K$99"))),0)</f>
        <v>0</v>
      </c>
      <c r="L404" s="836"/>
      <c r="M404" s="836"/>
      <c r="N404" s="836">
        <f ca="1">IFERROR(IF(N397=0,0,(2*INDIRECT("'"&amp;$H$3&amp;"'!N$98"))+((MAX(N402, 1)-1)*INDIRECT("'"&amp;$H$3&amp;"'!N$99"))),0)</f>
        <v>0</v>
      </c>
      <c r="O404" s="836"/>
      <c r="P404" s="836"/>
      <c r="Q404" s="836">
        <f ca="1">IFERROR(IF(Q397=0,0,(2*INDIRECT("'"&amp;$H$3&amp;"'!Q$98"))+((MAX(Q402, 1)-1)*INDIRECT("'"&amp;$H$3&amp;"'!Q$99"))),0)</f>
        <v>0</v>
      </c>
      <c r="R404" s="836"/>
      <c r="S404" s="836"/>
      <c r="T404" s="836">
        <f ca="1">IFERROR(IF(T397=0,0,(2*INDIRECT("'"&amp;$H$3&amp;"'!T$98"))+((MAX(T402, 1)-1)*INDIRECT("'"&amp;$H$3&amp;"'!T$99"))),0)</f>
        <v>0</v>
      </c>
      <c r="U404" s="836"/>
      <c r="V404" s="836"/>
      <c r="W404" s="836">
        <f ca="1">IFERROR(IF(W397=0,0,(2*INDIRECT("'"&amp;$H$3&amp;"'!W$98"))+((MAX(W402, 1)-1)*INDIRECT("'"&amp;$H$3&amp;"'!W$99"))),0)</f>
        <v>0</v>
      </c>
      <c r="X404" s="1469"/>
      <c r="Y404" s="36"/>
      <c r="Z404" s="36"/>
      <c r="AA404" s="36"/>
      <c r="AB404" s="36"/>
      <c r="AC404" s="36"/>
      <c r="AD404" s="36"/>
      <c r="AE404" s="36"/>
      <c r="AF404" s="36"/>
      <c r="AG404" s="36"/>
      <c r="AH404" s="36"/>
      <c r="AI404" s="36"/>
      <c r="AJ404" s="36"/>
      <c r="AK404" s="36"/>
      <c r="AL404" s="36"/>
      <c r="AM404" s="36"/>
      <c r="AN404" s="36"/>
    </row>
    <row r="405" spans="6:40" ht="15" customHeight="1" outlineLevel="1">
      <c r="F405" s="52"/>
      <c r="G405" s="51" t="s">
        <v>203</v>
      </c>
      <c r="H405" s="836"/>
      <c r="I405" s="836"/>
      <c r="J405" s="836"/>
      <c r="K405" s="836">
        <f ca="1">IFERROR((ROUNDUP(K402,1)*((1/60)*(INDIRECT("'"&amp;$H$3&amp;"'!K297")+INDIRECT("'"&amp;$H$3&amp;"'!$H$19")*(INDIRECT("'"&amp;$H$3&amp;"'!K298")+(INDIRECT("'"&amp;$H$3&amp;"'!K299")*('2_Outputs'!K$52/INDIRECT("'"&amp;$H$3&amp;"'!K$261")/INDIRECT("'"&amp;$H$3&amp;"'!$H$19")))))))+((2*INDIRECT("'"&amp;$H$3&amp;"'!K$98"))/INDIRECT("'"&amp;$H$3&amp;"'!K301"))+(((MAX(K402,1)-1)*INDIRECT("'"&amp;$H$3&amp;"'!K$99"))/INDIRECT("'"&amp;$H$3&amp;"'!K300")),0)</f>
        <v>0</v>
      </c>
      <c r="L405" s="836"/>
      <c r="M405" s="836"/>
      <c r="N405" s="836">
        <f ca="1">IFERROR((ROUNDUP(N402,1)*((1/60)*(INDIRECT("'"&amp;$H$3&amp;"'!N297")+INDIRECT("'"&amp;$H$3&amp;"'!$H$19")*(INDIRECT("'"&amp;$H$3&amp;"'!N298")+(INDIRECT("'"&amp;$H$3&amp;"'!N299")*('2_Outputs'!N$52/INDIRECT("'"&amp;$H$3&amp;"'!N$261")/INDIRECT("'"&amp;$H$3&amp;"'!$H$19")))))))+((2*INDIRECT("'"&amp;$H$3&amp;"'!N$98"))/INDIRECT("'"&amp;$H$3&amp;"'!N301"))+(((MAX(N402,1)-1)*INDIRECT("'"&amp;$H$3&amp;"'!N$99"))/INDIRECT("'"&amp;$H$3&amp;"'!N300")),0)</f>
        <v>0</v>
      </c>
      <c r="O405" s="836"/>
      <c r="P405" s="836"/>
      <c r="Q405" s="836">
        <f ca="1">IFERROR((ROUNDUP(Q402,1)*((1/60)*(INDIRECT("'"&amp;$H$3&amp;"'!Q297")+INDIRECT("'"&amp;$H$3&amp;"'!$H$19")*(INDIRECT("'"&amp;$H$3&amp;"'!Q298")+(INDIRECT("'"&amp;$H$3&amp;"'!Q299")*('2_Outputs'!Q$52/INDIRECT("'"&amp;$H$3&amp;"'!Q$261")/INDIRECT("'"&amp;$H$3&amp;"'!$H$19")))))))+((2*INDIRECT("'"&amp;$H$3&amp;"'!Q$98"))/INDIRECT("'"&amp;$H$3&amp;"'!Q301"))+(((MAX(Q402,1)-1)*INDIRECT("'"&amp;$H$3&amp;"'!Q$99"))/INDIRECT("'"&amp;$H$3&amp;"'!Q300")),0)</f>
        <v>0</v>
      </c>
      <c r="R405" s="836"/>
      <c r="S405" s="836"/>
      <c r="T405" s="836">
        <f ca="1">IFERROR((ROUNDUP(T402,1)*((1/60)*(INDIRECT("'"&amp;$H$3&amp;"'!T297")+INDIRECT("'"&amp;$H$3&amp;"'!$H$19")*(INDIRECT("'"&amp;$H$3&amp;"'!T298")+(INDIRECT("'"&amp;$H$3&amp;"'!T299")*('2_Outputs'!T$52/INDIRECT("'"&amp;$H$3&amp;"'!T$261")/INDIRECT("'"&amp;$H$3&amp;"'!$H$19")))))))+((2*INDIRECT("'"&amp;$H$3&amp;"'!T$98"))/INDIRECT("'"&amp;$H$3&amp;"'!T301"))+(((MAX(T402,1)-1)*INDIRECT("'"&amp;$H$3&amp;"'!T$99"))/INDIRECT("'"&amp;$H$3&amp;"'!T300")),0)</f>
        <v>0</v>
      </c>
      <c r="U405" s="836"/>
      <c r="V405" s="836"/>
      <c r="W405" s="836">
        <f ca="1">IFERROR((ROUNDUP(W402,1)*((1/60)*(INDIRECT("'"&amp;$H$3&amp;"'!W297")+INDIRECT("'"&amp;$H$3&amp;"'!$H$19")*(INDIRECT("'"&amp;$H$3&amp;"'!W298")+(INDIRECT("'"&amp;$H$3&amp;"'!W299")*('2_Outputs'!W$52/INDIRECT("'"&amp;$H$3&amp;"'!W$261")/INDIRECT("'"&amp;$H$3&amp;"'!$H$19")))))))+((2*INDIRECT("'"&amp;$H$3&amp;"'!W$98"))/INDIRECT("'"&amp;$H$3&amp;"'!W301"))+(((MAX(W402,1)-1)*INDIRECT("'"&amp;$H$3&amp;"'!W$99"))/INDIRECT("'"&amp;$H$3&amp;"'!W300")),0)</f>
        <v>0</v>
      </c>
      <c r="X405" s="1465"/>
      <c r="Y405" s="36"/>
      <c r="Z405" s="36"/>
      <c r="AA405" s="36"/>
      <c r="AB405" s="36"/>
      <c r="AC405" s="36"/>
      <c r="AD405" s="36"/>
      <c r="AE405" s="36"/>
      <c r="AF405" s="36"/>
      <c r="AG405" s="36"/>
      <c r="AH405" s="36"/>
      <c r="AI405" s="36"/>
      <c r="AJ405" s="36"/>
      <c r="AK405" s="36"/>
      <c r="AL405" s="36"/>
      <c r="AM405" s="36"/>
      <c r="AN405" s="36"/>
    </row>
    <row r="406" spans="6:40" ht="15" customHeight="1" outlineLevel="1">
      <c r="F406" s="52"/>
      <c r="G406" s="51" t="s">
        <v>204</v>
      </c>
      <c r="H406" s="836"/>
      <c r="I406" s="836"/>
      <c r="J406" s="836"/>
      <c r="K406" s="836">
        <f ca="1">IFERROR((INDIRECT("'"&amp;$H$3&amp;"'!$H$10")*INDIRECT("'"&amp;$H$3&amp;"'!$H$9")*INDIRECT("'"&amp;$H$3&amp;"'!K288"))/K405,0)</f>
        <v>0</v>
      </c>
      <c r="L406" s="836"/>
      <c r="M406" s="836"/>
      <c r="N406" s="836">
        <f ca="1">IFERROR((INDIRECT("'"&amp;$H$3&amp;"'!$H$10")*INDIRECT("'"&amp;$H$3&amp;"'!$H$9")*INDIRECT("'"&amp;$H$3&amp;"'!N288"))/N405,0)</f>
        <v>0</v>
      </c>
      <c r="O406" s="836"/>
      <c r="P406" s="836"/>
      <c r="Q406" s="836">
        <f ca="1">IFERROR((INDIRECT("'"&amp;$H$3&amp;"'!$H$10")*INDIRECT("'"&amp;$H$3&amp;"'!$H$9")*INDIRECT("'"&amp;$H$3&amp;"'!Q288"))/Q405,0)</f>
        <v>0</v>
      </c>
      <c r="R406" s="836"/>
      <c r="S406" s="836"/>
      <c r="T406" s="836">
        <f ca="1">IFERROR((INDIRECT("'"&amp;$H$3&amp;"'!$H$10")*INDIRECT("'"&amp;$H$3&amp;"'!$H$9")*INDIRECT("'"&amp;$H$3&amp;"'!T288"))/T405,0)</f>
        <v>0</v>
      </c>
      <c r="U406" s="836"/>
      <c r="V406" s="836"/>
      <c r="W406" s="836">
        <f ca="1">IFERROR((INDIRECT("'"&amp;$H$3&amp;"'!$H$10")*INDIRECT("'"&amp;$H$3&amp;"'!$H$9")*INDIRECT("'"&amp;$H$3&amp;"'!W288"))/W405,0)</f>
        <v>0</v>
      </c>
      <c r="X406" s="1465"/>
      <c r="Y406" s="36"/>
      <c r="Z406" s="36"/>
      <c r="AA406" s="36"/>
      <c r="AB406" s="36"/>
      <c r="AC406" s="36"/>
      <c r="AD406" s="36"/>
      <c r="AE406" s="36"/>
      <c r="AF406" s="36"/>
      <c r="AG406" s="36"/>
      <c r="AH406" s="36"/>
      <c r="AI406" s="36"/>
      <c r="AJ406" s="36"/>
      <c r="AK406" s="242"/>
      <c r="AL406" s="36"/>
      <c r="AM406" s="36"/>
      <c r="AN406" s="36"/>
    </row>
    <row r="407" spans="6:40" ht="15" customHeight="1" outlineLevel="1">
      <c r="F407" s="52"/>
      <c r="G407" s="1613" t="s">
        <v>134</v>
      </c>
      <c r="H407" s="842"/>
      <c r="I407" s="842"/>
      <c r="J407" s="842"/>
      <c r="K407" s="842"/>
      <c r="L407" s="842"/>
      <c r="M407" s="842"/>
      <c r="N407" s="842"/>
      <c r="O407" s="842"/>
      <c r="P407" s="842"/>
      <c r="Q407" s="842"/>
      <c r="R407" s="1650"/>
      <c r="S407" s="1650"/>
      <c r="T407" s="842"/>
      <c r="U407" s="1650"/>
      <c r="V407" s="1650"/>
      <c r="W407" s="842"/>
      <c r="X407" s="1470"/>
      <c r="Y407" s="36"/>
      <c r="Z407" s="36"/>
      <c r="AA407" s="36"/>
      <c r="AB407" s="36"/>
      <c r="AC407" s="36"/>
      <c r="AD407" s="36"/>
      <c r="AE407" s="36"/>
      <c r="AF407" s="36"/>
      <c r="AG407" s="36"/>
      <c r="AH407" s="36"/>
      <c r="AI407" s="36"/>
      <c r="AJ407" s="36"/>
      <c r="AK407" s="242"/>
      <c r="AL407" s="36"/>
      <c r="AM407" s="36"/>
      <c r="AN407" s="36"/>
    </row>
    <row r="408" spans="6:40" ht="15" customHeight="1" outlineLevel="1">
      <c r="F408" s="52"/>
      <c r="G408" s="51" t="s">
        <v>206</v>
      </c>
      <c r="H408" s="836"/>
      <c r="I408" s="836"/>
      <c r="J408" s="836"/>
      <c r="K408" s="836">
        <f ca="1">IFERROR(K397*INDIRECT("'"&amp;$H$3&amp;"'!K$261"),0)</f>
        <v>0</v>
      </c>
      <c r="L408" s="836"/>
      <c r="M408" s="836"/>
      <c r="N408" s="836">
        <f ca="1">IFERROR(N397*INDIRECT("'"&amp;$H$3&amp;"'!N$261"),0)</f>
        <v>0</v>
      </c>
      <c r="O408" s="836"/>
      <c r="P408" s="836"/>
      <c r="Q408" s="836">
        <f ca="1">IFERROR(Q397*INDIRECT("'"&amp;$H$3&amp;"'!Q$261"),0)</f>
        <v>0</v>
      </c>
      <c r="R408" s="836"/>
      <c r="S408" s="836"/>
      <c r="T408" s="836">
        <f ca="1">IFERROR(T397*INDIRECT("'"&amp;$H$3&amp;"'!T$261"),0)</f>
        <v>0</v>
      </c>
      <c r="U408" s="836"/>
      <c r="V408" s="836"/>
      <c r="W408" s="836">
        <f ca="1">IFERROR(W397*INDIRECT("'"&amp;$H$3&amp;"'!W$261"),0)</f>
        <v>0</v>
      </c>
      <c r="X408" s="1469"/>
      <c r="Y408" s="36"/>
      <c r="Z408" s="36"/>
      <c r="AA408" s="36"/>
      <c r="AB408" s="36" t="s">
        <v>192</v>
      </c>
      <c r="AC408" s="36"/>
      <c r="AD408" s="36" t="s">
        <v>193</v>
      </c>
      <c r="AE408" s="36"/>
      <c r="AF408" s="36"/>
      <c r="AG408" s="36"/>
      <c r="AH408" s="36"/>
      <c r="AI408" s="36"/>
      <c r="AJ408" s="36"/>
      <c r="AK408" s="36"/>
      <c r="AL408" s="36"/>
      <c r="AM408" s="36"/>
      <c r="AN408" s="36"/>
    </row>
    <row r="409" spans="6:40" ht="15" customHeight="1" outlineLevel="1">
      <c r="F409" s="52"/>
      <c r="G409" s="51" t="s">
        <v>87</v>
      </c>
      <c r="H409" s="836"/>
      <c r="I409" s="836"/>
      <c r="J409" s="836"/>
      <c r="K409" s="836">
        <f ca="1">IFERROR(IF(K397=0,0,2*INDIRECT("'"&amp;$H$3&amp;"'!K$98")),0)</f>
        <v>0</v>
      </c>
      <c r="L409" s="836"/>
      <c r="M409" s="836"/>
      <c r="N409" s="836">
        <f ca="1">IFERROR(IF(N397=0,0,2*INDIRECT("'"&amp;$H$3&amp;"'!N$98")),0)</f>
        <v>0</v>
      </c>
      <c r="O409" s="836"/>
      <c r="P409" s="836"/>
      <c r="Q409" s="836">
        <f ca="1">IFERROR(IF(Q397=0,0,2*INDIRECT("'"&amp;$H$3&amp;"'!Q$98")),0)</f>
        <v>0</v>
      </c>
      <c r="R409" s="836"/>
      <c r="S409" s="836"/>
      <c r="T409" s="836">
        <f ca="1">IFERROR(IF(T397=0,0,2*INDIRECT("'"&amp;$H$3&amp;"'!T$98")),0)</f>
        <v>0</v>
      </c>
      <c r="U409" s="836"/>
      <c r="V409" s="836"/>
      <c r="W409" s="836">
        <f ca="1">IFERROR(IF(W397=0,0,2*INDIRECT("'"&amp;$H$3&amp;"'!W$98")),0)</f>
        <v>0</v>
      </c>
      <c r="X409" s="1469"/>
      <c r="Y409" s="36"/>
      <c r="Z409" s="36"/>
      <c r="AA409" s="36"/>
      <c r="AB409" s="36" t="s">
        <v>194</v>
      </c>
      <c r="AC409" s="36"/>
      <c r="AD409" s="36" t="s">
        <v>195</v>
      </c>
      <c r="AE409" s="36"/>
      <c r="AF409" s="36"/>
      <c r="AG409" s="36"/>
      <c r="AH409" s="36"/>
      <c r="AI409" s="36"/>
      <c r="AJ409" s="36"/>
      <c r="AK409" s="36"/>
      <c r="AL409" s="36"/>
      <c r="AM409" s="36"/>
      <c r="AN409" s="36"/>
    </row>
    <row r="410" spans="6:40" ht="15" customHeight="1" outlineLevel="1">
      <c r="F410" s="52"/>
      <c r="G410" s="51" t="s">
        <v>204</v>
      </c>
      <c r="H410" s="837"/>
      <c r="I410" s="837"/>
      <c r="J410" s="837"/>
      <c r="K410" s="837">
        <f ca="1">IFERROR((INDIRECT("'"&amp;$H$3&amp;"'!$H$10")*INDIRECT("'"&amp;$H$3&amp;"'!$H$9")*INDIRECT("'"&amp;$H$3&amp;"'!K288"))/((K409/INDIRECT("'"&amp;$H$3&amp;"'!K301"))+((1/60)*(INDIRECT("'"&amp;$H$3&amp;"'!K297")+INDIRECT("'"&amp;$H$3&amp;"'!$H$19")*(INDIRECT("'"&amp;$H$3&amp;"'!K298")+(INDIRECT("'"&amp;$H$3&amp;"'!K299")*('2_Outputs'!K$52/INDIRECT("'"&amp;$H$3&amp;"'!K$261")/INDIRECT("'"&amp;$H$3&amp;"'!$H$19"))))))),0)</f>
        <v>0</v>
      </c>
      <c r="L410" s="837"/>
      <c r="M410" s="837"/>
      <c r="N410" s="837">
        <f ca="1">IFERROR((INDIRECT("'"&amp;$H$3&amp;"'!$H$10")*INDIRECT("'"&amp;$H$3&amp;"'!$H$9")*INDIRECT("'"&amp;$H$3&amp;"'!N288"))/((N409/INDIRECT("'"&amp;$H$3&amp;"'!N301"))+((1/60)*(INDIRECT("'"&amp;$H$3&amp;"'!N297")+INDIRECT("'"&amp;$H$3&amp;"'!$H$19")*(INDIRECT("'"&amp;$H$3&amp;"'!N298")+(INDIRECT("'"&amp;$H$3&amp;"'!N299")*('2_Outputs'!N$52/INDIRECT("'"&amp;$H$3&amp;"'!N$261")/INDIRECT("'"&amp;$H$3&amp;"'!$H$19"))))))),0)</f>
        <v>0</v>
      </c>
      <c r="O410" s="837"/>
      <c r="P410" s="837"/>
      <c r="Q410" s="837">
        <f ca="1">IFERROR((INDIRECT("'"&amp;$H$3&amp;"'!$H$10")*INDIRECT("'"&amp;$H$3&amp;"'!$H$9")*INDIRECT("'"&amp;$H$3&amp;"'!Q288"))/((Q409/INDIRECT("'"&amp;$H$3&amp;"'!Q301"))+((1/60)*(INDIRECT("'"&amp;$H$3&amp;"'!Q297")+INDIRECT("'"&amp;$H$3&amp;"'!$H$19")*(INDIRECT("'"&amp;$H$3&amp;"'!Q298")+(INDIRECT("'"&amp;$H$3&amp;"'!Q299")*('2_Outputs'!Q$52/INDIRECT("'"&amp;$H$3&amp;"'!Q$261")/INDIRECT("'"&amp;$H$3&amp;"'!$H$19"))))))),0)</f>
        <v>0</v>
      </c>
      <c r="R410" s="837"/>
      <c r="S410" s="837"/>
      <c r="T410" s="837">
        <f ca="1">IFERROR((INDIRECT("'"&amp;$H$3&amp;"'!$H$10")*INDIRECT("'"&amp;$H$3&amp;"'!$H$9")*INDIRECT("'"&amp;$H$3&amp;"'!T288"))/((T409/INDIRECT("'"&amp;$H$3&amp;"'!T301"))+((1/60)*(INDIRECT("'"&amp;$H$3&amp;"'!T297")+INDIRECT("'"&amp;$H$3&amp;"'!$H$19")*(INDIRECT("'"&amp;$H$3&amp;"'!T298")+(INDIRECT("'"&amp;$H$3&amp;"'!T299")*('2_Outputs'!T$52/INDIRECT("'"&amp;$H$3&amp;"'!T$261")/INDIRECT("'"&amp;$H$3&amp;"'!$H$19"))))))),0)</f>
        <v>0</v>
      </c>
      <c r="U410" s="837"/>
      <c r="V410" s="837"/>
      <c r="W410" s="837">
        <f ca="1">IFERROR((INDIRECT("'"&amp;$H$3&amp;"'!$H$10")*INDIRECT("'"&amp;$H$3&amp;"'!$H$9")*INDIRECT("'"&amp;$H$3&amp;"'!W288"))/((W409/INDIRECT("'"&amp;$H$3&amp;"'!W301"))+((1/60)*(INDIRECT("'"&amp;$H$3&amp;"'!W297")+INDIRECT("'"&amp;$H$3&amp;"'!$H$19")*(INDIRECT("'"&amp;$H$3&amp;"'!W298")+(INDIRECT("'"&amp;$H$3&amp;"'!W299")*('2_Outputs'!W$52/INDIRECT("'"&amp;$H$3&amp;"'!W$261")/INDIRECT("'"&amp;$H$3&amp;"'!$H$19"))))))),0)</f>
        <v>0</v>
      </c>
      <c r="X410" s="1468"/>
      <c r="Y410" s="36"/>
      <c r="Z410" s="36"/>
      <c r="AA410" s="36"/>
      <c r="AB410" s="36" t="s">
        <v>196</v>
      </c>
      <c r="AC410" s="36"/>
      <c r="AD410" s="36" t="s">
        <v>197</v>
      </c>
      <c r="AE410" s="36"/>
      <c r="AF410" s="36"/>
      <c r="AG410" s="36"/>
      <c r="AH410" s="36"/>
      <c r="AI410" s="36"/>
      <c r="AJ410" s="36"/>
      <c r="AK410" s="36"/>
      <c r="AL410" s="36"/>
      <c r="AM410" s="36"/>
      <c r="AN410" s="36"/>
    </row>
    <row r="411" spans="6:40" ht="48" customHeight="1">
      <c r="F411" s="1678" t="s">
        <v>214</v>
      </c>
      <c r="G411" s="1679"/>
      <c r="H411" s="1684"/>
      <c r="I411" s="1684"/>
      <c r="J411" s="1684"/>
      <c r="K411" s="1509" t="str">
        <f ca="1">IF($H$9&gt;=2,INDIRECT("'"&amp;$H$3&amp;"'!J$130"),"")</f>
        <v>CMS  to  Regional WH</v>
      </c>
      <c r="L411" s="1509" t="str">
        <f t="shared" ref="L411:V411" ca="1" si="23">IF($H$9&gt;=1,"Tier 1","")</f>
        <v>Tier 1</v>
      </c>
      <c r="M411" s="1509" t="str">
        <f t="shared" ca="1" si="23"/>
        <v>Tier 1</v>
      </c>
      <c r="N411" s="1509" t="str">
        <f ca="1">IF($H$9&gt;=3,INDIRECT("'"&amp;$H$3&amp;"'!M$130"),"")</f>
        <v>Regional WH  to  Health Facility</v>
      </c>
      <c r="O411" s="1509" t="str">
        <f t="shared" ca="1" si="23"/>
        <v>Tier 1</v>
      </c>
      <c r="P411" s="1509" t="str">
        <f t="shared" ca="1" si="23"/>
        <v>Tier 1</v>
      </c>
      <c r="Q411" s="1510" t="str">
        <f ca="1">IF($H$9&gt;=4,INDIRECT("'"&amp;$H$3&amp;"'!P$130"),"")</f>
        <v/>
      </c>
      <c r="R411" s="1511" t="str">
        <f t="shared" ca="1" si="23"/>
        <v>Tier 1</v>
      </c>
      <c r="S411" s="1511" t="str">
        <f t="shared" ca="1" si="23"/>
        <v>Tier 1</v>
      </c>
      <c r="T411" s="1510" t="str">
        <f ca="1">IF($H$9&gt;=5,INDIRECT("'"&amp;$H$3&amp;"'!S$130"),"")</f>
        <v/>
      </c>
      <c r="U411" s="1512" t="str">
        <f t="shared" ca="1" si="23"/>
        <v>Tier 1</v>
      </c>
      <c r="V411" s="1512" t="str">
        <f t="shared" ca="1" si="23"/>
        <v>Tier 1</v>
      </c>
      <c r="W411" s="1510" t="str">
        <f ca="1">IF($H$9&gt;=6,INDIRECT("'"&amp;$H$3&amp;"'!V$130"),"")</f>
        <v/>
      </c>
      <c r="X411" s="1474"/>
      <c r="Y411" s="36"/>
      <c r="Z411" s="36"/>
      <c r="AA411" s="36"/>
      <c r="AB411" s="36"/>
      <c r="AC411" s="36"/>
      <c r="AD411" s="36"/>
      <c r="AE411" s="36"/>
      <c r="AF411" s="36"/>
      <c r="AG411" s="36"/>
      <c r="AH411" s="36"/>
      <c r="AI411" s="36"/>
      <c r="AJ411" s="36"/>
      <c r="AK411" s="36"/>
      <c r="AL411" s="36"/>
      <c r="AM411" s="36"/>
      <c r="AN411" s="36"/>
    </row>
    <row r="412" spans="6:40" ht="15" customHeight="1" outlineLevel="1">
      <c r="F412" s="77" t="s">
        <v>149</v>
      </c>
      <c r="G412" s="77"/>
      <c r="H412" s="877"/>
      <c r="I412" s="877"/>
      <c r="J412" s="877"/>
      <c r="K412" s="877"/>
      <c r="L412" s="877"/>
      <c r="M412" s="877"/>
      <c r="N412" s="877"/>
      <c r="O412" s="878"/>
      <c r="P412" s="878"/>
      <c r="Q412" s="879"/>
      <c r="R412" s="835"/>
      <c r="S412" s="835"/>
      <c r="T412" s="879"/>
      <c r="U412" s="835"/>
      <c r="V412" s="835"/>
      <c r="W412" s="879"/>
      <c r="X412" s="1479"/>
      <c r="Y412" s="36"/>
      <c r="Z412" s="36"/>
      <c r="AA412" s="36"/>
      <c r="AB412" s="36"/>
      <c r="AC412" s="36"/>
      <c r="AD412" s="36"/>
      <c r="AE412" s="36"/>
      <c r="AF412" s="36"/>
      <c r="AG412" s="36"/>
      <c r="AH412" s="36"/>
      <c r="AI412" s="36"/>
      <c r="AJ412" s="36"/>
      <c r="AK412" s="242"/>
      <c r="AL412" s="36"/>
      <c r="AM412" s="36"/>
      <c r="AN412" s="36"/>
    </row>
    <row r="413" spans="6:40" ht="15" customHeight="1" outlineLevel="1">
      <c r="G413" s="6" t="s">
        <v>146</v>
      </c>
      <c r="H413" s="837"/>
      <c r="I413" s="837"/>
      <c r="J413" s="837"/>
      <c r="K413" s="837">
        <f ca="1">IFERROR(IF(COUNTIF(INDIRECT("'"&amp;$H$3&amp;"'!K304"),"Public Transport*")=1,IF(INDIRECT("'"&amp;$H$3&amp;"'!K312")="Route-based",K420*INDIRECT("'"&amp;$H$3&amp;"'!K$261"),IF(INDIRECT("'"&amp;$H$3&amp;"'!K312")="Point-to-point",K423*INDIRECT("'"&amp;$H$3&amp;"'!K$261"),0)),0),0)</f>
        <v>0</v>
      </c>
      <c r="L413" s="837"/>
      <c r="M413" s="837"/>
      <c r="N413" s="837">
        <f ca="1">IFERROR(IF(COUNTIF(INDIRECT("'"&amp;$H$3&amp;"'!N304"),"Public Transport*")=1,IF(INDIRECT("'"&amp;$H$3&amp;"'!N312")="Route-based",N420*INDIRECT("'"&amp;$H$3&amp;"'!N$261"),IF(INDIRECT("'"&amp;$H$3&amp;"'!N312")="Point-to-point",N423*INDIRECT("'"&amp;$H$3&amp;"'!N$261"),0)),0),0)</f>
        <v>0</v>
      </c>
      <c r="O413" s="837"/>
      <c r="P413" s="837"/>
      <c r="Q413" s="837">
        <f ca="1">IFERROR(IF(COUNTIF(INDIRECT("'"&amp;$H$3&amp;"'!Q304"),"Public Transport*")=1,IF(INDIRECT("'"&amp;$H$3&amp;"'!Q312")="Route-based",Q420*INDIRECT("'"&amp;$H$3&amp;"'!Q$261"),IF(INDIRECT("'"&amp;$H$3&amp;"'!Q312")="Point-to-point",Q423*INDIRECT("'"&amp;$H$3&amp;"'!Q$261"),0)),0),0)</f>
        <v>0</v>
      </c>
      <c r="R413" s="837"/>
      <c r="S413" s="837"/>
      <c r="T413" s="837">
        <f ca="1">IFERROR(IF(COUNTIF(INDIRECT("'"&amp;$H$3&amp;"'!T304"),"Public Transport*")=1,IF(INDIRECT("'"&amp;$H$3&amp;"'!T312")="Route-based",T420*INDIRECT("'"&amp;$H$3&amp;"'!T$261"),IF(INDIRECT("'"&amp;$H$3&amp;"'!T312")="Point-to-point",T423*INDIRECT("'"&amp;$H$3&amp;"'!T$261"),0)),0),0)</f>
        <v>0</v>
      </c>
      <c r="U413" s="837"/>
      <c r="V413" s="837"/>
      <c r="W413" s="837">
        <f ca="1">IFERROR(IF(COUNTIF(INDIRECT("'"&amp;$H$3&amp;"'!W304"),"Public Transport*")=1,IF(INDIRECT("'"&amp;$H$3&amp;"'!W312")="Route-based",W420*INDIRECT("'"&amp;$H$3&amp;"'!W$261"),IF(INDIRECT("'"&amp;$H$3&amp;"'!W312")="Point-to-point",W423*INDIRECT("'"&amp;$H$3&amp;"'!W$261"),0)),0),0)</f>
        <v>0</v>
      </c>
      <c r="X413" s="1468"/>
      <c r="Y413" s="36"/>
      <c r="Z413" s="36"/>
      <c r="AA413" s="36"/>
      <c r="AB413" s="36"/>
      <c r="AC413" s="36"/>
      <c r="AD413" s="36"/>
      <c r="AE413" s="36"/>
      <c r="AF413" s="36"/>
      <c r="AG413" s="36"/>
      <c r="AH413" s="36"/>
      <c r="AI413" s="36"/>
      <c r="AJ413" s="36"/>
      <c r="AK413" s="242"/>
      <c r="AL413" s="36"/>
      <c r="AM413" s="36"/>
      <c r="AN413" s="36"/>
    </row>
    <row r="414" spans="6:40" ht="15" customHeight="1" outlineLevel="1">
      <c r="G414" s="6" t="s">
        <v>147</v>
      </c>
      <c r="H414" s="837"/>
      <c r="I414" s="837"/>
      <c r="J414" s="837"/>
      <c r="K414" s="837">
        <f ca="1">IFERROR(IF(INDIRECT("'"&amp;$H$3&amp;"'!K312")="Route-based",K421*INDIRECT("'"&amp;$H$3&amp;"'!K$261"),IF(INDIRECT("'"&amp;$H$3&amp;"'!K312")="Point-to-point",K424*INDIRECT("'"&amp;$H$3&amp;"'!K$261"),0)),0)</f>
        <v>0</v>
      </c>
      <c r="L414" s="837"/>
      <c r="M414" s="837"/>
      <c r="N414" s="837">
        <f ca="1">IFERROR(IF(INDIRECT("'"&amp;$H$3&amp;"'!N312")="Route-based",N421*INDIRECT("'"&amp;$H$3&amp;"'!N$261"),IF(INDIRECT("'"&amp;$H$3&amp;"'!N312")="Point-to-point",N424*INDIRECT("'"&amp;$H$3&amp;"'!N$261"),0)),0)</f>
        <v>0</v>
      </c>
      <c r="O414" s="837"/>
      <c r="P414" s="837"/>
      <c r="Q414" s="837">
        <f ca="1">IFERROR(IF(INDIRECT("'"&amp;$H$3&amp;"'!Q312")="Route-based",Q421*INDIRECT("'"&amp;$H$3&amp;"'!Q$261"),IF(INDIRECT("'"&amp;$H$3&amp;"'!Q312")="Point-to-point",Q424*INDIRECT("'"&amp;$H$3&amp;"'!Q$261"),0)),0)</f>
        <v>0</v>
      </c>
      <c r="R414" s="837"/>
      <c r="S414" s="837"/>
      <c r="T414" s="837">
        <f ca="1">IFERROR(IF(INDIRECT("'"&amp;$H$3&amp;"'!T312")="Route-based",T421*INDIRECT("'"&amp;$H$3&amp;"'!T$261"),IF(INDIRECT("'"&amp;$H$3&amp;"'!T312")="Point-to-point",T424*INDIRECT("'"&amp;$H$3&amp;"'!T$261"),0)),0)</f>
        <v>0</v>
      </c>
      <c r="U414" s="837"/>
      <c r="V414" s="837"/>
      <c r="W414" s="837">
        <f ca="1">IFERROR(IF(INDIRECT("'"&amp;$H$3&amp;"'!W312")="Route-based",W421*INDIRECT("'"&amp;$H$3&amp;"'!W$261"),IF(INDIRECT("'"&amp;$H$3&amp;"'!W312")="Point-to-point",W424*INDIRECT("'"&amp;$H$3&amp;"'!W$261"),0)),0)</f>
        <v>0</v>
      </c>
      <c r="X414" s="1468"/>
      <c r="Y414" s="36"/>
      <c r="Z414" s="36"/>
      <c r="AA414" s="36"/>
      <c r="AB414" s="36"/>
      <c r="AC414" s="36"/>
      <c r="AD414" s="36"/>
      <c r="AE414" s="36"/>
      <c r="AF414" s="36"/>
      <c r="AG414" s="36"/>
      <c r="AH414" s="36"/>
      <c r="AI414" s="36"/>
      <c r="AJ414" s="36"/>
      <c r="AK414" s="242"/>
      <c r="AL414" s="36"/>
      <c r="AM414" s="36"/>
      <c r="AN414" s="36"/>
    </row>
    <row r="415" spans="6:40" ht="15" customHeight="1" outlineLevel="1">
      <c r="G415" s="6" t="s">
        <v>142</v>
      </c>
      <c r="H415" s="841"/>
      <c r="I415" s="841"/>
      <c r="J415" s="841"/>
      <c r="K415" s="841">
        <f ca="1">IFERROR(IF(COUNTIF(INDIRECT("'"&amp;$H$3&amp;"'!K304"),"Public Transport*")&gt;0,ROUND(INDIRECT("'"&amp;$H$3&amp;"'!K$95")*INDIRECT("'"&amp;$H$3&amp;"'!K303"),0),0),0)</f>
        <v>0</v>
      </c>
      <c r="L415" s="841"/>
      <c r="M415" s="841"/>
      <c r="N415" s="841">
        <f ca="1">IFERROR(IF(COUNTIF(INDIRECT("'"&amp;$H$3&amp;"'!N304"),"Public Transport*")&gt;0,ROUND(INDIRECT("'"&amp;$H$3&amp;"'!N$95")*INDIRECT("'"&amp;$H$3&amp;"'!N303"),0),0),0)</f>
        <v>0</v>
      </c>
      <c r="O415" s="841"/>
      <c r="P415" s="841"/>
      <c r="Q415" s="841">
        <f ca="1">IFERROR(IF(COUNTIF(INDIRECT("'"&amp;$H$3&amp;"'!Q304"),"Public Transport*")&gt;0,ROUND(INDIRECT("'"&amp;$H$3&amp;"'!Q$95")*INDIRECT("'"&amp;$H$3&amp;"'!Q303"),0),0),0)</f>
        <v>0</v>
      </c>
      <c r="R415" s="841"/>
      <c r="S415" s="841"/>
      <c r="T415" s="841">
        <f ca="1">IFERROR(IF(COUNTIF(INDIRECT("'"&amp;$H$3&amp;"'!T304"),"Public Transport*")&gt;0,ROUND(INDIRECT("'"&amp;$H$3&amp;"'!T$95")*INDIRECT("'"&amp;$H$3&amp;"'!T303"),0),0),0)</f>
        <v>0</v>
      </c>
      <c r="U415" s="841"/>
      <c r="V415" s="841"/>
      <c r="W415" s="841">
        <f ca="1">IFERROR(IF(COUNTIF(INDIRECT("'"&amp;$H$3&amp;"'!W304"),"Public Transport*")&gt;0,ROUND(INDIRECT("'"&amp;$H$3&amp;"'!W$95")*INDIRECT("'"&amp;$H$3&amp;"'!W303"),0),0),0)</f>
        <v>0</v>
      </c>
      <c r="X415" s="1466"/>
      <c r="Y415" s="36"/>
      <c r="Z415" s="36"/>
      <c r="AA415" s="36"/>
      <c r="AB415" s="36"/>
      <c r="AC415" s="36"/>
      <c r="AD415" s="36"/>
      <c r="AE415" s="36"/>
      <c r="AF415" s="36"/>
      <c r="AG415" s="36"/>
      <c r="AH415" s="36"/>
      <c r="AI415" s="36"/>
      <c r="AJ415" s="36"/>
      <c r="AK415" s="36"/>
      <c r="AL415" s="36"/>
      <c r="AM415" s="36"/>
      <c r="AN415" s="36"/>
    </row>
    <row r="416" spans="6:40" ht="15" customHeight="1" outlineLevel="1">
      <c r="G416" s="241" t="s">
        <v>150</v>
      </c>
      <c r="H416" s="842"/>
      <c r="I416" s="842"/>
      <c r="J416" s="842"/>
      <c r="K416" s="842"/>
      <c r="L416" s="842"/>
      <c r="M416" s="842"/>
      <c r="N416" s="842"/>
      <c r="O416" s="842"/>
      <c r="P416" s="842"/>
      <c r="Q416" s="842"/>
      <c r="R416" s="853"/>
      <c r="S416" s="853"/>
      <c r="T416" s="842"/>
      <c r="U416" s="853"/>
      <c r="V416" s="853"/>
      <c r="W416" s="842"/>
      <c r="X416" s="1470"/>
      <c r="Y416" s="36"/>
      <c r="Z416" s="36"/>
      <c r="AA416" s="36"/>
      <c r="AB416" s="36"/>
      <c r="AC416" s="36"/>
      <c r="AD416" s="36"/>
      <c r="AE416" s="36"/>
      <c r="AF416" s="36"/>
      <c r="AG416" s="36"/>
      <c r="AH416" s="36"/>
      <c r="AI416" s="36"/>
      <c r="AJ416" s="36"/>
      <c r="AK416" s="36"/>
      <c r="AL416" s="36"/>
      <c r="AM416" s="36"/>
      <c r="AN416" s="36"/>
    </row>
    <row r="417" spans="6:40" ht="15" customHeight="1" outlineLevel="1">
      <c r="G417" s="6" t="s">
        <v>140</v>
      </c>
      <c r="H417" s="836"/>
      <c r="I417" s="836"/>
      <c r="J417" s="836"/>
      <c r="K417" s="836">
        <f ca="1">IFERROR(ROUND(INDIRECT("'"&amp;$H$3&amp;"'!$H$10")/(((1/60)*(INDIRECT("'"&amp;$H$3&amp;"'!K317")+INDIRECT("'"&amp;$H$3&amp;"'!$H$19")*(INDIRECT("'"&amp;$H$3&amp;"'!K318")+(INDIRECT("'"&amp;$H$3&amp;"'!K319")*('2_Outputs'!K$52/INDIRECT("'"&amp;$H$3&amp;"'!K$261")/INDIRECT("'"&amp;$H$3&amp;"'!$H$19"))))))+INDEX(INDIRECT("'"&amp;$H$3&amp;"'!$H$43:$H$78"),MATCH(INDIRECT("'"&amp;$H$3&amp;"'!K304")&amp;"Average duration (hrs) per trip",INDIRECT("'"&amp;$H$3&amp;"'!$F$43:$F$78"),0))),1),0)</f>
        <v>0</v>
      </c>
      <c r="L417" s="836"/>
      <c r="M417" s="836"/>
      <c r="N417" s="836">
        <f ca="1">IFERROR(ROUND(INDIRECT("'"&amp;$H$3&amp;"'!$H$10")/(((1/60)*(INDIRECT("'"&amp;$H$3&amp;"'!N317")+INDIRECT("'"&amp;$H$3&amp;"'!$H$19")*(INDIRECT("'"&amp;$H$3&amp;"'!N318")+(INDIRECT("'"&amp;$H$3&amp;"'!N319")*('2_Outputs'!N$52/INDIRECT("'"&amp;$H$3&amp;"'!N$261")/INDIRECT("'"&amp;$H$3&amp;"'!$H$19"))))))+INDEX(INDIRECT("'"&amp;$H$3&amp;"'!$H$43:$H$78"),MATCH(INDIRECT("'"&amp;$H$3&amp;"'!N304")&amp;"Average duration (hrs) per trip",INDIRECT("'"&amp;$H$3&amp;"'!$F$43:$F$78"),0))),1),0)</f>
        <v>0</v>
      </c>
      <c r="O417" s="836"/>
      <c r="P417" s="836"/>
      <c r="Q417" s="836">
        <f ca="1">IFERROR(ROUND(INDIRECT("'"&amp;$H$3&amp;"'!$H$10")/(((1/60)*(INDIRECT("'"&amp;$H$3&amp;"'!Q317")+INDIRECT("'"&amp;$H$3&amp;"'!$H$19")*(INDIRECT("'"&amp;$H$3&amp;"'!Q318")+(INDIRECT("'"&amp;$H$3&amp;"'!Q319")*('2_Outputs'!Q$52/INDIRECT("'"&amp;$H$3&amp;"'!Q$261")/INDIRECT("'"&amp;$H$3&amp;"'!$H$19"))))))+INDEX(INDIRECT("'"&amp;$H$3&amp;"'!$H$43:$H$78"),MATCH(INDIRECT("'"&amp;$H$3&amp;"'!Q304")&amp;"Average duration (hrs) per trip",INDIRECT("'"&amp;$H$3&amp;"'!$F$43:$F$78"),0))),1),0)</f>
        <v>0</v>
      </c>
      <c r="R417" s="836"/>
      <c r="S417" s="836"/>
      <c r="T417" s="836">
        <f ca="1">IFERROR(ROUND(INDIRECT("'"&amp;$H$3&amp;"'!$H$10")/(((1/60)*(INDIRECT("'"&amp;$H$3&amp;"'!T317")+INDIRECT("'"&amp;$H$3&amp;"'!$H$19")*(INDIRECT("'"&amp;$H$3&amp;"'!T318")+(INDIRECT("'"&amp;$H$3&amp;"'!T319")*('2_Outputs'!T$52/INDIRECT("'"&amp;$H$3&amp;"'!T$261")/INDIRECT("'"&amp;$H$3&amp;"'!$H$19"))))))+INDEX(INDIRECT("'"&amp;$H$3&amp;"'!$H$43:$H$78"),MATCH(INDIRECT("'"&amp;$H$3&amp;"'!T304")&amp;"Average duration (hrs) per trip",INDIRECT("'"&amp;$H$3&amp;"'!$F$43:$F$78"),0))),1),0)</f>
        <v>0</v>
      </c>
      <c r="U417" s="836"/>
      <c r="V417" s="836"/>
      <c r="W417" s="836">
        <f ca="1">IFERROR(ROUND(INDIRECT("'"&amp;$H$3&amp;"'!$H$10")/(((1/60)*(INDIRECT("'"&amp;$H$3&amp;"'!W317")+INDIRECT("'"&amp;$H$3&amp;"'!$H$19")*(INDIRECT("'"&amp;$H$3&amp;"'!W318")+(INDIRECT("'"&amp;$H$3&amp;"'!W319")*('2_Outputs'!W$52/INDIRECT("'"&amp;$H$3&amp;"'!W$261")/INDIRECT("'"&amp;$H$3&amp;"'!$H$19"))))))+INDEX(INDIRECT("'"&amp;$H$3&amp;"'!$H$43:$H$78"),MATCH(INDIRECT("'"&amp;$H$3&amp;"'!W304")&amp;"Average duration (hrs) per trip",INDIRECT("'"&amp;$H$3&amp;"'!$F$43:$F$78"),0))),1),0)</f>
        <v>0</v>
      </c>
      <c r="X417" s="1469"/>
      <c r="Y417" s="36"/>
      <c r="Z417" s="36"/>
      <c r="AA417" s="36"/>
      <c r="AB417" s="36"/>
      <c r="AC417" s="36"/>
      <c r="AD417" s="36"/>
      <c r="AE417" s="36"/>
      <c r="AF417" s="36"/>
      <c r="AG417" s="36"/>
      <c r="AH417" s="36"/>
      <c r="AI417" s="36"/>
      <c r="AJ417" s="36"/>
      <c r="AK417" s="36"/>
      <c r="AL417" s="36"/>
      <c r="AM417" s="36"/>
      <c r="AN417" s="36"/>
    </row>
    <row r="418" spans="6:40" ht="15" customHeight="1" outlineLevel="1">
      <c r="G418" s="6" t="s">
        <v>141</v>
      </c>
      <c r="H418" s="836"/>
      <c r="I418" s="836"/>
      <c r="J418" s="836"/>
      <c r="K418" s="836">
        <f ca="1">IFERROR(ROUND(K417*INDIRECT("'"&amp;$H$3&amp;"'!K313"),0),0)</f>
        <v>0</v>
      </c>
      <c r="L418" s="836"/>
      <c r="M418" s="836"/>
      <c r="N418" s="836">
        <f ca="1">IFERROR(ROUND(N417*INDIRECT("'"&amp;$H$3&amp;"'!N313"),0),0)</f>
        <v>0</v>
      </c>
      <c r="O418" s="836"/>
      <c r="P418" s="836"/>
      <c r="Q418" s="836">
        <f ca="1">IFERROR(ROUND(Q417*INDIRECT("'"&amp;$H$3&amp;"'!Q313"),0),0)</f>
        <v>0</v>
      </c>
      <c r="R418" s="836"/>
      <c r="S418" s="836"/>
      <c r="T418" s="836">
        <f ca="1">IFERROR(ROUND(T417*INDIRECT("'"&amp;$H$3&amp;"'!T313"),0),0)</f>
        <v>0</v>
      </c>
      <c r="U418" s="836"/>
      <c r="V418" s="836"/>
      <c r="W418" s="836">
        <f ca="1">IFERROR(ROUND(W417*INDIRECT("'"&amp;$H$3&amp;"'!W313"),0),0)</f>
        <v>0</v>
      </c>
      <c r="X418" s="1469"/>
      <c r="Y418" s="36"/>
      <c r="Z418" s="36"/>
      <c r="AA418" s="36"/>
      <c r="AB418" s="36"/>
      <c r="AC418" s="36"/>
      <c r="AD418" s="36"/>
      <c r="AE418" s="36"/>
      <c r="AF418" s="36"/>
      <c r="AG418" s="36"/>
      <c r="AH418" s="36"/>
      <c r="AI418" s="36"/>
      <c r="AJ418" s="36"/>
      <c r="AK418" s="36"/>
      <c r="AL418" s="36"/>
      <c r="AM418" s="36"/>
      <c r="AN418" s="36"/>
    </row>
    <row r="419" spans="6:40" ht="15" customHeight="1" outlineLevel="1">
      <c r="G419" s="6" t="s">
        <v>143</v>
      </c>
      <c r="H419" s="836"/>
      <c r="I419" s="836"/>
      <c r="J419" s="836"/>
      <c r="K419" s="836">
        <f ca="1">IFERROR(ROUNDUP(K415/K418,0),0)</f>
        <v>0</v>
      </c>
      <c r="L419" s="836"/>
      <c r="M419" s="836"/>
      <c r="N419" s="836">
        <f ca="1">IFERROR(ROUNDUP(N415/N418,0),0)</f>
        <v>0</v>
      </c>
      <c r="O419" s="836"/>
      <c r="P419" s="836"/>
      <c r="Q419" s="836">
        <f ca="1">IFERROR(ROUNDUP(Q415/Q418,0),0)</f>
        <v>0</v>
      </c>
      <c r="R419" s="836"/>
      <c r="S419" s="836"/>
      <c r="T419" s="836">
        <f ca="1">IFERROR(ROUNDUP(T415/T418,0),0)</f>
        <v>0</v>
      </c>
      <c r="U419" s="836"/>
      <c r="V419" s="836"/>
      <c r="W419" s="836">
        <f ca="1">IFERROR(ROUNDUP(W415/W418,0),0)</f>
        <v>0</v>
      </c>
      <c r="X419" s="1469"/>
      <c r="Y419" s="36"/>
      <c r="Z419" s="36"/>
      <c r="AA419" s="36"/>
      <c r="AB419" s="36"/>
      <c r="AC419" s="36"/>
      <c r="AD419" s="36"/>
      <c r="AE419" s="36"/>
      <c r="AF419" s="36"/>
      <c r="AG419" s="36"/>
      <c r="AH419" s="36"/>
      <c r="AI419" s="36"/>
      <c r="AJ419" s="36"/>
      <c r="AK419" s="36"/>
      <c r="AL419" s="36"/>
      <c r="AM419" s="36"/>
      <c r="AN419" s="36"/>
    </row>
    <row r="420" spans="6:40" ht="15" customHeight="1" outlineLevel="1">
      <c r="G420" s="6" t="s">
        <v>144</v>
      </c>
      <c r="H420" s="836"/>
      <c r="I420" s="836"/>
      <c r="J420" s="836"/>
      <c r="K420" s="836">
        <f ca="1">IFERROR((K419*(K418+1)),0)</f>
        <v>0</v>
      </c>
      <c r="L420" s="836"/>
      <c r="M420" s="836"/>
      <c r="N420" s="836">
        <f ca="1">IFERROR((N419*(N418+1)),0)</f>
        <v>0</v>
      </c>
      <c r="O420" s="836"/>
      <c r="P420" s="836"/>
      <c r="Q420" s="836">
        <f ca="1">IFERROR((Q419*(Q418+1)),0)</f>
        <v>0</v>
      </c>
      <c r="R420" s="836"/>
      <c r="S420" s="836"/>
      <c r="T420" s="836">
        <f ca="1">IFERROR((T419*(T418+1)),0)</f>
        <v>0</v>
      </c>
      <c r="U420" s="836"/>
      <c r="V420" s="836"/>
      <c r="W420" s="836">
        <f ca="1">IFERROR((W419*(W418+1)),0)</f>
        <v>0</v>
      </c>
      <c r="X420" s="1469"/>
      <c r="Y420" s="36"/>
      <c r="Z420" s="36"/>
      <c r="AA420" s="36"/>
      <c r="AB420" s="36"/>
      <c r="AC420" s="36"/>
      <c r="AD420" s="36"/>
      <c r="AE420" s="36"/>
      <c r="AF420" s="36"/>
      <c r="AG420" s="36"/>
      <c r="AH420" s="36"/>
      <c r="AI420" s="36"/>
      <c r="AJ420" s="36"/>
      <c r="AK420" s="242"/>
      <c r="AL420" s="36"/>
      <c r="AM420" s="36"/>
      <c r="AN420" s="36"/>
    </row>
    <row r="421" spans="6:40" ht="15" customHeight="1" outlineLevel="1">
      <c r="G421" s="6" t="s">
        <v>145</v>
      </c>
      <c r="H421" s="836"/>
      <c r="I421" s="836"/>
      <c r="J421" s="836"/>
      <c r="K421" s="836">
        <f ca="1">IFERROR(ROUNDUP(((K420*INDEX(INDIRECT("'"&amp;$H$3&amp;"'!$H$43:$H$78"),MATCH(INDIRECT("'"&amp;$H$3&amp;"'!K304")&amp;"Average duration (hrs) per trip",INDIRECT("'"&amp;$H$3&amp;"'!$F$43:$F$78"),0)))+(K415*((1/60)*(INDIRECT("'"&amp;$H$3&amp;"'!K317")+INDIRECT("'"&amp;$H$3&amp;"'!$H$19")*(INDIRECT("'"&amp;$H$3&amp;"'!K318")+(INDIRECT("'"&amp;$H$3&amp;"'!K319")*('2_Outputs'!K$52/INDIRECT("'"&amp;$H$3&amp;"'!K$261")/INDIRECT("'"&amp;$H$3&amp;"'!$H$19"))))))))/INDIRECT("'"&amp;$H$3&amp;"'!$H$10"),0),0)</f>
        <v>0</v>
      </c>
      <c r="L421" s="836"/>
      <c r="M421" s="836"/>
      <c r="N421" s="836">
        <f ca="1">IFERROR(ROUNDUP(((N420*INDEX(INDIRECT("'"&amp;$H$3&amp;"'!$H$43:$H$78"),MATCH(INDIRECT("'"&amp;$H$3&amp;"'!N304")&amp;"Average duration (hrs) per trip",INDIRECT("'"&amp;$H$3&amp;"'!$F$43:$F$78"),0)))+(N415*((1/60)*(INDIRECT("'"&amp;$H$3&amp;"'!N317")+INDIRECT("'"&amp;$H$3&amp;"'!$H$19")*(INDIRECT("'"&amp;$H$3&amp;"'!N318")+(INDIRECT("'"&amp;$H$3&amp;"'!N319")*('2_Outputs'!N$52/INDIRECT("'"&amp;$H$3&amp;"'!N$261")/INDIRECT("'"&amp;$H$3&amp;"'!$H$19"))))))))/INDIRECT("'"&amp;$H$3&amp;"'!$H$10"),0),0)</f>
        <v>0</v>
      </c>
      <c r="O421" s="836"/>
      <c r="P421" s="836"/>
      <c r="Q421" s="836">
        <f ca="1">IFERROR(ROUNDUP(((Q420*INDEX(INDIRECT("'"&amp;$H$3&amp;"'!$H$43:$H$78"),MATCH(INDIRECT("'"&amp;$H$3&amp;"'!Q304")&amp;"Average duration (hrs) per trip",INDIRECT("'"&amp;$H$3&amp;"'!$F$43:$F$78"),0)))+(Q415*((1/60)*(INDIRECT("'"&amp;$H$3&amp;"'!Q317")+INDIRECT("'"&amp;$H$3&amp;"'!$H$19")*(INDIRECT("'"&amp;$H$3&amp;"'!Q318")+(INDIRECT("'"&amp;$H$3&amp;"'!Q319")*('2_Outputs'!Q$52/INDIRECT("'"&amp;$H$3&amp;"'!Q$261")/INDIRECT("'"&amp;$H$3&amp;"'!$H$19"))))))))/INDIRECT("'"&amp;$H$3&amp;"'!$H$10"),0),0)</f>
        <v>0</v>
      </c>
      <c r="R421" s="836"/>
      <c r="S421" s="836"/>
      <c r="T421" s="836">
        <f ca="1">IFERROR(ROUNDUP(((T420*INDEX(INDIRECT("'"&amp;$H$3&amp;"'!$H$43:$H$78"),MATCH(INDIRECT("'"&amp;$H$3&amp;"'!T304")&amp;"Average duration (hrs) per trip",INDIRECT("'"&amp;$H$3&amp;"'!$F$43:$F$78"),0)))+(T415*((1/60)*(INDIRECT("'"&amp;$H$3&amp;"'!T317")+INDIRECT("'"&amp;$H$3&amp;"'!$H$19")*(INDIRECT("'"&amp;$H$3&amp;"'!T318")+(INDIRECT("'"&amp;$H$3&amp;"'!T319")*('2_Outputs'!T$52/INDIRECT("'"&amp;$H$3&amp;"'!T$261")/INDIRECT("'"&amp;$H$3&amp;"'!$H$19"))))))))/INDIRECT("'"&amp;$H$3&amp;"'!$H$10"),0),0)</f>
        <v>0</v>
      </c>
      <c r="U421" s="836"/>
      <c r="V421" s="836"/>
      <c r="W421" s="836">
        <f ca="1">IFERROR(ROUNDUP(((W420*INDEX(INDIRECT("'"&amp;$H$3&amp;"'!$H$43:$H$78"),MATCH(INDIRECT("'"&amp;$H$3&amp;"'!W304")&amp;"Average duration (hrs) per trip",INDIRECT("'"&amp;$H$3&amp;"'!$F$43:$F$78"),0)))+(W415*((1/60)*(INDIRECT("'"&amp;$H$3&amp;"'!W317")+INDIRECT("'"&amp;$H$3&amp;"'!$H$19")*(INDIRECT("'"&amp;$H$3&amp;"'!W318")+(INDIRECT("'"&amp;$H$3&amp;"'!W319")*('2_Outputs'!W$52/INDIRECT("'"&amp;$H$3&amp;"'!W$261")/INDIRECT("'"&amp;$H$3&amp;"'!$H$19"))))))))/INDIRECT("'"&amp;$H$3&amp;"'!$H$10"),0),0)</f>
        <v>0</v>
      </c>
      <c r="X421" s="1469"/>
      <c r="Y421" s="36"/>
      <c r="Z421" s="36"/>
      <c r="AA421" s="36"/>
      <c r="AB421" s="36"/>
      <c r="AC421" s="36"/>
      <c r="AD421" s="36"/>
      <c r="AE421" s="36"/>
      <c r="AF421" s="36"/>
      <c r="AG421" s="36"/>
      <c r="AH421" s="36"/>
      <c r="AI421" s="36"/>
      <c r="AJ421" s="36"/>
      <c r="AK421" s="242"/>
      <c r="AL421" s="36"/>
      <c r="AM421" s="36"/>
      <c r="AN421" s="36"/>
    </row>
    <row r="422" spans="6:40" ht="15" customHeight="1" outlineLevel="1">
      <c r="G422" s="241" t="s">
        <v>841</v>
      </c>
      <c r="H422" s="842"/>
      <c r="I422" s="842"/>
      <c r="J422" s="842"/>
      <c r="K422" s="842"/>
      <c r="L422" s="842"/>
      <c r="M422" s="842"/>
      <c r="N422" s="842"/>
      <c r="O422" s="842"/>
      <c r="P422" s="842"/>
      <c r="Q422" s="842"/>
      <c r="R422" s="853"/>
      <c r="S422" s="853"/>
      <c r="T422" s="842"/>
      <c r="U422" s="853"/>
      <c r="V422" s="853"/>
      <c r="W422" s="842"/>
      <c r="X422" s="1470"/>
      <c r="Y422" s="36"/>
      <c r="Z422" s="36"/>
      <c r="AA422" s="36"/>
      <c r="AB422" s="36"/>
      <c r="AC422" s="36"/>
      <c r="AD422" s="36"/>
      <c r="AE422" s="36"/>
      <c r="AF422" s="36"/>
      <c r="AG422" s="36"/>
      <c r="AH422" s="36"/>
      <c r="AI422" s="36"/>
      <c r="AJ422" s="36"/>
      <c r="AK422" s="242"/>
      <c r="AL422" s="36"/>
      <c r="AM422" s="36"/>
      <c r="AN422" s="36"/>
    </row>
    <row r="423" spans="6:40" ht="15" customHeight="1" outlineLevel="1">
      <c r="G423" s="6" t="s">
        <v>144</v>
      </c>
      <c r="H423" s="836"/>
      <c r="I423" s="836"/>
      <c r="J423" s="836"/>
      <c r="K423" s="836">
        <f ca="1">IFERROR(K415*2,0)</f>
        <v>0</v>
      </c>
      <c r="L423" s="836"/>
      <c r="M423" s="836"/>
      <c r="N423" s="836">
        <f ca="1">IFERROR(N415*2,0)</f>
        <v>0</v>
      </c>
      <c r="O423" s="836"/>
      <c r="P423" s="836"/>
      <c r="Q423" s="836">
        <f ca="1">IFERROR(Q415*2,0)</f>
        <v>0</v>
      </c>
      <c r="R423" s="836"/>
      <c r="S423" s="836"/>
      <c r="T423" s="836">
        <f ca="1">IFERROR(T415*2,0)</f>
        <v>0</v>
      </c>
      <c r="U423" s="836"/>
      <c r="V423" s="836"/>
      <c r="W423" s="836">
        <f ca="1">IFERROR(W415*2,0)</f>
        <v>0</v>
      </c>
      <c r="X423" s="1469"/>
      <c r="Y423" s="36"/>
      <c r="Z423" s="36"/>
      <c r="AA423" s="36"/>
      <c r="AB423" s="36"/>
      <c r="AC423" s="36"/>
      <c r="AD423" s="36"/>
      <c r="AE423" s="36"/>
      <c r="AF423" s="36"/>
      <c r="AG423" s="36"/>
      <c r="AH423" s="36"/>
      <c r="AI423" s="36"/>
      <c r="AJ423" s="36"/>
      <c r="AK423" s="36"/>
      <c r="AL423" s="36"/>
      <c r="AM423" s="36"/>
      <c r="AN423" s="36"/>
    </row>
    <row r="424" spans="6:40" ht="15" customHeight="1" outlineLevel="1">
      <c r="G424" s="6" t="s">
        <v>145</v>
      </c>
      <c r="H424" s="837"/>
      <c r="I424" s="837"/>
      <c r="J424" s="837"/>
      <c r="K424" s="837">
        <f ca="1">IFERROR(MAX(K415,ROUNDUP(((K423*INDEX(INDIRECT("'"&amp;$H$3&amp;"'!$H$43:$H$78"),MATCH(INDIRECT("'"&amp;$H$3&amp;"'!K304")&amp;"Average duration (hrs) per trip",INDIRECT("'"&amp;$H$3&amp;"'!$F$43:$F$78"),0)))+(K415*((1/60)*(INDIRECT("'"&amp;$H$3&amp;"'!K317")+INDIRECT("'"&amp;$H$3&amp;"'!$H$19")*(INDIRECT("'"&amp;$H$3&amp;"'!K318")+(INDIRECT("'"&amp;$H$3&amp;"'!K319")*('2_Outputs'!K$52/INDIRECT("'"&amp;$H$3&amp;"'!K$261")/INDIRECT("'"&amp;$H$3&amp;"'!$H$19"))))))))/INDIRECT("'"&amp;$H$3&amp;"'!$H$10"),0)),0)</f>
        <v>0</v>
      </c>
      <c r="L424" s="837"/>
      <c r="M424" s="837"/>
      <c r="N424" s="837">
        <f ca="1">IFERROR(MAX(N415,ROUNDUP(((N423*INDEX(INDIRECT("'"&amp;$H$3&amp;"'!$H$43:$H$78"),MATCH(INDIRECT("'"&amp;$H$3&amp;"'!N304")&amp;"Average duration (hrs) per trip",INDIRECT("'"&amp;$H$3&amp;"'!$F$43:$F$78"),0)))+(N415*((1/60)*(INDIRECT("'"&amp;$H$3&amp;"'!N317")+INDIRECT("'"&amp;$H$3&amp;"'!$H$19")*(INDIRECT("'"&amp;$H$3&amp;"'!N318")+(INDIRECT("'"&amp;$H$3&amp;"'!N319")*('2_Outputs'!N$52/INDIRECT("'"&amp;$H$3&amp;"'!N$261")/INDIRECT("'"&amp;$H$3&amp;"'!$H$19"))))))))/INDIRECT("'"&amp;$H$3&amp;"'!$H$10"),0)),0)</f>
        <v>0</v>
      </c>
      <c r="O424" s="837"/>
      <c r="P424" s="837"/>
      <c r="Q424" s="837">
        <f ca="1">IFERROR(MAX(Q415,ROUNDUP(((Q423*INDEX(INDIRECT("'"&amp;$H$3&amp;"'!$H$43:$H$78"),MATCH(INDIRECT("'"&amp;$H$3&amp;"'!Q304")&amp;"Average duration (hrs) per trip",INDIRECT("'"&amp;$H$3&amp;"'!$F$43:$F$78"),0)))+(Q415*((1/60)*(INDIRECT("'"&amp;$H$3&amp;"'!Q317")+INDIRECT("'"&amp;$H$3&amp;"'!$H$19")*(INDIRECT("'"&amp;$H$3&amp;"'!Q318")+(INDIRECT("'"&amp;$H$3&amp;"'!Q319")*('2_Outputs'!Q$52/INDIRECT("'"&amp;$H$3&amp;"'!Q$261")/INDIRECT("'"&amp;$H$3&amp;"'!$H$19"))))))))/INDIRECT("'"&amp;$H$3&amp;"'!$H$10"),0)),0)</f>
        <v>0</v>
      </c>
      <c r="R424" s="837"/>
      <c r="S424" s="837"/>
      <c r="T424" s="837">
        <f ca="1">IFERROR(MAX(T415,ROUNDUP(((T423*INDEX(INDIRECT("'"&amp;$H$3&amp;"'!$H$43:$H$78"),MATCH(INDIRECT("'"&amp;$H$3&amp;"'!T304")&amp;"Average duration (hrs) per trip",INDIRECT("'"&amp;$H$3&amp;"'!$F$43:$F$78"),0)))+(T415*((1/60)*(INDIRECT("'"&amp;$H$3&amp;"'!T317")+INDIRECT("'"&amp;$H$3&amp;"'!$H$19")*(INDIRECT("'"&amp;$H$3&amp;"'!T318")+(INDIRECT("'"&amp;$H$3&amp;"'!T319")*('2_Outputs'!T$52/INDIRECT("'"&amp;$H$3&amp;"'!T$261")/INDIRECT("'"&amp;$H$3&amp;"'!$H$19"))))))))/INDIRECT("'"&amp;$H$3&amp;"'!$H$10"),0)),0)</f>
        <v>0</v>
      </c>
      <c r="U424" s="837"/>
      <c r="V424" s="837"/>
      <c r="W424" s="837">
        <f ca="1">IFERROR(MAX(W415,ROUNDUP(((W423*INDEX(INDIRECT("'"&amp;$H$3&amp;"'!$H$43:$H$78"),MATCH(INDIRECT("'"&amp;$H$3&amp;"'!W304")&amp;"Average duration (hrs) per trip",INDIRECT("'"&amp;$H$3&amp;"'!$F$43:$F$78"),0)))+(W415*((1/60)*(INDIRECT("'"&amp;$H$3&amp;"'!W317")+INDIRECT("'"&amp;$H$3&amp;"'!$H$19")*(INDIRECT("'"&amp;$H$3&amp;"'!W318")+(INDIRECT("'"&amp;$H$3&amp;"'!W319")*('2_Outputs'!W$52/INDIRECT("'"&amp;$H$3&amp;"'!W$261")/INDIRECT("'"&amp;$H$3&amp;"'!$H$19"))))))))/INDIRECT("'"&amp;$H$3&amp;"'!$H$10"),0)),0)</f>
        <v>0</v>
      </c>
      <c r="X424" s="1468"/>
      <c r="Y424" s="36"/>
      <c r="Z424" s="36"/>
      <c r="AA424" s="36"/>
      <c r="AB424" s="36"/>
      <c r="AC424" s="36"/>
      <c r="AD424" s="36"/>
      <c r="AE424" s="36"/>
      <c r="AF424" s="36"/>
      <c r="AG424" s="36"/>
      <c r="AH424" s="36"/>
      <c r="AI424" s="36"/>
      <c r="AJ424" s="36"/>
      <c r="AK424" s="36"/>
      <c r="AL424" s="36"/>
      <c r="AM424" s="36"/>
      <c r="AN424" s="36"/>
    </row>
    <row r="425" spans="6:40" ht="15" customHeight="1" outlineLevel="1">
      <c r="F425" s="77" t="s">
        <v>148</v>
      </c>
      <c r="G425" s="845"/>
      <c r="H425" s="851"/>
      <c r="I425" s="851"/>
      <c r="J425" s="851"/>
      <c r="K425" s="851"/>
      <c r="L425" s="851"/>
      <c r="M425" s="851"/>
      <c r="N425" s="851"/>
      <c r="O425" s="851"/>
      <c r="P425" s="851"/>
      <c r="Q425" s="851"/>
      <c r="R425" s="846"/>
      <c r="S425" s="846"/>
      <c r="T425" s="851"/>
      <c r="U425" s="846"/>
      <c r="V425" s="846"/>
      <c r="W425" s="851"/>
      <c r="X425" s="1471"/>
      <c r="Y425" s="36"/>
      <c r="Z425" s="36"/>
      <c r="AA425" s="36"/>
      <c r="AB425" s="36"/>
      <c r="AC425" s="36"/>
      <c r="AD425" s="36"/>
      <c r="AE425" s="36"/>
      <c r="AF425" s="36"/>
      <c r="AG425" s="36"/>
      <c r="AH425" s="36"/>
      <c r="AI425" s="36"/>
      <c r="AJ425" s="36"/>
      <c r="AK425" s="242"/>
      <c r="AL425" s="36"/>
      <c r="AM425" s="36"/>
      <c r="AN425" s="36"/>
    </row>
    <row r="426" spans="6:40" ht="15" customHeight="1" outlineLevel="1">
      <c r="F426" s="1"/>
      <c r="G426" s="6" t="s">
        <v>151</v>
      </c>
      <c r="H426" s="836"/>
      <c r="I426" s="836"/>
      <c r="J426" s="836"/>
      <c r="K426" s="836">
        <f ca="1">IFERROR(IF(COUNTIF(INDIRECT("'"&amp;$H$3&amp;"'!K304"),"Public Transport*")&lt;1,ROUND(INDIRECT("'"&amp;$H$3&amp;"'!K$95")*INDIRECT("'"&amp;$H$3&amp;"'!K303"),0),0),0)</f>
        <v>0</v>
      </c>
      <c r="L426" s="836"/>
      <c r="M426" s="836"/>
      <c r="N426" s="836">
        <f ca="1">IFERROR(IF(COUNTIF(INDIRECT("'"&amp;$H$3&amp;"'!N304"),"Public Transport*")&lt;1,ROUND(INDIRECT("'"&amp;$H$3&amp;"'!N$95")*INDIRECT("'"&amp;$H$3&amp;"'!N303"),0),0),0)</f>
        <v>0</v>
      </c>
      <c r="O426" s="836"/>
      <c r="P426" s="836"/>
      <c r="Q426" s="836">
        <f ca="1">IFERROR(IF(COUNTIF(INDIRECT("'"&amp;$H$3&amp;"'!Q304"),"Public Transport*")&lt;1,ROUND(INDIRECT("'"&amp;$H$3&amp;"'!Q$95")*INDIRECT("'"&amp;$H$3&amp;"'!Q303"),0),0),0)</f>
        <v>0</v>
      </c>
      <c r="R426" s="836"/>
      <c r="S426" s="836"/>
      <c r="T426" s="836">
        <f ca="1">IFERROR(IF(COUNTIF(INDIRECT("'"&amp;$H$3&amp;"'!T304"),"Public Transport*")&lt;1,ROUND(INDIRECT("'"&amp;$H$3&amp;"'!T$95")*INDIRECT("'"&amp;$H$3&amp;"'!T303"),0),0),0)</f>
        <v>0</v>
      </c>
      <c r="U426" s="836"/>
      <c r="V426" s="836"/>
      <c r="W426" s="836">
        <f ca="1">IFERROR(IF(COUNTIF(INDIRECT("'"&amp;$H$3&amp;"'!W304"),"Public Transport*")&lt;1,ROUND(INDIRECT("'"&amp;$H$3&amp;"'!W$95")*INDIRECT("'"&amp;$H$3&amp;"'!W303"),0),0),0)</f>
        <v>0</v>
      </c>
      <c r="X426" s="1469"/>
      <c r="Y426" s="36"/>
      <c r="Z426" s="36"/>
      <c r="AA426" s="36"/>
      <c r="AB426" s="36"/>
      <c r="AC426" s="36"/>
      <c r="AD426" s="36"/>
      <c r="AE426" s="36"/>
      <c r="AF426" s="36"/>
      <c r="AG426" s="36"/>
      <c r="AH426" s="36"/>
      <c r="AI426" s="36"/>
      <c r="AJ426" s="36"/>
      <c r="AK426" s="242"/>
      <c r="AL426" s="36"/>
      <c r="AM426" s="36"/>
      <c r="AN426" s="36"/>
    </row>
    <row r="427" spans="6:40" ht="15" customHeight="1" outlineLevel="1">
      <c r="G427" s="6" t="s">
        <v>85</v>
      </c>
      <c r="H427" s="837"/>
      <c r="I427" s="837"/>
      <c r="J427" s="837"/>
      <c r="K427" s="837">
        <f ca="1">IFERROR(IF(INDIRECT("'"&amp;$H$3&amp;"'!K312")="Route-based",K432*K433,IF(INDIRECT("'"&amp;$H$3&amp;"'!K312")="Point-to-point",K437*K438,0)),0)</f>
        <v>0</v>
      </c>
      <c r="L427" s="837"/>
      <c r="M427" s="837"/>
      <c r="N427" s="837">
        <f ca="1">IFERROR(IF(INDIRECT("'"&amp;$H$3&amp;"'!N312")="Route-based",N432*N433,IF(INDIRECT("'"&amp;$H$3&amp;"'!N312")="Point-to-point",N437*N438,0)),0)</f>
        <v>0</v>
      </c>
      <c r="O427" s="837"/>
      <c r="P427" s="837"/>
      <c r="Q427" s="837">
        <f ca="1">IFERROR(IF(INDIRECT("'"&amp;$H$3&amp;"'!Q312")="Route-based",Q432*Q433,IF(INDIRECT("'"&amp;$H$3&amp;"'!Q312")="Point-to-point",Q437*Q438,0)),0)</f>
        <v>0</v>
      </c>
      <c r="R427" s="837"/>
      <c r="S427" s="837"/>
      <c r="T427" s="837">
        <f ca="1">IFERROR(IF(INDIRECT("'"&amp;$H$3&amp;"'!T312")="Route-based",T432*T433,IF(INDIRECT("'"&amp;$H$3&amp;"'!T312")="Point-to-point",T437*T438,0)),0)</f>
        <v>0</v>
      </c>
      <c r="U427" s="837"/>
      <c r="V427" s="837"/>
      <c r="W427" s="837">
        <f ca="1">IFERROR(IF(INDIRECT("'"&amp;$H$3&amp;"'!W312")="Route-based",W432*W433,IF(INDIRECT("'"&amp;$H$3&amp;"'!W312")="Point-to-point",W437*W438,0)),0)</f>
        <v>0</v>
      </c>
      <c r="X427" s="1468"/>
      <c r="Y427" s="36"/>
      <c r="Z427" s="36"/>
      <c r="AA427" s="36"/>
      <c r="AB427" s="36"/>
      <c r="AC427" s="36"/>
      <c r="AD427" s="36"/>
      <c r="AE427" s="36"/>
      <c r="AF427" s="36"/>
      <c r="AG427" s="36"/>
      <c r="AH427" s="36"/>
      <c r="AI427" s="36"/>
      <c r="AJ427" s="36"/>
      <c r="AK427" s="242"/>
      <c r="AL427" s="36"/>
      <c r="AM427" s="36"/>
      <c r="AN427" s="36"/>
    </row>
    <row r="428" spans="6:40" ht="15" customHeight="1" outlineLevel="1">
      <c r="G428" s="6" t="s">
        <v>59</v>
      </c>
      <c r="H428" s="837"/>
      <c r="I428" s="837"/>
      <c r="J428" s="837"/>
      <c r="K428" s="837">
        <f ca="1">IFERROR(IF(INDIRECT("'"&amp;$H$3&amp;"'!K312")="Route-based",ROUND(K432*K434/INDIRECT("'"&amp;$H$3&amp;"'!$H$10"),0),IF(INDIRECT("'"&amp;$H$3&amp;"'!K312")="Point-to-point",ROUND(((K426*INDIRECT("'"&amp;$H$3&amp;"'!K$261")*((1/60)*(INDIRECT("'"&amp;$H$3&amp;"'!K317")+INDIRECT("'"&amp;$H$3&amp;"'!$H$19")*(INDIRECT("'"&amp;$H$3&amp;"'!K318")+(INDIRECT("'"&amp;$H$3&amp;"'!K319")*('2_Outputs'!K$52/INDIRECT("'"&amp;$H$3&amp;"'!K$261")/INDIRECT("'"&amp;$H$3&amp;"'!$H$19")))))))+(K427/INDIRECT("'"&amp;$H$3&amp;"'!K321")))/INDIRECT("'"&amp;$H$3&amp;"'!$H$10"),0),0)),0)</f>
        <v>0</v>
      </c>
      <c r="L428" s="837"/>
      <c r="M428" s="837"/>
      <c r="N428" s="837">
        <f ca="1">IFERROR(IF(INDIRECT("'"&amp;$H$3&amp;"'!N312")="Route-based",ROUND(N432*N434/INDIRECT("'"&amp;$H$3&amp;"'!$H$10"),0),IF(INDIRECT("'"&amp;$H$3&amp;"'!N312")="Point-to-point",ROUND(((N426*INDIRECT("'"&amp;$H$3&amp;"'!N$261")*((1/60)*(INDIRECT("'"&amp;$H$3&amp;"'!N317")+INDIRECT("'"&amp;$H$3&amp;"'!$H$19")*(INDIRECT("'"&amp;$H$3&amp;"'!N318")+(INDIRECT("'"&amp;$H$3&amp;"'!N319")*('2_Outputs'!N$52/INDIRECT("'"&amp;$H$3&amp;"'!N$261")/INDIRECT("'"&amp;$H$3&amp;"'!$H$19")))))))+(N427/INDIRECT("'"&amp;$H$3&amp;"'!N321")))/INDIRECT("'"&amp;$H$3&amp;"'!$H$10"),0),0)),0)</f>
        <v>0</v>
      </c>
      <c r="O428" s="837"/>
      <c r="P428" s="837"/>
      <c r="Q428" s="837">
        <f ca="1">IFERROR(IF(INDIRECT("'"&amp;$H$3&amp;"'!Q312")="Route-based",ROUND(Q432*Q434/INDIRECT("'"&amp;$H$3&amp;"'!$H$10"),0),IF(INDIRECT("'"&amp;$H$3&amp;"'!Q312")="Point-to-point",ROUND(((Q426*INDIRECT("'"&amp;$H$3&amp;"'!Q$261")*((1/60)*(INDIRECT("'"&amp;$H$3&amp;"'!Q317")+INDIRECT("'"&amp;$H$3&amp;"'!$H$19")*(INDIRECT("'"&amp;$H$3&amp;"'!Q318")+(INDIRECT("'"&amp;$H$3&amp;"'!Q319")*('2_Outputs'!Q$52/INDIRECT("'"&amp;$H$3&amp;"'!Q$261")/INDIRECT("'"&amp;$H$3&amp;"'!$H$19")))))))+(Q427/INDIRECT("'"&amp;$H$3&amp;"'!Q321")))/INDIRECT("'"&amp;$H$3&amp;"'!$H$10"),0),0)),0)</f>
        <v>0</v>
      </c>
      <c r="R428" s="837"/>
      <c r="S428" s="837"/>
      <c r="T428" s="837">
        <f ca="1">IFERROR(IF(INDIRECT("'"&amp;$H$3&amp;"'!T312")="Route-based",ROUND(T432*T434/INDIRECT("'"&amp;$H$3&amp;"'!$H$10"),0),IF(INDIRECT("'"&amp;$H$3&amp;"'!T312")="Point-to-point",ROUND(((T426*INDIRECT("'"&amp;$H$3&amp;"'!T$261")*((1/60)*(INDIRECT("'"&amp;$H$3&amp;"'!T317")+INDIRECT("'"&amp;$H$3&amp;"'!$H$19")*(INDIRECT("'"&amp;$H$3&amp;"'!T318")+(INDIRECT("'"&amp;$H$3&amp;"'!T319")*('2_Outputs'!T$52/INDIRECT("'"&amp;$H$3&amp;"'!T$261")/INDIRECT("'"&amp;$H$3&amp;"'!$H$19")))))))+(T427/INDIRECT("'"&amp;$H$3&amp;"'!T321")))/INDIRECT("'"&amp;$H$3&amp;"'!$H$10"),0),0)),0)</f>
        <v>0</v>
      </c>
      <c r="U428" s="837"/>
      <c r="V428" s="837"/>
      <c r="W428" s="837">
        <f ca="1">IFERROR(IF(INDIRECT("'"&amp;$H$3&amp;"'!W312")="Route-based",ROUND(W432*W434/INDIRECT("'"&amp;$H$3&amp;"'!$H$10"),0),IF(INDIRECT("'"&amp;$H$3&amp;"'!W312")="Point-to-point",ROUND(((W426*INDIRECT("'"&amp;$H$3&amp;"'!W$261")*((1/60)*(INDIRECT("'"&amp;$H$3&amp;"'!W317")+INDIRECT("'"&amp;$H$3&amp;"'!$H$19")*(INDIRECT("'"&amp;$H$3&amp;"'!W318")+(INDIRECT("'"&amp;$H$3&amp;"'!W319")*('2_Outputs'!W$52/INDIRECT("'"&amp;$H$3&amp;"'!W$261")/INDIRECT("'"&amp;$H$3&amp;"'!$H$19")))))))+(W427/INDIRECT("'"&amp;$H$3&amp;"'!W321")))/INDIRECT("'"&amp;$H$3&amp;"'!$H$10"),0),0)),0)</f>
        <v>0</v>
      </c>
      <c r="X428" s="1468"/>
      <c r="Y428" s="36"/>
      <c r="Z428" s="36"/>
      <c r="AA428" s="36"/>
      <c r="AB428" s="36"/>
      <c r="AC428" s="36"/>
      <c r="AD428" s="36"/>
      <c r="AE428" s="36"/>
      <c r="AF428" s="36"/>
      <c r="AG428" s="36"/>
      <c r="AH428" s="36"/>
      <c r="AI428" s="36"/>
      <c r="AJ428" s="36"/>
      <c r="AK428" s="242"/>
      <c r="AL428" s="36"/>
      <c r="AM428" s="36"/>
      <c r="AN428" s="36"/>
    </row>
    <row r="429" spans="6:40" ht="15" customHeight="1" outlineLevel="1">
      <c r="G429" s="6" t="s">
        <v>86</v>
      </c>
      <c r="H429" s="839"/>
      <c r="I429" s="839"/>
      <c r="J429" s="839"/>
      <c r="K429" s="839">
        <f ca="1">IFERROR(IF(INDIRECT("'"&amp;$H$3&amp;"'!K312")="Route-based",IF(INDIRECT("'"&amp;$H$3&amp;"'!K309")="Yes",K249, IF(INDIRECT("'"&amp;$H$3&amp;"'!K309")="No",K428/(INDIRECT("'"&amp;$H$3&amp;"'!$H$9")*INDIRECT("'"&amp;$H$3&amp;"'!K308")))),
IF(INDIRECT("'"&amp;$H$3&amp;"'!K312")="Point-to-point",IF(INDIRECT("'"&amp;$H$3&amp;"'!K309")="Yes",K249,IF(INDIRECT("'"&amp;$H$3&amp;"'!K309")="No",K428/(INDIRECT("'"&amp;$H$3&amp;"'!$H$9")*INDIRECT("'"&amp;$H$3&amp;"'!K308")))),0)),0)</f>
        <v>0</v>
      </c>
      <c r="L429" s="839"/>
      <c r="M429" s="839"/>
      <c r="N429" s="839">
        <f ca="1">IFERROR(IF(INDIRECT("'"&amp;$H$3&amp;"'!N312")="Route-based",IF(INDIRECT("'"&amp;$H$3&amp;"'!N309")="Yes",N249, IF(INDIRECT("'"&amp;$H$3&amp;"'!N309")="No",N428/(INDIRECT("'"&amp;$H$3&amp;"'!$H$9")*INDIRECT("'"&amp;$H$3&amp;"'!N308")))),
IF(INDIRECT("'"&amp;$H$3&amp;"'!N312")="Point-to-point",IF(INDIRECT("'"&amp;$H$3&amp;"'!N309")="Yes",N249,IF(INDIRECT("'"&amp;$H$3&amp;"'!N309")="No",N428/(INDIRECT("'"&amp;$H$3&amp;"'!$H$9")*INDIRECT("'"&amp;$H$3&amp;"'!N308")))),0)),0)</f>
        <v>0</v>
      </c>
      <c r="O429" s="839"/>
      <c r="P429" s="839"/>
      <c r="Q429" s="839">
        <f ca="1">IFERROR(IF(INDIRECT("'"&amp;$H$3&amp;"'!Q312")="Route-based",IF(INDIRECT("'"&amp;$H$3&amp;"'!Q309")="Yes",Q249, IF(INDIRECT("'"&amp;$H$3&amp;"'!Q309")="No",Q428/(INDIRECT("'"&amp;$H$3&amp;"'!$H$9")*INDIRECT("'"&amp;$H$3&amp;"'!Q308")))),
IF(INDIRECT("'"&amp;$H$3&amp;"'!Q312")="Point-to-point",IF(INDIRECT("'"&amp;$H$3&amp;"'!Q309")="Yes",Q249,IF(INDIRECT("'"&amp;$H$3&amp;"'!Q309")="No",Q428/(INDIRECT("'"&amp;$H$3&amp;"'!$H$9")*INDIRECT("'"&amp;$H$3&amp;"'!Q308")))),0)),0)</f>
        <v>0</v>
      </c>
      <c r="R429" s="839"/>
      <c r="S429" s="839"/>
      <c r="T429" s="839">
        <f ca="1">IFERROR(IF(INDIRECT("'"&amp;$H$3&amp;"'!T312")="Route-based",IF(INDIRECT("'"&amp;$H$3&amp;"'!T309")="Yes",T249, IF(INDIRECT("'"&amp;$H$3&amp;"'!T309")="No",T428/(INDIRECT("'"&amp;$H$3&amp;"'!$H$9")*INDIRECT("'"&amp;$H$3&amp;"'!T308")))),
IF(INDIRECT("'"&amp;$H$3&amp;"'!T312")="Point-to-point",IF(INDIRECT("'"&amp;$H$3&amp;"'!T309")="Yes",T249,IF(INDIRECT("'"&amp;$H$3&amp;"'!T309")="No",T428/(INDIRECT("'"&amp;$H$3&amp;"'!$H$9")*INDIRECT("'"&amp;$H$3&amp;"'!T308")))),0)),0)</f>
        <v>0</v>
      </c>
      <c r="U429" s="839"/>
      <c r="V429" s="839"/>
      <c r="W429" s="839">
        <f ca="1">IFERROR(IF(INDIRECT("'"&amp;$H$3&amp;"'!W312")="Route-based",IF(INDIRECT("'"&amp;$H$3&amp;"'!W309")="Yes",W249, IF(INDIRECT("'"&amp;$H$3&amp;"'!W309")="No",W428/(INDIRECT("'"&amp;$H$3&amp;"'!$H$9")*INDIRECT("'"&amp;$H$3&amp;"'!W308")))),
IF(INDIRECT("'"&amp;$H$3&amp;"'!W312")="Point-to-point",IF(INDIRECT("'"&amp;$H$3&amp;"'!W309")="Yes",W249,IF(INDIRECT("'"&amp;$H$3&amp;"'!W309")="No",W428/(INDIRECT("'"&amp;$H$3&amp;"'!$H$9")*INDIRECT("'"&amp;$H$3&amp;"'!W308")))),0)),0)</f>
        <v>0</v>
      </c>
      <c r="X429" s="1470"/>
      <c r="Y429" s="36"/>
      <c r="Z429" s="36"/>
      <c r="AA429" s="36"/>
      <c r="AB429" s="36"/>
      <c r="AC429" s="36"/>
      <c r="AD429" s="36"/>
      <c r="AE429" s="36"/>
      <c r="AF429" s="36"/>
      <c r="AG429" s="36"/>
      <c r="AH429" s="36"/>
      <c r="AI429" s="36"/>
      <c r="AJ429" s="36"/>
      <c r="AK429" s="36" t="s">
        <v>191</v>
      </c>
      <c r="AL429" s="36"/>
      <c r="AM429" s="36"/>
      <c r="AN429" s="36"/>
    </row>
    <row r="430" spans="6:40" ht="15" customHeight="1" outlineLevel="1" collapsed="1">
      <c r="G430" s="241" t="s">
        <v>133</v>
      </c>
      <c r="H430" s="842"/>
      <c r="I430" s="842"/>
      <c r="J430" s="842"/>
      <c r="K430" s="842"/>
      <c r="L430" s="842"/>
      <c r="M430" s="842"/>
      <c r="N430" s="842"/>
      <c r="O430" s="842"/>
      <c r="P430" s="842"/>
      <c r="Q430" s="842"/>
      <c r="R430" s="853"/>
      <c r="S430" s="853"/>
      <c r="T430" s="842"/>
      <c r="U430" s="853"/>
      <c r="V430" s="853"/>
      <c r="W430" s="842"/>
      <c r="X430" s="1470"/>
      <c r="Y430" s="36"/>
      <c r="Z430" s="36"/>
      <c r="AA430" s="36"/>
      <c r="AB430" s="36"/>
      <c r="AC430" s="36"/>
      <c r="AD430" s="36"/>
      <c r="AE430" s="36"/>
      <c r="AF430" s="36"/>
      <c r="AG430" s="36"/>
      <c r="AH430" s="36"/>
      <c r="AI430" s="36"/>
      <c r="AJ430" s="36"/>
      <c r="AK430" s="36"/>
      <c r="AL430" s="36"/>
      <c r="AM430" s="36"/>
      <c r="AN430" s="36"/>
    </row>
    <row r="431" spans="6:40" outlineLevel="1">
      <c r="G431" s="6" t="s">
        <v>129</v>
      </c>
      <c r="H431" s="836"/>
      <c r="I431" s="836"/>
      <c r="J431" s="836"/>
      <c r="K431" s="836">
        <f ca="1">IFERROR(((INDIRECT("'"&amp;$H$3&amp;"'!K313")*INDIRECT("'"&amp;$H$3&amp;"'!$H$10"))-(2*INDIRECT("'"&amp;$H$3&amp;"'!K$98")/INDIRECT("'"&amp;$H$3&amp;"'!K321"))+(INDIRECT("'"&amp;$H$3&amp;"'!K$99")/INDIRECT("'"&amp;$H$3&amp;"'!K320")))/(((1/60)*(INDIRECT("'"&amp;$H$3&amp;"'!K317")+INDIRECT("'"&amp;$H$3&amp;"'!$H$19")*(INDIRECT("'"&amp;$H$3&amp;"'!K318")+(INDIRECT("'"&amp;$H$3&amp;"'!K319")*('2_Outputs'!K$52/INDIRECT("'"&amp;$H$3&amp;"'!K$261")/INDIRECT("'"&amp;$H$3&amp;"'!$H$19"))))))+(INDIRECT("'"&amp;$H$3&amp;"'!K$99")/INDIRECT("'"&amp;$H$3&amp;"'!K320"))),0)</f>
        <v>0</v>
      </c>
      <c r="L431" s="836"/>
      <c r="M431" s="836"/>
      <c r="N431" s="836">
        <f ca="1">IFERROR(((INDIRECT("'"&amp;$H$3&amp;"'!N313")*INDIRECT("'"&amp;$H$3&amp;"'!$H$10"))-(2*INDIRECT("'"&amp;$H$3&amp;"'!N$98")/INDIRECT("'"&amp;$H$3&amp;"'!N321"))+(INDIRECT("'"&amp;$H$3&amp;"'!N$99")/INDIRECT("'"&amp;$H$3&amp;"'!N320")))/(((1/60)*(INDIRECT("'"&amp;$H$3&amp;"'!N317")+INDIRECT("'"&amp;$H$3&amp;"'!$H$19")*(INDIRECT("'"&amp;$H$3&amp;"'!N318")+(INDIRECT("'"&amp;$H$3&amp;"'!N319")*('2_Outputs'!N$52/INDIRECT("'"&amp;$H$3&amp;"'!N$261")/INDIRECT("'"&amp;$H$3&amp;"'!$H$19"))))))+(INDIRECT("'"&amp;$H$3&amp;"'!N$99")/INDIRECT("'"&amp;$H$3&amp;"'!N320"))),0)</f>
        <v>0</v>
      </c>
      <c r="O431" s="836"/>
      <c r="P431" s="836"/>
      <c r="Q431" s="836">
        <f ca="1">IFERROR(((INDIRECT("'"&amp;$H$3&amp;"'!Q313")*INDIRECT("'"&amp;$H$3&amp;"'!$H$10"))-(2*INDIRECT("'"&amp;$H$3&amp;"'!Q$98")/INDIRECT("'"&amp;$H$3&amp;"'!Q321"))+(INDIRECT("'"&amp;$H$3&amp;"'!Q$99")/INDIRECT("'"&amp;$H$3&amp;"'!Q320")))/(((1/60)*(INDIRECT("'"&amp;$H$3&amp;"'!Q317")+INDIRECT("'"&amp;$H$3&amp;"'!$H$19")*(INDIRECT("'"&amp;$H$3&amp;"'!Q318")+(INDIRECT("'"&amp;$H$3&amp;"'!Q319")*('2_Outputs'!Q$52/INDIRECT("'"&amp;$H$3&amp;"'!Q$261")/INDIRECT("'"&amp;$H$3&amp;"'!$H$19"))))))+(INDIRECT("'"&amp;$H$3&amp;"'!Q$99")/INDIRECT("'"&amp;$H$3&amp;"'!Q320"))),0)</f>
        <v>0</v>
      </c>
      <c r="R431" s="836"/>
      <c r="S431" s="836"/>
      <c r="T431" s="836">
        <f ca="1">IFERROR(((INDIRECT("'"&amp;$H$3&amp;"'!T313")*INDIRECT("'"&amp;$H$3&amp;"'!$H$10"))-(2*INDIRECT("'"&amp;$H$3&amp;"'!T$98")/INDIRECT("'"&amp;$H$3&amp;"'!T321"))+(INDIRECT("'"&amp;$H$3&amp;"'!T$99")/INDIRECT("'"&amp;$H$3&amp;"'!T320")))/(((1/60)*(INDIRECT("'"&amp;$H$3&amp;"'!T317")+INDIRECT("'"&amp;$H$3&amp;"'!$H$19")*(INDIRECT("'"&amp;$H$3&amp;"'!T318")+(INDIRECT("'"&amp;$H$3&amp;"'!T319")*('2_Outputs'!T$52/INDIRECT("'"&amp;$H$3&amp;"'!T$261")/INDIRECT("'"&amp;$H$3&amp;"'!$H$19"))))))+(INDIRECT("'"&amp;$H$3&amp;"'!T$99")/INDIRECT("'"&amp;$H$3&amp;"'!T320"))),0)</f>
        <v>0</v>
      </c>
      <c r="U431" s="836"/>
      <c r="V431" s="836"/>
      <c r="W431" s="836">
        <f ca="1">IFERROR(((INDIRECT("'"&amp;$H$3&amp;"'!W313")*INDIRECT("'"&amp;$H$3&amp;"'!$H$10"))-(2*INDIRECT("'"&amp;$H$3&amp;"'!W$98")/INDIRECT("'"&amp;$H$3&amp;"'!W321"))+(INDIRECT("'"&amp;$H$3&amp;"'!W$99")/INDIRECT("'"&amp;$H$3&amp;"'!W320")))/(((1/60)*(INDIRECT("'"&amp;$H$3&amp;"'!W317")+INDIRECT("'"&amp;$H$3&amp;"'!$H$19")*(INDIRECT("'"&amp;$H$3&amp;"'!W318")+(INDIRECT("'"&amp;$H$3&amp;"'!W319")*('2_Outputs'!W$52/INDIRECT("'"&amp;$H$3&amp;"'!W$261")/INDIRECT("'"&amp;$H$3&amp;"'!$H$19"))))))+(INDIRECT("'"&amp;$H$3&amp;"'!W$99")/INDIRECT("'"&amp;$H$3&amp;"'!W320"))),0)</f>
        <v>0</v>
      </c>
      <c r="X431" s="1469"/>
      <c r="Y431" s="36"/>
      <c r="Z431" s="36"/>
      <c r="AA431" s="36"/>
      <c r="AB431" s="36"/>
      <c r="AC431" s="36"/>
      <c r="AD431" s="36"/>
      <c r="AE431" s="36"/>
      <c r="AF431" s="36"/>
      <c r="AG431" s="36"/>
      <c r="AH431" s="36"/>
      <c r="AI431" s="36"/>
      <c r="AJ431" s="36"/>
      <c r="AK431" s="36"/>
      <c r="AL431" s="36"/>
      <c r="AM431" s="36"/>
      <c r="AN431" s="36"/>
    </row>
    <row r="432" spans="6:40" outlineLevel="1">
      <c r="G432" s="6" t="s">
        <v>206</v>
      </c>
      <c r="H432" s="836"/>
      <c r="I432" s="836"/>
      <c r="J432" s="836"/>
      <c r="K432" s="836">
        <f ca="1">IFERROR(ROUND(K426*INDIRECT("'"&amp;$H$3&amp;"'!K$261")/K431,0),0)</f>
        <v>0</v>
      </c>
      <c r="L432" s="836"/>
      <c r="M432" s="836"/>
      <c r="N432" s="836">
        <f ca="1">IFERROR(ROUND(N426*INDIRECT("'"&amp;$H$3&amp;"'!N$261")/N431,0),0)</f>
        <v>0</v>
      </c>
      <c r="O432" s="836"/>
      <c r="P432" s="836"/>
      <c r="Q432" s="836">
        <f ca="1">IFERROR(ROUND(Q426*INDIRECT("'"&amp;$H$3&amp;"'!Q$261")/Q431,0),0)</f>
        <v>0</v>
      </c>
      <c r="R432" s="836"/>
      <c r="S432" s="836"/>
      <c r="T432" s="836">
        <f ca="1">IFERROR(ROUND(T426*INDIRECT("'"&amp;$H$3&amp;"'!T$261")/T431,0),0)</f>
        <v>0</v>
      </c>
      <c r="U432" s="836"/>
      <c r="V432" s="836"/>
      <c r="W432" s="836">
        <f ca="1">IFERROR(ROUND(W426*INDIRECT("'"&amp;$H$3&amp;"'!W$261")/W431,0),0)</f>
        <v>0</v>
      </c>
      <c r="X432" s="1469"/>
      <c r="Y432" s="36"/>
      <c r="Z432" s="36"/>
      <c r="AA432" s="36"/>
      <c r="AB432" s="36"/>
      <c r="AC432" s="36"/>
      <c r="AD432" s="36"/>
      <c r="AE432" s="36"/>
      <c r="AF432" s="36"/>
      <c r="AG432" s="36"/>
      <c r="AH432" s="36"/>
      <c r="AI432" s="36"/>
      <c r="AJ432" s="36"/>
      <c r="AK432" s="36"/>
      <c r="AL432" s="36"/>
      <c r="AM432" s="36"/>
      <c r="AN432" s="36"/>
    </row>
    <row r="433" spans="7:40" outlineLevel="1">
      <c r="G433" s="6" t="s">
        <v>87</v>
      </c>
      <c r="H433" s="836"/>
      <c r="I433" s="836"/>
      <c r="J433" s="836"/>
      <c r="K433" s="836">
        <f ca="1">IFERROR(IF(K426=0,0,(2*INDIRECT("'"&amp;$H$3&amp;"'!K$98"))+((MAX(K431, 1)-1)*INDIRECT("'"&amp;$H$3&amp;"'!K$99"))),0)</f>
        <v>0</v>
      </c>
      <c r="L433" s="836"/>
      <c r="M433" s="836"/>
      <c r="N433" s="836">
        <f ca="1">IFERROR(IF(N426=0,0,(2*INDIRECT("'"&amp;$H$3&amp;"'!N$98"))+((MAX(N431, 1)-1)*INDIRECT("'"&amp;$H$3&amp;"'!N$99"))),0)</f>
        <v>0</v>
      </c>
      <c r="O433" s="836"/>
      <c r="P433" s="836"/>
      <c r="Q433" s="836">
        <f ca="1">IFERROR(IF(Q426=0,0,(2*INDIRECT("'"&amp;$H$3&amp;"'!Q$98"))+((MAX(Q431, 1)-1)*INDIRECT("'"&amp;$H$3&amp;"'!Q$99"))),0)</f>
        <v>0</v>
      </c>
      <c r="R433" s="836"/>
      <c r="S433" s="836"/>
      <c r="T433" s="836">
        <f ca="1">IFERROR(IF(T426=0,0,(2*INDIRECT("'"&amp;$H$3&amp;"'!T$98"))+((MAX(T431, 1)-1)*INDIRECT("'"&amp;$H$3&amp;"'!T$99"))),0)</f>
        <v>0</v>
      </c>
      <c r="U433" s="836"/>
      <c r="V433" s="836"/>
      <c r="W433" s="836">
        <f ca="1">IFERROR(IF(W426=0,0,(2*INDIRECT("'"&amp;$H$3&amp;"'!W$98"))+((MAX(W431, 1)-1)*INDIRECT("'"&amp;$H$3&amp;"'!W$99"))),0)</f>
        <v>0</v>
      </c>
      <c r="X433" s="1469"/>
      <c r="Y433" s="36"/>
      <c r="Z433" s="36"/>
      <c r="AA433" s="36"/>
      <c r="AB433" s="36"/>
      <c r="AC433" s="36"/>
      <c r="AD433" s="36"/>
      <c r="AE433" s="36"/>
      <c r="AF433" s="36"/>
      <c r="AG433" s="36"/>
      <c r="AH433" s="36"/>
      <c r="AI433" s="36"/>
      <c r="AJ433" s="36"/>
      <c r="AK433" s="36"/>
      <c r="AL433" s="36"/>
      <c r="AM433" s="36"/>
      <c r="AN433" s="36"/>
    </row>
    <row r="434" spans="7:40" outlineLevel="1">
      <c r="G434" s="6" t="s">
        <v>203</v>
      </c>
      <c r="H434" s="838"/>
      <c r="I434" s="838"/>
      <c r="J434" s="838"/>
      <c r="K434" s="838">
        <f ca="1">IFERROR((ROUNDUP(K431,1)*((1/60)*(INDIRECT("'"&amp;$H$3&amp;"'!K317")+INDIRECT("'"&amp;$H$3&amp;"'!$H$19")*(INDIRECT("'"&amp;$H$3&amp;"'!K318")+(INDIRECT("'"&amp;$H$3&amp;"'!K319")*('2_Outputs'!K$52/INDIRECT("'"&amp;$H$3&amp;"'!K$261")/INDIRECT("'"&amp;$H$3&amp;"'!$H$19")))))))+((2*INDIRECT("'"&amp;$H$3&amp;"'!K$98"))/INDIRECT("'"&amp;$H$3&amp;"'!K321"))+(((MAX(K431,1)-1)*INDIRECT("'"&amp;$H$3&amp;"'!K$99"))/INDIRECT("'"&amp;$H$3&amp;"'!K320")),0)</f>
        <v>0</v>
      </c>
      <c r="L434" s="838"/>
      <c r="M434" s="838"/>
      <c r="N434" s="838">
        <f ca="1">IFERROR((ROUNDUP(N431,1)*((1/60)*(INDIRECT("'"&amp;$H$3&amp;"'!N317")+INDIRECT("'"&amp;$H$3&amp;"'!$H$19")*(INDIRECT("'"&amp;$H$3&amp;"'!N318")+(INDIRECT("'"&amp;$H$3&amp;"'!N319")*('2_Outputs'!N$52/INDIRECT("'"&amp;$H$3&amp;"'!N$261")/INDIRECT("'"&amp;$H$3&amp;"'!$H$19")))))))+((2*INDIRECT("'"&amp;$H$3&amp;"'!N$98"))/INDIRECT("'"&amp;$H$3&amp;"'!N321"))+(((MAX(N431,1)-1)*INDIRECT("'"&amp;$H$3&amp;"'!N$99"))/INDIRECT("'"&amp;$H$3&amp;"'!N320")),0)</f>
        <v>0</v>
      </c>
      <c r="O434" s="838"/>
      <c r="P434" s="838"/>
      <c r="Q434" s="838">
        <f ca="1">IFERROR((ROUNDUP(Q431,1)*((1/60)*(INDIRECT("'"&amp;$H$3&amp;"'!Q317")+INDIRECT("'"&amp;$H$3&amp;"'!$H$19")*(INDIRECT("'"&amp;$H$3&amp;"'!Q318")+(INDIRECT("'"&amp;$H$3&amp;"'!Q319")*('2_Outputs'!Q$52/INDIRECT("'"&amp;$H$3&amp;"'!Q$261")/INDIRECT("'"&amp;$H$3&amp;"'!$H$19")))))))+((2*INDIRECT("'"&amp;$H$3&amp;"'!Q$98"))/INDIRECT("'"&amp;$H$3&amp;"'!Q321"))+(((MAX(Q431,1)-1)*INDIRECT("'"&amp;$H$3&amp;"'!Q$99"))/INDIRECT("'"&amp;$H$3&amp;"'!Q320")),0)</f>
        <v>0</v>
      </c>
      <c r="R434" s="838"/>
      <c r="S434" s="838"/>
      <c r="T434" s="838">
        <f ca="1">IFERROR((ROUNDUP(T431,1)*((1/60)*(INDIRECT("'"&amp;$H$3&amp;"'!T317")+INDIRECT("'"&amp;$H$3&amp;"'!$H$19")*(INDIRECT("'"&amp;$H$3&amp;"'!T318")+(INDIRECT("'"&amp;$H$3&amp;"'!T319")*('2_Outputs'!T$52/INDIRECT("'"&amp;$H$3&amp;"'!T$261")/INDIRECT("'"&amp;$H$3&amp;"'!$H$19")))))))+((2*INDIRECT("'"&amp;$H$3&amp;"'!T$98"))/INDIRECT("'"&amp;$H$3&amp;"'!T321"))+(((MAX(T431,1)-1)*INDIRECT("'"&amp;$H$3&amp;"'!T$99"))/INDIRECT("'"&amp;$H$3&amp;"'!T320")),0)</f>
        <v>0</v>
      </c>
      <c r="U434" s="838"/>
      <c r="V434" s="838"/>
      <c r="W434" s="838">
        <f ca="1">IFERROR((ROUNDUP(W431,1)*((1/60)*(INDIRECT("'"&amp;$H$3&amp;"'!W317")+INDIRECT("'"&amp;$H$3&amp;"'!$H$19")*(INDIRECT("'"&amp;$H$3&amp;"'!W318")+(INDIRECT("'"&amp;$H$3&amp;"'!W319")*('2_Outputs'!W$52/INDIRECT("'"&amp;$H$3&amp;"'!W$261")/INDIRECT("'"&amp;$H$3&amp;"'!$H$19")))))))+((2*INDIRECT("'"&amp;$H$3&amp;"'!W$98"))/INDIRECT("'"&amp;$H$3&amp;"'!W321"))+(((MAX(W431,1)-1)*INDIRECT("'"&amp;$H$3&amp;"'!W$99"))/INDIRECT("'"&amp;$H$3&amp;"'!W320")),0)</f>
        <v>0</v>
      </c>
      <c r="X434" s="1465"/>
      <c r="Y434" s="36"/>
      <c r="Z434" s="36"/>
      <c r="AA434" s="36"/>
      <c r="AB434" s="36"/>
      <c r="AC434" s="36"/>
      <c r="AD434" s="36"/>
      <c r="AE434" s="36"/>
      <c r="AF434" s="36"/>
      <c r="AG434" s="36"/>
      <c r="AH434" s="36"/>
      <c r="AI434" s="36"/>
      <c r="AJ434" s="36"/>
      <c r="AK434" s="36"/>
      <c r="AL434" s="36"/>
      <c r="AM434" s="36"/>
      <c r="AN434" s="36"/>
    </row>
    <row r="435" spans="7:40" outlineLevel="1">
      <c r="G435" s="6" t="s">
        <v>204</v>
      </c>
      <c r="H435" s="838"/>
      <c r="I435" s="838"/>
      <c r="J435" s="838"/>
      <c r="K435" s="838">
        <f ca="1">IFERROR((INDIRECT("'"&amp;$H$3&amp;"'!$H$10")*INDIRECT("'"&amp;$H$3&amp;"'!$H$9")*INDIRECT("'"&amp;$H$3&amp;"'!K308"))/K434,0)</f>
        <v>0</v>
      </c>
      <c r="L435" s="838"/>
      <c r="M435" s="838"/>
      <c r="N435" s="838">
        <f ca="1">IFERROR((INDIRECT("'"&amp;$H$3&amp;"'!$H$10")*INDIRECT("'"&amp;$H$3&amp;"'!$H$9")*INDIRECT("'"&amp;$H$3&amp;"'!N308"))/N434,0)</f>
        <v>0</v>
      </c>
      <c r="O435" s="838"/>
      <c r="P435" s="838"/>
      <c r="Q435" s="838">
        <f ca="1">IFERROR((INDIRECT("'"&amp;$H$3&amp;"'!$H$10")*INDIRECT("'"&amp;$H$3&amp;"'!$H$9")*INDIRECT("'"&amp;$H$3&amp;"'!Q308"))/Q434,0)</f>
        <v>0</v>
      </c>
      <c r="R435" s="838"/>
      <c r="S435" s="838"/>
      <c r="T435" s="838">
        <f ca="1">IFERROR((INDIRECT("'"&amp;$H$3&amp;"'!$H$10")*INDIRECT("'"&amp;$H$3&amp;"'!$H$9")*INDIRECT("'"&amp;$H$3&amp;"'!T308"))/T434,0)</f>
        <v>0</v>
      </c>
      <c r="U435" s="838"/>
      <c r="V435" s="838"/>
      <c r="W435" s="838">
        <f ca="1">IFERROR((INDIRECT("'"&amp;$H$3&amp;"'!$H$10")*INDIRECT("'"&amp;$H$3&amp;"'!$H$9")*INDIRECT("'"&amp;$H$3&amp;"'!W308"))/W434,0)</f>
        <v>0</v>
      </c>
      <c r="X435" s="1465"/>
      <c r="Y435" s="36"/>
      <c r="Z435" s="36"/>
      <c r="AA435" s="36"/>
      <c r="AB435" s="36"/>
      <c r="AC435" s="36"/>
      <c r="AD435" s="36"/>
      <c r="AE435" s="36"/>
      <c r="AF435" s="36"/>
      <c r="AG435" s="36"/>
      <c r="AH435" s="36"/>
      <c r="AI435" s="36"/>
      <c r="AJ435" s="36"/>
      <c r="AK435" s="242"/>
      <c r="AL435" s="36"/>
      <c r="AM435" s="36"/>
      <c r="AN435" s="36"/>
    </row>
    <row r="436" spans="7:40" outlineLevel="1">
      <c r="G436" s="241" t="s">
        <v>134</v>
      </c>
      <c r="H436" s="842"/>
      <c r="I436" s="842"/>
      <c r="J436" s="842"/>
      <c r="K436" s="842"/>
      <c r="L436" s="842"/>
      <c r="M436" s="842"/>
      <c r="N436" s="842"/>
      <c r="O436" s="842"/>
      <c r="P436" s="842"/>
      <c r="Q436" s="842"/>
      <c r="R436" s="853"/>
      <c r="S436" s="853"/>
      <c r="T436" s="842"/>
      <c r="U436" s="853"/>
      <c r="V436" s="853"/>
      <c r="W436" s="842"/>
      <c r="X436" s="1470"/>
      <c r="Y436" s="36"/>
      <c r="Z436" s="36"/>
      <c r="AA436" s="36"/>
      <c r="AB436" s="36"/>
      <c r="AC436" s="36"/>
      <c r="AD436" s="36"/>
      <c r="AE436" s="36"/>
      <c r="AF436" s="36"/>
      <c r="AG436" s="36"/>
      <c r="AH436" s="36"/>
      <c r="AI436" s="36"/>
      <c r="AJ436" s="36"/>
      <c r="AK436" s="242"/>
      <c r="AL436" s="36"/>
      <c r="AM436" s="36"/>
      <c r="AN436" s="36"/>
    </row>
    <row r="437" spans="7:40" outlineLevel="1">
      <c r="G437" s="6" t="s">
        <v>206</v>
      </c>
      <c r="H437" s="836"/>
      <c r="I437" s="836"/>
      <c r="J437" s="836"/>
      <c r="K437" s="836">
        <f ca="1">IFERROR(K426*INDIRECT("'"&amp;$H$3&amp;"'!K$261"),0)</f>
        <v>0</v>
      </c>
      <c r="L437" s="836"/>
      <c r="M437" s="836"/>
      <c r="N437" s="836">
        <f ca="1">IFERROR(N426*INDIRECT("'"&amp;$H$3&amp;"'!N$261"),0)</f>
        <v>0</v>
      </c>
      <c r="O437" s="836"/>
      <c r="P437" s="836"/>
      <c r="Q437" s="836">
        <f ca="1">IFERROR(Q426*INDIRECT("'"&amp;$H$3&amp;"'!Q$261"),0)</f>
        <v>0</v>
      </c>
      <c r="R437" s="836"/>
      <c r="S437" s="836"/>
      <c r="T437" s="836">
        <f ca="1">IFERROR(T426*INDIRECT("'"&amp;$H$3&amp;"'!T$261"),0)</f>
        <v>0</v>
      </c>
      <c r="U437" s="836"/>
      <c r="V437" s="836"/>
      <c r="W437" s="836">
        <f ca="1">IFERROR(W426*INDIRECT("'"&amp;$H$3&amp;"'!W$261"),0)</f>
        <v>0</v>
      </c>
      <c r="X437" s="1469"/>
      <c r="Y437" s="36"/>
      <c r="Z437" s="36"/>
      <c r="AA437" s="36"/>
      <c r="AB437" s="36" t="s">
        <v>192</v>
      </c>
      <c r="AC437" s="36"/>
      <c r="AD437" s="36" t="s">
        <v>193</v>
      </c>
      <c r="AE437" s="36"/>
      <c r="AF437" s="36"/>
      <c r="AG437" s="36"/>
      <c r="AH437" s="36"/>
      <c r="AI437" s="36"/>
      <c r="AJ437" s="36"/>
      <c r="AK437" s="36"/>
      <c r="AL437" s="36"/>
      <c r="AM437" s="36"/>
      <c r="AN437" s="36"/>
    </row>
    <row r="438" spans="7:40" outlineLevel="1">
      <c r="G438" s="6" t="s">
        <v>87</v>
      </c>
      <c r="H438" s="836"/>
      <c r="I438" s="836"/>
      <c r="J438" s="836"/>
      <c r="K438" s="836">
        <f ca="1">IFERROR(IF(K426=0,0,2*INDIRECT("'"&amp;$H$3&amp;"'!K$98")),0)</f>
        <v>0</v>
      </c>
      <c r="L438" s="836"/>
      <c r="M438" s="836"/>
      <c r="N438" s="836">
        <f ca="1">IFERROR(IF(N426=0,0,2*INDIRECT("'"&amp;$H$3&amp;"'!N$98")),0)</f>
        <v>0</v>
      </c>
      <c r="O438" s="836"/>
      <c r="P438" s="836"/>
      <c r="Q438" s="836">
        <f ca="1">IFERROR(IF(Q426=0,0,2*INDIRECT("'"&amp;$H$3&amp;"'!Q$98")),0)</f>
        <v>0</v>
      </c>
      <c r="R438" s="836"/>
      <c r="S438" s="836"/>
      <c r="T438" s="836">
        <f ca="1">IFERROR(IF(T426=0,0,2*INDIRECT("'"&amp;$H$3&amp;"'!T$98")),0)</f>
        <v>0</v>
      </c>
      <c r="U438" s="836"/>
      <c r="V438" s="836"/>
      <c r="W438" s="836">
        <f ca="1">IFERROR(IF(W426=0,0,2*INDIRECT("'"&amp;$H$3&amp;"'!W$98")),0)</f>
        <v>0</v>
      </c>
      <c r="X438" s="1469"/>
      <c r="Y438" s="36"/>
      <c r="Z438" s="36"/>
      <c r="AA438" s="36"/>
      <c r="AB438" s="36" t="s">
        <v>194</v>
      </c>
      <c r="AC438" s="36"/>
      <c r="AD438" s="36" t="s">
        <v>195</v>
      </c>
      <c r="AE438" s="36"/>
      <c r="AF438" s="36"/>
      <c r="AG438" s="36"/>
      <c r="AH438" s="36"/>
      <c r="AI438" s="36"/>
      <c r="AJ438" s="36"/>
      <c r="AK438" s="36"/>
      <c r="AL438" s="36"/>
      <c r="AM438" s="36"/>
      <c r="AN438" s="36"/>
    </row>
    <row r="439" spans="7:40" outlineLevel="1">
      <c r="G439" s="6" t="s">
        <v>204</v>
      </c>
      <c r="H439" s="837"/>
      <c r="I439" s="837"/>
      <c r="J439" s="837"/>
      <c r="K439" s="837">
        <f ca="1">IFERROR((INDIRECT("'"&amp;$H$3&amp;"'!$H$10")*INDIRECT("'"&amp;$H$3&amp;"'!$H$9")*INDIRECT("'"&amp;$H$3&amp;"'!K308"))/((K438/INDIRECT("'"&amp;$H$3&amp;"'!K321"))+((1/60)*(INDIRECT("'"&amp;$H$3&amp;"'!K317")+INDIRECT("'"&amp;$H$3&amp;"'!$H$19")*(INDIRECT("'"&amp;$H$3&amp;"'!K318")+(INDIRECT("'"&amp;$H$3&amp;"'!K319")*('2_Outputs'!K$52/INDIRECT("'"&amp;$H$3&amp;"'!K$261")/INDIRECT("'"&amp;$H$3&amp;"'!$H$19"))))))),0)</f>
        <v>0</v>
      </c>
      <c r="L439" s="837"/>
      <c r="M439" s="837"/>
      <c r="N439" s="837">
        <f ca="1">IFERROR((INDIRECT("'"&amp;$H$3&amp;"'!$H$10")*INDIRECT("'"&amp;$H$3&amp;"'!$H$9")*INDIRECT("'"&amp;$H$3&amp;"'!N308"))/((N438/INDIRECT("'"&amp;$H$3&amp;"'!N321"))+((1/60)*(INDIRECT("'"&amp;$H$3&amp;"'!N317")+INDIRECT("'"&amp;$H$3&amp;"'!$H$19")*(INDIRECT("'"&amp;$H$3&amp;"'!N318")+(INDIRECT("'"&amp;$H$3&amp;"'!N319")*('2_Outputs'!N$52/INDIRECT("'"&amp;$H$3&amp;"'!N$261")/INDIRECT("'"&amp;$H$3&amp;"'!$H$19"))))))),0)</f>
        <v>0</v>
      </c>
      <c r="O439" s="837"/>
      <c r="P439" s="837"/>
      <c r="Q439" s="837">
        <f ca="1">IFERROR((INDIRECT("'"&amp;$H$3&amp;"'!$H$10")*INDIRECT("'"&amp;$H$3&amp;"'!$H$9")*INDIRECT("'"&amp;$H$3&amp;"'!Q308"))/((Q438/INDIRECT("'"&amp;$H$3&amp;"'!Q321"))+((1/60)*(INDIRECT("'"&amp;$H$3&amp;"'!Q317")+INDIRECT("'"&amp;$H$3&amp;"'!$H$19")*(INDIRECT("'"&amp;$H$3&amp;"'!Q318")+(INDIRECT("'"&amp;$H$3&amp;"'!Q319")*('2_Outputs'!Q$52/INDIRECT("'"&amp;$H$3&amp;"'!Q$261")/INDIRECT("'"&amp;$H$3&amp;"'!$H$19"))))))),0)</f>
        <v>0</v>
      </c>
      <c r="R439" s="837"/>
      <c r="S439" s="837"/>
      <c r="T439" s="837">
        <f ca="1">IFERROR((INDIRECT("'"&amp;$H$3&amp;"'!$H$10")*INDIRECT("'"&amp;$H$3&amp;"'!$H$9")*INDIRECT("'"&amp;$H$3&amp;"'!T308"))/((T438/INDIRECT("'"&amp;$H$3&amp;"'!T321"))+((1/60)*(INDIRECT("'"&amp;$H$3&amp;"'!T317")+INDIRECT("'"&amp;$H$3&amp;"'!$H$19")*(INDIRECT("'"&amp;$H$3&amp;"'!T318")+(INDIRECT("'"&amp;$H$3&amp;"'!T319")*('2_Outputs'!T$52/INDIRECT("'"&amp;$H$3&amp;"'!T$261")/INDIRECT("'"&amp;$H$3&amp;"'!$H$19"))))))),0)</f>
        <v>0</v>
      </c>
      <c r="U439" s="837"/>
      <c r="V439" s="837"/>
      <c r="W439" s="837">
        <f ca="1">IFERROR((INDIRECT("'"&amp;$H$3&amp;"'!$H$10")*INDIRECT("'"&amp;$H$3&amp;"'!$H$9")*INDIRECT("'"&amp;$H$3&amp;"'!W308"))/((W438/INDIRECT("'"&amp;$H$3&amp;"'!W321"))+((1/60)*(INDIRECT("'"&amp;$H$3&amp;"'!W317")+INDIRECT("'"&amp;$H$3&amp;"'!$H$19")*(INDIRECT("'"&amp;$H$3&amp;"'!W318")+(INDIRECT("'"&amp;$H$3&amp;"'!W319")*('2_Outputs'!W$52/INDIRECT("'"&amp;$H$3&amp;"'!W$261")/INDIRECT("'"&amp;$H$3&amp;"'!$H$19"))))))),0)</f>
        <v>0</v>
      </c>
      <c r="X439" s="1468"/>
      <c r="Y439" s="36"/>
      <c r="Z439" s="36"/>
      <c r="AA439" s="36"/>
      <c r="AB439" s="36" t="s">
        <v>196</v>
      </c>
      <c r="AC439" s="36"/>
      <c r="AD439" s="36" t="s">
        <v>197</v>
      </c>
      <c r="AE439" s="36"/>
      <c r="AF439" s="36"/>
      <c r="AG439" s="36"/>
      <c r="AH439" s="36"/>
      <c r="AI439" s="36"/>
      <c r="AJ439" s="36"/>
      <c r="AK439" s="36"/>
      <c r="AL439" s="36"/>
      <c r="AM439" s="36"/>
      <c r="AN439" s="36"/>
    </row>
    <row r="440" spans="7:40" outlineLevel="1">
      <c r="R440" s="36"/>
      <c r="S440" s="36"/>
      <c r="T440" s="36"/>
      <c r="U440" s="36"/>
      <c r="V440" s="36"/>
      <c r="W440" s="36"/>
      <c r="X440" s="1397"/>
      <c r="Y440" s="36"/>
      <c r="Z440" s="36"/>
      <c r="AA440" s="36"/>
      <c r="AB440" s="36"/>
      <c r="AC440" s="36"/>
      <c r="AD440" s="36"/>
      <c r="AE440" s="36"/>
      <c r="AF440" s="36"/>
      <c r="AG440" s="36"/>
      <c r="AH440" s="36"/>
      <c r="AI440" s="36"/>
      <c r="AJ440" s="36"/>
      <c r="AK440" s="36"/>
      <c r="AL440" s="36"/>
      <c r="AM440" s="36"/>
      <c r="AN440" s="36"/>
    </row>
    <row r="441" spans="7:40" outlineLevel="1">
      <c r="R441" s="36"/>
      <c r="S441" s="36"/>
      <c r="T441" s="36"/>
      <c r="U441" s="36"/>
      <c r="V441" s="36"/>
      <c r="W441" s="36"/>
      <c r="X441" s="1397"/>
      <c r="Y441" s="36"/>
      <c r="Z441" s="36"/>
      <c r="AA441" s="36"/>
      <c r="AB441" s="36"/>
      <c r="AC441" s="36"/>
      <c r="AD441" s="36"/>
      <c r="AE441" s="36"/>
      <c r="AF441" s="36"/>
      <c r="AG441" s="36"/>
      <c r="AH441" s="36"/>
      <c r="AI441" s="36"/>
      <c r="AJ441" s="36"/>
      <c r="AK441" s="36"/>
      <c r="AL441" s="36"/>
      <c r="AM441" s="36"/>
      <c r="AN441" s="36"/>
    </row>
    <row r="442" spans="7:40">
      <c r="H442" s="67"/>
      <c r="I442" s="67"/>
      <c r="J442" s="67"/>
      <c r="K442" s="67"/>
      <c r="L442" s="67"/>
      <c r="M442" s="67"/>
      <c r="N442" s="67"/>
      <c r="O442" s="67"/>
      <c r="P442" s="67"/>
      <c r="R442" s="243"/>
      <c r="S442" s="243"/>
      <c r="T442" s="243"/>
      <c r="U442" s="243"/>
      <c r="V442" s="243"/>
      <c r="W442" s="243"/>
      <c r="X442" s="1457"/>
      <c r="Y442" s="36"/>
      <c r="Z442" s="36"/>
      <c r="AA442" s="36"/>
      <c r="AB442" s="36"/>
      <c r="AC442" s="36"/>
      <c r="AD442" s="36"/>
      <c r="AE442" s="36"/>
      <c r="AF442" s="36"/>
      <c r="AG442" s="36"/>
      <c r="AH442" s="36"/>
      <c r="AI442" s="36"/>
      <c r="AJ442" s="36"/>
      <c r="AK442" s="36"/>
      <c r="AL442" s="36"/>
      <c r="AM442" s="36"/>
      <c r="AN442" s="36"/>
    </row>
    <row r="443" spans="7:40">
      <c r="H443" s="67"/>
      <c r="I443" s="67"/>
      <c r="J443" s="67"/>
      <c r="K443" s="67"/>
      <c r="L443" s="67"/>
      <c r="M443" s="67"/>
      <c r="N443" s="67"/>
      <c r="O443" s="67"/>
      <c r="P443" s="67"/>
      <c r="R443" s="243"/>
      <c r="S443" s="243"/>
      <c r="T443" s="243"/>
      <c r="U443" s="243"/>
      <c r="V443" s="243"/>
      <c r="W443" s="243"/>
      <c r="X443" s="1457"/>
      <c r="Y443" s="36"/>
      <c r="Z443" s="36"/>
      <c r="AA443" s="36"/>
      <c r="AB443" s="36"/>
      <c r="AC443" s="36"/>
      <c r="AD443" s="36"/>
      <c r="AE443" s="36"/>
      <c r="AF443" s="36"/>
      <c r="AG443" s="36"/>
      <c r="AH443" s="36"/>
      <c r="AI443" s="36"/>
      <c r="AJ443" s="36"/>
      <c r="AK443" s="242"/>
      <c r="AL443" s="36"/>
      <c r="AM443" s="36"/>
      <c r="AN443" s="36"/>
    </row>
    <row r="444" spans="7:40">
      <c r="R444" s="243"/>
      <c r="S444" s="243"/>
      <c r="T444" s="243"/>
      <c r="U444" s="243"/>
      <c r="V444" s="243"/>
      <c r="W444" s="243"/>
      <c r="X444" s="1457"/>
      <c r="Y444" s="36"/>
      <c r="Z444" s="36"/>
      <c r="AA444" s="36"/>
      <c r="AB444" s="36"/>
      <c r="AC444" s="36"/>
      <c r="AD444" s="36"/>
      <c r="AE444" s="36"/>
      <c r="AF444" s="36"/>
      <c r="AG444" s="36"/>
      <c r="AH444" s="36"/>
      <c r="AI444" s="36"/>
      <c r="AJ444" s="36"/>
      <c r="AK444" s="36"/>
      <c r="AL444" s="36"/>
      <c r="AM444" s="36"/>
      <c r="AN444" s="36"/>
    </row>
    <row r="445" spans="7:40">
      <c r="R445" s="243"/>
      <c r="S445" s="243"/>
      <c r="T445" s="243"/>
      <c r="U445" s="243"/>
      <c r="V445" s="243"/>
      <c r="W445" s="243"/>
      <c r="X445" s="1457"/>
      <c r="Y445" s="36"/>
      <c r="Z445" s="36"/>
      <c r="AA445" s="36"/>
      <c r="AB445" s="36"/>
      <c r="AC445" s="36"/>
      <c r="AD445" s="36"/>
      <c r="AE445" s="36"/>
      <c r="AF445" s="36"/>
      <c r="AG445" s="36"/>
      <c r="AH445" s="36"/>
      <c r="AI445" s="36"/>
      <c r="AJ445" s="36"/>
      <c r="AK445" s="36"/>
      <c r="AL445" s="36"/>
      <c r="AM445" s="36"/>
      <c r="AN445" s="36"/>
    </row>
    <row r="446" spans="7:40">
      <c r="R446" s="243"/>
      <c r="S446" s="243"/>
      <c r="T446" s="243"/>
      <c r="U446" s="243"/>
      <c r="V446" s="243"/>
      <c r="W446" s="243"/>
      <c r="X446" s="1457"/>
      <c r="Y446" s="36"/>
      <c r="Z446" s="36"/>
      <c r="AA446" s="36"/>
      <c r="AB446" s="36"/>
      <c r="AC446" s="36"/>
      <c r="AD446" s="36"/>
      <c r="AE446" s="36"/>
      <c r="AF446" s="36"/>
      <c r="AG446" s="36"/>
      <c r="AH446" s="36"/>
      <c r="AI446" s="36"/>
      <c r="AJ446" s="36"/>
      <c r="AK446" s="36"/>
      <c r="AL446" s="36"/>
      <c r="AM446" s="36"/>
      <c r="AN446" s="36"/>
    </row>
    <row r="447" spans="7:40">
      <c r="R447" s="243"/>
      <c r="S447" s="243"/>
      <c r="T447" s="243"/>
      <c r="U447" s="243"/>
      <c r="V447" s="243"/>
      <c r="W447" s="243"/>
      <c r="X447" s="1457"/>
      <c r="Y447" s="36"/>
      <c r="Z447" s="36"/>
      <c r="AA447" s="36"/>
      <c r="AB447" s="36"/>
      <c r="AC447" s="36"/>
      <c r="AD447" s="36"/>
      <c r="AE447" s="36"/>
      <c r="AF447" s="36"/>
      <c r="AG447" s="36"/>
      <c r="AH447" s="36"/>
      <c r="AI447" s="36"/>
      <c r="AJ447" s="36"/>
      <c r="AK447" s="36"/>
      <c r="AL447" s="36"/>
      <c r="AM447" s="36"/>
      <c r="AN447" s="36"/>
    </row>
  </sheetData>
  <sheetProtection algorithmName="SHA-512" hashValue="b17WRi7GPBkr5r63Z1P0wnz0r281cIp2W0VHESOCGbOWGv4IbPLZFU27vJ/3w1/6r8LUHrB2m+Twhk5g12LuNw==" saltValue="KBAYkekZZNxIo8HfMrE0uQ==" spinCount="100000" sheet="1" formatColumns="0" formatRows="0"/>
  <protectedRanges>
    <protectedRange sqref="H3:K3" name="Range1"/>
  </protectedRanges>
  <mergeCells count="33">
    <mergeCell ref="H16:K16"/>
    <mergeCell ref="A1:T1"/>
    <mergeCell ref="H3:K3"/>
    <mergeCell ref="H4:K4"/>
    <mergeCell ref="H9:K9"/>
    <mergeCell ref="H10:K10"/>
    <mergeCell ref="H11:K11"/>
    <mergeCell ref="H12:K12"/>
    <mergeCell ref="H13:K13"/>
    <mergeCell ref="F14:G14"/>
    <mergeCell ref="H14:K14"/>
    <mergeCell ref="H15:K15"/>
    <mergeCell ref="H18:K18"/>
    <mergeCell ref="F31:F33"/>
    <mergeCell ref="Y31:Y33"/>
    <mergeCell ref="Z31:Z33"/>
    <mergeCell ref="F34:F37"/>
    <mergeCell ref="Y34:Y37"/>
    <mergeCell ref="Z34:Z37"/>
    <mergeCell ref="F38:F41"/>
    <mergeCell ref="Y38:Y41"/>
    <mergeCell ref="Z38:Z41"/>
    <mergeCell ref="F42:F45"/>
    <mergeCell ref="Y42:Y45"/>
    <mergeCell ref="Z42:Z45"/>
    <mergeCell ref="F146:G146"/>
    <mergeCell ref="AP48:AU48"/>
    <mergeCell ref="AP50:AS51"/>
    <mergeCell ref="AT50:AT51"/>
    <mergeCell ref="AU50:AU51"/>
    <mergeCell ref="AP52:AS53"/>
    <mergeCell ref="AT52:AT53"/>
    <mergeCell ref="AU52:AU53"/>
  </mergeCells>
  <conditionalFormatting sqref="H265:N265 H293:J294 I279:J292 I266:J277 H382:J383 L266:P277 L279:P292 I355:J367 O355:P367 H191:J191 R157:X157 R171:X173 R165:X166 R159:X163 R175:X181 R183:X185 H351:N352 H148:J186 H262:N263 O149:X149 O154:Q185 H353:J354">
    <cfRule type="expression" dxfId="437" priority="106">
      <formula>ISERROR(H148)</formula>
    </cfRule>
  </conditionalFormatting>
  <conditionalFormatting sqref="I368:J381 O368:P381">
    <cfRule type="expression" dxfId="436" priority="105">
      <formula>ISERROR(I368)</formula>
    </cfRule>
  </conditionalFormatting>
  <conditionalFormatting sqref="H224:J224 H229:N229">
    <cfRule type="expression" dxfId="435" priority="104">
      <formula>ISERROR(H224)</formula>
    </cfRule>
  </conditionalFormatting>
  <conditionalFormatting sqref="H323:N323 H322:J322">
    <cfRule type="expression" dxfId="434" priority="103">
      <formula>ISERROR(H322)</formula>
    </cfRule>
  </conditionalFormatting>
  <conditionalFormatting sqref="H412:N412 H411:J411">
    <cfRule type="expression" dxfId="433" priority="102">
      <formula>ISERROR(H411)</formula>
    </cfRule>
  </conditionalFormatting>
  <conditionalFormatting sqref="Q279:Q292 Q266:Q277">
    <cfRule type="expression" dxfId="432" priority="101">
      <formula>ISERROR(Q266)</formula>
    </cfRule>
  </conditionalFormatting>
  <conditionalFormatting sqref="K266:K277 K279:K292">
    <cfRule type="expression" dxfId="431" priority="100">
      <formula>ISERROR(K266)</formula>
    </cfRule>
  </conditionalFormatting>
  <conditionalFormatting sqref="H266:H277 H279:H292 I281:X282 I284:X288 I291:X291">
    <cfRule type="expression" dxfId="430" priority="99">
      <formula>ISERROR(H266)</formula>
    </cfRule>
  </conditionalFormatting>
  <conditionalFormatting sqref="I308:J321 I295:J306 O295:P306 O308:P321">
    <cfRule type="expression" dxfId="429" priority="98">
      <formula>ISERROR(I295)</formula>
    </cfRule>
  </conditionalFormatting>
  <conditionalFormatting sqref="Q308:Q321 Q295:Q306">
    <cfRule type="expression" dxfId="428" priority="97">
      <formula>ISERROR(Q295)</formula>
    </cfRule>
  </conditionalFormatting>
  <conditionalFormatting sqref="H295:H306 H308:H321 I310:J311 I305:J306 I299:J303 I313:J317 I319:J321 O319:X321 O313:X317 O299:X303 O305:X306 O310:X311">
    <cfRule type="expression" dxfId="427" priority="96">
      <formula>ISERROR(H295)</formula>
    </cfRule>
  </conditionalFormatting>
  <conditionalFormatting sqref="I337:J350 I324:J335 L324:P335 L337:P350">
    <cfRule type="expression" dxfId="426" priority="95">
      <formula>ISERROR(I324)</formula>
    </cfRule>
  </conditionalFormatting>
  <conditionalFormatting sqref="Q337:Q350 Q324:Q335">
    <cfRule type="expression" dxfId="425" priority="94">
      <formula>ISERROR(Q324)</formula>
    </cfRule>
  </conditionalFormatting>
  <conditionalFormatting sqref="K324:K335 K337:K350">
    <cfRule type="expression" dxfId="424" priority="93">
      <formula>ISERROR(K324)</formula>
    </cfRule>
  </conditionalFormatting>
  <conditionalFormatting sqref="H324:H335 H337:H350 I339:X340 I334:X335 I328:X332 I342:X346 I348:X350">
    <cfRule type="expression" dxfId="423" priority="92">
      <formula>ISERROR(H324)</formula>
    </cfRule>
  </conditionalFormatting>
  <conditionalFormatting sqref="H192:J207 H209:J223 R195:X195 R209:X211 R203:X204 R197:X201 R213:X219 R221:X223 O209:Q223 O192:Q207">
    <cfRule type="expression" dxfId="422" priority="91">
      <formula>ISERROR(H192)</formula>
    </cfRule>
  </conditionalFormatting>
  <conditionalFormatting sqref="H230:Q245 H247:Q261 R233:X233 R247:X249 R241:X242 R235:X239 R251:X257 R259:X261">
    <cfRule type="expression" dxfId="421" priority="90">
      <formula>ISERROR(H230)</formula>
    </cfRule>
  </conditionalFormatting>
  <conditionalFormatting sqref="H355:H367 I365:J366 I359:J363 O359:X363 O365:X366">
    <cfRule type="expression" dxfId="420" priority="89">
      <formula>ISERROR(H355)</formula>
    </cfRule>
  </conditionalFormatting>
  <conditionalFormatting sqref="H368:H381 I370:J371 I373:J377 I379:J381 O379:X381 O373:X377 O370:X371">
    <cfRule type="expression" dxfId="419" priority="88">
      <formula>ISERROR(H368)</formula>
    </cfRule>
  </conditionalFormatting>
  <conditionalFormatting sqref="Q355:Q367">
    <cfRule type="expression" dxfId="418" priority="87">
      <formula>ISERROR(Q355)</formula>
    </cfRule>
  </conditionalFormatting>
  <conditionalFormatting sqref="Q368:Q381">
    <cfRule type="expression" dxfId="417" priority="86">
      <formula>ISERROR(Q368)</formula>
    </cfRule>
  </conditionalFormatting>
  <conditionalFormatting sqref="I384:J396 O384:P396">
    <cfRule type="expression" dxfId="416" priority="85">
      <formula>ISERROR(I384)</formula>
    </cfRule>
  </conditionalFormatting>
  <conditionalFormatting sqref="I397:J410 O397:P410">
    <cfRule type="expression" dxfId="415" priority="84">
      <formula>ISERROR(I397)</formula>
    </cfRule>
  </conditionalFormatting>
  <conditionalFormatting sqref="H384:H396 I394:J395 I388:J392 O388:X392 O394:X395">
    <cfRule type="expression" dxfId="414" priority="83">
      <formula>ISERROR(H384)</formula>
    </cfRule>
  </conditionalFormatting>
  <conditionalFormatting sqref="H397:H410 I397:J400 I402:J406 I408:J410 O408:X410 O402:X406 O397:X400">
    <cfRule type="expression" dxfId="413" priority="82">
      <formula>ISERROR(H397)</formula>
    </cfRule>
  </conditionalFormatting>
  <conditionalFormatting sqref="Q384:Q396">
    <cfRule type="expression" dxfId="412" priority="81">
      <formula>ISERROR(Q384)</formula>
    </cfRule>
  </conditionalFormatting>
  <conditionalFormatting sqref="Q397:Q410">
    <cfRule type="expression" dxfId="411" priority="80">
      <formula>ISERROR(Q397)</formula>
    </cfRule>
  </conditionalFormatting>
  <conditionalFormatting sqref="I413:J425 L413:P425">
    <cfRule type="expression" dxfId="410" priority="79">
      <formula>ISERROR(I413)</formula>
    </cfRule>
  </conditionalFormatting>
  <conditionalFormatting sqref="I426:J439 L426:P439">
    <cfRule type="expression" dxfId="409" priority="78">
      <formula>ISERROR(I426)</formula>
    </cfRule>
  </conditionalFormatting>
  <conditionalFormatting sqref="K413:K425">
    <cfRule type="expression" dxfId="408" priority="77">
      <formula>ISERROR(K413)</formula>
    </cfRule>
  </conditionalFormatting>
  <conditionalFormatting sqref="K426:K439">
    <cfRule type="expression" dxfId="407" priority="76">
      <formula>ISERROR(K426)</formula>
    </cfRule>
  </conditionalFormatting>
  <conditionalFormatting sqref="H413:H425 I423:X424 I417:X421 I413:X415">
    <cfRule type="expression" dxfId="406" priority="75">
      <formula>ISERROR(H413)</formula>
    </cfRule>
  </conditionalFormatting>
  <conditionalFormatting sqref="H426:H439 I426:X429 I431:X435 I437:X439">
    <cfRule type="expression" dxfId="405" priority="74">
      <formula>ISERROR(H426)</formula>
    </cfRule>
  </conditionalFormatting>
  <conditionalFormatting sqref="Q413:Q425">
    <cfRule type="expression" dxfId="404" priority="73">
      <formula>ISERROR(Q413)</formula>
    </cfRule>
  </conditionalFormatting>
  <conditionalFormatting sqref="Q426:Q439">
    <cfRule type="expression" dxfId="403" priority="72">
      <formula>ISERROR(Q426)</formula>
    </cfRule>
  </conditionalFormatting>
  <conditionalFormatting sqref="H208:J208 O208:Q208">
    <cfRule type="expression" dxfId="402" priority="71">
      <formula>ISERROR(H208)</formula>
    </cfRule>
  </conditionalFormatting>
  <conditionalFormatting sqref="H246:Q246">
    <cfRule type="expression" dxfId="401" priority="70">
      <formula>ISERROR(H246)</formula>
    </cfRule>
  </conditionalFormatting>
  <conditionalFormatting sqref="Q152">
    <cfRule type="expression" dxfId="400" priority="69">
      <formula>ISERROR(Q152)</formula>
    </cfRule>
  </conditionalFormatting>
  <conditionalFormatting sqref="H189:J190 O189:Q190">
    <cfRule type="expression" dxfId="399" priority="68">
      <formula>ISERROR(H189)</formula>
    </cfRule>
  </conditionalFormatting>
  <conditionalFormatting sqref="Q189:Q190">
    <cfRule type="expression" dxfId="398" priority="67">
      <formula>ISERROR(Q189)</formula>
    </cfRule>
  </conditionalFormatting>
  <conditionalFormatting sqref="I227:Q228">
    <cfRule type="expression" dxfId="397" priority="66">
      <formula>ISERROR(I227)</formula>
    </cfRule>
  </conditionalFormatting>
  <conditionalFormatting sqref="H227:Q228">
    <cfRule type="expression" dxfId="396" priority="65">
      <formula>ISERROR(H227)</formula>
    </cfRule>
  </conditionalFormatting>
  <conditionalFormatting sqref="Q151">
    <cfRule type="expression" dxfId="395" priority="64">
      <formula>ISERROR(Q151)</formula>
    </cfRule>
  </conditionalFormatting>
  <conditionalFormatting sqref="T279:T292 T266:T277">
    <cfRule type="expression" dxfId="394" priority="63">
      <formula>ISERROR(T266)</formula>
    </cfRule>
  </conditionalFormatting>
  <conditionalFormatting sqref="T282">
    <cfRule type="expression" dxfId="393" priority="62">
      <formula>ISERROR(T282)</formula>
    </cfRule>
  </conditionalFormatting>
  <conditionalFormatting sqref="T308:T321 T295:T306">
    <cfRule type="expression" dxfId="392" priority="61">
      <formula>ISERROR(T295)</formula>
    </cfRule>
  </conditionalFormatting>
  <conditionalFormatting sqref="T311">
    <cfRule type="expression" dxfId="391" priority="60">
      <formula>ISERROR(T311)</formula>
    </cfRule>
  </conditionalFormatting>
  <conditionalFormatting sqref="T337:T350 T324:T335">
    <cfRule type="expression" dxfId="390" priority="59">
      <formula>ISERROR(T324)</formula>
    </cfRule>
  </conditionalFormatting>
  <conditionalFormatting sqref="T340">
    <cfRule type="expression" dxfId="389" priority="58">
      <formula>ISERROR(T340)</formula>
    </cfRule>
  </conditionalFormatting>
  <conditionalFormatting sqref="W279:X292 W266:X277">
    <cfRule type="expression" dxfId="388" priority="57">
      <formula>ISERROR(W266)</formula>
    </cfRule>
  </conditionalFormatting>
  <conditionalFormatting sqref="W282:X282">
    <cfRule type="expression" dxfId="387" priority="56">
      <formula>ISERROR(W282)</formula>
    </cfRule>
  </conditionalFormatting>
  <conditionalFormatting sqref="W308:X321 W295:X306">
    <cfRule type="expression" dxfId="386" priority="55">
      <formula>ISERROR(W295)</formula>
    </cfRule>
  </conditionalFormatting>
  <conditionalFormatting sqref="W311:X311">
    <cfRule type="expression" dxfId="385" priority="54">
      <formula>ISERROR(W311)</formula>
    </cfRule>
  </conditionalFormatting>
  <conditionalFormatting sqref="W337:X350 W324:X335">
    <cfRule type="expression" dxfId="384" priority="53">
      <formula>ISERROR(W324)</formula>
    </cfRule>
  </conditionalFormatting>
  <conditionalFormatting sqref="W340:X340">
    <cfRule type="expression" dxfId="383" priority="52">
      <formula>ISERROR(W340)</formula>
    </cfRule>
  </conditionalFormatting>
  <conditionalFormatting sqref="T154:T185">
    <cfRule type="expression" dxfId="382" priority="51">
      <formula>ISERROR(T154)</formula>
    </cfRule>
  </conditionalFormatting>
  <conditionalFormatting sqref="T192:T207 T209:T223">
    <cfRule type="expression" dxfId="381" priority="50">
      <formula>ISERROR(T192)</formula>
    </cfRule>
  </conditionalFormatting>
  <conditionalFormatting sqref="T230:T245 T247:T261">
    <cfRule type="expression" dxfId="380" priority="49">
      <formula>ISERROR(T230)</formula>
    </cfRule>
  </conditionalFormatting>
  <conditionalFormatting sqref="T208">
    <cfRule type="expression" dxfId="379" priority="48">
      <formula>ISERROR(T208)</formula>
    </cfRule>
  </conditionalFormatting>
  <conditionalFormatting sqref="T246">
    <cfRule type="expression" dxfId="378" priority="47">
      <formula>ISERROR(T246)</formula>
    </cfRule>
  </conditionalFormatting>
  <conditionalFormatting sqref="T152">
    <cfRule type="expression" dxfId="377" priority="46">
      <formula>ISERROR(T152)</formula>
    </cfRule>
  </conditionalFormatting>
  <conditionalFormatting sqref="T189:T190">
    <cfRule type="expression" dxfId="376" priority="45">
      <formula>ISERROR(T189)</formula>
    </cfRule>
  </conditionalFormatting>
  <conditionalFormatting sqref="T189:T190">
    <cfRule type="expression" dxfId="375" priority="44">
      <formula>ISERROR(T189)</formula>
    </cfRule>
  </conditionalFormatting>
  <conditionalFormatting sqref="T227:T228">
    <cfRule type="expression" dxfId="374" priority="43">
      <formula>ISERROR(T227)</formula>
    </cfRule>
  </conditionalFormatting>
  <conditionalFormatting sqref="T227:T228">
    <cfRule type="expression" dxfId="373" priority="42">
      <formula>ISERROR(T227)</formula>
    </cfRule>
  </conditionalFormatting>
  <conditionalFormatting sqref="T151">
    <cfRule type="expression" dxfId="372" priority="41">
      <formula>ISERROR(T151)</formula>
    </cfRule>
  </conditionalFormatting>
  <conditionalFormatting sqref="W154:X185">
    <cfRule type="expression" dxfId="371" priority="40">
      <formula>ISERROR(W154)</formula>
    </cfRule>
  </conditionalFormatting>
  <conditionalFormatting sqref="W192:X207 W209:X223">
    <cfRule type="expression" dxfId="370" priority="39">
      <formula>ISERROR(W192)</formula>
    </cfRule>
  </conditionalFormatting>
  <conditionalFormatting sqref="W230:X245 W247:X261">
    <cfRule type="expression" dxfId="369" priority="38">
      <formula>ISERROR(W230)</formula>
    </cfRule>
  </conditionalFormatting>
  <conditionalFormatting sqref="W208:X208">
    <cfRule type="expression" dxfId="368" priority="37">
      <formula>ISERROR(W208)</formula>
    </cfRule>
  </conditionalFormatting>
  <conditionalFormatting sqref="W246:X246">
    <cfRule type="expression" dxfId="367" priority="36">
      <formula>ISERROR(W246)</formula>
    </cfRule>
  </conditionalFormatting>
  <conditionalFormatting sqref="W152:X152">
    <cfRule type="expression" dxfId="366" priority="35">
      <formula>ISERROR(W152)</formula>
    </cfRule>
  </conditionalFormatting>
  <conditionalFormatting sqref="W189:X190">
    <cfRule type="expression" dxfId="365" priority="34">
      <formula>ISERROR(W189)</formula>
    </cfRule>
  </conditionalFormatting>
  <conditionalFormatting sqref="W189:X190">
    <cfRule type="expression" dxfId="364" priority="33">
      <formula>ISERROR(W189)</formula>
    </cfRule>
  </conditionalFormatting>
  <conditionalFormatting sqref="W227:X228">
    <cfRule type="expression" dxfId="363" priority="32">
      <formula>ISERROR(W227)</formula>
    </cfRule>
  </conditionalFormatting>
  <conditionalFormatting sqref="W227:X228">
    <cfRule type="expression" dxfId="362" priority="31">
      <formula>ISERROR(W227)</formula>
    </cfRule>
  </conditionalFormatting>
  <conditionalFormatting sqref="W151:X151">
    <cfRule type="expression" dxfId="361" priority="30">
      <formula>ISERROR(W151)</formula>
    </cfRule>
  </conditionalFormatting>
  <conditionalFormatting sqref="T371">
    <cfRule type="expression" dxfId="360" priority="29">
      <formula>ISERROR(T371)</formula>
    </cfRule>
  </conditionalFormatting>
  <conditionalFormatting sqref="T355:T367">
    <cfRule type="expression" dxfId="359" priority="28">
      <formula>ISERROR(T355)</formula>
    </cfRule>
  </conditionalFormatting>
  <conditionalFormatting sqref="T368:T381">
    <cfRule type="expression" dxfId="358" priority="27">
      <formula>ISERROR(T368)</formula>
    </cfRule>
  </conditionalFormatting>
  <conditionalFormatting sqref="T400">
    <cfRule type="expression" dxfId="357" priority="26">
      <formula>ISERROR(T400)</formula>
    </cfRule>
  </conditionalFormatting>
  <conditionalFormatting sqref="T384:T396">
    <cfRule type="expression" dxfId="356" priority="25">
      <formula>ISERROR(T384)</formula>
    </cfRule>
  </conditionalFormatting>
  <conditionalFormatting sqref="T397:T410">
    <cfRule type="expression" dxfId="355" priority="24">
      <formula>ISERROR(T397)</formula>
    </cfRule>
  </conditionalFormatting>
  <conditionalFormatting sqref="T429">
    <cfRule type="expression" dxfId="354" priority="23">
      <formula>ISERROR(T429)</formula>
    </cfRule>
  </conditionalFormatting>
  <conditionalFormatting sqref="T413:T425">
    <cfRule type="expression" dxfId="353" priority="22">
      <formula>ISERROR(T413)</formula>
    </cfRule>
  </conditionalFormatting>
  <conditionalFormatting sqref="T426:T439">
    <cfRule type="expression" dxfId="352" priority="21">
      <formula>ISERROR(T426)</formula>
    </cfRule>
  </conditionalFormatting>
  <conditionalFormatting sqref="W371:X371">
    <cfRule type="expression" dxfId="351" priority="20">
      <formula>ISERROR(W371)</formula>
    </cfRule>
  </conditionalFormatting>
  <conditionalFormatting sqref="W355:X367">
    <cfRule type="expression" dxfId="350" priority="19">
      <formula>ISERROR(W355)</formula>
    </cfRule>
  </conditionalFormatting>
  <conditionalFormatting sqref="W368:X381">
    <cfRule type="expression" dxfId="349" priority="18">
      <formula>ISERROR(W368)</formula>
    </cfRule>
  </conditionalFormatting>
  <conditionalFormatting sqref="W400:X400">
    <cfRule type="expression" dxfId="348" priority="17">
      <formula>ISERROR(W400)</formula>
    </cfRule>
  </conditionalFormatting>
  <conditionalFormatting sqref="W384:X396">
    <cfRule type="expression" dxfId="347" priority="16">
      <formula>ISERROR(W384)</formula>
    </cfRule>
  </conditionalFormatting>
  <conditionalFormatting sqref="W397:X410">
    <cfRule type="expression" dxfId="346" priority="15">
      <formula>ISERROR(W397)</formula>
    </cfRule>
  </conditionalFormatting>
  <conditionalFormatting sqref="W429:X429">
    <cfRule type="expression" dxfId="345" priority="14">
      <formula>ISERROR(W429)</formula>
    </cfRule>
  </conditionalFormatting>
  <conditionalFormatting sqref="W413:X425">
    <cfRule type="expression" dxfId="344" priority="13">
      <formula>ISERROR(W413)</formula>
    </cfRule>
  </conditionalFormatting>
  <conditionalFormatting sqref="W426:X439">
    <cfRule type="expression" dxfId="343" priority="12">
      <formula>ISERROR(W426)</formula>
    </cfRule>
  </conditionalFormatting>
  <conditionalFormatting sqref="H187:J187 O187:X187">
    <cfRule type="expression" dxfId="342" priority="11">
      <formula>ISERROR(H187)</formula>
    </cfRule>
  </conditionalFormatting>
  <conditionalFormatting sqref="H188:J188">
    <cfRule type="expression" dxfId="341" priority="10">
      <formula>ISERROR(H188)</formula>
    </cfRule>
  </conditionalFormatting>
  <conditionalFormatting sqref="H225:X225">
    <cfRule type="expression" dxfId="340" priority="9">
      <formula>ISERROR(H225)</formula>
    </cfRule>
  </conditionalFormatting>
  <conditionalFormatting sqref="H226:N226">
    <cfRule type="expression" dxfId="339" priority="8">
      <formula>ISERROR(H226)</formula>
    </cfRule>
  </conditionalFormatting>
  <conditionalFormatting sqref="AP52">
    <cfRule type="expression" dxfId="338" priority="7">
      <formula>$A10&gt;$B$4</formula>
    </cfRule>
  </conditionalFormatting>
  <conditionalFormatting sqref="Z31:Z46">
    <cfRule type="expression" dxfId="337" priority="6">
      <formula>Z31&gt;0</formula>
    </cfRule>
  </conditionalFormatting>
  <conditionalFormatting sqref="H62:X62 H69:X69 H71:X71 H54:X54 W53:X53 T53 Q53 N53 K53 H53">
    <cfRule type="expression" dxfId="336" priority="107">
      <formula>OR(H53=0,H53="",H53="N/A for this mode",H53="-")</formula>
    </cfRule>
    <cfRule type="expression" dxfId="335" priority="108">
      <formula>H53&gt;$AT$50</formula>
    </cfRule>
    <cfRule type="expression" dxfId="334" priority="109">
      <formula>H53&lt;$AT$52</formula>
    </cfRule>
  </conditionalFormatting>
  <conditionalFormatting sqref="H31:Y45 H46:X46">
    <cfRule type="expression" dxfId="333" priority="110">
      <formula>OR(H31=0,H31="",H31="N/A for this mode")</formula>
    </cfRule>
    <cfRule type="expression" dxfId="332" priority="111">
      <formula>H31&gt;$AU$50</formula>
    </cfRule>
    <cfRule type="expression" dxfId="331" priority="112">
      <formula>H31&lt;=$AU$52</formula>
    </cfRule>
  </conditionalFormatting>
  <conditionalFormatting sqref="K23:K147 K225:K292 K323:K352 K412:K439">
    <cfRule type="expression" dxfId="330" priority="5">
      <formula>$H$9&lt;2</formula>
    </cfRule>
  </conditionalFormatting>
  <conditionalFormatting sqref="N23:N147 N225:N292 N323:N352 N412:N439">
    <cfRule type="expression" dxfId="329" priority="4">
      <formula>$H$9&lt;3</formula>
    </cfRule>
  </conditionalFormatting>
  <conditionalFormatting sqref="Q23:Q439">
    <cfRule type="expression" dxfId="328" priority="3">
      <formula>$H$9&lt;4</formula>
    </cfRule>
  </conditionalFormatting>
  <conditionalFormatting sqref="T23:T439">
    <cfRule type="expression" dxfId="327" priority="2">
      <formula>$H$9&lt;5</formula>
    </cfRule>
  </conditionalFormatting>
  <conditionalFormatting sqref="W23:W439">
    <cfRule type="expression" dxfId="326" priority="1">
      <formula>$H$9&lt;6</formula>
    </cfRule>
  </conditionalFormatting>
  <dataValidations count="2">
    <dataValidation type="decimal" allowBlank="1" showInputMessage="1" showErrorMessage="1" sqref="AT52:AU52" xr:uid="{CC892EB8-7EB3-44CE-B584-FA0B3AE9A18F}">
      <formula1>0</formula1>
      <formula2>AT50</formula2>
    </dataValidation>
    <dataValidation type="decimal" allowBlank="1" showInputMessage="1" showErrorMessage="1" sqref="AT50:AU50" xr:uid="{279D67DD-737A-4107-A738-5EBF980D225C}">
      <formula1>0</formula1>
      <formula2>1</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EE873E7-9EEF-410B-91E6-4DDE5B9FF634}">
          <x14:formula1>
            <xm:f>'Scenario Manager'!$C$7:$C$12</xm:f>
          </x14:formula1>
          <xm:sqref>H3:K3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tabColor rgb="FF7030A0"/>
  </sheetPr>
  <dimension ref="A1"/>
  <sheetViews>
    <sheetView showGridLines="0" topLeftCell="A4" workbookViewId="0">
      <selection activeCell="M28" sqref="M28"/>
    </sheetView>
  </sheetViews>
  <sheetFormatPr defaultColWidth="8.84375" defaultRowHeight="14.6"/>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B8F10-6AB3-4CC7-886F-5A3B5A413D22}">
  <sheetPr>
    <tabColor theme="4" tint="0.59999389629810485"/>
  </sheetPr>
  <dimension ref="A1:AU447"/>
  <sheetViews>
    <sheetView showGridLines="0" topLeftCell="A52" zoomScale="85" zoomScaleNormal="85" zoomScalePageLayoutView="117" workbookViewId="0">
      <selection activeCell="H3" sqref="H3:K3"/>
    </sheetView>
  </sheetViews>
  <sheetFormatPr defaultColWidth="11.3046875" defaultRowHeight="14.6" outlineLevelRow="1"/>
  <cols>
    <col min="1" max="4" width="2.3046875" customWidth="1"/>
    <col min="5" max="5" width="1.84375" customWidth="1"/>
    <col min="6" max="6" width="22.3828125" customWidth="1"/>
    <col min="7" max="7" width="52.3046875" customWidth="1"/>
    <col min="8" max="8" width="15.15234375" style="7" customWidth="1"/>
    <col min="9" max="10" width="15.69140625" style="7" hidden="1" customWidth="1"/>
    <col min="11" max="11" width="16.3046875" style="7" customWidth="1"/>
    <col min="12" max="13" width="15.3046875" style="7" hidden="1" customWidth="1"/>
    <col min="14" max="14" width="15.15234375" style="7" customWidth="1"/>
    <col min="15" max="16" width="15.3046875" style="7" hidden="1" customWidth="1"/>
    <col min="17" max="17" width="15.15234375" style="7" customWidth="1"/>
    <col min="18" max="19" width="20.15234375" style="7" hidden="1" customWidth="1"/>
    <col min="20" max="20" width="15.15234375" style="7" customWidth="1"/>
    <col min="21" max="22" width="20.15234375" style="7" hidden="1" customWidth="1"/>
    <col min="23" max="23" width="15.15234375" style="7" customWidth="1"/>
    <col min="24" max="24" width="0.53515625" style="1444" customWidth="1"/>
    <col min="25" max="25" width="17" customWidth="1"/>
    <col min="26" max="26" width="13.84375" customWidth="1"/>
    <col min="28" max="28" width="9.84375" customWidth="1"/>
    <col min="29" max="29" width="7.84375" customWidth="1"/>
    <col min="32" max="32" width="8.3046875" customWidth="1"/>
    <col min="33" max="33" width="7.3828125" customWidth="1"/>
  </cols>
  <sheetData>
    <row r="1" spans="1:24" ht="33.75" customHeight="1">
      <c r="A1" s="2688" t="s">
        <v>5799</v>
      </c>
      <c r="B1" s="2688"/>
      <c r="C1" s="2688"/>
      <c r="D1" s="2688"/>
      <c r="E1" s="2688"/>
      <c r="F1" s="2688"/>
      <c r="G1" s="2688"/>
      <c r="H1" s="2688"/>
      <c r="I1" s="2688"/>
      <c r="J1" s="2688"/>
      <c r="K1" s="2688"/>
      <c r="L1" s="2688"/>
      <c r="M1" s="2688"/>
      <c r="N1" s="2688"/>
      <c r="O1" s="2688"/>
      <c r="P1" s="2688"/>
      <c r="Q1" s="2688"/>
      <c r="R1" s="2688"/>
      <c r="S1" s="2688"/>
      <c r="T1" s="2688"/>
    </row>
    <row r="2" spans="1:24">
      <c r="A2" s="486"/>
      <c r="T2" s="1585"/>
    </row>
    <row r="3" spans="1:24" ht="26.9" customHeight="1">
      <c r="F3" s="393" t="s">
        <v>2533</v>
      </c>
      <c r="G3" s="322"/>
      <c r="H3" s="2693" t="s">
        <v>5836</v>
      </c>
      <c r="I3" s="2693"/>
      <c r="J3" s="2693"/>
      <c r="K3" s="2693"/>
      <c r="N3" s="424"/>
      <c r="W3" s="261"/>
    </row>
    <row r="4" spans="1:24" ht="31.5" customHeight="1">
      <c r="F4" s="394" t="s">
        <v>470</v>
      </c>
      <c r="G4" s="323"/>
      <c r="H4" s="2694" t="str">
        <f>IFERROR(INDEX('Scenario Manager'!$B$7:$B$12,MATCH($H$3,'Scenario Manager'!$C$7:$C$12,0)),"Can't Find Selected Input Parameters Worksheet!")</f>
        <v>Monthly Ordering + High Demand</v>
      </c>
      <c r="I4" s="2694"/>
      <c r="J4" s="2694"/>
      <c r="K4" s="2694"/>
      <c r="W4" s="261"/>
    </row>
    <row r="5" spans="1:24" ht="22.5" customHeight="1"/>
    <row r="6" spans="1:24" ht="22.5" customHeight="1">
      <c r="W6" s="261"/>
    </row>
    <row r="7" spans="1:24" ht="30" customHeight="1"/>
    <row r="8" spans="1:24" ht="29.25" customHeight="1">
      <c r="E8" s="412" t="s">
        <v>457</v>
      </c>
      <c r="F8" s="324"/>
      <c r="G8" s="324"/>
      <c r="H8" s="324"/>
      <c r="I8" s="324"/>
      <c r="J8" s="324"/>
      <c r="K8" s="325"/>
    </row>
    <row r="9" spans="1:24" ht="25" customHeight="1">
      <c r="F9" s="487" t="s">
        <v>453</v>
      </c>
      <c r="G9" s="488"/>
      <c r="H9" s="2695">
        <f ca="1">INDIRECT("'"&amp;$H$3&amp;"'!$H$7")</f>
        <v>3</v>
      </c>
      <c r="I9" s="2696"/>
      <c r="J9" s="2696"/>
      <c r="K9" s="2697"/>
      <c r="L9" s="309"/>
      <c r="M9" s="309"/>
      <c r="N9" s="260"/>
      <c r="O9" s="260"/>
      <c r="P9" s="260"/>
      <c r="Q9" s="310"/>
      <c r="R9" s="305"/>
      <c r="S9" s="305"/>
      <c r="T9" s="306"/>
    </row>
    <row r="10" spans="1:24" ht="25" customHeight="1">
      <c r="F10" s="314" t="s">
        <v>2534</v>
      </c>
      <c r="G10" s="315"/>
      <c r="H10" s="2698">
        <f ca="1">IF(INDIRECT("'"&amp;$H$3&amp;"'!$H$7")=1,(INDIRECT("'"&amp;$H$3&amp;"'!$H$95")),
IF(INDIRECT("'"&amp;$H$3&amp;"'!$H$7")=2,(INDIRECT("'"&amp;$H$3&amp;"'!$K$95")),
IF(INDIRECT("'"&amp;$H$3&amp;"'!$H$7")=3,(INDIRECT("'"&amp;$H$3&amp;"'!$N$95")),
IF(INDIRECT("'"&amp;$H$3&amp;"'!$H$7")=4,(INDIRECT("'"&amp;$H$3&amp;"'!$Q$95")),
IF(INDIRECT("'"&amp;$H$3&amp;"'!$H$7")=5,(INDIRECT("'"&amp;$H$3&amp;"'!$T$95")),
(INDIRECT("'"&amp;$H$3&amp;"'!$W$95")))))))</f>
        <v>345</v>
      </c>
      <c r="I10" s="2698"/>
      <c r="J10" s="2698"/>
      <c r="K10" s="2698"/>
      <c r="L10" s="23"/>
      <c r="M10" s="23"/>
      <c r="N10" s="260"/>
      <c r="O10" s="260"/>
      <c r="P10" s="260"/>
      <c r="Q10" s="310"/>
      <c r="R10" s="305"/>
      <c r="S10" s="222"/>
      <c r="T10" s="307"/>
      <c r="U10" s="260"/>
      <c r="V10" s="260"/>
    </row>
    <row r="11" spans="1:24" ht="25" customHeight="1">
      <c r="F11" s="317" t="s">
        <v>5515</v>
      </c>
      <c r="G11" s="316"/>
      <c r="H11" s="2691">
        <f ca="1">IF(INDIRECT("'"&amp;$H$3&amp;"'!$H$7")=1,($H$52*INDIRECT("'"&amp;$H$3&amp;"'!$H$95")),
IF(INDIRECT("'"&amp;$H$3&amp;"'!$H$7")=2,($K$52*INDIRECT("'"&amp;$H$3&amp;"'!$K$95")),
IF(INDIRECT("'"&amp;$H$3&amp;"'!$H$7")=3,($N$52*INDIRECT("'"&amp;$H$3&amp;"'!$N$95")),
IF(INDIRECT("'"&amp;$H$3&amp;"'!$H$7")=4,($Q$52*INDIRECT("'"&amp;$H$3&amp;"'!$Q$95")),
IF(INDIRECT("'"&amp;$H$3&amp;"'!$H$7")=5,($T$52*INDIRECT("'"&amp;$H$3&amp;"'!$T$95")),
($W$52*INDIRECT("'"&amp;$H$3&amp;"'!$W$95")))))))</f>
        <v>2932.5</v>
      </c>
      <c r="I11" s="2691"/>
      <c r="J11" s="2691"/>
      <c r="K11" s="2691"/>
      <c r="L11" s="23"/>
      <c r="M11" s="23"/>
      <c r="N11" s="260"/>
      <c r="O11" s="260"/>
      <c r="P11" s="260"/>
      <c r="Q11" s="310"/>
      <c r="R11" s="305"/>
      <c r="S11" s="306"/>
      <c r="T11" s="307"/>
      <c r="U11" s="261"/>
      <c r="V11" s="261"/>
    </row>
    <row r="12" spans="1:24" ht="25" customHeight="1">
      <c r="F12" s="1889" t="s">
        <v>5516</v>
      </c>
      <c r="H12" s="2691">
        <f ca="1">IF(INDIRECT("'"&amp;$H$3&amp;"'!$H$7")=1,($H$64*INDIRECT("'"&amp;$H$3&amp;"'!$H$95")),
IF(INDIRECT("'"&amp;$H$3&amp;"'!$H$7")=2,($K$64*INDIRECT("'"&amp;$H$3&amp;"'!$K$95")),
IF(INDIRECT("'"&amp;$H$3&amp;"'!$H$7")=3,($N$64*INDIRECT("'"&amp;$H$3&amp;"'!$N$95")),
IF(INDIRECT("'"&amp;$H$3&amp;"'!$H$7")=4,($Q$64*INDIRECT("'"&amp;$H$3&amp;"'!$Q$95")),
IF(INDIRECT("'"&amp;$H$3&amp;"'!$H$7")=5,($T$64*INDIRECT("'"&amp;$H$3&amp;"'!$T$95")),
($W$64*INDIRECT("'"&amp;$H$3&amp;"'!$W$95")))))))</f>
        <v>0</v>
      </c>
      <c r="I12" s="2691"/>
      <c r="J12" s="2691"/>
      <c r="K12" s="2691"/>
      <c r="L12" s="23"/>
      <c r="M12" s="23"/>
      <c r="N12" s="260"/>
      <c r="O12" s="260"/>
      <c r="P12" s="260"/>
      <c r="Q12" s="310"/>
      <c r="R12" s="305"/>
      <c r="S12" s="306"/>
      <c r="T12" s="307"/>
      <c r="U12" s="261"/>
      <c r="V12" s="261"/>
    </row>
    <row r="13" spans="1:24" ht="25" customHeight="1">
      <c r="F13" s="317" t="s">
        <v>374</v>
      </c>
      <c r="G13" s="318"/>
      <c r="H13" s="2692">
        <f ca="1">INDIRECT("'"&amp;$H$3&amp;"'!$H$21")</f>
        <v>18450000</v>
      </c>
      <c r="I13" s="2692"/>
      <c r="J13" s="2692"/>
      <c r="K13" s="2692"/>
      <c r="L13" s="23"/>
      <c r="M13" s="23"/>
      <c r="N13" s="260"/>
      <c r="O13" s="260"/>
      <c r="P13" s="260"/>
      <c r="Q13" s="310"/>
      <c r="R13" s="305"/>
      <c r="S13" s="306"/>
      <c r="T13" s="307"/>
      <c r="U13" s="261"/>
      <c r="V13" s="261"/>
      <c r="W13" s="261"/>
      <c r="X13" s="1445"/>
    </row>
    <row r="14" spans="1:24" ht="41.25" customHeight="1">
      <c r="F14" s="2495" t="s">
        <v>830</v>
      </c>
      <c r="G14" s="2496"/>
      <c r="H14" s="2706">
        <f ca="1">SUM(H280:W280,H309:W309,H338:W338,H169:W169,H207:W207,H245:W245,H369:W369,H398:W398,H427:W427)</f>
        <v>868683.89621452079</v>
      </c>
      <c r="I14" s="2707"/>
      <c r="J14" s="2707"/>
      <c r="K14" s="2708"/>
      <c r="L14" s="23"/>
      <c r="M14" s="23"/>
      <c r="N14" s="260"/>
      <c r="O14" s="260"/>
      <c r="P14" s="260"/>
      <c r="Q14" s="310"/>
      <c r="R14" s="305"/>
      <c r="S14" s="306"/>
      <c r="T14" s="307"/>
      <c r="U14" s="261"/>
      <c r="V14" s="261"/>
      <c r="W14" s="261"/>
      <c r="X14" s="1445"/>
    </row>
    <row r="15" spans="1:24" ht="25" customHeight="1">
      <c r="F15" s="314" t="s">
        <v>456</v>
      </c>
      <c r="G15" s="316"/>
      <c r="H15" s="2706">
        <f ca="1">SUM(H267:W267,H281:W281,H296:W296,H310:W310,H325:W325,H339:W339,
H155:W155,H171:W171,H193:W193,H209:W209,H231:W231,H247:W247,
H356:W356,H370:W370,H385:W385,H399:W399,H414:W414,H428:W428)</f>
        <v>2979</v>
      </c>
      <c r="I15" s="2707"/>
      <c r="J15" s="2707"/>
      <c r="K15" s="2708"/>
      <c r="L15" s="23"/>
      <c r="M15" s="23"/>
      <c r="N15" s="260"/>
      <c r="O15" s="260"/>
      <c r="P15" s="260"/>
      <c r="Q15" s="310"/>
      <c r="R15" s="305"/>
      <c r="S15" s="306"/>
      <c r="T15" s="307"/>
      <c r="U15" s="261"/>
      <c r="V15" s="261"/>
      <c r="W15" s="261"/>
      <c r="X15" s="1445"/>
    </row>
    <row r="16" spans="1:24" ht="19.5" customHeight="1">
      <c r="F16" s="319" t="s">
        <v>469</v>
      </c>
      <c r="G16" s="320"/>
      <c r="H16" s="2709">
        <f ca="1">SUM(Z46,H55,K55,N55,Q55,T55,W55)</f>
        <v>4</v>
      </c>
      <c r="I16" s="2710"/>
      <c r="J16" s="2710"/>
      <c r="K16" s="2711"/>
      <c r="L16" s="23"/>
      <c r="M16" s="23"/>
      <c r="N16" s="260"/>
      <c r="O16" s="260"/>
      <c r="P16" s="260"/>
      <c r="Q16" s="310"/>
      <c r="R16" s="305"/>
      <c r="S16" s="306"/>
      <c r="T16" s="307"/>
      <c r="U16" s="261"/>
      <c r="V16" s="261"/>
      <c r="W16" s="261"/>
      <c r="X16" s="1445"/>
    </row>
    <row r="17" spans="5:29" ht="12.75" customHeight="1">
      <c r="F17" s="308"/>
      <c r="G17" s="311"/>
      <c r="H17" s="321"/>
      <c r="I17" s="137"/>
      <c r="J17" s="137"/>
      <c r="K17" s="137"/>
      <c r="L17" s="23"/>
      <c r="M17" s="23"/>
      <c r="N17" s="260"/>
      <c r="O17" s="260"/>
      <c r="P17" s="260"/>
      <c r="Q17" s="221"/>
      <c r="R17" s="1342"/>
      <c r="S17" s="1342"/>
      <c r="T17" s="1343"/>
      <c r="U17" s="260"/>
      <c r="V17" s="260"/>
      <c r="W17" s="260"/>
      <c r="X17" s="1446"/>
    </row>
    <row r="18" spans="5:29" ht="15" customHeight="1">
      <c r="F18" s="417" t="s">
        <v>393</v>
      </c>
      <c r="G18" s="418"/>
      <c r="H18" s="2712">
        <f ca="1">Y81</f>
        <v>1977415.5188014384</v>
      </c>
      <c r="I18" s="2713"/>
      <c r="J18" s="2713"/>
      <c r="K18" s="2714"/>
      <c r="L18" s="23"/>
      <c r="M18" s="23"/>
      <c r="N18" s="260"/>
      <c r="O18" s="260"/>
      <c r="P18" s="260"/>
      <c r="Q18" s="310"/>
      <c r="R18" s="305"/>
      <c r="S18" s="222"/>
      <c r="T18" s="1341"/>
      <c r="U18" s="222"/>
      <c r="V18" s="222"/>
      <c r="W18" s="222"/>
      <c r="X18" s="1447"/>
    </row>
    <row r="19" spans="5:29" ht="15" customHeight="1">
      <c r="F19" s="312"/>
      <c r="G19" s="312"/>
      <c r="H19" s="313"/>
      <c r="I19" s="313"/>
      <c r="J19" s="313"/>
      <c r="K19" s="313"/>
      <c r="L19" s="23"/>
      <c r="M19" s="23"/>
      <c r="N19" s="260"/>
      <c r="O19" s="260"/>
      <c r="P19" s="260"/>
      <c r="Q19" s="310"/>
      <c r="R19" s="305"/>
      <c r="S19" s="222"/>
      <c r="T19" s="307"/>
      <c r="U19" s="222"/>
      <c r="V19" s="222"/>
      <c r="W19" s="222"/>
      <c r="X19" s="1447"/>
    </row>
    <row r="20" spans="5:29" ht="15" customHeight="1">
      <c r="F20" s="312"/>
      <c r="G20" s="312"/>
      <c r="H20" s="313"/>
      <c r="I20" s="313"/>
      <c r="J20" s="313"/>
      <c r="K20" s="313"/>
      <c r="L20" s="23"/>
      <c r="M20" s="23"/>
      <c r="N20" s="260"/>
      <c r="O20" s="260"/>
      <c r="P20" s="260"/>
      <c r="Q20" s="310"/>
      <c r="R20" s="305"/>
      <c r="S20" s="222"/>
      <c r="T20" s="307"/>
      <c r="U20" s="222"/>
      <c r="V20" s="222"/>
      <c r="W20" s="222"/>
      <c r="X20" s="1447"/>
    </row>
    <row r="21" spans="5:29" ht="15" customHeight="1">
      <c r="L21" s="135"/>
      <c r="M21" s="135"/>
      <c r="N21" s="260"/>
      <c r="O21" s="260"/>
      <c r="P21" s="260"/>
      <c r="Q21" s="310"/>
      <c r="R21" s="305"/>
      <c r="S21" s="305"/>
      <c r="U21" s="260"/>
      <c r="V21" s="260"/>
      <c r="W21" s="260"/>
      <c r="X21" s="1446"/>
    </row>
    <row r="22" spans="5:29" ht="15.65" customHeight="1">
      <c r="F22" s="24"/>
      <c r="G22" s="24"/>
      <c r="H22" s="134"/>
      <c r="I22" s="134"/>
      <c r="J22" s="134"/>
      <c r="K22" s="134"/>
      <c r="L22" s="135"/>
      <c r="M22" s="135"/>
      <c r="Q22" s="136"/>
      <c r="R22" s="137"/>
      <c r="S22" s="137"/>
      <c r="T22" s="137"/>
      <c r="U22" s="137"/>
      <c r="V22" s="137"/>
      <c r="W22" s="137"/>
      <c r="X22" s="1448"/>
    </row>
    <row r="23" spans="5:29" ht="31.5" customHeight="1">
      <c r="E23" s="413" t="s">
        <v>458</v>
      </c>
      <c r="F23" s="1491"/>
      <c r="G23" s="1491"/>
      <c r="H23" s="1492" t="str">
        <f ca="1">IF($H$9&gt;=1,INDIRECT("'"&amp;$H$3&amp;"'!G$91"),"")</f>
        <v>CMS Tier</v>
      </c>
      <c r="I23" s="1492" t="str">
        <f t="shared" ref="I23:V23" ca="1" si="0">IF($H$9&gt;=1,"Tier 1","")</f>
        <v>Tier 1</v>
      </c>
      <c r="J23" s="1492" t="str">
        <f t="shared" ca="1" si="0"/>
        <v>Tier 1</v>
      </c>
      <c r="K23" s="1492" t="str">
        <f ca="1">IF($H$9&gt;=2,INDIRECT("'"&amp;$H$3&amp;"'!J$91"),"")</f>
        <v>Regional WH Tier</v>
      </c>
      <c r="L23" s="1492" t="str">
        <f t="shared" ca="1" si="0"/>
        <v>Tier 1</v>
      </c>
      <c r="M23" s="1492" t="str">
        <f t="shared" ca="1" si="0"/>
        <v>Tier 1</v>
      </c>
      <c r="N23" s="1492" t="str">
        <f ca="1">IF($H$9&gt;=3,INDIRECT("'"&amp;$H$3&amp;"'!M$91"),"")</f>
        <v>Health Facility Tier</v>
      </c>
      <c r="O23" s="1492" t="str">
        <f t="shared" ca="1" si="0"/>
        <v>Tier 1</v>
      </c>
      <c r="P23" s="1492" t="str">
        <f t="shared" ca="1" si="0"/>
        <v>Tier 1</v>
      </c>
      <c r="Q23" s="1492" t="str">
        <f ca="1">IF($H$9&gt;=4,INDIRECT("'"&amp;$H$3&amp;"'!P$91"),"")</f>
        <v/>
      </c>
      <c r="R23" s="1493" t="str">
        <f t="shared" ca="1" si="0"/>
        <v>Tier 1</v>
      </c>
      <c r="S23" s="136" t="str">
        <f t="shared" ca="1" si="0"/>
        <v>Tier 1</v>
      </c>
      <c r="T23" s="1492" t="str">
        <f ca="1">IF($H$9&gt;=5,INDIRECT("'"&amp;$H$3&amp;"'!S$91"),"")</f>
        <v/>
      </c>
      <c r="U23" s="136" t="str">
        <f t="shared" ca="1" si="0"/>
        <v>Tier 1</v>
      </c>
      <c r="V23" s="136" t="str">
        <f t="shared" ca="1" si="0"/>
        <v>Tier 1</v>
      </c>
      <c r="W23" s="1492" t="str">
        <f ca="1">IF($H$9&gt;=6,INDIRECT("'"&amp;$H$3&amp;"'!V$91"),"")</f>
        <v/>
      </c>
      <c r="X23" s="1494"/>
      <c r="Y23" s="1495" t="s">
        <v>473</v>
      </c>
    </row>
    <row r="24" spans="5:29" ht="15" customHeight="1">
      <c r="E24" s="367"/>
      <c r="F24" s="351" t="s">
        <v>465</v>
      </c>
      <c r="G24" s="332"/>
      <c r="H24" s="342"/>
      <c r="I24" s="342"/>
      <c r="J24" s="342"/>
      <c r="K24" s="342"/>
      <c r="L24" s="342"/>
      <c r="M24" s="342"/>
      <c r="N24" s="342"/>
      <c r="O24" s="342"/>
      <c r="P24" s="342"/>
      <c r="Q24" s="342"/>
      <c r="R24" s="343"/>
      <c r="S24" s="342"/>
      <c r="T24" s="342"/>
      <c r="U24" s="342"/>
      <c r="V24" s="342"/>
      <c r="W24" s="342"/>
      <c r="X24" s="1420"/>
      <c r="Y24" s="344"/>
    </row>
    <row r="25" spans="5:29" ht="16.5" customHeight="1">
      <c r="F25" s="345"/>
      <c r="G25" s="336" t="s">
        <v>32</v>
      </c>
      <c r="H25" s="387">
        <f ca="1">H81/$H$13</f>
        <v>2.4330046156830366E-2</v>
      </c>
      <c r="I25" s="387"/>
      <c r="J25" s="387"/>
      <c r="K25" s="387">
        <f ca="1">K81/$H$13</f>
        <v>2.5955796780178366E-2</v>
      </c>
      <c r="L25" s="387"/>
      <c r="M25" s="387"/>
      <c r="N25" s="388">
        <f ca="1">N81/$H$13</f>
        <v>5.6891149951958118E-2</v>
      </c>
      <c r="O25" s="388"/>
      <c r="P25" s="388"/>
      <c r="Q25" s="388">
        <f ca="1">Q81/$H$13</f>
        <v>0</v>
      </c>
      <c r="R25" s="388"/>
      <c r="S25" s="388"/>
      <c r="T25" s="388">
        <f ca="1">T81/$H$13</f>
        <v>0</v>
      </c>
      <c r="U25" s="388"/>
      <c r="V25" s="388"/>
      <c r="W25" s="1407">
        <f ca="1">W81/$H$13</f>
        <v>0</v>
      </c>
      <c r="X25" s="1449"/>
      <c r="Y25" s="389">
        <f ca="1">Y81/$H$13</f>
        <v>0.10717699288896686</v>
      </c>
    </row>
    <row r="26" spans="5:29" ht="16.5" customHeight="1">
      <c r="F26" s="345"/>
      <c r="G26" s="336" t="s">
        <v>2535</v>
      </c>
      <c r="H26" s="289">
        <f ca="1">H81/$H$11</f>
        <v>153.07394768747494</v>
      </c>
      <c r="I26" s="289"/>
      <c r="J26" s="289"/>
      <c r="K26" s="289">
        <f ca="1">K81/$H$11</f>
        <v>163.30245544562348</v>
      </c>
      <c r="L26" s="289"/>
      <c r="M26" s="289"/>
      <c r="N26" s="289">
        <f ca="1">N81/$H$11</f>
        <v>357.9340892118081</v>
      </c>
      <c r="O26" s="289"/>
      <c r="P26" s="289"/>
      <c r="Q26" s="289">
        <f ca="1">Q81/$H$11</f>
        <v>0</v>
      </c>
      <c r="R26" s="289"/>
      <c r="S26" s="289"/>
      <c r="T26" s="289">
        <f ca="1">T81/$H$11</f>
        <v>0</v>
      </c>
      <c r="U26" s="289"/>
      <c r="V26" s="289"/>
      <c r="W26" s="1408">
        <f ca="1">W81/$H$11</f>
        <v>0</v>
      </c>
      <c r="X26" s="1450"/>
      <c r="Y26" s="369">
        <f ca="1">Y81/$H$11</f>
        <v>674.31049234490649</v>
      </c>
    </row>
    <row r="27" spans="5:29" ht="16.5" customHeight="1">
      <c r="F27" s="345"/>
      <c r="G27" s="336" t="s">
        <v>183</v>
      </c>
      <c r="H27" s="302">
        <f ca="1">IFERROR((($H$13/$H$11)*H$60*INDIRECT("'"&amp;$H$3&amp;"'!H$95")),0)</f>
        <v>2542640.6250000005</v>
      </c>
      <c r="I27" s="302"/>
      <c r="J27" s="302"/>
      <c r="K27" s="302">
        <f ca="1">IFERROR((($H$13/$H$11)*K$60*INDIRECT("'"&amp;$H$3&amp;"'!K$95")),0)</f>
        <v>2421562.5</v>
      </c>
      <c r="L27" s="302"/>
      <c r="M27" s="302"/>
      <c r="N27" s="302">
        <f ca="1">IFERROR((($H$13/$H$11)*N$60*INDIRECT("'"&amp;$H$3&amp;"'!N$95")),0)</f>
        <v>2306250.0000000005</v>
      </c>
      <c r="O27" s="303"/>
      <c r="P27" s="303"/>
      <c r="Q27" s="302">
        <f ca="1">IFERROR((($H$13/$H$11)*Q$60*INDIRECT("'"&amp;$H$3&amp;"'!Q$95")),0)</f>
        <v>0</v>
      </c>
      <c r="R27" s="304"/>
      <c r="S27" s="304"/>
      <c r="T27" s="302">
        <f ca="1">IFERROR((($H$13/$H$11)*T$60*INDIRECT("'"&amp;$H$3&amp;"'!T$95")),0)</f>
        <v>0</v>
      </c>
      <c r="U27" s="304"/>
      <c r="V27" s="304"/>
      <c r="W27" s="1409">
        <f ca="1">IFERROR((($H$13/$H$11)*W$60*INDIRECT("'"&amp;$H$3&amp;"'!W$95")),0)</f>
        <v>0</v>
      </c>
      <c r="X27" s="1451"/>
      <c r="Y27" s="370">
        <f ca="1">SUM(H27:N27)</f>
        <v>7270453.125</v>
      </c>
    </row>
    <row r="28" spans="5:29" ht="16.5" customHeight="1">
      <c r="F28" s="390"/>
      <c r="G28" s="210" t="s">
        <v>2536</v>
      </c>
      <c r="H28" s="391">
        <f ca="1">IFERROR(SUM(H280,H309,H338,H169,H207,H245,H369,H398,H427)/(H52*INDIRECT("'"&amp;$H$3&amp;"'!H$95")),0)</f>
        <v>0</v>
      </c>
      <c r="I28" s="391"/>
      <c r="J28" s="391"/>
      <c r="K28" s="391">
        <f ca="1">IFERROR(SUM(K280,K309,K338,K169,K207,K245,K369,K398,K427)/(K52*INDIRECT("'"&amp;$H$3&amp;"'!K$95")),0)</f>
        <v>47.304347826086953</v>
      </c>
      <c r="L28" s="391"/>
      <c r="M28" s="391"/>
      <c r="N28" s="391">
        <f ca="1">IFERROR(SUM(N280,N309,N338,N169,N207,N245,N369,N398,N427)/(N52*INDIRECT("'"&amp;$H$3&amp;"'!N$95")),0)</f>
        <v>246.55682735363027</v>
      </c>
      <c r="O28" s="391"/>
      <c r="P28" s="391"/>
      <c r="Q28" s="391">
        <f ca="1">IFERROR(SUM(Q280,Q309,Q338,Q169,Q207,Q245,Q369,Q398,Q427)/(Q52*INDIRECT("'"&amp;$H$3&amp;"'!Q$95")),0)</f>
        <v>0</v>
      </c>
      <c r="R28" s="391"/>
      <c r="S28" s="391"/>
      <c r="T28" s="391">
        <f ca="1">IFERROR(SUM(T280,T309,T338,T169,T207,T245,T369,T398,T427)/(T52*INDIRECT("'"&amp;$H$3&amp;"'!T$95")),0)</f>
        <v>0</v>
      </c>
      <c r="U28" s="391"/>
      <c r="V28" s="391"/>
      <c r="W28" s="1410">
        <f ca="1">IFERROR(SUM(W280,W309,W338,W169,W207,W245,W369,W398,W427)/(W52*INDIRECT("'"&amp;$H$3&amp;"'!W$95")),0)</f>
        <v>0</v>
      </c>
      <c r="X28" s="1418"/>
      <c r="Y28" s="392">
        <f ca="1">SUM(H28:W28)</f>
        <v>293.86117517971724</v>
      </c>
    </row>
    <row r="29" spans="5:29" ht="10" customHeight="1">
      <c r="H29" s="439"/>
      <c r="I29" s="439"/>
      <c r="J29" s="439"/>
      <c r="K29" s="439"/>
      <c r="L29" s="439"/>
      <c r="M29" s="439"/>
      <c r="N29" s="439"/>
      <c r="O29" s="439"/>
      <c r="P29" s="439"/>
      <c r="Q29" s="439"/>
      <c r="R29" s="439"/>
      <c r="S29" s="439"/>
      <c r="T29" s="439"/>
      <c r="U29" s="439"/>
      <c r="V29" s="439"/>
      <c r="W29" s="439"/>
      <c r="X29" s="1418"/>
      <c r="Y29" s="1443"/>
    </row>
    <row r="30" spans="5:29" ht="33.65" customHeight="1">
      <c r="F30" s="442" t="s">
        <v>468</v>
      </c>
      <c r="G30" s="332"/>
      <c r="H30" s="437"/>
      <c r="I30" s="437"/>
      <c r="J30" s="437"/>
      <c r="K30" s="437"/>
      <c r="L30" s="437"/>
      <c r="M30" s="437"/>
      <c r="N30" s="437"/>
      <c r="O30" s="437"/>
      <c r="P30" s="437"/>
      <c r="Q30" s="437"/>
      <c r="R30" s="438"/>
      <c r="S30" s="437"/>
      <c r="T30" s="437"/>
      <c r="U30" s="437"/>
      <c r="V30" s="437"/>
      <c r="W30" s="437"/>
      <c r="X30" s="1420"/>
      <c r="Y30" s="1415" t="s">
        <v>590</v>
      </c>
      <c r="Z30" s="441" t="s">
        <v>474</v>
      </c>
    </row>
    <row r="31" spans="5:29" ht="14.9" customHeight="1">
      <c r="F31" s="2481" t="s">
        <v>235</v>
      </c>
      <c r="G31" s="425" t="s">
        <v>209</v>
      </c>
      <c r="H31" s="2082">
        <f ca="1">_xlfn.IFNA(IF(IFERROR(OR(H175&lt;1,AND(H175&gt;0,H176&gt;0,H176&gt;H175,INDIRECT("'"&amp;$H$3&amp;"'!H143")="Route-based")),FALSE),0,H172),0)</f>
        <v>0</v>
      </c>
      <c r="I31" s="2082"/>
      <c r="J31" s="2082"/>
      <c r="K31" s="2082">
        <f ca="1">_xlfn.IFNA(IF(IFERROR(OR(K175&lt;1,AND(K175&gt;0,K176&gt;0,K176&gt;K175,INDIRECT("'"&amp;$H$3&amp;"'!K143")="Route-based")),FALSE),0,K172),0)</f>
        <v>0</v>
      </c>
      <c r="L31" s="2082"/>
      <c r="M31" s="2082"/>
      <c r="N31" s="2082">
        <f ca="1">_xlfn.IFNA(IF(IFERROR(OR(N175&lt;1,AND(N175&gt;0,N176&gt;0,N176&gt;N175,INDIRECT("'"&amp;$H$3&amp;"'!N143")="Route-based")),FALSE),0,N172),0)</f>
        <v>0.72087020648967548</v>
      </c>
      <c r="O31" s="2082"/>
      <c r="P31" s="2082"/>
      <c r="Q31" s="2082">
        <f ca="1">_xlfn.IFNA(IF(IFERROR(OR(Q175&lt;1,AND(Q175&gt;0,Q176&gt;0,Q176&gt;Q175,INDIRECT("'"&amp;$H$3&amp;"'!Q143")="Route-based")),FALSE),0,Q172),0)</f>
        <v>0</v>
      </c>
      <c r="R31" s="2082"/>
      <c r="S31" s="2082"/>
      <c r="T31" s="2082">
        <f ca="1">_xlfn.IFNA(IF(IFERROR(OR(T175&lt;1,AND(T175&gt;0,T176&gt;0,T176&gt;T175,INDIRECT("'"&amp;$H$3&amp;"'!T143")="Route-based")),FALSE),0,T172),0)</f>
        <v>0</v>
      </c>
      <c r="U31" s="2082"/>
      <c r="V31" s="2082"/>
      <c r="W31" s="2083">
        <f ca="1">_xlfn.IFNA(IF(IFERROR(OR(W175&lt;1,AND(W175&gt;0,W176&gt;0,W176&gt;W175,INDIRECT("'"&amp;$H$3&amp;"'!W143")="Route-based")),FALSE),0,W172),0)</f>
        <v>0</v>
      </c>
      <c r="X31" s="1452"/>
      <c r="Y31" s="2720"/>
      <c r="Z31" s="2699">
        <f ca="1">COUNTIFS(H31:W33,"&gt;0",H31:W33,{"&gt;0.9","&lt;0.5"})</f>
        <v>0</v>
      </c>
      <c r="AA31" s="273"/>
      <c r="AB31" s="273"/>
      <c r="AC31" s="273"/>
    </row>
    <row r="32" spans="5:29" ht="14.9" customHeight="1">
      <c r="F32" s="2481"/>
      <c r="G32" s="426" t="s">
        <v>210</v>
      </c>
      <c r="H32" s="2084">
        <f ca="1">_xlfn.IFNA(IF(IFERROR(OR(H213&lt;1,AND(H213&gt;0,H214&gt;0,H214&gt;H213,INDIRECT("'"&amp;$H$3&amp;"'!H163")="Route-based")),FALSE),0,H210),0)</f>
        <v>0</v>
      </c>
      <c r="I32" s="2084"/>
      <c r="J32" s="2084"/>
      <c r="K32" s="2084">
        <f ca="1">_xlfn.IFNA(IF(IFERROR(OR(K213&lt;1,AND(K213&gt;0,K214&gt;0,K214&gt;K213,INDIRECT("'"&amp;$H$3&amp;"'!K163")="Route-based")),FALSE),0,K210),0)</f>
        <v>0</v>
      </c>
      <c r="L32" s="2084"/>
      <c r="M32" s="2084"/>
      <c r="N32" s="2084">
        <f ca="1">_xlfn.IFNA(IF(IFERROR(OR(N213&lt;1,AND(N213&gt;0,N214&gt;0,N214&gt;N213,INDIRECT("'"&amp;$H$3&amp;"'!N163")="Route-based")),FALSE),0,N210),0)</f>
        <v>0</v>
      </c>
      <c r="O32" s="2084"/>
      <c r="P32" s="2084"/>
      <c r="Q32" s="2084">
        <f ca="1">_xlfn.IFNA(IF(IFERROR(OR(Q213&lt;1,AND(Q213&gt;0,Q214&gt;0,Q214&gt;Q213,INDIRECT("'"&amp;$H$3&amp;"'!Q163")="Route-based")),FALSE),0,Q210),0)</f>
        <v>0</v>
      </c>
      <c r="R32" s="2084"/>
      <c r="S32" s="2084"/>
      <c r="T32" s="2084">
        <f ca="1">_xlfn.IFNA(IF(IFERROR(OR(T213&lt;1,AND(T213&gt;0,T214&gt;0,T214&gt;T213,INDIRECT("'"&amp;$H$3&amp;"'!T163")="Route-based")),FALSE),0,T210),0)</f>
        <v>0</v>
      </c>
      <c r="U32" s="2084"/>
      <c r="V32" s="2084"/>
      <c r="W32" s="2085">
        <f ca="1">_xlfn.IFNA(IF(IFERROR(OR(W213&lt;1,AND(W213&gt;0,W214&gt;0,W214&gt;W213,INDIRECT("'"&amp;$H$3&amp;"'!W163")="Route-based")),FALSE),0,W210),0)</f>
        <v>0</v>
      </c>
      <c r="X32" s="1452"/>
      <c r="Y32" s="2720"/>
      <c r="Z32" s="2700"/>
      <c r="AA32" s="273"/>
      <c r="AB32" s="273"/>
      <c r="AC32" s="273"/>
    </row>
    <row r="33" spans="6:47" ht="14.9" customHeight="1">
      <c r="F33" s="2482"/>
      <c r="G33" s="427" t="s">
        <v>211</v>
      </c>
      <c r="H33" s="2086">
        <f ca="1">_xlfn.IFNA(IF(IFERROR(OR(H251&lt;1,AND(H251&gt;0,H252&gt;0,H252&gt;H251,INDIRECT("'"&amp;$H$3&amp;"'!H183")="Route-based")),FALSE),0,H248),0)</f>
        <v>0</v>
      </c>
      <c r="I33" s="2086"/>
      <c r="J33" s="2086"/>
      <c r="K33" s="2086">
        <f ca="1">_xlfn.IFNA(IF(IFERROR(OR(K251&lt;1,AND(K251&gt;0,K252&gt;0,K252&gt;K251,INDIRECT("'"&amp;$H$3&amp;"'!K183")="Route-based")),FALSE),0,K248),0)</f>
        <v>0</v>
      </c>
      <c r="L33" s="2086"/>
      <c r="M33" s="2086"/>
      <c r="N33" s="2086">
        <f ca="1">_xlfn.IFNA(IF(IFERROR(OR(N251&lt;1,AND(N251&gt;0,N252&gt;0,N252&gt;N251,INDIRECT("'"&amp;$H$3&amp;"'!N183")="Route-based")),FALSE),0,N248),0)</f>
        <v>0</v>
      </c>
      <c r="O33" s="2086"/>
      <c r="P33" s="2086"/>
      <c r="Q33" s="2086">
        <f ca="1">_xlfn.IFNA(IF(IFERROR(OR(Q251&lt;1,AND(Q251&gt;0,Q252&gt;0,Q252&gt;Q251,INDIRECT("'"&amp;$H$3&amp;"'!Q183")="Route-based")),FALSE),0,Q248),0)</f>
        <v>0</v>
      </c>
      <c r="R33" s="2086"/>
      <c r="S33" s="2086"/>
      <c r="T33" s="2086">
        <f ca="1">_xlfn.IFNA(IF(IFERROR(OR(T251&lt;1,AND(T251&gt;0,T252&gt;0,T252&gt;T251,INDIRECT("'"&amp;$H$3&amp;"'!T183")="Route-based")),FALSE),0,T248),0)</f>
        <v>0</v>
      </c>
      <c r="U33" s="2086"/>
      <c r="V33" s="2086"/>
      <c r="W33" s="2087">
        <f ca="1">_xlfn.IFNA(IF(IFERROR(OR(W251&lt;1,AND(W251&gt;0,W252&gt;0,W252&gt;W251,INDIRECT("'"&amp;$H$3&amp;"'!W183")="Route-based")),FALSE),0,W248),0)</f>
        <v>0</v>
      </c>
      <c r="X33" s="1452"/>
      <c r="Y33" s="2721"/>
      <c r="Z33" s="2701"/>
      <c r="AA33" s="273"/>
      <c r="AB33" s="273"/>
      <c r="AC33" s="273"/>
    </row>
    <row r="34" spans="6:47" ht="15" customHeight="1">
      <c r="F34" s="2483" t="s">
        <v>236</v>
      </c>
      <c r="G34" s="428" t="s">
        <v>359</v>
      </c>
      <c r="H34" s="429">
        <f>IFERROR(((H168*H173)+(H206*H211)+(H244*H249))/(H168+H206+H244),IFERROR(H173+H211+H249,"Error"))</f>
        <v>0</v>
      </c>
      <c r="I34" s="429"/>
      <c r="J34" s="429"/>
      <c r="K34" s="429">
        <f ca="1">IFERROR(((K168*K173)+(K206*K211)+(K244*K249))/(K168+K206+K244),IFERROR(K173+K211+K249,"Error"))</f>
        <v>0.89166666666666672</v>
      </c>
      <c r="L34" s="429"/>
      <c r="M34" s="429"/>
      <c r="N34" s="429">
        <f ca="1">IFERROR(((N168*N173)+(N206*N211)+(N244*N249))/(N168+N206+N244),IFERROR(N173+N211+N249,"Error"))</f>
        <v>0.71770833333333328</v>
      </c>
      <c r="O34" s="429"/>
      <c r="P34" s="429"/>
      <c r="Q34" s="429">
        <f ca="1">IFERROR(((Q168*Q173)+(Q206*Q211)+(Q244*Q249))/(Q168+Q206+Q244),IFERROR(Q173+Q211+Q249,"Error"))</f>
        <v>0</v>
      </c>
      <c r="R34" s="430"/>
      <c r="S34" s="430"/>
      <c r="T34" s="429">
        <f ca="1">IFERROR(((T168*T173)+(T206*T211)+(T244*T249))/(T168+T206+T244),IFERROR(T173+T211+T249,"Error"))</f>
        <v>0</v>
      </c>
      <c r="U34" s="430"/>
      <c r="V34" s="430"/>
      <c r="W34" s="1411">
        <f ca="1">IFERROR(((W168*W173)+(W206*W211)+(W244*W249))/(W168+W206+W244),IFERROR(W173+W211+W249,"Error"))</f>
        <v>0</v>
      </c>
      <c r="X34" s="1453"/>
      <c r="Y34" s="2702">
        <f ca="1">IFERROR(AVERAGEIF(H34:W34,"&lt;&gt;0"),"")</f>
        <v>0.8046875</v>
      </c>
      <c r="Z34" s="2705">
        <f ca="1">COUNTIFS(H35:W37,"&gt;0",H35:W37,{"&gt;0.9","&lt;0.5"})</f>
        <v>0</v>
      </c>
    </row>
    <row r="35" spans="6:47" ht="15" customHeight="1">
      <c r="F35" s="2484"/>
      <c r="G35" s="425" t="s">
        <v>209</v>
      </c>
      <c r="H35" s="431">
        <f>_xlfn.IFNA(H173,0)</f>
        <v>0</v>
      </c>
      <c r="I35" s="431"/>
      <c r="J35" s="431"/>
      <c r="K35" s="431">
        <f ca="1">_xlfn.IFNA(K173,0)</f>
        <v>0.89166666666666672</v>
      </c>
      <c r="L35" s="431"/>
      <c r="M35" s="431"/>
      <c r="N35" s="431">
        <f ca="1">_xlfn.IFNA(N173,0)</f>
        <v>0.71770833333333328</v>
      </c>
      <c r="O35" s="431"/>
      <c r="P35" s="431"/>
      <c r="Q35" s="431">
        <f ca="1">_xlfn.IFNA(Q173,0)</f>
        <v>0</v>
      </c>
      <c r="R35" s="432"/>
      <c r="S35" s="432"/>
      <c r="T35" s="431">
        <f ca="1">_xlfn.IFNA(T173,0)</f>
        <v>0</v>
      </c>
      <c r="U35" s="432"/>
      <c r="V35" s="432"/>
      <c r="W35" s="1412">
        <f ca="1">_xlfn.IFNA(W173,0)</f>
        <v>0</v>
      </c>
      <c r="X35" s="1454"/>
      <c r="Y35" s="2703"/>
      <c r="Z35" s="2705"/>
    </row>
    <row r="36" spans="6:47" ht="15" customHeight="1">
      <c r="F36" s="2484"/>
      <c r="G36" s="426" t="s">
        <v>210</v>
      </c>
      <c r="H36" s="433">
        <f>_xlfn.IFNA(H211,0)</f>
        <v>0</v>
      </c>
      <c r="I36" s="433"/>
      <c r="J36" s="433"/>
      <c r="K36" s="433">
        <f ca="1">_xlfn.IFNA(K211,0)</f>
        <v>0</v>
      </c>
      <c r="L36" s="433"/>
      <c r="M36" s="433"/>
      <c r="N36" s="433">
        <f ca="1">_xlfn.IFNA(N211,0)</f>
        <v>0</v>
      </c>
      <c r="O36" s="433"/>
      <c r="P36" s="433"/>
      <c r="Q36" s="433">
        <f ca="1">_xlfn.IFNA(Q211,0)</f>
        <v>0</v>
      </c>
      <c r="R36" s="434"/>
      <c r="S36" s="434"/>
      <c r="T36" s="433">
        <f ca="1">_xlfn.IFNA(T211,0)</f>
        <v>0</v>
      </c>
      <c r="U36" s="434"/>
      <c r="V36" s="434"/>
      <c r="W36" s="1413">
        <f ca="1">_xlfn.IFNA(W211,0)</f>
        <v>0</v>
      </c>
      <c r="X36" s="1454"/>
      <c r="Y36" s="2703"/>
      <c r="Z36" s="2705"/>
    </row>
    <row r="37" spans="6:47" ht="15" customHeight="1">
      <c r="F37" s="2485"/>
      <c r="G37" s="427" t="s">
        <v>211</v>
      </c>
      <c r="H37" s="2088">
        <f>_xlfn.IFNA(H249,0)</f>
        <v>0</v>
      </c>
      <c r="I37" s="2088"/>
      <c r="J37" s="2088"/>
      <c r="K37" s="2088">
        <f ca="1">_xlfn.IFNA(K249,0)</f>
        <v>0</v>
      </c>
      <c r="L37" s="2088"/>
      <c r="M37" s="2088"/>
      <c r="N37" s="2088">
        <f ca="1">_xlfn.IFNA(N249,0)</f>
        <v>0</v>
      </c>
      <c r="O37" s="2088"/>
      <c r="P37" s="2088"/>
      <c r="Q37" s="2088">
        <f ca="1">_xlfn.IFNA(Q249,0)</f>
        <v>0</v>
      </c>
      <c r="R37" s="2089"/>
      <c r="S37" s="2089"/>
      <c r="T37" s="2088">
        <f ca="1">_xlfn.IFNA(T249,0)</f>
        <v>0</v>
      </c>
      <c r="U37" s="2089"/>
      <c r="V37" s="2089"/>
      <c r="W37" s="2090">
        <f ca="1">_xlfn.IFNA(W249,0)</f>
        <v>0</v>
      </c>
      <c r="X37" s="1455"/>
      <c r="Y37" s="2704"/>
      <c r="Z37" s="2705"/>
    </row>
    <row r="38" spans="6:47" ht="15" customHeight="1">
      <c r="F38" s="2483" t="s">
        <v>238</v>
      </c>
      <c r="G38" s="428" t="s">
        <v>359</v>
      </c>
      <c r="H38" s="429">
        <f>IFERROR(((H279*H282)+(H308*H311)+(H337*H340))/(H279+H308+H337),IFERROR(H282+H311+H340,"Error"))</f>
        <v>0</v>
      </c>
      <c r="I38" s="429"/>
      <c r="J38" s="429"/>
      <c r="K38" s="429">
        <f ca="1">IFERROR(((K279*K282)+(K308*K311)+(K337*K340))/(K279+K308+K337),IFERROR(K282+K311+K340,"Error"))</f>
        <v>0</v>
      </c>
      <c r="L38" s="429"/>
      <c r="M38" s="429"/>
      <c r="N38" s="429">
        <f ca="1">IFERROR(((N279*N282)+(N308*N311)+(N337*N340))/(N279+N308+N337),IFERROR(N282+N311+N340,"Error"))</f>
        <v>0.86499999999999999</v>
      </c>
      <c r="O38" s="429"/>
      <c r="P38" s="429"/>
      <c r="Q38" s="429">
        <f ca="1">IFERROR(((Q279*Q282)+(Q308*Q311)+(Q337*Q340))/(Q279+Q308+Q337),IFERROR(Q282+Q311+Q340,"Error"))</f>
        <v>0</v>
      </c>
      <c r="R38" s="430"/>
      <c r="S38" s="430"/>
      <c r="T38" s="429">
        <f ca="1">IFERROR(((T279*T282)+(T308*T311)+(T337*T340))/(T279+T308+T337),IFERROR(T282+T311+T340,"Error"))</f>
        <v>0</v>
      </c>
      <c r="U38" s="430"/>
      <c r="V38" s="430"/>
      <c r="W38" s="1411">
        <f ca="1">IFERROR(((W279*W282)+(W308*W311)+(W337*W340))/(W279+W308+W337),IFERROR(W282+W311+W340,"Error"))</f>
        <v>0</v>
      </c>
      <c r="X38" s="1453"/>
      <c r="Y38" s="2717">
        <f ca="1">IFERROR(AVERAGEIF(H38:W38,"&lt;&gt;0"),"")</f>
        <v>0.86499999999999999</v>
      </c>
      <c r="Z38" s="2705">
        <f ca="1">COUNTIFS(H39:W41,"&gt;0",H39:W41,{"&gt;0.9","&lt;0.5"})</f>
        <v>0</v>
      </c>
    </row>
    <row r="39" spans="6:47" ht="15" customHeight="1">
      <c r="F39" s="2484"/>
      <c r="G39" s="425" t="s">
        <v>209</v>
      </c>
      <c r="H39" s="431">
        <f>_xlfn.IFNA(H282,0)</f>
        <v>0</v>
      </c>
      <c r="I39" s="431"/>
      <c r="J39" s="431"/>
      <c r="K39" s="431">
        <f ca="1">_xlfn.IFNA(K282,0)</f>
        <v>0</v>
      </c>
      <c r="L39" s="431"/>
      <c r="M39" s="431"/>
      <c r="N39" s="431">
        <f ca="1">_xlfn.IFNA(N282,0)</f>
        <v>0.86499999999999999</v>
      </c>
      <c r="O39" s="431"/>
      <c r="P39" s="431"/>
      <c r="Q39" s="431">
        <f ca="1">_xlfn.IFNA(Q282,0)</f>
        <v>0</v>
      </c>
      <c r="R39" s="431"/>
      <c r="S39" s="431"/>
      <c r="T39" s="431">
        <f ca="1">_xlfn.IFNA(T282,0)</f>
        <v>0</v>
      </c>
      <c r="U39" s="431"/>
      <c r="V39" s="431"/>
      <c r="W39" s="1412">
        <f ca="1">_xlfn.IFNA(W282,0)</f>
        <v>0</v>
      </c>
      <c r="X39" s="1454"/>
      <c r="Y39" s="2718"/>
      <c r="Z39" s="2705"/>
    </row>
    <row r="40" spans="6:47" ht="15" customHeight="1">
      <c r="F40" s="2484"/>
      <c r="G40" s="426" t="s">
        <v>210</v>
      </c>
      <c r="H40" s="433">
        <f>_xlfn.IFNA(H311,0)</f>
        <v>0</v>
      </c>
      <c r="I40" s="433"/>
      <c r="J40" s="433"/>
      <c r="K40" s="433">
        <f ca="1">_xlfn.IFNA(K311,0)</f>
        <v>0</v>
      </c>
      <c r="L40" s="433"/>
      <c r="M40" s="433"/>
      <c r="N40" s="433">
        <f ca="1">_xlfn.IFNA(N311,0)</f>
        <v>0</v>
      </c>
      <c r="O40" s="433"/>
      <c r="P40" s="433"/>
      <c r="Q40" s="433">
        <f ca="1">_xlfn.IFNA(Q311,0)</f>
        <v>0</v>
      </c>
      <c r="R40" s="433"/>
      <c r="S40" s="433"/>
      <c r="T40" s="433">
        <f ca="1">_xlfn.IFNA(T311,0)</f>
        <v>0</v>
      </c>
      <c r="U40" s="433"/>
      <c r="V40" s="433"/>
      <c r="W40" s="1413">
        <f ca="1">_xlfn.IFNA(W311,0)</f>
        <v>0</v>
      </c>
      <c r="X40" s="1454"/>
      <c r="Y40" s="2718"/>
      <c r="Z40" s="2705"/>
    </row>
    <row r="41" spans="6:47" ht="15" customHeight="1">
      <c r="F41" s="2485"/>
      <c r="G41" s="427" t="s">
        <v>211</v>
      </c>
      <c r="H41" s="2088">
        <f>_xlfn.IFNA(H340,0)</f>
        <v>0</v>
      </c>
      <c r="I41" s="2088"/>
      <c r="J41" s="2088"/>
      <c r="K41" s="2088">
        <f ca="1">_xlfn.IFNA(K340,0)</f>
        <v>0</v>
      </c>
      <c r="L41" s="2088"/>
      <c r="M41" s="2088"/>
      <c r="N41" s="2088">
        <f ca="1">_xlfn.IFNA(N340,0)</f>
        <v>0</v>
      </c>
      <c r="O41" s="2088"/>
      <c r="P41" s="2088"/>
      <c r="Q41" s="2088">
        <f ca="1">_xlfn.IFNA(Q340,0)</f>
        <v>0</v>
      </c>
      <c r="R41" s="2088"/>
      <c r="S41" s="2088"/>
      <c r="T41" s="2088">
        <f ca="1">_xlfn.IFNA(T340,0)</f>
        <v>0</v>
      </c>
      <c r="U41" s="2088"/>
      <c r="V41" s="2088"/>
      <c r="W41" s="2090">
        <f ca="1">_xlfn.IFNA(W340,0)</f>
        <v>0</v>
      </c>
      <c r="X41" s="1455"/>
      <c r="Y41" s="2719"/>
      <c r="Z41" s="2705"/>
    </row>
    <row r="42" spans="6:47" ht="15" customHeight="1">
      <c r="F42" s="2483" t="s">
        <v>237</v>
      </c>
      <c r="G42" s="428" t="s">
        <v>359</v>
      </c>
      <c r="H42" s="429">
        <f>IFERROR(((H368*H371)+(H397*H400)+(H426*H429))/(H368+H397+H426),IFERROR(H371+H400+H429,"Error"))</f>
        <v>0</v>
      </c>
      <c r="I42" s="429"/>
      <c r="J42" s="429"/>
      <c r="K42" s="429">
        <f t="shared" ref="K42:Q42" ca="1" si="1">IFERROR(((K368*K371)+(K397*K400)+(K426*K429))/(K368+K397+K426),IFERROR(K371+K400+K429,"Error"))</f>
        <v>0</v>
      </c>
      <c r="L42" s="429"/>
      <c r="M42" s="429"/>
      <c r="N42" s="429">
        <f t="shared" ca="1" si="1"/>
        <v>0</v>
      </c>
      <c r="O42" s="429"/>
      <c r="P42" s="429"/>
      <c r="Q42" s="429">
        <f t="shared" ca="1" si="1"/>
        <v>0</v>
      </c>
      <c r="R42" s="430"/>
      <c r="S42" s="430"/>
      <c r="T42" s="429">
        <f ca="1">IFERROR(((T368*T371)+(T397*T400)+(T426*T429))/(T368+T397+T426),IFERROR(T371+T400+T429,"Error"))</f>
        <v>0</v>
      </c>
      <c r="U42" s="430"/>
      <c r="V42" s="430"/>
      <c r="W42" s="1411">
        <f ca="1">IFERROR(((W368*W371)+(W397*W400)+(W426*W429))/(W368+W397+W426),IFERROR(W371+W400+W429,"Error"))</f>
        <v>0</v>
      </c>
      <c r="X42" s="1453"/>
      <c r="Y42" s="2717" t="str">
        <f ca="1">IFERROR(AVERAGEIF(H42:W42,"&lt;&gt;0"),"")</f>
        <v/>
      </c>
      <c r="Z42" s="2705">
        <f ca="1">COUNTIFS(H43:W45,"&gt;0",H43:W45,{"&gt;0.9","&lt;0.5"})</f>
        <v>0</v>
      </c>
    </row>
    <row r="43" spans="6:47" ht="15" customHeight="1">
      <c r="F43" s="2484"/>
      <c r="G43" s="425" t="s">
        <v>209</v>
      </c>
      <c r="H43" s="431">
        <f>_xlfn.IFNA(H371,0)</f>
        <v>0</v>
      </c>
      <c r="I43" s="431"/>
      <c r="J43" s="431"/>
      <c r="K43" s="431">
        <f ca="1">_xlfn.IFNA(K371,0)</f>
        <v>0</v>
      </c>
      <c r="L43" s="431"/>
      <c r="M43" s="431"/>
      <c r="N43" s="431">
        <f ca="1">_xlfn.IFNA(N371,0)</f>
        <v>0</v>
      </c>
      <c r="O43" s="431"/>
      <c r="P43" s="431"/>
      <c r="Q43" s="431">
        <f ca="1">_xlfn.IFNA(Q371,0)</f>
        <v>0</v>
      </c>
      <c r="R43" s="431"/>
      <c r="S43" s="431"/>
      <c r="T43" s="431">
        <f ca="1">_xlfn.IFNA(T371,0)</f>
        <v>0</v>
      </c>
      <c r="U43" s="431"/>
      <c r="V43" s="431"/>
      <c r="W43" s="1412">
        <f ca="1">_xlfn.IFNA(W371,0)</f>
        <v>0</v>
      </c>
      <c r="X43" s="1454"/>
      <c r="Y43" s="2718"/>
      <c r="Z43" s="2705"/>
    </row>
    <row r="44" spans="6:47" ht="15" customHeight="1">
      <c r="F44" s="2484"/>
      <c r="G44" s="426" t="s">
        <v>210</v>
      </c>
      <c r="H44" s="433">
        <f>_xlfn.IFNA(H400,0)</f>
        <v>0</v>
      </c>
      <c r="I44" s="433"/>
      <c r="J44" s="433"/>
      <c r="K44" s="433">
        <f ca="1">_xlfn.IFNA(K400,0)</f>
        <v>0</v>
      </c>
      <c r="L44" s="433"/>
      <c r="M44" s="433"/>
      <c r="N44" s="433">
        <f ca="1">_xlfn.IFNA(N400,0)</f>
        <v>0</v>
      </c>
      <c r="O44" s="433"/>
      <c r="P44" s="433"/>
      <c r="Q44" s="433">
        <f ca="1">_xlfn.IFNA(Q400,0)</f>
        <v>0</v>
      </c>
      <c r="R44" s="433"/>
      <c r="S44" s="433"/>
      <c r="T44" s="433">
        <f ca="1">_xlfn.IFNA(T400,0)</f>
        <v>0</v>
      </c>
      <c r="U44" s="433"/>
      <c r="V44" s="433"/>
      <c r="W44" s="1413">
        <f ca="1">_xlfn.IFNA(W400,0)</f>
        <v>0</v>
      </c>
      <c r="X44" s="1454"/>
      <c r="Y44" s="2718"/>
      <c r="Z44" s="2705"/>
    </row>
    <row r="45" spans="6:47" ht="15" customHeight="1">
      <c r="F45" s="2485"/>
      <c r="G45" s="427" t="s">
        <v>211</v>
      </c>
      <c r="H45" s="2088">
        <f>_xlfn.IFNA(H429,0)</f>
        <v>0</v>
      </c>
      <c r="I45" s="2088"/>
      <c r="J45" s="2088"/>
      <c r="K45" s="2088">
        <f ca="1">_xlfn.IFNA(K429,0)</f>
        <v>0</v>
      </c>
      <c r="L45" s="2088"/>
      <c r="M45" s="2088"/>
      <c r="N45" s="2088">
        <f ca="1">_xlfn.IFNA(N429,0)</f>
        <v>0</v>
      </c>
      <c r="O45" s="2088"/>
      <c r="P45" s="2088"/>
      <c r="Q45" s="2088">
        <f ca="1">_xlfn.IFNA(Q429,0)</f>
        <v>0</v>
      </c>
      <c r="R45" s="2088"/>
      <c r="S45" s="2088"/>
      <c r="T45" s="2088">
        <f ca="1">_xlfn.IFNA(T429,0)</f>
        <v>0</v>
      </c>
      <c r="U45" s="2088"/>
      <c r="V45" s="2088"/>
      <c r="W45" s="2090">
        <f ca="1">_xlfn.IFNA(W429,0)</f>
        <v>0</v>
      </c>
      <c r="X45" s="1455"/>
      <c r="Y45" s="2719"/>
      <c r="Z45" s="2705"/>
    </row>
    <row r="46" spans="6:47" ht="29.25" customHeight="1">
      <c r="F46" s="455" t="s">
        <v>481</v>
      </c>
      <c r="G46" s="490" t="s">
        <v>482</v>
      </c>
      <c r="H46" s="454" t="str">
        <f>IFERROR(SUM(IF(H34&gt;0,H34,0),IF(H38&gt;0,H38,0),IF(H42&gt;0,H42,0))/SUM(IF(H34&gt;0,1,0),IF(H38&gt;0,1,0),IF(H42&gt;0,1,0)),"")</f>
        <v/>
      </c>
      <c r="I46" s="454"/>
      <c r="J46" s="454"/>
      <c r="K46" s="454">
        <f ca="1">IFERROR(SUM(IF(K34&gt;0,K34,0),IF(K38&gt;0,K38,0),IF(K42&gt;0,K42,0))/SUM(IF(K34&gt;0,1,0),IF(K38&gt;0,1,0),IF(K42&gt;0,1,0)),"")</f>
        <v>0.89166666666666672</v>
      </c>
      <c r="L46" s="454"/>
      <c r="M46" s="454"/>
      <c r="N46" s="454">
        <f ca="1">IFERROR(SUM(IF(N34&gt;0,N34,0),IF(N38&gt;0,N38,0),IF(N42&gt;0,N42,0))/SUM(IF(N34&gt;0,1,0),IF(N38&gt;0,1,0),IF(N42&gt;0,1,0)),"")</f>
        <v>0.79135416666666658</v>
      </c>
      <c r="O46" s="454"/>
      <c r="P46" s="454"/>
      <c r="Q46" s="454" t="str">
        <f ca="1">IFERROR(SUM(IF(Q34&gt;0,Q34,0),IF(Q38&gt;0,Q38,0),IF(Q42&gt;0,Q42,0))/SUM(IF(Q34&gt;0,1,0),IF(Q38&gt;0,1,0),IF(Q42&gt;0,1,0)),"")</f>
        <v/>
      </c>
      <c r="R46" s="454"/>
      <c r="S46" s="454"/>
      <c r="T46" s="454" t="str">
        <f ca="1">IFERROR(SUM(IF(T34&gt;0,T34,0),IF(T38&gt;0,T38,0),IF(T42&gt;0,T42,0))/SUM(IF(T34&gt;0,1,0),IF(T38&gt;0,1,0),IF(T42&gt;0,1,0)),"")</f>
        <v/>
      </c>
      <c r="U46" s="454"/>
      <c r="V46" s="454"/>
      <c r="W46" s="1414" t="str">
        <f ca="1">IFERROR(SUM(IF(W34&gt;0,W34,0),IF(W38&gt;0,W38,0),IF(W42&gt;0,W42,0))/SUM(IF(W34&gt;0,1,0),IF(W38&gt;0,1,0),IF(W42&gt;0,1,0)),"")</f>
        <v/>
      </c>
      <c r="X46" s="1456"/>
      <c r="Y46" s="1416" t="s">
        <v>591</v>
      </c>
      <c r="Z46" s="448">
        <f ca="1">SUM(Z31:Z45)</f>
        <v>0</v>
      </c>
    </row>
    <row r="47" spans="6:47" ht="16.5" customHeight="1">
      <c r="F47" s="240"/>
      <c r="G47" s="52"/>
      <c r="AB47" s="456"/>
      <c r="AC47" s="456"/>
      <c r="AD47" s="456"/>
      <c r="AE47" s="456"/>
      <c r="AF47" s="456"/>
      <c r="AG47" s="456"/>
      <c r="AH47" s="456"/>
      <c r="AI47" s="456"/>
      <c r="AJ47" s="456"/>
    </row>
    <row r="48" spans="6:47" ht="32.9" customHeight="1">
      <c r="AB48" s="456"/>
      <c r="AC48" s="456"/>
      <c r="AD48" s="456"/>
      <c r="AE48" s="456"/>
      <c r="AF48" s="456"/>
      <c r="AG48" s="456"/>
      <c r="AH48" s="456"/>
      <c r="AI48" s="456"/>
      <c r="AJ48" s="456"/>
      <c r="AP48" s="2505" t="s">
        <v>675</v>
      </c>
      <c r="AQ48" s="2506"/>
      <c r="AR48" s="2506"/>
      <c r="AS48" s="2506"/>
      <c r="AT48" s="2506"/>
      <c r="AU48" s="2507"/>
    </row>
    <row r="49" spans="5:47">
      <c r="H49" s="243" t="str">
        <f ca="1">"Overall Storage Capacity - "&amp;H50</f>
        <v>Overall Storage Capacity - CMS Tier</v>
      </c>
      <c r="I49" s="243"/>
      <c r="J49" s="243"/>
      <c r="K49" s="243" t="str">
        <f ca="1">"Overall Storage Capacity - "&amp;K50</f>
        <v>Overall Storage Capacity - Regional WH Tier</v>
      </c>
      <c r="L49" s="243"/>
      <c r="M49" s="243"/>
      <c r="N49" s="243" t="str">
        <f ca="1">"Overall Storage Capacity - "&amp;N50</f>
        <v>Overall Storage Capacity - Health Facility Tier</v>
      </c>
      <c r="O49" s="243"/>
      <c r="P49" s="243"/>
      <c r="Q49" s="243" t="str">
        <f ca="1">"Overall Storage Capacity - "&amp;Q50</f>
        <v xml:space="preserve">Overall Storage Capacity - </v>
      </c>
      <c r="R49" s="243"/>
      <c r="S49" s="243"/>
      <c r="T49" s="243" t="str">
        <f ca="1">"Overall Storage Capacity - "&amp;T50</f>
        <v xml:space="preserve">Overall Storage Capacity - </v>
      </c>
      <c r="U49" s="243"/>
      <c r="V49" s="243"/>
      <c r="W49" s="243" t="str">
        <f ca="1">"Overall Storage Capacity - "&amp;W50</f>
        <v xml:space="preserve">Overall Storage Capacity - </v>
      </c>
      <c r="X49" s="1457"/>
      <c r="AB49" s="456"/>
      <c r="AC49" s="456"/>
      <c r="AD49" s="456"/>
      <c r="AE49" s="456"/>
      <c r="AF49" s="456"/>
      <c r="AG49" s="456"/>
      <c r="AH49" s="456"/>
      <c r="AI49" s="456"/>
      <c r="AJ49" s="456"/>
      <c r="AP49" s="449"/>
      <c r="AQ49" s="450"/>
      <c r="AR49" s="450"/>
      <c r="AS49" s="450"/>
      <c r="AT49" s="451" t="s">
        <v>479</v>
      </c>
      <c r="AU49" s="452" t="s">
        <v>480</v>
      </c>
    </row>
    <row r="50" spans="5:47" ht="33.75" customHeight="1">
      <c r="E50" s="1500" t="s">
        <v>459</v>
      </c>
      <c r="F50" s="1496"/>
      <c r="G50" s="1497"/>
      <c r="H50" s="1498" t="str">
        <f ca="1">IF($H$9&gt;=1,INDIRECT("'"&amp;$H$3&amp;"'!G$91"),"")</f>
        <v>CMS Tier</v>
      </c>
      <c r="I50" s="1498" t="str">
        <f t="shared" ref="I50:V50" ca="1" si="2">IF($H$9&gt;=1,"Tier 1","")</f>
        <v>Tier 1</v>
      </c>
      <c r="J50" s="1498" t="str">
        <f t="shared" ca="1" si="2"/>
        <v>Tier 1</v>
      </c>
      <c r="K50" s="1498" t="str">
        <f ca="1">IF($H$9&gt;=2,INDIRECT("'"&amp;$H$3&amp;"'!J$91"),"")</f>
        <v>Regional WH Tier</v>
      </c>
      <c r="L50" s="1498" t="str">
        <f t="shared" ca="1" si="2"/>
        <v>Tier 1</v>
      </c>
      <c r="M50" s="1498" t="str">
        <f t="shared" ca="1" si="2"/>
        <v>Tier 1</v>
      </c>
      <c r="N50" s="1498" t="str">
        <f ca="1">IF($H$9&gt;=3,INDIRECT("'"&amp;$H$3&amp;"'!M$91"),"")</f>
        <v>Health Facility Tier</v>
      </c>
      <c r="O50" s="1498" t="str">
        <f t="shared" ca="1" si="2"/>
        <v>Tier 1</v>
      </c>
      <c r="P50" s="1498" t="str">
        <f t="shared" ca="1" si="2"/>
        <v>Tier 1</v>
      </c>
      <c r="Q50" s="1499" t="str">
        <f ca="1">IF($H$9&gt;=4,INDIRECT("'"&amp;$H$3&amp;"'!P$91"),"")</f>
        <v/>
      </c>
      <c r="R50" s="659" t="str">
        <f t="shared" ca="1" si="2"/>
        <v>Tier 1</v>
      </c>
      <c r="S50" s="659" t="str">
        <f t="shared" ca="1" si="2"/>
        <v>Tier 1</v>
      </c>
      <c r="T50" s="1499" t="str">
        <f ca="1">IF($H$9&gt;=5,INDIRECT("'"&amp;$H$3&amp;"'!S$91"),"")</f>
        <v/>
      </c>
      <c r="U50" s="1499" t="str">
        <f t="shared" ca="1" si="2"/>
        <v>Tier 1</v>
      </c>
      <c r="V50" s="1499" t="str">
        <f t="shared" ca="1" si="2"/>
        <v>Tier 1</v>
      </c>
      <c r="W50" s="1499" t="str">
        <f ca="1">IF($H$9&gt;=6,INDIRECT("'"&amp;$H$3&amp;"'!V$91"),"")</f>
        <v/>
      </c>
      <c r="X50" s="1419"/>
      <c r="AB50" s="456"/>
      <c r="AC50" s="456"/>
      <c r="AD50" s="456"/>
      <c r="AE50" s="456"/>
      <c r="AF50" s="456"/>
      <c r="AG50" s="456"/>
      <c r="AH50" s="456"/>
      <c r="AI50" s="456"/>
      <c r="AJ50" s="456"/>
      <c r="AP50" s="2508" t="s">
        <v>483</v>
      </c>
      <c r="AQ50" s="2509"/>
      <c r="AR50" s="2509"/>
      <c r="AS50" s="2510"/>
      <c r="AT50" s="2514">
        <v>0.9</v>
      </c>
      <c r="AU50" s="2514">
        <v>0.9</v>
      </c>
    </row>
    <row r="51" spans="5:47" ht="18.45">
      <c r="E51" s="277"/>
      <c r="F51" s="351" t="s">
        <v>382</v>
      </c>
      <c r="G51" s="332"/>
      <c r="H51" s="342"/>
      <c r="I51" s="342"/>
      <c r="J51" s="342"/>
      <c r="K51" s="342"/>
      <c r="L51" s="342"/>
      <c r="M51" s="342"/>
      <c r="N51" s="342"/>
      <c r="O51" s="342"/>
      <c r="P51" s="342"/>
      <c r="Q51" s="342"/>
      <c r="R51" s="343"/>
      <c r="S51" s="342"/>
      <c r="T51" s="342"/>
      <c r="U51" s="342"/>
      <c r="V51" s="342"/>
      <c r="W51" s="342"/>
      <c r="X51" s="1420"/>
      <c r="AA51" s="36"/>
      <c r="AB51" s="456"/>
      <c r="AC51" s="456"/>
      <c r="AD51" s="456"/>
      <c r="AE51" s="456"/>
      <c r="AF51" s="456"/>
      <c r="AG51" s="456"/>
      <c r="AH51" s="456"/>
      <c r="AI51" s="456"/>
      <c r="AJ51" s="456"/>
      <c r="AK51" s="36"/>
      <c r="AL51" s="36"/>
      <c r="AP51" s="2511"/>
      <c r="AQ51" s="2512"/>
      <c r="AR51" s="2512"/>
      <c r="AS51" s="2513"/>
      <c r="AT51" s="2515"/>
      <c r="AU51" s="2515"/>
    </row>
    <row r="52" spans="5:47" ht="19.5" customHeight="1">
      <c r="E52" s="233"/>
      <c r="F52" s="398"/>
      <c r="G52" s="187" t="s">
        <v>381</v>
      </c>
      <c r="H52" s="399">
        <f ca="1">SUM(H57,H64)</f>
        <v>3233.0812500000002</v>
      </c>
      <c r="I52" s="400"/>
      <c r="J52" s="400"/>
      <c r="K52" s="399">
        <f ca="1">SUM(K57,K64)</f>
        <v>3079.125</v>
      </c>
      <c r="L52" s="400"/>
      <c r="M52" s="400"/>
      <c r="N52" s="401">
        <f ca="1">SUM(N57,N64)</f>
        <v>8.5</v>
      </c>
      <c r="O52" s="400"/>
      <c r="P52" s="400"/>
      <c r="Q52" s="401">
        <f ca="1">SUM(Q57,Q64)</f>
        <v>0</v>
      </c>
      <c r="R52" s="295"/>
      <c r="S52" s="295"/>
      <c r="T52" s="401">
        <f ca="1">SUM(T57,T64)</f>
        <v>0</v>
      </c>
      <c r="U52" s="295"/>
      <c r="V52" s="295"/>
      <c r="W52" s="1429">
        <f ca="1">SUM(W57,W64)</f>
        <v>0</v>
      </c>
      <c r="X52" s="1421"/>
      <c r="AA52" s="36"/>
      <c r="AB52" s="456"/>
      <c r="AC52" s="456"/>
      <c r="AD52" s="456"/>
      <c r="AE52" s="456"/>
      <c r="AF52" s="456"/>
      <c r="AG52" s="456"/>
      <c r="AH52" s="456"/>
      <c r="AI52" s="456"/>
      <c r="AJ52" s="456"/>
      <c r="AK52" s="36"/>
      <c r="AL52" s="36"/>
      <c r="AP52" s="2508" t="s">
        <v>484</v>
      </c>
      <c r="AQ52" s="2509"/>
      <c r="AR52" s="2509"/>
      <c r="AS52" s="2510"/>
      <c r="AT52" s="2514">
        <v>0.5</v>
      </c>
      <c r="AU52" s="2514">
        <v>0.5</v>
      </c>
    </row>
    <row r="53" spans="5:47" ht="19.5" customHeight="1">
      <c r="E53" s="233"/>
      <c r="F53" s="398"/>
      <c r="G53" s="187" t="s">
        <v>601</v>
      </c>
      <c r="H53" s="395">
        <f ca="1">IFERROR(H52/(INDIRECT("'"&amp;$H$3&amp;"'!H$106")*INDIRECT("'"&amp;$H$3&amp;"'!H$107")*INDIRECT("'"&amp;$H$3&amp;"'!$H$9")),"")</f>
        <v>0.86426146255263381</v>
      </c>
      <c r="I53" s="400"/>
      <c r="J53" s="400"/>
      <c r="K53" s="395">
        <f ca="1">IFERROR(K52/(INDIRECT("'"&amp;$H$3&amp;"'!K$106")*INDIRECT("'"&amp;$H$3&amp;"'!K$107")*INDIRECT("'"&amp;$H$3&amp;"'!$H$9")),"")</f>
        <v>0.83371170804240347</v>
      </c>
      <c r="L53" s="400"/>
      <c r="M53" s="400"/>
      <c r="N53" s="395">
        <f ca="1">IFERROR(N52/(INDIRECT("'"&amp;$H$3&amp;"'!N$106")*INDIRECT("'"&amp;$H$3&amp;"'!N$107")*INDIRECT("'"&amp;$H$3&amp;"'!$H$9")),"")</f>
        <v>0.79893574455307281</v>
      </c>
      <c r="O53" s="400"/>
      <c r="P53" s="400"/>
      <c r="Q53" s="395" t="str">
        <f ca="1">IFERROR(Q52/(INDIRECT("'"&amp;$H$3&amp;"'!Q$106")*INDIRECT("'"&amp;$H$3&amp;"'!Q$107")*INDIRECT("'"&amp;$H$3&amp;"'!$H$9")),"")</f>
        <v/>
      </c>
      <c r="R53" s="295"/>
      <c r="S53" s="295"/>
      <c r="T53" s="395" t="str">
        <f ca="1">IFERROR(T52/(INDIRECT("'"&amp;$H$3&amp;"'!T$106")*INDIRECT("'"&amp;$H$3&amp;"'!T$107")*INDIRECT("'"&amp;$H$3&amp;"'!$H$9")),"")</f>
        <v/>
      </c>
      <c r="U53" s="295"/>
      <c r="V53" s="295"/>
      <c r="W53" s="1430" t="str">
        <f ca="1">IFERROR(W52/(INDIRECT("'"&amp;$H$3&amp;"'!W$106")*INDIRECT("'"&amp;$H$3&amp;"'!W$107")*INDIRECT("'"&amp;$H$3&amp;"'!$H$9")),"")</f>
        <v/>
      </c>
      <c r="X53" s="1422"/>
      <c r="AA53" s="36"/>
      <c r="AB53" s="456"/>
      <c r="AC53" s="456"/>
      <c r="AD53" s="456"/>
      <c r="AE53" s="456"/>
      <c r="AF53" s="456"/>
      <c r="AG53" s="456"/>
      <c r="AH53" s="456"/>
      <c r="AI53" s="456"/>
      <c r="AJ53" s="456"/>
      <c r="AK53" s="36"/>
      <c r="AL53" s="36"/>
      <c r="AP53" s="2511"/>
      <c r="AQ53" s="2512"/>
      <c r="AR53" s="2512"/>
      <c r="AS53" s="2513"/>
      <c r="AT53" s="2515"/>
      <c r="AU53" s="2515"/>
    </row>
    <row r="54" spans="5:47" ht="18" customHeight="1">
      <c r="F54" s="397"/>
      <c r="G54" s="191" t="s">
        <v>600</v>
      </c>
      <c r="H54" s="395">
        <f ca="1">IFERROR(SUM(H62,H69,H71)/(AND(H71&gt;0,H71&lt;&gt;"")+AND(H69&gt;0,H69&lt;&gt;"")+AND(H62&gt;0,H62&lt;&gt;"")),"")</f>
        <v>0.80827031250000003</v>
      </c>
      <c r="I54" s="395"/>
      <c r="J54" s="395"/>
      <c r="K54" s="395">
        <f ca="1">IFERROR(SUM(K62,K69,K71)/(AND(K71&gt;0,K71&lt;&gt;"")+AND(K69&gt;0,K69&lt;&gt;"")+AND(K62&gt;0,K62&lt;&gt;"")),"")</f>
        <v>0.76978124999999997</v>
      </c>
      <c r="L54" s="395"/>
      <c r="M54" s="395"/>
      <c r="N54" s="395">
        <f ca="1">IFERROR(SUM(N62,N69,N71)/(AND(N71&gt;0,N71&lt;&gt;"")+AND(N69&gt;0,N69&lt;&gt;"")+AND(N62&gt;0,N62&lt;&gt;"")),"")</f>
        <v>0.39943609022556387</v>
      </c>
      <c r="O54" s="395"/>
      <c r="P54" s="395"/>
      <c r="Q54" s="395">
        <f ca="1">IFERROR(SUM(Q62,Q69,Q71)/(AND(Q71&gt;0,Q71&lt;&gt;"")+AND(Q69&gt;0,Q69&lt;&gt;"")+AND(Q62&gt;0,Q62&lt;&gt;"")),"")</f>
        <v>0</v>
      </c>
      <c r="R54" s="395"/>
      <c r="S54" s="395"/>
      <c r="T54" s="395">
        <f ca="1">IFERROR(SUM(T62,T69,T71)/(AND(T71&gt;0,T71&lt;&gt;"")+AND(T69&gt;0,T69&lt;&gt;"")+AND(T62&gt;0,T62&lt;&gt;"")),"")</f>
        <v>0</v>
      </c>
      <c r="U54" s="395"/>
      <c r="V54" s="395"/>
      <c r="W54" s="1430">
        <f ca="1">IFERROR(SUM(W62,W69,W71)/(AND(W71&gt;0,W71&lt;&gt;"")+AND(W69&gt;0,W69&lt;&gt;"")+AND(W62&gt;0,W62&lt;&gt;"")),"")</f>
        <v>0</v>
      </c>
      <c r="X54" s="1422"/>
      <c r="AA54" s="36"/>
      <c r="AB54" s="456"/>
      <c r="AC54" s="456"/>
      <c r="AD54" s="456"/>
      <c r="AE54" s="456"/>
      <c r="AF54" s="456"/>
      <c r="AG54" s="456"/>
      <c r="AH54" s="456"/>
      <c r="AI54" s="456"/>
      <c r="AJ54" s="456"/>
      <c r="AK54" s="36"/>
      <c r="AL54" s="36"/>
    </row>
    <row r="55" spans="5:47" ht="18" customHeight="1">
      <c r="F55" s="390"/>
      <c r="G55" s="207" t="s">
        <v>472</v>
      </c>
      <c r="H55" s="396">
        <f ca="1">IF(AND(H71&gt;0,H71&lt;&gt;"",OR(H71&lt;0.5,H71&gt;0.9)),1,0)+IF(AND(H69&gt;0,H69&lt;&gt;"",OR(H69&lt;0.5,H69&gt;0.9)),1,0)+IF(AND(H62&gt;0,H62&lt;&gt;"",OR(H62&lt;0.5,H62&gt;0.9)),1,0)</f>
        <v>0</v>
      </c>
      <c r="I55" s="396"/>
      <c r="J55" s="396"/>
      <c r="K55" s="396">
        <f ca="1">IF(AND(K71&gt;0,K71&lt;&gt;"",OR(K71&lt;0.5,K71&gt;0.9)),1,0)+IF(AND(K69&gt;0,K69&lt;&gt;"",OR(K69&lt;0.5,K69&gt;0.9)),1,0)+IF(AND(K62&gt;0,K62&lt;&gt;"",OR(K62&lt;0.5,K62&gt;0.9)),1,0)</f>
        <v>0</v>
      </c>
      <c r="L55" s="396"/>
      <c r="M55" s="396"/>
      <c r="N55" s="396">
        <f ca="1">IF(AND(N71&gt;0,N71&lt;&gt;"",OR(N71&lt;0.5,N71&gt;0.9)),1,0)+IF(AND(N69&gt;0,N69&lt;&gt;"",OR(N69&lt;0.5,N69&gt;0.9)),1,0)+IF(AND(N62&gt;0,N62&lt;&gt;"",OR(N62&lt;0.5,N62&gt;0.9)),1,0)</f>
        <v>1</v>
      </c>
      <c r="O55" s="396"/>
      <c r="P55" s="396"/>
      <c r="Q55" s="396">
        <f ca="1">IF(AND(Q71&gt;0,Q71&lt;&gt;"",OR(Q71&lt;0.5,Q71&gt;0.9)),1,0)+IF(AND(Q69&gt;0,Q69&lt;&gt;"",OR(Q69&lt;0.5,Q69&gt;0.9)),1,0)+IF(AND(Q62&gt;0,Q62&lt;&gt;"",OR(Q62&lt;0.5,Q62&gt;0.9)),1,0)</f>
        <v>1</v>
      </c>
      <c r="R55" s="396"/>
      <c r="S55" s="396"/>
      <c r="T55" s="396">
        <f ca="1">IF(AND(T71&gt;0,T71&lt;&gt;"",OR(T71&lt;0.5,T71&gt;0.9)),1,0)+IF(AND(T69&gt;0,T69&lt;&gt;"",OR(T69&lt;0.5,T69&gt;0.9)),1,0)+IF(AND(T62&gt;0,T62&lt;&gt;"",OR(T62&lt;0.5,T62&gt;0.9)),1,0)</f>
        <v>1</v>
      </c>
      <c r="U55" s="396"/>
      <c r="V55" s="396"/>
      <c r="W55" s="1431">
        <f ca="1">IF(AND(W71&gt;0,W71&lt;&gt;"",OR(W71&lt;0.5,W71&gt;0.9)),1,0)+IF(AND(W69&gt;0,W69&lt;&gt;"",OR(W69&lt;0.5,W69&gt;0.9)),1,0)+IF(AND(W62&gt;0,W62&lt;&gt;"",OR(W62&lt;0.5,W62&gt;0.9)),1,0)</f>
        <v>1</v>
      </c>
      <c r="X55" s="1423"/>
      <c r="AA55" s="36"/>
      <c r="AB55" s="456"/>
      <c r="AC55" s="456"/>
      <c r="AD55" s="456"/>
      <c r="AE55" s="456"/>
      <c r="AF55" s="456"/>
      <c r="AG55" s="456"/>
      <c r="AH55" s="456"/>
      <c r="AI55" s="456"/>
      <c r="AJ55" s="456"/>
      <c r="AK55" s="36"/>
      <c r="AL55" s="36"/>
    </row>
    <row r="56" spans="5:47" ht="19.5" customHeight="1">
      <c r="E56" s="233"/>
      <c r="F56" s="351" t="s">
        <v>371</v>
      </c>
      <c r="G56" s="332"/>
      <c r="H56" s="342"/>
      <c r="I56" s="342"/>
      <c r="J56" s="342"/>
      <c r="K56" s="342"/>
      <c r="L56" s="342"/>
      <c r="M56" s="342"/>
      <c r="N56" s="342"/>
      <c r="O56" s="342"/>
      <c r="P56" s="342"/>
      <c r="Q56" s="342"/>
      <c r="R56" s="343"/>
      <c r="S56" s="342"/>
      <c r="T56" s="342"/>
      <c r="U56" s="342"/>
      <c r="V56" s="342"/>
      <c r="W56" s="342"/>
      <c r="X56" s="1420"/>
      <c r="AA56" s="36"/>
      <c r="AB56" s="456"/>
      <c r="AC56" s="456"/>
      <c r="AD56" s="456"/>
      <c r="AE56" s="456"/>
      <c r="AF56" s="457">
        <f t="shared" ref="AF56:AF68" si="3">$AU$52</f>
        <v>0.5</v>
      </c>
      <c r="AG56" s="457">
        <f t="shared" ref="AG56:AG68" si="4">$AU$50-$AU$52</f>
        <v>0.4</v>
      </c>
      <c r="AH56" s="456"/>
      <c r="AI56" s="456"/>
      <c r="AJ56" s="456"/>
      <c r="AK56" s="36"/>
      <c r="AL56" s="36"/>
    </row>
    <row r="57" spans="5:47" ht="21" customHeight="1">
      <c r="E57" s="233"/>
      <c r="F57" s="368"/>
      <c r="G57" s="194" t="s">
        <v>115</v>
      </c>
      <c r="H57" s="401">
        <f ca="1">IF(INDIRECT("'"&amp;$H$3&amp;"'!$H$20")='List Values'!$B$3, (INDIRECT("'"&amp;$H$3&amp;"'!$H$17")*INDIRECT("'"&amp;$H$3&amp;"'!H$93"))/INDIRECT("'"&amp;$H$3&amp;"'!H$95"), IF(INDIRECT("'"&amp;$H$3&amp;"'!$H$7")&gt;1,(INDIRECT("'"&amp;$H$3&amp;"'!H$93")*(K$57*INDIRECT("'"&amp;$H$3&amp;"'!K$95")/INDIRECT("'"&amp;$H$3&amp;"'!K$93"))*(1+INDIRECT("'"&amp;$H$3&amp;"'!K$94")))/INDIRECT("'"&amp;$H$3&amp;"'!H$95"),IF(INDIRECT("'"&amp;$H$3&amp;"'!$H$7")=1,(INDIRECT("'"&amp;$H$3&amp;"'!$H$17")*INDIRECT("'"&amp;$H$3&amp;"'!H$93"))/INDIRECT("'"&amp;$H$3&amp;"'!H$95"),"")))</f>
        <v>3233.0812500000002</v>
      </c>
      <c r="I57" s="402"/>
      <c r="J57" s="402"/>
      <c r="K57" s="401">
        <f ca="1">IF(INDIRECT("'"&amp;$H$3&amp;"'!$H$7") &lt; 2,"",IF(INDIRECT("'"&amp;$H$3&amp;"'!$H$20")='List Values'!$B$3, ((H$57*INDIRECT("'"&amp;$H$3&amp;"'!H$95")/INDIRECT("'"&amp;$H$3&amp;"'!H$93"))*(1-INDIRECT("'"&amp;$H$3&amp;"'!K$94"))*INDIRECT("'"&amp;$H$3&amp;"'!K$93"))/INDIRECT("'"&amp;$H$3&amp;"'!K$95"), IF(INDIRECT("'"&amp;$H$3&amp;"'!$H$7")&gt;2,(INDIRECT("'"&amp;$H$3&amp;"'!K$93")*(N$57*INDIRECT("'"&amp;$H$3&amp;"'!N$95")/INDIRECT("'"&amp;$H$3&amp;"'!N$93"))*(1+INDIRECT("'"&amp;$H$3&amp;"'!N$94")))/INDIRECT("'"&amp;$H$3&amp;"'!K$95"),IF(INDIRECT("'"&amp;$H$3&amp;"'!$H$7")=2,(INDIRECT("'"&amp;$H$3&amp;"'!$H$17")*INDIRECT("'"&amp;$H$3&amp;"'!K$93"))/INDIRECT("'"&amp;$H$3&amp;"'!K$95"),""))))</f>
        <v>3079.125</v>
      </c>
      <c r="L57" s="402"/>
      <c r="M57" s="402"/>
      <c r="N57" s="401">
        <f ca="1">IF(INDIRECT("'"&amp;$H$3&amp;"'!$H$7") &lt; 3,"",IF(INDIRECT("'"&amp;$H$3&amp;"'!$H$20")='List Values'!$B$3, ((K$57*INDIRECT("'"&amp;$H$3&amp;"'!K$95")/INDIRECT("'"&amp;$H$3&amp;"'!K$93"))*(1-INDIRECT("'"&amp;$H$3&amp;"'!N$94"))*INDIRECT("'"&amp;$H$3&amp;"'!N$93"))/INDIRECT("'"&amp;$H$3&amp;"'!N$95"), IF(INDIRECT("'"&amp;$H$3&amp;"'!$H$7")&gt;3,(INDIRECT("'"&amp;$H$3&amp;"'!N$93")*(Q$57*INDIRECT("'"&amp;$H$3&amp;"'!Q$95")/INDIRECT("'"&amp;$H$3&amp;"'!Q$93"))*(1+INDIRECT("'"&amp;$H$3&amp;"'!Q$94")))/INDIRECT("'"&amp;$H$3&amp;"'!N$95"),IF(INDIRECT("'"&amp;$H$3&amp;"'!$H$7")=3,(INDIRECT("'"&amp;$H$3&amp;"'!$H$17")*INDIRECT("'"&amp;$H$3&amp;"'!N$93"))/INDIRECT("'"&amp;$H$3&amp;"'!N$95"),""))))</f>
        <v>8.5</v>
      </c>
      <c r="O57" s="402"/>
      <c r="P57" s="402"/>
      <c r="Q57" s="401" t="str">
        <f ca="1">IF(INDIRECT("'"&amp;$H$3&amp;"'!$H$7") &lt; 4,"",IF(INDIRECT("'"&amp;$H$3&amp;"'!$H$20")='List Values'!$B$3, ((N$57*INDIRECT("'"&amp;$H$3&amp;"'!N$95")/INDIRECT("'"&amp;$H$3&amp;"'!N$93"))*(1-INDIRECT("'"&amp;$H$3&amp;"'!Q$94"))*INDIRECT("'"&amp;$H$3&amp;"'!Q$93"))/INDIRECT("'"&amp;$H$3&amp;"'!Q$95"), IF(INDIRECT("'"&amp;$H$3&amp;"'!$H$7")&gt;4,(INDIRECT("'"&amp;$H$3&amp;"'!Q$93")*(T$57*INDIRECT("'"&amp;$H$3&amp;"'!T$95")/INDIRECT("'"&amp;$H$3&amp;"'!T$93"))*(1+INDIRECT("'"&amp;$H$3&amp;"'!T$94")))/INDIRECT("'"&amp;$H$3&amp;"'!Q$95"),IF(INDIRECT("'"&amp;$H$3&amp;"'!$H$7")=4,(INDIRECT("'"&amp;$H$3&amp;"'!$H$17")*INDIRECT("'"&amp;$H$3&amp;"'!Q$93"))/INDIRECT("'"&amp;$H$3&amp;"'!Q$95"),""))))</f>
        <v/>
      </c>
      <c r="R57" s="295"/>
      <c r="S57" s="295"/>
      <c r="T57" s="401" t="str">
        <f ca="1">IF(INDIRECT("'"&amp;$H$3&amp;"'!$H$7") &lt; 5,"",IF(INDIRECT("'"&amp;$H$3&amp;"'!$H$20")='List Values'!$B$3, ((Q$57*INDIRECT("'"&amp;$H$3&amp;"'!Q$95")/INDIRECT("'"&amp;$H$3&amp;"'!Q$93"))*(1-INDIRECT("'"&amp;$H$3&amp;"'!T$94"))*INDIRECT("'"&amp;$H$3&amp;"'!T$93"))/INDIRECT("'"&amp;$H$3&amp;"'!T$95"), IF(INDIRECT("'"&amp;$H$3&amp;"'!$H$7")&gt;5,(INDIRECT("'"&amp;$H$3&amp;"'!T$93")*(W$57*INDIRECT("'"&amp;$H$3&amp;"'!W$95")/INDIRECT("'"&amp;$H$3&amp;"'!W$93"))*(1+INDIRECT("'"&amp;$H$3&amp;"'!W$94")))/INDIRECT("'"&amp;$H$3&amp;"'!T$95"),IF(INDIRECT("'"&amp;$H$3&amp;"'!$H$7")=5,(INDIRECT("'"&amp;$H$3&amp;"'!$H$17")*INDIRECT("'"&amp;$H$3&amp;"'!T$93"))/INDIRECT("'"&amp;$H$3&amp;"'!T$95"),""))))</f>
        <v/>
      </c>
      <c r="U57" s="298"/>
      <c r="V57" s="298"/>
      <c r="W57" s="1429" t="str">
        <f ca="1">IF(INDIRECT("'"&amp;$H$3&amp;"'!$H$7")&lt;6,"",IF(INDIRECT("'"&amp;$H$3&amp;"'!$H$20")='List Values'!$B$3, ((T$57*INDIRECT("'"&amp;$H$3&amp;"'!T$95")/INDIRECT("'"&amp;$H$3&amp;"'!T$93"))*(1-INDIRECT("'"&amp;$H$3&amp;"'!W$94"))*INDIRECT("'"&amp;$H$3&amp;"'!W$93"))/INDIRECT("'"&amp;$H$3&amp;"'!W$95"), IF(INDIRECT("'"&amp;$H$3&amp;"'!$H$7")=6,(INDIRECT("'"&amp;$H$3&amp;"'!$H$17")*INDIRECT("'"&amp;$H$3&amp;"'!W$93"))/INDIRECT("'"&amp;$H$3&amp;"'!W$95"),"")))</f>
        <v/>
      </c>
      <c r="X57" s="1421"/>
      <c r="AA57" s="36"/>
      <c r="AB57" s="456" t="str">
        <f>IF(H46="","","Vehicle Time Utilization - Tier 1")</f>
        <v/>
      </c>
      <c r="AC57" s="458" t="str">
        <f>H46</f>
        <v/>
      </c>
      <c r="AD57" s="459">
        <f>IF(AC57="",0,1-AC57)</f>
        <v>0</v>
      </c>
      <c r="AE57" s="456"/>
      <c r="AF57" s="457">
        <f t="shared" si="3"/>
        <v>0.5</v>
      </c>
      <c r="AG57" s="457">
        <f t="shared" si="4"/>
        <v>0.4</v>
      </c>
      <c r="AH57" s="456"/>
      <c r="AI57" s="456"/>
      <c r="AJ57" s="456"/>
      <c r="AK57" s="36"/>
      <c r="AL57" s="36"/>
    </row>
    <row r="58" spans="5:47" ht="15" customHeight="1">
      <c r="F58" s="368"/>
      <c r="G58" s="194" t="s">
        <v>239</v>
      </c>
      <c r="H58" s="290">
        <f ca="1">IFERROR(H$52/INDIRECT("'"&amp;$H$3&amp;"'!H$96"),"")</f>
        <v>269.42343750000003</v>
      </c>
      <c r="I58" s="290"/>
      <c r="J58" s="290"/>
      <c r="K58" s="290">
        <f ca="1">IFERROR(K$52/INDIRECT("'"&amp;$H$3&amp;"'!K$96"),"")</f>
        <v>256.59375</v>
      </c>
      <c r="L58" s="290"/>
      <c r="M58" s="290"/>
      <c r="N58" s="290">
        <f ca="1">IFERROR(N$52/INDIRECT("'"&amp;$H$3&amp;"'!N$96"),"")</f>
        <v>0.70833333333333337</v>
      </c>
      <c r="O58" s="291"/>
      <c r="P58" s="291"/>
      <c r="Q58" s="290" t="str">
        <f ca="1">IFERROR(Q$52/INDIRECT("'"&amp;$H$3&amp;"'!Q$96"),"")</f>
        <v/>
      </c>
      <c r="R58" s="292"/>
      <c r="S58" s="292"/>
      <c r="T58" s="290" t="str">
        <f ca="1">IFERROR(T$52/INDIRECT("'"&amp;$H$3&amp;"'!T$96"),"")</f>
        <v/>
      </c>
      <c r="U58" s="293"/>
      <c r="V58" s="293"/>
      <c r="W58" s="1432" t="str">
        <f ca="1">IFERROR(W$52/INDIRECT("'"&amp;$H$3&amp;"'!W$96"),"")</f>
        <v/>
      </c>
      <c r="X58" s="1424"/>
      <c r="AA58" s="36"/>
      <c r="AB58" s="456" t="str">
        <f ca="1">IF(K46="","","Vehicle Time Utilization - Tier 2")</f>
        <v>Vehicle Time Utilization - Tier 2</v>
      </c>
      <c r="AC58" s="458">
        <f ca="1">K46</f>
        <v>0.89166666666666672</v>
      </c>
      <c r="AD58" s="459">
        <f ca="1">IF(AC58="",0,1-AC58)</f>
        <v>0.10833333333333328</v>
      </c>
      <c r="AE58" s="456"/>
      <c r="AF58" s="457">
        <f t="shared" si="3"/>
        <v>0.5</v>
      </c>
      <c r="AG58" s="457">
        <f t="shared" si="4"/>
        <v>0.4</v>
      </c>
      <c r="AH58" s="456"/>
      <c r="AI58" s="456"/>
      <c r="AJ58" s="456"/>
      <c r="AK58" s="36"/>
      <c r="AL58" s="36"/>
    </row>
    <row r="59" spans="5:47" ht="15" customHeight="1">
      <c r="F59" s="368"/>
      <c r="G59" s="194" t="s">
        <v>53</v>
      </c>
      <c r="H59" s="1388">
        <f ca="1">IFERROR(INDIRECT("'"&amp;$H$3&amp;"'!H$104")*H58*(INDIRECT("'"&amp;$H$3&amp;"'!H$96")/12),"")</f>
        <v>269.42343750000003</v>
      </c>
      <c r="I59" s="294">
        <f t="shared" ref="I59:V59" ca="1" si="5">IFERROR(INDIRECT("'"&amp;$H$3&amp;"'!H$103")*I58*(INDIRECT("'"&amp;$H$3&amp;"'!H$96")/12),"")</f>
        <v>0</v>
      </c>
      <c r="J59" s="294">
        <f t="shared" ca="1" si="5"/>
        <v>0</v>
      </c>
      <c r="K59" s="294">
        <f ca="1">IFERROR(INDIRECT("'"&amp;$H$3&amp;"'!K$104")*K58*(INDIRECT("'"&amp;$H$3&amp;"'!K$96")/12),"")</f>
        <v>256.59375</v>
      </c>
      <c r="L59" s="294">
        <f t="shared" ca="1" si="5"/>
        <v>0</v>
      </c>
      <c r="M59" s="294">
        <f t="shared" ca="1" si="5"/>
        <v>0</v>
      </c>
      <c r="N59" s="294">
        <f ca="1">IFERROR(INDIRECT("'"&amp;$H$3&amp;"'!N$104")*N58*(INDIRECT("'"&amp;$H$3&amp;"'!N$96")/12),"")</f>
        <v>0.70833333333333337</v>
      </c>
      <c r="O59" s="295">
        <f t="shared" ca="1" si="5"/>
        <v>0</v>
      </c>
      <c r="P59" s="295">
        <f t="shared" ca="1" si="5"/>
        <v>0</v>
      </c>
      <c r="Q59" s="294" t="str">
        <f ca="1">IFERROR(INDIRECT("'"&amp;$H$3&amp;"'!Q$104")*Q58*(INDIRECT("'"&amp;$H$3&amp;"'!Q$96")/12),"")</f>
        <v/>
      </c>
      <c r="R59" s="292">
        <f t="shared" ca="1" si="5"/>
        <v>0</v>
      </c>
      <c r="S59" s="292">
        <f t="shared" ca="1" si="5"/>
        <v>0</v>
      </c>
      <c r="T59" s="294" t="str">
        <f ca="1">IFERROR(INDIRECT("'"&amp;$H$3&amp;"'!T$104")*T58*(INDIRECT("'"&amp;$H$3&amp;"'!T$96")/12),"")</f>
        <v/>
      </c>
      <c r="U59" s="293">
        <f t="shared" ca="1" si="5"/>
        <v>0</v>
      </c>
      <c r="V59" s="293">
        <f t="shared" ca="1" si="5"/>
        <v>0</v>
      </c>
      <c r="W59" s="1433" t="str">
        <f ca="1">IFERROR(INDIRECT("'"&amp;$H$3&amp;"'!W$104")*W58*(INDIRECT("'"&amp;$H$3&amp;"'!W$96")/12),"")</f>
        <v/>
      </c>
      <c r="X59" s="1425"/>
      <c r="AA59" s="36"/>
      <c r="AB59" s="456" t="str">
        <f ca="1">IF(N46="","","Vehicle Time Utilization - Tier 3")</f>
        <v>Vehicle Time Utilization - Tier 3</v>
      </c>
      <c r="AC59" s="458">
        <f ca="1">N46</f>
        <v>0.79135416666666658</v>
      </c>
      <c r="AD59" s="459">
        <f ca="1">IF(AC59="",0,1-AC59)</f>
        <v>0.20864583333333342</v>
      </c>
      <c r="AE59" s="456"/>
      <c r="AF59" s="457">
        <f t="shared" si="3"/>
        <v>0.5</v>
      </c>
      <c r="AG59" s="457">
        <f t="shared" si="4"/>
        <v>0.4</v>
      </c>
      <c r="AH59" s="456"/>
      <c r="AI59" s="456"/>
      <c r="AJ59" s="456"/>
      <c r="AK59" s="36"/>
      <c r="AL59" s="36"/>
    </row>
    <row r="60" spans="5:47" ht="15" customHeight="1">
      <c r="F60" s="368"/>
      <c r="G60" s="194" t="s">
        <v>51</v>
      </c>
      <c r="H60" s="290">
        <f ca="1">IFERROR(H59+((H61-H59)/2),"")</f>
        <v>404.13515625000002</v>
      </c>
      <c r="I60" s="290"/>
      <c r="J60" s="290"/>
      <c r="K60" s="290">
        <f ca="1">IFERROR(K59+((K61-K59)/2),"")</f>
        <v>384.890625</v>
      </c>
      <c r="L60" s="290"/>
      <c r="M60" s="290"/>
      <c r="N60" s="290">
        <f ca="1">IFERROR(N59+((N61-N59)/2),"")</f>
        <v>1.0625</v>
      </c>
      <c r="O60" s="291"/>
      <c r="P60" s="291"/>
      <c r="Q60" s="290" t="str">
        <f ca="1">IFERROR(Q59+((Q61-Q59)/2),"")</f>
        <v/>
      </c>
      <c r="R60" s="292"/>
      <c r="S60" s="292"/>
      <c r="T60" s="290" t="str">
        <f ca="1">IFERROR(T59+((T61-T59)/2),"")</f>
        <v/>
      </c>
      <c r="U60" s="293"/>
      <c r="V60" s="293"/>
      <c r="W60" s="1432" t="str">
        <f ca="1">IFERROR(W59+((W61-W59)/2),"")</f>
        <v/>
      </c>
      <c r="X60" s="1424"/>
      <c r="AA60" s="36"/>
      <c r="AB60" t="str">
        <f ca="1">IF(Q46="","","Vehicle Time Utilization - Tier 4")</f>
        <v/>
      </c>
      <c r="AC60" s="460" t="str">
        <f ca="1">Q46</f>
        <v/>
      </c>
      <c r="AF60" s="457">
        <f t="shared" si="3"/>
        <v>0.5</v>
      </c>
      <c r="AG60" s="457">
        <f t="shared" si="4"/>
        <v>0.4</v>
      </c>
      <c r="AH60" s="456"/>
      <c r="AI60" s="456"/>
      <c r="AJ60" s="456"/>
      <c r="AK60" s="36"/>
      <c r="AL60" s="36"/>
    </row>
    <row r="61" spans="5:47" ht="15" customHeight="1">
      <c r="F61" s="368"/>
      <c r="G61" s="194" t="s">
        <v>52</v>
      </c>
      <c r="H61" s="294">
        <f ca="1">IFERROR(H59+H58,"")</f>
        <v>538.84687500000007</v>
      </c>
      <c r="I61" s="294"/>
      <c r="J61" s="294"/>
      <c r="K61" s="294">
        <f ca="1">IFERROR(K59+K58,"")</f>
        <v>513.1875</v>
      </c>
      <c r="L61" s="294"/>
      <c r="M61" s="294"/>
      <c r="N61" s="294">
        <f ca="1">IFERROR(N59+N58,"")</f>
        <v>1.4166666666666667</v>
      </c>
      <c r="O61" s="295"/>
      <c r="P61" s="295"/>
      <c r="Q61" s="294" t="str">
        <f ca="1">IFERROR(Q59+Q58,"")</f>
        <v/>
      </c>
      <c r="R61" s="292"/>
      <c r="S61" s="292"/>
      <c r="T61" s="294" t="str">
        <f ca="1">IFERROR(T59+T58,"")</f>
        <v/>
      </c>
      <c r="U61" s="293"/>
      <c r="V61" s="293"/>
      <c r="W61" s="1433" t="str">
        <f ca="1">IFERROR(W59+W58,"")</f>
        <v/>
      </c>
      <c r="X61" s="1425"/>
      <c r="AA61" s="36"/>
      <c r="AB61" t="str">
        <f ca="1">IF(T46="","","Vehicle Time Utilization - Tier 5")</f>
        <v/>
      </c>
      <c r="AC61" s="460" t="str">
        <f ca="1">T46</f>
        <v/>
      </c>
      <c r="AF61" s="457">
        <f t="shared" si="3"/>
        <v>0.5</v>
      </c>
      <c r="AG61" s="457">
        <f t="shared" si="4"/>
        <v>0.4</v>
      </c>
      <c r="AH61" s="456"/>
      <c r="AI61" s="456"/>
      <c r="AJ61" s="456"/>
      <c r="AK61" s="36"/>
      <c r="AL61" s="36"/>
    </row>
    <row r="62" spans="5:47" ht="15" customHeight="1">
      <c r="F62" s="403"/>
      <c r="G62" s="404" t="s">
        <v>240</v>
      </c>
      <c r="H62" s="405">
        <f ca="1">IFERROR(H60/INDIRECT("'"&amp;$H$3&amp;"'!H$108"),"")</f>
        <v>0.80827031250000003</v>
      </c>
      <c r="I62" s="405"/>
      <c r="J62" s="405"/>
      <c r="K62" s="405">
        <f ca="1">IFERROR(K60/INDIRECT("'"&amp;$H$3&amp;"'!K$108"),"")</f>
        <v>0.76978124999999997</v>
      </c>
      <c r="L62" s="405"/>
      <c r="M62" s="405"/>
      <c r="N62" s="405">
        <f ca="1">IFERROR(N60/INDIRECT("'"&amp;$H$3&amp;"'!N$108"),"")</f>
        <v>0.39943609022556387</v>
      </c>
      <c r="O62" s="405"/>
      <c r="P62" s="405"/>
      <c r="Q62" s="405" t="str">
        <f ca="1">IFERROR(Q60/INDIRECT("'"&amp;$H$3&amp;"'!Q$108"),"")</f>
        <v/>
      </c>
      <c r="R62" s="406"/>
      <c r="S62" s="406"/>
      <c r="T62" s="405" t="str">
        <f ca="1">IFERROR(T60/INDIRECT("'"&amp;$H$3&amp;"'!T$108"),"")</f>
        <v/>
      </c>
      <c r="U62" s="407"/>
      <c r="V62" s="407"/>
      <c r="W62" s="1434" t="str">
        <f ca="1">IFERROR(W60/INDIRECT("'"&amp;$H$3&amp;"'!W$108"),"")</f>
        <v/>
      </c>
      <c r="X62" s="1426"/>
      <c r="AA62" s="36"/>
      <c r="AB62" t="str">
        <f ca="1">IF(W46="","","Vehicle Time Utilization - Tier 6")</f>
        <v/>
      </c>
      <c r="AC62" s="460" t="str">
        <f ca="1">W46</f>
        <v/>
      </c>
      <c r="AF62" s="457">
        <f t="shared" si="3"/>
        <v>0.5</v>
      </c>
      <c r="AG62" s="457">
        <f t="shared" si="4"/>
        <v>0.4</v>
      </c>
      <c r="AH62" s="456"/>
      <c r="AI62" s="456"/>
      <c r="AJ62" s="456"/>
      <c r="AK62" s="36"/>
      <c r="AL62" s="36"/>
    </row>
    <row r="63" spans="5:47" ht="15.75" customHeight="1">
      <c r="F63" s="351" t="s">
        <v>372</v>
      </c>
      <c r="G63" s="332"/>
      <c r="H63" s="342"/>
      <c r="I63" s="342"/>
      <c r="J63" s="342"/>
      <c r="K63" s="342"/>
      <c r="L63" s="342"/>
      <c r="M63" s="342"/>
      <c r="N63" s="342"/>
      <c r="O63" s="342"/>
      <c r="P63" s="342"/>
      <c r="Q63" s="342"/>
      <c r="R63" s="343"/>
      <c r="S63" s="342"/>
      <c r="T63" s="342"/>
      <c r="U63" s="342"/>
      <c r="V63" s="342"/>
      <c r="W63" s="342"/>
      <c r="X63" s="1420"/>
      <c r="AA63" s="36"/>
      <c r="AB63" s="456" t="str">
        <f ca="1">IF(H54="","","Combined Storage - Tier 1")</f>
        <v>Combined Storage - Tier 1</v>
      </c>
      <c r="AC63" s="458">
        <f ca="1">H54</f>
        <v>0.80827031250000003</v>
      </c>
      <c r="AD63" s="459">
        <f t="shared" ref="AD63:AD68" ca="1" si="6">IF(AC63="",0,1-AC63)</f>
        <v>0.19172968749999997</v>
      </c>
      <c r="AE63" s="456">
        <f ca="1">H55</f>
        <v>0</v>
      </c>
      <c r="AF63" s="457">
        <f t="shared" si="3"/>
        <v>0.5</v>
      </c>
      <c r="AG63" s="457">
        <f t="shared" si="4"/>
        <v>0.4</v>
      </c>
      <c r="AH63" s="456"/>
      <c r="AI63" s="456"/>
      <c r="AJ63" s="456"/>
      <c r="AK63" s="36"/>
      <c r="AL63" s="36"/>
    </row>
    <row r="64" spans="5:47" ht="15" customHeight="1">
      <c r="F64" s="368"/>
      <c r="G64" s="194" t="s">
        <v>101</v>
      </c>
      <c r="H64" s="301">
        <f ca="1">IF(INDIRECT("'"&amp;$H$3&amp;"'!$H$20")='List Values'!$B$3, (INDIRECT("'"&amp;$H$3&amp;"'!$H$18")*INDIRECT("'"&amp;$H$3&amp;"'!H$93"))/INDIRECT("'"&amp;$H$3&amp;"'!H$95"), IF(INDIRECT("'"&amp;$H$3&amp;"'!$H$7")&gt;1,(INDIRECT("'"&amp;$H$3&amp;"'!H$93")*(K$64*INDIRECT("'"&amp;$H$3&amp;"'!K$95")/INDIRECT("'"&amp;$H$3&amp;"'!K$93"))*(1+INDIRECT("'"&amp;$H$3&amp;"'!K$94")))/INDIRECT("'"&amp;$H$3&amp;"'!H$95"),IF(INDIRECT("'"&amp;$H$3&amp;"'!$H$7")=1,(INDIRECT("'"&amp;$H$3&amp;"'!$H$18")*INDIRECT("'"&amp;$H$3&amp;"'!H$93"))/INDIRECT("'"&amp;$H$3&amp;"'!H$95"),"")))</f>
        <v>0</v>
      </c>
      <c r="I64" s="290"/>
      <c r="J64" s="290"/>
      <c r="K64" s="301">
        <f ca="1">IF(INDIRECT("'"&amp;$H$3&amp;"'!$H$7") &lt; 2,0,IF(INDIRECT("'"&amp;$H$3&amp;"'!$H$20")='List Values'!$B$3, ((H$64*INDIRECT("'"&amp;$H$3&amp;"'!H$95")/INDIRECT("'"&amp;$H$3&amp;"'!H$93"))*(1-INDIRECT("'"&amp;$H$3&amp;"'!K$94"))*INDIRECT("'"&amp;$H$3&amp;"'!K$93"))/INDIRECT("'"&amp;$H$3&amp;"'!K$95"), IF(INDIRECT("'"&amp;$H$3&amp;"'!$H$7")&gt;2,(INDIRECT("'"&amp;$H$3&amp;"'!K$93")*(N$64*INDIRECT("'"&amp;$H$3&amp;"'!N$95")/INDIRECT("'"&amp;$H$3&amp;"'!N$93"))*(1+INDIRECT("'"&amp;$H$3&amp;"'!N$94")))/INDIRECT("'"&amp;$H$3&amp;"'!K$95"),IF(INDIRECT("'"&amp;$H$3&amp;"'!$H$7")=2,(INDIRECT("'"&amp;$H$3&amp;"'!$H$18")*INDIRECT("'"&amp;$H$3&amp;"'!K$93"))/INDIRECT("'"&amp;$H$3&amp;"'!K$95"),""))))</f>
        <v>0</v>
      </c>
      <c r="L64" s="290"/>
      <c r="M64" s="290"/>
      <c r="N64" s="301">
        <f ca="1">IF(INDIRECT("'"&amp;$H$3&amp;"'!$H$7") &lt; 3,0,IF(INDIRECT("'"&amp;$H$3&amp;"'!$H$20")='List Values'!$B$3, ((K$64*INDIRECT("'"&amp;$H$3&amp;"'!K$95")/INDIRECT("'"&amp;$H$3&amp;"'!K$93"))*(1-INDIRECT("'"&amp;$H$3&amp;"'!N$94"))*INDIRECT("'"&amp;$H$3&amp;"'!N$93"))/INDIRECT("'"&amp;$H$3&amp;"'!N$95"), IF(INDIRECT("'"&amp;$H$3&amp;"'!$H$7")&gt;3,(INDIRECT("'"&amp;$H$3&amp;"'!N$93")*(Q$64*INDIRECT("'"&amp;$H$3&amp;"'!Q$95")/INDIRECT("'"&amp;$H$3&amp;"'!Q$93"))*(1+INDIRECT("'"&amp;$H$3&amp;"'!Q$94")))/INDIRECT("'"&amp;$H$3&amp;"'!N$95"),IF(INDIRECT("'"&amp;$H$3&amp;"'!$H$7")=3,(INDIRECT("'"&amp;$H$3&amp;"'!$H$18")*INDIRECT("'"&amp;$H$3&amp;"'!N$93"))/INDIRECT("'"&amp;$H$3&amp;"'!N$95"),""))))</f>
        <v>0</v>
      </c>
      <c r="O64" s="290"/>
      <c r="P64" s="290"/>
      <c r="Q64" s="301">
        <f ca="1">IF(INDIRECT("'"&amp;$H$3&amp;"'!$H$7") &lt; 4,0,IF(INDIRECT("'"&amp;$H$3&amp;"'!$H$20")='List Values'!$B$3, ((N$64*INDIRECT("'"&amp;$H$3&amp;"'!N$95")/INDIRECT("'"&amp;$H$3&amp;"'!N$93"))*(1-INDIRECT("'"&amp;$H$3&amp;"'!Q$94"))*INDIRECT("'"&amp;$H$3&amp;"'!Q$93"))/INDIRECT("'"&amp;$H$3&amp;"'!Q$95"), IF(INDIRECT("'"&amp;$H$3&amp;"'!$H$7")&gt;4,(INDIRECT("'"&amp;$H$3&amp;"'!Q$93")*(T$64*INDIRECT("'"&amp;$H$3&amp;"'!T$95")/INDIRECT("'"&amp;$H$3&amp;"'!T$93"))*(1+INDIRECT("'"&amp;$H$3&amp;"'!T$94")))/INDIRECT("'"&amp;$H$3&amp;"'!Q$95"),IF(INDIRECT("'"&amp;$H$3&amp;"'!$H$7")=4,(INDIRECT("'"&amp;$H$3&amp;"'!$H$18")*INDIRECT("'"&amp;$H$3&amp;"'!Q$93"))/INDIRECT("'"&amp;$H$3&amp;"'!Q$95"),""))))</f>
        <v>0</v>
      </c>
      <c r="R64" s="299"/>
      <c r="S64" s="299"/>
      <c r="T64" s="301">
        <f ca="1">IF(INDIRECT("'"&amp;$H$3&amp;"'!$H$7") &lt; 5,0,IF(INDIRECT("'"&amp;$H$3&amp;"'!$H$20")='List Values'!$B$3, ((Q$64*INDIRECT("'"&amp;$H$3&amp;"'!Q$95")/INDIRECT("'"&amp;$H$3&amp;"'!Q$93"))*(1-INDIRECT("'"&amp;$H$3&amp;"'!T$94"))*INDIRECT("'"&amp;$H$3&amp;"'!T$93"))/INDIRECT("'"&amp;$H$3&amp;"'!T$95"), IF(INDIRECT("'"&amp;$H$3&amp;"'!$H$7")&gt;5,(INDIRECT("'"&amp;$H$3&amp;"'!T$93")*(W$64*INDIRECT("'"&amp;$H$3&amp;"'!W$95")/INDIRECT("'"&amp;$H$3&amp;"'!W$93"))*(1+INDIRECT("'"&amp;$H$3&amp;"'!W$94")))/INDIRECT("'"&amp;$H$3&amp;"'!T$95"),IF(INDIRECT("'"&amp;$H$3&amp;"'!$H$7")=5,(INDIRECT("'"&amp;$H$3&amp;"'!$H$18")*INDIRECT("'"&amp;$H$3&amp;"'!T$93"))/INDIRECT("'"&amp;$H$3&amp;"'!T$95"),""))))</f>
        <v>0</v>
      </c>
      <c r="U64" s="300"/>
      <c r="V64" s="300"/>
      <c r="W64" s="1435">
        <f ca="1">IF(INDIRECT("'"&amp;$H$3&amp;"'!$H$7")&lt;6,0,IF(INDIRECT("'"&amp;$H$3&amp;"'!$H$20")='List Values'!$B$3, ((T$64*INDIRECT("'"&amp;$H$3&amp;"'!T$95")/INDIRECT("'"&amp;$H$3&amp;"'!T$93"))*(1-INDIRECT("'"&amp;$H$3&amp;"'!W$94"))*INDIRECT("'"&amp;$H$3&amp;"'!W$93"))/INDIRECT("'"&amp;$H$3&amp;"'!W$95"), IF(INDIRECT("'"&amp;$H$3&amp;"'!$H$7")=6,(INDIRECT("'"&amp;$H$3&amp;"'!$H$18")*INDIRECT("'"&amp;$H$3&amp;"'!W$93"))/INDIRECT("'"&amp;$H$3&amp;"'!W$95"),"")))</f>
        <v>0</v>
      </c>
      <c r="X64" s="1421"/>
      <c r="AA64" s="36"/>
      <c r="AB64" s="456" t="str">
        <f ca="1">IF(K54="","","Combined Storage - Tier 2")</f>
        <v>Combined Storage - Tier 2</v>
      </c>
      <c r="AC64" s="458">
        <f ca="1">K54</f>
        <v>0.76978124999999997</v>
      </c>
      <c r="AD64" s="459">
        <f t="shared" ca="1" si="6"/>
        <v>0.23021875000000003</v>
      </c>
      <c r="AE64" s="456">
        <f ca="1">K55</f>
        <v>0</v>
      </c>
      <c r="AF64" s="457">
        <f t="shared" si="3"/>
        <v>0.5</v>
      </c>
      <c r="AG64" s="457">
        <f t="shared" si="4"/>
        <v>0.4</v>
      </c>
      <c r="AH64" s="456"/>
      <c r="AI64" s="456"/>
      <c r="AJ64" s="456"/>
      <c r="AK64" s="36"/>
      <c r="AL64" s="36"/>
    </row>
    <row r="65" spans="5:38" ht="15" customHeight="1">
      <c r="F65" s="368"/>
      <c r="G65" s="194" t="s">
        <v>239</v>
      </c>
      <c r="H65" s="290">
        <f ca="1">IFERROR(H$64/INDIRECT("'"&amp;$H$3&amp;"'!H$96"),"")</f>
        <v>0</v>
      </c>
      <c r="I65" s="290"/>
      <c r="J65" s="290"/>
      <c r="K65" s="290">
        <f ca="1">IFERROR(K$64/INDIRECT("'"&amp;$H$3&amp;"'!K$96"),"")</f>
        <v>0</v>
      </c>
      <c r="L65" s="290"/>
      <c r="M65" s="290"/>
      <c r="N65" s="290">
        <f ca="1">IFERROR(N$64/INDIRECT("'"&amp;$H$3&amp;"'!N$96"),"")</f>
        <v>0</v>
      </c>
      <c r="O65" s="290"/>
      <c r="P65" s="290"/>
      <c r="Q65" s="290" t="str">
        <f ca="1">IFERROR(Q$64/INDIRECT("'"&amp;$H$3&amp;"'!Q$96"),"")</f>
        <v/>
      </c>
      <c r="R65" s="299"/>
      <c r="S65" s="299"/>
      <c r="T65" s="290" t="str">
        <f ca="1">IFERROR(T$64/INDIRECT("'"&amp;$H$3&amp;"'!T$96"),"")</f>
        <v/>
      </c>
      <c r="U65" s="300"/>
      <c r="V65" s="300"/>
      <c r="W65" s="1432" t="str">
        <f ca="1">IFERROR(W$64/INDIRECT("'"&amp;$H$3&amp;"'!W$96"),"")</f>
        <v/>
      </c>
      <c r="X65" s="1424"/>
      <c r="AA65" s="36"/>
      <c r="AB65" s="456" t="str">
        <f ca="1">IF(N54="","","Combined Storage - Tier 3")</f>
        <v>Combined Storage - Tier 3</v>
      </c>
      <c r="AC65" s="458">
        <f ca="1">N54</f>
        <v>0.39943609022556387</v>
      </c>
      <c r="AD65" s="459">
        <f t="shared" ca="1" si="6"/>
        <v>0.60056390977443619</v>
      </c>
      <c r="AE65" s="456">
        <f ca="1">N55</f>
        <v>1</v>
      </c>
      <c r="AF65" s="457">
        <f t="shared" si="3"/>
        <v>0.5</v>
      </c>
      <c r="AG65" s="457">
        <f t="shared" si="4"/>
        <v>0.4</v>
      </c>
      <c r="AH65" s="456"/>
      <c r="AI65" s="456"/>
      <c r="AJ65" s="456"/>
      <c r="AK65" s="36"/>
      <c r="AL65" s="36"/>
    </row>
    <row r="66" spans="5:38" ht="15" customHeight="1">
      <c r="F66" s="368"/>
      <c r="G66" s="194" t="s">
        <v>53</v>
      </c>
      <c r="H66" s="294">
        <f ca="1">IFERROR(INDIRECT("'"&amp;$H$3&amp;"'!H$104")*H65*(INDIRECT("'"&amp;$H$3&amp;"'!H$96")/12),"")</f>
        <v>0</v>
      </c>
      <c r="I66" s="294"/>
      <c r="J66" s="294"/>
      <c r="K66" s="294">
        <f ca="1">IFERROR(INDIRECT("'"&amp;$H$3&amp;"'!K$104")*K65*(INDIRECT("'"&amp;$H$3&amp;"'!K$96")/12),"")</f>
        <v>0</v>
      </c>
      <c r="L66" s="294"/>
      <c r="M66" s="294"/>
      <c r="N66" s="294">
        <f ca="1">IFERROR(INDIRECT("'"&amp;$H$3&amp;"'!N$104")*N65*(INDIRECT("'"&amp;$H$3&amp;"'!N$96")/12),"")</f>
        <v>0</v>
      </c>
      <c r="O66" s="295"/>
      <c r="P66" s="295"/>
      <c r="Q66" s="294" t="str">
        <f ca="1">IFERROR(INDIRECT("'"&amp;$H$3&amp;"'!Q$104")*Q65*(INDIRECT("'"&amp;$H$3&amp;"'!Q$96")/12),"")</f>
        <v/>
      </c>
      <c r="R66" s="299"/>
      <c r="S66" s="299"/>
      <c r="T66" s="294" t="str">
        <f ca="1">IFERROR(INDIRECT("'"&amp;$H$3&amp;"'!T$104")*T65*(INDIRECT("'"&amp;$H$3&amp;"'!T$96")/12),"")</f>
        <v/>
      </c>
      <c r="U66" s="300"/>
      <c r="V66" s="300"/>
      <c r="W66" s="1433" t="str">
        <f ca="1">IFERROR(INDIRECT("'"&amp;$H$3&amp;"'!W$104")*W65*(INDIRECT("'"&amp;$H$3&amp;"'!W$96")/12),"")</f>
        <v/>
      </c>
      <c r="X66" s="1425"/>
      <c r="AA66" s="36"/>
      <c r="AB66" s="36" t="str">
        <f ca="1">IF(Q54="","","Combined Storage - Tier 4")</f>
        <v>Combined Storage - Tier 4</v>
      </c>
      <c r="AC66" s="458">
        <f ca="1">Q54</f>
        <v>0</v>
      </c>
      <c r="AD66" s="459">
        <f t="shared" ca="1" si="6"/>
        <v>1</v>
      </c>
      <c r="AE66" s="456">
        <f ca="1">Q55</f>
        <v>1</v>
      </c>
      <c r="AF66" s="457">
        <f t="shared" si="3"/>
        <v>0.5</v>
      </c>
      <c r="AG66" s="457">
        <f t="shared" si="4"/>
        <v>0.4</v>
      </c>
      <c r="AH66" s="456"/>
      <c r="AI66" s="456"/>
      <c r="AJ66" s="456"/>
      <c r="AK66" s="36"/>
      <c r="AL66" s="36"/>
    </row>
    <row r="67" spans="5:38" ht="15" customHeight="1">
      <c r="F67" s="368"/>
      <c r="G67" s="194" t="s">
        <v>51</v>
      </c>
      <c r="H67" s="290">
        <f ca="1">IFERROR(H66+((H68-H66)/2),"")</f>
        <v>0</v>
      </c>
      <c r="I67" s="290"/>
      <c r="J67" s="290"/>
      <c r="K67" s="290">
        <f ca="1">IFERROR(K66+((K68-K66)/2),"")</f>
        <v>0</v>
      </c>
      <c r="L67" s="290"/>
      <c r="M67" s="290"/>
      <c r="N67" s="290">
        <f ca="1">IFERROR(N66+((N68-N66)/2),"")</f>
        <v>0</v>
      </c>
      <c r="O67" s="291"/>
      <c r="P67" s="291"/>
      <c r="Q67" s="290" t="str">
        <f ca="1">IFERROR(Q66+((Q68-Q66)/2),"")</f>
        <v/>
      </c>
      <c r="R67" s="299"/>
      <c r="S67" s="299"/>
      <c r="T67" s="290" t="str">
        <f ca="1">IFERROR(T66+((T68-T66)/2),"")</f>
        <v/>
      </c>
      <c r="U67" s="300"/>
      <c r="V67" s="300"/>
      <c r="W67" s="1432" t="str">
        <f ca="1">IFERROR(W66+((W68-W66)/2),"")</f>
        <v/>
      </c>
      <c r="X67" s="1424"/>
      <c r="AA67" s="36"/>
      <c r="AB67" s="36" t="str">
        <f ca="1">IF(T54="","","Combined Storage - Tier 5")</f>
        <v>Combined Storage - Tier 5</v>
      </c>
      <c r="AC67" s="458">
        <f ca="1">T54</f>
        <v>0</v>
      </c>
      <c r="AD67" s="459">
        <f t="shared" ca="1" si="6"/>
        <v>1</v>
      </c>
      <c r="AE67" s="456">
        <f ca="1">T55</f>
        <v>1</v>
      </c>
      <c r="AF67" s="457">
        <f t="shared" si="3"/>
        <v>0.5</v>
      </c>
      <c r="AG67" s="457">
        <f t="shared" si="4"/>
        <v>0.4</v>
      </c>
      <c r="AH67" s="456"/>
      <c r="AI67" s="456"/>
      <c r="AJ67" s="456"/>
      <c r="AK67" s="36"/>
      <c r="AL67" s="36"/>
    </row>
    <row r="68" spans="5:38" ht="15" customHeight="1">
      <c r="F68" s="368"/>
      <c r="G68" s="194" t="s">
        <v>52</v>
      </c>
      <c r="H68" s="294">
        <f ca="1">IFERROR(H66+H65,"")</f>
        <v>0</v>
      </c>
      <c r="I68" s="294"/>
      <c r="J68" s="294"/>
      <c r="K68" s="294">
        <f ca="1">IFERROR(K66+K65,"")</f>
        <v>0</v>
      </c>
      <c r="L68" s="294"/>
      <c r="M68" s="294"/>
      <c r="N68" s="294">
        <f ca="1">IFERROR(N66+N65,"")</f>
        <v>0</v>
      </c>
      <c r="O68" s="295"/>
      <c r="P68" s="295"/>
      <c r="Q68" s="294" t="str">
        <f ca="1">IFERROR(Q66+Q65,"")</f>
        <v/>
      </c>
      <c r="R68" s="299"/>
      <c r="S68" s="299"/>
      <c r="T68" s="294" t="str">
        <f ca="1">IFERROR(T66+T65,"")</f>
        <v/>
      </c>
      <c r="U68" s="300"/>
      <c r="V68" s="300"/>
      <c r="W68" s="1433" t="str">
        <f ca="1">IFERROR(W66+W65,"")</f>
        <v/>
      </c>
      <c r="X68" s="1425"/>
      <c r="AA68" s="36"/>
      <c r="AB68" s="36" t="str">
        <f ca="1">IF(W54="","","Combined Storage - Tier 6")</f>
        <v>Combined Storage - Tier 6</v>
      </c>
      <c r="AC68" s="458">
        <f ca="1">W54</f>
        <v>0</v>
      </c>
      <c r="AD68" s="459">
        <f t="shared" ca="1" si="6"/>
        <v>1</v>
      </c>
      <c r="AE68" s="456">
        <f ca="1">W55</f>
        <v>1</v>
      </c>
      <c r="AF68" s="457">
        <f t="shared" si="3"/>
        <v>0.5</v>
      </c>
      <c r="AG68" s="457">
        <f t="shared" si="4"/>
        <v>0.4</v>
      </c>
      <c r="AH68" s="456"/>
      <c r="AI68" s="456"/>
      <c r="AJ68" s="456"/>
      <c r="AK68" s="36"/>
      <c r="AL68" s="36"/>
    </row>
    <row r="69" spans="5:38" ht="15" customHeight="1">
      <c r="F69" s="403"/>
      <c r="G69" s="404" t="s">
        <v>5844</v>
      </c>
      <c r="H69" s="405" t="str">
        <f ca="1">IFERROR(H68/INDIRECT("'"&amp;$H$3&amp;"'!H$109"),"")</f>
        <v/>
      </c>
      <c r="I69" s="405"/>
      <c r="J69" s="405"/>
      <c r="K69" s="405" t="str">
        <f ca="1">IFERROR(K68/INDIRECT("'"&amp;$H$3&amp;"'!K$109"),"")</f>
        <v/>
      </c>
      <c r="L69" s="405"/>
      <c r="M69" s="405"/>
      <c r="N69" s="405" t="str">
        <f ca="1">IFERROR(N68/INDIRECT("'"&amp;$H$3&amp;"'!N$109"),"")</f>
        <v/>
      </c>
      <c r="O69" s="408"/>
      <c r="P69" s="408"/>
      <c r="Q69" s="408" t="str">
        <f ca="1">IFERROR(Q68/INDIRECT("'"&amp;$H$3&amp;"'!Q$109"),"")</f>
        <v/>
      </c>
      <c r="R69" s="409"/>
      <c r="S69" s="409"/>
      <c r="T69" s="408" t="str">
        <f ca="1">IFERROR(T68/INDIRECT("'"&amp;$H$3&amp;"'!T$109"),"")</f>
        <v/>
      </c>
      <c r="U69" s="410"/>
      <c r="V69" s="410"/>
      <c r="W69" s="1434" t="str">
        <f ca="1">IFERROR(W68/INDIRECT("'"&amp;$H$3&amp;"'!W$109"),"")</f>
        <v/>
      </c>
      <c r="X69" s="1426"/>
      <c r="AA69" s="36"/>
      <c r="AB69" s="456"/>
      <c r="AC69" s="456"/>
      <c r="AD69" s="456"/>
      <c r="AE69" s="456"/>
      <c r="AF69" s="456"/>
      <c r="AG69" s="456"/>
      <c r="AH69" s="456"/>
      <c r="AI69" s="456"/>
      <c r="AJ69" s="456"/>
      <c r="AK69" s="36"/>
      <c r="AL69" s="36"/>
    </row>
    <row r="70" spans="5:38" ht="15.75" customHeight="1">
      <c r="F70" s="351" t="s">
        <v>466</v>
      </c>
      <c r="G70" s="332"/>
      <c r="H70" s="342"/>
      <c r="I70" s="342"/>
      <c r="J70" s="342"/>
      <c r="K70" s="342"/>
      <c r="L70" s="342"/>
      <c r="M70" s="342"/>
      <c r="N70" s="342"/>
      <c r="O70" s="342"/>
      <c r="P70" s="342"/>
      <c r="Q70" s="342"/>
      <c r="R70" s="343"/>
      <c r="S70" s="342"/>
      <c r="T70" s="342"/>
      <c r="U70" s="342"/>
      <c r="V70" s="342"/>
      <c r="W70" s="342"/>
      <c r="X70" s="1420"/>
      <c r="AA70" s="36"/>
      <c r="AB70" s="456"/>
      <c r="AC70" s="456"/>
      <c r="AD70" s="456"/>
      <c r="AE70" s="456"/>
      <c r="AF70" s="456"/>
      <c r="AG70" s="456"/>
      <c r="AH70" s="456"/>
      <c r="AI70" s="456"/>
      <c r="AJ70" s="456"/>
      <c r="AK70" s="36"/>
      <c r="AL70" s="36"/>
    </row>
    <row r="71" spans="5:38" ht="22.5" customHeight="1">
      <c r="F71" s="411"/>
      <c r="G71" s="211" t="s">
        <v>392</v>
      </c>
      <c r="H71" s="2069">
        <f ca="1">IFERROR(IF(AND(INDIRECT("'"&amp;$H$3&amp;"'!H113")&gt;0,INDIRECT("'"&amp;$H$3&amp;"'!H117")="Upstream"),AVERAGE(H151*H152,H189*H190,H227*H228)/(INDIRECT("'"&amp;$H$3&amp;"'!H113")*INDIRECT("'"&amp;$H$3&amp;"'!H114")),
IF(AND(INDIRECT("'"&amp;$H$3&amp;"'!H113")&gt;0,INDIRECT("'"&amp;$H$3&amp;"'!H117")="Downstream"),SUM(K151*K152,K189*K190,K227*K228)/(IF(INDIRECT("'"&amp;$H$3&amp;"'!K117")="Upstream",(INDIRECT("'"&amp;$H$3&amp;"'!K113")*INDIRECT("'"&amp;$H$3&amp;"'!K114")),0)+(INDIRECT("'"&amp;$H$3&amp;"'!H113")*INDIRECT("'"&amp;$H$3&amp;"'!H114"))),
IF(OR(H64=0,INDIRECT("'"&amp;$H$3&amp;"'!H113")=0,INDIRECT("'"&amp;$H$3&amp;"'!H113")=""),"-","Must Select Upstream or Downstream"))),
IF(H64=0,"-","Cannot calculate. Is cold box capacity set to zero for this tier?"))</f>
        <v>0</v>
      </c>
      <c r="I71" s="2069"/>
      <c r="J71" s="2069"/>
      <c r="K71" s="2069">
        <f ca="1">IFERROR(IF(AND(INDIRECT("'"&amp;$H$3&amp;"'!K113")&gt;0,INDIRECT("'"&amp;$H$3&amp;"'!K117")="Upstream"),AVERAGE(K151*K152,K189*K190,K227*K228)/(IF(INDIRECT("'"&amp;$H$3&amp;"'!H117")="Downstream",(INDIRECT("'"&amp;$H$3&amp;"'!H113")*INDIRECT("'"&amp;$H$3&amp;"'!H114")),0)+(INDIRECT("'"&amp;$H$3&amp;"'!K113")*INDIRECT("'"&amp;$H$3&amp;"'!K114"))),
IF(AND(INDIRECT("'"&amp;$H$3&amp;"'!K113")&gt;0,INDIRECT("'"&amp;$H$3&amp;"'!K117")="Downstream"),SUM(N151*N152,N189*N190,N227*N228)/(IF(INDIRECT("'"&amp;$H$3&amp;"'!N117")="Upstream",(INDIRECT("'"&amp;$H$3&amp;"'!N113")*INDIRECT("'"&amp;$H$3&amp;"'!N114")),0)+(INDIRECT("'"&amp;$H$3&amp;"'!K113")*INDIRECT("'"&amp;$H$3&amp;"'!K114"))),
IF(OR(K64=0,INDIRECT("'"&amp;$H$3&amp;"'!K113")=0,INDIRECT("'"&amp;$H$3&amp;"'!K113")=""),"-","Must Select Upstream or Downstream"))),
IF(K64=0,"-","Cannot calculate. Is cold box capacity set to zero for this tier?"))</f>
        <v>0</v>
      </c>
      <c r="L71" s="2069"/>
      <c r="M71" s="2069"/>
      <c r="N71" s="2069">
        <f ca="1">IFERROR(IF(AND(INDIRECT("'"&amp;$H$3&amp;"'!N113")&gt;0,INDIRECT("'"&amp;$H$3&amp;"'!N117")="Upstream"),AVERAGE(N151*N152,N189*N190,N227*N228)/(IF(INDIRECT("'"&amp;$H$3&amp;"'!K117")="Downstream",(INDIRECT("'"&amp;$H$3&amp;"'!K113")*INDIRECT("'"&amp;$H$3&amp;"'!K114")),0)+(INDIRECT("'"&amp;$H$3&amp;"'!N113")*INDIRECT("'"&amp;$H$3&amp;"'!N114"))),
IF(AND(INDIRECT("'"&amp;$H$3&amp;"'!N113")&gt;0,INDIRECT("'"&amp;$H$3&amp;"'!N117")="Downstream"),SUM(Q151*Q152,Q189*Q190,Q227*Q228)/(IF(INDIRECT("'"&amp;$H$3&amp;"'!Q117")="Upstream",(INDIRECT("'"&amp;$H$3&amp;"'!Q113")*INDIRECT("'"&amp;$H$3&amp;"'!Q114")),0)+(INDIRECT("'"&amp;$H$3&amp;"'!N113")*INDIRECT("'"&amp;$H$3&amp;"'!N114"))),
IF(OR(N64=0,INDIRECT("'"&amp;$H$3&amp;"'!N113")=0,INDIRECT("'"&amp;$H$3&amp;"'!N113")=""),"-","Must Select Upstream or Downstream"))),
IF(N64=0,"-","Cannot calculate. Is cold box capacity set to zero for this tier?"))</f>
        <v>0</v>
      </c>
      <c r="O71" s="2069"/>
      <c r="P71" s="2069"/>
      <c r="Q71" s="2069" t="str">
        <f ca="1">IFERROR(IF(AND(INDIRECT("'"&amp;$H$3&amp;"'!Q113")&gt;0,INDIRECT("'"&amp;$H$3&amp;"'!Q117")="Upstream"),AVERAGE(Q151*Q152,Q189*Q190,Q227*Q228)/(IF(INDIRECT("'"&amp;$H$3&amp;"'!N117")="Downstream",(INDIRECT("'"&amp;$H$3&amp;"'!N113")*INDIRECT("'"&amp;$H$3&amp;"'!N114")),0)+(INDIRECT("'"&amp;$H$3&amp;"'!Q113")*INDIRECT("'"&amp;$H$3&amp;"'!Q114"))),
IF(AND(INDIRECT("'"&amp;$H$3&amp;"'!Q113")&gt;0,INDIRECT("'"&amp;$H$3&amp;"'!Q117")="Downstream"),SUM(T151*T152,T189*T190,T227*T228)/(IF(INDIRECT("'"&amp;$H$3&amp;"'!T117")="Upstream",(INDIRECT("'"&amp;$H$3&amp;"'!T113")*INDIRECT("'"&amp;$H$3&amp;"'!T114")),0)+(INDIRECT("'"&amp;$H$3&amp;"'!Q113")*INDIRECT("'"&amp;$H$3&amp;"'!Q114"))),
IF(OR(Q64=0,INDIRECT("'"&amp;$H$3&amp;"'!Q113")=0,INDIRECT("'"&amp;$H$3&amp;"'!Q113")=""),"-","Must Select Upstream or Downstream"))),
IF(OR(Q64=0,Q64=""),"-","Cannot calculate. Is cold box capacity set to zero for this tier?"))</f>
        <v>-</v>
      </c>
      <c r="R71" s="2069"/>
      <c r="S71" s="2069"/>
      <c r="T71" s="2069" t="str">
        <f ca="1">IFERROR(IF(AND(INDIRECT("'"&amp;$H$3&amp;"'!T113")&gt;0,INDIRECT("'"&amp;$H$3&amp;"'!T117")="Upstream"),AVERAGE(T151*T152,T189*T190,T227*T228)/(IF(INDIRECT("'"&amp;$H$3&amp;"'!Q117")="Downstream",(INDIRECT("'"&amp;$H$3&amp;"'!Q113")*INDIRECT("'"&amp;$H$3&amp;"'!Q114")),0)+(INDIRECT("'"&amp;$H$3&amp;"'!T113")*INDIRECT("'"&amp;$H$3&amp;"'!T114"))),
IF(AND(INDIRECT("'"&amp;$H$3&amp;"'!T113")&gt;0,INDIRECT("'"&amp;$H$3&amp;"'!T117")="Downstream"),SUM(W151*W152,W189*W190,W227*W228)/(IF(INDIRECT("'"&amp;$H$3&amp;"'!W117")="Upstream",(INDIRECT("'"&amp;$H$3&amp;"'!W113")*INDIRECT("'"&amp;$H$3&amp;"'!W114")),0)+(INDIRECT("'"&amp;$H$3&amp;"'!T113")*INDIRECT("'"&amp;$H$3&amp;"'!T114"))),
IF(OR(T64=0,INDIRECT("'"&amp;$H$3&amp;"'!T113")=0,INDIRECT("'"&amp;$H$3&amp;"'!T113")=""),"-","Must Select Upstream or Downstream"))),
IF(T64=0,"-","Cannot calculate. Is cold box capacity set to zero for this tier?"))</f>
        <v>-</v>
      </c>
      <c r="U71" s="2069"/>
      <c r="V71" s="2069"/>
      <c r="W71" s="2070" t="str">
        <f ca="1">IFERROR(IF(AND(INDIRECT("'"&amp;$H$3&amp;"'!W113")&gt;0,INDIRECT("'"&amp;$H$3&amp;"'!W117")="Upstream"),AVERAGE(W151*W152,W189*W190,W227*W228)/(IF(INDIRECT("'"&amp;$H$3&amp;"'!T117")="Downstream",(INDIRECT("'"&amp;$H$3&amp;"'!T113")*INDIRECT("'"&amp;$H$3&amp;"'!T114")),0)+(INDIRECT("'"&amp;$H$3&amp;"'!W113")*INDIRECT("'"&amp;$H$3&amp;"'!W114"))),
IF(AND(INDIRECT("'"&amp;$H$3&amp;"'!W113")&gt;0,INDIRECT("'"&amp;$H$3&amp;"'!W117")="Downstream"),0,
IF(OR(W64=0,INDIRECT("'"&amp;$H$3&amp;"'!W113")=0,INDIRECT("'"&amp;$H$3&amp;"'!W113")=""),"-","Must Select Upstream or Downstream"))),
IF(W64=0,"-","Cannot calculate. Is cold box capacity set to zero for this tier?"))</f>
        <v>-</v>
      </c>
      <c r="X71" s="1427"/>
      <c r="AA71" s="36"/>
      <c r="AB71" s="36"/>
      <c r="AC71" s="36"/>
      <c r="AD71" s="36"/>
      <c r="AE71" s="36"/>
      <c r="AF71" s="36"/>
      <c r="AG71" s="36"/>
      <c r="AH71" s="36"/>
      <c r="AI71" s="36"/>
      <c r="AJ71" s="36"/>
      <c r="AK71" s="36"/>
      <c r="AL71" s="36"/>
    </row>
    <row r="72" spans="5:38" ht="65.25" customHeight="1">
      <c r="F72" s="1406" t="s">
        <v>467</v>
      </c>
      <c r="G72" s="1406"/>
      <c r="H72" s="1406"/>
      <c r="I72" s="1406"/>
      <c r="J72" s="1406"/>
      <c r="K72" s="1406"/>
      <c r="L72" s="1406"/>
      <c r="M72" s="1406"/>
      <c r="N72" s="1406"/>
      <c r="O72" s="1406"/>
      <c r="P72" s="245"/>
      <c r="Q72" s="244"/>
      <c r="R72" s="257"/>
      <c r="S72" s="257"/>
      <c r="T72" s="257"/>
      <c r="U72" s="257"/>
      <c r="V72" s="257"/>
      <c r="W72" s="257"/>
      <c r="X72" s="1458"/>
      <c r="Y72" s="257"/>
      <c r="Z72" s="257"/>
      <c r="AA72" s="447"/>
      <c r="AB72" s="447"/>
      <c r="AC72" s="36"/>
      <c r="AD72" s="36"/>
      <c r="AE72" s="36"/>
      <c r="AF72" s="36"/>
      <c r="AG72" s="36"/>
      <c r="AH72" s="36"/>
      <c r="AI72" s="36"/>
      <c r="AJ72" s="36"/>
      <c r="AK72" s="36"/>
      <c r="AL72" s="36"/>
    </row>
    <row r="73" spans="5:38" ht="36.75" customHeight="1"/>
    <row r="74" spans="5:38" ht="16.5" customHeight="1"/>
    <row r="75" spans="5:38" ht="15.9">
      <c r="E75" s="415" t="s">
        <v>475</v>
      </c>
      <c r="F75" s="324"/>
      <c r="G75" s="324"/>
      <c r="H75" s="22"/>
      <c r="I75" s="22"/>
      <c r="J75" s="22"/>
      <c r="K75" s="22"/>
      <c r="L75" s="22"/>
      <c r="M75" s="22"/>
      <c r="N75" s="22"/>
      <c r="O75" s="22"/>
      <c r="P75" s="22"/>
      <c r="Q75" s="22"/>
      <c r="R75" s="22"/>
      <c r="S75" s="22"/>
      <c r="T75" s="22"/>
      <c r="U75" s="22"/>
      <c r="V75" s="22"/>
      <c r="W75" s="22"/>
      <c r="Y75" s="1485"/>
    </row>
    <row r="76" spans="5:38" ht="29.15">
      <c r="F76" s="20"/>
      <c r="G76" s="21"/>
      <c r="H76" s="1579" t="str">
        <f ca="1">IF($H$9&gt;=1,INDIRECT("'"&amp;$H$3&amp;"'!G$91"),"")</f>
        <v>CMS Tier</v>
      </c>
      <c r="I76" s="1579" t="str">
        <f t="shared" ref="I76:V76" ca="1" si="7">IF($H$9&gt;=1,"Tier 1","")</f>
        <v>Tier 1</v>
      </c>
      <c r="J76" s="1579" t="str">
        <f t="shared" ca="1" si="7"/>
        <v>Tier 1</v>
      </c>
      <c r="K76" s="1579" t="str">
        <f ca="1">IF($H$9&gt;=2,INDIRECT("'"&amp;$H$3&amp;"'!J$91"),"")</f>
        <v>Regional WH Tier</v>
      </c>
      <c r="L76" s="1579" t="str">
        <f t="shared" ca="1" si="7"/>
        <v>Tier 1</v>
      </c>
      <c r="M76" s="1579" t="str">
        <f t="shared" ca="1" si="7"/>
        <v>Tier 1</v>
      </c>
      <c r="N76" s="1579" t="str">
        <f ca="1">IF($H$9&gt;=3,INDIRECT("'"&amp;$H$3&amp;"'!M$91"),"")</f>
        <v>Health Facility Tier</v>
      </c>
      <c r="O76" s="1578" t="str">
        <f t="shared" ca="1" si="7"/>
        <v>Tier 1</v>
      </c>
      <c r="P76" s="1578" t="str">
        <f t="shared" ca="1" si="7"/>
        <v>Tier 1</v>
      </c>
      <c r="Q76" s="1578" t="str">
        <f ca="1">IF($H$9&gt;=4,INDIRECT("'"&amp;$H$3&amp;"'!P$91"),"")</f>
        <v/>
      </c>
      <c r="R76" s="1493" t="str">
        <f t="shared" ca="1" si="7"/>
        <v>Tier 1</v>
      </c>
      <c r="S76" s="1580" t="str">
        <f t="shared" ca="1" si="7"/>
        <v>Tier 1</v>
      </c>
      <c r="T76" s="1578" t="str">
        <f ca="1">IF($H$9&gt;=5,INDIRECT("'"&amp;$H$3&amp;"'!S$91"),"")</f>
        <v/>
      </c>
      <c r="U76" s="1580" t="str">
        <f t="shared" ca="1" si="7"/>
        <v>Tier 1</v>
      </c>
      <c r="V76" s="1580" t="str">
        <f t="shared" ca="1" si="7"/>
        <v>Tier 1</v>
      </c>
      <c r="W76" s="1578" t="str">
        <f ca="1">IF($H$9&gt;=6,INDIRECT("'"&amp;$H$3&amp;"'!V$91"),"")</f>
        <v/>
      </c>
      <c r="X76" s="1459"/>
      <c r="Y76" s="380" t="s">
        <v>25</v>
      </c>
    </row>
    <row r="77" spans="5:38">
      <c r="F77" s="351" t="s">
        <v>464</v>
      </c>
      <c r="G77" s="332"/>
      <c r="H77" s="333"/>
      <c r="I77" s="333"/>
      <c r="J77" s="333"/>
      <c r="K77" s="333"/>
      <c r="L77" s="333"/>
      <c r="M77" s="333"/>
      <c r="N77" s="333"/>
      <c r="O77" s="333"/>
      <c r="P77" s="333"/>
      <c r="Q77" s="333"/>
      <c r="R77" s="334"/>
      <c r="S77" s="335"/>
      <c r="T77" s="333"/>
      <c r="U77" s="335"/>
      <c r="V77" s="335"/>
      <c r="W77" s="333"/>
      <c r="X77" s="1459"/>
      <c r="Y77" s="1486"/>
    </row>
    <row r="78" spans="5:38">
      <c r="F78" s="288" t="s">
        <v>28</v>
      </c>
      <c r="G78" s="336"/>
      <c r="H78" s="337">
        <f ca="1">SUM(H$132:H$137)</f>
        <v>380371.01605813601</v>
      </c>
      <c r="I78" s="337"/>
      <c r="J78" s="337"/>
      <c r="K78" s="337">
        <f ca="1">SUM(K$132:K$137)</f>
        <v>325531.03300879861</v>
      </c>
      <c r="L78" s="337"/>
      <c r="M78" s="337"/>
      <c r="N78" s="337">
        <f ca="1">SUM(N$132:N$137)</f>
        <v>275002.44448476052</v>
      </c>
      <c r="O78" s="338"/>
      <c r="P78" s="338"/>
      <c r="Q78" s="337">
        <f ca="1">SUM(Q$132:Q$137)</f>
        <v>0</v>
      </c>
      <c r="R78" s="339"/>
      <c r="S78" s="340"/>
      <c r="T78" s="337">
        <f ca="1">SUM(T$132:T$137)</f>
        <v>0</v>
      </c>
      <c r="U78" s="340"/>
      <c r="V78" s="340"/>
      <c r="W78" s="338">
        <f ca="1">SUM(W$132:W$137)</f>
        <v>0</v>
      </c>
      <c r="X78" s="1420"/>
      <c r="Y78" s="341">
        <f ca="1">SUM(H78:W78)</f>
        <v>980904.49355169514</v>
      </c>
      <c r="Z78" s="1"/>
      <c r="AA78" s="1"/>
      <c r="AL78" s="1"/>
    </row>
    <row r="79" spans="5:38">
      <c r="F79" s="288" t="s">
        <v>29</v>
      </c>
      <c r="G79" s="336"/>
      <c r="H79" s="337">
        <f ca="1">SUM(H99:H127)</f>
        <v>0</v>
      </c>
      <c r="I79" s="337"/>
      <c r="J79" s="337"/>
      <c r="K79" s="337">
        <f ca="1">SUM(K99:K127)</f>
        <v>140249.41758549225</v>
      </c>
      <c r="L79" s="337"/>
      <c r="M79" s="337"/>
      <c r="N79" s="337">
        <f ca="1">SUM(N99:N127)</f>
        <v>724186.92416317691</v>
      </c>
      <c r="O79" s="337"/>
      <c r="P79" s="337"/>
      <c r="Q79" s="337">
        <f ca="1">SUM(Q99:Q127)</f>
        <v>0</v>
      </c>
      <c r="R79" s="339"/>
      <c r="S79" s="340"/>
      <c r="T79" s="337">
        <f ca="1">SUM(T99:T127)</f>
        <v>0</v>
      </c>
      <c r="U79" s="340"/>
      <c r="V79" s="340"/>
      <c r="W79" s="338">
        <f ca="1">SUM(W99:W127)</f>
        <v>0</v>
      </c>
      <c r="X79" s="1420"/>
      <c r="Y79" s="341">
        <f ca="1">SUM(H79:W79)</f>
        <v>864436.34174866916</v>
      </c>
    </row>
    <row r="80" spans="5:38">
      <c r="F80" s="288" t="s">
        <v>84</v>
      </c>
      <c r="G80" s="336"/>
      <c r="H80" s="337">
        <f ca="1">SUM(H139)</f>
        <v>68518.335535384278</v>
      </c>
      <c r="I80" s="337"/>
      <c r="J80" s="337"/>
      <c r="K80" s="337">
        <f ca="1">SUM(K139)</f>
        <v>13104</v>
      </c>
      <c r="L80" s="337"/>
      <c r="M80" s="337"/>
      <c r="N80" s="337">
        <f ca="1">SUM(N139)</f>
        <v>50452.347965689762</v>
      </c>
      <c r="O80" s="338"/>
      <c r="P80" s="338"/>
      <c r="Q80" s="337">
        <f ca="1">SUM(Q139)</f>
        <v>0</v>
      </c>
      <c r="R80" s="339"/>
      <c r="S80" s="340"/>
      <c r="T80" s="337">
        <f ca="1">SUM(T139)</f>
        <v>0</v>
      </c>
      <c r="U80" s="340"/>
      <c r="V80" s="340"/>
      <c r="W80" s="338">
        <f ca="1">SUM(W139)</f>
        <v>0</v>
      </c>
      <c r="X80" s="1420"/>
      <c r="Y80" s="341">
        <f ca="1">SUM(H80:W80)</f>
        <v>132074.68350107403</v>
      </c>
    </row>
    <row r="81" spans="5:38">
      <c r="F81" s="419" t="s">
        <v>33</v>
      </c>
      <c r="G81" s="420"/>
      <c r="H81" s="421">
        <f ca="1">SUM(H78:H80)</f>
        <v>448889.35159352026</v>
      </c>
      <c r="I81" s="421"/>
      <c r="J81" s="421"/>
      <c r="K81" s="421">
        <f ca="1">SUM(K78:K80)</f>
        <v>478884.45059429086</v>
      </c>
      <c r="L81" s="421"/>
      <c r="M81" s="421"/>
      <c r="N81" s="421">
        <f ca="1">SUM(N78:N80)</f>
        <v>1049641.7166136273</v>
      </c>
      <c r="O81" s="421"/>
      <c r="P81" s="421"/>
      <c r="Q81" s="421">
        <f t="shared" ref="Q81:W81" ca="1" si="8">SUM(Q78:Q80)</f>
        <v>0</v>
      </c>
      <c r="R81" s="421"/>
      <c r="S81" s="421"/>
      <c r="T81" s="421">
        <f t="shared" ca="1" si="8"/>
        <v>0</v>
      </c>
      <c r="U81" s="421"/>
      <c r="V81" s="421"/>
      <c r="W81" s="422">
        <f t="shared" ca="1" si="8"/>
        <v>0</v>
      </c>
      <c r="X81" s="1460"/>
      <c r="Y81" s="423">
        <f ca="1">SUM(Y78:Y80)</f>
        <v>1977415.5188014384</v>
      </c>
    </row>
    <row r="82" spans="5:38" ht="8.25" customHeight="1">
      <c r="E82" s="348"/>
      <c r="F82" s="348"/>
      <c r="G82" s="348"/>
      <c r="H82" s="349"/>
      <c r="I82" s="349"/>
      <c r="J82" s="349"/>
      <c r="K82" s="349"/>
      <c r="L82" s="349"/>
      <c r="M82" s="349"/>
      <c r="N82" s="349"/>
      <c r="O82" s="349"/>
      <c r="P82" s="349"/>
      <c r="Q82" s="349"/>
      <c r="R82" s="349"/>
      <c r="S82" s="349"/>
      <c r="T82" s="349"/>
      <c r="U82" s="349"/>
      <c r="V82" s="349"/>
      <c r="W82" s="349"/>
      <c r="X82" s="1461"/>
      <c r="Y82" s="350"/>
    </row>
    <row r="83" spans="5:38">
      <c r="F83" s="326" t="s">
        <v>476</v>
      </c>
      <c r="G83" s="332"/>
      <c r="H83" s="342"/>
      <c r="I83" s="342"/>
      <c r="J83" s="342"/>
      <c r="K83" s="342"/>
      <c r="L83" s="342"/>
      <c r="M83" s="342"/>
      <c r="N83" s="342"/>
      <c r="O83" s="342"/>
      <c r="P83" s="342"/>
      <c r="Q83" s="342"/>
      <c r="R83" s="343"/>
      <c r="S83" s="342"/>
      <c r="T83" s="342"/>
      <c r="U83" s="342"/>
      <c r="V83" s="342"/>
      <c r="W83" s="342"/>
      <c r="X83" s="1420"/>
      <c r="Y83" s="344"/>
    </row>
    <row r="84" spans="5:38">
      <c r="F84" s="443" t="s">
        <v>185</v>
      </c>
      <c r="G84" s="336"/>
      <c r="H84" s="337">
        <f ca="1">SUM(H132)</f>
        <v>288000</v>
      </c>
      <c r="I84" s="337"/>
      <c r="J84" s="337"/>
      <c r="K84" s="337">
        <f ca="1">SUM(K132)</f>
        <v>268800</v>
      </c>
      <c r="L84" s="337"/>
      <c r="M84" s="337"/>
      <c r="N84" s="337">
        <f ca="1">SUM(N132)</f>
        <v>92620.557692307644</v>
      </c>
      <c r="O84" s="337"/>
      <c r="P84" s="337"/>
      <c r="Q84" s="337">
        <f ca="1">SUM(Q132)</f>
        <v>0</v>
      </c>
      <c r="R84" s="337"/>
      <c r="S84" s="337"/>
      <c r="T84" s="337">
        <f ca="1">SUM(T132)</f>
        <v>0</v>
      </c>
      <c r="U84" s="337"/>
      <c r="V84" s="337"/>
      <c r="W84" s="338">
        <f ca="1">SUM(W132)</f>
        <v>0</v>
      </c>
      <c r="X84" s="1420"/>
      <c r="Y84" s="341">
        <f ca="1">SUM(H84:W84)</f>
        <v>649420.55769230763</v>
      </c>
      <c r="AL84" s="4"/>
    </row>
    <row r="85" spans="5:38">
      <c r="F85" s="444" t="s">
        <v>462</v>
      </c>
      <c r="G85" s="336"/>
      <c r="H85" s="337">
        <f ca="1">SUM(H134,H135,H137)</f>
        <v>7545.5939300401469</v>
      </c>
      <c r="I85" s="337"/>
      <c r="J85" s="337"/>
      <c r="K85" s="337">
        <f ca="1">SUM(K134,K135,K137)</f>
        <v>14376.231911257337</v>
      </c>
      <c r="L85" s="337"/>
      <c r="M85" s="337"/>
      <c r="N85" s="337">
        <f ca="1">SUM(N134,N135,N137)</f>
        <v>10350</v>
      </c>
      <c r="O85" s="337"/>
      <c r="P85" s="337"/>
      <c r="Q85" s="337">
        <f ca="1">SUM(Q134,Q135,Q137)</f>
        <v>0</v>
      </c>
      <c r="R85" s="337"/>
      <c r="S85" s="337"/>
      <c r="T85" s="337">
        <f ca="1">SUM(T134,T135,T137)</f>
        <v>0</v>
      </c>
      <c r="U85" s="337"/>
      <c r="V85" s="337"/>
      <c r="W85" s="338">
        <f ca="1">SUM(W134,W135,W137)</f>
        <v>0</v>
      </c>
      <c r="X85" s="1420"/>
      <c r="Y85" s="341">
        <f ca="1">SUM(H85:W85)</f>
        <v>32271.825841297483</v>
      </c>
    </row>
    <row r="86" spans="5:38">
      <c r="F86" s="443" t="s">
        <v>478</v>
      </c>
      <c r="G86" s="336"/>
      <c r="H86" s="337">
        <f ca="1">SUM(H133,H136)</f>
        <v>84825.422128095874</v>
      </c>
      <c r="I86" s="337"/>
      <c r="J86" s="337"/>
      <c r="K86" s="337">
        <f ca="1">SUM(K133,K136)</f>
        <v>42354.801097541313</v>
      </c>
      <c r="L86" s="337"/>
      <c r="M86" s="337"/>
      <c r="N86" s="337">
        <f ca="1">SUM(N133,N136)</f>
        <v>172031.88679245286</v>
      </c>
      <c r="O86" s="337"/>
      <c r="P86" s="337"/>
      <c r="Q86" s="337">
        <f ca="1">SUM(Q133,Q136)</f>
        <v>0</v>
      </c>
      <c r="R86" s="337"/>
      <c r="S86" s="337"/>
      <c r="T86" s="337">
        <f ca="1">SUM(T133,T136)</f>
        <v>0</v>
      </c>
      <c r="U86" s="337"/>
      <c r="V86" s="337"/>
      <c r="W86" s="338">
        <f ca="1">SUM(W133,W136)</f>
        <v>0</v>
      </c>
      <c r="X86" s="1420"/>
      <c r="Y86" s="341">
        <f ca="1">SUM(H86:W86)</f>
        <v>299212.11001809005</v>
      </c>
    </row>
    <row r="87" spans="5:38">
      <c r="F87" s="326" t="s">
        <v>477</v>
      </c>
      <c r="G87" s="332"/>
      <c r="H87" s="342"/>
      <c r="I87" s="342"/>
      <c r="J87" s="342"/>
      <c r="K87" s="342"/>
      <c r="L87" s="342"/>
      <c r="M87" s="342"/>
      <c r="N87" s="342"/>
      <c r="O87" s="342"/>
      <c r="P87" s="342"/>
      <c r="Q87" s="342"/>
      <c r="R87" s="343"/>
      <c r="S87" s="342"/>
      <c r="T87" s="342"/>
      <c r="U87" s="342"/>
      <c r="V87" s="342"/>
      <c r="W87" s="342"/>
      <c r="X87" s="1420"/>
      <c r="Y87" s="344"/>
    </row>
    <row r="88" spans="5:38">
      <c r="F88" s="443" t="s">
        <v>185</v>
      </c>
      <c r="G88" s="336"/>
      <c r="H88" s="337">
        <f ca="1">SUM(H101,H111,H121)</f>
        <v>0</v>
      </c>
      <c r="I88" s="337"/>
      <c r="J88" s="337"/>
      <c r="K88" s="337">
        <f ca="1">SUM(K101,K111,K121)</f>
        <v>10117.92</v>
      </c>
      <c r="L88" s="337"/>
      <c r="M88" s="337"/>
      <c r="N88" s="337">
        <f ca="1">SUM(N101,N111,N121)</f>
        <v>130729.2</v>
      </c>
      <c r="O88" s="337"/>
      <c r="P88" s="337"/>
      <c r="Q88" s="337">
        <f ca="1">SUM(Q101,Q111,Q121)</f>
        <v>0</v>
      </c>
      <c r="R88" s="337"/>
      <c r="S88" s="337"/>
      <c r="T88" s="337">
        <f ca="1">SUM(T101,T111,T121)</f>
        <v>0</v>
      </c>
      <c r="U88" s="337"/>
      <c r="V88" s="337"/>
      <c r="W88" s="338">
        <f ca="1">SUM(W101,W111,W121)</f>
        <v>0</v>
      </c>
      <c r="X88" s="1420"/>
      <c r="Y88" s="341">
        <f ca="1">SUM(H88:W88)</f>
        <v>140847.12</v>
      </c>
      <c r="AL88" s="4"/>
    </row>
    <row r="89" spans="5:38">
      <c r="F89" s="444" t="s">
        <v>462</v>
      </c>
      <c r="G89" s="336"/>
      <c r="H89" s="337">
        <f ca="1">SUM(H106,H116,H126)</f>
        <v>0</v>
      </c>
      <c r="I89" s="337"/>
      <c r="J89" s="337"/>
      <c r="K89" s="337">
        <f ca="1">SUM(K106,K116,K126)</f>
        <v>14089.798000000001</v>
      </c>
      <c r="L89" s="337"/>
      <c r="M89" s="337"/>
      <c r="N89" s="337">
        <f ca="1">SUM(N106,N116,N126)</f>
        <v>178238.19159019174</v>
      </c>
      <c r="O89" s="337"/>
      <c r="P89" s="337"/>
      <c r="Q89" s="337">
        <f ca="1">SUM(Q106,Q116,Q126)</f>
        <v>0</v>
      </c>
      <c r="R89" s="337"/>
      <c r="S89" s="337"/>
      <c r="T89" s="337">
        <f ca="1">SUM(T106,T116,T126)</f>
        <v>0</v>
      </c>
      <c r="U89" s="337"/>
      <c r="V89" s="337"/>
      <c r="W89" s="338">
        <f ca="1">SUM(W106,W116,W126)</f>
        <v>0</v>
      </c>
      <c r="X89" s="1420"/>
      <c r="Y89" s="341">
        <f ca="1">SUM(H89:W89)</f>
        <v>192327.98959019175</v>
      </c>
    </row>
    <row r="90" spans="5:38">
      <c r="F90" s="443" t="s">
        <v>471</v>
      </c>
      <c r="G90" s="336"/>
      <c r="H90" s="337">
        <f ca="1">SUM(H102,H112,H122)</f>
        <v>0</v>
      </c>
      <c r="I90" s="337"/>
      <c r="J90" s="337"/>
      <c r="K90" s="337">
        <f ca="1">SUM(K102,K112,K122)</f>
        <v>6420</v>
      </c>
      <c r="L90" s="337"/>
      <c r="M90" s="337"/>
      <c r="N90" s="337">
        <f ca="1">SUM(N102,N112,N122)</f>
        <v>82950</v>
      </c>
      <c r="O90" s="337"/>
      <c r="P90" s="337"/>
      <c r="Q90" s="337">
        <f ca="1">SUM(Q102,Q112,Q122)</f>
        <v>0</v>
      </c>
      <c r="R90" s="337"/>
      <c r="S90" s="337"/>
      <c r="T90" s="337">
        <f ca="1">SUM(T102,T112,T122)</f>
        <v>0</v>
      </c>
      <c r="U90" s="337"/>
      <c r="V90" s="337"/>
      <c r="W90" s="338">
        <f ca="1">SUM(W102,W112,W122)</f>
        <v>0</v>
      </c>
      <c r="X90" s="1420"/>
      <c r="Y90" s="341">
        <f ca="1">SUM(H90:W90)</f>
        <v>89370</v>
      </c>
      <c r="AL90" s="4"/>
    </row>
    <row r="91" spans="5:38">
      <c r="F91" s="445" t="s">
        <v>463</v>
      </c>
      <c r="G91" s="346"/>
      <c r="H91" s="446">
        <f ca="1">SUM(H99:H100,H103:H105,H107,H109:H110,H113:H115,H117,H119:H120,H123:H125,H127)</f>
        <v>0</v>
      </c>
      <c r="I91" s="446"/>
      <c r="J91" s="446"/>
      <c r="K91" s="446">
        <f ca="1">SUM(K99:K100,K103:K105,K107,K109:K110,K113:K115,K117,K119:K120,K123:K125,K127)</f>
        <v>109621.69958549224</v>
      </c>
      <c r="L91" s="446"/>
      <c r="M91" s="446"/>
      <c r="N91" s="446">
        <f ca="1">SUM(N99:N100,N103:N105,N107,N109:N110,N113:N115,N117,N119:N120,N123:N125,N127)</f>
        <v>332269.53257298516</v>
      </c>
      <c r="O91" s="446"/>
      <c r="P91" s="446"/>
      <c r="Q91" s="446">
        <f ca="1">SUM(Q99:Q100,Q103:Q105,Q107,Q109:Q110,Q113:Q115,Q117,Q119:Q120,Q123:Q125,Q127)</f>
        <v>0</v>
      </c>
      <c r="R91" s="446"/>
      <c r="S91" s="446"/>
      <c r="T91" s="446">
        <f ca="1">SUM(T99:T100,T103:T105,T107,T109:T110,T113:T115,T117,T119:T120,T123:T125,T127)</f>
        <v>0</v>
      </c>
      <c r="U91" s="446"/>
      <c r="V91" s="446"/>
      <c r="W91" s="1436">
        <f ca="1">SUM(W99:W100,W103:W105,W107,W109:W110,W113:W115,W117,W119:W120,W123:W125,W127)</f>
        <v>0</v>
      </c>
      <c r="X91" s="1462"/>
      <c r="Y91" s="347">
        <f ca="1">SUM(H91:W91)</f>
        <v>441891.23215847742</v>
      </c>
    </row>
    <row r="92" spans="5:38">
      <c r="F92" s="6"/>
      <c r="G92" s="6"/>
      <c r="S92" s="246"/>
      <c r="T92" s="246"/>
      <c r="U92" s="246"/>
      <c r="V92" s="246"/>
      <c r="W92" s="246"/>
      <c r="X92" s="1420"/>
      <c r="Y92" s="246"/>
      <c r="AL92" s="4"/>
    </row>
    <row r="93" spans="5:38">
      <c r="F93" s="6"/>
      <c r="G93" s="6"/>
      <c r="S93" s="246"/>
      <c r="T93" s="246"/>
      <c r="U93" s="246"/>
      <c r="V93" s="246"/>
      <c r="W93" s="246"/>
      <c r="X93" s="1420"/>
      <c r="Y93" s="246"/>
      <c r="AL93" s="4"/>
    </row>
    <row r="94" spans="5:38">
      <c r="F94" s="6"/>
      <c r="G94" s="6"/>
      <c r="S94" s="246"/>
      <c r="T94" s="246"/>
      <c r="U94" s="246"/>
      <c r="V94" s="246"/>
      <c r="W94" s="246"/>
      <c r="X94" s="1420"/>
      <c r="Y94" s="246"/>
      <c r="AL94" s="4"/>
    </row>
    <row r="95" spans="5:38">
      <c r="F95" s="6"/>
      <c r="G95" s="6"/>
      <c r="S95" s="246"/>
      <c r="T95" s="246"/>
      <c r="U95" s="246"/>
      <c r="V95" s="246"/>
      <c r="W95" s="246"/>
      <c r="X95" s="1420"/>
      <c r="Y95" s="246"/>
      <c r="AL95" s="4"/>
    </row>
    <row r="96" spans="5:38" ht="18.45">
      <c r="E96" s="415" t="s">
        <v>460</v>
      </c>
      <c r="F96" s="324"/>
      <c r="G96" s="995"/>
      <c r="H96" s="996"/>
      <c r="I96" s="996"/>
      <c r="J96" s="996"/>
      <c r="K96" s="996"/>
      <c r="L96" s="996"/>
      <c r="M96" s="996"/>
      <c r="N96" s="996"/>
      <c r="O96" s="996"/>
      <c r="P96" s="996"/>
      <c r="Q96" s="996"/>
      <c r="R96" s="996"/>
      <c r="S96" s="996"/>
      <c r="T96" s="996"/>
      <c r="U96" s="996"/>
      <c r="V96" s="996"/>
      <c r="W96" s="996"/>
      <c r="X96" s="1428"/>
      <c r="Y96" s="1490"/>
      <c r="AL96" s="4"/>
    </row>
    <row r="97" spans="6:38" ht="30" customHeight="1">
      <c r="F97" s="994"/>
      <c r="G97" s="994"/>
      <c r="H97" s="1501"/>
      <c r="I97" s="1501" t="str">
        <f t="shared" ref="I97:V97" ca="1" si="9">IF($H$9&gt;=1,"Tier 1","")</f>
        <v>Tier 1</v>
      </c>
      <c r="J97" s="1501" t="str">
        <f t="shared" ca="1" si="9"/>
        <v>Tier 1</v>
      </c>
      <c r="K97" s="1502" t="str">
        <f ca="1">IF($H$9&gt;=2,INDIRECT("'"&amp;$H$3&amp;"'!J$130"),"")</f>
        <v>CMS  to  Regional WH</v>
      </c>
      <c r="L97" s="1502" t="str">
        <f t="shared" ca="1" si="9"/>
        <v>Tier 1</v>
      </c>
      <c r="M97" s="1502" t="str">
        <f t="shared" ca="1" si="9"/>
        <v>Tier 1</v>
      </c>
      <c r="N97" s="1502" t="str">
        <f ca="1">IF($H$9&gt;=3,INDIRECT("'"&amp;$H$3&amp;"'!M$130"),"")</f>
        <v>Regional WH  to  Health Facility</v>
      </c>
      <c r="O97" s="1502" t="str">
        <f t="shared" ca="1" si="9"/>
        <v>Tier 1</v>
      </c>
      <c r="P97" s="1502" t="str">
        <f t="shared" ca="1" si="9"/>
        <v>Tier 1</v>
      </c>
      <c r="Q97" s="1502" t="str">
        <f ca="1">IF($H$9&gt;=4,INDIRECT("'"&amp;$H$3&amp;"'!P$130"),"")</f>
        <v/>
      </c>
      <c r="R97" s="1503" t="str">
        <f t="shared" ca="1" si="9"/>
        <v>Tier 1</v>
      </c>
      <c r="S97" s="1504" t="str">
        <f t="shared" ca="1" si="9"/>
        <v>Tier 1</v>
      </c>
      <c r="T97" s="1502" t="str">
        <f ca="1">IF($H$9&gt;=5,INDIRECT("'"&amp;$H$3&amp;"'!S$130"),"")</f>
        <v/>
      </c>
      <c r="U97" s="1504" t="str">
        <f t="shared" ca="1" si="9"/>
        <v>Tier 1</v>
      </c>
      <c r="V97" s="1504" t="str">
        <f t="shared" ca="1" si="9"/>
        <v>Tier 1</v>
      </c>
      <c r="W97" s="1505" t="str">
        <f ca="1">IF($H$9&gt;=6,INDIRECT("'"&amp;$H$3&amp;"'!V$130"),"")</f>
        <v/>
      </c>
      <c r="X97" s="1459"/>
      <c r="Y97" s="1488" t="s">
        <v>25</v>
      </c>
    </row>
    <row r="98" spans="6:38">
      <c r="F98" s="352" t="s">
        <v>2442</v>
      </c>
      <c r="G98" s="353"/>
      <c r="H98" s="354"/>
      <c r="I98" s="354"/>
      <c r="J98" s="354"/>
      <c r="K98" s="354"/>
      <c r="L98" s="354"/>
      <c r="M98" s="354"/>
      <c r="N98" s="354"/>
      <c r="O98" s="354"/>
      <c r="P98" s="354"/>
      <c r="Q98" s="354"/>
      <c r="R98" s="354"/>
      <c r="S98" s="355"/>
      <c r="T98" s="354"/>
      <c r="U98" s="355"/>
      <c r="V98" s="355"/>
      <c r="W98" s="383"/>
      <c r="Y98" s="355">
        <f ca="1">SUM(Y99:Y107)</f>
        <v>483538.25645074679</v>
      </c>
    </row>
    <row r="99" spans="6:38">
      <c r="F99" s="288"/>
      <c r="G99" s="356" t="s">
        <v>48</v>
      </c>
      <c r="H99" s="300">
        <f ca="1">IFERROR((1-INDIRECT("'"&amp;$H$3&amp;"'!H$207"))*IF(INDIRECT("'"&amp;$H$3&amp;"'!H$201")='List Values'!$E$5,INDIRECT("'"&amp;$H$3&amp;"'!H$203")*IF(INDIRECT("'"&amp;$H$3&amp;"'!H$202")='List Values'!$F$3,H$280,IF(INDIRECT("'"&amp;$H$3&amp;"'!H$202")='List Values'!$F$4,'3_Outputs'!H$52*INDIRECT("'"&amp;$H$3&amp;"'!H$95")*INDIRECT("'"&amp;$H$3&amp;"'!H$199"),IF(INDIRECT("'"&amp;$H$3&amp;"'!H$202")='List Values'!$F$5,H$281,IF(INDIRECT("'"&amp;$H$3&amp;"'!H$202")='List Values'!$F$6,INDIRECT("'"&amp;$H$3&amp;"'!H$95")*INDIRECT("'"&amp;$H$3&amp;"'!H$199"),IF(INDIRECT("'"&amp;$H$3&amp;"'!H$202")='List Values'!$F$7,1,0))))),0),0)
+IFERROR((1-INDIRECT("'"&amp;$H$3&amp;"'!H$227"))*IF(INDIRECT("'"&amp;$H$3&amp;"'!H$221")='List Values'!$E$5,INDIRECT("'"&amp;$H$3&amp;"'!H$223")*IF(INDIRECT("'"&amp;$H$3&amp;"'!H$222")='List Values'!$F$3,H$309,IF(INDIRECT("'"&amp;$H$3&amp;"'!H$222")='List Values'!$F$4,'3_Outputs'!H$52*INDIRECT("'"&amp;$H$3&amp;"'!H$95")*INDIRECT("'"&amp;$H$3&amp;"'!H$219"),IF(INDIRECT("'"&amp;$H$3&amp;"'!H$222")='List Values'!$F$5,H$310,IF(INDIRECT("'"&amp;$H$3&amp;"'!H$222")='List Values'!$F$6,INDIRECT("'"&amp;$H$3&amp;"'!H$95")*INDIRECT("'"&amp;$H$3&amp;"'!H$219"),IF(INDIRECT("'"&amp;$H$3&amp;"'!H$222")='List Values'!$F$7,1,0))))),0),0)
+IFERROR((1-INDIRECT("'"&amp;$H$3&amp;"'!H$247"))*IF(INDIRECT("'"&amp;$H$3&amp;"'!H$241")='List Values'!$E$5,INDIRECT("'"&amp;$H$3&amp;"'!H$243")*IF(INDIRECT("'"&amp;$H$3&amp;"'!H$242")='List Values'!$F$3,H$338,IF(INDIRECT("'"&amp;$H$3&amp;"'!H$242")='List Values'!$F$4,'3_Outputs'!H$52*INDIRECT("'"&amp;$H$3&amp;"'!H$95")*INDIRECT("'"&amp;$H$3&amp;"'!H$239"),IF(INDIRECT("'"&amp;$H$3&amp;"'!H$242")='List Values'!$F$5,H$339,IF(INDIRECT("'"&amp;$H$3&amp;"'!H$242")='List Values'!$F$6,INDIRECT("'"&amp;$H$3&amp;"'!H$95")*INDIRECT("'"&amp;$H$3&amp;"'!H$239"),IF(INDIRECT("'"&amp;$H$3&amp;"'!H$242")='List Values'!$F$7,1,0))))),0),0)</f>
        <v>0</v>
      </c>
      <c r="I99" s="300"/>
      <c r="J99" s="300"/>
      <c r="K99" s="300">
        <f ca="1">IFERROR((1-INDIRECT("'"&amp;$H$3&amp;"'!K$207"))*IF(INDIRECT("'"&amp;$H$3&amp;"'!K$201")='List Values'!$E$5,INDIRECT("'"&amp;$H$3&amp;"'!K$203")*IF(INDIRECT("'"&amp;$H$3&amp;"'!K$202")='List Values'!$F$3,K$280,IF(INDIRECT("'"&amp;$H$3&amp;"'!K$202")='List Values'!$F$4,'3_Outputs'!K$52*INDIRECT("'"&amp;$H$3&amp;"'!K$95")*INDIRECT("'"&amp;$H$3&amp;"'!K$199"),IF(INDIRECT("'"&amp;$H$3&amp;"'!K$202")='List Values'!$F$5,K$281,IF(INDIRECT("'"&amp;$H$3&amp;"'!K$202")='List Values'!$F$6,INDIRECT("'"&amp;$H$3&amp;"'!K$95")*INDIRECT("'"&amp;$H$3&amp;"'!K$199"),IF(INDIRECT("'"&amp;$H$3&amp;"'!K$202")='List Values'!$F$7,1,0))))),0),0)
+IFERROR((1-INDIRECT("'"&amp;$H$3&amp;"'!K$227"))*IF(INDIRECT("'"&amp;$H$3&amp;"'!K$221")='List Values'!$E$5,INDIRECT("'"&amp;$H$3&amp;"'!K$223")*IF(INDIRECT("'"&amp;$H$3&amp;"'!K$222")='List Values'!$F$3,K$309,IF(INDIRECT("'"&amp;$H$3&amp;"'!K$222")='List Values'!$F$4,'3_Outputs'!K$52*INDIRECT("'"&amp;$H$3&amp;"'!K$95")*INDIRECT("'"&amp;$H$3&amp;"'!K$219"),IF(INDIRECT("'"&amp;$H$3&amp;"'!K$222")='List Values'!$F$5,K$310,IF(INDIRECT("'"&amp;$H$3&amp;"'!K$222")='List Values'!$F$6,INDIRECT("'"&amp;$H$3&amp;"'!K$95")*INDIRECT("'"&amp;$H$3&amp;"'!K$219"),IF(INDIRECT("'"&amp;$H$3&amp;"'!K$222")='List Values'!$F$7,1,0))))),0),0)
+IFERROR((1-INDIRECT("'"&amp;$H$3&amp;"'!K$247"))*IF(INDIRECT("'"&amp;$H$3&amp;"'!K$241")='List Values'!$E$5,INDIRECT("'"&amp;$H$3&amp;"'!K$243")*IF(INDIRECT("'"&amp;$H$3&amp;"'!K$242")='List Values'!$F$3,K$338,IF(INDIRECT("'"&amp;$H$3&amp;"'!K$242")='List Values'!$F$4,'3_Outputs'!K$52*INDIRECT("'"&amp;$H$3&amp;"'!K$95")*INDIRECT("'"&amp;$H$3&amp;"'!K$239"),IF(INDIRECT("'"&amp;$H$3&amp;"'!K$242")='List Values'!$F$5,K$339,IF(INDIRECT("'"&amp;$H$3&amp;"'!K$242")='List Values'!$F$6,INDIRECT("'"&amp;$H$3&amp;"'!K$95")*INDIRECT("'"&amp;$H$3&amp;"'!K$239"),IF(INDIRECT("'"&amp;$H$3&amp;"'!K$242")='List Values'!$F$7,1,0))))),0),0)</f>
        <v>0</v>
      </c>
      <c r="L99" s="300"/>
      <c r="M99" s="300"/>
      <c r="N99" s="300">
        <f ca="1">IFERROR((1-INDIRECT("'"&amp;$H$3&amp;"'!N$207"))*IF(INDIRECT("'"&amp;$H$3&amp;"'!N$201")='List Values'!$E$5,INDIRECT("'"&amp;$H$3&amp;"'!N$203")*IF(INDIRECT("'"&amp;$H$3&amp;"'!N$202")='List Values'!$F$3,N$280,IF(INDIRECT("'"&amp;$H$3&amp;"'!N$202")='List Values'!$F$4,'3_Outputs'!N$52*INDIRECT("'"&amp;$H$3&amp;"'!N$95")*INDIRECT("'"&amp;$H$3&amp;"'!N$199"),IF(INDIRECT("'"&amp;$H$3&amp;"'!N$202")='List Values'!$F$5,N$281,IF(INDIRECT("'"&amp;$H$3&amp;"'!N$202")='List Values'!$F$6,INDIRECT("'"&amp;$H$3&amp;"'!N$95")*INDIRECT("'"&amp;$H$3&amp;"'!N$199"),IF(INDIRECT("'"&amp;$H$3&amp;"'!N$202")='List Values'!$F$7,1,0))))),0),0)
+IFERROR((1-INDIRECT("'"&amp;$H$3&amp;"'!N$227"))*IF(INDIRECT("'"&amp;$H$3&amp;"'!N$221")='List Values'!$E$5,INDIRECT("'"&amp;$H$3&amp;"'!N$223")*IF(INDIRECT("'"&amp;$H$3&amp;"'!N$222")='List Values'!$F$3,N$309,IF(INDIRECT("'"&amp;$H$3&amp;"'!N$222")='List Values'!$F$4,'3_Outputs'!N$52*INDIRECT("'"&amp;$H$3&amp;"'!N$95")*INDIRECT("'"&amp;$H$3&amp;"'!N$219"),IF(INDIRECT("'"&amp;$H$3&amp;"'!N$222")='List Values'!$F$5,N$310,IF(INDIRECT("'"&amp;$H$3&amp;"'!N$222")='List Values'!$F$6,INDIRECT("'"&amp;$H$3&amp;"'!N$95")*INDIRECT("'"&amp;$H$3&amp;"'!N$219"),IF(INDIRECT("'"&amp;$H$3&amp;"'!N$222")='List Values'!$F$7,1,0))))),0),0)
+IFERROR((1-INDIRECT("'"&amp;$H$3&amp;"'!N$247"))*IF(INDIRECT("'"&amp;$H$3&amp;"'!N$241")='List Values'!$E$5,INDIRECT("'"&amp;$H$3&amp;"'!N$243")*IF(INDIRECT("'"&amp;$H$3&amp;"'!N$242")='List Values'!$F$3,N$338,IF(INDIRECT("'"&amp;$H$3&amp;"'!N$242")='List Values'!$F$4,'3_Outputs'!N$52*INDIRECT("'"&amp;$H$3&amp;"'!N$95")*INDIRECT("'"&amp;$H$3&amp;"'!N$239"),IF(INDIRECT("'"&amp;$H$3&amp;"'!N$242")='List Values'!$F$5,N$339,IF(INDIRECT("'"&amp;$H$3&amp;"'!N$242")='List Values'!$F$6,INDIRECT("'"&amp;$H$3&amp;"'!N$95")*INDIRECT("'"&amp;$H$3&amp;"'!N$239"),IF(INDIRECT("'"&amp;$H$3&amp;"'!N$242")='List Values'!$F$7,1,0))))),0),0)</f>
        <v>0</v>
      </c>
      <c r="O99" s="300"/>
      <c r="P99" s="300"/>
      <c r="Q99" s="300">
        <f ca="1">IFERROR((1-INDIRECT("'"&amp;$H$3&amp;"'!Q$207"))*IF(INDIRECT("'"&amp;$H$3&amp;"'!Q$201")='List Values'!$E$5,INDIRECT("'"&amp;$H$3&amp;"'!Q$203")*IF(INDIRECT("'"&amp;$H$3&amp;"'!Q$202")='List Values'!$F$3,Q$280,IF(INDIRECT("'"&amp;$H$3&amp;"'!Q$202")='List Values'!$F$4,'3_Outputs'!Q$52*INDIRECT("'"&amp;$H$3&amp;"'!Q$95")*INDIRECT("'"&amp;$H$3&amp;"'!Q$199"),IF(INDIRECT("'"&amp;$H$3&amp;"'!Q$202")='List Values'!$F$5,Q$281,IF(INDIRECT("'"&amp;$H$3&amp;"'!Q$202")='List Values'!$F$6,INDIRECT("'"&amp;$H$3&amp;"'!Q$95")*INDIRECT("'"&amp;$H$3&amp;"'!Q$199"),IF(INDIRECT("'"&amp;$H$3&amp;"'!Q$202")='List Values'!$F$7,1,0))))),0),0)
+IFERROR((1-INDIRECT("'"&amp;$H$3&amp;"'!Q$227"))*IF(INDIRECT("'"&amp;$H$3&amp;"'!Q$221")='List Values'!$E$5,INDIRECT("'"&amp;$H$3&amp;"'!Q$223")*IF(INDIRECT("'"&amp;$H$3&amp;"'!Q$222")='List Values'!$F$3,Q$309,IF(INDIRECT("'"&amp;$H$3&amp;"'!Q$222")='List Values'!$F$4,'3_Outputs'!Q$52*INDIRECT("'"&amp;$H$3&amp;"'!Q$95")*INDIRECT("'"&amp;$H$3&amp;"'!Q$219"),IF(INDIRECT("'"&amp;$H$3&amp;"'!Q$222")='List Values'!$F$5,Q$310,IF(INDIRECT("'"&amp;$H$3&amp;"'!Q$222")='List Values'!$F$6,INDIRECT("'"&amp;$H$3&amp;"'!Q$95")*INDIRECT("'"&amp;$H$3&amp;"'!Q$219"),IF(INDIRECT("'"&amp;$H$3&amp;"'!Q$222")='List Values'!$F$7,1,0))))),0),0)
+IFERROR((1-INDIRECT("'"&amp;$H$3&amp;"'!Q$247"))*IF(INDIRECT("'"&amp;$H$3&amp;"'!Q$241")='List Values'!$E$5,INDIRECT("'"&amp;$H$3&amp;"'!Q$243")*IF(INDIRECT("'"&amp;$H$3&amp;"'!Q$242")='List Values'!$F$3,Q$338,IF(INDIRECT("'"&amp;$H$3&amp;"'!Q$242")='List Values'!$F$4,'3_Outputs'!Q$52*INDIRECT("'"&amp;$H$3&amp;"'!Q$95")*INDIRECT("'"&amp;$H$3&amp;"'!Q$239"),IF(INDIRECT("'"&amp;$H$3&amp;"'!Q$242")='List Values'!$F$5,Q$339,IF(INDIRECT("'"&amp;$H$3&amp;"'!Q$242")='List Values'!$F$6,INDIRECT("'"&amp;$H$3&amp;"'!Q$95")*INDIRECT("'"&amp;$H$3&amp;"'!Q$239"),IF(INDIRECT("'"&amp;$H$3&amp;"'!Q$242")='List Values'!$F$7,1,0))))),0),0)</f>
        <v>0</v>
      </c>
      <c r="R99" s="300"/>
      <c r="S99" s="337"/>
      <c r="T99" s="300">
        <f ca="1">IFERROR((1-INDIRECT("'"&amp;$H$3&amp;"'!T$207"))*IF(INDIRECT("'"&amp;$H$3&amp;"'!T$201")='List Values'!$E$5,INDIRECT("'"&amp;$H$3&amp;"'!T$203")*IF(INDIRECT("'"&amp;$H$3&amp;"'!T$202")='List Values'!$F$3,T$280,IF(INDIRECT("'"&amp;$H$3&amp;"'!T$202")='List Values'!$F$4,'3_Outputs'!T$52*INDIRECT("'"&amp;$H$3&amp;"'!T$95")*INDIRECT("'"&amp;$H$3&amp;"'!T$199"),IF(INDIRECT("'"&amp;$H$3&amp;"'!T$202")='List Values'!$F$5,T$281,IF(INDIRECT("'"&amp;$H$3&amp;"'!T$202")='List Values'!$F$6,INDIRECT("'"&amp;$H$3&amp;"'!T$95")*INDIRECT("'"&amp;$H$3&amp;"'!T$199"),IF(INDIRECT("'"&amp;$H$3&amp;"'!T$202")='List Values'!$F$7,1,0))))),0),0)
+IFERROR((1-INDIRECT("'"&amp;$H$3&amp;"'!T$227"))*IF(INDIRECT("'"&amp;$H$3&amp;"'!T$221")='List Values'!$E$5,INDIRECT("'"&amp;$H$3&amp;"'!T$223")*IF(INDIRECT("'"&amp;$H$3&amp;"'!T$222")='List Values'!$F$3,T$309,IF(INDIRECT("'"&amp;$H$3&amp;"'!T$222")='List Values'!$F$4,'3_Outputs'!T$52*INDIRECT("'"&amp;$H$3&amp;"'!T$95")*INDIRECT("'"&amp;$H$3&amp;"'!T$219"),IF(INDIRECT("'"&amp;$H$3&amp;"'!T$222")='List Values'!$F$5,T$310,IF(INDIRECT("'"&amp;$H$3&amp;"'!T$222")='List Values'!$F$6,INDIRECT("'"&amp;$H$3&amp;"'!T$95")*INDIRECT("'"&amp;$H$3&amp;"'!T$219"),IF(INDIRECT("'"&amp;$H$3&amp;"'!T$222")='List Values'!$F$7,1,0))))),0),0)
+IFERROR((1-INDIRECT("'"&amp;$H$3&amp;"'!T$247"))*IF(INDIRECT("'"&amp;$H$3&amp;"'!T$241")='List Values'!$E$5,INDIRECT("'"&amp;$H$3&amp;"'!T$243")*IF(INDIRECT("'"&amp;$H$3&amp;"'!T$242")='List Values'!$F$3,T$338,IF(INDIRECT("'"&amp;$H$3&amp;"'!T$242")='List Values'!$F$4,'3_Outputs'!T$52*INDIRECT("'"&amp;$H$3&amp;"'!T$95")*INDIRECT("'"&amp;$H$3&amp;"'!T$239"),IF(INDIRECT("'"&amp;$H$3&amp;"'!T$242")='List Values'!$F$5,T$339,IF(INDIRECT("'"&amp;$H$3&amp;"'!T$242")='List Values'!$F$6,INDIRECT("'"&amp;$H$3&amp;"'!T$95")*INDIRECT("'"&amp;$H$3&amp;"'!T$239"),IF(INDIRECT("'"&amp;$H$3&amp;"'!T$242")='List Values'!$F$7,1,0))))),0),0)</f>
        <v>0</v>
      </c>
      <c r="U99" s="337"/>
      <c r="V99" s="337"/>
      <c r="W99" s="1437">
        <f ca="1">IFERROR((1-INDIRECT("'"&amp;$H$3&amp;"'!W$207"))*IF(INDIRECT("'"&amp;$H$3&amp;"'!W$201")='List Values'!$E$5,INDIRECT("'"&amp;$H$3&amp;"'!W$203")*IF(INDIRECT("'"&amp;$H$3&amp;"'!W$202")='List Values'!$F$3,W$280,IF(INDIRECT("'"&amp;$H$3&amp;"'!W$202")='List Values'!$F$4,'3_Outputs'!W$52*INDIRECT("'"&amp;$H$3&amp;"'!W$95")*INDIRECT("'"&amp;$H$3&amp;"'!W$199"),IF(INDIRECT("'"&amp;$H$3&amp;"'!W$202")='List Values'!$F$5,W$281,IF(INDIRECT("'"&amp;$H$3&amp;"'!W$202")='List Values'!$F$6,INDIRECT("'"&amp;$H$3&amp;"'!W$95")*INDIRECT("'"&amp;$H$3&amp;"'!W$199"),IF(INDIRECT("'"&amp;$H$3&amp;"'!W$202")='List Values'!$F$7,1,0))))),0),0)
+IFERROR((1-INDIRECT("'"&amp;$H$3&amp;"'!W$227"))*IF(INDIRECT("'"&amp;$H$3&amp;"'!W$221")='List Values'!$E$5,INDIRECT("'"&amp;$H$3&amp;"'!W$223")*IF(INDIRECT("'"&amp;$H$3&amp;"'!W$222")='List Values'!$F$3,W$309,IF(INDIRECT("'"&amp;$H$3&amp;"'!W$222")='List Values'!$F$4,'3_Outputs'!W$52*INDIRECT("'"&amp;$H$3&amp;"'!W$95")*INDIRECT("'"&amp;$H$3&amp;"'!W$219"),IF(INDIRECT("'"&amp;$H$3&amp;"'!W$222")='List Values'!$F$5,W$310,IF(INDIRECT("'"&amp;$H$3&amp;"'!W$222")='List Values'!$F$6,INDIRECT("'"&amp;$H$3&amp;"'!W$95")*INDIRECT("'"&amp;$H$3&amp;"'!W$219"),IF(INDIRECT("'"&amp;$H$3&amp;"'!W$222")='List Values'!$F$7,1,0))))),0),0)
+IFERROR((1-INDIRECT("'"&amp;$H$3&amp;"'!W$247"))*IF(INDIRECT("'"&amp;$H$3&amp;"'!W$241")='List Values'!$E$5,INDIRECT("'"&amp;$H$3&amp;"'!W$243")*IF(INDIRECT("'"&amp;$H$3&amp;"'!W$242")='List Values'!$F$3,W$338,IF(INDIRECT("'"&amp;$H$3&amp;"'!W$242")='List Values'!$F$4,'3_Outputs'!W$52*INDIRECT("'"&amp;$H$3&amp;"'!W$95")*INDIRECT("'"&amp;$H$3&amp;"'!W$239"),IF(INDIRECT("'"&amp;$H$3&amp;"'!W$242")='List Values'!$F$5,W$339,IF(INDIRECT("'"&amp;$H$3&amp;"'!W$242")='List Values'!$F$6,INDIRECT("'"&amp;$H$3&amp;"'!W$95")*INDIRECT("'"&amp;$H$3&amp;"'!W$239"),IF(INDIRECT("'"&amp;$H$3&amp;"'!W$242")='List Values'!$F$7,1,0))))),0),0)</f>
        <v>0</v>
      </c>
      <c r="Y99" s="341">
        <f t="shared" ref="Y99:Y107" ca="1" si="10">SUM(H99:W99)</f>
        <v>0</v>
      </c>
    </row>
    <row r="100" spans="6:38">
      <c r="F100" s="298"/>
      <c r="G100" s="298" t="s">
        <v>226</v>
      </c>
      <c r="H100" s="300">
        <f ca="1">IFERROR((1-INDIRECT("'"&amp;$H$3&amp;"'!H$207"))*IF(INDIRECT("'"&amp;$H$3&amp;"'!H$201")='List Values'!$E$4,INDIRECT("'"&amp;$H$3&amp;"'!H$203")*IF(INDIRECT("'"&amp;$H$3&amp;"'!H$202")='List Values'!$F$3,H$280,IF(INDIRECT("'"&amp;$H$3&amp;"'!H$202")='List Values'!$F$4,'3_Outputs'!H$52*INDIRECT("'"&amp;$H$3&amp;"'!H$95")*INDIRECT("'"&amp;$H$3&amp;"'!H$199"),IF(INDIRECT("'"&amp;$H$3&amp;"'!H$202")='List Values'!$F$5,H$281,IF(INDIRECT("'"&amp;$H$3&amp;"'!H$202")='List Values'!$F$6,INDIRECT("'"&amp;$H$3&amp;"'!H$95")*INDIRECT("'"&amp;$H$3&amp;"'!H$199"),IF(INDIRECT("'"&amp;$H$3&amp;"'!H$202")='List Values'!$F$7,1,0))))),0),0)
+IFERROR((1-INDIRECT("'"&amp;$H$3&amp;"'!H$227"))*IF(INDIRECT("'"&amp;$H$3&amp;"'!H$221")='List Values'!$E$4,INDIRECT("'"&amp;$H$3&amp;"'!H$223")*IF(INDIRECT("'"&amp;$H$3&amp;"'!H$222")='List Values'!$F$3,H$309,IF(INDIRECT("'"&amp;$H$3&amp;"'!H$222")='List Values'!$F$4,'3_Outputs'!H$52*INDIRECT("'"&amp;$H$3&amp;"'!H$95")*INDIRECT("'"&amp;$H$3&amp;"'!H$219"),IF(INDIRECT("'"&amp;$H$3&amp;"'!H$222")='List Values'!$F$5,H$310,IF(INDIRECT("'"&amp;$H$3&amp;"'!H$222")='List Values'!$F$6,INDIRECT("'"&amp;$H$3&amp;"'!H$95")*INDIRECT("'"&amp;$H$3&amp;"'!H$219"),IF(INDIRECT("'"&amp;$H$3&amp;"'!H$222")='List Values'!$F$7,1,0))))),0),0)
+IFERROR((1-INDIRECT("'"&amp;$H$3&amp;"'!H$247"))*IF(INDIRECT("'"&amp;$H$3&amp;"'!H$241")='List Values'!$E$4,INDIRECT("'"&amp;$H$3&amp;"'!H$243")*IF(INDIRECT("'"&amp;$H$3&amp;"'!H$242")='List Values'!$F$3,H$338,IF(INDIRECT("'"&amp;$H$3&amp;"'!H$242")='List Values'!$F$4,'3_Outputs'!H$52*INDIRECT("'"&amp;$H$3&amp;"'!H$95")*INDIRECT("'"&amp;$H$3&amp;"'!H$239"),IF(INDIRECT("'"&amp;$H$3&amp;"'!H$242")='List Values'!$F$5,H$339,IF(INDIRECT("'"&amp;$H$3&amp;"'!H$242")='List Values'!$F$6,INDIRECT("'"&amp;$H$3&amp;"'!H$95")*INDIRECT("'"&amp;$H$3&amp;"'!H$239"),IF(INDIRECT("'"&amp;$H$3&amp;"'!H$242")='List Values'!$F$7,1,0))))),0),0)</f>
        <v>0</v>
      </c>
      <c r="I100" s="300"/>
      <c r="J100" s="300"/>
      <c r="K100" s="300">
        <f ca="1">IFERROR((1-INDIRECT("'"&amp;$H$3&amp;"'!K$207"))*IF(INDIRECT("'"&amp;$H$3&amp;"'!K$201")='List Values'!$E$4,INDIRECT("'"&amp;$H$3&amp;"'!K$203")*IF(INDIRECT("'"&amp;$H$3&amp;"'!K$202")='List Values'!$F$3,K$280,IF(INDIRECT("'"&amp;$H$3&amp;"'!K$202")='List Values'!$F$4,'3_Outputs'!K$52*INDIRECT("'"&amp;$H$3&amp;"'!K$95")*INDIRECT("'"&amp;$H$3&amp;"'!K$199"),IF(INDIRECT("'"&amp;$H$3&amp;"'!K$202")='List Values'!$F$5,K$281,IF(INDIRECT("'"&amp;$H$3&amp;"'!K$202")='List Values'!$F$6,INDIRECT("'"&amp;$H$3&amp;"'!K$95")*INDIRECT("'"&amp;$H$3&amp;"'!K$199"),IF(INDIRECT("'"&amp;$H$3&amp;"'!K$202")='List Values'!$F$7,1,0))))),0),0)
+IFERROR((1-INDIRECT("'"&amp;$H$3&amp;"'!K$227"))*IF(INDIRECT("'"&amp;$H$3&amp;"'!K$221")='List Values'!$E$4,INDIRECT("'"&amp;$H$3&amp;"'!K$223")*IF(INDIRECT("'"&amp;$H$3&amp;"'!K$222")='List Values'!$F$3,K$309,IF(INDIRECT("'"&amp;$H$3&amp;"'!K$222")='List Values'!$F$4,'3_Outputs'!K$52*INDIRECT("'"&amp;$H$3&amp;"'!K$95")*INDIRECT("'"&amp;$H$3&amp;"'!K$219"),IF(INDIRECT("'"&amp;$H$3&amp;"'!K$222")='List Values'!$F$5,K$310,IF(INDIRECT("'"&amp;$H$3&amp;"'!K$222")='List Values'!$F$6,INDIRECT("'"&amp;$H$3&amp;"'!K$95")*INDIRECT("'"&amp;$H$3&amp;"'!K$219"),IF(INDIRECT("'"&amp;$H$3&amp;"'!K$222")='List Values'!$F$7,1,0))))),0),0)
+IFERROR((1-INDIRECT("'"&amp;$H$3&amp;"'!K$247"))*IF(INDIRECT("'"&amp;$H$3&amp;"'!K$241")='List Values'!$E$4,INDIRECT("'"&amp;$H$3&amp;"'!K$243")*IF(INDIRECT("'"&amp;$H$3&amp;"'!K$242")='List Values'!$F$3,K$338,IF(INDIRECT("'"&amp;$H$3&amp;"'!K$242")='List Values'!$F$4,'3_Outputs'!K$52*INDIRECT("'"&amp;$H$3&amp;"'!K$95")*INDIRECT("'"&amp;$H$3&amp;"'!K$239"),IF(INDIRECT("'"&amp;$H$3&amp;"'!K$242")='List Values'!$F$5,K$339,IF(INDIRECT("'"&amp;$H$3&amp;"'!K$242")='List Values'!$F$6,INDIRECT("'"&amp;$H$3&amp;"'!K$95")*INDIRECT("'"&amp;$H$3&amp;"'!K$239"),IF(INDIRECT("'"&amp;$H$3&amp;"'!K$242")='List Values'!$F$7,1,0))))),0),0)</f>
        <v>0</v>
      </c>
      <c r="L100" s="300"/>
      <c r="M100" s="300"/>
      <c r="N100" s="300">
        <f ca="1">IFERROR((1-INDIRECT("'"&amp;$H$3&amp;"'!N$207"))*IF(INDIRECT("'"&amp;$H$3&amp;"'!N$201")='List Values'!$E$4,INDIRECT("'"&amp;$H$3&amp;"'!N$203")*IF(INDIRECT("'"&amp;$H$3&amp;"'!N$202")='List Values'!$F$3,N$280,IF(INDIRECT("'"&amp;$H$3&amp;"'!N$202")='List Values'!$F$4,'3_Outputs'!N$52*INDIRECT("'"&amp;$H$3&amp;"'!N$95")*INDIRECT("'"&amp;$H$3&amp;"'!N$199"),IF(INDIRECT("'"&amp;$H$3&amp;"'!N$202")='List Values'!$F$5,N$281,IF(INDIRECT("'"&amp;$H$3&amp;"'!N$202")='List Values'!$F$6,INDIRECT("'"&amp;$H$3&amp;"'!N$95")*INDIRECT("'"&amp;$H$3&amp;"'!N$199"),IF(INDIRECT("'"&amp;$H$3&amp;"'!N$202")='List Values'!$F$7,1,0))))),0),0)
+IFERROR((1-INDIRECT("'"&amp;$H$3&amp;"'!N$227"))*IF(INDIRECT("'"&amp;$H$3&amp;"'!N$221")='List Values'!$E$4,INDIRECT("'"&amp;$H$3&amp;"'!N$223")*IF(INDIRECT("'"&amp;$H$3&amp;"'!N$222")='List Values'!$F$3,N$309,IF(INDIRECT("'"&amp;$H$3&amp;"'!N$222")='List Values'!$F$4,'3_Outputs'!N$52*INDIRECT("'"&amp;$H$3&amp;"'!N$95")*INDIRECT("'"&amp;$H$3&amp;"'!N$219"),IF(INDIRECT("'"&amp;$H$3&amp;"'!N$222")='List Values'!$F$5,N$310,IF(INDIRECT("'"&amp;$H$3&amp;"'!N$222")='List Values'!$F$6,INDIRECT("'"&amp;$H$3&amp;"'!N$95")*INDIRECT("'"&amp;$H$3&amp;"'!N$219"),IF(INDIRECT("'"&amp;$H$3&amp;"'!N$222")='List Values'!$F$7,1,0))))),0),0)
+IFERROR((1-INDIRECT("'"&amp;$H$3&amp;"'!N$247"))*IF(INDIRECT("'"&amp;$H$3&amp;"'!N$241")='List Values'!$E$4,INDIRECT("'"&amp;$H$3&amp;"'!N$243")*IF(INDIRECT("'"&amp;$H$3&amp;"'!N$242")='List Values'!$F$3,N$338,IF(INDIRECT("'"&amp;$H$3&amp;"'!N$242")='List Values'!$F$4,'3_Outputs'!N$52*INDIRECT("'"&amp;$H$3&amp;"'!N$95")*INDIRECT("'"&amp;$H$3&amp;"'!N$239"),IF(INDIRECT("'"&amp;$H$3&amp;"'!N$242")='List Values'!$F$5,N$339,IF(INDIRECT("'"&amp;$H$3&amp;"'!N$242")='List Values'!$F$6,INDIRECT("'"&amp;$H$3&amp;"'!N$95")*INDIRECT("'"&amp;$H$3&amp;"'!N$239"),IF(INDIRECT("'"&amp;$H$3&amp;"'!N$242")='List Values'!$F$7,1,0))))),0),0)</f>
        <v>0</v>
      </c>
      <c r="O100" s="300"/>
      <c r="P100" s="300"/>
      <c r="Q100" s="300">
        <f ca="1">IFERROR((1-INDIRECT("'"&amp;$H$3&amp;"'!Q$207"))*IF(INDIRECT("'"&amp;$H$3&amp;"'!Q$201")='List Values'!$E$4,INDIRECT("'"&amp;$H$3&amp;"'!Q$203")*IF(INDIRECT("'"&amp;$H$3&amp;"'!Q$202")='List Values'!$F$3,Q$280,IF(INDIRECT("'"&amp;$H$3&amp;"'!Q$202")='List Values'!$F$4,'3_Outputs'!Q$52*INDIRECT("'"&amp;$H$3&amp;"'!Q$95")*INDIRECT("'"&amp;$H$3&amp;"'!Q$199"),IF(INDIRECT("'"&amp;$H$3&amp;"'!Q$202")='List Values'!$F$5,Q$281,IF(INDIRECT("'"&amp;$H$3&amp;"'!Q$202")='List Values'!$F$6,INDIRECT("'"&amp;$H$3&amp;"'!Q$95")*INDIRECT("'"&amp;$H$3&amp;"'!Q$199"),IF(INDIRECT("'"&amp;$H$3&amp;"'!Q$202")='List Values'!$F$7,1,0))))),0),0)
+IFERROR((1-INDIRECT("'"&amp;$H$3&amp;"'!Q$227"))*IF(INDIRECT("'"&amp;$H$3&amp;"'!Q$221")='List Values'!$E$4,INDIRECT("'"&amp;$H$3&amp;"'!Q$223")*IF(INDIRECT("'"&amp;$H$3&amp;"'!Q$222")='List Values'!$F$3,Q$309,IF(INDIRECT("'"&amp;$H$3&amp;"'!Q$222")='List Values'!$F$4,'3_Outputs'!Q$52*INDIRECT("'"&amp;$H$3&amp;"'!Q$95")*INDIRECT("'"&amp;$H$3&amp;"'!Q$219"),IF(INDIRECT("'"&amp;$H$3&amp;"'!Q$222")='List Values'!$F$5,Q$310,IF(INDIRECT("'"&amp;$H$3&amp;"'!Q$222")='List Values'!$F$6,INDIRECT("'"&amp;$H$3&amp;"'!Q$95")*INDIRECT("'"&amp;$H$3&amp;"'!Q$219"),IF(INDIRECT("'"&amp;$H$3&amp;"'!Q$222")='List Values'!$F$7,1,0))))),0),0)
+IFERROR((1-INDIRECT("'"&amp;$H$3&amp;"'!Q$247"))*IF(INDIRECT("'"&amp;$H$3&amp;"'!Q$241")='List Values'!$E$4,INDIRECT("'"&amp;$H$3&amp;"'!Q$243")*IF(INDIRECT("'"&amp;$H$3&amp;"'!Q$242")='List Values'!$F$3,Q$338,IF(INDIRECT("'"&amp;$H$3&amp;"'!Q$242")='List Values'!$F$4,'3_Outputs'!Q$52*INDIRECT("'"&amp;$H$3&amp;"'!Q$95")*INDIRECT("'"&amp;$H$3&amp;"'!Q$239"),IF(INDIRECT("'"&amp;$H$3&amp;"'!Q$242")='List Values'!$F$5,Q$339,IF(INDIRECT("'"&amp;$H$3&amp;"'!Q$242")='List Values'!$F$6,INDIRECT("'"&amp;$H$3&amp;"'!Q$95")*INDIRECT("'"&amp;$H$3&amp;"'!Q$239"),IF(INDIRECT("'"&amp;$H$3&amp;"'!Q$242")='List Values'!$F$7,1,0))))),0),0)</f>
        <v>0</v>
      </c>
      <c r="R100" s="300"/>
      <c r="S100" s="337"/>
      <c r="T100" s="300">
        <f ca="1">IFERROR((1-INDIRECT("'"&amp;$H$3&amp;"'!T$207"))*IF(INDIRECT("'"&amp;$H$3&amp;"'!T$201")='List Values'!$E$4,INDIRECT("'"&amp;$H$3&amp;"'!T$203")*IF(INDIRECT("'"&amp;$H$3&amp;"'!T$202")='List Values'!$F$3,T$280,IF(INDIRECT("'"&amp;$H$3&amp;"'!T$202")='List Values'!$F$4,'3_Outputs'!T$52*INDIRECT("'"&amp;$H$3&amp;"'!T$95")*INDIRECT("'"&amp;$H$3&amp;"'!T$199"),IF(INDIRECT("'"&amp;$H$3&amp;"'!T$202")='List Values'!$F$5,T$281,IF(INDIRECT("'"&amp;$H$3&amp;"'!T$202")='List Values'!$F$6,INDIRECT("'"&amp;$H$3&amp;"'!T$95")*INDIRECT("'"&amp;$H$3&amp;"'!T$199"),IF(INDIRECT("'"&amp;$H$3&amp;"'!T$202")='List Values'!$F$7,1,0))))),0),0)
+IFERROR((1-INDIRECT("'"&amp;$H$3&amp;"'!T$227"))*IF(INDIRECT("'"&amp;$H$3&amp;"'!T$221")='List Values'!$E$4,INDIRECT("'"&amp;$H$3&amp;"'!T$223")*IF(INDIRECT("'"&amp;$H$3&amp;"'!T$222")='List Values'!$F$3,T$309,IF(INDIRECT("'"&amp;$H$3&amp;"'!T$222")='List Values'!$F$4,'3_Outputs'!T$52*INDIRECT("'"&amp;$H$3&amp;"'!T$95")*INDIRECT("'"&amp;$H$3&amp;"'!T$219"),IF(INDIRECT("'"&amp;$H$3&amp;"'!T$222")='List Values'!$F$5,T$310,IF(INDIRECT("'"&amp;$H$3&amp;"'!T$222")='List Values'!$F$6,INDIRECT("'"&amp;$H$3&amp;"'!T$95")*INDIRECT("'"&amp;$H$3&amp;"'!T$219"),IF(INDIRECT("'"&amp;$H$3&amp;"'!T$222")='List Values'!$F$7,1,0))))),0),0)
+IFERROR((1-INDIRECT("'"&amp;$H$3&amp;"'!T$247"))*IF(INDIRECT("'"&amp;$H$3&amp;"'!T$241")='List Values'!$E$4,INDIRECT("'"&amp;$H$3&amp;"'!T$243")*IF(INDIRECT("'"&amp;$H$3&amp;"'!T$242")='List Values'!$F$3,T$338,IF(INDIRECT("'"&amp;$H$3&amp;"'!T$242")='List Values'!$F$4,'3_Outputs'!T$52*INDIRECT("'"&amp;$H$3&amp;"'!T$95")*INDIRECT("'"&amp;$H$3&amp;"'!T$239"),IF(INDIRECT("'"&amp;$H$3&amp;"'!T$242")='List Values'!$F$5,T$339,IF(INDIRECT("'"&amp;$H$3&amp;"'!T$242")='List Values'!$F$6,INDIRECT("'"&amp;$H$3&amp;"'!T$95")*INDIRECT("'"&amp;$H$3&amp;"'!T$239"),IF(INDIRECT("'"&amp;$H$3&amp;"'!T$242")='List Values'!$F$7,1,0))))),0),0)</f>
        <v>0</v>
      </c>
      <c r="U100" s="337"/>
      <c r="V100" s="337"/>
      <c r="W100" s="1437">
        <f ca="1">IFERROR((1-INDIRECT("'"&amp;$H$3&amp;"'!W$207"))*IF(INDIRECT("'"&amp;$H$3&amp;"'!W$201")='List Values'!$E$4,INDIRECT("'"&amp;$H$3&amp;"'!W$203")*IF(INDIRECT("'"&amp;$H$3&amp;"'!W$202")='List Values'!$F$3,W$280,IF(INDIRECT("'"&amp;$H$3&amp;"'!W$202")='List Values'!$F$4,'3_Outputs'!W$52*INDIRECT("'"&amp;$H$3&amp;"'!W$95")*INDIRECT("'"&amp;$H$3&amp;"'!W$199"),IF(INDIRECT("'"&amp;$H$3&amp;"'!W$202")='List Values'!$F$5,W$281,IF(INDIRECT("'"&amp;$H$3&amp;"'!W$202")='List Values'!$F$6,INDIRECT("'"&amp;$H$3&amp;"'!W$95")*INDIRECT("'"&amp;$H$3&amp;"'!W$199"),IF(INDIRECT("'"&amp;$H$3&amp;"'!W$202")='List Values'!$F$7,1,0))))),0),0)
+IFERROR((1-INDIRECT("'"&amp;$H$3&amp;"'!W$227"))*IF(INDIRECT("'"&amp;$H$3&amp;"'!W$221")='List Values'!$E$4,INDIRECT("'"&amp;$H$3&amp;"'!W$223")*IF(INDIRECT("'"&amp;$H$3&amp;"'!W$222")='List Values'!$F$3,W$309,IF(INDIRECT("'"&amp;$H$3&amp;"'!W$222")='List Values'!$F$4,'3_Outputs'!W$52*INDIRECT("'"&amp;$H$3&amp;"'!W$95")*INDIRECT("'"&amp;$H$3&amp;"'!W$219"),IF(INDIRECT("'"&amp;$H$3&amp;"'!W$222")='List Values'!$F$5,W$310,IF(INDIRECT("'"&amp;$H$3&amp;"'!W$222")='List Values'!$F$6,INDIRECT("'"&amp;$H$3&amp;"'!W$95")*INDIRECT("'"&amp;$H$3&amp;"'!W$219"),IF(INDIRECT("'"&amp;$H$3&amp;"'!W$222")='List Values'!$F$7,1,0))))),0),0)
+IFERROR((1-INDIRECT("'"&amp;$H$3&amp;"'!W$247"))*IF(INDIRECT("'"&amp;$H$3&amp;"'!W$241")='List Values'!$E$4,INDIRECT("'"&amp;$H$3&amp;"'!W$243")*IF(INDIRECT("'"&amp;$H$3&amp;"'!W$242")='List Values'!$F$3,W$338,IF(INDIRECT("'"&amp;$H$3&amp;"'!W$242")='List Values'!$F$4,'3_Outputs'!W$52*INDIRECT("'"&amp;$H$3&amp;"'!W$95")*INDIRECT("'"&amp;$H$3&amp;"'!W$239"),IF(INDIRECT("'"&amp;$H$3&amp;"'!W$242")='List Values'!$F$5,W$339,IF(INDIRECT("'"&amp;$H$3&amp;"'!W$242")='List Values'!$F$6,INDIRECT("'"&amp;$H$3&amp;"'!W$95")*INDIRECT("'"&amp;$H$3&amp;"'!W$239"),IF(INDIRECT("'"&amp;$H$3&amp;"'!W$242")='List Values'!$F$7,1,0))))),0),0)</f>
        <v>0</v>
      </c>
      <c r="Y100" s="341">
        <f t="shared" ca="1" si="10"/>
        <v>0</v>
      </c>
    </row>
    <row r="101" spans="6:38">
      <c r="F101" s="288"/>
      <c r="G101" s="356" t="s">
        <v>89</v>
      </c>
      <c r="H101" s="300">
        <f ca="1">(IFERROR(1-INDIRECT("'"&amp;$H$3&amp;"'!H$207"),0))*(H$267+H$281)*INDIRECT("'"&amp;$H$3&amp;"'!$H$10")*(IFERROR(INDEX(INDIRECT("'"&amp;$H$3&amp;"'!$H$28:$H$38"),MATCH(INDIRECT("'"&amp;$H$3&amp;"'!H$210"),INDIRECT("'"&amp;$H$3&amp;"'!$B$28:$B$38"),0)),0)+IFERROR(INDIRECT("'"&amp;$H$3&amp;"'!H$211")*INDEX(INDIRECT("'"&amp;$H$3&amp;"'!$H$28:$H$38"),MATCH(INDIRECT("'"&amp;$H$3&amp;"'!H$212"),INDIRECT("'"&amp;$H$3&amp;"'!$B$28:$B$38"),0)),0))
+(IFERROR(1-INDIRECT("'"&amp;$H$3&amp;"'!H$227"),0))*(H$296+H$310)*INDIRECT("'"&amp;$H$3&amp;"'!$H$10")*(IFERROR(INDEX(INDIRECT("'"&amp;$H$3&amp;"'!$H$28:$H$38"),MATCH(INDIRECT("'"&amp;$H$3&amp;"'!H$230"),INDIRECT("'"&amp;$H$3&amp;"'!$B$28:$B$38"),0)),0)+IFERROR(INDIRECT("'"&amp;$H$3&amp;"'!H$231")*INDEX(INDIRECT("'"&amp;$H$3&amp;"'!$H$28:$H$38"),MATCH(INDIRECT("'"&amp;$H$3&amp;"'!H$232"),INDIRECT("'"&amp;$H$3&amp;"'!$B$28:$B$38"),0)),0))
+(IFERROR(1-INDIRECT("'"&amp;$H$3&amp;"'!H$247"),0))*(H$325+H$339)*INDIRECT("'"&amp;$H$3&amp;"'!$H$10")*(IFERROR(INDEX(INDIRECT("'"&amp;$H$3&amp;"'!$H$28:$H$38"),MATCH(INDIRECT("'"&amp;$H$3&amp;"'!H$250"),INDIRECT("'"&amp;$H$3&amp;"'!$B$28:$B$38"),0)),0)+IFERROR(INDIRECT("'"&amp;$H$3&amp;"'!H$251")*INDEX(INDIRECT("'"&amp;$H$3&amp;"'!$H$28:$H$38"),MATCH(INDIRECT("'"&amp;$H$3&amp;"'!H$252"),INDIRECT("'"&amp;$H$3&amp;"'!$B$28:$B$38"),0)),0))</f>
        <v>0</v>
      </c>
      <c r="I101" s="300"/>
      <c r="J101" s="300"/>
      <c r="K101" s="300">
        <f ca="1">(IFERROR(1-INDIRECT("'"&amp;$H$3&amp;"'!K$207"),0))*(K$267+K$281)*INDIRECT("'"&amp;$H$3&amp;"'!$H$10")*(IFERROR(INDEX(INDIRECT("'"&amp;$H$3&amp;"'!$H$28:$H$38"),MATCH(INDIRECT("'"&amp;$H$3&amp;"'!K$210"),INDIRECT("'"&amp;$H$3&amp;"'!$B$28:$B$38"),0)),0)+IFERROR(INDIRECT("'"&amp;$H$3&amp;"'!K$211")*INDEX(INDIRECT("'"&amp;$H$3&amp;"'!$H$28:$H$38"),MATCH(INDIRECT("'"&amp;$H$3&amp;"'!K$212"),INDIRECT("'"&amp;$H$3&amp;"'!$B$28:$B$38"),0)),0))
+(IFERROR(1-INDIRECT("'"&amp;$H$3&amp;"'!K$227"),0))*(K$296+K$310)*INDIRECT("'"&amp;$H$3&amp;"'!$H$10")*(IFERROR(INDEX(INDIRECT("'"&amp;$H$3&amp;"'!$H$28:$H$38"),MATCH(INDIRECT("'"&amp;$H$3&amp;"'!K$230"),INDIRECT("'"&amp;$H$3&amp;"'!$B$28:$B$38"),0)),0)+IFERROR(INDIRECT("'"&amp;$H$3&amp;"'!K$231")*INDEX(INDIRECT("'"&amp;$H$3&amp;"'!$H$28:$H$38"),MATCH(INDIRECT("'"&amp;$H$3&amp;"'!K$232"),INDIRECT("'"&amp;$H$3&amp;"'!$B$28:$B$38"),0)),0))
+(IFERROR(1-INDIRECT("'"&amp;$H$3&amp;"'!K$247"),0))*(K$325+K$339)*INDIRECT("'"&amp;$H$3&amp;"'!$H$10")*(IFERROR(INDEX(INDIRECT("'"&amp;$H$3&amp;"'!$H$28:$H$38"),MATCH(INDIRECT("'"&amp;$H$3&amp;"'!K$250"),INDIRECT("'"&amp;$H$3&amp;"'!$B$28:$B$38"),0)),0)+IFERROR(INDIRECT("'"&amp;$H$3&amp;"'!K$251")*INDEX(INDIRECT("'"&amp;$H$3&amp;"'!$H$28:$H$38"),MATCH(INDIRECT("'"&amp;$H$3&amp;"'!K$252"),INDIRECT("'"&amp;$H$3&amp;"'!$B$28:$B$38"),0)),0))</f>
        <v>0</v>
      </c>
      <c r="L101" s="300"/>
      <c r="M101" s="300"/>
      <c r="N101" s="300">
        <f ca="1">(IFERROR(1-INDIRECT("'"&amp;$H$3&amp;"'!N$207"),0))*(N$267+N$281)*INDIRECT("'"&amp;$H$3&amp;"'!$H$10")*(IFERROR(INDEX(INDIRECT("'"&amp;$H$3&amp;"'!$H$28:$H$38"),MATCH(INDIRECT("'"&amp;$H$3&amp;"'!N$210"),INDIRECT("'"&amp;$H$3&amp;"'!$B$28:$B$38"),0)),0)+IFERROR(INDIRECT("'"&amp;$H$3&amp;"'!N$211")*INDEX(INDIRECT("'"&amp;$H$3&amp;"'!$H$28:$H$38"),MATCH(INDIRECT("'"&amp;$H$3&amp;"'!N$212"),INDIRECT("'"&amp;$H$3&amp;"'!$B$28:$B$38"),0)),0))
+(IFERROR(1-INDIRECT("'"&amp;$H$3&amp;"'!N$227"),0))*(N$296+N$310)*INDIRECT("'"&amp;$H$3&amp;"'!$H$10")*(IFERROR(INDEX(INDIRECT("'"&amp;$H$3&amp;"'!$H$28:$H$38"),MATCH(INDIRECT("'"&amp;$H$3&amp;"'!N$230"),INDIRECT("'"&amp;$H$3&amp;"'!$B$28:$B$38"),0)),0)+IFERROR(INDIRECT("'"&amp;$H$3&amp;"'!N$231")*INDEX(INDIRECT("'"&amp;$H$3&amp;"'!$H$28:$H$38"),MATCH(INDIRECT("'"&amp;$H$3&amp;"'!N$232"),INDIRECT("'"&amp;$H$3&amp;"'!$B$28:$B$38"),0)),0))
+(IFERROR(1-INDIRECT("'"&amp;$H$3&amp;"'!N$247"),0))*(N$325+N$339)*INDIRECT("'"&amp;$H$3&amp;"'!$H$10")*(IFERROR(INDEX(INDIRECT("'"&amp;$H$3&amp;"'!$H$28:$H$38"),MATCH(INDIRECT("'"&amp;$H$3&amp;"'!N$250"),INDIRECT("'"&amp;$H$3&amp;"'!$B$28:$B$38"),0)),0)+IFERROR(INDIRECT("'"&amp;$H$3&amp;"'!N$251")*INDEX(INDIRECT("'"&amp;$H$3&amp;"'!$H$28:$H$38"),MATCH(INDIRECT("'"&amp;$H$3&amp;"'!N$252"),INDIRECT("'"&amp;$H$3&amp;"'!$B$28:$B$38"),0)),0))</f>
        <v>98153.279999999999</v>
      </c>
      <c r="O101" s="300"/>
      <c r="P101" s="300"/>
      <c r="Q101" s="300">
        <f ca="1">(IFERROR(1-INDIRECT("'"&amp;$H$3&amp;"'!Q$207"),0))*(Q$267+Q$281)*INDIRECT("'"&amp;$H$3&amp;"'!$H$10")*(IFERROR(INDEX(INDIRECT("'"&amp;$H$3&amp;"'!$H$28:$H$38"),MATCH(INDIRECT("'"&amp;$H$3&amp;"'!Q$210"),INDIRECT("'"&amp;$H$3&amp;"'!$B$28:$B$38"),0)),0)+IFERROR(INDIRECT("'"&amp;$H$3&amp;"'!Q$211")*INDEX(INDIRECT("'"&amp;$H$3&amp;"'!$H$28:$H$38"),MATCH(INDIRECT("'"&amp;$H$3&amp;"'!Q$212"),INDIRECT("'"&amp;$H$3&amp;"'!$B$28:$B$38"),0)),0))
+(IFERROR(1-INDIRECT("'"&amp;$H$3&amp;"'!Q$227"),0))*(Q$296+Q$310)*INDIRECT("'"&amp;$H$3&amp;"'!$H$10")*(IFERROR(INDEX(INDIRECT("'"&amp;$H$3&amp;"'!$H$28:$H$38"),MATCH(INDIRECT("'"&amp;$H$3&amp;"'!Q$230"),INDIRECT("'"&amp;$H$3&amp;"'!$B$28:$B$38"),0)),0)+IFERROR(INDIRECT("'"&amp;$H$3&amp;"'!Q$231")*INDEX(INDIRECT("'"&amp;$H$3&amp;"'!$H$28:$H$38"),MATCH(INDIRECT("'"&amp;$H$3&amp;"'!Q$232"),INDIRECT("'"&amp;$H$3&amp;"'!$B$28:$B$38"),0)),0))
+(IFERROR(1-INDIRECT("'"&amp;$H$3&amp;"'!Q$247"),0))*(Q$325+Q$339)*INDIRECT("'"&amp;$H$3&amp;"'!$H$10")*(IFERROR(INDEX(INDIRECT("'"&amp;$H$3&amp;"'!$H$28:$H$38"),MATCH(INDIRECT("'"&amp;$H$3&amp;"'!Q$250"),INDIRECT("'"&amp;$H$3&amp;"'!$B$28:$B$38"),0)),0)+IFERROR(INDIRECT("'"&amp;$H$3&amp;"'!Q$251")*INDEX(INDIRECT("'"&amp;$H$3&amp;"'!$H$28:$H$38"),MATCH(INDIRECT("'"&amp;$H$3&amp;"'!Q$252"),INDIRECT("'"&amp;$H$3&amp;"'!$B$28:$B$38"),0)),0))</f>
        <v>0</v>
      </c>
      <c r="R101" s="300"/>
      <c r="S101" s="337"/>
      <c r="T101" s="300">
        <f ca="1">(IFERROR(1-INDIRECT("'"&amp;$H$3&amp;"'!T$207"),0))*(T$267+T$281)*INDIRECT("'"&amp;$H$3&amp;"'!$H$10")*(IFERROR(INDEX(INDIRECT("'"&amp;$H$3&amp;"'!$H$28:$H$38"),MATCH(INDIRECT("'"&amp;$H$3&amp;"'!T$210"),INDIRECT("'"&amp;$H$3&amp;"'!$B$28:$B$38"),0)),0)+IFERROR(INDIRECT("'"&amp;$H$3&amp;"'!T$211")*INDEX(INDIRECT("'"&amp;$H$3&amp;"'!$H$28:$H$38"),MATCH(INDIRECT("'"&amp;$H$3&amp;"'!T$212"),INDIRECT("'"&amp;$H$3&amp;"'!$B$28:$B$38"),0)),0))
+(IFERROR(1-INDIRECT("'"&amp;$H$3&amp;"'!T$227"),0))*(T$296+T$310)*INDIRECT("'"&amp;$H$3&amp;"'!$H$10")*(IFERROR(INDEX(INDIRECT("'"&amp;$H$3&amp;"'!$H$28:$H$38"),MATCH(INDIRECT("'"&amp;$H$3&amp;"'!T$230"),INDIRECT("'"&amp;$H$3&amp;"'!$B$28:$B$38"),0)),0)+IFERROR(INDIRECT("'"&amp;$H$3&amp;"'!T$231")*INDEX(INDIRECT("'"&amp;$H$3&amp;"'!$H$28:$H$38"),MATCH(INDIRECT("'"&amp;$H$3&amp;"'!T$232"),INDIRECT("'"&amp;$H$3&amp;"'!$B$28:$B$38"),0)),0))
+(IFERROR(1-INDIRECT("'"&amp;$H$3&amp;"'!T$247"),0))*(T$325+T$339)*INDIRECT("'"&amp;$H$3&amp;"'!$H$10")*(IFERROR(INDEX(INDIRECT("'"&amp;$H$3&amp;"'!$H$28:$H$38"),MATCH(INDIRECT("'"&amp;$H$3&amp;"'!T$250"),INDIRECT("'"&amp;$H$3&amp;"'!$B$28:$B$38"),0)),0)+IFERROR(INDIRECT("'"&amp;$H$3&amp;"'!T$251")*INDEX(INDIRECT("'"&amp;$H$3&amp;"'!$H$28:$H$38"),MATCH(INDIRECT("'"&amp;$H$3&amp;"'!T$252"),INDIRECT("'"&amp;$H$3&amp;"'!$B$28:$B$38"),0)),0))</f>
        <v>0</v>
      </c>
      <c r="U101" s="337"/>
      <c r="V101" s="337"/>
      <c r="W101" s="1437">
        <f ca="1">(IFERROR(1-INDIRECT("'"&amp;$H$3&amp;"'!W$207"),0))*(W$267+W$281)*INDIRECT("'"&amp;$H$3&amp;"'!$H$10")*(IFERROR(INDEX(INDIRECT("'"&amp;$H$3&amp;"'!$H$28:$H$38"),MATCH(INDIRECT("'"&amp;$H$3&amp;"'!W$210"),INDIRECT("'"&amp;$H$3&amp;"'!$B$28:$B$38"),0)),0)+IFERROR(INDIRECT("'"&amp;$H$3&amp;"'!W$211")*INDEX(INDIRECT("'"&amp;$H$3&amp;"'!$H$28:$H$38"),MATCH(INDIRECT("'"&amp;$H$3&amp;"'!W$212"),INDIRECT("'"&amp;$H$3&amp;"'!$B$28:$B$38"),0)),0))
+(IFERROR(1-INDIRECT("'"&amp;$H$3&amp;"'!W$227"),0))*(W$296+W$310)*INDIRECT("'"&amp;$H$3&amp;"'!$H$10")*(IFERROR(INDEX(INDIRECT("'"&amp;$H$3&amp;"'!$H$28:$H$38"),MATCH(INDIRECT("'"&amp;$H$3&amp;"'!W$230"),INDIRECT("'"&amp;$H$3&amp;"'!$B$28:$B$38"),0)),0)+IFERROR(INDIRECT("'"&amp;$H$3&amp;"'!W$231")*INDEX(INDIRECT("'"&amp;$H$3&amp;"'!$H$28:$H$38"),MATCH(INDIRECT("'"&amp;$H$3&amp;"'!W$232"),INDIRECT("'"&amp;$H$3&amp;"'!$B$28:$B$38"),0)),0))
+(IFERROR(1-INDIRECT("'"&amp;$H$3&amp;"'!W$247"),0))*(W$325+W$339)*INDIRECT("'"&amp;$H$3&amp;"'!$H$10")*(IFERROR(INDEX(INDIRECT("'"&amp;$H$3&amp;"'!$H$28:$H$38"),MATCH(INDIRECT("'"&amp;$H$3&amp;"'!W$250"),INDIRECT("'"&amp;$H$3&amp;"'!$B$28:$B$38"),0)),0)+IFERROR(INDIRECT("'"&amp;$H$3&amp;"'!W$251")*INDEX(INDIRECT("'"&amp;$H$3&amp;"'!$H$28:$H$38"),MATCH(INDIRECT("'"&amp;$H$3&amp;"'!W$252"),INDIRECT("'"&amp;$H$3&amp;"'!$B$28:$B$38"),0)),0))</f>
        <v>0</v>
      </c>
      <c r="Y101" s="341">
        <f t="shared" ca="1" si="10"/>
        <v>98153.279999999999</v>
      </c>
      <c r="AL101" s="4"/>
    </row>
    <row r="102" spans="6:38">
      <c r="F102" s="288"/>
      <c r="G102" s="356" t="s">
        <v>90</v>
      </c>
      <c r="H102" s="300">
        <f ca="1">(IFERROR(1-INDIRECT("'"&amp;$H$3&amp;"'!H$207"),0))*(H$267+H$281)*(IFERROR(INDEX(INDIRECT("'"&amp;$H$3&amp;"'!$K$28:$K$38"),MATCH(INDIRECT("'"&amp;$H$3&amp;"'!H$210"),INDIRECT("'"&amp;$H$3&amp;"'!$B$28:$B$38"),0)),0)+IFERROR(INDIRECT("'"&amp;$H$3&amp;"'!H$211")*INDEX(INDIRECT("'"&amp;$H$3&amp;"'!$K$28:$K$38"),MATCH(INDIRECT("'"&amp;$H$3&amp;"'!H$212"),INDIRECT("'"&amp;$H$3&amp;"'!$B$28:$B$38"),0)),0))
+(IFERROR(1-INDIRECT("'"&amp;$H$3&amp;"'!H$227"),0))*(H$296+H$310)*(IFERROR(INDEX(INDIRECT("'"&amp;$H$3&amp;"'!$K$28:$K$38"),MATCH(INDIRECT("'"&amp;$H$3&amp;"'!H$230"),INDIRECT("'"&amp;$H$3&amp;"'!$B$28:$B$38"),0)),0)+IFERROR(INDIRECT("'"&amp;$H$3&amp;"'!H$231")*INDEX(INDIRECT("'"&amp;$H$3&amp;"'!$K$28:$K$38"),MATCH(INDIRECT("'"&amp;$H$3&amp;"'!H$232"),INDIRECT("'"&amp;$H$3&amp;"'!$B$28:$B$38"),0)),0))
+(IFERROR(1-INDIRECT("'"&amp;$H$3&amp;"'!H$247"),0))*(H$325+H$339)*(IFERROR(INDEX(INDIRECT("'"&amp;$H$3&amp;"'!$K$28:$K$38"),MATCH(INDIRECT("'"&amp;$H$3&amp;"'!H$250"),INDIRECT("'"&amp;$H$3&amp;"'!$B$28:$B$38"),0)),0)+IFERROR(INDIRECT("'"&amp;$H$3&amp;"'!H$251")*INDEX(INDIRECT("'"&amp;$H$3&amp;"'!$K$28:$K$38"),MATCH(INDIRECT("'"&amp;$H$3&amp;"'!H$252"),INDIRECT("'"&amp;$H$3&amp;"'!$B$28:$B$38"),0)),0))</f>
        <v>0</v>
      </c>
      <c r="I102" s="300"/>
      <c r="J102" s="300"/>
      <c r="K102" s="300">
        <f ca="1">(IFERROR(1-INDIRECT("'"&amp;$H$3&amp;"'!K$207"),0))*(K$267+K$281)*(IFERROR(INDEX(INDIRECT("'"&amp;$H$3&amp;"'!$K$28:$K$38"),MATCH(INDIRECT("'"&amp;$H$3&amp;"'!K$210"),INDIRECT("'"&amp;$H$3&amp;"'!$B$28:$B$38"),0)),0)+IFERROR(INDIRECT("'"&amp;$H$3&amp;"'!K$211")*INDEX(INDIRECT("'"&amp;$H$3&amp;"'!$K$28:$K$38"),MATCH(INDIRECT("'"&amp;$H$3&amp;"'!K$212"),INDIRECT("'"&amp;$H$3&amp;"'!$B$28:$B$38"),0)),0))
+(IFERROR(1-INDIRECT("'"&amp;$H$3&amp;"'!K$227"),0))*(K$296+K$310)*(IFERROR(INDEX(INDIRECT("'"&amp;$H$3&amp;"'!$K$28:$K$38"),MATCH(INDIRECT("'"&amp;$H$3&amp;"'!K$230"),INDIRECT("'"&amp;$H$3&amp;"'!$B$28:$B$38"),0)),0)+IFERROR(INDIRECT("'"&amp;$H$3&amp;"'!K$231")*INDEX(INDIRECT("'"&amp;$H$3&amp;"'!$K$28:$K$38"),MATCH(INDIRECT("'"&amp;$H$3&amp;"'!K$232"),INDIRECT("'"&amp;$H$3&amp;"'!$B$28:$B$38"),0)),0))
+(IFERROR(1-INDIRECT("'"&amp;$H$3&amp;"'!K$247"),0))*(K$325+K$339)*(IFERROR(INDEX(INDIRECT("'"&amp;$H$3&amp;"'!$K$28:$K$38"),MATCH(INDIRECT("'"&amp;$H$3&amp;"'!K$250"),INDIRECT("'"&amp;$H$3&amp;"'!$B$28:$B$38"),0)),0)+IFERROR(INDIRECT("'"&amp;$H$3&amp;"'!K$251")*INDEX(INDIRECT("'"&amp;$H$3&amp;"'!$K$28:$K$38"),MATCH(INDIRECT("'"&amp;$H$3&amp;"'!K$252"),INDIRECT("'"&amp;$H$3&amp;"'!$B$28:$B$38"),0)),0))</f>
        <v>0</v>
      </c>
      <c r="L102" s="300"/>
      <c r="M102" s="300"/>
      <c r="N102" s="300">
        <f ca="1">(IFERROR(1-INDIRECT("'"&amp;$H$3&amp;"'!N$207"),0))*(N$267+N$281)*(IFERROR(INDEX(INDIRECT("'"&amp;$H$3&amp;"'!$K$28:$K$38"),MATCH(INDIRECT("'"&amp;$H$3&amp;"'!N$210"),INDIRECT("'"&amp;$H$3&amp;"'!$B$28:$B$38"),0)),0)+IFERROR(INDIRECT("'"&amp;$H$3&amp;"'!N$211")*INDEX(INDIRECT("'"&amp;$H$3&amp;"'!$K$28:$K$38"),MATCH(INDIRECT("'"&amp;$H$3&amp;"'!N$212"),INDIRECT("'"&amp;$H$3&amp;"'!$B$28:$B$38"),0)),0))
+(IFERROR(1-INDIRECT("'"&amp;$H$3&amp;"'!N$227"),0))*(N$296+N$310)*(IFERROR(INDEX(INDIRECT("'"&amp;$H$3&amp;"'!$K$28:$K$38"),MATCH(INDIRECT("'"&amp;$H$3&amp;"'!N$230"),INDIRECT("'"&amp;$H$3&amp;"'!$B$28:$B$38"),0)),0)+IFERROR(INDIRECT("'"&amp;$H$3&amp;"'!N$231")*INDEX(INDIRECT("'"&amp;$H$3&amp;"'!$K$28:$K$38"),MATCH(INDIRECT("'"&amp;$H$3&amp;"'!N$232"),INDIRECT("'"&amp;$H$3&amp;"'!$B$28:$B$38"),0)),0))
+(IFERROR(1-INDIRECT("'"&amp;$H$3&amp;"'!N$247"),0))*(N$325+N$339)*(IFERROR(INDEX(INDIRECT("'"&amp;$H$3&amp;"'!$K$28:$K$38"),MATCH(INDIRECT("'"&amp;$H$3&amp;"'!N$250"),INDIRECT("'"&amp;$H$3&amp;"'!$B$28:$B$38"),0)),0)+IFERROR(INDIRECT("'"&amp;$H$3&amp;"'!N$251")*INDEX(INDIRECT("'"&amp;$H$3&amp;"'!$K$28:$K$38"),MATCH(INDIRECT("'"&amp;$H$3&amp;"'!N$252"),INDIRECT("'"&amp;$H$3&amp;"'!$B$28:$B$38"),0)),0))</f>
        <v>62280</v>
      </c>
      <c r="O102" s="300"/>
      <c r="P102" s="300"/>
      <c r="Q102" s="300">
        <f ca="1">(IFERROR(1-INDIRECT("'"&amp;$H$3&amp;"'!Q$207"),0))*(Q$267+Q$281)*(IFERROR(INDEX(INDIRECT("'"&amp;$H$3&amp;"'!$K$28:$K$38"),MATCH(INDIRECT("'"&amp;$H$3&amp;"'!Q$210"),INDIRECT("'"&amp;$H$3&amp;"'!$B$28:$B$38"),0)),0)+IFERROR(INDIRECT("'"&amp;$H$3&amp;"'!Q$211")*INDEX(INDIRECT("'"&amp;$H$3&amp;"'!$K$28:$K$38"),MATCH(INDIRECT("'"&amp;$H$3&amp;"'!Q$212"),INDIRECT("'"&amp;$H$3&amp;"'!$B$28:$B$38"),0)),0))
+(IFERROR(1-INDIRECT("'"&amp;$H$3&amp;"'!Q$227"),0))*(Q$296+Q$310)*(IFERROR(INDEX(INDIRECT("'"&amp;$H$3&amp;"'!$K$28:$K$38"),MATCH(INDIRECT("'"&amp;$H$3&amp;"'!Q$230"),INDIRECT("'"&amp;$H$3&amp;"'!$B$28:$B$38"),0)),0)+IFERROR(INDIRECT("'"&amp;$H$3&amp;"'!Q$231")*INDEX(INDIRECT("'"&amp;$H$3&amp;"'!$K$28:$K$38"),MATCH(INDIRECT("'"&amp;$H$3&amp;"'!Q$232"),INDIRECT("'"&amp;$H$3&amp;"'!$B$28:$B$38"),0)),0))
+(IFERROR(1-INDIRECT("'"&amp;$H$3&amp;"'!Q$247"),0))*(Q$325+Q$339)*(IFERROR(INDEX(INDIRECT("'"&amp;$H$3&amp;"'!$K$28:$K$38"),MATCH(INDIRECT("'"&amp;$H$3&amp;"'!Q$250"),INDIRECT("'"&amp;$H$3&amp;"'!$B$28:$B$38"),0)),0)+IFERROR(INDIRECT("'"&amp;$H$3&amp;"'!Q$251")*INDEX(INDIRECT("'"&amp;$H$3&amp;"'!$K$28:$K$38"),MATCH(INDIRECT("'"&amp;$H$3&amp;"'!Q$252"),INDIRECT("'"&amp;$H$3&amp;"'!$B$28:$B$38"),0)),0))</f>
        <v>0</v>
      </c>
      <c r="R102" s="300"/>
      <c r="S102" s="337"/>
      <c r="T102" s="300">
        <f ca="1">(IFERROR(1-INDIRECT("'"&amp;$H$3&amp;"'!T$207"),0))*(T$267+T$281)*(IFERROR(INDEX(INDIRECT("'"&amp;$H$3&amp;"'!$K$28:$K$38"),MATCH(INDIRECT("'"&amp;$H$3&amp;"'!T$210"),INDIRECT("'"&amp;$H$3&amp;"'!$B$28:$B$38"),0)),0)+IFERROR(INDIRECT("'"&amp;$H$3&amp;"'!T$211")*INDEX(INDIRECT("'"&amp;$H$3&amp;"'!$K$28:$K$38"),MATCH(INDIRECT("'"&amp;$H$3&amp;"'!T$212"),INDIRECT("'"&amp;$H$3&amp;"'!$B$28:$B$38"),0)),0))
+(IFERROR(1-INDIRECT("'"&amp;$H$3&amp;"'!T$227"),0))*(T$296+T$310)*(IFERROR(INDEX(INDIRECT("'"&amp;$H$3&amp;"'!$K$28:$K$38"),MATCH(INDIRECT("'"&amp;$H$3&amp;"'!T$230"),INDIRECT("'"&amp;$H$3&amp;"'!$B$28:$B$38"),0)),0)+IFERROR(INDIRECT("'"&amp;$H$3&amp;"'!T$231")*INDEX(INDIRECT("'"&amp;$H$3&amp;"'!$K$28:$K$38"),MATCH(INDIRECT("'"&amp;$H$3&amp;"'!T$232"),INDIRECT("'"&amp;$H$3&amp;"'!$B$28:$B$38"),0)),0))
+(IFERROR(1-INDIRECT("'"&amp;$H$3&amp;"'!T$247"),0))*(T$325+T$339)*(IFERROR(INDEX(INDIRECT("'"&amp;$H$3&amp;"'!$K$28:$K$38"),MATCH(INDIRECT("'"&amp;$H$3&amp;"'!T$250"),INDIRECT("'"&amp;$H$3&amp;"'!$B$28:$B$38"),0)),0)+IFERROR(INDIRECT("'"&amp;$H$3&amp;"'!T$251")*INDEX(INDIRECT("'"&amp;$H$3&amp;"'!$K$28:$K$38"),MATCH(INDIRECT("'"&amp;$H$3&amp;"'!T$252"),INDIRECT("'"&amp;$H$3&amp;"'!$B$28:$B$38"),0)),0))</f>
        <v>0</v>
      </c>
      <c r="U102" s="337"/>
      <c r="V102" s="337"/>
      <c r="W102" s="1437">
        <f ca="1">(IFERROR(1-INDIRECT("'"&amp;$H$3&amp;"'!W$207"),0))*(W$267+W$281)*(IFERROR(INDEX(INDIRECT("'"&amp;$H$3&amp;"'!$K$28:$K$38"),MATCH(INDIRECT("'"&amp;$H$3&amp;"'!W$210"),INDIRECT("'"&amp;$H$3&amp;"'!$B$28:$B$38"),0)),0)+IFERROR(INDIRECT("'"&amp;$H$3&amp;"'!W$211")*INDEX(INDIRECT("'"&amp;$H$3&amp;"'!$K$28:$K$38"),MATCH(INDIRECT("'"&amp;$H$3&amp;"'!W$212"),INDIRECT("'"&amp;$H$3&amp;"'!$B$28:$B$38"),0)),0))
+(IFERROR(1-INDIRECT("'"&amp;$H$3&amp;"'!W$227"),0))*(W$296+W$310)*(IFERROR(INDEX(INDIRECT("'"&amp;$H$3&amp;"'!$K$28:$K$38"),MATCH(INDIRECT("'"&amp;$H$3&amp;"'!W$230"),INDIRECT("'"&amp;$H$3&amp;"'!$B$28:$B$38"),0)),0)+IFERROR(INDIRECT("'"&amp;$H$3&amp;"'!W$231")*INDEX(INDIRECT("'"&amp;$H$3&amp;"'!$K$28:$K$38"),MATCH(INDIRECT("'"&amp;$H$3&amp;"'!W$232"),INDIRECT("'"&amp;$H$3&amp;"'!$B$28:$B$38"),0)),0))
+(IFERROR(1-INDIRECT("'"&amp;$H$3&amp;"'!W$247"),0))*(W$325+W$339)*(IFERROR(INDEX(INDIRECT("'"&amp;$H$3&amp;"'!$K$28:$K$38"),MATCH(INDIRECT("'"&amp;$H$3&amp;"'!W$250"),INDIRECT("'"&amp;$H$3&amp;"'!$B$28:$B$38"),0)),0)+IFERROR(INDIRECT("'"&amp;$H$3&amp;"'!W$251")*INDEX(INDIRECT("'"&amp;$H$3&amp;"'!$K$28:$K$38"),MATCH(INDIRECT("'"&amp;$H$3&amp;"'!W$252"),INDIRECT("'"&amp;$H$3&amp;"'!$B$28:$B$38"),0)),0))</f>
        <v>0</v>
      </c>
      <c r="Y102" s="341">
        <f t="shared" ca="1" si="10"/>
        <v>62280</v>
      </c>
    </row>
    <row r="103" spans="6:38">
      <c r="F103" s="357"/>
      <c r="G103" s="298" t="s">
        <v>1</v>
      </c>
      <c r="H103" s="300">
        <f ca="1">INDIRECT("'"&amp;$H$3&amp;"'!$H$8")*(
(IFERROR(1-INDIRECT("'"&amp;$H$3&amp;"'!H$207"),0))*IF(INDIRECT("'"&amp;$H$3&amp;"'!H$201")='List Values'!$E$5,0,(H$280*IFERROR(1/INDEX(INDIRECT("'"&amp;$H$3&amp;"'!$H$49:$H$78"),MATCH(INDIRECT("'"&amp;$H$3&amp;"'!H$200")&amp;"Fuel Efficiency (km/liter)",INDIRECT("'"&amp;$H$3&amp;"'!$F$49:$F$78"),0)),0)))
+(IFERROR(1-INDIRECT("'"&amp;$H$3&amp;"'!H$227"),0))*IF(INDIRECT("'"&amp;$H$3&amp;"'!H$221")='List Values'!$E$5,0,(H$309*IFERROR(1/INDEX(INDIRECT("'"&amp;$H$3&amp;"'!$H$49:$H$78"),MATCH(INDIRECT("'"&amp;$H$3&amp;"'!H$220")&amp;"Fuel Efficiency (km/liter)",INDIRECT("'"&amp;$H$3&amp;"'!$F$49:$F$78"),0)),0)))
+(IFERROR(1-INDIRECT("'"&amp;$H$3&amp;"'!H$247"),0))*IF(INDIRECT("'"&amp;$H$3&amp;"'!H$241")='List Values'!$E$5,0,(H$338*IFERROR(1/INDEX(INDIRECT("'"&amp;$H$3&amp;"'!$H$49:$H$78"),MATCH(INDIRECT("'"&amp;$H$3&amp;"'!H$240")&amp;"Fuel Efficiency (km/liter)",INDIRECT("'"&amp;$H$3&amp;"'!$F$49:$F$78"),0)),0))))</f>
        <v>0</v>
      </c>
      <c r="I103" s="300"/>
      <c r="J103" s="300"/>
      <c r="K103" s="300">
        <f ca="1">INDIRECT("'"&amp;$H$3&amp;"'!$H$8")*(
(IFERROR(1-INDIRECT("'"&amp;$H$3&amp;"'!K$207"),0))*IF(INDIRECT("'"&amp;$H$3&amp;"'!K$201")='List Values'!$E$5,0,(K$280*IFERROR(1/INDEX(INDIRECT("'"&amp;$H$3&amp;"'!$H$49:$H$78"),MATCH(INDIRECT("'"&amp;$H$3&amp;"'!K$200")&amp;"Fuel Efficiency (km/liter)",INDIRECT("'"&amp;$H$3&amp;"'!$F$49:$F$78"),0)),0)))
+(IFERROR(1-INDIRECT("'"&amp;$H$3&amp;"'!K$227"),0))*IF(INDIRECT("'"&amp;$H$3&amp;"'!K$221")='List Values'!$E$5,0,(K$309*IFERROR(1/INDEX(INDIRECT("'"&amp;$H$3&amp;"'!$H$49:$H$78"),MATCH(INDIRECT("'"&amp;$H$3&amp;"'!K$220")&amp;"Fuel Efficiency (km/liter)",INDIRECT("'"&amp;$H$3&amp;"'!$F$49:$F$78"),0)),0)))
+(IFERROR(1-INDIRECT("'"&amp;$H$3&amp;"'!K$247"),0))*IF(INDIRECT("'"&amp;$H$3&amp;"'!K$241")='List Values'!$E$5,0,(K$338*IFERROR(1/INDEX(INDIRECT("'"&amp;$H$3&amp;"'!$H$49:$H$78"),MATCH(INDIRECT("'"&amp;$H$3&amp;"'!K$240")&amp;"Fuel Efficiency (km/liter)",INDIRECT("'"&amp;$H$3&amp;"'!$F$49:$F$78"),0)),0))))</f>
        <v>0</v>
      </c>
      <c r="L103" s="300"/>
      <c r="M103" s="300"/>
      <c r="N103" s="300">
        <f ca="1">INDIRECT("'"&amp;$H$3&amp;"'!$H$8")*(
(IFERROR(1-INDIRECT("'"&amp;$H$3&amp;"'!N$207"),0))*IF(INDIRECT("'"&amp;$H$3&amp;"'!N$201")='List Values'!$E$5,0,(N$280*IFERROR(1/INDEX(INDIRECT("'"&amp;$H$3&amp;"'!$H$49:$H$78"),MATCH(INDIRECT("'"&amp;$H$3&amp;"'!N$200")&amp;"Fuel Efficiency (km/liter)",INDIRECT("'"&amp;$H$3&amp;"'!$F$49:$F$78"),0)),0)))
+(IFERROR(1-INDIRECT("'"&amp;$H$3&amp;"'!N$227"),0))*IF(INDIRECT("'"&amp;$H$3&amp;"'!N$221")='List Values'!$E$5,0,(N$309*IFERROR(1/INDEX(INDIRECT("'"&amp;$H$3&amp;"'!$H$49:$H$78"),MATCH(INDIRECT("'"&amp;$H$3&amp;"'!N$220")&amp;"Fuel Efficiency (km/liter)",INDIRECT("'"&amp;$H$3&amp;"'!$F$49:$F$78"),0)),0)))
+(IFERROR(1-INDIRECT("'"&amp;$H$3&amp;"'!N$247"),0))*IF(INDIRECT("'"&amp;$H$3&amp;"'!N$241")='List Values'!$E$5,0,(N$338*IFERROR(1/INDEX(INDIRECT("'"&amp;$H$3&amp;"'!$H$49:$H$78"),MATCH(INDIRECT("'"&amp;$H$3&amp;"'!N$240")&amp;"Fuel Efficiency (km/liter)",INDIRECT("'"&amp;$H$3&amp;"'!$F$49:$F$78"),0)),0))))</f>
        <v>110937.88594129232</v>
      </c>
      <c r="O103" s="300"/>
      <c r="P103" s="300"/>
      <c r="Q103" s="300">
        <f ca="1">INDIRECT("'"&amp;$H$3&amp;"'!$H$8")*(
(IFERROR(1-INDIRECT("'"&amp;$H$3&amp;"'!Q$207"),0))*IF(INDIRECT("'"&amp;$H$3&amp;"'!Q$201")='List Values'!$E$5,0,(Q$280*IFERROR(1/INDEX(INDIRECT("'"&amp;$H$3&amp;"'!$H$49:$H$78"),MATCH(INDIRECT("'"&amp;$H$3&amp;"'!Q$200")&amp;"Fuel Efficiency (km/liter)",INDIRECT("'"&amp;$H$3&amp;"'!$F$49:$F$78"),0)),0)))
+(IFERROR(1-INDIRECT("'"&amp;$H$3&amp;"'!Q$227"),0))*IF(INDIRECT("'"&amp;$H$3&amp;"'!Q$221")='List Values'!$E$5,0,(Q$309*IFERROR(1/INDEX(INDIRECT("'"&amp;$H$3&amp;"'!$H$49:$H$78"),MATCH(INDIRECT("'"&amp;$H$3&amp;"'!Q$220")&amp;"Fuel Efficiency (km/liter)",INDIRECT("'"&amp;$H$3&amp;"'!$F$49:$F$78"),0)),0)))
+(IFERROR(1-INDIRECT("'"&amp;$H$3&amp;"'!Q$247"),0))*IF(INDIRECT("'"&amp;$H$3&amp;"'!Q$241")='List Values'!$E$5,0,(Q$338*IFERROR(1/INDEX(INDIRECT("'"&amp;$H$3&amp;"'!$H$49:$H$78"),MATCH(INDIRECT("'"&amp;$H$3&amp;"'!Q$240")&amp;"Fuel Efficiency (km/liter)",INDIRECT("'"&amp;$H$3&amp;"'!$F$49:$F$78"),0)),0))))</f>
        <v>0</v>
      </c>
      <c r="R103" s="300"/>
      <c r="S103" s="337"/>
      <c r="T103" s="300">
        <f ca="1">INDIRECT("'"&amp;$H$3&amp;"'!$H$8")*(
(IFERROR(1-INDIRECT("'"&amp;$H$3&amp;"'!T$207"),0))*IF(INDIRECT("'"&amp;$H$3&amp;"'!T$201")='List Values'!$E$5,0,(T$280*IFERROR(1/INDEX(INDIRECT("'"&amp;$H$3&amp;"'!$H$49:$H$78"),MATCH(INDIRECT("'"&amp;$H$3&amp;"'!T$200")&amp;"Fuel Efficiency (km/liter)",INDIRECT("'"&amp;$H$3&amp;"'!$F$49:$F$78"),0)),0)))
+(IFERROR(1-INDIRECT("'"&amp;$H$3&amp;"'!T$227"),0))*IF(INDIRECT("'"&amp;$H$3&amp;"'!T$221")='List Values'!$E$5,0,(T$309*IFERROR(1/INDEX(INDIRECT("'"&amp;$H$3&amp;"'!$H$49:$H$78"),MATCH(INDIRECT("'"&amp;$H$3&amp;"'!T$220")&amp;"Fuel Efficiency (km/liter)",INDIRECT("'"&amp;$H$3&amp;"'!$F$49:$F$78"),0)),0)))
+(IFERROR(1-INDIRECT("'"&amp;$H$3&amp;"'!T$247"),0))*IF(INDIRECT("'"&amp;$H$3&amp;"'!T$241")='List Values'!$E$5,0,(T$338*IFERROR(1/INDEX(INDIRECT("'"&amp;$H$3&amp;"'!$H$49:$H$78"),MATCH(INDIRECT("'"&amp;$H$3&amp;"'!T$240")&amp;"Fuel Efficiency (km/liter)",INDIRECT("'"&amp;$H$3&amp;"'!$F$49:$F$78"),0)),0))))</f>
        <v>0</v>
      </c>
      <c r="U103" s="337"/>
      <c r="V103" s="337"/>
      <c r="W103" s="1437">
        <f ca="1">INDIRECT("'"&amp;$H$3&amp;"'!$H$8")*(
(IFERROR(1-INDIRECT("'"&amp;$H$3&amp;"'!W$207"),0))*IF(INDIRECT("'"&amp;$H$3&amp;"'!W$201")='List Values'!$E$5,0,(W$280*IFERROR(1/INDEX(INDIRECT("'"&amp;$H$3&amp;"'!$H$49:$H$78"),MATCH(INDIRECT("'"&amp;$H$3&amp;"'!W$200")&amp;"Fuel Efficiency (km/liter)",INDIRECT("'"&amp;$H$3&amp;"'!$F$49:$F$78"),0)),0)))
+(IFERROR(1-INDIRECT("'"&amp;$H$3&amp;"'!W$227"),0))*IF(INDIRECT("'"&amp;$H$3&amp;"'!W$221")='List Values'!$E$5,0,(W$309*IFERROR(1/INDEX(INDIRECT("'"&amp;$H$3&amp;"'!$H$49:$H$78"),MATCH(INDIRECT("'"&amp;$H$3&amp;"'!W$220")&amp;"Fuel Efficiency (km/liter)",INDIRECT("'"&amp;$H$3&amp;"'!$F$49:$F$78"),0)),0)))
+(IFERROR(1-INDIRECT("'"&amp;$H$3&amp;"'!W$247"),0))*IF(INDIRECT("'"&amp;$H$3&amp;"'!W$241")='List Values'!$E$5,0,(W$338*IFERROR(1/INDEX(INDIRECT("'"&amp;$H$3&amp;"'!$H$49:$H$78"),MATCH(INDIRECT("'"&amp;$H$3&amp;"'!W$240")&amp;"Fuel Efficiency (km/liter)",INDIRECT("'"&amp;$H$3&amp;"'!$F$49:$F$78"),0)),0))))</f>
        <v>0</v>
      </c>
      <c r="Y103" s="341">
        <f t="shared" ca="1" si="10"/>
        <v>110937.88594129232</v>
      </c>
    </row>
    <row r="104" spans="6:38">
      <c r="F104" s="298"/>
      <c r="G104" s="298" t="s">
        <v>91</v>
      </c>
      <c r="H104" s="300">
        <f ca="1">IFERROR((1-INDIRECT("'"&amp;$H$3&amp;"'!H$206"))*IF(AND(INDIRECT("'"&amp;$H$3&amp;"'!H$205")="No",INDIRECT("'"&amp;$H$3&amp;"'!H$201")='List Values'!$E$3),INDEX(INDIRECT("'"&amp;$H$3&amp;"'!$H$49:$H$78"),MATCH(INDIRECT("'"&amp;$H$3&amp;"'!H$200")&amp;"Insurance cost /yr ($)",INDIRECT("'"&amp;$H$3&amp;"'!$F$49:$F$78"),0))*INDIRECT("'"&amp;$H$3&amp;"'!H$204"),0),0)
+IFERROR((1-INDIRECT("'"&amp;$H$3&amp;"'!H$226"))*IF(AND(INDIRECT("'"&amp;$H$3&amp;"'!H$225")="No",INDIRECT("'"&amp;$H$3&amp;"'!H$221")='List Values'!$E$3),INDEX(INDIRECT("'"&amp;$H$3&amp;"'!$H$49:$H$78"),MATCH(INDIRECT("'"&amp;$H$3&amp;"'!H$220")&amp;"Insurance cost /yr ($)",INDIRECT("'"&amp;$H$3&amp;"'!$F$49:$F$78"),0))*INDIRECT("'"&amp;$H$3&amp;"'!H$224"),0),0)
+IFERROR((1-INDIRECT("'"&amp;$H$3&amp;"'!H$246"))*IF(AND(INDIRECT("'"&amp;$H$3&amp;"'!H$245")="No",INDIRECT("'"&amp;$H$3&amp;"'!H$241")='List Values'!$E$3),INDEX(INDIRECT("'"&amp;$H$3&amp;"'!$H$49:$H$78"),MATCH(INDIRECT("'"&amp;$H$3&amp;"'!H$240")&amp;"Insurance cost /yr ($)",INDIRECT("'"&amp;$H$3&amp;"'!$F$49:$F$78"),0))*INDIRECT("'"&amp;$H$3&amp;"'!H$244"),0),0)</f>
        <v>0</v>
      </c>
      <c r="I104" s="300"/>
      <c r="J104" s="300"/>
      <c r="K104" s="300">
        <f ca="1">IFERROR((1-INDIRECT("'"&amp;$H$3&amp;"'!K$206"))*IF(AND(INDIRECT("'"&amp;$H$3&amp;"'!K$205")="No",INDIRECT("'"&amp;$H$3&amp;"'!K$201")='List Values'!$E$3),INDEX(INDIRECT("'"&amp;$H$3&amp;"'!$H$49:$H$78"),MATCH(INDIRECT("'"&amp;$H$3&amp;"'!K$200")&amp;"Insurance cost /yr ($)",INDIRECT("'"&amp;$H$3&amp;"'!$F$49:$F$78"),0))*INDIRECT("'"&amp;$H$3&amp;"'!K$204"),0),0)
+IFERROR((1-INDIRECT("'"&amp;$H$3&amp;"'!K$226"))*IF(AND(INDIRECT("'"&amp;$H$3&amp;"'!K$225")="No",INDIRECT("'"&amp;$H$3&amp;"'!K$221")='List Values'!$E$3),INDEX(INDIRECT("'"&amp;$H$3&amp;"'!$H$49:$H$78"),MATCH(INDIRECT("'"&amp;$H$3&amp;"'!K$220")&amp;"Insurance cost /yr ($)",INDIRECT("'"&amp;$H$3&amp;"'!$F$49:$F$78"),0))*INDIRECT("'"&amp;$H$3&amp;"'!K$224"),0),0)
+IFERROR((1-INDIRECT("'"&amp;$H$3&amp;"'!K$246"))*IF(AND(INDIRECT("'"&amp;$H$3&amp;"'!K$245")="No",INDIRECT("'"&amp;$H$3&amp;"'!K$241")='List Values'!$E$3),INDEX(INDIRECT("'"&amp;$H$3&amp;"'!$H$49:$H$78"),MATCH(INDIRECT("'"&amp;$H$3&amp;"'!K$240")&amp;"Insurance cost /yr ($)",INDIRECT("'"&amp;$H$3&amp;"'!$F$49:$F$78"),0))*INDIRECT("'"&amp;$H$3&amp;"'!K$244"),0),0)</f>
        <v>0</v>
      </c>
      <c r="L104" s="300"/>
      <c r="M104" s="300"/>
      <c r="N104" s="300">
        <f ca="1">IFERROR((1-INDIRECT("'"&amp;$H$3&amp;"'!N$206"))*IF(AND(INDIRECT("'"&amp;$H$3&amp;"'!N$205")="No",INDIRECT("'"&amp;$H$3&amp;"'!N$201")='List Values'!$E$3),INDEX(INDIRECT("'"&amp;$H$3&amp;"'!$H$49:$H$78"),MATCH(INDIRECT("'"&amp;$H$3&amp;"'!N$200")&amp;"Insurance cost /yr ($)",INDIRECT("'"&amp;$H$3&amp;"'!$F$49:$F$78"),0))*INDIRECT("'"&amp;$H$3&amp;"'!N$204"),0),0)
+IFERROR((1-INDIRECT("'"&amp;$H$3&amp;"'!N$226"))*IF(AND(INDIRECT("'"&amp;$H$3&amp;"'!N$225")="No",INDIRECT("'"&amp;$H$3&amp;"'!N$221")='List Values'!$E$3),INDEX(INDIRECT("'"&amp;$H$3&amp;"'!$H$49:$H$78"),MATCH(INDIRECT("'"&amp;$H$3&amp;"'!N$220")&amp;"Insurance cost /yr ($)",INDIRECT("'"&amp;$H$3&amp;"'!$F$49:$F$78"),0))*INDIRECT("'"&amp;$H$3&amp;"'!N$224"),0),0)
+IFERROR((1-INDIRECT("'"&amp;$H$3&amp;"'!N$246"))*IF(AND(INDIRECT("'"&amp;$H$3&amp;"'!N$245")="No",INDIRECT("'"&amp;$H$3&amp;"'!N$241")='List Values'!$E$3),INDEX(INDIRECT("'"&amp;$H$3&amp;"'!$H$49:$H$78"),MATCH(INDIRECT("'"&amp;$H$3&amp;"'!N$240")&amp;"Insurance cost /yr ($)",INDIRECT("'"&amp;$H$3&amp;"'!$F$49:$F$78"),0))*INDIRECT("'"&amp;$H$3&amp;"'!N$244"),0),0)</f>
        <v>23239.5</v>
      </c>
      <c r="O104" s="300"/>
      <c r="P104" s="300"/>
      <c r="Q104" s="300">
        <f ca="1">IFERROR((1-INDIRECT("'"&amp;$H$3&amp;"'!Q$206"))*IF(AND(INDIRECT("'"&amp;$H$3&amp;"'!Q$205")="No",INDIRECT("'"&amp;$H$3&amp;"'!Q$201")='List Values'!$E$3),INDEX(INDIRECT("'"&amp;$H$3&amp;"'!$H$49:$H$78"),MATCH(INDIRECT("'"&amp;$H$3&amp;"'!Q$200")&amp;"Insurance cost /yr ($)",INDIRECT("'"&amp;$H$3&amp;"'!$F$49:$F$78"),0))*INDIRECT("'"&amp;$H$3&amp;"'!Q$204"),0),0)
+IFERROR((1-INDIRECT("'"&amp;$H$3&amp;"'!Q$226"))*IF(AND(INDIRECT("'"&amp;$H$3&amp;"'!Q$225")="No",INDIRECT("'"&amp;$H$3&amp;"'!Q$221")='List Values'!$E$3),INDEX(INDIRECT("'"&amp;$H$3&amp;"'!$H$49:$H$78"),MATCH(INDIRECT("'"&amp;$H$3&amp;"'!Q$220")&amp;"Insurance cost /yr ($)",INDIRECT("'"&amp;$H$3&amp;"'!$F$49:$F$78"),0))*INDIRECT("'"&amp;$H$3&amp;"'!Q$224"),0),0)
+IFERROR((1-INDIRECT("'"&amp;$H$3&amp;"'!Q$246"))*IF(AND(INDIRECT("'"&amp;$H$3&amp;"'!Q$245")="No",INDIRECT("'"&amp;$H$3&amp;"'!Q$241")='List Values'!$E$3),INDEX(INDIRECT("'"&amp;$H$3&amp;"'!$H$49:$H$78"),MATCH(INDIRECT("'"&amp;$H$3&amp;"'!Q$240")&amp;"Insurance cost /yr ($)",INDIRECT("'"&amp;$H$3&amp;"'!$F$49:$F$78"),0))*INDIRECT("'"&amp;$H$3&amp;"'!Q$244"),0),0)</f>
        <v>0</v>
      </c>
      <c r="R104" s="300"/>
      <c r="S104" s="337"/>
      <c r="T104" s="300">
        <f ca="1">IFERROR((1-INDIRECT("'"&amp;$H$3&amp;"'!T$206"))*IF(AND(INDIRECT("'"&amp;$H$3&amp;"'!T$205")="No",INDIRECT("'"&amp;$H$3&amp;"'!T$201")='List Values'!$E$3),INDEX(INDIRECT("'"&amp;$H$3&amp;"'!$H$49:$H$78"),MATCH(INDIRECT("'"&amp;$H$3&amp;"'!T$200")&amp;"Insurance cost /yr ($)",INDIRECT("'"&amp;$H$3&amp;"'!$F$49:$F$78"),0))*INDIRECT("'"&amp;$H$3&amp;"'!T$204"),0),0)
+IFERROR((1-INDIRECT("'"&amp;$H$3&amp;"'!T$226"))*IF(AND(INDIRECT("'"&amp;$H$3&amp;"'!T$225")="No",INDIRECT("'"&amp;$H$3&amp;"'!T$221")='List Values'!$E$3),INDEX(INDIRECT("'"&amp;$H$3&amp;"'!$H$49:$H$78"),MATCH(INDIRECT("'"&amp;$H$3&amp;"'!T$220")&amp;"Insurance cost /yr ($)",INDIRECT("'"&amp;$H$3&amp;"'!$F$49:$F$78"),0))*INDIRECT("'"&amp;$H$3&amp;"'!T$224"),0),0)
+IFERROR((1-INDIRECT("'"&amp;$H$3&amp;"'!T$246"))*IF(AND(INDIRECT("'"&amp;$H$3&amp;"'!T$245")="No",INDIRECT("'"&amp;$H$3&amp;"'!T$241")='List Values'!$E$3),INDEX(INDIRECT("'"&amp;$H$3&amp;"'!$H$49:$H$78"),MATCH(INDIRECT("'"&amp;$H$3&amp;"'!T$240")&amp;"Insurance cost /yr ($)",INDIRECT("'"&amp;$H$3&amp;"'!$F$49:$F$78"),0))*INDIRECT("'"&amp;$H$3&amp;"'!T$244"),0),0)</f>
        <v>0</v>
      </c>
      <c r="U104" s="337"/>
      <c r="V104" s="337"/>
      <c r="W104" s="1437">
        <f ca="1">IFERROR((1-INDIRECT("'"&amp;$H$3&amp;"'!W$206"))*IF(AND(INDIRECT("'"&amp;$H$3&amp;"'!W$205")="No",INDIRECT("'"&amp;$H$3&amp;"'!W$201")='List Values'!$E$3),INDEX(INDIRECT("'"&amp;$H$3&amp;"'!$H$49:$H$78"),MATCH(INDIRECT("'"&amp;$H$3&amp;"'!W$200")&amp;"Insurance cost /yr ($)",INDIRECT("'"&amp;$H$3&amp;"'!$F$49:$F$78"),0))*INDIRECT("'"&amp;$H$3&amp;"'!W$204"),0),0)
+IFERROR((1-INDIRECT("'"&amp;$H$3&amp;"'!W$226"))*IF(AND(INDIRECT("'"&amp;$H$3&amp;"'!W$225")="No",INDIRECT("'"&amp;$H$3&amp;"'!W$221")='List Values'!$E$3),INDEX(INDIRECT("'"&amp;$H$3&amp;"'!$H$49:$H$78"),MATCH(INDIRECT("'"&amp;$H$3&amp;"'!W$220")&amp;"Insurance cost /yr ($)",INDIRECT("'"&amp;$H$3&amp;"'!$F$49:$F$78"),0))*INDIRECT("'"&amp;$H$3&amp;"'!W$224"),0),0)
+IFERROR((1-INDIRECT("'"&amp;$H$3&amp;"'!W$246"))*IF(AND(INDIRECT("'"&amp;$H$3&amp;"'!W$245")="No",INDIRECT("'"&amp;$H$3&amp;"'!W$241")='List Values'!$E$3),INDEX(INDIRECT("'"&amp;$H$3&amp;"'!$H$49:$H$78"),MATCH(INDIRECT("'"&amp;$H$3&amp;"'!W$240")&amp;"Insurance cost /yr ($)",INDIRECT("'"&amp;$H$3&amp;"'!$F$49:$F$78"),0))*INDIRECT("'"&amp;$H$3&amp;"'!W$244"),0),0)</f>
        <v>0</v>
      </c>
      <c r="Y104" s="341">
        <f t="shared" ca="1" si="10"/>
        <v>23239.5</v>
      </c>
      <c r="AL104" s="4"/>
    </row>
    <row r="105" spans="6:38">
      <c r="F105" s="298"/>
      <c r="G105" s="298" t="s">
        <v>92</v>
      </c>
      <c r="H105" s="300">
        <f ca="1">IFERROR((1-INDIRECT("'"&amp;$H$3&amp;"'!H$207"))*IF(INDIRECT("'"&amp;$H$3&amp;"'!H$201")='List Values'!$E$3,H$280*INDEX(INDIRECT("'"&amp;$H$3&amp;"'!$H$49:$H$78"),MATCH(INDIRECT("'"&amp;$H$3&amp;"'!H$200")&amp;"Maintenance cost/km ($)",INDIRECT("'"&amp;$H$3&amp;"'!$F$49:$F$78"),0)),0),0)
+ IFERROR((1-INDIRECT("'"&amp;$H$3&amp;"'!H$227"))*IF(INDIRECT("'"&amp;$H$3&amp;"'!H$221")='List Values'!$E$3,H$309*INDEX(INDIRECT("'"&amp;$H$3&amp;"'!$H$49:$H$78"),MATCH(INDIRECT("'"&amp;$H$3&amp;"'!H$220")&amp;"Maintenance cost/km ($)",INDIRECT("'"&amp;$H$3&amp;"'!$F$49:$F$78"),0)),0),0)
+ IFERROR((1-INDIRECT("'"&amp;$H$3&amp;"'!H$247"))*IF(INDIRECT("'"&amp;$H$3&amp;"'!H$241")='List Values'!$E$3,H$338*INDEX(INDIRECT("'"&amp;$H$3&amp;"'!$H$49:$H$78"),MATCH(INDIRECT("'"&amp;$H$3&amp;"'!H$240")&amp;"Maintenance cost/km ($)",INDIRECT("'"&amp;$H$3&amp;"'!$F$49:$F$78"),0)),0),0)</f>
        <v>0</v>
      </c>
      <c r="I105" s="358"/>
      <c r="J105" s="358"/>
      <c r="K105" s="300">
        <f ca="1">IFERROR((1-INDIRECT("'"&amp;$H$3&amp;"'!K$207"))*IF(INDIRECT("'"&amp;$H$3&amp;"'!K$201")='List Values'!$E$3,K$280*INDEX(INDIRECT("'"&amp;$H$3&amp;"'!$H$49:$H$78"),MATCH(INDIRECT("'"&amp;$H$3&amp;"'!K$200")&amp;"Maintenance cost/km ($)",INDIRECT("'"&amp;$H$3&amp;"'!$F$49:$F$78"),0)),0),0)
+ IFERROR((1-INDIRECT("'"&amp;$H$3&amp;"'!K$227"))*IF(INDIRECT("'"&amp;$H$3&amp;"'!K$221")='List Values'!$E$3,K$309*INDEX(INDIRECT("'"&amp;$H$3&amp;"'!$H$49:$H$78"),MATCH(INDIRECT("'"&amp;$H$3&amp;"'!K$220")&amp;"Maintenance cost/km ($)",INDIRECT("'"&amp;$H$3&amp;"'!$F$49:$F$78"),0)),0),0)
+ IFERROR((1-INDIRECT("'"&amp;$H$3&amp;"'!K$247"))*IF(INDIRECT("'"&amp;$H$3&amp;"'!K$241")='List Values'!$E$3,K$338*INDEX(INDIRECT("'"&amp;$H$3&amp;"'!$H$49:$H$78"),MATCH(INDIRECT("'"&amp;$H$3&amp;"'!K$240")&amp;"Maintenance cost/km ($)",INDIRECT("'"&amp;$H$3&amp;"'!$F$49:$F$78"),0)),0),0)</f>
        <v>0</v>
      </c>
      <c r="L105" s="300"/>
      <c r="M105" s="300"/>
      <c r="N105" s="300">
        <f ca="1">IFERROR((1-INDIRECT("'"&amp;$H$3&amp;"'!N$207"))*IF(INDIRECT("'"&amp;$H$3&amp;"'!N$201")='List Values'!$E$3,N$280*INDEX(INDIRECT("'"&amp;$H$3&amp;"'!$H$49:$H$78"),MATCH(INDIRECT("'"&amp;$H$3&amp;"'!N$200")&amp;"Maintenance cost/km ($)",INDIRECT("'"&amp;$H$3&amp;"'!$F$49:$F$78"),0)),0),0)
+ IFERROR((1-INDIRECT("'"&amp;$H$3&amp;"'!N$227"))*IF(INDIRECT("'"&amp;$H$3&amp;"'!N$221")='List Values'!$E$3,N$309*INDEX(INDIRECT("'"&amp;$H$3&amp;"'!$H$49:$H$78"),MATCH(INDIRECT("'"&amp;$H$3&amp;"'!N$220")&amp;"Maintenance cost/km ($)",INDIRECT("'"&amp;$H$3&amp;"'!$F$49:$F$78"),0)),0),0)
+ IFERROR((1-INDIRECT("'"&amp;$H$3&amp;"'!N$247"))*IF(INDIRECT("'"&amp;$H$3&amp;"'!N$241")='List Values'!$E$3,N$338*INDEX(INDIRECT("'"&amp;$H$3&amp;"'!$H$49:$H$78"),MATCH(INDIRECT("'"&amp;$H$3&amp;"'!N$240")&amp;"Maintenance cost/km ($)",INDIRECT("'"&amp;$H$3&amp;"'!$F$49:$F$78"),0)),0),0)</f>
        <v>67048.590919262788</v>
      </c>
      <c r="O105" s="300"/>
      <c r="P105" s="300"/>
      <c r="Q105" s="300">
        <f ca="1">IFERROR((1-INDIRECT("'"&amp;$H$3&amp;"'!Q$207"))*IF(INDIRECT("'"&amp;$H$3&amp;"'!Q$201")='List Values'!$E$3,Q$280*INDEX(INDIRECT("'"&amp;$H$3&amp;"'!$H$49:$H$78"),MATCH(INDIRECT("'"&amp;$H$3&amp;"'!Q$200")&amp;"Maintenance cost/km ($)",INDIRECT("'"&amp;$H$3&amp;"'!$F$49:$F$78"),0)),0),0)
+ IFERROR((1-INDIRECT("'"&amp;$H$3&amp;"'!Q$227"))*IF(INDIRECT("'"&amp;$H$3&amp;"'!Q$221")='List Values'!$E$3,Q$309*INDEX(INDIRECT("'"&amp;$H$3&amp;"'!$H$49:$H$78"),MATCH(INDIRECT("'"&amp;$H$3&amp;"'!Q$220")&amp;"Maintenance cost/km ($)",INDIRECT("'"&amp;$H$3&amp;"'!$F$49:$F$78"),0)),0),0)
+ IFERROR((1-INDIRECT("'"&amp;$H$3&amp;"'!Q$247"))*IF(INDIRECT("'"&amp;$H$3&amp;"'!Q$241")='List Values'!$E$3,Q$338*INDEX(INDIRECT("'"&amp;$H$3&amp;"'!$H$49:$H$78"),MATCH(INDIRECT("'"&amp;$H$3&amp;"'!Q$240")&amp;"Maintenance cost/km ($)",INDIRECT("'"&amp;$H$3&amp;"'!$F$49:$F$78"),0)),0),0)</f>
        <v>0</v>
      </c>
      <c r="R105" s="300"/>
      <c r="S105" s="337"/>
      <c r="T105" s="300">
        <f ca="1">IFERROR((1-INDIRECT("'"&amp;$H$3&amp;"'!T$207"))*IF(INDIRECT("'"&amp;$H$3&amp;"'!T$201")='List Values'!$E$3,T$280*INDEX(INDIRECT("'"&amp;$H$3&amp;"'!$H$49:$H$78"),MATCH(INDIRECT("'"&amp;$H$3&amp;"'!T$200")&amp;"Maintenance cost/km ($)",INDIRECT("'"&amp;$H$3&amp;"'!$F$49:$F$78"),0)),0),0)
+ IFERROR((1-INDIRECT("'"&amp;$H$3&amp;"'!T$227"))*IF(INDIRECT("'"&amp;$H$3&amp;"'!T$221")='List Values'!$E$3,T$309*INDEX(INDIRECT("'"&amp;$H$3&amp;"'!$H$49:$H$78"),MATCH(INDIRECT("'"&amp;$H$3&amp;"'!T$220")&amp;"Maintenance cost/km ($)",INDIRECT("'"&amp;$H$3&amp;"'!$F$49:$F$78"),0)),0),0)
+ IFERROR((1-INDIRECT("'"&amp;$H$3&amp;"'!T$247"))*IF(INDIRECT("'"&amp;$H$3&amp;"'!T$241")='List Values'!$E$3,T$338*INDEX(INDIRECT("'"&amp;$H$3&amp;"'!$H$49:$H$78"),MATCH(INDIRECT("'"&amp;$H$3&amp;"'!T$240")&amp;"Maintenance cost/km ($)",INDIRECT("'"&amp;$H$3&amp;"'!$F$49:$F$78"),0)),0),0)</f>
        <v>0</v>
      </c>
      <c r="U105" s="337"/>
      <c r="V105" s="337"/>
      <c r="W105" s="1437">
        <f ca="1">IFERROR((1-INDIRECT("'"&amp;$H$3&amp;"'!W$207"))*IF(INDIRECT("'"&amp;$H$3&amp;"'!W$201")='List Values'!$E$3,W$280*INDEX(INDIRECT("'"&amp;$H$3&amp;"'!$H$49:$H$78"),MATCH(INDIRECT("'"&amp;$H$3&amp;"'!W$200")&amp;"Maintenance cost/km ($)",INDIRECT("'"&amp;$H$3&amp;"'!$F$49:$F$78"),0)),0),0)
+ IFERROR((1-INDIRECT("'"&amp;$H$3&amp;"'!W$227"))*IF(INDIRECT("'"&amp;$H$3&amp;"'!W$221")='List Values'!$E$3,W$309*INDEX(INDIRECT("'"&amp;$H$3&amp;"'!$H$49:$H$78"),MATCH(INDIRECT("'"&amp;$H$3&amp;"'!W$220")&amp;"Maintenance cost/km ($)",INDIRECT("'"&amp;$H$3&amp;"'!$F$49:$F$78"),0)),0),0)
+ IFERROR((1-INDIRECT("'"&amp;$H$3&amp;"'!W$247"))*IF(INDIRECT("'"&amp;$H$3&amp;"'!W$241")='List Values'!$E$3,W$338*INDEX(INDIRECT("'"&amp;$H$3&amp;"'!$H$49:$H$78"),MATCH(INDIRECT("'"&amp;$H$3&amp;"'!W$240")&amp;"Maintenance cost/km ($)",INDIRECT("'"&amp;$H$3&amp;"'!$F$49:$F$78"),0)),0),0)</f>
        <v>0</v>
      </c>
      <c r="Y105" s="341">
        <f t="shared" ca="1" si="10"/>
        <v>67048.590919262788</v>
      </c>
      <c r="AF105" s="34"/>
      <c r="AL105" s="4"/>
    </row>
    <row r="106" spans="6:38">
      <c r="F106" s="298"/>
      <c r="G106" s="298" t="s">
        <v>93</v>
      </c>
      <c r="H106" s="300">
        <f ca="1">IFERROR((1-INDIRECT("'"&amp;$H$3&amp;"'!H$206"))*IF(AND(INDIRECT("'"&amp;$H$3&amp;"'!H$205")="No",INDIRECT("'"&amp;$H$3&amp;"'!H$201")='List Values'!$E$3),INDEX(INDIRECT("'"&amp;$H$3&amp;"'!$H$49:$H$78"),MATCH(INDIRECT("'"&amp;$H$3&amp;"'!H$200")&amp;"Depreciation cost / yr ($)",INDIRECT("'"&amp;$H$3&amp;"'!$F$49:$F$78"),0))*INDIRECT("'"&amp;$H$3&amp;"'!H$204"),0),0)
+IFERROR((1-INDIRECT("'"&amp;$H$3&amp;"'!H$226"))*IF(AND(INDIRECT("'"&amp;$H$3&amp;"'!H$225")="No",INDIRECT("'"&amp;$H$3&amp;"'!H$221")='List Values'!$E$3),INDEX(INDIRECT("'"&amp;$H$3&amp;"'!$H$49:$H$78"),MATCH(INDIRECT("'"&amp;$H$3&amp;"'!H$220")&amp;"Depreciation cost / yr ($)",INDIRECT("'"&amp;$H$3&amp;"'!$F$49:$F$78"),0))*INDIRECT("'"&amp;$H$3&amp;"'!H$224"),0),0)
+IFERROR((1-INDIRECT("'"&amp;$H$3&amp;"'!H$246"))*IF(AND(INDIRECT("'"&amp;$H$3&amp;"'!H$245")="No",INDIRECT("'"&amp;$H$3&amp;"'!H$241")='List Values'!$E$3),INDEX(INDIRECT("'"&amp;$H$3&amp;"'!$H$49:$H$78"),MATCH(INDIRECT("'"&amp;$H$3&amp;"'!H$240")&amp;"Depreciation cost / yr ($)",INDIRECT("'"&amp;$H$3&amp;"'!$F$49:$F$78"),0))*INDIRECT("'"&amp;$H$3&amp;"'!H$244"),0),0)</f>
        <v>0</v>
      </c>
      <c r="I106" s="358"/>
      <c r="J106" s="358"/>
      <c r="K106" s="300">
        <f ca="1">IFERROR((1-INDIRECT("'"&amp;$H$3&amp;"'!K$206"))*IF(AND(INDIRECT("'"&amp;$H$3&amp;"'!K$205")="No",INDIRECT("'"&amp;$H$3&amp;"'!K$201")='List Values'!$E$3),INDEX(INDIRECT("'"&amp;$H$3&amp;"'!$H$49:$H$78"),MATCH(INDIRECT("'"&amp;$H$3&amp;"'!K$200")&amp;"Depreciation cost / yr ($)",INDIRECT("'"&amp;$H$3&amp;"'!$F$49:$F$78"),0))*INDIRECT("'"&amp;$H$3&amp;"'!K$204"),0),0)
+IFERROR((1-INDIRECT("'"&amp;$H$3&amp;"'!K$226"))*IF(AND(INDIRECT("'"&amp;$H$3&amp;"'!K$225")="No",INDIRECT("'"&amp;$H$3&amp;"'!K$221")='List Values'!$E$3),INDEX(INDIRECT("'"&amp;$H$3&amp;"'!$H$49:$H$78"),MATCH(INDIRECT("'"&amp;$H$3&amp;"'!K$220")&amp;"Depreciation cost / yr ($)",INDIRECT("'"&amp;$H$3&amp;"'!$F$49:$F$78"),0))*INDIRECT("'"&amp;$H$3&amp;"'!K$224"),0),0)
+IFERROR((1-INDIRECT("'"&amp;$H$3&amp;"'!K$246"))*IF(AND(INDIRECT("'"&amp;$H$3&amp;"'!K$245")="No",INDIRECT("'"&amp;$H$3&amp;"'!K$241")='List Values'!$E$3),INDEX(INDIRECT("'"&amp;$H$3&amp;"'!$H$49:$H$78"),MATCH(INDIRECT("'"&amp;$H$3&amp;"'!K$240")&amp;"Depreciation cost / yr ($)",INDIRECT("'"&amp;$H$3&amp;"'!$F$49:$F$78"),0))*INDIRECT("'"&amp;$H$3&amp;"'!K$244"),0),0)</f>
        <v>0</v>
      </c>
      <c r="L106" s="300"/>
      <c r="M106" s="300"/>
      <c r="N106" s="300">
        <f ca="1">IFERROR((1-INDIRECT("'"&amp;$H$3&amp;"'!N$206"))*IF(AND(INDIRECT("'"&amp;$H$3&amp;"'!N$205")="No",INDIRECT("'"&amp;$H$3&amp;"'!N$201")='List Values'!$E$3),INDEX(INDIRECT("'"&amp;$H$3&amp;"'!$H$49:$H$78"),MATCH(INDIRECT("'"&amp;$H$3&amp;"'!N$200")&amp;"Depreciation cost / yr ($)",INDIRECT("'"&amp;$H$3&amp;"'!$F$49:$F$78"),0))*INDIRECT("'"&amp;$H$3&amp;"'!N$204"),0),0)
+IFERROR((1-INDIRECT("'"&amp;$H$3&amp;"'!N$226"))*IF(AND(INDIRECT("'"&amp;$H$3&amp;"'!N$225")="No",INDIRECT("'"&amp;$H$3&amp;"'!N$221")='List Values'!$E$3),INDEX(INDIRECT("'"&amp;$H$3&amp;"'!$H$49:$H$78"),MATCH(INDIRECT("'"&amp;$H$3&amp;"'!N$220")&amp;"Depreciation cost / yr ($)",INDIRECT("'"&amp;$H$3&amp;"'!$F$49:$F$78"),0))*INDIRECT("'"&amp;$H$3&amp;"'!N$224"),0),0)
+IFERROR((1-INDIRECT("'"&amp;$H$3&amp;"'!N$246"))*IF(AND(INDIRECT("'"&amp;$H$3&amp;"'!N$245")="No",INDIRECT("'"&amp;$H$3&amp;"'!N$241")='List Values'!$E$3),INDEX(INDIRECT("'"&amp;$H$3&amp;"'!$H$49:$H$78"),MATCH(INDIRECT("'"&amp;$H$3&amp;"'!N$240")&amp;"Depreciation cost / yr ($)",INDIRECT("'"&amp;$H$3&amp;"'!$F$49:$F$78"),0))*INDIRECT("'"&amp;$H$3&amp;"'!N$244"),0),0)</f>
        <v>121878.99959019173</v>
      </c>
      <c r="O106" s="300"/>
      <c r="P106" s="300"/>
      <c r="Q106" s="300">
        <f ca="1">IFERROR((1-INDIRECT("'"&amp;$H$3&amp;"'!Q$206"))*IF(AND(INDIRECT("'"&amp;$H$3&amp;"'!Q$205")="No",INDIRECT("'"&amp;$H$3&amp;"'!Q$201")='List Values'!$E$3),INDEX(INDIRECT("'"&amp;$H$3&amp;"'!$H$49:$H$78"),MATCH(INDIRECT("'"&amp;$H$3&amp;"'!Q$200")&amp;"Depreciation cost / yr ($)",INDIRECT("'"&amp;$H$3&amp;"'!$F$49:$F$78"),0))*INDIRECT("'"&amp;$H$3&amp;"'!Q$204"),0),0)
+IFERROR((1-INDIRECT("'"&amp;$H$3&amp;"'!Q$226"))*IF(AND(INDIRECT("'"&amp;$H$3&amp;"'!Q$225")="No",INDIRECT("'"&amp;$H$3&amp;"'!Q$221")='List Values'!$E$3),INDEX(INDIRECT("'"&amp;$H$3&amp;"'!$H$49:$H$78"),MATCH(INDIRECT("'"&amp;$H$3&amp;"'!Q$220")&amp;"Depreciation cost / yr ($)",INDIRECT("'"&amp;$H$3&amp;"'!$F$49:$F$78"),0))*INDIRECT("'"&amp;$H$3&amp;"'!Q$224"),0),0)
+IFERROR((1-INDIRECT("'"&amp;$H$3&amp;"'!Q$246"))*IF(AND(INDIRECT("'"&amp;$H$3&amp;"'!Q$245")="No",INDIRECT("'"&amp;$H$3&amp;"'!Q$241")='List Values'!$E$3),INDEX(INDIRECT("'"&amp;$H$3&amp;"'!$H$49:$H$78"),MATCH(INDIRECT("'"&amp;$H$3&amp;"'!Q$240")&amp;"Depreciation cost / yr ($)",INDIRECT("'"&amp;$H$3&amp;"'!$F$49:$F$78"),0))*INDIRECT("'"&amp;$H$3&amp;"'!Q$244"),0),0)</f>
        <v>0</v>
      </c>
      <c r="R106" s="300"/>
      <c r="S106" s="337"/>
      <c r="T106" s="300">
        <f ca="1">IFERROR((1-INDIRECT("'"&amp;$H$3&amp;"'!T$206"))*IF(AND(INDIRECT("'"&amp;$H$3&amp;"'!T$205")="No",INDIRECT("'"&amp;$H$3&amp;"'!T$201")='List Values'!$E$3),INDEX(INDIRECT("'"&amp;$H$3&amp;"'!$H$49:$H$78"),MATCH(INDIRECT("'"&amp;$H$3&amp;"'!T$200")&amp;"Depreciation cost / yr ($)",INDIRECT("'"&amp;$H$3&amp;"'!$F$49:$F$78"),0))*INDIRECT("'"&amp;$H$3&amp;"'!T$204"),0),0)
+IFERROR((1-INDIRECT("'"&amp;$H$3&amp;"'!T$226"))*IF(AND(INDIRECT("'"&amp;$H$3&amp;"'!T$225")="No",INDIRECT("'"&amp;$H$3&amp;"'!T$221")='List Values'!$E$3),INDEX(INDIRECT("'"&amp;$H$3&amp;"'!$H$49:$H$78"),MATCH(INDIRECT("'"&amp;$H$3&amp;"'!T$220")&amp;"Depreciation cost / yr ($)",INDIRECT("'"&amp;$H$3&amp;"'!$F$49:$F$78"),0))*INDIRECT("'"&amp;$H$3&amp;"'!T$224"),0),0)
+IFERROR((1-INDIRECT("'"&amp;$H$3&amp;"'!T$246"))*IF(AND(INDIRECT("'"&amp;$H$3&amp;"'!T$245")="No",INDIRECT("'"&amp;$H$3&amp;"'!T$241")='List Values'!$E$3),INDEX(INDIRECT("'"&amp;$H$3&amp;"'!$H$49:$H$78"),MATCH(INDIRECT("'"&amp;$H$3&amp;"'!T$240")&amp;"Depreciation cost / yr ($)",INDIRECT("'"&amp;$H$3&amp;"'!$F$49:$F$78"),0))*INDIRECT("'"&amp;$H$3&amp;"'!T$244"),0),0)</f>
        <v>0</v>
      </c>
      <c r="U106" s="337"/>
      <c r="V106" s="337"/>
      <c r="W106" s="1437">
        <f ca="1">IFERROR((1-INDIRECT("'"&amp;$H$3&amp;"'!W$206"))*IF(AND(INDIRECT("'"&amp;$H$3&amp;"'!W$205")="No",INDIRECT("'"&amp;$H$3&amp;"'!W$201")='List Values'!$E$3),INDEX(INDIRECT("'"&amp;$H$3&amp;"'!$H$49:$H$78"),MATCH(INDIRECT("'"&amp;$H$3&amp;"'!W$200")&amp;"Depreciation cost / yr ($)",INDIRECT("'"&amp;$H$3&amp;"'!$F$49:$F$78"),0))*INDIRECT("'"&amp;$H$3&amp;"'!W$204"),0),0)
+IFERROR((1-INDIRECT("'"&amp;$H$3&amp;"'!W$226"))*IF(AND(INDIRECT("'"&amp;$H$3&amp;"'!W$225")="No",INDIRECT("'"&amp;$H$3&amp;"'!W$221")='List Values'!$E$3),INDEX(INDIRECT("'"&amp;$H$3&amp;"'!$H$49:$H$78"),MATCH(INDIRECT("'"&amp;$H$3&amp;"'!W$220")&amp;"Depreciation cost / yr ($)",INDIRECT("'"&amp;$H$3&amp;"'!$F$49:$F$78"),0))*INDIRECT("'"&amp;$H$3&amp;"'!W$224"),0),0)
+IFERROR((1-INDIRECT("'"&amp;$H$3&amp;"'!W$246"))*IF(AND(INDIRECT("'"&amp;$H$3&amp;"'!W$245")="No",INDIRECT("'"&amp;$H$3&amp;"'!W$241")='List Values'!$E$3),INDEX(INDIRECT("'"&amp;$H$3&amp;"'!$H$49:$H$78"),MATCH(INDIRECT("'"&amp;$H$3&amp;"'!W$240")&amp;"Depreciation cost / yr ($)",INDIRECT("'"&amp;$H$3&amp;"'!$F$49:$F$78"),0))*INDIRECT("'"&amp;$H$3&amp;"'!W$244"),0),0)</f>
        <v>0</v>
      </c>
      <c r="Y106" s="341">
        <f t="shared" ca="1" si="10"/>
        <v>121878.99959019173</v>
      </c>
      <c r="AL106" s="4"/>
    </row>
    <row r="107" spans="6:38">
      <c r="F107" s="359"/>
      <c r="G107" s="220" t="s">
        <v>160</v>
      </c>
      <c r="H107" s="296">
        <f ca="1">IFERROR((1-INDIRECT("'"&amp;$H$3&amp;"'!H$207"))*H$266*INDEX(INDIRECT("'"&amp;$H$3&amp;"'!$H$43:$H$78"),MATCH(INDIRECT("'"&amp;$H$3&amp;"'!H$200")&amp;"Average cost ($) per trip (one-way)",INDIRECT("'"&amp;$H$3&amp;"'!$F$43:$F$78"),0)),0)
+IFERROR((1-INDIRECT("'"&amp;$H$3&amp;"'!H$227"))*H$295*INDEX(INDIRECT("'"&amp;$H$3&amp;"'!$H$43:$H$78"),MATCH(INDIRECT("'"&amp;$H$3&amp;"'!H$220")&amp;"Average cost ($) per trip (one-way)",INDIRECT("'"&amp;$H$3&amp;"'!$F$43:$F$78"),0)),0)
+IFERROR((1-INDIRECT("'"&amp;$H$3&amp;"'!H$247"))*H$324*INDEX(INDIRECT("'"&amp;$H$3&amp;"'!$H$43:$H$78"),MATCH(INDIRECT("'"&amp;$H$3&amp;"'!H$240")&amp;"Average cost ($) per trip (one-way)",INDIRECT("'"&amp;$H$3&amp;"'!$F$43:$F$78"),0)),0)</f>
        <v>0</v>
      </c>
      <c r="I107" s="360"/>
      <c r="J107" s="360"/>
      <c r="K107" s="296">
        <f ca="1">IFERROR((1-INDIRECT("'"&amp;$H$3&amp;"'!K$207"))*K$266*INDEX(INDIRECT("'"&amp;$H$3&amp;"'!$H$43:$H$78"),MATCH(INDIRECT("'"&amp;$H$3&amp;"'!K$200")&amp;"Average cost ($) per trip (one-way)",INDIRECT("'"&amp;$H$3&amp;"'!$F$43:$F$78"),0)),0)
+IFERROR((1-INDIRECT("'"&amp;$H$3&amp;"'!K$227"))*K$295*INDEX(INDIRECT("'"&amp;$H$3&amp;"'!$H$43:$H$78"),MATCH(INDIRECT("'"&amp;$H$3&amp;"'!K$220")&amp;"Average cost ($) per trip (one-way)",INDIRECT("'"&amp;$H$3&amp;"'!$F$43:$F$78"),0)),0)
+IFERROR((1-INDIRECT("'"&amp;$H$3&amp;"'!K$247"))*K$324*INDEX(INDIRECT("'"&amp;$H$3&amp;"'!$H$43:$H$78"),MATCH(INDIRECT("'"&amp;$H$3&amp;"'!K$240")&amp;"Average cost ($) per trip (one-way)",INDIRECT("'"&amp;$H$3&amp;"'!$F$43:$F$78"),0)),0)</f>
        <v>0</v>
      </c>
      <c r="L107" s="296"/>
      <c r="M107" s="296"/>
      <c r="N107" s="296">
        <f ca="1">IFERROR((1-INDIRECT("'"&amp;$H$3&amp;"'!N$207"))*N$266*INDEX(INDIRECT("'"&amp;$H$3&amp;"'!$H$43:$H$78"),MATCH(INDIRECT("'"&amp;$H$3&amp;"'!N$200")&amp;"Average cost ($) per trip (one-way)",INDIRECT("'"&amp;$H$3&amp;"'!$F$43:$F$78"),0)),0)
+IFERROR((1-INDIRECT("'"&amp;$H$3&amp;"'!N$227"))*N$295*INDEX(INDIRECT("'"&amp;$H$3&amp;"'!$H$43:$H$78"),MATCH(INDIRECT("'"&amp;$H$3&amp;"'!N$220")&amp;"Average cost ($) per trip (one-way)",INDIRECT("'"&amp;$H$3&amp;"'!$F$43:$F$78"),0)),0)
+IFERROR((1-INDIRECT("'"&amp;$H$3&amp;"'!N$247"))*N$324*INDEX(INDIRECT("'"&amp;$H$3&amp;"'!$H$43:$H$78"),MATCH(INDIRECT("'"&amp;$H$3&amp;"'!N$240")&amp;"Average cost ($) per trip (one-way)",INDIRECT("'"&amp;$H$3&amp;"'!$F$43:$F$78"),0)),0)</f>
        <v>0</v>
      </c>
      <c r="O107" s="296"/>
      <c r="P107" s="296"/>
      <c r="Q107" s="296">
        <f ca="1">IFERROR((1-INDIRECT("'"&amp;$H$3&amp;"'!Q$207"))*Q$266*INDEX(INDIRECT("'"&amp;$H$3&amp;"'!$H$43:$H$78"),MATCH(INDIRECT("'"&amp;$H$3&amp;"'!Q$200")&amp;"Average cost ($) per trip (one-way)",INDIRECT("'"&amp;$H$3&amp;"'!$F$43:$F$78"),0)),0)
+IFERROR((1-INDIRECT("'"&amp;$H$3&amp;"'!Q$227"))*Q$295*INDEX(INDIRECT("'"&amp;$H$3&amp;"'!$H$43:$H$78"),MATCH(INDIRECT("'"&amp;$H$3&amp;"'!Q$220")&amp;"Average cost ($) per trip (one-way)",INDIRECT("'"&amp;$H$3&amp;"'!$F$43:$F$78"),0)),0)
+IFERROR((1-INDIRECT("'"&amp;$H$3&amp;"'!Q$247"))*Q$324*INDEX(INDIRECT("'"&amp;$H$3&amp;"'!$H$43:$H$78"),MATCH(INDIRECT("'"&amp;$H$3&amp;"'!Q$240")&amp;"Average cost ($) per trip (one-way)",INDIRECT("'"&amp;$H$3&amp;"'!$F$43:$F$78"),0)),0)</f>
        <v>0</v>
      </c>
      <c r="R107" s="296"/>
      <c r="S107" s="361"/>
      <c r="T107" s="296">
        <f ca="1">IFERROR((1-INDIRECT("'"&amp;$H$3&amp;"'!T$207"))*T$266*INDEX(INDIRECT("'"&amp;$H$3&amp;"'!$H$43:$H$78"),MATCH(INDIRECT("'"&amp;$H$3&amp;"'!T$200")&amp;"Average cost ($) per trip (one-way)",INDIRECT("'"&amp;$H$3&amp;"'!$F$43:$F$78"),0)),0)
+IFERROR((1-INDIRECT("'"&amp;$H$3&amp;"'!T$227"))*T$295*INDEX(INDIRECT("'"&amp;$H$3&amp;"'!$H$43:$H$78"),MATCH(INDIRECT("'"&amp;$H$3&amp;"'!T$220")&amp;"Average cost ($) per trip (one-way)",INDIRECT("'"&amp;$H$3&amp;"'!$F$43:$F$78"),0)),0)
+IFERROR((1-INDIRECT("'"&amp;$H$3&amp;"'!T$247"))*T$324*INDEX(INDIRECT("'"&amp;$H$3&amp;"'!$H$43:$H$78"),MATCH(INDIRECT("'"&amp;$H$3&amp;"'!T$240")&amp;"Average cost ($) per trip (one-way)",INDIRECT("'"&amp;$H$3&amp;"'!$F$43:$F$78"),0)),0)</f>
        <v>0</v>
      </c>
      <c r="U107" s="361"/>
      <c r="V107" s="361"/>
      <c r="W107" s="1438">
        <f ca="1">IFERROR((1-INDIRECT("'"&amp;$H$3&amp;"'!W$207"))*W$266*INDEX(INDIRECT("'"&amp;$H$3&amp;"'!$H$43:$H$78"),MATCH(INDIRECT("'"&amp;$H$3&amp;"'!W$200")&amp;"Average cost ($) per trip (one-way)",INDIRECT("'"&amp;$H$3&amp;"'!$F$43:$F$78"),0)),0)
+IFERROR((1-INDIRECT("'"&amp;$H$3&amp;"'!W$227"))*W$295*INDEX(INDIRECT("'"&amp;$H$3&amp;"'!$H$43:$H$78"),MATCH(INDIRECT("'"&amp;$H$3&amp;"'!W$220")&amp;"Average cost ($) per trip (one-way)",INDIRECT("'"&amp;$H$3&amp;"'!$F$43:$F$78"),0)),0)
+IFERROR((1-INDIRECT("'"&amp;$H$3&amp;"'!W$247"))*W$324*INDEX(INDIRECT("'"&amp;$H$3&amp;"'!$H$43:$H$78"),MATCH(INDIRECT("'"&amp;$H$3&amp;"'!W$240")&amp;"Average cost ($) per trip (one-way)",INDIRECT("'"&amp;$H$3&amp;"'!$F$43:$F$78"),0)),0)</f>
        <v>0</v>
      </c>
      <c r="Y107" s="347">
        <f t="shared" ca="1" si="10"/>
        <v>0</v>
      </c>
    </row>
    <row r="108" spans="6:38">
      <c r="F108" s="352" t="s">
        <v>2443</v>
      </c>
      <c r="G108" s="352"/>
      <c r="H108" s="362"/>
      <c r="I108" s="362"/>
      <c r="J108" s="362"/>
      <c r="K108" s="362"/>
      <c r="L108" s="362"/>
      <c r="M108" s="362"/>
      <c r="N108" s="362"/>
      <c r="O108" s="362"/>
      <c r="P108" s="362"/>
      <c r="Q108" s="362"/>
      <c r="R108" s="354"/>
      <c r="S108" s="355"/>
      <c r="T108" s="362"/>
      <c r="U108" s="355"/>
      <c r="V108" s="355"/>
      <c r="W108" s="384"/>
      <c r="X108" s="1463"/>
      <c r="Y108" s="355">
        <f ca="1">SUM(Y109:Y117)</f>
        <v>380898.08529792225</v>
      </c>
    </row>
    <row r="109" spans="6:38">
      <c r="F109" s="298"/>
      <c r="G109" s="298" t="s">
        <v>48</v>
      </c>
      <c r="H109" s="300">
        <f ca="1">IFERROR((1-INDIRECT("'"&amp;$H$3&amp;"'!H$142"))*IF(INDIRECT("'"&amp;$H$3&amp;"'!H$137")='List Values'!$E$5,INDIRECT("'"&amp;$H$3&amp;"'!H$139")*IF(INDIRECT("'"&amp;$H$3&amp;"'!H$138")='List Values'!$F$3,H$169,IF(INDIRECT("'"&amp;$H$3&amp;"'!H$138")='List Values'!$F$4,'3_Outputs'!H$52*INDIRECT("'"&amp;$H$3&amp;"'!H$95")*INDIRECT("'"&amp;$H$3&amp;"'!H$135"),IF(INDIRECT("'"&amp;$H$3&amp;"'!H$138")='List Values'!$F$5,H$171,IF(INDIRECT("'"&amp;$H$3&amp;"'!H$138")='List Values'!$F$6,INDIRECT("'"&amp;$H$3&amp;"'!H$95")*INDIRECT("'"&amp;$H$3&amp;"'!H$135"),IF(INDIRECT("'"&amp;$H$3&amp;"'!H$138")='List Values'!$F$7,1,0))))),0),0)
+IFERROR((1-INDIRECT("'"&amp;$H$3&amp;"'!H$162"))*IF(INDIRECT("'"&amp;$H$3&amp;"'!H$157")='List Values'!$E$5,INDIRECT("'"&amp;$H$3&amp;"'!H$159")*IF(INDIRECT("'"&amp;$H$3&amp;"'!H$158")='List Values'!$F$3,H$207,IF(INDIRECT("'"&amp;$H$3&amp;"'!H$158")='List Values'!$F$4,'3_Outputs'!H$52*INDIRECT("'"&amp;$H$3&amp;"'!H$95")*INDIRECT("'"&amp;$H$3&amp;"'!H$155"),IF(INDIRECT("'"&amp;$H$3&amp;"'!H$158")='List Values'!$F$5,H$209,IF(INDIRECT("'"&amp;$H$3&amp;"'!H$158")='List Values'!$F$6,INDIRECT("'"&amp;$H$3&amp;"'!H$95")*INDIRECT("'"&amp;$H$3&amp;"'!H$155"),IF(INDIRECT("'"&amp;$H$3&amp;"'!H$158")='List Values'!$F$7,1,0))))),0),0)
+IFERROR((1-INDIRECT("'"&amp;$H$3&amp;"'!H$182"))*IF(INDIRECT("'"&amp;$H$3&amp;"'!H$177")='List Values'!$E$5,INDIRECT("'"&amp;$H$3&amp;"'!H$179")*IF(INDIRECT("'"&amp;$H$3&amp;"'!H$178")='List Values'!$F$3,H$245,IF(INDIRECT("'"&amp;$H$3&amp;"'!H$178")='List Values'!$F$4,'3_Outputs'!H$52*INDIRECT("'"&amp;$H$3&amp;"'!H$95")*INDIRECT("'"&amp;$H$3&amp;"'!H$175"),IF(INDIRECT("'"&amp;$H$3&amp;"'!H$178")='List Values'!$F$5,H$247,IF(INDIRECT("'"&amp;$H$3&amp;"'!H$178")='List Values'!$F$6,INDIRECT("'"&amp;$H$3&amp;"'!H$95")*INDIRECT("'"&amp;$H$3&amp;"'!H$175"),IF(INDIRECT("'"&amp;$H$3&amp;"'!H$178")='List Values'!$F$7,1,0))))),0),0)</f>
        <v>0</v>
      </c>
      <c r="I109" s="300"/>
      <c r="J109" s="300"/>
      <c r="K109" s="300">
        <f ca="1">IFERROR((1-INDIRECT("'"&amp;$H$3&amp;"'!K$142"))*IF(INDIRECT("'"&amp;$H$3&amp;"'!K$137")='List Values'!$E$5,INDIRECT("'"&amp;$H$3&amp;"'!K$139")*IF(INDIRECT("'"&amp;$H$3&amp;"'!K$138")='List Values'!$F$3,K$169,IF(INDIRECT("'"&amp;$H$3&amp;"'!K$138")='List Values'!$F$4,'3_Outputs'!K$52*INDIRECT("'"&amp;$H$3&amp;"'!K$95")*INDIRECT("'"&amp;$H$3&amp;"'!K$135"),IF(INDIRECT("'"&amp;$H$3&amp;"'!K$138")='List Values'!$F$5,K$171,IF(INDIRECT("'"&amp;$H$3&amp;"'!K$138")='List Values'!$F$6,INDIRECT("'"&amp;$H$3&amp;"'!K$95")*INDIRECT("'"&amp;$H$3&amp;"'!K$135"),IF(INDIRECT("'"&amp;$H$3&amp;"'!K$138")='List Values'!$F$7,1,0))))),0),0)
+IFERROR((1-INDIRECT("'"&amp;$H$3&amp;"'!K$162"))*IF(INDIRECT("'"&amp;$H$3&amp;"'!K$157")='List Values'!$E$5,INDIRECT("'"&amp;$H$3&amp;"'!K$159")*IF(INDIRECT("'"&amp;$H$3&amp;"'!K$158")='List Values'!$F$3,K$207,IF(INDIRECT("'"&amp;$H$3&amp;"'!K$158")='List Values'!$F$4,'3_Outputs'!K$52*INDIRECT("'"&amp;$H$3&amp;"'!K$95")*INDIRECT("'"&amp;$H$3&amp;"'!K$155"),IF(INDIRECT("'"&amp;$H$3&amp;"'!K$158")='List Values'!$F$5,K$209,IF(INDIRECT("'"&amp;$H$3&amp;"'!K$158")='List Values'!$F$6,INDIRECT("'"&amp;$H$3&amp;"'!K$95")*INDIRECT("'"&amp;$H$3&amp;"'!K$155"),IF(INDIRECT("'"&amp;$H$3&amp;"'!K$158")='List Values'!$F$7,1,0))))),0),0)
+IFERROR((1-INDIRECT("'"&amp;$H$3&amp;"'!K$182"))*IF(INDIRECT("'"&amp;$H$3&amp;"'!K$177")='List Values'!$E$5,INDIRECT("'"&amp;$H$3&amp;"'!K$179")*IF(INDIRECT("'"&amp;$H$3&amp;"'!K$178")='List Values'!$F$3,K$245,IF(INDIRECT("'"&amp;$H$3&amp;"'!K$178")='List Values'!$F$4,'3_Outputs'!K$52*INDIRECT("'"&amp;$H$3&amp;"'!K$95")*INDIRECT("'"&amp;$H$3&amp;"'!K$175"),IF(INDIRECT("'"&amp;$H$3&amp;"'!K$178")='List Values'!$F$5,K$247,IF(INDIRECT("'"&amp;$H$3&amp;"'!K$178")='List Values'!$F$6,INDIRECT("'"&amp;$H$3&amp;"'!K$95")*INDIRECT("'"&amp;$H$3&amp;"'!K$175"),IF(INDIRECT("'"&amp;$H$3&amp;"'!K$178")='List Values'!$F$7,1,0))))),0),0)</f>
        <v>0</v>
      </c>
      <c r="L109" s="300"/>
      <c r="M109" s="300"/>
      <c r="N109" s="300">
        <f ca="1">IFERROR((1-INDIRECT("'"&amp;$H$3&amp;"'!N$142"))*IF(INDIRECT("'"&amp;$H$3&amp;"'!N$137")='List Values'!$E$5,INDIRECT("'"&amp;$H$3&amp;"'!N$139")*IF(INDIRECT("'"&amp;$H$3&amp;"'!N$138")='List Values'!$F$3,N$169,IF(INDIRECT("'"&amp;$H$3&amp;"'!N$138")='List Values'!$F$4,'3_Outputs'!N$52*INDIRECT("'"&amp;$H$3&amp;"'!N$95")*INDIRECT("'"&amp;$H$3&amp;"'!N$135"),IF(INDIRECT("'"&amp;$H$3&amp;"'!N$138")='List Values'!$F$5,N$171,IF(INDIRECT("'"&amp;$H$3&amp;"'!N$138")='List Values'!$F$6,INDIRECT("'"&amp;$H$3&amp;"'!N$95")*INDIRECT("'"&amp;$H$3&amp;"'!N$135"),IF(INDIRECT("'"&amp;$H$3&amp;"'!N$138")='List Values'!$F$7,1,0))))),0),0)
+IFERROR((1-INDIRECT("'"&amp;$H$3&amp;"'!N$162"))*IF(INDIRECT("'"&amp;$H$3&amp;"'!N$157")='List Values'!$E$5,INDIRECT("'"&amp;$H$3&amp;"'!N$159")*IF(INDIRECT("'"&amp;$H$3&amp;"'!N$158")='List Values'!$F$3,N$207,IF(INDIRECT("'"&amp;$H$3&amp;"'!N$158")='List Values'!$F$4,'3_Outputs'!N$52*INDIRECT("'"&amp;$H$3&amp;"'!N$95")*INDIRECT("'"&amp;$H$3&amp;"'!N$155"),IF(INDIRECT("'"&amp;$H$3&amp;"'!N$158")='List Values'!$F$5,N$209,IF(INDIRECT("'"&amp;$H$3&amp;"'!N$158")='List Values'!$F$6,INDIRECT("'"&amp;$H$3&amp;"'!N$95")*INDIRECT("'"&amp;$H$3&amp;"'!N$155"),IF(INDIRECT("'"&amp;$H$3&amp;"'!N$158")='List Values'!$F$7,1,0))))),0),0)
+IFERROR((1-INDIRECT("'"&amp;$H$3&amp;"'!N$182"))*IF(INDIRECT("'"&amp;$H$3&amp;"'!N$177")='List Values'!$E$5,INDIRECT("'"&amp;$H$3&amp;"'!N$179")*IF(INDIRECT("'"&amp;$H$3&amp;"'!N$178")='List Values'!$F$3,N$245,IF(INDIRECT("'"&amp;$H$3&amp;"'!N$178")='List Values'!$F$4,'3_Outputs'!N$52*INDIRECT("'"&amp;$H$3&amp;"'!N$95")*INDIRECT("'"&amp;$H$3&amp;"'!N$175"),IF(INDIRECT("'"&amp;$H$3&amp;"'!N$178")='List Values'!$F$5,N$247,IF(INDIRECT("'"&amp;$H$3&amp;"'!N$178")='List Values'!$F$6,INDIRECT("'"&amp;$H$3&amp;"'!N$95")*INDIRECT("'"&amp;$H$3&amp;"'!N$175"),IF(INDIRECT("'"&amp;$H$3&amp;"'!N$178")='List Values'!$F$7,1,0))))),0),0)</f>
        <v>0</v>
      </c>
      <c r="O109" s="300"/>
      <c r="P109" s="300"/>
      <c r="Q109" s="300">
        <f ca="1">IFERROR((1-INDIRECT("'"&amp;$H$3&amp;"'!Q$142"))*IF(INDIRECT("'"&amp;$H$3&amp;"'!Q$137")='List Values'!$E$5,INDIRECT("'"&amp;$H$3&amp;"'!Q$139")*IF(INDIRECT("'"&amp;$H$3&amp;"'!Q$138")='List Values'!$F$3,Q$169,IF(INDIRECT("'"&amp;$H$3&amp;"'!Q$138")='List Values'!$F$4,'3_Outputs'!Q$52*INDIRECT("'"&amp;$H$3&amp;"'!Q$95")*INDIRECT("'"&amp;$H$3&amp;"'!Q$135"),IF(INDIRECT("'"&amp;$H$3&amp;"'!Q$138")='List Values'!$F$5,Q$171,IF(INDIRECT("'"&amp;$H$3&amp;"'!Q$138")='List Values'!$F$6,INDIRECT("'"&amp;$H$3&amp;"'!Q$95")*INDIRECT("'"&amp;$H$3&amp;"'!Q$135"),IF(INDIRECT("'"&amp;$H$3&amp;"'!Q$138")='List Values'!$F$7,1,0))))),0),0)
+IFERROR((1-INDIRECT("'"&amp;$H$3&amp;"'!Q$162"))*IF(INDIRECT("'"&amp;$H$3&amp;"'!Q$157")='List Values'!$E$5,INDIRECT("'"&amp;$H$3&amp;"'!Q$159")*IF(INDIRECT("'"&amp;$H$3&amp;"'!Q$158")='List Values'!$F$3,Q$207,IF(INDIRECT("'"&amp;$H$3&amp;"'!Q$158")='List Values'!$F$4,'3_Outputs'!Q$52*INDIRECT("'"&amp;$H$3&amp;"'!Q$95")*INDIRECT("'"&amp;$H$3&amp;"'!Q$155"),IF(INDIRECT("'"&amp;$H$3&amp;"'!Q$158")='List Values'!$F$5,Q$209,IF(INDIRECT("'"&amp;$H$3&amp;"'!Q$158")='List Values'!$F$6,INDIRECT("'"&amp;$H$3&amp;"'!Q$95")*INDIRECT("'"&amp;$H$3&amp;"'!Q$155"),IF(INDIRECT("'"&amp;$H$3&amp;"'!Q$158")='List Values'!$F$7,1,0))))),0),0)
+IFERROR((1-INDIRECT("'"&amp;$H$3&amp;"'!Q$182"))*IF(INDIRECT("'"&amp;$H$3&amp;"'!Q$177")='List Values'!$E$5,INDIRECT("'"&amp;$H$3&amp;"'!Q$179")*IF(INDIRECT("'"&amp;$H$3&amp;"'!Q$178")='List Values'!$F$3,Q$245,IF(INDIRECT("'"&amp;$H$3&amp;"'!Q$178")='List Values'!$F$4,'3_Outputs'!Q$52*INDIRECT("'"&amp;$H$3&amp;"'!Q$95")*INDIRECT("'"&amp;$H$3&amp;"'!Q$175"),IF(INDIRECT("'"&amp;$H$3&amp;"'!Q$178")='List Values'!$F$5,Q$247,IF(INDIRECT("'"&amp;$H$3&amp;"'!Q$178")='List Values'!$F$6,INDIRECT("'"&amp;$H$3&amp;"'!Q$95")*INDIRECT("'"&amp;$H$3&amp;"'!Q$175"),IF(INDIRECT("'"&amp;$H$3&amp;"'!Q$178")='List Values'!$F$7,1,0))))),0),0)</f>
        <v>0</v>
      </c>
      <c r="R109" s="300"/>
      <c r="S109" s="337"/>
      <c r="T109" s="300">
        <f ca="1">IFERROR((1-INDIRECT("'"&amp;$H$3&amp;"'!T$142"))*IF(INDIRECT("'"&amp;$H$3&amp;"'!T$137")='List Values'!$E$5,INDIRECT("'"&amp;$H$3&amp;"'!T$139")*IF(INDIRECT("'"&amp;$H$3&amp;"'!T$138")='List Values'!$F$3,T$169,IF(INDIRECT("'"&amp;$H$3&amp;"'!T$138")='List Values'!$F$4,'3_Outputs'!T$52*INDIRECT("'"&amp;$H$3&amp;"'!T$95")*INDIRECT("'"&amp;$H$3&amp;"'!T$135"),IF(INDIRECT("'"&amp;$H$3&amp;"'!T$138")='List Values'!$F$5,T$171,IF(INDIRECT("'"&amp;$H$3&amp;"'!T$138")='List Values'!$F$6,INDIRECT("'"&amp;$H$3&amp;"'!T$95")*INDIRECT("'"&amp;$H$3&amp;"'!T$135"),IF(INDIRECT("'"&amp;$H$3&amp;"'!T$138")='List Values'!$F$7,1,0))))),0),0)
+IFERROR((1-INDIRECT("'"&amp;$H$3&amp;"'!T$162"))*IF(INDIRECT("'"&amp;$H$3&amp;"'!T$157")='List Values'!$E$5,INDIRECT("'"&amp;$H$3&amp;"'!T$159")*IF(INDIRECT("'"&amp;$H$3&amp;"'!T$158")='List Values'!$F$3,T$207,IF(INDIRECT("'"&amp;$H$3&amp;"'!T$158")='List Values'!$F$4,'3_Outputs'!T$52*INDIRECT("'"&amp;$H$3&amp;"'!T$95")*INDIRECT("'"&amp;$H$3&amp;"'!T$155"),IF(INDIRECT("'"&amp;$H$3&amp;"'!T$158")='List Values'!$F$5,T$209,IF(INDIRECT("'"&amp;$H$3&amp;"'!T$158")='List Values'!$F$6,INDIRECT("'"&amp;$H$3&amp;"'!T$95")*INDIRECT("'"&amp;$H$3&amp;"'!T$155"),IF(INDIRECT("'"&amp;$H$3&amp;"'!T$158")='List Values'!$F$7,1,0))))),0),0)
+IFERROR((1-INDIRECT("'"&amp;$H$3&amp;"'!T$182"))*IF(INDIRECT("'"&amp;$H$3&amp;"'!T$177")='List Values'!$E$5,INDIRECT("'"&amp;$H$3&amp;"'!T$179")*IF(INDIRECT("'"&amp;$H$3&amp;"'!T$178")='List Values'!$F$3,T$245,IF(INDIRECT("'"&amp;$H$3&amp;"'!T$178")='List Values'!$F$4,'3_Outputs'!T$52*INDIRECT("'"&amp;$H$3&amp;"'!T$95")*INDIRECT("'"&amp;$H$3&amp;"'!T$175"),IF(INDIRECT("'"&amp;$H$3&amp;"'!T$178")='List Values'!$F$5,T$247,IF(INDIRECT("'"&amp;$H$3&amp;"'!T$178")='List Values'!$F$6,INDIRECT("'"&amp;$H$3&amp;"'!T$95")*INDIRECT("'"&amp;$H$3&amp;"'!T$175"),IF(INDIRECT("'"&amp;$H$3&amp;"'!T$178")='List Values'!$F$7,1,0))))),0),0)</f>
        <v>0</v>
      </c>
      <c r="U109" s="337"/>
      <c r="V109" s="337"/>
      <c r="W109" s="1437">
        <f ca="1">IFERROR((1-INDIRECT("'"&amp;$H$3&amp;"'!W$142"))*IF(INDIRECT("'"&amp;$H$3&amp;"'!W$137")='List Values'!$E$5,INDIRECT("'"&amp;$H$3&amp;"'!W$139")*IF(INDIRECT("'"&amp;$H$3&amp;"'!W$138")='List Values'!$F$3,W$169,IF(INDIRECT("'"&amp;$H$3&amp;"'!W$138")='List Values'!$F$4,'3_Outputs'!W$52*INDIRECT("'"&amp;$H$3&amp;"'!W$95")*INDIRECT("'"&amp;$H$3&amp;"'!W$135"),IF(INDIRECT("'"&amp;$H$3&amp;"'!W$138")='List Values'!$F$5,W$171,IF(INDIRECT("'"&amp;$H$3&amp;"'!W$138")='List Values'!$F$6,INDIRECT("'"&amp;$H$3&amp;"'!W$95")*INDIRECT("'"&amp;$H$3&amp;"'!W$135"),IF(INDIRECT("'"&amp;$H$3&amp;"'!W$138")='List Values'!$F$7,1,0))))),0),0)
+IFERROR((1-INDIRECT("'"&amp;$H$3&amp;"'!W$162"))*IF(INDIRECT("'"&amp;$H$3&amp;"'!W$157")='List Values'!$E$5,INDIRECT("'"&amp;$H$3&amp;"'!W$159")*IF(INDIRECT("'"&amp;$H$3&amp;"'!W$158")='List Values'!$F$3,W$207,IF(INDIRECT("'"&amp;$H$3&amp;"'!W$158")='List Values'!$F$4,'3_Outputs'!W$52*INDIRECT("'"&amp;$H$3&amp;"'!W$95")*INDIRECT("'"&amp;$H$3&amp;"'!W$155"),IF(INDIRECT("'"&amp;$H$3&amp;"'!W$158")='List Values'!$F$5,W$209,IF(INDIRECT("'"&amp;$H$3&amp;"'!W$158")='List Values'!$F$6,INDIRECT("'"&amp;$H$3&amp;"'!W$95")*INDIRECT("'"&amp;$H$3&amp;"'!W$155"),IF(INDIRECT("'"&amp;$H$3&amp;"'!W$158")='List Values'!$F$7,1,0))))),0),0)
+IFERROR((1-INDIRECT("'"&amp;$H$3&amp;"'!W$182"))*IF(INDIRECT("'"&amp;$H$3&amp;"'!W$177")='List Values'!$E$5,INDIRECT("'"&amp;$H$3&amp;"'!W$179")*IF(INDIRECT("'"&amp;$H$3&amp;"'!W$178")='List Values'!$F$3,W$245,IF(INDIRECT("'"&amp;$H$3&amp;"'!W$178")='List Values'!$F$4,'3_Outputs'!W$52*INDIRECT("'"&amp;$H$3&amp;"'!W$95")*INDIRECT("'"&amp;$H$3&amp;"'!W$175"),IF(INDIRECT("'"&amp;$H$3&amp;"'!W$178")='List Values'!$F$5,W$247,IF(INDIRECT("'"&amp;$H$3&amp;"'!W$178")='List Values'!$F$6,INDIRECT("'"&amp;$H$3&amp;"'!W$95")*INDIRECT("'"&amp;$H$3&amp;"'!W$175"),IF(INDIRECT("'"&amp;$H$3&amp;"'!W$178")='List Values'!$F$7,1,0))))),0),0)</f>
        <v>0</v>
      </c>
      <c r="Y109" s="341">
        <f ca="1">SUM(H109:W109)</f>
        <v>0</v>
      </c>
    </row>
    <row r="110" spans="6:38">
      <c r="F110" s="288"/>
      <c r="G110" s="298" t="s">
        <v>226</v>
      </c>
      <c r="H110" s="300">
        <f ca="1">IFERROR((1-INDIRECT("'"&amp;$H$3&amp;"'!H$142"))*IF(INDIRECT("'"&amp;$H$3&amp;"'!H$137")='List Values'!$E$4,INDIRECT("'"&amp;$H$3&amp;"'!H$139")*IF(INDIRECT("'"&amp;$H$3&amp;"'!H$138")='List Values'!$F$3,H$169,IF(INDIRECT("'"&amp;$H$3&amp;"'!H$138")='List Values'!$F$4,'3_Outputs'!H$52*INDIRECT("'"&amp;$H$3&amp;"'!H$95")*INDIRECT("'"&amp;$H$3&amp;"'!H$135"),IF(INDIRECT("'"&amp;$H$3&amp;"'!H$138")='List Values'!$F$5,H$171,IF(INDIRECT("'"&amp;$H$3&amp;"'!H$138")='List Values'!$F$6,INDIRECT("'"&amp;$H$3&amp;"'!H$95")*INDIRECT("'"&amp;$H$3&amp;"'!H$135"),IF(INDIRECT("'"&amp;$H$3&amp;"'!H$138")='List Values'!$F$7,1,0))))),0),0)
+IFERROR((1-INDIRECT("'"&amp;$H$3&amp;"'!H$162"))*IF(INDIRECT("'"&amp;$H$3&amp;"'!H$157")='List Values'!$E$4,INDIRECT("'"&amp;$H$3&amp;"'!H$159")*IF(INDIRECT("'"&amp;$H$3&amp;"'!H$158")='List Values'!$F$3,H$207,IF(INDIRECT("'"&amp;$H$3&amp;"'!H$158")='List Values'!$F$4,'3_Outputs'!H$52*INDIRECT("'"&amp;$H$3&amp;"'!H$95")*INDIRECT("'"&amp;$H$3&amp;"'!H$155"),IF(INDIRECT("'"&amp;$H$3&amp;"'!H$158")='List Values'!$F$5,H$209,IF(INDIRECT("'"&amp;$H$3&amp;"'!H$158")='List Values'!$F$6,INDIRECT("'"&amp;$H$3&amp;"'!H$95")*INDIRECT("'"&amp;$H$3&amp;"'!H$155"),IF(INDIRECT("'"&amp;$H$3&amp;"'!H$158")='List Values'!$F$7,1,0))))),0),0)
+IFERROR((1-INDIRECT("'"&amp;$H$3&amp;"'!H$182"))*IF(INDIRECT("'"&amp;$H$3&amp;"'!H$177")='List Values'!$E$4,INDIRECT("'"&amp;$H$3&amp;"'!H$179")*IF(INDIRECT("'"&amp;$H$3&amp;"'!H$178")='List Values'!$F$3,H$245,IF(INDIRECT("'"&amp;$H$3&amp;"'!H$178")='List Values'!$F$4,'3_Outputs'!H$52*INDIRECT("'"&amp;$H$3&amp;"'!H$95")*INDIRECT("'"&amp;$H$3&amp;"'!H$175"),IF(INDIRECT("'"&amp;$H$3&amp;"'!H$178")='List Values'!$F$5,H$247,IF(INDIRECT("'"&amp;$H$3&amp;"'!H$178")='List Values'!$F$6,INDIRECT("'"&amp;$H$3&amp;"'!H$95")*INDIRECT("'"&amp;$H$3&amp;"'!H$175"),IF(INDIRECT("'"&amp;$H$3&amp;"'!H$178")='List Values'!$F$7,1,0))))),0),0)</f>
        <v>0</v>
      </c>
      <c r="I110" s="300"/>
      <c r="J110" s="300"/>
      <c r="K110" s="300">
        <f ca="1">IFERROR((1-INDIRECT("'"&amp;$H$3&amp;"'!K$142"))*IF(INDIRECT("'"&amp;$H$3&amp;"'!K$137")='List Values'!$E$4,INDIRECT("'"&amp;$H$3&amp;"'!K$139")*IF(INDIRECT("'"&amp;$H$3&amp;"'!K$138")='List Values'!$F$3,K$169,IF(INDIRECT("'"&amp;$H$3&amp;"'!K$138")='List Values'!$F$4,'3_Outputs'!K$52*INDIRECT("'"&amp;$H$3&amp;"'!K$95")*INDIRECT("'"&amp;$H$3&amp;"'!K$135"),IF(INDIRECT("'"&amp;$H$3&amp;"'!K$138")='List Values'!$F$5,K$171,IF(INDIRECT("'"&amp;$H$3&amp;"'!K$138")='List Values'!$F$6,INDIRECT("'"&amp;$H$3&amp;"'!K$95")*INDIRECT("'"&amp;$H$3&amp;"'!K$135"),IF(INDIRECT("'"&amp;$H$3&amp;"'!K$138")='List Values'!$F$7,1,0))))),0),0)
+IFERROR((1-INDIRECT("'"&amp;$H$3&amp;"'!K$162"))*IF(INDIRECT("'"&amp;$H$3&amp;"'!K$157")='List Values'!$E$4,INDIRECT("'"&amp;$H$3&amp;"'!K$159")*IF(INDIRECT("'"&amp;$H$3&amp;"'!K$158")='List Values'!$F$3,K$207,IF(INDIRECT("'"&amp;$H$3&amp;"'!K$158")='List Values'!$F$4,'3_Outputs'!K$52*INDIRECT("'"&amp;$H$3&amp;"'!K$95")*INDIRECT("'"&amp;$H$3&amp;"'!K$155"),IF(INDIRECT("'"&amp;$H$3&amp;"'!K$158")='List Values'!$F$5,K$209,IF(INDIRECT("'"&amp;$H$3&amp;"'!K$158")='List Values'!$F$6,INDIRECT("'"&amp;$H$3&amp;"'!K$95")*INDIRECT("'"&amp;$H$3&amp;"'!K$155"),IF(INDIRECT("'"&amp;$H$3&amp;"'!K$158")='List Values'!$F$7,1,0))))),0),0)
+IFERROR((1-INDIRECT("'"&amp;$H$3&amp;"'!K$182"))*IF(INDIRECT("'"&amp;$H$3&amp;"'!K$177")='List Values'!$E$4,INDIRECT("'"&amp;$H$3&amp;"'!K$179")*IF(INDIRECT("'"&amp;$H$3&amp;"'!K$178")='List Values'!$F$3,K$245,IF(INDIRECT("'"&amp;$H$3&amp;"'!K$178")='List Values'!$F$4,'3_Outputs'!K$52*INDIRECT("'"&amp;$H$3&amp;"'!K$95")*INDIRECT("'"&amp;$H$3&amp;"'!K$175"),IF(INDIRECT("'"&amp;$H$3&amp;"'!K$178")='List Values'!$F$5,K$247,IF(INDIRECT("'"&amp;$H$3&amp;"'!K$178")='List Values'!$F$6,INDIRECT("'"&amp;$H$3&amp;"'!K$95")*INDIRECT("'"&amp;$H$3&amp;"'!K$175"),IF(INDIRECT("'"&amp;$H$3&amp;"'!K$178")='List Values'!$F$7,1,0))))),0),0)</f>
        <v>0</v>
      </c>
      <c r="L110" s="300"/>
      <c r="M110" s="300"/>
      <c r="N110" s="300">
        <f ca="1">IFERROR((1-INDIRECT("'"&amp;$H$3&amp;"'!N$142"))*IF(INDIRECT("'"&amp;$H$3&amp;"'!N$137")='List Values'!$E$4,INDIRECT("'"&amp;$H$3&amp;"'!N$139")*IF(INDIRECT("'"&amp;$H$3&amp;"'!N$138")='List Values'!$F$3,N$169,IF(INDIRECT("'"&amp;$H$3&amp;"'!N$138")='List Values'!$F$4,'3_Outputs'!N$52*INDIRECT("'"&amp;$H$3&amp;"'!N$95")*INDIRECT("'"&amp;$H$3&amp;"'!N$135"),IF(INDIRECT("'"&amp;$H$3&amp;"'!N$138")='List Values'!$F$5,N$171,IF(INDIRECT("'"&amp;$H$3&amp;"'!N$138")='List Values'!$F$6,INDIRECT("'"&amp;$H$3&amp;"'!N$95")*INDIRECT("'"&amp;$H$3&amp;"'!N$135"),IF(INDIRECT("'"&amp;$H$3&amp;"'!N$138")='List Values'!$F$7,1,0))))),0),0)
+IFERROR((1-INDIRECT("'"&amp;$H$3&amp;"'!N$162"))*IF(INDIRECT("'"&amp;$H$3&amp;"'!N$157")='List Values'!$E$4,INDIRECT("'"&amp;$H$3&amp;"'!N$159")*IF(INDIRECT("'"&amp;$H$3&amp;"'!N$158")='List Values'!$F$3,N$207,IF(INDIRECT("'"&amp;$H$3&amp;"'!N$158")='List Values'!$F$4,'3_Outputs'!N$52*INDIRECT("'"&amp;$H$3&amp;"'!N$95")*INDIRECT("'"&amp;$H$3&amp;"'!N$155"),IF(INDIRECT("'"&amp;$H$3&amp;"'!N$158")='List Values'!$F$5,N$209,IF(INDIRECT("'"&amp;$H$3&amp;"'!N$158")='List Values'!$F$6,INDIRECT("'"&amp;$H$3&amp;"'!N$95")*INDIRECT("'"&amp;$H$3&amp;"'!N$155"),IF(INDIRECT("'"&amp;$H$3&amp;"'!N$158")='List Values'!$F$7,1,0))))),0),0)
+IFERROR((1-INDIRECT("'"&amp;$H$3&amp;"'!N$182"))*IF(INDIRECT("'"&amp;$H$3&amp;"'!N$177")='List Values'!$E$4,INDIRECT("'"&amp;$H$3&amp;"'!N$179")*IF(INDIRECT("'"&amp;$H$3&amp;"'!N$178")='List Values'!$F$3,N$245,IF(INDIRECT("'"&amp;$H$3&amp;"'!N$178")='List Values'!$F$4,'3_Outputs'!N$52*INDIRECT("'"&amp;$H$3&amp;"'!N$95")*INDIRECT("'"&amp;$H$3&amp;"'!N$175"),IF(INDIRECT("'"&amp;$H$3&amp;"'!N$178")='List Values'!$F$5,N$247,IF(INDIRECT("'"&amp;$H$3&amp;"'!N$178")='List Values'!$F$6,INDIRECT("'"&amp;$H$3&amp;"'!N$95")*INDIRECT("'"&amp;$H$3&amp;"'!N$175"),IF(INDIRECT("'"&amp;$H$3&amp;"'!N$178")='List Values'!$F$7,1,0))))),0),0)</f>
        <v>0</v>
      </c>
      <c r="O110" s="300"/>
      <c r="P110" s="300"/>
      <c r="Q110" s="300">
        <f ca="1">IFERROR((1-INDIRECT("'"&amp;$H$3&amp;"'!Q$142"))*IF(INDIRECT("'"&amp;$H$3&amp;"'!Q$137")='List Values'!$E$4,INDIRECT("'"&amp;$H$3&amp;"'!Q$139")*IF(INDIRECT("'"&amp;$H$3&amp;"'!Q$138")='List Values'!$F$3,Q$169,IF(INDIRECT("'"&amp;$H$3&amp;"'!Q$138")='List Values'!$F$4,'3_Outputs'!Q$52*INDIRECT("'"&amp;$H$3&amp;"'!Q$95")*INDIRECT("'"&amp;$H$3&amp;"'!Q$135"),IF(INDIRECT("'"&amp;$H$3&amp;"'!Q$138")='List Values'!$F$5,Q$171,IF(INDIRECT("'"&amp;$H$3&amp;"'!Q$138")='List Values'!$F$6,INDIRECT("'"&amp;$H$3&amp;"'!Q$95")*INDIRECT("'"&amp;$H$3&amp;"'!Q$135"),IF(INDIRECT("'"&amp;$H$3&amp;"'!Q$138")='List Values'!$F$7,1,0))))),0),0)
+IFERROR((1-INDIRECT("'"&amp;$H$3&amp;"'!Q$162"))*IF(INDIRECT("'"&amp;$H$3&amp;"'!Q$157")='List Values'!$E$4,INDIRECT("'"&amp;$H$3&amp;"'!Q$159")*IF(INDIRECT("'"&amp;$H$3&amp;"'!Q$158")='List Values'!$F$3,Q$207,IF(INDIRECT("'"&amp;$H$3&amp;"'!Q$158")='List Values'!$F$4,'3_Outputs'!Q$52*INDIRECT("'"&amp;$H$3&amp;"'!Q$95")*INDIRECT("'"&amp;$H$3&amp;"'!Q$155"),IF(INDIRECT("'"&amp;$H$3&amp;"'!Q$158")='List Values'!$F$5,Q$209,IF(INDIRECT("'"&amp;$H$3&amp;"'!Q$158")='List Values'!$F$6,INDIRECT("'"&amp;$H$3&amp;"'!Q$95")*INDIRECT("'"&amp;$H$3&amp;"'!Q$155"),IF(INDIRECT("'"&amp;$H$3&amp;"'!Q$158")='List Values'!$F$7,1,0))))),0),0)
+IFERROR((1-INDIRECT("'"&amp;$H$3&amp;"'!Q$182"))*IF(INDIRECT("'"&amp;$H$3&amp;"'!Q$177")='List Values'!$E$4,INDIRECT("'"&amp;$H$3&amp;"'!Q$179")*IF(INDIRECT("'"&amp;$H$3&amp;"'!Q$178")='List Values'!$F$3,Q$245,IF(INDIRECT("'"&amp;$H$3&amp;"'!Q$178")='List Values'!$F$4,'3_Outputs'!Q$52*INDIRECT("'"&amp;$H$3&amp;"'!Q$95")*INDIRECT("'"&amp;$H$3&amp;"'!Q$175"),IF(INDIRECT("'"&amp;$H$3&amp;"'!Q$178")='List Values'!$F$5,Q$247,IF(INDIRECT("'"&amp;$H$3&amp;"'!Q$178")='List Values'!$F$6,INDIRECT("'"&amp;$H$3&amp;"'!Q$95")*INDIRECT("'"&amp;$H$3&amp;"'!Q$175"),IF(INDIRECT("'"&amp;$H$3&amp;"'!Q$178")='List Values'!$F$7,1,0))))),0),0)</f>
        <v>0</v>
      </c>
      <c r="R110" s="300"/>
      <c r="S110" s="337"/>
      <c r="T110" s="300">
        <f ca="1">IFERROR((1-INDIRECT("'"&amp;$H$3&amp;"'!T$142"))*IF(INDIRECT("'"&amp;$H$3&amp;"'!T$137")='List Values'!$E$4,INDIRECT("'"&amp;$H$3&amp;"'!T$139")*IF(INDIRECT("'"&amp;$H$3&amp;"'!T$138")='List Values'!$F$3,T$169,IF(INDIRECT("'"&amp;$H$3&amp;"'!T$138")='List Values'!$F$4,'3_Outputs'!T$52*INDIRECT("'"&amp;$H$3&amp;"'!T$95")*INDIRECT("'"&amp;$H$3&amp;"'!T$135"),IF(INDIRECT("'"&amp;$H$3&amp;"'!T$138")='List Values'!$F$5,T$171,IF(INDIRECT("'"&amp;$H$3&amp;"'!T$138")='List Values'!$F$6,INDIRECT("'"&amp;$H$3&amp;"'!T$95")*INDIRECT("'"&amp;$H$3&amp;"'!T$135"),IF(INDIRECT("'"&amp;$H$3&amp;"'!T$138")='List Values'!$F$7,1,0))))),0),0)
+IFERROR((1-INDIRECT("'"&amp;$H$3&amp;"'!T$162"))*IF(INDIRECT("'"&amp;$H$3&amp;"'!T$157")='List Values'!$E$4,INDIRECT("'"&amp;$H$3&amp;"'!T$159")*IF(INDIRECT("'"&amp;$H$3&amp;"'!T$158")='List Values'!$F$3,T$207,IF(INDIRECT("'"&amp;$H$3&amp;"'!T$158")='List Values'!$F$4,'3_Outputs'!T$52*INDIRECT("'"&amp;$H$3&amp;"'!T$95")*INDIRECT("'"&amp;$H$3&amp;"'!T$155"),IF(INDIRECT("'"&amp;$H$3&amp;"'!T$158")='List Values'!$F$5,T$209,IF(INDIRECT("'"&amp;$H$3&amp;"'!T$158")='List Values'!$F$6,INDIRECT("'"&amp;$H$3&amp;"'!T$95")*INDIRECT("'"&amp;$H$3&amp;"'!T$155"),IF(INDIRECT("'"&amp;$H$3&amp;"'!T$158")='List Values'!$F$7,1,0))))),0),0)
+IFERROR((1-INDIRECT("'"&amp;$H$3&amp;"'!T$182"))*IF(INDIRECT("'"&amp;$H$3&amp;"'!T$177")='List Values'!$E$4,INDIRECT("'"&amp;$H$3&amp;"'!T$179")*IF(INDIRECT("'"&amp;$H$3&amp;"'!T$178")='List Values'!$F$3,T$245,IF(INDIRECT("'"&amp;$H$3&amp;"'!T$178")='List Values'!$F$4,'3_Outputs'!T$52*INDIRECT("'"&amp;$H$3&amp;"'!T$95")*INDIRECT("'"&amp;$H$3&amp;"'!T$175"),IF(INDIRECT("'"&amp;$H$3&amp;"'!T$178")='List Values'!$F$5,T$247,IF(INDIRECT("'"&amp;$H$3&amp;"'!T$178")='List Values'!$F$6,INDIRECT("'"&amp;$H$3&amp;"'!T$95")*INDIRECT("'"&amp;$H$3&amp;"'!T$175"),IF(INDIRECT("'"&amp;$H$3&amp;"'!T$178")='List Values'!$F$7,1,0))))),0),0)</f>
        <v>0</v>
      </c>
      <c r="U110" s="337"/>
      <c r="V110" s="337"/>
      <c r="W110" s="1437">
        <f ca="1">IFERROR((1-INDIRECT("'"&amp;$H$3&amp;"'!W$142"))*IF(INDIRECT("'"&amp;$H$3&amp;"'!W$137")='List Values'!$E$4,INDIRECT("'"&amp;$H$3&amp;"'!W$139")*IF(INDIRECT("'"&amp;$H$3&amp;"'!W$138")='List Values'!$F$3,W$169,IF(INDIRECT("'"&amp;$H$3&amp;"'!W$138")='List Values'!$F$4,'3_Outputs'!W$52*INDIRECT("'"&amp;$H$3&amp;"'!W$95")*INDIRECT("'"&amp;$H$3&amp;"'!W$135"),IF(INDIRECT("'"&amp;$H$3&amp;"'!W$138")='List Values'!$F$5,W$171,IF(INDIRECT("'"&amp;$H$3&amp;"'!W$138")='List Values'!$F$6,INDIRECT("'"&amp;$H$3&amp;"'!W$95")*INDIRECT("'"&amp;$H$3&amp;"'!W$135"),IF(INDIRECT("'"&amp;$H$3&amp;"'!W$138")='List Values'!$F$7,1,0))))),0),0)
+IFERROR((1-INDIRECT("'"&amp;$H$3&amp;"'!W$162"))*IF(INDIRECT("'"&amp;$H$3&amp;"'!W$157")='List Values'!$E$4,INDIRECT("'"&amp;$H$3&amp;"'!W$159")*IF(INDIRECT("'"&amp;$H$3&amp;"'!W$158")='List Values'!$F$3,W$207,IF(INDIRECT("'"&amp;$H$3&amp;"'!W$158")='List Values'!$F$4,'3_Outputs'!W$52*INDIRECT("'"&amp;$H$3&amp;"'!W$95")*INDIRECT("'"&amp;$H$3&amp;"'!W$155"),IF(INDIRECT("'"&amp;$H$3&amp;"'!W$158")='List Values'!$F$5,W$209,IF(INDIRECT("'"&amp;$H$3&amp;"'!W$158")='List Values'!$F$6,INDIRECT("'"&amp;$H$3&amp;"'!W$95")*INDIRECT("'"&amp;$H$3&amp;"'!W$155"),IF(INDIRECT("'"&amp;$H$3&amp;"'!W$158")='List Values'!$F$7,1,0))))),0),0)
+IFERROR((1-INDIRECT("'"&amp;$H$3&amp;"'!W$182"))*IF(INDIRECT("'"&amp;$H$3&amp;"'!W$177")='List Values'!$E$4,INDIRECT("'"&amp;$H$3&amp;"'!W$179")*IF(INDIRECT("'"&amp;$H$3&amp;"'!W$178")='List Values'!$F$3,W$245,IF(INDIRECT("'"&amp;$H$3&amp;"'!W$178")='List Values'!$F$4,'3_Outputs'!W$52*INDIRECT("'"&amp;$H$3&amp;"'!W$95")*INDIRECT("'"&amp;$H$3&amp;"'!W$175"),IF(INDIRECT("'"&amp;$H$3&amp;"'!W$178")='List Values'!$F$5,W$247,IF(INDIRECT("'"&amp;$H$3&amp;"'!W$178")='List Values'!$F$6,INDIRECT("'"&amp;$H$3&amp;"'!W$95")*INDIRECT("'"&amp;$H$3&amp;"'!W$175"),IF(INDIRECT("'"&amp;$H$3&amp;"'!W$178")='List Values'!$F$7,1,0))))),0),0)</f>
        <v>0</v>
      </c>
      <c r="Y110" s="341">
        <f t="shared" ref="Y110:Y117" ca="1" si="11">SUM(H110:W110)</f>
        <v>0</v>
      </c>
    </row>
    <row r="111" spans="6:38">
      <c r="F111" s="298"/>
      <c r="G111" s="298" t="s">
        <v>89</v>
      </c>
      <c r="H111" s="300">
        <f ca="1">(IFERROR(1-INDIRECT("'"&amp;$H$3&amp;"'!H$142"),0))*(H$155+H$171)*INDIRECT("'"&amp;$H$3&amp;"'!$H$10")*(IFERROR(INDEX(INDIRECT("'"&amp;$H$3&amp;"'!$H$28:$H$38"),MATCH(INDIRECT("'"&amp;$H$3&amp;"'!H$145"),INDIRECT("'"&amp;$H$3&amp;"'!$B$28:$B$38"),0)),0)+IFERROR(INDIRECT("'"&amp;$H$3&amp;"'!H$146")*INDEX(INDIRECT("'"&amp;$H$3&amp;"'!$H$28:$H$38"),MATCH(INDIRECT("'"&amp;$H$3&amp;"'!H$147"),INDIRECT("'"&amp;$H$3&amp;"'!$B$28:$B$38"),0)),0))
+(IFERROR(1-INDIRECT("'"&amp;$H$3&amp;"'!H$162"),0))*(H$193+H$209)*INDIRECT("'"&amp;$H$3&amp;"'!$H$10")*(IFERROR(INDEX(INDIRECT("'"&amp;$H$3&amp;"'!$H$28:$H$38"),MATCH(INDIRECT("'"&amp;$H$3&amp;"'!H$165"),INDIRECT("'"&amp;$H$3&amp;"'!$B$28:$B$38"),0)),0)+IFERROR(INDIRECT("'"&amp;$H$3&amp;"'!H$166")*INDEX(INDIRECT("'"&amp;$H$3&amp;"'!$H$28:$H$38"),MATCH(INDIRECT("'"&amp;$H$3&amp;"'!H$167"),INDIRECT("'"&amp;$H$3&amp;"'!$B$28:$B$38"),0)),0))
+(IFERROR(1-INDIRECT("'"&amp;$H$3&amp;"'!H$182"),0))*(H$231+H$247)*INDIRECT("'"&amp;$H$3&amp;"'!$H$10")*(IFERROR(INDEX(INDIRECT("'"&amp;$H$3&amp;"'!$H$28:$H$38"),MATCH(INDIRECT("'"&amp;$H$3&amp;"'!H$185"),INDIRECT("'"&amp;$H$3&amp;"'!$B$28:$B$38"),0)),0)+IFERROR(INDIRECT("'"&amp;$H$3&amp;"'!H$186")*INDEX(INDIRECT("'"&amp;$H$3&amp;"'!$H$28:$H$38"),MATCH(INDIRECT("'"&amp;$H$3&amp;"'!H$187"),INDIRECT("'"&amp;$H$3&amp;"'!$B$28:$B$38"),0)),0))</f>
        <v>0</v>
      </c>
      <c r="I111" s="300"/>
      <c r="J111" s="300"/>
      <c r="K111" s="300">
        <f ca="1">(IFERROR(1-INDIRECT("'"&amp;$H$3&amp;"'!K$142"),0))*(K$155+K$171)*INDIRECT("'"&amp;$H$3&amp;"'!$H$10")*(IFERROR(INDEX(INDIRECT("'"&amp;$H$3&amp;"'!$H$28:$H$38"),MATCH(INDIRECT("'"&amp;$H$3&amp;"'!K$145"),INDIRECT("'"&amp;$H$3&amp;"'!$B$28:$B$38"),0)),0)+IFERROR(INDIRECT("'"&amp;$H$3&amp;"'!K$146")*INDEX(INDIRECT("'"&amp;$H$3&amp;"'!$H$28:$H$38"),MATCH(INDIRECT("'"&amp;$H$3&amp;"'!K$147"),INDIRECT("'"&amp;$H$3&amp;"'!$B$28:$B$38"),0)),0))
+(IFERROR(1-INDIRECT("'"&amp;$H$3&amp;"'!K$162"),0))*(K$193+K$209)*INDIRECT("'"&amp;$H$3&amp;"'!$H$10")*(IFERROR(INDEX(INDIRECT("'"&amp;$H$3&amp;"'!$H$28:$H$38"),MATCH(INDIRECT("'"&amp;$H$3&amp;"'!K$165"),INDIRECT("'"&amp;$H$3&amp;"'!$B$28:$B$38"),0)),0)+IFERROR(INDIRECT("'"&amp;$H$3&amp;"'!K$166")*INDEX(INDIRECT("'"&amp;$H$3&amp;"'!$H$28:$H$38"),MATCH(INDIRECT("'"&amp;$H$3&amp;"'!K$167"),INDIRECT("'"&amp;$H$3&amp;"'!$B$28:$B$38"),0)),0))
+(IFERROR(1-INDIRECT("'"&amp;$H$3&amp;"'!K$182"),0))*(K$231+K$247)*INDIRECT("'"&amp;$H$3&amp;"'!$H$10")*(IFERROR(INDEX(INDIRECT("'"&amp;$H$3&amp;"'!$H$28:$H$38"),MATCH(INDIRECT("'"&amp;$H$3&amp;"'!K$185"),INDIRECT("'"&amp;$H$3&amp;"'!$B$28:$B$38"),0)),0)+IFERROR(INDIRECT("'"&amp;$H$3&amp;"'!K$186")*INDEX(INDIRECT("'"&amp;$H$3&amp;"'!$H$28:$H$38"),MATCH(INDIRECT("'"&amp;$H$3&amp;"'!K$187"),INDIRECT("'"&amp;$H$3&amp;"'!$B$28:$B$38"),0)),0))</f>
        <v>10117.92</v>
      </c>
      <c r="L111" s="300"/>
      <c r="M111" s="300"/>
      <c r="N111" s="300">
        <f ca="1">(IFERROR(1-INDIRECT("'"&amp;$H$3&amp;"'!N$142"),0))*(N$155+N$171)*INDIRECT("'"&amp;$H$3&amp;"'!$H$10")*(IFERROR(INDEX(INDIRECT("'"&amp;$H$3&amp;"'!$H$28:$H$38"),MATCH(INDIRECT("'"&amp;$H$3&amp;"'!N$145"),INDIRECT("'"&amp;$H$3&amp;"'!$B$28:$B$38"),0)),0)+IFERROR(INDIRECT("'"&amp;$H$3&amp;"'!N$146")*INDEX(INDIRECT("'"&amp;$H$3&amp;"'!$H$28:$H$38"),MATCH(INDIRECT("'"&amp;$H$3&amp;"'!N$147"),INDIRECT("'"&amp;$H$3&amp;"'!$B$28:$B$38"),0)),0))
+(IFERROR(1-INDIRECT("'"&amp;$H$3&amp;"'!N$162"),0))*(N$193+N$209)*INDIRECT("'"&amp;$H$3&amp;"'!$H$10")*(IFERROR(INDEX(INDIRECT("'"&amp;$H$3&amp;"'!$H$28:$H$38"),MATCH(INDIRECT("'"&amp;$H$3&amp;"'!N$165"),INDIRECT("'"&amp;$H$3&amp;"'!$B$28:$B$38"),0)),0)+IFERROR(INDIRECT("'"&amp;$H$3&amp;"'!N$166")*INDEX(INDIRECT("'"&amp;$H$3&amp;"'!$H$28:$H$38"),MATCH(INDIRECT("'"&amp;$H$3&amp;"'!N$167"),INDIRECT("'"&amp;$H$3&amp;"'!$B$28:$B$38"),0)),0))
+(IFERROR(1-INDIRECT("'"&amp;$H$3&amp;"'!N$182"),0))*(N$231+N$247)*INDIRECT("'"&amp;$H$3&amp;"'!$H$10")*(IFERROR(INDEX(INDIRECT("'"&amp;$H$3&amp;"'!$H$28:$H$38"),MATCH(INDIRECT("'"&amp;$H$3&amp;"'!N$185"),INDIRECT("'"&amp;$H$3&amp;"'!$B$28:$B$38"),0)),0)+IFERROR(INDIRECT("'"&amp;$H$3&amp;"'!N$186")*INDEX(INDIRECT("'"&amp;$H$3&amp;"'!$H$28:$H$38"),MATCH(INDIRECT("'"&amp;$H$3&amp;"'!N$187"),INDIRECT("'"&amp;$H$3&amp;"'!$B$28:$B$38"),0)),0))</f>
        <v>32575.920000000002</v>
      </c>
      <c r="O111" s="300"/>
      <c r="P111" s="300"/>
      <c r="Q111" s="300">
        <f ca="1">(IFERROR(1-INDIRECT("'"&amp;$H$3&amp;"'!Q$142"),0))*(Q$155+Q$171)*INDIRECT("'"&amp;$H$3&amp;"'!$H$10")*(IFERROR(INDEX(INDIRECT("'"&amp;$H$3&amp;"'!$H$28:$H$38"),MATCH(INDIRECT("'"&amp;$H$3&amp;"'!Q$145"),INDIRECT("'"&amp;$H$3&amp;"'!$B$28:$B$38"),0)),0)+IFERROR(INDIRECT("'"&amp;$H$3&amp;"'!Q$146")*INDEX(INDIRECT("'"&amp;$H$3&amp;"'!$H$28:$H$38"),MATCH(INDIRECT("'"&amp;$H$3&amp;"'!Q$147"),INDIRECT("'"&amp;$H$3&amp;"'!$B$28:$B$38"),0)),0))
+(IFERROR(1-INDIRECT("'"&amp;$H$3&amp;"'!Q$162"),0))*(Q$193+Q$209)*INDIRECT("'"&amp;$H$3&amp;"'!$H$10")*(IFERROR(INDEX(INDIRECT("'"&amp;$H$3&amp;"'!$H$28:$H$38"),MATCH(INDIRECT("'"&amp;$H$3&amp;"'!Q$165"),INDIRECT("'"&amp;$H$3&amp;"'!$B$28:$B$38"),0)),0)+IFERROR(INDIRECT("'"&amp;$H$3&amp;"'!Q$166")*INDEX(INDIRECT("'"&amp;$H$3&amp;"'!$H$28:$H$38"),MATCH(INDIRECT("'"&amp;$H$3&amp;"'!Q$167"),INDIRECT("'"&amp;$H$3&amp;"'!$B$28:$B$38"),0)),0))
+(IFERROR(1-INDIRECT("'"&amp;$H$3&amp;"'!Q$182"),0))*(Q$231+Q$247)*INDIRECT("'"&amp;$H$3&amp;"'!$H$10")*(IFERROR(INDEX(INDIRECT("'"&amp;$H$3&amp;"'!$H$28:$H$38"),MATCH(INDIRECT("'"&amp;$H$3&amp;"'!Q$185"),INDIRECT("'"&amp;$H$3&amp;"'!$B$28:$B$38"),0)),0)+IFERROR(INDIRECT("'"&amp;$H$3&amp;"'!Q$186")*INDEX(INDIRECT("'"&amp;$H$3&amp;"'!$H$28:$H$38"),MATCH(INDIRECT("'"&amp;$H$3&amp;"'!Q$187"),INDIRECT("'"&amp;$H$3&amp;"'!$B$28:$B$38"),0)),0))</f>
        <v>0</v>
      </c>
      <c r="R111" s="300"/>
      <c r="S111" s="337"/>
      <c r="T111" s="300">
        <f ca="1">(IFERROR(1-INDIRECT("'"&amp;$H$3&amp;"'!T$142"),0))*(T$155+T$171)*INDIRECT("'"&amp;$H$3&amp;"'!$H$10")*(IFERROR(INDEX(INDIRECT("'"&amp;$H$3&amp;"'!$H$28:$H$38"),MATCH(INDIRECT("'"&amp;$H$3&amp;"'!T$145"),INDIRECT("'"&amp;$H$3&amp;"'!$B$28:$B$38"),0)),0)+IFERROR(INDIRECT("'"&amp;$H$3&amp;"'!T$146")*INDEX(INDIRECT("'"&amp;$H$3&amp;"'!$H$28:$H$38"),MATCH(INDIRECT("'"&amp;$H$3&amp;"'!T$147"),INDIRECT("'"&amp;$H$3&amp;"'!$B$28:$B$38"),0)),0))
+(IFERROR(1-INDIRECT("'"&amp;$H$3&amp;"'!T$162"),0))*(T$193+T$209)*INDIRECT("'"&amp;$H$3&amp;"'!$H$10")*(IFERROR(INDEX(INDIRECT("'"&amp;$H$3&amp;"'!$H$28:$H$38"),MATCH(INDIRECT("'"&amp;$H$3&amp;"'!T$165"),INDIRECT("'"&amp;$H$3&amp;"'!$B$28:$B$38"),0)),0)+IFERROR(INDIRECT("'"&amp;$H$3&amp;"'!T$166")*INDEX(INDIRECT("'"&amp;$H$3&amp;"'!$H$28:$H$38"),MATCH(INDIRECT("'"&amp;$H$3&amp;"'!T$167"),INDIRECT("'"&amp;$H$3&amp;"'!$B$28:$B$38"),0)),0))
+(IFERROR(1-INDIRECT("'"&amp;$H$3&amp;"'!T$182"),0))*(T$231+T$247)*INDIRECT("'"&amp;$H$3&amp;"'!$H$10")*(IFERROR(INDEX(INDIRECT("'"&amp;$H$3&amp;"'!$H$28:$H$38"),MATCH(INDIRECT("'"&amp;$H$3&amp;"'!T$185"),INDIRECT("'"&amp;$H$3&amp;"'!$B$28:$B$38"),0)),0)+IFERROR(INDIRECT("'"&amp;$H$3&amp;"'!T$186")*INDEX(INDIRECT("'"&amp;$H$3&amp;"'!$H$28:$H$38"),MATCH(INDIRECT("'"&amp;$H$3&amp;"'!T$187"),INDIRECT("'"&amp;$H$3&amp;"'!$B$28:$B$38"),0)),0))</f>
        <v>0</v>
      </c>
      <c r="U111" s="337"/>
      <c r="V111" s="337"/>
      <c r="W111" s="1437">
        <f ca="1">(IFERROR(1-INDIRECT("'"&amp;$H$3&amp;"'!W$142"),0))*(W$155+W$171)*INDIRECT("'"&amp;$H$3&amp;"'!$H$10")*(IFERROR(INDEX(INDIRECT("'"&amp;$H$3&amp;"'!$H$28:$H$38"),MATCH(INDIRECT("'"&amp;$H$3&amp;"'!W$145"),INDIRECT("'"&amp;$H$3&amp;"'!$B$28:$B$38"),0)),0)+IFERROR(INDIRECT("'"&amp;$H$3&amp;"'!W$146")*INDEX(INDIRECT("'"&amp;$H$3&amp;"'!$H$28:$H$38"),MATCH(INDIRECT("'"&amp;$H$3&amp;"'!W$147"),INDIRECT("'"&amp;$H$3&amp;"'!$B$28:$B$38"),0)),0))
+(IFERROR(1-INDIRECT("'"&amp;$H$3&amp;"'!W$162"),0))*(W$193+W$209)*INDIRECT("'"&amp;$H$3&amp;"'!$H$10")*(IFERROR(INDEX(INDIRECT("'"&amp;$H$3&amp;"'!$H$28:$H$38"),MATCH(INDIRECT("'"&amp;$H$3&amp;"'!W$165"),INDIRECT("'"&amp;$H$3&amp;"'!$B$28:$B$38"),0)),0)+IFERROR(INDIRECT("'"&amp;$H$3&amp;"'!W$166")*INDEX(INDIRECT("'"&amp;$H$3&amp;"'!$H$28:$H$38"),MATCH(INDIRECT("'"&amp;$H$3&amp;"'!W$167"),INDIRECT("'"&amp;$H$3&amp;"'!$B$28:$B$38"),0)),0))
+(IFERROR(1-INDIRECT("'"&amp;$H$3&amp;"'!W$182"),0))*(W$231+W$247)*INDIRECT("'"&amp;$H$3&amp;"'!$H$10")*(IFERROR(INDEX(INDIRECT("'"&amp;$H$3&amp;"'!$H$28:$H$38"),MATCH(INDIRECT("'"&amp;$H$3&amp;"'!W$185"),INDIRECT("'"&amp;$H$3&amp;"'!$B$28:$B$38"),0)),0)+IFERROR(INDIRECT("'"&amp;$H$3&amp;"'!W$186")*INDEX(INDIRECT("'"&amp;$H$3&amp;"'!$H$28:$H$38"),MATCH(INDIRECT("'"&amp;$H$3&amp;"'!W$187"),INDIRECT("'"&amp;$H$3&amp;"'!$B$28:$B$38"),0)),0))</f>
        <v>0</v>
      </c>
      <c r="Y111" s="341">
        <f t="shared" ca="1" si="11"/>
        <v>42693.840000000004</v>
      </c>
      <c r="AL111" s="4"/>
    </row>
    <row r="112" spans="6:38">
      <c r="F112" s="288"/>
      <c r="G112" s="288" t="s">
        <v>90</v>
      </c>
      <c r="H112" s="300">
        <f ca="1">(IFERROR(1-INDIRECT("'"&amp;$H$3&amp;"'!H$142"),0))*(H$155+H$171)*(IFERROR(INDEX(INDIRECT("'"&amp;$H$3&amp;"'!$K$28:$K$38"),MATCH(INDIRECT("'"&amp;$H$3&amp;"'!H$145"),INDIRECT("'"&amp;$H$3&amp;"'!$B$28:$B$38"),0)),0)+IFERROR(INDIRECT("'"&amp;$H$3&amp;"'!H$146")*INDEX(INDIRECT("'"&amp;$H$3&amp;"'!$K$28:$K$38"),MATCH(INDIRECT("'"&amp;$H$3&amp;"'!H$147"),INDIRECT("'"&amp;$H$3&amp;"'!$B$28:$B$38"),0)),0))
+(IFERROR(1-INDIRECT("'"&amp;$H$3&amp;"'!H$162"),0))*(H$193+H$209)*(IFERROR(INDEX(INDIRECT("'"&amp;$H$3&amp;"'!$K$28:$K$38"),MATCH(INDIRECT("'"&amp;$H$3&amp;"'!H$165"),INDIRECT("'"&amp;$H$3&amp;"'!$B$28:$B$38"),0)),0)+IFERROR(INDIRECT("'"&amp;$H$3&amp;"'!H$166")*INDEX(INDIRECT("'"&amp;$H$3&amp;"'!$K$28:$K$38"),MATCH(INDIRECT("'"&amp;$H$3&amp;"'!H$167"),INDIRECT("'"&amp;$H$3&amp;"'!$B$28:$B$38"),0)),0))
+(IFERROR(1-INDIRECT("'"&amp;$H$3&amp;"'!H$182"),0))*(H$231+H$247)*(IFERROR(INDEX(INDIRECT("'"&amp;$H$3&amp;"'!$K$28:$K$38"),MATCH(INDIRECT("'"&amp;$H$3&amp;"'!H$185"),INDIRECT("'"&amp;$H$3&amp;"'!$B$28:$B$38"),0)),0)+IFERROR(INDIRECT("'"&amp;$H$3&amp;"'!H$186")*INDEX(INDIRECT("'"&amp;$H$3&amp;"'!$K$28:$K$38"),MATCH(INDIRECT("'"&amp;$H$3&amp;"'!H$187"),INDIRECT("'"&amp;$H$3&amp;"'!$B$28:$B$38"),0)),0))</f>
        <v>0</v>
      </c>
      <c r="I112" s="300"/>
      <c r="J112" s="300"/>
      <c r="K112" s="300">
        <f ca="1">(IFERROR(1-INDIRECT("'"&amp;$H$3&amp;"'!K$142"),0))*(K$155+K$171)*(IFERROR(INDEX(INDIRECT("'"&amp;$H$3&amp;"'!$K$28:$K$38"),MATCH(INDIRECT("'"&amp;$H$3&amp;"'!K$145"),INDIRECT("'"&amp;$H$3&amp;"'!$B$28:$B$38"),0)),0)+IFERROR(INDIRECT("'"&amp;$H$3&amp;"'!K$146")*INDEX(INDIRECT("'"&amp;$H$3&amp;"'!$K$28:$K$38"),MATCH(INDIRECT("'"&amp;$H$3&amp;"'!K$147"),INDIRECT("'"&amp;$H$3&amp;"'!$B$28:$B$38"),0)),0))
+(IFERROR(1-INDIRECT("'"&amp;$H$3&amp;"'!K$162"),0))*(K$193+K$209)*(IFERROR(INDEX(INDIRECT("'"&amp;$H$3&amp;"'!$K$28:$K$38"),MATCH(INDIRECT("'"&amp;$H$3&amp;"'!K$165"),INDIRECT("'"&amp;$H$3&amp;"'!$B$28:$B$38"),0)),0)+IFERROR(INDIRECT("'"&amp;$H$3&amp;"'!K$166")*INDEX(INDIRECT("'"&amp;$H$3&amp;"'!$K$28:$K$38"),MATCH(INDIRECT("'"&amp;$H$3&amp;"'!K$167"),INDIRECT("'"&amp;$H$3&amp;"'!$B$28:$B$38"),0)),0))
+(IFERROR(1-INDIRECT("'"&amp;$H$3&amp;"'!K$182"),0))*(K$231+K$247)*(IFERROR(INDEX(INDIRECT("'"&amp;$H$3&amp;"'!$K$28:$K$38"),MATCH(INDIRECT("'"&amp;$H$3&amp;"'!K$185"),INDIRECT("'"&amp;$H$3&amp;"'!$B$28:$B$38"),0)),0)+IFERROR(INDIRECT("'"&amp;$H$3&amp;"'!K$186")*INDEX(INDIRECT("'"&amp;$H$3&amp;"'!$K$28:$K$38"),MATCH(INDIRECT("'"&amp;$H$3&amp;"'!K$187"),INDIRECT("'"&amp;$H$3&amp;"'!$B$28:$B$38"),0)),0))</f>
        <v>6420</v>
      </c>
      <c r="L112" s="300"/>
      <c r="M112" s="300"/>
      <c r="N112" s="300">
        <f ca="1">(IFERROR(1-INDIRECT("'"&amp;$H$3&amp;"'!N$142"),0))*(N$155+N$171)*(IFERROR(INDEX(INDIRECT("'"&amp;$H$3&amp;"'!$K$28:$K$38"),MATCH(INDIRECT("'"&amp;$H$3&amp;"'!N$145"),INDIRECT("'"&amp;$H$3&amp;"'!$B$28:$B$38"),0)),0)+IFERROR(INDIRECT("'"&amp;$H$3&amp;"'!N$146")*INDEX(INDIRECT("'"&amp;$H$3&amp;"'!$K$28:$K$38"),MATCH(INDIRECT("'"&amp;$H$3&amp;"'!N$147"),INDIRECT("'"&amp;$H$3&amp;"'!$B$28:$B$38"),0)),0))
+(IFERROR(1-INDIRECT("'"&amp;$H$3&amp;"'!N$162"),0))*(N$193+N$209)*(IFERROR(INDEX(INDIRECT("'"&amp;$H$3&amp;"'!$K$28:$K$38"),MATCH(INDIRECT("'"&amp;$H$3&amp;"'!N$165"),INDIRECT("'"&amp;$H$3&amp;"'!$B$28:$B$38"),0)),0)+IFERROR(INDIRECT("'"&amp;$H$3&amp;"'!N$166")*INDEX(INDIRECT("'"&amp;$H$3&amp;"'!$K$28:$K$38"),MATCH(INDIRECT("'"&amp;$H$3&amp;"'!N$167"),INDIRECT("'"&amp;$H$3&amp;"'!$B$28:$B$38"),0)),0))
+(IFERROR(1-INDIRECT("'"&amp;$H$3&amp;"'!N$182"),0))*(N$231+N$247)*(IFERROR(INDEX(INDIRECT("'"&amp;$H$3&amp;"'!$K$28:$K$38"),MATCH(INDIRECT("'"&amp;$H$3&amp;"'!N$185"),INDIRECT("'"&amp;$H$3&amp;"'!$B$28:$B$38"),0)),0)+IFERROR(INDIRECT("'"&amp;$H$3&amp;"'!N$186")*INDEX(INDIRECT("'"&amp;$H$3&amp;"'!$K$28:$K$38"),MATCH(INDIRECT("'"&amp;$H$3&amp;"'!N$187"),INDIRECT("'"&amp;$H$3&amp;"'!$B$28:$B$38"),0)),0))</f>
        <v>20670</v>
      </c>
      <c r="O112" s="300"/>
      <c r="P112" s="300"/>
      <c r="Q112" s="300">
        <f ca="1">(IFERROR(1-INDIRECT("'"&amp;$H$3&amp;"'!Q$142"),0))*(Q$155+Q$171)*(IFERROR(INDEX(INDIRECT("'"&amp;$H$3&amp;"'!$K$28:$K$38"),MATCH(INDIRECT("'"&amp;$H$3&amp;"'!Q$145"),INDIRECT("'"&amp;$H$3&amp;"'!$B$28:$B$38"),0)),0)+IFERROR(INDIRECT("'"&amp;$H$3&amp;"'!Q$146")*INDEX(INDIRECT("'"&amp;$H$3&amp;"'!$K$28:$K$38"),MATCH(INDIRECT("'"&amp;$H$3&amp;"'!Q$147"),INDIRECT("'"&amp;$H$3&amp;"'!$B$28:$B$38"),0)),0))
+(IFERROR(1-INDIRECT("'"&amp;$H$3&amp;"'!Q$162"),0))*(Q$193+Q$209)*(IFERROR(INDEX(INDIRECT("'"&amp;$H$3&amp;"'!$K$28:$K$38"),MATCH(INDIRECT("'"&amp;$H$3&amp;"'!Q$165"),INDIRECT("'"&amp;$H$3&amp;"'!$B$28:$B$38"),0)),0)+IFERROR(INDIRECT("'"&amp;$H$3&amp;"'!Q$166")*INDEX(INDIRECT("'"&amp;$H$3&amp;"'!$K$28:$K$38"),MATCH(INDIRECT("'"&amp;$H$3&amp;"'!Q$167"),INDIRECT("'"&amp;$H$3&amp;"'!$B$28:$B$38"),0)),0))
+(IFERROR(1-INDIRECT("'"&amp;$H$3&amp;"'!Q$182"),0))*(Q$231+Q$247)*(IFERROR(INDEX(INDIRECT("'"&amp;$H$3&amp;"'!$K$28:$K$38"),MATCH(INDIRECT("'"&amp;$H$3&amp;"'!Q$185"),INDIRECT("'"&amp;$H$3&amp;"'!$B$28:$B$38"),0)),0)+IFERROR(INDIRECT("'"&amp;$H$3&amp;"'!Q$186")*INDEX(INDIRECT("'"&amp;$H$3&amp;"'!$K$28:$K$38"),MATCH(INDIRECT("'"&amp;$H$3&amp;"'!Q$187"),INDIRECT("'"&amp;$H$3&amp;"'!$B$28:$B$38"),0)),0))</f>
        <v>0</v>
      </c>
      <c r="R112" s="300"/>
      <c r="S112" s="337"/>
      <c r="T112" s="300">
        <f ca="1">(IFERROR(1-INDIRECT("'"&amp;$H$3&amp;"'!T$142"),0))*(T$155+T$171)*(IFERROR(INDEX(INDIRECT("'"&amp;$H$3&amp;"'!$K$28:$K$38"),MATCH(INDIRECT("'"&amp;$H$3&amp;"'!T$145"),INDIRECT("'"&amp;$H$3&amp;"'!$B$28:$B$38"),0)),0)+IFERROR(INDIRECT("'"&amp;$H$3&amp;"'!T$146")*INDEX(INDIRECT("'"&amp;$H$3&amp;"'!$K$28:$K$38"),MATCH(INDIRECT("'"&amp;$H$3&amp;"'!T$147"),INDIRECT("'"&amp;$H$3&amp;"'!$B$28:$B$38"),0)),0))
+(IFERROR(1-INDIRECT("'"&amp;$H$3&amp;"'!T$162"),0))*(T$193+T$209)*(IFERROR(INDEX(INDIRECT("'"&amp;$H$3&amp;"'!$K$28:$K$38"),MATCH(INDIRECT("'"&amp;$H$3&amp;"'!T$165"),INDIRECT("'"&amp;$H$3&amp;"'!$B$28:$B$38"),0)),0)+IFERROR(INDIRECT("'"&amp;$H$3&amp;"'!T$166")*INDEX(INDIRECT("'"&amp;$H$3&amp;"'!$K$28:$K$38"),MATCH(INDIRECT("'"&amp;$H$3&amp;"'!T$167"),INDIRECT("'"&amp;$H$3&amp;"'!$B$28:$B$38"),0)),0))
+(IFERROR(1-INDIRECT("'"&amp;$H$3&amp;"'!T$182"),0))*(T$231+T$247)*(IFERROR(INDEX(INDIRECT("'"&amp;$H$3&amp;"'!$K$28:$K$38"),MATCH(INDIRECT("'"&amp;$H$3&amp;"'!T$185"),INDIRECT("'"&amp;$H$3&amp;"'!$B$28:$B$38"),0)),0)+IFERROR(INDIRECT("'"&amp;$H$3&amp;"'!T$186")*INDEX(INDIRECT("'"&amp;$H$3&amp;"'!$K$28:$K$38"),MATCH(INDIRECT("'"&amp;$H$3&amp;"'!T$187"),INDIRECT("'"&amp;$H$3&amp;"'!$B$28:$B$38"),0)),0))</f>
        <v>0</v>
      </c>
      <c r="U112" s="337"/>
      <c r="V112" s="337"/>
      <c r="W112" s="1437">
        <f ca="1">(IFERROR(1-INDIRECT("'"&amp;$H$3&amp;"'!W$142"),0))*(W$155+W$171)*(IFERROR(INDEX(INDIRECT("'"&amp;$H$3&amp;"'!$K$28:$K$38"),MATCH(INDIRECT("'"&amp;$H$3&amp;"'!W$145"),INDIRECT("'"&amp;$H$3&amp;"'!$B$28:$B$38"),0)),0)+IFERROR(INDIRECT("'"&amp;$H$3&amp;"'!W$146")*INDEX(INDIRECT("'"&amp;$H$3&amp;"'!$K$28:$K$38"),MATCH(INDIRECT("'"&amp;$H$3&amp;"'!W$147"),INDIRECT("'"&amp;$H$3&amp;"'!$B$28:$B$38"),0)),0))
+(IFERROR(1-INDIRECT("'"&amp;$H$3&amp;"'!W$162"),0))*(W$193+W$209)*(IFERROR(INDEX(INDIRECT("'"&amp;$H$3&amp;"'!$K$28:$K$38"),MATCH(INDIRECT("'"&amp;$H$3&amp;"'!W$165"),INDIRECT("'"&amp;$H$3&amp;"'!$B$28:$B$38"),0)),0)+IFERROR(INDIRECT("'"&amp;$H$3&amp;"'!W$166")*INDEX(INDIRECT("'"&amp;$H$3&amp;"'!$K$28:$K$38"),MATCH(INDIRECT("'"&amp;$H$3&amp;"'!W$167"),INDIRECT("'"&amp;$H$3&amp;"'!$B$28:$B$38"),0)),0))
+(IFERROR(1-INDIRECT("'"&amp;$H$3&amp;"'!W$182"),0))*(W$231+W$247)*(IFERROR(INDEX(INDIRECT("'"&amp;$H$3&amp;"'!$K$28:$K$38"),MATCH(INDIRECT("'"&amp;$H$3&amp;"'!W$185"),INDIRECT("'"&amp;$H$3&amp;"'!$B$28:$B$38"),0)),0)+IFERROR(INDIRECT("'"&amp;$H$3&amp;"'!W$186")*INDEX(INDIRECT("'"&amp;$H$3&amp;"'!$K$28:$K$38"),MATCH(INDIRECT("'"&amp;$H$3&amp;"'!W$187"),INDIRECT("'"&amp;$H$3&amp;"'!$B$28:$B$38"),0)),0))</f>
        <v>0</v>
      </c>
      <c r="Y112" s="341">
        <f t="shared" ca="1" si="11"/>
        <v>27090</v>
      </c>
    </row>
    <row r="113" spans="6:38">
      <c r="F113" s="288"/>
      <c r="G113" s="288" t="s">
        <v>1</v>
      </c>
      <c r="H113" s="300">
        <f ca="1">INDIRECT("'"&amp;$H$3&amp;"'!$H$8")*(
(IFERROR(1-INDIRECT("'"&amp;$H$3&amp;"'!H$142"),0))*IF(INDIRECT("'"&amp;$H$3&amp;"'!H$137")='List Values'!$E$5,0,(H$169*IFERROR(1/INDEX(INDIRECT("'"&amp;$H$3&amp;"'!$H$49:$H$78"),MATCH(INDIRECT("'"&amp;$H$3&amp;"'!H$136")&amp;"Fuel Efficiency (km/liter)",INDIRECT("'"&amp;$H$3&amp;"'!$F$49:$F$78"),0)),0)))
+(IFERROR(1-INDIRECT("'"&amp;$H$3&amp;"'!H$162"),0))*IF(INDIRECT("'"&amp;$H$3&amp;"'!H$157")='List Values'!$E$5,0,(H$207*IFERROR(1/INDEX(INDIRECT("'"&amp;$H$3&amp;"'!$H$49:$H$78"),MATCH(INDIRECT("'"&amp;$H$3&amp;"'!H$156")&amp;"Fuel Efficiency (km/liter)",INDIRECT("'"&amp;$H$3&amp;"'!$F$49:$F$78"),0)),0)))
+(IFERROR(1-INDIRECT("'"&amp;$H$3&amp;"'!H$182"),0))*IF(INDIRECT("'"&amp;$H$3&amp;"'!H$177")='List Values'!$E$5,0,(H$245*IFERROR(1/INDEX(INDIRECT("'"&amp;$H$3&amp;"'!$H$49:$H$78"),MATCH(INDIRECT("'"&amp;$H$3&amp;"'!H$176")&amp;"Fuel Efficiency (km/liter)",INDIRECT("'"&amp;$H$3&amp;"'!$F$49:$F$78"),0)),0))))</f>
        <v>0</v>
      </c>
      <c r="I113" s="300"/>
      <c r="J113" s="300"/>
      <c r="K113" s="300">
        <f ca="1">INDIRECT("'"&amp;$H$3&amp;"'!$H$8")*(
(IFERROR(1-INDIRECT("'"&amp;$H$3&amp;"'!K$142"),0))*IF(INDIRECT("'"&amp;$H$3&amp;"'!K$137")='List Values'!$E$5,0,(K$169*IFERROR(1/INDEX(INDIRECT("'"&amp;$H$3&amp;"'!$H$49:$H$78"),MATCH(INDIRECT("'"&amp;$H$3&amp;"'!K$136")&amp;"Fuel Efficiency (km/liter)",INDIRECT("'"&amp;$H$3&amp;"'!$F$49:$F$78"),0)),0)))
+(IFERROR(1-INDIRECT("'"&amp;$H$3&amp;"'!K$162"),0))*IF(INDIRECT("'"&amp;$H$3&amp;"'!K$157")='List Values'!$E$5,0,(K$207*IFERROR(1/INDEX(INDIRECT("'"&amp;$H$3&amp;"'!$H$49:$H$78"),MATCH(INDIRECT("'"&amp;$H$3&amp;"'!K$156")&amp;"Fuel Efficiency (km/liter)",INDIRECT("'"&amp;$H$3&amp;"'!$F$49:$F$78"),0)),0)))
+(IFERROR(1-INDIRECT("'"&amp;$H$3&amp;"'!K$182"),0))*IF(INDIRECT("'"&amp;$H$3&amp;"'!K$177")='List Values'!$E$5,0,(K$245*IFERROR(1/INDEX(INDIRECT("'"&amp;$H$3&amp;"'!$H$49:$H$78"),MATCH(INDIRECT("'"&amp;$H$3&amp;"'!K$176")&amp;"Fuel Efficiency (km/liter)",INDIRECT("'"&amp;$H$3&amp;"'!$F$49:$F$78"),0)),0))))</f>
        <v>51696.559585492243</v>
      </c>
      <c r="L113" s="300"/>
      <c r="M113" s="300"/>
      <c r="N113" s="300">
        <f ca="1">INDIRECT("'"&amp;$H$3&amp;"'!$H$8")*(
(IFERROR(1-INDIRECT("'"&amp;$H$3&amp;"'!N$142"),0))*IF(INDIRECT("'"&amp;$H$3&amp;"'!N$137")='List Values'!$E$5,0,(N$169*IFERROR(1/INDEX(INDIRECT("'"&amp;$H$3&amp;"'!$H$49:$H$78"),MATCH(INDIRECT("'"&amp;$H$3&amp;"'!N$136")&amp;"Fuel Efficiency (km/liter)",INDIRECT("'"&amp;$H$3&amp;"'!$F$49:$F$78"),0)),0)))
+(IFERROR(1-INDIRECT("'"&amp;$H$3&amp;"'!N$162"),0))*IF(INDIRECT("'"&amp;$H$3&amp;"'!N$157")='List Values'!$E$5,0,(N$207*IFERROR(1/INDEX(INDIRECT("'"&amp;$H$3&amp;"'!$H$49:$H$78"),MATCH(INDIRECT("'"&amp;$H$3&amp;"'!N$156")&amp;"Fuel Efficiency (km/liter)",INDIRECT("'"&amp;$H$3&amp;"'!$F$49:$F$78"),0)),0)))
+(IFERROR(1-INDIRECT("'"&amp;$H$3&amp;"'!N$182"),0))*IF(INDIRECT("'"&amp;$H$3&amp;"'!N$177")='List Values'!$E$5,0,(N$245*IFERROR(1/INDEX(INDIRECT("'"&amp;$H$3&amp;"'!$H$49:$H$78"),MATCH(INDIRECT("'"&amp;$H$3&amp;"'!N$176")&amp;"Fuel Efficiency (km/liter)",INDIRECT("'"&amp;$H$3&amp;"'!$F$49:$F$78"),0)),0))))</f>
        <v>58310.053061911029</v>
      </c>
      <c r="O113" s="300"/>
      <c r="P113" s="300"/>
      <c r="Q113" s="300">
        <f ca="1">INDIRECT("'"&amp;$H$3&amp;"'!$H$8")*(
(IFERROR(1-INDIRECT("'"&amp;$H$3&amp;"'!Q$142"),0))*IF(INDIRECT("'"&amp;$H$3&amp;"'!Q$137")='List Values'!$E$5,0,(Q$169*IFERROR(1/INDEX(INDIRECT("'"&amp;$H$3&amp;"'!$H$49:$H$78"),MATCH(INDIRECT("'"&amp;$H$3&amp;"'!Q$136")&amp;"Fuel Efficiency (km/liter)",INDIRECT("'"&amp;$H$3&amp;"'!$F$49:$F$78"),0)),0)))
+(IFERROR(1-INDIRECT("'"&amp;$H$3&amp;"'!Q$162"),0))*IF(INDIRECT("'"&amp;$H$3&amp;"'!Q$157")='List Values'!$E$5,0,(Q$207*IFERROR(1/INDEX(INDIRECT("'"&amp;$H$3&amp;"'!$H$49:$H$78"),MATCH(INDIRECT("'"&amp;$H$3&amp;"'!Q$156")&amp;"Fuel Efficiency (km/liter)",INDIRECT("'"&amp;$H$3&amp;"'!$F$49:$F$78"),0)),0)))
+(IFERROR(1-INDIRECT("'"&amp;$H$3&amp;"'!Q$182"),0))*IF(INDIRECT("'"&amp;$H$3&amp;"'!Q$177")='List Values'!$E$5,0,(Q$245*IFERROR(1/INDEX(INDIRECT("'"&amp;$H$3&amp;"'!$H$49:$H$78"),MATCH(INDIRECT("'"&amp;$H$3&amp;"'!Q$176")&amp;"Fuel Efficiency (km/liter)",INDIRECT("'"&amp;$H$3&amp;"'!$F$49:$F$78"),0)),0))))</f>
        <v>0</v>
      </c>
      <c r="R113" s="300"/>
      <c r="S113" s="337"/>
      <c r="T113" s="300">
        <f ca="1">INDIRECT("'"&amp;$H$3&amp;"'!$H$8")*(
(IFERROR(1-INDIRECT("'"&amp;$H$3&amp;"'!T$142"),0))*IF(INDIRECT("'"&amp;$H$3&amp;"'!T$137")='List Values'!$E$5,0,(T$169*IFERROR(1/INDEX(INDIRECT("'"&amp;$H$3&amp;"'!$H$49:$H$78"),MATCH(INDIRECT("'"&amp;$H$3&amp;"'!T$136")&amp;"Fuel Efficiency (km/liter)",INDIRECT("'"&amp;$H$3&amp;"'!$F$49:$F$78"),0)),0)))
+(IFERROR(1-INDIRECT("'"&amp;$H$3&amp;"'!T$162"),0))*IF(INDIRECT("'"&amp;$H$3&amp;"'!T$157")='List Values'!$E$5,0,(T$207*IFERROR(1/INDEX(INDIRECT("'"&amp;$H$3&amp;"'!$H$49:$H$78"),MATCH(INDIRECT("'"&amp;$H$3&amp;"'!T$156")&amp;"Fuel Efficiency (km/liter)",INDIRECT("'"&amp;$H$3&amp;"'!$F$49:$F$78"),0)),0)))
+(IFERROR(1-INDIRECT("'"&amp;$H$3&amp;"'!T$182"),0))*IF(INDIRECT("'"&amp;$H$3&amp;"'!T$177")='List Values'!$E$5,0,(T$245*IFERROR(1/INDEX(INDIRECT("'"&amp;$H$3&amp;"'!$H$49:$H$78"),MATCH(INDIRECT("'"&amp;$H$3&amp;"'!T$176")&amp;"Fuel Efficiency (km/liter)",INDIRECT("'"&amp;$H$3&amp;"'!$F$49:$F$78"),0)),0))))</f>
        <v>0</v>
      </c>
      <c r="U113" s="337"/>
      <c r="V113" s="337"/>
      <c r="W113" s="1437">
        <f ca="1">INDIRECT("'"&amp;$H$3&amp;"'!$H$8")*(
(IFERROR(1-INDIRECT("'"&amp;$H$3&amp;"'!W$142"),0))*IF(INDIRECT("'"&amp;$H$3&amp;"'!W$137")='List Values'!$E$5,0,(W$169*IFERROR(1/INDEX(INDIRECT("'"&amp;$H$3&amp;"'!$H$49:$H$78"),MATCH(INDIRECT("'"&amp;$H$3&amp;"'!W$136")&amp;"Fuel Efficiency (km/liter)",INDIRECT("'"&amp;$H$3&amp;"'!$F$49:$F$78"),0)),0)))
+(IFERROR(1-INDIRECT("'"&amp;$H$3&amp;"'!W$162"),0))*IF(INDIRECT("'"&amp;$H$3&amp;"'!W$157")='List Values'!$E$5,0,(W$207*IFERROR(1/INDEX(INDIRECT("'"&amp;$H$3&amp;"'!$H$49:$H$78"),MATCH(INDIRECT("'"&amp;$H$3&amp;"'!W$156")&amp;"Fuel Efficiency (km/liter)",INDIRECT("'"&amp;$H$3&amp;"'!$F$49:$F$78"),0)),0)))
+(IFERROR(1-INDIRECT("'"&amp;$H$3&amp;"'!W$182"),0))*IF(INDIRECT("'"&amp;$H$3&amp;"'!W$177")='List Values'!$E$5,0,(W$245*IFERROR(1/INDEX(INDIRECT("'"&amp;$H$3&amp;"'!$H$49:$H$78"),MATCH(INDIRECT("'"&amp;$H$3&amp;"'!W$176")&amp;"Fuel Efficiency (km/liter)",INDIRECT("'"&amp;$H$3&amp;"'!$F$49:$F$78"),0)),0))))</f>
        <v>0</v>
      </c>
      <c r="Y113" s="341">
        <f t="shared" ca="1" si="11"/>
        <v>110006.61264740326</v>
      </c>
    </row>
    <row r="114" spans="6:38">
      <c r="F114" s="288"/>
      <c r="G114" s="288" t="s">
        <v>91</v>
      </c>
      <c r="H114" s="300">
        <f ca="1">IFERROR((1-INDIRECT("'"&amp;$H$3&amp;"'!H$141"))*IF(INDIRECT("'"&amp;$H$3&amp;"'!H$137")='List Values'!$E$3,INDEX(INDIRECT("'"&amp;$H$3&amp;"'!$H$49:$H$78"),MATCH(INDIRECT("'"&amp;$H$3&amp;"'!H$136")&amp;"Insurance cost /yr ($)",INDIRECT("'"&amp;$H$3&amp;"'!$F$49:$F$78"),0))*INDIRECT("'"&amp;$H$3&amp;"'!H$140"),0),0)
+IFERROR((1-INDIRECT("'"&amp;$H$3&amp;"'!H$161"))*IF(INDIRECT("'"&amp;$H$3&amp;"'!H$157")='List Values'!$E$3,INDEX(INDIRECT("'"&amp;$H$3&amp;"'!$H$49:$H$78"),MATCH(INDIRECT("'"&amp;$H$3&amp;"'!H$156")&amp;"Insurance cost /yr ($)",INDIRECT("'"&amp;$H$3&amp;"'!$F$49:$F$78"),0))*INDIRECT("'"&amp;$H$3&amp;"'!H$160"),0),0)
+IFERROR((1-INDIRECT("'"&amp;$H$3&amp;"'!H$181"))*IF(INDIRECT("'"&amp;$H$3&amp;"'!H$177")='List Values'!$E$3,INDEX(INDIRECT("'"&amp;$H$3&amp;"'!$H$49:$H$78"),MATCH(INDIRECT("'"&amp;$H$3&amp;"'!H$176")&amp;"Insurance cost /yr ($)",INDIRECT("'"&amp;$H$3&amp;"'!$F$49:$F$78"),0))*INDIRECT("'"&amp;$H$3&amp;"'!H$180"),0),0)</f>
        <v>0</v>
      </c>
      <c r="I114" s="300"/>
      <c r="J114" s="300"/>
      <c r="K114" s="300">
        <f ca="1">IFERROR((1-INDIRECT("'"&amp;$H$3&amp;"'!K$141"))*IF(INDIRECT("'"&amp;$H$3&amp;"'!K$137")='List Values'!$E$3,INDEX(INDIRECT("'"&amp;$H$3&amp;"'!$H$49:$H$78"),MATCH(INDIRECT("'"&amp;$H$3&amp;"'!K$136")&amp;"Insurance cost /yr ($)",INDIRECT("'"&amp;$H$3&amp;"'!$F$49:$F$78"),0))*INDIRECT("'"&amp;$H$3&amp;"'!K$140"),0),0)
+IFERROR((1-INDIRECT("'"&amp;$H$3&amp;"'!K$161"))*IF(INDIRECT("'"&amp;$H$3&amp;"'!K$157")='List Values'!$E$3,INDEX(INDIRECT("'"&amp;$H$3&amp;"'!$H$49:$H$78"),MATCH(INDIRECT("'"&amp;$H$3&amp;"'!K$156")&amp;"Insurance cost /yr ($)",INDIRECT("'"&amp;$H$3&amp;"'!$F$49:$F$78"),0))*INDIRECT("'"&amp;$H$3&amp;"'!K$160"),0),0)
+IFERROR((1-INDIRECT("'"&amp;$H$3&amp;"'!K$181"))*IF(INDIRECT("'"&amp;$H$3&amp;"'!K$177")='List Values'!$E$3,INDEX(INDIRECT("'"&amp;$H$3&amp;"'!$H$49:$H$78"),MATCH(INDIRECT("'"&amp;$H$3&amp;"'!K$176")&amp;"Insurance cost /yr ($)",INDIRECT("'"&amp;$H$3&amp;"'!$F$49:$F$78"),0))*INDIRECT("'"&amp;$H$3&amp;"'!K$180"),0),0)</f>
        <v>2575.86</v>
      </c>
      <c r="L114" s="300"/>
      <c r="M114" s="300"/>
      <c r="N114" s="300">
        <f ca="1">IFERROR((1-INDIRECT("'"&amp;$H$3&amp;"'!N$141"))*IF(INDIRECT("'"&amp;$H$3&amp;"'!N$137")='List Values'!$E$3,INDEX(INDIRECT("'"&amp;$H$3&amp;"'!$H$49:$H$78"),MATCH(INDIRECT("'"&amp;$H$3&amp;"'!N$136")&amp;"Insurance cost /yr ($)",INDIRECT("'"&amp;$H$3&amp;"'!$F$49:$F$78"),0))*INDIRECT("'"&amp;$H$3&amp;"'!N$140"),0),0)
+IFERROR((1-INDIRECT("'"&amp;$H$3&amp;"'!N$161"))*IF(INDIRECT("'"&amp;$H$3&amp;"'!N$157")='List Values'!$E$3,INDEX(INDIRECT("'"&amp;$H$3&amp;"'!$H$49:$H$78"),MATCH(INDIRECT("'"&amp;$H$3&amp;"'!N$156")&amp;"Insurance cost /yr ($)",INDIRECT("'"&amp;$H$3&amp;"'!$F$49:$F$78"),0))*INDIRECT("'"&amp;$H$3&amp;"'!N$160"),0),0)
+IFERROR((1-INDIRECT("'"&amp;$H$3&amp;"'!N$181"))*IF(INDIRECT("'"&amp;$H$3&amp;"'!N$177")='List Values'!$E$3,INDEX(INDIRECT("'"&amp;$H$3&amp;"'!$H$49:$H$78"),MATCH(INDIRECT("'"&amp;$H$3&amp;"'!N$176")&amp;"Insurance cost /yr ($)",INDIRECT("'"&amp;$H$3&amp;"'!$F$49:$F$78"),0))*INDIRECT("'"&amp;$H$3&amp;"'!N$180"),0),0)</f>
        <v>10303.44</v>
      </c>
      <c r="O114" s="300"/>
      <c r="P114" s="300"/>
      <c r="Q114" s="300">
        <f ca="1">IFERROR((1-INDIRECT("'"&amp;$H$3&amp;"'!Q$141"))*IF(INDIRECT("'"&amp;$H$3&amp;"'!Q$137")='List Values'!$E$3,INDEX(INDIRECT("'"&amp;$H$3&amp;"'!$H$49:$H$78"),MATCH(INDIRECT("'"&amp;$H$3&amp;"'!Q$136")&amp;"Insurance cost /yr ($)",INDIRECT("'"&amp;$H$3&amp;"'!$F$49:$F$78"),0))*INDIRECT("'"&amp;$H$3&amp;"'!Q$140"),0),0)
+IFERROR((1-INDIRECT("'"&amp;$H$3&amp;"'!Q$161"))*IF(INDIRECT("'"&amp;$H$3&amp;"'!Q$157")='List Values'!$E$3,INDEX(INDIRECT("'"&amp;$H$3&amp;"'!$H$49:$H$78"),MATCH(INDIRECT("'"&amp;$H$3&amp;"'!Q$156")&amp;"Insurance cost /yr ($)",INDIRECT("'"&amp;$H$3&amp;"'!$F$49:$F$78"),0))*INDIRECT("'"&amp;$H$3&amp;"'!Q$160"),0),0)
+IFERROR((1-INDIRECT("'"&amp;$H$3&amp;"'!Q$181"))*IF(INDIRECT("'"&amp;$H$3&amp;"'!Q$177")='List Values'!$E$3,INDEX(INDIRECT("'"&amp;$H$3&amp;"'!$H$49:$H$78"),MATCH(INDIRECT("'"&amp;$H$3&amp;"'!Q$176")&amp;"Insurance cost /yr ($)",INDIRECT("'"&amp;$H$3&amp;"'!$F$49:$F$78"),0))*INDIRECT("'"&amp;$H$3&amp;"'!Q$180"),0),0)</f>
        <v>0</v>
      </c>
      <c r="R114" s="300"/>
      <c r="S114" s="337"/>
      <c r="T114" s="300">
        <f ca="1">IFERROR((1-INDIRECT("'"&amp;$H$3&amp;"'!T$141"))*IF(INDIRECT("'"&amp;$H$3&amp;"'!T$137")='List Values'!$E$3,INDEX(INDIRECT("'"&amp;$H$3&amp;"'!$H$49:$H$78"),MATCH(INDIRECT("'"&amp;$H$3&amp;"'!T$136")&amp;"Insurance cost /yr ($)",INDIRECT("'"&amp;$H$3&amp;"'!$F$49:$F$78"),0))*INDIRECT("'"&amp;$H$3&amp;"'!T$140"),0),0)
+IFERROR((1-INDIRECT("'"&amp;$H$3&amp;"'!T$161"))*IF(INDIRECT("'"&amp;$H$3&amp;"'!T$157")='List Values'!$E$3,INDEX(INDIRECT("'"&amp;$H$3&amp;"'!$H$49:$H$78"),MATCH(INDIRECT("'"&amp;$H$3&amp;"'!T$156")&amp;"Insurance cost /yr ($)",INDIRECT("'"&amp;$H$3&amp;"'!$F$49:$F$78"),0))*INDIRECT("'"&amp;$H$3&amp;"'!T$160"),0),0)
+IFERROR((1-INDIRECT("'"&amp;$H$3&amp;"'!T$181"))*IF(INDIRECT("'"&amp;$H$3&amp;"'!T$177")='List Values'!$E$3,INDEX(INDIRECT("'"&amp;$H$3&amp;"'!$H$49:$H$78"),MATCH(INDIRECT("'"&amp;$H$3&amp;"'!T$176")&amp;"Insurance cost /yr ($)",INDIRECT("'"&amp;$H$3&amp;"'!$F$49:$F$78"),0))*INDIRECT("'"&amp;$H$3&amp;"'!T$180"),0),0)</f>
        <v>0</v>
      </c>
      <c r="U114" s="337"/>
      <c r="V114" s="337"/>
      <c r="W114" s="1437">
        <f ca="1">IFERROR((1-INDIRECT("'"&amp;$H$3&amp;"'!W$141"))*IF(INDIRECT("'"&amp;$H$3&amp;"'!W$137")='List Values'!$E$3,INDEX(INDIRECT("'"&amp;$H$3&amp;"'!$H$49:$H$78"),MATCH(INDIRECT("'"&amp;$H$3&amp;"'!W$136")&amp;"Insurance cost /yr ($)",INDIRECT("'"&amp;$H$3&amp;"'!$F$49:$F$78"),0))*INDIRECT("'"&amp;$H$3&amp;"'!W$140"),0),0)
+IFERROR((1-INDIRECT("'"&amp;$H$3&amp;"'!W$161"))*IF(INDIRECT("'"&amp;$H$3&amp;"'!W$157")='List Values'!$E$3,INDEX(INDIRECT("'"&amp;$H$3&amp;"'!$H$49:$H$78"),MATCH(INDIRECT("'"&amp;$H$3&amp;"'!W$156")&amp;"Insurance cost /yr ($)",INDIRECT("'"&amp;$H$3&amp;"'!$F$49:$F$78"),0))*INDIRECT("'"&amp;$H$3&amp;"'!W$160"),0),0)
+IFERROR((1-INDIRECT("'"&amp;$H$3&amp;"'!W$181"))*IF(INDIRECT("'"&amp;$H$3&amp;"'!W$177")='List Values'!$E$3,INDEX(INDIRECT("'"&amp;$H$3&amp;"'!$H$49:$H$78"),MATCH(INDIRECT("'"&amp;$H$3&amp;"'!W$176")&amp;"Insurance cost /yr ($)",INDIRECT("'"&amp;$H$3&amp;"'!$F$49:$F$78"),0))*INDIRECT("'"&amp;$H$3&amp;"'!W$180"),0),0)</f>
        <v>0</v>
      </c>
      <c r="Y114" s="341">
        <f t="shared" ca="1" si="11"/>
        <v>12879.300000000001</v>
      </c>
      <c r="AL114" s="4"/>
    </row>
    <row r="115" spans="6:38">
      <c r="F115" s="288"/>
      <c r="G115" s="288" t="s">
        <v>92</v>
      </c>
      <c r="H115" s="300">
        <f ca="1">IFERROR((1-INDIRECT("'"&amp;$H$3&amp;"'!H$142"))*IF(INDIRECT("'"&amp;$H$3&amp;"'!H$137")='List Values'!$E$3,H$169*INDEX(INDIRECT("'"&amp;$H$3&amp;"'!$H$49:$H$78"),MATCH(INDIRECT("'"&amp;$H$3&amp;"'!H$136")&amp;"Maintenance cost/km ($)",INDIRECT("'"&amp;$H$3&amp;"'!$F$49:$F$78"),0)),0),0)
+ IFERROR((1-INDIRECT("'"&amp;$H$3&amp;"'!H$162"))*IF(INDIRECT("'"&amp;$H$3&amp;"'!H$157")='List Values'!$E$3,H$207*INDEX(INDIRECT("'"&amp;$H$3&amp;"'!$H$49:$H$78"),MATCH(INDIRECT("'"&amp;$H$3&amp;"'!H$156")&amp;"Maintenance cost/km ($)",INDIRECT("'"&amp;$H$3&amp;"'!$F$49:$F$78"),0)),0),0)
+ IFERROR((1-INDIRECT("'"&amp;$H$3&amp;"'!H$182"))*IF(INDIRECT("'"&amp;$H$3&amp;"'!H$177")='List Values'!$E$3,H$245*INDEX(INDIRECT("'"&amp;$H$3&amp;"'!$H$49:$H$78"),MATCH(INDIRECT("'"&amp;$H$3&amp;"'!H$176")&amp;"Maintenance cost/km ($)",INDIRECT("'"&amp;$H$3&amp;"'!$F$49:$F$78"),0)),0),0)</f>
        <v>0</v>
      </c>
      <c r="I115" s="300"/>
      <c r="J115" s="300"/>
      <c r="K115" s="300">
        <f ca="1">IFERROR((1-INDIRECT("'"&amp;$H$3&amp;"'!K$142"))*IF(INDIRECT("'"&amp;$H$3&amp;"'!K$137")='List Values'!$E$3,K$169*INDEX(INDIRECT("'"&amp;$H$3&amp;"'!$H$49:$H$78"),MATCH(INDIRECT("'"&amp;$H$3&amp;"'!K$136")&amp;"Maintenance cost/km ($)",INDIRECT("'"&amp;$H$3&amp;"'!$F$49:$F$78"),0)),0),0)
+ IFERROR((1-INDIRECT("'"&amp;$H$3&amp;"'!K$162"))*IF(INDIRECT("'"&amp;$H$3&amp;"'!K$157")='List Values'!$E$3,K$207*INDEX(INDIRECT("'"&amp;$H$3&amp;"'!$H$49:$H$78"),MATCH(INDIRECT("'"&amp;$H$3&amp;"'!K$156")&amp;"Maintenance cost/km ($)",INDIRECT("'"&amp;$H$3&amp;"'!$F$49:$F$78"),0)),0),0)
+ IFERROR((1-INDIRECT("'"&amp;$H$3&amp;"'!K$182"))*IF(INDIRECT("'"&amp;$H$3&amp;"'!K$177")='List Values'!$E$3,K$245*INDEX(INDIRECT("'"&amp;$H$3&amp;"'!$H$49:$H$78"),MATCH(INDIRECT("'"&amp;$H$3&amp;"'!K$176")&amp;"Maintenance cost/km ($)",INDIRECT("'"&amp;$H$3&amp;"'!$F$49:$F$78"),0)),0),0)</f>
        <v>55349.279999999999</v>
      </c>
      <c r="L115" s="300"/>
      <c r="M115" s="300"/>
      <c r="N115" s="300">
        <f ca="1">IFERROR((1-INDIRECT("'"&amp;$H$3&amp;"'!N$142"))*IF(INDIRECT("'"&amp;$H$3&amp;"'!N$137")='List Values'!$E$3,N$169*INDEX(INDIRECT("'"&amp;$H$3&amp;"'!$H$49:$H$78"),MATCH(INDIRECT("'"&amp;$H$3&amp;"'!N$136")&amp;"Maintenance cost/km ($)",INDIRECT("'"&amp;$H$3&amp;"'!$F$49:$F$78"),0)),0),0)
+ IFERROR((1-INDIRECT("'"&amp;$H$3&amp;"'!N$162"))*IF(INDIRECT("'"&amp;$H$3&amp;"'!N$157")='List Values'!$E$3,N$207*INDEX(INDIRECT("'"&amp;$H$3&amp;"'!$H$49:$H$78"),MATCH(INDIRECT("'"&amp;$H$3&amp;"'!N$156")&amp;"Maintenance cost/km ($)",INDIRECT("'"&amp;$H$3&amp;"'!$F$49:$F$78"),0)),0),0)
+ IFERROR((1-INDIRECT("'"&amp;$H$3&amp;"'!N$182"))*IF(INDIRECT("'"&amp;$H$3&amp;"'!N$177")='List Values'!$E$3,N$245*INDEX(INDIRECT("'"&amp;$H$3&amp;"'!$H$49:$H$78"),MATCH(INDIRECT("'"&amp;$H$3&amp;"'!N$176")&amp;"Maintenance cost/km ($)",INDIRECT("'"&amp;$H$3&amp;"'!$F$49:$F$78"),0)),0),0)</f>
        <v>62430.06265051903</v>
      </c>
      <c r="O115" s="300"/>
      <c r="P115" s="300"/>
      <c r="Q115" s="300">
        <f ca="1">IFERROR((1-INDIRECT("'"&amp;$H$3&amp;"'!Q$142"))*IF(INDIRECT("'"&amp;$H$3&amp;"'!Q$137")='List Values'!$E$3,Q$169*INDEX(INDIRECT("'"&amp;$H$3&amp;"'!$H$49:$H$78"),MATCH(INDIRECT("'"&amp;$H$3&amp;"'!Q$136")&amp;"Maintenance cost/km ($)",INDIRECT("'"&amp;$H$3&amp;"'!$F$49:$F$78"),0)),0),0)
+ IFERROR((1-INDIRECT("'"&amp;$H$3&amp;"'!Q$162"))*IF(INDIRECT("'"&amp;$H$3&amp;"'!Q$157")='List Values'!$E$3,Q$207*INDEX(INDIRECT("'"&amp;$H$3&amp;"'!$H$49:$H$78"),MATCH(INDIRECT("'"&amp;$H$3&amp;"'!Q$156")&amp;"Maintenance cost/km ($)",INDIRECT("'"&amp;$H$3&amp;"'!$F$49:$F$78"),0)),0),0)
+ IFERROR((1-INDIRECT("'"&amp;$H$3&amp;"'!Q$182"))*IF(INDIRECT("'"&amp;$H$3&amp;"'!Q$177")='List Values'!$E$3,Q$245*INDEX(INDIRECT("'"&amp;$H$3&amp;"'!$H$49:$H$78"),MATCH(INDIRECT("'"&amp;$H$3&amp;"'!Q$176")&amp;"Maintenance cost/km ($)",INDIRECT("'"&amp;$H$3&amp;"'!$F$49:$F$78"),0)),0),0)</f>
        <v>0</v>
      </c>
      <c r="R115" s="300"/>
      <c r="S115" s="337"/>
      <c r="T115" s="300">
        <f ca="1">IFERROR((1-INDIRECT("'"&amp;$H$3&amp;"'!T$142"))*IF(INDIRECT("'"&amp;$H$3&amp;"'!T$137")='List Values'!$E$3,T$169*INDEX(INDIRECT("'"&amp;$H$3&amp;"'!$H$49:$H$78"),MATCH(INDIRECT("'"&amp;$H$3&amp;"'!T$136")&amp;"Maintenance cost/km ($)",INDIRECT("'"&amp;$H$3&amp;"'!$F$49:$F$78"),0)),0),0)
+ IFERROR((1-INDIRECT("'"&amp;$H$3&amp;"'!T$162"))*IF(INDIRECT("'"&amp;$H$3&amp;"'!T$157")='List Values'!$E$3,T$207*INDEX(INDIRECT("'"&amp;$H$3&amp;"'!$H$49:$H$78"),MATCH(INDIRECT("'"&amp;$H$3&amp;"'!T$156")&amp;"Maintenance cost/km ($)",INDIRECT("'"&amp;$H$3&amp;"'!$F$49:$F$78"),0)),0),0)
+ IFERROR((1-INDIRECT("'"&amp;$H$3&amp;"'!T$182"))*IF(INDIRECT("'"&amp;$H$3&amp;"'!T$177")='List Values'!$E$3,T$245*INDEX(INDIRECT("'"&amp;$H$3&amp;"'!$H$49:$H$78"),MATCH(INDIRECT("'"&amp;$H$3&amp;"'!T$176")&amp;"Maintenance cost/km ($)",INDIRECT("'"&amp;$H$3&amp;"'!$F$49:$F$78"),0)),0),0)</f>
        <v>0</v>
      </c>
      <c r="U115" s="337"/>
      <c r="V115" s="337"/>
      <c r="W115" s="1437">
        <f ca="1">IFERROR((1-INDIRECT("'"&amp;$H$3&amp;"'!W$142"))*IF(INDIRECT("'"&amp;$H$3&amp;"'!W$137")='List Values'!$E$3,W$169*INDEX(INDIRECT("'"&amp;$H$3&amp;"'!$H$49:$H$78"),MATCH(INDIRECT("'"&amp;$H$3&amp;"'!W$136")&amp;"Maintenance cost/km ($)",INDIRECT("'"&amp;$H$3&amp;"'!$F$49:$F$78"),0)),0),0)
+ IFERROR((1-INDIRECT("'"&amp;$H$3&amp;"'!W$162"))*IF(INDIRECT("'"&amp;$H$3&amp;"'!W$157")='List Values'!$E$3,W$207*INDEX(INDIRECT("'"&amp;$H$3&amp;"'!$H$49:$H$78"),MATCH(INDIRECT("'"&amp;$H$3&amp;"'!W$156")&amp;"Maintenance cost/km ($)",INDIRECT("'"&amp;$H$3&amp;"'!$F$49:$F$78"),0)),0),0)
+ IFERROR((1-INDIRECT("'"&amp;$H$3&amp;"'!W$182"))*IF(INDIRECT("'"&amp;$H$3&amp;"'!W$177")='List Values'!$E$3,W$245*INDEX(INDIRECT("'"&amp;$H$3&amp;"'!$H$49:$H$78"),MATCH(INDIRECT("'"&amp;$H$3&amp;"'!W$176")&amp;"Maintenance cost/km ($)",INDIRECT("'"&amp;$H$3&amp;"'!$F$49:$F$78"),0)),0),0)</f>
        <v>0</v>
      </c>
      <c r="Y115" s="341">
        <f t="shared" ca="1" si="11"/>
        <v>117779.34265051903</v>
      </c>
      <c r="AL115" s="4"/>
    </row>
    <row r="116" spans="6:38">
      <c r="F116" s="288"/>
      <c r="G116" s="288" t="s">
        <v>93</v>
      </c>
      <c r="H116" s="300">
        <f ca="1">IFERROR((1-INDIRECT("'"&amp;$H$3&amp;"'!H$141"))*IF(INDIRECT("'"&amp;$H$3&amp;"'!H$137")='List Values'!$E$3,INDEX(INDIRECT("'"&amp;$H$3&amp;"'!$H$49:$H$78"),MATCH(INDIRECT("'"&amp;$H$3&amp;"'!H$136")&amp;"Depreciation cost / yr ($)",INDIRECT("'"&amp;$H$3&amp;"'!$F$49:$F$78"),0))*INDIRECT("'"&amp;$H$3&amp;"'!H$140"),0),0)
+IFERROR((1-INDIRECT("'"&amp;$H$3&amp;"'!H$161"))*IF(INDIRECT("'"&amp;$H$3&amp;"'!H$157")='List Values'!$E$3,INDEX(INDIRECT("'"&amp;$H$3&amp;"'!$H$49:$H$78"),MATCH(INDIRECT("'"&amp;$H$3&amp;"'!H$156")&amp;"Depreciation cost / yr ($)",INDIRECT("'"&amp;$H$3&amp;"'!$F$49:$F$78"),0))*INDIRECT("'"&amp;$H$3&amp;"'!H$160"),0),0)
+IFERROR((1-INDIRECT("'"&amp;$H$3&amp;"'!H$181"))*IF(INDIRECT("'"&amp;$H$3&amp;"'!H$177")='List Values'!$E$3,INDEX(INDIRECT("'"&amp;$H$3&amp;"'!$H$49:$H$78"),MATCH(INDIRECT("'"&amp;$H$3&amp;"'!H$176")&amp;"Depreciation cost / yr ($)",INDIRECT("'"&amp;$H$3&amp;"'!$F$49:$F$78"),0))*INDIRECT("'"&amp;$H$3&amp;"'!H$180"),0),0)</f>
        <v>0</v>
      </c>
      <c r="I116" s="300"/>
      <c r="J116" s="300"/>
      <c r="K116" s="300">
        <f ca="1">IFERROR((1-INDIRECT("'"&amp;$H$3&amp;"'!K$141"))*IF(INDIRECT("'"&amp;$H$3&amp;"'!K$137")='List Values'!$E$3,INDEX(INDIRECT("'"&amp;$H$3&amp;"'!$H$49:$H$78"),MATCH(INDIRECT("'"&amp;$H$3&amp;"'!K$136")&amp;"Depreciation cost / yr ($)",INDIRECT("'"&amp;$H$3&amp;"'!$F$49:$F$78"),0))*INDIRECT("'"&amp;$H$3&amp;"'!K$140"),0),0)
+IFERROR((1-INDIRECT("'"&amp;$H$3&amp;"'!K$161"))*IF(INDIRECT("'"&amp;$H$3&amp;"'!K$157")='List Values'!$E$3,INDEX(INDIRECT("'"&amp;$H$3&amp;"'!$H$49:$H$78"),MATCH(INDIRECT("'"&amp;$H$3&amp;"'!K$156")&amp;"Depreciation cost / yr ($)",INDIRECT("'"&amp;$H$3&amp;"'!$F$49:$F$78"),0))*INDIRECT("'"&amp;$H$3&amp;"'!K$160"),0),0)
+IFERROR((1-INDIRECT("'"&amp;$H$3&amp;"'!K$181"))*IF(INDIRECT("'"&amp;$H$3&amp;"'!K$177")='List Values'!$E$3,INDEX(INDIRECT("'"&amp;$H$3&amp;"'!$H$49:$H$78"),MATCH(INDIRECT("'"&amp;$H$3&amp;"'!K$176")&amp;"Depreciation cost / yr ($)",INDIRECT("'"&amp;$H$3&amp;"'!$F$49:$F$78"),0))*INDIRECT("'"&amp;$H$3&amp;"'!K$180"),0),0)</f>
        <v>14089.798000000001</v>
      </c>
      <c r="L116" s="300"/>
      <c r="M116" s="300"/>
      <c r="N116" s="300">
        <f ca="1">IFERROR((1-INDIRECT("'"&amp;$H$3&amp;"'!N$141"))*IF(INDIRECT("'"&amp;$H$3&amp;"'!N$137")='List Values'!$E$3,INDEX(INDIRECT("'"&amp;$H$3&amp;"'!$H$49:$H$78"),MATCH(INDIRECT("'"&amp;$H$3&amp;"'!N$136")&amp;"Depreciation cost / yr ($)",INDIRECT("'"&amp;$H$3&amp;"'!$F$49:$F$78"),0))*INDIRECT("'"&amp;$H$3&amp;"'!N$140"),0),0)
+IFERROR((1-INDIRECT("'"&amp;$H$3&amp;"'!N$161"))*IF(INDIRECT("'"&amp;$H$3&amp;"'!N$157")='List Values'!$E$3,INDEX(INDIRECT("'"&amp;$H$3&amp;"'!$H$49:$H$78"),MATCH(INDIRECT("'"&amp;$H$3&amp;"'!N$156")&amp;"Depreciation cost / yr ($)",INDIRECT("'"&amp;$H$3&amp;"'!$F$49:$F$78"),0))*INDIRECT("'"&amp;$H$3&amp;"'!N$160"),0),0)
+IFERROR((1-INDIRECT("'"&amp;$H$3&amp;"'!N$181"))*IF(INDIRECT("'"&amp;$H$3&amp;"'!N$177")='List Values'!$E$3,INDEX(INDIRECT("'"&amp;$H$3&amp;"'!$H$49:$H$78"),MATCH(INDIRECT("'"&amp;$H$3&amp;"'!N$176")&amp;"Depreciation cost / yr ($)",INDIRECT("'"&amp;$H$3&amp;"'!$F$49:$F$78"),0))*INDIRECT("'"&amp;$H$3&amp;"'!N$180"),0),0)</f>
        <v>56359.192000000003</v>
      </c>
      <c r="O116" s="300"/>
      <c r="P116" s="300"/>
      <c r="Q116" s="300">
        <f ca="1">IFERROR((1-INDIRECT("'"&amp;$H$3&amp;"'!Q$141"))*IF(INDIRECT("'"&amp;$H$3&amp;"'!Q$137")='List Values'!$E$3,INDEX(INDIRECT("'"&amp;$H$3&amp;"'!$H$49:$H$78"),MATCH(INDIRECT("'"&amp;$H$3&amp;"'!Q$136")&amp;"Depreciation cost / yr ($)",INDIRECT("'"&amp;$H$3&amp;"'!$F$49:$F$78"),0))*INDIRECT("'"&amp;$H$3&amp;"'!Q$140"),0),0)
+IFERROR((1-INDIRECT("'"&amp;$H$3&amp;"'!Q$161"))*IF(INDIRECT("'"&amp;$H$3&amp;"'!Q$157")='List Values'!$E$3,INDEX(INDIRECT("'"&amp;$H$3&amp;"'!$H$49:$H$78"),MATCH(INDIRECT("'"&amp;$H$3&amp;"'!Q$156")&amp;"Depreciation cost / yr ($)",INDIRECT("'"&amp;$H$3&amp;"'!$F$49:$F$78"),0))*INDIRECT("'"&amp;$H$3&amp;"'!Q$160"),0),0)
+IFERROR((1-INDIRECT("'"&amp;$H$3&amp;"'!Q$181"))*IF(INDIRECT("'"&amp;$H$3&amp;"'!Q$177")='List Values'!$E$3,INDEX(INDIRECT("'"&amp;$H$3&amp;"'!$H$49:$H$78"),MATCH(INDIRECT("'"&amp;$H$3&amp;"'!Q$176")&amp;"Depreciation cost / yr ($)",INDIRECT("'"&amp;$H$3&amp;"'!$F$49:$F$78"),0))*INDIRECT("'"&amp;$H$3&amp;"'!Q$180"),0),0)</f>
        <v>0</v>
      </c>
      <c r="R116" s="300"/>
      <c r="S116" s="337"/>
      <c r="T116" s="300">
        <f ca="1">IFERROR((1-INDIRECT("'"&amp;$H$3&amp;"'!T$141"))*IF(INDIRECT("'"&amp;$H$3&amp;"'!T$137")='List Values'!$E$3,INDEX(INDIRECT("'"&amp;$H$3&amp;"'!$H$49:$H$78"),MATCH(INDIRECT("'"&amp;$H$3&amp;"'!T$136")&amp;"Depreciation cost / yr ($)",INDIRECT("'"&amp;$H$3&amp;"'!$F$49:$F$78"),0))*INDIRECT("'"&amp;$H$3&amp;"'!T$140"),0),0)
+IFERROR((1-INDIRECT("'"&amp;$H$3&amp;"'!T$161"))*IF(INDIRECT("'"&amp;$H$3&amp;"'!T$157")='List Values'!$E$3,INDEX(INDIRECT("'"&amp;$H$3&amp;"'!$H$49:$H$78"),MATCH(INDIRECT("'"&amp;$H$3&amp;"'!T$156")&amp;"Depreciation cost / yr ($)",INDIRECT("'"&amp;$H$3&amp;"'!$F$49:$F$78"),0))*INDIRECT("'"&amp;$H$3&amp;"'!T$160"),0),0)
+IFERROR((1-INDIRECT("'"&amp;$H$3&amp;"'!T$181"))*IF(INDIRECT("'"&amp;$H$3&amp;"'!T$177")='List Values'!$E$3,INDEX(INDIRECT("'"&amp;$H$3&amp;"'!$H$49:$H$78"),MATCH(INDIRECT("'"&amp;$H$3&amp;"'!T$176")&amp;"Depreciation cost / yr ($)",INDIRECT("'"&amp;$H$3&amp;"'!$F$49:$F$78"),0))*INDIRECT("'"&amp;$H$3&amp;"'!T$180"),0),0)</f>
        <v>0</v>
      </c>
      <c r="U116" s="337"/>
      <c r="V116" s="337"/>
      <c r="W116" s="1437">
        <f ca="1">IFERROR((1-INDIRECT("'"&amp;$H$3&amp;"'!W$141"))*IF(INDIRECT("'"&amp;$H$3&amp;"'!W$137")='List Values'!$E$3,INDEX(INDIRECT("'"&amp;$H$3&amp;"'!$H$49:$H$78"),MATCH(INDIRECT("'"&amp;$H$3&amp;"'!W$136")&amp;"Depreciation cost / yr ($)",INDIRECT("'"&amp;$H$3&amp;"'!$F$49:$F$78"),0))*INDIRECT("'"&amp;$H$3&amp;"'!W$140"),0),0)
+IFERROR((1-INDIRECT("'"&amp;$H$3&amp;"'!W$161"))*IF(INDIRECT("'"&amp;$H$3&amp;"'!W$157")='List Values'!$E$3,INDEX(INDIRECT("'"&amp;$H$3&amp;"'!$H$49:$H$78"),MATCH(INDIRECT("'"&amp;$H$3&amp;"'!W$156")&amp;"Depreciation cost / yr ($)",INDIRECT("'"&amp;$H$3&amp;"'!$F$49:$F$78"),0))*INDIRECT("'"&amp;$H$3&amp;"'!W$160"),0),0)
+IFERROR((1-INDIRECT("'"&amp;$H$3&amp;"'!W$181"))*IF(INDIRECT("'"&amp;$H$3&amp;"'!W$177")='List Values'!$E$3,INDEX(INDIRECT("'"&amp;$H$3&amp;"'!$H$49:$H$78"),MATCH(INDIRECT("'"&amp;$H$3&amp;"'!W$176")&amp;"Depreciation cost / yr ($)",INDIRECT("'"&amp;$H$3&amp;"'!$F$49:$F$78"),0))*INDIRECT("'"&amp;$H$3&amp;"'!W$180"),0),0)</f>
        <v>0</v>
      </c>
      <c r="Y116" s="341">
        <f t="shared" ca="1" si="11"/>
        <v>70448.990000000005</v>
      </c>
      <c r="AL116" s="4"/>
    </row>
    <row r="117" spans="6:38">
      <c r="F117" s="363"/>
      <c r="G117" s="220" t="s">
        <v>160</v>
      </c>
      <c r="H117" s="296">
        <f ca="1">IFERROR((1-INDIRECT("'"&amp;$H$3&amp;"'!H$142"))*H$154*INDEX(INDIRECT("'"&amp;$H$3&amp;"'!$H$43:$H$78"),MATCH(INDIRECT("'"&amp;$H$3&amp;"'!H$136")&amp;"Average cost ($) per trip (one-way)",INDIRECT("'"&amp;$H$3&amp;"'!$F$43:$F$78"),0)),0)
+IFERROR((1-INDIRECT("'"&amp;$H$3&amp;"'!H$162"))*H$192*INDEX(INDIRECT("'"&amp;$H$3&amp;"'!$H$43:$H$78"),MATCH(INDIRECT("'"&amp;$H$3&amp;"'!H$156")&amp;"Average cost ($) per trip (one-way)",INDIRECT("'"&amp;$H$3&amp;"'!$F$43:$F$78"),0)),0)
+IFERROR((1-INDIRECT("'"&amp;$H$3&amp;"'!H$182"))*H$230*INDEX(INDIRECT("'"&amp;$H$3&amp;"'!$H$43:$H$78"),MATCH(INDIRECT("'"&amp;$H$3&amp;"'!H$176")&amp;"Average cost ($) per trip (one-way)",INDIRECT("'"&amp;$H$3&amp;"'!$F$43:$F$78"),0)),0)</f>
        <v>0</v>
      </c>
      <c r="I117" s="296"/>
      <c r="J117" s="296"/>
      <c r="K117" s="296">
        <f ca="1">IFERROR((1-INDIRECT("'"&amp;$H$3&amp;"'!K$142"))*K$154*INDEX(INDIRECT("'"&amp;$H$3&amp;"'!$H$43:$H$78"),MATCH(INDIRECT("'"&amp;$H$3&amp;"'!K$136")&amp;"Average cost ($) per trip (one-way)",INDIRECT("'"&amp;$H$3&amp;"'!$F$43:$F$78"),0)),0)
+IFERROR((1-INDIRECT("'"&amp;$H$3&amp;"'!K$162"))*K$192*INDEX(INDIRECT("'"&amp;$H$3&amp;"'!$H$43:$H$78"),MATCH(INDIRECT("'"&amp;$H$3&amp;"'!K$156")&amp;"Average cost ($) per trip (one-way)",INDIRECT("'"&amp;$H$3&amp;"'!$F$43:$F$78"),0)),0)
+IFERROR((1-INDIRECT("'"&amp;$H$3&amp;"'!K$182"))*K$230*INDEX(INDIRECT("'"&amp;$H$3&amp;"'!$H$43:$H$78"),MATCH(INDIRECT("'"&amp;$H$3&amp;"'!K$176")&amp;"Average cost ($) per trip (one-way)",INDIRECT("'"&amp;$H$3&amp;"'!$F$43:$F$78"),0)),0)</f>
        <v>0</v>
      </c>
      <c r="L117" s="296"/>
      <c r="M117" s="296"/>
      <c r="N117" s="296">
        <f ca="1">IFERROR((1-INDIRECT("'"&amp;$H$3&amp;"'!N$142"))*N$154*INDEX(INDIRECT("'"&amp;$H$3&amp;"'!$H$43:$H$78"),MATCH(INDIRECT("'"&amp;$H$3&amp;"'!N$136")&amp;"Average cost ($) per trip (one-way)",INDIRECT("'"&amp;$H$3&amp;"'!$F$43:$F$78"),0)),0)
+IFERROR((1-INDIRECT("'"&amp;$H$3&amp;"'!N$162"))*N$192*INDEX(INDIRECT("'"&amp;$H$3&amp;"'!$H$43:$H$78"),MATCH(INDIRECT("'"&amp;$H$3&amp;"'!N$156")&amp;"Average cost ($) per trip (one-way)",INDIRECT("'"&amp;$H$3&amp;"'!$F$43:$F$78"),0)),0)
+IFERROR((1-INDIRECT("'"&amp;$H$3&amp;"'!N$182"))*N$230*INDEX(INDIRECT("'"&amp;$H$3&amp;"'!$H$43:$H$78"),MATCH(INDIRECT("'"&amp;$H$3&amp;"'!N$176")&amp;"Average cost ($) per trip (one-way)",INDIRECT("'"&amp;$H$3&amp;"'!$F$43:$F$78"),0)),0)</f>
        <v>0</v>
      </c>
      <c r="O117" s="296"/>
      <c r="P117" s="296"/>
      <c r="Q117" s="296">
        <f ca="1">IFERROR((1-INDIRECT("'"&amp;$H$3&amp;"'!Q$142"))*Q$154*INDEX(INDIRECT("'"&amp;$H$3&amp;"'!$H$43:$H$78"),MATCH(INDIRECT("'"&amp;$H$3&amp;"'!Q$136")&amp;"Average cost ($) per trip (one-way)",INDIRECT("'"&amp;$H$3&amp;"'!$F$43:$F$78"),0)),0)
+IFERROR((1-INDIRECT("'"&amp;$H$3&amp;"'!Q$162"))*Q$192*INDEX(INDIRECT("'"&amp;$H$3&amp;"'!$H$43:$H$78"),MATCH(INDIRECT("'"&amp;$H$3&amp;"'!Q$156")&amp;"Average cost ($) per trip (one-way)",INDIRECT("'"&amp;$H$3&amp;"'!$F$43:$F$78"),0)),0)
+IFERROR((1-INDIRECT("'"&amp;$H$3&amp;"'!Q$182"))*Q$230*INDEX(INDIRECT("'"&amp;$H$3&amp;"'!$H$43:$H$78"),MATCH(INDIRECT("'"&amp;$H$3&amp;"'!Q$176")&amp;"Average cost ($) per trip (one-way)",INDIRECT("'"&amp;$H$3&amp;"'!$F$43:$F$78"),0)),0)</f>
        <v>0</v>
      </c>
      <c r="R117" s="296"/>
      <c r="S117" s="361"/>
      <c r="T117" s="296">
        <f ca="1">IFERROR((1-INDIRECT("'"&amp;$H$3&amp;"'!T$142"))*T$154*INDEX(INDIRECT("'"&amp;$H$3&amp;"'!$H$43:$H$78"),MATCH(INDIRECT("'"&amp;$H$3&amp;"'!T$136")&amp;"Average cost ($) per trip (one-way)",INDIRECT("'"&amp;$H$3&amp;"'!$F$43:$F$78"),0)),0)
+IFERROR((1-INDIRECT("'"&amp;$H$3&amp;"'!T$162"))*T$192*INDEX(INDIRECT("'"&amp;$H$3&amp;"'!$H$43:$H$78"),MATCH(INDIRECT("'"&amp;$H$3&amp;"'!T$156")&amp;"Average cost ($) per trip (one-way)",INDIRECT("'"&amp;$H$3&amp;"'!$F$43:$F$78"),0)),0)
+IFERROR((1-INDIRECT("'"&amp;$H$3&amp;"'!T$182"))*T$230*INDEX(INDIRECT("'"&amp;$H$3&amp;"'!$H$43:$H$78"),MATCH(INDIRECT("'"&amp;$H$3&amp;"'!T$176")&amp;"Average cost ($) per trip (one-way)",INDIRECT("'"&amp;$H$3&amp;"'!$F$43:$F$78"),0)),0)</f>
        <v>0</v>
      </c>
      <c r="U117" s="361"/>
      <c r="V117" s="361"/>
      <c r="W117" s="1438">
        <f ca="1">IFERROR((1-INDIRECT("'"&amp;$H$3&amp;"'!W$142"))*W$154*INDEX(INDIRECT("'"&amp;$H$3&amp;"'!$H$43:$H$78"),MATCH(INDIRECT("'"&amp;$H$3&amp;"'!W$136")&amp;"Average cost ($) per trip (one-way)",INDIRECT("'"&amp;$H$3&amp;"'!$F$43:$F$78"),0)),0)
+IFERROR((1-INDIRECT("'"&amp;$H$3&amp;"'!W$162"))*W$192*INDEX(INDIRECT("'"&amp;$H$3&amp;"'!$H$43:$H$78"),MATCH(INDIRECT("'"&amp;$H$3&amp;"'!W$156")&amp;"Average cost ($) per trip (one-way)",INDIRECT("'"&amp;$H$3&amp;"'!$F$43:$F$78"),0)),0)
+IFERROR((1-INDIRECT("'"&amp;$H$3&amp;"'!W$182"))*W$230*INDEX(INDIRECT("'"&amp;$H$3&amp;"'!$H$43:$H$78"),MATCH(INDIRECT("'"&amp;$H$3&amp;"'!W$176")&amp;"Average cost ($) per trip (one-way)",INDIRECT("'"&amp;$H$3&amp;"'!$F$43:$F$78"),0)),0)</f>
        <v>0</v>
      </c>
      <c r="Y117" s="347">
        <f t="shared" ca="1" si="11"/>
        <v>0</v>
      </c>
    </row>
    <row r="118" spans="6:38">
      <c r="F118" s="330" t="s">
        <v>2441</v>
      </c>
      <c r="G118" s="330"/>
      <c r="H118" s="327"/>
      <c r="I118" s="327"/>
      <c r="J118" s="327"/>
      <c r="K118" s="327"/>
      <c r="L118" s="327"/>
      <c r="M118" s="327"/>
      <c r="N118" s="327"/>
      <c r="O118" s="327"/>
      <c r="P118" s="327"/>
      <c r="Q118" s="327"/>
      <c r="R118" s="329"/>
      <c r="S118" s="331"/>
      <c r="T118" s="327"/>
      <c r="U118" s="331"/>
      <c r="V118" s="331"/>
      <c r="W118" s="1439"/>
      <c r="X118" s="1463"/>
      <c r="Y118" s="1489">
        <f ca="1">SUM(Y119:Y127)</f>
        <v>0</v>
      </c>
    </row>
    <row r="119" spans="6:38">
      <c r="F119" s="219"/>
      <c r="G119" s="219" t="s">
        <v>48</v>
      </c>
      <c r="H119" s="297">
        <f ca="1">IFERROR((1-INDIRECT("'"&amp;$H$3&amp;"'!H$271"))*IF(INDIRECT("'"&amp;$H$3&amp;"'!H$265")='List Values'!$E$5,INDIRECT("'"&amp;$H$3&amp;"'!H$267")*IF(INDIRECT("'"&amp;$H$3&amp;"'!H$266")='List Values'!$F$3,H$369,IF(INDIRECT("'"&amp;$H$3&amp;"'!H$266")='List Values'!$F$4,'3_Outputs'!H$52*INDIRECT("'"&amp;$H$3&amp;"'!H$95")*INDIRECT("'"&amp;$H$3&amp;"'!H$263"),IF(INDIRECT("'"&amp;$H$3&amp;"'!H$266")='List Values'!$F$5,H$370,IF(INDIRECT("'"&amp;$H$3&amp;"'!H$266")='List Values'!$F$6,INDIRECT("'"&amp;$H$3&amp;"'!H$95")*INDIRECT("'"&amp;$H$3&amp;"'!H$263"),IF(INDIRECT("'"&amp;$H$3&amp;"'!H$266")='List Values'!$F$7,1,0))))),0),0)
+IFERROR((1-INDIRECT("'"&amp;$H$3&amp;"'!H$291"))*IF(INDIRECT("'"&amp;$H$3&amp;"'!H$285")='List Values'!$E$5,INDIRECT("'"&amp;$H$3&amp;"'!H$287")*IF(INDIRECT("'"&amp;$H$3&amp;"'!H$286")='List Values'!$F$3,H$398,IF(INDIRECT("'"&amp;$H$3&amp;"'!H$286")='List Values'!$F$4,'3_Outputs'!H$52*INDIRECT("'"&amp;$H$3&amp;"'!H$95")*INDIRECT("'"&amp;$H$3&amp;"'!H$283"),IF(INDIRECT("'"&amp;$H$3&amp;"'!H$286")='List Values'!$F$5,H$399,IF(INDIRECT("'"&amp;$H$3&amp;"'!H$286")='List Values'!$F$6,INDIRECT("'"&amp;$H$3&amp;"'!H$95")*INDIRECT("'"&amp;$H$3&amp;"'!H$283"),IF(INDIRECT("'"&amp;$H$3&amp;"'!H$286")='List Values'!$F$7,1,0))))),0),0)
+IFERROR((1-INDIRECT("'"&amp;$H$3&amp;"'!H$311"))*IF(INDIRECT("'"&amp;$H$3&amp;"'!H$305")='List Values'!$E$5,INDIRECT("'"&amp;$H$3&amp;"'!H$307")*IF(INDIRECT("'"&amp;$H$3&amp;"'!H$306")='List Values'!$F$3,H$427,IF(INDIRECT("'"&amp;$H$3&amp;"'!H$306")='List Values'!$F$4,'3_Outputs'!H$52*INDIRECT("'"&amp;$H$3&amp;"'!H$95")*INDIRECT("'"&amp;$H$3&amp;"'!H$303"),IF(INDIRECT("'"&amp;$H$3&amp;"'!H$306")='List Values'!$F$5,H$428,IF(INDIRECT("'"&amp;$H$3&amp;"'!H$306")='List Values'!$F$6,INDIRECT("'"&amp;$H$3&amp;"'!H$95")*INDIRECT("'"&amp;$H$3&amp;"'!H$303"),IF(INDIRECT("'"&amp;$H$3&amp;"'!H$306")='List Values'!$F$7,1,0))))),0),0)</f>
        <v>0</v>
      </c>
      <c r="I119" s="297"/>
      <c r="J119" s="297"/>
      <c r="K119" s="297">
        <f ca="1">IFERROR((1-INDIRECT("'"&amp;$H$3&amp;"'!K$271"))*IF(INDIRECT("'"&amp;$H$3&amp;"'!K$265")='List Values'!$E$5,INDIRECT("'"&amp;$H$3&amp;"'!K$267")*IF(INDIRECT("'"&amp;$H$3&amp;"'!K$266")='List Values'!$F$3,K$369,IF(INDIRECT("'"&amp;$H$3&amp;"'!K$266")='List Values'!$F$4,'3_Outputs'!K$52*INDIRECT("'"&amp;$H$3&amp;"'!K$95")*INDIRECT("'"&amp;$H$3&amp;"'!K$263"),IF(INDIRECT("'"&amp;$H$3&amp;"'!K$266")='List Values'!$F$5,K$370,IF(INDIRECT("'"&amp;$H$3&amp;"'!K$266")='List Values'!$F$6,INDIRECT("'"&amp;$H$3&amp;"'!K$95")*INDIRECT("'"&amp;$H$3&amp;"'!K$263"),IF(INDIRECT("'"&amp;$H$3&amp;"'!K$266")='List Values'!$F$7,1,0))))),0),0)
+IFERROR((1-INDIRECT("'"&amp;$H$3&amp;"'!K$291"))*IF(INDIRECT("'"&amp;$H$3&amp;"'!K$285")='List Values'!$E$5,INDIRECT("'"&amp;$H$3&amp;"'!K$287")*IF(INDIRECT("'"&amp;$H$3&amp;"'!K$286")='List Values'!$F$3,K$398,IF(INDIRECT("'"&amp;$H$3&amp;"'!K$286")='List Values'!$F$4,'3_Outputs'!K$52*INDIRECT("'"&amp;$H$3&amp;"'!K$95")*INDIRECT("'"&amp;$H$3&amp;"'!K$283"),IF(INDIRECT("'"&amp;$H$3&amp;"'!K$286")='List Values'!$F$5,K$399,IF(INDIRECT("'"&amp;$H$3&amp;"'!K$286")='List Values'!$F$6,INDIRECT("'"&amp;$H$3&amp;"'!K$95")*INDIRECT("'"&amp;$H$3&amp;"'!K$283"),IF(INDIRECT("'"&amp;$H$3&amp;"'!K$286")='List Values'!$F$7,1,0))))),0),0)
+IFERROR((1-INDIRECT("'"&amp;$H$3&amp;"'!K$311"))*IF(INDIRECT("'"&amp;$H$3&amp;"'!K$305")='List Values'!$E$5,INDIRECT("'"&amp;$H$3&amp;"'!K$307")*IF(INDIRECT("'"&amp;$H$3&amp;"'!K$306")='List Values'!$F$3,K$427,IF(INDIRECT("'"&amp;$H$3&amp;"'!K$306")='List Values'!$F$4,'3_Outputs'!K$52*INDIRECT("'"&amp;$H$3&amp;"'!K$95")*INDIRECT("'"&amp;$H$3&amp;"'!K$303"),IF(INDIRECT("'"&amp;$H$3&amp;"'!K$306")='List Values'!$F$5,K$428,IF(INDIRECT("'"&amp;$H$3&amp;"'!K$306")='List Values'!$F$6,INDIRECT("'"&amp;$H$3&amp;"'!K$95")*INDIRECT("'"&amp;$H$3&amp;"'!K$303"),IF(INDIRECT("'"&amp;$H$3&amp;"'!K$306")='List Values'!$F$7,1,0))))),0),0)</f>
        <v>0</v>
      </c>
      <c r="L119" s="297"/>
      <c r="M119" s="297"/>
      <c r="N119" s="297">
        <f ca="1">IFERROR((1-INDIRECT("'"&amp;$H$3&amp;"'!N$271"))*IF(INDIRECT("'"&amp;$H$3&amp;"'!N$265")='List Values'!$E$5,INDIRECT("'"&amp;$H$3&amp;"'!N$267")*IF(INDIRECT("'"&amp;$H$3&amp;"'!N$266")='List Values'!$F$3,N$369,IF(INDIRECT("'"&amp;$H$3&amp;"'!N$266")='List Values'!$F$4,'3_Outputs'!N$52*INDIRECT("'"&amp;$H$3&amp;"'!N$95")*INDIRECT("'"&amp;$H$3&amp;"'!N$263"),IF(INDIRECT("'"&amp;$H$3&amp;"'!N$266")='List Values'!$F$5,N$370,IF(INDIRECT("'"&amp;$H$3&amp;"'!N$266")='List Values'!$F$6,INDIRECT("'"&amp;$H$3&amp;"'!N$95")*INDIRECT("'"&amp;$H$3&amp;"'!N$263"),IF(INDIRECT("'"&amp;$H$3&amp;"'!N$266")='List Values'!$F$7,1,0))))),0),0)
+IFERROR((1-INDIRECT("'"&amp;$H$3&amp;"'!N$291"))*IF(INDIRECT("'"&amp;$H$3&amp;"'!N$285")='List Values'!$E$5,INDIRECT("'"&amp;$H$3&amp;"'!N$287")*IF(INDIRECT("'"&amp;$H$3&amp;"'!N$286")='List Values'!$F$3,N$398,IF(INDIRECT("'"&amp;$H$3&amp;"'!N$286")='List Values'!$F$4,'3_Outputs'!N$52*INDIRECT("'"&amp;$H$3&amp;"'!N$95")*INDIRECT("'"&amp;$H$3&amp;"'!N$283"),IF(INDIRECT("'"&amp;$H$3&amp;"'!N$286")='List Values'!$F$5,N$399,IF(INDIRECT("'"&amp;$H$3&amp;"'!N$286")='List Values'!$F$6,INDIRECT("'"&amp;$H$3&amp;"'!N$95")*INDIRECT("'"&amp;$H$3&amp;"'!N$283"),IF(INDIRECT("'"&amp;$H$3&amp;"'!N$286")='List Values'!$F$7,1,0))))),0),0)
+IFERROR((1-INDIRECT("'"&amp;$H$3&amp;"'!N$311"))*IF(INDIRECT("'"&amp;$H$3&amp;"'!N$305")='List Values'!$E$5,INDIRECT("'"&amp;$H$3&amp;"'!N$307")*IF(INDIRECT("'"&amp;$H$3&amp;"'!N$306")='List Values'!$F$3,N$427,IF(INDIRECT("'"&amp;$H$3&amp;"'!N$306")='List Values'!$F$4,'3_Outputs'!N$52*INDIRECT("'"&amp;$H$3&amp;"'!N$95")*INDIRECT("'"&amp;$H$3&amp;"'!N$303"),IF(INDIRECT("'"&amp;$H$3&amp;"'!N$306")='List Values'!$F$5,N$428,IF(INDIRECT("'"&amp;$H$3&amp;"'!N$306")='List Values'!$F$6,INDIRECT("'"&amp;$H$3&amp;"'!N$95")*INDIRECT("'"&amp;$H$3&amp;"'!N$303"),IF(INDIRECT("'"&amp;$H$3&amp;"'!N$306")='List Values'!$F$7,1,0))))),0),0)</f>
        <v>0</v>
      </c>
      <c r="O119" s="297"/>
      <c r="P119" s="297"/>
      <c r="Q119" s="297">
        <f ca="1">IFERROR((1-INDIRECT("'"&amp;$H$3&amp;"'!Q$271"))*IF(INDIRECT("'"&amp;$H$3&amp;"'!Q$265")='List Values'!$E$5,INDIRECT("'"&amp;$H$3&amp;"'!Q$267")*IF(INDIRECT("'"&amp;$H$3&amp;"'!Q$266")='List Values'!$F$3,Q$369,IF(INDIRECT("'"&amp;$H$3&amp;"'!Q$266")='List Values'!$F$4,'3_Outputs'!Q$52*INDIRECT("'"&amp;$H$3&amp;"'!Q$95")*INDIRECT("'"&amp;$H$3&amp;"'!Q$263"),IF(INDIRECT("'"&amp;$H$3&amp;"'!Q$266")='List Values'!$F$5,Q$370,IF(INDIRECT("'"&amp;$H$3&amp;"'!Q$266")='List Values'!$F$6,INDIRECT("'"&amp;$H$3&amp;"'!Q$95")*INDIRECT("'"&amp;$H$3&amp;"'!Q$263"),IF(INDIRECT("'"&amp;$H$3&amp;"'!Q$266")='List Values'!$F$7,1,0))))),0),0)
+IFERROR((1-INDIRECT("'"&amp;$H$3&amp;"'!Q$291"))*IF(INDIRECT("'"&amp;$H$3&amp;"'!Q$285")='List Values'!$E$5,INDIRECT("'"&amp;$H$3&amp;"'!Q$287")*IF(INDIRECT("'"&amp;$H$3&amp;"'!Q$286")='List Values'!$F$3,Q$398,IF(INDIRECT("'"&amp;$H$3&amp;"'!Q$286")='List Values'!$F$4,'3_Outputs'!Q$52*INDIRECT("'"&amp;$H$3&amp;"'!Q$95")*INDIRECT("'"&amp;$H$3&amp;"'!Q$283"),IF(INDIRECT("'"&amp;$H$3&amp;"'!Q$286")='List Values'!$F$5,Q$399,IF(INDIRECT("'"&amp;$H$3&amp;"'!Q$286")='List Values'!$F$6,INDIRECT("'"&amp;$H$3&amp;"'!Q$95")*INDIRECT("'"&amp;$H$3&amp;"'!Q$283"),IF(INDIRECT("'"&amp;$H$3&amp;"'!Q$286")='List Values'!$F$7,1,0))))),0),0)
+IFERROR((1-INDIRECT("'"&amp;$H$3&amp;"'!Q$311"))*IF(INDIRECT("'"&amp;$H$3&amp;"'!Q$305")='List Values'!$E$5,INDIRECT("'"&amp;$H$3&amp;"'!Q$307")*IF(INDIRECT("'"&amp;$H$3&amp;"'!Q$306")='List Values'!$F$3,Q$427,IF(INDIRECT("'"&amp;$H$3&amp;"'!Q$306")='List Values'!$F$4,'3_Outputs'!Q$52*INDIRECT("'"&amp;$H$3&amp;"'!Q$95")*INDIRECT("'"&amp;$H$3&amp;"'!Q$303"),IF(INDIRECT("'"&amp;$H$3&amp;"'!Q$306")='List Values'!$F$5,Q$428,IF(INDIRECT("'"&amp;$H$3&amp;"'!Q$306")='List Values'!$F$6,INDIRECT("'"&amp;$H$3&amp;"'!Q$95")*INDIRECT("'"&amp;$H$3&amp;"'!Q$303"),IF(INDIRECT("'"&amp;$H$3&amp;"'!Q$306")='List Values'!$F$7,1,0))))),0),0)</f>
        <v>0</v>
      </c>
      <c r="R119" s="297"/>
      <c r="S119" s="364"/>
      <c r="T119" s="297">
        <f ca="1">IFERROR((1-INDIRECT("'"&amp;$H$3&amp;"'!T$271"))*IF(INDIRECT("'"&amp;$H$3&amp;"'!T$265")='List Values'!$E$5,INDIRECT("'"&amp;$H$3&amp;"'!T$267")*IF(INDIRECT("'"&amp;$H$3&amp;"'!T$266")='List Values'!$F$3,T$369,IF(INDIRECT("'"&amp;$H$3&amp;"'!T$266")='List Values'!$F$4,'3_Outputs'!T$52*INDIRECT("'"&amp;$H$3&amp;"'!T$95")*INDIRECT("'"&amp;$H$3&amp;"'!T$263"),IF(INDIRECT("'"&amp;$H$3&amp;"'!T$266")='List Values'!$F$5,T$370,IF(INDIRECT("'"&amp;$H$3&amp;"'!T$266")='List Values'!$F$6,INDIRECT("'"&amp;$H$3&amp;"'!T$95")*INDIRECT("'"&amp;$H$3&amp;"'!T$263"),IF(INDIRECT("'"&amp;$H$3&amp;"'!T$266")='List Values'!$F$7,1,0))))),0),0)
+IFERROR((1-INDIRECT("'"&amp;$H$3&amp;"'!T$291"))*IF(INDIRECT("'"&amp;$H$3&amp;"'!T$285")='List Values'!$E$5,INDIRECT("'"&amp;$H$3&amp;"'!T$287")*IF(INDIRECT("'"&amp;$H$3&amp;"'!T$286")='List Values'!$F$3,T$398,IF(INDIRECT("'"&amp;$H$3&amp;"'!T$286")='List Values'!$F$4,'3_Outputs'!T$52*INDIRECT("'"&amp;$H$3&amp;"'!T$95")*INDIRECT("'"&amp;$H$3&amp;"'!T$283"),IF(INDIRECT("'"&amp;$H$3&amp;"'!T$286")='List Values'!$F$5,T$399,IF(INDIRECT("'"&amp;$H$3&amp;"'!T$286")='List Values'!$F$6,INDIRECT("'"&amp;$H$3&amp;"'!T$95")*INDIRECT("'"&amp;$H$3&amp;"'!T$283"),IF(INDIRECT("'"&amp;$H$3&amp;"'!T$286")='List Values'!$F$7,1,0))))),0),0)
+IFERROR((1-INDIRECT("'"&amp;$H$3&amp;"'!T$311"))*IF(INDIRECT("'"&amp;$H$3&amp;"'!T$305")='List Values'!$E$5,INDIRECT("'"&amp;$H$3&amp;"'!T$307")*IF(INDIRECT("'"&amp;$H$3&amp;"'!T$306")='List Values'!$F$3,T$427,IF(INDIRECT("'"&amp;$H$3&amp;"'!T$306")='List Values'!$F$4,'3_Outputs'!T$52*INDIRECT("'"&amp;$H$3&amp;"'!T$95")*INDIRECT("'"&amp;$H$3&amp;"'!T$303"),IF(INDIRECT("'"&amp;$H$3&amp;"'!T$306")='List Values'!$F$5,T$428,IF(INDIRECT("'"&amp;$H$3&amp;"'!T$306")='List Values'!$F$6,INDIRECT("'"&amp;$H$3&amp;"'!T$95")*INDIRECT("'"&amp;$H$3&amp;"'!T$303"),IF(INDIRECT("'"&amp;$H$3&amp;"'!T$306")='List Values'!$F$7,1,0))))),0),0)</f>
        <v>0</v>
      </c>
      <c r="U119" s="364"/>
      <c r="V119" s="364"/>
      <c r="W119" s="1440">
        <f ca="1">IFERROR((1-INDIRECT("'"&amp;$H$3&amp;"'!W$271"))*IF(INDIRECT("'"&amp;$H$3&amp;"'!W$265")='List Values'!$E$5,INDIRECT("'"&amp;$H$3&amp;"'!W$267")*IF(INDIRECT("'"&amp;$H$3&amp;"'!W$266")='List Values'!$F$3,W$369,IF(INDIRECT("'"&amp;$H$3&amp;"'!W$266")='List Values'!$F$4,'3_Outputs'!W$52*INDIRECT("'"&amp;$H$3&amp;"'!W$95")*INDIRECT("'"&amp;$H$3&amp;"'!W$263"),IF(INDIRECT("'"&amp;$H$3&amp;"'!W$266")='List Values'!$F$5,W$370,IF(INDIRECT("'"&amp;$H$3&amp;"'!W$266")='List Values'!$F$6,INDIRECT("'"&amp;$H$3&amp;"'!W$95")*INDIRECT("'"&amp;$H$3&amp;"'!W$263"),IF(INDIRECT("'"&amp;$H$3&amp;"'!W$266")='List Values'!$F$7,1,0))))),0),0)
+IFERROR((1-INDIRECT("'"&amp;$H$3&amp;"'!W$291"))*IF(INDIRECT("'"&amp;$H$3&amp;"'!W$285")='List Values'!$E$5,INDIRECT("'"&amp;$H$3&amp;"'!W$287")*IF(INDIRECT("'"&amp;$H$3&amp;"'!W$286")='List Values'!$F$3,W$398,IF(INDIRECT("'"&amp;$H$3&amp;"'!W$286")='List Values'!$F$4,'3_Outputs'!W$52*INDIRECT("'"&amp;$H$3&amp;"'!W$95")*INDIRECT("'"&amp;$H$3&amp;"'!W$283"),IF(INDIRECT("'"&amp;$H$3&amp;"'!W$286")='List Values'!$F$5,W$399,IF(INDIRECT("'"&amp;$H$3&amp;"'!W$286")='List Values'!$F$6,INDIRECT("'"&amp;$H$3&amp;"'!W$95")*INDIRECT("'"&amp;$H$3&amp;"'!W$283"),IF(INDIRECT("'"&amp;$H$3&amp;"'!W$286")='List Values'!$F$7,1,0))))),0),0)
+IFERROR((1-INDIRECT("'"&amp;$H$3&amp;"'!W$311"))*IF(INDIRECT("'"&amp;$H$3&amp;"'!W$305")='List Values'!$E$5,INDIRECT("'"&amp;$H$3&amp;"'!W$307")*IF(INDIRECT("'"&amp;$H$3&amp;"'!W$306")='List Values'!$F$3,W$427,IF(INDIRECT("'"&amp;$H$3&amp;"'!W$306")='List Values'!$F$4,'3_Outputs'!W$52*INDIRECT("'"&amp;$H$3&amp;"'!W$95")*INDIRECT("'"&amp;$H$3&amp;"'!W$303"),IF(INDIRECT("'"&amp;$H$3&amp;"'!W$306")='List Values'!$F$5,W$428,IF(INDIRECT("'"&amp;$H$3&amp;"'!W$306")='List Values'!$F$6,INDIRECT("'"&amp;$H$3&amp;"'!W$95")*INDIRECT("'"&amp;$H$3&amp;"'!W$303"),IF(INDIRECT("'"&amp;$H$3&amp;"'!W$306")='List Values'!$F$7,1,0))))),0),0)</f>
        <v>0</v>
      </c>
      <c r="Y119" s="365">
        <f ca="1">SUM(H119:W119)</f>
        <v>0</v>
      </c>
    </row>
    <row r="120" spans="6:38">
      <c r="F120" s="288"/>
      <c r="G120" s="288" t="s">
        <v>226</v>
      </c>
      <c r="H120" s="300">
        <f ca="1">IFERROR((1-INDIRECT("'"&amp;$H$3&amp;"'!H$271"))*IF(INDIRECT("'"&amp;$H$3&amp;"'!H$265")='List Values'!$E$4,INDIRECT("'"&amp;$H$3&amp;"'!H$267")*IF(INDIRECT("'"&amp;$H$3&amp;"'!H$266")='List Values'!$F$3,H$369,IF(INDIRECT("'"&amp;$H$3&amp;"'!H$266")='List Values'!$F$4,'3_Outputs'!H$52*INDIRECT("'"&amp;$H$3&amp;"'!H$95")*INDIRECT("'"&amp;$H$3&amp;"'!H$263"),IF(INDIRECT("'"&amp;$H$3&amp;"'!H$266")='List Values'!$F$5,H$370,IF(INDIRECT("'"&amp;$H$3&amp;"'!H$266")='List Values'!$F$6,INDIRECT("'"&amp;$H$3&amp;"'!H$95")*INDIRECT("'"&amp;$H$3&amp;"'!H$263"),IF(INDIRECT("'"&amp;$H$3&amp;"'!H$266")='List Values'!$F$7,1,0))))),0),0)
+IFERROR((1-INDIRECT("'"&amp;$H$3&amp;"'!H$291"))*IF(INDIRECT("'"&amp;$H$3&amp;"'!H$285")='List Values'!$E$4,INDIRECT("'"&amp;$H$3&amp;"'!H$287")*IF(INDIRECT("'"&amp;$H$3&amp;"'!H$286")='List Values'!$F$3,H$398,IF(INDIRECT("'"&amp;$H$3&amp;"'!H$286")='List Values'!$F$4,'3_Outputs'!H$52*INDIRECT("'"&amp;$H$3&amp;"'!H$95")*INDIRECT("'"&amp;$H$3&amp;"'!H$283"),IF(INDIRECT("'"&amp;$H$3&amp;"'!H$286")='List Values'!$F$5,H$399,IF(INDIRECT("'"&amp;$H$3&amp;"'!H$286")='List Values'!$F$6,INDIRECT("'"&amp;$H$3&amp;"'!H$95")*INDIRECT("'"&amp;$H$3&amp;"'!H$283"),IF(INDIRECT("'"&amp;$H$3&amp;"'!H$286")='List Values'!$F$7,1,0))))),0),0)
+IFERROR((1-INDIRECT("'"&amp;$H$3&amp;"'!H$311"))*IF(INDIRECT("'"&amp;$H$3&amp;"'!H$305")='List Values'!$E$4,INDIRECT("'"&amp;$H$3&amp;"'!H$307")*IF(INDIRECT("'"&amp;$H$3&amp;"'!H$306")='List Values'!$F$3,H$427,IF(INDIRECT("'"&amp;$H$3&amp;"'!H$306")='List Values'!$F$4,'3_Outputs'!H$52*INDIRECT("'"&amp;$H$3&amp;"'!H$95")*INDIRECT("'"&amp;$H$3&amp;"'!H$303"),IF(INDIRECT("'"&amp;$H$3&amp;"'!H$306")='List Values'!$F$5,H$428,IF(INDIRECT("'"&amp;$H$3&amp;"'!H$306")='List Values'!$F$6,INDIRECT("'"&amp;$H$3&amp;"'!H$95")*INDIRECT("'"&amp;$H$3&amp;"'!H$303"),IF(INDIRECT("'"&amp;$H$3&amp;"'!H$306")='List Values'!$F$7,1,0))))),0),0)</f>
        <v>0</v>
      </c>
      <c r="I120" s="300"/>
      <c r="J120" s="300"/>
      <c r="K120" s="300">
        <f ca="1">IFERROR((1-INDIRECT("'"&amp;$H$3&amp;"'!K$271"))*IF(INDIRECT("'"&amp;$H$3&amp;"'!K$265")='List Values'!$E$4,INDIRECT("'"&amp;$H$3&amp;"'!K$267")*IF(INDIRECT("'"&amp;$H$3&amp;"'!K$266")='List Values'!$F$3,K$369,IF(INDIRECT("'"&amp;$H$3&amp;"'!K$266")='List Values'!$F$4,'3_Outputs'!K$52*INDIRECT("'"&amp;$H$3&amp;"'!K$95")*INDIRECT("'"&amp;$H$3&amp;"'!K$263"),IF(INDIRECT("'"&amp;$H$3&amp;"'!K$266")='List Values'!$F$5,K$370,IF(INDIRECT("'"&amp;$H$3&amp;"'!K$266")='List Values'!$F$6,INDIRECT("'"&amp;$H$3&amp;"'!K$95")*INDIRECT("'"&amp;$H$3&amp;"'!K$263"),IF(INDIRECT("'"&amp;$H$3&amp;"'!K$266")='List Values'!$F$7,1,0))))),0),0)
+IFERROR((1-INDIRECT("'"&amp;$H$3&amp;"'!K$291"))*IF(INDIRECT("'"&amp;$H$3&amp;"'!K$285")='List Values'!$E$4,INDIRECT("'"&amp;$H$3&amp;"'!K$287")*IF(INDIRECT("'"&amp;$H$3&amp;"'!K$286")='List Values'!$F$3,K$398,IF(INDIRECT("'"&amp;$H$3&amp;"'!K$286")='List Values'!$F$4,'3_Outputs'!K$52*INDIRECT("'"&amp;$H$3&amp;"'!K$95")*INDIRECT("'"&amp;$H$3&amp;"'!K$283"),IF(INDIRECT("'"&amp;$H$3&amp;"'!K$286")='List Values'!$F$5,K$399,IF(INDIRECT("'"&amp;$H$3&amp;"'!K$286")='List Values'!$F$6,INDIRECT("'"&amp;$H$3&amp;"'!K$95")*INDIRECT("'"&amp;$H$3&amp;"'!K$283"),IF(INDIRECT("'"&amp;$H$3&amp;"'!K$286")='List Values'!$F$7,1,0))))),0),0)
+IFERROR((1-INDIRECT("'"&amp;$H$3&amp;"'!K$311"))*IF(INDIRECT("'"&amp;$H$3&amp;"'!K$305")='List Values'!$E$4,INDIRECT("'"&amp;$H$3&amp;"'!K$307")*IF(INDIRECT("'"&amp;$H$3&amp;"'!K$306")='List Values'!$F$3,K$427,IF(INDIRECT("'"&amp;$H$3&amp;"'!K$306")='List Values'!$F$4,'3_Outputs'!K$52*INDIRECT("'"&amp;$H$3&amp;"'!K$95")*INDIRECT("'"&amp;$H$3&amp;"'!K$303"),IF(INDIRECT("'"&amp;$H$3&amp;"'!K$306")='List Values'!$F$5,K$428,IF(INDIRECT("'"&amp;$H$3&amp;"'!K$306")='List Values'!$F$6,INDIRECT("'"&amp;$H$3&amp;"'!K$95")*INDIRECT("'"&amp;$H$3&amp;"'!K$303"),IF(INDIRECT("'"&amp;$H$3&amp;"'!K$306")='List Values'!$F$7,1,0))))),0),0)</f>
        <v>0</v>
      </c>
      <c r="L120" s="300"/>
      <c r="M120" s="300"/>
      <c r="N120" s="300">
        <f ca="1">IFERROR((1-INDIRECT("'"&amp;$H$3&amp;"'!N$271"))*IF(INDIRECT("'"&amp;$H$3&amp;"'!N$265")='List Values'!$E$4,INDIRECT("'"&amp;$H$3&amp;"'!N$267")*IF(INDIRECT("'"&amp;$H$3&amp;"'!N$266")='List Values'!$F$3,N$369,IF(INDIRECT("'"&amp;$H$3&amp;"'!N$266")='List Values'!$F$4,'3_Outputs'!N$52*INDIRECT("'"&amp;$H$3&amp;"'!N$95")*INDIRECT("'"&amp;$H$3&amp;"'!N$263"),IF(INDIRECT("'"&amp;$H$3&amp;"'!N$266")='List Values'!$F$5,N$370,IF(INDIRECT("'"&amp;$H$3&amp;"'!N$266")='List Values'!$F$6,INDIRECT("'"&amp;$H$3&amp;"'!N$95")*INDIRECT("'"&amp;$H$3&amp;"'!N$263"),IF(INDIRECT("'"&amp;$H$3&amp;"'!N$266")='List Values'!$F$7,1,0))))),0),0)
+IFERROR((1-INDIRECT("'"&amp;$H$3&amp;"'!N$291"))*IF(INDIRECT("'"&amp;$H$3&amp;"'!N$285")='List Values'!$E$4,INDIRECT("'"&amp;$H$3&amp;"'!N$287")*IF(INDIRECT("'"&amp;$H$3&amp;"'!N$286")='List Values'!$F$3,N$398,IF(INDIRECT("'"&amp;$H$3&amp;"'!N$286")='List Values'!$F$4,'3_Outputs'!N$52*INDIRECT("'"&amp;$H$3&amp;"'!N$95")*INDIRECT("'"&amp;$H$3&amp;"'!N$283"),IF(INDIRECT("'"&amp;$H$3&amp;"'!N$286")='List Values'!$F$5,N$399,IF(INDIRECT("'"&amp;$H$3&amp;"'!N$286")='List Values'!$F$6,INDIRECT("'"&amp;$H$3&amp;"'!N$95")*INDIRECT("'"&amp;$H$3&amp;"'!N$283"),IF(INDIRECT("'"&amp;$H$3&amp;"'!N$286")='List Values'!$F$7,1,0))))),0),0)
+IFERROR((1-INDIRECT("'"&amp;$H$3&amp;"'!N$311"))*IF(INDIRECT("'"&amp;$H$3&amp;"'!N$305")='List Values'!$E$4,INDIRECT("'"&amp;$H$3&amp;"'!N$307")*IF(INDIRECT("'"&amp;$H$3&amp;"'!N$306")='List Values'!$F$3,N$427,IF(INDIRECT("'"&amp;$H$3&amp;"'!N$306")='List Values'!$F$4,'3_Outputs'!N$52*INDIRECT("'"&amp;$H$3&amp;"'!N$95")*INDIRECT("'"&amp;$H$3&amp;"'!N$303"),IF(INDIRECT("'"&amp;$H$3&amp;"'!N$306")='List Values'!$F$5,N$428,IF(INDIRECT("'"&amp;$H$3&amp;"'!N$306")='List Values'!$F$6,INDIRECT("'"&amp;$H$3&amp;"'!N$95")*INDIRECT("'"&amp;$H$3&amp;"'!N$303"),IF(INDIRECT("'"&amp;$H$3&amp;"'!N$306")='List Values'!$F$7,1,0))))),0),0)</f>
        <v>0</v>
      </c>
      <c r="O120" s="300"/>
      <c r="P120" s="300"/>
      <c r="Q120" s="300">
        <f ca="1">IFERROR((1-INDIRECT("'"&amp;$H$3&amp;"'!Q$271"))*IF(INDIRECT("'"&amp;$H$3&amp;"'!Q$265")='List Values'!$E$4,INDIRECT("'"&amp;$H$3&amp;"'!Q$267")*IF(INDIRECT("'"&amp;$H$3&amp;"'!Q$266")='List Values'!$F$3,Q$369,IF(INDIRECT("'"&amp;$H$3&amp;"'!Q$266")='List Values'!$F$4,'3_Outputs'!Q$52*INDIRECT("'"&amp;$H$3&amp;"'!Q$95")*INDIRECT("'"&amp;$H$3&amp;"'!Q$263"),IF(INDIRECT("'"&amp;$H$3&amp;"'!Q$266")='List Values'!$F$5,Q$370,IF(INDIRECT("'"&amp;$H$3&amp;"'!Q$266")='List Values'!$F$6,INDIRECT("'"&amp;$H$3&amp;"'!Q$95")*INDIRECT("'"&amp;$H$3&amp;"'!Q$263"),IF(INDIRECT("'"&amp;$H$3&amp;"'!Q$266")='List Values'!$F$7,1,0))))),0),0)
+IFERROR((1-INDIRECT("'"&amp;$H$3&amp;"'!Q$291"))*IF(INDIRECT("'"&amp;$H$3&amp;"'!Q$285")='List Values'!$E$4,INDIRECT("'"&amp;$H$3&amp;"'!Q$287")*IF(INDIRECT("'"&amp;$H$3&amp;"'!Q$286")='List Values'!$F$3,Q$398,IF(INDIRECT("'"&amp;$H$3&amp;"'!Q$286")='List Values'!$F$4,'3_Outputs'!Q$52*INDIRECT("'"&amp;$H$3&amp;"'!Q$95")*INDIRECT("'"&amp;$H$3&amp;"'!Q$283"),IF(INDIRECT("'"&amp;$H$3&amp;"'!Q$286")='List Values'!$F$5,Q$399,IF(INDIRECT("'"&amp;$H$3&amp;"'!Q$286")='List Values'!$F$6,INDIRECT("'"&amp;$H$3&amp;"'!Q$95")*INDIRECT("'"&amp;$H$3&amp;"'!Q$283"),IF(INDIRECT("'"&amp;$H$3&amp;"'!Q$286")='List Values'!$F$7,1,0))))),0),0)
+IFERROR((1-INDIRECT("'"&amp;$H$3&amp;"'!Q$311"))*IF(INDIRECT("'"&amp;$H$3&amp;"'!Q$305")='List Values'!$E$4,INDIRECT("'"&amp;$H$3&amp;"'!Q$307")*IF(INDIRECT("'"&amp;$H$3&amp;"'!Q$306")='List Values'!$F$3,Q$427,IF(INDIRECT("'"&amp;$H$3&amp;"'!Q$306")='List Values'!$F$4,'3_Outputs'!Q$52*INDIRECT("'"&amp;$H$3&amp;"'!Q$95")*INDIRECT("'"&amp;$H$3&amp;"'!Q$303"),IF(INDIRECT("'"&amp;$H$3&amp;"'!Q$306")='List Values'!$F$5,Q$428,IF(INDIRECT("'"&amp;$H$3&amp;"'!Q$306")='List Values'!$F$6,INDIRECT("'"&amp;$H$3&amp;"'!Q$95")*INDIRECT("'"&amp;$H$3&amp;"'!Q$303"),IF(INDIRECT("'"&amp;$H$3&amp;"'!Q$306")='List Values'!$F$7,1,0))))),0),0)</f>
        <v>0</v>
      </c>
      <c r="R120" s="300"/>
      <c r="S120" s="337"/>
      <c r="T120" s="300">
        <f ca="1">IFERROR((1-INDIRECT("'"&amp;$H$3&amp;"'!T$271"))*IF(INDIRECT("'"&amp;$H$3&amp;"'!T$265")='List Values'!$E$4,INDIRECT("'"&amp;$H$3&amp;"'!T$267")*IF(INDIRECT("'"&amp;$H$3&amp;"'!T$266")='List Values'!$F$3,T$369,IF(INDIRECT("'"&amp;$H$3&amp;"'!T$266")='List Values'!$F$4,'3_Outputs'!T$52*INDIRECT("'"&amp;$H$3&amp;"'!T$95")*INDIRECT("'"&amp;$H$3&amp;"'!T$263"),IF(INDIRECT("'"&amp;$H$3&amp;"'!T$266")='List Values'!$F$5,T$370,IF(INDIRECT("'"&amp;$H$3&amp;"'!T$266")='List Values'!$F$6,INDIRECT("'"&amp;$H$3&amp;"'!T$95")*INDIRECT("'"&amp;$H$3&amp;"'!T$263"),IF(INDIRECT("'"&amp;$H$3&amp;"'!T$266")='List Values'!$F$7,1,0))))),0),0)
+IFERROR((1-INDIRECT("'"&amp;$H$3&amp;"'!T$291"))*IF(INDIRECT("'"&amp;$H$3&amp;"'!T$285")='List Values'!$E$4,INDIRECT("'"&amp;$H$3&amp;"'!T$287")*IF(INDIRECT("'"&amp;$H$3&amp;"'!T$286")='List Values'!$F$3,T$398,IF(INDIRECT("'"&amp;$H$3&amp;"'!T$286")='List Values'!$F$4,'3_Outputs'!T$52*INDIRECT("'"&amp;$H$3&amp;"'!T$95")*INDIRECT("'"&amp;$H$3&amp;"'!T$283"),IF(INDIRECT("'"&amp;$H$3&amp;"'!T$286")='List Values'!$F$5,T$399,IF(INDIRECT("'"&amp;$H$3&amp;"'!T$286")='List Values'!$F$6,INDIRECT("'"&amp;$H$3&amp;"'!T$95")*INDIRECT("'"&amp;$H$3&amp;"'!T$283"),IF(INDIRECT("'"&amp;$H$3&amp;"'!T$286")='List Values'!$F$7,1,0))))),0),0)
+IFERROR((1-INDIRECT("'"&amp;$H$3&amp;"'!T$311"))*IF(INDIRECT("'"&amp;$H$3&amp;"'!T$305")='List Values'!$E$4,INDIRECT("'"&amp;$H$3&amp;"'!T$307")*IF(INDIRECT("'"&amp;$H$3&amp;"'!T$306")='List Values'!$F$3,T$427,IF(INDIRECT("'"&amp;$H$3&amp;"'!T$306")='List Values'!$F$4,'3_Outputs'!T$52*INDIRECT("'"&amp;$H$3&amp;"'!T$95")*INDIRECT("'"&amp;$H$3&amp;"'!T$303"),IF(INDIRECT("'"&amp;$H$3&amp;"'!T$306")='List Values'!$F$5,T$428,IF(INDIRECT("'"&amp;$H$3&amp;"'!T$306")='List Values'!$F$6,INDIRECT("'"&amp;$H$3&amp;"'!T$95")*INDIRECT("'"&amp;$H$3&amp;"'!T$303"),IF(INDIRECT("'"&amp;$H$3&amp;"'!T$306")='List Values'!$F$7,1,0))))),0),0)</f>
        <v>0</v>
      </c>
      <c r="U120" s="337"/>
      <c r="V120" s="337"/>
      <c r="W120" s="1437">
        <f ca="1">IFERROR((1-INDIRECT("'"&amp;$H$3&amp;"'!W$271"))*IF(INDIRECT("'"&amp;$H$3&amp;"'!W$265")='List Values'!$E$4,INDIRECT("'"&amp;$H$3&amp;"'!W$267")*IF(INDIRECT("'"&amp;$H$3&amp;"'!W$266")='List Values'!$F$3,W$369,IF(INDIRECT("'"&amp;$H$3&amp;"'!W$266")='List Values'!$F$4,'3_Outputs'!W$52*INDIRECT("'"&amp;$H$3&amp;"'!W$95")*INDIRECT("'"&amp;$H$3&amp;"'!W$263"),IF(INDIRECT("'"&amp;$H$3&amp;"'!W$266")='List Values'!$F$5,W$370,IF(INDIRECT("'"&amp;$H$3&amp;"'!W$266")='List Values'!$F$6,INDIRECT("'"&amp;$H$3&amp;"'!W$95")*INDIRECT("'"&amp;$H$3&amp;"'!W$263"),IF(INDIRECT("'"&amp;$H$3&amp;"'!W$266")='List Values'!$F$7,1,0))))),0),0)
+IFERROR((1-INDIRECT("'"&amp;$H$3&amp;"'!W$291"))*IF(INDIRECT("'"&amp;$H$3&amp;"'!W$285")='List Values'!$E$4,INDIRECT("'"&amp;$H$3&amp;"'!W$287")*IF(INDIRECT("'"&amp;$H$3&amp;"'!W$286")='List Values'!$F$3,W$398,IF(INDIRECT("'"&amp;$H$3&amp;"'!W$286")='List Values'!$F$4,'3_Outputs'!W$52*INDIRECT("'"&amp;$H$3&amp;"'!W$95")*INDIRECT("'"&amp;$H$3&amp;"'!W$283"),IF(INDIRECT("'"&amp;$H$3&amp;"'!W$286")='List Values'!$F$5,W$399,IF(INDIRECT("'"&amp;$H$3&amp;"'!W$286")='List Values'!$F$6,INDIRECT("'"&amp;$H$3&amp;"'!W$95")*INDIRECT("'"&amp;$H$3&amp;"'!W$283"),IF(INDIRECT("'"&amp;$H$3&amp;"'!W$286")='List Values'!$F$7,1,0))))),0),0)
+IFERROR((1-INDIRECT("'"&amp;$H$3&amp;"'!W$311"))*IF(INDIRECT("'"&amp;$H$3&amp;"'!W$305")='List Values'!$E$4,INDIRECT("'"&amp;$H$3&amp;"'!W$307")*IF(INDIRECT("'"&amp;$H$3&amp;"'!W$306")='List Values'!$F$3,W$427,IF(INDIRECT("'"&amp;$H$3&amp;"'!W$306")='List Values'!$F$4,'3_Outputs'!W$52*INDIRECT("'"&amp;$H$3&amp;"'!W$95")*INDIRECT("'"&amp;$H$3&amp;"'!W$303"),IF(INDIRECT("'"&amp;$H$3&amp;"'!W$306")='List Values'!$F$5,W$428,IF(INDIRECT("'"&amp;$H$3&amp;"'!W$306")='List Values'!$F$6,INDIRECT("'"&amp;$H$3&amp;"'!W$95")*INDIRECT("'"&amp;$H$3&amp;"'!W$303"),IF(INDIRECT("'"&amp;$H$3&amp;"'!W$306")='List Values'!$F$7,1,0))))),0),0)</f>
        <v>0</v>
      </c>
      <c r="Y120" s="341">
        <f t="shared" ref="Y120:Y127" ca="1" si="12">SUM(H120:W120)</f>
        <v>0</v>
      </c>
      <c r="AL120" s="4"/>
    </row>
    <row r="121" spans="6:38">
      <c r="F121" s="298"/>
      <c r="G121" s="298" t="s">
        <v>89</v>
      </c>
      <c r="H121" s="300">
        <f ca="1">(IFERROR(1-INDIRECT("'"&amp;$H$3&amp;"'!H$271"),0))*(H$356+H$370)*INDIRECT("'"&amp;$H$3&amp;"'!$H$10")*(IFERROR(INDEX(INDIRECT("'"&amp;$H$3&amp;"'!$H$28:$H$38"),MATCH(INDIRECT("'"&amp;$H$3&amp;"'!H$274"),INDIRECT("'"&amp;$H$3&amp;"'!$B$28:$B$38"),0)),0)+IFERROR(INDIRECT("'"&amp;$H$3&amp;"'!H$275")*INDEX(INDIRECT("'"&amp;$H$3&amp;"'!$H$28:$H$38"),MATCH(INDIRECT("'"&amp;$H$3&amp;"'!H$276"),INDIRECT("'"&amp;$H$3&amp;"'!$B$28:$B$38"),0)),0))
+(IFERROR(1-INDIRECT("'"&amp;$H$3&amp;"'!H$291"),0))*(H$385+H$399)*INDIRECT("'"&amp;$H$3&amp;"'!$H$10")*(IFERROR(INDEX(INDIRECT("'"&amp;$H$3&amp;"'!$H$28:$H$38"),MATCH(INDIRECT("'"&amp;$H$3&amp;"'!H$294"),INDIRECT("'"&amp;$H$3&amp;"'!$B$28:$B$38"),0)),0)+IFERROR(INDIRECT("'"&amp;$H$3&amp;"'!H$295")*INDEX(INDIRECT("'"&amp;$H$3&amp;"'!$H$28:$H$38"),MATCH(INDIRECT("'"&amp;$H$3&amp;"'!H$296"),INDIRECT("'"&amp;$H$3&amp;"'!$B$28:$B$38"),0)),0))
+(IFERROR(1-INDIRECT("'"&amp;$H$3&amp;"'!H$311"),0))*(H$414+H$428)*INDIRECT("'"&amp;$H$3&amp;"'!$H$10")*(IFERROR(INDEX(INDIRECT("'"&amp;$H$3&amp;"'!$H$28:$H$38"),MATCH(INDIRECT("'"&amp;$H$3&amp;"'!H$314"),INDIRECT("'"&amp;$H$3&amp;"'!$B$28:$B$38"),0)),0)+IFERROR(INDIRECT("'"&amp;$H$3&amp;"'!H$315")*INDEX(INDIRECT("'"&amp;$H$3&amp;"'!$H$28:$H$38"),MATCH(INDIRECT("'"&amp;$H$3&amp;"'!H$316"),INDIRECT("'"&amp;$H$3&amp;"'!$B$28:$B$38"),0)),0))</f>
        <v>0</v>
      </c>
      <c r="I121" s="300"/>
      <c r="J121" s="300"/>
      <c r="K121" s="300">
        <f ca="1">(IFERROR(1-INDIRECT("'"&amp;$H$3&amp;"'!K$271"),0))*(K$356+K$370)*INDIRECT("'"&amp;$H$3&amp;"'!$H$10")*(IFERROR(INDEX(INDIRECT("'"&amp;$H$3&amp;"'!$H$28:$H$38"),MATCH(INDIRECT("'"&amp;$H$3&amp;"'!K$274"),INDIRECT("'"&amp;$H$3&amp;"'!$B$28:$B$38"),0)),0)+IFERROR(INDIRECT("'"&amp;$H$3&amp;"'!K$275")*INDEX(INDIRECT("'"&amp;$H$3&amp;"'!$H$28:$H$38"),MATCH(INDIRECT("'"&amp;$H$3&amp;"'!K$276"),INDIRECT("'"&amp;$H$3&amp;"'!$B$28:$B$38"),0)),0))
+(IFERROR(1-INDIRECT("'"&amp;$H$3&amp;"'!K$291"),0))*(K$385+K$399)*INDIRECT("'"&amp;$H$3&amp;"'!$H$10")*(IFERROR(INDEX(INDIRECT("'"&amp;$H$3&amp;"'!$H$28:$H$38"),MATCH(INDIRECT("'"&amp;$H$3&amp;"'!K$294"),INDIRECT("'"&amp;$H$3&amp;"'!$B$28:$B$38"),0)),0)+IFERROR(INDIRECT("'"&amp;$H$3&amp;"'!K$295")*INDEX(INDIRECT("'"&amp;$H$3&amp;"'!$H$28:$H$38"),MATCH(INDIRECT("'"&amp;$H$3&amp;"'!K$296"),INDIRECT("'"&amp;$H$3&amp;"'!$B$28:$B$38"),0)),0))
+(IFERROR(1-INDIRECT("'"&amp;$H$3&amp;"'!K$311"),0))*(K$414+K$428)*INDIRECT("'"&amp;$H$3&amp;"'!$H$10")*(IFERROR(INDEX(INDIRECT("'"&amp;$H$3&amp;"'!$H$28:$H$38"),MATCH(INDIRECT("'"&amp;$H$3&amp;"'!K$314"),INDIRECT("'"&amp;$H$3&amp;"'!$B$28:$B$38"),0)),0)+IFERROR(INDIRECT("'"&amp;$H$3&amp;"'!K$315")*INDEX(INDIRECT("'"&amp;$H$3&amp;"'!$H$28:$H$38"),MATCH(INDIRECT("'"&amp;$H$3&amp;"'!K$316"),INDIRECT("'"&amp;$H$3&amp;"'!$B$28:$B$38"),0)),0))</f>
        <v>0</v>
      </c>
      <c r="L121" s="300"/>
      <c r="M121" s="300"/>
      <c r="N121" s="300">
        <f ca="1">(IFERROR(1-INDIRECT("'"&amp;$H$3&amp;"'!N$271"),0))*(N$356+N$370)*INDIRECT("'"&amp;$H$3&amp;"'!$H$10")*(IFERROR(INDEX(INDIRECT("'"&amp;$H$3&amp;"'!$H$28:$H$38"),MATCH(INDIRECT("'"&amp;$H$3&amp;"'!N$274"),INDIRECT("'"&amp;$H$3&amp;"'!$B$28:$B$38"),0)),0)+IFERROR(INDIRECT("'"&amp;$H$3&amp;"'!N$275")*INDEX(INDIRECT("'"&amp;$H$3&amp;"'!$H$28:$H$38"),MATCH(INDIRECT("'"&amp;$H$3&amp;"'!N$276"),INDIRECT("'"&amp;$H$3&amp;"'!$B$28:$B$38"),0)),0))
+(IFERROR(1-INDIRECT("'"&amp;$H$3&amp;"'!N$291"),0))*(N$385+N$399)*INDIRECT("'"&amp;$H$3&amp;"'!$H$10")*(IFERROR(INDEX(INDIRECT("'"&amp;$H$3&amp;"'!$H$28:$H$38"),MATCH(INDIRECT("'"&amp;$H$3&amp;"'!N$294"),INDIRECT("'"&amp;$H$3&amp;"'!$B$28:$B$38"),0)),0)+IFERROR(INDIRECT("'"&amp;$H$3&amp;"'!N$295")*INDEX(INDIRECT("'"&amp;$H$3&amp;"'!$H$28:$H$38"),MATCH(INDIRECT("'"&amp;$H$3&amp;"'!N$296"),INDIRECT("'"&amp;$H$3&amp;"'!$B$28:$B$38"),0)),0))
+(IFERROR(1-INDIRECT("'"&amp;$H$3&amp;"'!N$311"),0))*(N$414+N$428)*INDIRECT("'"&amp;$H$3&amp;"'!$H$10")*(IFERROR(INDEX(INDIRECT("'"&amp;$H$3&amp;"'!$H$28:$H$38"),MATCH(INDIRECT("'"&amp;$H$3&amp;"'!N$314"),INDIRECT("'"&amp;$H$3&amp;"'!$B$28:$B$38"),0)),0)+IFERROR(INDIRECT("'"&amp;$H$3&amp;"'!N$315")*INDEX(INDIRECT("'"&amp;$H$3&amp;"'!$H$28:$H$38"),MATCH(INDIRECT("'"&amp;$H$3&amp;"'!N$316"),INDIRECT("'"&amp;$H$3&amp;"'!$B$28:$B$38"),0)),0))</f>
        <v>0</v>
      </c>
      <c r="O121" s="300"/>
      <c r="P121" s="300"/>
      <c r="Q121" s="300">
        <f ca="1">(IFERROR(1-INDIRECT("'"&amp;$H$3&amp;"'!Q$271"),0))*(Q$356+Q$370)*INDIRECT("'"&amp;$H$3&amp;"'!$H$10")*(IFERROR(INDEX(INDIRECT("'"&amp;$H$3&amp;"'!$H$28:$H$38"),MATCH(INDIRECT("'"&amp;$H$3&amp;"'!Q$274"),INDIRECT("'"&amp;$H$3&amp;"'!$B$28:$B$38"),0)),0)+IFERROR(INDIRECT("'"&amp;$H$3&amp;"'!Q$275")*INDEX(INDIRECT("'"&amp;$H$3&amp;"'!$H$28:$H$38"),MATCH(INDIRECT("'"&amp;$H$3&amp;"'!Q$276"),INDIRECT("'"&amp;$H$3&amp;"'!$B$28:$B$38"),0)),0))
+(IFERROR(1-INDIRECT("'"&amp;$H$3&amp;"'!Q$291"),0))*(Q$385+Q$399)*INDIRECT("'"&amp;$H$3&amp;"'!$H$10")*(IFERROR(INDEX(INDIRECT("'"&amp;$H$3&amp;"'!$H$28:$H$38"),MATCH(INDIRECT("'"&amp;$H$3&amp;"'!Q$294"),INDIRECT("'"&amp;$H$3&amp;"'!$B$28:$B$38"),0)),0)+IFERROR(INDIRECT("'"&amp;$H$3&amp;"'!Q$295")*INDEX(INDIRECT("'"&amp;$H$3&amp;"'!$H$28:$H$38"),MATCH(INDIRECT("'"&amp;$H$3&amp;"'!Q$296"),INDIRECT("'"&amp;$H$3&amp;"'!$B$28:$B$38"),0)),0))
+(IFERROR(1-INDIRECT("'"&amp;$H$3&amp;"'!Q$311"),0))*(Q$414+Q$428)*INDIRECT("'"&amp;$H$3&amp;"'!$H$10")*(IFERROR(INDEX(INDIRECT("'"&amp;$H$3&amp;"'!$H$28:$H$38"),MATCH(INDIRECT("'"&amp;$H$3&amp;"'!Q$314"),INDIRECT("'"&amp;$H$3&amp;"'!$B$28:$B$38"),0)),0)+IFERROR(INDIRECT("'"&amp;$H$3&amp;"'!Q$315")*INDEX(INDIRECT("'"&amp;$H$3&amp;"'!$H$28:$H$38"),MATCH(INDIRECT("'"&amp;$H$3&amp;"'!Q$316"),INDIRECT("'"&amp;$H$3&amp;"'!$B$28:$B$38"),0)),0))</f>
        <v>0</v>
      </c>
      <c r="R121" s="300"/>
      <c r="S121" s="337"/>
      <c r="T121" s="300">
        <f ca="1">(IFERROR(1-INDIRECT("'"&amp;$H$3&amp;"'!T$271"),0))*(T$356+T$370)*INDIRECT("'"&amp;$H$3&amp;"'!$H$10")*(IFERROR(INDEX(INDIRECT("'"&amp;$H$3&amp;"'!$H$28:$H$38"),MATCH(INDIRECT("'"&amp;$H$3&amp;"'!T$274"),INDIRECT("'"&amp;$H$3&amp;"'!$B$28:$B$38"),0)),0)+IFERROR(INDIRECT("'"&amp;$H$3&amp;"'!T$275")*INDEX(INDIRECT("'"&amp;$H$3&amp;"'!$H$28:$H$38"),MATCH(INDIRECT("'"&amp;$H$3&amp;"'!T$276"),INDIRECT("'"&amp;$H$3&amp;"'!$B$28:$B$38"),0)),0))
+(IFERROR(1-INDIRECT("'"&amp;$H$3&amp;"'!T$291"),0))*(T$385+T$399)*INDIRECT("'"&amp;$H$3&amp;"'!$H$10")*(IFERROR(INDEX(INDIRECT("'"&amp;$H$3&amp;"'!$H$28:$H$38"),MATCH(INDIRECT("'"&amp;$H$3&amp;"'!T$294"),INDIRECT("'"&amp;$H$3&amp;"'!$B$28:$B$38"),0)),0)+IFERROR(INDIRECT("'"&amp;$H$3&amp;"'!T$295")*INDEX(INDIRECT("'"&amp;$H$3&amp;"'!$H$28:$H$38"),MATCH(INDIRECT("'"&amp;$H$3&amp;"'!T$296"),INDIRECT("'"&amp;$H$3&amp;"'!$B$28:$B$38"),0)),0))
+(IFERROR(1-INDIRECT("'"&amp;$H$3&amp;"'!T$311"),0))*(T$414+T$428)*INDIRECT("'"&amp;$H$3&amp;"'!$H$10")*(IFERROR(INDEX(INDIRECT("'"&amp;$H$3&amp;"'!$H$28:$H$38"),MATCH(INDIRECT("'"&amp;$H$3&amp;"'!T$314"),INDIRECT("'"&amp;$H$3&amp;"'!$B$28:$B$38"),0)),0)+IFERROR(INDIRECT("'"&amp;$H$3&amp;"'!T$315")*INDEX(INDIRECT("'"&amp;$H$3&amp;"'!$H$28:$H$38"),MATCH(INDIRECT("'"&amp;$H$3&amp;"'!T$316"),INDIRECT("'"&amp;$H$3&amp;"'!$B$28:$B$38"),0)),0))</f>
        <v>0</v>
      </c>
      <c r="U121" s="337"/>
      <c r="V121" s="337"/>
      <c r="W121" s="1437">
        <f ca="1">(IFERROR(1-INDIRECT("'"&amp;$H$3&amp;"'!W$271"),0))*(W$356+W$370)*INDIRECT("'"&amp;$H$3&amp;"'!$H$10")*(IFERROR(INDEX(INDIRECT("'"&amp;$H$3&amp;"'!$H$28:$H$38"),MATCH(INDIRECT("'"&amp;$H$3&amp;"'!W$274"),INDIRECT("'"&amp;$H$3&amp;"'!$B$28:$B$38"),0)),0)+IFERROR(INDIRECT("'"&amp;$H$3&amp;"'!W$275")*INDEX(INDIRECT("'"&amp;$H$3&amp;"'!$H$28:$H$38"),MATCH(INDIRECT("'"&amp;$H$3&amp;"'!W$276"),INDIRECT("'"&amp;$H$3&amp;"'!$B$28:$B$38"),0)),0))
+(IFERROR(1-INDIRECT("'"&amp;$H$3&amp;"'!W$291"),0))*(W$385+W$399)*INDIRECT("'"&amp;$H$3&amp;"'!$H$10")*(IFERROR(INDEX(INDIRECT("'"&amp;$H$3&amp;"'!$H$28:$H$38"),MATCH(INDIRECT("'"&amp;$H$3&amp;"'!W$294"),INDIRECT("'"&amp;$H$3&amp;"'!$B$28:$B$38"),0)),0)+IFERROR(INDIRECT("'"&amp;$H$3&amp;"'!W$295")*INDEX(INDIRECT("'"&amp;$H$3&amp;"'!$H$28:$H$38"),MATCH(INDIRECT("'"&amp;$H$3&amp;"'!W$296"),INDIRECT("'"&amp;$H$3&amp;"'!$B$28:$B$38"),0)),0))
+(IFERROR(1-INDIRECT("'"&amp;$H$3&amp;"'!W$311"),0))*(W$414+W$428)*INDIRECT("'"&amp;$H$3&amp;"'!$H$10")*(IFERROR(INDEX(INDIRECT("'"&amp;$H$3&amp;"'!$H$28:$H$38"),MATCH(INDIRECT("'"&amp;$H$3&amp;"'!W$314"),INDIRECT("'"&amp;$H$3&amp;"'!$B$28:$B$38"),0)),0)+IFERROR(INDIRECT("'"&amp;$H$3&amp;"'!W$315")*INDEX(INDIRECT("'"&amp;$H$3&amp;"'!$H$28:$H$38"),MATCH(INDIRECT("'"&amp;$H$3&amp;"'!W$316"),INDIRECT("'"&amp;$H$3&amp;"'!$B$28:$B$38"),0)),0))</f>
        <v>0</v>
      </c>
      <c r="Y121" s="341">
        <f t="shared" ca="1" si="12"/>
        <v>0</v>
      </c>
      <c r="AL121" s="4"/>
    </row>
    <row r="122" spans="6:38">
      <c r="F122" s="288"/>
      <c r="G122" s="288" t="s">
        <v>90</v>
      </c>
      <c r="H122" s="300">
        <f ca="1">(IFERROR(1-INDIRECT("'"&amp;$H$3&amp;"'!H$271"),0))*(H$356+H$370)*(IFERROR(INDEX(INDIRECT("'"&amp;$H$3&amp;"'!$K$28:$K$38"),MATCH(INDIRECT("'"&amp;$H$3&amp;"'!H$274"),INDIRECT("'"&amp;$H$3&amp;"'!$B$28:$B$38"),0)),0)+IFERROR(INDIRECT("'"&amp;$H$3&amp;"'!H$275")*INDEX(INDIRECT("'"&amp;$H$3&amp;"'!$K$28:$K$38"),MATCH(INDIRECT("'"&amp;$H$3&amp;"'!H$276"),INDIRECT("'"&amp;$H$3&amp;"'!$B$28:$B$38"),0)),0))
+(IFERROR(1-INDIRECT("'"&amp;$H$3&amp;"'!H$291"),0))*(H$385+H$399)*(IFERROR(INDEX(INDIRECT("'"&amp;$H$3&amp;"'!$K$28:$K$38"),MATCH(INDIRECT("'"&amp;$H$3&amp;"'!H$294"),INDIRECT("'"&amp;$H$3&amp;"'!$B$28:$B$38"),0)),0)+IFERROR(INDIRECT("'"&amp;$H$3&amp;"'!H$295")*INDEX(INDIRECT("'"&amp;$H$3&amp;"'!$K$28:$K$38"),MATCH(INDIRECT("'"&amp;$H$3&amp;"'!H$296"),INDIRECT("'"&amp;$H$3&amp;"'!$B$28:$B$38"),0)),0))
+(IFERROR(1-INDIRECT("'"&amp;$H$3&amp;"'!H$311"),0))*(H$414+H$428)*(IFERROR(INDEX(INDIRECT("'"&amp;$H$3&amp;"'!$K$28:$K$38"),MATCH(INDIRECT("'"&amp;$H$3&amp;"'!H$314"),INDIRECT("'"&amp;$H$3&amp;"'!$B$28:$B$38"),0)),0)+IFERROR(INDIRECT("'"&amp;$H$3&amp;"'!H$315")*INDEX(INDIRECT("'"&amp;$H$3&amp;"'!$K$28:$K$38"),MATCH(INDIRECT("'"&amp;$H$3&amp;"'!H$316"),INDIRECT("'"&amp;$H$3&amp;"'!$B$28:$B$38"),0)),0))</f>
        <v>0</v>
      </c>
      <c r="I122" s="300"/>
      <c r="J122" s="300"/>
      <c r="K122" s="300">
        <f ca="1">(IFERROR(1-INDIRECT("'"&amp;$H$3&amp;"'!K$271"),0))*(K$356+K$370)*(IFERROR(INDEX(INDIRECT("'"&amp;$H$3&amp;"'!$K$28:$K$38"),MATCH(INDIRECT("'"&amp;$H$3&amp;"'!K$274"),INDIRECT("'"&amp;$H$3&amp;"'!$B$28:$B$38"),0)),0)+IFERROR(INDIRECT("'"&amp;$H$3&amp;"'!K$275")*INDEX(INDIRECT("'"&amp;$H$3&amp;"'!$K$28:$K$38"),MATCH(INDIRECT("'"&amp;$H$3&amp;"'!K$276"),INDIRECT("'"&amp;$H$3&amp;"'!$B$28:$B$38"),0)),0))
+(IFERROR(1-INDIRECT("'"&amp;$H$3&amp;"'!K$291"),0))*(K$385+K$399)*(IFERROR(INDEX(INDIRECT("'"&amp;$H$3&amp;"'!$K$28:$K$38"),MATCH(INDIRECT("'"&amp;$H$3&amp;"'!K$294"),INDIRECT("'"&amp;$H$3&amp;"'!$B$28:$B$38"),0)),0)+IFERROR(INDIRECT("'"&amp;$H$3&amp;"'!K$295")*INDEX(INDIRECT("'"&amp;$H$3&amp;"'!$K$28:$K$38"),MATCH(INDIRECT("'"&amp;$H$3&amp;"'!K$296"),INDIRECT("'"&amp;$H$3&amp;"'!$B$28:$B$38"),0)),0))
+(IFERROR(1-INDIRECT("'"&amp;$H$3&amp;"'!K$311"),0))*(K$414+K$428)*(IFERROR(INDEX(INDIRECT("'"&amp;$H$3&amp;"'!$K$28:$K$38"),MATCH(INDIRECT("'"&amp;$H$3&amp;"'!K$314"),INDIRECT("'"&amp;$H$3&amp;"'!$B$28:$B$38"),0)),0)+IFERROR(INDIRECT("'"&amp;$H$3&amp;"'!K$315")*INDEX(INDIRECT("'"&amp;$H$3&amp;"'!$K$28:$K$38"),MATCH(INDIRECT("'"&amp;$H$3&amp;"'!K$316"),INDIRECT("'"&amp;$H$3&amp;"'!$B$28:$B$38"),0)),0))</f>
        <v>0</v>
      </c>
      <c r="L122" s="300"/>
      <c r="M122" s="300"/>
      <c r="N122" s="300">
        <f ca="1">(IFERROR(1-INDIRECT("'"&amp;$H$3&amp;"'!N$271"),0))*(N$356+N$370)*(IFERROR(INDEX(INDIRECT("'"&amp;$H$3&amp;"'!$K$28:$K$38"),MATCH(INDIRECT("'"&amp;$H$3&amp;"'!N$274"),INDIRECT("'"&amp;$H$3&amp;"'!$B$28:$B$38"),0)),0)+IFERROR(INDIRECT("'"&amp;$H$3&amp;"'!N$275")*INDEX(INDIRECT("'"&amp;$H$3&amp;"'!$K$28:$K$38"),MATCH(INDIRECT("'"&amp;$H$3&amp;"'!N$276"),INDIRECT("'"&amp;$H$3&amp;"'!$B$28:$B$38"),0)),0))
+(IFERROR(1-INDIRECT("'"&amp;$H$3&amp;"'!N$291"),0))*(N$385+N$399)*(IFERROR(INDEX(INDIRECT("'"&amp;$H$3&amp;"'!$K$28:$K$38"),MATCH(INDIRECT("'"&amp;$H$3&amp;"'!N$294"),INDIRECT("'"&amp;$H$3&amp;"'!$B$28:$B$38"),0)),0)+IFERROR(INDIRECT("'"&amp;$H$3&amp;"'!N$295")*INDEX(INDIRECT("'"&amp;$H$3&amp;"'!$K$28:$K$38"),MATCH(INDIRECT("'"&amp;$H$3&amp;"'!N$296"),INDIRECT("'"&amp;$H$3&amp;"'!$B$28:$B$38"),0)),0))
+(IFERROR(1-INDIRECT("'"&amp;$H$3&amp;"'!N$311"),0))*(N$414+N$428)*(IFERROR(INDEX(INDIRECT("'"&amp;$H$3&amp;"'!$K$28:$K$38"),MATCH(INDIRECT("'"&amp;$H$3&amp;"'!N$314"),INDIRECT("'"&amp;$H$3&amp;"'!$B$28:$B$38"),0)),0)+IFERROR(INDIRECT("'"&amp;$H$3&amp;"'!N$315")*INDEX(INDIRECT("'"&amp;$H$3&amp;"'!$K$28:$K$38"),MATCH(INDIRECT("'"&amp;$H$3&amp;"'!N$316"),INDIRECT("'"&amp;$H$3&amp;"'!$B$28:$B$38"),0)),0))</f>
        <v>0</v>
      </c>
      <c r="O122" s="300"/>
      <c r="P122" s="300"/>
      <c r="Q122" s="300">
        <f ca="1">(IFERROR(1-INDIRECT("'"&amp;$H$3&amp;"'!Q$271"),0))*(Q$356+Q$370)*(IFERROR(INDEX(INDIRECT("'"&amp;$H$3&amp;"'!$K$28:$K$38"),MATCH(INDIRECT("'"&amp;$H$3&amp;"'!Q$274"),INDIRECT("'"&amp;$H$3&amp;"'!$B$28:$B$38"),0)),0)+IFERROR(INDIRECT("'"&amp;$H$3&amp;"'!Q$275")*INDEX(INDIRECT("'"&amp;$H$3&amp;"'!$K$28:$K$38"),MATCH(INDIRECT("'"&amp;$H$3&amp;"'!Q$276"),INDIRECT("'"&amp;$H$3&amp;"'!$B$28:$B$38"),0)),0))
+(IFERROR(1-INDIRECT("'"&amp;$H$3&amp;"'!Q$291"),0))*(Q$385+Q$399)*(IFERROR(INDEX(INDIRECT("'"&amp;$H$3&amp;"'!$K$28:$K$38"),MATCH(INDIRECT("'"&amp;$H$3&amp;"'!Q$294"),INDIRECT("'"&amp;$H$3&amp;"'!$B$28:$B$38"),0)),0)+IFERROR(INDIRECT("'"&amp;$H$3&amp;"'!Q$295")*INDEX(INDIRECT("'"&amp;$H$3&amp;"'!$K$28:$K$38"),MATCH(INDIRECT("'"&amp;$H$3&amp;"'!Q$296"),INDIRECT("'"&amp;$H$3&amp;"'!$B$28:$B$38"),0)),0))
+(IFERROR(1-INDIRECT("'"&amp;$H$3&amp;"'!Q$311"),0))*(Q$414+Q$428)*(IFERROR(INDEX(INDIRECT("'"&amp;$H$3&amp;"'!$K$28:$K$38"),MATCH(INDIRECT("'"&amp;$H$3&amp;"'!Q$314"),INDIRECT("'"&amp;$H$3&amp;"'!$B$28:$B$38"),0)),0)+IFERROR(INDIRECT("'"&amp;$H$3&amp;"'!Q$315")*INDEX(INDIRECT("'"&amp;$H$3&amp;"'!$K$28:$K$38"),MATCH(INDIRECT("'"&amp;$H$3&amp;"'!Q$316"),INDIRECT("'"&amp;$H$3&amp;"'!$B$28:$B$38"),0)),0))</f>
        <v>0</v>
      </c>
      <c r="R122" s="300"/>
      <c r="S122" s="337"/>
      <c r="T122" s="300">
        <f ca="1">(IFERROR(1-INDIRECT("'"&amp;$H$3&amp;"'!T$271"),0))*(T$356+T$370)*(IFERROR(INDEX(INDIRECT("'"&amp;$H$3&amp;"'!$K$28:$K$38"),MATCH(INDIRECT("'"&amp;$H$3&amp;"'!T$274"),INDIRECT("'"&amp;$H$3&amp;"'!$B$28:$B$38"),0)),0)+IFERROR(INDIRECT("'"&amp;$H$3&amp;"'!T$275")*INDEX(INDIRECT("'"&amp;$H$3&amp;"'!$K$28:$K$38"),MATCH(INDIRECT("'"&amp;$H$3&amp;"'!T$276"),INDIRECT("'"&amp;$H$3&amp;"'!$B$28:$B$38"),0)),0))
+(IFERROR(1-INDIRECT("'"&amp;$H$3&amp;"'!T$291"),0))*(T$385+T$399)*(IFERROR(INDEX(INDIRECT("'"&amp;$H$3&amp;"'!$K$28:$K$38"),MATCH(INDIRECT("'"&amp;$H$3&amp;"'!T$294"),INDIRECT("'"&amp;$H$3&amp;"'!$B$28:$B$38"),0)),0)+IFERROR(INDIRECT("'"&amp;$H$3&amp;"'!T$295")*INDEX(INDIRECT("'"&amp;$H$3&amp;"'!$K$28:$K$38"),MATCH(INDIRECT("'"&amp;$H$3&amp;"'!T$296"),INDIRECT("'"&amp;$H$3&amp;"'!$B$28:$B$38"),0)),0))
+(IFERROR(1-INDIRECT("'"&amp;$H$3&amp;"'!T$311"),0))*(T$414+T$428)*(IFERROR(INDEX(INDIRECT("'"&amp;$H$3&amp;"'!$K$28:$K$38"),MATCH(INDIRECT("'"&amp;$H$3&amp;"'!T$314"),INDIRECT("'"&amp;$H$3&amp;"'!$B$28:$B$38"),0)),0)+IFERROR(INDIRECT("'"&amp;$H$3&amp;"'!T$315")*INDEX(INDIRECT("'"&amp;$H$3&amp;"'!$K$28:$K$38"),MATCH(INDIRECT("'"&amp;$H$3&amp;"'!T$316"),INDIRECT("'"&amp;$H$3&amp;"'!$B$28:$B$38"),0)),0))</f>
        <v>0</v>
      </c>
      <c r="U122" s="337"/>
      <c r="V122" s="337"/>
      <c r="W122" s="1437">
        <f ca="1">(IFERROR(1-INDIRECT("'"&amp;$H$3&amp;"'!W$271"),0))*(W$356+W$370)*(IFERROR(INDEX(INDIRECT("'"&amp;$H$3&amp;"'!$K$28:$K$38"),MATCH(INDIRECT("'"&amp;$H$3&amp;"'!W$274"),INDIRECT("'"&amp;$H$3&amp;"'!$B$28:$B$38"),0)),0)+IFERROR(INDIRECT("'"&amp;$H$3&amp;"'!W$275")*INDEX(INDIRECT("'"&amp;$H$3&amp;"'!$K$28:$K$38"),MATCH(INDIRECT("'"&amp;$H$3&amp;"'!W$276"),INDIRECT("'"&amp;$H$3&amp;"'!$B$28:$B$38"),0)),0))
+(IFERROR(1-INDIRECT("'"&amp;$H$3&amp;"'!W$291"),0))*(W$385+W$399)*(IFERROR(INDEX(INDIRECT("'"&amp;$H$3&amp;"'!$K$28:$K$38"),MATCH(INDIRECT("'"&amp;$H$3&amp;"'!W$294"),INDIRECT("'"&amp;$H$3&amp;"'!$B$28:$B$38"),0)),0)+IFERROR(INDIRECT("'"&amp;$H$3&amp;"'!W$295")*INDEX(INDIRECT("'"&amp;$H$3&amp;"'!$K$28:$K$38"),MATCH(INDIRECT("'"&amp;$H$3&amp;"'!W$296"),INDIRECT("'"&amp;$H$3&amp;"'!$B$28:$B$38"),0)),0))
+(IFERROR(1-INDIRECT("'"&amp;$H$3&amp;"'!W$311"),0))*(W$414+W$428)*(IFERROR(INDEX(INDIRECT("'"&amp;$H$3&amp;"'!$K$28:$K$38"),MATCH(INDIRECT("'"&amp;$H$3&amp;"'!W$314"),INDIRECT("'"&amp;$H$3&amp;"'!$B$28:$B$38"),0)),0)+IFERROR(INDIRECT("'"&amp;$H$3&amp;"'!W$315")*INDEX(INDIRECT("'"&amp;$H$3&amp;"'!$K$28:$K$38"),MATCH(INDIRECT("'"&amp;$H$3&amp;"'!W$316"),INDIRECT("'"&amp;$H$3&amp;"'!$B$28:$B$38"),0)),0))</f>
        <v>0</v>
      </c>
      <c r="Y122" s="341">
        <f t="shared" ca="1" si="12"/>
        <v>0</v>
      </c>
    </row>
    <row r="123" spans="6:38">
      <c r="F123" s="288"/>
      <c r="G123" s="288" t="s">
        <v>1</v>
      </c>
      <c r="H123" s="300">
        <f ca="1">INDIRECT("'"&amp;$H$3&amp;"'!$H$8")*(
(IFERROR(1-INDIRECT("'"&amp;$H$3&amp;"'!H$271"),0))*IF(INDIRECT("'"&amp;$H$3&amp;"'!H$265")='List Values'!$E$5,0,(H$369*IFERROR(1/INDEX(INDIRECT("'"&amp;$H$3&amp;"'!$H$49:$H$78"),MATCH(INDIRECT("'"&amp;$H$3&amp;"'!H$264")&amp;"Fuel Efficiency (km/liter)",INDIRECT("'"&amp;$H$3&amp;"'!$F$49:$F$78"),0)),0)))
+(IFERROR(1-INDIRECT("'"&amp;$H$3&amp;"'!H$291"),0))*IF(INDIRECT("'"&amp;$H$3&amp;"'!H$285")='List Values'!$E$5,0,(H$398*IFERROR(1/INDEX(INDIRECT("'"&amp;$H$3&amp;"'!$H$49:$H$78"),MATCH(INDIRECT("'"&amp;$H$3&amp;"'!H$284")&amp;"Fuel Efficiency (km/liter)",INDIRECT("'"&amp;$H$3&amp;"'!$F$49:$F$78"),0)),0)))
+(IFERROR(1-INDIRECT("'"&amp;$H$3&amp;"'!H$311"),0))*IF(INDIRECT("'"&amp;$H$3&amp;"'!H$305")='List Values'!$E$5,0,(H$427*IFERROR(1/INDEX(INDIRECT("'"&amp;$H$3&amp;"'!$H$49:$H$78"),MATCH(INDIRECT("'"&amp;$H$3&amp;"'!H$304")&amp;"Fuel Efficiency (km/liter)",INDIRECT("'"&amp;$H$3&amp;"'!$F$49:$F$78"),0)),0))))</f>
        <v>0</v>
      </c>
      <c r="I123" s="300"/>
      <c r="J123" s="300"/>
      <c r="K123" s="300">
        <f ca="1">INDIRECT("'"&amp;$H$3&amp;"'!$H$8")*(
(IFERROR(1-INDIRECT("'"&amp;$H$3&amp;"'!K$271"),0))*IF(INDIRECT("'"&amp;$H$3&amp;"'!K$265")='List Values'!$E$5,0,(K$369*IFERROR(1/INDEX(INDIRECT("'"&amp;$H$3&amp;"'!$H$49:$H$78"),MATCH(INDIRECT("'"&amp;$H$3&amp;"'!K$264")&amp;"Fuel Efficiency (km/liter)",INDIRECT("'"&amp;$H$3&amp;"'!$F$49:$F$78"),0)),0)))
+(IFERROR(1-INDIRECT("'"&amp;$H$3&amp;"'!K$291"),0))*IF(INDIRECT("'"&amp;$H$3&amp;"'!K$285")='List Values'!$E$5,0,(K$398*IFERROR(1/INDEX(INDIRECT("'"&amp;$H$3&amp;"'!$H$49:$H$78"),MATCH(INDIRECT("'"&amp;$H$3&amp;"'!K$284")&amp;"Fuel Efficiency (km/liter)",INDIRECT("'"&amp;$H$3&amp;"'!$F$49:$F$78"),0)),0)))
+(IFERROR(1-INDIRECT("'"&amp;$H$3&amp;"'!K$311"),0))*IF(INDIRECT("'"&amp;$H$3&amp;"'!K$305")='List Values'!$E$5,0,(K$427*IFERROR(1/INDEX(INDIRECT("'"&amp;$H$3&amp;"'!$H$49:$H$78"),MATCH(INDIRECT("'"&amp;$H$3&amp;"'!K$304")&amp;"Fuel Efficiency (km/liter)",INDIRECT("'"&amp;$H$3&amp;"'!$F$49:$F$78"),0)),0))))</f>
        <v>0</v>
      </c>
      <c r="L123" s="300"/>
      <c r="M123" s="300"/>
      <c r="N123" s="300">
        <f ca="1">INDIRECT("'"&amp;$H$3&amp;"'!$H$8")*(
(IFERROR(1-INDIRECT("'"&amp;$H$3&amp;"'!N$271"),0))*IF(INDIRECT("'"&amp;$H$3&amp;"'!N$265")='List Values'!$E$5,0,(N$369*IFERROR(1/INDEX(INDIRECT("'"&amp;$H$3&amp;"'!$H$49:$H$78"),MATCH(INDIRECT("'"&amp;$H$3&amp;"'!N$264")&amp;"Fuel Efficiency (km/liter)",INDIRECT("'"&amp;$H$3&amp;"'!$F$49:$F$78"),0)),0)))
+(IFERROR(1-INDIRECT("'"&amp;$H$3&amp;"'!N$291"),0))*IF(INDIRECT("'"&amp;$H$3&amp;"'!N$285")='List Values'!$E$5,0,(N$398*IFERROR(1/INDEX(INDIRECT("'"&amp;$H$3&amp;"'!$H$49:$H$78"),MATCH(INDIRECT("'"&amp;$H$3&amp;"'!N$284")&amp;"Fuel Efficiency (km/liter)",INDIRECT("'"&amp;$H$3&amp;"'!$F$49:$F$78"),0)),0)))
+(IFERROR(1-INDIRECT("'"&amp;$H$3&amp;"'!N$311"),0))*IF(INDIRECT("'"&amp;$H$3&amp;"'!N$305")='List Values'!$E$5,0,(N$427*IFERROR(1/INDEX(INDIRECT("'"&amp;$H$3&amp;"'!$H$49:$H$78"),MATCH(INDIRECT("'"&amp;$H$3&amp;"'!N$304")&amp;"Fuel Efficiency (km/liter)",INDIRECT("'"&amp;$H$3&amp;"'!$F$49:$F$78"),0)),0))))</f>
        <v>0</v>
      </c>
      <c r="O123" s="300"/>
      <c r="P123" s="300"/>
      <c r="Q123" s="300">
        <f ca="1">INDIRECT("'"&amp;$H$3&amp;"'!$H$8")*(
(IFERROR(1-INDIRECT("'"&amp;$H$3&amp;"'!Q$271"),0))*IF(INDIRECT("'"&amp;$H$3&amp;"'!Q$265")='List Values'!$E$5,0,(Q$369*IFERROR(1/INDEX(INDIRECT("'"&amp;$H$3&amp;"'!$H$49:$H$78"),MATCH(INDIRECT("'"&amp;$H$3&amp;"'!Q$264")&amp;"Fuel Efficiency (km/liter)",INDIRECT("'"&amp;$H$3&amp;"'!$F$49:$F$78"),0)),0)))
+(IFERROR(1-INDIRECT("'"&amp;$H$3&amp;"'!Q$291"),0))*IF(INDIRECT("'"&amp;$H$3&amp;"'!Q$285")='List Values'!$E$5,0,(Q$398*IFERROR(1/INDEX(INDIRECT("'"&amp;$H$3&amp;"'!$H$49:$H$78"),MATCH(INDIRECT("'"&amp;$H$3&amp;"'!Q$284")&amp;"Fuel Efficiency (km/liter)",INDIRECT("'"&amp;$H$3&amp;"'!$F$49:$F$78"),0)),0)))
+(IFERROR(1-INDIRECT("'"&amp;$H$3&amp;"'!Q$311"),0))*IF(INDIRECT("'"&amp;$H$3&amp;"'!Q$305")='List Values'!$E$5,0,(Q$427*IFERROR(1/INDEX(INDIRECT("'"&amp;$H$3&amp;"'!$H$49:$H$78"),MATCH(INDIRECT("'"&amp;$H$3&amp;"'!Q$304")&amp;"Fuel Efficiency (km/liter)",INDIRECT("'"&amp;$H$3&amp;"'!$F$49:$F$78"),0)),0))))</f>
        <v>0</v>
      </c>
      <c r="R123" s="300"/>
      <c r="S123" s="337"/>
      <c r="T123" s="300">
        <f ca="1">INDIRECT("'"&amp;$H$3&amp;"'!$H$8")*(
(IFERROR(1-INDIRECT("'"&amp;$H$3&amp;"'!T$271"),0))*IF(INDIRECT("'"&amp;$H$3&amp;"'!T$265")='List Values'!$E$5,0,(T$369*IFERROR(1/INDEX(INDIRECT("'"&amp;$H$3&amp;"'!$H$49:$H$78"),MATCH(INDIRECT("'"&amp;$H$3&amp;"'!T$264")&amp;"Fuel Efficiency (km/liter)",INDIRECT("'"&amp;$H$3&amp;"'!$F$49:$F$78"),0)),0)))
+(IFERROR(1-INDIRECT("'"&amp;$H$3&amp;"'!T$291"),0))*IF(INDIRECT("'"&amp;$H$3&amp;"'!T$285")='List Values'!$E$5,0,(T$398*IFERROR(1/INDEX(INDIRECT("'"&amp;$H$3&amp;"'!$H$49:$H$78"),MATCH(INDIRECT("'"&amp;$H$3&amp;"'!T$284")&amp;"Fuel Efficiency (km/liter)",INDIRECT("'"&amp;$H$3&amp;"'!$F$49:$F$78"),0)),0)))
+(IFERROR(1-INDIRECT("'"&amp;$H$3&amp;"'!T$311"),0))*IF(INDIRECT("'"&amp;$H$3&amp;"'!T$305")='List Values'!$E$5,0,(T$427*IFERROR(1/INDEX(INDIRECT("'"&amp;$H$3&amp;"'!$H$49:$H$78"),MATCH(INDIRECT("'"&amp;$H$3&amp;"'!T$304")&amp;"Fuel Efficiency (km/liter)",INDIRECT("'"&amp;$H$3&amp;"'!$F$49:$F$78"),0)),0))))</f>
        <v>0</v>
      </c>
      <c r="U123" s="337"/>
      <c r="V123" s="337"/>
      <c r="W123" s="1437">
        <f ca="1">INDIRECT("'"&amp;$H$3&amp;"'!$H$8")*(
(IFERROR(1-INDIRECT("'"&amp;$H$3&amp;"'!W$271"),0))*IF(INDIRECT("'"&amp;$H$3&amp;"'!W$265")='List Values'!$E$5,0,(W$369*IFERROR(1/INDEX(INDIRECT("'"&amp;$H$3&amp;"'!$H$49:$H$78"),MATCH(INDIRECT("'"&amp;$H$3&amp;"'!W$264")&amp;"Fuel Efficiency (km/liter)",INDIRECT("'"&amp;$H$3&amp;"'!$F$49:$F$78"),0)),0)))
+(IFERROR(1-INDIRECT("'"&amp;$H$3&amp;"'!W$291"),0))*IF(INDIRECT("'"&amp;$H$3&amp;"'!W$285")='List Values'!$E$5,0,(W$398*IFERROR(1/INDEX(INDIRECT("'"&amp;$H$3&amp;"'!$H$49:$H$78"),MATCH(INDIRECT("'"&amp;$H$3&amp;"'!W$284")&amp;"Fuel Efficiency (km/liter)",INDIRECT("'"&amp;$H$3&amp;"'!$F$49:$F$78"),0)),0)))
+(IFERROR(1-INDIRECT("'"&amp;$H$3&amp;"'!W$311"),0))*IF(INDIRECT("'"&amp;$H$3&amp;"'!W$305")='List Values'!$E$5,0,(W$427*IFERROR(1/INDEX(INDIRECT("'"&amp;$H$3&amp;"'!$H$49:$H$78"),MATCH(INDIRECT("'"&amp;$H$3&amp;"'!W$304")&amp;"Fuel Efficiency (km/liter)",INDIRECT("'"&amp;$H$3&amp;"'!$F$49:$F$78"),0)),0))))</f>
        <v>0</v>
      </c>
      <c r="Y123" s="341">
        <f t="shared" ca="1" si="12"/>
        <v>0</v>
      </c>
    </row>
    <row r="124" spans="6:38">
      <c r="F124" s="288"/>
      <c r="G124" s="288" t="s">
        <v>91</v>
      </c>
      <c r="H124" s="300">
        <f ca="1">IFERROR((1-INDIRECT("'"&amp;$H$3&amp;"'!H$270"))*IF(AND(INDIRECT("'"&amp;$H$3&amp;"'!H$269")="No",INDIRECT("'"&amp;$H$3&amp;"'!H$265")='List Values'!$E$3),INDEX(INDIRECT("'"&amp;$H$3&amp;"'!$H$49:$H$78"),MATCH(INDIRECT("'"&amp;$H$3&amp;"'!H$264")&amp;"Insurance cost /yr ($)",INDIRECT("'"&amp;$H$3&amp;"'!$F$49:$F$78"),0))*INDIRECT("'"&amp;$H$3&amp;"'!H$268"),0),0)
+IFERROR((1-INDIRECT("'"&amp;$H$3&amp;"'!H$290"))*IF(AND(INDIRECT("'"&amp;$H$3&amp;"'!H$289")="No",INDIRECT("'"&amp;$H$3&amp;"'!H$285")='List Values'!$E$3),INDEX(INDIRECT("'"&amp;$H$3&amp;"'!$H$49:$H$78"),MATCH(INDIRECT("'"&amp;$H$3&amp;"'!H$284")&amp;"Insurance cost /yr ($)",INDIRECT("'"&amp;$H$3&amp;"'!$F$49:$F$78"),0))*INDIRECT("'"&amp;$H$3&amp;"'!H$288"),0),0)
+IFERROR((1-INDIRECT("'"&amp;$H$3&amp;"'!H$310"))*IF(AND(INDIRECT("'"&amp;$H$3&amp;"'!H$309")="No",INDIRECT("'"&amp;$H$3&amp;"'!H$305")='List Values'!$E$3),INDEX(INDIRECT("'"&amp;$H$3&amp;"'!$H$49:$H$78"),MATCH(INDIRECT("'"&amp;$H$3&amp;"'!H$304")&amp;"Insurance cost /yr ($)",INDIRECT("'"&amp;$H$3&amp;"'!$F$49:$F$78"),0))*INDIRECT("'"&amp;$H$3&amp;"'!H$308"),0),0)</f>
        <v>0</v>
      </c>
      <c r="I124" s="300"/>
      <c r="J124" s="300"/>
      <c r="K124" s="300">
        <f ca="1">IFERROR((1-INDIRECT("'"&amp;$H$3&amp;"'!K$270"))*IF(AND(INDIRECT("'"&amp;$H$3&amp;"'!K$269")="No",INDIRECT("'"&amp;$H$3&amp;"'!K$265")='List Values'!$E$3),INDEX(INDIRECT("'"&amp;$H$3&amp;"'!$H$49:$H$78"),MATCH(INDIRECT("'"&amp;$H$3&amp;"'!K$264")&amp;"Insurance cost /yr ($)",INDIRECT("'"&amp;$H$3&amp;"'!$F$49:$F$78"),0))*INDIRECT("'"&amp;$H$3&amp;"'!K$268"),0),0)
+IFERROR((1-INDIRECT("'"&amp;$H$3&amp;"'!K$290"))*IF(AND(INDIRECT("'"&amp;$H$3&amp;"'!K$289")="No",INDIRECT("'"&amp;$H$3&amp;"'!K$285")='List Values'!$E$3),INDEX(INDIRECT("'"&amp;$H$3&amp;"'!$H$49:$H$78"),MATCH(INDIRECT("'"&amp;$H$3&amp;"'!K$284")&amp;"Insurance cost /yr ($)",INDIRECT("'"&amp;$H$3&amp;"'!$F$49:$F$78"),0))*INDIRECT("'"&amp;$H$3&amp;"'!K$288"),0),0)
+IFERROR((1-INDIRECT("'"&amp;$H$3&amp;"'!K$310"))*IF(AND(INDIRECT("'"&amp;$H$3&amp;"'!K$309")="No",INDIRECT("'"&amp;$H$3&amp;"'!K$305")='List Values'!$E$3),INDEX(INDIRECT("'"&amp;$H$3&amp;"'!$H$49:$H$78"),MATCH(INDIRECT("'"&amp;$H$3&amp;"'!K$304")&amp;"Insurance cost /yr ($)",INDIRECT("'"&amp;$H$3&amp;"'!$F$49:$F$78"),0))*INDIRECT("'"&amp;$H$3&amp;"'!K$308"),0),0)</f>
        <v>0</v>
      </c>
      <c r="L124" s="300"/>
      <c r="M124" s="300"/>
      <c r="N124" s="300">
        <f ca="1">IFERROR((1-INDIRECT("'"&amp;$H$3&amp;"'!N$270"))*IF(AND(INDIRECT("'"&amp;$H$3&amp;"'!N$269")="No",INDIRECT("'"&amp;$H$3&amp;"'!N$265")='List Values'!$E$3),INDEX(INDIRECT("'"&amp;$H$3&amp;"'!$H$49:$H$78"),MATCH(INDIRECT("'"&amp;$H$3&amp;"'!N$264")&amp;"Insurance cost /yr ($)",INDIRECT("'"&amp;$H$3&amp;"'!$F$49:$F$78"),0))*INDIRECT("'"&amp;$H$3&amp;"'!N$268"),0),0)
+IFERROR((1-INDIRECT("'"&amp;$H$3&amp;"'!N$290"))*IF(AND(INDIRECT("'"&amp;$H$3&amp;"'!N$289")="No",INDIRECT("'"&amp;$H$3&amp;"'!N$285")='List Values'!$E$3),INDEX(INDIRECT("'"&amp;$H$3&amp;"'!$H$49:$H$78"),MATCH(INDIRECT("'"&amp;$H$3&amp;"'!N$284")&amp;"Insurance cost /yr ($)",INDIRECT("'"&amp;$H$3&amp;"'!$F$49:$F$78"),0))*INDIRECT("'"&amp;$H$3&amp;"'!N$288"),0),0)
+IFERROR((1-INDIRECT("'"&amp;$H$3&amp;"'!N$310"))*IF(AND(INDIRECT("'"&amp;$H$3&amp;"'!N$309")="No",INDIRECT("'"&amp;$H$3&amp;"'!N$305")='List Values'!$E$3),INDEX(INDIRECT("'"&amp;$H$3&amp;"'!$H$49:$H$78"),MATCH(INDIRECT("'"&amp;$H$3&amp;"'!N$304")&amp;"Insurance cost /yr ($)",INDIRECT("'"&amp;$H$3&amp;"'!$F$49:$F$78"),0))*INDIRECT("'"&amp;$H$3&amp;"'!N$308"),0),0)</f>
        <v>0</v>
      </c>
      <c r="O124" s="300"/>
      <c r="P124" s="300"/>
      <c r="Q124" s="300">
        <f ca="1">IFERROR((1-INDIRECT("'"&amp;$H$3&amp;"'!Q$270"))*IF(AND(INDIRECT("'"&amp;$H$3&amp;"'!Q$269")="No",INDIRECT("'"&amp;$H$3&amp;"'!Q$265")='List Values'!$E$3),INDEX(INDIRECT("'"&amp;$H$3&amp;"'!$H$49:$H$78"),MATCH(INDIRECT("'"&amp;$H$3&amp;"'!Q$264")&amp;"Insurance cost /yr ($)",INDIRECT("'"&amp;$H$3&amp;"'!$F$49:$F$78"),0))*INDIRECT("'"&amp;$H$3&amp;"'!Q$268"),0),0)
+IFERROR((1-INDIRECT("'"&amp;$H$3&amp;"'!Q$290"))*IF(AND(INDIRECT("'"&amp;$H$3&amp;"'!Q$289")="No",INDIRECT("'"&amp;$H$3&amp;"'!Q$285")='List Values'!$E$3),INDEX(INDIRECT("'"&amp;$H$3&amp;"'!$H$49:$H$78"),MATCH(INDIRECT("'"&amp;$H$3&amp;"'!Q$284")&amp;"Insurance cost /yr ($)",INDIRECT("'"&amp;$H$3&amp;"'!$F$49:$F$78"),0))*INDIRECT("'"&amp;$H$3&amp;"'!Q$288"),0),0)
+IFERROR((1-INDIRECT("'"&amp;$H$3&amp;"'!Q$310"))*IF(AND(INDIRECT("'"&amp;$H$3&amp;"'!Q$309")="No",INDIRECT("'"&amp;$H$3&amp;"'!Q$305")='List Values'!$E$3),INDEX(INDIRECT("'"&amp;$H$3&amp;"'!$H$49:$H$78"),MATCH(INDIRECT("'"&amp;$H$3&amp;"'!Q$304")&amp;"Insurance cost /yr ($)",INDIRECT("'"&amp;$H$3&amp;"'!$F$49:$F$78"),0))*INDIRECT("'"&amp;$H$3&amp;"'!Q$308"),0),0)</f>
        <v>0</v>
      </c>
      <c r="R124" s="300"/>
      <c r="S124" s="337"/>
      <c r="T124" s="300">
        <f ca="1">IFERROR((1-INDIRECT("'"&amp;$H$3&amp;"'!T$270"))*IF(AND(INDIRECT("'"&amp;$H$3&amp;"'!T$269")="No",INDIRECT("'"&amp;$H$3&amp;"'!T$265")='List Values'!$E$3),INDEX(INDIRECT("'"&amp;$H$3&amp;"'!$H$49:$H$78"),MATCH(INDIRECT("'"&amp;$H$3&amp;"'!T$264")&amp;"Insurance cost /yr ($)",INDIRECT("'"&amp;$H$3&amp;"'!$F$49:$F$78"),0))*INDIRECT("'"&amp;$H$3&amp;"'!T$268"),0),0)
+IFERROR((1-INDIRECT("'"&amp;$H$3&amp;"'!T$290"))*IF(AND(INDIRECT("'"&amp;$H$3&amp;"'!T$289")="No",INDIRECT("'"&amp;$H$3&amp;"'!T$285")='List Values'!$E$3),INDEX(INDIRECT("'"&amp;$H$3&amp;"'!$H$49:$H$78"),MATCH(INDIRECT("'"&amp;$H$3&amp;"'!T$284")&amp;"Insurance cost /yr ($)",INDIRECT("'"&amp;$H$3&amp;"'!$F$49:$F$78"),0))*INDIRECT("'"&amp;$H$3&amp;"'!T$288"),0),0)
+IFERROR((1-INDIRECT("'"&amp;$H$3&amp;"'!T$310"))*IF(AND(INDIRECT("'"&amp;$H$3&amp;"'!T$309")="No",INDIRECT("'"&amp;$H$3&amp;"'!T$305")='List Values'!$E$3),INDEX(INDIRECT("'"&amp;$H$3&amp;"'!$H$49:$H$78"),MATCH(INDIRECT("'"&amp;$H$3&amp;"'!T$304")&amp;"Insurance cost /yr ($)",INDIRECT("'"&amp;$H$3&amp;"'!$F$49:$F$78"),0))*INDIRECT("'"&amp;$H$3&amp;"'!T$308"),0),0)</f>
        <v>0</v>
      </c>
      <c r="U124" s="337"/>
      <c r="V124" s="337"/>
      <c r="W124" s="1437">
        <f ca="1">IFERROR((1-INDIRECT("'"&amp;$H$3&amp;"'!W$270"))*IF(AND(INDIRECT("'"&amp;$H$3&amp;"'!W$269")="No",INDIRECT("'"&amp;$H$3&amp;"'!W$265")='List Values'!$E$3),INDEX(INDIRECT("'"&amp;$H$3&amp;"'!$H$49:$H$78"),MATCH(INDIRECT("'"&amp;$H$3&amp;"'!W$264")&amp;"Insurance cost /yr ($)",INDIRECT("'"&amp;$H$3&amp;"'!$F$49:$F$78"),0))*INDIRECT("'"&amp;$H$3&amp;"'!W$268"),0),0)
+IFERROR((1-INDIRECT("'"&amp;$H$3&amp;"'!W$290"))*IF(AND(INDIRECT("'"&amp;$H$3&amp;"'!W$289")="No",INDIRECT("'"&amp;$H$3&amp;"'!W$285")='List Values'!$E$3),INDEX(INDIRECT("'"&amp;$H$3&amp;"'!$H$49:$H$78"),MATCH(INDIRECT("'"&amp;$H$3&amp;"'!W$284")&amp;"Insurance cost /yr ($)",INDIRECT("'"&amp;$H$3&amp;"'!$F$49:$F$78"),0))*INDIRECT("'"&amp;$H$3&amp;"'!W$288"),0),0)
+IFERROR((1-INDIRECT("'"&amp;$H$3&amp;"'!W$310"))*IF(AND(INDIRECT("'"&amp;$H$3&amp;"'!W$309")="No",INDIRECT("'"&amp;$H$3&amp;"'!W$305")='List Values'!$E$3),INDEX(INDIRECT("'"&amp;$H$3&amp;"'!$H$49:$H$78"),MATCH(INDIRECT("'"&amp;$H$3&amp;"'!W$304")&amp;"Insurance cost /yr ($)",INDIRECT("'"&amp;$H$3&amp;"'!$F$49:$F$78"),0))*INDIRECT("'"&amp;$H$3&amp;"'!W$308"),0),0)</f>
        <v>0</v>
      </c>
      <c r="Y124" s="341">
        <f t="shared" ca="1" si="12"/>
        <v>0</v>
      </c>
      <c r="Z124" s="7"/>
      <c r="AA124" s="7"/>
    </row>
    <row r="125" spans="6:38">
      <c r="F125" s="288"/>
      <c r="G125" s="288" t="s">
        <v>92</v>
      </c>
      <c r="H125" s="300">
        <f ca="1">IFERROR((1-INDIRECT("'"&amp;$H$3&amp;"'!H$271"))*IF(INDIRECT("'"&amp;$H$3&amp;"'!H$265")='List Values'!$E$3,H$369*INDEX(INDIRECT("'"&amp;$H$3&amp;"'!$H$49:$H$78"),MATCH(INDIRECT("'"&amp;$H$3&amp;"'!H$264")&amp;"Maintenance cost/km ($)",INDIRECT("'"&amp;$H$3&amp;"'!$F$49:$F$78"),0)),0),0)
+ IFERROR((1-INDIRECT("'"&amp;$H$3&amp;"'!H$291"))*IF(INDIRECT("'"&amp;$H$3&amp;"'!H$285")='List Values'!$E$3,H$398*INDEX(INDIRECT("'"&amp;$H$3&amp;"'!$H$49:$H$78"),MATCH(INDIRECT("'"&amp;$H$3&amp;"'!H$284")&amp;"Maintenance cost/km ($)",INDIRECT("'"&amp;$H$3&amp;"'!$F$49:$F$78"),0)),0),0)
+ IFERROR((1-INDIRECT("'"&amp;$H$3&amp;"'!H$311"))*IF(INDIRECT("'"&amp;$H$3&amp;"'!H$305")='List Values'!$E$3,H$427*INDEX(INDIRECT("'"&amp;$H$3&amp;"'!$H$49:$H$78"),MATCH(INDIRECT("'"&amp;$H$3&amp;"'!H$304")&amp;"Maintenance cost/km ($)",INDIRECT("'"&amp;$H$3&amp;"'!$F$49:$F$78"),0)),0),0)</f>
        <v>0</v>
      </c>
      <c r="I125" s="300"/>
      <c r="J125" s="300"/>
      <c r="K125" s="300">
        <f ca="1">IFERROR((1-INDIRECT("'"&amp;$H$3&amp;"'!K$271"))*IF(INDIRECT("'"&amp;$H$3&amp;"'!K$265")='List Values'!$E$3,K$369*INDEX(INDIRECT("'"&amp;$H$3&amp;"'!$H$49:$H$78"),MATCH(INDIRECT("'"&amp;$H$3&amp;"'!K$264")&amp;"Maintenance cost/km ($)",INDIRECT("'"&amp;$H$3&amp;"'!$F$49:$F$78"),0)),0),0)
+ IFERROR((1-INDIRECT("'"&amp;$H$3&amp;"'!K$291"))*IF(INDIRECT("'"&amp;$H$3&amp;"'!K$285")='List Values'!$E$3,K$398*INDEX(INDIRECT("'"&amp;$H$3&amp;"'!$H$49:$H$78"),MATCH(INDIRECT("'"&amp;$H$3&amp;"'!K$284")&amp;"Maintenance cost/km ($)",INDIRECT("'"&amp;$H$3&amp;"'!$F$49:$F$78"),0)),0),0)
+ IFERROR((1-INDIRECT("'"&amp;$H$3&amp;"'!K$311"))*IF(INDIRECT("'"&amp;$H$3&amp;"'!K$305")='List Values'!$E$3,K$427*INDEX(INDIRECT("'"&amp;$H$3&amp;"'!$H$49:$H$78"),MATCH(INDIRECT("'"&amp;$H$3&amp;"'!K$304")&amp;"Maintenance cost/km ($)",INDIRECT("'"&amp;$H$3&amp;"'!$F$49:$F$78"),0)),0),0)</f>
        <v>0</v>
      </c>
      <c r="L125" s="300"/>
      <c r="M125" s="300"/>
      <c r="N125" s="300">
        <f ca="1">IFERROR((1-INDIRECT("'"&amp;$H$3&amp;"'!N$271"))*IF(INDIRECT("'"&amp;$H$3&amp;"'!N$265")='List Values'!$E$3,N$369*INDEX(INDIRECT("'"&amp;$H$3&amp;"'!$H$49:$H$78"),MATCH(INDIRECT("'"&amp;$H$3&amp;"'!N$264")&amp;"Maintenance cost/km ($)",INDIRECT("'"&amp;$H$3&amp;"'!$F$49:$F$78"),0)),0),0)
+ IFERROR((1-INDIRECT("'"&amp;$H$3&amp;"'!N$291"))*IF(INDIRECT("'"&amp;$H$3&amp;"'!N$285")='List Values'!$E$3,N$398*INDEX(INDIRECT("'"&amp;$H$3&amp;"'!$H$49:$H$78"),MATCH(INDIRECT("'"&amp;$H$3&amp;"'!N$284")&amp;"Maintenance cost/km ($)",INDIRECT("'"&amp;$H$3&amp;"'!$F$49:$F$78"),0)),0),0)
+ IFERROR((1-INDIRECT("'"&amp;$H$3&amp;"'!N$311"))*IF(INDIRECT("'"&amp;$H$3&amp;"'!N$305")='List Values'!$E$3,N$427*INDEX(INDIRECT("'"&amp;$H$3&amp;"'!$H$49:$H$78"),MATCH(INDIRECT("'"&amp;$H$3&amp;"'!N$304")&amp;"Maintenance cost/km ($)",INDIRECT("'"&amp;$H$3&amp;"'!$F$49:$F$78"),0)),0),0)</f>
        <v>0</v>
      </c>
      <c r="O125" s="300"/>
      <c r="P125" s="300"/>
      <c r="Q125" s="300">
        <f ca="1">IFERROR((1-INDIRECT("'"&amp;$H$3&amp;"'!Q$271"))*IF(INDIRECT("'"&amp;$H$3&amp;"'!Q$265")='List Values'!$E$3,Q$369*INDEX(INDIRECT("'"&amp;$H$3&amp;"'!$H$49:$H$78"),MATCH(INDIRECT("'"&amp;$H$3&amp;"'!Q$264")&amp;"Maintenance cost/km ($)",INDIRECT("'"&amp;$H$3&amp;"'!$F$49:$F$78"),0)),0),0)
+ IFERROR((1-INDIRECT("'"&amp;$H$3&amp;"'!Q$291"))*IF(INDIRECT("'"&amp;$H$3&amp;"'!Q$285")='List Values'!$E$3,Q$398*INDEX(INDIRECT("'"&amp;$H$3&amp;"'!$H$49:$H$78"),MATCH(INDIRECT("'"&amp;$H$3&amp;"'!Q$284")&amp;"Maintenance cost/km ($)",INDIRECT("'"&amp;$H$3&amp;"'!$F$49:$F$78"),0)),0),0)
+ IFERROR((1-INDIRECT("'"&amp;$H$3&amp;"'!Q$311"))*IF(INDIRECT("'"&amp;$H$3&amp;"'!Q$305")='List Values'!$E$3,Q$427*INDEX(INDIRECT("'"&amp;$H$3&amp;"'!$H$49:$H$78"),MATCH(INDIRECT("'"&amp;$H$3&amp;"'!Q$304")&amp;"Maintenance cost/km ($)",INDIRECT("'"&amp;$H$3&amp;"'!$F$49:$F$78"),0)),0),0)</f>
        <v>0</v>
      </c>
      <c r="R125" s="300"/>
      <c r="S125" s="337"/>
      <c r="T125" s="300">
        <f ca="1">IFERROR((1-INDIRECT("'"&amp;$H$3&amp;"'!T$271"))*IF(INDIRECT("'"&amp;$H$3&amp;"'!T$265")='List Values'!$E$3,T$369*INDEX(INDIRECT("'"&amp;$H$3&amp;"'!$H$49:$H$78"),MATCH(INDIRECT("'"&amp;$H$3&amp;"'!T$264")&amp;"Maintenance cost/km ($)",INDIRECT("'"&amp;$H$3&amp;"'!$F$49:$F$78"),0)),0),0)
+ IFERROR((1-INDIRECT("'"&amp;$H$3&amp;"'!T$291"))*IF(INDIRECT("'"&amp;$H$3&amp;"'!T$285")='List Values'!$E$3,T$398*INDEX(INDIRECT("'"&amp;$H$3&amp;"'!$H$49:$H$78"),MATCH(INDIRECT("'"&amp;$H$3&amp;"'!T$284")&amp;"Maintenance cost/km ($)",INDIRECT("'"&amp;$H$3&amp;"'!$F$49:$F$78"),0)),0),0)
+ IFERROR((1-INDIRECT("'"&amp;$H$3&amp;"'!T$311"))*IF(INDIRECT("'"&amp;$H$3&amp;"'!T$305")='List Values'!$E$3,T$427*INDEX(INDIRECT("'"&amp;$H$3&amp;"'!$H$49:$H$78"),MATCH(INDIRECT("'"&amp;$H$3&amp;"'!T$304")&amp;"Maintenance cost/km ($)",INDIRECT("'"&amp;$H$3&amp;"'!$F$49:$F$78"),0)),0),0)</f>
        <v>0</v>
      </c>
      <c r="U125" s="337"/>
      <c r="V125" s="337"/>
      <c r="W125" s="1437">
        <f ca="1">IFERROR((1-INDIRECT("'"&amp;$H$3&amp;"'!W$271"))*IF(INDIRECT("'"&amp;$H$3&amp;"'!W$265")='List Values'!$E$3,W$369*INDEX(INDIRECT("'"&amp;$H$3&amp;"'!$H$49:$H$78"),MATCH(INDIRECT("'"&amp;$H$3&amp;"'!W$264")&amp;"Maintenance cost/km ($)",INDIRECT("'"&amp;$H$3&amp;"'!$F$49:$F$78"),0)),0),0)
+ IFERROR((1-INDIRECT("'"&amp;$H$3&amp;"'!W$291"))*IF(INDIRECT("'"&amp;$H$3&amp;"'!W$285")='List Values'!$E$3,W$398*INDEX(INDIRECT("'"&amp;$H$3&amp;"'!$H$49:$H$78"),MATCH(INDIRECT("'"&amp;$H$3&amp;"'!W$284")&amp;"Maintenance cost/km ($)",INDIRECT("'"&amp;$H$3&amp;"'!$F$49:$F$78"),0)),0),0)
+ IFERROR((1-INDIRECT("'"&amp;$H$3&amp;"'!W$311"))*IF(INDIRECT("'"&amp;$H$3&amp;"'!W$305")='List Values'!$E$3,W$427*INDEX(INDIRECT("'"&amp;$H$3&amp;"'!$H$49:$H$78"),MATCH(INDIRECT("'"&amp;$H$3&amp;"'!W$304")&amp;"Maintenance cost/km ($)",INDIRECT("'"&amp;$H$3&amp;"'!$F$49:$F$78"),0)),0),0)</f>
        <v>0</v>
      </c>
      <c r="Y125" s="341">
        <f t="shared" ca="1" si="12"/>
        <v>0</v>
      </c>
      <c r="Z125" s="7"/>
      <c r="AA125" s="7"/>
    </row>
    <row r="126" spans="6:38">
      <c r="F126" s="288"/>
      <c r="G126" s="288" t="s">
        <v>93</v>
      </c>
      <c r="H126" s="300">
        <f ca="1">IFERROR((1-INDIRECT("'"&amp;$H$3&amp;"'!H$270"))*IF(AND(INDIRECT("'"&amp;$H$3&amp;"'!H$269")="No",INDIRECT("'"&amp;$H$3&amp;"'!H$265")='List Values'!$E$3),INDEX(INDIRECT("'"&amp;$H$3&amp;"'!$H$49:$H$78"),MATCH(INDIRECT("'"&amp;$H$3&amp;"'!H$264")&amp;"Depreciation cost / yr ($)",INDIRECT("'"&amp;$H$3&amp;"'!$F$49:$F$78"),0))*INDIRECT("'"&amp;$H$3&amp;"'!H$268"),0),0)
+IFERROR((1-INDIRECT("'"&amp;$H$3&amp;"'!H$290"))*IF(AND(INDIRECT("'"&amp;$H$3&amp;"'!H$289")="No",INDIRECT("'"&amp;$H$3&amp;"'!H$285")='List Values'!$E$3),INDEX(INDIRECT("'"&amp;$H$3&amp;"'!$H$49:$H$78"),MATCH(INDIRECT("'"&amp;$H$3&amp;"'!H$284")&amp;"Depreciation cost / yr ($)",INDIRECT("'"&amp;$H$3&amp;"'!$F$49:$F$78"),0))*INDIRECT("'"&amp;$H$3&amp;"'!H$288"),0),0)
+IFERROR((1-INDIRECT("'"&amp;$H$3&amp;"'!H$310"))*IF(AND(INDIRECT("'"&amp;$H$3&amp;"'!H$309")="No",INDIRECT("'"&amp;$H$3&amp;"'!H$305")='List Values'!$E$3),INDEX(INDIRECT("'"&amp;$H$3&amp;"'!$H$49:$H$78"),MATCH(INDIRECT("'"&amp;$H$3&amp;"'!H$304")&amp;"Depreciation cost / yr ($)",INDIRECT("'"&amp;$H$3&amp;"'!$F$49:$F$78"),0))*INDIRECT("'"&amp;$H$3&amp;"'!H$308"),0),0)</f>
        <v>0</v>
      </c>
      <c r="I126" s="300"/>
      <c r="J126" s="300"/>
      <c r="K126" s="300">
        <f ca="1">IFERROR((1-INDIRECT("'"&amp;$H$3&amp;"'!K$270"))*IF(AND(INDIRECT("'"&amp;$H$3&amp;"'!K$269")="No",INDIRECT("'"&amp;$H$3&amp;"'!K$265")='List Values'!$E$3),INDEX(INDIRECT("'"&amp;$H$3&amp;"'!$H$49:$H$78"),MATCH(INDIRECT("'"&amp;$H$3&amp;"'!K$264")&amp;"Depreciation cost / yr ($)",INDIRECT("'"&amp;$H$3&amp;"'!$F$49:$F$78"),0))*INDIRECT("'"&amp;$H$3&amp;"'!K$268"),0),0)
+IFERROR((1-INDIRECT("'"&amp;$H$3&amp;"'!K$290"))*IF(AND(INDIRECT("'"&amp;$H$3&amp;"'!K$289")="No",INDIRECT("'"&amp;$H$3&amp;"'!K$285")='List Values'!$E$3),INDEX(INDIRECT("'"&amp;$H$3&amp;"'!$H$49:$H$78"),MATCH(INDIRECT("'"&amp;$H$3&amp;"'!K$284")&amp;"Depreciation cost / yr ($)",INDIRECT("'"&amp;$H$3&amp;"'!$F$49:$F$78"),0))*INDIRECT("'"&amp;$H$3&amp;"'!K$288"),0),0)
+IFERROR((1-INDIRECT("'"&amp;$H$3&amp;"'!K$310"))*IF(AND(INDIRECT("'"&amp;$H$3&amp;"'!K$309")="No",INDIRECT("'"&amp;$H$3&amp;"'!K$305")='List Values'!$E$3),INDEX(INDIRECT("'"&amp;$H$3&amp;"'!$H$49:$H$78"),MATCH(INDIRECT("'"&amp;$H$3&amp;"'!K$304")&amp;"Depreciation cost / yr ($)",INDIRECT("'"&amp;$H$3&amp;"'!$F$49:$F$78"),0))*INDIRECT("'"&amp;$H$3&amp;"'!K$308"),0),0)</f>
        <v>0</v>
      </c>
      <c r="L126" s="300"/>
      <c r="M126" s="300"/>
      <c r="N126" s="300">
        <f ca="1">IFERROR((1-INDIRECT("'"&amp;$H$3&amp;"'!N$270"))*IF(AND(INDIRECT("'"&amp;$H$3&amp;"'!N$269")="No",INDIRECT("'"&amp;$H$3&amp;"'!N$265")='List Values'!$E$3),INDEX(INDIRECT("'"&amp;$H$3&amp;"'!$H$49:$H$78"),MATCH(INDIRECT("'"&amp;$H$3&amp;"'!N$264")&amp;"Depreciation cost / yr ($)",INDIRECT("'"&amp;$H$3&amp;"'!$F$49:$F$78"),0))*INDIRECT("'"&amp;$H$3&amp;"'!N$268"),0),0)
+IFERROR((1-INDIRECT("'"&amp;$H$3&amp;"'!N$290"))*IF(AND(INDIRECT("'"&amp;$H$3&amp;"'!N$289")="No",INDIRECT("'"&amp;$H$3&amp;"'!N$285")='List Values'!$E$3),INDEX(INDIRECT("'"&amp;$H$3&amp;"'!$H$49:$H$78"),MATCH(INDIRECT("'"&amp;$H$3&amp;"'!N$284")&amp;"Depreciation cost / yr ($)",INDIRECT("'"&amp;$H$3&amp;"'!$F$49:$F$78"),0))*INDIRECT("'"&amp;$H$3&amp;"'!N$288"),0),0)
+IFERROR((1-INDIRECT("'"&amp;$H$3&amp;"'!N$310"))*IF(AND(INDIRECT("'"&amp;$H$3&amp;"'!N$309")="No",INDIRECT("'"&amp;$H$3&amp;"'!N$305")='List Values'!$E$3),INDEX(INDIRECT("'"&amp;$H$3&amp;"'!$H$49:$H$78"),MATCH(INDIRECT("'"&amp;$H$3&amp;"'!N$304")&amp;"Depreciation cost / yr ($)",INDIRECT("'"&amp;$H$3&amp;"'!$F$49:$F$78"),0))*INDIRECT("'"&amp;$H$3&amp;"'!N$308"),0),0)</f>
        <v>0</v>
      </c>
      <c r="O126" s="300"/>
      <c r="P126" s="300"/>
      <c r="Q126" s="300">
        <f ca="1">IFERROR((1-INDIRECT("'"&amp;$H$3&amp;"'!Q$270"))*IF(AND(INDIRECT("'"&amp;$H$3&amp;"'!Q$269")="No",INDIRECT("'"&amp;$H$3&amp;"'!Q$265")='List Values'!$E$3),INDEX(INDIRECT("'"&amp;$H$3&amp;"'!$H$49:$H$78"),MATCH(INDIRECT("'"&amp;$H$3&amp;"'!Q$264")&amp;"Depreciation cost / yr ($)",INDIRECT("'"&amp;$H$3&amp;"'!$F$49:$F$78"),0))*INDIRECT("'"&amp;$H$3&amp;"'!Q$268"),0),0)
+IFERROR((1-INDIRECT("'"&amp;$H$3&amp;"'!Q$290"))*IF(AND(INDIRECT("'"&amp;$H$3&amp;"'!Q$289")="No",INDIRECT("'"&amp;$H$3&amp;"'!Q$285")='List Values'!$E$3),INDEX(INDIRECT("'"&amp;$H$3&amp;"'!$H$49:$H$78"),MATCH(INDIRECT("'"&amp;$H$3&amp;"'!Q$284")&amp;"Depreciation cost / yr ($)",INDIRECT("'"&amp;$H$3&amp;"'!$F$49:$F$78"),0))*INDIRECT("'"&amp;$H$3&amp;"'!Q$288"),0),0)
+IFERROR((1-INDIRECT("'"&amp;$H$3&amp;"'!Q$310"))*IF(AND(INDIRECT("'"&amp;$H$3&amp;"'!Q$309")="No",INDIRECT("'"&amp;$H$3&amp;"'!Q$305")='List Values'!$E$3),INDEX(INDIRECT("'"&amp;$H$3&amp;"'!$H$49:$H$78"),MATCH(INDIRECT("'"&amp;$H$3&amp;"'!Q$304")&amp;"Depreciation cost / yr ($)",INDIRECT("'"&amp;$H$3&amp;"'!$F$49:$F$78"),0))*INDIRECT("'"&amp;$H$3&amp;"'!Q$308"),0),0)</f>
        <v>0</v>
      </c>
      <c r="R126" s="300"/>
      <c r="S126" s="337"/>
      <c r="T126" s="300">
        <f ca="1">IFERROR((1-INDIRECT("'"&amp;$H$3&amp;"'!T$270"))*IF(AND(INDIRECT("'"&amp;$H$3&amp;"'!T$269")="No",INDIRECT("'"&amp;$H$3&amp;"'!T$265")='List Values'!$E$3),INDEX(INDIRECT("'"&amp;$H$3&amp;"'!$H$49:$H$78"),MATCH(INDIRECT("'"&amp;$H$3&amp;"'!T$264")&amp;"Depreciation cost / yr ($)",INDIRECT("'"&amp;$H$3&amp;"'!$F$49:$F$78"),0))*INDIRECT("'"&amp;$H$3&amp;"'!T$268"),0),0)
+IFERROR((1-INDIRECT("'"&amp;$H$3&amp;"'!T$290"))*IF(AND(INDIRECT("'"&amp;$H$3&amp;"'!T$289")="No",INDIRECT("'"&amp;$H$3&amp;"'!T$285")='List Values'!$E$3),INDEX(INDIRECT("'"&amp;$H$3&amp;"'!$H$49:$H$78"),MATCH(INDIRECT("'"&amp;$H$3&amp;"'!T$284")&amp;"Depreciation cost / yr ($)",INDIRECT("'"&amp;$H$3&amp;"'!$F$49:$F$78"),0))*INDIRECT("'"&amp;$H$3&amp;"'!T$288"),0),0)
+IFERROR((1-INDIRECT("'"&amp;$H$3&amp;"'!T$310"))*IF(AND(INDIRECT("'"&amp;$H$3&amp;"'!T$309")="No",INDIRECT("'"&amp;$H$3&amp;"'!T$305")='List Values'!$E$3),INDEX(INDIRECT("'"&amp;$H$3&amp;"'!$H$49:$H$78"),MATCH(INDIRECT("'"&amp;$H$3&amp;"'!T$304")&amp;"Depreciation cost / yr ($)",INDIRECT("'"&amp;$H$3&amp;"'!$F$49:$F$78"),0))*INDIRECT("'"&amp;$H$3&amp;"'!T$308"),0),0)</f>
        <v>0</v>
      </c>
      <c r="U126" s="337"/>
      <c r="V126" s="337"/>
      <c r="W126" s="1437">
        <f ca="1">IFERROR((1-INDIRECT("'"&amp;$H$3&amp;"'!W$270"))*IF(AND(INDIRECT("'"&amp;$H$3&amp;"'!W$269")="No",INDIRECT("'"&amp;$H$3&amp;"'!W$265")='List Values'!$E$3),INDEX(INDIRECT("'"&amp;$H$3&amp;"'!$H$49:$H$78"),MATCH(INDIRECT("'"&amp;$H$3&amp;"'!W$264")&amp;"Depreciation cost / yr ($)",INDIRECT("'"&amp;$H$3&amp;"'!$F$49:$F$78"),0))*INDIRECT("'"&amp;$H$3&amp;"'!W$268"),0),0)
+IFERROR((1-INDIRECT("'"&amp;$H$3&amp;"'!W$290"))*IF(AND(INDIRECT("'"&amp;$H$3&amp;"'!W$289")="No",INDIRECT("'"&amp;$H$3&amp;"'!W$285")='List Values'!$E$3),INDEX(INDIRECT("'"&amp;$H$3&amp;"'!$H$49:$H$78"),MATCH(INDIRECT("'"&amp;$H$3&amp;"'!W$284")&amp;"Depreciation cost / yr ($)",INDIRECT("'"&amp;$H$3&amp;"'!$F$49:$F$78"),0))*INDIRECT("'"&amp;$H$3&amp;"'!W$288"),0),0)
+IFERROR((1-INDIRECT("'"&amp;$H$3&amp;"'!W$310"))*IF(AND(INDIRECT("'"&amp;$H$3&amp;"'!W$309")="No",INDIRECT("'"&amp;$H$3&amp;"'!W$305")='List Values'!$E$3),INDEX(INDIRECT("'"&amp;$H$3&amp;"'!$H$49:$H$78"),MATCH(INDIRECT("'"&amp;$H$3&amp;"'!W$304")&amp;"Depreciation cost / yr ($)",INDIRECT("'"&amp;$H$3&amp;"'!$F$49:$F$78"),0))*INDIRECT("'"&amp;$H$3&amp;"'!W$308"),0),0)</f>
        <v>0</v>
      </c>
      <c r="Y126" s="341">
        <f t="shared" ca="1" si="12"/>
        <v>0</v>
      </c>
      <c r="Z126" s="7"/>
      <c r="AA126" s="7"/>
    </row>
    <row r="127" spans="6:38">
      <c r="F127" s="984"/>
      <c r="G127" s="985" t="s">
        <v>160</v>
      </c>
      <c r="H127" s="986">
        <f ca="1">IFERROR((1-INDIRECT("'"&amp;$H$3&amp;"'!H$271"))*H$355*INDEX(INDIRECT("'"&amp;$H$3&amp;"'!$H$43:$H$78"),MATCH(INDIRECT("'"&amp;$H$3&amp;"'!H$264")&amp;"Average cost ($) per trip (one-way)",INDIRECT("'"&amp;$H$3&amp;"'!$F$43:$F$78"),0)),0)
+IFERROR((1-INDIRECT("'"&amp;$H$3&amp;"'!H$291"))*H$384*INDEX(INDIRECT("'"&amp;$H$3&amp;"'!$H$43:$H$78"),MATCH(INDIRECT("'"&amp;$H$3&amp;"'!H$284")&amp;"Average cost ($) per trip (one-way)",INDIRECT("'"&amp;$H$3&amp;"'!$F$43:$F$78"),0)),0)
+IFERROR((1-INDIRECT("'"&amp;$H$3&amp;"'!H$311"))*H$413*INDEX(INDIRECT("'"&amp;$H$3&amp;"'!$H$43:$H$78"),MATCH(INDIRECT("'"&amp;$H$3&amp;"'!H$304")&amp;"Average cost ($) per trip (one-way)",INDIRECT("'"&amp;$H$3&amp;"'!$F$43:$F$78"),0)),0)</f>
        <v>0</v>
      </c>
      <c r="I127" s="986"/>
      <c r="J127" s="986"/>
      <c r="K127" s="986">
        <f ca="1">IFERROR((1-INDIRECT("'"&amp;$H$3&amp;"'!K$271"))*K$355*INDEX(INDIRECT("'"&amp;$H$3&amp;"'!$H$43:$H$78"),MATCH(INDIRECT("'"&amp;$H$3&amp;"'!K$264")&amp;"Average cost ($) per trip (one-way)",INDIRECT("'"&amp;$H$3&amp;"'!$F$43:$F$78"),0)),0)
+IFERROR((1-INDIRECT("'"&amp;$H$3&amp;"'!K$291"))*K$384*INDEX(INDIRECT("'"&amp;$H$3&amp;"'!$H$43:$H$78"),MATCH(INDIRECT("'"&amp;$H$3&amp;"'!K$284")&amp;"Average cost ($) per trip (one-way)",INDIRECT("'"&amp;$H$3&amp;"'!$F$43:$F$78"),0)),0)
+IFERROR((1-INDIRECT("'"&amp;$H$3&amp;"'!K$311"))*K$413*INDEX(INDIRECT("'"&amp;$H$3&amp;"'!$H$43:$H$78"),MATCH(INDIRECT("'"&amp;$H$3&amp;"'!K$304")&amp;"Average cost ($) per trip (one-way)",INDIRECT("'"&amp;$H$3&amp;"'!$F$43:$F$78"),0)),0)</f>
        <v>0</v>
      </c>
      <c r="L127" s="986"/>
      <c r="M127" s="986"/>
      <c r="N127" s="986">
        <f ca="1">IFERROR((1-INDIRECT("'"&amp;$H$3&amp;"'!N$271"))*N$355*INDEX(INDIRECT("'"&amp;$H$3&amp;"'!$H$43:$H$78"),MATCH(INDIRECT("'"&amp;$H$3&amp;"'!N$264")&amp;"Average cost ($) per trip (one-way)",INDIRECT("'"&amp;$H$3&amp;"'!$F$43:$F$78"),0)),0)
+IFERROR((1-INDIRECT("'"&amp;$H$3&amp;"'!N$291"))*N$384*INDEX(INDIRECT("'"&amp;$H$3&amp;"'!$H$43:$H$78"),MATCH(INDIRECT("'"&amp;$H$3&amp;"'!N$284")&amp;"Average cost ($) per trip (one-way)",INDIRECT("'"&amp;$H$3&amp;"'!$F$43:$F$78"),0)),0)
+IFERROR((1-INDIRECT("'"&amp;$H$3&amp;"'!N$311"))*N$413*INDEX(INDIRECT("'"&amp;$H$3&amp;"'!$H$43:$H$78"),MATCH(INDIRECT("'"&amp;$H$3&amp;"'!N$304")&amp;"Average cost ($) per trip (one-way)",INDIRECT("'"&amp;$H$3&amp;"'!$F$43:$F$78"),0)),0)</f>
        <v>0</v>
      </c>
      <c r="O127" s="986"/>
      <c r="P127" s="986"/>
      <c r="Q127" s="986">
        <f ca="1">IFERROR((1-INDIRECT("'"&amp;$H$3&amp;"'!Q$271"))*Q$355*INDEX(INDIRECT("'"&amp;$H$3&amp;"'!$H$43:$H$78"),MATCH(INDIRECT("'"&amp;$H$3&amp;"'!Q$264")&amp;"Average cost ($) per trip (one-way)",INDIRECT("'"&amp;$H$3&amp;"'!$F$43:$F$78"),0)),0)
+IFERROR((1-INDIRECT("'"&amp;$H$3&amp;"'!Q$291"))*Q$384*INDEX(INDIRECT("'"&amp;$H$3&amp;"'!$H$43:$H$78"),MATCH(INDIRECT("'"&amp;$H$3&amp;"'!Q$284")&amp;"Average cost ($) per trip (one-way)",INDIRECT("'"&amp;$H$3&amp;"'!$F$43:$F$78"),0)),0)
+IFERROR((1-INDIRECT("'"&amp;$H$3&amp;"'!Q$311"))*Q$413*INDEX(INDIRECT("'"&amp;$H$3&amp;"'!$H$43:$H$78"),MATCH(INDIRECT("'"&amp;$H$3&amp;"'!Q$304")&amp;"Average cost ($) per trip (one-way)",INDIRECT("'"&amp;$H$3&amp;"'!$F$43:$F$78"),0)),0)</f>
        <v>0</v>
      </c>
      <c r="R127" s="986"/>
      <c r="S127" s="987"/>
      <c r="T127" s="986">
        <f ca="1">IFERROR((1-INDIRECT("'"&amp;$H$3&amp;"'!T$271"))*T$355*INDEX(INDIRECT("'"&amp;$H$3&amp;"'!$H$43:$H$78"),MATCH(INDIRECT("'"&amp;$H$3&amp;"'!T$264")&amp;"Average cost ($) per trip (one-way)",INDIRECT("'"&amp;$H$3&amp;"'!$F$43:$F$78"),0)),0)
+IFERROR((1-INDIRECT("'"&amp;$H$3&amp;"'!T$291"))*T$384*INDEX(INDIRECT("'"&amp;$H$3&amp;"'!$H$43:$H$78"),MATCH(INDIRECT("'"&amp;$H$3&amp;"'!T$284")&amp;"Average cost ($) per trip (one-way)",INDIRECT("'"&amp;$H$3&amp;"'!$F$43:$F$78"),0)),0)
+IFERROR((1-INDIRECT("'"&amp;$H$3&amp;"'!T$311"))*T$413*INDEX(INDIRECT("'"&amp;$H$3&amp;"'!$H$43:$H$78"),MATCH(INDIRECT("'"&amp;$H$3&amp;"'!T$304")&amp;"Average cost ($) per trip (one-way)",INDIRECT("'"&amp;$H$3&amp;"'!$F$43:$F$78"),0)),0)</f>
        <v>0</v>
      </c>
      <c r="U127" s="987"/>
      <c r="V127" s="987"/>
      <c r="W127" s="1441">
        <f ca="1">IFERROR((1-INDIRECT("'"&amp;$H$3&amp;"'!W$271"))*W$355*INDEX(INDIRECT("'"&amp;$H$3&amp;"'!$H$43:$H$78"),MATCH(INDIRECT("'"&amp;$H$3&amp;"'!W$264")&amp;"Average cost ($) per trip (one-way)",INDIRECT("'"&amp;$H$3&amp;"'!$F$43:$F$78"),0)),0)
+IFERROR((1-INDIRECT("'"&amp;$H$3&amp;"'!W$291"))*W$384*INDEX(INDIRECT("'"&amp;$H$3&amp;"'!$H$43:$H$78"),MATCH(INDIRECT("'"&amp;$H$3&amp;"'!W$284")&amp;"Average cost ($) per trip (one-way)",INDIRECT("'"&amp;$H$3&amp;"'!$F$43:$F$78"),0)),0)
+IFERROR((1-INDIRECT("'"&amp;$H$3&amp;"'!W$311"))*W$413*INDEX(INDIRECT("'"&amp;$H$3&amp;"'!$H$43:$H$78"),MATCH(INDIRECT("'"&amp;$H$3&amp;"'!W$304")&amp;"Average cost ($) per trip (one-way)",INDIRECT("'"&amp;$H$3&amp;"'!$F$43:$F$78"),0)),0)</f>
        <v>0</v>
      </c>
      <c r="Y127" s="347">
        <f t="shared" ca="1" si="12"/>
        <v>0</v>
      </c>
      <c r="Z127" s="7"/>
      <c r="AA127" s="7"/>
    </row>
    <row r="128" spans="6:38" ht="6.75" customHeight="1">
      <c r="F128" s="991"/>
      <c r="G128" s="27"/>
      <c r="H128" s="992"/>
      <c r="I128" s="992"/>
      <c r="J128" s="992"/>
      <c r="K128" s="992"/>
      <c r="L128" s="992"/>
      <c r="M128" s="992"/>
      <c r="N128" s="992"/>
      <c r="O128" s="992"/>
      <c r="P128" s="992"/>
      <c r="Q128" s="992"/>
      <c r="R128" s="992"/>
      <c r="S128" s="993"/>
      <c r="T128" s="992"/>
      <c r="U128" s="993"/>
      <c r="V128" s="993"/>
      <c r="W128" s="992"/>
      <c r="Y128" s="993"/>
      <c r="Z128" s="7"/>
      <c r="AA128" s="7"/>
    </row>
    <row r="129" spans="6:38" ht="29.15">
      <c r="F129" s="887"/>
      <c r="G129" s="888"/>
      <c r="H129" s="1502" t="str">
        <f ca="1">IF($H$9&gt;=1,INDIRECT("'"&amp;$H$3&amp;"'!G$91"),"")</f>
        <v>CMS Tier</v>
      </c>
      <c r="I129" s="1502" t="str">
        <f t="shared" ref="I129:V129" ca="1" si="13">IF($H$9&gt;=1,"Tier 1","")</f>
        <v>Tier 1</v>
      </c>
      <c r="J129" s="1502" t="str">
        <f t="shared" ca="1" si="13"/>
        <v>Tier 1</v>
      </c>
      <c r="K129" s="1502" t="str">
        <f ca="1">IF($H$9&gt;=2,INDIRECT("'"&amp;$H$3&amp;"'!J$91"),"")</f>
        <v>Regional WH Tier</v>
      </c>
      <c r="L129" s="1502" t="str">
        <f t="shared" ca="1" si="13"/>
        <v>Tier 1</v>
      </c>
      <c r="M129" s="1502" t="str">
        <f t="shared" ca="1" si="13"/>
        <v>Tier 1</v>
      </c>
      <c r="N129" s="1502" t="str">
        <f ca="1">IF($H$9&gt;=3,INDIRECT("'"&amp;$H$3&amp;"'!M$91"),"")</f>
        <v>Health Facility Tier</v>
      </c>
      <c r="O129" s="1502" t="str">
        <f t="shared" ca="1" si="13"/>
        <v>Tier 1</v>
      </c>
      <c r="P129" s="1502" t="str">
        <f t="shared" ca="1" si="13"/>
        <v>Tier 1</v>
      </c>
      <c r="Q129" s="1502" t="str">
        <f ca="1">IF($H$9&gt;=4,INDIRECT("'"&amp;$H$3&amp;"'!P$91"),"")</f>
        <v/>
      </c>
      <c r="R129" s="1503" t="str">
        <f t="shared" ca="1" si="13"/>
        <v>Tier 1</v>
      </c>
      <c r="S129" s="1504" t="str">
        <f t="shared" ca="1" si="13"/>
        <v>Tier 1</v>
      </c>
      <c r="T129" s="1502" t="str">
        <f ca="1">IF($H$9&gt;=5,INDIRECT("'"&amp;$H$3&amp;"'!S$91"),"")</f>
        <v/>
      </c>
      <c r="U129" s="1504" t="str">
        <f t="shared" ca="1" si="13"/>
        <v>Tier 1</v>
      </c>
      <c r="V129" s="1504" t="str">
        <f t="shared" ca="1" si="13"/>
        <v>Tier 1</v>
      </c>
      <c r="W129" s="1505" t="str">
        <f ca="1">IF($H$9&gt;=6,INDIRECT("'"&amp;$H$3&amp;"'!V$91"),"")</f>
        <v/>
      </c>
      <c r="X129" s="1459"/>
      <c r="Y129" s="1487"/>
      <c r="Z129" s="7"/>
      <c r="AA129" s="7"/>
    </row>
    <row r="130" spans="6:38">
      <c r="F130" s="352" t="s">
        <v>97</v>
      </c>
      <c r="G130" s="353"/>
      <c r="H130" s="354"/>
      <c r="I130" s="354"/>
      <c r="J130" s="354"/>
      <c r="K130" s="354"/>
      <c r="L130" s="354"/>
      <c r="M130" s="354"/>
      <c r="N130" s="354"/>
      <c r="O130" s="354"/>
      <c r="P130" s="354"/>
      <c r="Q130" s="354"/>
      <c r="R130" s="354"/>
      <c r="S130" s="355"/>
      <c r="T130" s="354"/>
      <c r="U130" s="355"/>
      <c r="V130" s="355"/>
      <c r="W130" s="383"/>
      <c r="Y130" s="355">
        <f ca="1">SUM(Y131:Y134)</f>
        <v>969654.49355169514</v>
      </c>
      <c r="Z130" s="7"/>
      <c r="AA130" s="7"/>
    </row>
    <row r="131" spans="6:38" hidden="1">
      <c r="F131" s="288"/>
      <c r="G131" s="366" t="s">
        <v>48</v>
      </c>
      <c r="H131" s="300"/>
      <c r="I131" s="300"/>
      <c r="J131" s="300"/>
      <c r="K131" s="300">
        <v>0</v>
      </c>
      <c r="L131" s="300"/>
      <c r="M131" s="300"/>
      <c r="N131" s="300">
        <v>0</v>
      </c>
      <c r="O131" s="300"/>
      <c r="P131" s="300"/>
      <c r="Q131" s="300"/>
      <c r="R131" s="300"/>
      <c r="S131" s="337"/>
      <c r="T131" s="300"/>
      <c r="U131" s="337"/>
      <c r="V131" s="337"/>
      <c r="W131" s="1437"/>
      <c r="Y131" s="341">
        <f>SUM(H131:Q131)</f>
        <v>0</v>
      </c>
    </row>
    <row r="132" spans="6:38">
      <c r="F132" s="288"/>
      <c r="G132" s="288" t="s">
        <v>94</v>
      </c>
      <c r="H132" s="300">
        <f ca="1">IFERROR(INDIRECT("'"&amp;$H$3&amp;"'!H$106")*INDIRECT("'"&amp;$H$3&amp;"'!H$95")*INDIRECT("'"&amp;$H$3&amp;"'!$H$10")*INDIRECT("'"&amp;$H$3&amp;"'!$H$9")*IFERROR(INDEX(INDIRECT("'"&amp;$H$3&amp;"'!$H$28:$H$38"),MATCH(INDIRECT("'"&amp;$H$3&amp;"'!H$105"),INDIRECT("'"&amp;$H$3&amp;"'!$B$28:$B$38"),0)),0),0)</f>
        <v>288000</v>
      </c>
      <c r="I132" s="300"/>
      <c r="J132" s="300"/>
      <c r="K132" s="300">
        <f ca="1">IFERROR(INDIRECT("'"&amp;$H$3&amp;"'!K$106")*INDIRECT("'"&amp;$H$3&amp;"'!K$95")*INDIRECT("'"&amp;$H$3&amp;"'!$H$10")*INDIRECT("'"&amp;$H$3&amp;"'!$H$9")*IFERROR(INDEX(INDIRECT("'"&amp;$H$3&amp;"'!$H$28:$H$38"),MATCH(INDIRECT("'"&amp;$H$3&amp;"'!K$105"),INDIRECT("'"&amp;$H$3&amp;"'!$B$28:$B$38"),0)),0),0)</f>
        <v>268800</v>
      </c>
      <c r="L132" s="300"/>
      <c r="M132" s="300"/>
      <c r="N132" s="300">
        <f ca="1">IFERROR(INDIRECT("'"&amp;$H$3&amp;"'!N$106")*INDIRECT("'"&amp;$H$3&amp;"'!N$95")*INDIRECT("'"&amp;$H$3&amp;"'!$H$10")*INDIRECT("'"&amp;$H$3&amp;"'!$H$9")*IFERROR(INDEX(INDIRECT("'"&amp;$H$3&amp;"'!$H$28:$H$38"),MATCH(INDIRECT("'"&amp;$H$3&amp;"'!N$105"),INDIRECT("'"&amp;$H$3&amp;"'!$B$28:$B$38"),0)),0),0)</f>
        <v>92620.557692307644</v>
      </c>
      <c r="O132" s="300"/>
      <c r="P132" s="300"/>
      <c r="Q132" s="300">
        <f ca="1">IFERROR(INDIRECT("'"&amp;$H$3&amp;"'!Q$106")*INDIRECT("'"&amp;$H$3&amp;"'!Q$95")*INDIRECT("'"&amp;$H$3&amp;"'!$H$10")*INDIRECT("'"&amp;$H$3&amp;"'!$H$9")*IFERROR(INDEX(INDIRECT("'"&amp;$H$3&amp;"'!$H$28:$H$38"),MATCH(INDIRECT("'"&amp;$H$3&amp;"'!Q$105"),INDIRECT("'"&amp;$H$3&amp;"'!$B$28:$B$38"),0)),0),0)</f>
        <v>0</v>
      </c>
      <c r="R132" s="300"/>
      <c r="S132" s="337"/>
      <c r="T132" s="300">
        <f ca="1">IFERROR(INDIRECT("'"&amp;$H$3&amp;"'!T$106")*INDIRECT("'"&amp;$H$3&amp;"'!T$95")*INDIRECT("'"&amp;$H$3&amp;"'!$H$10")*INDIRECT("'"&amp;$H$3&amp;"'!$H$9")*IFERROR(INDEX(INDIRECT("'"&amp;$H$3&amp;"'!$H$28:$H$38"),MATCH(INDIRECT("'"&amp;$H$3&amp;"'!T$105"),INDIRECT("'"&amp;$H$3&amp;"'!$B$28:$B$38"),0)),0),0)</f>
        <v>0</v>
      </c>
      <c r="U132" s="337"/>
      <c r="V132" s="337"/>
      <c r="W132" s="1437">
        <f ca="1">IFERROR(INDIRECT("'"&amp;$H$3&amp;"'!W$106")*INDIRECT("'"&amp;$H$3&amp;"'!W$95")*INDIRECT("'"&amp;$H$3&amp;"'!$H$10")*INDIRECT("'"&amp;$H$3&amp;"'!$H$9")*IFERROR(INDEX(INDIRECT("'"&amp;$H$3&amp;"'!$H$28:$H$38"),MATCH(INDIRECT("'"&amp;$H$3&amp;"'!W$105"),INDIRECT("'"&amp;$H$3&amp;"'!$B$28:$B$38"),0)),0),0)</f>
        <v>0</v>
      </c>
      <c r="Y132" s="341">
        <f t="shared" ref="Y132:Y137" ca="1" si="14">SUM(H132:W132)</f>
        <v>649420.55769230763</v>
      </c>
    </row>
    <row r="133" spans="6:38">
      <c r="F133" s="288"/>
      <c r="G133" s="288" t="s">
        <v>485</v>
      </c>
      <c r="H133" s="300">
        <f ca="1">IFERROR(SUM(INDIRECT("'"&amp;$H$3&amp;"'!H$108"),INDIRECT("'"&amp;$H$3&amp;"'!H$109"))*INDIRECT("'"&amp;$H$3&amp;"'!H$110")*INDIRECT("'"&amp;$H$3&amp;"'!H$95"),0)</f>
        <v>84825.422128095874</v>
      </c>
      <c r="I133" s="300"/>
      <c r="J133" s="300"/>
      <c r="K133" s="300">
        <f ca="1">IFERROR(SUM(INDIRECT("'"&amp;$H$3&amp;"'!K$108"),INDIRECT("'"&amp;$H$3&amp;"'!K$109"))*INDIRECT("'"&amp;$H$3&amp;"'!K$110")*INDIRECT("'"&amp;$H$3&amp;"'!K$95"),0)</f>
        <v>42354.801097541313</v>
      </c>
      <c r="L133" s="300"/>
      <c r="M133" s="300"/>
      <c r="N133" s="300">
        <f ca="1">IFERROR(SUM(INDIRECT("'"&amp;$H$3&amp;"'!N$108"),INDIRECT("'"&amp;$H$3&amp;"'!N$109"))*INDIRECT("'"&amp;$H$3&amp;"'!N$110")*INDIRECT("'"&amp;$H$3&amp;"'!N$95"),0)</f>
        <v>172031.88679245286</v>
      </c>
      <c r="O133" s="300"/>
      <c r="P133" s="300"/>
      <c r="Q133" s="300">
        <f ca="1">IFERROR(SUM(INDIRECT("'"&amp;$H$3&amp;"'!Q$108"),INDIRECT("'"&amp;$H$3&amp;"'!Q$109"))*INDIRECT("'"&amp;$H$3&amp;"'!Q$110")*INDIRECT("'"&amp;$H$3&amp;"'!Q$95"),0)</f>
        <v>0</v>
      </c>
      <c r="R133" s="300"/>
      <c r="S133" s="337"/>
      <c r="T133" s="300">
        <f ca="1">IFERROR(SUM(INDIRECT("'"&amp;$H$3&amp;"'!T$108"),INDIRECT("'"&amp;$H$3&amp;"'!T$109"))*INDIRECT("'"&amp;$H$3&amp;"'!T$110")*INDIRECT("'"&amp;$H$3&amp;"'!T$95"),0)</f>
        <v>0</v>
      </c>
      <c r="U133" s="337"/>
      <c r="V133" s="337"/>
      <c r="W133" s="1437">
        <f ca="1">IFERROR(SUM(INDIRECT("'"&amp;$H$3&amp;"'!W$108"),INDIRECT("'"&amp;$H$3&amp;"'!W$109"))*INDIRECT("'"&amp;$H$3&amp;"'!W$110")*INDIRECT("'"&amp;$H$3&amp;"'!W$95"),0)</f>
        <v>0</v>
      </c>
      <c r="Y133" s="341">
        <f t="shared" ca="1" si="14"/>
        <v>299212.11001809005</v>
      </c>
    </row>
    <row r="134" spans="6:38">
      <c r="F134" s="288"/>
      <c r="G134" s="288" t="s">
        <v>383</v>
      </c>
      <c r="H134" s="300">
        <f ca="1">IFERROR(INDIRECT("'"&amp;$H$3&amp;"'!H$108")*INDIRECT("'"&amp;$H$3&amp;"'!H$111")*INDIRECT("'"&amp;$H$3&amp;"'!H$95"),0)</f>
        <v>6945.5939300401469</v>
      </c>
      <c r="I134" s="300"/>
      <c r="J134" s="300"/>
      <c r="K134" s="300">
        <f ca="1">IFERROR(INDIRECT("'"&amp;$H$3&amp;"'!K$108")*INDIRECT("'"&amp;$H$3&amp;"'!K$111")*INDIRECT("'"&amp;$H$3&amp;"'!K$95"),0)</f>
        <v>14076.231911257337</v>
      </c>
      <c r="L134" s="300"/>
      <c r="M134" s="300"/>
      <c r="N134" s="300">
        <f ca="1">IFERROR(INDIRECT("'"&amp;$H$3&amp;"'!N$108")*INDIRECT("'"&amp;$H$3&amp;"'!N$111")*INDIRECT("'"&amp;$H$3&amp;"'!N$95"),0)</f>
        <v>0</v>
      </c>
      <c r="O134" s="300"/>
      <c r="P134" s="300"/>
      <c r="Q134" s="300">
        <f ca="1">IFERROR(INDIRECT("'"&amp;$H$3&amp;"'!Q$108")*INDIRECT("'"&amp;$H$3&amp;"'!Q$111")*INDIRECT("'"&amp;$H$3&amp;"'!Q$95"),0)</f>
        <v>0</v>
      </c>
      <c r="R134" s="300"/>
      <c r="S134" s="337"/>
      <c r="T134" s="300">
        <f ca="1">IFERROR(INDIRECT("'"&amp;$H$3&amp;"'!T$108")*INDIRECT("'"&amp;$H$3&amp;"'!T$111")*INDIRECT("'"&amp;$H$3&amp;"'!T$95"),0)</f>
        <v>0</v>
      </c>
      <c r="U134" s="337"/>
      <c r="V134" s="337"/>
      <c r="W134" s="1437">
        <f ca="1">IFERROR(INDIRECT("'"&amp;$H$3&amp;"'!W$108")*INDIRECT("'"&amp;$H$3&amp;"'!W$111")*INDIRECT("'"&amp;$H$3&amp;"'!W$95"),0)</f>
        <v>0</v>
      </c>
      <c r="Y134" s="341">
        <f t="shared" ca="1" si="14"/>
        <v>21021.825841297483</v>
      </c>
    </row>
    <row r="135" spans="6:38">
      <c r="F135" s="288"/>
      <c r="G135" s="298" t="s">
        <v>384</v>
      </c>
      <c r="H135" s="300">
        <f ca="1">IFERROR(INDIRECT("'"&amp;$H$3&amp;"'!H$109")*INDIRECT("'"&amp;$H$3&amp;"'!H$112")*INDIRECT("'"&amp;$H$3&amp;"'!H$95"),0)</f>
        <v>0</v>
      </c>
      <c r="I135" s="300"/>
      <c r="J135" s="300"/>
      <c r="K135" s="300">
        <f ca="1">IFERROR(INDIRECT("'"&amp;$H$3&amp;"'!K$109")*INDIRECT("'"&amp;$H$3&amp;"'!K$112")*INDIRECT("'"&amp;$H$3&amp;"'!K$95"),0)</f>
        <v>0</v>
      </c>
      <c r="L135" s="300"/>
      <c r="M135" s="300"/>
      <c r="N135" s="300">
        <f ca="1">IFERROR(INDIRECT("'"&amp;$H$3&amp;"'!N$109")*INDIRECT("'"&amp;$H$3&amp;"'!N$112")*INDIRECT("'"&amp;$H$3&amp;"'!N$95"),0)</f>
        <v>0</v>
      </c>
      <c r="O135" s="300"/>
      <c r="P135" s="300"/>
      <c r="Q135" s="300">
        <f ca="1">IFERROR(INDIRECT("'"&amp;$H$3&amp;"'!Q$109")*INDIRECT("'"&amp;$H$3&amp;"'!Q$112")*INDIRECT("'"&amp;$H$3&amp;"'!Q$95"),0)</f>
        <v>0</v>
      </c>
      <c r="R135" s="300"/>
      <c r="S135" s="337"/>
      <c r="T135" s="300">
        <f ca="1">IFERROR(INDIRECT("'"&amp;$H$3&amp;"'!T$109")*INDIRECT("'"&amp;$H$3&amp;"'!T$112")*INDIRECT("'"&amp;$H$3&amp;"'!T$95"),0)</f>
        <v>0</v>
      </c>
      <c r="U135" s="337"/>
      <c r="V135" s="337"/>
      <c r="W135" s="1437">
        <f ca="1">IFERROR(INDIRECT("'"&amp;$H$3&amp;"'!W$109")*INDIRECT("'"&amp;$H$3&amp;"'!W$112")*INDIRECT("'"&amp;$H$3&amp;"'!W$95"),0)</f>
        <v>0</v>
      </c>
      <c r="Y135" s="341">
        <f t="shared" ca="1" si="14"/>
        <v>0</v>
      </c>
    </row>
    <row r="136" spans="6:38">
      <c r="F136" s="288"/>
      <c r="G136" s="298" t="s">
        <v>385</v>
      </c>
      <c r="H136" s="300">
        <f ca="1">IFERROR(INDIRECT("'"&amp;$H$3&amp;"'!H$113")*INDIRECT("'"&amp;$H$3&amp;"'!H$116")*INDIRECT("'"&amp;$H$3&amp;"'!H$95"),0)</f>
        <v>0</v>
      </c>
      <c r="I136" s="300"/>
      <c r="J136" s="300"/>
      <c r="K136" s="300">
        <f ca="1">IFERROR(INDIRECT("'"&amp;$H$3&amp;"'!K$113")*INDIRECT("'"&amp;$H$3&amp;"'!K$116")*INDIRECT("'"&amp;$H$3&amp;"'!K$95"),0)</f>
        <v>0</v>
      </c>
      <c r="L136" s="300"/>
      <c r="M136" s="300"/>
      <c r="N136" s="300">
        <f ca="1">IFERROR(INDIRECT("'"&amp;$H$3&amp;"'!N$113")*INDIRECT("'"&amp;$H$3&amp;"'!N$116")*INDIRECT("'"&amp;$H$3&amp;"'!N$95"),0)</f>
        <v>0</v>
      </c>
      <c r="O136" s="300"/>
      <c r="P136" s="300"/>
      <c r="Q136" s="300">
        <f ca="1">IFERROR(INDIRECT("'"&amp;$H$3&amp;"'!Q$113")*INDIRECT("'"&amp;$H$3&amp;"'!Q$116")*INDIRECT("'"&amp;$H$3&amp;"'!Q$95"),0)</f>
        <v>0</v>
      </c>
      <c r="R136" s="300"/>
      <c r="S136" s="337"/>
      <c r="T136" s="300">
        <f ca="1">IFERROR(INDIRECT("'"&amp;$H$3&amp;"'!T$113")*INDIRECT("'"&amp;$H$3&amp;"'!T$116")*INDIRECT("'"&amp;$H$3&amp;"'!T$95"),0)</f>
        <v>0</v>
      </c>
      <c r="U136" s="337"/>
      <c r="V136" s="337"/>
      <c r="W136" s="1437">
        <f ca="1">IFERROR(INDIRECT("'"&amp;$H$3&amp;"'!W$113")*INDIRECT("'"&amp;$H$3&amp;"'!W$116")*INDIRECT("'"&amp;$H$3&amp;"'!W$95"),0)</f>
        <v>0</v>
      </c>
      <c r="Y136" s="341">
        <f t="shared" ca="1" si="14"/>
        <v>0</v>
      </c>
    </row>
    <row r="137" spans="6:38">
      <c r="F137" s="363"/>
      <c r="G137" s="220" t="s">
        <v>386</v>
      </c>
      <c r="H137" s="296">
        <f ca="1">IFERROR((1/INDIRECT("'"&amp;$H$3&amp;"'!$H$12"))*INDIRECT("'"&amp;$H$3&amp;"'!H$113")*INDIRECT("'"&amp;$H$3&amp;"'!H$115")*INDIRECT("'"&amp;$H$3&amp;"'!H$95"),0)</f>
        <v>600</v>
      </c>
      <c r="I137" s="296"/>
      <c r="J137" s="296"/>
      <c r="K137" s="296">
        <f ca="1">IFERROR((1/INDIRECT("'"&amp;$H$3&amp;"'!$H$12"))*INDIRECT("'"&amp;$H$3&amp;"'!K$113")*INDIRECT("'"&amp;$H$3&amp;"'!K$115")*INDIRECT("'"&amp;$H$3&amp;"'!K$95"),0)</f>
        <v>300</v>
      </c>
      <c r="L137" s="296"/>
      <c r="M137" s="296"/>
      <c r="N137" s="296">
        <f ca="1">IFERROR((1/INDIRECT("'"&amp;$H$3&amp;"'!$H$12"))*INDIRECT("'"&amp;$H$3&amp;"'!N$113")*INDIRECT("'"&amp;$H$3&amp;"'!N$115")*INDIRECT("'"&amp;$H$3&amp;"'!N$95"),0)</f>
        <v>10350</v>
      </c>
      <c r="O137" s="296"/>
      <c r="P137" s="296"/>
      <c r="Q137" s="296">
        <f ca="1">IFERROR((1/INDIRECT("'"&amp;$H$3&amp;"'!$H$12"))*INDIRECT("'"&amp;$H$3&amp;"'!Q$113")*INDIRECT("'"&amp;$H$3&amp;"'!Q$115")*INDIRECT("'"&amp;$H$3&amp;"'!Q$95"),0)</f>
        <v>0</v>
      </c>
      <c r="R137" s="296"/>
      <c r="S137" s="361"/>
      <c r="T137" s="296">
        <f ca="1">IFERROR((1/INDIRECT("'"&amp;$H$3&amp;"'!$H$12"))*INDIRECT("'"&amp;$H$3&amp;"'!T$113")*INDIRECT("'"&amp;$H$3&amp;"'!T$115")*INDIRECT("'"&amp;$H$3&amp;"'!T$95"),0)</f>
        <v>0</v>
      </c>
      <c r="U137" s="361"/>
      <c r="V137" s="361"/>
      <c r="W137" s="1438">
        <f ca="1">IFERROR((1/INDIRECT("'"&amp;$H$3&amp;"'!$H$12"))*INDIRECT("'"&amp;$H$3&amp;"'!W$113")*INDIRECT("'"&amp;$H$3&amp;"'!W$115")*INDIRECT("'"&amp;$H$3&amp;"'!W$95"),0)</f>
        <v>0</v>
      </c>
      <c r="Y137" s="347">
        <f t="shared" ca="1" si="14"/>
        <v>11250</v>
      </c>
    </row>
    <row r="138" spans="6:38" ht="15" customHeight="1">
      <c r="F138" s="352" t="s">
        <v>83</v>
      </c>
      <c r="G138" s="353"/>
      <c r="H138" s="354"/>
      <c r="I138" s="354"/>
      <c r="J138" s="354"/>
      <c r="K138" s="354"/>
      <c r="L138" s="354"/>
      <c r="M138" s="354"/>
      <c r="N138" s="354"/>
      <c r="O138" s="354"/>
      <c r="P138" s="354"/>
      <c r="Q138" s="354"/>
      <c r="R138" s="354"/>
      <c r="S138" s="355"/>
      <c r="T138" s="354"/>
      <c r="U138" s="355"/>
      <c r="V138" s="355"/>
      <c r="W138" s="383"/>
      <c r="Y138" s="355">
        <f ca="1">SUM(Y139)</f>
        <v>132074.68350107403</v>
      </c>
      <c r="Z138" s="1"/>
      <c r="AA138" s="1"/>
      <c r="AL138" s="1"/>
    </row>
    <row r="139" spans="6:38" ht="15" customHeight="1">
      <c r="F139" s="363"/>
      <c r="G139" s="363" t="s">
        <v>95</v>
      </c>
      <c r="H139" s="296">
        <f ca="1">IF($H$9&lt;1,0,IF(INDIRECT("'"&amp;$H$3&amp;"'!H121")="Cost per facility",IFERROR(INDIRECT("'"&amp;$H$3&amp;"'!H$122")*INDIRECT("'"&amp;$H$3&amp;"'!H$95"),0), IF(INDIRECT("'"&amp;$H$3&amp;"'!H121")="Cost as % commodity value",IFERROR(INDIRECT("'"&amp;$H$3&amp;"'!H$123")*$H$13,0),0)))</f>
        <v>68518.335535384278</v>
      </c>
      <c r="I139" s="296"/>
      <c r="J139" s="296"/>
      <c r="K139" s="296">
        <f ca="1">IF($H$9&lt;2,0,IF(INDIRECT("'"&amp;$H$3&amp;"'!K121")="Cost per facility",IFERROR(INDIRECT("'"&amp;$H$3&amp;"'!K$122")*INDIRECT("'"&amp;$H$3&amp;"'!K$95"),0), IF(INDIRECT("'"&amp;$H$3&amp;"'!K121")="Cost as % commodity value",IFERROR(INDIRECT("'"&amp;$H$3&amp;"'!K$123")*$H$13,0),0)))</f>
        <v>13104</v>
      </c>
      <c r="L139" s="296"/>
      <c r="M139" s="296"/>
      <c r="N139" s="296">
        <f ca="1">IF($H$9&lt;3,0,IF(INDIRECT("'"&amp;$H$3&amp;"'!N121")="Cost per facility",IFERROR(INDIRECT("'"&amp;$H$3&amp;"'!N$122")*INDIRECT("'"&amp;$H$3&amp;"'!N$95"),0), IF(INDIRECT("'"&amp;$H$3&amp;"'!N121")="Cost as % commodity value",IFERROR(INDIRECT("'"&amp;$H$3&amp;"'!N$123")*$H$13,0),0)))</f>
        <v>50452.347965689762</v>
      </c>
      <c r="O139" s="296"/>
      <c r="P139" s="296"/>
      <c r="Q139" s="296">
        <f ca="1">IF($H$9&lt;4,0,IF(INDIRECT("'"&amp;$H$3&amp;"'!Q121")="Cost per facility",IFERROR(INDIRECT("'"&amp;$H$3&amp;"'!Q$122")*INDIRECT("'"&amp;$H$3&amp;"'!Q$95"),0), IF(INDIRECT("'"&amp;$H$3&amp;"'!Q121")="Cost as % commodity value",IFERROR(INDIRECT("'"&amp;$H$3&amp;"'!Q$123")*$H$13,0),0)))</f>
        <v>0</v>
      </c>
      <c r="R139" s="296"/>
      <c r="S139" s="361"/>
      <c r="T139" s="296">
        <f ca="1">IF($H$9&lt;5,0,IF(INDIRECT("'"&amp;$H$3&amp;"'!T121")="Cost per facility",IFERROR(INDIRECT("'"&amp;$H$3&amp;"'!T$122")*INDIRECT("'"&amp;$H$3&amp;"'!T$95"),0), IF(INDIRECT("'"&amp;$H$3&amp;"'!T121")="Cost as % commodity value",IFERROR(INDIRECT("'"&amp;$H$3&amp;"'!T$123")*$H$13,0),0)))</f>
        <v>0</v>
      </c>
      <c r="U139" s="361"/>
      <c r="V139" s="361"/>
      <c r="W139" s="1438">
        <f ca="1">IF($H$9&lt;6,0,IF(INDIRECT("'"&amp;$H$3&amp;"'!W121")="Cost per facility",IFERROR(INDIRECT("'"&amp;$H$3&amp;"'!W$122")*INDIRECT("'"&amp;$H$3&amp;"'!W$95"),0), IF(INDIRECT("'"&amp;$H$3&amp;"'!W121")="Cost as % commodity value",IFERROR(INDIRECT("'"&amp;$H$3&amp;"'!W$123")*$H$13,0),0)))</f>
        <v>0</v>
      </c>
      <c r="Y139" s="347">
        <f ca="1">SUM(H139:W139)</f>
        <v>132074.68350107403</v>
      </c>
      <c r="Z139" s="1"/>
      <c r="AA139" s="1"/>
      <c r="AL139" s="1"/>
    </row>
    <row r="140" spans="6:38" ht="15" customHeight="1">
      <c r="F140" s="109"/>
      <c r="G140" s="109"/>
      <c r="R140" s="246"/>
      <c r="S140" s="246"/>
      <c r="T140" s="246"/>
      <c r="U140" s="246"/>
      <c r="V140" s="246"/>
      <c r="W140" s="246"/>
      <c r="X140" s="1420"/>
      <c r="AL140" s="1"/>
    </row>
    <row r="141" spans="6:38" ht="15" customHeight="1">
      <c r="F141" s="109"/>
      <c r="G141" s="109"/>
      <c r="R141" s="246"/>
      <c r="S141" s="246"/>
      <c r="T141" s="246"/>
      <c r="U141" s="246"/>
      <c r="V141" s="246"/>
      <c r="W141" s="246"/>
      <c r="X141" s="1420"/>
      <c r="AL141" s="1"/>
    </row>
    <row r="142" spans="6:38" ht="15" customHeight="1">
      <c r="F142" s="109"/>
      <c r="G142" s="109"/>
      <c r="R142" s="246"/>
      <c r="S142" s="246"/>
      <c r="T142" s="246"/>
      <c r="U142" s="246"/>
      <c r="V142" s="246"/>
      <c r="W142" s="246"/>
      <c r="X142" s="1420"/>
      <c r="AL142" s="4"/>
    </row>
    <row r="143" spans="6:38" ht="15" customHeight="1">
      <c r="F143" s="109"/>
      <c r="G143" s="109"/>
      <c r="R143" s="246"/>
      <c r="S143" s="246"/>
      <c r="T143" s="246"/>
      <c r="U143" s="246"/>
      <c r="V143" s="246"/>
      <c r="W143" s="246"/>
      <c r="X143" s="1420"/>
    </row>
    <row r="144" spans="6:38" ht="15" customHeight="1">
      <c r="R144" s="246"/>
      <c r="S144" s="246"/>
      <c r="T144" s="246"/>
      <c r="U144" s="246"/>
      <c r="V144" s="246"/>
      <c r="W144" s="246"/>
      <c r="X144" s="1420"/>
    </row>
    <row r="145" spans="6:40" ht="15" customHeight="1">
      <c r="R145" s="246"/>
      <c r="S145" s="246"/>
      <c r="T145" s="246"/>
      <c r="U145" s="246"/>
      <c r="V145" s="246"/>
      <c r="W145" s="246"/>
      <c r="X145" s="1420"/>
    </row>
    <row r="146" spans="6:40" ht="15" customHeight="1">
      <c r="F146" s="2715" t="s">
        <v>461</v>
      </c>
      <c r="G146" s="2716"/>
      <c r="H146" s="140"/>
      <c r="I146" s="140"/>
      <c r="J146" s="140"/>
      <c r="K146" s="140"/>
      <c r="L146" s="140"/>
      <c r="M146" s="140"/>
      <c r="N146" s="140"/>
      <c r="O146" s="140"/>
      <c r="P146" s="140"/>
      <c r="Q146" s="140"/>
      <c r="R146" s="140"/>
      <c r="S146" s="140"/>
      <c r="T146" s="140"/>
      <c r="U146" s="140"/>
      <c r="V146" s="140"/>
      <c r="W146" s="1442"/>
      <c r="X146" s="1428"/>
      <c r="Y146" s="36"/>
      <c r="Z146" s="36"/>
      <c r="AA146" s="36"/>
      <c r="AB146" s="36"/>
      <c r="AC146" s="36"/>
      <c r="AD146" s="36"/>
      <c r="AE146" s="36"/>
      <c r="AF146" s="36"/>
      <c r="AG146" s="36"/>
      <c r="AH146" s="36"/>
      <c r="AI146" s="36"/>
      <c r="AJ146" s="36"/>
      <c r="AK146" s="36"/>
      <c r="AL146" s="36"/>
      <c r="AM146" s="36"/>
      <c r="AN146" s="36"/>
    </row>
    <row r="147" spans="6:40" ht="15" customHeight="1">
      <c r="F147" s="860"/>
      <c r="G147" s="861"/>
      <c r="H147" s="265"/>
      <c r="I147" s="265"/>
      <c r="J147" s="265"/>
      <c r="K147" s="265"/>
      <c r="L147" s="265"/>
      <c r="M147" s="265"/>
      <c r="N147" s="265"/>
      <c r="O147" s="265"/>
      <c r="P147" s="265"/>
      <c r="Q147" s="265"/>
      <c r="R147" s="265"/>
      <c r="S147" s="265"/>
      <c r="T147" s="265"/>
      <c r="U147" s="265"/>
      <c r="V147" s="265"/>
      <c r="W147" s="1417"/>
      <c r="X147" s="1428"/>
      <c r="Y147" s="36"/>
      <c r="Z147" s="36"/>
      <c r="AA147" s="36"/>
      <c r="AB147" s="36"/>
      <c r="AC147" s="36"/>
      <c r="AD147" s="36"/>
      <c r="AE147" s="36"/>
      <c r="AF147" s="36"/>
      <c r="AG147" s="36"/>
      <c r="AH147" s="36"/>
      <c r="AI147" s="36"/>
      <c r="AJ147" s="36"/>
      <c r="AK147" s="36"/>
      <c r="AL147" s="36"/>
      <c r="AM147" s="36"/>
      <c r="AN147" s="36"/>
    </row>
    <row r="148" spans="6:40" ht="48" customHeight="1">
      <c r="F148" s="1638" t="s">
        <v>2500</v>
      </c>
      <c r="G148" s="1639"/>
      <c r="H148" s="1640"/>
      <c r="I148" s="1640"/>
      <c r="J148" s="1640"/>
      <c r="K148" s="1506" t="str">
        <f ca="1">IF($H$9&gt;=2,INDIRECT("'"&amp;$H$3&amp;"'!J$130"),"")</f>
        <v>CMS  to  Regional WH</v>
      </c>
      <c r="L148" s="1506" t="str">
        <f t="shared" ref="L148:V148" ca="1" si="15">IF($H$9&gt;=1,"Tier 1","")</f>
        <v>Tier 1</v>
      </c>
      <c r="M148" s="1506" t="str">
        <f t="shared" ca="1" si="15"/>
        <v>Tier 1</v>
      </c>
      <c r="N148" s="1506" t="str">
        <f ca="1">IF($H$9&gt;=3,INDIRECT("'"&amp;$H$3&amp;"'!M$130"),"")</f>
        <v>Regional WH  to  Health Facility</v>
      </c>
      <c r="O148" s="1506" t="str">
        <f t="shared" ca="1" si="15"/>
        <v>Tier 1</v>
      </c>
      <c r="P148" s="1506" t="str">
        <f t="shared" ca="1" si="15"/>
        <v>Tier 1</v>
      </c>
      <c r="Q148" s="1507" t="str">
        <f ca="1">IF($H$9&gt;=4,INDIRECT("'"&amp;$H$3&amp;"'!P$130"),"")</f>
        <v/>
      </c>
      <c r="R148" s="1508" t="str">
        <f t="shared" ca="1" si="15"/>
        <v>Tier 1</v>
      </c>
      <c r="S148" s="1508" t="str">
        <f t="shared" ca="1" si="15"/>
        <v>Tier 1</v>
      </c>
      <c r="T148" s="1507" t="str">
        <f ca="1">IF($H$9&gt;=5,INDIRECT("'"&amp;$H$3&amp;"'!S$130"),"")</f>
        <v/>
      </c>
      <c r="U148" s="1508" t="str">
        <f t="shared" ca="1" si="15"/>
        <v>Tier 1</v>
      </c>
      <c r="V148" s="1508" t="str">
        <f t="shared" ca="1" si="15"/>
        <v>Tier 1</v>
      </c>
      <c r="W148" s="1507" t="str">
        <f ca="1">IF($H$9&gt;=6,INDIRECT("'"&amp;$H$3&amp;"'!V$130"),"")</f>
        <v/>
      </c>
      <c r="X148" s="1464"/>
    </row>
    <row r="149" spans="6:40" ht="15" customHeight="1" outlineLevel="1">
      <c r="F149" s="1641"/>
      <c r="G149" s="51" t="s">
        <v>414</v>
      </c>
      <c r="H149" s="836"/>
      <c r="I149" s="836"/>
      <c r="J149" s="836"/>
      <c r="K149" s="836">
        <f ca="1">IFERROR(IF(INDIRECT("'"&amp;$H$3&amp;"'!K133")=0,0,IF(INDIRECT("'"&amp;$H$3&amp;"'!K153")="Yes",'3_Outputs'!K64,IF(OR(AND(INDIRECT("'"&amp;$H$3&amp;"'!K133")&gt;1,INDIRECT("'"&amp;$H$3&amp;"'!K173")="Yes"),AND(INDIRECT("'"&amp;$H$3&amp;"'!K133")&gt;2,INDIRECT("'"&amp;$H$3&amp;"'!K193")="Yes")),'3_Outputs'!K57,'3_Outputs'!K52))),0)</f>
        <v>3079.125</v>
      </c>
      <c r="L149" s="836"/>
      <c r="M149" s="836"/>
      <c r="N149" s="836">
        <f ca="1">IFERROR(IF(INDIRECT("'"&amp;$H$3&amp;"'!N133")=0,0,IF(INDIRECT("'"&amp;$H$3&amp;"'!N153")="Yes",'3_Outputs'!N64,IF(OR(AND(INDIRECT("'"&amp;$H$3&amp;"'!N133")&gt;1,INDIRECT("'"&amp;$H$3&amp;"'!N173")="Yes"),AND(INDIRECT("'"&amp;$H$3&amp;"'!N133")&gt;2,INDIRECT("'"&amp;$H$3&amp;"'!N193")="Yes")),'3_Outputs'!N57,'3_Outputs'!N52))),0)</f>
        <v>8.5</v>
      </c>
      <c r="O149" s="836"/>
      <c r="P149" s="836"/>
      <c r="Q149" s="836">
        <f ca="1">IFERROR(IF(INDIRECT("'"&amp;$H$3&amp;"'!Q133")=0,0,IF(INDIRECT("'"&amp;$H$3&amp;"'!Q153")="Yes",'3_Outputs'!Q64,IF(OR(AND(INDIRECT("'"&amp;$H$3&amp;"'!Q133")&gt;1,INDIRECT("'"&amp;$H$3&amp;"'!Q173")="Yes"),AND(INDIRECT("'"&amp;$H$3&amp;"'!Q133")&gt;2,INDIRECT("'"&amp;$H$3&amp;"'!Q193")="Yes")),'3_Outputs'!Q57,'3_Outputs'!Q52))),0)</f>
        <v>0</v>
      </c>
      <c r="R149" s="836"/>
      <c r="S149" s="836"/>
      <c r="T149" s="836">
        <f ca="1">IFERROR(IF(INDIRECT("'"&amp;$H$3&amp;"'!T133")=0,0,IF(INDIRECT("'"&amp;$H$3&amp;"'!T153")="Yes",'3_Outputs'!T64,IF(OR(AND(INDIRECT("'"&amp;$H$3&amp;"'!T133")&gt;1,INDIRECT("'"&amp;$H$3&amp;"'!T173")="Yes"),AND(INDIRECT("'"&amp;$H$3&amp;"'!T133")&gt;2,INDIRECT("'"&amp;$H$3&amp;"'!T193")="Yes")),'3_Outputs'!T57,'3_Outputs'!T52))),0)</f>
        <v>0</v>
      </c>
      <c r="U149" s="836"/>
      <c r="V149" s="836"/>
      <c r="W149" s="836">
        <f ca="1">IFERROR(IF(INDIRECT("'"&amp;$H$3&amp;"'!W133")=0,0,IF(INDIRECT("'"&amp;$H$3&amp;"'!W153")="Yes",'3_Outputs'!W64,IF(OR(AND(INDIRECT("'"&amp;$H$3&amp;"'!W133")&gt;1,INDIRECT("'"&amp;$H$3&amp;"'!W173")="Yes"),AND(INDIRECT("'"&amp;$H$3&amp;"'!W133")&gt;2,INDIRECT("'"&amp;$H$3&amp;"'!W193")="Yes")),'3_Outputs'!W57,'3_Outputs'!W52))),0)</f>
        <v>0</v>
      </c>
      <c r="X149" s="1465"/>
      <c r="AK149" s="1"/>
    </row>
    <row r="150" spans="6:40" ht="15" customHeight="1" outlineLevel="1">
      <c r="F150" s="1642" t="s">
        <v>387</v>
      </c>
      <c r="G150" s="1614"/>
      <c r="H150" s="848"/>
      <c r="I150" s="848"/>
      <c r="J150" s="848"/>
      <c r="K150" s="848"/>
      <c r="L150" s="848"/>
      <c r="M150" s="848"/>
      <c r="N150" s="848"/>
      <c r="O150" s="848"/>
      <c r="P150" s="848"/>
      <c r="Q150" s="1643"/>
      <c r="R150" s="1644"/>
      <c r="S150" s="1644"/>
      <c r="T150" s="1643"/>
      <c r="U150" s="1644"/>
      <c r="V150" s="1644"/>
      <c r="W150" s="1643"/>
      <c r="X150" s="1466"/>
      <c r="AK150" s="1"/>
    </row>
    <row r="151" spans="6:40" ht="15" customHeight="1" outlineLevel="1">
      <c r="F151" s="1645"/>
      <c r="G151" s="51" t="s">
        <v>390</v>
      </c>
      <c r="H151" s="836"/>
      <c r="I151" s="836"/>
      <c r="J151" s="836"/>
      <c r="K151" s="836">
        <f ca="1">IFERROR(((K$64*INDIRECT("'"&amp;$H$3&amp;"'!K$95"))*(IF(COUNTIF(INDIRECT("'"&amp;$H$3&amp;"'!K136"),"Public Transport*")=1,K156,K168)/INDIRECT("'"&amp;$H$3&amp;"'!K$95")))/IF(COUNTIF(INDIRECT("'"&amp;$H$3&amp;"'!K136"),"Public Transport*")=1,K154,K170),0)</f>
        <v>0</v>
      </c>
      <c r="L151" s="836"/>
      <c r="M151" s="836"/>
      <c r="N151" s="836">
        <f ca="1">IFERROR(((N$64*INDIRECT("'"&amp;$H$3&amp;"'!N$95"))*(IF(COUNTIF(INDIRECT("'"&amp;$H$3&amp;"'!N136"),"Public Transport*")=1,N156,N168)/INDIRECT("'"&amp;$H$3&amp;"'!N$95")))/IF(COUNTIF(INDIRECT("'"&amp;$H$3&amp;"'!N136"),"Public Transport*")=1,N154,N170),0)</f>
        <v>0</v>
      </c>
      <c r="O151" s="836"/>
      <c r="P151" s="836"/>
      <c r="Q151" s="836">
        <f ca="1">IFERROR(((Q$64*INDIRECT("'"&amp;$H$3&amp;"'!Q$95"))*(IF(COUNTIF(INDIRECT("'"&amp;$H$3&amp;"'!Q136"),"Public Transport*")=1,Q156,Q168)/INDIRECT("'"&amp;$H$3&amp;"'!Q$95")))/IF(COUNTIF(INDIRECT("'"&amp;$H$3&amp;"'!Q136"),"Public Transport*")=1,Q154,Q170),0)</f>
        <v>0</v>
      </c>
      <c r="R151" s="1646"/>
      <c r="S151" s="1646"/>
      <c r="T151" s="836">
        <f ca="1">IFERROR(((T$64*INDIRECT("'"&amp;$H$3&amp;"'!T$95"))*(IF(COUNTIF(INDIRECT("'"&amp;$H$3&amp;"'!T136"),"Public Transport*")=1,T156,T168)/INDIRECT("'"&amp;$H$3&amp;"'!T$95")))/IF(COUNTIF(INDIRECT("'"&amp;$H$3&amp;"'!T136"),"Public Transport*")=1,T154,T170),0)</f>
        <v>0</v>
      </c>
      <c r="U151" s="1646"/>
      <c r="V151" s="1646"/>
      <c r="W151" s="836">
        <f ca="1">IFERROR(((W$64*INDIRECT("'"&amp;$H$3&amp;"'!W$95"))*(IF(COUNTIF(INDIRECT("'"&amp;$H$3&amp;"'!W136"),"Public Transport*")=1,W156,W168)/INDIRECT("'"&amp;$H$3&amp;"'!W$95")))/IF(COUNTIF(INDIRECT("'"&amp;$H$3&amp;"'!W136"),"Public Transport*")=1,W154,W170),0)</f>
        <v>0</v>
      </c>
      <c r="X151" s="1465"/>
      <c r="AK151" s="1"/>
    </row>
    <row r="152" spans="6:40" ht="15" customHeight="1" outlineLevel="1">
      <c r="F152" s="1645"/>
      <c r="G152" s="51" t="s">
        <v>391</v>
      </c>
      <c r="H152" s="836"/>
      <c r="I152" s="836"/>
      <c r="J152" s="836"/>
      <c r="K152" s="836">
        <f ca="1">IFERROR(IF(COUNTIF(INDIRECT("'"&amp;$H$3&amp;"'!K136"),"Public Transport*")=1,(K155/INDIRECT("'"&amp;$H$3&amp;"'!$H$9")),(K171/INDIRECT("'"&amp;$H$3&amp;"'!$H$9"))),0)</f>
        <v>0.89166666666666672</v>
      </c>
      <c r="L152" s="836"/>
      <c r="M152" s="836"/>
      <c r="N152" s="836">
        <f ca="1">IFERROR(IF(COUNTIF(INDIRECT("'"&amp;$H$3&amp;"'!N136"),"Public Transport*")=1,(N155/INDIRECT("'"&amp;$H$3&amp;"'!$H$9")),(N171/INDIRECT("'"&amp;$H$3&amp;"'!$H$9"))),0)</f>
        <v>2.8708333333333331</v>
      </c>
      <c r="O152" s="836"/>
      <c r="P152" s="836"/>
      <c r="Q152" s="836">
        <f ca="1">IFERROR(IF(COUNTIF(INDIRECT("'"&amp;$H$3&amp;"'!Q136"),"Public Transport*")=1,(Q155/INDIRECT("'"&amp;$H$3&amp;"'!$H$9")),(Q171/INDIRECT("'"&amp;$H$3&amp;"'!$H$9"))),0)</f>
        <v>0</v>
      </c>
      <c r="R152" s="1646"/>
      <c r="S152" s="1646"/>
      <c r="T152" s="836">
        <f ca="1">IFERROR(IF(COUNTIF(INDIRECT("'"&amp;$H$3&amp;"'!T136"),"Public Transport*")=1,(T155/INDIRECT("'"&amp;$H$3&amp;"'!$H$9")),(T171/INDIRECT("'"&amp;$H$3&amp;"'!$H$9"))),0)</f>
        <v>0</v>
      </c>
      <c r="U152" s="1646"/>
      <c r="V152" s="1646"/>
      <c r="W152" s="836">
        <f ca="1">IFERROR(IF(COUNTIF(INDIRECT("'"&amp;$H$3&amp;"'!W136"),"Public Transport*")=1,(W155/INDIRECT("'"&amp;$H$3&amp;"'!$H$9")),(W171/INDIRECT("'"&amp;$H$3&amp;"'!$H$9"))),0)</f>
        <v>0</v>
      </c>
      <c r="X152" s="1465"/>
      <c r="AK152" s="1"/>
    </row>
    <row r="153" spans="6:40" ht="15" customHeight="1" outlineLevel="1">
      <c r="F153" s="1647" t="s">
        <v>149</v>
      </c>
      <c r="G153" s="1614"/>
      <c r="H153" s="848"/>
      <c r="I153" s="848"/>
      <c r="J153" s="848"/>
      <c r="K153" s="848"/>
      <c r="L153" s="848"/>
      <c r="M153" s="848"/>
      <c r="N153" s="848"/>
      <c r="O153" s="1644"/>
      <c r="P153" s="1644"/>
      <c r="Q153" s="1648"/>
      <c r="R153" s="1646"/>
      <c r="S153" s="1646"/>
      <c r="T153" s="1648"/>
      <c r="U153" s="1646"/>
      <c r="V153" s="1646"/>
      <c r="W153" s="1648"/>
      <c r="X153" s="1467"/>
      <c r="AK153" s="1"/>
    </row>
    <row r="154" spans="6:40" ht="15" customHeight="1" outlineLevel="1">
      <c r="F154" s="1649"/>
      <c r="G154" s="51" t="s">
        <v>146</v>
      </c>
      <c r="H154" s="837"/>
      <c r="I154" s="837"/>
      <c r="J154" s="837"/>
      <c r="K154" s="837">
        <f ca="1">IFERROR(IF(COUNTIF(INDIRECT("'"&amp;$H$3&amp;"'!K136"),"Public Transport*")=1,IF(INDIRECT("'"&amp;$H$3&amp;"'!K143")="Route-based",K162*INDIRECT("'"&amp;$H$3&amp;"'!K$96"),IF(INDIRECT("'"&amp;$H$3&amp;"'!K143")="Point-to-point",K165*INDIRECT("'"&amp;$H$3&amp;"'!K$96"),0)),0),0)</f>
        <v>0</v>
      </c>
      <c r="L154" s="837"/>
      <c r="M154" s="837"/>
      <c r="N154" s="837">
        <f ca="1">IFERROR(IF(COUNTIF(INDIRECT("'"&amp;$H$3&amp;"'!N136"),"Public Transport*")=1,IF(INDIRECT("'"&amp;$H$3&amp;"'!N143")="Route-based",N162*INDIRECT("'"&amp;$H$3&amp;"'!N$96"),IF(INDIRECT("'"&amp;$H$3&amp;"'!N143")="Point-to-point",N165*INDIRECT("'"&amp;$H$3&amp;"'!N$96"),0)),0),0)</f>
        <v>0</v>
      </c>
      <c r="O154" s="837"/>
      <c r="P154" s="837"/>
      <c r="Q154" s="837">
        <f ca="1">IFERROR(IF(COUNTIF(INDIRECT("'"&amp;$H$3&amp;"'!Q136"),"Public Transport*")=1,IF(INDIRECT("'"&amp;$H$3&amp;"'!Q143")="Route-based",Q162*INDIRECT("'"&amp;$H$3&amp;"'!Q$96"),IF(INDIRECT("'"&amp;$H$3&amp;"'!Q143")="Point-to-point",Q165*INDIRECT("'"&amp;$H$3&amp;"'!Q$96"),0)),0),0)</f>
        <v>0</v>
      </c>
      <c r="R154" s="1650"/>
      <c r="S154" s="1650"/>
      <c r="T154" s="837">
        <f ca="1">IFERROR(IF(COUNTIF(INDIRECT("'"&amp;$H$3&amp;"'!T136"),"Public Transport*")=1,IF(INDIRECT("'"&amp;$H$3&amp;"'!T143")="Route-based",T162*INDIRECT("'"&amp;$H$3&amp;"'!T$96"),IF(INDIRECT("'"&amp;$H$3&amp;"'!T143")="Point-to-point",T165*INDIRECT("'"&amp;$H$3&amp;"'!T$96"),0)),0),0)</f>
        <v>0</v>
      </c>
      <c r="U154" s="1650"/>
      <c r="V154" s="1650"/>
      <c r="W154" s="837">
        <f ca="1">IFERROR(IF(COUNTIF(INDIRECT("'"&amp;$H$3&amp;"'!W136"),"Public Transport*")=1,IF(INDIRECT("'"&amp;$H$3&amp;"'!W143")="Route-based",W162*INDIRECT("'"&amp;$H$3&amp;"'!W$96"),IF(INDIRECT("'"&amp;$H$3&amp;"'!W143")="Point-to-point",W165*INDIRECT("'"&amp;$H$3&amp;"'!W$96"),0)),0),0)</f>
        <v>0</v>
      </c>
      <c r="X154" s="1468"/>
      <c r="Y154" s="36"/>
      <c r="Z154" s="36"/>
      <c r="AA154" s="36"/>
      <c r="AB154" s="36"/>
      <c r="AC154" s="36"/>
      <c r="AD154" s="36"/>
      <c r="AE154" s="36"/>
      <c r="AF154" s="36"/>
      <c r="AG154" s="36"/>
      <c r="AH154" s="36"/>
      <c r="AI154" s="36"/>
      <c r="AJ154" s="36"/>
      <c r="AK154" s="242"/>
      <c r="AL154" s="36"/>
      <c r="AM154" s="36"/>
      <c r="AN154" s="36"/>
    </row>
    <row r="155" spans="6:40" ht="15" customHeight="1" outlineLevel="1">
      <c r="F155" s="1649"/>
      <c r="G155" s="51" t="s">
        <v>147</v>
      </c>
      <c r="H155" s="837"/>
      <c r="I155" s="837"/>
      <c r="J155" s="837"/>
      <c r="K155" s="837">
        <f ca="1">IFERROR(IF(INDIRECT("'"&amp;$H$3&amp;"'!K143")="Route-based",K163*INDIRECT("'"&amp;$H$3&amp;"'!K$96"),IF(INDIRECT("'"&amp;$H$3&amp;"'!K143")="Point-to-point",K166*INDIRECT("'"&amp;$H$3&amp;"'!K$96"),0)),0)</f>
        <v>0</v>
      </c>
      <c r="L155" s="837"/>
      <c r="M155" s="837"/>
      <c r="N155" s="837">
        <f ca="1">IFERROR(IF(INDIRECT("'"&amp;$H$3&amp;"'!N143")="Route-based",N163*INDIRECT("'"&amp;$H$3&amp;"'!N$96"),IF(INDIRECT("'"&amp;$H$3&amp;"'!N143")="Point-to-point",N166*INDIRECT("'"&amp;$H$3&amp;"'!N$96"),0)),0)</f>
        <v>0</v>
      </c>
      <c r="O155" s="837"/>
      <c r="P155" s="837"/>
      <c r="Q155" s="837">
        <f ca="1">IFERROR(IF(INDIRECT("'"&amp;$H$3&amp;"'!Q143")="Route-based",Q163*INDIRECT("'"&amp;$H$3&amp;"'!Q$96"),IF(INDIRECT("'"&amp;$H$3&amp;"'!Q143")="Point-to-point",Q166*INDIRECT("'"&amp;$H$3&amp;"'!Q$96"),0)),0)</f>
        <v>0</v>
      </c>
      <c r="R155" s="1650"/>
      <c r="S155" s="1650"/>
      <c r="T155" s="837">
        <f ca="1">IFERROR(IF(INDIRECT("'"&amp;$H$3&amp;"'!T143")="Route-based",T163*INDIRECT("'"&amp;$H$3&amp;"'!T$96"),IF(INDIRECT("'"&amp;$H$3&amp;"'!T143")="Point-to-point",T166*INDIRECT("'"&amp;$H$3&amp;"'!T$96"),0)),0)</f>
        <v>0</v>
      </c>
      <c r="U155" s="1650"/>
      <c r="V155" s="1650"/>
      <c r="W155" s="837">
        <f ca="1">IFERROR(IF(INDIRECT("'"&amp;$H$3&amp;"'!W143")="Route-based",W163*INDIRECT("'"&amp;$H$3&amp;"'!W$96"),IF(INDIRECT("'"&amp;$H$3&amp;"'!W143")="Point-to-point",W166*INDIRECT("'"&amp;$H$3&amp;"'!W$96"),0)),0)</f>
        <v>0</v>
      </c>
      <c r="X155" s="1468"/>
      <c r="Y155" s="36"/>
      <c r="Z155" s="36"/>
      <c r="AA155" s="36"/>
      <c r="AB155" s="36"/>
      <c r="AC155" s="36"/>
      <c r="AD155" s="36"/>
      <c r="AE155" s="36"/>
      <c r="AF155" s="36"/>
      <c r="AG155" s="36"/>
      <c r="AH155" s="36"/>
      <c r="AI155" s="36"/>
      <c r="AJ155" s="36"/>
      <c r="AK155" s="242"/>
      <c r="AL155" s="36"/>
      <c r="AM155" s="36"/>
      <c r="AN155" s="36"/>
    </row>
    <row r="156" spans="6:40" ht="15" customHeight="1" outlineLevel="1">
      <c r="F156" s="1649"/>
      <c r="G156" s="51" t="s">
        <v>142</v>
      </c>
      <c r="H156" s="1651"/>
      <c r="I156" s="1651"/>
      <c r="J156" s="1651"/>
      <c r="K156" s="1651">
        <f ca="1">IFERROR(IF(COUNTIF(INDIRECT("'"&amp;$H$3&amp;"'!K136"),"Public Transport*")=1,ROUND(INDIRECT("'"&amp;$H$3&amp;"'!K$95")*INDIRECT("'"&amp;$H$3&amp;"'!K135"),0),0),0)</f>
        <v>0</v>
      </c>
      <c r="L156" s="1651"/>
      <c r="M156" s="1651"/>
      <c r="N156" s="1651">
        <f ca="1">IFERROR(IF(COUNTIF(INDIRECT("'"&amp;$H$3&amp;"'!N136"),"Public Transport*")=1,ROUND(INDIRECT("'"&amp;$H$3&amp;"'!N$95")*INDIRECT("'"&amp;$H$3&amp;"'!N135"),0),0),0)</f>
        <v>0</v>
      </c>
      <c r="O156" s="1651"/>
      <c r="P156" s="1651"/>
      <c r="Q156" s="1651">
        <f ca="1">IFERROR(IF(COUNTIF(INDIRECT("'"&amp;$H$3&amp;"'!Q136"),"Public Transport*")=1,ROUND(INDIRECT("'"&amp;$H$3&amp;"'!Q$95")*INDIRECT("'"&amp;$H$3&amp;"'!Q135"),0),0),0)</f>
        <v>0</v>
      </c>
      <c r="R156" s="1652"/>
      <c r="S156" s="1652"/>
      <c r="T156" s="1651">
        <f ca="1">IFERROR(IF(COUNTIF(INDIRECT("'"&amp;$H$3&amp;"'!T136"),"Public Transport*")=1,ROUND(INDIRECT("'"&amp;$H$3&amp;"'!T$95")*INDIRECT("'"&amp;$H$3&amp;"'!T135"),0),0),0)</f>
        <v>0</v>
      </c>
      <c r="U156" s="1652"/>
      <c r="V156" s="1652"/>
      <c r="W156" s="1651">
        <f ca="1">IFERROR(IF(COUNTIF(INDIRECT("'"&amp;$H$3&amp;"'!W136"),"Public Transport*")=1,ROUND(INDIRECT("'"&amp;$H$3&amp;"'!W$95")*INDIRECT("'"&amp;$H$3&amp;"'!W135"),0),0),0)</f>
        <v>0</v>
      </c>
      <c r="X156" s="1466"/>
      <c r="Y156" s="36"/>
      <c r="Z156" s="36"/>
      <c r="AA156" s="36"/>
      <c r="AB156" s="36"/>
      <c r="AC156" s="36"/>
      <c r="AD156" s="36"/>
      <c r="AE156" s="36"/>
      <c r="AF156" s="36"/>
      <c r="AG156" s="36"/>
      <c r="AH156" s="36"/>
      <c r="AI156" s="36"/>
      <c r="AJ156" s="36"/>
      <c r="AK156" s="36"/>
      <c r="AL156" s="36"/>
      <c r="AM156" s="36"/>
      <c r="AN156" s="36" t="s">
        <v>190</v>
      </c>
    </row>
    <row r="157" spans="6:40" ht="15" customHeight="1" outlineLevel="1">
      <c r="F157" s="1649"/>
      <c r="G157" s="51" t="s">
        <v>163</v>
      </c>
      <c r="H157" s="836"/>
      <c r="I157" s="836"/>
      <c r="J157" s="836"/>
      <c r="K157" s="836">
        <f ca="1">IFERROR(INDEX(INDIRECT("'"&amp;$H$3&amp;"'!$H$43:$H$78"),MATCH(INDIRECT("'"&amp;$H$3&amp;"'!K136")&amp;"Maximum delivery capacity (m^3)", INDIRECT("'"&amp;$H$3&amp;"'!$F$43:$F$78"),0))/('3_Outputs'!K$149/INDIRECT("'"&amp;$H$3&amp;"'!K$96")),0)</f>
        <v>0</v>
      </c>
      <c r="L157" s="836"/>
      <c r="M157" s="836"/>
      <c r="N157" s="836">
        <f ca="1">IFERROR(INDEX(INDIRECT("'"&amp;$H$3&amp;"'!$H$43:$H$78"),MATCH(INDIRECT("'"&amp;$H$3&amp;"'!N136")&amp;"Maximum delivery capacity (m^3)", INDIRECT("'"&amp;$H$3&amp;"'!$F$43:$F$78"),0))/('3_Outputs'!N$149/INDIRECT("'"&amp;$H$3&amp;"'!N$96")),0)</f>
        <v>0</v>
      </c>
      <c r="O157" s="836"/>
      <c r="P157" s="836"/>
      <c r="Q157" s="836">
        <f ca="1">IFERROR(INDEX(INDIRECT("'"&amp;$H$3&amp;"'!$H$43:$H$78"),MATCH(INDIRECT("'"&amp;$H$3&amp;"'!Q136")&amp;"Maximum delivery capacity (m^3)", INDIRECT("'"&amp;$H$3&amp;"'!$F$43:$F$78"),0))/('3_Outputs'!Q$149/INDIRECT("'"&amp;$H$3&amp;"'!Q$96")),0)</f>
        <v>0</v>
      </c>
      <c r="R157" s="836"/>
      <c r="S157" s="836"/>
      <c r="T157" s="836">
        <f ca="1">IFERROR(INDEX(INDIRECT("'"&amp;$H$3&amp;"'!$H$43:$H$78"),MATCH(INDIRECT("'"&amp;$H$3&amp;"'!T136")&amp;"Maximum delivery capacity (m^3)", INDIRECT("'"&amp;$H$3&amp;"'!$F$43:$F$78"),0))/('3_Outputs'!T$149/INDIRECT("'"&amp;$H$3&amp;"'!T$96")),0)</f>
        <v>0</v>
      </c>
      <c r="U157" s="836"/>
      <c r="V157" s="836"/>
      <c r="W157" s="836">
        <f ca="1">IFERROR(INDEX(INDIRECT("'"&amp;$H$3&amp;"'!$H$43:$H$78"),MATCH(INDIRECT("'"&amp;$H$3&amp;"'!W136")&amp;"Maximum delivery capacity (m^3)", INDIRECT("'"&amp;$H$3&amp;"'!$F$43:$F$78"),0))/('3_Outputs'!W$149/INDIRECT("'"&amp;$H$3&amp;"'!W$96")),0)</f>
        <v>0</v>
      </c>
      <c r="X157" s="1469"/>
      <c r="Y157" s="36"/>
      <c r="Z157" s="36"/>
      <c r="AA157" s="36"/>
      <c r="AB157" s="36"/>
      <c r="AC157" s="36"/>
      <c r="AD157" s="36"/>
      <c r="AE157" s="36"/>
      <c r="AF157" s="36"/>
      <c r="AG157" s="36"/>
      <c r="AH157" s="36"/>
      <c r="AI157" s="36"/>
      <c r="AJ157" s="36"/>
      <c r="AK157" s="36"/>
      <c r="AL157" s="36"/>
      <c r="AM157" s="36"/>
      <c r="AN157" s="36"/>
    </row>
    <row r="158" spans="6:40" ht="15" customHeight="1" outlineLevel="1">
      <c r="F158" s="1649"/>
      <c r="G158" s="1613" t="s">
        <v>150</v>
      </c>
      <c r="H158" s="842"/>
      <c r="I158" s="842"/>
      <c r="J158" s="842"/>
      <c r="K158" s="842"/>
      <c r="L158" s="842"/>
      <c r="M158" s="842"/>
      <c r="N158" s="842"/>
      <c r="O158" s="842"/>
      <c r="P158" s="842"/>
      <c r="Q158" s="842"/>
      <c r="R158" s="1650"/>
      <c r="S158" s="1650"/>
      <c r="T158" s="842"/>
      <c r="U158" s="1650"/>
      <c r="V158" s="1650"/>
      <c r="W158" s="842"/>
      <c r="X158" s="1470"/>
      <c r="Y158" s="36"/>
      <c r="Z158" s="36"/>
      <c r="AA158" s="36"/>
      <c r="AB158" s="36"/>
      <c r="AC158" s="36"/>
      <c r="AD158" s="36"/>
      <c r="AE158" s="36"/>
      <c r="AF158" s="36"/>
      <c r="AG158" s="36"/>
      <c r="AH158" s="36"/>
      <c r="AI158" s="36"/>
      <c r="AJ158" s="36"/>
      <c r="AK158" s="36"/>
      <c r="AL158" s="36"/>
      <c r="AM158" s="36"/>
      <c r="AN158" s="36"/>
    </row>
    <row r="159" spans="6:40" ht="15" customHeight="1" outlineLevel="1">
      <c r="F159" s="1649"/>
      <c r="G159" s="51" t="s">
        <v>140</v>
      </c>
      <c r="H159" s="836"/>
      <c r="I159" s="836"/>
      <c r="J159" s="836"/>
      <c r="K159" s="836">
        <f ca="1">IFERROR(ROUND(INDIRECT("'"&amp;$H$3&amp;"'!$H$10")/(((1/60)*(INDIRECT("'"&amp;$H$3&amp;"'!K148")+INDIRECT("'"&amp;$H$3&amp;"'!$H$19")*(INDIRECT("'"&amp;$H$3&amp;"'!K149")+(INDIRECT("'"&amp;$H$3&amp;"'!K150")*('3_Outputs'!K$149/INDIRECT("'"&amp;$H$3&amp;"'!K$96")/INDIRECT("'"&amp;$H$3&amp;"'!$H$19"))))))+INDEX(INDIRECT("'"&amp;$H$3&amp;"'!$H$43:$H$78"),MATCH(INDIRECT("'"&amp;$H$3&amp;"'!K136")&amp;"Average duration (hrs) per trip",INDIRECT("'"&amp;$H$3&amp;"'!$F$43:$F$78"),0))),1),0)</f>
        <v>0</v>
      </c>
      <c r="L159" s="836"/>
      <c r="M159" s="836"/>
      <c r="N159" s="836">
        <f ca="1">IFERROR(ROUND(INDIRECT("'"&amp;$H$3&amp;"'!$H$10")/(((1/60)*(INDIRECT("'"&amp;$H$3&amp;"'!N148")+INDIRECT("'"&amp;$H$3&amp;"'!$H$19")*(INDIRECT("'"&amp;$H$3&amp;"'!N149")+(INDIRECT("'"&amp;$H$3&amp;"'!N150")*('3_Outputs'!N$149/INDIRECT("'"&amp;$H$3&amp;"'!N$96")/INDIRECT("'"&amp;$H$3&amp;"'!$H$19"))))))+INDEX(INDIRECT("'"&amp;$H$3&amp;"'!$H$43:$H$78"),MATCH(INDIRECT("'"&amp;$H$3&amp;"'!N136")&amp;"Average duration (hrs) per trip",INDIRECT("'"&amp;$H$3&amp;"'!$F$43:$F$78"),0))),1),0)</f>
        <v>0</v>
      </c>
      <c r="O159" s="836"/>
      <c r="P159" s="836"/>
      <c r="Q159" s="836">
        <f ca="1">IFERROR(ROUND(INDIRECT("'"&amp;$H$3&amp;"'!$H$10")/(((1/60)*(INDIRECT("'"&amp;$H$3&amp;"'!Q148")+INDIRECT("'"&amp;$H$3&amp;"'!$H$19")*(INDIRECT("'"&amp;$H$3&amp;"'!Q149")+(INDIRECT("'"&amp;$H$3&amp;"'!Q150")*('3_Outputs'!Q$149/INDIRECT("'"&amp;$H$3&amp;"'!Q$96")/INDIRECT("'"&amp;$H$3&amp;"'!$H$19"))))))+INDEX(INDIRECT("'"&amp;$H$3&amp;"'!$H$43:$H$78"),MATCH(INDIRECT("'"&amp;$H$3&amp;"'!Q136")&amp;"Average duration (hrs) per trip",INDIRECT("'"&amp;$H$3&amp;"'!$F$43:$F$78"),0))),1),0)</f>
        <v>0</v>
      </c>
      <c r="R159" s="836"/>
      <c r="S159" s="836"/>
      <c r="T159" s="836">
        <f ca="1">IFERROR(ROUND(INDIRECT("'"&amp;$H$3&amp;"'!$H$10")/(((1/60)*(INDIRECT("'"&amp;$H$3&amp;"'!T148")+INDIRECT("'"&amp;$H$3&amp;"'!$H$19")*(INDIRECT("'"&amp;$H$3&amp;"'!T149")+(INDIRECT("'"&amp;$H$3&amp;"'!T150")*('3_Outputs'!T$149/INDIRECT("'"&amp;$H$3&amp;"'!T$96")/INDIRECT("'"&amp;$H$3&amp;"'!$H$19"))))))+INDEX(INDIRECT("'"&amp;$H$3&amp;"'!$H$43:$H$78"),MATCH(INDIRECT("'"&amp;$H$3&amp;"'!T136")&amp;"Average duration (hrs) per trip",INDIRECT("'"&amp;$H$3&amp;"'!$F$43:$F$78"),0))),1),0)</f>
        <v>0</v>
      </c>
      <c r="U159" s="836"/>
      <c r="V159" s="836"/>
      <c r="W159" s="836">
        <f ca="1">IFERROR(ROUND(INDIRECT("'"&amp;$H$3&amp;"'!$H$10")/(((1/60)*(INDIRECT("'"&amp;$H$3&amp;"'!W148")+INDIRECT("'"&amp;$H$3&amp;"'!$H$19")*(INDIRECT("'"&amp;$H$3&amp;"'!W149")+(INDIRECT("'"&amp;$H$3&amp;"'!W150")*('3_Outputs'!W$149/INDIRECT("'"&amp;$H$3&amp;"'!W$96")/INDIRECT("'"&amp;$H$3&amp;"'!$H$19"))))))+INDEX(INDIRECT("'"&amp;$H$3&amp;"'!$H$43:$H$78"),MATCH(INDIRECT("'"&amp;$H$3&amp;"'!W136")&amp;"Average duration (hrs) per trip",INDIRECT("'"&amp;$H$3&amp;"'!$F$43:$F$78"),0))),1),0)</f>
        <v>0</v>
      </c>
      <c r="X159" s="1469"/>
      <c r="Y159" s="36"/>
      <c r="Z159" s="36"/>
      <c r="AA159" s="36"/>
      <c r="AB159" s="36"/>
      <c r="AC159" s="36"/>
      <c r="AD159" s="36"/>
      <c r="AE159" s="36"/>
      <c r="AF159" s="36"/>
      <c r="AG159" s="36"/>
      <c r="AH159" s="36"/>
      <c r="AI159" s="36"/>
      <c r="AJ159" s="36"/>
      <c r="AK159" s="36"/>
      <c r="AL159" s="36"/>
      <c r="AM159" s="36"/>
      <c r="AN159" s="36"/>
    </row>
    <row r="160" spans="6:40" ht="15" customHeight="1" outlineLevel="1">
      <c r="F160" s="1649"/>
      <c r="G160" s="51" t="s">
        <v>141</v>
      </c>
      <c r="H160" s="836"/>
      <c r="I160" s="836"/>
      <c r="J160" s="836"/>
      <c r="K160" s="836">
        <f ca="1">IFERROR(MIN(ROUND(K159*INDIRECT("'"&amp;$H$3&amp;"'!K144"),0),K157),0)</f>
        <v>0</v>
      </c>
      <c r="L160" s="836"/>
      <c r="M160" s="836"/>
      <c r="N160" s="836">
        <f ca="1">IFERROR(MIN(ROUND(N159*INDIRECT("'"&amp;$H$3&amp;"'!N144"),0),N157),0)</f>
        <v>0</v>
      </c>
      <c r="O160" s="836"/>
      <c r="P160" s="836"/>
      <c r="Q160" s="836">
        <f ca="1">IFERROR(MIN(ROUND(Q159*INDIRECT("'"&amp;$H$3&amp;"'!Q144"),0),Q157),0)</f>
        <v>0</v>
      </c>
      <c r="R160" s="836"/>
      <c r="S160" s="836"/>
      <c r="T160" s="836">
        <f ca="1">IFERROR(MIN(ROUND(T159*INDIRECT("'"&amp;$H$3&amp;"'!T144"),0),T157),0)</f>
        <v>0</v>
      </c>
      <c r="U160" s="836"/>
      <c r="V160" s="836"/>
      <c r="W160" s="836">
        <f ca="1">IFERROR(MIN(ROUND(W159*INDIRECT("'"&amp;$H$3&amp;"'!W144"),0),W157),0)</f>
        <v>0</v>
      </c>
      <c r="X160" s="1469"/>
      <c r="Y160" s="36"/>
      <c r="Z160" s="36"/>
      <c r="AA160" s="36"/>
      <c r="AB160" s="36"/>
      <c r="AC160" s="36"/>
      <c r="AD160" s="36"/>
      <c r="AE160" s="36"/>
      <c r="AF160" s="36"/>
      <c r="AG160" s="36"/>
      <c r="AH160" s="36"/>
      <c r="AI160" s="36"/>
      <c r="AJ160" s="36"/>
      <c r="AK160" s="36"/>
      <c r="AL160" s="36"/>
      <c r="AM160" s="36"/>
      <c r="AN160" s="36"/>
    </row>
    <row r="161" spans="6:40" ht="15" customHeight="1" outlineLevel="1">
      <c r="F161" s="1649"/>
      <c r="G161" s="51" t="s">
        <v>143</v>
      </c>
      <c r="H161" s="836"/>
      <c r="I161" s="836"/>
      <c r="J161" s="836"/>
      <c r="K161" s="836">
        <f ca="1">IFERROR(ROUNDUP(K156/K160,0),0)</f>
        <v>0</v>
      </c>
      <c r="L161" s="836"/>
      <c r="M161" s="836"/>
      <c r="N161" s="836">
        <f ca="1">IFERROR(ROUNDUP(N156/N160,0),0)</f>
        <v>0</v>
      </c>
      <c r="O161" s="836"/>
      <c r="P161" s="836"/>
      <c r="Q161" s="836">
        <f ca="1">IFERROR(ROUNDUP(Q156/Q160,0),0)</f>
        <v>0</v>
      </c>
      <c r="R161" s="836"/>
      <c r="S161" s="836"/>
      <c r="T161" s="836">
        <f ca="1">IFERROR(ROUNDUP(T156/T160,0),0)</f>
        <v>0</v>
      </c>
      <c r="U161" s="836"/>
      <c r="V161" s="836"/>
      <c r="W161" s="836">
        <f ca="1">IFERROR(ROUNDUP(W156/W160,0),0)</f>
        <v>0</v>
      </c>
      <c r="X161" s="1469"/>
      <c r="Y161" s="36"/>
      <c r="Z161" s="36"/>
      <c r="AA161" s="36"/>
      <c r="AB161" s="36"/>
      <c r="AC161" s="36"/>
      <c r="AD161" s="36"/>
      <c r="AE161" s="36"/>
      <c r="AF161" s="36"/>
      <c r="AG161" s="36"/>
      <c r="AH161" s="36"/>
      <c r="AI161" s="36"/>
      <c r="AJ161" s="36"/>
      <c r="AK161" s="36"/>
      <c r="AL161" s="36"/>
      <c r="AM161" s="36"/>
      <c r="AN161" s="36"/>
    </row>
    <row r="162" spans="6:40" ht="15" customHeight="1" outlineLevel="1">
      <c r="F162" s="1649"/>
      <c r="G162" s="51" t="s">
        <v>144</v>
      </c>
      <c r="H162" s="836"/>
      <c r="I162" s="836"/>
      <c r="J162" s="836"/>
      <c r="K162" s="836">
        <f ca="1">IFERROR((K161*(MAX(K160,1)+1)),0)</f>
        <v>0</v>
      </c>
      <c r="L162" s="836"/>
      <c r="M162" s="836"/>
      <c r="N162" s="836">
        <f ca="1">IFERROR((N161*(MAX(N160,1)+1)),0)</f>
        <v>0</v>
      </c>
      <c r="O162" s="836"/>
      <c r="P162" s="836"/>
      <c r="Q162" s="836">
        <f ca="1">IFERROR((Q161*(MAX(Q160,1)+1)),0)</f>
        <v>0</v>
      </c>
      <c r="R162" s="836"/>
      <c r="S162" s="836"/>
      <c r="T162" s="836">
        <f ca="1">IFERROR((T161*(MAX(T160,1)+1)),0)</f>
        <v>0</v>
      </c>
      <c r="U162" s="836"/>
      <c r="V162" s="836"/>
      <c r="W162" s="836">
        <f ca="1">IFERROR((W161*(MAX(W160,1)+1)),0)</f>
        <v>0</v>
      </c>
      <c r="X162" s="1469"/>
      <c r="Y162" s="36"/>
      <c r="Z162" s="36"/>
      <c r="AA162" s="36"/>
      <c r="AB162" s="36"/>
      <c r="AC162" s="36"/>
      <c r="AD162" s="36"/>
      <c r="AE162" s="36"/>
      <c r="AF162" s="36"/>
      <c r="AG162" s="36"/>
      <c r="AH162" s="36"/>
      <c r="AI162" s="36"/>
      <c r="AJ162" s="36"/>
      <c r="AK162" s="242"/>
      <c r="AL162" s="36"/>
      <c r="AM162" s="36"/>
      <c r="AN162" s="36"/>
    </row>
    <row r="163" spans="6:40" ht="15" customHeight="1" outlineLevel="1">
      <c r="F163" s="1649"/>
      <c r="G163" s="51" t="s">
        <v>145</v>
      </c>
      <c r="H163" s="836"/>
      <c r="I163" s="836"/>
      <c r="J163" s="836"/>
      <c r="K163" s="836">
        <f ca="1">IFERROR(ROUNDUP(((K162*INDEX(INDIRECT("'"&amp;$H$3&amp;"'!$H$43:$H$78"),MATCH(INDIRECT("'"&amp;$H$3&amp;"'!K136")&amp;"Average duration (hrs) per trip",INDIRECT("'"&amp;$H$3&amp;"'!$F$43:$F$78"),0)))+(K156*((1/60)*(INDIRECT("'"&amp;$H$3&amp;"'!K148")+INDIRECT("'"&amp;$H$3&amp;"'!$H$19")*(INDIRECT("'"&amp;$H$3&amp;"'!K149")+(INDIRECT("'"&amp;$H$3&amp;"'!K150")*('3_Outputs'!K$149/INDIRECT("'"&amp;$H$3&amp;"'!K$96")/INDIRECT("'"&amp;$H$3&amp;"'!$H$19"))))))))/INDIRECT("'"&amp;$H$3&amp;"'!$H$10"),0),0)</f>
        <v>0</v>
      </c>
      <c r="L163" s="836"/>
      <c r="M163" s="836"/>
      <c r="N163" s="836">
        <f ca="1">IFERROR(ROUNDUP(((N162*INDEX(INDIRECT("'"&amp;$H$3&amp;"'!$H$43:$H$78"),MATCH(INDIRECT("'"&amp;$H$3&amp;"'!N136")&amp;"Average duration (hrs) per trip",INDIRECT("'"&amp;$H$3&amp;"'!$F$43:$F$78"),0)))+(N156*((1/60)*(INDIRECT("'"&amp;$H$3&amp;"'!N148")+INDIRECT("'"&amp;$H$3&amp;"'!$H$19")*(INDIRECT("'"&amp;$H$3&amp;"'!N149")+(INDIRECT("'"&amp;$H$3&amp;"'!N150")*('3_Outputs'!N$149/INDIRECT("'"&amp;$H$3&amp;"'!N$96")/INDIRECT("'"&amp;$H$3&amp;"'!$H$19"))))))))/INDIRECT("'"&amp;$H$3&amp;"'!$H$10"),0),0)</f>
        <v>0</v>
      </c>
      <c r="O163" s="836"/>
      <c r="P163" s="836"/>
      <c r="Q163" s="836">
        <f ca="1">IFERROR(ROUNDUP(((Q162*INDEX(INDIRECT("'"&amp;$H$3&amp;"'!$H$43:$H$78"),MATCH(INDIRECT("'"&amp;$H$3&amp;"'!Q136")&amp;"Average duration (hrs) per trip",INDIRECT("'"&amp;$H$3&amp;"'!$F$43:$F$78"),0)))+(Q156*((1/60)*(INDIRECT("'"&amp;$H$3&amp;"'!Q148")+INDIRECT("'"&amp;$H$3&amp;"'!$H$19")*(INDIRECT("'"&amp;$H$3&amp;"'!Q149")+(INDIRECT("'"&amp;$H$3&amp;"'!Q150")*('3_Outputs'!Q$149/INDIRECT("'"&amp;$H$3&amp;"'!Q$96")/INDIRECT("'"&amp;$H$3&amp;"'!$H$19"))))))))/INDIRECT("'"&amp;$H$3&amp;"'!$H$10"),0),0)</f>
        <v>0</v>
      </c>
      <c r="R163" s="836"/>
      <c r="S163" s="836"/>
      <c r="T163" s="836">
        <f ca="1">IFERROR(ROUNDUP(((T162*INDEX(INDIRECT("'"&amp;$H$3&amp;"'!$H$43:$H$78"),MATCH(INDIRECT("'"&amp;$H$3&amp;"'!T136")&amp;"Average duration (hrs) per trip",INDIRECT("'"&amp;$H$3&amp;"'!$F$43:$F$78"),0)))+(T156*((1/60)*(INDIRECT("'"&amp;$H$3&amp;"'!T148")+INDIRECT("'"&amp;$H$3&amp;"'!$H$19")*(INDIRECT("'"&amp;$H$3&amp;"'!T149")+(INDIRECT("'"&amp;$H$3&amp;"'!T150")*('3_Outputs'!T$149/INDIRECT("'"&amp;$H$3&amp;"'!T$96")/INDIRECT("'"&amp;$H$3&amp;"'!$H$19"))))))))/INDIRECT("'"&amp;$H$3&amp;"'!$H$10"),0),0)</f>
        <v>0</v>
      </c>
      <c r="U163" s="836"/>
      <c r="V163" s="836"/>
      <c r="W163" s="836">
        <f ca="1">IFERROR(ROUNDUP(((W162*INDEX(INDIRECT("'"&amp;$H$3&amp;"'!$H$43:$H$78"),MATCH(INDIRECT("'"&amp;$H$3&amp;"'!W136")&amp;"Average duration (hrs) per trip",INDIRECT("'"&amp;$H$3&amp;"'!$F$43:$F$78"),0)))+(W156*((1/60)*(INDIRECT("'"&amp;$H$3&amp;"'!W148")+INDIRECT("'"&amp;$H$3&amp;"'!$H$19")*(INDIRECT("'"&amp;$H$3&amp;"'!W149")+(INDIRECT("'"&amp;$H$3&amp;"'!W150")*('3_Outputs'!W$149/INDIRECT("'"&amp;$H$3&amp;"'!W$96")/INDIRECT("'"&amp;$H$3&amp;"'!$H$19"))))))))/INDIRECT("'"&amp;$H$3&amp;"'!$H$10"),0),0)</f>
        <v>0</v>
      </c>
      <c r="X163" s="1469"/>
      <c r="Y163" s="36"/>
      <c r="Z163" s="36"/>
      <c r="AA163" s="36"/>
      <c r="AB163" s="36"/>
      <c r="AC163" s="36"/>
      <c r="AD163" s="36"/>
      <c r="AE163" s="36"/>
      <c r="AF163" s="36"/>
      <c r="AG163" s="36"/>
      <c r="AH163" s="36"/>
      <c r="AI163" s="36"/>
      <c r="AJ163" s="36"/>
      <c r="AK163" s="242"/>
      <c r="AL163" s="36"/>
      <c r="AM163" s="36"/>
      <c r="AN163" s="36"/>
    </row>
    <row r="164" spans="6:40" ht="15" customHeight="1" outlineLevel="1">
      <c r="F164" s="1649"/>
      <c r="G164" s="1613" t="s">
        <v>841</v>
      </c>
      <c r="H164" s="842"/>
      <c r="I164" s="842"/>
      <c r="J164" s="842"/>
      <c r="K164" s="842"/>
      <c r="L164" s="842"/>
      <c r="M164" s="842"/>
      <c r="N164" s="842"/>
      <c r="O164" s="842"/>
      <c r="P164" s="842"/>
      <c r="Q164" s="842"/>
      <c r="R164" s="1650"/>
      <c r="S164" s="1650"/>
      <c r="T164" s="842"/>
      <c r="U164" s="1650"/>
      <c r="V164" s="1650"/>
      <c r="W164" s="842"/>
      <c r="X164" s="1470"/>
      <c r="Y164" s="36"/>
      <c r="Z164" s="36"/>
      <c r="AA164" s="36"/>
      <c r="AB164" s="36"/>
      <c r="AC164" s="36"/>
      <c r="AD164" s="36"/>
      <c r="AE164" s="36"/>
      <c r="AF164" s="36"/>
      <c r="AG164" s="36"/>
      <c r="AH164" s="36"/>
      <c r="AI164" s="36"/>
      <c r="AJ164" s="36"/>
      <c r="AK164" s="242"/>
      <c r="AL164" s="36"/>
      <c r="AM164" s="36"/>
      <c r="AN164" s="36"/>
    </row>
    <row r="165" spans="6:40" ht="15" customHeight="1" outlineLevel="1">
      <c r="F165" s="1649"/>
      <c r="G165" s="51" t="s">
        <v>144</v>
      </c>
      <c r="H165" s="836"/>
      <c r="I165" s="836"/>
      <c r="J165" s="836"/>
      <c r="K165" s="836">
        <f ca="1">IFERROR((K156/MIN(K157,1))*2,0)</f>
        <v>0</v>
      </c>
      <c r="L165" s="836"/>
      <c r="M165" s="836"/>
      <c r="N165" s="836">
        <f ca="1">IFERROR((N156/MIN(N157,1))*2,0)</f>
        <v>0</v>
      </c>
      <c r="O165" s="836"/>
      <c r="P165" s="836"/>
      <c r="Q165" s="836">
        <f ca="1">IFERROR((Q156/MIN(Q157,1))*2,0)</f>
        <v>0</v>
      </c>
      <c r="R165" s="836"/>
      <c r="S165" s="836"/>
      <c r="T165" s="836">
        <f ca="1">IFERROR((T156/MIN(T157,1))*2,0)</f>
        <v>0</v>
      </c>
      <c r="U165" s="836"/>
      <c r="V165" s="836"/>
      <c r="W165" s="836">
        <f ca="1">IFERROR((W156/MIN(W157,1))*2,0)</f>
        <v>0</v>
      </c>
      <c r="X165" s="1469"/>
      <c r="Y165" s="36"/>
      <c r="Z165" s="36"/>
      <c r="AA165" s="36"/>
      <c r="AB165" s="36"/>
      <c r="AC165" s="36"/>
      <c r="AD165" s="36"/>
      <c r="AE165" s="36"/>
      <c r="AF165" s="36"/>
      <c r="AG165" s="36"/>
      <c r="AH165" s="36"/>
      <c r="AI165" s="36"/>
      <c r="AJ165" s="36"/>
      <c r="AK165" s="36"/>
      <c r="AL165" s="36"/>
      <c r="AM165" s="36"/>
      <c r="AN165" s="36"/>
    </row>
    <row r="166" spans="6:40" ht="15" customHeight="1" outlineLevel="1">
      <c r="F166" s="1649"/>
      <c r="G166" s="51" t="s">
        <v>145</v>
      </c>
      <c r="H166" s="837"/>
      <c r="I166" s="837"/>
      <c r="J166" s="837"/>
      <c r="K166" s="837">
        <f ca="1">IFERROR(MAX(K156,ROUNDUP(((K165*INDEX(INDIRECT("'"&amp;$H$3&amp;"'!$H$43:$H$78"),MATCH(INDIRECT("'"&amp;$H$3&amp;"'!K136")&amp;"Average duration (hrs) per trip",INDIRECT("'"&amp;$H$3&amp;"'!$F$43:$F$78"),0)))+(K156*((1/60)*(INDIRECT("'"&amp;$H$3&amp;"'!K148")+INDIRECT("'"&amp;$H$3&amp;"'!$H$19")*(INDIRECT("'"&amp;$H$3&amp;"'!K149")+(INDIRECT("'"&amp;$H$3&amp;"'!K150")*('3_Outputs'!K$149/INDIRECT("'"&amp;$H$3&amp;"'!K$96")/INDIRECT("'"&amp;$H$3&amp;"'!$H$19"))))))))/INDIRECT("'"&amp;$H$3&amp;"'!$H$10"),0)),0)</f>
        <v>0</v>
      </c>
      <c r="L166" s="837"/>
      <c r="M166" s="837"/>
      <c r="N166" s="837">
        <f ca="1">IFERROR(MAX(N156,ROUNDUP(((N165*INDEX(INDIRECT("'"&amp;$H$3&amp;"'!$H$43:$H$78"),MATCH(INDIRECT("'"&amp;$H$3&amp;"'!N136")&amp;"Average duration (hrs) per trip",INDIRECT("'"&amp;$H$3&amp;"'!$F$43:$F$78"),0)))+(N156*((1/60)*(INDIRECT("'"&amp;$H$3&amp;"'!N148")+INDIRECT("'"&amp;$H$3&amp;"'!$H$19")*(INDIRECT("'"&amp;$H$3&amp;"'!N149")+(INDIRECT("'"&amp;$H$3&amp;"'!N150")*('3_Outputs'!N$149/INDIRECT("'"&amp;$H$3&amp;"'!N$96")/INDIRECT("'"&amp;$H$3&amp;"'!$H$19"))))))))/INDIRECT("'"&amp;$H$3&amp;"'!$H$10"),0)),0)</f>
        <v>0</v>
      </c>
      <c r="O166" s="837"/>
      <c r="P166" s="837"/>
      <c r="Q166" s="837">
        <f ca="1">IFERROR(MAX(Q156,ROUNDUP(((Q165*INDEX(INDIRECT("'"&amp;$H$3&amp;"'!$H$43:$H$78"),MATCH(INDIRECT("'"&amp;$H$3&amp;"'!Q136")&amp;"Average duration (hrs) per trip",INDIRECT("'"&amp;$H$3&amp;"'!$F$43:$F$78"),0)))+(Q156*((1/60)*(INDIRECT("'"&amp;$H$3&amp;"'!Q148")+INDIRECT("'"&amp;$H$3&amp;"'!$H$19")*(INDIRECT("'"&amp;$H$3&amp;"'!Q149")+(INDIRECT("'"&amp;$H$3&amp;"'!Q150")*('3_Outputs'!Q$149/INDIRECT("'"&amp;$H$3&amp;"'!Q$96")/INDIRECT("'"&amp;$H$3&amp;"'!$H$19"))))))))/INDIRECT("'"&amp;$H$3&amp;"'!$H$10"),0)),0)</f>
        <v>0</v>
      </c>
      <c r="R166" s="837"/>
      <c r="S166" s="837"/>
      <c r="T166" s="837">
        <f ca="1">IFERROR(MAX(T156,ROUNDUP(((T165*INDEX(INDIRECT("'"&amp;$H$3&amp;"'!$H$43:$H$78"),MATCH(INDIRECT("'"&amp;$H$3&amp;"'!T136")&amp;"Average duration (hrs) per trip",INDIRECT("'"&amp;$H$3&amp;"'!$F$43:$F$78"),0)))+(T156*((1/60)*(INDIRECT("'"&amp;$H$3&amp;"'!T148")+INDIRECT("'"&amp;$H$3&amp;"'!$H$19")*(INDIRECT("'"&amp;$H$3&amp;"'!T149")+(INDIRECT("'"&amp;$H$3&amp;"'!T150")*('3_Outputs'!T$149/INDIRECT("'"&amp;$H$3&amp;"'!T$96")/INDIRECT("'"&amp;$H$3&amp;"'!$H$19"))))))))/INDIRECT("'"&amp;$H$3&amp;"'!$H$10"),0)),0)</f>
        <v>0</v>
      </c>
      <c r="U166" s="837"/>
      <c r="V166" s="837"/>
      <c r="W166" s="837">
        <f ca="1">IFERROR(MAX(W156,ROUNDUP(((W165*INDEX(INDIRECT("'"&amp;$H$3&amp;"'!$H$43:$H$78"),MATCH(INDIRECT("'"&amp;$H$3&amp;"'!W136")&amp;"Average duration (hrs) per trip",INDIRECT("'"&amp;$H$3&amp;"'!$F$43:$F$78"),0)))+(W156*((1/60)*(INDIRECT("'"&amp;$H$3&amp;"'!W148")+INDIRECT("'"&amp;$H$3&amp;"'!$H$19")*(INDIRECT("'"&amp;$H$3&amp;"'!W149")+(INDIRECT("'"&amp;$H$3&amp;"'!W150")*('3_Outputs'!W$149/INDIRECT("'"&amp;$H$3&amp;"'!W$96")/INDIRECT("'"&amp;$H$3&amp;"'!$H$19"))))))))/INDIRECT("'"&amp;$H$3&amp;"'!$H$10"),0)),0)</f>
        <v>0</v>
      </c>
      <c r="X166" s="1468"/>
      <c r="Y166" s="36"/>
      <c r="Z166" s="36"/>
      <c r="AA166" s="36"/>
      <c r="AB166" s="36"/>
      <c r="AC166" s="36"/>
      <c r="AD166" s="36"/>
      <c r="AE166" s="36"/>
      <c r="AF166" s="36"/>
      <c r="AG166" s="36"/>
      <c r="AH166" s="36"/>
      <c r="AI166" s="36"/>
      <c r="AJ166" s="36"/>
      <c r="AK166" s="36"/>
      <c r="AL166" s="36"/>
      <c r="AM166" s="36"/>
      <c r="AN166" s="36"/>
    </row>
    <row r="167" spans="6:40" ht="15" customHeight="1" outlineLevel="1">
      <c r="F167" s="1647" t="s">
        <v>148</v>
      </c>
      <c r="G167" s="1614"/>
      <c r="H167" s="848"/>
      <c r="I167" s="848"/>
      <c r="J167" s="848"/>
      <c r="K167" s="848"/>
      <c r="L167" s="848"/>
      <c r="M167" s="848"/>
      <c r="N167" s="848"/>
      <c r="O167" s="848"/>
      <c r="P167" s="848"/>
      <c r="Q167" s="848"/>
      <c r="R167" s="1646"/>
      <c r="S167" s="1646"/>
      <c r="T167" s="848"/>
      <c r="U167" s="1646"/>
      <c r="V167" s="1646"/>
      <c r="W167" s="848"/>
      <c r="X167" s="1471"/>
      <c r="Y167" s="36"/>
      <c r="Z167" s="36"/>
      <c r="AA167" s="36"/>
      <c r="AB167" s="36"/>
      <c r="AC167" s="36"/>
      <c r="AD167" s="36"/>
      <c r="AE167" s="36"/>
      <c r="AF167" s="36"/>
      <c r="AG167" s="36"/>
      <c r="AH167" s="36"/>
      <c r="AI167" s="36"/>
      <c r="AJ167" s="36"/>
      <c r="AK167" s="242"/>
      <c r="AL167" s="36"/>
      <c r="AM167" s="36"/>
      <c r="AN167" s="36"/>
    </row>
    <row r="168" spans="6:40" ht="15" customHeight="1" outlineLevel="1">
      <c r="F168" s="1653"/>
      <c r="G168" s="51" t="s">
        <v>151</v>
      </c>
      <c r="H168" s="836"/>
      <c r="I168" s="836"/>
      <c r="J168" s="836"/>
      <c r="K168" s="836">
        <f ca="1">IFERROR(IF(COUNTIF(INDIRECT("'"&amp;$H$3&amp;"'!K136"),"Public Transport*")&lt;1,ROUND(INDIRECT("'"&amp;$H$3&amp;"'!K$95")*INDIRECT("'"&amp;$H$3&amp;"'!K135"),0),0),0)</f>
        <v>1</v>
      </c>
      <c r="L168" s="836"/>
      <c r="M168" s="836"/>
      <c r="N168" s="836">
        <f ca="1">IFERROR(IF(COUNTIF(INDIRECT("'"&amp;$H$3&amp;"'!N136"),"Public Transport*")&lt;1,ROUND(INDIRECT("'"&amp;$H$3&amp;"'!N$95")*INDIRECT("'"&amp;$H$3&amp;"'!N135"),0),0),0)</f>
        <v>345</v>
      </c>
      <c r="O168" s="836"/>
      <c r="P168" s="836"/>
      <c r="Q168" s="836">
        <f ca="1">IFERROR(IF(COUNTIF(INDIRECT("'"&amp;$H$3&amp;"'!Q136"),"Public Transport*")&lt;1,ROUND(INDIRECT("'"&amp;$H$3&amp;"'!Q$95")*INDIRECT("'"&amp;$H$3&amp;"'!Q135"),0),0),0)</f>
        <v>0</v>
      </c>
      <c r="R168" s="1646"/>
      <c r="S168" s="1646"/>
      <c r="T168" s="836">
        <f ca="1">IFERROR(IF(COUNTIF(INDIRECT("'"&amp;$H$3&amp;"'!T136"),"Public Transport*")&lt;1,ROUND(INDIRECT("'"&amp;$H$3&amp;"'!T$95")*INDIRECT("'"&amp;$H$3&amp;"'!T135"),0),0),0)</f>
        <v>0</v>
      </c>
      <c r="U168" s="1646"/>
      <c r="V168" s="1646"/>
      <c r="W168" s="836">
        <f ca="1">IFERROR(IF(COUNTIF(INDIRECT("'"&amp;$H$3&amp;"'!W136"),"Public Transport*")&lt;1,ROUND(INDIRECT("'"&amp;$H$3&amp;"'!W$95")*INDIRECT("'"&amp;$H$3&amp;"'!W135"),0),0),0)</f>
        <v>0</v>
      </c>
      <c r="X168" s="1469"/>
      <c r="Y168" s="36"/>
      <c r="Z168" s="36"/>
      <c r="AA168" s="36"/>
      <c r="AB168" s="36"/>
      <c r="AC168" s="36"/>
      <c r="AD168" s="36"/>
      <c r="AE168" s="36"/>
      <c r="AF168" s="36"/>
      <c r="AG168" s="36"/>
      <c r="AH168" s="36"/>
      <c r="AI168" s="36"/>
      <c r="AJ168" s="36"/>
      <c r="AK168" s="242"/>
      <c r="AL168" s="36"/>
      <c r="AM168" s="36"/>
      <c r="AN168" s="36"/>
    </row>
    <row r="169" spans="6:40" ht="15" customHeight="1" outlineLevel="1">
      <c r="F169" s="52"/>
      <c r="G169" s="51" t="s">
        <v>58</v>
      </c>
      <c r="H169" s="837"/>
      <c r="I169" s="837"/>
      <c r="J169" s="837"/>
      <c r="K169" s="837">
        <f ca="1">IFERROR(IF(INDIRECT("'"&amp;$H$3&amp;"'!K143")="Route-based",K178*K179,IF(INDIRECT("'"&amp;$H$3&amp;"'!K143")="Point-to-point",K183*K184,0)),0)</f>
        <v>145656</v>
      </c>
      <c r="L169" s="837"/>
      <c r="M169" s="837"/>
      <c r="N169" s="837">
        <f ca="1">IFERROR(IF(INDIRECT("'"&amp;$H$3&amp;"'!N143")="Route-based",N178*N179,IF(INDIRECT("'"&amp;$H$3&amp;"'!N143")="Point-to-point",N183*N184,0)),0)</f>
        <v>164289.63855399744</v>
      </c>
      <c r="O169" s="837"/>
      <c r="P169" s="837"/>
      <c r="Q169" s="837">
        <f ca="1">IFERROR(IF(INDIRECT("'"&amp;$H$3&amp;"'!Q143")="Route-based",Q178*Q179,IF(INDIRECT("'"&amp;$H$3&amp;"'!Q143")="Point-to-point",Q183*Q184,0)),0)</f>
        <v>0</v>
      </c>
      <c r="R169" s="1650"/>
      <c r="S169" s="1650"/>
      <c r="T169" s="837">
        <f ca="1">IFERROR(IF(INDIRECT("'"&amp;$H$3&amp;"'!T143")="Route-based",T178*T179,IF(INDIRECT("'"&amp;$H$3&amp;"'!T143")="Point-to-point",T183*T184,0)),0)</f>
        <v>0</v>
      </c>
      <c r="U169" s="1650"/>
      <c r="V169" s="1650"/>
      <c r="W169" s="837">
        <f ca="1">IFERROR(IF(INDIRECT("'"&amp;$H$3&amp;"'!W143")="Route-based",W178*W179,IF(INDIRECT("'"&amp;$H$3&amp;"'!W143")="Point-to-point",W183*W184,0)),0)</f>
        <v>0</v>
      </c>
      <c r="X169" s="1472"/>
      <c r="Y169" s="36"/>
      <c r="Z169" s="36"/>
      <c r="AA169" s="36"/>
      <c r="AB169" s="36"/>
      <c r="AC169" s="36"/>
      <c r="AD169" s="36"/>
      <c r="AE169" s="36"/>
      <c r="AF169" s="36"/>
      <c r="AG169" s="36"/>
      <c r="AH169" s="36"/>
      <c r="AI169" s="36"/>
      <c r="AJ169" s="36"/>
      <c r="AK169" s="36"/>
      <c r="AL169" s="36"/>
      <c r="AM169" s="36"/>
      <c r="AN169" s="36"/>
    </row>
    <row r="170" spans="6:40" ht="15" customHeight="1" outlineLevel="1">
      <c r="F170" s="52"/>
      <c r="G170" s="51" t="s">
        <v>389</v>
      </c>
      <c r="H170" s="837"/>
      <c r="I170" s="837"/>
      <c r="J170" s="837"/>
      <c r="K170" s="837">
        <f ca="1">IFERROR(IF(INDIRECT("'"&amp;$H$3&amp;"'!K143")="Route-based",K178,IF(INDIRECT("'"&amp;$H$3&amp;"'!K143")="Point-to-point",K183,0)),"")</f>
        <v>252</v>
      </c>
      <c r="L170" s="837"/>
      <c r="M170" s="837"/>
      <c r="N170" s="837">
        <f ca="1">IFERROR(IF(INDIRECT("'"&amp;$H$3&amp;"'!N143")="Route-based",N178,IF(INDIRECT("'"&amp;$H$3&amp;"'!N143")="Point-to-point",N183,0)),"")</f>
        <v>339</v>
      </c>
      <c r="O170" s="837"/>
      <c r="P170" s="837"/>
      <c r="Q170" s="837">
        <f ca="1">IFERROR(IF(INDIRECT("'"&amp;$H$3&amp;"'!Q143")="Route-based",Q178,IF(INDIRECT("'"&amp;$H$3&amp;"'!Q143")="Point-to-point",Q183,0)),"")</f>
        <v>0</v>
      </c>
      <c r="R170" s="1650"/>
      <c r="S170" s="1650"/>
      <c r="T170" s="837">
        <f ca="1">IFERROR(IF(INDIRECT("'"&amp;$H$3&amp;"'!T143")="Route-based",T178,IF(INDIRECT("'"&amp;$H$3&amp;"'!T143")="Point-to-point",T183,0)),"")</f>
        <v>0</v>
      </c>
      <c r="U170" s="1650"/>
      <c r="V170" s="1650"/>
      <c r="W170" s="837">
        <f ca="1">IFERROR(IF(INDIRECT("'"&amp;$H$3&amp;"'!W143")="Route-based",W178,IF(INDIRECT("'"&amp;$H$3&amp;"'!W143")="Point-to-point",W183,0)),"")</f>
        <v>0</v>
      </c>
      <c r="X170" s="1472"/>
      <c r="Y170" s="36"/>
      <c r="Z170" s="36"/>
      <c r="AA170" s="36"/>
      <c r="AB170" s="36"/>
      <c r="AC170" s="36"/>
      <c r="AD170" s="36"/>
      <c r="AE170" s="36"/>
      <c r="AF170" s="36"/>
      <c r="AG170" s="36"/>
      <c r="AH170" s="36"/>
      <c r="AI170" s="36"/>
      <c r="AJ170" s="36"/>
      <c r="AK170" s="36"/>
      <c r="AL170" s="36"/>
      <c r="AM170" s="36"/>
      <c r="AN170" s="36"/>
    </row>
    <row r="171" spans="6:40" ht="15" customHeight="1" outlineLevel="1">
      <c r="F171" s="52"/>
      <c r="G171" s="51" t="s">
        <v>49</v>
      </c>
      <c r="H171" s="837"/>
      <c r="I171" s="837"/>
      <c r="J171" s="837"/>
      <c r="K171" s="837">
        <f ca="1">IFERROR(IF(INDIRECT("'"&amp;$H$3&amp;"'!K143")="Route-based",ROUND(K180*K178/INDIRECT("'"&amp;$H$3&amp;"'!$H$10"),0),IF(INDIRECT("'"&amp;$H$3&amp;"'!K143")="Point-to-point",ROUND(((K183*((1/60)*(INDIRECT("'"&amp;$H$3&amp;"'!K148")+INDIRECT("'"&amp;$H$3&amp;"'!$H$19")*(INDIRECT("'"&amp;$H$3&amp;"'!K149")+(INDIRECT("'"&amp;$H$3&amp;"'!K150")*(MIN(('3_Outputs'!K$149/INDIRECT("'"&amp;$H$3&amp;"'!K$96")),INDEX(INDIRECT("'"&amp;$H$3&amp;"'!$H$49:$H$78"),MATCH(INDIRECT("'"&amp;$H$3&amp;"'!K136")&amp;"Delivery Capacity (m^3)",INDIRECT("'"&amp;$H$3&amp;"'!$F$49:$F$78"),0)))/INDIRECT("'"&amp;$H$3&amp;"'!$H$19")))))))+(K169/INDIRECT("'"&amp;$H$3&amp;"'!K152")))/INDIRECT("'"&amp;$H$3&amp;"'!$H$10"),0),0)),0)</f>
        <v>214</v>
      </c>
      <c r="L171" s="837"/>
      <c r="M171" s="837"/>
      <c r="N171" s="837">
        <f ca="1">IFERROR(IF(INDIRECT("'"&amp;$H$3&amp;"'!N143")="Route-based",ROUND(N180*N178/INDIRECT("'"&amp;$H$3&amp;"'!$H$10"),0),IF(INDIRECT("'"&amp;$H$3&amp;"'!N143")="Point-to-point",ROUND(((N183*((1/60)*(INDIRECT("'"&amp;$H$3&amp;"'!N148")+INDIRECT("'"&amp;$H$3&amp;"'!$H$19")*(INDIRECT("'"&amp;$H$3&amp;"'!N149")+(INDIRECT("'"&amp;$H$3&amp;"'!N150")*(MIN(('3_Outputs'!N$149/INDIRECT("'"&amp;$H$3&amp;"'!N$96")),INDEX(INDIRECT("'"&amp;$H$3&amp;"'!$H$49:$H$78"),MATCH(INDIRECT("'"&amp;$H$3&amp;"'!N136")&amp;"Delivery Capacity (m^3)",INDIRECT("'"&amp;$H$3&amp;"'!$F$49:$F$78"),0)))/INDIRECT("'"&amp;$H$3&amp;"'!$H$19")))))))+(N169/INDIRECT("'"&amp;$H$3&amp;"'!N152")))/INDIRECT("'"&amp;$H$3&amp;"'!$H$10"),0),0)),0)</f>
        <v>689</v>
      </c>
      <c r="O171" s="837"/>
      <c r="P171" s="837"/>
      <c r="Q171" s="837">
        <f ca="1">IFERROR(IF(INDIRECT("'"&amp;$H$3&amp;"'!Q143")="Route-based",ROUND(Q180*Q178/INDIRECT("'"&amp;$H$3&amp;"'!$H$10"),0),IF(INDIRECT("'"&amp;$H$3&amp;"'!Q143")="Point-to-point",ROUND(((Q183*((1/60)*(INDIRECT("'"&amp;$H$3&amp;"'!Q148")+INDIRECT("'"&amp;$H$3&amp;"'!$H$19")*(INDIRECT("'"&amp;$H$3&amp;"'!Q149")+(INDIRECT("'"&amp;$H$3&amp;"'!Q150")*(MIN(('3_Outputs'!Q$149/INDIRECT("'"&amp;$H$3&amp;"'!Q$96")),INDEX(INDIRECT("'"&amp;$H$3&amp;"'!$H$49:$H$78"),MATCH(INDIRECT("'"&amp;$H$3&amp;"'!Q136")&amp;"Delivery Capacity (m^3)",INDIRECT("'"&amp;$H$3&amp;"'!$F$49:$F$78"),0)))/INDIRECT("'"&amp;$H$3&amp;"'!$H$19")))))))+(Q169/INDIRECT("'"&amp;$H$3&amp;"'!Q152")))/INDIRECT("'"&amp;$H$3&amp;"'!$H$10"),0),0)),0)</f>
        <v>0</v>
      </c>
      <c r="R171" s="837"/>
      <c r="S171" s="837"/>
      <c r="T171" s="837">
        <f ca="1">IFERROR(IF(INDIRECT("'"&amp;$H$3&amp;"'!T143")="Route-based",ROUND(T180*T178/INDIRECT("'"&amp;$H$3&amp;"'!$H$10"),0),IF(INDIRECT("'"&amp;$H$3&amp;"'!T143")="Point-to-point",ROUND(((T183*((1/60)*(INDIRECT("'"&amp;$H$3&amp;"'!T148")+INDIRECT("'"&amp;$H$3&amp;"'!$H$19")*(INDIRECT("'"&amp;$H$3&amp;"'!T149")+(INDIRECT("'"&amp;$H$3&amp;"'!T150")*(MIN(('3_Outputs'!T$149/INDIRECT("'"&amp;$H$3&amp;"'!T$96")),INDEX(INDIRECT("'"&amp;$H$3&amp;"'!$H$49:$H$78"),MATCH(INDIRECT("'"&amp;$H$3&amp;"'!T136")&amp;"Delivery Capacity (m^3)",INDIRECT("'"&amp;$H$3&amp;"'!$F$49:$F$78"),0)))/INDIRECT("'"&amp;$H$3&amp;"'!$H$19")))))))+(T169/INDIRECT("'"&amp;$H$3&amp;"'!T152")))/INDIRECT("'"&amp;$H$3&amp;"'!$H$10"),0),0)),0)</f>
        <v>0</v>
      </c>
      <c r="U171" s="837"/>
      <c r="V171" s="837"/>
      <c r="W171" s="837">
        <f ca="1">IFERROR(IF(INDIRECT("'"&amp;$H$3&amp;"'!W143")="Route-based",ROUND(W180*W178/INDIRECT("'"&amp;$H$3&amp;"'!$H$10"),0),IF(INDIRECT("'"&amp;$H$3&amp;"'!W143")="Point-to-point",ROUND(((W183*((1/60)*(INDIRECT("'"&amp;$H$3&amp;"'!W148")+INDIRECT("'"&amp;$H$3&amp;"'!$H$19")*(INDIRECT("'"&amp;$H$3&amp;"'!W149")+(INDIRECT("'"&amp;$H$3&amp;"'!W150")*(MIN(('3_Outputs'!W$149/INDIRECT("'"&amp;$H$3&amp;"'!W$96")),INDEX(INDIRECT("'"&amp;$H$3&amp;"'!$H$49:$H$78"),MATCH(INDIRECT("'"&amp;$H$3&amp;"'!W136")&amp;"Delivery Capacity (m^3)",INDIRECT("'"&amp;$H$3&amp;"'!$F$49:$F$78"),0)))/INDIRECT("'"&amp;$H$3&amp;"'!$H$19")))))))+(W169/INDIRECT("'"&amp;$H$3&amp;"'!W152")))/INDIRECT("'"&amp;$H$3&amp;"'!$H$10"),0),0)),0)</f>
        <v>0</v>
      </c>
      <c r="X171" s="1472"/>
      <c r="Y171" s="36"/>
      <c r="Z171" s="36"/>
      <c r="AA171" s="36"/>
      <c r="AB171" s="36"/>
      <c r="AC171" s="36"/>
      <c r="AD171" s="36"/>
      <c r="AE171" s="36"/>
      <c r="AF171" s="36"/>
      <c r="AG171" s="36"/>
      <c r="AH171" s="36"/>
      <c r="AI171" s="36"/>
      <c r="AJ171" s="36"/>
      <c r="AK171" s="36"/>
      <c r="AL171" s="36"/>
      <c r="AM171" s="36"/>
      <c r="AN171" s="36"/>
    </row>
    <row r="172" spans="6:40" ht="15" customHeight="1" outlineLevel="1">
      <c r="F172" s="52"/>
      <c r="G172" s="51" t="s">
        <v>189</v>
      </c>
      <c r="H172" s="839"/>
      <c r="I172" s="839"/>
      <c r="J172" s="839"/>
      <c r="K172" s="839">
        <f ca="1">IFERROR(IF(INDIRECT("'"&amp;$H$3&amp;"'!K143")="Route-based",('3_Outputs'!K$149*K168)/(K178*INDEX(INDIRECT("'"&amp;$H$3&amp;"'!$H$49:$H$78"),MATCH(INDIRECT("'"&amp;$H$3&amp;"'!K136")&amp;"Delivery Capacity (m^3)",INDIRECT("'"&amp;$H$3&amp;"'!$F$49:$F$78"),0))),IF(INDIRECT("'"&amp;$H$3&amp;"'!K143")="Point-to-point",('3_Outputs'!K$149*K168)/(K183*INDEX(INDIRECT("'"&amp;$H$3&amp;"'!$H$49:$H$78"),MATCH(INDIRECT("'"&amp;$H$3&amp;"'!K136")&amp;"Delivery Capacity (m^3)",INDIRECT("'"&amp;$H$3&amp;"'!$F$49:$F$78"),0))),0)),0)</f>
        <v>1.0182291666666667</v>
      </c>
      <c r="L172" s="839"/>
      <c r="M172" s="839"/>
      <c r="N172" s="839">
        <f ca="1">IFERROR(IF(INDIRECT("'"&amp;$H$3&amp;"'!N143")="Route-based",('3_Outputs'!N$149*N168)/(N178*INDEX(INDIRECT("'"&amp;$H$3&amp;"'!$H$49:$H$78"),MATCH(INDIRECT("'"&amp;$H$3&amp;"'!N136")&amp;"Delivery Capacity (m^3)",INDIRECT("'"&amp;$H$3&amp;"'!$F$49:$F$78"),0))),IF(INDIRECT("'"&amp;$H$3&amp;"'!N143")="Point-to-point",('3_Outputs'!N$149*N168)/(N183*INDEX(INDIRECT("'"&amp;$H$3&amp;"'!$H$49:$H$78"),MATCH(INDIRECT("'"&amp;$H$3&amp;"'!N136")&amp;"Delivery Capacity (m^3)",INDIRECT("'"&amp;$H$3&amp;"'!$F$49:$F$78"),0))),0)),0)</f>
        <v>0.72087020648967548</v>
      </c>
      <c r="O172" s="839"/>
      <c r="P172" s="839"/>
      <c r="Q172" s="839">
        <f ca="1">IFERROR(IF(INDIRECT("'"&amp;$H$3&amp;"'!Q143")="Route-based",('3_Outputs'!Q$149*Q168)/(Q178*INDEX(INDIRECT("'"&amp;$H$3&amp;"'!$H$49:$H$78"),MATCH(INDIRECT("'"&amp;$H$3&amp;"'!Q136")&amp;"Delivery Capacity (m^3)",INDIRECT("'"&amp;$H$3&amp;"'!$F$49:$F$78"),0))),IF(INDIRECT("'"&amp;$H$3&amp;"'!Q143")="Point-to-point",('3_Outputs'!Q$149*Q168)/(Q183*INDEX(INDIRECT("'"&amp;$H$3&amp;"'!$H$49:$H$78"),MATCH(INDIRECT("'"&amp;$H$3&amp;"'!Q136")&amp;"Delivery Capacity (m^3)",INDIRECT("'"&amp;$H$3&amp;"'!$F$49:$F$78"),0))),0)),0)</f>
        <v>0</v>
      </c>
      <c r="R172" s="839"/>
      <c r="S172" s="839"/>
      <c r="T172" s="839">
        <f ca="1">IFERROR(IF(INDIRECT("'"&amp;$H$3&amp;"'!T143")="Route-based",('3_Outputs'!T$149*T168)/(T178*INDEX(INDIRECT("'"&amp;$H$3&amp;"'!$H$49:$H$78"),MATCH(INDIRECT("'"&amp;$H$3&amp;"'!T136")&amp;"Delivery Capacity (m^3)",INDIRECT("'"&amp;$H$3&amp;"'!$F$49:$F$78"),0))),IF(INDIRECT("'"&amp;$H$3&amp;"'!T143")="Point-to-point",('3_Outputs'!T$149*T168)/(T183*INDEX(INDIRECT("'"&amp;$H$3&amp;"'!$H$49:$H$78"),MATCH(INDIRECT("'"&amp;$H$3&amp;"'!T136")&amp;"Delivery Capacity (m^3)",INDIRECT("'"&amp;$H$3&amp;"'!$F$49:$F$78"),0))),0)),0)</f>
        <v>0</v>
      </c>
      <c r="U172" s="839"/>
      <c r="V172" s="839"/>
      <c r="W172" s="839">
        <f ca="1">IFERROR(IF(INDIRECT("'"&amp;$H$3&amp;"'!W143")="Route-based",('3_Outputs'!W$149*W168)/(W178*INDEX(INDIRECT("'"&amp;$H$3&amp;"'!$H$49:$H$78"),MATCH(INDIRECT("'"&amp;$H$3&amp;"'!W136")&amp;"Delivery Capacity (m^3)",INDIRECT("'"&amp;$H$3&amp;"'!$F$49:$F$78"),0))),IF(INDIRECT("'"&amp;$H$3&amp;"'!W143")="Point-to-point",('3_Outputs'!W$149*W168)/(W183*INDEX(INDIRECT("'"&amp;$H$3&amp;"'!$H$49:$H$78"),MATCH(INDIRECT("'"&amp;$H$3&amp;"'!W136")&amp;"Delivery Capacity (m^3)",INDIRECT("'"&amp;$H$3&amp;"'!$F$49:$F$78"),0))),0)),0)</f>
        <v>0</v>
      </c>
      <c r="X172" s="1473"/>
      <c r="Y172" s="36"/>
      <c r="Z172" s="36"/>
      <c r="AA172" s="36"/>
      <c r="AB172" s="36"/>
      <c r="AC172" s="36"/>
      <c r="AD172" s="36"/>
      <c r="AE172" s="36"/>
      <c r="AF172" s="36"/>
      <c r="AG172" s="36"/>
      <c r="AH172" s="36"/>
      <c r="AI172" s="36"/>
      <c r="AJ172" s="36"/>
      <c r="AK172" s="36" t="s">
        <v>198</v>
      </c>
      <c r="AL172" s="36"/>
      <c r="AM172" s="36"/>
      <c r="AN172" s="36"/>
    </row>
    <row r="173" spans="6:40" ht="15" customHeight="1" outlineLevel="1">
      <c r="F173" s="52"/>
      <c r="G173" s="51" t="s">
        <v>201</v>
      </c>
      <c r="H173" s="839"/>
      <c r="I173" s="839"/>
      <c r="J173" s="839"/>
      <c r="K173" s="839">
        <f ca="1">IFERROR((K171+IF(INDIRECT("'"&amp;$H$3&amp;"'!K205")="Yes",K281,0)+IF(INDIRECT("'"&amp;$H$3&amp;"'!K269")="Yes",K370,0))/(INDIRECT("'"&amp;$H$3&amp;"'!K140")*INDIRECT("'"&amp;$H$3&amp;"'!$H$9")),0)</f>
        <v>0.89166666666666672</v>
      </c>
      <c r="L173" s="839"/>
      <c r="M173" s="839"/>
      <c r="N173" s="1821">
        <f ca="1">IFERROR((N171+IF(INDIRECT("'"&amp;$H$3&amp;"'!N205")="Yes",N281,0)+IF(INDIRECT("'"&amp;$H$3&amp;"'!N269")="Yes",N370,0))/(INDIRECT("'"&amp;$H$3&amp;"'!N140")*INDIRECT("'"&amp;$H$3&amp;"'!$H$9")),0)</f>
        <v>0.71770833333333328</v>
      </c>
      <c r="O173" s="839"/>
      <c r="P173" s="839"/>
      <c r="Q173" s="839">
        <f ca="1">IFERROR((Q171+IF(INDIRECT("'"&amp;$H$3&amp;"'!Q205")="Yes",Q281,0)+IF(INDIRECT("'"&amp;$H$3&amp;"'!Q269")="Yes",Q370,0))/(INDIRECT("'"&amp;$H$3&amp;"'!Q140")*INDIRECT("'"&amp;$H$3&amp;"'!$H$9")),0)</f>
        <v>0</v>
      </c>
      <c r="R173" s="839"/>
      <c r="S173" s="839"/>
      <c r="T173" s="839">
        <f ca="1">IFERROR((T171+IF(INDIRECT("'"&amp;$H$3&amp;"'!T205")="Yes",T281,0)+IF(INDIRECT("'"&amp;$H$3&amp;"'!T269")="Yes",T370,0))/(INDIRECT("'"&amp;$H$3&amp;"'!T140")*INDIRECT("'"&amp;$H$3&amp;"'!$H$9")),0)</f>
        <v>0</v>
      </c>
      <c r="U173" s="839"/>
      <c r="V173" s="839"/>
      <c r="W173" s="839">
        <f ca="1">IFERROR((W171+IF(INDIRECT("'"&amp;$H$3&amp;"'!W205")="Yes",W281,0)+IF(INDIRECT("'"&amp;$H$3&amp;"'!W269")="Yes",W370,0))/(INDIRECT("'"&amp;$H$3&amp;"'!W140")*INDIRECT("'"&amp;$H$3&amp;"'!$H$9")),0)</f>
        <v>0</v>
      </c>
      <c r="X173" s="1473"/>
      <c r="Y173" s="36"/>
      <c r="Z173" s="36"/>
      <c r="AA173" s="36"/>
      <c r="AB173" s="36"/>
      <c r="AC173" s="36"/>
      <c r="AD173" s="36"/>
      <c r="AE173" s="36"/>
      <c r="AF173" s="36"/>
      <c r="AG173" s="36"/>
      <c r="AH173" s="36"/>
      <c r="AI173" s="36"/>
      <c r="AJ173" s="36"/>
      <c r="AK173" s="36"/>
      <c r="AL173" s="36"/>
      <c r="AM173" s="36"/>
      <c r="AN173" s="36"/>
    </row>
    <row r="174" spans="6:40" ht="15" customHeight="1" outlineLevel="1">
      <c r="F174" s="52"/>
      <c r="G174" s="1613" t="s">
        <v>133</v>
      </c>
      <c r="H174" s="842"/>
      <c r="I174" s="842"/>
      <c r="J174" s="842"/>
      <c r="K174" s="842"/>
      <c r="L174" s="842"/>
      <c r="M174" s="842"/>
      <c r="N174" s="842"/>
      <c r="O174" s="842"/>
      <c r="P174" s="842"/>
      <c r="Q174" s="842"/>
      <c r="R174" s="1650"/>
      <c r="S174" s="1650"/>
      <c r="T174" s="842"/>
      <c r="U174" s="1650"/>
      <c r="V174" s="1650"/>
      <c r="W174" s="842"/>
      <c r="X174" s="1470"/>
      <c r="Y174" s="36"/>
      <c r="Z174" s="36"/>
      <c r="AA174" s="36"/>
      <c r="AB174" s="36"/>
      <c r="AC174" s="36"/>
      <c r="AD174" s="36"/>
      <c r="AE174" s="36"/>
      <c r="AF174" s="36"/>
      <c r="AG174" s="36"/>
      <c r="AH174" s="36"/>
      <c r="AI174" s="36"/>
      <c r="AJ174" s="36"/>
      <c r="AK174" s="36"/>
      <c r="AL174" s="36"/>
      <c r="AM174" s="36"/>
      <c r="AN174" s="36"/>
    </row>
    <row r="175" spans="6:40" ht="15" customHeight="1" outlineLevel="1">
      <c r="F175" s="52"/>
      <c r="G175" s="51" t="s">
        <v>127</v>
      </c>
      <c r="H175" s="836"/>
      <c r="I175" s="836"/>
      <c r="J175" s="836"/>
      <c r="K175" s="836">
        <f ca="1">IFERROR(INDEX(INDIRECT("'"&amp;$H$3&amp;"'!$H$49:$H$78"),MATCH(INDIRECT("'"&amp;$H$3&amp;"'!K136")&amp;"Delivery Capacity (m^3)",INDIRECT("'"&amp;$H$3&amp;"'!$F$49:$F$78"),0))/('3_Outputs'!K$149/INDIRECT("'"&amp;$H$3&amp;"'!K$96")),0)</f>
        <v>4.6766532700036535E-2</v>
      </c>
      <c r="L175" s="836"/>
      <c r="M175" s="836"/>
      <c r="N175" s="836">
        <f ca="1">IFERROR(INDEX(INDIRECT("'"&amp;$H$3&amp;"'!$H$49:$H$78"),MATCH(INDIRECT("'"&amp;$H$3&amp;"'!N136")&amp;"Delivery Capacity (m^3)",INDIRECT("'"&amp;$H$3&amp;"'!$F$49:$F$78"),0))/(N$149/INDIRECT("'"&amp;$H$3&amp;"'!N$96")),0)</f>
        <v>16.941176470588236</v>
      </c>
      <c r="O175" s="836"/>
      <c r="P175" s="836"/>
      <c r="Q175" s="836">
        <f ca="1">IFERROR(INDEX(INDIRECT("'"&amp;$H$3&amp;"'!$H$49:$H$78"),MATCH(INDIRECT("'"&amp;$H$3&amp;"'!Q136")&amp;"Delivery Capacity (m^3)",INDIRECT("'"&amp;$H$3&amp;"'!$F$49:$F$78"),0))/('3_Outputs'!Q$149/INDIRECT("'"&amp;$H$3&amp;"'!Q$96")),0)</f>
        <v>0</v>
      </c>
      <c r="R175" s="836"/>
      <c r="S175" s="836"/>
      <c r="T175" s="836">
        <f ca="1">IFERROR(INDEX(INDIRECT("'"&amp;$H$3&amp;"'!$H$49:$H$78"),MATCH(INDIRECT("'"&amp;$H$3&amp;"'!T136")&amp;"Delivery Capacity (m^3)",INDIRECT("'"&amp;$H$3&amp;"'!$F$49:$F$78"),0))/('3_Outputs'!T$149/INDIRECT("'"&amp;$H$3&amp;"'!T$96")),0)</f>
        <v>0</v>
      </c>
      <c r="U175" s="836"/>
      <c r="V175" s="836"/>
      <c r="W175" s="836">
        <f ca="1">IFERROR(INDEX(INDIRECT("'"&amp;$H$3&amp;"'!$H$49:$H$78"),MATCH(INDIRECT("'"&amp;$H$3&amp;"'!W136")&amp;"Delivery Capacity (m^3)",INDIRECT("'"&amp;$H$3&amp;"'!$F$49:$F$78"),0))/('3_Outputs'!W$149/INDIRECT("'"&amp;$H$3&amp;"'!W$96")),0)</f>
        <v>0</v>
      </c>
      <c r="X175" s="1465"/>
      <c r="Y175" s="36"/>
      <c r="Z175" s="36">
        <f ca="1">INDEX(INDIRECT("'"&amp;$H$3&amp;"'!$H$49:$H$78"),MATCH(INDIRECT("'"&amp;$H$3&amp;"'!N136")&amp;"Delivery Capacity (m^3)",INDIRECT("'"&amp;$H$3&amp;"'!$F$49:$F$78"),0))</f>
        <v>12</v>
      </c>
      <c r="AA175" s="36"/>
      <c r="AB175" s="36"/>
      <c r="AC175" s="36"/>
      <c r="AD175" s="36"/>
      <c r="AE175" s="36"/>
      <c r="AF175" s="36"/>
      <c r="AG175" s="36"/>
      <c r="AH175" s="36"/>
      <c r="AI175" s="36"/>
      <c r="AJ175" s="36"/>
      <c r="AK175" s="36"/>
      <c r="AL175" s="36"/>
      <c r="AM175" s="36"/>
      <c r="AN175" s="36"/>
    </row>
    <row r="176" spans="6:40" ht="15" customHeight="1" outlineLevel="1" collapsed="1">
      <c r="F176" s="52"/>
      <c r="G176" s="51" t="s">
        <v>128</v>
      </c>
      <c r="H176" s="836"/>
      <c r="I176" s="836"/>
      <c r="J176" s="836"/>
      <c r="K176" s="836">
        <f ca="1">IFERROR(((INDIRECT("'"&amp;$H$3&amp;"'!K144")*INDIRECT("'"&amp;$H$3&amp;"'!$H$10"))-(2*INDIRECT("'"&amp;$H$3&amp;"'!K$98")/INDIRECT("'"&amp;$H$3&amp;"'!K152"))+(INDIRECT("'"&amp;$H$3&amp;"'!K$99")/INDIRECT("'"&amp;$H$3&amp;"'!K151")))/(((1/60)*(INDIRECT("'"&amp;$H$3&amp;"'!K148")+INDIRECT("'"&amp;$H$3&amp;"'!$H$19")*(INDIRECT("'"&amp;$H$3&amp;"'!K149")+(INDIRECT("'"&amp;$H$3&amp;"'!K150")*('3_Outputs'!K$149/INDIRECT("'"&amp;$H$3&amp;"'!K$96")/INDIRECT("'"&amp;$H$3&amp;"'!$H$19"))))))+(INDIRECT("'"&amp;$H$3&amp;"'!K$99")/INDIRECT("'"&amp;$H$3&amp;"'!K151"))),0)</f>
        <v>10.219999999999999</v>
      </c>
      <c r="L176" s="836"/>
      <c r="M176" s="836"/>
      <c r="N176" s="836">
        <f ca="1">IFERROR(((INDIRECT("'"&amp;$H$3&amp;"'!N144")*INDIRECT("'"&amp;$H$3&amp;"'!$H$10"))-(2*INDIRECT("'"&amp;$H$3&amp;"'!N$98")/INDIRECT("'"&amp;$H$3&amp;"'!N152"))+(INDIRECT("'"&amp;$H$3&amp;"'!N$99")/INDIRECT("'"&amp;$H$3&amp;"'!N151")))/(((1/60)*(INDIRECT("'"&amp;$H$3&amp;"'!N148")+INDIRECT("'"&amp;$H$3&amp;"'!$H$19")*(INDIRECT("'"&amp;$H$3&amp;"'!N149")+(INDIRECT("'"&amp;$H$3&amp;"'!N150")*('3_Outputs'!N$149/INDIRECT("'"&amp;$H$3&amp;"'!N$96")/INDIRECT("'"&amp;$H$3&amp;"'!$H$19"))))))+(INDIRECT("'"&amp;$H$3&amp;"'!N$99")/INDIRECT("'"&amp;$H$3&amp;"'!N151"))),0)</f>
        <v>12.198946602420028</v>
      </c>
      <c r="O176" s="836"/>
      <c r="P176" s="836"/>
      <c r="Q176" s="836">
        <f ca="1">IFERROR(((INDIRECT("'"&amp;$H$3&amp;"'!Q144")*INDIRECT("'"&amp;$H$3&amp;"'!$H$10"))-(2*INDIRECT("'"&amp;$H$3&amp;"'!Q$98")/INDIRECT("'"&amp;$H$3&amp;"'!Q152"))+(INDIRECT("'"&amp;$H$3&amp;"'!Q$99")/INDIRECT("'"&amp;$H$3&amp;"'!Q151")))/(((1/60)*(INDIRECT("'"&amp;$H$3&amp;"'!Q148")+INDIRECT("'"&amp;$H$3&amp;"'!$H$19")*(INDIRECT("'"&amp;$H$3&amp;"'!Q149")+(INDIRECT("'"&amp;$H$3&amp;"'!Q150")*('3_Outputs'!Q$149/INDIRECT("'"&amp;$H$3&amp;"'!Q$96")/INDIRECT("'"&amp;$H$3&amp;"'!$H$19"))))))+(INDIRECT("'"&amp;$H$3&amp;"'!Q$99")/INDIRECT("'"&amp;$H$3&amp;"'!Q151"))),0)</f>
        <v>0</v>
      </c>
      <c r="R176" s="836"/>
      <c r="S176" s="836"/>
      <c r="T176" s="836">
        <f ca="1">IFERROR(((INDIRECT("'"&amp;$H$3&amp;"'!T144")*INDIRECT("'"&amp;$H$3&amp;"'!$H$10"))-(2*INDIRECT("'"&amp;$H$3&amp;"'!T$98")/INDIRECT("'"&amp;$H$3&amp;"'!T152"))+(INDIRECT("'"&amp;$H$3&amp;"'!T$99")/INDIRECT("'"&amp;$H$3&amp;"'!T151")))/(((1/60)*(INDIRECT("'"&amp;$H$3&amp;"'!T148")+INDIRECT("'"&amp;$H$3&amp;"'!$H$19")*(INDIRECT("'"&amp;$H$3&amp;"'!T149")+(INDIRECT("'"&amp;$H$3&amp;"'!T150")*('3_Outputs'!T$149/INDIRECT("'"&amp;$H$3&amp;"'!T$96")/INDIRECT("'"&amp;$H$3&amp;"'!$H$19"))))))+(INDIRECT("'"&amp;$H$3&amp;"'!T$99")/INDIRECT("'"&amp;$H$3&amp;"'!T151"))),0)</f>
        <v>0</v>
      </c>
      <c r="U176" s="836"/>
      <c r="V176" s="836"/>
      <c r="W176" s="836">
        <f ca="1">IFERROR(((INDIRECT("'"&amp;$H$3&amp;"'!W144")*INDIRECT("'"&amp;$H$3&amp;"'!$H$10"))-(2*INDIRECT("'"&amp;$H$3&amp;"'!W$98")/INDIRECT("'"&amp;$H$3&amp;"'!W152"))+(INDIRECT("'"&amp;$H$3&amp;"'!W$99")/INDIRECT("'"&amp;$H$3&amp;"'!W151")))/(((1/60)*(INDIRECT("'"&amp;$H$3&amp;"'!W148")+INDIRECT("'"&amp;$H$3&amp;"'!$H$19")*(INDIRECT("'"&amp;$H$3&amp;"'!W149")+(INDIRECT("'"&amp;$H$3&amp;"'!W150")*('3_Outputs'!W$149/INDIRECT("'"&amp;$H$3&amp;"'!W$96")/INDIRECT("'"&amp;$H$3&amp;"'!$H$19"))))))+(INDIRECT("'"&amp;$H$3&amp;"'!W$99")/INDIRECT("'"&amp;$H$3&amp;"'!W151"))),0)</f>
        <v>0</v>
      </c>
      <c r="X176" s="1465"/>
      <c r="Y176" s="36"/>
      <c r="Z176" s="36"/>
      <c r="AA176" s="36"/>
      <c r="AB176" s="36"/>
      <c r="AC176" s="36"/>
      <c r="AD176" s="36"/>
      <c r="AE176" s="36"/>
      <c r="AF176" s="36"/>
      <c r="AG176" s="36"/>
      <c r="AH176" s="36"/>
      <c r="AI176" s="36"/>
      <c r="AJ176" s="36"/>
      <c r="AK176" s="36"/>
      <c r="AL176" s="36"/>
      <c r="AM176" s="36"/>
      <c r="AN176" s="36"/>
    </row>
    <row r="177" spans="6:40" ht="15" customHeight="1" outlineLevel="1">
      <c r="F177" s="52"/>
      <c r="G177" s="51" t="s">
        <v>129</v>
      </c>
      <c r="H177" s="836"/>
      <c r="I177" s="836"/>
      <c r="J177" s="836"/>
      <c r="K177" s="836">
        <f ca="1">IFERROR(MIN(K176,K175),0)</f>
        <v>4.6766532700036535E-2</v>
      </c>
      <c r="L177" s="836"/>
      <c r="M177" s="836"/>
      <c r="N177" s="836">
        <f ca="1">IFERROR(MIN(N176,N175),0)</f>
        <v>12.198946602420028</v>
      </c>
      <c r="O177" s="836"/>
      <c r="P177" s="836"/>
      <c r="Q177" s="836">
        <f ca="1">IFERROR(MIN(Q176,Q175),0)</f>
        <v>0</v>
      </c>
      <c r="R177" s="836"/>
      <c r="S177" s="836"/>
      <c r="T177" s="836">
        <f ca="1">IFERROR(MIN(T176,T175),0)</f>
        <v>0</v>
      </c>
      <c r="U177" s="836"/>
      <c r="V177" s="836"/>
      <c r="W177" s="836">
        <f ca="1">IFERROR(MIN(W176,W175),0)</f>
        <v>0</v>
      </c>
      <c r="X177" s="1465"/>
      <c r="Y177" s="36"/>
      <c r="Z177" s="36"/>
      <c r="AA177" s="36"/>
      <c r="AB177" s="36"/>
      <c r="AC177" s="36"/>
      <c r="AD177" s="36"/>
      <c r="AE177" s="36"/>
      <c r="AF177" s="36"/>
      <c r="AG177" s="36"/>
      <c r="AH177" s="36"/>
      <c r="AI177" s="36"/>
      <c r="AJ177" s="36"/>
      <c r="AK177" s="36"/>
      <c r="AL177" s="36"/>
      <c r="AM177" s="36"/>
      <c r="AN177" s="36"/>
    </row>
    <row r="178" spans="6:40" ht="15" customHeight="1" outlineLevel="1">
      <c r="F178" s="52"/>
      <c r="G178" s="51" t="s">
        <v>188</v>
      </c>
      <c r="H178" s="836"/>
      <c r="I178" s="836"/>
      <c r="J178" s="836"/>
      <c r="K178" s="836">
        <f ca="1">IFERROR(ROUND(K168*INDIRECT("'"&amp;$H$3&amp;"'!K$96")/K177,0),0)</f>
        <v>257</v>
      </c>
      <c r="L178" s="836"/>
      <c r="M178" s="836"/>
      <c r="N178" s="836">
        <f ca="1">IFERROR(ROUND(N168*INDIRECT("'"&amp;$H$3&amp;"'!N$96")/N177,0),0)</f>
        <v>339</v>
      </c>
      <c r="O178" s="836"/>
      <c r="P178" s="836"/>
      <c r="Q178" s="836">
        <f ca="1">IFERROR(ROUND(Q168*INDIRECT("'"&amp;$H$3&amp;"'!Q$96")/Q177,0),0)</f>
        <v>0</v>
      </c>
      <c r="R178" s="836"/>
      <c r="S178" s="836"/>
      <c r="T178" s="836">
        <f ca="1">IFERROR(ROUND(T168*INDIRECT("'"&amp;$H$3&amp;"'!T$96")/T177,0),0)</f>
        <v>0</v>
      </c>
      <c r="U178" s="836"/>
      <c r="V178" s="836"/>
      <c r="W178" s="836">
        <f ca="1">IFERROR(ROUND(W168*INDIRECT("'"&amp;$H$3&amp;"'!W$96")/W177,0),0)</f>
        <v>0</v>
      </c>
      <c r="X178" s="1465"/>
      <c r="Y178" s="36"/>
      <c r="Z178" s="36"/>
      <c r="AA178" s="36"/>
      <c r="AB178" s="36"/>
      <c r="AC178" s="36"/>
      <c r="AD178" s="36"/>
      <c r="AE178" s="36"/>
      <c r="AF178" s="36"/>
      <c r="AG178" s="36"/>
      <c r="AH178" s="36"/>
      <c r="AI178" s="36"/>
      <c r="AJ178" s="36"/>
      <c r="AK178" s="36"/>
      <c r="AL178" s="36"/>
      <c r="AM178" s="36"/>
      <c r="AN178" s="36"/>
    </row>
    <row r="179" spans="6:40" ht="15" customHeight="1" outlineLevel="1">
      <c r="F179" s="52"/>
      <c r="G179" s="51" t="s">
        <v>88</v>
      </c>
      <c r="H179" s="836"/>
      <c r="I179" s="836"/>
      <c r="J179" s="836"/>
      <c r="K179" s="836">
        <f ca="1">IFERROR(IF(K168=0,0,(2*INDIRECT("'"&amp;$H$3&amp;"'!K$98"))+((MAX(K177,1)-1)*INDIRECT("'"&amp;$H$3&amp;"'!K$99"))),0)</f>
        <v>578</v>
      </c>
      <c r="L179" s="836"/>
      <c r="M179" s="836"/>
      <c r="N179" s="836">
        <f ca="1">IFERROR(IF(N168=0,0,(2*INDIRECT("'"&amp;$H$3&amp;"'!N$98"))+((MAX(N177,1)-1)*INDIRECT("'"&amp;$H$3&amp;"'!N$99"))),0)</f>
        <v>484.63020222418129</v>
      </c>
      <c r="O179" s="836"/>
      <c r="P179" s="836"/>
      <c r="Q179" s="836">
        <f ca="1">IFERROR(IF(Q168=0,0,(2*INDIRECT("'"&amp;$H$3&amp;"'!Q$98"))+((MAX(Q177,1)-1)*INDIRECT("'"&amp;$H$3&amp;"'!Q$99"))),0)</f>
        <v>0</v>
      </c>
      <c r="R179" s="836"/>
      <c r="S179" s="836"/>
      <c r="T179" s="836">
        <f ca="1">IFERROR(IF(T168=0,0,(2*INDIRECT("'"&amp;$H$3&amp;"'!T$98"))+((MAX(T177,1)-1)*INDIRECT("'"&amp;$H$3&amp;"'!T$99"))),0)</f>
        <v>0</v>
      </c>
      <c r="U179" s="836"/>
      <c r="V179" s="836"/>
      <c r="W179" s="836">
        <f ca="1">IFERROR(IF(W168=0,0,(2*INDIRECT("'"&amp;$H$3&amp;"'!W$98"))+((MAX(W177,1)-1)*INDIRECT("'"&amp;$H$3&amp;"'!W$99"))),0)</f>
        <v>0</v>
      </c>
      <c r="X179" s="1465"/>
      <c r="Y179" s="36"/>
      <c r="Z179" s="36"/>
      <c r="AA179" s="36"/>
      <c r="AB179" s="36"/>
      <c r="AC179" s="36"/>
      <c r="AD179" s="36"/>
      <c r="AE179" s="36"/>
      <c r="AF179" s="36"/>
      <c r="AG179" s="36"/>
      <c r="AH179" s="36"/>
      <c r="AI179" s="36"/>
      <c r="AJ179" s="36"/>
      <c r="AK179" s="36"/>
      <c r="AL179" s="36"/>
      <c r="AM179" s="36"/>
      <c r="AN179" s="36"/>
    </row>
    <row r="180" spans="6:40" ht="15" customHeight="1" outlineLevel="1">
      <c r="F180" s="52"/>
      <c r="G180" s="51" t="s">
        <v>199</v>
      </c>
      <c r="H180" s="836"/>
      <c r="I180" s="836"/>
      <c r="J180" s="836"/>
      <c r="K180" s="836">
        <f ca="1">IFERROR((ROUNDUP(K177,0)*(1/60)*INDIRECT("'"&amp;$H$3&amp;"'!K148"))+(K177*((1/60)*(INDIRECT("'"&amp;$H$3&amp;"'!$H$19")*(INDIRECT("'"&amp;$H$3&amp;"'!K149")+(INDIRECT("'"&amp;$H$3&amp;"'!K150")*('3_Outputs'!K$149/INDIRECT("'"&amp;$H$3&amp;"'!K$96")/INDIRECT("'"&amp;$H$3&amp;"'!$H$19")))))))+((2*INDIRECT("'"&amp;$H$3&amp;"'!K$98"))/INDIRECT("'"&amp;$H$3&amp;"'!K152"))+(((MAX(K177,1)-1)*INDIRECT("'"&amp;$H$3&amp;"'!K$99"))/INDIRECT("'"&amp;$H$3&amp;"'!K151")),0)</f>
        <v>6.78</v>
      </c>
      <c r="L180" s="836"/>
      <c r="M180" s="836"/>
      <c r="N180" s="836">
        <f ca="1">IFERROR((ROUNDUP(N177,0)*(1/60)*INDIRECT("'"&amp;$H$3&amp;"'!N148"))+(N177*((1/60)*(INDIRECT("'"&amp;$H$3&amp;"'!$H$19")*(INDIRECT("'"&amp;$H$3&amp;"'!N149")+(INDIRECT("'"&amp;$H$3&amp;"'!N150")*('3_Outputs'!N$149/INDIRECT("'"&amp;$H$3&amp;"'!N$96")/INDIRECT("'"&amp;$H$3&amp;"'!$H$19")))))))+((2*INDIRECT("'"&amp;$H$3&amp;"'!N$98"))/INDIRECT("'"&amp;$H$3&amp;"'!N152"))+(((MAX(N177,1)-1)*INDIRECT("'"&amp;$H$3&amp;"'!N$99"))/INDIRECT("'"&amp;$H$3&amp;"'!N151")),0)</f>
        <v>16.267017799193326</v>
      </c>
      <c r="O180" s="836"/>
      <c r="P180" s="836"/>
      <c r="Q180" s="836">
        <f ca="1">IFERROR((ROUNDUP(Q177,0)*(1/60)*INDIRECT("'"&amp;$H$3&amp;"'!Q148"))+(Q177*((1/60)*(INDIRECT("'"&amp;$H$3&amp;"'!$H$19")*(INDIRECT("'"&amp;$H$3&amp;"'!Q149")+(INDIRECT("'"&amp;$H$3&amp;"'!Q150")*('3_Outputs'!Q$149/INDIRECT("'"&amp;$H$3&amp;"'!Q$96")/INDIRECT("'"&amp;$H$3&amp;"'!$H$19")))))))+((2*INDIRECT("'"&amp;$H$3&amp;"'!Q$98"))/INDIRECT("'"&amp;$H$3&amp;"'!Q152"))+(((MAX(Q177,1)-1)*INDIRECT("'"&amp;$H$3&amp;"'!Q$99"))/INDIRECT("'"&amp;$H$3&amp;"'!Q151")),0)</f>
        <v>0</v>
      </c>
      <c r="R180" s="836"/>
      <c r="S180" s="836"/>
      <c r="T180" s="836">
        <f ca="1">IFERROR((ROUNDUP(T177,0)*(1/60)*INDIRECT("'"&amp;$H$3&amp;"'!T148"))+(T177*((1/60)*(INDIRECT("'"&amp;$H$3&amp;"'!$H$19")*(INDIRECT("'"&amp;$H$3&amp;"'!T149")+(INDIRECT("'"&amp;$H$3&amp;"'!T150")*('3_Outputs'!T$149/INDIRECT("'"&amp;$H$3&amp;"'!T$96")/INDIRECT("'"&amp;$H$3&amp;"'!$H$19")))))))+((2*INDIRECT("'"&amp;$H$3&amp;"'!T$98"))/INDIRECT("'"&amp;$H$3&amp;"'!T152"))+(((MAX(T177,1)-1)*INDIRECT("'"&amp;$H$3&amp;"'!T$99"))/INDIRECT("'"&amp;$H$3&amp;"'!T151")),0)</f>
        <v>0</v>
      </c>
      <c r="U180" s="836"/>
      <c r="V180" s="836"/>
      <c r="W180" s="836">
        <f ca="1">IFERROR((ROUNDUP(W177,0)*(1/60)*INDIRECT("'"&amp;$H$3&amp;"'!W148"))+(W177*((1/60)*(INDIRECT("'"&amp;$H$3&amp;"'!$H$19")*(INDIRECT("'"&amp;$H$3&amp;"'!W149")+(INDIRECT("'"&amp;$H$3&amp;"'!W150")*('3_Outputs'!W$149/INDIRECT("'"&amp;$H$3&amp;"'!W$96")/INDIRECT("'"&amp;$H$3&amp;"'!$H$19")))))))+((2*INDIRECT("'"&amp;$H$3&amp;"'!W$98"))/INDIRECT("'"&amp;$H$3&amp;"'!W152"))+(((MAX(W177,1)-1)*INDIRECT("'"&amp;$H$3&amp;"'!W$99"))/INDIRECT("'"&amp;$H$3&amp;"'!W151")),0)</f>
        <v>0</v>
      </c>
      <c r="X180" s="1465"/>
      <c r="Y180" s="36"/>
      <c r="Z180" s="36"/>
      <c r="AA180" s="36"/>
      <c r="AB180" s="36"/>
      <c r="AC180" s="36"/>
      <c r="AD180" s="36"/>
      <c r="AE180" s="36"/>
      <c r="AF180" s="36"/>
      <c r="AG180" s="36"/>
      <c r="AH180" s="36"/>
      <c r="AI180" s="36"/>
      <c r="AJ180" s="36"/>
      <c r="AK180" s="36" t="s">
        <v>205</v>
      </c>
      <c r="AL180" s="36"/>
      <c r="AM180" s="36"/>
      <c r="AN180" s="36"/>
    </row>
    <row r="181" spans="6:40" ht="15" customHeight="1" outlineLevel="1">
      <c r="F181" s="52"/>
      <c r="G181" s="51" t="s">
        <v>200</v>
      </c>
      <c r="H181" s="836"/>
      <c r="I181" s="836"/>
      <c r="J181" s="836"/>
      <c r="K181" s="836">
        <f ca="1">IFERROR((INDIRECT("'"&amp;$H$3&amp;"'!$H$10")*INDIRECT("'"&amp;$H$3&amp;"'!$H$9")*INDIRECT("'"&amp;$H$3&amp;"'!K140"))/K180,0)</f>
        <v>283.18584070796459</v>
      </c>
      <c r="L181" s="836"/>
      <c r="M181" s="836"/>
      <c r="N181" s="836">
        <f ca="1">IFERROR((INDIRECT("'"&amp;$H$3&amp;"'!$H$10")*INDIRECT("'"&amp;$H$3&amp;"'!$H$9")*INDIRECT("'"&amp;$H$3&amp;"'!N140"))/N180,0)</f>
        <v>472.12095633047426</v>
      </c>
      <c r="O181" s="836"/>
      <c r="P181" s="836"/>
      <c r="Q181" s="836">
        <f ca="1">IFERROR((INDIRECT("'"&amp;$H$3&amp;"'!$H$10")*INDIRECT("'"&amp;$H$3&amp;"'!$H$9")*INDIRECT("'"&amp;$H$3&amp;"'!Q140"))/Q180,0)</f>
        <v>0</v>
      </c>
      <c r="R181" s="836"/>
      <c r="S181" s="836"/>
      <c r="T181" s="836">
        <f ca="1">IFERROR((INDIRECT("'"&amp;$H$3&amp;"'!$H$10")*INDIRECT("'"&amp;$H$3&amp;"'!$H$9")*INDIRECT("'"&amp;$H$3&amp;"'!T140"))/T180,0)</f>
        <v>0</v>
      </c>
      <c r="U181" s="836"/>
      <c r="V181" s="836"/>
      <c r="W181" s="836">
        <f ca="1">IFERROR((INDIRECT("'"&amp;$H$3&amp;"'!$H$10")*INDIRECT("'"&amp;$H$3&amp;"'!$H$9")*INDIRECT("'"&amp;$H$3&amp;"'!W140"))/W180,0)</f>
        <v>0</v>
      </c>
      <c r="X181" s="1465"/>
      <c r="Y181" s="36"/>
      <c r="Z181" s="36"/>
      <c r="AA181" s="36"/>
      <c r="AB181" s="36"/>
      <c r="AC181" s="36"/>
      <c r="AD181" s="36"/>
      <c r="AE181" s="36"/>
      <c r="AF181" s="36"/>
      <c r="AG181" s="36"/>
      <c r="AH181" s="36"/>
      <c r="AI181" s="36"/>
      <c r="AJ181" s="36"/>
      <c r="AK181" s="36"/>
      <c r="AL181" s="36"/>
      <c r="AM181" s="36"/>
      <c r="AN181" s="36"/>
    </row>
    <row r="182" spans="6:40" ht="15" customHeight="1" outlineLevel="1">
      <c r="F182" s="52"/>
      <c r="G182" s="1613" t="s">
        <v>134</v>
      </c>
      <c r="H182" s="842"/>
      <c r="I182" s="842"/>
      <c r="J182" s="842"/>
      <c r="K182" s="842"/>
      <c r="L182" s="842"/>
      <c r="M182" s="842"/>
      <c r="N182" s="842"/>
      <c r="O182" s="842"/>
      <c r="P182" s="842"/>
      <c r="Q182" s="842"/>
      <c r="R182" s="1650"/>
      <c r="S182" s="1650"/>
      <c r="T182" s="842"/>
      <c r="U182" s="1650"/>
      <c r="V182" s="1650"/>
      <c r="W182" s="842"/>
      <c r="X182" s="1470"/>
      <c r="Y182" s="36"/>
      <c r="Z182" s="36"/>
      <c r="AA182" s="4"/>
      <c r="AB182" s="36"/>
      <c r="AC182" s="36"/>
      <c r="AD182" s="36"/>
      <c r="AE182" s="36"/>
      <c r="AF182" s="36"/>
      <c r="AG182" s="36"/>
      <c r="AH182" s="36"/>
      <c r="AI182" s="36"/>
      <c r="AJ182" s="36"/>
      <c r="AK182" s="36"/>
      <c r="AL182" s="36"/>
      <c r="AM182" s="36"/>
      <c r="AN182" s="36"/>
    </row>
    <row r="183" spans="6:40" ht="15" customHeight="1" outlineLevel="1">
      <c r="F183" s="52"/>
      <c r="G183" s="51" t="s">
        <v>188</v>
      </c>
      <c r="H183" s="836"/>
      <c r="I183" s="836"/>
      <c r="J183" s="836"/>
      <c r="K183" s="836">
        <f ca="1">IFERROR(K168*INDIRECT("'"&amp;$H$3&amp;"'!K$96")*MAX(1,ROUND(('3_Outputs'!K$149/INDIRECT("'"&amp;$H$3&amp;"'!K$96"))/INDEX(INDIRECT("'"&amp;$H$3&amp;"'!$H$49:$H$78"),MATCH(INDIRECT("'"&amp;$H$3&amp;"'!K136")&amp;"Delivery Capacity (m^3)",INDIRECT("'"&amp;$H$3&amp;"'!$F$49:$F$78"),0)),0)),0)</f>
        <v>252</v>
      </c>
      <c r="L183" s="836"/>
      <c r="M183" s="836"/>
      <c r="N183" s="836">
        <f ca="1">IFERROR(N168*INDIRECT("'"&amp;$H$3&amp;"'!N$96")*MAX(1,ROUND(('3_Outputs'!N$149/INDIRECT("'"&amp;$H$3&amp;"'!N$96"))/INDEX(INDIRECT("'"&amp;$H$3&amp;"'!$H$49:$H$78"),MATCH(INDIRECT("'"&amp;$H$3&amp;"'!N136")&amp;"Delivery Capacity (m^3)",INDIRECT("'"&amp;$H$3&amp;"'!$F$49:$F$78"),0)),0)),0)</f>
        <v>4140</v>
      </c>
      <c r="O183" s="836"/>
      <c r="P183" s="836"/>
      <c r="Q183" s="836">
        <f ca="1">IFERROR(Q168*INDIRECT("'"&amp;$H$3&amp;"'!Q$96")*MAX(1,ROUND(('3_Outputs'!Q$149/INDIRECT("'"&amp;$H$3&amp;"'!Q$96"))/INDEX(INDIRECT("'"&amp;$H$3&amp;"'!$H$49:$H$78"),MATCH(INDIRECT("'"&amp;$H$3&amp;"'!Q136")&amp;"Delivery Capacity (m^3)",INDIRECT("'"&amp;$H$3&amp;"'!$F$49:$F$78"),0)),0)),0)</f>
        <v>0</v>
      </c>
      <c r="R183" s="836"/>
      <c r="S183" s="836"/>
      <c r="T183" s="836">
        <f ca="1">IFERROR(T168*INDIRECT("'"&amp;$H$3&amp;"'!T$96")*MAX(1,ROUND(('3_Outputs'!T$149/INDIRECT("'"&amp;$H$3&amp;"'!T$96"))/INDEX(INDIRECT("'"&amp;$H$3&amp;"'!$H$49:$H$78"),MATCH(INDIRECT("'"&amp;$H$3&amp;"'!T136")&amp;"Delivery Capacity (m^3)",INDIRECT("'"&amp;$H$3&amp;"'!$F$49:$F$78"),0)),0)),0)</f>
        <v>0</v>
      </c>
      <c r="U183" s="836"/>
      <c r="V183" s="836"/>
      <c r="W183" s="836">
        <f ca="1">IFERROR(W168*INDIRECT("'"&amp;$H$3&amp;"'!W$96")*MAX(1,ROUND(('3_Outputs'!W$149/INDIRECT("'"&amp;$H$3&amp;"'!W$96"))/INDEX(INDIRECT("'"&amp;$H$3&amp;"'!$H$49:$H$78"),MATCH(INDIRECT("'"&amp;$H$3&amp;"'!W136")&amp;"Delivery Capacity (m^3)",INDIRECT("'"&amp;$H$3&amp;"'!$F$49:$F$78"),0)),0)),0)</f>
        <v>0</v>
      </c>
      <c r="X183" s="1465"/>
      <c r="Y183" s="36"/>
      <c r="Z183" s="36"/>
      <c r="AA183" s="36"/>
      <c r="AB183" s="36"/>
      <c r="AC183" s="36"/>
      <c r="AD183" s="36"/>
      <c r="AE183" s="36"/>
      <c r="AF183" s="36"/>
      <c r="AG183" s="36"/>
      <c r="AH183" s="36"/>
      <c r="AI183" s="36"/>
      <c r="AJ183" s="36"/>
      <c r="AK183" s="36"/>
      <c r="AL183" s="36"/>
      <c r="AM183" s="36"/>
      <c r="AN183" s="36"/>
    </row>
    <row r="184" spans="6:40" ht="15" customHeight="1" outlineLevel="1">
      <c r="F184" s="52"/>
      <c r="G184" s="51" t="s">
        <v>88</v>
      </c>
      <c r="H184" s="836"/>
      <c r="I184" s="836"/>
      <c r="J184" s="836"/>
      <c r="K184" s="836">
        <f ca="1">IFERROR(IF(K168=0,0,2*INDIRECT("'"&amp;$H$3&amp;"'!K$98")),0)</f>
        <v>578</v>
      </c>
      <c r="L184" s="836"/>
      <c r="M184" s="836"/>
      <c r="N184" s="1654">
        <f ca="1">IFERROR(IF(N168=0,0,2*INDIRECT("'"&amp;$H$3&amp;"'!N$98")),0)</f>
        <v>248.38412077024208</v>
      </c>
      <c r="O184" s="836"/>
      <c r="P184" s="836"/>
      <c r="Q184" s="836">
        <f ca="1">IFERROR(IF(Q168=0,0,2*INDIRECT("'"&amp;$H$3&amp;"'!Q$98")),0)</f>
        <v>0</v>
      </c>
      <c r="R184" s="836"/>
      <c r="S184" s="836"/>
      <c r="T184" s="836">
        <f ca="1">IFERROR(IF(T168=0,0,2*INDIRECT("'"&amp;$H$3&amp;"'!T$98")),0)</f>
        <v>0</v>
      </c>
      <c r="U184" s="836"/>
      <c r="V184" s="836"/>
      <c r="W184" s="836">
        <f ca="1">IFERROR(IF(W168=0,0,2*INDIRECT("'"&amp;$H$3&amp;"'!W$98")),0)</f>
        <v>0</v>
      </c>
      <c r="X184" s="1465"/>
      <c r="Y184" s="36"/>
      <c r="Z184" s="36"/>
      <c r="AA184" s="36"/>
      <c r="AB184" s="36"/>
      <c r="AC184" s="36"/>
      <c r="AD184" s="36"/>
      <c r="AE184" s="36"/>
      <c r="AF184" s="36"/>
      <c r="AG184" s="36"/>
      <c r="AH184" s="36"/>
      <c r="AI184" s="36"/>
      <c r="AJ184" s="36"/>
      <c r="AK184" s="36"/>
      <c r="AL184" s="36"/>
      <c r="AM184" s="36"/>
      <c r="AN184" s="36"/>
    </row>
    <row r="185" spans="6:40" ht="15" customHeight="1" outlineLevel="1">
      <c r="F185" s="52"/>
      <c r="G185" s="51" t="s">
        <v>200</v>
      </c>
      <c r="H185" s="839"/>
      <c r="I185" s="839"/>
      <c r="J185" s="839"/>
      <c r="K185" s="839">
        <f ca="1">(INDIRECT("'"&amp;$H$3&amp;"'!$H$10")*INDIRECT("'"&amp;$H$3&amp;"'!$H$9")*INDIRECT("'"&amp;$H$3&amp;"'!K140"))/((K184/INDIRECT("'"&amp;$H$3&amp;"'!K152"))+((1/60)*(INDIRECT("'"&amp;$H$3&amp;"'!K148")+INDIRECT("'"&amp;$H$3&amp;"'!$H$19")*(INDIRECT("'"&amp;$H$3&amp;"'!K149")+(INDIRECT("'"&amp;$H$3&amp;"'!K150")*(MIN(('3_Outputs'!K$149/INDIRECT("'"&amp;$H$3&amp;"'!K$96")),INDEX(INDIRECT("'"&amp;$H$3&amp;"'!$H$49:$H$78"),MATCH(INDIRECT("'"&amp;$H$3&amp;"'!K136")&amp;"Delivery Capacity (m^3)",INDIRECT("'"&amp;$H$3&amp;"'!$F$49:$F$78"),0)))/INDIRECT("'"&amp;$H$3&amp;"'!$H$19")))))))</f>
        <v>283.18584070796459</v>
      </c>
      <c r="L185" s="839"/>
      <c r="M185" s="839"/>
      <c r="N185" s="839">
        <f ca="1">IFERROR((INDIRECT("'"&amp;$H$3&amp;"'!$H$10")*INDIRECT("'"&amp;$H$3&amp;"'!$H$9")*INDIRECT("'"&amp;$H$3&amp;"'!N140"))/((N184/INDIRECT("'"&amp;$H$3&amp;"'!N152"))+((1/60)*(INDIRECT("'"&amp;$H$3&amp;"'!N148")+INDIRECT("'"&amp;$H$3&amp;"'!$H$19")*(INDIRECT("'"&amp;$H$3&amp;"'!N149")+(INDIRECT("'"&amp;$H$3&amp;"'!N150")*(MIN(('3_Outputs'!N$149/INDIRECT("'"&amp;$H$3&amp;"'!N$96")),INDEX(INDIRECT("'"&amp;$H$3&amp;"'!$H$49:$H$78"),MATCH(INDIRECT("'"&amp;$H$3&amp;"'!N136")&amp;"Delivery Capacity (m^3)",INDIRECT("'"&amp;$H$3&amp;"'!$F$49:$F$78"),0)))/INDIRECT("'"&amp;$H$3&amp;"'!$H$19"))))))),0)</f>
        <v>2726.1356682487958</v>
      </c>
      <c r="O185" s="839"/>
      <c r="P185" s="839"/>
      <c r="Q185" s="839">
        <f ca="1">IFERROR((INDIRECT("'"&amp;$H$3&amp;"'!$H$10")*INDIRECT("'"&amp;$H$3&amp;"'!$H$9")*INDIRECT("'"&amp;$H$3&amp;"'!Q140"))/((Q184/INDIRECT("'"&amp;$H$3&amp;"'!Q152"))+((1/60)*(INDIRECT("'"&amp;$H$3&amp;"'!Q148")+INDIRECT("'"&amp;$H$3&amp;"'!$H$19")*(INDIRECT("'"&amp;$H$3&amp;"'!Q149")+(INDIRECT("'"&amp;$H$3&amp;"'!Q150")*(MIN(('3_Outputs'!Q$149/INDIRECT("'"&amp;$H$3&amp;"'!Q$96")),INDEX(INDIRECT("'"&amp;$H$3&amp;"'!$H$49:$H$78"),MATCH(INDIRECT("'"&amp;$H$3&amp;"'!Q136")&amp;"Delivery Capacity (m^3)",INDIRECT("'"&amp;$H$3&amp;"'!$F$49:$F$78"),0)))/INDIRECT("'"&amp;$H$3&amp;"'!$H$19"))))))),0)</f>
        <v>0</v>
      </c>
      <c r="R185" s="839"/>
      <c r="S185" s="839"/>
      <c r="T185" s="839">
        <f ca="1">IFERROR((INDIRECT("'"&amp;$H$3&amp;"'!$H$10")*INDIRECT("'"&amp;$H$3&amp;"'!$H$9")*INDIRECT("'"&amp;$H$3&amp;"'!T140"))/((T184/INDIRECT("'"&amp;$H$3&amp;"'!T152"))+((1/60)*(INDIRECT("'"&amp;$H$3&amp;"'!T148")+INDIRECT("'"&amp;$H$3&amp;"'!$H$19")*(INDIRECT("'"&amp;$H$3&amp;"'!T149")+(INDIRECT("'"&amp;$H$3&amp;"'!T150")*(MIN(('3_Outputs'!T$149/INDIRECT("'"&amp;$H$3&amp;"'!T$96")),INDEX(INDIRECT("'"&amp;$H$3&amp;"'!$H$49:$H$78"),MATCH(INDIRECT("'"&amp;$H$3&amp;"'!T136")&amp;"Delivery Capacity (m^3)",INDIRECT("'"&amp;$H$3&amp;"'!$F$49:$F$78"),0)))/INDIRECT("'"&amp;$H$3&amp;"'!$H$19"))))))),0)</f>
        <v>0</v>
      </c>
      <c r="U185" s="839"/>
      <c r="V185" s="839"/>
      <c r="W185" s="839">
        <f ca="1">IFERROR((INDIRECT("'"&amp;$H$3&amp;"'!$H$10")*INDIRECT("'"&amp;$H$3&amp;"'!$H$9")*INDIRECT("'"&amp;$H$3&amp;"'!W140"))/((W184/INDIRECT("'"&amp;$H$3&amp;"'!W152"))+((1/60)*(INDIRECT("'"&amp;$H$3&amp;"'!W148")+INDIRECT("'"&amp;$H$3&amp;"'!$H$19")*(INDIRECT("'"&amp;$H$3&amp;"'!W149")+(INDIRECT("'"&amp;$H$3&amp;"'!W150")*(MIN(('3_Outputs'!W$149/INDIRECT("'"&amp;$H$3&amp;"'!W$96")),INDEX(INDIRECT("'"&amp;$H$3&amp;"'!$H$49:$H$78"),MATCH(INDIRECT("'"&amp;$H$3&amp;"'!W136")&amp;"Delivery Capacity (m^3)",INDIRECT("'"&amp;$H$3&amp;"'!$F$49:$F$78"),0)))/INDIRECT("'"&amp;$H$3&amp;"'!$H$19"))))))),0)</f>
        <v>0</v>
      </c>
      <c r="X185" s="1473"/>
      <c r="Y185" s="36"/>
      <c r="Z185" s="4"/>
      <c r="AA185" s="36"/>
      <c r="AB185" s="36"/>
      <c r="AC185" s="36"/>
      <c r="AD185" s="36"/>
      <c r="AE185" s="36"/>
      <c r="AF185" s="36"/>
      <c r="AG185" s="36"/>
      <c r="AH185" s="36"/>
      <c r="AI185" s="36"/>
      <c r="AJ185" s="36"/>
      <c r="AK185" s="36"/>
      <c r="AL185" s="36"/>
      <c r="AM185" s="36"/>
      <c r="AN185" s="36"/>
    </row>
    <row r="186" spans="6:40" ht="48" customHeight="1">
      <c r="F186" s="1638" t="s">
        <v>2501</v>
      </c>
      <c r="G186" s="1639"/>
      <c r="H186" s="1655"/>
      <c r="I186" s="1655"/>
      <c r="J186" s="1655"/>
      <c r="K186" s="1522" t="str">
        <f ca="1">IF($H$9&gt;=2,INDIRECT("'"&amp;$H$3&amp;"'!J$130"),"")</f>
        <v>CMS  to  Regional WH</v>
      </c>
      <c r="L186" s="1522" t="str">
        <f t="shared" ref="L186:V186" ca="1" si="16">IF($H$9&gt;=1,"Tier 1","")</f>
        <v>Tier 1</v>
      </c>
      <c r="M186" s="1522" t="str">
        <f t="shared" ca="1" si="16"/>
        <v>Tier 1</v>
      </c>
      <c r="N186" s="1522" t="str">
        <f ca="1">IF($H$9&gt;=3,INDIRECT("'"&amp;$H$3&amp;"'!M$130"),"")</f>
        <v>Regional WH  to  Health Facility</v>
      </c>
      <c r="O186" s="1522" t="str">
        <f t="shared" ca="1" si="16"/>
        <v>Tier 1</v>
      </c>
      <c r="P186" s="1522" t="str">
        <f t="shared" ca="1" si="16"/>
        <v>Tier 1</v>
      </c>
      <c r="Q186" s="1523" t="str">
        <f ca="1">IF($H$9&gt;=4,INDIRECT("'"&amp;$H$3&amp;"'!P$130"),"")</f>
        <v/>
      </c>
      <c r="R186" s="1512" t="str">
        <f t="shared" ca="1" si="16"/>
        <v>Tier 1</v>
      </c>
      <c r="S186" s="1512" t="str">
        <f t="shared" ca="1" si="16"/>
        <v>Tier 1</v>
      </c>
      <c r="T186" s="1523" t="str">
        <f ca="1">IF($H$9&gt;=5,INDIRECT("'"&amp;$H$3&amp;"'!S$130"),"")</f>
        <v/>
      </c>
      <c r="U186" s="1524" t="str">
        <f t="shared" ca="1" si="16"/>
        <v>Tier 1</v>
      </c>
      <c r="V186" s="1524" t="str">
        <f t="shared" ca="1" si="16"/>
        <v>Tier 1</v>
      </c>
      <c r="W186" s="1523" t="str">
        <f ca="1">IF($H$9&gt;=6,INDIRECT("'"&amp;$H$3&amp;"'!V$130"),"")</f>
        <v/>
      </c>
      <c r="X186" s="1474"/>
      <c r="Y186" s="36"/>
      <c r="Z186" s="36"/>
      <c r="AA186" s="36"/>
      <c r="AB186" s="36"/>
      <c r="AC186" s="36"/>
      <c r="AD186" s="36"/>
      <c r="AE186" s="36"/>
      <c r="AF186" s="36"/>
      <c r="AG186" s="36"/>
      <c r="AH186" s="36"/>
      <c r="AI186" s="36"/>
      <c r="AJ186" s="36"/>
      <c r="AK186" s="242"/>
      <c r="AL186" s="36"/>
      <c r="AM186" s="36"/>
      <c r="AN186" s="36"/>
    </row>
    <row r="187" spans="6:40" ht="15" customHeight="1" outlineLevel="1">
      <c r="F187" s="1641"/>
      <c r="G187" s="51" t="s">
        <v>414</v>
      </c>
      <c r="H187" s="836"/>
      <c r="I187" s="836"/>
      <c r="J187" s="836"/>
      <c r="K187" s="836">
        <f ca="1">IFERROR(IF(INDIRECT("'"&amp;$H$3&amp;"'!K133")=0,0,IF(INDIRECT("'"&amp;$H$3&amp;"'!K173")="Yes",'3_Outputs'!K64,IF(OR(AND(INDIRECT("'"&amp;$H$3&amp;"'!K133")&gt;0,INDIRECT("'"&amp;$H$3&amp;"'!K153")="Yes"),AND(INDIRECT("'"&amp;$H$3&amp;"'!K133")&gt;2,INDIRECT("'"&amp;$H$3&amp;"'!K193")="Yes")),'3_Outputs'!K57,'3_Outputs'!K52))),0)</f>
        <v>3079.125</v>
      </c>
      <c r="L187" s="836"/>
      <c r="M187" s="836"/>
      <c r="N187" s="836">
        <f ca="1">IFERROR(IF(INDIRECT("'"&amp;$H$3&amp;"'!N133")=0,0,IF(INDIRECT("'"&amp;$H$3&amp;"'!N173")="Yes",'3_Outputs'!N64,IF(OR(AND(INDIRECT("'"&amp;$H$3&amp;"'!N133")&gt;0,INDIRECT("'"&amp;$H$3&amp;"'!N153")="Yes"),AND(INDIRECT("'"&amp;$H$3&amp;"'!N133")&gt;2,INDIRECT("'"&amp;$H$3&amp;"'!N193")="Yes")),'3_Outputs'!N57,'3_Outputs'!N52))),0)</f>
        <v>8.5</v>
      </c>
      <c r="O187" s="836"/>
      <c r="P187" s="836"/>
      <c r="Q187" s="836">
        <f ca="1">IFERROR(IF(INDIRECT("'"&amp;$H$3&amp;"'!Q133")=0,0,IF(INDIRECT("'"&amp;$H$3&amp;"'!Q173")="Yes",'3_Outputs'!Q64,IF(OR(AND(INDIRECT("'"&amp;$H$3&amp;"'!Q133")&gt;0,INDIRECT("'"&amp;$H$3&amp;"'!Q153")="Yes"),AND(INDIRECT("'"&amp;$H$3&amp;"'!Q133")&gt;2,INDIRECT("'"&amp;$H$3&amp;"'!Q193")="Yes")),'3_Outputs'!Q57,'3_Outputs'!Q52))),0)</f>
        <v>0</v>
      </c>
      <c r="R187" s="836"/>
      <c r="S187" s="836"/>
      <c r="T187" s="836">
        <f ca="1">IFERROR(IF(INDIRECT("'"&amp;$H$3&amp;"'!T133")=0,0,IF(INDIRECT("'"&amp;$H$3&amp;"'!T173")="Yes",'3_Outputs'!T64,IF(OR(AND(INDIRECT("'"&amp;$H$3&amp;"'!T133")&gt;0,INDIRECT("'"&amp;$H$3&amp;"'!T153")="Yes"),AND(INDIRECT("'"&amp;$H$3&amp;"'!T133")&gt;2,INDIRECT("'"&amp;$H$3&amp;"'!T193")="Yes")),'3_Outputs'!T57,'3_Outputs'!T52))),0)</f>
        <v>0</v>
      </c>
      <c r="U187" s="836"/>
      <c r="V187" s="836"/>
      <c r="W187" s="836">
        <f ca="1">IFERROR(IF(INDIRECT("'"&amp;$H$3&amp;"'!W133")=0,0,IF(INDIRECT("'"&amp;$H$3&amp;"'!W173")="Yes",'3_Outputs'!W64,IF(OR(AND(INDIRECT("'"&amp;$H$3&amp;"'!W133")&gt;0,INDIRECT("'"&amp;$H$3&amp;"'!W153")="Yes"),AND(INDIRECT("'"&amp;$H$3&amp;"'!W133")&gt;2,INDIRECT("'"&amp;$H$3&amp;"'!W193")="Yes")),'3_Outputs'!W57,'3_Outputs'!W52))),0)</f>
        <v>0</v>
      </c>
      <c r="X187" s="1465"/>
      <c r="AK187" s="1"/>
    </row>
    <row r="188" spans="6:40" ht="15" customHeight="1" outlineLevel="1">
      <c r="F188" s="1642" t="s">
        <v>387</v>
      </c>
      <c r="G188" s="1614"/>
      <c r="H188" s="848"/>
      <c r="I188" s="848"/>
      <c r="J188" s="848"/>
      <c r="K188" s="848"/>
      <c r="L188" s="848"/>
      <c r="M188" s="848"/>
      <c r="N188" s="848"/>
      <c r="O188" s="848"/>
      <c r="P188" s="848"/>
      <c r="Q188" s="1643"/>
      <c r="R188" s="1644"/>
      <c r="S188" s="1644"/>
      <c r="T188" s="1643"/>
      <c r="U188" s="1644"/>
      <c r="V188" s="1644"/>
      <c r="W188" s="1643"/>
      <c r="X188" s="1466"/>
      <c r="AK188" s="1"/>
    </row>
    <row r="189" spans="6:40" ht="15" customHeight="1" outlineLevel="1">
      <c r="F189" s="1649"/>
      <c r="G189" s="51" t="s">
        <v>390</v>
      </c>
      <c r="H189" s="836"/>
      <c r="I189" s="836"/>
      <c r="J189" s="836"/>
      <c r="K189" s="836">
        <f ca="1">IFERROR(((K$64*INDIRECT("'"&amp;$H$3&amp;"'!K$95"))*(IF(COUNTIF(INDIRECT("'"&amp;$H$3&amp;"'!K156"),"Public Transport*")=1,K194,K206)/INDIRECT("'"&amp;$H$3&amp;"'!K$95")))/IF(COUNTIF(INDIRECT("'"&amp;$H$3&amp;"'!K156"),"Public Transport*")=1,K192,K208),0)</f>
        <v>0</v>
      </c>
      <c r="L189" s="836"/>
      <c r="M189" s="836"/>
      <c r="N189" s="836">
        <f ca="1">IFERROR(((N$64*INDIRECT("'"&amp;$H$3&amp;"'!N$95"))*(IF(COUNTIF(INDIRECT("'"&amp;$H$3&amp;"'!N156"),"Public Transport*")=1,N194,N206)/INDIRECT("'"&amp;$H$3&amp;"'!N$95")))/IF(COUNTIF(INDIRECT("'"&amp;$H$3&amp;"'!N156"),"Public Transport*")=1,N192,N208),0)</f>
        <v>0</v>
      </c>
      <c r="O189" s="836"/>
      <c r="P189" s="836"/>
      <c r="Q189" s="836">
        <f ca="1">IFERROR(((Q$64*INDIRECT("'"&amp;$H$3&amp;"'!Q$95"))*(IF(COUNTIF(INDIRECT("'"&amp;$H$3&amp;"'!Q156"),"Public Transport*")=1,Q194,Q206)/INDIRECT("'"&amp;$H$3&amp;"'!Q$95")))/IF(COUNTIF(INDIRECT("'"&amp;$H$3&amp;"'!Q156"),"Public Transport*")=1,Q192,Q208),0)</f>
        <v>0</v>
      </c>
      <c r="R189" s="1646"/>
      <c r="S189" s="1646"/>
      <c r="T189" s="836">
        <f ca="1">IFERROR(((T$64*INDIRECT("'"&amp;$H$3&amp;"'!T$95"))*(IF(COUNTIF(INDIRECT("'"&amp;$H$3&amp;"'!T156"),"Public Transport*")=1,T194,T206)/INDIRECT("'"&amp;$H$3&amp;"'!T$95")))/IF(COUNTIF(INDIRECT("'"&amp;$H$3&amp;"'!T156"),"Public Transport*")=1,T192,T208),0)</f>
        <v>0</v>
      </c>
      <c r="U189" s="1646"/>
      <c r="V189" s="1646"/>
      <c r="W189" s="836">
        <f ca="1">IFERROR(((W$64*INDIRECT("'"&amp;$H$3&amp;"'!W$95"))*(IF(COUNTIF(INDIRECT("'"&amp;$H$3&amp;"'!W156"),"Public Transport*")=1,W194,W206)/INDIRECT("'"&amp;$H$3&amp;"'!W$95")))/IF(COUNTIF(INDIRECT("'"&amp;$H$3&amp;"'!W156"),"Public Transport*")=1,W192,W208),0)</f>
        <v>0</v>
      </c>
      <c r="X189" s="1465"/>
      <c r="Y189" s="36"/>
      <c r="Z189" s="36"/>
      <c r="AA189" s="36"/>
      <c r="AB189" s="36"/>
      <c r="AC189" s="36"/>
      <c r="AD189" s="36"/>
      <c r="AE189" s="36"/>
      <c r="AF189" s="36"/>
      <c r="AG189" s="36"/>
      <c r="AH189" s="36"/>
      <c r="AI189" s="36"/>
      <c r="AJ189" s="36"/>
      <c r="AK189" s="242"/>
      <c r="AL189" s="36"/>
      <c r="AM189" s="36"/>
      <c r="AN189" s="36"/>
    </row>
    <row r="190" spans="6:40" ht="15" customHeight="1" outlineLevel="1">
      <c r="F190" s="1649"/>
      <c r="G190" s="51" t="s">
        <v>391</v>
      </c>
      <c r="H190" s="836"/>
      <c r="I190" s="836"/>
      <c r="J190" s="836"/>
      <c r="K190" s="836">
        <f ca="1">IFERROR(IF(COUNTIF(INDIRECT("'"&amp;$H$3&amp;"'!K156"),"Public Transport*")=1,(K193/INDIRECT("'"&amp;$H$3&amp;"'!$H$9")),(K209/INDIRECT("'"&amp;$H$3&amp;"'!$H$9"))),0)</f>
        <v>0</v>
      </c>
      <c r="L190" s="836"/>
      <c r="M190" s="836"/>
      <c r="N190" s="836">
        <f ca="1">IFERROR(IF(COUNTIF(INDIRECT("'"&amp;$H$3&amp;"'!N156"),"Public Transport*")=1,(N193/INDIRECT("'"&amp;$H$3&amp;"'!$H$9")),(N209/INDIRECT("'"&amp;$H$3&amp;"'!$H$9"))),0)</f>
        <v>0</v>
      </c>
      <c r="O190" s="836"/>
      <c r="P190" s="836"/>
      <c r="Q190" s="836">
        <f ca="1">IFERROR(IF(COUNTIF(INDIRECT("'"&amp;$H$3&amp;"'!Q156"),"Public Transport*")=1,(Q193/INDIRECT("'"&amp;$H$3&amp;"'!$H$9")),(Q209/INDIRECT("'"&amp;$H$3&amp;"'!$H$9"))),0)</f>
        <v>0</v>
      </c>
      <c r="R190" s="1646"/>
      <c r="S190" s="1646"/>
      <c r="T190" s="836">
        <f ca="1">IFERROR(IF(COUNTIF(INDIRECT("'"&amp;$H$3&amp;"'!T156"),"Public Transport*")=1,(T193/INDIRECT("'"&amp;$H$3&amp;"'!$H$9")),(T209/INDIRECT("'"&amp;$H$3&amp;"'!$H$9"))),0)</f>
        <v>0</v>
      </c>
      <c r="U190" s="1646"/>
      <c r="V190" s="1646"/>
      <c r="W190" s="836">
        <f ca="1">IFERROR(IF(COUNTIF(INDIRECT("'"&amp;$H$3&amp;"'!W156"),"Public Transport*")=1,(W193/INDIRECT("'"&amp;$H$3&amp;"'!$H$9")),(W209/INDIRECT("'"&amp;$H$3&amp;"'!$H$9"))),0)</f>
        <v>0</v>
      </c>
      <c r="X190" s="1465"/>
      <c r="Y190" s="36"/>
      <c r="Z190" s="36"/>
      <c r="AA190" s="36"/>
      <c r="AB190" s="36"/>
      <c r="AC190" s="36"/>
      <c r="AD190" s="36"/>
      <c r="AE190" s="36"/>
      <c r="AF190" s="36"/>
      <c r="AG190" s="36"/>
      <c r="AH190" s="36"/>
      <c r="AI190" s="36"/>
      <c r="AJ190" s="36"/>
      <c r="AK190" s="242"/>
      <c r="AL190" s="36"/>
      <c r="AM190" s="36"/>
      <c r="AN190" s="36"/>
    </row>
    <row r="191" spans="6:40" ht="15" customHeight="1" outlineLevel="1">
      <c r="F191" s="1647" t="s">
        <v>149</v>
      </c>
      <c r="G191" s="1614"/>
      <c r="H191" s="848"/>
      <c r="I191" s="848"/>
      <c r="J191" s="848"/>
      <c r="K191" s="848"/>
      <c r="L191" s="848"/>
      <c r="M191" s="848"/>
      <c r="N191" s="848"/>
      <c r="O191" s="1644"/>
      <c r="P191" s="1644"/>
      <c r="Q191" s="1648"/>
      <c r="R191" s="1650"/>
      <c r="S191" s="1650"/>
      <c r="T191" s="1648"/>
      <c r="U191" s="1650"/>
      <c r="V191" s="1650"/>
      <c r="W191" s="1648"/>
      <c r="X191" s="1467"/>
      <c r="Y191" s="36"/>
      <c r="Z191" s="36"/>
      <c r="AA191" s="36"/>
      <c r="AB191" s="36"/>
      <c r="AC191" s="36"/>
      <c r="AD191" s="36"/>
      <c r="AE191" s="36"/>
      <c r="AF191" s="36"/>
      <c r="AG191" s="36"/>
      <c r="AH191" s="36"/>
      <c r="AI191" s="36"/>
      <c r="AJ191" s="36"/>
      <c r="AK191" s="242"/>
      <c r="AL191" s="36"/>
      <c r="AM191" s="36"/>
      <c r="AN191" s="36"/>
    </row>
    <row r="192" spans="6:40" ht="15" customHeight="1" outlineLevel="1">
      <c r="F192" s="1649"/>
      <c r="G192" s="51" t="s">
        <v>146</v>
      </c>
      <c r="H192" s="837"/>
      <c r="I192" s="837"/>
      <c r="J192" s="837"/>
      <c r="K192" s="837">
        <f ca="1">IFERROR(IF(COUNTIF(INDIRECT("'"&amp;$H$3&amp;"'!K156"),"Public Transport*")=1,IF(INDIRECT("'"&amp;$H$3&amp;"'!K163")="Route-based",K200*INDIRECT("'"&amp;$H$3&amp;"'!K$96"),IF(INDIRECT("'"&amp;$H$3&amp;"'!K163")="Point-to-point",K203*INDIRECT("'"&amp;$H$3&amp;"'!K$96"),0)),0),0)</f>
        <v>0</v>
      </c>
      <c r="L192" s="837"/>
      <c r="M192" s="837"/>
      <c r="N192" s="837">
        <f ca="1">IFERROR(IF(COUNTIF(INDIRECT("'"&amp;$H$3&amp;"'!N156"),"Public Transport*")=1,IF(INDIRECT("'"&amp;$H$3&amp;"'!N163")="Route-based",N200*INDIRECT("'"&amp;$H$3&amp;"'!N$96"),IF(INDIRECT("'"&amp;$H$3&amp;"'!N163")="Point-to-point",N203*INDIRECT("'"&amp;$H$3&amp;"'!N$96"),0)),0),0)</f>
        <v>0</v>
      </c>
      <c r="O192" s="837"/>
      <c r="P192" s="837"/>
      <c r="Q192" s="837">
        <f ca="1">IFERROR(IF(COUNTIF(INDIRECT("'"&amp;$H$3&amp;"'!Q156"),"Public Transport*")=1,IF(INDIRECT("'"&amp;$H$3&amp;"'!Q163")="Route-based",Q200*INDIRECT("'"&amp;$H$3&amp;"'!Q$96"),IF(INDIRECT("'"&amp;$H$3&amp;"'!Q163")="Point-to-point",Q203*INDIRECT("'"&amp;$H$3&amp;"'!Q$96"),0)),0),0)</f>
        <v>0</v>
      </c>
      <c r="R192" s="1650"/>
      <c r="S192" s="1650"/>
      <c r="T192" s="837">
        <f ca="1">IFERROR(IF(COUNTIF(INDIRECT("'"&amp;$H$3&amp;"'!T156"),"Public Transport*")=1,IF(INDIRECT("'"&amp;$H$3&amp;"'!T163")="Route-based",T200*INDIRECT("'"&amp;$H$3&amp;"'!T$96"),IF(INDIRECT("'"&amp;$H$3&amp;"'!T163")="Point-to-point",T203*INDIRECT("'"&amp;$H$3&amp;"'!T$96"),0)),0),0)</f>
        <v>0</v>
      </c>
      <c r="U192" s="1650"/>
      <c r="V192" s="1650"/>
      <c r="W192" s="837">
        <f ca="1">IFERROR(IF(COUNTIF(INDIRECT("'"&amp;$H$3&amp;"'!W156"),"Public Transport*")=1,IF(INDIRECT("'"&amp;$H$3&amp;"'!W163")="Route-based",W200*INDIRECT("'"&amp;$H$3&amp;"'!W$96"),IF(INDIRECT("'"&amp;$H$3&amp;"'!W163")="Point-to-point",W203*INDIRECT("'"&amp;$H$3&amp;"'!W$96"),0)),0),0)</f>
        <v>0</v>
      </c>
      <c r="X192" s="1468"/>
      <c r="Y192" s="36"/>
      <c r="Z192" s="36"/>
      <c r="AA192" s="36"/>
      <c r="AB192" s="36"/>
      <c r="AC192" s="36"/>
      <c r="AD192" s="36"/>
      <c r="AE192" s="36"/>
      <c r="AF192" s="36"/>
      <c r="AG192" s="36"/>
      <c r="AH192" s="36"/>
      <c r="AI192" s="36"/>
      <c r="AJ192" s="36"/>
      <c r="AK192" s="242"/>
      <c r="AL192" s="36"/>
      <c r="AM192" s="36"/>
      <c r="AN192" s="36"/>
    </row>
    <row r="193" spans="6:40" ht="15" customHeight="1" outlineLevel="1">
      <c r="F193" s="1649"/>
      <c r="G193" s="51" t="s">
        <v>147</v>
      </c>
      <c r="H193" s="837"/>
      <c r="I193" s="837"/>
      <c r="J193" s="837"/>
      <c r="K193" s="837">
        <f ca="1">IFERROR(IF(INDIRECT("'"&amp;$H$3&amp;"'!K163")="Route-based",K201*INDIRECT("'"&amp;$H$3&amp;"'!K$96"),IF(INDIRECT("'"&amp;$H$3&amp;"'!K163")="Point-to-point",K204*INDIRECT("'"&amp;$H$3&amp;"'!K$96"),0)),0)</f>
        <v>0</v>
      </c>
      <c r="L193" s="837"/>
      <c r="M193" s="837"/>
      <c r="N193" s="837">
        <f ca="1">IFERROR(IF(INDIRECT("'"&amp;$H$3&amp;"'!N163")="Route-based",N201*INDIRECT("'"&amp;$H$3&amp;"'!N$96"),IF(INDIRECT("'"&amp;$H$3&amp;"'!N163")="Point-to-point",N204*INDIRECT("'"&amp;$H$3&amp;"'!N$96"),0)),0)</f>
        <v>0</v>
      </c>
      <c r="O193" s="837"/>
      <c r="P193" s="837"/>
      <c r="Q193" s="837">
        <f ca="1">IFERROR(IF(INDIRECT("'"&amp;$H$3&amp;"'!Q163")="Route-based",Q201*INDIRECT("'"&amp;$H$3&amp;"'!Q$96"),IF(INDIRECT("'"&amp;$H$3&amp;"'!Q163")="Point-to-point",Q204*INDIRECT("'"&amp;$H$3&amp;"'!Q$96"),0)),0)</f>
        <v>0</v>
      </c>
      <c r="R193" s="1650"/>
      <c r="S193" s="1650"/>
      <c r="T193" s="837">
        <f ca="1">IFERROR(IF(INDIRECT("'"&amp;$H$3&amp;"'!T163")="Route-based",T201*INDIRECT("'"&amp;$H$3&amp;"'!T$96"),IF(INDIRECT("'"&amp;$H$3&amp;"'!T163")="Point-to-point",T204*INDIRECT("'"&amp;$H$3&amp;"'!T$96"),0)),0)</f>
        <v>0</v>
      </c>
      <c r="U193" s="1650"/>
      <c r="V193" s="1650"/>
      <c r="W193" s="837">
        <f ca="1">IFERROR(IF(INDIRECT("'"&amp;$H$3&amp;"'!W163")="Route-based",W201*INDIRECT("'"&amp;$H$3&amp;"'!W$96"),IF(INDIRECT("'"&amp;$H$3&amp;"'!W163")="Point-to-point",W204*INDIRECT("'"&amp;$H$3&amp;"'!W$96"),0)),0)</f>
        <v>0</v>
      </c>
      <c r="X193" s="1468"/>
      <c r="Y193" s="36"/>
      <c r="Z193" s="36"/>
      <c r="AA193" s="36"/>
      <c r="AB193" s="36"/>
      <c r="AC193" s="36"/>
      <c r="AD193" s="36"/>
      <c r="AE193" s="36"/>
      <c r="AF193" s="36"/>
      <c r="AG193" s="36"/>
      <c r="AH193" s="36"/>
      <c r="AI193" s="36"/>
      <c r="AJ193" s="36"/>
      <c r="AK193" s="36"/>
      <c r="AL193" s="36"/>
      <c r="AM193" s="36"/>
      <c r="AN193" s="36"/>
    </row>
    <row r="194" spans="6:40" ht="15" customHeight="1" outlineLevel="1">
      <c r="F194" s="1649"/>
      <c r="G194" s="51" t="s">
        <v>142</v>
      </c>
      <c r="H194" s="1651"/>
      <c r="I194" s="1651"/>
      <c r="J194" s="1651"/>
      <c r="K194" s="1651">
        <f ca="1">IFERROR(IF(COUNTIF(INDIRECT("'"&amp;$H$3&amp;"'!K156"),"Public Transport*")=1,ROUND(INDIRECT("'"&amp;$H$3&amp;"'!K$95")*INDIRECT("'"&amp;$H$3&amp;"'!K155"),0),0),0)</f>
        <v>0</v>
      </c>
      <c r="L194" s="1651"/>
      <c r="M194" s="1651"/>
      <c r="N194" s="1651">
        <f ca="1">IFERROR(IF(COUNTIF(INDIRECT("'"&amp;$H$3&amp;"'!N156"),"Public Transport*")=1,ROUND(INDIRECT("'"&amp;$H$3&amp;"'!N$95")*INDIRECT("'"&amp;$H$3&amp;"'!N155"),0),0),0)</f>
        <v>0</v>
      </c>
      <c r="O194" s="1651"/>
      <c r="P194" s="1651"/>
      <c r="Q194" s="1651">
        <f ca="1">IFERROR(IF(COUNTIF(INDIRECT("'"&amp;$H$3&amp;"'!Q156"),"Public Transport*")=1,ROUND(INDIRECT("'"&amp;$H$3&amp;"'!Q$95")*INDIRECT("'"&amp;$H$3&amp;"'!Q155"),0),0),0)</f>
        <v>0</v>
      </c>
      <c r="R194" s="1652"/>
      <c r="S194" s="1652"/>
      <c r="T194" s="1651">
        <f ca="1">IFERROR(IF(COUNTIF(INDIRECT("'"&amp;$H$3&amp;"'!T156"),"Public Transport*")=1,ROUND(INDIRECT("'"&amp;$H$3&amp;"'!T$95")*INDIRECT("'"&amp;$H$3&amp;"'!T155"),0),0),0)</f>
        <v>0</v>
      </c>
      <c r="U194" s="1652"/>
      <c r="V194" s="1652"/>
      <c r="W194" s="1651">
        <f ca="1">IFERROR(IF(COUNTIF(INDIRECT("'"&amp;$H$3&amp;"'!W156"),"Public Transport*")=1,ROUND(INDIRECT("'"&amp;$H$3&amp;"'!W$95")*INDIRECT("'"&amp;$H$3&amp;"'!W155"),0),0),0)</f>
        <v>0</v>
      </c>
      <c r="X194" s="1466"/>
      <c r="Y194" s="36"/>
      <c r="Z194" s="36"/>
      <c r="AA194" s="36"/>
      <c r="AB194" s="36"/>
      <c r="AC194" s="36"/>
      <c r="AD194" s="36"/>
      <c r="AE194" s="36"/>
      <c r="AF194" s="36"/>
      <c r="AG194" s="36"/>
      <c r="AH194" s="36"/>
      <c r="AI194" s="36"/>
      <c r="AJ194" s="36"/>
      <c r="AK194" s="36"/>
      <c r="AL194" s="36"/>
      <c r="AM194" s="36"/>
      <c r="AN194" s="36" t="s">
        <v>190</v>
      </c>
    </row>
    <row r="195" spans="6:40" ht="15" customHeight="1" outlineLevel="1">
      <c r="F195" s="1649"/>
      <c r="G195" s="51" t="s">
        <v>158</v>
      </c>
      <c r="H195" s="836"/>
      <c r="I195" s="836"/>
      <c r="J195" s="836"/>
      <c r="K195" s="836">
        <f ca="1">IFERROR(INDEX(INDIRECT("'"&amp;$H$3&amp;"'!$H$43:$H$78"),MATCH(INDIRECT("'"&amp;$H$3&amp;"'!K156")&amp;"Maximum delivery capacity (m^3)", INDIRECT("'"&amp;$H$3&amp;"'!$F$43:$F$78"),0))/('3_Outputs'!K$187/INDIRECT("'"&amp;$H$3&amp;"'!K$96")),0)</f>
        <v>0</v>
      </c>
      <c r="L195" s="836"/>
      <c r="M195" s="836"/>
      <c r="N195" s="836">
        <f ca="1">IFERROR(INDEX(INDIRECT("'"&amp;$H$3&amp;"'!$H$43:$H$78"),MATCH(INDIRECT("'"&amp;$H$3&amp;"'!N156")&amp;"Maximum delivery capacity (m^3)", INDIRECT("'"&amp;$H$3&amp;"'!$F$43:$F$78"),0))/('3_Outputs'!N$187/INDIRECT("'"&amp;$H$3&amp;"'!N$96")),0)</f>
        <v>0</v>
      </c>
      <c r="O195" s="836"/>
      <c r="P195" s="836"/>
      <c r="Q195" s="836">
        <f ca="1">IFERROR(INDEX(INDIRECT("'"&amp;$H$3&amp;"'!$H$43:$H$78"),MATCH(INDIRECT("'"&amp;$H$3&amp;"'!Q156")&amp;"Maximum delivery capacity (m^3)", INDIRECT("'"&amp;$H$3&amp;"'!$F$43:$F$78"),0))/('3_Outputs'!Q$187/INDIRECT("'"&amp;$H$3&amp;"'!Q$96")),0)</f>
        <v>0</v>
      </c>
      <c r="R195" s="836"/>
      <c r="S195" s="836"/>
      <c r="T195" s="836">
        <f ca="1">IFERROR(INDEX(INDIRECT("'"&amp;$H$3&amp;"'!$H$43:$H$78"),MATCH(INDIRECT("'"&amp;$H$3&amp;"'!T156")&amp;"Maximum delivery capacity (m^3)", INDIRECT("'"&amp;$H$3&amp;"'!$F$43:$F$78"),0))/('3_Outputs'!T$187/INDIRECT("'"&amp;$H$3&amp;"'!T$96")),0)</f>
        <v>0</v>
      </c>
      <c r="U195" s="836"/>
      <c r="V195" s="836"/>
      <c r="W195" s="836">
        <f ca="1">IFERROR(INDEX(INDIRECT("'"&amp;$H$3&amp;"'!$H$43:$H$78"),MATCH(INDIRECT("'"&amp;$H$3&amp;"'!W156")&amp;"Maximum delivery capacity (m^3)", INDIRECT("'"&amp;$H$3&amp;"'!$F$43:$F$78"),0))/('3_Outputs'!W$187/INDIRECT("'"&amp;$H$3&amp;"'!W$96")),0)</f>
        <v>0</v>
      </c>
      <c r="X195" s="1469"/>
      <c r="Y195" s="36"/>
      <c r="Z195" s="36"/>
      <c r="AA195" s="36"/>
      <c r="AB195" s="36"/>
      <c r="AC195" s="36"/>
      <c r="AD195" s="36"/>
      <c r="AE195" s="36"/>
      <c r="AF195" s="36"/>
      <c r="AG195" s="36"/>
      <c r="AH195" s="36"/>
      <c r="AI195" s="36"/>
      <c r="AJ195" s="36"/>
      <c r="AK195" s="36"/>
      <c r="AL195" s="36"/>
      <c r="AM195" s="36"/>
      <c r="AN195" s="36"/>
    </row>
    <row r="196" spans="6:40" ht="15" customHeight="1" outlineLevel="1">
      <c r="F196" s="1649"/>
      <c r="G196" s="1613" t="s">
        <v>150</v>
      </c>
      <c r="H196" s="842"/>
      <c r="I196" s="842"/>
      <c r="J196" s="842"/>
      <c r="K196" s="842"/>
      <c r="L196" s="842"/>
      <c r="M196" s="842"/>
      <c r="N196" s="842"/>
      <c r="O196" s="842"/>
      <c r="P196" s="842"/>
      <c r="Q196" s="842"/>
      <c r="R196" s="1650"/>
      <c r="S196" s="1650"/>
      <c r="T196" s="842"/>
      <c r="U196" s="1650"/>
      <c r="V196" s="1650"/>
      <c r="W196" s="842"/>
      <c r="X196" s="1470"/>
      <c r="Y196" s="36"/>
      <c r="Z196" s="36"/>
      <c r="AA196" s="36"/>
      <c r="AB196" s="36"/>
      <c r="AC196" s="36"/>
      <c r="AD196" s="36"/>
      <c r="AE196" s="36"/>
      <c r="AF196" s="36"/>
      <c r="AG196" s="36"/>
      <c r="AH196" s="36"/>
      <c r="AI196" s="36"/>
      <c r="AJ196" s="36"/>
      <c r="AK196" s="36"/>
      <c r="AL196" s="36"/>
      <c r="AM196" s="36"/>
      <c r="AN196" s="36"/>
    </row>
    <row r="197" spans="6:40" ht="15" customHeight="1" outlineLevel="1">
      <c r="F197" s="1649"/>
      <c r="G197" s="51" t="s">
        <v>140</v>
      </c>
      <c r="H197" s="836"/>
      <c r="I197" s="836"/>
      <c r="J197" s="836"/>
      <c r="K197" s="836">
        <f ca="1">IFERROR(ROUND(INDIRECT("'"&amp;$H$3&amp;"'!$H$10")/(((1/60)*(INDIRECT("'"&amp;$H$3&amp;"'!K168")+INDIRECT("'"&amp;$H$3&amp;"'!$H$19")*(INDIRECT("'"&amp;$H$3&amp;"'!K169")+(INDIRECT("'"&amp;$H$3&amp;"'!K170")*('3_Outputs'!K$187/INDIRECT("'"&amp;$H$3&amp;"'!K$96")/INDIRECT("'"&amp;$H$3&amp;"'!$H$19"))))))+INDEX(INDIRECT("'"&amp;$H$3&amp;"'!$H$43:$H$78"),MATCH(INDIRECT("'"&amp;$H$3&amp;"'!K156")&amp;"Average duration (hrs) per trip",INDIRECT("'"&amp;$H$3&amp;"'!$F$43:$F$78"),0))),1),0)</f>
        <v>0</v>
      </c>
      <c r="L197" s="836"/>
      <c r="M197" s="836"/>
      <c r="N197" s="836">
        <f ca="1">IFERROR(ROUND(INDIRECT("'"&amp;$H$3&amp;"'!$H$10")/(((1/60)*(INDIRECT("'"&amp;$H$3&amp;"'!N168")+INDIRECT("'"&amp;$H$3&amp;"'!$H$19")*(INDIRECT("'"&amp;$H$3&amp;"'!N169")+(INDIRECT("'"&amp;$H$3&amp;"'!N170")*('3_Outputs'!N$187/INDIRECT("'"&amp;$H$3&amp;"'!N$96")/INDIRECT("'"&amp;$H$3&amp;"'!$H$19"))))))+INDEX(INDIRECT("'"&amp;$H$3&amp;"'!$H$43:$H$78"),MATCH(INDIRECT("'"&amp;$H$3&amp;"'!N156")&amp;"Average duration (hrs) per trip",INDIRECT("'"&amp;$H$3&amp;"'!$F$43:$F$78"),0))),1),0)</f>
        <v>0</v>
      </c>
      <c r="O197" s="836"/>
      <c r="P197" s="836"/>
      <c r="Q197" s="836">
        <f ca="1">IFERROR(ROUND(INDIRECT("'"&amp;$H$3&amp;"'!$H$10")/(((1/60)*(INDIRECT("'"&amp;$H$3&amp;"'!Q168")+INDIRECT("'"&amp;$H$3&amp;"'!$H$19")*(INDIRECT("'"&amp;$H$3&amp;"'!Q169")+(INDIRECT("'"&amp;$H$3&amp;"'!Q170")*('3_Outputs'!Q$187/INDIRECT("'"&amp;$H$3&amp;"'!Q$96")/INDIRECT("'"&amp;$H$3&amp;"'!$H$19"))))))+INDEX(INDIRECT("'"&amp;$H$3&amp;"'!$H$43:$H$78"),MATCH(INDIRECT("'"&amp;$H$3&amp;"'!Q156")&amp;"Average duration (hrs) per trip",INDIRECT("'"&amp;$H$3&amp;"'!$F$43:$F$78"),0))),1),0)</f>
        <v>0</v>
      </c>
      <c r="R197" s="836"/>
      <c r="S197" s="836"/>
      <c r="T197" s="836">
        <f ca="1">IFERROR(ROUND(INDIRECT("'"&amp;$H$3&amp;"'!$H$10")/(((1/60)*(INDIRECT("'"&amp;$H$3&amp;"'!T168")+INDIRECT("'"&amp;$H$3&amp;"'!$H$19")*(INDIRECT("'"&amp;$H$3&amp;"'!T169")+(INDIRECT("'"&amp;$H$3&amp;"'!T170")*('3_Outputs'!T$187/INDIRECT("'"&amp;$H$3&amp;"'!T$96")/INDIRECT("'"&amp;$H$3&amp;"'!$H$19"))))))+INDEX(INDIRECT("'"&amp;$H$3&amp;"'!$H$43:$H$78"),MATCH(INDIRECT("'"&amp;$H$3&amp;"'!T156")&amp;"Average duration (hrs) per trip",INDIRECT("'"&amp;$H$3&amp;"'!$F$43:$F$78"),0))),1),0)</f>
        <v>0</v>
      </c>
      <c r="U197" s="836"/>
      <c r="V197" s="836"/>
      <c r="W197" s="836">
        <f ca="1">IFERROR(ROUND(INDIRECT("'"&amp;$H$3&amp;"'!$H$10")/(((1/60)*(INDIRECT("'"&amp;$H$3&amp;"'!W168")+INDIRECT("'"&amp;$H$3&amp;"'!$H$19")*(INDIRECT("'"&amp;$H$3&amp;"'!W169")+(INDIRECT("'"&amp;$H$3&amp;"'!W170")*('3_Outputs'!W$187/INDIRECT("'"&amp;$H$3&amp;"'!W$96")/INDIRECT("'"&amp;$H$3&amp;"'!$H$19"))))))+INDEX(INDIRECT("'"&amp;$H$3&amp;"'!$H$43:$H$78"),MATCH(INDIRECT("'"&amp;$H$3&amp;"'!W156")&amp;"Average duration (hrs) per trip",INDIRECT("'"&amp;$H$3&amp;"'!$F$43:$F$78"),0))),1),0)</f>
        <v>0</v>
      </c>
      <c r="X197" s="1469"/>
      <c r="Y197" s="36"/>
      <c r="Z197" s="36"/>
      <c r="AA197" s="36"/>
      <c r="AB197" s="36"/>
      <c r="AC197" s="36"/>
      <c r="AD197" s="36"/>
      <c r="AE197" s="36"/>
      <c r="AF197" s="36"/>
      <c r="AG197" s="36"/>
      <c r="AH197" s="36"/>
      <c r="AI197" s="36"/>
      <c r="AJ197" s="36"/>
      <c r="AK197" s="36"/>
      <c r="AL197" s="36"/>
      <c r="AM197" s="36"/>
      <c r="AN197" s="36"/>
    </row>
    <row r="198" spans="6:40" ht="15" customHeight="1" outlineLevel="1">
      <c r="F198" s="1649"/>
      <c r="G198" s="51" t="s">
        <v>141</v>
      </c>
      <c r="H198" s="836"/>
      <c r="I198" s="836"/>
      <c r="J198" s="836"/>
      <c r="K198" s="836">
        <f ca="1">IFERROR(MIN(ROUND(K197*INDIRECT("'"&amp;$H$3&amp;"'!K164"),0),K195),0)</f>
        <v>0</v>
      </c>
      <c r="L198" s="836"/>
      <c r="M198" s="836"/>
      <c r="N198" s="836">
        <f ca="1">IFERROR(MIN(ROUND(N197*INDIRECT("'"&amp;$H$3&amp;"'!N164"),0),N195),0)</f>
        <v>0</v>
      </c>
      <c r="O198" s="836"/>
      <c r="P198" s="836"/>
      <c r="Q198" s="836">
        <f ca="1">IFERROR(MIN(ROUND(Q197*INDIRECT("'"&amp;$H$3&amp;"'!Q164"),0),Q195),0)</f>
        <v>0</v>
      </c>
      <c r="R198" s="836"/>
      <c r="S198" s="836"/>
      <c r="T198" s="836">
        <f ca="1">IFERROR(MIN(ROUND(T197*INDIRECT("'"&amp;$H$3&amp;"'!T164"),0),T195),0)</f>
        <v>0</v>
      </c>
      <c r="U198" s="836"/>
      <c r="V198" s="836"/>
      <c r="W198" s="836">
        <f ca="1">IFERROR(MIN(ROUND(W197*INDIRECT("'"&amp;$H$3&amp;"'!W164"),0),W195),0)</f>
        <v>0</v>
      </c>
      <c r="X198" s="1469"/>
      <c r="Y198" s="36"/>
      <c r="Z198" s="36"/>
      <c r="AA198" s="36"/>
      <c r="AB198" s="36"/>
      <c r="AC198" s="36"/>
      <c r="AD198" s="36"/>
      <c r="AE198" s="36"/>
      <c r="AF198" s="36"/>
      <c r="AG198" s="36"/>
      <c r="AH198" s="36"/>
      <c r="AI198" s="36"/>
      <c r="AJ198" s="36"/>
      <c r="AK198" s="36"/>
      <c r="AL198" s="36"/>
      <c r="AM198" s="36"/>
      <c r="AN198" s="36"/>
    </row>
    <row r="199" spans="6:40" ht="15" customHeight="1" outlineLevel="1">
      <c r="F199" s="1649"/>
      <c r="G199" s="51" t="s">
        <v>143</v>
      </c>
      <c r="H199" s="836"/>
      <c r="I199" s="836"/>
      <c r="J199" s="836"/>
      <c r="K199" s="836">
        <f ca="1">IFERROR(ROUNDUP(K194/K198,0),0)</f>
        <v>0</v>
      </c>
      <c r="L199" s="836"/>
      <c r="M199" s="836"/>
      <c r="N199" s="836">
        <f ca="1">IFERROR(ROUNDUP(N194/N198,0),0)</f>
        <v>0</v>
      </c>
      <c r="O199" s="836"/>
      <c r="P199" s="836"/>
      <c r="Q199" s="836">
        <f ca="1">IFERROR(ROUNDUP(Q194/Q198,0),0)</f>
        <v>0</v>
      </c>
      <c r="R199" s="836"/>
      <c r="S199" s="836"/>
      <c r="T199" s="836">
        <f ca="1">IFERROR(ROUNDUP(T194/T198,0),0)</f>
        <v>0</v>
      </c>
      <c r="U199" s="836"/>
      <c r="V199" s="836"/>
      <c r="W199" s="836">
        <f ca="1">IFERROR(ROUNDUP(W194/W198,0),0)</f>
        <v>0</v>
      </c>
      <c r="X199" s="1469"/>
      <c r="Y199" s="36"/>
      <c r="Z199" s="36"/>
      <c r="AA199" s="36"/>
      <c r="AB199" s="36"/>
      <c r="AC199" s="36"/>
      <c r="AD199" s="36"/>
      <c r="AE199" s="36"/>
      <c r="AF199" s="36"/>
      <c r="AG199" s="36"/>
      <c r="AH199" s="36"/>
      <c r="AI199" s="36"/>
      <c r="AJ199" s="36"/>
      <c r="AK199" s="242"/>
      <c r="AL199" s="36"/>
      <c r="AM199" s="36"/>
      <c r="AN199" s="36"/>
    </row>
    <row r="200" spans="6:40" ht="15" customHeight="1" outlineLevel="1">
      <c r="F200" s="1649"/>
      <c r="G200" s="51" t="s">
        <v>144</v>
      </c>
      <c r="H200" s="836"/>
      <c r="I200" s="836"/>
      <c r="J200" s="836"/>
      <c r="K200" s="836">
        <f ca="1">IFERROR((K199*(MAX(K198,1)+1)),0)</f>
        <v>0</v>
      </c>
      <c r="L200" s="836"/>
      <c r="M200" s="836"/>
      <c r="N200" s="836">
        <f ca="1">IFERROR((N199*(MAX(N198,1)+1)),0)</f>
        <v>0</v>
      </c>
      <c r="O200" s="836"/>
      <c r="P200" s="836"/>
      <c r="Q200" s="836">
        <f ca="1">IFERROR((Q199*(MAX(Q198,1)+1)),0)</f>
        <v>0</v>
      </c>
      <c r="R200" s="836"/>
      <c r="S200" s="836"/>
      <c r="T200" s="836">
        <f ca="1">IFERROR((T199*(MAX(T198,1)+1)),0)</f>
        <v>0</v>
      </c>
      <c r="U200" s="836"/>
      <c r="V200" s="836"/>
      <c r="W200" s="836">
        <f ca="1">IFERROR((W199*(MAX(W198,1)+1)),0)</f>
        <v>0</v>
      </c>
      <c r="X200" s="1469"/>
      <c r="Y200" s="36"/>
      <c r="Z200" s="36"/>
      <c r="AA200" s="36"/>
      <c r="AB200" s="36"/>
      <c r="AC200" s="36"/>
      <c r="AD200" s="36"/>
      <c r="AE200" s="36"/>
      <c r="AF200" s="36"/>
      <c r="AG200" s="36"/>
      <c r="AH200" s="36"/>
      <c r="AI200" s="36"/>
      <c r="AJ200" s="36"/>
      <c r="AK200" s="242"/>
      <c r="AL200" s="36"/>
      <c r="AM200" s="36"/>
      <c r="AN200" s="36"/>
    </row>
    <row r="201" spans="6:40" ht="15" customHeight="1" outlineLevel="1">
      <c r="F201" s="1649"/>
      <c r="G201" s="51" t="s">
        <v>145</v>
      </c>
      <c r="H201" s="836"/>
      <c r="I201" s="836"/>
      <c r="J201" s="836"/>
      <c r="K201" s="836">
        <f ca="1">IFERROR(ROUNDUP(((K200*INDEX(INDIRECT("'"&amp;$H$3&amp;"'!$H$43:$H$78"),MATCH(INDIRECT("'"&amp;$H$3&amp;"'!K156")&amp;"Average duration (hrs) per trip",INDIRECT("'"&amp;$H$3&amp;"'!$F$43:$F$78"),0)))+(K194*((1/60)*(INDIRECT("'"&amp;$H$3&amp;"'!K168")+INDIRECT("'"&amp;$H$3&amp;"'!$H$19")*(INDIRECT("'"&amp;$H$3&amp;"'!K169")+(INDIRECT("'"&amp;$H$3&amp;"'!K170")*('3_Outputs'!K$187/INDIRECT("'"&amp;$H$3&amp;"'!K$96")/INDIRECT("'"&amp;$H$3&amp;"'!$H$19"))))))))/INDIRECT("'"&amp;$H$3&amp;"'!$H$10"),0),0)</f>
        <v>0</v>
      </c>
      <c r="L201" s="836"/>
      <c r="M201" s="836"/>
      <c r="N201" s="836">
        <f ca="1">IFERROR(ROUNDUP(((N200*INDEX(INDIRECT("'"&amp;$H$3&amp;"'!$H$43:$H$78"),MATCH(INDIRECT("'"&amp;$H$3&amp;"'!N156")&amp;"Average duration (hrs) per trip",INDIRECT("'"&amp;$H$3&amp;"'!$F$43:$F$78"),0)))+(N194*((1/60)*(INDIRECT("'"&amp;$H$3&amp;"'!N168")+INDIRECT("'"&amp;$H$3&amp;"'!$H$19")*(INDIRECT("'"&amp;$H$3&amp;"'!N169")+(INDIRECT("'"&amp;$H$3&amp;"'!N170")*('3_Outputs'!N$187/INDIRECT("'"&amp;$H$3&amp;"'!N$96")/INDIRECT("'"&amp;$H$3&amp;"'!$H$19"))))))))/INDIRECT("'"&amp;$H$3&amp;"'!$H$10"),0),0)</f>
        <v>0</v>
      </c>
      <c r="O201" s="836"/>
      <c r="P201" s="836"/>
      <c r="Q201" s="836">
        <f ca="1">IFERROR(ROUNDUP(((Q200*INDEX(INDIRECT("'"&amp;$H$3&amp;"'!$H$43:$H$78"),MATCH(INDIRECT("'"&amp;$H$3&amp;"'!Q156")&amp;"Average duration (hrs) per trip",INDIRECT("'"&amp;$H$3&amp;"'!$F$43:$F$78"),0)))+(Q194*((1/60)*(INDIRECT("'"&amp;$H$3&amp;"'!Q168")+INDIRECT("'"&amp;$H$3&amp;"'!$H$19")*(INDIRECT("'"&amp;$H$3&amp;"'!Q169")+(INDIRECT("'"&amp;$H$3&amp;"'!Q170")*('3_Outputs'!Q$187/INDIRECT("'"&amp;$H$3&amp;"'!Q$96")/INDIRECT("'"&amp;$H$3&amp;"'!$H$19"))))))))/INDIRECT("'"&amp;$H$3&amp;"'!$H$10"),0),0)</f>
        <v>0</v>
      </c>
      <c r="R201" s="836"/>
      <c r="S201" s="836"/>
      <c r="T201" s="836">
        <f ca="1">IFERROR(ROUNDUP(((T200*INDEX(INDIRECT("'"&amp;$H$3&amp;"'!$H$43:$H$78"),MATCH(INDIRECT("'"&amp;$H$3&amp;"'!T156")&amp;"Average duration (hrs) per trip",INDIRECT("'"&amp;$H$3&amp;"'!$F$43:$F$78"),0)))+(T194*((1/60)*(INDIRECT("'"&amp;$H$3&amp;"'!T168")+INDIRECT("'"&amp;$H$3&amp;"'!$H$19")*(INDIRECT("'"&amp;$H$3&amp;"'!T169")+(INDIRECT("'"&amp;$H$3&amp;"'!T170")*('3_Outputs'!T$187/INDIRECT("'"&amp;$H$3&amp;"'!T$96")/INDIRECT("'"&amp;$H$3&amp;"'!$H$19"))))))))/INDIRECT("'"&amp;$H$3&amp;"'!$H$10"),0),0)</f>
        <v>0</v>
      </c>
      <c r="U201" s="836"/>
      <c r="V201" s="836"/>
      <c r="W201" s="836">
        <f ca="1">IFERROR(ROUNDUP(((W200*INDEX(INDIRECT("'"&amp;$H$3&amp;"'!$H$43:$H$78"),MATCH(INDIRECT("'"&amp;$H$3&amp;"'!W156")&amp;"Average duration (hrs) per trip",INDIRECT("'"&amp;$H$3&amp;"'!$F$43:$F$78"),0)))+(W194*((1/60)*(INDIRECT("'"&amp;$H$3&amp;"'!W168")+INDIRECT("'"&amp;$H$3&amp;"'!$H$19")*(INDIRECT("'"&amp;$H$3&amp;"'!W169")+(INDIRECT("'"&amp;$H$3&amp;"'!W170")*('3_Outputs'!W$187/INDIRECT("'"&amp;$H$3&amp;"'!W$96")/INDIRECT("'"&amp;$H$3&amp;"'!$H$19"))))))))/INDIRECT("'"&amp;$H$3&amp;"'!$H$10"),0),0)</f>
        <v>0</v>
      </c>
      <c r="X201" s="1469"/>
      <c r="Y201" s="36"/>
      <c r="Z201" s="36"/>
      <c r="AA201" s="36"/>
      <c r="AB201" s="36"/>
      <c r="AC201" s="36"/>
      <c r="AD201" s="36"/>
      <c r="AE201" s="36"/>
      <c r="AF201" s="36"/>
      <c r="AG201" s="36"/>
      <c r="AH201" s="36"/>
      <c r="AI201" s="36"/>
      <c r="AJ201" s="36"/>
      <c r="AK201" s="242"/>
      <c r="AL201" s="36"/>
      <c r="AM201" s="36"/>
      <c r="AN201" s="36"/>
    </row>
    <row r="202" spans="6:40" ht="15" customHeight="1" outlineLevel="1">
      <c r="F202" s="1649"/>
      <c r="G202" s="1613" t="s">
        <v>841</v>
      </c>
      <c r="H202" s="842"/>
      <c r="I202" s="842"/>
      <c r="J202" s="842"/>
      <c r="K202" s="842"/>
      <c r="L202" s="842"/>
      <c r="M202" s="842"/>
      <c r="N202" s="842"/>
      <c r="O202" s="842"/>
      <c r="P202" s="842"/>
      <c r="Q202" s="842"/>
      <c r="R202" s="1650"/>
      <c r="S202" s="1650"/>
      <c r="T202" s="842"/>
      <c r="U202" s="1650"/>
      <c r="V202" s="1650"/>
      <c r="W202" s="842"/>
      <c r="X202" s="1470"/>
      <c r="Y202" s="36"/>
      <c r="Z202" s="36"/>
      <c r="AA202" s="36"/>
      <c r="AB202" s="36"/>
      <c r="AC202" s="36"/>
      <c r="AD202" s="36"/>
      <c r="AE202" s="36"/>
      <c r="AF202" s="36"/>
      <c r="AG202" s="36"/>
      <c r="AH202" s="36"/>
      <c r="AI202" s="36"/>
      <c r="AJ202" s="36"/>
      <c r="AK202" s="36"/>
      <c r="AL202" s="36"/>
      <c r="AM202" s="36"/>
      <c r="AN202" s="36"/>
    </row>
    <row r="203" spans="6:40" ht="15" customHeight="1" outlineLevel="1">
      <c r="F203" s="1649"/>
      <c r="G203" s="51" t="s">
        <v>144</v>
      </c>
      <c r="H203" s="836"/>
      <c r="I203" s="836"/>
      <c r="J203" s="836"/>
      <c r="K203" s="836">
        <f ca="1">IFERROR((K194/MIN(K195,1))*2,0)</f>
        <v>0</v>
      </c>
      <c r="L203" s="836"/>
      <c r="M203" s="836"/>
      <c r="N203" s="836">
        <f ca="1">IFERROR((N194/MIN(N195,1))*2,0)</f>
        <v>0</v>
      </c>
      <c r="O203" s="836"/>
      <c r="P203" s="836"/>
      <c r="Q203" s="836">
        <f ca="1">IFERROR((Q194/MIN(Q195,1))*2,0)</f>
        <v>0</v>
      </c>
      <c r="R203" s="836"/>
      <c r="S203" s="836"/>
      <c r="T203" s="836">
        <f ca="1">IFERROR((T194/MIN(T195,1))*2,0)</f>
        <v>0</v>
      </c>
      <c r="U203" s="836"/>
      <c r="V203" s="836"/>
      <c r="W203" s="836">
        <f ca="1">IFERROR((W194/MIN(W195,1))*2,0)</f>
        <v>0</v>
      </c>
      <c r="X203" s="1469"/>
      <c r="Y203" s="36"/>
      <c r="Z203" s="36"/>
      <c r="AA203" s="36"/>
      <c r="AB203" s="36"/>
      <c r="AC203" s="36"/>
      <c r="AD203" s="36"/>
      <c r="AE203" s="36"/>
      <c r="AF203" s="36"/>
      <c r="AG203" s="36"/>
      <c r="AH203" s="36"/>
      <c r="AI203" s="36"/>
      <c r="AJ203" s="36"/>
      <c r="AK203" s="36"/>
      <c r="AL203" s="36"/>
      <c r="AM203" s="36"/>
      <c r="AN203" s="36"/>
    </row>
    <row r="204" spans="6:40" ht="15" customHeight="1" outlineLevel="1">
      <c r="F204" s="1649"/>
      <c r="G204" s="51" t="s">
        <v>145</v>
      </c>
      <c r="H204" s="837"/>
      <c r="I204" s="837"/>
      <c r="J204" s="837"/>
      <c r="K204" s="837">
        <f ca="1">IFERROR(MAX(K194,ROUNDUP(((K203*INDEX(INDIRECT("'"&amp;$H$3&amp;"'!$H$43:$H$78"),MATCH(INDIRECT("'"&amp;$H$3&amp;"'!K156")&amp;"Average duration (hrs) per trip",INDIRECT("'"&amp;$H$3&amp;"'!$F$43:$F$78"),0)))+(K194*((1/60)*(INDIRECT("'"&amp;$H$3&amp;"'!K168")+INDIRECT("'"&amp;$H$3&amp;"'!$H$19")*(INDIRECT("'"&amp;$H$3&amp;"'!K169")+(INDIRECT("'"&amp;$H$3&amp;"'!K170")*('3_Outputs'!K$187/INDIRECT("'"&amp;$H$3&amp;"'!K$96")/INDIRECT("'"&amp;$H$3&amp;"'!$H$19"))))))))/INDIRECT("'"&amp;$H$3&amp;"'!$H$10"),0)),0)</f>
        <v>0</v>
      </c>
      <c r="L204" s="837"/>
      <c r="M204" s="837"/>
      <c r="N204" s="837">
        <f ca="1">IFERROR(MAX(N194,ROUNDUP(((N203*INDEX(INDIRECT("'"&amp;$H$3&amp;"'!$H$43:$H$78"),MATCH(INDIRECT("'"&amp;$H$3&amp;"'!N156")&amp;"Average duration (hrs) per trip",INDIRECT("'"&amp;$H$3&amp;"'!$F$43:$F$78"),0)))+(N194*((1/60)*(INDIRECT("'"&amp;$H$3&amp;"'!N168")+INDIRECT("'"&amp;$H$3&amp;"'!$H$19")*(INDIRECT("'"&amp;$H$3&amp;"'!N169")+(INDIRECT("'"&amp;$H$3&amp;"'!N170")*('3_Outputs'!N$187/INDIRECT("'"&amp;$H$3&amp;"'!N$96")/INDIRECT("'"&amp;$H$3&amp;"'!$H$19"))))))))/INDIRECT("'"&amp;$H$3&amp;"'!$H$10"),0)),0)</f>
        <v>0</v>
      </c>
      <c r="O204" s="837"/>
      <c r="P204" s="837"/>
      <c r="Q204" s="837">
        <f ca="1">IFERROR(MAX(Q194,ROUNDUP(((Q203*INDEX(INDIRECT("'"&amp;$H$3&amp;"'!$H$43:$H$78"),MATCH(INDIRECT("'"&amp;$H$3&amp;"'!Q156")&amp;"Average duration (hrs) per trip",INDIRECT("'"&amp;$H$3&amp;"'!$F$43:$F$78"),0)))+(Q194*((1/60)*(INDIRECT("'"&amp;$H$3&amp;"'!Q168")+INDIRECT("'"&amp;$H$3&amp;"'!$H$19")*(INDIRECT("'"&amp;$H$3&amp;"'!Q169")+(INDIRECT("'"&amp;$H$3&amp;"'!Q170")*('3_Outputs'!Q$187/INDIRECT("'"&amp;$H$3&amp;"'!Q$96")/INDIRECT("'"&amp;$H$3&amp;"'!$H$19"))))))))/INDIRECT("'"&amp;$H$3&amp;"'!$H$10"),0)),0)</f>
        <v>0</v>
      </c>
      <c r="R204" s="837"/>
      <c r="S204" s="837"/>
      <c r="T204" s="837">
        <f ca="1">IFERROR(MAX(T194,ROUNDUP(((T203*INDEX(INDIRECT("'"&amp;$H$3&amp;"'!$H$43:$H$78"),MATCH(INDIRECT("'"&amp;$H$3&amp;"'!T156")&amp;"Average duration (hrs) per trip",INDIRECT("'"&amp;$H$3&amp;"'!$F$43:$F$78"),0)))+(T194*((1/60)*(INDIRECT("'"&amp;$H$3&amp;"'!T168")+INDIRECT("'"&amp;$H$3&amp;"'!$H$19")*(INDIRECT("'"&amp;$H$3&amp;"'!T169")+(INDIRECT("'"&amp;$H$3&amp;"'!T170")*('3_Outputs'!T$187/INDIRECT("'"&amp;$H$3&amp;"'!T$96")/INDIRECT("'"&amp;$H$3&amp;"'!$H$19"))))))))/INDIRECT("'"&amp;$H$3&amp;"'!$H$10"),0)),0)</f>
        <v>0</v>
      </c>
      <c r="U204" s="837"/>
      <c r="V204" s="837"/>
      <c r="W204" s="837">
        <f ca="1">IFERROR(MAX(W194,ROUNDUP(((W203*INDEX(INDIRECT("'"&amp;$H$3&amp;"'!$H$43:$H$78"),MATCH(INDIRECT("'"&amp;$H$3&amp;"'!W156")&amp;"Average duration (hrs) per trip",INDIRECT("'"&amp;$H$3&amp;"'!$F$43:$F$78"),0)))+(W194*((1/60)*(INDIRECT("'"&amp;$H$3&amp;"'!W168")+INDIRECT("'"&amp;$H$3&amp;"'!$H$19")*(INDIRECT("'"&amp;$H$3&amp;"'!W169")+(INDIRECT("'"&amp;$H$3&amp;"'!W170")*('3_Outputs'!W$187/INDIRECT("'"&amp;$H$3&amp;"'!W$96")/INDIRECT("'"&amp;$H$3&amp;"'!$H$19"))))))))/INDIRECT("'"&amp;$H$3&amp;"'!$H$10"),0)),0)</f>
        <v>0</v>
      </c>
      <c r="X204" s="1468"/>
      <c r="Y204" s="36"/>
      <c r="Z204" s="36"/>
      <c r="AA204" s="36"/>
      <c r="AB204" s="36"/>
      <c r="AC204" s="36"/>
      <c r="AD204" s="36"/>
      <c r="AE204" s="36"/>
      <c r="AF204" s="36"/>
      <c r="AG204" s="36"/>
      <c r="AH204" s="36"/>
      <c r="AI204" s="36"/>
      <c r="AJ204" s="36"/>
      <c r="AK204" s="242"/>
      <c r="AL204" s="36"/>
      <c r="AM204" s="36"/>
      <c r="AN204" s="36"/>
    </row>
    <row r="205" spans="6:40" ht="15" customHeight="1" outlineLevel="1">
      <c r="F205" s="1647" t="s">
        <v>148</v>
      </c>
      <c r="G205" s="1614"/>
      <c r="H205" s="848"/>
      <c r="I205" s="848"/>
      <c r="J205" s="848"/>
      <c r="K205" s="848"/>
      <c r="L205" s="848"/>
      <c r="M205" s="848"/>
      <c r="N205" s="848"/>
      <c r="O205" s="848"/>
      <c r="P205" s="848"/>
      <c r="Q205" s="848"/>
      <c r="R205" s="1646"/>
      <c r="S205" s="1646"/>
      <c r="T205" s="848"/>
      <c r="U205" s="1646"/>
      <c r="V205" s="1646"/>
      <c r="W205" s="848"/>
      <c r="X205" s="1471"/>
      <c r="Y205" s="36"/>
      <c r="Z205" s="36"/>
      <c r="AA205" s="36"/>
      <c r="AB205" s="36"/>
      <c r="AC205" s="36"/>
      <c r="AD205" s="36"/>
      <c r="AE205" s="36"/>
      <c r="AF205" s="36"/>
      <c r="AG205" s="36"/>
      <c r="AH205" s="36"/>
      <c r="AI205" s="36"/>
      <c r="AJ205" s="36"/>
      <c r="AK205" s="242"/>
      <c r="AL205" s="36"/>
      <c r="AM205" s="36"/>
      <c r="AN205" s="36"/>
    </row>
    <row r="206" spans="6:40" ht="15" customHeight="1" outlineLevel="1">
      <c r="F206" s="86"/>
      <c r="G206" s="51" t="s">
        <v>151</v>
      </c>
      <c r="H206" s="836"/>
      <c r="I206" s="836"/>
      <c r="J206" s="836"/>
      <c r="K206" s="836">
        <f ca="1">IFERROR(IF(COUNTIF(INDIRECT("'"&amp;$H$3&amp;"'!K156"),"Public Transport*")&lt;1,ROUND(INDIRECT("'"&amp;$H$3&amp;"'!K$95")*INDIRECT("'"&amp;$H$3&amp;"'!K155"),0),0),0)</f>
        <v>0</v>
      </c>
      <c r="L206" s="836"/>
      <c r="M206" s="836"/>
      <c r="N206" s="836">
        <f ca="1">IFERROR(IF(COUNTIF(INDIRECT("'"&amp;$H$3&amp;"'!N156"),"Public Transport*")&lt;1,ROUND(INDIRECT("'"&amp;$H$3&amp;"'!N$95")*INDIRECT("'"&amp;$H$3&amp;"'!N155"),0),0),0)</f>
        <v>0</v>
      </c>
      <c r="O206" s="836"/>
      <c r="P206" s="836"/>
      <c r="Q206" s="836">
        <f ca="1">IFERROR(IF(COUNTIF(INDIRECT("'"&amp;$H$3&amp;"'!Q156"),"Public Transport*")&lt;1,ROUND(INDIRECT("'"&amp;$H$3&amp;"'!Q$95")*INDIRECT("'"&amp;$H$3&amp;"'!Q155"),0),0),0)</f>
        <v>0</v>
      </c>
      <c r="R206" s="1652"/>
      <c r="S206" s="1652"/>
      <c r="T206" s="836">
        <f ca="1">IFERROR(IF(COUNTIF(INDIRECT("'"&amp;$H$3&amp;"'!T156"),"Public Transport*")&lt;1,ROUND(INDIRECT("'"&amp;$H$3&amp;"'!T$95")*INDIRECT("'"&amp;$H$3&amp;"'!T155"),0),0),0)</f>
        <v>0</v>
      </c>
      <c r="U206" s="1652"/>
      <c r="V206" s="1652"/>
      <c r="W206" s="836">
        <f ca="1">IFERROR(IF(COUNTIF(INDIRECT("'"&amp;$H$3&amp;"'!W156"),"Public Transport*")&lt;1,ROUND(INDIRECT("'"&amp;$H$3&amp;"'!W$95")*INDIRECT("'"&amp;$H$3&amp;"'!W155"),0),0),0)</f>
        <v>0</v>
      </c>
      <c r="X206" s="1469"/>
      <c r="Y206" s="36"/>
      <c r="Z206" s="36"/>
      <c r="AA206" s="36"/>
      <c r="AB206" s="36"/>
      <c r="AC206" s="36"/>
      <c r="AD206" s="36"/>
      <c r="AE206" s="36"/>
      <c r="AF206" s="36"/>
      <c r="AG206" s="36"/>
      <c r="AH206" s="36"/>
      <c r="AI206" s="36"/>
      <c r="AJ206" s="36"/>
      <c r="AK206" s="242"/>
      <c r="AL206" s="36"/>
      <c r="AM206" s="36"/>
      <c r="AN206" s="36"/>
    </row>
    <row r="207" spans="6:40" ht="15" customHeight="1" outlineLevel="1">
      <c r="F207" s="52"/>
      <c r="G207" s="51" t="s">
        <v>58</v>
      </c>
      <c r="H207" s="837"/>
      <c r="I207" s="837"/>
      <c r="J207" s="837"/>
      <c r="K207" s="837">
        <f ca="1">IFERROR(IF(INDIRECT("'"&amp;$H$3&amp;"'!K163")="Route-based",K216*K217,IF(INDIRECT("'"&amp;$H$3&amp;"'!K163")="Point-to-point",K221*K222,0)),0)</f>
        <v>0</v>
      </c>
      <c r="L207" s="837"/>
      <c r="M207" s="837"/>
      <c r="N207" s="837">
        <f ca="1">IFERROR(IF(INDIRECT("'"&amp;$H$3&amp;"'!N163")="Route-based",N216*N217,IF(INDIRECT("'"&amp;$H$3&amp;"'!N163")="Point-to-point",N221*N222,0)),0)</f>
        <v>0</v>
      </c>
      <c r="O207" s="837"/>
      <c r="P207" s="837"/>
      <c r="Q207" s="837">
        <f ca="1">IFERROR(IF(INDIRECT("'"&amp;$H$3&amp;"'!Q163")="Route-based",Q216*Q217,IF(INDIRECT("'"&amp;$H$3&amp;"'!Q163")="Point-to-point",Q221*Q222,0)),0)</f>
        <v>0</v>
      </c>
      <c r="R207" s="1650"/>
      <c r="S207" s="1650"/>
      <c r="T207" s="837">
        <f ca="1">IFERROR(IF(INDIRECT("'"&amp;$H$3&amp;"'!T163")="Route-based",T216*T217,IF(INDIRECT("'"&amp;$H$3&amp;"'!T163")="Point-to-point",T221*T222,0)),0)</f>
        <v>0</v>
      </c>
      <c r="U207" s="1650"/>
      <c r="V207" s="1650"/>
      <c r="W207" s="837">
        <f ca="1">IFERROR(IF(INDIRECT("'"&amp;$H$3&amp;"'!W163")="Route-based",W216*W217,IF(INDIRECT("'"&amp;$H$3&amp;"'!W163")="Point-to-point",W221*W222,0)),0)</f>
        <v>0</v>
      </c>
      <c r="X207" s="1472"/>
      <c r="Y207" s="36"/>
      <c r="Z207" s="36"/>
      <c r="AA207" s="36"/>
      <c r="AB207" s="36"/>
      <c r="AC207" s="36"/>
      <c r="AD207" s="36"/>
      <c r="AE207" s="36"/>
      <c r="AF207" s="36"/>
      <c r="AG207" s="36"/>
      <c r="AH207" s="36"/>
      <c r="AI207" s="36"/>
      <c r="AJ207" s="36"/>
      <c r="AK207" s="242"/>
      <c r="AL207" s="36"/>
      <c r="AM207" s="36"/>
      <c r="AN207" s="36"/>
    </row>
    <row r="208" spans="6:40" ht="15" customHeight="1" outlineLevel="1">
      <c r="F208" s="52"/>
      <c r="G208" s="51" t="s">
        <v>389</v>
      </c>
      <c r="H208" s="837"/>
      <c r="I208" s="837"/>
      <c r="J208" s="837"/>
      <c r="K208" s="837">
        <f ca="1">IFERROR(IF(INDIRECT("'"&amp;$H$3&amp;"'!K183")="Route-based",K216,IF(INDIRECT("'"&amp;$H$3&amp;"'!K183")="Point-to-point",K221,0)),"")</f>
        <v>0</v>
      </c>
      <c r="L208" s="837"/>
      <c r="M208" s="837"/>
      <c r="N208" s="837">
        <f ca="1">IFERROR(IF(INDIRECT("'"&amp;$H$3&amp;"'!N183")="Route-based",N216,IF(INDIRECT("'"&amp;$H$3&amp;"'!N183")="Point-to-point",N221,0)),"")</f>
        <v>0</v>
      </c>
      <c r="O208" s="837"/>
      <c r="P208" s="837"/>
      <c r="Q208" s="837">
        <f ca="1">IFERROR(IF(INDIRECT("'"&amp;$H$3&amp;"'!Q183")="Route-based",Q216,IF(INDIRECT("'"&amp;$H$3&amp;"'!Q183")="Point-to-point",Q221,0)),"")</f>
        <v>0</v>
      </c>
      <c r="R208" s="1650"/>
      <c r="S208" s="1650"/>
      <c r="T208" s="837">
        <f ca="1">IFERROR(IF(INDIRECT("'"&amp;$H$3&amp;"'!T183")="Route-based",T216,IF(INDIRECT("'"&amp;$H$3&amp;"'!T183")="Point-to-point",T221,0)),"")</f>
        <v>0</v>
      </c>
      <c r="U208" s="1650"/>
      <c r="V208" s="1650"/>
      <c r="W208" s="837">
        <f ca="1">IFERROR(IF(INDIRECT("'"&amp;$H$3&amp;"'!W183")="Route-based",W216,IF(INDIRECT("'"&amp;$H$3&amp;"'!W183")="Point-to-point",W221,0)),"")</f>
        <v>0</v>
      </c>
      <c r="X208" s="1472"/>
      <c r="Y208" s="36"/>
      <c r="Z208" s="36"/>
      <c r="AA208" s="36"/>
      <c r="AB208" s="36"/>
      <c r="AC208" s="36"/>
      <c r="AD208" s="36"/>
      <c r="AE208" s="36"/>
      <c r="AF208" s="36"/>
      <c r="AG208" s="36"/>
      <c r="AH208" s="36"/>
      <c r="AI208" s="36"/>
      <c r="AJ208" s="36"/>
      <c r="AK208" s="242"/>
      <c r="AL208" s="36"/>
      <c r="AM208" s="36"/>
      <c r="AN208" s="36"/>
    </row>
    <row r="209" spans="6:40" ht="15" customHeight="1" outlineLevel="1">
      <c r="F209" s="52"/>
      <c r="G209" s="51" t="s">
        <v>49</v>
      </c>
      <c r="H209" s="837"/>
      <c r="I209" s="837"/>
      <c r="J209" s="837"/>
      <c r="K209" s="837">
        <f ca="1">IFERROR(IF(INDIRECT("'"&amp;$H$3&amp;"'!K163")="Route-based",ROUND(K218*K216/INDIRECT("'"&amp;$H$3&amp;"'!$H$10"),0),IF(INDIRECT("'"&amp;$H$3&amp;"'!K163")="Point-to-point",ROUND(((K221*((1/60)*(INDIRECT("'"&amp;$H$3&amp;"'!K168")+INDIRECT("'"&amp;$H$3&amp;"'!$H$19")*(INDIRECT("'"&amp;$H$3&amp;"'!K169")+(INDIRECT("'"&amp;$H$3&amp;"'!K170")*(MIN(('3_Outputs'!K$187/INDIRECT("'"&amp;$H$3&amp;"'!K$96")),INDEX(INDIRECT("'"&amp;$H$3&amp;"'!$H$49:$H$78"),MATCH(INDIRECT("'"&amp;$H$3&amp;"'!K156")&amp;"Delivery Capacity (m^3)",INDIRECT("'"&amp;$H$3&amp;"'!$F$49:$F$78"),0)))/INDIRECT("'"&amp;$H$3&amp;"'!$H$19")))))))+(K207/INDIRECT("'"&amp;$H$3&amp;"'!K172")))/INDIRECT("'"&amp;$H$3&amp;"'!$H$10"),0),0)),0)</f>
        <v>0</v>
      </c>
      <c r="L209" s="837"/>
      <c r="M209" s="837"/>
      <c r="N209" s="837">
        <f ca="1">IFERROR(IF(INDIRECT("'"&amp;$H$3&amp;"'!N163")="Route-based",ROUND(N218*N216/INDIRECT("'"&amp;$H$3&amp;"'!$H$10"),0),IF(INDIRECT("'"&amp;$H$3&amp;"'!N163")="Point-to-point",ROUND(((N221*((1/60)*(INDIRECT("'"&amp;$H$3&amp;"'!N168")+INDIRECT("'"&amp;$H$3&amp;"'!$H$19")*(INDIRECT("'"&amp;$H$3&amp;"'!N169")+(INDIRECT("'"&amp;$H$3&amp;"'!N170")*(MIN(('3_Outputs'!N$187/INDIRECT("'"&amp;$H$3&amp;"'!N$96")),INDEX(INDIRECT("'"&amp;$H$3&amp;"'!$H$49:$H$78"),MATCH(INDIRECT("'"&amp;$H$3&amp;"'!N156")&amp;"Delivery Capacity (m^3)",INDIRECT("'"&amp;$H$3&amp;"'!$F$49:$F$78"),0)))/INDIRECT("'"&amp;$H$3&amp;"'!$H$19")))))))+(N207/INDIRECT("'"&amp;$H$3&amp;"'!N172")))/INDIRECT("'"&amp;$H$3&amp;"'!$H$10"),0),0)),0)</f>
        <v>0</v>
      </c>
      <c r="O209" s="837"/>
      <c r="P209" s="837"/>
      <c r="Q209" s="837">
        <f ca="1">IFERROR(IF(INDIRECT("'"&amp;$H$3&amp;"'!Q163")="Route-based",ROUND(Q218*Q216/INDIRECT("'"&amp;$H$3&amp;"'!$H$10"),0),IF(INDIRECT("'"&amp;$H$3&amp;"'!Q163")="Point-to-point",ROUND(((Q221*((1/60)*(INDIRECT("'"&amp;$H$3&amp;"'!Q168")+INDIRECT("'"&amp;$H$3&amp;"'!$H$19")*(INDIRECT("'"&amp;$H$3&amp;"'!Q169")+(INDIRECT("'"&amp;$H$3&amp;"'!Q170")*(MIN(('3_Outputs'!Q$187/INDIRECT("'"&amp;$H$3&amp;"'!Q$96")),INDEX(INDIRECT("'"&amp;$H$3&amp;"'!$H$49:$H$78"),MATCH(INDIRECT("'"&amp;$H$3&amp;"'!Q156")&amp;"Delivery Capacity (m^3)",INDIRECT("'"&amp;$H$3&amp;"'!$F$49:$F$78"),0)))/INDIRECT("'"&amp;$H$3&amp;"'!$H$19")))))))+(Q207/INDIRECT("'"&amp;$H$3&amp;"'!Q172")))/INDIRECT("'"&amp;$H$3&amp;"'!$H$10"),0),0)),0)</f>
        <v>0</v>
      </c>
      <c r="R209" s="837"/>
      <c r="S209" s="837"/>
      <c r="T209" s="837">
        <f ca="1">IFERROR(IF(INDIRECT("'"&amp;$H$3&amp;"'!T163")="Route-based",ROUND(T218*T216/INDIRECT("'"&amp;$H$3&amp;"'!$H$10"),0),IF(INDIRECT("'"&amp;$H$3&amp;"'!T163")="Point-to-point",ROUND(((T221*((1/60)*(INDIRECT("'"&amp;$H$3&amp;"'!T168")+INDIRECT("'"&amp;$H$3&amp;"'!$H$19")*(INDIRECT("'"&amp;$H$3&amp;"'!T169")+(INDIRECT("'"&amp;$H$3&amp;"'!T170")*(MIN(('3_Outputs'!T$187/INDIRECT("'"&amp;$H$3&amp;"'!T$96")),INDEX(INDIRECT("'"&amp;$H$3&amp;"'!$H$49:$H$78"),MATCH(INDIRECT("'"&amp;$H$3&amp;"'!T156")&amp;"Delivery Capacity (m^3)",INDIRECT("'"&amp;$H$3&amp;"'!$F$49:$F$78"),0)))/INDIRECT("'"&amp;$H$3&amp;"'!$H$19")))))))+(T207/INDIRECT("'"&amp;$H$3&amp;"'!T172")))/INDIRECT("'"&amp;$H$3&amp;"'!$H$10"),0),0)),0)</f>
        <v>0</v>
      </c>
      <c r="U209" s="837"/>
      <c r="V209" s="837"/>
      <c r="W209" s="837">
        <f ca="1">IFERROR(IF(INDIRECT("'"&amp;$H$3&amp;"'!W163")="Route-based",ROUND(W218*W216/INDIRECT("'"&amp;$H$3&amp;"'!$H$10"),0),IF(INDIRECT("'"&amp;$H$3&amp;"'!W163")="Point-to-point",ROUND(((W221*((1/60)*(INDIRECT("'"&amp;$H$3&amp;"'!W168")+INDIRECT("'"&amp;$H$3&amp;"'!$H$19")*(INDIRECT("'"&amp;$H$3&amp;"'!W169")+(INDIRECT("'"&amp;$H$3&amp;"'!W170")*(MIN(('3_Outputs'!W$187/INDIRECT("'"&amp;$H$3&amp;"'!W$96")),INDEX(INDIRECT("'"&amp;$H$3&amp;"'!$H$49:$H$78"),MATCH(INDIRECT("'"&amp;$H$3&amp;"'!W156")&amp;"Delivery Capacity (m^3)",INDIRECT("'"&amp;$H$3&amp;"'!$F$49:$F$78"),0)))/INDIRECT("'"&amp;$H$3&amp;"'!$H$19")))))))+(W207/INDIRECT("'"&amp;$H$3&amp;"'!W172")))/INDIRECT("'"&amp;$H$3&amp;"'!$H$10"),0),0)),0)</f>
        <v>0</v>
      </c>
      <c r="X209" s="1472"/>
      <c r="Y209" s="36"/>
      <c r="Z209" s="36"/>
      <c r="AA209" s="36"/>
      <c r="AB209" s="36"/>
      <c r="AC209" s="36"/>
      <c r="AD209" s="36"/>
      <c r="AE209" s="36"/>
      <c r="AF209" s="36"/>
      <c r="AG209" s="36"/>
      <c r="AH209" s="36"/>
      <c r="AI209" s="36"/>
      <c r="AJ209" s="36"/>
      <c r="AK209" s="36"/>
      <c r="AL209" s="36"/>
      <c r="AM209" s="36"/>
      <c r="AN209" s="36"/>
    </row>
    <row r="210" spans="6:40" ht="15" customHeight="1" outlineLevel="1">
      <c r="F210" s="52"/>
      <c r="G210" s="51" t="s">
        <v>189</v>
      </c>
      <c r="H210" s="839"/>
      <c r="I210" s="839"/>
      <c r="J210" s="839"/>
      <c r="K210" s="839">
        <f ca="1">IFERROR(IF(INDIRECT("'"&amp;$H$3&amp;"'!K163")="Route-based",('3_Outputs'!K$187*K206)/(K216*INDEX(INDIRECT("'"&amp;$H$3&amp;"'!$H$49:$H$78"),MATCH(INDIRECT("'"&amp;$H$3&amp;"'!K156")&amp;"Delivery Capacity (m^3)",INDIRECT("'"&amp;$H$3&amp;"'!$F$49:$F$78"),0))),IF(INDIRECT("'"&amp;$H$3&amp;"'!K163")="Point-to-point",('3_Outputs'!K$187*K206)/(K221*INDEX(INDIRECT("'"&amp;$H$3&amp;"'!$H$49:$H$78"),MATCH(INDIRECT("'"&amp;$H$3&amp;"'!K156")&amp;"Delivery Capacity (m^3)",INDIRECT("'"&amp;$H$3&amp;"'!$F$49:$F$78"),0))),0)),0)</f>
        <v>0</v>
      </c>
      <c r="L210" s="839"/>
      <c r="M210" s="839"/>
      <c r="N210" s="839">
        <f ca="1">IFERROR(IF(INDIRECT("'"&amp;$H$3&amp;"'!N163")="Route-based",('3_Outputs'!N$187*N206)/(N216*INDEX(INDIRECT("'"&amp;$H$3&amp;"'!$H$49:$H$78"),MATCH(INDIRECT("'"&amp;$H$3&amp;"'!N156")&amp;"Delivery Capacity (m^3)",INDIRECT("'"&amp;$H$3&amp;"'!$F$49:$F$78"),0))),IF(INDIRECT("'"&amp;$H$3&amp;"'!N163")="Point-to-point",('3_Outputs'!N$187*N206)/(N221*INDEX(INDIRECT("'"&amp;$H$3&amp;"'!$H$49:$H$78"),MATCH(INDIRECT("'"&amp;$H$3&amp;"'!N156")&amp;"Delivery Capacity (m^3)",INDIRECT("'"&amp;$H$3&amp;"'!$F$49:$F$78"),0))),0)),0)</f>
        <v>0</v>
      </c>
      <c r="O210" s="839"/>
      <c r="P210" s="839"/>
      <c r="Q210" s="839">
        <f ca="1">IFERROR(IF(INDIRECT("'"&amp;$H$3&amp;"'!Q163")="Route-based",('3_Outputs'!Q$187*Q206)/(Q216*INDEX(INDIRECT("'"&amp;$H$3&amp;"'!$H$49:$H$78"),MATCH(INDIRECT("'"&amp;$H$3&amp;"'!Q156")&amp;"Delivery Capacity (m^3)",INDIRECT("'"&amp;$H$3&amp;"'!$F$49:$F$78"),0))),IF(INDIRECT("'"&amp;$H$3&amp;"'!Q163")="Point-to-point",('3_Outputs'!Q$187*Q206)/(Q221*INDEX(INDIRECT("'"&amp;$H$3&amp;"'!$H$49:$H$78"),MATCH(INDIRECT("'"&amp;$H$3&amp;"'!Q156")&amp;"Delivery Capacity (m^3)",INDIRECT("'"&amp;$H$3&amp;"'!$F$49:$F$78"),0))),0)),0)</f>
        <v>0</v>
      </c>
      <c r="R210" s="839"/>
      <c r="S210" s="839"/>
      <c r="T210" s="839">
        <f ca="1">IFERROR(IF(INDIRECT("'"&amp;$H$3&amp;"'!T163")="Route-based",('3_Outputs'!T$187*T206)/(T216*INDEX(INDIRECT("'"&amp;$H$3&amp;"'!$H$49:$H$78"),MATCH(INDIRECT("'"&amp;$H$3&amp;"'!T156")&amp;"Delivery Capacity (m^3)",INDIRECT("'"&amp;$H$3&amp;"'!$F$49:$F$78"),0))),IF(INDIRECT("'"&amp;$H$3&amp;"'!T163")="Point-to-point",('3_Outputs'!T$187*T206)/(T221*INDEX(INDIRECT("'"&amp;$H$3&amp;"'!$H$49:$H$78"),MATCH(INDIRECT("'"&amp;$H$3&amp;"'!T156")&amp;"Delivery Capacity (m^3)",INDIRECT("'"&amp;$H$3&amp;"'!$F$49:$F$78"),0))),0)),0)</f>
        <v>0</v>
      </c>
      <c r="U210" s="839"/>
      <c r="V210" s="839"/>
      <c r="W210" s="839">
        <f ca="1">IFERROR(IF(INDIRECT("'"&amp;$H$3&amp;"'!W163")="Route-based",('3_Outputs'!W$187*W206)/(W216*INDEX(INDIRECT("'"&amp;$H$3&amp;"'!$H$49:$H$78"),MATCH(INDIRECT("'"&amp;$H$3&amp;"'!W156")&amp;"Delivery Capacity (m^3)",INDIRECT("'"&amp;$H$3&amp;"'!$F$49:$F$78"),0))),IF(INDIRECT("'"&amp;$H$3&amp;"'!W163")="Point-to-point",('3_Outputs'!W$187*W206)/(W221*INDEX(INDIRECT("'"&amp;$H$3&amp;"'!$H$49:$H$78"),MATCH(INDIRECT("'"&amp;$H$3&amp;"'!W156")&amp;"Delivery Capacity (m^3)",INDIRECT("'"&amp;$H$3&amp;"'!$F$49:$F$78"),0))),0)),0)</f>
        <v>0</v>
      </c>
      <c r="X210" s="1473"/>
      <c r="Y210" s="36"/>
      <c r="Z210" s="36"/>
      <c r="AA210" s="36"/>
      <c r="AB210" s="36"/>
      <c r="AC210" s="36"/>
      <c r="AD210" s="36"/>
      <c r="AE210" s="36"/>
      <c r="AF210" s="36"/>
      <c r="AG210" s="36"/>
      <c r="AH210" s="36"/>
      <c r="AI210" s="36"/>
      <c r="AJ210" s="36"/>
      <c r="AK210" s="36" t="s">
        <v>191</v>
      </c>
      <c r="AL210" s="36"/>
      <c r="AM210" s="36"/>
      <c r="AN210" s="36"/>
    </row>
    <row r="211" spans="6:40" ht="15" customHeight="1" outlineLevel="1">
      <c r="F211" s="52"/>
      <c r="G211" s="51" t="s">
        <v>201</v>
      </c>
      <c r="H211" s="839"/>
      <c r="I211" s="839"/>
      <c r="J211" s="839"/>
      <c r="K211" s="839">
        <f ca="1">IFERROR((K209+IF(INDIRECT("'"&amp;$H$3&amp;"'!K225")="Yes",K310,0)+IF(INDIRECT("'"&amp;$H$3&amp;"'!K289")="Yes",K399,0))/(INDIRECT("'"&amp;$H$3&amp;"'!K160")*INDIRECT("'"&amp;$H$3&amp;"'!$H$9")),0)</f>
        <v>0</v>
      </c>
      <c r="L211" s="839"/>
      <c r="M211" s="839"/>
      <c r="N211" s="839">
        <f ca="1">IFERROR((N209+IF(INDIRECT("'"&amp;$H$3&amp;"'!N225")="Yes",N310,0)+IF(INDIRECT("'"&amp;$H$3&amp;"'!N289")="Yes",N399,0))/(INDIRECT("'"&amp;$H$3&amp;"'!N160")*INDIRECT("'"&amp;$H$3&amp;"'!$H$9")),0)</f>
        <v>0</v>
      </c>
      <c r="O211" s="839"/>
      <c r="P211" s="839"/>
      <c r="Q211" s="839">
        <f ca="1">IFERROR((Q209+IF(INDIRECT("'"&amp;$H$3&amp;"'!Q225")="Yes",Q310,0)+IF(INDIRECT("'"&amp;$H$3&amp;"'!Q289")="Yes",Q399,0))/(INDIRECT("'"&amp;$H$3&amp;"'!Q160")*INDIRECT("'"&amp;$H$3&amp;"'!$H$9")),0)</f>
        <v>0</v>
      </c>
      <c r="R211" s="839"/>
      <c r="S211" s="839"/>
      <c r="T211" s="839">
        <f ca="1">IFERROR((T209+IF(INDIRECT("'"&amp;$H$3&amp;"'!T225")="Yes",T310,0)+IF(INDIRECT("'"&amp;$H$3&amp;"'!T289")="Yes",T399,0))/(INDIRECT("'"&amp;$H$3&amp;"'!T160")*INDIRECT("'"&amp;$H$3&amp;"'!$H$9")),0)</f>
        <v>0</v>
      </c>
      <c r="U211" s="839"/>
      <c r="V211" s="839"/>
      <c r="W211" s="839">
        <f ca="1">IFERROR((W209+IF(INDIRECT("'"&amp;$H$3&amp;"'!W225")="Yes",W310,0)+IF(INDIRECT("'"&amp;$H$3&amp;"'!W289")="Yes",W399,0))/(INDIRECT("'"&amp;$H$3&amp;"'!W160")*INDIRECT("'"&amp;$H$3&amp;"'!$H$9")),0)</f>
        <v>0</v>
      </c>
      <c r="X211" s="1473"/>
      <c r="Y211" s="36"/>
      <c r="Z211" s="36"/>
      <c r="AA211" s="36"/>
      <c r="AB211" s="36"/>
      <c r="AC211" s="36"/>
      <c r="AD211" s="36"/>
      <c r="AE211" s="36"/>
      <c r="AF211" s="36"/>
      <c r="AG211" s="36"/>
      <c r="AH211" s="36"/>
      <c r="AI211" s="36"/>
      <c r="AJ211" s="36"/>
      <c r="AK211" s="36"/>
      <c r="AL211" s="36"/>
      <c r="AM211" s="36"/>
      <c r="AN211" s="36"/>
    </row>
    <row r="212" spans="6:40" ht="15" customHeight="1" outlineLevel="1">
      <c r="F212" s="52"/>
      <c r="G212" s="1613" t="s">
        <v>133</v>
      </c>
      <c r="H212" s="842"/>
      <c r="I212" s="842"/>
      <c r="J212" s="842"/>
      <c r="K212" s="842"/>
      <c r="L212" s="842"/>
      <c r="M212" s="842"/>
      <c r="N212" s="842"/>
      <c r="O212" s="842"/>
      <c r="P212" s="842"/>
      <c r="Q212" s="842"/>
      <c r="R212" s="1650"/>
      <c r="S212" s="1650"/>
      <c r="T212" s="842"/>
      <c r="U212" s="1650"/>
      <c r="V212" s="1650"/>
      <c r="W212" s="842"/>
      <c r="X212" s="1470"/>
      <c r="Y212" s="36"/>
      <c r="Z212" s="36"/>
      <c r="AA212" s="36"/>
      <c r="AB212" s="36"/>
      <c r="AC212" s="36"/>
      <c r="AD212" s="36"/>
      <c r="AE212" s="36"/>
      <c r="AF212" s="36"/>
      <c r="AG212" s="36"/>
      <c r="AH212" s="36"/>
      <c r="AI212" s="36"/>
      <c r="AJ212" s="36"/>
      <c r="AK212" s="36"/>
      <c r="AL212" s="36"/>
      <c r="AM212" s="36"/>
      <c r="AN212" s="36"/>
    </row>
    <row r="213" spans="6:40" ht="15" customHeight="1" outlineLevel="1">
      <c r="F213" s="52"/>
      <c r="G213" s="51" t="s">
        <v>127</v>
      </c>
      <c r="H213" s="836"/>
      <c r="I213" s="836"/>
      <c r="J213" s="836"/>
      <c r="K213" s="836">
        <f ca="1">IFERROR(INDEX(INDIRECT("'"&amp;$H$3&amp;"'!$H$49:$H$78"),MATCH(INDIRECT("'"&amp;$H$3&amp;"'!K156")&amp;"Delivery Capacity (m^3)",INDIRECT("'"&amp;$H$3&amp;"'!$F$49:$F$78"),0))/('3_Outputs'!K$187/INDIRECT("'"&amp;$H$3&amp;"'!K$96")),0)</f>
        <v>0</v>
      </c>
      <c r="L213" s="836"/>
      <c r="M213" s="836"/>
      <c r="N213" s="836">
        <f ca="1">IFERROR(INDEX(INDIRECT("'"&amp;$H$3&amp;"'!$H$49:$H$78"),MATCH(INDIRECT("'"&amp;$H$3&amp;"'!N156")&amp;"Delivery Capacity (m^3)",INDIRECT("'"&amp;$H$3&amp;"'!$F$49:$F$78"),0))/('3_Outputs'!N$187/INDIRECT("'"&amp;$H$3&amp;"'!N$96")),0)</f>
        <v>0</v>
      </c>
      <c r="O213" s="836"/>
      <c r="P213" s="836"/>
      <c r="Q213" s="836">
        <f ca="1">IFERROR(INDEX(INDIRECT("'"&amp;$H$3&amp;"'!$H$49:$H$78"),MATCH(INDIRECT("'"&amp;$H$3&amp;"'!Q156")&amp;"Delivery Capacity (m^3)",INDIRECT("'"&amp;$H$3&amp;"'!$F$49:$F$78"),0))/('3_Outputs'!Q$187/INDIRECT("'"&amp;$H$3&amp;"'!Q$96")),0)</f>
        <v>0</v>
      </c>
      <c r="R213" s="836"/>
      <c r="S213" s="836"/>
      <c r="T213" s="836">
        <f ca="1">IFERROR(INDEX(INDIRECT("'"&amp;$H$3&amp;"'!$H$49:$H$78"),MATCH(INDIRECT("'"&amp;$H$3&amp;"'!T156")&amp;"Delivery Capacity (m^3)",INDIRECT("'"&amp;$H$3&amp;"'!$F$49:$F$78"),0))/('3_Outputs'!T$187/INDIRECT("'"&amp;$H$3&amp;"'!T$96")),0)</f>
        <v>0</v>
      </c>
      <c r="U213" s="836"/>
      <c r="V213" s="836"/>
      <c r="W213" s="836">
        <f ca="1">IFERROR(INDEX(INDIRECT("'"&amp;$H$3&amp;"'!$H$49:$H$78"),MATCH(INDIRECT("'"&amp;$H$3&amp;"'!W156")&amp;"Delivery Capacity (m^3)",INDIRECT("'"&amp;$H$3&amp;"'!$F$49:$F$78"),0))/('3_Outputs'!W$187/INDIRECT("'"&amp;$H$3&amp;"'!W$96")),0)</f>
        <v>0</v>
      </c>
      <c r="X213" s="1465"/>
      <c r="Y213" s="36"/>
      <c r="Z213" s="36"/>
      <c r="AA213" s="36"/>
      <c r="AB213" s="36"/>
      <c r="AC213" s="36"/>
      <c r="AD213" s="36"/>
      <c r="AE213" s="36"/>
      <c r="AF213" s="36"/>
      <c r="AG213" s="36"/>
      <c r="AH213" s="36"/>
      <c r="AI213" s="36"/>
      <c r="AJ213" s="36"/>
      <c r="AK213" s="36"/>
      <c r="AL213" s="36"/>
      <c r="AM213" s="36"/>
      <c r="AN213" s="36"/>
    </row>
    <row r="214" spans="6:40" ht="15" customHeight="1" outlineLevel="1" collapsed="1">
      <c r="F214" s="52"/>
      <c r="G214" s="51" t="s">
        <v>128</v>
      </c>
      <c r="H214" s="836"/>
      <c r="I214" s="836"/>
      <c r="J214" s="836"/>
      <c r="K214" s="836">
        <f ca="1">IFERROR(((INDIRECT("'"&amp;$H$3&amp;"'!K164")*INDIRECT("'"&amp;$H$3&amp;"'!$H$10"))-(2*INDIRECT("'"&amp;$H$3&amp;"'!K$98")/INDIRECT("'"&amp;$H$3&amp;"'!K172"))+(INDIRECT("'"&amp;$H$3&amp;"'!K$99")/INDIRECT("'"&amp;$H$3&amp;"'!K171")))/(((1/60)*(INDIRECT("'"&amp;$H$3&amp;"'!K168")+INDIRECT("'"&amp;$H$3&amp;"'!$H$19")*(INDIRECT("'"&amp;$H$3&amp;"'!K169")+(INDIRECT("'"&amp;$H$3&amp;"'!K170")*('3_Outputs'!K$187/INDIRECT("'"&amp;$H$3&amp;"'!K$96")/INDIRECT("'"&amp;$H$3&amp;"'!$H$19"))))))+(INDIRECT("'"&amp;$H$3&amp;"'!K$99")/INDIRECT("'"&amp;$H$3&amp;"'!K171"))),0)</f>
        <v>0</v>
      </c>
      <c r="L214" s="836"/>
      <c r="M214" s="836"/>
      <c r="N214" s="836">
        <f ca="1">IFERROR(((INDIRECT("'"&amp;$H$3&amp;"'!N164")*INDIRECT("'"&amp;$H$3&amp;"'!$H$10"))-(2*INDIRECT("'"&amp;$H$3&amp;"'!N$98")/INDIRECT("'"&amp;$H$3&amp;"'!N172"))+(INDIRECT("'"&amp;$H$3&amp;"'!N$99")/INDIRECT("'"&amp;$H$3&amp;"'!N171")))/(((1/60)*(INDIRECT("'"&amp;$H$3&amp;"'!N168")+INDIRECT("'"&amp;$H$3&amp;"'!$H$19")*(INDIRECT("'"&amp;$H$3&amp;"'!N169")+(INDIRECT("'"&amp;$H$3&amp;"'!N170")*('3_Outputs'!N$187/INDIRECT("'"&amp;$H$3&amp;"'!N$96")/INDIRECT("'"&amp;$H$3&amp;"'!$H$19"))))))+(INDIRECT("'"&amp;$H$3&amp;"'!N$99")/INDIRECT("'"&amp;$H$3&amp;"'!N171"))),0)</f>
        <v>0</v>
      </c>
      <c r="O214" s="836"/>
      <c r="P214" s="836"/>
      <c r="Q214" s="836">
        <f ca="1">IFERROR(((INDIRECT("'"&amp;$H$3&amp;"'!Q164")*INDIRECT("'"&amp;$H$3&amp;"'!$H$10"))-(2*INDIRECT("'"&amp;$H$3&amp;"'!Q$98")/INDIRECT("'"&amp;$H$3&amp;"'!Q172"))+(INDIRECT("'"&amp;$H$3&amp;"'!Q$99")/INDIRECT("'"&amp;$H$3&amp;"'!Q171")))/(((1/60)*(INDIRECT("'"&amp;$H$3&amp;"'!Q168")+INDIRECT("'"&amp;$H$3&amp;"'!$H$19")*(INDIRECT("'"&amp;$H$3&amp;"'!Q169")+(INDIRECT("'"&amp;$H$3&amp;"'!Q170")*('3_Outputs'!Q$187/INDIRECT("'"&amp;$H$3&amp;"'!Q$96")/INDIRECT("'"&amp;$H$3&amp;"'!$H$19"))))))+(INDIRECT("'"&amp;$H$3&amp;"'!Q$99")/INDIRECT("'"&amp;$H$3&amp;"'!Q171"))),0)</f>
        <v>0</v>
      </c>
      <c r="R214" s="836"/>
      <c r="S214" s="836"/>
      <c r="T214" s="836">
        <f ca="1">IFERROR(((INDIRECT("'"&amp;$H$3&amp;"'!T164")*INDIRECT("'"&amp;$H$3&amp;"'!$H$10"))-(2*INDIRECT("'"&amp;$H$3&amp;"'!T$98")/INDIRECT("'"&amp;$H$3&amp;"'!T172"))+(INDIRECT("'"&amp;$H$3&amp;"'!T$99")/INDIRECT("'"&amp;$H$3&amp;"'!T171")))/(((1/60)*(INDIRECT("'"&amp;$H$3&amp;"'!T168")+INDIRECT("'"&amp;$H$3&amp;"'!$H$19")*(INDIRECT("'"&amp;$H$3&amp;"'!T169")+(INDIRECT("'"&amp;$H$3&amp;"'!T170")*('3_Outputs'!T$187/INDIRECT("'"&amp;$H$3&amp;"'!T$96")/INDIRECT("'"&amp;$H$3&amp;"'!$H$19"))))))+(INDIRECT("'"&amp;$H$3&amp;"'!T$99")/INDIRECT("'"&amp;$H$3&amp;"'!T171"))),0)</f>
        <v>0</v>
      </c>
      <c r="U214" s="836"/>
      <c r="V214" s="836"/>
      <c r="W214" s="836">
        <f ca="1">IFERROR(((INDIRECT("'"&amp;$H$3&amp;"'!W164")*INDIRECT("'"&amp;$H$3&amp;"'!$H$10"))-(2*INDIRECT("'"&amp;$H$3&amp;"'!W$98")/INDIRECT("'"&amp;$H$3&amp;"'!W172"))+(INDIRECT("'"&amp;$H$3&amp;"'!W$99")/INDIRECT("'"&amp;$H$3&amp;"'!W171")))/(((1/60)*(INDIRECT("'"&amp;$H$3&amp;"'!W168")+INDIRECT("'"&amp;$H$3&amp;"'!$H$19")*(INDIRECT("'"&amp;$H$3&amp;"'!W169")+(INDIRECT("'"&amp;$H$3&amp;"'!W170")*('3_Outputs'!W$187/INDIRECT("'"&amp;$H$3&amp;"'!W$96")/INDIRECT("'"&amp;$H$3&amp;"'!$H$19"))))))+(INDIRECT("'"&amp;$H$3&amp;"'!W$99")/INDIRECT("'"&amp;$H$3&amp;"'!W171"))),0)</f>
        <v>0</v>
      </c>
      <c r="X214" s="1465"/>
      <c r="Y214" s="36"/>
      <c r="Z214" s="36"/>
      <c r="AA214" s="36"/>
      <c r="AB214" s="36"/>
      <c r="AC214" s="36"/>
      <c r="AD214" s="36"/>
      <c r="AE214" s="36"/>
      <c r="AF214" s="36"/>
      <c r="AG214" s="36"/>
      <c r="AH214" s="36"/>
      <c r="AI214" s="36"/>
      <c r="AJ214" s="36"/>
      <c r="AK214" s="242"/>
      <c r="AL214" s="36"/>
      <c r="AM214" s="36"/>
      <c r="AN214" s="36"/>
    </row>
    <row r="215" spans="6:40" ht="15" customHeight="1" outlineLevel="1">
      <c r="F215" s="52"/>
      <c r="G215" s="51" t="s">
        <v>129</v>
      </c>
      <c r="H215" s="836"/>
      <c r="I215" s="836"/>
      <c r="J215" s="836"/>
      <c r="K215" s="836">
        <f ca="1">IFERROR(MIN(K214,K213),0)</f>
        <v>0</v>
      </c>
      <c r="L215" s="836"/>
      <c r="M215" s="836"/>
      <c r="N215" s="836">
        <f ca="1">IFERROR(MIN(N214,N213),0)</f>
        <v>0</v>
      </c>
      <c r="O215" s="836"/>
      <c r="P215" s="836"/>
      <c r="Q215" s="836">
        <f ca="1">IFERROR(MIN(Q214,Q213),0)</f>
        <v>0</v>
      </c>
      <c r="R215" s="836"/>
      <c r="S215" s="836"/>
      <c r="T215" s="836">
        <f ca="1">IFERROR(MIN(T214,T213),0)</f>
        <v>0</v>
      </c>
      <c r="U215" s="836"/>
      <c r="V215" s="836"/>
      <c r="W215" s="836">
        <f ca="1">IFERROR(MIN(W214,W213),0)</f>
        <v>0</v>
      </c>
      <c r="X215" s="1465"/>
      <c r="Y215" s="36"/>
      <c r="Z215" s="36"/>
      <c r="AA215" s="36"/>
      <c r="AB215" s="36"/>
      <c r="AC215" s="36"/>
      <c r="AD215" s="36"/>
      <c r="AE215" s="36"/>
      <c r="AF215" s="36"/>
      <c r="AG215" s="36"/>
      <c r="AH215" s="36"/>
      <c r="AI215" s="36"/>
      <c r="AJ215" s="36"/>
      <c r="AK215" s="242"/>
      <c r="AL215" s="36"/>
      <c r="AM215" s="36"/>
      <c r="AN215" s="36"/>
    </row>
    <row r="216" spans="6:40" ht="15" customHeight="1" outlineLevel="1">
      <c r="F216" s="52"/>
      <c r="G216" s="51" t="s">
        <v>188</v>
      </c>
      <c r="H216" s="836"/>
      <c r="I216" s="836"/>
      <c r="J216" s="836"/>
      <c r="K216" s="836">
        <f ca="1">IFERROR(ROUND(K206*INDIRECT("'"&amp;$H$3&amp;"'!K$96")/K215,0),0)</f>
        <v>0</v>
      </c>
      <c r="L216" s="836"/>
      <c r="M216" s="836"/>
      <c r="N216" s="836">
        <f ca="1">IFERROR(ROUND(N206*INDIRECT("'"&amp;$H$3&amp;"'!N$96")/N215,0),0)</f>
        <v>0</v>
      </c>
      <c r="O216" s="836"/>
      <c r="P216" s="836"/>
      <c r="Q216" s="836">
        <f ca="1">IFERROR(ROUND(Q206*INDIRECT("'"&amp;$H$3&amp;"'!Q$96")/Q215,0),0)</f>
        <v>0</v>
      </c>
      <c r="R216" s="836"/>
      <c r="S216" s="836"/>
      <c r="T216" s="836">
        <f ca="1">IFERROR(ROUND(T206*INDIRECT("'"&amp;$H$3&amp;"'!T$96")/T215,0),0)</f>
        <v>0</v>
      </c>
      <c r="U216" s="836"/>
      <c r="V216" s="836"/>
      <c r="W216" s="836">
        <f ca="1">IFERROR(ROUND(W206*INDIRECT("'"&amp;$H$3&amp;"'!W$96")/W215,0),0)</f>
        <v>0</v>
      </c>
      <c r="X216" s="1465"/>
      <c r="Y216" s="36"/>
      <c r="Z216" s="36"/>
      <c r="AA216" s="36"/>
      <c r="AB216" s="36"/>
      <c r="AC216" s="36"/>
      <c r="AD216" s="36"/>
      <c r="AE216" s="36"/>
      <c r="AF216" s="36"/>
      <c r="AG216" s="36"/>
      <c r="AH216" s="36"/>
      <c r="AI216" s="36"/>
      <c r="AJ216" s="36"/>
      <c r="AK216" s="242"/>
      <c r="AL216" s="36"/>
      <c r="AM216" s="36"/>
      <c r="AN216" s="36"/>
    </row>
    <row r="217" spans="6:40" ht="15" customHeight="1" outlineLevel="1">
      <c r="F217" s="52"/>
      <c r="G217" s="51" t="s">
        <v>88</v>
      </c>
      <c r="H217" s="836"/>
      <c r="I217" s="836"/>
      <c r="J217" s="836"/>
      <c r="K217" s="836">
        <f ca="1">IFERROR(IF(K206=0,0,(2*INDIRECT("'"&amp;$H$3&amp;"'!K$98"))+((MAX(K215,1)-1)*INDIRECT("'"&amp;$H$3&amp;"'!K$99"))),0)</f>
        <v>0</v>
      </c>
      <c r="L217" s="836"/>
      <c r="M217" s="836"/>
      <c r="N217" s="836">
        <f ca="1">IFERROR(IF(N206=0,0,(2*INDIRECT("'"&amp;$H$3&amp;"'!N$98"))+((MAX(N215,1)-1)*INDIRECT("'"&amp;$H$3&amp;"'!N$99"))),0)</f>
        <v>0</v>
      </c>
      <c r="O217" s="836"/>
      <c r="P217" s="836"/>
      <c r="Q217" s="836">
        <f ca="1">IFERROR(IF(Q206=0,0,(2*INDIRECT("'"&amp;$H$3&amp;"'!Q$98"))+((MAX(Q215,1)-1)*INDIRECT("'"&amp;$H$3&amp;"'!Q$99"))),0)</f>
        <v>0</v>
      </c>
      <c r="R217" s="836"/>
      <c r="S217" s="836"/>
      <c r="T217" s="836">
        <f ca="1">IFERROR(IF(T206=0,0,(2*INDIRECT("'"&amp;$H$3&amp;"'!T$98"))+((MAX(T215,1)-1)*INDIRECT("'"&amp;$H$3&amp;"'!T$99"))),0)</f>
        <v>0</v>
      </c>
      <c r="U217" s="836"/>
      <c r="V217" s="836"/>
      <c r="W217" s="836">
        <f ca="1">IFERROR(IF(W206=0,0,(2*INDIRECT("'"&amp;$H$3&amp;"'!W$98"))+((MAX(W215,1)-1)*INDIRECT("'"&amp;$H$3&amp;"'!W$99"))),0)</f>
        <v>0</v>
      </c>
      <c r="X217" s="1465"/>
      <c r="Y217" s="36"/>
      <c r="Z217" s="36"/>
      <c r="AA217" s="36"/>
      <c r="AB217" s="36"/>
      <c r="AC217" s="36"/>
      <c r="AD217" s="36"/>
      <c r="AE217" s="36"/>
      <c r="AF217" s="36"/>
      <c r="AG217" s="36"/>
      <c r="AH217" s="36"/>
      <c r="AI217" s="36"/>
      <c r="AJ217" s="36"/>
      <c r="AK217" s="242"/>
      <c r="AL217" s="36"/>
      <c r="AM217" s="36"/>
      <c r="AN217" s="36"/>
    </row>
    <row r="218" spans="6:40" ht="15" customHeight="1" outlineLevel="1">
      <c r="F218" s="52"/>
      <c r="G218" s="51" t="s">
        <v>199</v>
      </c>
      <c r="H218" s="836"/>
      <c r="I218" s="836"/>
      <c r="J218" s="836"/>
      <c r="K218" s="836">
        <f ca="1">IFERROR((ROUNDUP(K215,0)*(1/60)*INDIRECT("'"&amp;$H$3&amp;"'!K168"))+(K215*((1/60)*(INDIRECT("'"&amp;$H$3&amp;"'!$H$19")*(INDIRECT("'"&amp;$H$3&amp;"'!K169")+(INDIRECT("'"&amp;$H$3&amp;"'!K170")*('3_Outputs'!K$187/INDIRECT("'"&amp;$H$3&amp;"'!K$96")/INDIRECT("'"&amp;$H$3&amp;"'!$H$19")))))))+((2*INDIRECT("'"&amp;$H$3&amp;"'!K$98"))/INDIRECT("'"&amp;$H$3&amp;"'!K172"))+(((MAX(K215,1)-1)*INDIRECT("'"&amp;$H$3&amp;"'!K$99"))/INDIRECT("'"&amp;$H$3&amp;"'!K171")),0)</f>
        <v>0</v>
      </c>
      <c r="L218" s="836"/>
      <c r="M218" s="836"/>
      <c r="N218" s="836">
        <f ca="1">IFERROR((ROUNDUP(N215,0)*(1/60)*INDIRECT("'"&amp;$H$3&amp;"'!N168"))+(N215*((1/60)*(INDIRECT("'"&amp;$H$3&amp;"'!$H$19")*(INDIRECT("'"&amp;$H$3&amp;"'!N169")+(INDIRECT("'"&amp;$H$3&amp;"'!N170")*('3_Outputs'!N$187/INDIRECT("'"&amp;$H$3&amp;"'!N$96")/INDIRECT("'"&amp;$H$3&amp;"'!$H$19")))))))+((2*INDIRECT("'"&amp;$H$3&amp;"'!N$98"))/INDIRECT("'"&amp;$H$3&amp;"'!N172"))+(((MAX(N215,1)-1)*INDIRECT("'"&amp;$H$3&amp;"'!N$99"))/INDIRECT("'"&amp;$H$3&amp;"'!N171")),0)</f>
        <v>0</v>
      </c>
      <c r="O218" s="836"/>
      <c r="P218" s="836"/>
      <c r="Q218" s="836">
        <f ca="1">IFERROR((ROUNDUP(Q215,0)*(1/60)*INDIRECT("'"&amp;$H$3&amp;"'!Q168"))+(Q215*((1/60)*(INDIRECT("'"&amp;$H$3&amp;"'!$H$19")*(INDIRECT("'"&amp;$H$3&amp;"'!Q169")+(INDIRECT("'"&amp;$H$3&amp;"'!Q170")*('3_Outputs'!Q$187/INDIRECT("'"&amp;$H$3&amp;"'!Q$96")/INDIRECT("'"&amp;$H$3&amp;"'!$H$19")))))))+((2*INDIRECT("'"&amp;$H$3&amp;"'!Q$98"))/INDIRECT("'"&amp;$H$3&amp;"'!Q172"))+(((MAX(Q215,1)-1)*INDIRECT("'"&amp;$H$3&amp;"'!Q$99"))/INDIRECT("'"&amp;$H$3&amp;"'!Q171")),0)</f>
        <v>0</v>
      </c>
      <c r="R218" s="836"/>
      <c r="S218" s="836"/>
      <c r="T218" s="836">
        <f ca="1">IFERROR((ROUNDUP(T215,0)*(1/60)*INDIRECT("'"&amp;$H$3&amp;"'!T168"))+(T215*((1/60)*(INDIRECT("'"&amp;$H$3&amp;"'!$H$19")*(INDIRECT("'"&amp;$H$3&amp;"'!T169")+(INDIRECT("'"&amp;$H$3&amp;"'!T170")*('3_Outputs'!T$187/INDIRECT("'"&amp;$H$3&amp;"'!T$96")/INDIRECT("'"&amp;$H$3&amp;"'!$H$19")))))))+((2*INDIRECT("'"&amp;$H$3&amp;"'!T$98"))/INDIRECT("'"&amp;$H$3&amp;"'!T172"))+(((MAX(T215,1)-1)*INDIRECT("'"&amp;$H$3&amp;"'!T$99"))/INDIRECT("'"&amp;$H$3&amp;"'!T171")),0)</f>
        <v>0</v>
      </c>
      <c r="U218" s="836"/>
      <c r="V218" s="836"/>
      <c r="W218" s="836">
        <f ca="1">IFERROR((ROUNDUP(W215,0)*(1/60)*INDIRECT("'"&amp;$H$3&amp;"'!W168"))+(W215*((1/60)*(INDIRECT("'"&amp;$H$3&amp;"'!$H$19")*(INDIRECT("'"&amp;$H$3&amp;"'!W169")+(INDIRECT("'"&amp;$H$3&amp;"'!W170")*('3_Outputs'!W$187/INDIRECT("'"&amp;$H$3&amp;"'!W$96")/INDIRECT("'"&amp;$H$3&amp;"'!$H$19")))))))+((2*INDIRECT("'"&amp;$H$3&amp;"'!W$98"))/INDIRECT("'"&amp;$H$3&amp;"'!W172"))+(((MAX(W215,1)-1)*INDIRECT("'"&amp;$H$3&amp;"'!W$99"))/INDIRECT("'"&amp;$H$3&amp;"'!W171")),0)</f>
        <v>0</v>
      </c>
      <c r="X218" s="1465"/>
      <c r="Y218" s="36"/>
      <c r="Z218" s="36"/>
      <c r="AA218" s="36"/>
      <c r="AB218" s="36"/>
      <c r="AC218" s="36"/>
      <c r="AD218" s="36"/>
      <c r="AE218" s="36"/>
      <c r="AF218" s="36"/>
      <c r="AG218" s="36"/>
      <c r="AH218" s="36"/>
      <c r="AI218" s="36"/>
      <c r="AJ218" s="36"/>
      <c r="AK218" s="242"/>
      <c r="AL218" s="36"/>
      <c r="AM218" s="36"/>
      <c r="AN218" s="36"/>
    </row>
    <row r="219" spans="6:40" ht="15" customHeight="1" outlineLevel="1">
      <c r="F219" s="52"/>
      <c r="G219" s="51" t="s">
        <v>200</v>
      </c>
      <c r="H219" s="836"/>
      <c r="I219" s="836"/>
      <c r="J219" s="836"/>
      <c r="K219" s="836">
        <f ca="1">IFERROR((INDIRECT("'"&amp;$H$3&amp;"'!$H$10")*INDIRECT("'"&amp;$H$3&amp;"'!$H$9")*INDIRECT("'"&amp;$H$3&amp;"'!K160"))/K218,0)</f>
        <v>0</v>
      </c>
      <c r="L219" s="836"/>
      <c r="M219" s="836"/>
      <c r="N219" s="836">
        <f ca="1">IFERROR((INDIRECT("'"&amp;$H$3&amp;"'!$H$10")*INDIRECT("'"&amp;$H$3&amp;"'!$H$9")*INDIRECT("'"&amp;$H$3&amp;"'!N160"))/N218,0)</f>
        <v>0</v>
      </c>
      <c r="O219" s="836"/>
      <c r="P219" s="836"/>
      <c r="Q219" s="836">
        <f ca="1">IFERROR((INDIRECT("'"&amp;$H$3&amp;"'!$H$10")*INDIRECT("'"&amp;$H$3&amp;"'!$H$9")*INDIRECT("'"&amp;$H$3&amp;"'!Q160"))/Q218,0)</f>
        <v>0</v>
      </c>
      <c r="R219" s="836"/>
      <c r="S219" s="836"/>
      <c r="T219" s="836">
        <f ca="1">IFERROR((INDIRECT("'"&amp;$H$3&amp;"'!$H$10")*INDIRECT("'"&amp;$H$3&amp;"'!$H$9")*INDIRECT("'"&amp;$H$3&amp;"'!T160"))/T218,0)</f>
        <v>0</v>
      </c>
      <c r="U219" s="836"/>
      <c r="V219" s="836"/>
      <c r="W219" s="836">
        <f ca="1">IFERROR((INDIRECT("'"&amp;$H$3&amp;"'!$H$10")*INDIRECT("'"&amp;$H$3&amp;"'!$H$9")*INDIRECT("'"&amp;$H$3&amp;"'!W160"))/W218,0)</f>
        <v>0</v>
      </c>
      <c r="X219" s="1465"/>
      <c r="Y219" s="36"/>
      <c r="Z219" s="36"/>
      <c r="AA219" s="36"/>
      <c r="AB219" s="36"/>
      <c r="AC219" s="36"/>
      <c r="AD219" s="36"/>
      <c r="AE219" s="36"/>
      <c r="AF219" s="36"/>
      <c r="AG219" s="36"/>
      <c r="AH219" s="36"/>
      <c r="AI219" s="36"/>
      <c r="AJ219" s="36"/>
      <c r="AK219" s="242"/>
      <c r="AL219" s="36"/>
      <c r="AM219" s="36"/>
      <c r="AN219" s="36"/>
    </row>
    <row r="220" spans="6:40" ht="15" customHeight="1" outlineLevel="1">
      <c r="F220" s="52"/>
      <c r="G220" s="1613" t="s">
        <v>134</v>
      </c>
      <c r="H220" s="842"/>
      <c r="I220" s="842"/>
      <c r="J220" s="842"/>
      <c r="K220" s="842"/>
      <c r="L220" s="842"/>
      <c r="M220" s="842"/>
      <c r="N220" s="842"/>
      <c r="O220" s="842"/>
      <c r="P220" s="842"/>
      <c r="Q220" s="842"/>
      <c r="R220" s="1650"/>
      <c r="S220" s="1650"/>
      <c r="T220" s="842"/>
      <c r="U220" s="1650"/>
      <c r="V220" s="1650"/>
      <c r="W220" s="842"/>
      <c r="X220" s="1470"/>
      <c r="Y220" s="36"/>
      <c r="Z220" s="36"/>
      <c r="AA220" s="36"/>
      <c r="AB220" s="36"/>
      <c r="AC220" s="36"/>
      <c r="AD220" s="36"/>
      <c r="AE220" s="36"/>
      <c r="AF220" s="36"/>
      <c r="AG220" s="36"/>
      <c r="AH220" s="36"/>
      <c r="AI220" s="36"/>
      <c r="AJ220" s="36"/>
      <c r="AK220" s="36"/>
      <c r="AL220" s="36"/>
      <c r="AM220" s="36"/>
      <c r="AN220" s="36"/>
    </row>
    <row r="221" spans="6:40" ht="15" customHeight="1" outlineLevel="1">
      <c r="F221" s="52"/>
      <c r="G221" s="51" t="s">
        <v>188</v>
      </c>
      <c r="H221" s="836"/>
      <c r="I221" s="836"/>
      <c r="J221" s="836"/>
      <c r="K221" s="1656">
        <f ca="1">IFERROR(ROUND(K206*INDIRECT("'"&amp;$H$3&amp;"'!K$96")*MAX(1,('3_Outputs'!K$187/INDIRECT("'"&amp;$H$3&amp;"'!K$96"))/INDEX(INDIRECT("'"&amp;$H$3&amp;"'!$H$49:$H$78"),MATCH(INDIRECT("'"&amp;$H$3&amp;"'!K156")&amp;"Delivery Capacity (m^3)",INDIRECT("'"&amp;$H$3&amp;"'!$F$49:$F$78"),0))),0),0)</f>
        <v>0</v>
      </c>
      <c r="L221" s="1656"/>
      <c r="M221" s="1656"/>
      <c r="N221" s="1656">
        <f ca="1">IFERROR(ROUND(N206*INDIRECT("'"&amp;$H$3&amp;"'!N$96")*MAX(1,('3_Outputs'!N$187/INDIRECT("'"&amp;$H$3&amp;"'!N$96"))/INDEX(INDIRECT("'"&amp;$H$3&amp;"'!$H$49:$H$78"),MATCH(INDIRECT("'"&amp;$H$3&amp;"'!N156")&amp;"Delivery Capacity (m^3)",INDIRECT("'"&amp;$H$3&amp;"'!$F$49:$F$78"),0))),0),0)</f>
        <v>0</v>
      </c>
      <c r="O221" s="836"/>
      <c r="P221" s="836"/>
      <c r="Q221" s="836">
        <f ca="1">IFERROR(ROUND(Q206*INDIRECT("'"&amp;$H$3&amp;"'!Q$96")*MAX(1,('3_Outputs'!Q$187/INDIRECT("'"&amp;$H$3&amp;"'!Q$96"))/INDEX(INDIRECT("'"&amp;$H$3&amp;"'!$H$49:$H$78"),MATCH(INDIRECT("'"&amp;$H$3&amp;"'!Q156")&amp;"Delivery Capacity (m^3)",INDIRECT("'"&amp;$H$3&amp;"'!$F$49:$F$78"),0))),0),0)</f>
        <v>0</v>
      </c>
      <c r="R221" s="836"/>
      <c r="S221" s="836"/>
      <c r="T221" s="836">
        <f ca="1">IFERROR(ROUND(T206*INDIRECT("'"&amp;$H$3&amp;"'!T$96")*MAX(1,('3_Outputs'!T$187/INDIRECT("'"&amp;$H$3&amp;"'!T$96"))/INDEX(INDIRECT("'"&amp;$H$3&amp;"'!$H$49:$H$78"),MATCH(INDIRECT("'"&amp;$H$3&amp;"'!T156")&amp;"Delivery Capacity (m^3)",INDIRECT("'"&amp;$H$3&amp;"'!$F$49:$F$78"),0))),0),0)</f>
        <v>0</v>
      </c>
      <c r="U221" s="836"/>
      <c r="V221" s="836"/>
      <c r="W221" s="836">
        <f ca="1">IFERROR(ROUND(W206*INDIRECT("'"&amp;$H$3&amp;"'!W$96")*MAX(1,('3_Outputs'!W$187/INDIRECT("'"&amp;$H$3&amp;"'!W$96"))/INDEX(INDIRECT("'"&amp;$H$3&amp;"'!$H$49:$H$78"),MATCH(INDIRECT("'"&amp;$H$3&amp;"'!W156")&amp;"Delivery Capacity (m^3)",INDIRECT("'"&amp;$H$3&amp;"'!$F$49:$F$78"),0))),0),0)</f>
        <v>0</v>
      </c>
      <c r="X221" s="1465"/>
      <c r="Y221" s="36"/>
      <c r="Z221" s="36"/>
      <c r="AA221" s="36"/>
      <c r="AB221" s="36" t="s">
        <v>192</v>
      </c>
      <c r="AC221" s="36"/>
      <c r="AD221" s="36" t="s">
        <v>193</v>
      </c>
      <c r="AE221" s="36"/>
      <c r="AF221" s="36"/>
      <c r="AG221" s="36"/>
      <c r="AH221" s="36"/>
      <c r="AI221" s="36"/>
      <c r="AJ221" s="36"/>
      <c r="AK221" s="36"/>
      <c r="AL221" s="36"/>
      <c r="AM221" s="36"/>
      <c r="AN221" s="36"/>
    </row>
    <row r="222" spans="6:40" ht="15" customHeight="1" outlineLevel="1">
      <c r="F222" s="52"/>
      <c r="G222" s="51" t="s">
        <v>88</v>
      </c>
      <c r="H222" s="836"/>
      <c r="I222" s="836"/>
      <c r="J222" s="836"/>
      <c r="K222" s="1656">
        <f ca="1">IFERROR(IF(K206=0,0,2*INDIRECT("'"&amp;$H$3&amp;"'!K$98")),0)</f>
        <v>0</v>
      </c>
      <c r="L222" s="1656"/>
      <c r="M222" s="1656"/>
      <c r="N222" s="1656">
        <f ca="1">IFERROR(IF(N206=0,0,2*INDIRECT("'"&amp;$H$3&amp;"'!N$98")),0)</f>
        <v>0</v>
      </c>
      <c r="O222" s="836"/>
      <c r="P222" s="836"/>
      <c r="Q222" s="836">
        <f ca="1">IFERROR(IF(Q206=0,0,2*INDIRECT("'"&amp;$H$3&amp;"'!Q$98")),0)</f>
        <v>0</v>
      </c>
      <c r="R222" s="836"/>
      <c r="S222" s="836"/>
      <c r="T222" s="836">
        <f ca="1">IFERROR(IF(T206=0,0,2*INDIRECT("'"&amp;$H$3&amp;"'!T$98")),0)</f>
        <v>0</v>
      </c>
      <c r="U222" s="836"/>
      <c r="V222" s="836"/>
      <c r="W222" s="836">
        <f ca="1">IFERROR(IF(W206=0,0,2*INDIRECT("'"&amp;$H$3&amp;"'!W$98")),0)</f>
        <v>0</v>
      </c>
      <c r="X222" s="1465"/>
      <c r="Y222" s="36"/>
      <c r="Z222" s="36"/>
      <c r="AA222" s="36"/>
      <c r="AB222" s="36" t="s">
        <v>194</v>
      </c>
      <c r="AC222" s="36"/>
      <c r="AD222" s="36" t="s">
        <v>195</v>
      </c>
      <c r="AE222" s="36"/>
      <c r="AF222" s="36"/>
      <c r="AG222" s="36"/>
      <c r="AH222" s="36"/>
      <c r="AI222" s="36"/>
      <c r="AJ222" s="36"/>
      <c r="AK222" s="36"/>
      <c r="AL222" s="36"/>
      <c r="AM222" s="36"/>
      <c r="AN222" s="36"/>
    </row>
    <row r="223" spans="6:40" ht="15" customHeight="1" outlineLevel="1">
      <c r="F223" s="52"/>
      <c r="G223" s="51" t="s">
        <v>200</v>
      </c>
      <c r="H223" s="839"/>
      <c r="I223" s="839"/>
      <c r="J223" s="839"/>
      <c r="K223" s="1657">
        <f ca="1">IFERROR((INDIRECT("'"&amp;$H$3&amp;"'!$H$10")*INDIRECT("'"&amp;$H$3&amp;"'!$H$9")*INDIRECT("'"&amp;$H$3&amp;"'!K160"))/((K222/INDIRECT("'"&amp;$H$3&amp;"'!K172"))+((1/60)*(INDIRECT("'"&amp;$H$3&amp;"'!K168")+INDIRECT("'"&amp;$H$3&amp;"'!$H$19")*(INDIRECT("'"&amp;$H$3&amp;"'!K169")+(INDIRECT("'"&amp;$H$3&amp;"'!K170")*(MIN(('3_Outputs'!K$187/INDIRECT("'"&amp;$H$3&amp;"'!K$96")),INDEX(INDIRECT("'"&amp;$H$3&amp;"'!$H$49:$H$78"),MATCH(INDIRECT("'"&amp;$H$3&amp;"'!K156")&amp;"Delivery Capacity (m^3)",INDIRECT("'"&amp;$H$3&amp;"'!$F$49:$F$78"),0)))/INDIRECT("'"&amp;$H$3&amp;"'!$H$19"))))))),0)</f>
        <v>0</v>
      </c>
      <c r="L223" s="1657"/>
      <c r="M223" s="1657"/>
      <c r="N223" s="1657">
        <f ca="1">IFERROR((INDIRECT("'"&amp;$H$3&amp;"'!$H$10")*INDIRECT("'"&amp;$H$3&amp;"'!$H$9")*INDIRECT("'"&amp;$H$3&amp;"'!N160"))/((N222/INDIRECT("'"&amp;$H$3&amp;"'!N172"))+((1/60)*(INDIRECT("'"&amp;$H$3&amp;"'!N168")+INDIRECT("'"&amp;$H$3&amp;"'!$H$19")*(INDIRECT("'"&amp;$H$3&amp;"'!N169")+(INDIRECT("'"&amp;$H$3&amp;"'!N170")*(MIN(('3_Outputs'!N$187/INDIRECT("'"&amp;$H$3&amp;"'!N$96")),INDEX(INDIRECT("'"&amp;$H$3&amp;"'!$H$49:$H$78"),MATCH(INDIRECT("'"&amp;$H$3&amp;"'!N156")&amp;"Delivery Capacity (m^3)",INDIRECT("'"&amp;$H$3&amp;"'!$F$49:$F$78"),0)))/INDIRECT("'"&amp;$H$3&amp;"'!$H$19"))))))),0)</f>
        <v>0</v>
      </c>
      <c r="O223" s="839"/>
      <c r="P223" s="839"/>
      <c r="Q223" s="839">
        <f ca="1">IFERROR((INDIRECT("'"&amp;$H$3&amp;"'!$H$10")*INDIRECT("'"&amp;$H$3&amp;"'!$H$9")*INDIRECT("'"&amp;$H$3&amp;"'!Q160"))/((Q222/INDIRECT("'"&amp;$H$3&amp;"'!Q172"))+((1/60)*(INDIRECT("'"&amp;$H$3&amp;"'!Q168")+INDIRECT("'"&amp;$H$3&amp;"'!$H$19")*(INDIRECT("'"&amp;$H$3&amp;"'!Q169")+(INDIRECT("'"&amp;$H$3&amp;"'!Q170")*(MIN(('3_Outputs'!Q$187/INDIRECT("'"&amp;$H$3&amp;"'!Q$96")),INDEX(INDIRECT("'"&amp;$H$3&amp;"'!$H$49:$H$78"),MATCH(INDIRECT("'"&amp;$H$3&amp;"'!Q156")&amp;"Delivery Capacity (m^3)",INDIRECT("'"&amp;$H$3&amp;"'!$F$49:$F$78"),0)))/INDIRECT("'"&amp;$H$3&amp;"'!$H$19"))))))),0)</f>
        <v>0</v>
      </c>
      <c r="R223" s="839"/>
      <c r="S223" s="839"/>
      <c r="T223" s="839">
        <f ca="1">IFERROR((INDIRECT("'"&amp;$H$3&amp;"'!$H$10")*INDIRECT("'"&amp;$H$3&amp;"'!$H$9")*INDIRECT("'"&amp;$H$3&amp;"'!T160"))/((T222/INDIRECT("'"&amp;$H$3&amp;"'!T172"))+((1/60)*(INDIRECT("'"&amp;$H$3&amp;"'!T168")+INDIRECT("'"&amp;$H$3&amp;"'!$H$19")*(INDIRECT("'"&amp;$H$3&amp;"'!T169")+(INDIRECT("'"&amp;$H$3&amp;"'!T170")*(MIN(('3_Outputs'!T$187/INDIRECT("'"&amp;$H$3&amp;"'!T$96")),INDEX(INDIRECT("'"&amp;$H$3&amp;"'!$H$49:$H$78"),MATCH(INDIRECT("'"&amp;$H$3&amp;"'!T156")&amp;"Delivery Capacity (m^3)",INDIRECT("'"&amp;$H$3&amp;"'!$F$49:$F$78"),0)))/INDIRECT("'"&amp;$H$3&amp;"'!$H$19"))))))),0)</f>
        <v>0</v>
      </c>
      <c r="U223" s="839"/>
      <c r="V223" s="839"/>
      <c r="W223" s="839">
        <f ca="1">IFERROR((INDIRECT("'"&amp;$H$3&amp;"'!$H$10")*INDIRECT("'"&amp;$H$3&amp;"'!$H$9")*INDIRECT("'"&amp;$H$3&amp;"'!W160"))/((W222/INDIRECT("'"&amp;$H$3&amp;"'!W172"))+((1/60)*(INDIRECT("'"&amp;$H$3&amp;"'!W168")+INDIRECT("'"&amp;$H$3&amp;"'!$H$19")*(INDIRECT("'"&amp;$H$3&amp;"'!W169")+(INDIRECT("'"&amp;$H$3&amp;"'!W170")*(MIN(('3_Outputs'!W$187/INDIRECT("'"&amp;$H$3&amp;"'!W$96")),INDEX(INDIRECT("'"&amp;$H$3&amp;"'!$H$49:$H$78"),MATCH(INDIRECT("'"&amp;$H$3&amp;"'!W156")&amp;"Delivery Capacity (m^3)",INDIRECT("'"&amp;$H$3&amp;"'!$F$49:$F$78"),0)))/INDIRECT("'"&amp;$H$3&amp;"'!$H$19"))))))),0)</f>
        <v>0</v>
      </c>
      <c r="X223" s="1473"/>
      <c r="Y223" s="36"/>
      <c r="Z223" s="36"/>
      <c r="AA223" s="36"/>
      <c r="AB223" s="36"/>
      <c r="AC223" s="36"/>
      <c r="AD223" s="36"/>
      <c r="AE223" s="36"/>
      <c r="AF223" s="36"/>
      <c r="AG223" s="36"/>
      <c r="AH223" s="36"/>
      <c r="AI223" s="36"/>
      <c r="AJ223" s="36"/>
      <c r="AK223" s="36"/>
      <c r="AL223" s="36"/>
      <c r="AM223" s="36"/>
      <c r="AN223" s="36"/>
    </row>
    <row r="224" spans="6:40" ht="48" customHeight="1">
      <c r="F224" s="1638" t="s">
        <v>2502</v>
      </c>
      <c r="G224" s="1639"/>
      <c r="H224" s="1655"/>
      <c r="I224" s="1655"/>
      <c r="J224" s="1655"/>
      <c r="K224" s="1522" t="str">
        <f ca="1">IF($H$9&gt;=2,INDIRECT("'"&amp;$H$3&amp;"'!J$130"),"")</f>
        <v>CMS  to  Regional WH</v>
      </c>
      <c r="L224" s="1522" t="str">
        <f t="shared" ref="L224:V224" ca="1" si="17">IF($H$9&gt;=1,"Tier 1","")</f>
        <v>Tier 1</v>
      </c>
      <c r="M224" s="1522" t="str">
        <f t="shared" ca="1" si="17"/>
        <v>Tier 1</v>
      </c>
      <c r="N224" s="1522" t="str">
        <f ca="1">IF($H$9&gt;=3,INDIRECT("'"&amp;$H$3&amp;"'!M$130"),"")</f>
        <v>Regional WH  to  Health Facility</v>
      </c>
      <c r="O224" s="1522" t="str">
        <f t="shared" ca="1" si="17"/>
        <v>Tier 1</v>
      </c>
      <c r="P224" s="1522" t="str">
        <f t="shared" ca="1" si="17"/>
        <v>Tier 1</v>
      </c>
      <c r="Q224" s="1523" t="str">
        <f ca="1">IF($H$9&gt;=4,INDIRECT("'"&amp;$H$3&amp;"'!P$130"),"")</f>
        <v/>
      </c>
      <c r="R224" s="1512" t="str">
        <f t="shared" ca="1" si="17"/>
        <v>Tier 1</v>
      </c>
      <c r="S224" s="1512" t="str">
        <f t="shared" ca="1" si="17"/>
        <v>Tier 1</v>
      </c>
      <c r="T224" s="1523" t="str">
        <f ca="1">IF($H$9&gt;=5,INDIRECT("'"&amp;$H$3&amp;"'!S$130"),"")</f>
        <v/>
      </c>
      <c r="U224" s="1524" t="str">
        <f t="shared" ca="1" si="17"/>
        <v>Tier 1</v>
      </c>
      <c r="V224" s="1524" t="str">
        <f t="shared" ca="1" si="17"/>
        <v>Tier 1</v>
      </c>
      <c r="W224" s="1523" t="str">
        <f ca="1">IF($H$9&gt;=6,INDIRECT("'"&amp;$H$3&amp;"'!V$130"),"")</f>
        <v/>
      </c>
      <c r="X224" s="1474"/>
      <c r="Y224" s="36"/>
      <c r="Z224" s="36"/>
      <c r="AA224" s="36"/>
      <c r="AB224" s="36"/>
      <c r="AC224" s="36"/>
      <c r="AD224" s="36"/>
      <c r="AE224" s="36"/>
      <c r="AF224" s="36"/>
      <c r="AG224" s="36"/>
      <c r="AH224" s="36"/>
      <c r="AI224" s="36"/>
      <c r="AJ224" s="36"/>
      <c r="AK224" s="242"/>
      <c r="AL224" s="36"/>
      <c r="AM224" s="36"/>
      <c r="AN224" s="36"/>
    </row>
    <row r="225" spans="6:40" ht="15" customHeight="1" outlineLevel="1">
      <c r="F225" s="1641"/>
      <c r="G225" s="51" t="s">
        <v>414</v>
      </c>
      <c r="H225" s="836"/>
      <c r="I225" s="836"/>
      <c r="J225" s="836"/>
      <c r="K225" s="836">
        <f ca="1">IFERROR(IF(INDIRECT("'"&amp;$H$3&amp;"'!K133")=0,0,IF(INDIRECT("'"&amp;$H$3&amp;"'!K193")="Yes",'3_Outputs'!K64,IF(OR(AND(INDIRECT("'"&amp;$H$3&amp;"'!K133")&gt;0,INDIRECT("'"&amp;$H$3&amp;"'!K153")="Yes"),AND(INDIRECT("'"&amp;$H$3&amp;"'!K133")&gt;1,INDIRECT("'"&amp;$H$3&amp;"'!K173")="Yes")),'3_Outputs'!K57,'3_Outputs'!K52))),0)</f>
        <v>3079.125</v>
      </c>
      <c r="L225" s="836"/>
      <c r="M225" s="836"/>
      <c r="N225" s="1658">
        <f ca="1">IFERROR(IF(INDIRECT("'"&amp;$H$3&amp;"'!N133")=0,0,IF(INDIRECT("'"&amp;$H$3&amp;"'!N193")="Yes",'3_Outputs'!N64,IF(OR(AND(INDIRECT("'"&amp;$H$3&amp;"'!N133")&gt;0,INDIRECT("'"&amp;$H$3&amp;"'!N153")="Yes"),AND(INDIRECT("'"&amp;$H$3&amp;"'!N133")&gt;1,INDIRECT("'"&amp;$H$3&amp;"'!N173")="Yes")),'3_Outputs'!N57,'3_Outputs'!N52))),0)</f>
        <v>8.5</v>
      </c>
      <c r="O225" s="836"/>
      <c r="P225" s="836"/>
      <c r="Q225" s="836">
        <f ca="1">IFERROR(IF(INDIRECT("'"&amp;$H$3&amp;"'!Q133")=0,0,IF(INDIRECT("'"&amp;$H$3&amp;"'!Q193")="Yes",'3_Outputs'!Q64,IF(OR(AND(INDIRECT("'"&amp;$H$3&amp;"'!Q133")&gt;0,INDIRECT("'"&amp;$H$3&amp;"'!Q153")="Yes"),AND(INDIRECT("'"&amp;$H$3&amp;"'!Q133")&gt;1,INDIRECT("'"&amp;$H$3&amp;"'!Q173")="Yes")),'3_Outputs'!Q57,'3_Outputs'!Q52))),0)</f>
        <v>0</v>
      </c>
      <c r="R225" s="836"/>
      <c r="S225" s="836"/>
      <c r="T225" s="836">
        <f ca="1">IFERROR(IF(INDIRECT("'"&amp;$H$3&amp;"'!T133")=0,0,IF(INDIRECT("'"&amp;$H$3&amp;"'!T193")="Yes",'3_Outputs'!T64,IF(OR(AND(INDIRECT("'"&amp;$H$3&amp;"'!T133")&gt;0,INDIRECT("'"&amp;$H$3&amp;"'!T153")="Yes"),AND(INDIRECT("'"&amp;$H$3&amp;"'!T133")&gt;1,INDIRECT("'"&amp;$H$3&amp;"'!T173")="Yes")),'3_Outputs'!T57,'3_Outputs'!T52))),0)</f>
        <v>0</v>
      </c>
      <c r="U225" s="836"/>
      <c r="V225" s="836"/>
      <c r="W225" s="836">
        <f ca="1">IFERROR(IF(INDIRECT("'"&amp;$H$3&amp;"'!W133")=0,0,IF(INDIRECT("'"&amp;$H$3&amp;"'!W193")="Yes",'3_Outputs'!W64,IF(OR(AND(INDIRECT("'"&amp;$H$3&amp;"'!W133")&gt;0,INDIRECT("'"&amp;$H$3&amp;"'!W153")="Yes"),AND(INDIRECT("'"&amp;$H$3&amp;"'!W133")&gt;1,INDIRECT("'"&amp;$H$3&amp;"'!W173")="Yes")),'3_Outputs'!W57,'3_Outputs'!W52))),0)</f>
        <v>0</v>
      </c>
      <c r="X225" s="1465"/>
      <c r="AK225" s="1"/>
    </row>
    <row r="226" spans="6:40" ht="15" customHeight="1" outlineLevel="1">
      <c r="F226" s="1614" t="s">
        <v>387</v>
      </c>
      <c r="G226" s="1614"/>
      <c r="H226" s="848"/>
      <c r="I226" s="848"/>
      <c r="J226" s="848"/>
      <c r="K226" s="848"/>
      <c r="L226" s="848"/>
      <c r="M226" s="848"/>
      <c r="N226" s="848"/>
      <c r="O226" s="848"/>
      <c r="P226" s="848"/>
      <c r="Q226" s="1643"/>
      <c r="R226" s="1644"/>
      <c r="S226" s="1644"/>
      <c r="T226" s="1643"/>
      <c r="U226" s="1644"/>
      <c r="V226" s="1644"/>
      <c r="W226" s="1643"/>
      <c r="X226" s="1466"/>
      <c r="AK226" s="1"/>
    </row>
    <row r="227" spans="6:40" ht="15" customHeight="1" outlineLevel="1">
      <c r="F227" s="52"/>
      <c r="G227" s="51" t="s">
        <v>390</v>
      </c>
      <c r="H227" s="836"/>
      <c r="I227" s="836"/>
      <c r="J227" s="836"/>
      <c r="K227" s="836">
        <f ca="1">IFERROR(((K$64*INDIRECT("'"&amp;$H$3&amp;"'!K$95"))*(IF(COUNTIF(INDIRECT("'"&amp;$H$3&amp;"'!K176"),"Public Transport*")=1,K232,K244)/INDIRECT("'"&amp;$H$3&amp;"'!K$95")))/IF(COUNTIF(INDIRECT("'"&amp;$H$3&amp;"'!K176"),"Public Transport*")=1,K230,K246),0)</f>
        <v>0</v>
      </c>
      <c r="L227" s="836"/>
      <c r="M227" s="836"/>
      <c r="N227" s="836">
        <f ca="1">IFERROR(((N$64*INDIRECT("'"&amp;$H$3&amp;"'!N$95"))*(IF(COUNTIF(INDIRECT("'"&amp;$H$3&amp;"'!N176"),"Public Transport*")=1,N232,N244)/INDIRECT("'"&amp;$H$3&amp;"'!N$95")))/IF(COUNTIF(INDIRECT("'"&amp;$H$3&amp;"'!N176"),"Public Transport*")=1,N230,N246),0)</f>
        <v>0</v>
      </c>
      <c r="O227" s="836"/>
      <c r="P227" s="836"/>
      <c r="Q227" s="836">
        <f ca="1">IFERROR(((Q$64*INDIRECT("'"&amp;$H$3&amp;"'!Q$95"))*(IF(COUNTIF(INDIRECT("'"&amp;$H$3&amp;"'!Q176"),"Public Transport*")=1,Q232,Q244)/INDIRECT("'"&amp;$H$3&amp;"'!Q$95")))/IF(COUNTIF(INDIRECT("'"&amp;$H$3&amp;"'!Q176"),"Public Transport*")=1,Q230,Q246),0)</f>
        <v>0</v>
      </c>
      <c r="R227" s="1646"/>
      <c r="S227" s="1646"/>
      <c r="T227" s="836">
        <f ca="1">IFERROR(((T$64*INDIRECT("'"&amp;$H$3&amp;"'!T$95"))*(IF(COUNTIF(INDIRECT("'"&amp;$H$3&amp;"'!T176"),"Public Transport*")=1,T232,T244)/INDIRECT("'"&amp;$H$3&amp;"'!T$95")))/IF(COUNTIF(INDIRECT("'"&amp;$H$3&amp;"'!T176"),"Public Transport*")=1,T230,T246),0)</f>
        <v>0</v>
      </c>
      <c r="U227" s="1646"/>
      <c r="V227" s="1646"/>
      <c r="W227" s="836">
        <f ca="1">IFERROR(((W$64*INDIRECT("'"&amp;$H$3&amp;"'!W$95"))*(IF(COUNTIF(INDIRECT("'"&amp;$H$3&amp;"'!W176"),"Public Transport*")=1,W232,W244)/INDIRECT("'"&amp;$H$3&amp;"'!W$95")))/IF(COUNTIF(INDIRECT("'"&amp;$H$3&amp;"'!W176"),"Public Transport*")=1,W230,W246),0)</f>
        <v>0</v>
      </c>
      <c r="X227" s="1465"/>
      <c r="Y227" s="36"/>
      <c r="Z227" s="36"/>
      <c r="AA227" s="36"/>
      <c r="AB227" s="36"/>
      <c r="AC227" s="36"/>
      <c r="AD227" s="36"/>
      <c r="AE227" s="36"/>
      <c r="AF227" s="36"/>
      <c r="AG227" s="36"/>
      <c r="AH227" s="36"/>
      <c r="AI227" s="36"/>
      <c r="AJ227" s="36"/>
      <c r="AK227" s="242"/>
      <c r="AL227" s="36"/>
      <c r="AM227" s="36"/>
      <c r="AN227" s="36"/>
    </row>
    <row r="228" spans="6:40" ht="15" customHeight="1" outlineLevel="1">
      <c r="F228" s="52"/>
      <c r="G228" s="51" t="s">
        <v>391</v>
      </c>
      <c r="H228" s="836"/>
      <c r="I228" s="836"/>
      <c r="J228" s="836"/>
      <c r="K228" s="836">
        <f ca="1">IFERROR(IF(COUNTIF(INDIRECT("'"&amp;$H$3&amp;"'!K176"),"Public Transport*")=1,(K231/INDIRECT("'"&amp;$H$3&amp;"'!$H$9")),(K247/INDIRECT("'"&amp;$H$3&amp;"'!$H$9"))),0)</f>
        <v>0</v>
      </c>
      <c r="L228" s="836"/>
      <c r="M228" s="836"/>
      <c r="N228" s="836">
        <f ca="1">IFERROR(IF(COUNTIF(INDIRECT("'"&amp;$H$3&amp;"'!N176"),"Public Transport*")=1,(N231/INDIRECT("'"&amp;$H$3&amp;"'!$H$9")),(N247/INDIRECT("'"&amp;$H$3&amp;"'!$H$9"))),0)</f>
        <v>0</v>
      </c>
      <c r="O228" s="836"/>
      <c r="P228" s="836"/>
      <c r="Q228" s="836">
        <f ca="1">IFERROR(IF(COUNTIF(INDIRECT("'"&amp;$H$3&amp;"'!Q176"),"Public Transport*")=1,(Q231/INDIRECT("'"&amp;$H$3&amp;"'!$H$9")),(Q247/INDIRECT("'"&amp;$H$3&amp;"'!$H$9"))),0)</f>
        <v>0</v>
      </c>
      <c r="R228" s="1646"/>
      <c r="S228" s="1646"/>
      <c r="T228" s="836">
        <f ca="1">IFERROR(IF(COUNTIF(INDIRECT("'"&amp;$H$3&amp;"'!T176"),"Public Transport*")=1,(T231/INDIRECT("'"&amp;$H$3&amp;"'!$H$9")),(T247/INDIRECT("'"&amp;$H$3&amp;"'!$H$9"))),0)</f>
        <v>0</v>
      </c>
      <c r="U228" s="1646"/>
      <c r="V228" s="1646"/>
      <c r="W228" s="836">
        <f ca="1">IFERROR(IF(COUNTIF(INDIRECT("'"&amp;$H$3&amp;"'!W176"),"Public Transport*")=1,(W231/INDIRECT("'"&amp;$H$3&amp;"'!$H$9")),(W247/INDIRECT("'"&amp;$H$3&amp;"'!$H$9"))),0)</f>
        <v>0</v>
      </c>
      <c r="X228" s="1465"/>
      <c r="Y228" s="36"/>
      <c r="Z228" s="36"/>
      <c r="AA228" s="36"/>
      <c r="AB228" s="36"/>
      <c r="AC228" s="36"/>
      <c r="AD228" s="36"/>
      <c r="AE228" s="36"/>
      <c r="AF228" s="36"/>
      <c r="AG228" s="36"/>
      <c r="AH228" s="36"/>
      <c r="AI228" s="36"/>
      <c r="AJ228" s="36"/>
      <c r="AK228" s="242"/>
      <c r="AL228" s="36"/>
      <c r="AM228" s="36"/>
      <c r="AN228" s="36"/>
    </row>
    <row r="229" spans="6:40" ht="15" customHeight="1" outlineLevel="1">
      <c r="F229" s="1659" t="s">
        <v>149</v>
      </c>
      <c r="G229" s="1614"/>
      <c r="H229" s="848"/>
      <c r="I229" s="848"/>
      <c r="J229" s="848"/>
      <c r="K229" s="848"/>
      <c r="L229" s="848"/>
      <c r="M229" s="848"/>
      <c r="N229" s="848"/>
      <c r="O229" s="1644"/>
      <c r="P229" s="1644"/>
      <c r="Q229" s="1648"/>
      <c r="R229" s="1650"/>
      <c r="S229" s="1650"/>
      <c r="T229" s="1648"/>
      <c r="U229" s="1650"/>
      <c r="V229" s="1650"/>
      <c r="W229" s="1648"/>
      <c r="X229" s="1467"/>
      <c r="Y229" s="36"/>
      <c r="Z229" s="36"/>
      <c r="AA229" s="36"/>
      <c r="AB229" s="36"/>
      <c r="AC229" s="36"/>
      <c r="AD229" s="36"/>
      <c r="AE229" s="36"/>
      <c r="AF229" s="36"/>
      <c r="AG229" s="36"/>
      <c r="AH229" s="36"/>
      <c r="AI229" s="36"/>
      <c r="AJ229" s="36"/>
      <c r="AK229" s="242"/>
      <c r="AL229" s="36"/>
      <c r="AM229" s="36"/>
      <c r="AN229" s="36"/>
    </row>
    <row r="230" spans="6:40" ht="15" customHeight="1" outlineLevel="1">
      <c r="F230" s="52"/>
      <c r="G230" s="51" t="s">
        <v>146</v>
      </c>
      <c r="H230" s="837"/>
      <c r="I230" s="837"/>
      <c r="J230" s="837"/>
      <c r="K230" s="837">
        <f ca="1">IFERROR(IF(COUNTIF(INDIRECT("'"&amp;$H$3&amp;"'!K176"),"Public Transport*")=1,IF(INDIRECT("'"&amp;$H$3&amp;"'!K183")="Route-based",K238*INDIRECT("'"&amp;$H$3&amp;"'!K$96"),IF(INDIRECT("'"&amp;$H$3&amp;"'!K183")="Point-to-point",K241*INDIRECT("'"&amp;$H$3&amp;"'!K$96"),0)),0),0)</f>
        <v>0</v>
      </c>
      <c r="L230" s="837"/>
      <c r="M230" s="837"/>
      <c r="N230" s="837">
        <f ca="1">IFERROR(IF(COUNTIF(INDIRECT("'"&amp;$H$3&amp;"'!N176"),"Public Transport*")=1,IF(INDIRECT("'"&amp;$H$3&amp;"'!N183")="Route-based",N238*INDIRECT("'"&amp;$H$3&amp;"'!N$96"),IF(INDIRECT("'"&amp;$H$3&amp;"'!N183")="Point-to-point",N241*INDIRECT("'"&amp;$H$3&amp;"'!N$96"),0)),0),0)</f>
        <v>0</v>
      </c>
      <c r="O230" s="837"/>
      <c r="P230" s="837"/>
      <c r="Q230" s="837">
        <f ca="1">IFERROR(IF(COUNTIF(INDIRECT("'"&amp;$H$3&amp;"'!Q176"),"Public Transport*")=1,IF(INDIRECT("'"&amp;$H$3&amp;"'!Q183")="Route-based",Q238*INDIRECT("'"&amp;$H$3&amp;"'!Q$96"),IF(INDIRECT("'"&amp;$H$3&amp;"'!Q183")="Point-to-point",Q241*INDIRECT("'"&amp;$H$3&amp;"'!Q$96"),0)),0),0)</f>
        <v>0</v>
      </c>
      <c r="R230" s="1650"/>
      <c r="S230" s="1650"/>
      <c r="T230" s="837">
        <f ca="1">IFERROR(IF(COUNTIF(INDIRECT("'"&amp;$H$3&amp;"'!T176"),"Public Transport*")=1,IF(INDIRECT("'"&amp;$H$3&amp;"'!T183")="Route-based",T238*INDIRECT("'"&amp;$H$3&amp;"'!T$96"),IF(INDIRECT("'"&amp;$H$3&amp;"'!T183")="Point-to-point",T241*INDIRECT("'"&amp;$H$3&amp;"'!T$96"),0)),0),0)</f>
        <v>0</v>
      </c>
      <c r="U230" s="1650"/>
      <c r="V230" s="1650"/>
      <c r="W230" s="837">
        <f ca="1">IFERROR(IF(COUNTIF(INDIRECT("'"&amp;$H$3&amp;"'!W176"),"Public Transport*")=1,IF(INDIRECT("'"&amp;$H$3&amp;"'!W183")="Route-based",W238*INDIRECT("'"&amp;$H$3&amp;"'!W$96"),IF(INDIRECT("'"&amp;$H$3&amp;"'!W183")="Point-to-point",W241*INDIRECT("'"&amp;$H$3&amp;"'!W$96"),0)),0),0)</f>
        <v>0</v>
      </c>
      <c r="X230" s="1468"/>
      <c r="Y230" s="36"/>
      <c r="Z230" s="36"/>
      <c r="AA230" s="36"/>
      <c r="AB230" s="36"/>
      <c r="AC230" s="36"/>
      <c r="AD230" s="36"/>
      <c r="AE230" s="36"/>
      <c r="AF230" s="36"/>
      <c r="AG230" s="36"/>
      <c r="AH230" s="36"/>
      <c r="AI230" s="36"/>
      <c r="AJ230" s="36"/>
      <c r="AK230" s="242"/>
      <c r="AL230" s="36"/>
      <c r="AM230" s="36"/>
      <c r="AN230" s="36"/>
    </row>
    <row r="231" spans="6:40" ht="15" customHeight="1" outlineLevel="1">
      <c r="F231" s="52"/>
      <c r="G231" s="51" t="s">
        <v>147</v>
      </c>
      <c r="H231" s="837"/>
      <c r="I231" s="837"/>
      <c r="J231" s="837"/>
      <c r="K231" s="837">
        <f ca="1">IFERROR(IF(INDIRECT("'"&amp;$H$3&amp;"'!K183")="Route-based",K239*INDIRECT("'"&amp;$H$3&amp;"'!K$96"),IF(INDIRECT("'"&amp;$H$3&amp;"'!K183")="Point-to-point",K242*INDIRECT("'"&amp;$H$3&amp;"'!K$96"),0)),0)</f>
        <v>0</v>
      </c>
      <c r="L231" s="837"/>
      <c r="M231" s="837"/>
      <c r="N231" s="837">
        <f ca="1">IFERROR(IF(INDIRECT("'"&amp;$H$3&amp;"'!N183")="Route-based",N239*INDIRECT("'"&amp;$H$3&amp;"'!N$96"),IF(INDIRECT("'"&amp;$H$3&amp;"'!N183")="Point-to-point",N242*INDIRECT("'"&amp;$H$3&amp;"'!N$96"),0)),0)</f>
        <v>0</v>
      </c>
      <c r="O231" s="837"/>
      <c r="P231" s="837"/>
      <c r="Q231" s="837">
        <f ca="1">IFERROR(IF(INDIRECT("'"&amp;$H$3&amp;"'!Q183")="Route-based",Q239*INDIRECT("'"&amp;$H$3&amp;"'!Q$96"),IF(INDIRECT("'"&amp;$H$3&amp;"'!Q183")="Point-to-point",Q242*INDIRECT("'"&amp;$H$3&amp;"'!Q$96"),0)),0)</f>
        <v>0</v>
      </c>
      <c r="R231" s="1650"/>
      <c r="S231" s="1650"/>
      <c r="T231" s="837">
        <f ca="1">IFERROR(IF(INDIRECT("'"&amp;$H$3&amp;"'!T183")="Route-based",T239*INDIRECT("'"&amp;$H$3&amp;"'!T$96"),IF(INDIRECT("'"&amp;$H$3&amp;"'!T183")="Point-to-point",T242*INDIRECT("'"&amp;$H$3&amp;"'!T$96"),0)),0)</f>
        <v>0</v>
      </c>
      <c r="U231" s="1650"/>
      <c r="V231" s="1650"/>
      <c r="W231" s="837">
        <f ca="1">IFERROR(IF(INDIRECT("'"&amp;$H$3&amp;"'!W183")="Route-based",W239*INDIRECT("'"&amp;$H$3&amp;"'!W$96"),IF(INDIRECT("'"&amp;$H$3&amp;"'!W183")="Point-to-point",W242*INDIRECT("'"&amp;$H$3&amp;"'!W$96"),0)),0)</f>
        <v>0</v>
      </c>
      <c r="X231" s="1468"/>
      <c r="Y231" s="36"/>
      <c r="Z231" s="36"/>
      <c r="AA231" s="36"/>
      <c r="AB231" s="36"/>
      <c r="AC231" s="36"/>
      <c r="AD231" s="36"/>
      <c r="AE231" s="36"/>
      <c r="AF231" s="36"/>
      <c r="AG231" s="36"/>
      <c r="AH231" s="36"/>
      <c r="AI231" s="36"/>
      <c r="AJ231" s="36"/>
      <c r="AK231" s="36"/>
      <c r="AL231" s="36"/>
      <c r="AM231" s="36"/>
      <c r="AN231" s="36"/>
    </row>
    <row r="232" spans="6:40" ht="15" customHeight="1" outlineLevel="1">
      <c r="F232" s="52"/>
      <c r="G232" s="51" t="s">
        <v>142</v>
      </c>
      <c r="H232" s="1651"/>
      <c r="I232" s="1651"/>
      <c r="J232" s="1651"/>
      <c r="K232" s="1651">
        <f ca="1">IFERROR(IF(COUNTIF(INDIRECT("'"&amp;$H$3&amp;"'!K176"),"Public Transport*")=1,ROUND(INDIRECT("'"&amp;$H$3&amp;"'!K$95")*INDIRECT("'"&amp;$H$3&amp;"'!K175"),0),0),0)</f>
        <v>0</v>
      </c>
      <c r="L232" s="1651"/>
      <c r="M232" s="1651"/>
      <c r="N232" s="1651">
        <f ca="1">IFERROR(IF(COUNTIF(INDIRECT("'"&amp;$H$3&amp;"'!N176"),"Public Transport*")=1,ROUND(INDIRECT("'"&amp;$H$3&amp;"'!N$95")*INDIRECT("'"&amp;$H$3&amp;"'!N175"),0),0),0)</f>
        <v>0</v>
      </c>
      <c r="O232" s="1651"/>
      <c r="P232" s="1651"/>
      <c r="Q232" s="1651">
        <f ca="1">IFERROR(IF(COUNTIF(INDIRECT("'"&amp;$H$3&amp;"'!Q176"),"Public Transport*")=1,ROUND(INDIRECT("'"&amp;$H$3&amp;"'!Q$95")*INDIRECT("'"&amp;$H$3&amp;"'!Q175"),0),0),0)</f>
        <v>0</v>
      </c>
      <c r="R232" s="1652"/>
      <c r="S232" s="1652"/>
      <c r="T232" s="1651">
        <f ca="1">IFERROR(IF(COUNTIF(INDIRECT("'"&amp;$H$3&amp;"'!T176"),"Public Transport*")=1,ROUND(INDIRECT("'"&amp;$H$3&amp;"'!T$95")*INDIRECT("'"&amp;$H$3&amp;"'!T175"),0),0),0)</f>
        <v>0</v>
      </c>
      <c r="U232" s="1652"/>
      <c r="V232" s="1652"/>
      <c r="W232" s="1651">
        <f ca="1">IFERROR(IF(COUNTIF(INDIRECT("'"&amp;$H$3&amp;"'!W176"),"Public Transport*")=1,ROUND(INDIRECT("'"&amp;$H$3&amp;"'!W$95")*INDIRECT("'"&amp;$H$3&amp;"'!W175"),0),0),0)</f>
        <v>0</v>
      </c>
      <c r="X232" s="1466"/>
      <c r="Y232" s="36"/>
      <c r="Z232" s="36"/>
      <c r="AA232" s="36"/>
      <c r="AB232" s="36"/>
      <c r="AC232" s="36"/>
      <c r="AD232" s="36"/>
      <c r="AE232" s="36"/>
      <c r="AF232" s="36"/>
      <c r="AG232" s="36"/>
      <c r="AH232" s="36"/>
      <c r="AI232" s="36"/>
      <c r="AJ232" s="36"/>
      <c r="AK232" s="36"/>
      <c r="AL232" s="36"/>
      <c r="AM232" s="36"/>
      <c r="AN232" s="36" t="s">
        <v>190</v>
      </c>
    </row>
    <row r="233" spans="6:40" ht="15" customHeight="1" outlineLevel="1">
      <c r="F233" s="52"/>
      <c r="G233" s="51" t="s">
        <v>158</v>
      </c>
      <c r="H233" s="836"/>
      <c r="I233" s="836"/>
      <c r="J233" s="836"/>
      <c r="K233" s="836">
        <f ca="1">IFERROR(INDEX(INDIRECT("'"&amp;$H$3&amp;"'!$H$43:$H$78"),MATCH(INDIRECT("'"&amp;$H$3&amp;"'!K176")&amp;"Maximum delivery capacity (m^3)", INDIRECT("'"&amp;$H$3&amp;"'!$F$43:$F$78"),0))/('3_Outputs'!K$225/INDIRECT("'"&amp;$H$3&amp;"'!K$96")),0)</f>
        <v>0</v>
      </c>
      <c r="L233" s="836"/>
      <c r="M233" s="836"/>
      <c r="N233" s="836">
        <f ca="1">IFERROR(INDEX(INDIRECT("'"&amp;$H$3&amp;"'!$H$43:$H$78"),MATCH(INDIRECT("'"&amp;$H$3&amp;"'!N176")&amp;"Maximum delivery capacity (m^3)", INDIRECT("'"&amp;$H$3&amp;"'!$F$43:$F$78"),0))/('3_Outputs'!N$225/INDIRECT("'"&amp;$H$3&amp;"'!N$96")),0)</f>
        <v>0</v>
      </c>
      <c r="O233" s="836"/>
      <c r="P233" s="836"/>
      <c r="Q233" s="836">
        <f ca="1">IFERROR(INDEX(INDIRECT("'"&amp;$H$3&amp;"'!$H$43:$H$78"),MATCH(INDIRECT("'"&amp;$H$3&amp;"'!Q176")&amp;"Maximum delivery capacity (m^3)", INDIRECT("'"&amp;$H$3&amp;"'!$F$43:$F$78"),0))/('3_Outputs'!Q$225/INDIRECT("'"&amp;$H$3&amp;"'!Q$96")),0)</f>
        <v>0</v>
      </c>
      <c r="R233" s="836"/>
      <c r="S233" s="836"/>
      <c r="T233" s="836">
        <f ca="1">IFERROR(INDEX(INDIRECT("'"&amp;$H$3&amp;"'!$H$43:$H$78"),MATCH(INDIRECT("'"&amp;$H$3&amp;"'!T176")&amp;"Maximum delivery capacity (m^3)", INDIRECT("'"&amp;$H$3&amp;"'!$F$43:$F$78"),0))/('3_Outputs'!T$225/INDIRECT("'"&amp;$H$3&amp;"'!T$96")),0)</f>
        <v>0</v>
      </c>
      <c r="U233" s="836"/>
      <c r="V233" s="836"/>
      <c r="W233" s="836">
        <f ca="1">IFERROR(INDEX(INDIRECT("'"&amp;$H$3&amp;"'!$H$43:$H$78"),MATCH(INDIRECT("'"&amp;$H$3&amp;"'!W176")&amp;"Maximum delivery capacity (m^3)", INDIRECT("'"&amp;$H$3&amp;"'!$F$43:$F$78"),0))/('3_Outputs'!W$225/INDIRECT("'"&amp;$H$3&amp;"'!W$96")),0)</f>
        <v>0</v>
      </c>
      <c r="X233" s="1469"/>
      <c r="Y233" s="36"/>
      <c r="Z233" s="36"/>
      <c r="AA233" s="36"/>
      <c r="AB233" s="36"/>
      <c r="AC233" s="36"/>
      <c r="AD233" s="36"/>
      <c r="AE233" s="36"/>
      <c r="AF233" s="36"/>
      <c r="AG233" s="36"/>
      <c r="AH233" s="36"/>
      <c r="AI233" s="36"/>
      <c r="AJ233" s="36"/>
      <c r="AK233" s="36"/>
      <c r="AL233" s="36"/>
      <c r="AM233" s="36"/>
      <c r="AN233" s="36"/>
    </row>
    <row r="234" spans="6:40" ht="15" customHeight="1" outlineLevel="1">
      <c r="F234" s="52"/>
      <c r="G234" s="1613" t="s">
        <v>150</v>
      </c>
      <c r="H234" s="842"/>
      <c r="I234" s="842"/>
      <c r="J234" s="842"/>
      <c r="K234" s="842"/>
      <c r="L234" s="842"/>
      <c r="M234" s="842"/>
      <c r="N234" s="842"/>
      <c r="O234" s="842"/>
      <c r="P234" s="842"/>
      <c r="Q234" s="842"/>
      <c r="R234" s="1650"/>
      <c r="S234" s="1650"/>
      <c r="T234" s="842"/>
      <c r="U234" s="1650"/>
      <c r="V234" s="1650"/>
      <c r="W234" s="842"/>
      <c r="X234" s="1470"/>
      <c r="Y234" s="36"/>
      <c r="Z234" s="36"/>
      <c r="AA234" s="36"/>
      <c r="AB234" s="36"/>
      <c r="AC234" s="36"/>
      <c r="AD234" s="36"/>
      <c r="AE234" s="36"/>
      <c r="AF234" s="36"/>
      <c r="AG234" s="36"/>
      <c r="AH234" s="36"/>
      <c r="AI234" s="36"/>
      <c r="AJ234" s="36"/>
      <c r="AK234" s="36"/>
      <c r="AL234" s="36"/>
      <c r="AM234" s="36"/>
      <c r="AN234" s="36"/>
    </row>
    <row r="235" spans="6:40" ht="15" customHeight="1" outlineLevel="1">
      <c r="F235" s="52"/>
      <c r="G235" s="51" t="s">
        <v>140</v>
      </c>
      <c r="H235" s="836"/>
      <c r="I235" s="836"/>
      <c r="J235" s="836"/>
      <c r="K235" s="836">
        <f ca="1">IFERROR(ROUND(INDIRECT("'"&amp;$H$3&amp;"'!$H$10")/(((1/60)*(INDIRECT("'"&amp;$H$3&amp;"'!K188")+INDIRECT("'"&amp;$H$3&amp;"'!$H$19")*(INDIRECT("'"&amp;$H$3&amp;"'!K189")+(INDIRECT("'"&amp;$H$3&amp;"'!K190")*('3_Outputs'!K$225/INDIRECT("'"&amp;$H$3&amp;"'!K$96")/INDIRECT("'"&amp;$H$3&amp;"'!$H$19"))))))+INDEX(INDIRECT("'"&amp;$H$3&amp;"'!$H$43:$H$78"),MATCH(INDIRECT("'"&amp;$H$3&amp;"'!K176")&amp;"Average duration (hrs) per trip",INDIRECT("'"&amp;$H$3&amp;"'!$F$43:$F$78"),0))),1),0)</f>
        <v>0</v>
      </c>
      <c r="L235" s="836"/>
      <c r="M235" s="836"/>
      <c r="N235" s="836">
        <f ca="1">IFERROR(ROUND(INDIRECT("'"&amp;$H$3&amp;"'!$H$10")/(((1/60)*(INDIRECT("'"&amp;$H$3&amp;"'!N188")+INDIRECT("'"&amp;$H$3&amp;"'!$H$19")*(INDIRECT("'"&amp;$H$3&amp;"'!N189")+(INDIRECT("'"&amp;$H$3&amp;"'!N190")*('3_Outputs'!N$225/INDIRECT("'"&amp;$H$3&amp;"'!N$96")/INDIRECT("'"&amp;$H$3&amp;"'!$H$19"))))))+INDEX(INDIRECT("'"&amp;$H$3&amp;"'!$H$43:$H$78"),MATCH(INDIRECT("'"&amp;$H$3&amp;"'!N176")&amp;"Average duration (hrs) per trip",INDIRECT("'"&amp;$H$3&amp;"'!$F$43:$F$78"),0))),1),0)</f>
        <v>0</v>
      </c>
      <c r="O235" s="836"/>
      <c r="P235" s="836"/>
      <c r="Q235" s="836">
        <f ca="1">IFERROR(ROUND(INDIRECT("'"&amp;$H$3&amp;"'!$H$10")/(((1/60)*(INDIRECT("'"&amp;$H$3&amp;"'!Q188")+INDIRECT("'"&amp;$H$3&amp;"'!$H$19")*(INDIRECT("'"&amp;$H$3&amp;"'!Q189")+(INDIRECT("'"&amp;$H$3&amp;"'!Q190")*('3_Outputs'!Q$225/INDIRECT("'"&amp;$H$3&amp;"'!Q$96")/INDIRECT("'"&amp;$H$3&amp;"'!$H$19"))))))+INDEX(INDIRECT("'"&amp;$H$3&amp;"'!$H$43:$H$78"),MATCH(INDIRECT("'"&amp;$H$3&amp;"'!Q176")&amp;"Average duration (hrs) per trip",INDIRECT("'"&amp;$H$3&amp;"'!$F$43:$F$78"),0))),1),0)</f>
        <v>0</v>
      </c>
      <c r="R235" s="836"/>
      <c r="S235" s="836"/>
      <c r="T235" s="836">
        <f ca="1">IFERROR(ROUND(INDIRECT("'"&amp;$H$3&amp;"'!$H$10")/(((1/60)*(INDIRECT("'"&amp;$H$3&amp;"'!T188")+INDIRECT("'"&amp;$H$3&amp;"'!$H$19")*(INDIRECT("'"&amp;$H$3&amp;"'!T189")+(INDIRECT("'"&amp;$H$3&amp;"'!T190")*('3_Outputs'!T$225/INDIRECT("'"&amp;$H$3&amp;"'!T$96")/INDIRECT("'"&amp;$H$3&amp;"'!$H$19"))))))+INDEX(INDIRECT("'"&amp;$H$3&amp;"'!$H$43:$H$78"),MATCH(INDIRECT("'"&amp;$H$3&amp;"'!T176")&amp;"Average duration (hrs) per trip",INDIRECT("'"&amp;$H$3&amp;"'!$F$43:$F$78"),0))),1),0)</f>
        <v>0</v>
      </c>
      <c r="U235" s="836"/>
      <c r="V235" s="836"/>
      <c r="W235" s="836">
        <f ca="1">IFERROR(ROUND(INDIRECT("'"&amp;$H$3&amp;"'!$H$10")/(((1/60)*(INDIRECT("'"&amp;$H$3&amp;"'!W188")+INDIRECT("'"&amp;$H$3&amp;"'!$H$19")*(INDIRECT("'"&amp;$H$3&amp;"'!W189")+(INDIRECT("'"&amp;$H$3&amp;"'!W190")*('3_Outputs'!W$225/INDIRECT("'"&amp;$H$3&amp;"'!W$96")/INDIRECT("'"&amp;$H$3&amp;"'!$H$19"))))))+INDEX(INDIRECT("'"&amp;$H$3&amp;"'!$H$43:$H$78"),MATCH(INDIRECT("'"&amp;$H$3&amp;"'!W176")&amp;"Average duration (hrs) per trip",INDIRECT("'"&amp;$H$3&amp;"'!$F$43:$F$78"),0))),1),0)</f>
        <v>0</v>
      </c>
      <c r="X235" s="1469"/>
      <c r="Y235" s="36"/>
      <c r="Z235" s="36"/>
      <c r="AA235" s="36"/>
      <c r="AB235" s="36"/>
      <c r="AC235" s="36"/>
      <c r="AD235" s="36"/>
      <c r="AE235" s="36"/>
      <c r="AF235" s="36"/>
      <c r="AG235" s="36"/>
      <c r="AH235" s="36"/>
      <c r="AI235" s="36"/>
      <c r="AJ235" s="36"/>
      <c r="AK235" s="36"/>
      <c r="AL235" s="36"/>
      <c r="AM235" s="36"/>
      <c r="AN235" s="36"/>
    </row>
    <row r="236" spans="6:40" ht="15" customHeight="1" outlineLevel="1">
      <c r="F236" s="52"/>
      <c r="G236" s="51" t="s">
        <v>141</v>
      </c>
      <c r="H236" s="836"/>
      <c r="I236" s="836"/>
      <c r="J236" s="836"/>
      <c r="K236" s="836">
        <f ca="1">IFERROR(MIN(ROUND(K235*INDIRECT("'"&amp;$H$3&amp;"'!K184"),0),K233),0)</f>
        <v>0</v>
      </c>
      <c r="L236" s="836"/>
      <c r="M236" s="836"/>
      <c r="N236" s="836">
        <f ca="1">IFERROR(MIN(ROUND(N235*INDIRECT("'"&amp;$H$3&amp;"'!N184"),0),N233),0)</f>
        <v>0</v>
      </c>
      <c r="O236" s="836"/>
      <c r="P236" s="836"/>
      <c r="Q236" s="836">
        <f ca="1">IFERROR(MIN(ROUND(Q235*INDIRECT("'"&amp;$H$3&amp;"'!Q184"),0),Q233),0)</f>
        <v>0</v>
      </c>
      <c r="R236" s="836"/>
      <c r="S236" s="836"/>
      <c r="T236" s="836">
        <f ca="1">IFERROR(MIN(ROUND(T235*INDIRECT("'"&amp;$H$3&amp;"'!T184"),0),T233),0)</f>
        <v>0</v>
      </c>
      <c r="U236" s="836"/>
      <c r="V236" s="836"/>
      <c r="W236" s="836">
        <f ca="1">IFERROR(MIN(ROUND(W235*INDIRECT("'"&amp;$H$3&amp;"'!W184"),0),W233),0)</f>
        <v>0</v>
      </c>
      <c r="X236" s="1469"/>
      <c r="Y236" s="36"/>
      <c r="Z236" s="36"/>
      <c r="AA236" s="36"/>
      <c r="AB236" s="36"/>
      <c r="AC236" s="36"/>
      <c r="AD236" s="36"/>
      <c r="AE236" s="36"/>
      <c r="AF236" s="36"/>
      <c r="AG236" s="36"/>
      <c r="AH236" s="36"/>
      <c r="AI236" s="36"/>
      <c r="AJ236" s="36"/>
      <c r="AK236" s="36"/>
      <c r="AL236" s="36"/>
      <c r="AM236" s="36"/>
      <c r="AN236" s="36"/>
    </row>
    <row r="237" spans="6:40" ht="15" customHeight="1" outlineLevel="1">
      <c r="F237" s="52"/>
      <c r="G237" s="51" t="s">
        <v>143</v>
      </c>
      <c r="H237" s="836"/>
      <c r="I237" s="836"/>
      <c r="J237" s="836"/>
      <c r="K237" s="836">
        <f ca="1">IFERROR(ROUNDUP(K232/K236,0),0)</f>
        <v>0</v>
      </c>
      <c r="L237" s="836"/>
      <c r="M237" s="836"/>
      <c r="N237" s="836">
        <f ca="1">IFERROR(ROUNDUP(N232/N236,0),0)</f>
        <v>0</v>
      </c>
      <c r="O237" s="836"/>
      <c r="P237" s="836"/>
      <c r="Q237" s="836">
        <f ca="1">IFERROR(ROUNDUP(Q232/Q236,0),0)</f>
        <v>0</v>
      </c>
      <c r="R237" s="836"/>
      <c r="S237" s="836"/>
      <c r="T237" s="836">
        <f ca="1">IFERROR(ROUNDUP(T232/T236,0),0)</f>
        <v>0</v>
      </c>
      <c r="U237" s="836"/>
      <c r="V237" s="836"/>
      <c r="W237" s="836">
        <f ca="1">IFERROR(ROUNDUP(W232/W236,0),0)</f>
        <v>0</v>
      </c>
      <c r="X237" s="1469"/>
      <c r="Y237" s="36"/>
      <c r="Z237" s="36"/>
      <c r="AA237" s="36"/>
      <c r="AB237" s="36"/>
      <c r="AC237" s="36"/>
      <c r="AD237" s="36"/>
      <c r="AE237" s="36"/>
      <c r="AF237" s="36"/>
      <c r="AG237" s="36"/>
      <c r="AH237" s="36"/>
      <c r="AI237" s="36"/>
      <c r="AJ237" s="36"/>
      <c r="AK237" s="242"/>
      <c r="AL237" s="36"/>
      <c r="AM237" s="36"/>
      <c r="AN237" s="36"/>
    </row>
    <row r="238" spans="6:40" ht="15" customHeight="1" outlineLevel="1">
      <c r="F238" s="52"/>
      <c r="G238" s="51" t="s">
        <v>144</v>
      </c>
      <c r="H238" s="836"/>
      <c r="I238" s="836"/>
      <c r="J238" s="836"/>
      <c r="K238" s="836">
        <f ca="1">IFERROR((K237*(MAX(K236,1)+1)),0)</f>
        <v>0</v>
      </c>
      <c r="L238" s="836"/>
      <c r="M238" s="836"/>
      <c r="N238" s="836">
        <f ca="1">IFERROR((N237*(MAX(N236,1)+1)),0)</f>
        <v>0</v>
      </c>
      <c r="O238" s="836"/>
      <c r="P238" s="836"/>
      <c r="Q238" s="836">
        <f ca="1">IFERROR((Q237*(MAX(Q236,1)+1)),0)</f>
        <v>0</v>
      </c>
      <c r="R238" s="836"/>
      <c r="S238" s="836"/>
      <c r="T238" s="836">
        <f ca="1">IFERROR((T237*(MAX(T236,1)+1)),0)</f>
        <v>0</v>
      </c>
      <c r="U238" s="836"/>
      <c r="V238" s="836"/>
      <c r="W238" s="836">
        <f ca="1">IFERROR((W237*(MAX(W236,1)+1)),0)</f>
        <v>0</v>
      </c>
      <c r="X238" s="1469"/>
      <c r="Y238" s="36"/>
      <c r="Z238" s="36"/>
      <c r="AA238" s="36"/>
      <c r="AB238" s="36"/>
      <c r="AC238" s="36"/>
      <c r="AD238" s="36"/>
      <c r="AE238" s="36"/>
      <c r="AF238" s="36"/>
      <c r="AG238" s="36"/>
      <c r="AH238" s="36"/>
      <c r="AI238" s="36"/>
      <c r="AJ238" s="36"/>
      <c r="AK238" s="242"/>
      <c r="AL238" s="36"/>
      <c r="AM238" s="36"/>
      <c r="AN238" s="36"/>
    </row>
    <row r="239" spans="6:40" ht="15" customHeight="1" outlineLevel="1">
      <c r="F239" s="52"/>
      <c r="G239" s="51" t="s">
        <v>145</v>
      </c>
      <c r="H239" s="836"/>
      <c r="I239" s="836"/>
      <c r="J239" s="836"/>
      <c r="K239" s="836">
        <f ca="1">IFERROR(ROUNDUP(((K238*INDEX(INDIRECT("'"&amp;$H$3&amp;"'!$H$43:$H$78"),MATCH(INDIRECT("'"&amp;$H$3&amp;"'!K176")&amp;"Average duration (hrs) per trip",INDIRECT("'"&amp;$H$3&amp;"'!$F$43:$F$78"),0)))+(K232*((1/60)*(INDIRECT("'"&amp;$H$3&amp;"'!K188")+INDIRECT("'"&amp;$H$3&amp;"'!$H$19")*(INDIRECT("'"&amp;$H$3&amp;"'!K189")+(INDIRECT("'"&amp;$H$3&amp;"'!K190")*('3_Outputs'!K$225/INDIRECT("'"&amp;$H$3&amp;"'!K$96")/INDIRECT("'"&amp;$H$3&amp;"'!$H$19"))))))))/INDIRECT("'"&amp;$H$3&amp;"'!$H$10"),0),0)</f>
        <v>0</v>
      </c>
      <c r="L239" s="836"/>
      <c r="M239" s="836"/>
      <c r="N239" s="836">
        <f ca="1">IFERROR(ROUNDUP(((N238*INDEX(INDIRECT("'"&amp;$H$3&amp;"'!$H$43:$H$78"),MATCH(INDIRECT("'"&amp;$H$3&amp;"'!N176")&amp;"Average duration (hrs) per trip",INDIRECT("'"&amp;$H$3&amp;"'!$F$43:$F$78"),0)))+(N232*((1/60)*(INDIRECT("'"&amp;$H$3&amp;"'!N188")+INDIRECT("'"&amp;$H$3&amp;"'!$H$19")*(INDIRECT("'"&amp;$H$3&amp;"'!N189")+(INDIRECT("'"&amp;$H$3&amp;"'!N190")*('3_Outputs'!N$225/INDIRECT("'"&amp;$H$3&amp;"'!N$96")/INDIRECT("'"&amp;$H$3&amp;"'!$H$19"))))))))/INDIRECT("'"&amp;$H$3&amp;"'!$H$10"),0),0)</f>
        <v>0</v>
      </c>
      <c r="O239" s="836"/>
      <c r="P239" s="836"/>
      <c r="Q239" s="836">
        <f ca="1">IFERROR(ROUNDUP(((Q238*INDEX(INDIRECT("'"&amp;$H$3&amp;"'!$H$43:$H$78"),MATCH(INDIRECT("'"&amp;$H$3&amp;"'!Q176")&amp;"Average duration (hrs) per trip",INDIRECT("'"&amp;$H$3&amp;"'!$F$43:$F$78"),0)))+(Q232*((1/60)*(INDIRECT("'"&amp;$H$3&amp;"'!Q188")+INDIRECT("'"&amp;$H$3&amp;"'!$H$19")*(INDIRECT("'"&amp;$H$3&amp;"'!Q189")+(INDIRECT("'"&amp;$H$3&amp;"'!Q190")*('3_Outputs'!Q$225/INDIRECT("'"&amp;$H$3&amp;"'!Q$96")/INDIRECT("'"&amp;$H$3&amp;"'!$H$19"))))))))/INDIRECT("'"&amp;$H$3&amp;"'!$H$10"),0),0)</f>
        <v>0</v>
      </c>
      <c r="R239" s="836"/>
      <c r="S239" s="836"/>
      <c r="T239" s="836">
        <f ca="1">IFERROR(ROUNDUP(((T238*INDEX(INDIRECT("'"&amp;$H$3&amp;"'!$H$43:$H$78"),MATCH(INDIRECT("'"&amp;$H$3&amp;"'!T176")&amp;"Average duration (hrs) per trip",INDIRECT("'"&amp;$H$3&amp;"'!$F$43:$F$78"),0)))+(T232*((1/60)*(INDIRECT("'"&amp;$H$3&amp;"'!T188")+INDIRECT("'"&amp;$H$3&amp;"'!$H$19")*(INDIRECT("'"&amp;$H$3&amp;"'!T189")+(INDIRECT("'"&amp;$H$3&amp;"'!T190")*('3_Outputs'!T$225/INDIRECT("'"&amp;$H$3&amp;"'!T$96")/INDIRECT("'"&amp;$H$3&amp;"'!$H$19"))))))))/INDIRECT("'"&amp;$H$3&amp;"'!$H$10"),0),0)</f>
        <v>0</v>
      </c>
      <c r="U239" s="836"/>
      <c r="V239" s="836"/>
      <c r="W239" s="836">
        <f ca="1">IFERROR(ROUNDUP(((W238*INDEX(INDIRECT("'"&amp;$H$3&amp;"'!$H$43:$H$78"),MATCH(INDIRECT("'"&amp;$H$3&amp;"'!W176")&amp;"Average duration (hrs) per trip",INDIRECT("'"&amp;$H$3&amp;"'!$F$43:$F$78"),0)))+(W232*((1/60)*(INDIRECT("'"&amp;$H$3&amp;"'!W188")+INDIRECT("'"&amp;$H$3&amp;"'!$H$19")*(INDIRECT("'"&amp;$H$3&amp;"'!W189")+(INDIRECT("'"&amp;$H$3&amp;"'!W190")*('3_Outputs'!W$225/INDIRECT("'"&amp;$H$3&amp;"'!W$96")/INDIRECT("'"&amp;$H$3&amp;"'!$H$19"))))))))/INDIRECT("'"&amp;$H$3&amp;"'!$H$10"),0),0)</f>
        <v>0</v>
      </c>
      <c r="X239" s="1469"/>
      <c r="Y239" s="36"/>
      <c r="Z239" s="36"/>
      <c r="AA239" s="36"/>
      <c r="AB239" s="36"/>
      <c r="AC239" s="36"/>
      <c r="AD239" s="36"/>
      <c r="AE239" s="36"/>
      <c r="AF239" s="36"/>
      <c r="AG239" s="36"/>
      <c r="AH239" s="36"/>
      <c r="AI239" s="36"/>
      <c r="AJ239" s="36"/>
      <c r="AK239" s="242"/>
      <c r="AL239" s="36"/>
      <c r="AM239" s="36"/>
      <c r="AN239" s="36"/>
    </row>
    <row r="240" spans="6:40" ht="15" customHeight="1" outlineLevel="1">
      <c r="F240" s="52"/>
      <c r="G240" s="1613" t="s">
        <v>841</v>
      </c>
      <c r="H240" s="842"/>
      <c r="I240" s="842"/>
      <c r="J240" s="842"/>
      <c r="K240" s="842"/>
      <c r="L240" s="842"/>
      <c r="M240" s="842"/>
      <c r="N240" s="842"/>
      <c r="O240" s="842"/>
      <c r="P240" s="842"/>
      <c r="Q240" s="842"/>
      <c r="R240" s="1650"/>
      <c r="S240" s="1650"/>
      <c r="T240" s="842"/>
      <c r="U240" s="1650"/>
      <c r="V240" s="1650"/>
      <c r="W240" s="842"/>
      <c r="X240" s="1470"/>
      <c r="Y240" s="36"/>
      <c r="Z240" s="36"/>
      <c r="AA240" s="36"/>
      <c r="AB240" s="36"/>
      <c r="AC240" s="36"/>
      <c r="AD240" s="36"/>
      <c r="AE240" s="36"/>
      <c r="AF240" s="36"/>
      <c r="AG240" s="36"/>
      <c r="AH240" s="36"/>
      <c r="AI240" s="36"/>
      <c r="AJ240" s="36"/>
      <c r="AK240" s="36"/>
      <c r="AL240" s="36"/>
      <c r="AM240" s="36"/>
      <c r="AN240" s="36"/>
    </row>
    <row r="241" spans="6:40" ht="15" customHeight="1" outlineLevel="1">
      <c r="F241" s="52"/>
      <c r="G241" s="51" t="s">
        <v>144</v>
      </c>
      <c r="H241" s="836"/>
      <c r="I241" s="836"/>
      <c r="J241" s="836"/>
      <c r="K241" s="836">
        <f ca="1">IFERROR((K232/MIN(K233,1))*2,0)</f>
        <v>0</v>
      </c>
      <c r="L241" s="836"/>
      <c r="M241" s="836"/>
      <c r="N241" s="836">
        <f ca="1">IFERROR((N232/MIN(N233,1))*2,0)</f>
        <v>0</v>
      </c>
      <c r="O241" s="836"/>
      <c r="P241" s="836"/>
      <c r="Q241" s="836">
        <f ca="1">IFERROR((Q232/MIN(Q233,1))*2,0)</f>
        <v>0</v>
      </c>
      <c r="R241" s="836"/>
      <c r="S241" s="836"/>
      <c r="T241" s="836">
        <f ca="1">IFERROR((T232/MIN(T233,1))*2,0)</f>
        <v>0</v>
      </c>
      <c r="U241" s="836"/>
      <c r="V241" s="836"/>
      <c r="W241" s="836">
        <f ca="1">IFERROR((W232/MIN(W233,1))*2,0)</f>
        <v>0</v>
      </c>
      <c r="X241" s="1469"/>
      <c r="Y241" s="36"/>
      <c r="Z241" s="36"/>
      <c r="AA241" s="36"/>
      <c r="AB241" s="36"/>
      <c r="AC241" s="36"/>
      <c r="AD241" s="36"/>
      <c r="AE241" s="36"/>
      <c r="AF241" s="36"/>
      <c r="AG241" s="36"/>
      <c r="AH241" s="36"/>
      <c r="AI241" s="36"/>
      <c r="AJ241" s="36"/>
      <c r="AK241" s="36"/>
      <c r="AL241" s="36"/>
      <c r="AM241" s="36"/>
      <c r="AN241" s="36"/>
    </row>
    <row r="242" spans="6:40" ht="15" customHeight="1" outlineLevel="1">
      <c r="F242" s="52"/>
      <c r="G242" s="51" t="s">
        <v>145</v>
      </c>
      <c r="H242" s="837"/>
      <c r="I242" s="837"/>
      <c r="J242" s="837"/>
      <c r="K242" s="837">
        <f ca="1">IFERROR(MAX(K232,ROUNDUP(((K241*INDEX(INDIRECT("'"&amp;$H$3&amp;"'!$H$43:$H$78"),MATCH(INDIRECT("'"&amp;$H$3&amp;"'!K176")&amp;"Average duration (hrs) per trip",INDIRECT("'"&amp;$H$3&amp;"'!$F$43:$F$78"),0)))+(K232*((1/60)*(INDIRECT("'"&amp;$H$3&amp;"'!K188")+INDIRECT("'"&amp;$H$3&amp;"'!$H$19")*(INDIRECT("'"&amp;$H$3&amp;"'!K189")+(INDIRECT("'"&amp;$H$3&amp;"'!K190")*('3_Outputs'!K$225/INDIRECT("'"&amp;$H$3&amp;"'!K$96")/INDIRECT("'"&amp;$H$3&amp;"'!$H$19"))))))))/INDIRECT("'"&amp;$H$3&amp;"'!$H$10"),0)),0)</f>
        <v>0</v>
      </c>
      <c r="L242" s="837"/>
      <c r="M242" s="837"/>
      <c r="N242" s="837">
        <f ca="1">IFERROR(MAX(N232,ROUNDUP(((N241*INDEX(INDIRECT("'"&amp;$H$3&amp;"'!$H$43:$H$78"),MATCH(INDIRECT("'"&amp;$H$3&amp;"'!N176")&amp;"Average duration (hrs) per trip",INDIRECT("'"&amp;$H$3&amp;"'!$F$43:$F$78"),0)))+(N232*((1/60)*(INDIRECT("'"&amp;$H$3&amp;"'!N188")+INDIRECT("'"&amp;$H$3&amp;"'!$H$19")*(INDIRECT("'"&amp;$H$3&amp;"'!N189")+(INDIRECT("'"&amp;$H$3&amp;"'!N190")*('3_Outputs'!N$225/INDIRECT("'"&amp;$H$3&amp;"'!N$96")/INDIRECT("'"&amp;$H$3&amp;"'!$H$19"))))))))/INDIRECT("'"&amp;$H$3&amp;"'!$H$10"),0)),0)</f>
        <v>0</v>
      </c>
      <c r="O242" s="837"/>
      <c r="P242" s="837"/>
      <c r="Q242" s="837">
        <f ca="1">IFERROR(MAX(Q232,ROUNDUP(((Q241*INDEX(INDIRECT("'"&amp;$H$3&amp;"'!$H$43:$H$78"),MATCH(INDIRECT("'"&amp;$H$3&amp;"'!Q176")&amp;"Average duration (hrs) per trip",INDIRECT("'"&amp;$H$3&amp;"'!$F$43:$F$78"),0)))+(Q232*((1/60)*(INDIRECT("'"&amp;$H$3&amp;"'!Q188")+INDIRECT("'"&amp;$H$3&amp;"'!$H$19")*(INDIRECT("'"&amp;$H$3&amp;"'!Q189")+(INDIRECT("'"&amp;$H$3&amp;"'!Q190")*('3_Outputs'!Q$225/INDIRECT("'"&amp;$H$3&amp;"'!Q$96")/INDIRECT("'"&amp;$H$3&amp;"'!$H$19"))))))))/INDIRECT("'"&amp;$H$3&amp;"'!$H$10"),0)),0)</f>
        <v>0</v>
      </c>
      <c r="R242" s="837"/>
      <c r="S242" s="837"/>
      <c r="T242" s="837">
        <f ca="1">IFERROR(MAX(T232,ROUNDUP(((T241*INDEX(INDIRECT("'"&amp;$H$3&amp;"'!$H$43:$H$78"),MATCH(INDIRECT("'"&amp;$H$3&amp;"'!T176")&amp;"Average duration (hrs) per trip",INDIRECT("'"&amp;$H$3&amp;"'!$F$43:$F$78"),0)))+(T232*((1/60)*(INDIRECT("'"&amp;$H$3&amp;"'!T188")+INDIRECT("'"&amp;$H$3&amp;"'!$H$19")*(INDIRECT("'"&amp;$H$3&amp;"'!T189")+(INDIRECT("'"&amp;$H$3&amp;"'!T190")*('3_Outputs'!T$225/INDIRECT("'"&amp;$H$3&amp;"'!T$96")/INDIRECT("'"&amp;$H$3&amp;"'!$H$19"))))))))/INDIRECT("'"&amp;$H$3&amp;"'!$H$10"),0)),0)</f>
        <v>0</v>
      </c>
      <c r="U242" s="837"/>
      <c r="V242" s="837"/>
      <c r="W242" s="837">
        <f ca="1">IFERROR(MAX(W232,ROUNDUP(((W241*INDEX(INDIRECT("'"&amp;$H$3&amp;"'!$H$43:$H$78"),MATCH(INDIRECT("'"&amp;$H$3&amp;"'!W176")&amp;"Average duration (hrs) per trip",INDIRECT("'"&amp;$H$3&amp;"'!$F$43:$F$78"),0)))+(W232*((1/60)*(INDIRECT("'"&amp;$H$3&amp;"'!W188")+INDIRECT("'"&amp;$H$3&amp;"'!$H$19")*(INDIRECT("'"&amp;$H$3&amp;"'!W189")+(INDIRECT("'"&amp;$H$3&amp;"'!W190")*('3_Outputs'!W$225/INDIRECT("'"&amp;$H$3&amp;"'!W$96")/INDIRECT("'"&amp;$H$3&amp;"'!$H$19"))))))))/INDIRECT("'"&amp;$H$3&amp;"'!$H$10"),0)),0)</f>
        <v>0</v>
      </c>
      <c r="X242" s="1468"/>
      <c r="Y242" s="36"/>
      <c r="Z242" s="36"/>
      <c r="AA242" s="36"/>
      <c r="AB242" s="36"/>
      <c r="AC242" s="36"/>
      <c r="AD242" s="36"/>
      <c r="AE242" s="36"/>
      <c r="AF242" s="36"/>
      <c r="AG242" s="36"/>
      <c r="AH242" s="36"/>
      <c r="AI242" s="36"/>
      <c r="AJ242" s="36"/>
      <c r="AK242" s="242"/>
      <c r="AL242" s="36"/>
      <c r="AM242" s="36"/>
      <c r="AN242" s="36"/>
    </row>
    <row r="243" spans="6:40" ht="15" customHeight="1" outlineLevel="1">
      <c r="F243" s="1659" t="s">
        <v>148</v>
      </c>
      <c r="G243" s="1614"/>
      <c r="H243" s="848"/>
      <c r="I243" s="848"/>
      <c r="J243" s="848"/>
      <c r="K243" s="848"/>
      <c r="L243" s="848"/>
      <c r="M243" s="848"/>
      <c r="N243" s="848"/>
      <c r="O243" s="848"/>
      <c r="P243" s="848"/>
      <c r="Q243" s="848"/>
      <c r="R243" s="1646"/>
      <c r="S243" s="1646"/>
      <c r="T243" s="848"/>
      <c r="U243" s="1646"/>
      <c r="V243" s="1646"/>
      <c r="W243" s="848"/>
      <c r="X243" s="1471"/>
      <c r="Y243" s="36"/>
      <c r="Z243" s="36"/>
      <c r="AA243" s="36"/>
      <c r="AB243" s="36"/>
      <c r="AC243" s="36"/>
      <c r="AD243" s="36"/>
      <c r="AE243" s="36"/>
      <c r="AF243" s="36"/>
      <c r="AG243" s="36"/>
      <c r="AH243" s="36"/>
      <c r="AI243" s="36"/>
      <c r="AJ243" s="36"/>
      <c r="AK243" s="242"/>
      <c r="AL243" s="36"/>
      <c r="AM243" s="36"/>
      <c r="AN243" s="36"/>
    </row>
    <row r="244" spans="6:40" ht="15" customHeight="1" outlineLevel="1">
      <c r="F244" s="86"/>
      <c r="G244" s="51" t="s">
        <v>151</v>
      </c>
      <c r="H244" s="836"/>
      <c r="I244" s="836"/>
      <c r="J244" s="836"/>
      <c r="K244" s="836">
        <f ca="1">IFERROR(IF(COUNTIF(INDIRECT("'"&amp;$H$3&amp;"'!K176"),"Public Transport*")&lt;1,ROUND(INDIRECT("'"&amp;$H$3&amp;"'!K$95")*INDIRECT("'"&amp;$H$3&amp;"'!K175"),0),0),0)</f>
        <v>0</v>
      </c>
      <c r="L244" s="836"/>
      <c r="M244" s="836"/>
      <c r="N244" s="836">
        <f ca="1">IFERROR(IF(COUNTIF(INDIRECT("'"&amp;$H$3&amp;"'!N176"),"Public Transport*")&lt;1,ROUND(INDIRECT("'"&amp;$H$3&amp;"'!N$95")*INDIRECT("'"&amp;$H$3&amp;"'!N175"),0),0),0)</f>
        <v>0</v>
      </c>
      <c r="O244" s="836"/>
      <c r="P244" s="836"/>
      <c r="Q244" s="836">
        <f ca="1">IFERROR(IF(COUNTIF(INDIRECT("'"&amp;$H$3&amp;"'!Q176"),"Public Transport*")&lt;1,ROUND(INDIRECT("'"&amp;$H$3&amp;"'!Q$95")*INDIRECT("'"&amp;$H$3&amp;"'!Q175"),0),0),0)</f>
        <v>0</v>
      </c>
      <c r="R244" s="1652"/>
      <c r="S244" s="1652"/>
      <c r="T244" s="836">
        <f ca="1">IFERROR(IF(COUNTIF(INDIRECT("'"&amp;$H$3&amp;"'!T176"),"Public Transport*")&lt;1,ROUND(INDIRECT("'"&amp;$H$3&amp;"'!T$95")*INDIRECT("'"&amp;$H$3&amp;"'!T175"),0),0),0)</f>
        <v>0</v>
      </c>
      <c r="U244" s="1652"/>
      <c r="V244" s="1652"/>
      <c r="W244" s="836">
        <f ca="1">IFERROR(IF(COUNTIF(INDIRECT("'"&amp;$H$3&amp;"'!W176"),"Public Transport*")&lt;1,ROUND(INDIRECT("'"&amp;$H$3&amp;"'!W$95")*INDIRECT("'"&amp;$H$3&amp;"'!W175"),0),0),0)</f>
        <v>0</v>
      </c>
      <c r="X244" s="1469"/>
      <c r="Y244" s="36"/>
      <c r="Z244" s="36"/>
      <c r="AA244" s="36"/>
      <c r="AB244" s="36"/>
      <c r="AC244" s="36"/>
      <c r="AD244" s="36"/>
      <c r="AE244" s="36"/>
      <c r="AF244" s="36"/>
      <c r="AG244" s="36"/>
      <c r="AH244" s="36"/>
      <c r="AI244" s="36"/>
      <c r="AJ244" s="36"/>
      <c r="AK244" s="242"/>
      <c r="AL244" s="36"/>
      <c r="AM244" s="36"/>
      <c r="AN244" s="36"/>
    </row>
    <row r="245" spans="6:40" ht="15" customHeight="1" outlineLevel="1">
      <c r="F245" s="52"/>
      <c r="G245" s="51" t="s">
        <v>58</v>
      </c>
      <c r="H245" s="837"/>
      <c r="I245" s="837"/>
      <c r="J245" s="837"/>
      <c r="K245" s="837">
        <f ca="1">IFERROR(IF(INDIRECT("'"&amp;$H$3&amp;"'!K183")="Route-based",K254*K255,IF(INDIRECT("'"&amp;$H$3&amp;"'!K183")="Point-to-point",K259*K260,0)),0)</f>
        <v>0</v>
      </c>
      <c r="L245" s="837"/>
      <c r="M245" s="837"/>
      <c r="N245" s="837">
        <f ca="1">IFERROR(IF(INDIRECT("'"&amp;$H$3&amp;"'!N183")="Route-based",N254*N255,IF(INDIRECT("'"&amp;$H$3&amp;"'!N183")="Point-to-point",N259*N260,0)),0)</f>
        <v>0</v>
      </c>
      <c r="O245" s="837"/>
      <c r="P245" s="837"/>
      <c r="Q245" s="837">
        <f ca="1">IFERROR(IF(INDIRECT("'"&amp;$H$3&amp;"'!Q183")="Route-based",Q254*Q255,IF(INDIRECT("'"&amp;$H$3&amp;"'!Q183")="Point-to-point",Q259*Q260,0)),0)</f>
        <v>0</v>
      </c>
      <c r="R245" s="1650"/>
      <c r="S245" s="1650"/>
      <c r="T245" s="837">
        <f ca="1">IFERROR(IF(INDIRECT("'"&amp;$H$3&amp;"'!T183")="Route-based",T254*T255,IF(INDIRECT("'"&amp;$H$3&amp;"'!T183")="Point-to-point",T259*T260,0)),0)</f>
        <v>0</v>
      </c>
      <c r="U245" s="1650"/>
      <c r="V245" s="1650"/>
      <c r="W245" s="837">
        <f ca="1">IFERROR(IF(INDIRECT("'"&amp;$H$3&amp;"'!W183")="Route-based",W254*W255,IF(INDIRECT("'"&amp;$H$3&amp;"'!W183")="Point-to-point",W259*W260,0)),0)</f>
        <v>0</v>
      </c>
      <c r="X245" s="1472"/>
      <c r="Y245" s="36"/>
      <c r="Z245" s="36"/>
      <c r="AA245" s="36"/>
      <c r="AB245" s="36"/>
      <c r="AC245" s="36"/>
      <c r="AD245" s="36"/>
      <c r="AE245" s="36"/>
      <c r="AF245" s="36"/>
      <c r="AG245" s="36"/>
      <c r="AH245" s="36"/>
      <c r="AI245" s="36"/>
      <c r="AJ245" s="36"/>
      <c r="AK245" s="242"/>
      <c r="AL245" s="36"/>
      <c r="AM245" s="36"/>
      <c r="AN245" s="36"/>
    </row>
    <row r="246" spans="6:40" ht="15" customHeight="1" outlineLevel="1">
      <c r="F246" s="52"/>
      <c r="G246" s="51" t="s">
        <v>389</v>
      </c>
      <c r="H246" s="837"/>
      <c r="I246" s="837"/>
      <c r="J246" s="837"/>
      <c r="K246" s="837">
        <f ca="1">IFERROR(IF(INDIRECT("'"&amp;$H$3&amp;"'!K223")="Route-based",K254,IF(INDIRECT("'"&amp;$H$3&amp;"'!K223")="Point-to-point",K259,0)),"")</f>
        <v>0</v>
      </c>
      <c r="L246" s="837"/>
      <c r="M246" s="837"/>
      <c r="N246" s="837">
        <f ca="1">IFERROR(IF(INDIRECT("'"&amp;$H$3&amp;"'!N223")="Route-based",N254,IF(INDIRECT("'"&amp;$H$3&amp;"'!N223")="Point-to-point",N259,0)),"")</f>
        <v>0</v>
      </c>
      <c r="O246" s="837"/>
      <c r="P246" s="837"/>
      <c r="Q246" s="837">
        <f ca="1">IFERROR(IF(INDIRECT("'"&amp;$H$3&amp;"'!Q223")="Route-based",Q254,IF(INDIRECT("'"&amp;$H$3&amp;"'!Q223")="Point-to-point",Q259,0)),"")</f>
        <v>0</v>
      </c>
      <c r="R246" s="1650"/>
      <c r="S246" s="1650"/>
      <c r="T246" s="837">
        <f ca="1">IFERROR(IF(INDIRECT("'"&amp;$H$3&amp;"'!T223")="Route-based",T254,IF(INDIRECT("'"&amp;$H$3&amp;"'!T223")="Point-to-point",T259,0)),"")</f>
        <v>0</v>
      </c>
      <c r="U246" s="1650"/>
      <c r="V246" s="1650"/>
      <c r="W246" s="837">
        <f ca="1">IFERROR(IF(INDIRECT("'"&amp;$H$3&amp;"'!W223")="Route-based",W254,IF(INDIRECT("'"&amp;$H$3&amp;"'!W223")="Point-to-point",W259,0)),"")</f>
        <v>0</v>
      </c>
      <c r="X246" s="1472"/>
      <c r="Y246" s="36"/>
      <c r="Z246" s="36"/>
      <c r="AA246" s="36"/>
      <c r="AB246" s="36"/>
      <c r="AC246" s="36"/>
      <c r="AD246" s="36"/>
      <c r="AE246" s="36"/>
      <c r="AF246" s="36"/>
      <c r="AG246" s="36"/>
      <c r="AH246" s="36"/>
      <c r="AI246" s="36"/>
      <c r="AJ246" s="36"/>
      <c r="AK246" s="242"/>
      <c r="AL246" s="36"/>
      <c r="AM246" s="36"/>
      <c r="AN246" s="36"/>
    </row>
    <row r="247" spans="6:40" ht="15" customHeight="1" outlineLevel="1">
      <c r="F247" s="52"/>
      <c r="G247" s="51" t="s">
        <v>49</v>
      </c>
      <c r="H247" s="837"/>
      <c r="I247" s="837"/>
      <c r="J247" s="837"/>
      <c r="K247" s="837">
        <f ca="1">IFERROR(IF(INDIRECT("'"&amp;$H$3&amp;"'!K183")="Route-based",ROUND(K256*K254/INDIRECT("'"&amp;$H$3&amp;"'!$H$10"),0),IF(INDIRECT("'"&amp;$H$3&amp;"'!K183")="Point-to-point",ROUND(((K259*((1/60)*(INDIRECT("'"&amp;$H$3&amp;"'!K188")+INDIRECT("'"&amp;$H$3&amp;"'!$H$19")*(INDIRECT("'"&amp;$H$3&amp;"'!K189")+(INDIRECT("'"&amp;$H$3&amp;"'!K190")*(MIN(('3_Outputs'!K$225/INDIRECT("'"&amp;$H$3&amp;"'!K$96")),INDEX(INDIRECT("'"&amp;$H$3&amp;"'!$H$49:$H$78"),MATCH(INDIRECT("'"&amp;$H$3&amp;"'!K176")&amp;"Delivery Capacity (m^3)",INDIRECT("'"&amp;$H$3&amp;"'!$F$49:$F$78"),0)))/INDIRECT("'"&amp;$H$3&amp;"'!$H$19")))))))+(K245/INDIRECT("'"&amp;$H$3&amp;"'!K192")))/INDIRECT("'"&amp;$H$3&amp;"'!$H$10"),0),0)),0)</f>
        <v>0</v>
      </c>
      <c r="L247" s="837"/>
      <c r="M247" s="837"/>
      <c r="N247" s="837">
        <f ca="1">IFERROR(IF(INDIRECT("'"&amp;$H$3&amp;"'!N183")="Route-based",ROUND(N256*N254/INDIRECT("'"&amp;$H$3&amp;"'!$H$10"),0),IF(INDIRECT("'"&amp;$H$3&amp;"'!N183")="Point-to-point",ROUND(((N259*((1/60)*(INDIRECT("'"&amp;$H$3&amp;"'!N188")+INDIRECT("'"&amp;$H$3&amp;"'!$H$19")*(INDIRECT("'"&amp;$H$3&amp;"'!N189")+(INDIRECT("'"&amp;$H$3&amp;"'!N190")*(MIN(('3_Outputs'!N$225/INDIRECT("'"&amp;$H$3&amp;"'!N$96")),INDEX(INDIRECT("'"&amp;$H$3&amp;"'!$H$49:$H$78"),MATCH(INDIRECT("'"&amp;$H$3&amp;"'!N176")&amp;"Delivery Capacity (m^3)",INDIRECT("'"&amp;$H$3&amp;"'!$F$49:$F$78"),0)))/INDIRECT("'"&amp;$H$3&amp;"'!$H$19")))))))+(N245/INDIRECT("'"&amp;$H$3&amp;"'!N192")))/INDIRECT("'"&amp;$H$3&amp;"'!$H$10"),0),0)),0)</f>
        <v>0</v>
      </c>
      <c r="O247" s="837"/>
      <c r="P247" s="837"/>
      <c r="Q247" s="837">
        <f ca="1">IFERROR(IF(INDIRECT("'"&amp;$H$3&amp;"'!Q183")="Route-based",ROUND(Q256*Q254/INDIRECT("'"&amp;$H$3&amp;"'!$H$10"),0),IF(INDIRECT("'"&amp;$H$3&amp;"'!Q183")="Point-to-point",ROUND(((Q259*((1/60)*(INDIRECT("'"&amp;$H$3&amp;"'!Q188")+INDIRECT("'"&amp;$H$3&amp;"'!$H$19")*(INDIRECT("'"&amp;$H$3&amp;"'!Q189")+(INDIRECT("'"&amp;$H$3&amp;"'!Q190")*(MIN(('3_Outputs'!Q$225/INDIRECT("'"&amp;$H$3&amp;"'!Q$96")),INDEX(INDIRECT("'"&amp;$H$3&amp;"'!$H$49:$H$78"),MATCH(INDIRECT("'"&amp;$H$3&amp;"'!Q176")&amp;"Delivery Capacity (m^3)",INDIRECT("'"&amp;$H$3&amp;"'!$F$49:$F$78"),0)))/INDIRECT("'"&amp;$H$3&amp;"'!$H$19")))))))+(Q245/INDIRECT("'"&amp;$H$3&amp;"'!Q192")))/INDIRECT("'"&amp;$H$3&amp;"'!$H$10"),0),0)),0)</f>
        <v>0</v>
      </c>
      <c r="R247" s="837"/>
      <c r="S247" s="837"/>
      <c r="T247" s="837">
        <f ca="1">IFERROR(IF(INDIRECT("'"&amp;$H$3&amp;"'!T183")="Route-based",ROUND(T256*T254/INDIRECT("'"&amp;$H$3&amp;"'!$H$10"),0),IF(INDIRECT("'"&amp;$H$3&amp;"'!T183")="Point-to-point",ROUND(((T259*((1/60)*(INDIRECT("'"&amp;$H$3&amp;"'!T188")+INDIRECT("'"&amp;$H$3&amp;"'!$H$19")*(INDIRECT("'"&amp;$H$3&amp;"'!T189")+(INDIRECT("'"&amp;$H$3&amp;"'!T190")*(MIN(('3_Outputs'!T$225/INDIRECT("'"&amp;$H$3&amp;"'!T$96")),INDEX(INDIRECT("'"&amp;$H$3&amp;"'!$H$49:$H$78"),MATCH(INDIRECT("'"&amp;$H$3&amp;"'!T176")&amp;"Delivery Capacity (m^3)",INDIRECT("'"&amp;$H$3&amp;"'!$F$49:$F$78"),0)))/INDIRECT("'"&amp;$H$3&amp;"'!$H$19")))))))+(T245/INDIRECT("'"&amp;$H$3&amp;"'!T192")))/INDIRECT("'"&amp;$H$3&amp;"'!$H$10"),0),0)),0)</f>
        <v>0</v>
      </c>
      <c r="U247" s="837"/>
      <c r="V247" s="837"/>
      <c r="W247" s="837">
        <f ca="1">IFERROR(IF(INDIRECT("'"&amp;$H$3&amp;"'!W183")="Route-based",ROUND(W256*W254/INDIRECT("'"&amp;$H$3&amp;"'!$H$10"),0),IF(INDIRECT("'"&amp;$H$3&amp;"'!W183")="Point-to-point",ROUND(((W259*((1/60)*(INDIRECT("'"&amp;$H$3&amp;"'!W188")+INDIRECT("'"&amp;$H$3&amp;"'!$H$19")*(INDIRECT("'"&amp;$H$3&amp;"'!W189")+(INDIRECT("'"&amp;$H$3&amp;"'!W190")*(MIN(('3_Outputs'!W$225/INDIRECT("'"&amp;$H$3&amp;"'!W$96")),INDEX(INDIRECT("'"&amp;$H$3&amp;"'!$H$49:$H$78"),MATCH(INDIRECT("'"&amp;$H$3&amp;"'!W176")&amp;"Delivery Capacity (m^3)",INDIRECT("'"&amp;$H$3&amp;"'!$F$49:$F$78"),0)))/INDIRECT("'"&amp;$H$3&amp;"'!$H$19")))))))+(W245/INDIRECT("'"&amp;$H$3&amp;"'!W192")))/INDIRECT("'"&amp;$H$3&amp;"'!$H$10"),0),0)),0)</f>
        <v>0</v>
      </c>
      <c r="X247" s="1472"/>
      <c r="Y247" s="36"/>
      <c r="Z247" s="36"/>
      <c r="AA247" s="36"/>
      <c r="AB247" s="36"/>
      <c r="AC247" s="36"/>
      <c r="AD247" s="36"/>
      <c r="AE247" s="36"/>
      <c r="AF247" s="36"/>
      <c r="AG247" s="36"/>
      <c r="AH247" s="36"/>
      <c r="AI247" s="36"/>
      <c r="AJ247" s="36"/>
      <c r="AK247" s="36"/>
      <c r="AL247" s="36"/>
      <c r="AM247" s="36"/>
      <c r="AN247" s="36"/>
    </row>
    <row r="248" spans="6:40" ht="15" customHeight="1" outlineLevel="1">
      <c r="F248" s="52"/>
      <c r="G248" s="51" t="s">
        <v>189</v>
      </c>
      <c r="H248" s="839"/>
      <c r="I248" s="839"/>
      <c r="J248" s="839"/>
      <c r="K248" s="839">
        <f ca="1">IFERROR(IF(INDIRECT("'"&amp;$H$3&amp;"'!K183")="Route-based",('3_Outputs'!K$225*K244)/(K254*INDEX(INDIRECT("'"&amp;$H$3&amp;"'!$H$49:$H$78"),MATCH(INDIRECT("'"&amp;$H$3&amp;"'!K176")&amp;"Delivery Capacity (m^3)",INDIRECT("'"&amp;$H$3&amp;"'!$F$49:$F$78"),0))),IF(INDIRECT("'"&amp;$H$3&amp;"'!K183")="Point-to-point",('3_Outputs'!K$225*K244)/(K259*INDEX(INDIRECT("'"&amp;$H$3&amp;"'!$H$49:$H$78"),MATCH(INDIRECT("'"&amp;$H$3&amp;"'!K176")&amp;"Delivery Capacity (m^3)",INDIRECT("'"&amp;$H$3&amp;"'!$F$49:$F$78"),0))),0)),0)</f>
        <v>0</v>
      </c>
      <c r="L248" s="839"/>
      <c r="M248" s="839"/>
      <c r="N248" s="839">
        <f ca="1">IFERROR(IF(INDIRECT("'"&amp;$H$3&amp;"'!N183")="Route-based",('3_Outputs'!N$225*N244)/(N254*INDEX(INDIRECT("'"&amp;$H$3&amp;"'!$H$49:$H$78"),MATCH(INDIRECT("'"&amp;$H$3&amp;"'!N176")&amp;"Delivery Capacity (m^3)",INDIRECT("'"&amp;$H$3&amp;"'!$F$49:$F$78"),0))),IF(INDIRECT("'"&amp;$H$3&amp;"'!N183")="Point-to-point",('3_Outputs'!N$225*N244)/(N259*INDEX(INDIRECT("'"&amp;$H$3&amp;"'!$H$49:$H$78"),MATCH(INDIRECT("'"&amp;$H$3&amp;"'!N176")&amp;"Delivery Capacity (m^3)",INDIRECT("'"&amp;$H$3&amp;"'!$F$49:$F$78"),0))),0)),0)</f>
        <v>0</v>
      </c>
      <c r="O248" s="839"/>
      <c r="P248" s="839"/>
      <c r="Q248" s="839">
        <f ca="1">IFERROR(IF(INDIRECT("'"&amp;$H$3&amp;"'!Q183")="Route-based",('3_Outputs'!Q$225*Q244)/(Q254*INDEX(INDIRECT("'"&amp;$H$3&amp;"'!$H$49:$H$78"),MATCH(INDIRECT("'"&amp;$H$3&amp;"'!Q176")&amp;"Delivery Capacity (m^3)",INDIRECT("'"&amp;$H$3&amp;"'!$F$49:$F$78"),0))),IF(INDIRECT("'"&amp;$H$3&amp;"'!Q183")="Point-to-point",('3_Outputs'!Q$225*Q244)/(Q259*INDEX(INDIRECT("'"&amp;$H$3&amp;"'!$H$49:$H$78"),MATCH(INDIRECT("'"&amp;$H$3&amp;"'!Q176")&amp;"Delivery Capacity (m^3)",INDIRECT("'"&amp;$H$3&amp;"'!$F$49:$F$78"),0))),0)),0)</f>
        <v>0</v>
      </c>
      <c r="R248" s="839"/>
      <c r="S248" s="839"/>
      <c r="T248" s="839">
        <f ca="1">IFERROR(IF(INDIRECT("'"&amp;$H$3&amp;"'!T183")="Route-based",('3_Outputs'!T$225*T244)/(T254*INDEX(INDIRECT("'"&amp;$H$3&amp;"'!$H$49:$H$78"),MATCH(INDIRECT("'"&amp;$H$3&amp;"'!T176")&amp;"Delivery Capacity (m^3)",INDIRECT("'"&amp;$H$3&amp;"'!$F$49:$F$78"),0))),IF(INDIRECT("'"&amp;$H$3&amp;"'!T183")="Point-to-point",('3_Outputs'!T$225*T244)/(T259*INDEX(INDIRECT("'"&amp;$H$3&amp;"'!$H$49:$H$78"),MATCH(INDIRECT("'"&amp;$H$3&amp;"'!T176")&amp;"Delivery Capacity (m^3)",INDIRECT("'"&amp;$H$3&amp;"'!$F$49:$F$78"),0))),0)),0)</f>
        <v>0</v>
      </c>
      <c r="U248" s="839"/>
      <c r="V248" s="839"/>
      <c r="W248" s="839">
        <f ca="1">IFERROR(IF(INDIRECT("'"&amp;$H$3&amp;"'!W183")="Route-based",('3_Outputs'!W$225*W244)/(W254*INDEX(INDIRECT("'"&amp;$H$3&amp;"'!$H$49:$H$78"),MATCH(INDIRECT("'"&amp;$H$3&amp;"'!W176")&amp;"Delivery Capacity (m^3)",INDIRECT("'"&amp;$H$3&amp;"'!$F$49:$F$78"),0))),IF(INDIRECT("'"&amp;$H$3&amp;"'!W183")="Point-to-point",('3_Outputs'!W$225*W244)/(W259*INDEX(INDIRECT("'"&amp;$H$3&amp;"'!$H$49:$H$78"),MATCH(INDIRECT("'"&amp;$H$3&amp;"'!W176")&amp;"Delivery Capacity (m^3)",INDIRECT("'"&amp;$H$3&amp;"'!$F$49:$F$78"),0))),0)),0)</f>
        <v>0</v>
      </c>
      <c r="X248" s="1473"/>
      <c r="Y248" s="36"/>
      <c r="Z248" s="36"/>
      <c r="AA248" s="36"/>
      <c r="AB248" s="36"/>
      <c r="AC248" s="36"/>
      <c r="AD248" s="36"/>
      <c r="AE248" s="36"/>
      <c r="AF248" s="36"/>
      <c r="AG248" s="36"/>
      <c r="AH248" s="36"/>
      <c r="AI248" s="36"/>
      <c r="AJ248" s="36"/>
      <c r="AK248" s="36" t="s">
        <v>191</v>
      </c>
      <c r="AL248" s="36"/>
      <c r="AM248" s="36"/>
      <c r="AN248" s="36"/>
    </row>
    <row r="249" spans="6:40" ht="15" customHeight="1" outlineLevel="1">
      <c r="F249" s="52"/>
      <c r="G249" s="51" t="s">
        <v>201</v>
      </c>
      <c r="H249" s="839"/>
      <c r="I249" s="839"/>
      <c r="J249" s="839"/>
      <c r="K249" s="839">
        <f ca="1">IFERROR((K247+IF(INDIRECT("'"&amp;$H$3&amp;"'!K245")="Yes",K339,0)+IF(INDIRECT("'"&amp;$H$3&amp;"'!K309")="Yes",K428,0))/(INDIRECT("'"&amp;$H$3&amp;"'!K180")*INDIRECT("'"&amp;$H$3&amp;"'!$H$9")),0)</f>
        <v>0</v>
      </c>
      <c r="L249" s="839"/>
      <c r="M249" s="839"/>
      <c r="N249" s="839">
        <f ca="1">IFERROR((N247+IF(INDIRECT("'"&amp;$H$3&amp;"'!N245")="Yes",N339,0)+IF(INDIRECT("'"&amp;$H$3&amp;"'!N309")="Yes",N428,0))/(INDIRECT("'"&amp;$H$3&amp;"'!N180")*INDIRECT("'"&amp;$H$3&amp;"'!$H$9")),0)</f>
        <v>0</v>
      </c>
      <c r="O249" s="839"/>
      <c r="P249" s="839"/>
      <c r="Q249" s="839">
        <f ca="1">IFERROR((Q247+IF(INDIRECT("'"&amp;$H$3&amp;"'!Q245")="Yes",Q339,0)+IF(INDIRECT("'"&amp;$H$3&amp;"'!Q309")="Yes",Q428,0))/(INDIRECT("'"&amp;$H$3&amp;"'!Q180")*INDIRECT("'"&amp;$H$3&amp;"'!$H$9")),0)</f>
        <v>0</v>
      </c>
      <c r="R249" s="839"/>
      <c r="S249" s="839"/>
      <c r="T249" s="839">
        <f ca="1">IFERROR((T247+IF(INDIRECT("'"&amp;$H$3&amp;"'!T245")="Yes",T339,0)+IF(INDIRECT("'"&amp;$H$3&amp;"'!T309")="Yes",T428,0))/(INDIRECT("'"&amp;$H$3&amp;"'!T180")*INDIRECT("'"&amp;$H$3&amp;"'!$H$9")),0)</f>
        <v>0</v>
      </c>
      <c r="U249" s="839"/>
      <c r="V249" s="839"/>
      <c r="W249" s="839">
        <f ca="1">IFERROR((W247+IF(INDIRECT("'"&amp;$H$3&amp;"'!W245")="Yes",W339,0)+IF(INDIRECT("'"&amp;$H$3&amp;"'!W309")="Yes",W428,0))/(INDIRECT("'"&amp;$H$3&amp;"'!W180")*INDIRECT("'"&amp;$H$3&amp;"'!$H$9")),0)</f>
        <v>0</v>
      </c>
      <c r="X249" s="1473"/>
      <c r="Y249" s="36"/>
      <c r="Z249" s="36"/>
      <c r="AA249" s="36"/>
      <c r="AB249" s="36"/>
      <c r="AC249" s="36"/>
      <c r="AD249" s="36"/>
      <c r="AE249" s="36"/>
      <c r="AF249" s="36"/>
      <c r="AG249" s="36"/>
      <c r="AH249" s="36"/>
      <c r="AI249" s="36"/>
      <c r="AJ249" s="36"/>
      <c r="AK249" s="36"/>
      <c r="AL249" s="36"/>
      <c r="AM249" s="36"/>
      <c r="AN249" s="36"/>
    </row>
    <row r="250" spans="6:40" ht="15" customHeight="1" outlineLevel="1">
      <c r="F250" s="52"/>
      <c r="G250" s="1613" t="s">
        <v>133</v>
      </c>
      <c r="H250" s="842"/>
      <c r="I250" s="842"/>
      <c r="J250" s="842"/>
      <c r="K250" s="842"/>
      <c r="L250" s="842"/>
      <c r="M250" s="842"/>
      <c r="N250" s="842"/>
      <c r="O250" s="842"/>
      <c r="P250" s="842"/>
      <c r="Q250" s="842"/>
      <c r="R250" s="1650"/>
      <c r="S250" s="1650"/>
      <c r="T250" s="842"/>
      <c r="U250" s="1650"/>
      <c r="V250" s="1650"/>
      <c r="W250" s="842"/>
      <c r="X250" s="1470"/>
      <c r="Y250" s="36"/>
      <c r="Z250" s="36"/>
      <c r="AA250" s="36"/>
      <c r="AB250" s="36"/>
      <c r="AC250" s="36"/>
      <c r="AD250" s="36"/>
      <c r="AE250" s="36"/>
      <c r="AF250" s="36"/>
      <c r="AG250" s="36"/>
      <c r="AH250" s="36"/>
      <c r="AI250" s="36"/>
      <c r="AJ250" s="36"/>
      <c r="AK250" s="36"/>
      <c r="AL250" s="36"/>
      <c r="AM250" s="36"/>
      <c r="AN250" s="36"/>
    </row>
    <row r="251" spans="6:40" ht="15" customHeight="1" outlineLevel="1">
      <c r="F251" s="52"/>
      <c r="G251" s="51" t="s">
        <v>127</v>
      </c>
      <c r="H251" s="836"/>
      <c r="I251" s="836"/>
      <c r="J251" s="836"/>
      <c r="K251" s="836">
        <f ca="1">IFERROR(INDEX(INDIRECT("'"&amp;$H$3&amp;"'!$H$49:$H$78"),MATCH(INDIRECT("'"&amp;$H$3&amp;"'!K176")&amp;"Delivery Capacity (m^3)",INDIRECT("'"&amp;$H$3&amp;"'!$F$49:$F$78"),0))/('3_Outputs'!K$225/INDIRECT("'"&amp;$H$3&amp;"'!K$96")),0)</f>
        <v>0</v>
      </c>
      <c r="L251" s="836"/>
      <c r="M251" s="836"/>
      <c r="N251" s="836">
        <f ca="1">IFERROR(INDEX(INDIRECT("'"&amp;$H$3&amp;"'!$H$49:$H$78"),MATCH(INDIRECT("'"&amp;$H$3&amp;"'!N176")&amp;"Delivery Capacity (m^3)",INDIRECT("'"&amp;$H$3&amp;"'!$F$49:$F$78"),0))/('3_Outputs'!N$225/INDIRECT("'"&amp;$H$3&amp;"'!N$96")),0)</f>
        <v>0</v>
      </c>
      <c r="O251" s="836"/>
      <c r="P251" s="836"/>
      <c r="Q251" s="836">
        <f ca="1">IFERROR(INDEX(INDIRECT("'"&amp;$H$3&amp;"'!$H$49:$H$78"),MATCH(INDIRECT("'"&amp;$H$3&amp;"'!Q176")&amp;"Delivery Capacity (m^3)",INDIRECT("'"&amp;$H$3&amp;"'!$F$49:$F$78"),0))/('3_Outputs'!Q$225/INDIRECT("'"&amp;$H$3&amp;"'!Q$96")),0)</f>
        <v>0</v>
      </c>
      <c r="R251" s="836"/>
      <c r="S251" s="836"/>
      <c r="T251" s="836">
        <f ca="1">IFERROR(INDEX(INDIRECT("'"&amp;$H$3&amp;"'!$H$49:$H$78"),MATCH(INDIRECT("'"&amp;$H$3&amp;"'!T176")&amp;"Delivery Capacity (m^3)",INDIRECT("'"&amp;$H$3&amp;"'!$F$49:$F$78"),0))/('3_Outputs'!T$225/INDIRECT("'"&amp;$H$3&amp;"'!T$96")),0)</f>
        <v>0</v>
      </c>
      <c r="U251" s="836"/>
      <c r="V251" s="836"/>
      <c r="W251" s="836">
        <f ca="1">IFERROR(INDEX(INDIRECT("'"&amp;$H$3&amp;"'!$H$49:$H$78"),MATCH(INDIRECT("'"&amp;$H$3&amp;"'!W176")&amp;"Delivery Capacity (m^3)",INDIRECT("'"&amp;$H$3&amp;"'!$F$49:$F$78"),0))/('3_Outputs'!W$225/INDIRECT("'"&amp;$H$3&amp;"'!W$96")),0)</f>
        <v>0</v>
      </c>
      <c r="X251" s="1465"/>
      <c r="Y251" s="36"/>
      <c r="Z251" s="36"/>
      <c r="AA251" s="36"/>
      <c r="AB251" s="36"/>
      <c r="AC251" s="36"/>
      <c r="AD251" s="36"/>
      <c r="AE251" s="36"/>
      <c r="AF251" s="36"/>
      <c r="AG251" s="36"/>
      <c r="AH251" s="36"/>
      <c r="AI251" s="36"/>
      <c r="AJ251" s="36"/>
      <c r="AK251" s="36"/>
      <c r="AL251" s="36"/>
      <c r="AM251" s="36"/>
      <c r="AN251" s="36"/>
    </row>
    <row r="252" spans="6:40" ht="15" customHeight="1" outlineLevel="1" collapsed="1">
      <c r="F252" s="52"/>
      <c r="G252" s="51" t="s">
        <v>128</v>
      </c>
      <c r="H252" s="836"/>
      <c r="I252" s="836"/>
      <c r="J252" s="836"/>
      <c r="K252" s="836">
        <f ca="1">IFERROR(((INDIRECT("'"&amp;$H$3&amp;"'!K184")*INDIRECT("'"&amp;$H$3&amp;"'!$H$10"))-(2*INDIRECT("'"&amp;$H$3&amp;"'!K$98")/INDIRECT("'"&amp;$H$3&amp;"'!K192"))+(INDIRECT("'"&amp;$H$3&amp;"'!K$99")/INDIRECT("'"&amp;$H$3&amp;"'!K191")))/(((1/60)*(INDIRECT("'"&amp;$H$3&amp;"'!K188")+INDIRECT("'"&amp;$H$3&amp;"'!$H$19")*(INDIRECT("'"&amp;$H$3&amp;"'!K189")+(INDIRECT("'"&amp;$H$3&amp;"'!K190")*('3_Outputs'!K$225/INDIRECT("'"&amp;$H$3&amp;"'!K$96")/INDIRECT("'"&amp;$H$3&amp;"'!$H$19"))))))+(INDIRECT("'"&amp;$H$3&amp;"'!K$99")/INDIRECT("'"&amp;$H$3&amp;"'!K191"))),0)</f>
        <v>0</v>
      </c>
      <c r="L252" s="836"/>
      <c r="M252" s="836"/>
      <c r="N252" s="836">
        <f ca="1">IFERROR(((INDIRECT("'"&amp;$H$3&amp;"'!N184")*INDIRECT("'"&amp;$H$3&amp;"'!$H$10"))-(2*INDIRECT("'"&amp;$H$3&amp;"'!N$98")/INDIRECT("'"&amp;$H$3&amp;"'!N192"))+(INDIRECT("'"&amp;$H$3&amp;"'!N$99")/INDIRECT("'"&amp;$H$3&amp;"'!N191")))/(((1/60)*(INDIRECT("'"&amp;$H$3&amp;"'!N188")+INDIRECT("'"&amp;$H$3&amp;"'!$H$19")*(INDIRECT("'"&amp;$H$3&amp;"'!N189")+(INDIRECT("'"&amp;$H$3&amp;"'!N190")*('3_Outputs'!N$225/INDIRECT("'"&amp;$H$3&amp;"'!N$96")/INDIRECT("'"&amp;$H$3&amp;"'!$H$19"))))))+(INDIRECT("'"&amp;$H$3&amp;"'!N$99")/INDIRECT("'"&amp;$H$3&amp;"'!N191"))),0)</f>
        <v>0</v>
      </c>
      <c r="O252" s="836"/>
      <c r="P252" s="836"/>
      <c r="Q252" s="836">
        <f ca="1">IFERROR(((INDIRECT("'"&amp;$H$3&amp;"'!Q184")*INDIRECT("'"&amp;$H$3&amp;"'!$H$10"))-(2*INDIRECT("'"&amp;$H$3&amp;"'!Q$98")/INDIRECT("'"&amp;$H$3&amp;"'!Q192"))+(INDIRECT("'"&amp;$H$3&amp;"'!Q$99")/INDIRECT("'"&amp;$H$3&amp;"'!Q191")))/(((1/60)*(INDIRECT("'"&amp;$H$3&amp;"'!Q188")+INDIRECT("'"&amp;$H$3&amp;"'!$H$19")*(INDIRECT("'"&amp;$H$3&amp;"'!Q189")+(INDIRECT("'"&amp;$H$3&amp;"'!Q190")*('3_Outputs'!Q$225/INDIRECT("'"&amp;$H$3&amp;"'!Q$96")/INDIRECT("'"&amp;$H$3&amp;"'!$H$19"))))))+(INDIRECT("'"&amp;$H$3&amp;"'!Q$99")/INDIRECT("'"&amp;$H$3&amp;"'!Q191"))),0)</f>
        <v>0</v>
      </c>
      <c r="R252" s="836"/>
      <c r="S252" s="836"/>
      <c r="T252" s="836">
        <f ca="1">IFERROR(((INDIRECT("'"&amp;$H$3&amp;"'!T184")*INDIRECT("'"&amp;$H$3&amp;"'!$H$10"))-(2*INDIRECT("'"&amp;$H$3&amp;"'!T$98")/INDIRECT("'"&amp;$H$3&amp;"'!T192"))+(INDIRECT("'"&amp;$H$3&amp;"'!T$99")/INDIRECT("'"&amp;$H$3&amp;"'!T191")))/(((1/60)*(INDIRECT("'"&amp;$H$3&amp;"'!T188")+INDIRECT("'"&amp;$H$3&amp;"'!$H$19")*(INDIRECT("'"&amp;$H$3&amp;"'!T189")+(INDIRECT("'"&amp;$H$3&amp;"'!T190")*('3_Outputs'!T$225/INDIRECT("'"&amp;$H$3&amp;"'!T$96")/INDIRECT("'"&amp;$H$3&amp;"'!$H$19"))))))+(INDIRECT("'"&amp;$H$3&amp;"'!T$99")/INDIRECT("'"&amp;$H$3&amp;"'!T191"))),0)</f>
        <v>0</v>
      </c>
      <c r="U252" s="836"/>
      <c r="V252" s="836"/>
      <c r="W252" s="836">
        <f ca="1">IFERROR(((INDIRECT("'"&amp;$H$3&amp;"'!W184")*INDIRECT("'"&amp;$H$3&amp;"'!$H$10"))-(2*INDIRECT("'"&amp;$H$3&amp;"'!W$98")/INDIRECT("'"&amp;$H$3&amp;"'!W192"))+(INDIRECT("'"&amp;$H$3&amp;"'!W$99")/INDIRECT("'"&amp;$H$3&amp;"'!W191")))/(((1/60)*(INDIRECT("'"&amp;$H$3&amp;"'!W188")+INDIRECT("'"&amp;$H$3&amp;"'!$H$19")*(INDIRECT("'"&amp;$H$3&amp;"'!W189")+(INDIRECT("'"&amp;$H$3&amp;"'!W190")*('3_Outputs'!W$225/INDIRECT("'"&amp;$H$3&amp;"'!W$96")/INDIRECT("'"&amp;$H$3&amp;"'!$H$19"))))))+(INDIRECT("'"&amp;$H$3&amp;"'!W$99")/INDIRECT("'"&amp;$H$3&amp;"'!W191"))),0)</f>
        <v>0</v>
      </c>
      <c r="X252" s="1465"/>
      <c r="Y252" s="36"/>
      <c r="Z252" s="36"/>
      <c r="AA252" s="36"/>
      <c r="AB252" s="36"/>
      <c r="AC252" s="36"/>
      <c r="AD252" s="36"/>
      <c r="AE252" s="36"/>
      <c r="AF252" s="36"/>
      <c r="AG252" s="36"/>
      <c r="AH252" s="36"/>
      <c r="AI252" s="36"/>
      <c r="AJ252" s="36"/>
      <c r="AK252" s="242"/>
      <c r="AL252" s="36"/>
      <c r="AM252" s="36"/>
      <c r="AN252" s="36"/>
    </row>
    <row r="253" spans="6:40" ht="15" customHeight="1" outlineLevel="1">
      <c r="F253" s="52"/>
      <c r="G253" s="51" t="s">
        <v>129</v>
      </c>
      <c r="H253" s="836"/>
      <c r="I253" s="836"/>
      <c r="J253" s="836"/>
      <c r="K253" s="836">
        <f ca="1">IFERROR(MIN(K252,K251),0)</f>
        <v>0</v>
      </c>
      <c r="L253" s="836"/>
      <c r="M253" s="836"/>
      <c r="N253" s="836">
        <f ca="1">IFERROR(MIN(N252,N251),0)</f>
        <v>0</v>
      </c>
      <c r="O253" s="836"/>
      <c r="P253" s="836"/>
      <c r="Q253" s="836">
        <f ca="1">IFERROR(MIN(Q252,Q251),0)</f>
        <v>0</v>
      </c>
      <c r="R253" s="836"/>
      <c r="S253" s="836"/>
      <c r="T253" s="836">
        <f ca="1">IFERROR(MIN(T252,T251),0)</f>
        <v>0</v>
      </c>
      <c r="U253" s="836"/>
      <c r="V253" s="836"/>
      <c r="W253" s="836">
        <f ca="1">IFERROR(MIN(W252,W251),0)</f>
        <v>0</v>
      </c>
      <c r="X253" s="1465"/>
      <c r="Y253" s="36"/>
      <c r="Z253" s="36"/>
      <c r="AA253" s="36"/>
      <c r="AB253" s="36"/>
      <c r="AC253" s="36"/>
      <c r="AD253" s="36"/>
      <c r="AE253" s="36"/>
      <c r="AF253" s="36"/>
      <c r="AG253" s="36"/>
      <c r="AH253" s="36"/>
      <c r="AI253" s="36"/>
      <c r="AJ253" s="36"/>
      <c r="AK253" s="242"/>
      <c r="AL253" s="36"/>
      <c r="AM253" s="36"/>
      <c r="AN253" s="36"/>
    </row>
    <row r="254" spans="6:40" ht="15" customHeight="1" outlineLevel="1">
      <c r="F254" s="52"/>
      <c r="G254" s="51" t="s">
        <v>188</v>
      </c>
      <c r="H254" s="836"/>
      <c r="I254" s="836"/>
      <c r="J254" s="836"/>
      <c r="K254" s="836">
        <f ca="1">IFERROR(ROUND(K244*INDIRECT("'"&amp;$H$3&amp;"'!K$96")/K253,0),0)</f>
        <v>0</v>
      </c>
      <c r="L254" s="836"/>
      <c r="M254" s="836"/>
      <c r="N254" s="836">
        <f ca="1">IFERROR(ROUND(N244*INDIRECT("'"&amp;$H$3&amp;"'!N$96")/N253,0),0)</f>
        <v>0</v>
      </c>
      <c r="O254" s="836"/>
      <c r="P254" s="836"/>
      <c r="Q254" s="836">
        <f ca="1">IFERROR(ROUND(Q244*INDIRECT("'"&amp;$H$3&amp;"'!Q$96")/Q253,0),0)</f>
        <v>0</v>
      </c>
      <c r="R254" s="836"/>
      <c r="S254" s="836"/>
      <c r="T254" s="836">
        <f ca="1">IFERROR(ROUND(T244*INDIRECT("'"&amp;$H$3&amp;"'!T$96")/T253,0),0)</f>
        <v>0</v>
      </c>
      <c r="U254" s="836"/>
      <c r="V254" s="836"/>
      <c r="W254" s="836">
        <f ca="1">IFERROR(ROUND(W244*INDIRECT("'"&amp;$H$3&amp;"'!W$96")/W253,0),0)</f>
        <v>0</v>
      </c>
      <c r="X254" s="1465"/>
      <c r="Y254" s="36"/>
      <c r="Z254" s="36"/>
      <c r="AA254" s="36"/>
      <c r="AB254" s="36"/>
      <c r="AC254" s="36"/>
      <c r="AD254" s="36"/>
      <c r="AE254" s="36"/>
      <c r="AF254" s="36"/>
      <c r="AG254" s="36"/>
      <c r="AH254" s="36"/>
      <c r="AI254" s="36"/>
      <c r="AJ254" s="36"/>
      <c r="AK254" s="242"/>
      <c r="AL254" s="36"/>
      <c r="AM254" s="36"/>
      <c r="AN254" s="36"/>
    </row>
    <row r="255" spans="6:40" ht="15" customHeight="1" outlineLevel="1">
      <c r="F255" s="52"/>
      <c r="G255" s="51" t="s">
        <v>88</v>
      </c>
      <c r="H255" s="836"/>
      <c r="I255" s="836"/>
      <c r="J255" s="836"/>
      <c r="K255" s="836">
        <f ca="1">IFERROR(IF(K244=0,0,(2*INDIRECT("'"&amp;$H$3&amp;"'!K$98"))+((MAX(K253,1)-1)*INDIRECT("'"&amp;$H$3&amp;"'!K$99"))),0)</f>
        <v>0</v>
      </c>
      <c r="L255" s="836"/>
      <c r="M255" s="836"/>
      <c r="N255" s="836">
        <f ca="1">IFERROR(IF(N244=0,0,(2*INDIRECT("'"&amp;$H$3&amp;"'!N$98"))+((MAX(N253,1)-1)*INDIRECT("'"&amp;$H$3&amp;"'!N$99"))),0)</f>
        <v>0</v>
      </c>
      <c r="O255" s="836"/>
      <c r="P255" s="836"/>
      <c r="Q255" s="836">
        <f ca="1">IFERROR(IF(Q244=0,0,(2*INDIRECT("'"&amp;$H$3&amp;"'!Q$98"))+((MAX(Q253,1)-1)*INDIRECT("'"&amp;$H$3&amp;"'!Q$99"))),0)</f>
        <v>0</v>
      </c>
      <c r="R255" s="836"/>
      <c r="S255" s="836"/>
      <c r="T255" s="836">
        <f ca="1">IFERROR(IF(T244=0,0,(2*INDIRECT("'"&amp;$H$3&amp;"'!T$98"))+((MAX(T253,1)-1)*INDIRECT("'"&amp;$H$3&amp;"'!T$99"))),0)</f>
        <v>0</v>
      </c>
      <c r="U255" s="836"/>
      <c r="V255" s="836"/>
      <c r="W255" s="836">
        <f ca="1">IFERROR(IF(W244=0,0,(2*INDIRECT("'"&amp;$H$3&amp;"'!W$98"))+((MAX(W253,1)-1)*INDIRECT("'"&amp;$H$3&amp;"'!W$99"))),0)</f>
        <v>0</v>
      </c>
      <c r="X255" s="1465"/>
      <c r="Y255" s="36"/>
      <c r="Z255" s="36"/>
      <c r="AA255" s="36"/>
      <c r="AB255" s="36"/>
      <c r="AC255" s="36"/>
      <c r="AD255" s="36"/>
      <c r="AE255" s="36"/>
      <c r="AF255" s="36"/>
      <c r="AG255" s="36"/>
      <c r="AH255" s="36"/>
      <c r="AI255" s="36"/>
      <c r="AJ255" s="36"/>
      <c r="AK255" s="242"/>
      <c r="AL255" s="36"/>
      <c r="AM255" s="36"/>
      <c r="AN255" s="36"/>
    </row>
    <row r="256" spans="6:40" ht="15" customHeight="1" outlineLevel="1">
      <c r="F256" s="52"/>
      <c r="G256" s="51" t="s">
        <v>199</v>
      </c>
      <c r="H256" s="836"/>
      <c r="I256" s="836"/>
      <c r="J256" s="836"/>
      <c r="K256" s="836">
        <f ca="1">IFERROR((ROUNDUP(K253,0)*(1/60)*INDIRECT("'"&amp;$H$3&amp;"'!K188"))+(K253*((1/60)*(INDIRECT("'"&amp;$H$3&amp;"'!$H$19")*(INDIRECT("'"&amp;$H$3&amp;"'!K189")+(INDIRECT("'"&amp;$H$3&amp;"'!K190")*('3_Outputs'!K$225/INDIRECT("'"&amp;$H$3&amp;"'!K$96")/INDIRECT("'"&amp;$H$3&amp;"'!$H$19")))))))+((2*INDIRECT("'"&amp;$H$3&amp;"'!K$98"))/INDIRECT("'"&amp;$H$3&amp;"'!K192"))+(((MAX(K253,1)-1)*INDIRECT("'"&amp;$H$3&amp;"'!K$99"))/INDIRECT("'"&amp;$H$3&amp;"'!K191")),0)</f>
        <v>0</v>
      </c>
      <c r="L256" s="836"/>
      <c r="M256" s="836"/>
      <c r="N256" s="836">
        <f ca="1">IFERROR((ROUNDUP(N253,0)*(1/60)*INDIRECT("'"&amp;$H$3&amp;"'!N188"))+(N253*((1/60)*(INDIRECT("'"&amp;$H$3&amp;"'!$H$19")*(INDIRECT("'"&amp;$H$3&amp;"'!N189")+(INDIRECT("'"&amp;$H$3&amp;"'!N190")*('3_Outputs'!N$225/INDIRECT("'"&amp;$H$3&amp;"'!N$96")/INDIRECT("'"&amp;$H$3&amp;"'!$H$19")))))))+((2*INDIRECT("'"&amp;$H$3&amp;"'!N$98"))/INDIRECT("'"&amp;$H$3&amp;"'!N192"))+(((MAX(N253,1)-1)*INDIRECT("'"&amp;$H$3&amp;"'!N$99"))/INDIRECT("'"&amp;$H$3&amp;"'!N191")),0)</f>
        <v>0</v>
      </c>
      <c r="O256" s="836"/>
      <c r="P256" s="836"/>
      <c r="Q256" s="836">
        <f ca="1">IFERROR((ROUNDUP(Q253,0)*(1/60)*INDIRECT("'"&amp;$H$3&amp;"'!Q188"))+(Q253*((1/60)*(INDIRECT("'"&amp;$H$3&amp;"'!$H$19")*(INDIRECT("'"&amp;$H$3&amp;"'!Q189")+(INDIRECT("'"&amp;$H$3&amp;"'!Q190")*('3_Outputs'!Q$225/INDIRECT("'"&amp;$H$3&amp;"'!Q$96")/INDIRECT("'"&amp;$H$3&amp;"'!$H$19")))))))+((2*INDIRECT("'"&amp;$H$3&amp;"'!Q$98"))/INDIRECT("'"&amp;$H$3&amp;"'!Q192"))+(((MAX(Q253,1)-1)*INDIRECT("'"&amp;$H$3&amp;"'!Q$99"))/INDIRECT("'"&amp;$H$3&amp;"'!Q191")),0)</f>
        <v>0</v>
      </c>
      <c r="R256" s="836"/>
      <c r="S256" s="836"/>
      <c r="T256" s="836">
        <f ca="1">IFERROR((ROUNDUP(T253,0)*(1/60)*INDIRECT("'"&amp;$H$3&amp;"'!T188"))+(T253*((1/60)*(INDIRECT("'"&amp;$H$3&amp;"'!$H$19")*(INDIRECT("'"&amp;$H$3&amp;"'!T189")+(INDIRECT("'"&amp;$H$3&amp;"'!T190")*('3_Outputs'!T$225/INDIRECT("'"&amp;$H$3&amp;"'!T$96")/INDIRECT("'"&amp;$H$3&amp;"'!$H$19")))))))+((2*INDIRECT("'"&amp;$H$3&amp;"'!T$98"))/INDIRECT("'"&amp;$H$3&amp;"'!T192"))+(((MAX(T253,1)-1)*INDIRECT("'"&amp;$H$3&amp;"'!T$99"))/INDIRECT("'"&amp;$H$3&amp;"'!T191")),0)</f>
        <v>0</v>
      </c>
      <c r="U256" s="836"/>
      <c r="V256" s="836"/>
      <c r="W256" s="836">
        <f ca="1">IFERROR((ROUNDUP(W253,0)*(1/60)*INDIRECT("'"&amp;$H$3&amp;"'!W188"))+(W253*((1/60)*(INDIRECT("'"&amp;$H$3&amp;"'!$H$19")*(INDIRECT("'"&amp;$H$3&amp;"'!W189")+(INDIRECT("'"&amp;$H$3&amp;"'!W190")*('3_Outputs'!W$225/INDIRECT("'"&amp;$H$3&amp;"'!W$96")/INDIRECT("'"&amp;$H$3&amp;"'!$H$19")))))))+((2*INDIRECT("'"&amp;$H$3&amp;"'!W$98"))/INDIRECT("'"&amp;$H$3&amp;"'!W192"))+(((MAX(W253,1)-1)*INDIRECT("'"&amp;$H$3&amp;"'!W$99"))/INDIRECT("'"&amp;$H$3&amp;"'!W191")),0)</f>
        <v>0</v>
      </c>
      <c r="X256" s="1465"/>
      <c r="Y256" s="36"/>
      <c r="Z256" s="36"/>
      <c r="AA256" s="36"/>
      <c r="AB256" s="36"/>
      <c r="AC256" s="36"/>
      <c r="AD256" s="36"/>
      <c r="AE256" s="36"/>
      <c r="AF256" s="36"/>
      <c r="AG256" s="36"/>
      <c r="AH256" s="36"/>
      <c r="AI256" s="36"/>
      <c r="AJ256" s="36"/>
      <c r="AK256" s="242"/>
      <c r="AL256" s="36"/>
      <c r="AM256" s="36"/>
      <c r="AN256" s="36"/>
    </row>
    <row r="257" spans="6:40" ht="15" customHeight="1" outlineLevel="1">
      <c r="F257" s="52"/>
      <c r="G257" s="51" t="s">
        <v>200</v>
      </c>
      <c r="H257" s="836"/>
      <c r="I257" s="836"/>
      <c r="J257" s="836"/>
      <c r="K257" s="836">
        <f ca="1">IFERROR((INDIRECT("'"&amp;$H$3&amp;"'!$H$10")*INDIRECT("'"&amp;$H$3&amp;"'!$H$9")*INDIRECT("'"&amp;$H$3&amp;"'!K180"))/K256,0)</f>
        <v>0</v>
      </c>
      <c r="L257" s="836"/>
      <c r="M257" s="836"/>
      <c r="N257" s="836">
        <f ca="1">IFERROR((INDIRECT("'"&amp;$H$3&amp;"'!$H$10")*INDIRECT("'"&amp;$H$3&amp;"'!$H$9")*INDIRECT("'"&amp;$H$3&amp;"'!N180"))/N256,0)</f>
        <v>0</v>
      </c>
      <c r="O257" s="836"/>
      <c r="P257" s="836"/>
      <c r="Q257" s="836">
        <f ca="1">IFERROR((INDIRECT("'"&amp;$H$3&amp;"'!$H$10")*INDIRECT("'"&amp;$H$3&amp;"'!$H$9")*INDIRECT("'"&amp;$H$3&amp;"'!Q180"))/Q256,0)</f>
        <v>0</v>
      </c>
      <c r="R257" s="836"/>
      <c r="S257" s="836"/>
      <c r="T257" s="836">
        <f ca="1">IFERROR((INDIRECT("'"&amp;$H$3&amp;"'!$H$10")*INDIRECT("'"&amp;$H$3&amp;"'!$H$9")*INDIRECT("'"&amp;$H$3&amp;"'!T180"))/T256,0)</f>
        <v>0</v>
      </c>
      <c r="U257" s="836"/>
      <c r="V257" s="836"/>
      <c r="W257" s="836">
        <f ca="1">IFERROR((INDIRECT("'"&amp;$H$3&amp;"'!$H$10")*INDIRECT("'"&amp;$H$3&amp;"'!$H$9")*INDIRECT("'"&amp;$H$3&amp;"'!W180"))/W256,0)</f>
        <v>0</v>
      </c>
      <c r="X257" s="1465"/>
      <c r="Y257" s="36"/>
      <c r="Z257" s="36"/>
      <c r="AA257" s="36"/>
      <c r="AB257" s="36"/>
      <c r="AC257" s="36"/>
      <c r="AD257" s="36"/>
      <c r="AE257" s="36"/>
      <c r="AF257" s="36"/>
      <c r="AG257" s="36"/>
      <c r="AH257" s="36"/>
      <c r="AI257" s="36"/>
      <c r="AJ257" s="36"/>
      <c r="AK257" s="242"/>
      <c r="AL257" s="36"/>
      <c r="AM257" s="36"/>
      <c r="AN257" s="36"/>
    </row>
    <row r="258" spans="6:40" ht="15" customHeight="1" outlineLevel="1">
      <c r="F258" s="52"/>
      <c r="G258" s="1613" t="s">
        <v>134</v>
      </c>
      <c r="H258" s="842"/>
      <c r="I258" s="842"/>
      <c r="J258" s="842"/>
      <c r="K258" s="842"/>
      <c r="L258" s="842"/>
      <c r="M258" s="842"/>
      <c r="N258" s="842"/>
      <c r="O258" s="842"/>
      <c r="P258" s="842"/>
      <c r="Q258" s="842"/>
      <c r="R258" s="1650"/>
      <c r="S258" s="1650"/>
      <c r="T258" s="842"/>
      <c r="U258" s="1650"/>
      <c r="V258" s="1650"/>
      <c r="W258" s="842"/>
      <c r="X258" s="1470"/>
      <c r="Y258" s="36"/>
      <c r="Z258" s="36"/>
      <c r="AA258" s="36"/>
      <c r="AB258" s="36"/>
      <c r="AC258" s="36"/>
      <c r="AD258" s="36"/>
      <c r="AE258" s="36"/>
      <c r="AF258" s="36"/>
      <c r="AG258" s="36"/>
      <c r="AH258" s="36"/>
      <c r="AI258" s="36"/>
      <c r="AJ258" s="36"/>
      <c r="AK258" s="36"/>
      <c r="AL258" s="36"/>
      <c r="AM258" s="36"/>
      <c r="AN258" s="36"/>
    </row>
    <row r="259" spans="6:40" ht="15" customHeight="1" outlineLevel="1">
      <c r="F259" s="52"/>
      <c r="G259" s="51" t="s">
        <v>188</v>
      </c>
      <c r="H259" s="836"/>
      <c r="I259" s="836"/>
      <c r="J259" s="836"/>
      <c r="K259" s="836">
        <f ca="1">IFERROR(K244*INDIRECT("'"&amp;$H$3&amp;"'!K$96")*MAX(1,ROUND(('3_Outputs'!K$225/INDIRECT("'"&amp;$H$3&amp;"'!K$96"))/INDEX(INDIRECT("'"&amp;$H$3&amp;"'!$H$49:$H$78"),MATCH(INDIRECT("'"&amp;$H$3&amp;"'!K176")&amp;"Delivery Capacity (m^3)",INDIRECT("'"&amp;$H$3&amp;"'!$F$49:$F$78"),0)),0)),0)</f>
        <v>0</v>
      </c>
      <c r="L259" s="836"/>
      <c r="M259" s="836"/>
      <c r="N259" s="836">
        <f ca="1">IFERROR(N244*INDIRECT("'"&amp;$H$3&amp;"'!N$96")*MAX(1,ROUND(('3_Outputs'!N$225/INDIRECT("'"&amp;$H$3&amp;"'!N$96"))/INDEX(INDIRECT("'"&amp;$H$3&amp;"'!$H$49:$H$78"),MATCH(INDIRECT("'"&amp;$H$3&amp;"'!N176")&amp;"Delivery Capacity (m^3)",INDIRECT("'"&amp;$H$3&amp;"'!$F$49:$F$78"),0)),0)),0)</f>
        <v>0</v>
      </c>
      <c r="O259" s="836"/>
      <c r="P259" s="836"/>
      <c r="Q259" s="836">
        <f ca="1">IFERROR(Q244*INDIRECT("'"&amp;$H$3&amp;"'!Q$96")*MAX(1,ROUND(('3_Outputs'!Q$225/INDIRECT("'"&amp;$H$3&amp;"'!Q$96"))/INDEX(INDIRECT("'"&amp;$H$3&amp;"'!$H$49:$H$78"),MATCH(INDIRECT("'"&amp;$H$3&amp;"'!Q176")&amp;"Delivery Capacity (m^3)",INDIRECT("'"&amp;$H$3&amp;"'!$F$49:$F$78"),0)),0)),0)</f>
        <v>0</v>
      </c>
      <c r="R259" s="836"/>
      <c r="S259" s="836"/>
      <c r="T259" s="836">
        <f ca="1">IFERROR(T244*INDIRECT("'"&amp;$H$3&amp;"'!T$96")*MAX(1,ROUND(('3_Outputs'!T$225/INDIRECT("'"&amp;$H$3&amp;"'!T$96"))/INDEX(INDIRECT("'"&amp;$H$3&amp;"'!$H$49:$H$78"),MATCH(INDIRECT("'"&amp;$H$3&amp;"'!T176")&amp;"Delivery Capacity (m^3)",INDIRECT("'"&amp;$H$3&amp;"'!$F$49:$F$78"),0)),0)),0)</f>
        <v>0</v>
      </c>
      <c r="U259" s="836"/>
      <c r="V259" s="836"/>
      <c r="W259" s="836">
        <f ca="1">IFERROR(W244*INDIRECT("'"&amp;$H$3&amp;"'!W$96")*MAX(1,ROUND(('3_Outputs'!W$225/INDIRECT("'"&amp;$H$3&amp;"'!W$96"))/INDEX(INDIRECT("'"&amp;$H$3&amp;"'!$H$49:$H$78"),MATCH(INDIRECT("'"&amp;$H$3&amp;"'!W176")&amp;"Delivery Capacity (m^3)",INDIRECT("'"&amp;$H$3&amp;"'!$F$49:$F$78"),0)),0)),0)</f>
        <v>0</v>
      </c>
      <c r="X259" s="1465"/>
      <c r="Y259" s="36"/>
      <c r="Z259" s="36"/>
      <c r="AA259" s="36"/>
      <c r="AB259" s="36" t="s">
        <v>192</v>
      </c>
      <c r="AC259" s="36"/>
      <c r="AD259" s="36" t="s">
        <v>193</v>
      </c>
      <c r="AE259" s="36"/>
      <c r="AF259" s="36"/>
      <c r="AG259" s="36"/>
      <c r="AH259" s="36"/>
      <c r="AI259" s="36"/>
      <c r="AJ259" s="36"/>
      <c r="AK259" s="36"/>
      <c r="AL259" s="36"/>
      <c r="AM259" s="36"/>
      <c r="AN259" s="36"/>
    </row>
    <row r="260" spans="6:40" ht="15" customHeight="1" outlineLevel="1">
      <c r="F260" s="52"/>
      <c r="G260" s="51" t="s">
        <v>88</v>
      </c>
      <c r="H260" s="836"/>
      <c r="I260" s="836"/>
      <c r="J260" s="836"/>
      <c r="K260" s="836">
        <f ca="1">IFERROR(IF(K244=0,0,2*INDIRECT("'"&amp;$H$3&amp;"'!K$98")),0)</f>
        <v>0</v>
      </c>
      <c r="L260" s="836"/>
      <c r="M260" s="836"/>
      <c r="N260" s="836">
        <f ca="1">IFERROR(IF(N244=0,0,2*INDIRECT("'"&amp;$H$3&amp;"'!N$98")),0)</f>
        <v>0</v>
      </c>
      <c r="O260" s="836"/>
      <c r="P260" s="836"/>
      <c r="Q260" s="836">
        <f ca="1">IFERROR(IF(Q244=0,0,2*INDIRECT("'"&amp;$H$3&amp;"'!Q$98")),0)</f>
        <v>0</v>
      </c>
      <c r="R260" s="836"/>
      <c r="S260" s="836"/>
      <c r="T260" s="836">
        <f ca="1">IFERROR(IF(T244=0,0,2*INDIRECT("'"&amp;$H$3&amp;"'!T$98")),0)</f>
        <v>0</v>
      </c>
      <c r="U260" s="836"/>
      <c r="V260" s="836"/>
      <c r="W260" s="836">
        <f ca="1">IFERROR(IF(W244=0,0,2*INDIRECT("'"&amp;$H$3&amp;"'!W$98")),0)</f>
        <v>0</v>
      </c>
      <c r="X260" s="1465"/>
      <c r="Y260" s="36"/>
      <c r="Z260" s="36"/>
      <c r="AA260" s="36"/>
      <c r="AB260" s="36" t="s">
        <v>194</v>
      </c>
      <c r="AC260" s="36"/>
      <c r="AD260" s="36" t="s">
        <v>195</v>
      </c>
      <c r="AE260" s="36"/>
      <c r="AF260" s="36"/>
      <c r="AG260" s="36"/>
      <c r="AH260" s="36"/>
      <c r="AI260" s="36"/>
      <c r="AJ260" s="36"/>
      <c r="AK260" s="36"/>
      <c r="AL260" s="36"/>
      <c r="AM260" s="36"/>
      <c r="AN260" s="36"/>
    </row>
    <row r="261" spans="6:40" ht="15" customHeight="1" outlineLevel="1">
      <c r="F261" s="52"/>
      <c r="G261" s="51" t="s">
        <v>200</v>
      </c>
      <c r="H261" s="839"/>
      <c r="I261" s="839"/>
      <c r="J261" s="839"/>
      <c r="K261" s="839">
        <f ca="1">IFERROR((INDIRECT("'"&amp;$H$3&amp;"'!$H$10")*INDIRECT("'"&amp;$H$3&amp;"'!$H$9")*INDIRECT("'"&amp;$H$3&amp;"'!K180"))/((K260/INDIRECT("'"&amp;$H$3&amp;"'!K192"))+((1/60)*(INDIRECT("'"&amp;$H$3&amp;"'!K188")+INDIRECT("'"&amp;$H$3&amp;"'!$H$19")*(INDIRECT("'"&amp;$H$3&amp;"'!K189")+(INDIRECT("'"&amp;$H$3&amp;"'!K190")*(MIN(('3_Outputs'!K$225/INDIRECT("'"&amp;$H$3&amp;"'!K$96")),INDEX(INDIRECT("'"&amp;$H$3&amp;"'!$H$49:$H$78"),MATCH(INDIRECT("'"&amp;$H$3&amp;"'!K176")&amp;"Delivery Capacity (m^3)",INDIRECT("'"&amp;$H$3&amp;"'!$F$49:$F$78"),0)))/INDIRECT("'"&amp;$H$3&amp;"'!$H$19"))))))),0)</f>
        <v>0</v>
      </c>
      <c r="L261" s="839"/>
      <c r="M261" s="839"/>
      <c r="N261" s="839">
        <f ca="1">IFERROR((INDIRECT("'"&amp;$H$3&amp;"'!$H$10")*INDIRECT("'"&amp;$H$3&amp;"'!$H$9")*INDIRECT("'"&amp;$H$3&amp;"'!N180"))/((N260/INDIRECT("'"&amp;$H$3&amp;"'!N192"))+((1/60)*(INDIRECT("'"&amp;$H$3&amp;"'!N188")+INDIRECT("'"&amp;$H$3&amp;"'!$H$19")*(INDIRECT("'"&amp;$H$3&amp;"'!N189")+(INDIRECT("'"&amp;$H$3&amp;"'!N190")*(MIN(('3_Outputs'!N$225/INDIRECT("'"&amp;$H$3&amp;"'!N$96")),INDEX(INDIRECT("'"&amp;$H$3&amp;"'!$H$49:$H$78"),MATCH(INDIRECT("'"&amp;$H$3&amp;"'!N176")&amp;"Delivery Capacity (m^3)",INDIRECT("'"&amp;$H$3&amp;"'!$F$49:$F$78"),0)))/INDIRECT("'"&amp;$H$3&amp;"'!$H$19"))))))),0)</f>
        <v>0</v>
      </c>
      <c r="O261" s="839"/>
      <c r="P261" s="839"/>
      <c r="Q261" s="839">
        <f ca="1">IFERROR((INDIRECT("'"&amp;$H$3&amp;"'!$H$10")*INDIRECT("'"&amp;$H$3&amp;"'!$H$9")*INDIRECT("'"&amp;$H$3&amp;"'!Q180"))/((Q260/INDIRECT("'"&amp;$H$3&amp;"'!Q192"))+((1/60)*(INDIRECT("'"&amp;$H$3&amp;"'!Q188")+INDIRECT("'"&amp;$H$3&amp;"'!$H$19")*(INDIRECT("'"&amp;$H$3&amp;"'!Q189")+(INDIRECT("'"&amp;$H$3&amp;"'!Q190")*(MIN(('3_Outputs'!Q$225/INDIRECT("'"&amp;$H$3&amp;"'!Q$96")),INDEX(INDIRECT("'"&amp;$H$3&amp;"'!$H$49:$H$78"),MATCH(INDIRECT("'"&amp;$H$3&amp;"'!Q176")&amp;"Delivery Capacity (m^3)",INDIRECT("'"&amp;$H$3&amp;"'!$F$49:$F$78"),0)))/INDIRECT("'"&amp;$H$3&amp;"'!$H$19"))))))),0)</f>
        <v>0</v>
      </c>
      <c r="R261" s="839"/>
      <c r="S261" s="839"/>
      <c r="T261" s="839">
        <f ca="1">IFERROR((INDIRECT("'"&amp;$H$3&amp;"'!$H$10")*INDIRECT("'"&amp;$H$3&amp;"'!$H$9")*INDIRECT("'"&amp;$H$3&amp;"'!T180"))/((T260/INDIRECT("'"&amp;$H$3&amp;"'!T192"))+((1/60)*(INDIRECT("'"&amp;$H$3&amp;"'!T188")+INDIRECT("'"&amp;$H$3&amp;"'!$H$19")*(INDIRECT("'"&amp;$H$3&amp;"'!T189")+(INDIRECT("'"&amp;$H$3&amp;"'!T190")*(MIN(('3_Outputs'!T$225/INDIRECT("'"&amp;$H$3&amp;"'!T$96")),INDEX(INDIRECT("'"&amp;$H$3&amp;"'!$H$49:$H$78"),MATCH(INDIRECT("'"&amp;$H$3&amp;"'!T176")&amp;"Delivery Capacity (m^3)",INDIRECT("'"&amp;$H$3&amp;"'!$F$49:$F$78"),0)))/INDIRECT("'"&amp;$H$3&amp;"'!$H$19"))))))),0)</f>
        <v>0</v>
      </c>
      <c r="U261" s="839"/>
      <c r="V261" s="839"/>
      <c r="W261" s="839">
        <f ca="1">IFERROR((INDIRECT("'"&amp;$H$3&amp;"'!$H$10")*INDIRECT("'"&amp;$H$3&amp;"'!$H$9")*INDIRECT("'"&amp;$H$3&amp;"'!W180"))/((W260/INDIRECT("'"&amp;$H$3&amp;"'!W192"))+((1/60)*(INDIRECT("'"&amp;$H$3&amp;"'!W188")+INDIRECT("'"&amp;$H$3&amp;"'!$H$19")*(INDIRECT("'"&amp;$H$3&amp;"'!W189")+(INDIRECT("'"&amp;$H$3&amp;"'!W190")*(MIN(('3_Outputs'!W$225/INDIRECT("'"&amp;$H$3&amp;"'!W$96")),INDEX(INDIRECT("'"&amp;$H$3&amp;"'!$H$49:$H$78"),MATCH(INDIRECT("'"&amp;$H$3&amp;"'!W176")&amp;"Delivery Capacity (m^3)",INDIRECT("'"&amp;$H$3&amp;"'!$F$49:$F$78"),0)))/INDIRECT("'"&amp;$H$3&amp;"'!$H$19"))))))),0)</f>
        <v>0</v>
      </c>
      <c r="X261" s="1473"/>
      <c r="Y261" s="36"/>
      <c r="Z261" s="36"/>
      <c r="AA261" s="36"/>
      <c r="AB261" s="36"/>
      <c r="AC261" s="36"/>
      <c r="AD261" s="36"/>
      <c r="AE261" s="36"/>
      <c r="AF261" s="36"/>
      <c r="AG261" s="36"/>
      <c r="AH261" s="36"/>
      <c r="AI261" s="36"/>
      <c r="AJ261" s="36"/>
      <c r="AK261" s="36"/>
      <c r="AL261" s="36"/>
      <c r="AM261" s="36"/>
      <c r="AN261" s="36"/>
    </row>
    <row r="262" spans="6:40" ht="15" customHeight="1">
      <c r="F262" s="52"/>
      <c r="G262" s="52"/>
      <c r="H262" s="1660"/>
      <c r="I262" s="1660"/>
      <c r="J262" s="1660"/>
      <c r="K262" s="1660"/>
      <c r="L262" s="1660"/>
      <c r="M262" s="1660"/>
      <c r="N262" s="1660"/>
      <c r="O262" s="1660"/>
      <c r="P262" s="1660"/>
      <c r="Q262" s="1660"/>
      <c r="R262" s="1641"/>
      <c r="S262" s="1641"/>
      <c r="T262" s="1641"/>
      <c r="U262" s="1641"/>
      <c r="V262" s="1641"/>
      <c r="W262" s="1641"/>
      <c r="X262" s="1397"/>
      <c r="Y262" s="36"/>
      <c r="Z262" s="36"/>
      <c r="AA262" s="36"/>
      <c r="AB262" s="36"/>
      <c r="AC262" s="36"/>
      <c r="AD262" s="36"/>
      <c r="AE262" s="36"/>
      <c r="AF262" s="36"/>
      <c r="AG262" s="36"/>
      <c r="AH262" s="36"/>
      <c r="AI262" s="36"/>
      <c r="AJ262" s="36"/>
      <c r="AK262" s="36"/>
      <c r="AL262" s="36"/>
      <c r="AM262" s="36"/>
      <c r="AN262" s="36"/>
    </row>
    <row r="263" spans="6:40" ht="15" customHeight="1">
      <c r="F263" s="52"/>
      <c r="G263" s="52"/>
      <c r="H263" s="1660"/>
      <c r="I263" s="1660"/>
      <c r="J263" s="1660"/>
      <c r="K263" s="1660"/>
      <c r="L263" s="1660"/>
      <c r="M263" s="1660"/>
      <c r="N263" s="1660"/>
      <c r="O263" s="1660"/>
      <c r="P263" s="1660"/>
      <c r="Q263" s="1660"/>
      <c r="R263" s="1641"/>
      <c r="S263" s="1641"/>
      <c r="T263" s="1641"/>
      <c r="U263" s="1641"/>
      <c r="V263" s="1641"/>
      <c r="W263" s="1641"/>
      <c r="X263" s="1397"/>
      <c r="Y263" s="36"/>
      <c r="Z263" s="36"/>
      <c r="AA263" s="36"/>
      <c r="AB263" s="36"/>
      <c r="AC263" s="36"/>
      <c r="AD263" s="36"/>
      <c r="AE263" s="36"/>
      <c r="AF263" s="36"/>
      <c r="AG263" s="36"/>
      <c r="AH263" s="36"/>
      <c r="AI263" s="36"/>
      <c r="AJ263" s="36"/>
      <c r="AK263" s="36"/>
      <c r="AL263" s="36"/>
      <c r="AM263" s="36"/>
      <c r="AN263" s="36"/>
    </row>
    <row r="264" spans="6:40" ht="48" customHeight="1">
      <c r="F264" s="1661" t="s">
        <v>2503</v>
      </c>
      <c r="G264" s="1662"/>
      <c r="H264" s="1663"/>
      <c r="I264" s="1663"/>
      <c r="J264" s="1663"/>
      <c r="K264" s="1519" t="str">
        <f ca="1">IF($H$9&gt;=2,INDIRECT("'"&amp;$H$3&amp;"'!J$130"),"")</f>
        <v>CMS  to  Regional WH</v>
      </c>
      <c r="L264" s="1519" t="str">
        <f t="shared" ref="L264:V264" ca="1" si="18">IF($H$9&gt;=1,"Tier 1","")</f>
        <v>Tier 1</v>
      </c>
      <c r="M264" s="1519" t="str">
        <f t="shared" ca="1" si="18"/>
        <v>Tier 1</v>
      </c>
      <c r="N264" s="1519" t="str">
        <f ca="1">IF($H$9&gt;=3,INDIRECT("'"&amp;$H$3&amp;"'!M$130"),"")</f>
        <v>Regional WH  to  Health Facility</v>
      </c>
      <c r="O264" s="1519" t="str">
        <f t="shared" ca="1" si="18"/>
        <v>Tier 1</v>
      </c>
      <c r="P264" s="1519" t="str">
        <f t="shared" ca="1" si="18"/>
        <v>Tier 1</v>
      </c>
      <c r="Q264" s="1520" t="str">
        <f ca="1">IF($H$9&gt;=4,INDIRECT("'"&amp;$H$3&amp;"'!P$130"),"")</f>
        <v/>
      </c>
      <c r="R264" s="1519" t="str">
        <f t="shared" ca="1" si="18"/>
        <v>Tier 1</v>
      </c>
      <c r="S264" s="1521" t="str">
        <f t="shared" ca="1" si="18"/>
        <v>Tier 1</v>
      </c>
      <c r="T264" s="1520" t="str">
        <f ca="1">IF($H$9&gt;=5,INDIRECT("'"&amp;$H$3&amp;"'!S$130"),"")</f>
        <v/>
      </c>
      <c r="U264" s="1521" t="str">
        <f t="shared" ca="1" si="18"/>
        <v>Tier 1</v>
      </c>
      <c r="V264" s="1521" t="str">
        <f t="shared" ca="1" si="18"/>
        <v>Tier 1</v>
      </c>
      <c r="W264" s="1520" t="str">
        <f ca="1">IF($H$9&gt;=6,INDIRECT("'"&amp;$H$3&amp;"'!V$130"),"")</f>
        <v/>
      </c>
      <c r="X264" s="1464"/>
      <c r="Y264" s="264"/>
      <c r="Z264" s="264"/>
      <c r="AA264" s="264"/>
      <c r="AB264" s="36"/>
      <c r="AC264" s="36"/>
      <c r="AD264" s="36"/>
      <c r="AE264" s="36"/>
      <c r="AF264" s="36"/>
      <c r="AG264" s="36"/>
      <c r="AH264" s="36"/>
      <c r="AI264" s="36"/>
      <c r="AJ264" s="36"/>
      <c r="AK264" s="36"/>
      <c r="AL264" s="36"/>
      <c r="AM264" s="36"/>
      <c r="AN264" s="36"/>
    </row>
    <row r="265" spans="6:40" ht="15" customHeight="1" outlineLevel="1">
      <c r="F265" s="1664" t="s">
        <v>149</v>
      </c>
      <c r="G265" s="1664"/>
      <c r="H265" s="862"/>
      <c r="I265" s="862"/>
      <c r="J265" s="862"/>
      <c r="K265" s="862"/>
      <c r="L265" s="862"/>
      <c r="M265" s="862"/>
      <c r="N265" s="862"/>
      <c r="O265" s="1664"/>
      <c r="P265" s="1664"/>
      <c r="Q265" s="1665"/>
      <c r="R265" s="1666"/>
      <c r="S265" s="1666"/>
      <c r="T265" s="1665"/>
      <c r="U265" s="1666"/>
      <c r="V265" s="1666"/>
      <c r="W265" s="1665"/>
      <c r="Y265" s="36"/>
      <c r="Z265" s="36"/>
      <c r="AA265" s="36"/>
      <c r="AB265" s="36"/>
      <c r="AC265" s="36"/>
      <c r="AD265" s="36"/>
      <c r="AE265" s="36"/>
      <c r="AF265" s="36"/>
      <c r="AG265" s="36"/>
      <c r="AH265" s="36"/>
      <c r="AI265" s="36"/>
      <c r="AJ265" s="36"/>
      <c r="AK265" s="36"/>
      <c r="AL265" s="36"/>
      <c r="AM265" s="36"/>
      <c r="AN265" s="36"/>
    </row>
    <row r="266" spans="6:40" ht="15" customHeight="1" outlineLevel="1">
      <c r="F266" s="52"/>
      <c r="G266" s="52" t="s">
        <v>146</v>
      </c>
      <c r="H266" s="822"/>
      <c r="I266" s="822"/>
      <c r="J266" s="822"/>
      <c r="K266" s="822">
        <f ca="1">IFERROR(IF(COUNTIF(INDIRECT("'"&amp;$H$3&amp;"'!K200"),"Public Transport*")=1,IF(INDIRECT("'"&amp;$H$3&amp;"'!K208")="Route-based",K273*INDIRECT("'"&amp;$H$3&amp;"'!K$96"),IF(INDIRECT("'"&amp;$H$3&amp;"'!K208")="Point-to-point",K276*INDIRECT("'"&amp;$H$3&amp;"'!K$96"),0)),0),0)</f>
        <v>0</v>
      </c>
      <c r="L266" s="822"/>
      <c r="M266" s="822"/>
      <c r="N266" s="822">
        <f ca="1">IFERROR(IF(COUNTIF(INDIRECT("'"&amp;$H$3&amp;"'!N200"),"Public Transport*")=1,IF(INDIRECT("'"&amp;$H$3&amp;"'!N208")="Route-based",N273*INDIRECT("'"&amp;$H$3&amp;"'!N$96"),IF(INDIRECT("'"&amp;$H$3&amp;"'!N208")="Point-to-point",N276*INDIRECT("'"&amp;$H$3&amp;"'!N$96"),0)),0),0)</f>
        <v>0</v>
      </c>
      <c r="O266" s="822"/>
      <c r="P266" s="822"/>
      <c r="Q266" s="822">
        <f ca="1">IFERROR(IF(COUNTIF(INDIRECT("'"&amp;$H$3&amp;"'!Q200"),"Public Transport*")=1,IF(INDIRECT("'"&amp;$H$3&amp;"'!Q208")="Route-based",Q273*INDIRECT("'"&amp;$H$3&amp;"'!Q$96"),IF(INDIRECT("'"&amp;$H$3&amp;"'!Q208")="Point-to-point",Q276*INDIRECT("'"&amp;$H$3&amp;"'!Q$96"),0)),0),0)</f>
        <v>0</v>
      </c>
      <c r="R266" s="1667"/>
      <c r="S266" s="1667"/>
      <c r="T266" s="822">
        <f ca="1">IFERROR(IF(COUNTIF(INDIRECT("'"&amp;$H$3&amp;"'!T200"),"Public Transport*")=1,IF(INDIRECT("'"&amp;$H$3&amp;"'!T208")="Route-based",T273*INDIRECT("'"&amp;$H$3&amp;"'!T$96"),IF(INDIRECT("'"&amp;$H$3&amp;"'!T208")="Point-to-point",T276*INDIRECT("'"&amp;$H$3&amp;"'!T$96"),0)),0),0)</f>
        <v>0</v>
      </c>
      <c r="U266" s="1667"/>
      <c r="V266" s="1667"/>
      <c r="W266" s="822">
        <f ca="1">IFERROR(IF(COUNTIF(INDIRECT("'"&amp;$H$3&amp;"'!W200"),"Public Transport*")=1,IF(INDIRECT("'"&amp;$H$3&amp;"'!W208")="Route-based",W273*INDIRECT("'"&amp;$H$3&amp;"'!W$96"),IF(INDIRECT("'"&amp;$H$3&amp;"'!W208")="Point-to-point",W276*INDIRECT("'"&amp;$H$3&amp;"'!W$96"),0)),0),0)</f>
        <v>0</v>
      </c>
      <c r="X266" s="1475"/>
      <c r="Y266" s="36"/>
      <c r="Z266" s="36"/>
      <c r="AA266" s="36"/>
      <c r="AB266" s="36"/>
      <c r="AC266" s="36"/>
      <c r="AD266" s="36"/>
      <c r="AE266" s="36"/>
      <c r="AF266" s="36"/>
      <c r="AG266" s="36"/>
      <c r="AH266" s="36"/>
      <c r="AI266" s="36"/>
      <c r="AJ266" s="36"/>
      <c r="AK266" s="36"/>
      <c r="AL266" s="36"/>
      <c r="AM266" s="36"/>
      <c r="AN266" s="36"/>
    </row>
    <row r="267" spans="6:40" ht="15" customHeight="1" outlineLevel="1">
      <c r="F267" s="52"/>
      <c r="G267" s="52" t="s">
        <v>147</v>
      </c>
      <c r="H267" s="822"/>
      <c r="I267" s="822"/>
      <c r="J267" s="822"/>
      <c r="K267" s="822">
        <f ca="1">IFERROR(IF(INDIRECT("'"&amp;$H$3&amp;"'!K208")="Route-based",K274*INDIRECT("'"&amp;$H$3&amp;"'!K$96"),IF(INDIRECT("'"&amp;$H$3&amp;"'!K208")="Point-to-point",K277*INDIRECT("'"&amp;$H$3&amp;"'!K$96"),0)),0)</f>
        <v>0</v>
      </c>
      <c r="L267" s="822"/>
      <c r="M267" s="822"/>
      <c r="N267" s="822">
        <f ca="1">IFERROR(IF(INDIRECT("'"&amp;$H$3&amp;"'!N208")="Route-based",N274*INDIRECT("'"&amp;$H$3&amp;"'!N$96"),IF(INDIRECT("'"&amp;$H$3&amp;"'!N208")="Point-to-point",N277*INDIRECT("'"&amp;$H$3&amp;"'!N$96"),0)),0)</f>
        <v>0</v>
      </c>
      <c r="O267" s="822"/>
      <c r="P267" s="822"/>
      <c r="Q267" s="822">
        <f ca="1">IFERROR(IF(INDIRECT("'"&amp;$H$3&amp;"'!Q208")="Route-based",Q274*INDIRECT("'"&amp;$H$3&amp;"'!Q$96"),IF(INDIRECT("'"&amp;$H$3&amp;"'!Q208")="Point-to-point",Q277*INDIRECT("'"&amp;$H$3&amp;"'!Q$96"),0)),0)</f>
        <v>0</v>
      </c>
      <c r="R267" s="1667"/>
      <c r="S267" s="1667"/>
      <c r="T267" s="822">
        <f ca="1">IFERROR(IF(INDIRECT("'"&amp;$H$3&amp;"'!T208")="Route-based",T274*INDIRECT("'"&amp;$H$3&amp;"'!T$96"),IF(INDIRECT("'"&amp;$H$3&amp;"'!T208")="Point-to-point",T277*INDIRECT("'"&amp;$H$3&amp;"'!T$96"),0)),0)</f>
        <v>0</v>
      </c>
      <c r="U267" s="1667"/>
      <c r="V267" s="1667"/>
      <c r="W267" s="822">
        <f ca="1">IFERROR(IF(INDIRECT("'"&amp;$H$3&amp;"'!W208")="Route-based",W274*INDIRECT("'"&amp;$H$3&amp;"'!W$96"),IF(INDIRECT("'"&amp;$H$3&amp;"'!W208")="Point-to-point",W277*INDIRECT("'"&amp;$H$3&amp;"'!W$96"),0)),0)</f>
        <v>0</v>
      </c>
      <c r="X267" s="1475"/>
      <c r="Y267" s="36"/>
      <c r="Z267" s="36"/>
      <c r="AA267" s="36"/>
      <c r="AB267" s="36"/>
      <c r="AC267" s="36"/>
      <c r="AD267" s="36"/>
      <c r="AE267" s="36"/>
      <c r="AF267" s="36"/>
      <c r="AG267" s="36"/>
      <c r="AH267" s="36"/>
      <c r="AI267" s="36"/>
      <c r="AJ267" s="36"/>
      <c r="AK267" s="36"/>
      <c r="AL267" s="36"/>
      <c r="AM267" s="36"/>
      <c r="AN267" s="36"/>
    </row>
    <row r="268" spans="6:40" ht="15" customHeight="1" outlineLevel="1">
      <c r="F268" s="52"/>
      <c r="G268" s="52" t="s">
        <v>142</v>
      </c>
      <c r="H268" s="1668"/>
      <c r="I268" s="1668"/>
      <c r="J268" s="1668"/>
      <c r="K268" s="1668">
        <f ca="1">IFERROR(IF(COUNTIF(INDIRECT("'"&amp;$H$3&amp;"'!K200"),"Public Transport*")&gt;0,ROUND(INDIRECT("'"&amp;$H$3&amp;"'!K$95")*INDIRECT("'"&amp;$H$3&amp;"'!K199"),0),0),0)</f>
        <v>0</v>
      </c>
      <c r="L268" s="1668"/>
      <c r="M268" s="1668"/>
      <c r="N268" s="1668">
        <f ca="1">IFERROR(IF(COUNTIF(INDIRECT("'"&amp;$H$3&amp;"'!N200"),"Public Transport*")&gt;0,ROUND(INDIRECT("'"&amp;$H$3&amp;"'!N$95")*INDIRECT("'"&amp;$H$3&amp;"'!N199"),0),0),0)</f>
        <v>0</v>
      </c>
      <c r="O268" s="1668"/>
      <c r="P268" s="1668"/>
      <c r="Q268" s="1668">
        <f ca="1">IFERROR(IF(COUNTIF(INDIRECT("'"&amp;$H$3&amp;"'!Q200"),"Public Transport*")&gt;0,ROUND(INDIRECT("'"&amp;$H$3&amp;"'!Q$95")*INDIRECT("'"&amp;$H$3&amp;"'!Q199"),0),0),0)</f>
        <v>0</v>
      </c>
      <c r="R268" s="1667"/>
      <c r="S268" s="1667"/>
      <c r="T268" s="1668">
        <f ca="1">IFERROR(IF(COUNTIF(INDIRECT("'"&amp;$H$3&amp;"'!T200"),"Public Transport*")&gt;0,ROUND(INDIRECT("'"&amp;$H$3&amp;"'!T$95")*INDIRECT("'"&amp;$H$3&amp;"'!T199"),0),0),0)</f>
        <v>0</v>
      </c>
      <c r="U268" s="1667"/>
      <c r="V268" s="1667"/>
      <c r="W268" s="1668">
        <f ca="1">IFERROR(IF(COUNTIF(INDIRECT("'"&amp;$H$3&amp;"'!W200"),"Public Transport*")&gt;0,ROUND(INDIRECT("'"&amp;$H$3&amp;"'!W$95")*INDIRECT("'"&amp;$H$3&amp;"'!W199"),0),0),0)</f>
        <v>0</v>
      </c>
      <c r="X268" s="1476"/>
      <c r="Y268" s="36"/>
      <c r="Z268" s="36"/>
      <c r="AA268" s="36"/>
      <c r="AB268" s="36"/>
      <c r="AC268" s="36"/>
      <c r="AD268" s="36"/>
      <c r="AE268" s="36"/>
      <c r="AF268" s="36"/>
      <c r="AG268" s="36"/>
      <c r="AH268" s="36"/>
      <c r="AI268" s="36"/>
      <c r="AJ268" s="36"/>
      <c r="AK268" s="36"/>
      <c r="AL268" s="36"/>
      <c r="AM268" s="36"/>
      <c r="AN268" s="36"/>
    </row>
    <row r="269" spans="6:40" ht="15" customHeight="1" outlineLevel="1">
      <c r="F269" s="52"/>
      <c r="G269" s="1669" t="s">
        <v>150</v>
      </c>
      <c r="H269" s="829"/>
      <c r="I269" s="829"/>
      <c r="J269" s="829"/>
      <c r="K269" s="829"/>
      <c r="L269" s="829"/>
      <c r="M269" s="829"/>
      <c r="N269" s="829"/>
      <c r="O269" s="829"/>
      <c r="P269" s="829"/>
      <c r="Q269" s="829"/>
      <c r="R269" s="1667"/>
      <c r="S269" s="1667"/>
      <c r="T269" s="829"/>
      <c r="U269" s="1667"/>
      <c r="V269" s="1667"/>
      <c r="W269" s="829"/>
      <c r="X269" s="1477"/>
      <c r="Y269" s="36"/>
      <c r="Z269" s="36"/>
      <c r="AA269" s="36"/>
      <c r="AB269" s="36"/>
      <c r="AC269" s="36"/>
      <c r="AD269" s="36"/>
      <c r="AE269" s="36"/>
      <c r="AF269" s="36"/>
      <c r="AG269" s="36"/>
      <c r="AH269" s="36"/>
      <c r="AI269" s="36"/>
      <c r="AJ269" s="36"/>
      <c r="AK269" s="36"/>
      <c r="AL269" s="36"/>
      <c r="AM269" s="36"/>
      <c r="AN269" s="36"/>
    </row>
    <row r="270" spans="6:40" ht="15" customHeight="1" outlineLevel="1">
      <c r="F270" s="52"/>
      <c r="G270" s="52" t="s">
        <v>140</v>
      </c>
      <c r="H270" s="824"/>
      <c r="I270" s="824"/>
      <c r="J270" s="824"/>
      <c r="K270" s="824">
        <f ca="1">IFERROR(ROUND(INDIRECT("'"&amp;$H$3&amp;"'!$H$10")/(((1/60)*(INDIRECT("'"&amp;$H$3&amp;"'!K213")+INDIRECT("'"&amp;$H$3&amp;"'!$H$19")*(INDIRECT("'"&amp;$H$3&amp;"'!K214")+(INDIRECT("'"&amp;$H$3&amp;"'!K215")*('3_Outputs'!K$52/INDIRECT("'"&amp;$H$3&amp;"'!K$96")/INDIRECT("'"&amp;$H$3&amp;"'!$H$19"))))))+INDEX(INDIRECT("'"&amp;$H$3&amp;"'!$H$43:$H$78"),MATCH(INDIRECT("'"&amp;$H$3&amp;"'!K200")&amp;"Average duration (hrs) per trip",INDIRECT("'"&amp;$H$3&amp;"'!$F$43:$F$78"),0))),1),0)</f>
        <v>0</v>
      </c>
      <c r="L270" s="824"/>
      <c r="M270" s="824"/>
      <c r="N270" s="824">
        <f ca="1">IFERROR(ROUND(INDIRECT("'"&amp;$H$3&amp;"'!$H$10")/(((1/60)*(INDIRECT("'"&amp;$H$3&amp;"'!N213")+INDIRECT("'"&amp;$H$3&amp;"'!$H$19")*(INDIRECT("'"&amp;$H$3&amp;"'!N214")+(INDIRECT("'"&amp;$H$3&amp;"'!N215")*('3_Outputs'!N$52/INDIRECT("'"&amp;$H$3&amp;"'!N$96")/INDIRECT("'"&amp;$H$3&amp;"'!$H$19"))))))+INDEX(INDIRECT("'"&amp;$H$3&amp;"'!$H$43:$H$78"),MATCH(INDIRECT("'"&amp;$H$3&amp;"'!N200")&amp;"Average duration (hrs) per trip",INDIRECT("'"&amp;$H$3&amp;"'!$F$43:$F$78"),0))),1),0)</f>
        <v>0</v>
      </c>
      <c r="O270" s="824"/>
      <c r="P270" s="824"/>
      <c r="Q270" s="824">
        <f ca="1">IFERROR(ROUND(INDIRECT("'"&amp;$H$3&amp;"'!$H$10")/(((1/60)*(INDIRECT("'"&amp;$H$3&amp;"'!Q213")+INDIRECT("'"&amp;$H$3&amp;"'!$H$19")*(INDIRECT("'"&amp;$H$3&amp;"'!Q214")+(INDIRECT("'"&amp;$H$3&amp;"'!Q215")*('3_Outputs'!Q$52/INDIRECT("'"&amp;$H$3&amp;"'!Q$96")/INDIRECT("'"&amp;$H$3&amp;"'!$H$19"))))))+INDEX(INDIRECT("'"&amp;$H$3&amp;"'!$H$43:$H$78"),MATCH(INDIRECT("'"&amp;$H$3&amp;"'!Q200")&amp;"Average duration (hrs) per trip",INDIRECT("'"&amp;$H$3&amp;"'!$F$43:$F$78"),0))),1),0)</f>
        <v>0</v>
      </c>
      <c r="R270" s="1667"/>
      <c r="S270" s="1667"/>
      <c r="T270" s="824">
        <f ca="1">IFERROR(ROUND(INDIRECT("'"&amp;$H$3&amp;"'!$H$10")/(((1/60)*(INDIRECT("'"&amp;$H$3&amp;"'!T213")+INDIRECT("'"&amp;$H$3&amp;"'!$H$19")*(INDIRECT("'"&amp;$H$3&amp;"'!T214")+(INDIRECT("'"&amp;$H$3&amp;"'!T215")*('3_Outputs'!T$52/INDIRECT("'"&amp;$H$3&amp;"'!T$96")/INDIRECT("'"&amp;$H$3&amp;"'!$H$19"))))))+INDEX(INDIRECT("'"&amp;$H$3&amp;"'!$H$43:$H$78"),MATCH(INDIRECT("'"&amp;$H$3&amp;"'!T200")&amp;"Average duration (hrs) per trip",INDIRECT("'"&amp;$H$3&amp;"'!$F$43:$F$78"),0))),1),0)</f>
        <v>0</v>
      </c>
      <c r="U270" s="1667"/>
      <c r="V270" s="1667"/>
      <c r="W270" s="824">
        <f ca="1">IFERROR(ROUND(INDIRECT("'"&amp;$H$3&amp;"'!$H$10")/(((1/60)*(INDIRECT("'"&amp;$H$3&amp;"'!W213")+INDIRECT("'"&amp;$H$3&amp;"'!$H$19")*(INDIRECT("'"&amp;$H$3&amp;"'!W214")+(INDIRECT("'"&amp;$H$3&amp;"'!W215")*('3_Outputs'!W$52/INDIRECT("'"&amp;$H$3&amp;"'!W$96")/INDIRECT("'"&amp;$H$3&amp;"'!$H$19"))))))+INDEX(INDIRECT("'"&amp;$H$3&amp;"'!$H$43:$H$78"),MATCH(INDIRECT("'"&amp;$H$3&amp;"'!W200")&amp;"Average duration (hrs) per trip",INDIRECT("'"&amp;$H$3&amp;"'!$F$43:$F$78"),0))),1),0)</f>
        <v>0</v>
      </c>
      <c r="X270" s="1478"/>
      <c r="Y270" s="36"/>
      <c r="Z270" s="36"/>
      <c r="AA270" s="36"/>
      <c r="AB270" s="36"/>
      <c r="AC270" s="36"/>
      <c r="AD270" s="36"/>
      <c r="AE270" s="36"/>
      <c r="AF270" s="36"/>
      <c r="AG270" s="36"/>
      <c r="AH270" s="36"/>
      <c r="AI270" s="36"/>
      <c r="AJ270" s="36"/>
      <c r="AK270" s="36"/>
      <c r="AL270" s="36"/>
      <c r="AM270" s="36"/>
      <c r="AN270" s="36"/>
    </row>
    <row r="271" spans="6:40" ht="15" customHeight="1" outlineLevel="1">
      <c r="F271" s="52"/>
      <c r="G271" s="52" t="s">
        <v>141</v>
      </c>
      <c r="H271" s="824"/>
      <c r="I271" s="824"/>
      <c r="J271" s="824"/>
      <c r="K271" s="824">
        <f ca="1">IFERROR(ROUND(K270*INDIRECT("'"&amp;$H$3&amp;"'!K209"),0),0)</f>
        <v>0</v>
      </c>
      <c r="L271" s="824"/>
      <c r="M271" s="824"/>
      <c r="N271" s="824">
        <f ca="1">IFERROR(ROUND(N270*INDIRECT("'"&amp;$H$3&amp;"'!N209"),0),0)</f>
        <v>0</v>
      </c>
      <c r="O271" s="824"/>
      <c r="P271" s="824"/>
      <c r="Q271" s="824">
        <f ca="1">IFERROR(ROUND(Q270*INDIRECT("'"&amp;$H$3&amp;"'!Q209"),0),0)</f>
        <v>0</v>
      </c>
      <c r="R271" s="1667"/>
      <c r="S271" s="1667"/>
      <c r="T271" s="824">
        <f ca="1">IFERROR(ROUND(T270*INDIRECT("'"&amp;$H$3&amp;"'!T209"),0),0)</f>
        <v>0</v>
      </c>
      <c r="U271" s="1667"/>
      <c r="V271" s="1667"/>
      <c r="W271" s="824">
        <f ca="1">IFERROR(ROUND(W270*INDIRECT("'"&amp;$H$3&amp;"'!W209"),0),0)</f>
        <v>0</v>
      </c>
      <c r="X271" s="1478"/>
      <c r="Y271" s="36"/>
      <c r="Z271" s="36"/>
      <c r="AA271" s="36"/>
      <c r="AB271" s="36"/>
      <c r="AC271" s="36"/>
      <c r="AD271" s="36"/>
      <c r="AE271" s="36"/>
      <c r="AF271" s="36"/>
      <c r="AG271" s="36"/>
      <c r="AH271" s="36"/>
      <c r="AI271" s="36"/>
      <c r="AJ271" s="36"/>
      <c r="AK271" s="36"/>
      <c r="AL271" s="36"/>
      <c r="AM271" s="36"/>
      <c r="AN271" s="36"/>
    </row>
    <row r="272" spans="6:40" ht="15" customHeight="1" outlineLevel="1">
      <c r="F272" s="52"/>
      <c r="G272" s="52" t="s">
        <v>143</v>
      </c>
      <c r="H272" s="824"/>
      <c r="I272" s="824"/>
      <c r="J272" s="824"/>
      <c r="K272" s="824">
        <f ca="1">IFERROR(K268/K271,0)</f>
        <v>0</v>
      </c>
      <c r="L272" s="824"/>
      <c r="M272" s="824"/>
      <c r="N272" s="824">
        <f ca="1">IFERROR(N268/N271,0)</f>
        <v>0</v>
      </c>
      <c r="O272" s="824"/>
      <c r="P272" s="824"/>
      <c r="Q272" s="824">
        <f ca="1">IFERROR(Q268/Q271,0)</f>
        <v>0</v>
      </c>
      <c r="R272" s="1667"/>
      <c r="S272" s="1667"/>
      <c r="T272" s="824">
        <f ca="1">IFERROR(T268/T271,0)</f>
        <v>0</v>
      </c>
      <c r="U272" s="1667"/>
      <c r="V272" s="1667"/>
      <c r="W272" s="824">
        <f ca="1">IFERROR(W268/W271,0)</f>
        <v>0</v>
      </c>
      <c r="X272" s="1478"/>
      <c r="Y272" s="36"/>
      <c r="Z272" s="36"/>
      <c r="AA272" s="36"/>
      <c r="AB272" s="36"/>
      <c r="AC272" s="36"/>
      <c r="AD272" s="36"/>
      <c r="AE272" s="36"/>
      <c r="AF272" s="36"/>
      <c r="AG272" s="36"/>
      <c r="AH272" s="36"/>
      <c r="AI272" s="36"/>
      <c r="AJ272" s="36"/>
      <c r="AK272" s="36"/>
      <c r="AL272" s="36"/>
      <c r="AM272" s="36"/>
      <c r="AN272" s="36"/>
    </row>
    <row r="273" spans="6:40" ht="15" customHeight="1" outlineLevel="1">
      <c r="F273" s="52"/>
      <c r="G273" s="52" t="s">
        <v>144</v>
      </c>
      <c r="H273" s="824"/>
      <c r="I273" s="824"/>
      <c r="J273" s="824"/>
      <c r="K273" s="824">
        <f ca="1">IFERROR((K272*(K271+1)),0)</f>
        <v>0</v>
      </c>
      <c r="L273" s="824"/>
      <c r="M273" s="824"/>
      <c r="N273" s="824">
        <f ca="1">IFERROR((N272*(N271+1)),0)</f>
        <v>0</v>
      </c>
      <c r="O273" s="824"/>
      <c r="P273" s="824"/>
      <c r="Q273" s="824">
        <f ca="1">IFERROR((Q272*(Q271+1)),0)</f>
        <v>0</v>
      </c>
      <c r="R273" s="1667"/>
      <c r="S273" s="1667"/>
      <c r="T273" s="824">
        <f ca="1">IFERROR((T272*(T271+1)),0)</f>
        <v>0</v>
      </c>
      <c r="U273" s="1667"/>
      <c r="V273" s="1667"/>
      <c r="W273" s="824">
        <f ca="1">IFERROR((W272*(W271+1)),0)</f>
        <v>0</v>
      </c>
      <c r="X273" s="1478"/>
      <c r="Y273" s="36"/>
      <c r="Z273" s="36"/>
      <c r="AA273" s="36"/>
      <c r="AB273" s="36"/>
      <c r="AC273" s="36"/>
      <c r="AD273" s="36"/>
      <c r="AE273" s="36"/>
      <c r="AF273" s="36"/>
      <c r="AG273" s="36"/>
      <c r="AH273" s="36"/>
      <c r="AI273" s="36"/>
      <c r="AJ273" s="36"/>
      <c r="AK273" s="36"/>
      <c r="AL273" s="242"/>
      <c r="AM273" s="36"/>
      <c r="AN273" s="36"/>
    </row>
    <row r="274" spans="6:40" ht="15" customHeight="1" outlineLevel="1">
      <c r="F274" s="52"/>
      <c r="G274" s="52" t="s">
        <v>145</v>
      </c>
      <c r="H274" s="824"/>
      <c r="I274" s="824"/>
      <c r="J274" s="824"/>
      <c r="K274" s="824">
        <f ca="1">IFERROR(ROUNDUP(((K273*INDEX(INDIRECT("'"&amp;$H$3&amp;"'!$H$43:$H$78"),MATCH(INDIRECT("'"&amp;$H$3&amp;"'!K200")&amp;"Average duration (hrs) per trip",INDIRECT("'"&amp;$H$3&amp;"'!$F$43:$F$78"),0)))+(K268*((1/60)*(INDIRECT("'"&amp;$H$3&amp;"'!K213")+INDIRECT("'"&amp;$H$3&amp;"'!$H$19")*(INDIRECT("'"&amp;$H$3&amp;"'!K214")+(INDIRECT("'"&amp;$H$3&amp;"'!K215")*('3_Outputs'!K$52/INDIRECT("'"&amp;$H$3&amp;"'!K$96")/INDIRECT("'"&amp;$H$3&amp;"'!$H$19"))))))))/INDIRECT("'"&amp;$H$3&amp;"'!$H$10"),0),0)</f>
        <v>0</v>
      </c>
      <c r="L274" s="824"/>
      <c r="M274" s="824"/>
      <c r="N274" s="824">
        <f ca="1">IFERROR(ROUNDUP(((N273*INDEX(INDIRECT("'"&amp;$H$3&amp;"'!$H$43:$H$78"),MATCH(INDIRECT("'"&amp;$H$3&amp;"'!N200")&amp;"Average duration (hrs) per trip",INDIRECT("'"&amp;$H$3&amp;"'!$F$43:$F$78"),0)))+(N268*((1/60)*(INDIRECT("'"&amp;$H$3&amp;"'!N213")+INDIRECT("'"&amp;$H$3&amp;"'!$H$19")*(INDIRECT("'"&amp;$H$3&amp;"'!N214")+(INDIRECT("'"&amp;$H$3&amp;"'!N215")*('3_Outputs'!N$52/INDIRECT("'"&amp;$H$3&amp;"'!N$96")/INDIRECT("'"&amp;$H$3&amp;"'!$H$19"))))))))/INDIRECT("'"&amp;$H$3&amp;"'!$H$10"),0),0)</f>
        <v>0</v>
      </c>
      <c r="O274" s="824"/>
      <c r="P274" s="824"/>
      <c r="Q274" s="824">
        <f ca="1">IFERROR(ROUNDUP(((Q273*INDEX(INDIRECT("'"&amp;$H$3&amp;"'!$H$43:$H$78"),MATCH(INDIRECT("'"&amp;$H$3&amp;"'!Q200")&amp;"Average duration (hrs) per trip",INDIRECT("'"&amp;$H$3&amp;"'!$F$43:$F$78"),0)))+(Q268*((1/60)*(INDIRECT("'"&amp;$H$3&amp;"'!Q213")+INDIRECT("'"&amp;$H$3&amp;"'!$H$19")*(INDIRECT("'"&amp;$H$3&amp;"'!Q214")+(INDIRECT("'"&amp;$H$3&amp;"'!Q215")*('3_Outputs'!Q$52/INDIRECT("'"&amp;$H$3&amp;"'!Q$96")/INDIRECT("'"&amp;$H$3&amp;"'!$H$19"))))))))/INDIRECT("'"&amp;$H$3&amp;"'!$H$10"),0),0)</f>
        <v>0</v>
      </c>
      <c r="R274" s="1667"/>
      <c r="S274" s="1667"/>
      <c r="T274" s="824">
        <f ca="1">IFERROR(ROUNDUP(((T273*INDEX(INDIRECT("'"&amp;$H$3&amp;"'!$H$43:$H$78"),MATCH(INDIRECT("'"&amp;$H$3&amp;"'!T200")&amp;"Average duration (hrs) per trip",INDIRECT("'"&amp;$H$3&amp;"'!$F$43:$F$78"),0)))+(T268*((1/60)*(INDIRECT("'"&amp;$H$3&amp;"'!T213")+INDIRECT("'"&amp;$H$3&amp;"'!$H$19")*(INDIRECT("'"&amp;$H$3&amp;"'!T214")+(INDIRECT("'"&amp;$H$3&amp;"'!T215")*('3_Outputs'!T$52/INDIRECT("'"&amp;$H$3&amp;"'!T$96")/INDIRECT("'"&amp;$H$3&amp;"'!$H$19"))))))))/INDIRECT("'"&amp;$H$3&amp;"'!$H$10"),0),0)</f>
        <v>0</v>
      </c>
      <c r="U274" s="1667"/>
      <c r="V274" s="1667"/>
      <c r="W274" s="824">
        <f ca="1">IFERROR(ROUNDUP(((W273*INDEX(INDIRECT("'"&amp;$H$3&amp;"'!$H$43:$H$78"),MATCH(INDIRECT("'"&amp;$H$3&amp;"'!W200")&amp;"Average duration (hrs) per trip",INDIRECT("'"&amp;$H$3&amp;"'!$F$43:$F$78"),0)))+(W268*((1/60)*(INDIRECT("'"&amp;$H$3&amp;"'!W213")+INDIRECT("'"&amp;$H$3&amp;"'!$H$19")*(INDIRECT("'"&amp;$H$3&amp;"'!W214")+(INDIRECT("'"&amp;$H$3&amp;"'!W215")*('3_Outputs'!W$52/INDIRECT("'"&amp;$H$3&amp;"'!W$96")/INDIRECT("'"&amp;$H$3&amp;"'!$H$19"))))))))/INDIRECT("'"&amp;$H$3&amp;"'!$H$10"),0),0)</f>
        <v>0</v>
      </c>
      <c r="X274" s="1478"/>
      <c r="Y274" s="36"/>
      <c r="Z274" s="36"/>
      <c r="AA274" s="36"/>
      <c r="AB274" s="36"/>
      <c r="AC274" s="36"/>
      <c r="AD274" s="36"/>
      <c r="AE274" s="36"/>
      <c r="AF274" s="36"/>
      <c r="AG274" s="36"/>
      <c r="AH274" s="36"/>
      <c r="AI274" s="36"/>
      <c r="AJ274" s="36"/>
      <c r="AK274" s="36"/>
      <c r="AL274" s="242"/>
      <c r="AM274" s="36"/>
      <c r="AN274" s="36"/>
    </row>
    <row r="275" spans="6:40" ht="15" customHeight="1" outlineLevel="1">
      <c r="F275" s="52"/>
      <c r="G275" s="1669" t="s">
        <v>840</v>
      </c>
      <c r="H275" s="829"/>
      <c r="I275" s="829"/>
      <c r="J275" s="829"/>
      <c r="K275" s="829"/>
      <c r="L275" s="829"/>
      <c r="M275" s="829"/>
      <c r="N275" s="829"/>
      <c r="O275" s="829"/>
      <c r="P275" s="829"/>
      <c r="Q275" s="829"/>
      <c r="R275" s="1667"/>
      <c r="S275" s="1667"/>
      <c r="T275" s="829"/>
      <c r="U275" s="1667"/>
      <c r="V275" s="1667"/>
      <c r="W275" s="829"/>
      <c r="X275" s="1477"/>
      <c r="Y275" s="36"/>
      <c r="Z275" s="36"/>
      <c r="AA275" s="36"/>
      <c r="AB275" s="36"/>
      <c r="AC275" s="36"/>
      <c r="AD275" s="36"/>
      <c r="AE275" s="36"/>
      <c r="AF275" s="36"/>
      <c r="AG275" s="36"/>
      <c r="AH275" s="36"/>
      <c r="AI275" s="36"/>
      <c r="AJ275" s="36"/>
      <c r="AK275" s="36"/>
      <c r="AL275" s="242"/>
      <c r="AM275" s="36"/>
      <c r="AN275" s="36"/>
    </row>
    <row r="276" spans="6:40" ht="15" customHeight="1" outlineLevel="1">
      <c r="F276" s="52"/>
      <c r="G276" s="52" t="s">
        <v>144</v>
      </c>
      <c r="H276" s="824"/>
      <c r="I276" s="824"/>
      <c r="J276" s="824"/>
      <c r="K276" s="824">
        <f ca="1">K268*2</f>
        <v>0</v>
      </c>
      <c r="L276" s="824"/>
      <c r="M276" s="824"/>
      <c r="N276" s="824">
        <f ca="1">N268*2</f>
        <v>0</v>
      </c>
      <c r="O276" s="824"/>
      <c r="P276" s="824"/>
      <c r="Q276" s="824">
        <f ca="1">Q268*2</f>
        <v>0</v>
      </c>
      <c r="R276" s="1667"/>
      <c r="S276" s="1667"/>
      <c r="T276" s="824">
        <f ca="1">T268*2</f>
        <v>0</v>
      </c>
      <c r="U276" s="1667"/>
      <c r="V276" s="1667"/>
      <c r="W276" s="824">
        <f ca="1">W268*2</f>
        <v>0</v>
      </c>
      <c r="X276" s="1478"/>
      <c r="Y276" s="36"/>
      <c r="Z276" s="36"/>
      <c r="AA276" s="36"/>
      <c r="AB276" s="36"/>
      <c r="AC276" s="36"/>
      <c r="AD276" s="36"/>
      <c r="AE276" s="36"/>
      <c r="AF276" s="36"/>
      <c r="AG276" s="36"/>
      <c r="AH276" s="36"/>
      <c r="AI276" s="36"/>
      <c r="AJ276" s="36"/>
      <c r="AK276" s="36"/>
      <c r="AL276" s="36"/>
      <c r="AM276" s="36"/>
      <c r="AN276" s="36"/>
    </row>
    <row r="277" spans="6:40" ht="15" customHeight="1" outlineLevel="1">
      <c r="F277" s="52"/>
      <c r="G277" s="52" t="s">
        <v>145</v>
      </c>
      <c r="H277" s="822"/>
      <c r="I277" s="822"/>
      <c r="J277" s="822"/>
      <c r="K277" s="822">
        <f ca="1">IFERROR(MAX(K268,ROUNDUP(((K276*INDEX(INDIRECT("'"&amp;$H$3&amp;"'!$H$43:$H$78"),MATCH(INDIRECT("'"&amp;$H$3&amp;"'!K200")&amp;"Average duration (hrs) per trip",INDIRECT("'"&amp;$H$3&amp;"'!$F$43:$F$78"),0)))+(K268*((1/60)*(INDIRECT("'"&amp;$H$3&amp;"'!K213")+INDIRECT("'"&amp;$H$3&amp;"'!$H$19")*(INDIRECT("'"&amp;$H$3&amp;"'!K214")+(INDIRECT("'"&amp;$H$3&amp;"'!K215")*('3_Outputs'!K$52/INDIRECT("'"&amp;$H$3&amp;"'!K$96")/INDIRECT("'"&amp;$H$3&amp;"'!$H$19"))))))))/INDIRECT("'"&amp;$H$3&amp;"'!$H$10"),0)),0)</f>
        <v>0</v>
      </c>
      <c r="L277" s="822"/>
      <c r="M277" s="822"/>
      <c r="N277" s="822">
        <f ca="1">IFERROR(MAX(N268,ROUNDUP(((N276*INDEX(INDIRECT("'"&amp;$H$3&amp;"'!$H$43:$H$78"),MATCH(INDIRECT("'"&amp;$H$3&amp;"'!N200")&amp;"Average duration (hrs) per trip",INDIRECT("'"&amp;$H$3&amp;"'!$F$43:$F$78"),0)))+(N268*((1/60)*(INDIRECT("'"&amp;$H$3&amp;"'!N213")+INDIRECT("'"&amp;$H$3&amp;"'!$H$19")*(INDIRECT("'"&amp;$H$3&amp;"'!N214")+(INDIRECT("'"&amp;$H$3&amp;"'!N215")*('3_Outputs'!N$52/INDIRECT("'"&amp;$H$3&amp;"'!N$96")/INDIRECT("'"&amp;$H$3&amp;"'!$H$19"))))))))/INDIRECT("'"&amp;$H$3&amp;"'!$H$10"),0)),0)</f>
        <v>0</v>
      </c>
      <c r="O277" s="822"/>
      <c r="P277" s="822"/>
      <c r="Q277" s="822">
        <f ca="1">IFERROR(MAX(Q268,ROUNDUP(((Q276*INDEX(INDIRECT("'"&amp;$H$3&amp;"'!$H$43:$H$78"),MATCH(INDIRECT("'"&amp;$H$3&amp;"'!Q200")&amp;"Average duration (hrs) per trip",INDIRECT("'"&amp;$H$3&amp;"'!$F$43:$F$78"),0)))+(Q268*((1/60)*(INDIRECT("'"&amp;$H$3&amp;"'!Q213")+INDIRECT("'"&amp;$H$3&amp;"'!$H$19")*(INDIRECT("'"&amp;$H$3&amp;"'!Q214")+(INDIRECT("'"&amp;$H$3&amp;"'!Q215")*('3_Outputs'!Q$52/INDIRECT("'"&amp;$H$3&amp;"'!Q$96")/INDIRECT("'"&amp;$H$3&amp;"'!$H$19"))))))))/INDIRECT("'"&amp;$H$3&amp;"'!$H$10"),0)),0)</f>
        <v>0</v>
      </c>
      <c r="R277" s="1670"/>
      <c r="S277" s="1670"/>
      <c r="T277" s="822">
        <f ca="1">IFERROR(MAX(T268,ROUNDUP(((T276*INDEX(INDIRECT("'"&amp;$H$3&amp;"'!$H$43:$H$78"),MATCH(INDIRECT("'"&amp;$H$3&amp;"'!T200")&amp;"Average duration (hrs) per trip",INDIRECT("'"&amp;$H$3&amp;"'!$F$43:$F$78"),0)))+(T268*((1/60)*(INDIRECT("'"&amp;$H$3&amp;"'!T213")+INDIRECT("'"&amp;$H$3&amp;"'!$H$19")*(INDIRECT("'"&amp;$H$3&amp;"'!T214")+(INDIRECT("'"&amp;$H$3&amp;"'!T215")*('3_Outputs'!T$52/INDIRECT("'"&amp;$H$3&amp;"'!T$96")/INDIRECT("'"&amp;$H$3&amp;"'!$H$19"))))))))/INDIRECT("'"&amp;$H$3&amp;"'!$H$10"),0)),0)</f>
        <v>0</v>
      </c>
      <c r="U277" s="1670"/>
      <c r="V277" s="1670"/>
      <c r="W277" s="822">
        <f ca="1">IFERROR(MAX(W268,ROUNDUP(((W276*INDEX(INDIRECT("'"&amp;$H$3&amp;"'!$H$43:$H$78"),MATCH(INDIRECT("'"&amp;$H$3&amp;"'!W200")&amp;"Average duration (hrs) per trip",INDIRECT("'"&amp;$H$3&amp;"'!$F$43:$F$78"),0)))+(W268*((1/60)*(INDIRECT("'"&amp;$H$3&amp;"'!W213")+INDIRECT("'"&amp;$H$3&amp;"'!$H$19")*(INDIRECT("'"&amp;$H$3&amp;"'!W214")+(INDIRECT("'"&amp;$H$3&amp;"'!W215")*('3_Outputs'!W$52/INDIRECT("'"&amp;$H$3&amp;"'!W$96")/INDIRECT("'"&amp;$H$3&amp;"'!$H$19"))))))))/INDIRECT("'"&amp;$H$3&amp;"'!$H$10"),0)),0)</f>
        <v>0</v>
      </c>
      <c r="X277" s="1475"/>
      <c r="Y277" s="36"/>
      <c r="Z277" s="36"/>
      <c r="AA277" s="36"/>
      <c r="AB277" s="36"/>
      <c r="AC277" s="36"/>
      <c r="AD277" s="36"/>
      <c r="AE277" s="36"/>
      <c r="AF277" s="36"/>
      <c r="AG277" s="36"/>
      <c r="AH277" s="36"/>
      <c r="AI277" s="36"/>
      <c r="AJ277" s="36"/>
      <c r="AK277" s="36"/>
      <c r="AL277" s="36"/>
      <c r="AM277" s="36"/>
      <c r="AN277" s="36"/>
    </row>
    <row r="278" spans="6:40" ht="15" customHeight="1" outlineLevel="1">
      <c r="F278" s="1664" t="s">
        <v>148</v>
      </c>
      <c r="G278" s="1664"/>
      <c r="H278" s="1671"/>
      <c r="I278" s="1671"/>
      <c r="J278" s="1671"/>
      <c r="K278" s="1671"/>
      <c r="L278" s="1671"/>
      <c r="M278" s="1671"/>
      <c r="N278" s="1671"/>
      <c r="O278" s="1671"/>
      <c r="P278" s="1671"/>
      <c r="Q278" s="1671"/>
      <c r="R278" s="1672"/>
      <c r="S278" s="1672"/>
      <c r="T278" s="1671"/>
      <c r="U278" s="1672"/>
      <c r="V278" s="1672"/>
      <c r="W278" s="1671"/>
      <c r="X278" s="1479"/>
      <c r="Y278" s="36"/>
      <c r="Z278" s="36"/>
      <c r="AA278" s="36"/>
      <c r="AB278" s="36"/>
      <c r="AC278" s="36"/>
      <c r="AD278" s="36"/>
      <c r="AE278" s="36"/>
      <c r="AF278" s="36"/>
      <c r="AG278" s="36"/>
      <c r="AH278" s="36"/>
      <c r="AI278" s="36"/>
      <c r="AJ278" s="36"/>
      <c r="AK278" s="242"/>
      <c r="AL278" s="36"/>
      <c r="AM278" s="36"/>
      <c r="AN278" s="36"/>
    </row>
    <row r="279" spans="6:40" ht="15" customHeight="1" outlineLevel="1">
      <c r="F279" s="86"/>
      <c r="G279" s="51" t="s">
        <v>151</v>
      </c>
      <c r="H279" s="826"/>
      <c r="I279" s="826"/>
      <c r="J279" s="826"/>
      <c r="K279" s="836">
        <f ca="1">IFERROR(IF(COUNTIF(INDIRECT("'"&amp;$H$3&amp;"'!K200"),"Public Transport*")&lt;1,ROUND(INDIRECT("'"&amp;$H$3&amp;"'!K$95")*INDIRECT("'"&amp;$H$3&amp;"'!K199"),0),0),0)</f>
        <v>0</v>
      </c>
      <c r="L279" s="826"/>
      <c r="M279" s="826"/>
      <c r="N279" s="836">
        <f ca="1">IFERROR(IF(COUNTIF(INDIRECT("'"&amp;$H$3&amp;"'!N200"),"Public Transport*")&lt;1,ROUND(INDIRECT("'"&amp;$H$3&amp;"'!N$95")*INDIRECT("'"&amp;$H$3&amp;"'!N199"),0),0),0)</f>
        <v>345</v>
      </c>
      <c r="O279" s="826"/>
      <c r="P279" s="826"/>
      <c r="Q279" s="826">
        <f ca="1">IFERROR(IF(COUNTIF(INDIRECT("'"&amp;$H$3&amp;"'!Q200"),"Public Transport*")&lt;1,ROUND(INDIRECT("'"&amp;$H$3&amp;"'!Q$95")*INDIRECT("'"&amp;$H$3&amp;"'!Q199"),0),0),0)</f>
        <v>0</v>
      </c>
      <c r="R279" s="1672"/>
      <c r="S279" s="1672"/>
      <c r="T279" s="826">
        <f ca="1">IFERROR(IF(COUNTIF(INDIRECT("'"&amp;$H$3&amp;"'!T200"),"Public Transport*")&lt;1,ROUND(INDIRECT("'"&amp;$H$3&amp;"'!T$95")*INDIRECT("'"&amp;$H$3&amp;"'!T199"),0),0),0)</f>
        <v>0</v>
      </c>
      <c r="U279" s="1672"/>
      <c r="V279" s="1672"/>
      <c r="W279" s="826">
        <f ca="1">IFERROR(IF(COUNTIF(INDIRECT("'"&amp;$H$3&amp;"'!W200"),"Public Transport*")&lt;1,ROUND(INDIRECT("'"&amp;$H$3&amp;"'!W$95")*INDIRECT("'"&amp;$H$3&amp;"'!W199"),0),0),0)</f>
        <v>0</v>
      </c>
      <c r="X279" s="1480"/>
      <c r="Y279" s="36"/>
      <c r="Z279" s="36"/>
      <c r="AA279" s="36"/>
      <c r="AB279" s="36"/>
      <c r="AC279" s="36"/>
      <c r="AD279" s="36"/>
      <c r="AE279" s="36"/>
      <c r="AF279" s="36"/>
      <c r="AG279" s="36"/>
      <c r="AH279" s="36"/>
      <c r="AI279" s="36"/>
      <c r="AJ279" s="36"/>
      <c r="AK279" s="242"/>
      <c r="AL279" s="36"/>
      <c r="AM279" s="36"/>
      <c r="AN279" s="36"/>
    </row>
    <row r="280" spans="6:40" ht="15" customHeight="1" outlineLevel="1">
      <c r="F280" s="52"/>
      <c r="G280" s="51" t="s">
        <v>85</v>
      </c>
      <c r="H280" s="827"/>
      <c r="I280" s="827"/>
      <c r="J280" s="827"/>
      <c r="K280" s="837">
        <f ca="1">IFERROR(IF(INDIRECT("'"&amp;$H$3&amp;"'!K208")="Route-based",K285*K286,IF(INDIRECT("'"&amp;$H$3&amp;"'!K208")="Point-to-point",K290*K291,0)),0)</f>
        <v>0</v>
      </c>
      <c r="L280" s="827"/>
      <c r="M280" s="827"/>
      <c r="N280" s="837">
        <f ca="1">IFERROR(IF(INDIRECT("'"&amp;$H$3&amp;"'!N208")="Route-based",N285*N286,IF(INDIRECT("'"&amp;$H$3&amp;"'!N208")="Point-to-point",N290*N291,0)),0)</f>
        <v>558738.25766052329</v>
      </c>
      <c r="O280" s="827"/>
      <c r="P280" s="827"/>
      <c r="Q280" s="827">
        <f ca="1">IFERROR(IF(INDIRECT("'"&amp;$H$3&amp;"'!Q208")="Route-based",Q285*Q286,IF(INDIRECT("'"&amp;$H$3&amp;"'!Q208")="Point-to-point",Q290*Q291,0)),0)</f>
        <v>0</v>
      </c>
      <c r="R280" s="1670"/>
      <c r="S280" s="1670"/>
      <c r="T280" s="827">
        <f ca="1">IFERROR(IF(INDIRECT("'"&amp;$H$3&amp;"'!T208")="Route-based",T285*T286,IF(INDIRECT("'"&amp;$H$3&amp;"'!T208")="Point-to-point",T290*T291,0)),0)</f>
        <v>0</v>
      </c>
      <c r="U280" s="1670"/>
      <c r="V280" s="1670"/>
      <c r="W280" s="827">
        <f ca="1">IFERROR(IF(INDIRECT("'"&amp;$H$3&amp;"'!W208")="Route-based",W285*W286,IF(INDIRECT("'"&amp;$H$3&amp;"'!W208")="Point-to-point",W290*W291,0)),0)</f>
        <v>0</v>
      </c>
      <c r="X280" s="1481"/>
      <c r="Y280" s="36"/>
      <c r="Z280" s="36"/>
      <c r="AA280" s="36"/>
      <c r="AB280" s="36"/>
      <c r="AC280" s="36"/>
      <c r="AD280" s="36"/>
      <c r="AE280" s="36" t="s">
        <v>202</v>
      </c>
      <c r="AF280" s="36"/>
      <c r="AG280" s="36"/>
      <c r="AH280" s="36"/>
      <c r="AI280" s="36"/>
      <c r="AJ280" s="36"/>
      <c r="AK280" s="242"/>
      <c r="AL280" s="36"/>
      <c r="AM280" s="36"/>
      <c r="AN280" s="36"/>
    </row>
    <row r="281" spans="6:40" ht="15" customHeight="1" outlineLevel="1">
      <c r="F281" s="52"/>
      <c r="G281" s="51" t="s">
        <v>59</v>
      </c>
      <c r="H281" s="828"/>
      <c r="I281" s="828"/>
      <c r="J281" s="828"/>
      <c r="K281" s="837">
        <f ca="1">IFERROR(IF(INDIRECT("'"&amp;$H$3&amp;"'!K208")="Route-based",ROUND(K285*K287/INDIRECT("'"&amp;$H$3&amp;"'!$H$10"),0),IF(INDIRECT("'"&amp;$H$3&amp;"'!K208")="Point-to-point",ROUND(((K279*INDIRECT("'"&amp;$H$3&amp;"'!K$96")*((1/60)*(INDIRECT("'"&amp;$H$3&amp;"'!K213")+INDIRECT("'"&amp;$H$3&amp;"'!$H$19")*(INDIRECT("'"&amp;$H$3&amp;"'!K214")+(INDIRECT("'"&amp;$H$3&amp;"'!K215")*('3_Outputs'!K$52/INDIRECT("'"&amp;$H$3&amp;"'!K$96")/INDIRECT("'"&amp;$H$3&amp;"'!$H$19")))))))+(K280/INDIRECT("'"&amp;$H$3&amp;"'!K217")))/INDIRECT("'"&amp;$H$3&amp;"'!$H$10"),0),0)),0)</f>
        <v>0</v>
      </c>
      <c r="L281" s="828"/>
      <c r="M281" s="828"/>
      <c r="N281" s="837">
        <f ca="1">IFERROR(IF(INDIRECT("'"&amp;$H$3&amp;"'!N208")="Route-based",ROUND(N285*N287/INDIRECT("'"&amp;$H$3&amp;"'!$H$10"),0),IF(INDIRECT("'"&amp;$H$3&amp;"'!N208")="Point-to-point",ROUND(((N279*INDIRECT("'"&amp;$H$3&amp;"'!N$96")*((1/60)*(INDIRECT("'"&amp;$H$3&amp;"'!N213")+INDIRECT("'"&amp;$H$3&amp;"'!$H$19")*(INDIRECT("'"&amp;$H$3&amp;"'!N214")+(INDIRECT("'"&amp;$H$3&amp;"'!N215")*('3_Outputs'!N$52/INDIRECT("'"&amp;$H$3&amp;"'!N$96")/INDIRECT("'"&amp;$H$3&amp;"'!$H$19")))))))+(N280/INDIRECT("'"&amp;$H$3&amp;"'!N217")))/INDIRECT("'"&amp;$H$3&amp;"'!$H$10"),0),0)),0)</f>
        <v>2076</v>
      </c>
      <c r="O281" s="828"/>
      <c r="P281" s="828"/>
      <c r="Q281" s="828">
        <f ca="1">IFERROR(IF(INDIRECT("'"&amp;$H$3&amp;"'!Q208")="Route-based",ROUND(Q285*Q287/INDIRECT("'"&amp;$H$3&amp;"'!$H$10"),0),IF(INDIRECT("'"&amp;$H$3&amp;"'!Q208")="Point-to-point",ROUND(((Q279*INDIRECT("'"&amp;$H$3&amp;"'!Q$96")*((1/60)*(INDIRECT("'"&amp;$H$3&amp;"'!Q213")+INDIRECT("'"&amp;$H$3&amp;"'!$H$19")*(INDIRECT("'"&amp;$H$3&amp;"'!Q214")+(INDIRECT("'"&amp;$H$3&amp;"'!Q215")*('3_Outputs'!Q$52/INDIRECT("'"&amp;$H$3&amp;"'!Q$96")/INDIRECT("'"&amp;$H$3&amp;"'!$H$19")))))))+(Q280/INDIRECT("'"&amp;$H$3&amp;"'!Q217")))/INDIRECT("'"&amp;$H$3&amp;"'!$H$10"),0),0)),0)</f>
        <v>0</v>
      </c>
      <c r="R281" s="828"/>
      <c r="S281" s="828"/>
      <c r="T281" s="828">
        <f ca="1">IFERROR(IF(INDIRECT("'"&amp;$H$3&amp;"'!T208")="Route-based",ROUND(T285*T287/INDIRECT("'"&amp;$H$3&amp;"'!$H$10"),0),IF(INDIRECT("'"&amp;$H$3&amp;"'!T208")="Point-to-point",ROUND(((T279*INDIRECT("'"&amp;$H$3&amp;"'!T$96")*((1/60)*(INDIRECT("'"&amp;$H$3&amp;"'!T213")+INDIRECT("'"&amp;$H$3&amp;"'!$H$19")*(INDIRECT("'"&amp;$H$3&amp;"'!T214")+(INDIRECT("'"&amp;$H$3&amp;"'!T215")*('3_Outputs'!T$52/INDIRECT("'"&amp;$H$3&amp;"'!T$96")/INDIRECT("'"&amp;$H$3&amp;"'!$H$19")))))))+(T280/INDIRECT("'"&amp;$H$3&amp;"'!T217")))/INDIRECT("'"&amp;$H$3&amp;"'!$H$10"),0),0)),0)</f>
        <v>0</v>
      </c>
      <c r="U281" s="828"/>
      <c r="V281" s="828"/>
      <c r="W281" s="828">
        <f ca="1">IFERROR(IF(INDIRECT("'"&amp;$H$3&amp;"'!W208")="Route-based",ROUND(W285*W287/INDIRECT("'"&amp;$H$3&amp;"'!$H$10"),0),IF(INDIRECT("'"&amp;$H$3&amp;"'!W208")="Point-to-point",ROUND(((W279*INDIRECT("'"&amp;$H$3&amp;"'!W$96")*((1/60)*(INDIRECT("'"&amp;$H$3&amp;"'!W213")+INDIRECT("'"&amp;$H$3&amp;"'!$H$19")*(INDIRECT("'"&amp;$H$3&amp;"'!W214")+(INDIRECT("'"&amp;$H$3&amp;"'!W215")*('3_Outputs'!W$52/INDIRECT("'"&amp;$H$3&amp;"'!W$96")/INDIRECT("'"&amp;$H$3&amp;"'!$H$19")))))))+(W280/INDIRECT("'"&amp;$H$3&amp;"'!W217")))/INDIRECT("'"&amp;$H$3&amp;"'!$H$10"),0),0)),0)</f>
        <v>0</v>
      </c>
      <c r="X281" s="1482"/>
      <c r="Y281" s="36"/>
      <c r="Z281" s="36"/>
      <c r="AA281" s="36"/>
      <c r="AB281" s="36"/>
      <c r="AC281" s="36"/>
      <c r="AD281" s="36"/>
      <c r="AE281" s="36" t="s">
        <v>202</v>
      </c>
      <c r="AF281" s="36"/>
      <c r="AG281" s="36"/>
      <c r="AH281" s="36"/>
      <c r="AI281" s="36"/>
      <c r="AJ281" s="36"/>
      <c r="AK281" s="242"/>
      <c r="AL281" s="36"/>
      <c r="AM281" s="36"/>
      <c r="AN281" s="36"/>
    </row>
    <row r="282" spans="6:40" ht="15" customHeight="1" outlineLevel="1">
      <c r="F282" s="52"/>
      <c r="G282" s="51" t="s">
        <v>86</v>
      </c>
      <c r="H282" s="830"/>
      <c r="I282" s="830"/>
      <c r="J282" s="830"/>
      <c r="K282" s="839">
        <f ca="1">IFERROR(IF(INDIRECT("'"&amp;$H$3&amp;"'!K208")="Route-based",IF(INDIRECT("'"&amp;$H$3&amp;"'!K205")="Yes",K173, IF(INDIRECT("'"&amp;$H$3&amp;"'!K205")="No",K281/(INDIRECT("'"&amp;$H$3&amp;"'!$H$9")*INDIRECT("'"&amp;$H$3&amp;"'!K204")))),
IF(INDIRECT("'"&amp;$H$3&amp;"'!K208")="Point-to-point",IF(INDIRECT("'"&amp;$H$3&amp;"'!K205")="Yes",K173,IF(INDIRECT("'"&amp;$H$3&amp;"'!K205")="No",K281/(INDIRECT("'"&amp;$H$3&amp;"'!$H$9")*INDIRECT("'"&amp;$H$3&amp;"'!K204")))),0)),0)</f>
        <v>0</v>
      </c>
      <c r="L282" s="830"/>
      <c r="M282" s="830"/>
      <c r="N282" s="839">
        <f ca="1">IFERROR(IF(INDIRECT("'"&amp;$H$3&amp;"'!N208")="Route-based",IF(INDIRECT("'"&amp;$H$3&amp;"'!N205")="Yes",N173, IF(INDIRECT("'"&amp;$H$3&amp;"'!N205")="No",N281/(INDIRECT("'"&amp;$H$3&amp;"'!$H$9")*INDIRECT("'"&amp;$H$3&amp;"'!N204")))),
IF(INDIRECT("'"&amp;$H$3&amp;"'!N208")="Point-to-point",IF(INDIRECT("'"&amp;$H$3&amp;"'!N205")="Yes",N173,IF(INDIRECT("'"&amp;$H$3&amp;"'!N205")="No",N281/(INDIRECT("'"&amp;$H$3&amp;"'!$H$9")*INDIRECT("'"&amp;$H$3&amp;"'!N204")))),0)),0)</f>
        <v>0.86499999999999999</v>
      </c>
      <c r="O282" s="830"/>
      <c r="P282" s="830"/>
      <c r="Q282" s="830">
        <f ca="1">IFERROR(IF(INDIRECT("'"&amp;$H$3&amp;"'!Q208")="Route-based",IF(INDIRECT("'"&amp;$H$3&amp;"'!Q205")="Yes",Q173, IF(INDIRECT("'"&amp;$H$3&amp;"'!Q205")="No",Q281/(INDIRECT("'"&amp;$H$3&amp;"'!$H$9")*INDIRECT("'"&amp;$H$3&amp;"'!Q204")))),
IF(INDIRECT("'"&amp;$H$3&amp;"'!Q208")="Point-to-point",IF(INDIRECT("'"&amp;$H$3&amp;"'!Q205")="Yes",Q173,IF(INDIRECT("'"&amp;$H$3&amp;"'!Q205")="No",Q281/(INDIRECT("'"&amp;$H$3&amp;"'!$H$9")*INDIRECT("'"&amp;$H$3&amp;"'!Q204")))),0)),0)</f>
        <v>0</v>
      </c>
      <c r="R282" s="830"/>
      <c r="S282" s="830"/>
      <c r="T282" s="830">
        <f ca="1">IFERROR(IF(INDIRECT("'"&amp;$H$3&amp;"'!T208")="Route-based",IF(INDIRECT("'"&amp;$H$3&amp;"'!T205")="Yes",T173, IF(INDIRECT("'"&amp;$H$3&amp;"'!T205")="No",T281/(INDIRECT("'"&amp;$H$3&amp;"'!$H$9")*INDIRECT("'"&amp;$H$3&amp;"'!T204")))),
IF(INDIRECT("'"&amp;$H$3&amp;"'!T208")="Point-to-point",IF(INDIRECT("'"&amp;$H$3&amp;"'!T205")="Yes",T173,IF(INDIRECT("'"&amp;$H$3&amp;"'!T205")="No",T281/(INDIRECT("'"&amp;$H$3&amp;"'!$H$9")*INDIRECT("'"&amp;$H$3&amp;"'!T204")))),0)),0)</f>
        <v>0</v>
      </c>
      <c r="U282" s="830"/>
      <c r="V282" s="830"/>
      <c r="W282" s="830">
        <f ca="1">IFERROR(IF(INDIRECT("'"&amp;$H$3&amp;"'!W208")="Route-based",IF(INDIRECT("'"&amp;$H$3&amp;"'!W205")="Yes",W173, IF(INDIRECT("'"&amp;$H$3&amp;"'!W205")="No",W281/(INDIRECT("'"&amp;$H$3&amp;"'!$H$9")*INDIRECT("'"&amp;$H$3&amp;"'!W204")))),
IF(INDIRECT("'"&amp;$H$3&amp;"'!W208")="Point-to-point",IF(INDIRECT("'"&amp;$H$3&amp;"'!W205")="Yes",W173,IF(INDIRECT("'"&amp;$H$3&amp;"'!W205")="No",W281/(INDIRECT("'"&amp;$H$3&amp;"'!$H$9")*INDIRECT("'"&amp;$H$3&amp;"'!W204")))),0)),0)</f>
        <v>0</v>
      </c>
      <c r="X282" s="1477"/>
      <c r="Y282" s="36"/>
      <c r="Z282" s="36"/>
      <c r="AA282" s="36"/>
      <c r="AB282" s="36"/>
      <c r="AC282" s="36"/>
      <c r="AD282" s="36"/>
      <c r="AE282" s="36" t="s">
        <v>202</v>
      </c>
      <c r="AF282" s="36"/>
      <c r="AG282" s="36"/>
      <c r="AH282" s="36"/>
      <c r="AI282" s="36"/>
      <c r="AJ282" s="36"/>
      <c r="AK282" s="36" t="s">
        <v>191</v>
      </c>
      <c r="AL282" s="36"/>
      <c r="AM282" s="36"/>
      <c r="AN282" s="36"/>
    </row>
    <row r="283" spans="6:40" ht="15" customHeight="1" outlineLevel="1" collapsed="1">
      <c r="F283" s="52"/>
      <c r="G283" s="1669" t="s">
        <v>133</v>
      </c>
      <c r="H283" s="829"/>
      <c r="I283" s="829"/>
      <c r="J283" s="829"/>
      <c r="K283" s="842"/>
      <c r="L283" s="829"/>
      <c r="M283" s="829"/>
      <c r="N283" s="842"/>
      <c r="O283" s="829"/>
      <c r="P283" s="829"/>
      <c r="Q283" s="829"/>
      <c r="R283" s="1670"/>
      <c r="S283" s="1670"/>
      <c r="T283" s="829"/>
      <c r="U283" s="1670"/>
      <c r="V283" s="1670"/>
      <c r="W283" s="829"/>
      <c r="X283" s="1477"/>
      <c r="Y283" s="36"/>
      <c r="Z283" s="36"/>
      <c r="AA283" s="36"/>
      <c r="AB283" s="36"/>
      <c r="AC283" s="36"/>
      <c r="AD283" s="36"/>
      <c r="AE283" s="36"/>
      <c r="AF283" s="36"/>
      <c r="AG283" s="36"/>
      <c r="AH283" s="36"/>
      <c r="AI283" s="36"/>
      <c r="AJ283" s="36"/>
      <c r="AK283" s="36"/>
      <c r="AL283" s="36"/>
      <c r="AM283" s="36"/>
      <c r="AN283" s="36"/>
    </row>
    <row r="284" spans="6:40" ht="15" customHeight="1" outlineLevel="1">
      <c r="F284" s="52"/>
      <c r="G284" s="52" t="s">
        <v>129</v>
      </c>
      <c r="H284" s="826"/>
      <c r="I284" s="826"/>
      <c r="J284" s="826"/>
      <c r="K284" s="836">
        <f ca="1">IFERROR(((INDIRECT("'"&amp;$H$3&amp;"'!K209")*INDIRECT("'"&amp;$H$3&amp;"'!$H$10"))-(2*INDIRECT("'"&amp;$H$3&amp;"'!K$98")/INDIRECT("'"&amp;$H$3&amp;"'!K217"))+(INDIRECT("'"&amp;$H$3&amp;"'!K$99")/INDIRECT("'"&amp;$H$3&amp;"'!K216")))/(((1/60)*(INDIRECT("'"&amp;$H$3&amp;"'!K213")+INDIRECT("'"&amp;$H$3&amp;"'!$H$19")*(INDIRECT("'"&amp;$H$3&amp;"'!K214")+(INDIRECT("'"&amp;$H$3&amp;"'!K215")*('3_Outputs'!K$52/INDIRECT("'"&amp;$H$3&amp;"'!K$96")/INDIRECT("'"&amp;$H$3&amp;"'!$H$19"))))))+(INDIRECT("'"&amp;$H$3&amp;"'!K$99")/INDIRECT("'"&amp;$H$3&amp;"'!K216"))),0)</f>
        <v>0</v>
      </c>
      <c r="L284" s="826"/>
      <c r="M284" s="826"/>
      <c r="N284" s="836">
        <f ca="1">IFERROR(((INDIRECT("'"&amp;$H$3&amp;"'!N209")*INDIRECT("'"&amp;$H$3&amp;"'!$H$10"))-(2*INDIRECT("'"&amp;$H$3&amp;"'!N$98")/INDIRECT("'"&amp;$H$3&amp;"'!N217"))+(INDIRECT("'"&amp;$H$3&amp;"'!N$99")/INDIRECT("'"&amp;$H$3&amp;"'!N216")))/(((1/60)*(INDIRECT("'"&amp;$H$3&amp;"'!N213")+INDIRECT("'"&amp;$H$3&amp;"'!$H$19")*(INDIRECT("'"&amp;$H$3&amp;"'!N214")+(INDIRECT("'"&amp;$H$3&amp;"'!N215")*('3_Outputs'!N$52/INDIRECT("'"&amp;$H$3&amp;"'!N$96")/INDIRECT("'"&amp;$H$3&amp;"'!$H$19"))))))+(INDIRECT("'"&amp;$H$3&amp;"'!N$99")/INDIRECT("'"&amp;$H$3&amp;"'!N216"))),0)</f>
        <v>1.9962919104434231</v>
      </c>
      <c r="O284" s="826"/>
      <c r="P284" s="826"/>
      <c r="Q284" s="826">
        <f ca="1">IFERROR(((INDIRECT("'"&amp;$H$3&amp;"'!Q209")*INDIRECT("'"&amp;$H$3&amp;"'!$H$10"))-(2*INDIRECT("'"&amp;$H$3&amp;"'!Q$98")/INDIRECT("'"&amp;$H$3&amp;"'!Q217"))+(INDIRECT("'"&amp;$H$3&amp;"'!Q$99")/INDIRECT("'"&amp;$H$3&amp;"'!Q216")))/(((1/60)*(INDIRECT("'"&amp;$H$3&amp;"'!Q213")+INDIRECT("'"&amp;$H$3&amp;"'!$H$19")*(INDIRECT("'"&amp;$H$3&amp;"'!Q214")+(INDIRECT("'"&amp;$H$3&amp;"'!Q215")*('3_Outputs'!Q$52/INDIRECT("'"&amp;$H$3&amp;"'!Q$96")/INDIRECT("'"&amp;$H$3&amp;"'!$H$19"))))))+(INDIRECT("'"&amp;$H$3&amp;"'!Q$99")/INDIRECT("'"&amp;$H$3&amp;"'!Q216"))),0)</f>
        <v>0</v>
      </c>
      <c r="R284" s="826"/>
      <c r="S284" s="826"/>
      <c r="T284" s="826">
        <f ca="1">IFERROR(((INDIRECT("'"&amp;$H$3&amp;"'!T209")*INDIRECT("'"&amp;$H$3&amp;"'!$H$10"))-(2*INDIRECT("'"&amp;$H$3&amp;"'!T$98")/INDIRECT("'"&amp;$H$3&amp;"'!T217"))+(INDIRECT("'"&amp;$H$3&amp;"'!T$99")/INDIRECT("'"&amp;$H$3&amp;"'!T216")))/(((1/60)*(INDIRECT("'"&amp;$H$3&amp;"'!T213")+INDIRECT("'"&amp;$H$3&amp;"'!$H$19")*(INDIRECT("'"&amp;$H$3&amp;"'!T214")+(INDIRECT("'"&amp;$H$3&amp;"'!T215")*('3_Outputs'!T$52/INDIRECT("'"&amp;$H$3&amp;"'!T$96")/INDIRECT("'"&amp;$H$3&amp;"'!$H$19"))))))+(INDIRECT("'"&amp;$H$3&amp;"'!T$99")/INDIRECT("'"&amp;$H$3&amp;"'!T216"))),0)</f>
        <v>0</v>
      </c>
      <c r="U284" s="826"/>
      <c r="V284" s="826"/>
      <c r="W284" s="826">
        <f ca="1">IFERROR(((INDIRECT("'"&amp;$H$3&amp;"'!W209")*INDIRECT("'"&amp;$H$3&amp;"'!$H$10"))-(2*INDIRECT("'"&amp;$H$3&amp;"'!W$98")/INDIRECT("'"&amp;$H$3&amp;"'!W217"))+(INDIRECT("'"&amp;$H$3&amp;"'!W$99")/INDIRECT("'"&amp;$H$3&amp;"'!W216")))/(((1/60)*(INDIRECT("'"&amp;$H$3&amp;"'!W213")+INDIRECT("'"&amp;$H$3&amp;"'!$H$19")*(INDIRECT("'"&amp;$H$3&amp;"'!W214")+(INDIRECT("'"&amp;$H$3&amp;"'!W215")*('3_Outputs'!W$52/INDIRECT("'"&amp;$H$3&amp;"'!W$96")/INDIRECT("'"&amp;$H$3&amp;"'!$H$19"))))))+(INDIRECT("'"&amp;$H$3&amp;"'!W$99")/INDIRECT("'"&amp;$H$3&amp;"'!W216"))),0)</f>
        <v>0</v>
      </c>
      <c r="X284" s="1480"/>
      <c r="Y284" s="36"/>
      <c r="Z284" s="36"/>
      <c r="AA284" s="36"/>
      <c r="AB284" s="36"/>
      <c r="AC284" s="36"/>
      <c r="AD284" s="36"/>
      <c r="AE284" s="36"/>
      <c r="AF284" s="36"/>
      <c r="AG284" s="36"/>
      <c r="AH284" s="36"/>
      <c r="AI284" s="36"/>
      <c r="AJ284" s="36"/>
      <c r="AK284" s="36"/>
      <c r="AL284" s="36"/>
      <c r="AM284" s="36"/>
      <c r="AN284" s="36"/>
    </row>
    <row r="285" spans="6:40" ht="15" customHeight="1" outlineLevel="1">
      <c r="F285" s="52"/>
      <c r="G285" s="52" t="s">
        <v>206</v>
      </c>
      <c r="H285" s="826"/>
      <c r="I285" s="826"/>
      <c r="J285" s="826"/>
      <c r="K285" s="836">
        <f ca="1">IFERROR(ROUND(K279*INDIRECT("'"&amp;$H$3&amp;"'!K$96")/K284,0),0)</f>
        <v>0</v>
      </c>
      <c r="L285" s="826"/>
      <c r="M285" s="826"/>
      <c r="N285" s="836">
        <f ca="1">IFERROR(ROUND(N279*INDIRECT("'"&amp;$H$3&amp;"'!N$96")/N284,0),0)</f>
        <v>2074</v>
      </c>
      <c r="O285" s="826"/>
      <c r="P285" s="826"/>
      <c r="Q285" s="826">
        <f ca="1">IFERROR(ROUND(Q279*INDIRECT("'"&amp;$H$3&amp;"'!Q$96")/Q284,0),0)</f>
        <v>0</v>
      </c>
      <c r="R285" s="826"/>
      <c r="S285" s="826"/>
      <c r="T285" s="826">
        <f ca="1">IFERROR(ROUND(T279*INDIRECT("'"&amp;$H$3&amp;"'!T$96")/T284,0),0)</f>
        <v>0</v>
      </c>
      <c r="U285" s="826"/>
      <c r="V285" s="826"/>
      <c r="W285" s="826">
        <f ca="1">IFERROR(ROUND(W279*INDIRECT("'"&amp;$H$3&amp;"'!W$96")/W284,0),0)</f>
        <v>0</v>
      </c>
      <c r="X285" s="1480"/>
      <c r="Y285" s="36"/>
      <c r="Z285" s="36"/>
      <c r="AA285" s="36"/>
      <c r="AB285" s="36"/>
      <c r="AC285" s="36"/>
      <c r="AD285" s="36"/>
      <c r="AE285" s="36"/>
      <c r="AF285" s="36"/>
      <c r="AG285" s="36"/>
      <c r="AH285" s="36"/>
      <c r="AI285" s="36"/>
      <c r="AJ285" s="36"/>
      <c r="AK285" s="242"/>
      <c r="AL285" s="36"/>
      <c r="AM285" s="36"/>
      <c r="AN285" s="36"/>
    </row>
    <row r="286" spans="6:40" ht="15" customHeight="1" outlineLevel="1">
      <c r="F286" s="52"/>
      <c r="G286" s="52" t="s">
        <v>87</v>
      </c>
      <c r="H286" s="826"/>
      <c r="I286" s="826"/>
      <c r="J286" s="826"/>
      <c r="K286" s="836">
        <f ca="1">IFERROR(IF(K279=0,0,(2*INDIRECT("'"&amp;$H$3&amp;"'!K$98"))+((MAX(K284, 1)-1)*INDIRECT("'"&amp;$H$3&amp;"'!K$99"))),0)</f>
        <v>0</v>
      </c>
      <c r="L286" s="826"/>
      <c r="M286" s="826"/>
      <c r="N286" s="836">
        <f ca="1">IFERROR(IF(N279=0,0,(2*INDIRECT("'"&amp;$H$3&amp;"'!N$98"))+((MAX(N284, 1)-1)*INDIRECT("'"&amp;$H$3&amp;"'!N$99"))),0)</f>
        <v>269.40128141780292</v>
      </c>
      <c r="O286" s="826"/>
      <c r="P286" s="826"/>
      <c r="Q286" s="826">
        <f ca="1">IFERROR(IF(Q279=0,0,(2*INDIRECT("'"&amp;$H$3&amp;"'!Q$98"))+((MAX(Q284, 1)-1)*INDIRECT("'"&amp;$H$3&amp;"'!Q$99"))),0)</f>
        <v>0</v>
      </c>
      <c r="R286" s="826"/>
      <c r="S286" s="826"/>
      <c r="T286" s="826">
        <f ca="1">IFERROR(IF(T279=0,0,(2*INDIRECT("'"&amp;$H$3&amp;"'!T$98"))+((MAX(T284, 1)-1)*INDIRECT("'"&amp;$H$3&amp;"'!T$99"))),0)</f>
        <v>0</v>
      </c>
      <c r="U286" s="826"/>
      <c r="V286" s="826"/>
      <c r="W286" s="826">
        <f ca="1">IFERROR(IF(W279=0,0,(2*INDIRECT("'"&amp;$H$3&amp;"'!W$98"))+((MAX(W284, 1)-1)*INDIRECT("'"&amp;$H$3&amp;"'!W$99"))),0)</f>
        <v>0</v>
      </c>
      <c r="X286" s="1480"/>
      <c r="Y286" s="36"/>
      <c r="Z286" s="36"/>
      <c r="AA286" s="36"/>
      <c r="AB286" s="36"/>
      <c r="AC286" s="36"/>
      <c r="AD286" s="36"/>
      <c r="AE286" s="36"/>
      <c r="AF286" s="36"/>
      <c r="AG286" s="36"/>
      <c r="AH286" s="36"/>
      <c r="AI286" s="36"/>
      <c r="AJ286" s="36"/>
      <c r="AK286" s="242"/>
      <c r="AL286" s="36"/>
      <c r="AM286" s="36"/>
      <c r="AN286" s="36"/>
    </row>
    <row r="287" spans="6:40" ht="15" customHeight="1" outlineLevel="1">
      <c r="F287" s="52"/>
      <c r="G287" s="51" t="s">
        <v>203</v>
      </c>
      <c r="H287" s="826"/>
      <c r="I287" s="826"/>
      <c r="J287" s="826"/>
      <c r="K287" s="836">
        <f ca="1">IFERROR((ROUNDUP(K284,1)*((1/60)*(INDIRECT("'"&amp;$H$3&amp;"'!K213")+INDIRECT("'"&amp;$H$3&amp;"'!$H$19")*(INDIRECT("'"&amp;$H$3&amp;"'!K214")+(INDIRECT("'"&amp;$H$3&amp;"'!K215")*('3_Outputs'!K$52/INDIRECT("'"&amp;$H$3&amp;"'!K$96")/INDIRECT("'"&amp;$H$3&amp;"'!$H$19")))))))+((2*INDIRECT("'"&amp;$H$3&amp;"'!K$98"))/INDIRECT("'"&amp;$H$3&amp;"'!K217"))+(((MAX(K284,1)-1)*INDIRECT("'"&amp;$H$3&amp;"'!K$99"))/INDIRECT("'"&amp;$H$3&amp;"'!K216")),0)</f>
        <v>0</v>
      </c>
      <c r="L287" s="826"/>
      <c r="M287" s="826"/>
      <c r="N287" s="836">
        <f ca="1">IFERROR((ROUNDUP(N284,1)*((1/60)*(INDIRECT("'"&amp;$H$3&amp;"'!N213")+INDIRECT("'"&amp;$H$3&amp;"'!$H$19")*(INDIRECT("'"&amp;$H$3&amp;"'!N214")+(INDIRECT("'"&amp;$H$3&amp;"'!N215")*('3_Outputs'!N$52/INDIRECT("'"&amp;$H$3&amp;"'!N$96")/INDIRECT("'"&amp;$H$3&amp;"'!$H$19")))))))+((2*INDIRECT("'"&amp;$H$3&amp;"'!N$98"))/INDIRECT("'"&amp;$H$3&amp;"'!N217"))+(((MAX(N284,1)-1)*INDIRECT("'"&amp;$H$3&amp;"'!N$99"))/INDIRECT("'"&amp;$H$3&amp;"'!N216")),0)</f>
        <v>8.0092702238914431</v>
      </c>
      <c r="O287" s="826"/>
      <c r="P287" s="826"/>
      <c r="Q287" s="826">
        <f ca="1">IFERROR((ROUNDUP(Q284,1)*((1/60)*(INDIRECT("'"&amp;$H$3&amp;"'!Q213")+INDIRECT("'"&amp;$H$3&amp;"'!$H$19")*(INDIRECT("'"&amp;$H$3&amp;"'!Q214")+(INDIRECT("'"&amp;$H$3&amp;"'!Q215")*('3_Outputs'!Q$52/INDIRECT("'"&amp;$H$3&amp;"'!Q$96")/INDIRECT("'"&amp;$H$3&amp;"'!$H$19")))))))+((2*INDIRECT("'"&amp;$H$3&amp;"'!Q$98"))/INDIRECT("'"&amp;$H$3&amp;"'!Q217"))+(((MAX(Q284,1)-1)*INDIRECT("'"&amp;$H$3&amp;"'!Q$99"))/INDIRECT("'"&amp;$H$3&amp;"'!Q216")),0)</f>
        <v>0</v>
      </c>
      <c r="R287" s="826"/>
      <c r="S287" s="826"/>
      <c r="T287" s="826">
        <f ca="1">IFERROR((ROUNDUP(T284,1)*((1/60)*(INDIRECT("'"&amp;$H$3&amp;"'!T213")+INDIRECT("'"&amp;$H$3&amp;"'!$H$19")*(INDIRECT("'"&amp;$H$3&amp;"'!T214")+(INDIRECT("'"&amp;$H$3&amp;"'!T215")*('3_Outputs'!T$52/INDIRECT("'"&amp;$H$3&amp;"'!T$96")/INDIRECT("'"&amp;$H$3&amp;"'!$H$19")))))))+((2*INDIRECT("'"&amp;$H$3&amp;"'!T$98"))/INDIRECT("'"&amp;$H$3&amp;"'!T217"))+(((MAX(T284,1)-1)*INDIRECT("'"&amp;$H$3&amp;"'!T$99"))/INDIRECT("'"&amp;$H$3&amp;"'!T216")),0)</f>
        <v>0</v>
      </c>
      <c r="U287" s="826"/>
      <c r="V287" s="826"/>
      <c r="W287" s="826">
        <f ca="1">IFERROR((ROUNDUP(W284,1)*((1/60)*(INDIRECT("'"&amp;$H$3&amp;"'!W213")+INDIRECT("'"&amp;$H$3&amp;"'!$H$19")*(INDIRECT("'"&amp;$H$3&amp;"'!W214")+(INDIRECT("'"&amp;$H$3&amp;"'!W215")*('3_Outputs'!W$52/INDIRECT("'"&amp;$H$3&amp;"'!W$96")/INDIRECT("'"&amp;$H$3&amp;"'!$H$19")))))))+((2*INDIRECT("'"&amp;$H$3&amp;"'!W$98"))/INDIRECT("'"&amp;$H$3&amp;"'!W217"))+(((MAX(W284,1)-1)*INDIRECT("'"&amp;$H$3&amp;"'!W$99"))/INDIRECT("'"&amp;$H$3&amp;"'!W216")),0)</f>
        <v>0</v>
      </c>
      <c r="X287" s="1483"/>
      <c r="Y287" s="36"/>
      <c r="Z287" s="36"/>
      <c r="AA287" s="36"/>
      <c r="AB287" s="36"/>
      <c r="AC287" s="36"/>
      <c r="AD287" s="36"/>
      <c r="AE287" s="36" t="s">
        <v>205</v>
      </c>
      <c r="AF287" s="36"/>
      <c r="AG287" s="36"/>
      <c r="AH287" s="36"/>
      <c r="AI287" s="36"/>
      <c r="AJ287" s="36"/>
      <c r="AK287" s="242"/>
      <c r="AL287" s="36"/>
      <c r="AM287" s="36"/>
      <c r="AN287" s="36"/>
    </row>
    <row r="288" spans="6:40" ht="15" customHeight="1" outlineLevel="1">
      <c r="F288" s="52"/>
      <c r="G288" s="51" t="s">
        <v>204</v>
      </c>
      <c r="H288" s="826"/>
      <c r="I288" s="826"/>
      <c r="J288" s="826"/>
      <c r="K288" s="836">
        <f ca="1">IFERROR((INDIRECT("'"&amp;$H$3&amp;"'!$H$10")*INDIRECT("'"&amp;$H$3&amp;"'!$H$9")*INDIRECT("'"&amp;$H$3&amp;"'!K204"))/K287,0)</f>
        <v>0</v>
      </c>
      <c r="L288" s="826"/>
      <c r="M288" s="826"/>
      <c r="N288" s="836">
        <f ca="1">IFERROR((INDIRECT("'"&amp;$H$3&amp;"'!$H$10")*INDIRECT("'"&amp;$H$3&amp;"'!$H$9")*INDIRECT("'"&amp;$H$3&amp;"'!N204"))/N287,0)</f>
        <v>2397.222151741978</v>
      </c>
      <c r="O288" s="826"/>
      <c r="P288" s="826"/>
      <c r="Q288" s="826">
        <f ca="1">IFERROR((INDIRECT("'"&amp;$H$3&amp;"'!$H$10")*INDIRECT("'"&amp;$H$3&amp;"'!$H$9")*INDIRECT("'"&amp;$H$3&amp;"'!Q204"))/Q287,0)</f>
        <v>0</v>
      </c>
      <c r="R288" s="826"/>
      <c r="S288" s="826"/>
      <c r="T288" s="826">
        <f ca="1">IFERROR((INDIRECT("'"&amp;$H$3&amp;"'!$H$10")*INDIRECT("'"&amp;$H$3&amp;"'!$H$9")*INDIRECT("'"&amp;$H$3&amp;"'!T204"))/T287,0)</f>
        <v>0</v>
      </c>
      <c r="U288" s="826"/>
      <c r="V288" s="826"/>
      <c r="W288" s="826">
        <f ca="1">IFERROR((INDIRECT("'"&amp;$H$3&amp;"'!$H$10")*INDIRECT("'"&amp;$H$3&amp;"'!$H$9")*INDIRECT("'"&amp;$H$3&amp;"'!W204"))/W287,0)</f>
        <v>0</v>
      </c>
      <c r="X288" s="1483"/>
      <c r="Y288" s="36"/>
      <c r="Z288" s="36"/>
      <c r="AA288" s="36"/>
      <c r="AB288" s="36"/>
      <c r="AC288" s="36"/>
      <c r="AD288" s="36"/>
      <c r="AE288" s="36"/>
      <c r="AF288" s="36"/>
      <c r="AG288" s="36"/>
      <c r="AH288" s="36"/>
      <c r="AI288" s="36"/>
      <c r="AJ288" s="36"/>
      <c r="AK288" s="242"/>
      <c r="AL288" s="36"/>
      <c r="AM288" s="36"/>
      <c r="AN288" s="36"/>
    </row>
    <row r="289" spans="6:40" ht="15" customHeight="1" outlineLevel="1">
      <c r="F289" s="52"/>
      <c r="G289" s="1669" t="s">
        <v>134</v>
      </c>
      <c r="H289" s="829"/>
      <c r="I289" s="829"/>
      <c r="J289" s="829"/>
      <c r="K289" s="842"/>
      <c r="L289" s="829"/>
      <c r="M289" s="829"/>
      <c r="N289" s="842"/>
      <c r="O289" s="829"/>
      <c r="P289" s="829"/>
      <c r="Q289" s="829"/>
      <c r="R289" s="1670"/>
      <c r="S289" s="1670"/>
      <c r="T289" s="829"/>
      <c r="U289" s="1670"/>
      <c r="V289" s="1670"/>
      <c r="W289" s="829"/>
      <c r="X289" s="1477"/>
      <c r="Y289" s="36"/>
      <c r="Z289" s="36"/>
      <c r="AA289" s="36"/>
      <c r="AB289" s="36"/>
      <c r="AC289" s="36"/>
      <c r="AD289" s="36"/>
      <c r="AE289" s="36"/>
      <c r="AF289" s="36"/>
      <c r="AG289" s="36"/>
      <c r="AH289" s="36"/>
      <c r="AI289" s="36"/>
      <c r="AJ289" s="36"/>
      <c r="AK289" s="242"/>
      <c r="AL289" s="36"/>
      <c r="AM289" s="36"/>
      <c r="AN289" s="36"/>
    </row>
    <row r="290" spans="6:40" ht="15" customHeight="1" outlineLevel="1">
      <c r="F290" s="52"/>
      <c r="G290" s="52" t="s">
        <v>206</v>
      </c>
      <c r="H290" s="826"/>
      <c r="I290" s="826"/>
      <c r="J290" s="826"/>
      <c r="K290" s="836">
        <f ca="1">IFERROR(K279*INDIRECT("'"&amp;$H$3&amp;"'!K$96"),0)</f>
        <v>0</v>
      </c>
      <c r="L290" s="826"/>
      <c r="M290" s="826"/>
      <c r="N290" s="836">
        <f ca="1">IFERROR(N279*INDIRECT("'"&amp;$H$3&amp;"'!N$96"),0)</f>
        <v>4140</v>
      </c>
      <c r="O290" s="826"/>
      <c r="P290" s="826"/>
      <c r="Q290" s="826">
        <f ca="1">IFERROR(Q279*INDIRECT("'"&amp;$H$3&amp;"'!Q$96"),0)</f>
        <v>0</v>
      </c>
      <c r="R290" s="1670"/>
      <c r="S290" s="1670"/>
      <c r="T290" s="826">
        <f ca="1">IFERROR(T279*INDIRECT("'"&amp;$H$3&amp;"'!T$96"),0)</f>
        <v>0</v>
      </c>
      <c r="U290" s="1670"/>
      <c r="V290" s="1670"/>
      <c r="W290" s="826">
        <f ca="1">IFERROR(W279*INDIRECT("'"&amp;$H$3&amp;"'!W$96"),0)</f>
        <v>0</v>
      </c>
      <c r="X290" s="1480"/>
      <c r="Y290" s="36"/>
      <c r="Z290" s="36"/>
      <c r="AA290" s="36"/>
      <c r="AB290" s="36" t="s">
        <v>192</v>
      </c>
      <c r="AC290" s="36"/>
      <c r="AD290" s="36" t="s">
        <v>193</v>
      </c>
      <c r="AE290" s="36"/>
      <c r="AF290" s="36"/>
      <c r="AG290" s="36"/>
      <c r="AH290" s="36"/>
      <c r="AI290" s="36"/>
      <c r="AJ290" s="36"/>
      <c r="AK290" s="36"/>
      <c r="AL290" s="36"/>
      <c r="AM290" s="36"/>
      <c r="AN290" s="36"/>
    </row>
    <row r="291" spans="6:40" ht="15" customHeight="1" outlineLevel="1">
      <c r="F291" s="52"/>
      <c r="G291" s="52" t="s">
        <v>87</v>
      </c>
      <c r="H291" s="826"/>
      <c r="I291" s="826"/>
      <c r="J291" s="826"/>
      <c r="K291" s="836">
        <f ca="1">IFERROR(IF(K279=0,0,2*INDIRECT("'"&amp;$H$3&amp;"'!K$98")),0)</f>
        <v>0</v>
      </c>
      <c r="L291" s="826"/>
      <c r="M291" s="826"/>
      <c r="N291" s="836">
        <f ca="1">IFERROR(IF(N279=0,0,2*INDIRECT("'"&amp;$H$3&amp;"'!N$98")),0)</f>
        <v>248.38412077024208</v>
      </c>
      <c r="O291" s="826"/>
      <c r="P291" s="826"/>
      <c r="Q291" s="826">
        <f ca="1">IFERROR(IF(Q279=0,0,2*INDIRECT("'"&amp;$H$3&amp;"'!Q$98")),0)</f>
        <v>0</v>
      </c>
      <c r="R291" s="826"/>
      <c r="S291" s="826"/>
      <c r="T291" s="826">
        <f ca="1">IFERROR(IF(T279=0,0,2*INDIRECT("'"&amp;$H$3&amp;"'!T$98")),0)</f>
        <v>0</v>
      </c>
      <c r="U291" s="826"/>
      <c r="V291" s="826"/>
      <c r="W291" s="826">
        <f ca="1">IFERROR(IF(W279=0,0,2*INDIRECT("'"&amp;$H$3&amp;"'!W$98")),0)</f>
        <v>0</v>
      </c>
      <c r="X291" s="1480"/>
      <c r="Y291" s="36"/>
      <c r="Z291" s="36"/>
      <c r="AA291" s="36"/>
      <c r="AB291" s="36" t="s">
        <v>194</v>
      </c>
      <c r="AC291" s="36"/>
      <c r="AD291" s="36" t="s">
        <v>195</v>
      </c>
      <c r="AE291" s="36"/>
      <c r="AF291" s="36"/>
      <c r="AG291" s="36"/>
      <c r="AH291" s="36"/>
      <c r="AI291" s="36"/>
      <c r="AJ291" s="36"/>
      <c r="AK291" s="36"/>
      <c r="AL291" s="36"/>
      <c r="AM291" s="36"/>
      <c r="AN291" s="36"/>
    </row>
    <row r="292" spans="6:40" ht="15" customHeight="1" outlineLevel="1">
      <c r="F292" s="52"/>
      <c r="G292" s="51" t="s">
        <v>204</v>
      </c>
      <c r="H292" s="828"/>
      <c r="I292" s="828"/>
      <c r="J292" s="828"/>
      <c r="K292" s="837">
        <f ca="1">IFERROR((INDIRECT("'"&amp;$H$3&amp;"'!$H$10")*INDIRECT("'"&amp;$H$3&amp;"'!$H$9")*INDIRECT("'"&amp;$H$3&amp;"'!K204"))/((K291/INDIRECT("'"&amp;$H$3&amp;"'!K217"))+((1/60)*(INDIRECT("'"&amp;$H$3&amp;"'!K213")+INDIRECT("'"&amp;$H$3&amp;"'!$H$19")*(INDIRECT("'"&amp;$H$3&amp;"'!K214")+(INDIRECT("'"&amp;$H$3&amp;"'!K215")*('3_Outputs'!K$52/INDIRECT("'"&amp;$H$3&amp;"'!K$96")/INDIRECT("'"&amp;$H$3&amp;"'!$H$19"))))))),0)</f>
        <v>0</v>
      </c>
      <c r="L292" s="828"/>
      <c r="M292" s="828"/>
      <c r="N292" s="837">
        <f ca="1">IFERROR((INDIRECT("'"&amp;$H$3&amp;"'!$H$10")*INDIRECT("'"&amp;$H$3&amp;"'!$H$9")*INDIRECT("'"&amp;$H$3&amp;"'!N204"))/((N291/INDIRECT("'"&amp;$H$3&amp;"'!N217"))+((1/60)*(INDIRECT("'"&amp;$H$3&amp;"'!N213")+INDIRECT("'"&amp;$H$3&amp;"'!$H$19")*(INDIRECT("'"&amp;$H$3&amp;"'!N214")+(INDIRECT("'"&amp;$H$3&amp;"'!N215")*('3_Outputs'!N$52/INDIRECT("'"&amp;$H$3&amp;"'!N$96")/INDIRECT("'"&amp;$H$3&amp;"'!$H$19"))))))),0)</f>
        <v>3852.4501884865049</v>
      </c>
      <c r="O292" s="828"/>
      <c r="P292" s="828"/>
      <c r="Q292" s="828">
        <f ca="1">IFERROR((INDIRECT("'"&amp;$H$3&amp;"'!$H$10")*INDIRECT("'"&amp;$H$3&amp;"'!$H$9")*INDIRECT("'"&amp;$H$3&amp;"'!Q204"))/((Q291/INDIRECT("'"&amp;$H$3&amp;"'!Q217"))+((1/60)*(INDIRECT("'"&amp;$H$3&amp;"'!Q213")+INDIRECT("'"&amp;$H$3&amp;"'!$H$19")*(INDIRECT("'"&amp;$H$3&amp;"'!Q214")+(INDIRECT("'"&amp;$H$3&amp;"'!Q215")*('3_Outputs'!Q$52/INDIRECT("'"&amp;$H$3&amp;"'!Q$96")/INDIRECT("'"&amp;$H$3&amp;"'!$H$19"))))))),0)</f>
        <v>0</v>
      </c>
      <c r="R292" s="1670"/>
      <c r="S292" s="1670"/>
      <c r="T292" s="828">
        <f ca="1">IFERROR((INDIRECT("'"&amp;$H$3&amp;"'!$H$10")*INDIRECT("'"&amp;$H$3&amp;"'!$H$9")*INDIRECT("'"&amp;$H$3&amp;"'!T204"))/((T291/INDIRECT("'"&amp;$H$3&amp;"'!T217"))+((1/60)*(INDIRECT("'"&amp;$H$3&amp;"'!T213")+INDIRECT("'"&amp;$H$3&amp;"'!$H$19")*(INDIRECT("'"&amp;$H$3&amp;"'!T214")+(INDIRECT("'"&amp;$H$3&amp;"'!T215")*('3_Outputs'!T$52/INDIRECT("'"&amp;$H$3&amp;"'!T$96")/INDIRECT("'"&amp;$H$3&amp;"'!$H$19"))))))),0)</f>
        <v>0</v>
      </c>
      <c r="U292" s="1670"/>
      <c r="V292" s="1670"/>
      <c r="W292" s="828">
        <f ca="1">IFERROR((INDIRECT("'"&amp;$H$3&amp;"'!$H$10")*INDIRECT("'"&amp;$H$3&amp;"'!$H$9")*INDIRECT("'"&amp;$H$3&amp;"'!W204"))/((W291/INDIRECT("'"&amp;$H$3&amp;"'!W217"))+((1/60)*(INDIRECT("'"&amp;$H$3&amp;"'!W213")+INDIRECT("'"&amp;$H$3&amp;"'!$H$19")*(INDIRECT("'"&amp;$H$3&amp;"'!W214")+(INDIRECT("'"&amp;$H$3&amp;"'!W215")*('3_Outputs'!W$52/INDIRECT("'"&amp;$H$3&amp;"'!W$96")/INDIRECT("'"&amp;$H$3&amp;"'!$H$19"))))))),0)</f>
        <v>0</v>
      </c>
      <c r="X292" s="1482"/>
      <c r="Y292" s="36"/>
      <c r="Z292" s="36"/>
      <c r="AA292" s="36"/>
      <c r="AB292" s="36" t="s">
        <v>196</v>
      </c>
      <c r="AC292" s="36"/>
      <c r="AD292" s="36" t="s">
        <v>197</v>
      </c>
      <c r="AE292" s="36"/>
      <c r="AF292" s="36"/>
      <c r="AG292" s="36"/>
      <c r="AH292" s="36"/>
      <c r="AI292" s="36"/>
      <c r="AJ292" s="36"/>
      <c r="AK292" s="36"/>
      <c r="AL292" s="36"/>
      <c r="AM292" s="36"/>
      <c r="AN292" s="36"/>
    </row>
    <row r="293" spans="6:40" ht="48" customHeight="1">
      <c r="F293" s="1661" t="s">
        <v>2504</v>
      </c>
      <c r="G293" s="1662"/>
      <c r="H293" s="1673"/>
      <c r="I293" s="1673"/>
      <c r="J293" s="1673"/>
      <c r="K293" s="1516" t="str">
        <f ca="1">IF($H$9&gt;=2,INDIRECT("'"&amp;$H$3&amp;"'!J$130"),"")</f>
        <v>CMS  to  Regional WH</v>
      </c>
      <c r="L293" s="1516" t="str">
        <f t="shared" ref="L293:V293" ca="1" si="19">IF($H$9&gt;=1,"Tier 1","")</f>
        <v>Tier 1</v>
      </c>
      <c r="M293" s="1516" t="str">
        <f t="shared" ca="1" si="19"/>
        <v>Tier 1</v>
      </c>
      <c r="N293" s="1516" t="str">
        <f ca="1">IF($H$9&gt;=3,INDIRECT("'"&amp;$H$3&amp;"'!M$130"),"")</f>
        <v>Regional WH  to  Health Facility</v>
      </c>
      <c r="O293" s="1516" t="str">
        <f t="shared" ca="1" si="19"/>
        <v>Tier 1</v>
      </c>
      <c r="P293" s="1516" t="str">
        <f t="shared" ca="1" si="19"/>
        <v>Tier 1</v>
      </c>
      <c r="Q293" s="1517" t="str">
        <f ca="1">IF($H$9&gt;=4,INDIRECT("'"&amp;$H$3&amp;"'!P$130"),"")</f>
        <v/>
      </c>
      <c r="R293" s="1511" t="str">
        <f t="shared" ca="1" si="19"/>
        <v>Tier 1</v>
      </c>
      <c r="S293" s="1511" t="str">
        <f t="shared" ca="1" si="19"/>
        <v>Tier 1</v>
      </c>
      <c r="T293" s="1517" t="str">
        <f ca="1">IF($H$9&gt;=5,INDIRECT("'"&amp;$H$3&amp;"'!S$130"),"")</f>
        <v/>
      </c>
      <c r="U293" s="1518" t="str">
        <f t="shared" ca="1" si="19"/>
        <v>Tier 1</v>
      </c>
      <c r="V293" s="1518" t="str">
        <f t="shared" ca="1" si="19"/>
        <v>Tier 1</v>
      </c>
      <c r="W293" s="1517" t="str">
        <f ca="1">IF($H$9&gt;=6,INDIRECT("'"&amp;$H$3&amp;"'!V$130"),"")</f>
        <v/>
      </c>
      <c r="X293" s="1474"/>
      <c r="Y293" s="36"/>
      <c r="Z293" s="36"/>
      <c r="AA293" s="36"/>
      <c r="AB293" s="36" t="s">
        <v>230</v>
      </c>
      <c r="AC293" s="36"/>
      <c r="AD293" s="36" t="s">
        <v>229</v>
      </c>
      <c r="AE293" s="36"/>
      <c r="AF293" s="36"/>
      <c r="AG293" s="36"/>
      <c r="AH293" s="36"/>
      <c r="AI293" s="36"/>
      <c r="AJ293" s="36"/>
      <c r="AK293" s="36"/>
      <c r="AL293" s="36"/>
      <c r="AM293" s="36"/>
      <c r="AN293" s="36"/>
    </row>
    <row r="294" spans="6:40" ht="15" customHeight="1" outlineLevel="1">
      <c r="F294" s="1664" t="s">
        <v>149</v>
      </c>
      <c r="G294" s="1664"/>
      <c r="H294" s="865"/>
      <c r="I294" s="865"/>
      <c r="J294" s="865"/>
      <c r="K294" s="865"/>
      <c r="L294" s="865"/>
      <c r="M294" s="865"/>
      <c r="N294" s="865"/>
      <c r="O294" s="1674"/>
      <c r="P294" s="1674"/>
      <c r="Q294" s="1671"/>
      <c r="R294" s="1672"/>
      <c r="S294" s="1672"/>
      <c r="T294" s="1671"/>
      <c r="U294" s="1672"/>
      <c r="V294" s="1672"/>
      <c r="W294" s="1671"/>
      <c r="X294" s="1479"/>
      <c r="Y294" s="36"/>
      <c r="Z294" s="36"/>
      <c r="AA294" s="36"/>
      <c r="AB294" s="36"/>
      <c r="AC294" s="36"/>
      <c r="AD294" s="36"/>
      <c r="AE294" s="36"/>
      <c r="AF294" s="36"/>
      <c r="AG294" s="36"/>
      <c r="AH294" s="36"/>
      <c r="AI294" s="36"/>
      <c r="AJ294" s="36"/>
      <c r="AK294" s="242"/>
      <c r="AL294" s="36"/>
      <c r="AM294" s="36"/>
      <c r="AN294" s="36"/>
    </row>
    <row r="295" spans="6:40" ht="15" customHeight="1" outlineLevel="1">
      <c r="F295" s="52"/>
      <c r="G295" s="51" t="s">
        <v>146</v>
      </c>
      <c r="H295" s="837"/>
      <c r="I295" s="837"/>
      <c r="J295" s="837"/>
      <c r="K295" s="837">
        <f ca="1">IFERROR(IF(COUNTIF(INDIRECT("'"&amp;$H$3&amp;"'!K220"),"Public Transport*")=1,IF(INDIRECT("'"&amp;$H$3&amp;"'!K228")="Route-based",K302*INDIRECT("'"&amp;$H$3&amp;"'!K$96"),IF(INDIRECT("'"&amp;$H$3&amp;"'!K228")="Point-to-point",K305*INDIRECT("'"&amp;$H$3&amp;"'!K$96"),0)),0),0)</f>
        <v>0</v>
      </c>
      <c r="L295" s="837"/>
      <c r="M295" s="837"/>
      <c r="N295" s="837">
        <f ca="1">IFERROR(IF(COUNTIF(INDIRECT("'"&amp;$H$3&amp;"'!N220"),"Public Transport*")=1,IF(INDIRECT("'"&amp;$H$3&amp;"'!N228")="Route-based",N302*INDIRECT("'"&amp;$H$3&amp;"'!N$96"),IF(INDIRECT("'"&amp;$H$3&amp;"'!N228")="Point-to-point",N305*INDIRECT("'"&amp;$H$3&amp;"'!N$96"),0)),0),0)</f>
        <v>0</v>
      </c>
      <c r="O295" s="837"/>
      <c r="P295" s="837"/>
      <c r="Q295" s="837">
        <f ca="1">IFERROR(IF(COUNTIF(INDIRECT("'"&amp;$H$3&amp;"'!Q220"),"Public Transport*")=1,IF(INDIRECT("'"&amp;$H$3&amp;"'!Q228")="Route-based",Q302*INDIRECT("'"&amp;$H$3&amp;"'!Q$96"),IF(INDIRECT("'"&amp;$H$3&amp;"'!Q228")="Point-to-point",Q305*INDIRECT("'"&amp;$H$3&amp;"'!Q$96"),0)),0),0)</f>
        <v>0</v>
      </c>
      <c r="R295" s="1650"/>
      <c r="S295" s="1650"/>
      <c r="T295" s="837">
        <f ca="1">IFERROR(IF(COUNTIF(INDIRECT("'"&amp;$H$3&amp;"'!T220"),"Public Transport*")=1,IF(INDIRECT("'"&amp;$H$3&amp;"'!T228")="Route-based",T302*INDIRECT("'"&amp;$H$3&amp;"'!T$96"),IF(INDIRECT("'"&amp;$H$3&amp;"'!T228")="Point-to-point",T305*INDIRECT("'"&amp;$H$3&amp;"'!T$96"),0)),0),0)</f>
        <v>0</v>
      </c>
      <c r="U295" s="1650"/>
      <c r="V295" s="1650"/>
      <c r="W295" s="837">
        <f ca="1">IFERROR(IF(COUNTIF(INDIRECT("'"&amp;$H$3&amp;"'!W220"),"Public Transport*")=1,IF(INDIRECT("'"&amp;$H$3&amp;"'!W228")="Route-based",W302*INDIRECT("'"&amp;$H$3&amp;"'!W$96"),IF(INDIRECT("'"&amp;$H$3&amp;"'!W228")="Point-to-point",W305*INDIRECT("'"&amp;$H$3&amp;"'!W$96"),0)),0),0)</f>
        <v>0</v>
      </c>
      <c r="X295" s="1468"/>
      <c r="Y295" s="36"/>
      <c r="Z295" s="36"/>
      <c r="AA295" s="36"/>
      <c r="AB295" s="36"/>
      <c r="AC295" s="36"/>
      <c r="AD295" s="36"/>
      <c r="AE295" s="36"/>
      <c r="AF295" s="36"/>
      <c r="AG295" s="36"/>
      <c r="AH295" s="36"/>
      <c r="AI295" s="36"/>
      <c r="AJ295" s="36"/>
      <c r="AK295" s="242"/>
      <c r="AL295" s="36"/>
      <c r="AM295" s="36"/>
      <c r="AN295" s="36"/>
    </row>
    <row r="296" spans="6:40" ht="15" customHeight="1" outlineLevel="1">
      <c r="F296" s="52"/>
      <c r="G296" s="51" t="s">
        <v>147</v>
      </c>
      <c r="H296" s="837"/>
      <c r="I296" s="837"/>
      <c r="J296" s="837"/>
      <c r="K296" s="837">
        <f ca="1">IFERROR(IF(INDIRECT("'"&amp;$H$3&amp;"'!K228")="Route-based",K303*INDIRECT("'"&amp;$H$3&amp;"'!K$96"),IF(INDIRECT("'"&amp;$H$3&amp;"'!K228")="Point-to-point",K306*INDIRECT("'"&amp;$H$3&amp;"'!K$96"),0)),0)</f>
        <v>0</v>
      </c>
      <c r="L296" s="837"/>
      <c r="M296" s="837"/>
      <c r="N296" s="837">
        <f ca="1">IFERROR(IF(INDIRECT("'"&amp;$H$3&amp;"'!N228")="Route-based",N303*INDIRECT("'"&amp;$H$3&amp;"'!N$96"),IF(INDIRECT("'"&amp;$H$3&amp;"'!N228")="Point-to-point",N306*INDIRECT("'"&amp;$H$3&amp;"'!N$96"),0)),0)</f>
        <v>0</v>
      </c>
      <c r="O296" s="837"/>
      <c r="P296" s="837"/>
      <c r="Q296" s="837">
        <f ca="1">IFERROR(IF(INDIRECT("'"&amp;$H$3&amp;"'!Q228")="Route-based",Q303*INDIRECT("'"&amp;$H$3&amp;"'!Q$96"),IF(INDIRECT("'"&amp;$H$3&amp;"'!Q228")="Point-to-point",Q306*INDIRECT("'"&amp;$H$3&amp;"'!Q$96"),0)),0)</f>
        <v>0</v>
      </c>
      <c r="R296" s="1650"/>
      <c r="S296" s="1650"/>
      <c r="T296" s="837">
        <f ca="1">IFERROR(IF(INDIRECT("'"&amp;$H$3&amp;"'!T228")="Route-based",T303*INDIRECT("'"&amp;$H$3&amp;"'!T$96"),IF(INDIRECT("'"&amp;$H$3&amp;"'!T228")="Point-to-point",T306*INDIRECT("'"&amp;$H$3&amp;"'!T$96"),0)),0)</f>
        <v>0</v>
      </c>
      <c r="U296" s="1650"/>
      <c r="V296" s="1650"/>
      <c r="W296" s="837">
        <f ca="1">IFERROR(IF(INDIRECT("'"&amp;$H$3&amp;"'!W228")="Route-based",W303*INDIRECT("'"&amp;$H$3&amp;"'!W$96"),IF(INDIRECT("'"&amp;$H$3&amp;"'!W228")="Point-to-point",W306*INDIRECT("'"&amp;$H$3&amp;"'!W$96"),0)),0)</f>
        <v>0</v>
      </c>
      <c r="X296" s="1468"/>
      <c r="Y296" s="36"/>
      <c r="Z296" s="36"/>
      <c r="AA296" s="36"/>
      <c r="AB296" s="36"/>
      <c r="AC296" s="36"/>
      <c r="AD296" s="36"/>
      <c r="AE296" s="36"/>
      <c r="AF296" s="36"/>
      <c r="AG296" s="36"/>
      <c r="AH296" s="36"/>
      <c r="AI296" s="36"/>
      <c r="AJ296" s="36"/>
      <c r="AK296" s="242"/>
      <c r="AL296" s="36"/>
      <c r="AM296" s="36"/>
      <c r="AN296" s="36"/>
    </row>
    <row r="297" spans="6:40" ht="15" customHeight="1" outlineLevel="1">
      <c r="F297" s="52"/>
      <c r="G297" s="51" t="s">
        <v>142</v>
      </c>
      <c r="H297" s="1651"/>
      <c r="I297" s="1651"/>
      <c r="J297" s="1651"/>
      <c r="K297" s="1651">
        <f ca="1">IFERROR(IF(COUNTIF(INDIRECT("'"&amp;$H$3&amp;"'!K220"),"Public Transport*")&gt;0,ROUND(INDIRECT("'"&amp;$H$3&amp;"'!K$95")*INDIRECT("'"&amp;$H$3&amp;"'!K219"),0),0),0)</f>
        <v>0</v>
      </c>
      <c r="L297" s="1651"/>
      <c r="M297" s="1651"/>
      <c r="N297" s="1651">
        <f ca="1">IFERROR(IF(COUNTIF(INDIRECT("'"&amp;$H$3&amp;"'!N220"),"Public Transport*")&gt;0,ROUND(INDIRECT("'"&amp;$H$3&amp;"'!N$95")*INDIRECT("'"&amp;$H$3&amp;"'!N219"),0),0),0)</f>
        <v>0</v>
      </c>
      <c r="O297" s="1651"/>
      <c r="P297" s="1651"/>
      <c r="Q297" s="1651">
        <f ca="1">IFERROR(IF(COUNTIF(INDIRECT("'"&amp;$H$3&amp;"'!Q220"),"Public Transport*")&gt;0,ROUND(INDIRECT("'"&amp;$H$3&amp;"'!Q$95")*INDIRECT("'"&amp;$H$3&amp;"'!Q219"),0),0),0)</f>
        <v>0</v>
      </c>
      <c r="R297" s="1650"/>
      <c r="S297" s="1650"/>
      <c r="T297" s="1651">
        <f ca="1">IFERROR(IF(COUNTIF(INDIRECT("'"&amp;$H$3&amp;"'!T220"),"Public Transport*")&gt;0,ROUND(INDIRECT("'"&amp;$H$3&amp;"'!T$95")*INDIRECT("'"&amp;$H$3&amp;"'!T219"),0),0),0)</f>
        <v>0</v>
      </c>
      <c r="U297" s="1650"/>
      <c r="V297" s="1650"/>
      <c r="W297" s="1651">
        <f ca="1">IFERROR(IF(COUNTIF(INDIRECT("'"&amp;$H$3&amp;"'!W220"),"Public Transport*")&gt;0,ROUND(INDIRECT("'"&amp;$H$3&amp;"'!W$95")*INDIRECT("'"&amp;$H$3&amp;"'!W219"),0),0),0)</f>
        <v>0</v>
      </c>
      <c r="X297" s="1466"/>
      <c r="Y297" s="36"/>
      <c r="Z297" s="36"/>
      <c r="AA297" s="36"/>
      <c r="AB297" s="36"/>
      <c r="AC297" s="36"/>
      <c r="AD297" s="36"/>
      <c r="AE297" s="36"/>
      <c r="AF297" s="36"/>
      <c r="AG297" s="36"/>
      <c r="AH297" s="36"/>
      <c r="AI297" s="36"/>
      <c r="AJ297" s="36"/>
      <c r="AK297" s="36"/>
      <c r="AL297" s="36"/>
      <c r="AM297" s="36"/>
      <c r="AN297" s="36"/>
    </row>
    <row r="298" spans="6:40" ht="15" customHeight="1" outlineLevel="1">
      <c r="F298" s="52"/>
      <c r="G298" s="1613" t="s">
        <v>150</v>
      </c>
      <c r="H298" s="842"/>
      <c r="I298" s="842"/>
      <c r="J298" s="842"/>
      <c r="K298" s="842"/>
      <c r="L298" s="842"/>
      <c r="M298" s="842"/>
      <c r="N298" s="842"/>
      <c r="O298" s="842"/>
      <c r="P298" s="842"/>
      <c r="Q298" s="842"/>
      <c r="R298" s="1650"/>
      <c r="S298" s="1650"/>
      <c r="T298" s="842"/>
      <c r="U298" s="1650"/>
      <c r="V298" s="1650"/>
      <c r="W298" s="842"/>
      <c r="X298" s="1470"/>
      <c r="Y298" s="36"/>
      <c r="Z298" s="36"/>
      <c r="AA298" s="36"/>
      <c r="AB298" s="36"/>
      <c r="AC298" s="36"/>
      <c r="AD298" s="36"/>
      <c r="AE298" s="36"/>
      <c r="AF298" s="36"/>
      <c r="AG298" s="36"/>
      <c r="AH298" s="36"/>
      <c r="AI298" s="36"/>
      <c r="AJ298" s="36"/>
      <c r="AK298" s="36"/>
      <c r="AL298" s="36"/>
      <c r="AM298" s="36"/>
      <c r="AN298" s="36"/>
    </row>
    <row r="299" spans="6:40" ht="15" customHeight="1" outlineLevel="1">
      <c r="F299" s="52"/>
      <c r="G299" s="51" t="s">
        <v>140</v>
      </c>
      <c r="H299" s="836"/>
      <c r="I299" s="836"/>
      <c r="J299" s="836"/>
      <c r="K299" s="836">
        <f ca="1">IFERROR(ROUND(INDIRECT("'"&amp;$H$3&amp;"'!$H$10")/(((1/60)*(INDIRECT("'"&amp;$H$3&amp;"'!K233")+INDIRECT("'"&amp;$H$3&amp;"'!$H$19")*(INDIRECT("'"&amp;$H$3&amp;"'!K234")+(INDIRECT("'"&amp;$H$3&amp;"'!K235")*('3_Outputs'!K$52/INDIRECT("'"&amp;$H$3&amp;"'!K$96")/INDIRECT("'"&amp;$H$3&amp;"'!$H$19"))))))+INDEX(INDIRECT("'"&amp;$H$3&amp;"'!$H$43:$H$78"),MATCH(INDIRECT("'"&amp;$H$3&amp;"'!K220")&amp;"Average duration (hrs) per trip",INDIRECT("'"&amp;$H$3&amp;"'!$F$43:$F$78"),0))),1),0)</f>
        <v>0</v>
      </c>
      <c r="L299" s="836"/>
      <c r="M299" s="836"/>
      <c r="N299" s="836">
        <f ca="1">IFERROR(ROUND(INDIRECT("'"&amp;$H$3&amp;"'!$H$10")/(((1/60)*(INDIRECT("'"&amp;$H$3&amp;"'!N233")+INDIRECT("'"&amp;$H$3&amp;"'!$H$19")*(INDIRECT("'"&amp;$H$3&amp;"'!N234")+(INDIRECT("'"&amp;$H$3&amp;"'!N235")*('3_Outputs'!N$52/INDIRECT("'"&amp;$H$3&amp;"'!N$96")/INDIRECT("'"&amp;$H$3&amp;"'!$H$19"))))))+INDEX(INDIRECT("'"&amp;$H$3&amp;"'!$H$43:$H$78"),MATCH(INDIRECT("'"&amp;$H$3&amp;"'!N220")&amp;"Average duration (hrs) per trip",INDIRECT("'"&amp;$H$3&amp;"'!$F$43:$F$78"),0))),1),0)</f>
        <v>0</v>
      </c>
      <c r="O299" s="836"/>
      <c r="P299" s="836"/>
      <c r="Q299" s="836">
        <f ca="1">IFERROR(ROUND(INDIRECT("'"&amp;$H$3&amp;"'!$H$10")/(((1/60)*(INDIRECT("'"&amp;$H$3&amp;"'!Q233")+INDIRECT("'"&amp;$H$3&amp;"'!$H$19")*(INDIRECT("'"&amp;$H$3&amp;"'!Q234")+(INDIRECT("'"&amp;$H$3&amp;"'!Q235")*('3_Outputs'!Q$52/INDIRECT("'"&amp;$H$3&amp;"'!Q$96")/INDIRECT("'"&amp;$H$3&amp;"'!$H$19"))))))+INDEX(INDIRECT("'"&amp;$H$3&amp;"'!$H$43:$H$78"),MATCH(INDIRECT("'"&amp;$H$3&amp;"'!Q220")&amp;"Average duration (hrs) per trip",INDIRECT("'"&amp;$H$3&amp;"'!$F$43:$F$78"),0))),1),0)</f>
        <v>0</v>
      </c>
      <c r="R299" s="836"/>
      <c r="S299" s="836"/>
      <c r="T299" s="836">
        <f ca="1">IFERROR(ROUND(INDIRECT("'"&amp;$H$3&amp;"'!$H$10")/(((1/60)*(INDIRECT("'"&amp;$H$3&amp;"'!T233")+INDIRECT("'"&amp;$H$3&amp;"'!$H$19")*(INDIRECT("'"&amp;$H$3&amp;"'!T234")+(INDIRECT("'"&amp;$H$3&amp;"'!T235")*('3_Outputs'!T$52/INDIRECT("'"&amp;$H$3&amp;"'!T$96")/INDIRECT("'"&amp;$H$3&amp;"'!$H$19"))))))+INDEX(INDIRECT("'"&amp;$H$3&amp;"'!$H$43:$H$78"),MATCH(INDIRECT("'"&amp;$H$3&amp;"'!T220")&amp;"Average duration (hrs) per trip",INDIRECT("'"&amp;$H$3&amp;"'!$F$43:$F$78"),0))),1),0)</f>
        <v>0</v>
      </c>
      <c r="U299" s="836"/>
      <c r="V299" s="836"/>
      <c r="W299" s="836">
        <f ca="1">IFERROR(ROUND(INDIRECT("'"&amp;$H$3&amp;"'!$H$10")/(((1/60)*(INDIRECT("'"&amp;$H$3&amp;"'!W233")+INDIRECT("'"&amp;$H$3&amp;"'!$H$19")*(INDIRECT("'"&amp;$H$3&amp;"'!W234")+(INDIRECT("'"&amp;$H$3&amp;"'!W235")*('3_Outputs'!W$52/INDIRECT("'"&amp;$H$3&amp;"'!W$96")/INDIRECT("'"&amp;$H$3&amp;"'!$H$19"))))))+INDEX(INDIRECT("'"&amp;$H$3&amp;"'!$H$43:$H$78"),MATCH(INDIRECT("'"&amp;$H$3&amp;"'!W220")&amp;"Average duration (hrs) per trip",INDIRECT("'"&amp;$H$3&amp;"'!$F$43:$F$78"),0))),1),0)</f>
        <v>0</v>
      </c>
      <c r="X299" s="1469"/>
      <c r="Y299" s="36"/>
      <c r="Z299" s="36"/>
      <c r="AA299" s="36"/>
      <c r="AB299" s="36"/>
      <c r="AC299" s="36"/>
      <c r="AD299" s="36"/>
      <c r="AE299" s="36"/>
      <c r="AF299" s="36"/>
      <c r="AG299" s="36"/>
      <c r="AH299" s="36"/>
      <c r="AI299" s="36"/>
      <c r="AJ299" s="36"/>
      <c r="AK299" s="36"/>
      <c r="AL299" s="36"/>
      <c r="AM299" s="36"/>
      <c r="AN299" s="36"/>
    </row>
    <row r="300" spans="6:40" ht="15" customHeight="1" outlineLevel="1">
      <c r="F300" s="52"/>
      <c r="G300" s="51" t="s">
        <v>141</v>
      </c>
      <c r="H300" s="836"/>
      <c r="I300" s="836"/>
      <c r="J300" s="836"/>
      <c r="K300" s="836">
        <f ca="1">IFERROR(ROUND(K299*INDIRECT("'"&amp;$H$3&amp;"'!K229"),0),0)</f>
        <v>0</v>
      </c>
      <c r="L300" s="836"/>
      <c r="M300" s="836"/>
      <c r="N300" s="836">
        <f ca="1">IFERROR(ROUND(N299*INDIRECT("'"&amp;$H$3&amp;"'!N229"),0),0)</f>
        <v>0</v>
      </c>
      <c r="O300" s="836"/>
      <c r="P300" s="836"/>
      <c r="Q300" s="836">
        <f ca="1">IFERROR(ROUND(Q299*INDIRECT("'"&amp;$H$3&amp;"'!Q229"),0),0)</f>
        <v>0</v>
      </c>
      <c r="R300" s="836"/>
      <c r="S300" s="836"/>
      <c r="T300" s="836">
        <f ca="1">IFERROR(ROUND(T299*INDIRECT("'"&amp;$H$3&amp;"'!T229"),0),0)</f>
        <v>0</v>
      </c>
      <c r="U300" s="836"/>
      <c r="V300" s="836"/>
      <c r="W300" s="836">
        <f ca="1">IFERROR(ROUND(W299*INDIRECT("'"&amp;$H$3&amp;"'!W229"),0),0)</f>
        <v>0</v>
      </c>
      <c r="X300" s="1469"/>
      <c r="Y300" s="36"/>
      <c r="Z300" s="36"/>
      <c r="AA300" s="36"/>
      <c r="AB300" s="36"/>
      <c r="AC300" s="36"/>
      <c r="AD300" s="36"/>
      <c r="AE300" s="36"/>
      <c r="AF300" s="36"/>
      <c r="AG300" s="36"/>
      <c r="AH300" s="36"/>
      <c r="AI300" s="36"/>
      <c r="AJ300" s="36"/>
      <c r="AK300" s="36"/>
      <c r="AL300" s="36"/>
      <c r="AM300" s="36"/>
      <c r="AN300" s="36"/>
    </row>
    <row r="301" spans="6:40" ht="15" customHeight="1" outlineLevel="1">
      <c r="F301" s="52"/>
      <c r="G301" s="51" t="s">
        <v>143</v>
      </c>
      <c r="H301" s="836"/>
      <c r="I301" s="836"/>
      <c r="J301" s="836"/>
      <c r="K301" s="836">
        <f ca="1">IFERROR(K297/K300,0)</f>
        <v>0</v>
      </c>
      <c r="L301" s="836"/>
      <c r="M301" s="836"/>
      <c r="N301" s="836">
        <f ca="1">IFERROR(N297/N300,0)</f>
        <v>0</v>
      </c>
      <c r="O301" s="836"/>
      <c r="P301" s="836"/>
      <c r="Q301" s="836">
        <f ca="1">IFERROR(Q297/Q300,0)</f>
        <v>0</v>
      </c>
      <c r="R301" s="836"/>
      <c r="S301" s="836"/>
      <c r="T301" s="836">
        <f ca="1">IFERROR(T297/T300,0)</f>
        <v>0</v>
      </c>
      <c r="U301" s="836"/>
      <c r="V301" s="836"/>
      <c r="W301" s="836">
        <f ca="1">IFERROR(W297/W300,0)</f>
        <v>0</v>
      </c>
      <c r="X301" s="1469"/>
      <c r="Y301" s="36"/>
      <c r="Z301" s="36"/>
      <c r="AA301" s="36"/>
      <c r="AB301" s="36"/>
      <c r="AC301" s="36"/>
      <c r="AD301" s="36"/>
      <c r="AE301" s="36"/>
      <c r="AF301" s="36"/>
      <c r="AG301" s="36"/>
      <c r="AH301" s="36"/>
      <c r="AI301" s="36"/>
      <c r="AJ301" s="36"/>
      <c r="AK301" s="36"/>
      <c r="AL301" s="36"/>
      <c r="AM301" s="36"/>
      <c r="AN301" s="36"/>
    </row>
    <row r="302" spans="6:40" ht="15" customHeight="1" outlineLevel="1">
      <c r="F302" s="52"/>
      <c r="G302" s="51" t="s">
        <v>144</v>
      </c>
      <c r="H302" s="836"/>
      <c r="I302" s="836"/>
      <c r="J302" s="836"/>
      <c r="K302" s="836">
        <f ca="1">IFERROR((K301*(K300+1)),0)</f>
        <v>0</v>
      </c>
      <c r="L302" s="836"/>
      <c r="M302" s="836"/>
      <c r="N302" s="836">
        <f ca="1">IFERROR((N301*(N300+1)),0)</f>
        <v>0</v>
      </c>
      <c r="O302" s="836"/>
      <c r="P302" s="836"/>
      <c r="Q302" s="836">
        <f ca="1">IFERROR((Q301*(Q300+1)),0)</f>
        <v>0</v>
      </c>
      <c r="R302" s="836"/>
      <c r="S302" s="836"/>
      <c r="T302" s="836">
        <f ca="1">IFERROR((T301*(T300+1)),0)</f>
        <v>0</v>
      </c>
      <c r="U302" s="836"/>
      <c r="V302" s="836"/>
      <c r="W302" s="836">
        <f ca="1">IFERROR((W301*(W300+1)),0)</f>
        <v>0</v>
      </c>
      <c r="X302" s="1469"/>
      <c r="Y302" s="36"/>
      <c r="Z302" s="36"/>
      <c r="AA302" s="36"/>
      <c r="AB302" s="36"/>
      <c r="AC302" s="36"/>
      <c r="AD302" s="36"/>
      <c r="AE302" s="36"/>
      <c r="AF302" s="36"/>
      <c r="AG302" s="36"/>
      <c r="AH302" s="36"/>
      <c r="AI302" s="36"/>
      <c r="AJ302" s="36"/>
      <c r="AK302" s="242"/>
      <c r="AL302" s="36"/>
      <c r="AM302" s="36"/>
      <c r="AN302" s="36"/>
    </row>
    <row r="303" spans="6:40" ht="15" customHeight="1" outlineLevel="1">
      <c r="F303" s="52"/>
      <c r="G303" s="51" t="s">
        <v>145</v>
      </c>
      <c r="H303" s="836"/>
      <c r="I303" s="836"/>
      <c r="J303" s="836"/>
      <c r="K303" s="836">
        <f ca="1">IFERROR(ROUNDUP(((K302*INDEX(INDIRECT("'"&amp;$H$3&amp;"'!$H$43:$H$78"),MATCH(INDIRECT("'"&amp;$H$3&amp;"'!K220")&amp;"Average duration (hrs) per trip",INDIRECT("'"&amp;$H$3&amp;"'!$F$43:$F$78"),0)))+(K297*((1/60)*(INDIRECT("'"&amp;$H$3&amp;"'!K233")+INDIRECT("'"&amp;$H$3&amp;"'!$H$19")*(INDIRECT("'"&amp;$H$3&amp;"'!K234")+(INDIRECT("'"&amp;$H$3&amp;"'!K235")*('3_Outputs'!K$52/INDIRECT("'"&amp;$H$3&amp;"'!K$96")/INDIRECT("'"&amp;$H$3&amp;"'!$H$19"))))))))/INDIRECT("'"&amp;$H$3&amp;"'!$H$10"),0),0)</f>
        <v>0</v>
      </c>
      <c r="L303" s="836"/>
      <c r="M303" s="836"/>
      <c r="N303" s="836">
        <f ca="1">IFERROR(ROUNDUP(((N302*INDEX(INDIRECT("'"&amp;$H$3&amp;"'!$H$43:$H$78"),MATCH(INDIRECT("'"&amp;$H$3&amp;"'!N220")&amp;"Average duration (hrs) per trip",INDIRECT("'"&amp;$H$3&amp;"'!$F$43:$F$78"),0)))+(N297*((1/60)*(INDIRECT("'"&amp;$H$3&amp;"'!N233")+INDIRECT("'"&amp;$H$3&amp;"'!$H$19")*(INDIRECT("'"&amp;$H$3&amp;"'!N234")+(INDIRECT("'"&amp;$H$3&amp;"'!N235")*('3_Outputs'!N$52/INDIRECT("'"&amp;$H$3&amp;"'!N$96")/INDIRECT("'"&amp;$H$3&amp;"'!$H$19"))))))))/INDIRECT("'"&amp;$H$3&amp;"'!$H$10"),0),0)</f>
        <v>0</v>
      </c>
      <c r="O303" s="836"/>
      <c r="P303" s="836"/>
      <c r="Q303" s="836">
        <f ca="1">IFERROR(ROUNDUP(((Q302*INDEX(INDIRECT("'"&amp;$H$3&amp;"'!$H$43:$H$78"),MATCH(INDIRECT("'"&amp;$H$3&amp;"'!Q220")&amp;"Average duration (hrs) per trip",INDIRECT("'"&amp;$H$3&amp;"'!$F$43:$F$78"),0)))+(Q297*((1/60)*(INDIRECT("'"&amp;$H$3&amp;"'!Q233")+INDIRECT("'"&amp;$H$3&amp;"'!$H$19")*(INDIRECT("'"&amp;$H$3&amp;"'!Q234")+(INDIRECT("'"&amp;$H$3&amp;"'!Q235")*('3_Outputs'!Q$52/INDIRECT("'"&amp;$H$3&amp;"'!Q$96")/INDIRECT("'"&amp;$H$3&amp;"'!$H$19"))))))))/INDIRECT("'"&amp;$H$3&amp;"'!$H$10"),0),0)</f>
        <v>0</v>
      </c>
      <c r="R303" s="836"/>
      <c r="S303" s="836"/>
      <c r="T303" s="836">
        <f ca="1">IFERROR(ROUNDUP(((T302*INDEX(INDIRECT("'"&amp;$H$3&amp;"'!$H$43:$H$78"),MATCH(INDIRECT("'"&amp;$H$3&amp;"'!T220")&amp;"Average duration (hrs) per trip",INDIRECT("'"&amp;$H$3&amp;"'!$F$43:$F$78"),0)))+(T297*((1/60)*(INDIRECT("'"&amp;$H$3&amp;"'!T233")+INDIRECT("'"&amp;$H$3&amp;"'!$H$19")*(INDIRECT("'"&amp;$H$3&amp;"'!T234")+(INDIRECT("'"&amp;$H$3&amp;"'!T235")*('3_Outputs'!T$52/INDIRECT("'"&amp;$H$3&amp;"'!T$96")/INDIRECT("'"&amp;$H$3&amp;"'!$H$19"))))))))/INDIRECT("'"&amp;$H$3&amp;"'!$H$10"),0),0)</f>
        <v>0</v>
      </c>
      <c r="U303" s="836"/>
      <c r="V303" s="836"/>
      <c r="W303" s="836">
        <f ca="1">IFERROR(ROUNDUP(((W302*INDEX(INDIRECT("'"&amp;$H$3&amp;"'!$H$43:$H$78"),MATCH(INDIRECT("'"&amp;$H$3&amp;"'!W220")&amp;"Average duration (hrs) per trip",INDIRECT("'"&amp;$H$3&amp;"'!$F$43:$F$78"),0)))+(W297*((1/60)*(INDIRECT("'"&amp;$H$3&amp;"'!W233")+INDIRECT("'"&amp;$H$3&amp;"'!$H$19")*(INDIRECT("'"&amp;$H$3&amp;"'!W234")+(INDIRECT("'"&amp;$H$3&amp;"'!W235")*('3_Outputs'!W$52/INDIRECT("'"&amp;$H$3&amp;"'!W$96")/INDIRECT("'"&amp;$H$3&amp;"'!$H$19"))))))))/INDIRECT("'"&amp;$H$3&amp;"'!$H$10"),0),0)</f>
        <v>0</v>
      </c>
      <c r="X303" s="1469"/>
      <c r="Y303" s="36"/>
      <c r="Z303" s="36"/>
      <c r="AA303" s="36"/>
      <c r="AB303" s="36"/>
      <c r="AC303" s="36"/>
      <c r="AD303" s="36"/>
      <c r="AE303" s="36"/>
      <c r="AF303" s="36"/>
      <c r="AG303" s="36"/>
      <c r="AH303" s="36"/>
      <c r="AI303" s="36"/>
      <c r="AJ303" s="36"/>
      <c r="AK303" s="242"/>
      <c r="AL303" s="36"/>
      <c r="AM303" s="36"/>
      <c r="AN303" s="36"/>
    </row>
    <row r="304" spans="6:40" ht="15" customHeight="1" outlineLevel="1">
      <c r="F304" s="52"/>
      <c r="G304" s="1613" t="s">
        <v>841</v>
      </c>
      <c r="H304" s="842"/>
      <c r="I304" s="842"/>
      <c r="J304" s="842"/>
      <c r="K304" s="842"/>
      <c r="L304" s="842"/>
      <c r="M304" s="842"/>
      <c r="N304" s="842"/>
      <c r="O304" s="842"/>
      <c r="P304" s="842"/>
      <c r="Q304" s="842"/>
      <c r="R304" s="1650"/>
      <c r="S304" s="1650"/>
      <c r="T304" s="842"/>
      <c r="U304" s="1650"/>
      <c r="V304" s="1650"/>
      <c r="W304" s="842"/>
      <c r="X304" s="1470"/>
      <c r="Y304" s="36"/>
      <c r="Z304" s="36"/>
      <c r="AA304" s="36"/>
      <c r="AB304" s="36"/>
      <c r="AC304" s="36"/>
      <c r="AD304" s="36"/>
      <c r="AE304" s="36"/>
      <c r="AF304" s="36"/>
      <c r="AG304" s="36"/>
      <c r="AH304" s="36"/>
      <c r="AI304" s="36"/>
      <c r="AJ304" s="36"/>
      <c r="AK304" s="242"/>
      <c r="AL304" s="36"/>
      <c r="AM304" s="36"/>
      <c r="AN304" s="36"/>
    </row>
    <row r="305" spans="6:40" ht="15" customHeight="1" outlineLevel="1">
      <c r="F305" s="52"/>
      <c r="G305" s="51" t="s">
        <v>144</v>
      </c>
      <c r="H305" s="836"/>
      <c r="I305" s="836"/>
      <c r="J305" s="836"/>
      <c r="K305" s="836">
        <f ca="1">IFERROR(K297*2,0)</f>
        <v>0</v>
      </c>
      <c r="L305" s="836"/>
      <c r="M305" s="836"/>
      <c r="N305" s="836">
        <f ca="1">IFERROR(N297*2,0)</f>
        <v>0</v>
      </c>
      <c r="O305" s="836"/>
      <c r="P305" s="836"/>
      <c r="Q305" s="836">
        <f ca="1">IFERROR(Q297*2,0)</f>
        <v>0</v>
      </c>
      <c r="R305" s="836"/>
      <c r="S305" s="836"/>
      <c r="T305" s="836">
        <f ca="1">IFERROR(T297*2,0)</f>
        <v>0</v>
      </c>
      <c r="U305" s="836"/>
      <c r="V305" s="836"/>
      <c r="W305" s="836">
        <f ca="1">IFERROR(W297*2,0)</f>
        <v>0</v>
      </c>
      <c r="X305" s="1469"/>
      <c r="Y305" s="36"/>
      <c r="Z305" s="36"/>
      <c r="AA305" s="36"/>
      <c r="AB305" s="36"/>
      <c r="AC305" s="36"/>
      <c r="AD305" s="36"/>
      <c r="AE305" s="36"/>
      <c r="AF305" s="36"/>
      <c r="AG305" s="36"/>
      <c r="AH305" s="36"/>
      <c r="AI305" s="36"/>
      <c r="AJ305" s="36"/>
      <c r="AK305" s="36"/>
      <c r="AL305" s="36"/>
      <c r="AM305" s="36"/>
      <c r="AN305" s="36"/>
    </row>
    <row r="306" spans="6:40" ht="15" customHeight="1" outlineLevel="1">
      <c r="F306" s="52"/>
      <c r="G306" s="51" t="s">
        <v>145</v>
      </c>
      <c r="H306" s="837"/>
      <c r="I306" s="837"/>
      <c r="J306" s="837"/>
      <c r="K306" s="837">
        <f ca="1">IFERROR(MAX(K297,ROUNDUP(((K305*INDEX(INDIRECT("'"&amp;$H$3&amp;"'!$H$43:$H$78"),MATCH(INDIRECT("'"&amp;$H$3&amp;"'!K220")&amp;"Average duration (hrs) per trip",INDIRECT("'"&amp;$H$3&amp;"'!$F$43:$F$78"),0)))+(K297*((1/60)*(INDIRECT("'"&amp;$H$3&amp;"'!K233")+INDIRECT("'"&amp;$H$3&amp;"'!$H$19")*(INDIRECT("'"&amp;$H$3&amp;"'!K234")+(INDIRECT("'"&amp;$H$3&amp;"'!K235")*('3_Outputs'!K$52/INDIRECT("'"&amp;$H$3&amp;"'!K$96")/INDIRECT("'"&amp;$H$3&amp;"'!$H$19"))))))))/INDIRECT("'"&amp;$H$3&amp;"'!$H$10"),0)),0)</f>
        <v>0</v>
      </c>
      <c r="L306" s="837"/>
      <c r="M306" s="837"/>
      <c r="N306" s="837">
        <f ca="1">IFERROR(MAX(N297,ROUNDUP(((N305*INDEX(INDIRECT("'"&amp;$H$3&amp;"'!$H$43:$H$78"),MATCH(INDIRECT("'"&amp;$H$3&amp;"'!N220")&amp;"Average duration (hrs) per trip",INDIRECT("'"&amp;$H$3&amp;"'!$F$43:$F$78"),0)))+(N297*((1/60)*(INDIRECT("'"&amp;$H$3&amp;"'!N233")+INDIRECT("'"&amp;$H$3&amp;"'!$H$19")*(INDIRECT("'"&amp;$H$3&amp;"'!N234")+(INDIRECT("'"&amp;$H$3&amp;"'!N235")*('3_Outputs'!N$52/INDIRECT("'"&amp;$H$3&amp;"'!N$96")/INDIRECT("'"&amp;$H$3&amp;"'!$H$19"))))))))/INDIRECT("'"&amp;$H$3&amp;"'!$H$10"),0)),0)</f>
        <v>0</v>
      </c>
      <c r="O306" s="837"/>
      <c r="P306" s="837"/>
      <c r="Q306" s="837">
        <f ca="1">IFERROR(MAX(Q297,ROUNDUP(((Q305*INDEX(INDIRECT("'"&amp;$H$3&amp;"'!$H$43:$H$78"),MATCH(INDIRECT("'"&amp;$H$3&amp;"'!Q220")&amp;"Average duration (hrs) per trip",INDIRECT("'"&amp;$H$3&amp;"'!$F$43:$F$78"),0)))+(Q297*((1/60)*(INDIRECT("'"&amp;$H$3&amp;"'!Q233")+INDIRECT("'"&amp;$H$3&amp;"'!$H$19")*(INDIRECT("'"&amp;$H$3&amp;"'!Q234")+(INDIRECT("'"&amp;$H$3&amp;"'!Q235")*('3_Outputs'!Q$52/INDIRECT("'"&amp;$H$3&amp;"'!Q$96")/INDIRECT("'"&amp;$H$3&amp;"'!$H$19"))))))))/INDIRECT("'"&amp;$H$3&amp;"'!$H$10"),0)),0)</f>
        <v>0</v>
      </c>
      <c r="R306" s="837"/>
      <c r="S306" s="837"/>
      <c r="T306" s="837">
        <f ca="1">IFERROR(MAX(T297,ROUNDUP(((T305*INDEX(INDIRECT("'"&amp;$H$3&amp;"'!$H$43:$H$78"),MATCH(INDIRECT("'"&amp;$H$3&amp;"'!T220")&amp;"Average duration (hrs) per trip",INDIRECT("'"&amp;$H$3&amp;"'!$F$43:$F$78"),0)))+(T297*((1/60)*(INDIRECT("'"&amp;$H$3&amp;"'!T233")+INDIRECT("'"&amp;$H$3&amp;"'!$H$19")*(INDIRECT("'"&amp;$H$3&amp;"'!T234")+(INDIRECT("'"&amp;$H$3&amp;"'!T235")*('3_Outputs'!T$52/INDIRECT("'"&amp;$H$3&amp;"'!T$96")/INDIRECT("'"&amp;$H$3&amp;"'!$H$19"))))))))/INDIRECT("'"&amp;$H$3&amp;"'!$H$10"),0)),0)</f>
        <v>0</v>
      </c>
      <c r="U306" s="837"/>
      <c r="V306" s="837"/>
      <c r="W306" s="837">
        <f ca="1">IFERROR(MAX(W297,ROUNDUP(((W305*INDEX(INDIRECT("'"&amp;$H$3&amp;"'!$H$43:$H$78"),MATCH(INDIRECT("'"&amp;$H$3&amp;"'!W220")&amp;"Average duration (hrs) per trip",INDIRECT("'"&amp;$H$3&amp;"'!$F$43:$F$78"),0)))+(W297*((1/60)*(INDIRECT("'"&amp;$H$3&amp;"'!W233")+INDIRECT("'"&amp;$H$3&amp;"'!$H$19")*(INDIRECT("'"&amp;$H$3&amp;"'!W234")+(INDIRECT("'"&amp;$H$3&amp;"'!W235")*('3_Outputs'!W$52/INDIRECT("'"&amp;$H$3&amp;"'!W$96")/INDIRECT("'"&amp;$H$3&amp;"'!$H$19"))))))))/INDIRECT("'"&amp;$H$3&amp;"'!$H$10"),0)),0)</f>
        <v>0</v>
      </c>
      <c r="X306" s="1468"/>
      <c r="Y306" s="36"/>
      <c r="Z306" s="36"/>
      <c r="AA306" s="36"/>
      <c r="AB306" s="36"/>
      <c r="AC306" s="36"/>
      <c r="AD306" s="36"/>
      <c r="AE306" s="36"/>
      <c r="AF306" s="36"/>
      <c r="AG306" s="36"/>
      <c r="AH306" s="36"/>
      <c r="AI306" s="36"/>
      <c r="AJ306" s="36"/>
      <c r="AK306" s="36"/>
      <c r="AL306" s="36"/>
      <c r="AM306" s="36"/>
      <c r="AN306" s="36"/>
    </row>
    <row r="307" spans="6:40" ht="15" customHeight="1" outlineLevel="1">
      <c r="F307" s="1664" t="s">
        <v>148</v>
      </c>
      <c r="G307" s="1675"/>
      <c r="H307" s="1676"/>
      <c r="I307" s="1676"/>
      <c r="J307" s="1676"/>
      <c r="K307" s="1676"/>
      <c r="L307" s="1676"/>
      <c r="M307" s="1676"/>
      <c r="N307" s="1676"/>
      <c r="O307" s="1676"/>
      <c r="P307" s="1676"/>
      <c r="Q307" s="1676"/>
      <c r="R307" s="1646"/>
      <c r="S307" s="1646"/>
      <c r="T307" s="1676"/>
      <c r="U307" s="1646"/>
      <c r="V307" s="1646"/>
      <c r="W307" s="1676"/>
      <c r="X307" s="1467"/>
      <c r="Y307" s="36"/>
      <c r="Z307" s="36"/>
      <c r="AA307" s="36"/>
      <c r="AB307" s="36"/>
      <c r="AC307" s="36"/>
      <c r="AD307" s="36"/>
      <c r="AE307" s="36"/>
      <c r="AF307" s="36"/>
      <c r="AG307" s="36"/>
      <c r="AH307" s="36"/>
      <c r="AI307" s="36"/>
      <c r="AJ307" s="36"/>
      <c r="AK307" s="242"/>
      <c r="AL307" s="36"/>
      <c r="AM307" s="36"/>
      <c r="AN307" s="36"/>
    </row>
    <row r="308" spans="6:40" ht="15" customHeight="1" outlineLevel="1">
      <c r="F308" s="86"/>
      <c r="G308" s="51" t="s">
        <v>151</v>
      </c>
      <c r="H308" s="836"/>
      <c r="I308" s="836"/>
      <c r="J308" s="836"/>
      <c r="K308" s="836">
        <f ca="1">IFERROR(IF(COUNTIF(INDIRECT("'"&amp;$H$3&amp;"'!K220"),"Public Transport*")&lt;1,ROUND(INDIRECT("'"&amp;$H$3&amp;"'!K$95")*INDIRECT("'"&amp;$H$3&amp;"'!K219"),0),0),0)</f>
        <v>0</v>
      </c>
      <c r="L308" s="836"/>
      <c r="M308" s="836"/>
      <c r="N308" s="836">
        <f ca="1">IFERROR(IF(COUNTIF(INDIRECT("'"&amp;$H$3&amp;"'!N220"),"Public Transport*")&lt;1,ROUND(INDIRECT("'"&amp;$H$3&amp;"'!N$95")*INDIRECT("'"&amp;$H$3&amp;"'!N219"),0),0),0)</f>
        <v>0</v>
      </c>
      <c r="O308" s="836"/>
      <c r="P308" s="836"/>
      <c r="Q308" s="836">
        <f ca="1">IFERROR(IF(COUNTIF(INDIRECT("'"&amp;$H$3&amp;"'!Q220"),"Public Transport*")&lt;1,ROUND(INDIRECT("'"&amp;$H$3&amp;"'!Q$95")*INDIRECT("'"&amp;$H$3&amp;"'!Q219"),0),0),0)</f>
        <v>0</v>
      </c>
      <c r="R308" s="1646"/>
      <c r="S308" s="1646"/>
      <c r="T308" s="836">
        <f ca="1">IFERROR(IF(COUNTIF(INDIRECT("'"&amp;$H$3&amp;"'!T220"),"Public Transport*")&lt;1,ROUND(INDIRECT("'"&amp;$H$3&amp;"'!T$95")*INDIRECT("'"&amp;$H$3&amp;"'!T219"),0),0),0)</f>
        <v>0</v>
      </c>
      <c r="U308" s="1646"/>
      <c r="V308" s="1646"/>
      <c r="W308" s="836">
        <f ca="1">IFERROR(IF(COUNTIF(INDIRECT("'"&amp;$H$3&amp;"'!W220"),"Public Transport*")&lt;1,ROUND(INDIRECT("'"&amp;$H$3&amp;"'!W$95")*INDIRECT("'"&amp;$H$3&amp;"'!W219"),0),0),0)</f>
        <v>0</v>
      </c>
      <c r="X308" s="1469"/>
      <c r="Y308" s="36"/>
      <c r="Z308" s="36"/>
      <c r="AA308" s="36"/>
      <c r="AB308" s="36"/>
      <c r="AC308" s="36"/>
      <c r="AD308" s="36"/>
      <c r="AE308" s="36"/>
      <c r="AF308" s="36"/>
      <c r="AG308" s="36"/>
      <c r="AH308" s="36"/>
      <c r="AI308" s="36"/>
      <c r="AJ308" s="36"/>
      <c r="AK308" s="242"/>
      <c r="AL308" s="36"/>
      <c r="AM308" s="36"/>
      <c r="AN308" s="36"/>
    </row>
    <row r="309" spans="6:40" ht="15" customHeight="1" outlineLevel="1">
      <c r="F309" s="52"/>
      <c r="G309" s="51" t="s">
        <v>85</v>
      </c>
      <c r="H309" s="837"/>
      <c r="I309" s="837"/>
      <c r="J309" s="837"/>
      <c r="K309" s="837">
        <f ca="1">IFERROR(IF(INDIRECT("'"&amp;$H$3&amp;"'!K228")="Route-based",K314*K315,IF(INDIRECT("'"&amp;$H$3&amp;"'!K228")="Point-to-point",K319*K320,0)),0)</f>
        <v>0</v>
      </c>
      <c r="L309" s="837"/>
      <c r="M309" s="837"/>
      <c r="N309" s="837">
        <f ca="1">IFERROR(IF(INDIRECT("'"&amp;$H$3&amp;"'!N228")="Route-based",N314*N315,IF(INDIRECT("'"&amp;$H$3&amp;"'!N228")="Point-to-point",N319*N320,0)),0)</f>
        <v>0</v>
      </c>
      <c r="O309" s="837"/>
      <c r="P309" s="837"/>
      <c r="Q309" s="837">
        <f ca="1">IFERROR(IF(INDIRECT("'"&amp;$H$3&amp;"'!Q228")="Route-based",Q314*Q315,IF(INDIRECT("'"&amp;$H$3&amp;"'!Q228")="Point-to-point",Q319*Q320,0)),0)</f>
        <v>0</v>
      </c>
      <c r="R309" s="1650"/>
      <c r="S309" s="1650"/>
      <c r="T309" s="837">
        <f ca="1">IFERROR(IF(INDIRECT("'"&amp;$H$3&amp;"'!T228")="Route-based",T314*T315,IF(INDIRECT("'"&amp;$H$3&amp;"'!T228")="Point-to-point",T319*T320,0)),0)</f>
        <v>0</v>
      </c>
      <c r="U309" s="1650"/>
      <c r="V309" s="1650"/>
      <c r="W309" s="837">
        <f ca="1">IFERROR(IF(INDIRECT("'"&amp;$H$3&amp;"'!W228")="Route-based",W314*W315,IF(INDIRECT("'"&amp;$H$3&amp;"'!W228")="Point-to-point",W319*W320,0)),0)</f>
        <v>0</v>
      </c>
      <c r="X309" s="1468"/>
      <c r="Y309" s="36"/>
      <c r="Z309" s="36"/>
      <c r="AA309" s="36"/>
      <c r="AB309" s="36"/>
      <c r="AC309" s="36"/>
      <c r="AD309" s="36"/>
      <c r="AE309" s="36"/>
      <c r="AF309" s="36"/>
      <c r="AG309" s="36"/>
      <c r="AH309" s="36"/>
      <c r="AI309" s="36"/>
      <c r="AJ309" s="36"/>
      <c r="AK309" s="242"/>
      <c r="AL309" s="36"/>
      <c r="AM309" s="36"/>
      <c r="AN309" s="36"/>
    </row>
    <row r="310" spans="6:40" ht="15" customHeight="1" outlineLevel="1">
      <c r="F310" s="52"/>
      <c r="G310" s="51" t="s">
        <v>59</v>
      </c>
      <c r="H310" s="837"/>
      <c r="I310" s="837"/>
      <c r="J310" s="837"/>
      <c r="K310" s="837">
        <f ca="1">IFERROR(IF(INDIRECT("'"&amp;$H$3&amp;"'!K228")="Route-based",ROUND(K314*K316/INDIRECT("'"&amp;$H$3&amp;"'!$H$10"),0),IF(INDIRECT("'"&amp;$H$3&amp;"'!K228")="Point-to-point",ROUND(((K308*INDIRECT("'"&amp;$H$3&amp;"'!K$96")*((1/60)*(INDIRECT("'"&amp;$H$3&amp;"'!K233")+INDIRECT("'"&amp;$H$3&amp;"'!$H$19")*(INDIRECT("'"&amp;$H$3&amp;"'!K234")+(INDIRECT("'"&amp;$H$3&amp;"'!K235")*('3_Outputs'!K$52/INDIRECT("'"&amp;$H$3&amp;"'!K$96")/INDIRECT("'"&amp;$H$3&amp;"'!$H$19")))))))+(K309/INDIRECT("'"&amp;$H$3&amp;"'!K237")))/INDIRECT("'"&amp;$H$3&amp;"'!$H$10"),0),0)),0)</f>
        <v>0</v>
      </c>
      <c r="L310" s="837"/>
      <c r="M310" s="837"/>
      <c r="N310" s="837">
        <f ca="1">IFERROR(IF(INDIRECT("'"&amp;$H$3&amp;"'!N228")="Route-based",ROUND(N314*N316/INDIRECT("'"&amp;$H$3&amp;"'!$H$10"),0),IF(INDIRECT("'"&amp;$H$3&amp;"'!N228")="Point-to-point",ROUND(((N308*INDIRECT("'"&amp;$H$3&amp;"'!N$96")*((1/60)*(INDIRECT("'"&amp;$H$3&amp;"'!N233")+INDIRECT("'"&amp;$H$3&amp;"'!$H$19")*(INDIRECT("'"&amp;$H$3&amp;"'!N234")+(INDIRECT("'"&amp;$H$3&amp;"'!N235")*('3_Outputs'!N$52/INDIRECT("'"&amp;$H$3&amp;"'!N$96")/INDIRECT("'"&amp;$H$3&amp;"'!$H$19")))))))+(N309/INDIRECT("'"&amp;$H$3&amp;"'!N237")))/INDIRECT("'"&amp;$H$3&amp;"'!$H$10"),0),0)),0)</f>
        <v>0</v>
      </c>
      <c r="O310" s="837"/>
      <c r="P310" s="837"/>
      <c r="Q310" s="837">
        <f ca="1">IFERROR(IF(INDIRECT("'"&amp;$H$3&amp;"'!Q228")="Route-based",ROUND(Q314*Q316/INDIRECT("'"&amp;$H$3&amp;"'!$H$10"),0),IF(INDIRECT("'"&amp;$H$3&amp;"'!Q228")="Point-to-point",ROUND(((Q308*INDIRECT("'"&amp;$H$3&amp;"'!Q$96")*((1/60)*(INDIRECT("'"&amp;$H$3&amp;"'!Q233")+INDIRECT("'"&amp;$H$3&amp;"'!$H$19")*(INDIRECT("'"&amp;$H$3&amp;"'!Q234")+(INDIRECT("'"&amp;$H$3&amp;"'!Q235")*('3_Outputs'!Q$52/INDIRECT("'"&amp;$H$3&amp;"'!Q$96")/INDIRECT("'"&amp;$H$3&amp;"'!$H$19")))))))+(Q309/INDIRECT("'"&amp;$H$3&amp;"'!Q237")))/INDIRECT("'"&amp;$H$3&amp;"'!$H$10"),0),0)),0)</f>
        <v>0</v>
      </c>
      <c r="R310" s="837"/>
      <c r="S310" s="837"/>
      <c r="T310" s="837">
        <f ca="1">IFERROR(IF(INDIRECT("'"&amp;$H$3&amp;"'!T228")="Route-based",ROUND(T314*T316/INDIRECT("'"&amp;$H$3&amp;"'!$H$10"),0),IF(INDIRECT("'"&amp;$H$3&amp;"'!T228")="Point-to-point",ROUND(((T308*INDIRECT("'"&amp;$H$3&amp;"'!T$96")*((1/60)*(INDIRECT("'"&amp;$H$3&amp;"'!T233")+INDIRECT("'"&amp;$H$3&amp;"'!$H$19")*(INDIRECT("'"&amp;$H$3&amp;"'!T234")+(INDIRECT("'"&amp;$H$3&amp;"'!T235")*('3_Outputs'!T$52/INDIRECT("'"&amp;$H$3&amp;"'!T$96")/INDIRECT("'"&amp;$H$3&amp;"'!$H$19")))))))+(T309/INDIRECT("'"&amp;$H$3&amp;"'!T237")))/INDIRECT("'"&amp;$H$3&amp;"'!$H$10"),0),0)),0)</f>
        <v>0</v>
      </c>
      <c r="U310" s="837"/>
      <c r="V310" s="837"/>
      <c r="W310" s="837">
        <f ca="1">IFERROR(IF(INDIRECT("'"&amp;$H$3&amp;"'!W228")="Route-based",ROUND(W314*W316/INDIRECT("'"&amp;$H$3&amp;"'!$H$10"),0),IF(INDIRECT("'"&amp;$H$3&amp;"'!W228")="Point-to-point",ROUND(((W308*INDIRECT("'"&amp;$H$3&amp;"'!W$96")*((1/60)*(INDIRECT("'"&amp;$H$3&amp;"'!W233")+INDIRECT("'"&amp;$H$3&amp;"'!$H$19")*(INDIRECT("'"&amp;$H$3&amp;"'!W234")+(INDIRECT("'"&amp;$H$3&amp;"'!W235")*('3_Outputs'!W$52/INDIRECT("'"&amp;$H$3&amp;"'!W$96")/INDIRECT("'"&amp;$H$3&amp;"'!$H$19")))))))+(W309/INDIRECT("'"&amp;$H$3&amp;"'!W237")))/INDIRECT("'"&amp;$H$3&amp;"'!$H$10"),0),0)),0)</f>
        <v>0</v>
      </c>
      <c r="X310" s="1468"/>
      <c r="Y310" s="36"/>
      <c r="Z310" s="36"/>
      <c r="AA310" s="36"/>
      <c r="AB310" s="36"/>
      <c r="AC310" s="36"/>
      <c r="AD310" s="36"/>
      <c r="AE310" s="36"/>
      <c r="AF310" s="36"/>
      <c r="AG310" s="36"/>
      <c r="AH310" s="36"/>
      <c r="AI310" s="36"/>
      <c r="AJ310" s="36"/>
      <c r="AK310" s="242"/>
      <c r="AL310" s="36"/>
      <c r="AM310" s="36"/>
      <c r="AN310" s="36"/>
    </row>
    <row r="311" spans="6:40" ht="15" customHeight="1" outlineLevel="1">
      <c r="F311" s="52"/>
      <c r="G311" s="51" t="s">
        <v>86</v>
      </c>
      <c r="H311" s="839"/>
      <c r="I311" s="839"/>
      <c r="J311" s="839"/>
      <c r="K311" s="839">
        <f ca="1">IFERROR(IF(INDIRECT("'"&amp;$H$3&amp;"'!K228")="Route-based",IF(INDIRECT("'"&amp;$H$3&amp;"'!K225")="Yes",K211, IF(INDIRECT("'"&amp;$H$3&amp;"'!K225")="No",K310/(INDIRECT("'"&amp;$H$3&amp;"'!$H$9")*INDIRECT("'"&amp;$H$3&amp;"'!K224")))),
IF(INDIRECT("'"&amp;$H$3&amp;"'!K228")="Point-to-point",IF(INDIRECT("'"&amp;$H$3&amp;"'!K225")="Yes",K211,IF(INDIRECT("'"&amp;$H$3&amp;"'!K225")="No",K310/(INDIRECT("'"&amp;$H$3&amp;"'!$H$9")*INDIRECT("'"&amp;$H$3&amp;"'!K224")))),0)),0)</f>
        <v>0</v>
      </c>
      <c r="L311" s="839"/>
      <c r="M311" s="839"/>
      <c r="N311" s="839">
        <f ca="1">IFERROR(IF(INDIRECT("'"&amp;$H$3&amp;"'!N228")="Route-based",IF(INDIRECT("'"&amp;$H$3&amp;"'!N225")="Yes",N211, IF(INDIRECT("'"&amp;$H$3&amp;"'!N225")="No",N310/(INDIRECT("'"&amp;$H$3&amp;"'!$H$9")*INDIRECT("'"&amp;$H$3&amp;"'!N224")))),
IF(INDIRECT("'"&amp;$H$3&amp;"'!N228")="Point-to-point",IF(INDIRECT("'"&amp;$H$3&amp;"'!N225")="Yes",N211,IF(INDIRECT("'"&amp;$H$3&amp;"'!N225")="No",N310/(INDIRECT("'"&amp;$H$3&amp;"'!$H$9")*INDIRECT("'"&amp;$H$3&amp;"'!N224")))),0)),0)</f>
        <v>0</v>
      </c>
      <c r="O311" s="839"/>
      <c r="P311" s="839"/>
      <c r="Q311" s="839">
        <f ca="1">IFERROR(IF(INDIRECT("'"&amp;$H$3&amp;"'!Q228")="Route-based",IF(INDIRECT("'"&amp;$H$3&amp;"'!Q225")="Yes",Q211, IF(INDIRECT("'"&amp;$H$3&amp;"'!Q225")="No",Q310/(INDIRECT("'"&amp;$H$3&amp;"'!$H$9")*INDIRECT("'"&amp;$H$3&amp;"'!Q224")))),
IF(INDIRECT("'"&amp;$H$3&amp;"'!Q228")="Point-to-point",IF(INDIRECT("'"&amp;$H$3&amp;"'!Q225")="Yes",Q211,IF(INDIRECT("'"&amp;$H$3&amp;"'!Q225")="No",Q310/(INDIRECT("'"&amp;$H$3&amp;"'!$H$9")*INDIRECT("'"&amp;$H$3&amp;"'!Q224")))),0)),0)</f>
        <v>0</v>
      </c>
      <c r="R311" s="839"/>
      <c r="S311" s="839"/>
      <c r="T311" s="839">
        <f ca="1">IFERROR(IF(INDIRECT("'"&amp;$H$3&amp;"'!T228")="Route-based",IF(INDIRECT("'"&amp;$H$3&amp;"'!T225")="Yes",T211, IF(INDIRECT("'"&amp;$H$3&amp;"'!T225")="No",T310/(INDIRECT("'"&amp;$H$3&amp;"'!$H$9")*INDIRECT("'"&amp;$H$3&amp;"'!T224")))),
IF(INDIRECT("'"&amp;$H$3&amp;"'!T228")="Point-to-point",IF(INDIRECT("'"&amp;$H$3&amp;"'!T225")="Yes",T211,IF(INDIRECT("'"&amp;$H$3&amp;"'!T225")="No",T310/(INDIRECT("'"&amp;$H$3&amp;"'!$H$9")*INDIRECT("'"&amp;$H$3&amp;"'!T224")))),0)),0)</f>
        <v>0</v>
      </c>
      <c r="U311" s="839"/>
      <c r="V311" s="839"/>
      <c r="W311" s="839">
        <f ca="1">IFERROR(IF(INDIRECT("'"&amp;$H$3&amp;"'!W228")="Route-based",IF(INDIRECT("'"&amp;$H$3&amp;"'!W225")="Yes",W211, IF(INDIRECT("'"&amp;$H$3&amp;"'!W225")="No",W310/(INDIRECT("'"&amp;$H$3&amp;"'!$H$9")*INDIRECT("'"&amp;$H$3&amp;"'!W224")))),
IF(INDIRECT("'"&amp;$H$3&amp;"'!W228")="Point-to-point",IF(INDIRECT("'"&amp;$H$3&amp;"'!W225")="Yes",W211,IF(INDIRECT("'"&amp;$H$3&amp;"'!W225")="No",W310/(INDIRECT("'"&amp;$H$3&amp;"'!$H$9")*INDIRECT("'"&amp;$H$3&amp;"'!W224")))),0)),0)</f>
        <v>0</v>
      </c>
      <c r="X311" s="1470"/>
      <c r="Y311" s="36"/>
      <c r="Z311" s="36"/>
      <c r="AA311" s="36"/>
      <c r="AB311" s="36"/>
      <c r="AC311" s="36"/>
      <c r="AD311" s="36"/>
      <c r="AE311" s="36"/>
      <c r="AF311" s="36"/>
      <c r="AG311" s="36"/>
      <c r="AH311" s="36"/>
      <c r="AI311" s="36"/>
      <c r="AJ311" s="36"/>
      <c r="AK311" s="36" t="s">
        <v>191</v>
      </c>
      <c r="AL311" s="36"/>
      <c r="AM311" s="36"/>
      <c r="AN311" s="36"/>
    </row>
    <row r="312" spans="6:40" ht="15" customHeight="1" outlineLevel="1" collapsed="1">
      <c r="F312" s="52"/>
      <c r="G312" s="1613" t="s">
        <v>133</v>
      </c>
      <c r="H312" s="842"/>
      <c r="I312" s="842"/>
      <c r="J312" s="842"/>
      <c r="K312" s="842"/>
      <c r="L312" s="842"/>
      <c r="M312" s="842"/>
      <c r="N312" s="842"/>
      <c r="O312" s="842"/>
      <c r="P312" s="842"/>
      <c r="Q312" s="842"/>
      <c r="R312" s="1650"/>
      <c r="S312" s="1650"/>
      <c r="T312" s="842"/>
      <c r="U312" s="1650"/>
      <c r="V312" s="1650"/>
      <c r="W312" s="842"/>
      <c r="X312" s="1470"/>
      <c r="Y312" s="36"/>
      <c r="Z312" s="36"/>
      <c r="AA312" s="36"/>
      <c r="AB312" s="36"/>
      <c r="AC312" s="36"/>
      <c r="AD312" s="36"/>
      <c r="AE312" s="36"/>
      <c r="AF312" s="36"/>
      <c r="AG312" s="36"/>
      <c r="AH312" s="36"/>
      <c r="AI312" s="36"/>
      <c r="AJ312" s="36"/>
      <c r="AK312" s="36"/>
      <c r="AL312" s="36"/>
      <c r="AM312" s="36"/>
      <c r="AN312" s="36"/>
    </row>
    <row r="313" spans="6:40" ht="15" customHeight="1" outlineLevel="1">
      <c r="F313" s="52"/>
      <c r="G313" s="51" t="s">
        <v>129</v>
      </c>
      <c r="H313" s="836"/>
      <c r="I313" s="836"/>
      <c r="J313" s="836"/>
      <c r="K313" s="836">
        <f ca="1">IFERROR(((INDIRECT("'"&amp;$H$3&amp;"'!K229")*INDIRECT("'"&amp;$H$3&amp;"'!$H$10"))-(2*INDIRECT("'"&amp;$H$3&amp;"'!K$98")/INDIRECT("'"&amp;$H$3&amp;"'!K237"))+(INDIRECT("'"&amp;$H$3&amp;"'!K$99")/INDIRECT("'"&amp;$H$3&amp;"'!K236")))/(((1/60)*(INDIRECT("'"&amp;$H$3&amp;"'!K233")+INDIRECT("'"&amp;$H$3&amp;"'!$H$19")*(INDIRECT("'"&amp;$H$3&amp;"'!K234")+(INDIRECT("'"&amp;$H$3&amp;"'!K235")*('3_Outputs'!K$52/INDIRECT("'"&amp;$H$3&amp;"'!K$96")/INDIRECT("'"&amp;$H$3&amp;"'!$H$19"))))))+(INDIRECT("'"&amp;$H$3&amp;"'!K$99")/INDIRECT("'"&amp;$H$3&amp;"'!K236"))),0)</f>
        <v>0</v>
      </c>
      <c r="L313" s="836"/>
      <c r="M313" s="836"/>
      <c r="N313" s="836">
        <f ca="1">IFERROR(((INDIRECT("'"&amp;$H$3&amp;"'!N229")*INDIRECT("'"&amp;$H$3&amp;"'!$H$10"))-(2*INDIRECT("'"&amp;$H$3&amp;"'!N$98")/INDIRECT("'"&amp;$H$3&amp;"'!N237"))+(INDIRECT("'"&amp;$H$3&amp;"'!N$99")/INDIRECT("'"&amp;$H$3&amp;"'!N236")))/(((1/60)*(INDIRECT("'"&amp;$H$3&amp;"'!N233")+INDIRECT("'"&amp;$H$3&amp;"'!$H$19")*(INDIRECT("'"&amp;$H$3&amp;"'!N234")+(INDIRECT("'"&amp;$H$3&amp;"'!N235")*('3_Outputs'!N$52/INDIRECT("'"&amp;$H$3&amp;"'!N$96")/INDIRECT("'"&amp;$H$3&amp;"'!$H$19"))))))+(INDIRECT("'"&amp;$H$3&amp;"'!N$99")/INDIRECT("'"&amp;$H$3&amp;"'!N236"))),0)</f>
        <v>0</v>
      </c>
      <c r="O313" s="836"/>
      <c r="P313" s="836"/>
      <c r="Q313" s="836">
        <f ca="1">IFERROR(((INDIRECT("'"&amp;$H$3&amp;"'!Q229")*INDIRECT("'"&amp;$H$3&amp;"'!$H$10"))-(2*INDIRECT("'"&amp;$H$3&amp;"'!Q$98")/INDIRECT("'"&amp;$H$3&amp;"'!Q237"))+(INDIRECT("'"&amp;$H$3&amp;"'!Q$99")/INDIRECT("'"&amp;$H$3&amp;"'!Q236")))/(((1/60)*(INDIRECT("'"&amp;$H$3&amp;"'!Q233")+INDIRECT("'"&amp;$H$3&amp;"'!$H$19")*(INDIRECT("'"&amp;$H$3&amp;"'!Q234")+(INDIRECT("'"&amp;$H$3&amp;"'!Q235")*('3_Outputs'!Q$52/INDIRECT("'"&amp;$H$3&amp;"'!Q$96")/INDIRECT("'"&amp;$H$3&amp;"'!$H$19"))))))+(INDIRECT("'"&amp;$H$3&amp;"'!Q$99")/INDIRECT("'"&amp;$H$3&amp;"'!Q236"))),0)</f>
        <v>0</v>
      </c>
      <c r="R313" s="836"/>
      <c r="S313" s="836"/>
      <c r="T313" s="836">
        <f ca="1">IFERROR(((INDIRECT("'"&amp;$H$3&amp;"'!T229")*INDIRECT("'"&amp;$H$3&amp;"'!$H$10"))-(2*INDIRECT("'"&amp;$H$3&amp;"'!T$98")/INDIRECT("'"&amp;$H$3&amp;"'!T237"))+(INDIRECT("'"&amp;$H$3&amp;"'!T$99")/INDIRECT("'"&amp;$H$3&amp;"'!T236")))/(((1/60)*(INDIRECT("'"&amp;$H$3&amp;"'!T233")+INDIRECT("'"&amp;$H$3&amp;"'!$H$19")*(INDIRECT("'"&amp;$H$3&amp;"'!T234")+(INDIRECT("'"&amp;$H$3&amp;"'!T235")*('3_Outputs'!T$52/INDIRECT("'"&amp;$H$3&amp;"'!T$96")/INDIRECT("'"&amp;$H$3&amp;"'!$H$19"))))))+(INDIRECT("'"&amp;$H$3&amp;"'!T$99")/INDIRECT("'"&amp;$H$3&amp;"'!T236"))),0)</f>
        <v>0</v>
      </c>
      <c r="U313" s="836"/>
      <c r="V313" s="836"/>
      <c r="W313" s="836">
        <f ca="1">IFERROR(((INDIRECT("'"&amp;$H$3&amp;"'!W229")*INDIRECT("'"&amp;$H$3&amp;"'!$H$10"))-(2*INDIRECT("'"&amp;$H$3&amp;"'!W$98")/INDIRECT("'"&amp;$H$3&amp;"'!W237"))+(INDIRECT("'"&amp;$H$3&amp;"'!W$99")/INDIRECT("'"&amp;$H$3&amp;"'!W236")))/(((1/60)*(INDIRECT("'"&amp;$H$3&amp;"'!W233")+INDIRECT("'"&amp;$H$3&amp;"'!$H$19")*(INDIRECT("'"&amp;$H$3&amp;"'!W234")+(INDIRECT("'"&amp;$H$3&amp;"'!W235")*('3_Outputs'!W$52/INDIRECT("'"&amp;$H$3&amp;"'!W$96")/INDIRECT("'"&amp;$H$3&amp;"'!$H$19"))))))+(INDIRECT("'"&amp;$H$3&amp;"'!W$99")/INDIRECT("'"&amp;$H$3&amp;"'!W236"))),0)</f>
        <v>0</v>
      </c>
      <c r="X313" s="1469"/>
      <c r="Y313" s="36"/>
      <c r="Z313" s="36"/>
      <c r="AA313" s="36"/>
      <c r="AB313" s="36"/>
      <c r="AC313" s="36"/>
      <c r="AD313" s="36"/>
      <c r="AE313" s="36"/>
      <c r="AF313" s="36"/>
      <c r="AG313" s="36"/>
      <c r="AH313" s="36"/>
      <c r="AI313" s="36"/>
      <c r="AJ313" s="36"/>
      <c r="AK313" s="36"/>
      <c r="AL313" s="36"/>
      <c r="AM313" s="36"/>
      <c r="AN313" s="36"/>
    </row>
    <row r="314" spans="6:40" ht="15" customHeight="1" outlineLevel="1">
      <c r="F314" s="52"/>
      <c r="G314" s="51" t="s">
        <v>206</v>
      </c>
      <c r="H314" s="836"/>
      <c r="I314" s="836"/>
      <c r="J314" s="836"/>
      <c r="K314" s="836">
        <f ca="1">IFERROR(ROUND(K308*INDIRECT("'"&amp;$H$3&amp;"'!K$96")/K313,0),0)</f>
        <v>0</v>
      </c>
      <c r="L314" s="836"/>
      <c r="M314" s="836"/>
      <c r="N314" s="836">
        <f ca="1">IFERROR(ROUND(N308*INDIRECT("'"&amp;$H$3&amp;"'!N$96")/N313,0),0)</f>
        <v>0</v>
      </c>
      <c r="O314" s="836"/>
      <c r="P314" s="836"/>
      <c r="Q314" s="836">
        <f ca="1">IFERROR(ROUND(Q308*INDIRECT("'"&amp;$H$3&amp;"'!Q$96")/Q313,0),0)</f>
        <v>0</v>
      </c>
      <c r="R314" s="836"/>
      <c r="S314" s="836"/>
      <c r="T314" s="836">
        <f ca="1">IFERROR(ROUND(T308*INDIRECT("'"&amp;$H$3&amp;"'!T$96")/T313,0),0)</f>
        <v>0</v>
      </c>
      <c r="U314" s="836"/>
      <c r="V314" s="836"/>
      <c r="W314" s="836">
        <f ca="1">IFERROR(ROUND(W308*INDIRECT("'"&amp;$H$3&amp;"'!W$96")/W313,0),0)</f>
        <v>0</v>
      </c>
      <c r="X314" s="1469"/>
      <c r="Y314" s="36"/>
      <c r="Z314" s="36"/>
      <c r="AA314" s="36"/>
      <c r="AB314" s="36"/>
      <c r="AC314" s="36"/>
      <c r="AD314" s="36"/>
      <c r="AE314" s="36"/>
      <c r="AF314" s="36"/>
      <c r="AG314" s="36"/>
      <c r="AH314" s="36"/>
      <c r="AI314" s="36"/>
      <c r="AJ314" s="36"/>
      <c r="AK314" s="36"/>
      <c r="AL314" s="36"/>
      <c r="AM314" s="36"/>
      <c r="AN314" s="36"/>
    </row>
    <row r="315" spans="6:40" ht="15" customHeight="1" outlineLevel="1">
      <c r="F315" s="52"/>
      <c r="G315" s="51" t="s">
        <v>87</v>
      </c>
      <c r="H315" s="836"/>
      <c r="I315" s="836"/>
      <c r="J315" s="836"/>
      <c r="K315" s="836">
        <f ca="1">IFERROR(IF(K308=0,0,(2*INDIRECT("'"&amp;$H$3&amp;"'!K$98"))+((MAX(K313, 1)-1)*INDIRECT("'"&amp;$H$3&amp;"'!K$99"))),0)</f>
        <v>0</v>
      </c>
      <c r="L315" s="836"/>
      <c r="M315" s="836"/>
      <c r="N315" s="836">
        <f ca="1">IFERROR(IF(N308=0,0,(2*INDIRECT("'"&amp;$H$3&amp;"'!N$98"))+((MAX(N313, 1)-1)*INDIRECT("'"&amp;$H$3&amp;"'!N$99"))),0)</f>
        <v>0</v>
      </c>
      <c r="O315" s="836"/>
      <c r="P315" s="836"/>
      <c r="Q315" s="836">
        <f ca="1">IFERROR(IF(Q308=0,0,(2*INDIRECT("'"&amp;$H$3&amp;"'!Q$98"))+((MAX(Q313, 1)-1)*INDIRECT("'"&amp;$H$3&amp;"'!Q$99"))),0)</f>
        <v>0</v>
      </c>
      <c r="R315" s="836"/>
      <c r="S315" s="836"/>
      <c r="T315" s="836">
        <f ca="1">IFERROR(IF(T308=0,0,(2*INDIRECT("'"&amp;$H$3&amp;"'!T$98"))+((MAX(T313, 1)-1)*INDIRECT("'"&amp;$H$3&amp;"'!T$99"))),0)</f>
        <v>0</v>
      </c>
      <c r="U315" s="836"/>
      <c r="V315" s="836"/>
      <c r="W315" s="836">
        <f ca="1">IFERROR(IF(W308=0,0,(2*INDIRECT("'"&amp;$H$3&amp;"'!W$98"))+((MAX(W313, 1)-1)*INDIRECT("'"&amp;$H$3&amp;"'!W$99"))),0)</f>
        <v>0</v>
      </c>
      <c r="X315" s="1469"/>
      <c r="Y315" s="36"/>
      <c r="Z315" s="36"/>
      <c r="AA315" s="36"/>
      <c r="AB315" s="36"/>
      <c r="AC315" s="36"/>
      <c r="AD315" s="36"/>
      <c r="AE315" s="36"/>
      <c r="AF315" s="36"/>
      <c r="AG315" s="36"/>
      <c r="AH315" s="36"/>
      <c r="AI315" s="36"/>
      <c r="AJ315" s="36"/>
      <c r="AK315" s="36"/>
      <c r="AL315" s="36"/>
      <c r="AM315" s="36"/>
      <c r="AN315" s="36"/>
    </row>
    <row r="316" spans="6:40" ht="15" customHeight="1" outlineLevel="1">
      <c r="F316" s="52"/>
      <c r="G316" s="51" t="s">
        <v>203</v>
      </c>
      <c r="H316" s="836"/>
      <c r="I316" s="836"/>
      <c r="J316" s="836"/>
      <c r="K316" s="836">
        <f ca="1">IFERROR((ROUNDUP(K313,1)*((1/60)*(INDIRECT("'"&amp;$H$3&amp;"'!K233")+INDIRECT("'"&amp;$H$3&amp;"'!$H$19")*(INDIRECT("'"&amp;$H$3&amp;"'!K234")+(INDIRECT("'"&amp;$H$3&amp;"'!K235")*('3_Outputs'!K$52/INDIRECT("'"&amp;$H$3&amp;"'!K$96")/INDIRECT("'"&amp;$H$3&amp;"'!$H$19")))))))+((2*INDIRECT("'"&amp;$H$3&amp;"'!K$98"))/INDIRECT("'"&amp;$H$3&amp;"'!K237"))+(((MAX(K313,1)-1)*INDIRECT("'"&amp;$H$3&amp;"'!K$99"))/INDIRECT("'"&amp;$H$3&amp;"'!K236")),0)</f>
        <v>0</v>
      </c>
      <c r="L316" s="836"/>
      <c r="M316" s="836"/>
      <c r="N316" s="836">
        <f ca="1">IFERROR((ROUNDUP(N313,1)*((1/60)*(INDIRECT("'"&amp;$H$3&amp;"'!N233")+INDIRECT("'"&amp;$H$3&amp;"'!$H$19")*(INDIRECT("'"&amp;$H$3&amp;"'!N234")+(INDIRECT("'"&amp;$H$3&amp;"'!N235")*('3_Outputs'!N$52/INDIRECT("'"&amp;$H$3&amp;"'!N$96")/INDIRECT("'"&amp;$H$3&amp;"'!$H$19")))))))+((2*INDIRECT("'"&amp;$H$3&amp;"'!N$98"))/INDIRECT("'"&amp;$H$3&amp;"'!N237"))+(((MAX(N313,1)-1)*INDIRECT("'"&amp;$H$3&amp;"'!N$99"))/INDIRECT("'"&amp;$H$3&amp;"'!N236")),0)</f>
        <v>0</v>
      </c>
      <c r="O316" s="836"/>
      <c r="P316" s="836"/>
      <c r="Q316" s="836">
        <f ca="1">IFERROR((ROUNDUP(Q313,1)*((1/60)*(INDIRECT("'"&amp;$H$3&amp;"'!Q233")+INDIRECT("'"&amp;$H$3&amp;"'!$H$19")*(INDIRECT("'"&amp;$H$3&amp;"'!Q234")+(INDIRECT("'"&amp;$H$3&amp;"'!Q235")*('3_Outputs'!Q$52/INDIRECT("'"&amp;$H$3&amp;"'!Q$96")/INDIRECT("'"&amp;$H$3&amp;"'!$H$19")))))))+((2*INDIRECT("'"&amp;$H$3&amp;"'!Q$98"))/INDIRECT("'"&amp;$H$3&amp;"'!Q237"))+(((MAX(Q313,1)-1)*INDIRECT("'"&amp;$H$3&amp;"'!Q$99"))/INDIRECT("'"&amp;$H$3&amp;"'!Q236")),0)</f>
        <v>0</v>
      </c>
      <c r="R316" s="836"/>
      <c r="S316" s="836"/>
      <c r="T316" s="836">
        <f ca="1">IFERROR((ROUNDUP(T313,1)*((1/60)*(INDIRECT("'"&amp;$H$3&amp;"'!T233")+INDIRECT("'"&amp;$H$3&amp;"'!$H$19")*(INDIRECT("'"&amp;$H$3&amp;"'!T234")+(INDIRECT("'"&amp;$H$3&amp;"'!T235")*('3_Outputs'!T$52/INDIRECT("'"&amp;$H$3&amp;"'!T$96")/INDIRECT("'"&amp;$H$3&amp;"'!$H$19")))))))+((2*INDIRECT("'"&amp;$H$3&amp;"'!T$98"))/INDIRECT("'"&amp;$H$3&amp;"'!T237"))+(((MAX(T313,1)-1)*INDIRECT("'"&amp;$H$3&amp;"'!T$99"))/INDIRECT("'"&amp;$H$3&amp;"'!T236")),0)</f>
        <v>0</v>
      </c>
      <c r="U316" s="836"/>
      <c r="V316" s="836"/>
      <c r="W316" s="836">
        <f ca="1">IFERROR((ROUNDUP(W313,1)*((1/60)*(INDIRECT("'"&amp;$H$3&amp;"'!W233")+INDIRECT("'"&amp;$H$3&amp;"'!$H$19")*(INDIRECT("'"&amp;$H$3&amp;"'!W234")+(INDIRECT("'"&amp;$H$3&amp;"'!W235")*('3_Outputs'!W$52/INDIRECT("'"&amp;$H$3&amp;"'!W$96")/INDIRECT("'"&amp;$H$3&amp;"'!$H$19")))))))+((2*INDIRECT("'"&amp;$H$3&amp;"'!W$98"))/INDIRECT("'"&amp;$H$3&amp;"'!W237"))+(((MAX(W313,1)-1)*INDIRECT("'"&amp;$H$3&amp;"'!W$99"))/INDIRECT("'"&amp;$H$3&amp;"'!W236")),0)</f>
        <v>0</v>
      </c>
      <c r="X316" s="1465"/>
      <c r="Y316" s="36"/>
      <c r="Z316" s="36"/>
      <c r="AA316" s="36"/>
      <c r="AB316" s="36"/>
      <c r="AC316" s="36"/>
      <c r="AD316" s="36"/>
      <c r="AE316" s="36"/>
      <c r="AF316" s="36"/>
      <c r="AG316" s="36"/>
      <c r="AH316" s="36"/>
      <c r="AI316" s="36"/>
      <c r="AJ316" s="36"/>
      <c r="AK316" s="36"/>
      <c r="AL316" s="36"/>
      <c r="AM316" s="36"/>
      <c r="AN316" s="36"/>
    </row>
    <row r="317" spans="6:40" ht="15" customHeight="1" outlineLevel="1">
      <c r="F317" s="52"/>
      <c r="G317" s="51" t="s">
        <v>204</v>
      </c>
      <c r="H317" s="836"/>
      <c r="I317" s="836"/>
      <c r="J317" s="836"/>
      <c r="K317" s="836">
        <f ca="1">IFERROR((INDIRECT("'"&amp;$H$3&amp;"'!$H$10")*INDIRECT("'"&amp;$H$3&amp;"'!$H$9")*INDIRECT("'"&amp;$H$3&amp;"'!K224"))/K316,0)</f>
        <v>0</v>
      </c>
      <c r="L317" s="836"/>
      <c r="M317" s="836"/>
      <c r="N317" s="836">
        <f ca="1">IFERROR((INDIRECT("'"&amp;$H$3&amp;"'!$H$10")*INDIRECT("'"&amp;$H$3&amp;"'!$H$9")*INDIRECT("'"&amp;$H$3&amp;"'!N224"))/N316,0)</f>
        <v>0</v>
      </c>
      <c r="O317" s="836"/>
      <c r="P317" s="836"/>
      <c r="Q317" s="836">
        <f ca="1">IFERROR((INDIRECT("'"&amp;$H$3&amp;"'!$H$10")*INDIRECT("'"&amp;$H$3&amp;"'!$H$9")*INDIRECT("'"&amp;$H$3&amp;"'!Q224"))/Q316,0)</f>
        <v>0</v>
      </c>
      <c r="R317" s="836"/>
      <c r="S317" s="836"/>
      <c r="T317" s="836">
        <f ca="1">IFERROR((INDIRECT("'"&amp;$H$3&amp;"'!$H$10")*INDIRECT("'"&amp;$H$3&amp;"'!$H$9")*INDIRECT("'"&amp;$H$3&amp;"'!T224"))/T316,0)</f>
        <v>0</v>
      </c>
      <c r="U317" s="836"/>
      <c r="V317" s="836"/>
      <c r="W317" s="836">
        <f ca="1">IFERROR((INDIRECT("'"&amp;$H$3&amp;"'!$H$10")*INDIRECT("'"&amp;$H$3&amp;"'!$H$9")*INDIRECT("'"&amp;$H$3&amp;"'!W224"))/W316,0)</f>
        <v>0</v>
      </c>
      <c r="X317" s="1465"/>
      <c r="Y317" s="36"/>
      <c r="Z317" s="36"/>
      <c r="AA317" s="36"/>
      <c r="AB317" s="36"/>
      <c r="AC317" s="36"/>
      <c r="AD317" s="36"/>
      <c r="AE317" s="36"/>
      <c r="AF317" s="36"/>
      <c r="AG317" s="36"/>
      <c r="AH317" s="36"/>
      <c r="AI317" s="36"/>
      <c r="AJ317" s="36"/>
      <c r="AK317" s="242"/>
      <c r="AL317" s="36"/>
      <c r="AM317" s="36"/>
      <c r="AN317" s="36"/>
    </row>
    <row r="318" spans="6:40" ht="15" customHeight="1" outlineLevel="1">
      <c r="F318" s="52"/>
      <c r="G318" s="1613" t="s">
        <v>134</v>
      </c>
      <c r="H318" s="842"/>
      <c r="I318" s="842"/>
      <c r="J318" s="842"/>
      <c r="K318" s="842"/>
      <c r="L318" s="842"/>
      <c r="M318" s="842"/>
      <c r="N318" s="842"/>
      <c r="O318" s="842"/>
      <c r="P318" s="842"/>
      <c r="Q318" s="842"/>
      <c r="R318" s="1650"/>
      <c r="S318" s="1650"/>
      <c r="T318" s="842"/>
      <c r="U318" s="1650"/>
      <c r="V318" s="1650"/>
      <c r="W318" s="842"/>
      <c r="X318" s="1470"/>
      <c r="Y318" s="36"/>
      <c r="Z318" s="36"/>
      <c r="AA318" s="36"/>
      <c r="AB318" s="36"/>
      <c r="AC318" s="36"/>
      <c r="AD318" s="36"/>
      <c r="AE318" s="36"/>
      <c r="AF318" s="36"/>
      <c r="AG318" s="36"/>
      <c r="AH318" s="36"/>
      <c r="AI318" s="36"/>
      <c r="AJ318" s="36"/>
      <c r="AK318" s="242"/>
      <c r="AL318" s="36"/>
      <c r="AM318" s="36"/>
      <c r="AN318" s="36"/>
    </row>
    <row r="319" spans="6:40" ht="15" customHeight="1" outlineLevel="1">
      <c r="F319" s="52"/>
      <c r="G319" s="51" t="s">
        <v>206</v>
      </c>
      <c r="H319" s="836"/>
      <c r="I319" s="836"/>
      <c r="J319" s="836"/>
      <c r="K319" s="836">
        <f ca="1">IFERROR(K308*INDIRECT("'"&amp;$H$3&amp;"'!K$96"),0)</f>
        <v>0</v>
      </c>
      <c r="L319" s="836"/>
      <c r="M319" s="836"/>
      <c r="N319" s="836">
        <f ca="1">IFERROR(N308*INDIRECT("'"&amp;$H$3&amp;"'!N$96"),0)</f>
        <v>0</v>
      </c>
      <c r="O319" s="836"/>
      <c r="P319" s="836"/>
      <c r="Q319" s="836">
        <f ca="1">IFERROR(Q308*INDIRECT("'"&amp;$H$3&amp;"'!Q$96"),0)</f>
        <v>0</v>
      </c>
      <c r="R319" s="836"/>
      <c r="S319" s="836"/>
      <c r="T319" s="836">
        <f ca="1">IFERROR(T308*INDIRECT("'"&amp;$H$3&amp;"'!T$96"),0)</f>
        <v>0</v>
      </c>
      <c r="U319" s="836"/>
      <c r="V319" s="836"/>
      <c r="W319" s="836">
        <f ca="1">IFERROR(W308*INDIRECT("'"&amp;$H$3&amp;"'!W$96"),0)</f>
        <v>0</v>
      </c>
      <c r="X319" s="1469"/>
      <c r="Y319" s="36"/>
      <c r="Z319" s="36"/>
      <c r="AA319" s="36"/>
      <c r="AB319" s="36" t="s">
        <v>192</v>
      </c>
      <c r="AC319" s="36"/>
      <c r="AD319" s="36" t="s">
        <v>193</v>
      </c>
      <c r="AE319" s="36"/>
      <c r="AF319" s="36"/>
      <c r="AG319" s="36"/>
      <c r="AH319" s="36"/>
      <c r="AI319" s="36"/>
      <c r="AJ319" s="36"/>
      <c r="AK319" s="36"/>
      <c r="AL319" s="36"/>
      <c r="AM319" s="36"/>
      <c r="AN319" s="36"/>
    </row>
    <row r="320" spans="6:40" ht="15" customHeight="1" outlineLevel="1">
      <c r="F320" s="52"/>
      <c r="G320" s="51" t="s">
        <v>87</v>
      </c>
      <c r="H320" s="836"/>
      <c r="I320" s="836"/>
      <c r="J320" s="836"/>
      <c r="K320" s="836">
        <f ca="1">IFERROR(IF(K308=0,0,2*INDIRECT("'"&amp;$H$3&amp;"'!K$98")),0)</f>
        <v>0</v>
      </c>
      <c r="L320" s="836"/>
      <c r="M320" s="836"/>
      <c r="N320" s="836">
        <f ca="1">IFERROR(IF(N308=0,0,2*INDIRECT("'"&amp;$H$3&amp;"'!N$98")),0)</f>
        <v>0</v>
      </c>
      <c r="O320" s="836"/>
      <c r="P320" s="836"/>
      <c r="Q320" s="836">
        <f ca="1">IFERROR(IF(Q308=0,0,2*INDIRECT("'"&amp;$H$3&amp;"'!Q$98")),0)</f>
        <v>0</v>
      </c>
      <c r="R320" s="836"/>
      <c r="S320" s="836"/>
      <c r="T320" s="836">
        <f ca="1">IFERROR(IF(T308=0,0,2*INDIRECT("'"&amp;$H$3&amp;"'!T$98")),0)</f>
        <v>0</v>
      </c>
      <c r="U320" s="836"/>
      <c r="V320" s="836"/>
      <c r="W320" s="836">
        <f ca="1">IFERROR(IF(W308=0,0,2*INDIRECT("'"&amp;$H$3&amp;"'!W$98")),0)</f>
        <v>0</v>
      </c>
      <c r="X320" s="1469"/>
      <c r="Y320" s="36"/>
      <c r="Z320" s="36"/>
      <c r="AA320" s="36"/>
      <c r="AB320" s="36" t="s">
        <v>194</v>
      </c>
      <c r="AC320" s="36"/>
      <c r="AD320" s="36" t="s">
        <v>195</v>
      </c>
      <c r="AE320" s="36"/>
      <c r="AF320" s="36"/>
      <c r="AG320" s="36"/>
      <c r="AH320" s="36"/>
      <c r="AI320" s="36"/>
      <c r="AJ320" s="36"/>
      <c r="AK320" s="36"/>
      <c r="AL320" s="36"/>
      <c r="AM320" s="36"/>
      <c r="AN320" s="36"/>
    </row>
    <row r="321" spans="6:40" ht="15" customHeight="1" outlineLevel="1">
      <c r="F321" s="52"/>
      <c r="G321" s="51" t="s">
        <v>204</v>
      </c>
      <c r="H321" s="837"/>
      <c r="I321" s="837"/>
      <c r="J321" s="837"/>
      <c r="K321" s="837">
        <f ca="1">IFERROR((INDIRECT("'"&amp;$H$3&amp;"'!$H$10")*INDIRECT("'"&amp;$H$3&amp;"'!$H$9")*INDIRECT("'"&amp;$H$3&amp;"'!K224"))/((K320/INDIRECT("'"&amp;$H$3&amp;"'!K237"))+((1/60)*(INDIRECT("'"&amp;$H$3&amp;"'!K233")+INDIRECT("'"&amp;$H$3&amp;"'!$H$19")*(INDIRECT("'"&amp;$H$3&amp;"'!K234")+(INDIRECT("'"&amp;$H$3&amp;"'!K235")*('3_Outputs'!K$52/INDIRECT("'"&amp;$H$3&amp;"'!K$96")/INDIRECT("'"&amp;$H$3&amp;"'!$H$19"))))))),0)</f>
        <v>0</v>
      </c>
      <c r="L321" s="837"/>
      <c r="M321" s="837"/>
      <c r="N321" s="837">
        <f ca="1">IFERROR((INDIRECT("'"&amp;$H$3&amp;"'!$H$10")*INDIRECT("'"&amp;$H$3&amp;"'!$H$9")*INDIRECT("'"&amp;$H$3&amp;"'!N224"))/((N320/INDIRECT("'"&amp;$H$3&amp;"'!N237"))+((1/60)*(INDIRECT("'"&amp;$H$3&amp;"'!N233")+INDIRECT("'"&amp;$H$3&amp;"'!$H$19")*(INDIRECT("'"&amp;$H$3&amp;"'!N234")+(INDIRECT("'"&amp;$H$3&amp;"'!N235")*('3_Outputs'!N$52/INDIRECT("'"&amp;$H$3&amp;"'!N$96")/INDIRECT("'"&amp;$H$3&amp;"'!$H$19"))))))),0)</f>
        <v>0</v>
      </c>
      <c r="O321" s="837"/>
      <c r="P321" s="837"/>
      <c r="Q321" s="837">
        <f ca="1">IFERROR((INDIRECT("'"&amp;$H$3&amp;"'!$H$10")*INDIRECT("'"&amp;$H$3&amp;"'!$H$9")*INDIRECT("'"&amp;$H$3&amp;"'!Q224"))/((Q320/INDIRECT("'"&amp;$H$3&amp;"'!Q237"))+((1/60)*(INDIRECT("'"&amp;$H$3&amp;"'!Q233")+INDIRECT("'"&amp;$H$3&amp;"'!$H$19")*(INDIRECT("'"&amp;$H$3&amp;"'!Q234")+(INDIRECT("'"&amp;$H$3&amp;"'!Q235")*('3_Outputs'!Q$52/INDIRECT("'"&amp;$H$3&amp;"'!Q$96")/INDIRECT("'"&amp;$H$3&amp;"'!$H$19"))))))),0)</f>
        <v>0</v>
      </c>
      <c r="R321" s="837"/>
      <c r="S321" s="837"/>
      <c r="T321" s="837">
        <f ca="1">IFERROR((INDIRECT("'"&amp;$H$3&amp;"'!$H$10")*INDIRECT("'"&amp;$H$3&amp;"'!$H$9")*INDIRECT("'"&amp;$H$3&amp;"'!T224"))/((T320/INDIRECT("'"&amp;$H$3&amp;"'!T237"))+((1/60)*(INDIRECT("'"&amp;$H$3&amp;"'!T233")+INDIRECT("'"&amp;$H$3&amp;"'!$H$19")*(INDIRECT("'"&amp;$H$3&amp;"'!T234")+(INDIRECT("'"&amp;$H$3&amp;"'!T235")*('3_Outputs'!T$52/INDIRECT("'"&amp;$H$3&amp;"'!T$96")/INDIRECT("'"&amp;$H$3&amp;"'!$H$19"))))))),0)</f>
        <v>0</v>
      </c>
      <c r="U321" s="837"/>
      <c r="V321" s="837"/>
      <c r="W321" s="837">
        <f ca="1">IFERROR((INDIRECT("'"&amp;$H$3&amp;"'!$H$10")*INDIRECT("'"&amp;$H$3&amp;"'!$H$9")*INDIRECT("'"&amp;$H$3&amp;"'!W224"))/((W320/INDIRECT("'"&amp;$H$3&amp;"'!W237"))+((1/60)*(INDIRECT("'"&amp;$H$3&amp;"'!W233")+INDIRECT("'"&amp;$H$3&amp;"'!$H$19")*(INDIRECT("'"&amp;$H$3&amp;"'!W234")+(INDIRECT("'"&amp;$H$3&amp;"'!W235")*('3_Outputs'!W$52/INDIRECT("'"&amp;$H$3&amp;"'!W$96")/INDIRECT("'"&amp;$H$3&amp;"'!$H$19"))))))),0)</f>
        <v>0</v>
      </c>
      <c r="X321" s="1468"/>
      <c r="Y321" s="36"/>
      <c r="Z321" s="36"/>
      <c r="AA321" s="36"/>
      <c r="AB321" s="36" t="s">
        <v>196</v>
      </c>
      <c r="AC321" s="36"/>
      <c r="AD321" s="36" t="s">
        <v>197</v>
      </c>
      <c r="AE321" s="36"/>
      <c r="AF321" s="36"/>
      <c r="AG321" s="36"/>
      <c r="AH321" s="36"/>
      <c r="AI321" s="36"/>
      <c r="AJ321" s="36"/>
      <c r="AK321" s="36"/>
      <c r="AL321" s="36"/>
      <c r="AM321" s="36"/>
      <c r="AN321" s="36"/>
    </row>
    <row r="322" spans="6:40" ht="48" customHeight="1">
      <c r="F322" s="1661" t="s">
        <v>2505</v>
      </c>
      <c r="G322" s="1662"/>
      <c r="H322" s="1673"/>
      <c r="I322" s="1673"/>
      <c r="J322" s="1673"/>
      <c r="K322" s="1516" t="str">
        <f ca="1">IF($H$9&gt;=2,INDIRECT("'"&amp;$H$3&amp;"'!J$130"),"")</f>
        <v>CMS  to  Regional WH</v>
      </c>
      <c r="L322" s="1516" t="str">
        <f t="shared" ref="L322:V322" ca="1" si="20">IF($H$9&gt;=1,"Tier 1","")</f>
        <v>Tier 1</v>
      </c>
      <c r="M322" s="1516" t="str">
        <f t="shared" ca="1" si="20"/>
        <v>Tier 1</v>
      </c>
      <c r="N322" s="1516" t="str">
        <f ca="1">IF($H$9&gt;=3,INDIRECT("'"&amp;$H$3&amp;"'!M$130"),"")</f>
        <v>Regional WH  to  Health Facility</v>
      </c>
      <c r="O322" s="1516" t="str">
        <f t="shared" ca="1" si="20"/>
        <v>Tier 1</v>
      </c>
      <c r="P322" s="1516" t="str">
        <f t="shared" ca="1" si="20"/>
        <v>Tier 1</v>
      </c>
      <c r="Q322" s="1517" t="str">
        <f ca="1">IF($H$9&gt;=4,INDIRECT("'"&amp;$H$3&amp;"'!P$130"),"")</f>
        <v/>
      </c>
      <c r="R322" s="1511" t="str">
        <f t="shared" ca="1" si="20"/>
        <v>Tier 1</v>
      </c>
      <c r="S322" s="1511" t="str">
        <f t="shared" ca="1" si="20"/>
        <v>Tier 1</v>
      </c>
      <c r="T322" s="1517" t="str">
        <f ca="1">IF($H$9&gt;=5,INDIRECT("'"&amp;$H$3&amp;"'!S$130"),"")</f>
        <v/>
      </c>
      <c r="U322" s="1518" t="str">
        <f t="shared" ca="1" si="20"/>
        <v>Tier 1</v>
      </c>
      <c r="V322" s="1518" t="str">
        <f t="shared" ca="1" si="20"/>
        <v>Tier 1</v>
      </c>
      <c r="W322" s="1517" t="str">
        <f ca="1">IF($H$9&gt;=6,INDIRECT("'"&amp;$H$3&amp;"'!V$130"),"")</f>
        <v/>
      </c>
      <c r="X322" s="1474"/>
      <c r="Y322" s="36"/>
      <c r="Z322" s="36"/>
      <c r="AA322" s="36"/>
      <c r="AB322" s="36"/>
      <c r="AC322" s="36"/>
      <c r="AD322" s="36"/>
      <c r="AE322" s="36"/>
      <c r="AF322" s="36"/>
      <c r="AG322" s="36"/>
      <c r="AH322" s="36"/>
      <c r="AI322" s="36"/>
      <c r="AJ322" s="36"/>
      <c r="AK322" s="36"/>
      <c r="AL322" s="36"/>
      <c r="AM322" s="36"/>
      <c r="AN322" s="36"/>
    </row>
    <row r="323" spans="6:40" ht="15" customHeight="1" outlineLevel="1">
      <c r="F323" s="1664" t="s">
        <v>149</v>
      </c>
      <c r="G323" s="1664"/>
      <c r="H323" s="865"/>
      <c r="I323" s="865"/>
      <c r="J323" s="865"/>
      <c r="K323" s="865"/>
      <c r="L323" s="865"/>
      <c r="M323" s="865"/>
      <c r="N323" s="865"/>
      <c r="O323" s="1674"/>
      <c r="P323" s="1674"/>
      <c r="Q323" s="1671"/>
      <c r="R323" s="1672"/>
      <c r="S323" s="1672"/>
      <c r="T323" s="1671"/>
      <c r="U323" s="1672"/>
      <c r="V323" s="1672"/>
      <c r="W323" s="1671"/>
      <c r="X323" s="1479"/>
      <c r="Y323" s="36"/>
      <c r="Z323" s="36"/>
      <c r="AA323" s="36"/>
      <c r="AB323" s="36"/>
      <c r="AC323" s="36"/>
      <c r="AD323" s="36"/>
      <c r="AE323" s="36"/>
      <c r="AF323" s="36"/>
      <c r="AG323" s="36"/>
      <c r="AH323" s="36"/>
      <c r="AI323" s="36"/>
      <c r="AJ323" s="36"/>
      <c r="AK323" s="242"/>
      <c r="AL323" s="36"/>
      <c r="AM323" s="36"/>
      <c r="AN323" s="36"/>
    </row>
    <row r="324" spans="6:40" ht="15" customHeight="1" outlineLevel="1">
      <c r="F324" s="52"/>
      <c r="G324" s="51" t="s">
        <v>146</v>
      </c>
      <c r="H324" s="837"/>
      <c r="I324" s="837"/>
      <c r="J324" s="837"/>
      <c r="K324" s="837">
        <f ca="1">IFERROR(IF(COUNTIF(INDIRECT("'"&amp;$H$3&amp;"'!K240"),"Public Transport*")=1,IF(INDIRECT("'"&amp;$H$3&amp;"'!K248")="Route-based",K331*INDIRECT("'"&amp;$H$3&amp;"'!K$96"),IF(INDIRECT("'"&amp;$H$3&amp;"'!K248")="Point-to-point",K334*INDIRECT("'"&amp;$H$3&amp;"'!K$96"),0)),0),0)</f>
        <v>0</v>
      </c>
      <c r="L324" s="837"/>
      <c r="M324" s="837"/>
      <c r="N324" s="837">
        <f ca="1">IFERROR(IF(COUNTIF(INDIRECT("'"&amp;$H$3&amp;"'!N240"),"Public Transport*")=1,IF(INDIRECT("'"&amp;$H$3&amp;"'!N248")="Route-based",N331*INDIRECT("'"&amp;$H$3&amp;"'!N$96"),IF(INDIRECT("'"&amp;$H$3&amp;"'!N248")="Point-to-point",N334*INDIRECT("'"&amp;$H$3&amp;"'!N$96"),0)),0),0)</f>
        <v>0</v>
      </c>
      <c r="O324" s="837"/>
      <c r="P324" s="837"/>
      <c r="Q324" s="837">
        <f ca="1">IFERROR(IF(COUNTIF(INDIRECT("'"&amp;$H$3&amp;"'!Q240"),"Public Transport*")=1,IF(INDIRECT("'"&amp;$H$3&amp;"'!Q248")="Route-based",Q331*INDIRECT("'"&amp;$H$3&amp;"'!Q$96"),IF(INDIRECT("'"&amp;$H$3&amp;"'!Q248")="Point-to-point",Q334*INDIRECT("'"&amp;$H$3&amp;"'!Q$96"),0)),0),0)</f>
        <v>0</v>
      </c>
      <c r="R324" s="1650"/>
      <c r="S324" s="1650"/>
      <c r="T324" s="837">
        <f ca="1">IFERROR(IF(COUNTIF(INDIRECT("'"&amp;$H$3&amp;"'!T240"),"Public Transport*")=1,IF(INDIRECT("'"&amp;$H$3&amp;"'!T248")="Route-based",T331*INDIRECT("'"&amp;$H$3&amp;"'!T$96"),IF(INDIRECT("'"&amp;$H$3&amp;"'!T248")="Point-to-point",T334*INDIRECT("'"&amp;$H$3&amp;"'!T$96"),0)),0),0)</f>
        <v>0</v>
      </c>
      <c r="U324" s="1650"/>
      <c r="V324" s="1650"/>
      <c r="W324" s="837">
        <f ca="1">IFERROR(IF(COUNTIF(INDIRECT("'"&amp;$H$3&amp;"'!W240"),"Public Transport*")=1,IF(INDIRECT("'"&amp;$H$3&amp;"'!W248")="Route-based",W331*INDIRECT("'"&amp;$H$3&amp;"'!W$96"),IF(INDIRECT("'"&amp;$H$3&amp;"'!W248")="Point-to-point",W334*INDIRECT("'"&amp;$H$3&amp;"'!W$96"),0)),0),0)</f>
        <v>0</v>
      </c>
      <c r="X324" s="1468"/>
      <c r="Y324" s="36"/>
      <c r="Z324" s="36"/>
      <c r="AA324" s="36"/>
      <c r="AB324" s="36"/>
      <c r="AC324" s="36"/>
      <c r="AD324" s="36"/>
      <c r="AE324" s="36"/>
      <c r="AF324" s="36"/>
      <c r="AG324" s="36"/>
      <c r="AH324" s="36"/>
      <c r="AI324" s="36"/>
      <c r="AJ324" s="36"/>
      <c r="AK324" s="242"/>
      <c r="AL324" s="36"/>
      <c r="AM324" s="36"/>
      <c r="AN324" s="36"/>
    </row>
    <row r="325" spans="6:40" ht="15" customHeight="1" outlineLevel="1">
      <c r="F325" s="52"/>
      <c r="G325" s="51" t="s">
        <v>147</v>
      </c>
      <c r="H325" s="837"/>
      <c r="I325" s="837"/>
      <c r="J325" s="837"/>
      <c r="K325" s="837">
        <f ca="1">IFERROR(IF(INDIRECT("'"&amp;$H$3&amp;"'!K248")="Route-based",K332*INDIRECT("'"&amp;$H$3&amp;"'!K$96"),IF(INDIRECT("'"&amp;$H$3&amp;"'!K248")="Point-to-point",K335*INDIRECT("'"&amp;$H$3&amp;"'!K$96"),0)),0)</f>
        <v>0</v>
      </c>
      <c r="L325" s="837"/>
      <c r="M325" s="837"/>
      <c r="N325" s="837">
        <f ca="1">IFERROR(IF(INDIRECT("'"&amp;$H$3&amp;"'!N248")="Route-based",N332*INDIRECT("'"&amp;$H$3&amp;"'!N$96"),IF(INDIRECT("'"&amp;$H$3&amp;"'!N248")="Point-to-point",N335*INDIRECT("'"&amp;$H$3&amp;"'!N$96"),0)),0)</f>
        <v>0</v>
      </c>
      <c r="O325" s="837"/>
      <c r="P325" s="837"/>
      <c r="Q325" s="837">
        <f ca="1">IFERROR(IF(INDIRECT("'"&amp;$H$3&amp;"'!Q248")="Route-based",Q332*INDIRECT("'"&amp;$H$3&amp;"'!Q$96"),IF(INDIRECT("'"&amp;$H$3&amp;"'!Q248")="Point-to-point",Q335*INDIRECT("'"&amp;$H$3&amp;"'!Q$96"),0)),0)</f>
        <v>0</v>
      </c>
      <c r="R325" s="1650"/>
      <c r="S325" s="1650"/>
      <c r="T325" s="837">
        <f ca="1">IFERROR(IF(INDIRECT("'"&amp;$H$3&amp;"'!T248")="Route-based",T332*INDIRECT("'"&amp;$H$3&amp;"'!T$96"),IF(INDIRECT("'"&amp;$H$3&amp;"'!T248")="Point-to-point",T335*INDIRECT("'"&amp;$H$3&amp;"'!T$96"),0)),0)</f>
        <v>0</v>
      </c>
      <c r="U325" s="1650"/>
      <c r="V325" s="1650"/>
      <c r="W325" s="837">
        <f ca="1">IFERROR(IF(INDIRECT("'"&amp;$H$3&amp;"'!W248")="Route-based",W332*INDIRECT("'"&amp;$H$3&amp;"'!W$96"),IF(INDIRECT("'"&amp;$H$3&amp;"'!W248")="Point-to-point",W335*INDIRECT("'"&amp;$H$3&amp;"'!W$96"),0)),0)</f>
        <v>0</v>
      </c>
      <c r="X325" s="1468"/>
      <c r="Y325" s="36"/>
      <c r="Z325" s="36"/>
      <c r="AA325" s="36"/>
      <c r="AB325" s="36"/>
      <c r="AC325" s="36"/>
      <c r="AD325" s="36"/>
      <c r="AE325" s="36"/>
      <c r="AF325" s="36"/>
      <c r="AG325" s="36"/>
      <c r="AH325" s="36"/>
      <c r="AI325" s="36"/>
      <c r="AJ325" s="36"/>
      <c r="AK325" s="242"/>
      <c r="AL325" s="36"/>
      <c r="AM325" s="36"/>
      <c r="AN325" s="36"/>
    </row>
    <row r="326" spans="6:40" ht="15" customHeight="1" outlineLevel="1">
      <c r="F326" s="52"/>
      <c r="G326" s="51" t="s">
        <v>142</v>
      </c>
      <c r="H326" s="1651"/>
      <c r="I326" s="1651"/>
      <c r="J326" s="1651"/>
      <c r="K326" s="1651">
        <f ca="1">IFERROR(IF(COUNTIF(INDIRECT("'"&amp;$H$3&amp;"'!K240"),"Public Transport*")&gt;0,ROUND(INDIRECT("'"&amp;$H$3&amp;"'!K$95")*INDIRECT("'"&amp;$H$3&amp;"'!K239"),0),0),0)</f>
        <v>0</v>
      </c>
      <c r="L326" s="1651"/>
      <c r="M326" s="1651"/>
      <c r="N326" s="1651">
        <f ca="1">IFERROR(IF(COUNTIF(INDIRECT("'"&amp;$H$3&amp;"'!N240"),"Public Transport*")&gt;0,ROUND(INDIRECT("'"&amp;$H$3&amp;"'!N$95")*INDIRECT("'"&amp;$H$3&amp;"'!N239"),0),0),0)</f>
        <v>0</v>
      </c>
      <c r="O326" s="1651"/>
      <c r="P326" s="1651"/>
      <c r="Q326" s="1651">
        <f ca="1">IFERROR(IF(COUNTIF(INDIRECT("'"&amp;$H$3&amp;"'!Q240"),"Public Transport*")&gt;0,ROUND(INDIRECT("'"&amp;$H$3&amp;"'!Q$95")*INDIRECT("'"&amp;$H$3&amp;"'!Q239"),0),0),0)</f>
        <v>0</v>
      </c>
      <c r="R326" s="1650"/>
      <c r="S326" s="1650"/>
      <c r="T326" s="1651">
        <f ca="1">IFERROR(IF(COUNTIF(INDIRECT("'"&amp;$H$3&amp;"'!T240"),"Public Transport*")&gt;0,ROUND(INDIRECT("'"&amp;$H$3&amp;"'!T$95")*INDIRECT("'"&amp;$H$3&amp;"'!T239"),0),0),0)</f>
        <v>0</v>
      </c>
      <c r="U326" s="1650"/>
      <c r="V326" s="1650"/>
      <c r="W326" s="1651">
        <f ca="1">IFERROR(IF(COUNTIF(INDIRECT("'"&amp;$H$3&amp;"'!W240"),"Public Transport*")&gt;0,ROUND(INDIRECT("'"&amp;$H$3&amp;"'!W$95")*INDIRECT("'"&amp;$H$3&amp;"'!W239"),0),0),0)</f>
        <v>0</v>
      </c>
      <c r="X326" s="1466"/>
      <c r="Y326" s="36"/>
      <c r="Z326" s="36"/>
      <c r="AA326" s="36"/>
      <c r="AB326" s="36"/>
      <c r="AC326" s="36"/>
      <c r="AD326" s="36"/>
      <c r="AE326" s="36"/>
      <c r="AF326" s="36"/>
      <c r="AG326" s="36"/>
      <c r="AH326" s="36"/>
      <c r="AI326" s="36"/>
      <c r="AJ326" s="36"/>
      <c r="AK326" s="36"/>
      <c r="AL326" s="36"/>
      <c r="AM326" s="36"/>
      <c r="AN326" s="36"/>
    </row>
    <row r="327" spans="6:40" ht="15" customHeight="1" outlineLevel="1">
      <c r="F327" s="52"/>
      <c r="G327" s="1613" t="s">
        <v>150</v>
      </c>
      <c r="H327" s="842"/>
      <c r="I327" s="842"/>
      <c r="J327" s="842"/>
      <c r="K327" s="842"/>
      <c r="L327" s="842"/>
      <c r="M327" s="842"/>
      <c r="N327" s="842"/>
      <c r="O327" s="842"/>
      <c r="P327" s="842"/>
      <c r="Q327" s="842"/>
      <c r="R327" s="1650"/>
      <c r="S327" s="1650"/>
      <c r="T327" s="842"/>
      <c r="U327" s="1650"/>
      <c r="V327" s="1650"/>
      <c r="W327" s="842"/>
      <c r="X327" s="1470"/>
      <c r="Y327" s="36"/>
      <c r="Z327" s="36"/>
      <c r="AA327" s="36"/>
      <c r="AB327" s="36"/>
      <c r="AC327" s="36"/>
      <c r="AD327" s="36"/>
      <c r="AE327" s="36"/>
      <c r="AF327" s="36"/>
      <c r="AG327" s="36"/>
      <c r="AH327" s="36"/>
      <c r="AI327" s="36"/>
      <c r="AJ327" s="36"/>
      <c r="AK327" s="36"/>
      <c r="AL327" s="36"/>
      <c r="AM327" s="36"/>
      <c r="AN327" s="36"/>
    </row>
    <row r="328" spans="6:40" ht="15" customHeight="1" outlineLevel="1">
      <c r="F328" s="52"/>
      <c r="G328" s="51" t="s">
        <v>140</v>
      </c>
      <c r="H328" s="836"/>
      <c r="I328" s="836"/>
      <c r="J328" s="836"/>
      <c r="K328" s="836">
        <f ca="1">IFERROR(ROUND(INDIRECT("'"&amp;$H$3&amp;"'!$H$10")/(((1/60)*(INDIRECT("'"&amp;$H$3&amp;"'!K253")+INDIRECT("'"&amp;$H$3&amp;"'!$H$19")*(INDIRECT("'"&amp;$H$3&amp;"'!K254")+(INDIRECT("'"&amp;$H$3&amp;"'!K255")*('3_Outputs'!K$52/INDIRECT("'"&amp;$H$3&amp;"'!K$96")/INDIRECT("'"&amp;$H$3&amp;"'!$H$19"))))))+INDEX(INDIRECT("'"&amp;$H$3&amp;"'!$H$43:$H$78"),MATCH(INDIRECT("'"&amp;$H$3&amp;"'!K240")&amp;"Average duration (hrs) per trip",INDIRECT("'"&amp;$H$3&amp;"'!$F$43:$F$78"),0))),1),0)</f>
        <v>0</v>
      </c>
      <c r="L328" s="836"/>
      <c r="M328" s="836"/>
      <c r="N328" s="836">
        <f ca="1">IFERROR(ROUND(INDIRECT("'"&amp;$H$3&amp;"'!$H$10")/(((1/60)*(INDIRECT("'"&amp;$H$3&amp;"'!N253")+INDIRECT("'"&amp;$H$3&amp;"'!$H$19")*(INDIRECT("'"&amp;$H$3&amp;"'!N254")+(INDIRECT("'"&amp;$H$3&amp;"'!N255")*('3_Outputs'!N$52/INDIRECT("'"&amp;$H$3&amp;"'!N$96")/INDIRECT("'"&amp;$H$3&amp;"'!$H$19"))))))+INDEX(INDIRECT("'"&amp;$H$3&amp;"'!$H$43:$H$78"),MATCH(INDIRECT("'"&amp;$H$3&amp;"'!N240")&amp;"Average duration (hrs) per trip",INDIRECT("'"&amp;$H$3&amp;"'!$F$43:$F$78"),0))),1),0)</f>
        <v>0</v>
      </c>
      <c r="O328" s="836"/>
      <c r="P328" s="836"/>
      <c r="Q328" s="836">
        <f ca="1">IFERROR(ROUND(INDIRECT("'"&amp;$H$3&amp;"'!$H$10")/(((1/60)*(INDIRECT("'"&amp;$H$3&amp;"'!Q253")+INDIRECT("'"&amp;$H$3&amp;"'!$H$19")*(INDIRECT("'"&amp;$H$3&amp;"'!Q254")+(INDIRECT("'"&amp;$H$3&amp;"'!Q255")*('3_Outputs'!Q$52/INDIRECT("'"&amp;$H$3&amp;"'!Q$96")/INDIRECT("'"&amp;$H$3&amp;"'!$H$19"))))))+INDEX(INDIRECT("'"&amp;$H$3&amp;"'!$H$43:$H$78"),MATCH(INDIRECT("'"&amp;$H$3&amp;"'!Q240")&amp;"Average duration (hrs) per trip",INDIRECT("'"&amp;$H$3&amp;"'!$F$43:$F$78"),0))),1),0)</f>
        <v>0</v>
      </c>
      <c r="R328" s="836"/>
      <c r="S328" s="836"/>
      <c r="T328" s="836">
        <f ca="1">IFERROR(ROUND(INDIRECT("'"&amp;$H$3&amp;"'!$H$10")/(((1/60)*(INDIRECT("'"&amp;$H$3&amp;"'!T253")+INDIRECT("'"&amp;$H$3&amp;"'!$H$19")*(INDIRECT("'"&amp;$H$3&amp;"'!T254")+(INDIRECT("'"&amp;$H$3&amp;"'!T255")*('3_Outputs'!T$52/INDIRECT("'"&amp;$H$3&amp;"'!T$96")/INDIRECT("'"&amp;$H$3&amp;"'!$H$19"))))))+INDEX(INDIRECT("'"&amp;$H$3&amp;"'!$H$43:$H$78"),MATCH(INDIRECT("'"&amp;$H$3&amp;"'!T240")&amp;"Average duration (hrs) per trip",INDIRECT("'"&amp;$H$3&amp;"'!$F$43:$F$78"),0))),1),0)</f>
        <v>0</v>
      </c>
      <c r="U328" s="836"/>
      <c r="V328" s="836"/>
      <c r="W328" s="836">
        <f ca="1">IFERROR(ROUND(INDIRECT("'"&amp;$H$3&amp;"'!$H$10")/(((1/60)*(INDIRECT("'"&amp;$H$3&amp;"'!W253")+INDIRECT("'"&amp;$H$3&amp;"'!$H$19")*(INDIRECT("'"&amp;$H$3&amp;"'!W254")+(INDIRECT("'"&amp;$H$3&amp;"'!W255")*('3_Outputs'!W$52/INDIRECT("'"&amp;$H$3&amp;"'!W$96")/INDIRECT("'"&amp;$H$3&amp;"'!$H$19"))))))+INDEX(INDIRECT("'"&amp;$H$3&amp;"'!$H$43:$H$78"),MATCH(INDIRECT("'"&amp;$H$3&amp;"'!W240")&amp;"Average duration (hrs) per trip",INDIRECT("'"&amp;$H$3&amp;"'!$F$43:$F$78"),0))),1),0)</f>
        <v>0</v>
      </c>
      <c r="X328" s="1469"/>
      <c r="Y328" s="36"/>
      <c r="Z328" s="36"/>
      <c r="AA328" s="36"/>
      <c r="AB328" s="36"/>
      <c r="AC328" s="36"/>
      <c r="AD328" s="36"/>
      <c r="AE328" s="36"/>
      <c r="AF328" s="36"/>
      <c r="AG328" s="36"/>
      <c r="AH328" s="36"/>
      <c r="AI328" s="36"/>
      <c r="AJ328" s="36"/>
      <c r="AK328" s="36"/>
      <c r="AL328" s="36"/>
      <c r="AM328" s="36"/>
      <c r="AN328" s="36"/>
    </row>
    <row r="329" spans="6:40" ht="15" customHeight="1" outlineLevel="1">
      <c r="F329" s="52"/>
      <c r="G329" s="51" t="s">
        <v>141</v>
      </c>
      <c r="H329" s="836"/>
      <c r="I329" s="836"/>
      <c r="J329" s="836"/>
      <c r="K329" s="836">
        <f ca="1">IFERROR(ROUND(K328*INDIRECT("'"&amp;$H$3&amp;"'!K249"),0),0)</f>
        <v>0</v>
      </c>
      <c r="L329" s="836"/>
      <c r="M329" s="836"/>
      <c r="N329" s="836">
        <f ca="1">IFERROR(ROUND(N328*INDIRECT("'"&amp;$H$3&amp;"'!N249"),0),0)</f>
        <v>0</v>
      </c>
      <c r="O329" s="836"/>
      <c r="P329" s="836"/>
      <c r="Q329" s="836">
        <f ca="1">IFERROR(ROUND(Q328*INDIRECT("'"&amp;$H$3&amp;"'!Q249"),0),0)</f>
        <v>0</v>
      </c>
      <c r="R329" s="836"/>
      <c r="S329" s="836"/>
      <c r="T329" s="836">
        <f ca="1">IFERROR(ROUND(T328*INDIRECT("'"&amp;$H$3&amp;"'!T249"),0),0)</f>
        <v>0</v>
      </c>
      <c r="U329" s="836"/>
      <c r="V329" s="836"/>
      <c r="W329" s="836">
        <f ca="1">IFERROR(ROUND(W328*INDIRECT("'"&amp;$H$3&amp;"'!W249"),0),0)</f>
        <v>0</v>
      </c>
      <c r="X329" s="1469"/>
      <c r="Y329" s="36"/>
      <c r="Z329" s="36"/>
      <c r="AA329" s="36"/>
      <c r="AB329" s="36"/>
      <c r="AC329" s="36"/>
      <c r="AD329" s="36"/>
      <c r="AE329" s="36"/>
      <c r="AF329" s="36"/>
      <c r="AG329" s="36"/>
      <c r="AH329" s="36"/>
      <c r="AI329" s="36"/>
      <c r="AJ329" s="36"/>
      <c r="AK329" s="36"/>
      <c r="AL329" s="36"/>
      <c r="AM329" s="36"/>
      <c r="AN329" s="36"/>
    </row>
    <row r="330" spans="6:40" ht="15" customHeight="1" outlineLevel="1">
      <c r="F330" s="52"/>
      <c r="G330" s="51" t="s">
        <v>143</v>
      </c>
      <c r="H330" s="836"/>
      <c r="I330" s="836"/>
      <c r="J330" s="836"/>
      <c r="K330" s="836">
        <f ca="1">IFERROR(K326/K329,0)</f>
        <v>0</v>
      </c>
      <c r="L330" s="836"/>
      <c r="M330" s="836"/>
      <c r="N330" s="836">
        <f ca="1">IFERROR(N326/N329,0)</f>
        <v>0</v>
      </c>
      <c r="O330" s="836"/>
      <c r="P330" s="836"/>
      <c r="Q330" s="836">
        <f ca="1">IFERROR(Q326/Q329,0)</f>
        <v>0</v>
      </c>
      <c r="R330" s="836"/>
      <c r="S330" s="836"/>
      <c r="T330" s="836">
        <f ca="1">IFERROR(T326/T329,0)</f>
        <v>0</v>
      </c>
      <c r="U330" s="836"/>
      <c r="V330" s="836"/>
      <c r="W330" s="836">
        <f ca="1">IFERROR(W326/W329,0)</f>
        <v>0</v>
      </c>
      <c r="X330" s="1469"/>
      <c r="Y330" s="36"/>
      <c r="Z330" s="36"/>
      <c r="AA330" s="36"/>
      <c r="AB330" s="36"/>
      <c r="AC330" s="36"/>
      <c r="AD330" s="36"/>
      <c r="AE330" s="36"/>
      <c r="AF330" s="36"/>
      <c r="AG330" s="36"/>
      <c r="AH330" s="36"/>
      <c r="AI330" s="36"/>
      <c r="AJ330" s="36"/>
      <c r="AK330" s="36"/>
      <c r="AL330" s="36"/>
      <c r="AM330" s="36"/>
      <c r="AN330" s="36"/>
    </row>
    <row r="331" spans="6:40" ht="15" customHeight="1" outlineLevel="1">
      <c r="F331" s="52"/>
      <c r="G331" s="51" t="s">
        <v>144</v>
      </c>
      <c r="H331" s="836"/>
      <c r="I331" s="836"/>
      <c r="J331" s="836"/>
      <c r="K331" s="836">
        <f ca="1">IFERROR((K330*(K329+1)),0)</f>
        <v>0</v>
      </c>
      <c r="L331" s="836"/>
      <c r="M331" s="836"/>
      <c r="N331" s="836">
        <f ca="1">IFERROR((N330*(N329+1)),0)</f>
        <v>0</v>
      </c>
      <c r="O331" s="836"/>
      <c r="P331" s="836"/>
      <c r="Q331" s="836">
        <f ca="1">IFERROR((Q330*(Q329+1)),0)</f>
        <v>0</v>
      </c>
      <c r="R331" s="836"/>
      <c r="S331" s="836"/>
      <c r="T331" s="836">
        <f ca="1">IFERROR((T330*(T329+1)),0)</f>
        <v>0</v>
      </c>
      <c r="U331" s="836"/>
      <c r="V331" s="836"/>
      <c r="W331" s="836">
        <f ca="1">IFERROR((W330*(W329+1)),0)</f>
        <v>0</v>
      </c>
      <c r="X331" s="1469"/>
      <c r="Y331" s="36"/>
      <c r="Z331" s="36"/>
      <c r="AA331" s="36"/>
      <c r="AB331" s="36"/>
      <c r="AC331" s="36"/>
      <c r="AD331" s="36"/>
      <c r="AE331" s="36"/>
      <c r="AF331" s="36"/>
      <c r="AG331" s="36"/>
      <c r="AH331" s="36"/>
      <c r="AI331" s="36"/>
      <c r="AJ331" s="36"/>
      <c r="AK331" s="242"/>
      <c r="AL331" s="36"/>
      <c r="AM331" s="36"/>
      <c r="AN331" s="36"/>
    </row>
    <row r="332" spans="6:40" ht="15" customHeight="1" outlineLevel="1">
      <c r="F332" s="52"/>
      <c r="G332" s="51" t="s">
        <v>145</v>
      </c>
      <c r="H332" s="836"/>
      <c r="I332" s="836"/>
      <c r="J332" s="836"/>
      <c r="K332" s="836">
        <f ca="1">IFERROR(ROUNDUP(((K331*INDEX(INDIRECT("'"&amp;$H$3&amp;"'!$H$43:$H$78"),MATCH(INDIRECT("'"&amp;$H$3&amp;"'!K240")&amp;"Average duration (hrs) per trip",INDIRECT("'"&amp;$H$3&amp;"'!$F$43:$F$78"),0)))+(K326*((1/60)*(INDIRECT("'"&amp;$H$3&amp;"'!K253")+INDIRECT("'"&amp;$H$3&amp;"'!$H$19")*(INDIRECT("'"&amp;$H$3&amp;"'!K254")+(INDIRECT("'"&amp;$H$3&amp;"'!K255")*('3_Outputs'!K$52/INDIRECT("'"&amp;$H$3&amp;"'!K$96")/INDIRECT("'"&amp;$H$3&amp;"'!$H$19"))))))))/INDIRECT("'"&amp;$H$3&amp;"'!$H$10"),0),0)</f>
        <v>0</v>
      </c>
      <c r="L332" s="836"/>
      <c r="M332" s="836"/>
      <c r="N332" s="836">
        <f ca="1">IFERROR(ROUNDUP(((N331*INDEX(INDIRECT("'"&amp;$H$3&amp;"'!$H$43:$H$78"),MATCH(INDIRECT("'"&amp;$H$3&amp;"'!N240")&amp;"Average duration (hrs) per trip",INDIRECT("'"&amp;$H$3&amp;"'!$F$43:$F$78"),0)))+(N326*((1/60)*(INDIRECT("'"&amp;$H$3&amp;"'!N253")+INDIRECT("'"&amp;$H$3&amp;"'!$H$19")*(INDIRECT("'"&amp;$H$3&amp;"'!N254")+(INDIRECT("'"&amp;$H$3&amp;"'!N255")*('3_Outputs'!N$52/INDIRECT("'"&amp;$H$3&amp;"'!N$96")/INDIRECT("'"&amp;$H$3&amp;"'!$H$19"))))))))/INDIRECT("'"&amp;$H$3&amp;"'!$H$10"),0),0)</f>
        <v>0</v>
      </c>
      <c r="O332" s="836"/>
      <c r="P332" s="836"/>
      <c r="Q332" s="836">
        <f ca="1">IFERROR(ROUNDUP(((Q331*INDEX(INDIRECT("'"&amp;$H$3&amp;"'!$H$43:$H$78"),MATCH(INDIRECT("'"&amp;$H$3&amp;"'!Q240")&amp;"Average duration (hrs) per trip",INDIRECT("'"&amp;$H$3&amp;"'!$F$43:$F$78"),0)))+(Q326*((1/60)*(INDIRECT("'"&amp;$H$3&amp;"'!Q253")+INDIRECT("'"&amp;$H$3&amp;"'!$H$19")*(INDIRECT("'"&amp;$H$3&amp;"'!Q254")+(INDIRECT("'"&amp;$H$3&amp;"'!Q255")*('3_Outputs'!Q$52/INDIRECT("'"&amp;$H$3&amp;"'!Q$96")/INDIRECT("'"&amp;$H$3&amp;"'!$H$19"))))))))/INDIRECT("'"&amp;$H$3&amp;"'!$H$10"),0),0)</f>
        <v>0</v>
      </c>
      <c r="R332" s="836"/>
      <c r="S332" s="836"/>
      <c r="T332" s="836">
        <f ca="1">IFERROR(ROUNDUP(((T331*INDEX(INDIRECT("'"&amp;$H$3&amp;"'!$H$43:$H$78"),MATCH(INDIRECT("'"&amp;$H$3&amp;"'!T240")&amp;"Average duration (hrs) per trip",INDIRECT("'"&amp;$H$3&amp;"'!$F$43:$F$78"),0)))+(T326*((1/60)*(INDIRECT("'"&amp;$H$3&amp;"'!T253")+INDIRECT("'"&amp;$H$3&amp;"'!$H$19")*(INDIRECT("'"&amp;$H$3&amp;"'!T254")+(INDIRECT("'"&amp;$H$3&amp;"'!T255")*('3_Outputs'!T$52/INDIRECT("'"&amp;$H$3&amp;"'!T$96")/INDIRECT("'"&amp;$H$3&amp;"'!$H$19"))))))))/INDIRECT("'"&amp;$H$3&amp;"'!$H$10"),0),0)</f>
        <v>0</v>
      </c>
      <c r="U332" s="836"/>
      <c r="V332" s="836"/>
      <c r="W332" s="836">
        <f ca="1">IFERROR(ROUNDUP(((W331*INDEX(INDIRECT("'"&amp;$H$3&amp;"'!$H$43:$H$78"),MATCH(INDIRECT("'"&amp;$H$3&amp;"'!W240")&amp;"Average duration (hrs) per trip",INDIRECT("'"&amp;$H$3&amp;"'!$F$43:$F$78"),0)))+(W326*((1/60)*(INDIRECT("'"&amp;$H$3&amp;"'!W253")+INDIRECT("'"&amp;$H$3&amp;"'!$H$19")*(INDIRECT("'"&amp;$H$3&amp;"'!W254")+(INDIRECT("'"&amp;$H$3&amp;"'!W255")*('3_Outputs'!W$52/INDIRECT("'"&amp;$H$3&amp;"'!W$96")/INDIRECT("'"&amp;$H$3&amp;"'!$H$19"))))))))/INDIRECT("'"&amp;$H$3&amp;"'!$H$10"),0),0)</f>
        <v>0</v>
      </c>
      <c r="X332" s="1469"/>
      <c r="Y332" s="36"/>
      <c r="Z332" s="36"/>
      <c r="AA332" s="36"/>
      <c r="AB332" s="36"/>
      <c r="AC332" s="36"/>
      <c r="AD332" s="36"/>
      <c r="AE332" s="36"/>
      <c r="AF332" s="36"/>
      <c r="AG332" s="36"/>
      <c r="AH332" s="36"/>
      <c r="AI332" s="36"/>
      <c r="AJ332" s="36"/>
      <c r="AK332" s="242"/>
      <c r="AL332" s="36"/>
      <c r="AM332" s="36"/>
      <c r="AN332" s="36"/>
    </row>
    <row r="333" spans="6:40" ht="15" customHeight="1" outlineLevel="1">
      <c r="F333" s="52"/>
      <c r="G333" s="1613" t="s">
        <v>841</v>
      </c>
      <c r="H333" s="842"/>
      <c r="I333" s="842"/>
      <c r="J333" s="842"/>
      <c r="K333" s="842"/>
      <c r="L333" s="842"/>
      <c r="M333" s="842"/>
      <c r="N333" s="842"/>
      <c r="O333" s="842"/>
      <c r="P333" s="842"/>
      <c r="Q333" s="842"/>
      <c r="R333" s="1650"/>
      <c r="S333" s="1650"/>
      <c r="T333" s="842"/>
      <c r="U333" s="1650"/>
      <c r="V333" s="1650"/>
      <c r="W333" s="842"/>
      <c r="X333" s="1470"/>
      <c r="Y333" s="36"/>
      <c r="Z333" s="36"/>
      <c r="AA333" s="36"/>
      <c r="AB333" s="36"/>
      <c r="AC333" s="36"/>
      <c r="AD333" s="36"/>
      <c r="AE333" s="36"/>
      <c r="AF333" s="36"/>
      <c r="AG333" s="36"/>
      <c r="AH333" s="36"/>
      <c r="AI333" s="36"/>
      <c r="AJ333" s="36"/>
      <c r="AK333" s="242"/>
      <c r="AL333" s="36"/>
      <c r="AM333" s="36"/>
      <c r="AN333" s="36"/>
    </row>
    <row r="334" spans="6:40" ht="15" customHeight="1" outlineLevel="1">
      <c r="F334" s="52"/>
      <c r="G334" s="51" t="s">
        <v>144</v>
      </c>
      <c r="H334" s="836"/>
      <c r="I334" s="836"/>
      <c r="J334" s="836"/>
      <c r="K334" s="836">
        <f ca="1">IFERROR(K326*2,0)</f>
        <v>0</v>
      </c>
      <c r="L334" s="836"/>
      <c r="M334" s="836"/>
      <c r="N334" s="836">
        <f ca="1">IFERROR(N326*2,0)</f>
        <v>0</v>
      </c>
      <c r="O334" s="836"/>
      <c r="P334" s="836"/>
      <c r="Q334" s="836">
        <f ca="1">IFERROR(Q326*2,0)</f>
        <v>0</v>
      </c>
      <c r="R334" s="836"/>
      <c r="S334" s="836"/>
      <c r="T334" s="836">
        <f ca="1">IFERROR(T326*2,0)</f>
        <v>0</v>
      </c>
      <c r="U334" s="836"/>
      <c r="V334" s="836"/>
      <c r="W334" s="836">
        <f ca="1">IFERROR(W326*2,0)</f>
        <v>0</v>
      </c>
      <c r="X334" s="1469"/>
      <c r="Y334" s="36"/>
      <c r="Z334" s="36"/>
      <c r="AA334" s="36"/>
      <c r="AB334" s="36"/>
      <c r="AC334" s="36"/>
      <c r="AD334" s="36"/>
      <c r="AE334" s="36"/>
      <c r="AF334" s="36"/>
      <c r="AG334" s="36"/>
      <c r="AH334" s="36"/>
      <c r="AI334" s="36"/>
      <c r="AJ334" s="36"/>
      <c r="AK334" s="36"/>
      <c r="AL334" s="36"/>
      <c r="AM334" s="36"/>
      <c r="AN334" s="36"/>
    </row>
    <row r="335" spans="6:40" ht="15" customHeight="1" outlineLevel="1">
      <c r="F335" s="52"/>
      <c r="G335" s="51" t="s">
        <v>145</v>
      </c>
      <c r="H335" s="837"/>
      <c r="I335" s="837"/>
      <c r="J335" s="837"/>
      <c r="K335" s="837">
        <f ca="1">IFERROR(MAX(K326,ROUNDUP(((K334*INDEX(INDIRECT("'"&amp;$H$3&amp;"'!$H$43:$H$78"),MATCH(INDIRECT("'"&amp;$H$3&amp;"'!K240")&amp;"Average duration (hrs) per trip",INDIRECT("'"&amp;$H$3&amp;"'!$F$43:$F$78"),0)))+(K326*((1/60)*(INDIRECT("'"&amp;$H$3&amp;"'!K253")+INDIRECT("'"&amp;$H$3&amp;"'!$H$19")*(INDIRECT("'"&amp;$H$3&amp;"'!K254")+(INDIRECT("'"&amp;$H$3&amp;"'!K255")*('3_Outputs'!K$52/INDIRECT("'"&amp;$H$3&amp;"'!K$96")/INDIRECT("'"&amp;$H$3&amp;"'!$H$19"))))))))/INDIRECT("'"&amp;$H$3&amp;"'!$H$10"),0)),0)</f>
        <v>0</v>
      </c>
      <c r="L335" s="837"/>
      <c r="M335" s="837"/>
      <c r="N335" s="837">
        <f ca="1">IFERROR(MAX(N326,ROUNDUP(((N334*INDEX(INDIRECT("'"&amp;$H$3&amp;"'!$H$43:$H$78"),MATCH(INDIRECT("'"&amp;$H$3&amp;"'!N240")&amp;"Average duration (hrs) per trip",INDIRECT("'"&amp;$H$3&amp;"'!$F$43:$F$78"),0)))+(N326*((1/60)*(INDIRECT("'"&amp;$H$3&amp;"'!N253")+INDIRECT("'"&amp;$H$3&amp;"'!$H$19")*(INDIRECT("'"&amp;$H$3&amp;"'!N254")+(INDIRECT("'"&amp;$H$3&amp;"'!N255")*('3_Outputs'!N$52/INDIRECT("'"&amp;$H$3&amp;"'!N$96")/INDIRECT("'"&amp;$H$3&amp;"'!$H$19"))))))))/INDIRECT("'"&amp;$H$3&amp;"'!$H$10"),0)),0)</f>
        <v>0</v>
      </c>
      <c r="O335" s="837"/>
      <c r="P335" s="837"/>
      <c r="Q335" s="837">
        <f ca="1">IFERROR(MAX(Q326,ROUNDUP(((Q334*INDEX(INDIRECT("'"&amp;$H$3&amp;"'!$H$43:$H$78"),MATCH(INDIRECT("'"&amp;$H$3&amp;"'!Q240")&amp;"Average duration (hrs) per trip",INDIRECT("'"&amp;$H$3&amp;"'!$F$43:$F$78"),0)))+(Q326*((1/60)*(INDIRECT("'"&amp;$H$3&amp;"'!Q253")+INDIRECT("'"&amp;$H$3&amp;"'!$H$19")*(INDIRECT("'"&amp;$H$3&amp;"'!Q254")+(INDIRECT("'"&amp;$H$3&amp;"'!Q255")*('3_Outputs'!Q$52/INDIRECT("'"&amp;$H$3&amp;"'!Q$96")/INDIRECT("'"&amp;$H$3&amp;"'!$H$19"))))))))/INDIRECT("'"&amp;$H$3&amp;"'!$H$10"),0)),0)</f>
        <v>0</v>
      </c>
      <c r="R335" s="837"/>
      <c r="S335" s="837"/>
      <c r="T335" s="837">
        <f ca="1">IFERROR(MAX(T326,ROUNDUP(((T334*INDEX(INDIRECT("'"&amp;$H$3&amp;"'!$H$43:$H$78"),MATCH(INDIRECT("'"&amp;$H$3&amp;"'!T240")&amp;"Average duration (hrs) per trip",INDIRECT("'"&amp;$H$3&amp;"'!$F$43:$F$78"),0)))+(T326*((1/60)*(INDIRECT("'"&amp;$H$3&amp;"'!T253")+INDIRECT("'"&amp;$H$3&amp;"'!$H$19")*(INDIRECT("'"&amp;$H$3&amp;"'!T254")+(INDIRECT("'"&amp;$H$3&amp;"'!T255")*('3_Outputs'!T$52/INDIRECT("'"&amp;$H$3&amp;"'!T$96")/INDIRECT("'"&amp;$H$3&amp;"'!$H$19"))))))))/INDIRECT("'"&amp;$H$3&amp;"'!$H$10"),0)),0)</f>
        <v>0</v>
      </c>
      <c r="U335" s="837"/>
      <c r="V335" s="837"/>
      <c r="W335" s="837">
        <f ca="1">IFERROR(MAX(W326,ROUNDUP(((W334*INDEX(INDIRECT("'"&amp;$H$3&amp;"'!$H$43:$H$78"),MATCH(INDIRECT("'"&amp;$H$3&amp;"'!W240")&amp;"Average duration (hrs) per trip",INDIRECT("'"&amp;$H$3&amp;"'!$F$43:$F$78"),0)))+(W326*((1/60)*(INDIRECT("'"&amp;$H$3&amp;"'!W253")+INDIRECT("'"&amp;$H$3&amp;"'!$H$19")*(INDIRECT("'"&amp;$H$3&amp;"'!W254")+(INDIRECT("'"&amp;$H$3&amp;"'!W255")*('3_Outputs'!W$52/INDIRECT("'"&amp;$H$3&amp;"'!W$96")/INDIRECT("'"&amp;$H$3&amp;"'!$H$19"))))))))/INDIRECT("'"&amp;$H$3&amp;"'!$H$10"),0)),0)</f>
        <v>0</v>
      </c>
      <c r="X335" s="1468"/>
      <c r="Y335" s="36"/>
      <c r="Z335" s="36"/>
      <c r="AA335" s="36"/>
      <c r="AB335" s="36"/>
      <c r="AC335" s="36"/>
      <c r="AD335" s="36"/>
      <c r="AE335" s="36"/>
      <c r="AF335" s="36"/>
      <c r="AG335" s="36"/>
      <c r="AH335" s="36"/>
      <c r="AI335" s="36"/>
      <c r="AJ335" s="36"/>
      <c r="AK335" s="36"/>
      <c r="AL335" s="36"/>
      <c r="AM335" s="36"/>
      <c r="AN335" s="36"/>
    </row>
    <row r="336" spans="6:40" ht="15" customHeight="1" outlineLevel="1">
      <c r="F336" s="1664" t="s">
        <v>148</v>
      </c>
      <c r="G336" s="1675"/>
      <c r="H336" s="1676"/>
      <c r="I336" s="1676"/>
      <c r="J336" s="1676"/>
      <c r="K336" s="1676"/>
      <c r="L336" s="1676"/>
      <c r="M336" s="1676"/>
      <c r="N336" s="1676"/>
      <c r="O336" s="1676"/>
      <c r="P336" s="1676"/>
      <c r="Q336" s="1676"/>
      <c r="R336" s="1646"/>
      <c r="S336" s="1646"/>
      <c r="T336" s="1676"/>
      <c r="U336" s="1646"/>
      <c r="V336" s="1646"/>
      <c r="W336" s="1676"/>
      <c r="X336" s="1467"/>
      <c r="Y336" s="36"/>
      <c r="Z336" s="36"/>
      <c r="AA336" s="36"/>
      <c r="AB336" s="36"/>
      <c r="AC336" s="36"/>
      <c r="AD336" s="36"/>
      <c r="AE336" s="36"/>
      <c r="AF336" s="36"/>
      <c r="AG336" s="36"/>
      <c r="AH336" s="36"/>
      <c r="AI336" s="36"/>
      <c r="AJ336" s="36"/>
      <c r="AK336" s="242"/>
      <c r="AL336" s="36"/>
      <c r="AM336" s="36"/>
      <c r="AN336" s="36"/>
    </row>
    <row r="337" spans="6:40" ht="15" customHeight="1" outlineLevel="1">
      <c r="F337" s="86"/>
      <c r="G337" s="51" t="s">
        <v>151</v>
      </c>
      <c r="H337" s="836"/>
      <c r="I337" s="836"/>
      <c r="J337" s="836"/>
      <c r="K337" s="836">
        <f ca="1">IFERROR(IF(COUNTIF(INDIRECT("'"&amp;$H$3&amp;"'!K240"),"Public Transport*")&lt;1,ROUND(INDIRECT("'"&amp;$H$3&amp;"'!K$95")*INDIRECT("'"&amp;$H$3&amp;"'!K239"),0),0),0)</f>
        <v>0</v>
      </c>
      <c r="L337" s="836"/>
      <c r="M337" s="836"/>
      <c r="N337" s="836">
        <f ca="1">IFERROR(IF(COUNTIF(INDIRECT("'"&amp;$H$3&amp;"'!N240"),"Public Transport*")&lt;1,ROUND(INDIRECT("'"&amp;$H$3&amp;"'!N$95")*INDIRECT("'"&amp;$H$3&amp;"'!N239"),0),0),0)</f>
        <v>0</v>
      </c>
      <c r="O337" s="836"/>
      <c r="P337" s="836"/>
      <c r="Q337" s="836">
        <f ca="1">IFERROR(IF(COUNTIF(INDIRECT("'"&amp;$H$3&amp;"'!Q240"),"Public Transport*")&lt;1,ROUND(INDIRECT("'"&amp;$H$3&amp;"'!Q$95")*INDIRECT("'"&amp;$H$3&amp;"'!Q239"),0),0),0)</f>
        <v>0</v>
      </c>
      <c r="R337" s="1646"/>
      <c r="S337" s="1646"/>
      <c r="T337" s="836">
        <f ca="1">IFERROR(IF(COUNTIF(INDIRECT("'"&amp;$H$3&amp;"'!T240"),"Public Transport*")&lt;1,ROUND(INDIRECT("'"&amp;$H$3&amp;"'!T$95")*INDIRECT("'"&amp;$H$3&amp;"'!T239"),0),0),0)</f>
        <v>0</v>
      </c>
      <c r="U337" s="1646"/>
      <c r="V337" s="1646"/>
      <c r="W337" s="836">
        <f ca="1">IFERROR(IF(COUNTIF(INDIRECT("'"&amp;$H$3&amp;"'!W240"),"Public Transport*")&lt;1,ROUND(INDIRECT("'"&amp;$H$3&amp;"'!W$95")*INDIRECT("'"&amp;$H$3&amp;"'!W239"),0),0),0)</f>
        <v>0</v>
      </c>
      <c r="X337" s="1469"/>
      <c r="Y337" s="36"/>
      <c r="Z337" s="36"/>
      <c r="AA337" s="36"/>
      <c r="AB337" s="36"/>
      <c r="AC337" s="36"/>
      <c r="AD337" s="36"/>
      <c r="AE337" s="36"/>
      <c r="AF337" s="36"/>
      <c r="AG337" s="36"/>
      <c r="AH337" s="36"/>
      <c r="AI337" s="36"/>
      <c r="AJ337" s="36"/>
      <c r="AK337" s="242"/>
      <c r="AL337" s="36"/>
      <c r="AM337" s="36"/>
      <c r="AN337" s="36"/>
    </row>
    <row r="338" spans="6:40" ht="15" customHeight="1" outlineLevel="1">
      <c r="F338" s="52"/>
      <c r="G338" s="51" t="s">
        <v>85</v>
      </c>
      <c r="H338" s="837"/>
      <c r="I338" s="837"/>
      <c r="J338" s="837"/>
      <c r="K338" s="837">
        <f ca="1">IFERROR(IF(INDIRECT("'"&amp;$H$3&amp;"'!K248")="Route-based",K343*K344,IF(INDIRECT("'"&amp;$H$3&amp;"'!K248")="Point-to-point",K348*K349,0)),0)</f>
        <v>0</v>
      </c>
      <c r="L338" s="837"/>
      <c r="M338" s="837"/>
      <c r="N338" s="837">
        <f ca="1">IFERROR(IF(INDIRECT("'"&amp;$H$3&amp;"'!N248")="Route-based",N343*N344,IF(INDIRECT("'"&amp;$H$3&amp;"'!N248")="Point-to-point",N348*N349,0)),0)</f>
        <v>0</v>
      </c>
      <c r="O338" s="837"/>
      <c r="P338" s="837"/>
      <c r="Q338" s="837">
        <f ca="1">IFERROR(IF(INDIRECT("'"&amp;$H$3&amp;"'!Q248")="Route-based",Q343*Q344,IF(INDIRECT("'"&amp;$H$3&amp;"'!Q248")="Point-to-point",Q348*Q349,0)),0)</f>
        <v>0</v>
      </c>
      <c r="R338" s="1650"/>
      <c r="S338" s="1650"/>
      <c r="T338" s="837">
        <f ca="1">IFERROR(IF(INDIRECT("'"&amp;$H$3&amp;"'!T248")="Route-based",T343*T344,IF(INDIRECT("'"&amp;$H$3&amp;"'!T248")="Point-to-point",T348*T349,0)),0)</f>
        <v>0</v>
      </c>
      <c r="U338" s="1650"/>
      <c r="V338" s="1650"/>
      <c r="W338" s="837">
        <f ca="1">IFERROR(IF(INDIRECT("'"&amp;$H$3&amp;"'!W248")="Route-based",W343*W344,IF(INDIRECT("'"&amp;$H$3&amp;"'!W248")="Point-to-point",W348*W349,0)),0)</f>
        <v>0</v>
      </c>
      <c r="X338" s="1468"/>
      <c r="Y338" s="36"/>
      <c r="Z338" s="36"/>
      <c r="AA338" s="36"/>
      <c r="AB338" s="36"/>
      <c r="AC338" s="36"/>
      <c r="AD338" s="36"/>
      <c r="AE338" s="36"/>
      <c r="AF338" s="36"/>
      <c r="AG338" s="36"/>
      <c r="AH338" s="36"/>
      <c r="AI338" s="36"/>
      <c r="AJ338" s="36"/>
      <c r="AK338" s="242"/>
      <c r="AL338" s="36"/>
      <c r="AM338" s="36"/>
      <c r="AN338" s="36"/>
    </row>
    <row r="339" spans="6:40" ht="15" customHeight="1" outlineLevel="1">
      <c r="F339" s="52"/>
      <c r="G339" s="51" t="s">
        <v>59</v>
      </c>
      <c r="H339" s="837"/>
      <c r="I339" s="837"/>
      <c r="J339" s="837"/>
      <c r="K339" s="837">
        <f ca="1">IFERROR(IF(INDIRECT("'"&amp;$H$3&amp;"'!K248")="Route-based",ROUND(K343*K345/INDIRECT("'"&amp;$H$3&amp;"'!$H$10"),0),IF(INDIRECT("'"&amp;$H$3&amp;"'!K248")="Point-to-point",ROUND(((K337*INDIRECT("'"&amp;$H$3&amp;"'!K$96")*((1/60)*(INDIRECT("'"&amp;$H$3&amp;"'!K253")+INDIRECT("'"&amp;$H$3&amp;"'!$H$19")*(INDIRECT("'"&amp;$H$3&amp;"'!K254")+(INDIRECT("'"&amp;$H$3&amp;"'!K255")*('3_Outputs'!K$52/INDIRECT("'"&amp;$H$3&amp;"'!K$96")/INDIRECT("'"&amp;$H$3&amp;"'!$H$19")))))))+(K338/INDIRECT("'"&amp;$H$3&amp;"'!K257")))/INDIRECT("'"&amp;$H$3&amp;"'!$H$10"),0),0)),0)</f>
        <v>0</v>
      </c>
      <c r="L339" s="837"/>
      <c r="M339" s="837"/>
      <c r="N339" s="837">
        <f ca="1">IFERROR(IF(INDIRECT("'"&amp;$H$3&amp;"'!N248")="Route-based",ROUND(N343*N345/INDIRECT("'"&amp;$H$3&amp;"'!$H$10"),0),IF(INDIRECT("'"&amp;$H$3&amp;"'!N248")="Point-to-point",ROUND(((N337*INDIRECT("'"&amp;$H$3&amp;"'!N$96")*((1/60)*(INDIRECT("'"&amp;$H$3&amp;"'!N253")+INDIRECT("'"&amp;$H$3&amp;"'!$H$19")*(INDIRECT("'"&amp;$H$3&amp;"'!N254")+(INDIRECT("'"&amp;$H$3&amp;"'!N255")*('3_Outputs'!N$52/INDIRECT("'"&amp;$H$3&amp;"'!N$96")/INDIRECT("'"&amp;$H$3&amp;"'!$H$19")))))))+(N338/INDIRECT("'"&amp;$H$3&amp;"'!N257")))/INDIRECT("'"&amp;$H$3&amp;"'!$H$10"),0),0)),0)</f>
        <v>0</v>
      </c>
      <c r="O339" s="837"/>
      <c r="P339" s="837"/>
      <c r="Q339" s="837">
        <f ca="1">IFERROR(IF(INDIRECT("'"&amp;$H$3&amp;"'!Q248")="Route-based",ROUND(Q343*Q345/INDIRECT("'"&amp;$H$3&amp;"'!$H$10"),0),IF(INDIRECT("'"&amp;$H$3&amp;"'!Q248")="Point-to-point",ROUND(((Q337*INDIRECT("'"&amp;$H$3&amp;"'!Q$96")*((1/60)*(INDIRECT("'"&amp;$H$3&amp;"'!Q253")+INDIRECT("'"&amp;$H$3&amp;"'!$H$19")*(INDIRECT("'"&amp;$H$3&amp;"'!Q254")+(INDIRECT("'"&amp;$H$3&amp;"'!Q255")*('3_Outputs'!Q$52/INDIRECT("'"&amp;$H$3&amp;"'!Q$96")/INDIRECT("'"&amp;$H$3&amp;"'!$H$19")))))))+(Q338/INDIRECT("'"&amp;$H$3&amp;"'!Q257")))/INDIRECT("'"&amp;$H$3&amp;"'!$H$10"),0),0)),0)</f>
        <v>0</v>
      </c>
      <c r="R339" s="837"/>
      <c r="S339" s="837"/>
      <c r="T339" s="837">
        <f ca="1">IFERROR(IF(INDIRECT("'"&amp;$H$3&amp;"'!T248")="Route-based",ROUND(T343*T345/INDIRECT("'"&amp;$H$3&amp;"'!$H$10"),0),IF(INDIRECT("'"&amp;$H$3&amp;"'!T248")="Point-to-point",ROUND(((T337*INDIRECT("'"&amp;$H$3&amp;"'!T$96")*((1/60)*(INDIRECT("'"&amp;$H$3&amp;"'!T253")+INDIRECT("'"&amp;$H$3&amp;"'!$H$19")*(INDIRECT("'"&amp;$H$3&amp;"'!T254")+(INDIRECT("'"&amp;$H$3&amp;"'!T255")*('3_Outputs'!T$52/INDIRECT("'"&amp;$H$3&amp;"'!T$96")/INDIRECT("'"&amp;$H$3&amp;"'!$H$19")))))))+(T338/INDIRECT("'"&amp;$H$3&amp;"'!T257")))/INDIRECT("'"&amp;$H$3&amp;"'!$H$10"),0),0)),0)</f>
        <v>0</v>
      </c>
      <c r="U339" s="837"/>
      <c r="V339" s="837"/>
      <c r="W339" s="837">
        <f ca="1">IFERROR(IF(INDIRECT("'"&amp;$H$3&amp;"'!W248")="Route-based",ROUND(W343*W345/INDIRECT("'"&amp;$H$3&amp;"'!$H$10"),0),IF(INDIRECT("'"&amp;$H$3&amp;"'!W248")="Point-to-point",ROUND(((W337*INDIRECT("'"&amp;$H$3&amp;"'!W$96")*((1/60)*(INDIRECT("'"&amp;$H$3&amp;"'!W253")+INDIRECT("'"&amp;$H$3&amp;"'!$H$19")*(INDIRECT("'"&amp;$H$3&amp;"'!W254")+(INDIRECT("'"&amp;$H$3&amp;"'!W255")*('3_Outputs'!W$52/INDIRECT("'"&amp;$H$3&amp;"'!W$96")/INDIRECT("'"&amp;$H$3&amp;"'!$H$19")))))))+(W338/INDIRECT("'"&amp;$H$3&amp;"'!W257")))/INDIRECT("'"&amp;$H$3&amp;"'!$H$10"),0),0)),0)</f>
        <v>0</v>
      </c>
      <c r="X339" s="1468"/>
      <c r="Y339" s="36"/>
      <c r="Z339" s="36"/>
      <c r="AA339" s="36"/>
      <c r="AB339" s="36"/>
      <c r="AC339" s="36"/>
      <c r="AD339" s="36"/>
      <c r="AE339" s="36"/>
      <c r="AF339" s="36"/>
      <c r="AG339" s="36"/>
      <c r="AH339" s="36"/>
      <c r="AI339" s="36"/>
      <c r="AJ339" s="36"/>
      <c r="AK339" s="242"/>
      <c r="AL339" s="36"/>
      <c r="AM339" s="36"/>
      <c r="AN339" s="36"/>
    </row>
    <row r="340" spans="6:40" ht="15" customHeight="1" outlineLevel="1">
      <c r="F340" s="52"/>
      <c r="G340" s="51" t="s">
        <v>86</v>
      </c>
      <c r="H340" s="839"/>
      <c r="I340" s="839"/>
      <c r="J340" s="839"/>
      <c r="K340" s="839">
        <f ca="1">IFERROR(IF(INDIRECT("'"&amp;$H$3&amp;"'!K248")="Route-based",IF(INDIRECT("'"&amp;$H$3&amp;"'!K245")="Yes",K249, IF(INDIRECT("'"&amp;$H$3&amp;"'!K245")="No",K339/(INDIRECT("'"&amp;$H$3&amp;"'!$H$9")*INDIRECT("'"&amp;$H$3&amp;"'!K244")))),
IF(INDIRECT("'"&amp;$H$3&amp;"'!K248")="Point-to-point",IF(INDIRECT("'"&amp;$H$3&amp;"'!K245")="Yes",K249,IF(INDIRECT("'"&amp;$H$3&amp;"'!K245")="No",K339/(INDIRECT("'"&amp;$H$3&amp;"'!$H$9")*INDIRECT("'"&amp;$H$3&amp;"'!K244")))),0)),0)</f>
        <v>0</v>
      </c>
      <c r="L340" s="839"/>
      <c r="M340" s="839"/>
      <c r="N340" s="839">
        <f ca="1">IFERROR(IF(INDIRECT("'"&amp;$H$3&amp;"'!N248")="Route-based",IF(INDIRECT("'"&amp;$H$3&amp;"'!N245")="Yes",N249, IF(INDIRECT("'"&amp;$H$3&amp;"'!N245")="No",N339/(INDIRECT("'"&amp;$H$3&amp;"'!$H$9")*INDIRECT("'"&amp;$H$3&amp;"'!N244")))),
IF(INDIRECT("'"&amp;$H$3&amp;"'!N248")="Point-to-point",IF(INDIRECT("'"&amp;$H$3&amp;"'!N245")="Yes",N249,IF(INDIRECT("'"&amp;$H$3&amp;"'!N245")="No",N339/(INDIRECT("'"&amp;$H$3&amp;"'!$H$9")*INDIRECT("'"&amp;$H$3&amp;"'!N244")))),0)),0)</f>
        <v>0</v>
      </c>
      <c r="O340" s="839"/>
      <c r="P340" s="839"/>
      <c r="Q340" s="839">
        <f ca="1">IFERROR(IF(INDIRECT("'"&amp;$H$3&amp;"'!Q248")="Route-based",IF(INDIRECT("'"&amp;$H$3&amp;"'!Q245")="Yes",Q249, IF(INDIRECT("'"&amp;$H$3&amp;"'!Q245")="No",Q339/(INDIRECT("'"&amp;$H$3&amp;"'!$H$9")*INDIRECT("'"&amp;$H$3&amp;"'!Q244")))),
IF(INDIRECT("'"&amp;$H$3&amp;"'!Q248")="Point-to-point",IF(INDIRECT("'"&amp;$H$3&amp;"'!Q245")="Yes",Q249,IF(INDIRECT("'"&amp;$H$3&amp;"'!Q245")="No",Q339/(INDIRECT("'"&amp;$H$3&amp;"'!$H$9")*INDIRECT("'"&amp;$H$3&amp;"'!Q244")))),0)),0)</f>
        <v>0</v>
      </c>
      <c r="R340" s="839"/>
      <c r="S340" s="839"/>
      <c r="T340" s="839">
        <f ca="1">IFERROR(IF(INDIRECT("'"&amp;$H$3&amp;"'!T248")="Route-based",IF(INDIRECT("'"&amp;$H$3&amp;"'!T245")="Yes",T249, IF(INDIRECT("'"&amp;$H$3&amp;"'!T245")="No",T339/(INDIRECT("'"&amp;$H$3&amp;"'!$H$9")*INDIRECT("'"&amp;$H$3&amp;"'!T244")))),
IF(INDIRECT("'"&amp;$H$3&amp;"'!T248")="Point-to-point",IF(INDIRECT("'"&amp;$H$3&amp;"'!T245")="Yes",T249,IF(INDIRECT("'"&amp;$H$3&amp;"'!T245")="No",T339/(INDIRECT("'"&amp;$H$3&amp;"'!$H$9")*INDIRECT("'"&amp;$H$3&amp;"'!T244")))),0)),0)</f>
        <v>0</v>
      </c>
      <c r="U340" s="839"/>
      <c r="V340" s="839"/>
      <c r="W340" s="839">
        <f ca="1">IFERROR(IF(INDIRECT("'"&amp;$H$3&amp;"'!W248")="Route-based",IF(INDIRECT("'"&amp;$H$3&amp;"'!W245")="Yes",W249, IF(INDIRECT("'"&amp;$H$3&amp;"'!W245")="No",W339/(INDIRECT("'"&amp;$H$3&amp;"'!$H$9")*INDIRECT("'"&amp;$H$3&amp;"'!W244")))),
IF(INDIRECT("'"&amp;$H$3&amp;"'!W248")="Point-to-point",IF(INDIRECT("'"&amp;$H$3&amp;"'!W245")="Yes",W249,IF(INDIRECT("'"&amp;$H$3&amp;"'!W245")="No",W339/(INDIRECT("'"&amp;$H$3&amp;"'!$H$9")*INDIRECT("'"&amp;$H$3&amp;"'!W244")))),0)),0)</f>
        <v>0</v>
      </c>
      <c r="X340" s="1470"/>
      <c r="Y340" s="36"/>
      <c r="Z340" s="36"/>
      <c r="AA340" s="36"/>
      <c r="AB340" s="36"/>
      <c r="AC340" s="36"/>
      <c r="AD340" s="36"/>
      <c r="AE340" s="36"/>
      <c r="AF340" s="36"/>
      <c r="AG340" s="36"/>
      <c r="AH340" s="36"/>
      <c r="AI340" s="36"/>
      <c r="AJ340" s="36"/>
      <c r="AK340" s="36" t="s">
        <v>191</v>
      </c>
      <c r="AL340" s="36"/>
      <c r="AM340" s="36"/>
      <c r="AN340" s="36"/>
    </row>
    <row r="341" spans="6:40" ht="15" customHeight="1" outlineLevel="1" collapsed="1">
      <c r="F341" s="52"/>
      <c r="G341" s="1613" t="s">
        <v>133</v>
      </c>
      <c r="H341" s="842"/>
      <c r="I341" s="842"/>
      <c r="J341" s="842"/>
      <c r="K341" s="842"/>
      <c r="L341" s="842"/>
      <c r="M341" s="842"/>
      <c r="N341" s="842"/>
      <c r="O341" s="842"/>
      <c r="P341" s="842"/>
      <c r="Q341" s="842"/>
      <c r="R341" s="1650"/>
      <c r="S341" s="1650"/>
      <c r="T341" s="842"/>
      <c r="U341" s="1650"/>
      <c r="V341" s="1650"/>
      <c r="W341" s="842"/>
      <c r="X341" s="1470"/>
      <c r="Y341" s="36"/>
      <c r="Z341" s="36"/>
      <c r="AA341" s="36"/>
      <c r="AB341" s="36"/>
      <c r="AC341" s="36"/>
      <c r="AD341" s="36"/>
      <c r="AE341" s="36"/>
      <c r="AF341" s="36"/>
      <c r="AG341" s="36"/>
      <c r="AH341" s="36"/>
      <c r="AI341" s="36"/>
      <c r="AJ341" s="36"/>
      <c r="AK341" s="36"/>
      <c r="AL341" s="36"/>
      <c r="AM341" s="36"/>
      <c r="AN341" s="36"/>
    </row>
    <row r="342" spans="6:40" ht="15" customHeight="1" outlineLevel="1">
      <c r="F342" s="52"/>
      <c r="G342" s="51" t="s">
        <v>129</v>
      </c>
      <c r="H342" s="836"/>
      <c r="I342" s="836"/>
      <c r="J342" s="836"/>
      <c r="K342" s="836">
        <f ca="1">IFERROR(((INDIRECT("'"&amp;$H$3&amp;"'!K249")*INDIRECT("'"&amp;$H$3&amp;"'!$H$10"))-(2*INDIRECT("'"&amp;$H$3&amp;"'!K$98")/INDIRECT("'"&amp;$H$3&amp;"'!K257"))+(INDIRECT("'"&amp;$H$3&amp;"'!K$99")/INDIRECT("'"&amp;$H$3&amp;"'!K256")))/(((1/60)*(INDIRECT("'"&amp;$H$3&amp;"'!K253")+INDIRECT("'"&amp;$H$3&amp;"'!$H$19")*(INDIRECT("'"&amp;$H$3&amp;"'!K254")+(INDIRECT("'"&amp;$H$3&amp;"'!K255")*('3_Outputs'!K$52/INDIRECT("'"&amp;$H$3&amp;"'!K$96")/INDIRECT("'"&amp;$H$3&amp;"'!$H$19"))))))+(INDIRECT("'"&amp;$H$3&amp;"'!K$99")/INDIRECT("'"&amp;$H$3&amp;"'!K256"))),0)</f>
        <v>0</v>
      </c>
      <c r="L342" s="836"/>
      <c r="M342" s="836"/>
      <c r="N342" s="836">
        <f ca="1">IFERROR(((INDIRECT("'"&amp;$H$3&amp;"'!N249")*INDIRECT("'"&amp;$H$3&amp;"'!$H$10"))-(2*INDIRECT("'"&amp;$H$3&amp;"'!N$98")/INDIRECT("'"&amp;$H$3&amp;"'!N257"))+(INDIRECT("'"&amp;$H$3&amp;"'!N$99")/INDIRECT("'"&amp;$H$3&amp;"'!N256")))/(((1/60)*(INDIRECT("'"&amp;$H$3&amp;"'!N253")+INDIRECT("'"&amp;$H$3&amp;"'!$H$19")*(INDIRECT("'"&amp;$H$3&amp;"'!N254")+(INDIRECT("'"&amp;$H$3&amp;"'!N255")*('3_Outputs'!N$52/INDIRECT("'"&amp;$H$3&amp;"'!N$96")/INDIRECT("'"&amp;$H$3&amp;"'!$H$19"))))))+(INDIRECT("'"&amp;$H$3&amp;"'!N$99")/INDIRECT("'"&amp;$H$3&amp;"'!N256"))),0)</f>
        <v>0</v>
      </c>
      <c r="O342" s="836"/>
      <c r="P342" s="836"/>
      <c r="Q342" s="836">
        <f ca="1">IFERROR(((INDIRECT("'"&amp;$H$3&amp;"'!Q249")*INDIRECT("'"&amp;$H$3&amp;"'!$H$10"))-(2*INDIRECT("'"&amp;$H$3&amp;"'!Q$98")/INDIRECT("'"&amp;$H$3&amp;"'!Q257"))+(INDIRECT("'"&amp;$H$3&amp;"'!Q$99")/INDIRECT("'"&amp;$H$3&amp;"'!Q256")))/(((1/60)*(INDIRECT("'"&amp;$H$3&amp;"'!Q253")+INDIRECT("'"&amp;$H$3&amp;"'!$H$19")*(INDIRECT("'"&amp;$H$3&amp;"'!Q254")+(INDIRECT("'"&amp;$H$3&amp;"'!Q255")*('3_Outputs'!Q$52/INDIRECT("'"&amp;$H$3&amp;"'!Q$96")/INDIRECT("'"&amp;$H$3&amp;"'!$H$19"))))))+(INDIRECT("'"&amp;$H$3&amp;"'!Q$99")/INDIRECT("'"&amp;$H$3&amp;"'!Q256"))),0)</f>
        <v>0</v>
      </c>
      <c r="R342" s="836"/>
      <c r="S342" s="836"/>
      <c r="T342" s="836">
        <f ca="1">IFERROR(((INDIRECT("'"&amp;$H$3&amp;"'!T249")*INDIRECT("'"&amp;$H$3&amp;"'!$H$10"))-(2*INDIRECT("'"&amp;$H$3&amp;"'!T$98")/INDIRECT("'"&amp;$H$3&amp;"'!T257"))+(INDIRECT("'"&amp;$H$3&amp;"'!T$99")/INDIRECT("'"&amp;$H$3&amp;"'!T256")))/(((1/60)*(INDIRECT("'"&amp;$H$3&amp;"'!T253")+INDIRECT("'"&amp;$H$3&amp;"'!$H$19")*(INDIRECT("'"&amp;$H$3&amp;"'!T254")+(INDIRECT("'"&amp;$H$3&amp;"'!T255")*('3_Outputs'!T$52/INDIRECT("'"&amp;$H$3&amp;"'!T$96")/INDIRECT("'"&amp;$H$3&amp;"'!$H$19"))))))+(INDIRECT("'"&amp;$H$3&amp;"'!T$99")/INDIRECT("'"&amp;$H$3&amp;"'!T256"))),0)</f>
        <v>0</v>
      </c>
      <c r="U342" s="836"/>
      <c r="V342" s="836"/>
      <c r="W342" s="836">
        <f ca="1">IFERROR(((INDIRECT("'"&amp;$H$3&amp;"'!W249")*INDIRECT("'"&amp;$H$3&amp;"'!$H$10"))-(2*INDIRECT("'"&amp;$H$3&amp;"'!W$98")/INDIRECT("'"&amp;$H$3&amp;"'!W257"))+(INDIRECT("'"&amp;$H$3&amp;"'!W$99")/INDIRECT("'"&amp;$H$3&amp;"'!W256")))/(((1/60)*(INDIRECT("'"&amp;$H$3&amp;"'!W253")+INDIRECT("'"&amp;$H$3&amp;"'!$H$19")*(INDIRECT("'"&amp;$H$3&amp;"'!W254")+(INDIRECT("'"&amp;$H$3&amp;"'!W255")*('3_Outputs'!W$52/INDIRECT("'"&amp;$H$3&amp;"'!W$96")/INDIRECT("'"&amp;$H$3&amp;"'!$H$19"))))))+(INDIRECT("'"&amp;$H$3&amp;"'!W$99")/INDIRECT("'"&amp;$H$3&amp;"'!W256"))),0)</f>
        <v>0</v>
      </c>
      <c r="X342" s="1469"/>
      <c r="Y342" s="36"/>
      <c r="Z342" s="36"/>
      <c r="AA342" s="36"/>
      <c r="AB342" s="36"/>
      <c r="AC342" s="36"/>
      <c r="AD342" s="36"/>
      <c r="AE342" s="36"/>
      <c r="AF342" s="36"/>
      <c r="AG342" s="36"/>
      <c r="AH342" s="36"/>
      <c r="AI342" s="36"/>
      <c r="AJ342" s="36"/>
      <c r="AK342" s="36"/>
      <c r="AL342" s="36"/>
      <c r="AM342" s="36"/>
      <c r="AN342" s="36"/>
    </row>
    <row r="343" spans="6:40" ht="15" customHeight="1" outlineLevel="1">
      <c r="F343" s="52"/>
      <c r="G343" s="51" t="s">
        <v>206</v>
      </c>
      <c r="H343" s="836"/>
      <c r="I343" s="836"/>
      <c r="J343" s="836"/>
      <c r="K343" s="836">
        <f ca="1">IFERROR(ROUND(K337*INDIRECT("'"&amp;$H$3&amp;"'!K$96")/K342,0),0)</f>
        <v>0</v>
      </c>
      <c r="L343" s="836"/>
      <c r="M343" s="836"/>
      <c r="N343" s="836">
        <f ca="1">IFERROR(ROUND(N337*INDIRECT("'"&amp;$H$3&amp;"'!N$96")/N342,0),0)</f>
        <v>0</v>
      </c>
      <c r="O343" s="836"/>
      <c r="P343" s="836"/>
      <c r="Q343" s="836">
        <f ca="1">IFERROR(ROUND(Q337*INDIRECT("'"&amp;$H$3&amp;"'!Q$96")/Q342,0),0)</f>
        <v>0</v>
      </c>
      <c r="R343" s="836"/>
      <c r="S343" s="836"/>
      <c r="T343" s="836">
        <f ca="1">IFERROR(ROUND(T337*INDIRECT("'"&amp;$H$3&amp;"'!T$96")/T342,0),0)</f>
        <v>0</v>
      </c>
      <c r="U343" s="836"/>
      <c r="V343" s="836"/>
      <c r="W343" s="836">
        <f ca="1">IFERROR(ROUND(W337*INDIRECT("'"&amp;$H$3&amp;"'!W$96")/W342,0),0)</f>
        <v>0</v>
      </c>
      <c r="X343" s="1469"/>
      <c r="Y343" s="36"/>
      <c r="Z343" s="36"/>
      <c r="AA343" s="36"/>
      <c r="AB343" s="36"/>
      <c r="AC343" s="36"/>
      <c r="AD343" s="36"/>
      <c r="AE343" s="36"/>
      <c r="AF343" s="36"/>
      <c r="AG343" s="36"/>
      <c r="AH343" s="36"/>
      <c r="AI343" s="36"/>
      <c r="AJ343" s="36"/>
      <c r="AK343" s="36"/>
      <c r="AL343" s="36"/>
      <c r="AM343" s="36"/>
      <c r="AN343" s="36"/>
    </row>
    <row r="344" spans="6:40" ht="15" customHeight="1" outlineLevel="1">
      <c r="F344" s="52"/>
      <c r="G344" s="51" t="s">
        <v>87</v>
      </c>
      <c r="H344" s="836"/>
      <c r="I344" s="836"/>
      <c r="J344" s="836"/>
      <c r="K344" s="836">
        <f ca="1">IFERROR(IF(K337=0,0,(2*INDIRECT("'"&amp;$H$3&amp;"'!K$98"))+((MAX(K342, 1)-1)*INDIRECT("'"&amp;$H$3&amp;"'!K$99"))),0)</f>
        <v>0</v>
      </c>
      <c r="L344" s="836"/>
      <c r="M344" s="836"/>
      <c r="N344" s="836">
        <f ca="1">IFERROR(IF(N337=0,0,(2*INDIRECT("'"&amp;$H$3&amp;"'!N$98"))+((MAX(N342, 1)-1)*INDIRECT("'"&amp;$H$3&amp;"'!N$99"))),0)</f>
        <v>0</v>
      </c>
      <c r="O344" s="836"/>
      <c r="P344" s="836"/>
      <c r="Q344" s="836">
        <f ca="1">IFERROR(IF(Q337=0,0,(2*INDIRECT("'"&amp;$H$3&amp;"'!Q$98"))+((MAX(Q342, 1)-1)*INDIRECT("'"&amp;$H$3&amp;"'!Q$99"))),0)</f>
        <v>0</v>
      </c>
      <c r="R344" s="836"/>
      <c r="S344" s="836"/>
      <c r="T344" s="836">
        <f ca="1">IFERROR(IF(T337=0,0,(2*INDIRECT("'"&amp;$H$3&amp;"'!T$98"))+((MAX(T342, 1)-1)*INDIRECT("'"&amp;$H$3&amp;"'!T$99"))),0)</f>
        <v>0</v>
      </c>
      <c r="U344" s="836"/>
      <c r="V344" s="836"/>
      <c r="W344" s="836">
        <f ca="1">IFERROR(IF(W337=0,0,(2*INDIRECT("'"&amp;$H$3&amp;"'!W$98"))+((MAX(W342, 1)-1)*INDIRECT("'"&amp;$H$3&amp;"'!W$99"))),0)</f>
        <v>0</v>
      </c>
      <c r="X344" s="1469"/>
      <c r="Y344" s="36"/>
      <c r="Z344" s="36"/>
      <c r="AA344" s="36"/>
      <c r="AB344" s="36"/>
      <c r="AC344" s="36"/>
      <c r="AD344" s="36"/>
      <c r="AE344" s="36"/>
      <c r="AF344" s="36"/>
      <c r="AG344" s="36"/>
      <c r="AH344" s="36"/>
      <c r="AI344" s="36"/>
      <c r="AJ344" s="36"/>
      <c r="AK344" s="36"/>
      <c r="AL344" s="36"/>
      <c r="AM344" s="36"/>
      <c r="AN344" s="36"/>
    </row>
    <row r="345" spans="6:40" ht="15" customHeight="1" outlineLevel="1">
      <c r="F345" s="52"/>
      <c r="G345" s="51" t="s">
        <v>203</v>
      </c>
      <c r="H345" s="836"/>
      <c r="I345" s="836"/>
      <c r="J345" s="836"/>
      <c r="K345" s="836">
        <f ca="1">IFERROR((ROUNDUP(K342,1)*((1/60)*(INDIRECT("'"&amp;$H$3&amp;"'!K253")+INDIRECT("'"&amp;$H$3&amp;"'!$H$19")*(INDIRECT("'"&amp;$H$3&amp;"'!K254")+(INDIRECT("'"&amp;$H$3&amp;"'!K255")*('3_Outputs'!K$52/INDIRECT("'"&amp;$H$3&amp;"'!K$96")/INDIRECT("'"&amp;$H$3&amp;"'!$H$19")))))))+((2*INDIRECT("'"&amp;$H$3&amp;"'!K$98"))/INDIRECT("'"&amp;$H$3&amp;"'!K257"))+(((MAX(K342,1)-1)*INDIRECT("'"&amp;$H$3&amp;"'!K$99"))/INDIRECT("'"&amp;$H$3&amp;"'!K256")),0)</f>
        <v>0</v>
      </c>
      <c r="L345" s="836"/>
      <c r="M345" s="836"/>
      <c r="N345" s="836">
        <f ca="1">IFERROR((ROUNDUP(N342,1)*((1/60)*(INDIRECT("'"&amp;$H$3&amp;"'!N253")+INDIRECT("'"&amp;$H$3&amp;"'!$H$19")*(INDIRECT("'"&amp;$H$3&amp;"'!N254")+(INDIRECT("'"&amp;$H$3&amp;"'!N255")*('3_Outputs'!N$52/INDIRECT("'"&amp;$H$3&amp;"'!N$96")/INDIRECT("'"&amp;$H$3&amp;"'!$H$19")))))))+((2*INDIRECT("'"&amp;$H$3&amp;"'!N$98"))/INDIRECT("'"&amp;$H$3&amp;"'!N257"))+(((MAX(N342,1)-1)*INDIRECT("'"&amp;$H$3&amp;"'!N$99"))/INDIRECT("'"&amp;$H$3&amp;"'!N256")),0)</f>
        <v>0</v>
      </c>
      <c r="O345" s="836"/>
      <c r="P345" s="836"/>
      <c r="Q345" s="836">
        <f ca="1">IFERROR((ROUNDUP(Q342,1)*((1/60)*(INDIRECT("'"&amp;$H$3&amp;"'!Q253")+INDIRECT("'"&amp;$H$3&amp;"'!$H$19")*(INDIRECT("'"&amp;$H$3&amp;"'!Q254")+(INDIRECT("'"&amp;$H$3&amp;"'!Q255")*('3_Outputs'!Q$52/INDIRECT("'"&amp;$H$3&amp;"'!Q$96")/INDIRECT("'"&amp;$H$3&amp;"'!$H$19")))))))+((2*INDIRECT("'"&amp;$H$3&amp;"'!Q$98"))/INDIRECT("'"&amp;$H$3&amp;"'!Q257"))+(((MAX(Q342,1)-1)*INDIRECT("'"&amp;$H$3&amp;"'!Q$99"))/INDIRECT("'"&amp;$H$3&amp;"'!Q256")),0)</f>
        <v>0</v>
      </c>
      <c r="R345" s="836"/>
      <c r="S345" s="836"/>
      <c r="T345" s="836">
        <f ca="1">IFERROR((ROUNDUP(T342,1)*((1/60)*(INDIRECT("'"&amp;$H$3&amp;"'!T253")+INDIRECT("'"&amp;$H$3&amp;"'!$H$19")*(INDIRECT("'"&amp;$H$3&amp;"'!T254")+(INDIRECT("'"&amp;$H$3&amp;"'!T255")*('3_Outputs'!T$52/INDIRECT("'"&amp;$H$3&amp;"'!T$96")/INDIRECT("'"&amp;$H$3&amp;"'!$H$19")))))))+((2*INDIRECT("'"&amp;$H$3&amp;"'!T$98"))/INDIRECT("'"&amp;$H$3&amp;"'!T257"))+(((MAX(T342,1)-1)*INDIRECT("'"&amp;$H$3&amp;"'!T$99"))/INDIRECT("'"&amp;$H$3&amp;"'!T256")),0)</f>
        <v>0</v>
      </c>
      <c r="U345" s="836"/>
      <c r="V345" s="836"/>
      <c r="W345" s="836">
        <f ca="1">IFERROR((ROUNDUP(W342,1)*((1/60)*(INDIRECT("'"&amp;$H$3&amp;"'!W253")+INDIRECT("'"&amp;$H$3&amp;"'!$H$19")*(INDIRECT("'"&amp;$H$3&amp;"'!W254")+(INDIRECT("'"&amp;$H$3&amp;"'!W255")*('3_Outputs'!W$52/INDIRECT("'"&amp;$H$3&amp;"'!W$96")/INDIRECT("'"&amp;$H$3&amp;"'!$H$19")))))))+((2*INDIRECT("'"&amp;$H$3&amp;"'!W$98"))/INDIRECT("'"&amp;$H$3&amp;"'!W257"))+(((MAX(W342,1)-1)*INDIRECT("'"&amp;$H$3&amp;"'!W$99"))/INDIRECT("'"&amp;$H$3&amp;"'!W256")),0)</f>
        <v>0</v>
      </c>
      <c r="X345" s="1465"/>
      <c r="Y345" s="36"/>
      <c r="Z345" s="36"/>
      <c r="AA345" s="36"/>
      <c r="AB345" s="36"/>
      <c r="AC345" s="36"/>
      <c r="AD345" s="36"/>
      <c r="AE345" s="36"/>
      <c r="AF345" s="36"/>
      <c r="AG345" s="36"/>
      <c r="AH345" s="36"/>
      <c r="AI345" s="36"/>
      <c r="AJ345" s="36"/>
      <c r="AK345" s="36"/>
      <c r="AL345" s="36"/>
      <c r="AM345" s="36"/>
      <c r="AN345" s="36"/>
    </row>
    <row r="346" spans="6:40" ht="15" customHeight="1" outlineLevel="1">
      <c r="F346" s="52"/>
      <c r="G346" s="51" t="s">
        <v>204</v>
      </c>
      <c r="H346" s="836"/>
      <c r="I346" s="836"/>
      <c r="J346" s="836"/>
      <c r="K346" s="836">
        <f ca="1">IFERROR((INDIRECT("'"&amp;$H$3&amp;"'!$H$10")*INDIRECT("'"&amp;$H$3&amp;"'!$H$9")*INDIRECT("'"&amp;$H$3&amp;"'!K244"))/K345,0)</f>
        <v>0</v>
      </c>
      <c r="L346" s="836"/>
      <c r="M346" s="836"/>
      <c r="N346" s="836">
        <f ca="1">IFERROR((INDIRECT("'"&amp;$H$3&amp;"'!$H$10")*INDIRECT("'"&amp;$H$3&amp;"'!$H$9")*INDIRECT("'"&amp;$H$3&amp;"'!N244"))/N345,0)</f>
        <v>0</v>
      </c>
      <c r="O346" s="836"/>
      <c r="P346" s="836"/>
      <c r="Q346" s="836">
        <f ca="1">IFERROR((INDIRECT("'"&amp;$H$3&amp;"'!$H$10")*INDIRECT("'"&amp;$H$3&amp;"'!$H$9")*INDIRECT("'"&amp;$H$3&amp;"'!Q244"))/Q345,0)</f>
        <v>0</v>
      </c>
      <c r="R346" s="836"/>
      <c r="S346" s="836"/>
      <c r="T346" s="836">
        <f ca="1">IFERROR((INDIRECT("'"&amp;$H$3&amp;"'!$H$10")*INDIRECT("'"&amp;$H$3&amp;"'!$H$9")*INDIRECT("'"&amp;$H$3&amp;"'!T244"))/T345,0)</f>
        <v>0</v>
      </c>
      <c r="U346" s="836"/>
      <c r="V346" s="836"/>
      <c r="W346" s="836">
        <f ca="1">IFERROR((INDIRECT("'"&amp;$H$3&amp;"'!$H$10")*INDIRECT("'"&amp;$H$3&amp;"'!$H$9")*INDIRECT("'"&amp;$H$3&amp;"'!W244"))/W345,0)</f>
        <v>0</v>
      </c>
      <c r="X346" s="1465"/>
      <c r="Y346" s="36"/>
      <c r="Z346" s="36"/>
      <c r="AA346" s="36"/>
      <c r="AB346" s="36"/>
      <c r="AC346" s="36"/>
      <c r="AD346" s="36"/>
      <c r="AE346" s="36"/>
      <c r="AF346" s="36"/>
      <c r="AG346" s="36"/>
      <c r="AH346" s="36"/>
      <c r="AI346" s="36"/>
      <c r="AJ346" s="36"/>
      <c r="AK346" s="242"/>
      <c r="AL346" s="36"/>
      <c r="AM346" s="36"/>
      <c r="AN346" s="36"/>
    </row>
    <row r="347" spans="6:40" ht="15" customHeight="1" outlineLevel="1">
      <c r="F347" s="52"/>
      <c r="G347" s="1613" t="s">
        <v>134</v>
      </c>
      <c r="H347" s="842"/>
      <c r="I347" s="842"/>
      <c r="J347" s="842"/>
      <c r="K347" s="842"/>
      <c r="L347" s="842"/>
      <c r="M347" s="842"/>
      <c r="N347" s="842"/>
      <c r="O347" s="842"/>
      <c r="P347" s="842"/>
      <c r="Q347" s="842"/>
      <c r="R347" s="1650"/>
      <c r="S347" s="1650"/>
      <c r="T347" s="842"/>
      <c r="U347" s="1650"/>
      <c r="V347" s="1650"/>
      <c r="W347" s="842"/>
      <c r="X347" s="1470"/>
      <c r="Y347" s="36"/>
      <c r="Z347" s="36"/>
      <c r="AA347" s="36"/>
      <c r="AB347" s="36"/>
      <c r="AC347" s="36"/>
      <c r="AD347" s="36"/>
      <c r="AE347" s="36"/>
      <c r="AF347" s="36"/>
      <c r="AG347" s="36"/>
      <c r="AH347" s="36"/>
      <c r="AI347" s="36"/>
      <c r="AJ347" s="36"/>
      <c r="AK347" s="242"/>
      <c r="AL347" s="36"/>
      <c r="AM347" s="36"/>
      <c r="AN347" s="36"/>
    </row>
    <row r="348" spans="6:40" ht="15" customHeight="1" outlineLevel="1">
      <c r="F348" s="52"/>
      <c r="G348" s="51" t="s">
        <v>206</v>
      </c>
      <c r="H348" s="836"/>
      <c r="I348" s="836"/>
      <c r="J348" s="836"/>
      <c r="K348" s="836">
        <f ca="1">IFERROR(K337*INDIRECT("'"&amp;$H$3&amp;"'!K$96"),0)</f>
        <v>0</v>
      </c>
      <c r="L348" s="836"/>
      <c r="M348" s="836"/>
      <c r="N348" s="836">
        <f ca="1">IFERROR(N337*INDIRECT("'"&amp;$H$3&amp;"'!N$96"),0)</f>
        <v>0</v>
      </c>
      <c r="O348" s="836"/>
      <c r="P348" s="836"/>
      <c r="Q348" s="836">
        <f ca="1">IFERROR(Q337*INDIRECT("'"&amp;$H$3&amp;"'!Q$96"),0)</f>
        <v>0</v>
      </c>
      <c r="R348" s="836"/>
      <c r="S348" s="836"/>
      <c r="T348" s="836">
        <f ca="1">IFERROR(T337*INDIRECT("'"&amp;$H$3&amp;"'!T$96"),0)</f>
        <v>0</v>
      </c>
      <c r="U348" s="836"/>
      <c r="V348" s="836"/>
      <c r="W348" s="836">
        <f ca="1">IFERROR(W337*INDIRECT("'"&amp;$H$3&amp;"'!W$96"),0)</f>
        <v>0</v>
      </c>
      <c r="X348" s="1469"/>
      <c r="Y348" s="36"/>
      <c r="Z348" s="36"/>
      <c r="AA348" s="36"/>
      <c r="AB348" s="36" t="s">
        <v>192</v>
      </c>
      <c r="AC348" s="36"/>
      <c r="AD348" s="36" t="s">
        <v>193</v>
      </c>
      <c r="AE348" s="36"/>
      <c r="AF348" s="36"/>
      <c r="AG348" s="36"/>
      <c r="AH348" s="36"/>
      <c r="AI348" s="36"/>
      <c r="AJ348" s="36"/>
      <c r="AK348" s="36"/>
      <c r="AL348" s="36"/>
      <c r="AM348" s="36"/>
      <c r="AN348" s="36"/>
    </row>
    <row r="349" spans="6:40" ht="15" customHeight="1" outlineLevel="1">
      <c r="F349" s="52"/>
      <c r="G349" s="51" t="s">
        <v>87</v>
      </c>
      <c r="H349" s="836"/>
      <c r="I349" s="836"/>
      <c r="J349" s="836"/>
      <c r="K349" s="836">
        <f ca="1">IFERROR(IF(K337=0,0,2*INDIRECT("'"&amp;$H$3&amp;"'!K$98")),0)</f>
        <v>0</v>
      </c>
      <c r="L349" s="836"/>
      <c r="M349" s="836"/>
      <c r="N349" s="836">
        <f ca="1">IFERROR(IF(N337=0,0,2*INDIRECT("'"&amp;$H$3&amp;"'!N$98")),0)</f>
        <v>0</v>
      </c>
      <c r="O349" s="836"/>
      <c r="P349" s="836"/>
      <c r="Q349" s="836">
        <f ca="1">IFERROR(IF(Q337=0,0,2*INDIRECT("'"&amp;$H$3&amp;"'!Q$98")),0)</f>
        <v>0</v>
      </c>
      <c r="R349" s="836"/>
      <c r="S349" s="836"/>
      <c r="T349" s="836">
        <f ca="1">IFERROR(IF(T337=0,0,2*INDIRECT("'"&amp;$H$3&amp;"'!T$98")),0)</f>
        <v>0</v>
      </c>
      <c r="U349" s="836"/>
      <c r="V349" s="836"/>
      <c r="W349" s="836">
        <f ca="1">IFERROR(IF(W337=0,0,2*INDIRECT("'"&amp;$H$3&amp;"'!W$98")),0)</f>
        <v>0</v>
      </c>
      <c r="X349" s="1469"/>
      <c r="Y349" s="36"/>
      <c r="Z349" s="36"/>
      <c r="AA349" s="36"/>
      <c r="AB349" s="36" t="s">
        <v>194</v>
      </c>
      <c r="AC349" s="36"/>
      <c r="AD349" s="36" t="s">
        <v>195</v>
      </c>
      <c r="AE349" s="36"/>
      <c r="AF349" s="36"/>
      <c r="AG349" s="36"/>
      <c r="AH349" s="36"/>
      <c r="AI349" s="36"/>
      <c r="AJ349" s="36"/>
      <c r="AK349" s="36"/>
      <c r="AL349" s="36"/>
      <c r="AM349" s="36"/>
      <c r="AN349" s="36"/>
    </row>
    <row r="350" spans="6:40" ht="15" customHeight="1" outlineLevel="1">
      <c r="F350" s="52"/>
      <c r="G350" s="51" t="s">
        <v>204</v>
      </c>
      <c r="H350" s="837"/>
      <c r="I350" s="837"/>
      <c r="J350" s="837"/>
      <c r="K350" s="837">
        <f ca="1">IFERROR((INDIRECT("'"&amp;$H$3&amp;"'!$H$10")*INDIRECT("'"&amp;$H$3&amp;"'!$H$9")*INDIRECT("'"&amp;$H$3&amp;"'!K244"))/((K349/INDIRECT("'"&amp;$H$3&amp;"'!K257"))+((1/60)*(INDIRECT("'"&amp;$H$3&amp;"'!K253")+INDIRECT("'"&amp;$H$3&amp;"'!$H$19")*(INDIRECT("'"&amp;$H$3&amp;"'!K254")+(INDIRECT("'"&amp;$H$3&amp;"'!K255")*('3_Outputs'!K$52/INDIRECT("'"&amp;$H$3&amp;"'!K$96")/INDIRECT("'"&amp;$H$3&amp;"'!$H$19"))))))),0)</f>
        <v>0</v>
      </c>
      <c r="L350" s="837"/>
      <c r="M350" s="837"/>
      <c r="N350" s="837">
        <f ca="1">IFERROR((INDIRECT("'"&amp;$H$3&amp;"'!$H$10")*INDIRECT("'"&amp;$H$3&amp;"'!$H$9")*INDIRECT("'"&amp;$H$3&amp;"'!N244"))/((N349/INDIRECT("'"&amp;$H$3&amp;"'!N257"))+((1/60)*(INDIRECT("'"&amp;$H$3&amp;"'!N253")+INDIRECT("'"&amp;$H$3&amp;"'!$H$19")*(INDIRECT("'"&amp;$H$3&amp;"'!N254")+(INDIRECT("'"&amp;$H$3&amp;"'!N255")*('3_Outputs'!N$52/INDIRECT("'"&amp;$H$3&amp;"'!N$96")/INDIRECT("'"&amp;$H$3&amp;"'!$H$19"))))))),0)</f>
        <v>0</v>
      </c>
      <c r="O350" s="837"/>
      <c r="P350" s="837"/>
      <c r="Q350" s="837">
        <f ca="1">IFERROR((INDIRECT("'"&amp;$H$3&amp;"'!$H$10")*INDIRECT("'"&amp;$H$3&amp;"'!$H$9")*INDIRECT("'"&amp;$H$3&amp;"'!Q244"))/((Q349/INDIRECT("'"&amp;$H$3&amp;"'!Q257"))+((1/60)*(INDIRECT("'"&amp;$H$3&amp;"'!Q253")+INDIRECT("'"&amp;$H$3&amp;"'!$H$19")*(INDIRECT("'"&amp;$H$3&amp;"'!Q254")+(INDIRECT("'"&amp;$H$3&amp;"'!Q255")*('3_Outputs'!Q$52/INDIRECT("'"&amp;$H$3&amp;"'!Q$96")/INDIRECT("'"&amp;$H$3&amp;"'!$H$19"))))))),0)</f>
        <v>0</v>
      </c>
      <c r="R350" s="837"/>
      <c r="S350" s="837"/>
      <c r="T350" s="837">
        <f ca="1">IFERROR((INDIRECT("'"&amp;$H$3&amp;"'!$H$10")*INDIRECT("'"&amp;$H$3&amp;"'!$H$9")*INDIRECT("'"&amp;$H$3&amp;"'!T244"))/((T349/INDIRECT("'"&amp;$H$3&amp;"'!T257"))+((1/60)*(INDIRECT("'"&amp;$H$3&amp;"'!T253")+INDIRECT("'"&amp;$H$3&amp;"'!$H$19")*(INDIRECT("'"&amp;$H$3&amp;"'!T254")+(INDIRECT("'"&amp;$H$3&amp;"'!T255")*('3_Outputs'!T$52/INDIRECT("'"&amp;$H$3&amp;"'!T$96")/INDIRECT("'"&amp;$H$3&amp;"'!$H$19"))))))),0)</f>
        <v>0</v>
      </c>
      <c r="U350" s="837"/>
      <c r="V350" s="837"/>
      <c r="W350" s="837">
        <f ca="1">IFERROR((INDIRECT("'"&amp;$H$3&amp;"'!$H$10")*INDIRECT("'"&amp;$H$3&amp;"'!$H$9")*INDIRECT("'"&amp;$H$3&amp;"'!W244"))/((W349/INDIRECT("'"&amp;$H$3&amp;"'!W257"))+((1/60)*(INDIRECT("'"&amp;$H$3&amp;"'!W253")+INDIRECT("'"&amp;$H$3&amp;"'!$H$19")*(INDIRECT("'"&amp;$H$3&amp;"'!W254")+(INDIRECT("'"&amp;$H$3&amp;"'!W255")*('3_Outputs'!W$52/INDIRECT("'"&amp;$H$3&amp;"'!W$96")/INDIRECT("'"&amp;$H$3&amp;"'!$H$19"))))))),0)</f>
        <v>0</v>
      </c>
      <c r="X350" s="1468"/>
      <c r="Y350" s="36"/>
      <c r="Z350" s="36"/>
      <c r="AA350" s="36"/>
      <c r="AB350" s="36" t="s">
        <v>196</v>
      </c>
      <c r="AC350" s="36"/>
      <c r="AD350" s="36" t="s">
        <v>197</v>
      </c>
      <c r="AE350" s="36"/>
      <c r="AF350" s="36"/>
      <c r="AG350" s="36"/>
      <c r="AH350" s="36"/>
      <c r="AI350" s="36"/>
      <c r="AJ350" s="36"/>
      <c r="AK350" s="36"/>
      <c r="AL350" s="36"/>
      <c r="AM350" s="36"/>
      <c r="AN350" s="36"/>
    </row>
    <row r="351" spans="6:40" ht="15" customHeight="1">
      <c r="F351" s="52"/>
      <c r="G351" s="52"/>
      <c r="H351" s="1660"/>
      <c r="I351" s="1660"/>
      <c r="J351" s="1660"/>
      <c r="K351" s="1660"/>
      <c r="L351" s="1660"/>
      <c r="M351" s="1660"/>
      <c r="N351" s="1660"/>
      <c r="O351" s="1660"/>
      <c r="P351" s="1660"/>
      <c r="Q351" s="1660"/>
      <c r="R351" s="1677"/>
      <c r="S351" s="1677"/>
      <c r="T351" s="1677"/>
      <c r="U351" s="1677"/>
      <c r="V351" s="1677"/>
      <c r="W351" s="1677"/>
      <c r="X351" s="1484"/>
      <c r="Y351" s="36"/>
      <c r="Z351" s="36"/>
      <c r="AA351" s="36"/>
      <c r="AB351" s="36"/>
      <c r="AC351" s="36"/>
      <c r="AD351" s="36"/>
      <c r="AE351" s="36"/>
      <c r="AF351" s="36"/>
      <c r="AG351" s="36"/>
      <c r="AH351" s="36"/>
      <c r="AI351" s="36"/>
      <c r="AJ351" s="36"/>
      <c r="AK351" s="36"/>
      <c r="AL351" s="36"/>
      <c r="AM351" s="36"/>
      <c r="AN351" s="36"/>
    </row>
    <row r="352" spans="6:40" ht="15" customHeight="1">
      <c r="F352" s="52"/>
      <c r="G352" s="52"/>
      <c r="H352" s="1660"/>
      <c r="I352" s="1660"/>
      <c r="J352" s="1660"/>
      <c r="K352" s="1660"/>
      <c r="L352" s="1660"/>
      <c r="M352" s="1660"/>
      <c r="N352" s="1660"/>
      <c r="O352" s="1660"/>
      <c r="P352" s="1660"/>
      <c r="Q352" s="1660"/>
      <c r="R352" s="1641"/>
      <c r="S352" s="1641"/>
      <c r="T352" s="1641"/>
      <c r="U352" s="1641"/>
      <c r="V352" s="1641"/>
      <c r="W352" s="1641"/>
      <c r="X352" s="1397"/>
      <c r="Y352" s="36"/>
      <c r="Z352" s="36"/>
      <c r="AA352" s="36"/>
      <c r="AB352" s="36"/>
      <c r="AC352" s="36"/>
      <c r="AD352" s="36"/>
      <c r="AE352" s="36"/>
      <c r="AF352" s="36"/>
      <c r="AG352" s="36"/>
      <c r="AH352" s="36"/>
      <c r="AI352" s="36"/>
      <c r="AJ352" s="36"/>
      <c r="AK352" s="36"/>
      <c r="AL352" s="36"/>
      <c r="AM352" s="36"/>
      <c r="AN352" s="36"/>
    </row>
    <row r="353" spans="6:40" ht="48" customHeight="1">
      <c r="F353" s="1678" t="s">
        <v>156</v>
      </c>
      <c r="G353" s="1679"/>
      <c r="H353" s="1680"/>
      <c r="I353" s="1680"/>
      <c r="J353" s="1680"/>
      <c r="K353" s="1513" t="str">
        <f ca="1">IF($H$9&gt;=2,INDIRECT("'"&amp;$H$3&amp;"'!J$130"),"")</f>
        <v>CMS  to  Regional WH</v>
      </c>
      <c r="L353" s="1513" t="str">
        <f t="shared" ref="L353:V353" ca="1" si="21">IF($H$9&gt;=1,"Tier 1","")</f>
        <v>Tier 1</v>
      </c>
      <c r="M353" s="1513" t="str">
        <f t="shared" ca="1" si="21"/>
        <v>Tier 1</v>
      </c>
      <c r="N353" s="1513" t="str">
        <f ca="1">IF($H$9&gt;=3,INDIRECT("'"&amp;$H$3&amp;"'!M$130"),"")</f>
        <v>Regional WH  to  Health Facility</v>
      </c>
      <c r="O353" s="1513" t="str">
        <f t="shared" ca="1" si="21"/>
        <v>Tier 1</v>
      </c>
      <c r="P353" s="1513" t="str">
        <f t="shared" ca="1" si="21"/>
        <v>Tier 1</v>
      </c>
      <c r="Q353" s="1514" t="str">
        <f ca="1">IF($H$9&gt;=4,INDIRECT("'"&amp;$H$3&amp;"'!P$130"),"")</f>
        <v/>
      </c>
      <c r="R353" s="1515" t="str">
        <f t="shared" ca="1" si="21"/>
        <v>Tier 1</v>
      </c>
      <c r="S353" s="1515" t="str">
        <f t="shared" ca="1" si="21"/>
        <v>Tier 1</v>
      </c>
      <c r="T353" s="1514" t="str">
        <f ca="1">IF($H$9&gt;=5,INDIRECT("'"&amp;$H$3&amp;"'!S$130"),"")</f>
        <v/>
      </c>
      <c r="U353" s="1515" t="str">
        <f t="shared" ca="1" si="21"/>
        <v>Tier 1</v>
      </c>
      <c r="V353" s="1515" t="str">
        <f t="shared" ca="1" si="21"/>
        <v>Tier 1</v>
      </c>
      <c r="W353" s="1514" t="str">
        <f ca="1">IF($H$9&gt;=6,INDIRECT("'"&amp;$H$3&amp;"'!V$130"),"")</f>
        <v/>
      </c>
      <c r="X353" s="1464"/>
      <c r="Y353" s="36"/>
      <c r="Z353" s="36"/>
      <c r="AA353" s="36"/>
      <c r="AB353" s="36"/>
      <c r="AC353" s="36"/>
      <c r="AD353" s="36"/>
      <c r="AE353" s="36"/>
      <c r="AF353" s="36"/>
      <c r="AG353" s="36"/>
      <c r="AH353" s="36"/>
      <c r="AI353" s="36"/>
      <c r="AJ353" s="36"/>
      <c r="AK353" s="242"/>
      <c r="AL353" s="36"/>
      <c r="AM353" s="36"/>
      <c r="AN353" s="36"/>
    </row>
    <row r="354" spans="6:40" ht="15" customHeight="1" outlineLevel="1">
      <c r="F354" s="1681" t="s">
        <v>149</v>
      </c>
      <c r="G354" s="1681"/>
      <c r="H354" s="78"/>
      <c r="I354" s="78"/>
      <c r="J354" s="78"/>
      <c r="K354" s="78"/>
      <c r="L354" s="78"/>
      <c r="M354" s="78"/>
      <c r="N354" s="78"/>
      <c r="O354" s="1681"/>
      <c r="P354" s="1681"/>
      <c r="Q354" s="1682"/>
      <c r="R354" s="1641"/>
      <c r="S354" s="1641"/>
      <c r="T354" s="1682"/>
      <c r="U354" s="1641"/>
      <c r="V354" s="1641"/>
      <c r="W354" s="1682"/>
      <c r="Y354" s="36"/>
      <c r="Z354" s="36"/>
      <c r="AA354" s="36"/>
      <c r="AB354" s="36"/>
      <c r="AC354" s="36"/>
      <c r="AD354" s="36"/>
      <c r="AE354" s="36"/>
      <c r="AF354" s="36"/>
      <c r="AG354" s="36"/>
      <c r="AH354" s="36"/>
      <c r="AI354" s="36"/>
      <c r="AJ354" s="36"/>
      <c r="AK354" s="242"/>
      <c r="AL354" s="36"/>
      <c r="AM354" s="36"/>
      <c r="AN354" s="36"/>
    </row>
    <row r="355" spans="6:40" ht="15" customHeight="1" outlineLevel="1">
      <c r="F355" s="52"/>
      <c r="G355" s="51" t="s">
        <v>146</v>
      </c>
      <c r="H355" s="837"/>
      <c r="I355" s="837"/>
      <c r="J355" s="837"/>
      <c r="K355" s="837">
        <f ca="1">IFERROR(IF(COUNTIF(INDIRECT("'"&amp;$H$3&amp;"'!K264"),"Public Transport*")=1,IF(INDIRECT("'"&amp;$H$3&amp;"'!K272")="Route-based",K362*INDIRECT("'"&amp;$H$3&amp;"'!K$261"),IF(INDIRECT("'"&amp;$H$3&amp;"'!K272")="Point-to-point",K365*INDIRECT("'"&amp;$H$3&amp;"'!K$261"),0)),0),0)</f>
        <v>0</v>
      </c>
      <c r="L355" s="837"/>
      <c r="M355" s="837"/>
      <c r="N355" s="837">
        <f ca="1">IFERROR(IF(COUNTIF(INDIRECT("'"&amp;$H$3&amp;"'!N264"),"Public Transport*")=1,IF(INDIRECT("'"&amp;$H$3&amp;"'!N272")="Route-based",N362*INDIRECT("'"&amp;$H$3&amp;"'!N$261"),IF(INDIRECT("'"&amp;$H$3&amp;"'!N272")="Point-to-point",N365*INDIRECT("'"&amp;$H$3&amp;"'!N$261"),0)),0),0)</f>
        <v>0</v>
      </c>
      <c r="O355" s="837"/>
      <c r="P355" s="837"/>
      <c r="Q355" s="837">
        <f ca="1">IFERROR(IF(COUNTIF(INDIRECT("'"&amp;$H$3&amp;"'!Q264"),"Public Transport*")=1,IF(INDIRECT("'"&amp;$H$3&amp;"'!Q272")="Route-based",Q362*INDIRECT("'"&amp;$H$3&amp;"'!Q$261"),IF(INDIRECT("'"&amp;$H$3&amp;"'!Q272")="Point-to-point",Q365*INDIRECT("'"&amp;$H$3&amp;"'!Q$261"),0)),0),0)</f>
        <v>0</v>
      </c>
      <c r="R355" s="1650"/>
      <c r="S355" s="1650"/>
      <c r="T355" s="837">
        <f ca="1">IFERROR(IF(COUNTIF(INDIRECT("'"&amp;$H$3&amp;"'!T264"),"Public Transport*")=1,IF(INDIRECT("'"&amp;$H$3&amp;"'!T272")="Route-based",T362*INDIRECT("'"&amp;$H$3&amp;"'!T$261"),IF(INDIRECT("'"&amp;$H$3&amp;"'!T272")="Point-to-point",T365*INDIRECT("'"&amp;$H$3&amp;"'!T$261"),0)),0),0)</f>
        <v>0</v>
      </c>
      <c r="U355" s="1650"/>
      <c r="V355" s="1650"/>
      <c r="W355" s="837">
        <f ca="1">IFERROR(IF(COUNTIF(INDIRECT("'"&amp;$H$3&amp;"'!W264"),"Public Transport*")=1,IF(INDIRECT("'"&amp;$H$3&amp;"'!W272")="Route-based",W362*INDIRECT("'"&amp;$H$3&amp;"'!W$261"),IF(INDIRECT("'"&amp;$H$3&amp;"'!W272")="Point-to-point",W365*INDIRECT("'"&amp;$H$3&amp;"'!W$261"),0)),0),0)</f>
        <v>0</v>
      </c>
      <c r="X355" s="1468"/>
      <c r="Y355" s="36"/>
      <c r="Z355" s="36"/>
      <c r="AA355" s="36"/>
      <c r="AB355" s="36"/>
      <c r="AC355" s="36"/>
      <c r="AD355" s="36"/>
      <c r="AE355" s="36"/>
      <c r="AF355" s="36"/>
      <c r="AG355" s="36"/>
      <c r="AH355" s="36"/>
      <c r="AI355" s="36"/>
      <c r="AJ355" s="36"/>
      <c r="AK355" s="242"/>
      <c r="AL355" s="36"/>
      <c r="AM355" s="36"/>
      <c r="AN355" s="36"/>
    </row>
    <row r="356" spans="6:40" ht="15" customHeight="1" outlineLevel="1">
      <c r="F356" s="52"/>
      <c r="G356" s="51" t="s">
        <v>147</v>
      </c>
      <c r="H356" s="837"/>
      <c r="I356" s="837"/>
      <c r="J356" s="837"/>
      <c r="K356" s="837">
        <f ca="1">IFERROR(IF(INDIRECT("'"&amp;$H$3&amp;"'!K272")="Route-based",K363*INDIRECT("'"&amp;$H$3&amp;"'!K$261"),IF(INDIRECT("'"&amp;$H$3&amp;"'!K272")="Point-to-point",K366*INDIRECT("'"&amp;$H$3&amp;"'!K$261"),0)),0)</f>
        <v>0</v>
      </c>
      <c r="L356" s="837"/>
      <c r="M356" s="837"/>
      <c r="N356" s="837">
        <f ca="1">IFERROR(IF(INDIRECT("'"&amp;$H$3&amp;"'!N272")="Route-based",N363*INDIRECT("'"&amp;$H$3&amp;"'!N$261"),IF(INDIRECT("'"&amp;$H$3&amp;"'!N272")="Point-to-point",N366*INDIRECT("'"&amp;$H$3&amp;"'!N$261"),0)),0)</f>
        <v>0</v>
      </c>
      <c r="O356" s="837"/>
      <c r="P356" s="837"/>
      <c r="Q356" s="837">
        <f ca="1">IFERROR(IF(INDIRECT("'"&amp;$H$3&amp;"'!Q272")="Route-based",Q363*INDIRECT("'"&amp;$H$3&amp;"'!Q$261"),IF(INDIRECT("'"&amp;$H$3&amp;"'!Q272")="Point-to-point",Q366*INDIRECT("'"&amp;$H$3&amp;"'!Q$261"),0)),0)</f>
        <v>0</v>
      </c>
      <c r="R356" s="1650"/>
      <c r="S356" s="1650"/>
      <c r="T356" s="837">
        <f ca="1">IFERROR(IF(INDIRECT("'"&amp;$H$3&amp;"'!T272")="Route-based",T363*INDIRECT("'"&amp;$H$3&amp;"'!T$261"),IF(INDIRECT("'"&amp;$H$3&amp;"'!T272")="Point-to-point",T366*INDIRECT("'"&amp;$H$3&amp;"'!T$261"),0)),0)</f>
        <v>0</v>
      </c>
      <c r="U356" s="1650"/>
      <c r="V356" s="1650"/>
      <c r="W356" s="837">
        <f ca="1">IFERROR(IF(INDIRECT("'"&amp;$H$3&amp;"'!W272")="Route-based",W363*INDIRECT("'"&amp;$H$3&amp;"'!W$261"),IF(INDIRECT("'"&amp;$H$3&amp;"'!W272")="Point-to-point",W366*INDIRECT("'"&amp;$H$3&amp;"'!W$261"),0)),0)</f>
        <v>0</v>
      </c>
      <c r="X356" s="1468"/>
      <c r="Y356" s="36"/>
      <c r="Z356" s="36"/>
      <c r="AA356" s="36"/>
      <c r="AB356" s="36"/>
      <c r="AC356" s="36"/>
      <c r="AD356" s="36"/>
      <c r="AE356" s="36"/>
      <c r="AF356" s="36"/>
      <c r="AG356" s="36"/>
      <c r="AH356" s="36"/>
      <c r="AI356" s="36"/>
      <c r="AJ356" s="36"/>
      <c r="AK356" s="36"/>
      <c r="AL356" s="36"/>
      <c r="AM356" s="36"/>
      <c r="AN356" s="36"/>
    </row>
    <row r="357" spans="6:40" ht="15" customHeight="1" outlineLevel="1">
      <c r="F357" s="52"/>
      <c r="G357" s="51" t="s">
        <v>142</v>
      </c>
      <c r="H357" s="1651"/>
      <c r="I357" s="1651"/>
      <c r="J357" s="1651"/>
      <c r="K357" s="1651">
        <f ca="1">IFERROR(IF(COUNTIF(INDIRECT("'"&amp;$H$3&amp;"'!K264"),"Public Transport*")&gt;0,ROUND(INDIRECT("'"&amp;$H$3&amp;"'!K$95")*INDIRECT("'"&amp;$H$3&amp;"'!K263"),0),0),0)</f>
        <v>0</v>
      </c>
      <c r="L357" s="1651"/>
      <c r="M357" s="1651"/>
      <c r="N357" s="1651">
        <f ca="1">IFERROR(IF(COUNTIF(INDIRECT("'"&amp;$H$3&amp;"'!N264"),"Public Transport*")&gt;0,ROUND(INDIRECT("'"&amp;$H$3&amp;"'!N$95")*INDIRECT("'"&amp;$H$3&amp;"'!N263"),0),0),0)</f>
        <v>0</v>
      </c>
      <c r="O357" s="1651"/>
      <c r="P357" s="1651"/>
      <c r="Q357" s="1651">
        <f ca="1">IFERROR(IF(COUNTIF(INDIRECT("'"&amp;$H$3&amp;"'!Q264"),"Public Transport*")&gt;0,ROUND(INDIRECT("'"&amp;$H$3&amp;"'!Q$95")*INDIRECT("'"&amp;$H$3&amp;"'!Q263"),0),0),0)</f>
        <v>0</v>
      </c>
      <c r="R357" s="1650"/>
      <c r="S357" s="1650"/>
      <c r="T357" s="1651">
        <f ca="1">IFERROR(IF(COUNTIF(INDIRECT("'"&amp;$H$3&amp;"'!T264"),"Public Transport*")&gt;0,ROUND(INDIRECT("'"&amp;$H$3&amp;"'!T$95")*INDIRECT("'"&amp;$H$3&amp;"'!T263"),0),0),0)</f>
        <v>0</v>
      </c>
      <c r="U357" s="1650"/>
      <c r="V357" s="1650"/>
      <c r="W357" s="1651">
        <f ca="1">IFERROR(IF(COUNTIF(INDIRECT("'"&amp;$H$3&amp;"'!W264"),"Public Transport*")&gt;0,ROUND(INDIRECT("'"&amp;$H$3&amp;"'!W$95")*INDIRECT("'"&amp;$H$3&amp;"'!W263"),0),0),0)</f>
        <v>0</v>
      </c>
      <c r="X357" s="1466"/>
      <c r="Y357" s="36"/>
      <c r="Z357" s="36"/>
      <c r="AA357" s="36"/>
      <c r="AB357" s="36"/>
      <c r="AC357" s="36"/>
      <c r="AD357" s="36"/>
      <c r="AE357" s="36"/>
      <c r="AF357" s="36"/>
      <c r="AG357" s="36"/>
      <c r="AH357" s="36"/>
      <c r="AI357" s="36"/>
      <c r="AJ357" s="36"/>
      <c r="AK357" s="36"/>
      <c r="AL357" s="36"/>
      <c r="AM357" s="36"/>
      <c r="AN357" s="36"/>
    </row>
    <row r="358" spans="6:40" ht="15" customHeight="1" outlineLevel="1">
      <c r="F358" s="52"/>
      <c r="G358" s="1613" t="s">
        <v>150</v>
      </c>
      <c r="H358" s="842"/>
      <c r="I358" s="842"/>
      <c r="J358" s="842"/>
      <c r="K358" s="842"/>
      <c r="L358" s="842"/>
      <c r="M358" s="842"/>
      <c r="N358" s="842"/>
      <c r="O358" s="842"/>
      <c r="P358" s="842"/>
      <c r="Q358" s="842"/>
      <c r="R358" s="1650"/>
      <c r="S358" s="1650"/>
      <c r="T358" s="842"/>
      <c r="U358" s="1650"/>
      <c r="V358" s="1650"/>
      <c r="W358" s="842"/>
      <c r="X358" s="1470"/>
      <c r="Y358" s="36"/>
      <c r="Z358" s="36"/>
      <c r="AA358" s="36"/>
      <c r="AB358" s="36"/>
      <c r="AC358" s="36"/>
      <c r="AD358" s="36"/>
      <c r="AE358" s="36"/>
      <c r="AF358" s="36"/>
      <c r="AG358" s="36"/>
      <c r="AH358" s="36"/>
      <c r="AI358" s="36"/>
      <c r="AJ358" s="36"/>
      <c r="AK358" s="36"/>
      <c r="AL358" s="36"/>
      <c r="AM358" s="36"/>
      <c r="AN358" s="36"/>
    </row>
    <row r="359" spans="6:40" ht="15" customHeight="1" outlineLevel="1">
      <c r="F359" s="52"/>
      <c r="G359" s="51" t="s">
        <v>140</v>
      </c>
      <c r="H359" s="836"/>
      <c r="I359" s="836"/>
      <c r="J359" s="836"/>
      <c r="K359" s="836">
        <f ca="1">IFERROR(ROUND(INDIRECT("'"&amp;$H$3&amp;"'!$H$10")/(((1/60)*(INDIRECT("'"&amp;$H$3&amp;"'!K277")+INDIRECT("'"&amp;$H$3&amp;"'!$H$19")*(INDIRECT("'"&amp;$H$3&amp;"'!K278")+(INDIRECT("'"&amp;$H$3&amp;"'!K279")*('3_Outputs'!K$52/INDIRECT("'"&amp;$H$3&amp;"'!K$96")/INDIRECT("'"&amp;$H$3&amp;"'!$H$19"))))))+INDEX(INDIRECT("'"&amp;$H$3&amp;"'!$H$43:$H$78"),MATCH(INDIRECT("'"&amp;$H$3&amp;"'!K264")&amp;"Average duration (hrs) per trip",INDIRECT("'"&amp;$H$3&amp;"'!$F$43:$F$78"),0))),1),0)</f>
        <v>0</v>
      </c>
      <c r="L359" s="836"/>
      <c r="M359" s="836"/>
      <c r="N359" s="836">
        <f ca="1">IFERROR(ROUND(INDIRECT("'"&amp;$H$3&amp;"'!$H$10")/(((1/60)*(INDIRECT("'"&amp;$H$3&amp;"'!N277")+INDIRECT("'"&amp;$H$3&amp;"'!$H$19")*(INDIRECT("'"&amp;$H$3&amp;"'!N278")+(INDIRECT("'"&amp;$H$3&amp;"'!N279")*('3_Outputs'!N$52/INDIRECT("'"&amp;$H$3&amp;"'!N$261")/INDIRECT("'"&amp;$H$3&amp;"'!$H$19"))))))+INDEX(INDIRECT("'"&amp;$H$3&amp;"'!$H$43:$H$78"),MATCH(INDIRECT("'"&amp;$H$3&amp;"'!N264")&amp;"Average duration (hrs) per trip",INDIRECT("'"&amp;$H$3&amp;"'!$F$43:$F$78"),0))),1),0)</f>
        <v>0</v>
      </c>
      <c r="O359" s="836"/>
      <c r="P359" s="836"/>
      <c r="Q359" s="836">
        <f ca="1">IFERROR(ROUND(INDIRECT("'"&amp;$H$3&amp;"'!$H$10")/(((1/60)*(INDIRECT("'"&amp;$H$3&amp;"'!Q277")+INDIRECT("'"&amp;$H$3&amp;"'!$H$19")*(INDIRECT("'"&amp;$H$3&amp;"'!Q278")+(INDIRECT("'"&amp;$H$3&amp;"'!Q279")*('3_Outputs'!Q$52/INDIRECT("'"&amp;$H$3&amp;"'!Q$261")/INDIRECT("'"&amp;$H$3&amp;"'!$H$19"))))))+INDEX(INDIRECT("'"&amp;$H$3&amp;"'!$H$43:$H$78"),MATCH(INDIRECT("'"&amp;$H$3&amp;"'!Q264")&amp;"Average duration (hrs) per trip",INDIRECT("'"&amp;$H$3&amp;"'!$F$43:$F$78"),0))),1),0)</f>
        <v>0</v>
      </c>
      <c r="R359" s="836"/>
      <c r="S359" s="836"/>
      <c r="T359" s="836">
        <f ca="1">IFERROR(ROUND(INDIRECT("'"&amp;$H$3&amp;"'!$H$10")/(((1/60)*(INDIRECT("'"&amp;$H$3&amp;"'!T277")+INDIRECT("'"&amp;$H$3&amp;"'!$H$19")*(INDIRECT("'"&amp;$H$3&amp;"'!T278")+(INDIRECT("'"&amp;$H$3&amp;"'!T279")*('3_Outputs'!T$52/INDIRECT("'"&amp;$H$3&amp;"'!T$261")/INDIRECT("'"&amp;$H$3&amp;"'!$H$19"))))))+INDEX(INDIRECT("'"&amp;$H$3&amp;"'!$H$43:$H$78"),MATCH(INDIRECT("'"&amp;$H$3&amp;"'!T264")&amp;"Average duration (hrs) per trip",INDIRECT("'"&amp;$H$3&amp;"'!$F$43:$F$78"),0))),1),0)</f>
        <v>0</v>
      </c>
      <c r="U359" s="836"/>
      <c r="V359" s="836"/>
      <c r="W359" s="836">
        <f ca="1">IFERROR(ROUND(INDIRECT("'"&amp;$H$3&amp;"'!$H$10")/(((1/60)*(INDIRECT("'"&amp;$H$3&amp;"'!W277")+INDIRECT("'"&amp;$H$3&amp;"'!$H$19")*(INDIRECT("'"&amp;$H$3&amp;"'!W278")+(INDIRECT("'"&amp;$H$3&amp;"'!W279")*('3_Outputs'!W$52/INDIRECT("'"&amp;$H$3&amp;"'!W$261")/INDIRECT("'"&amp;$H$3&amp;"'!$H$19"))))))+INDEX(INDIRECT("'"&amp;$H$3&amp;"'!$H$43:$H$78"),MATCH(INDIRECT("'"&amp;$H$3&amp;"'!W264")&amp;"Average duration (hrs) per trip",INDIRECT("'"&amp;$H$3&amp;"'!$F$43:$F$78"),0))),1),0)</f>
        <v>0</v>
      </c>
      <c r="X359" s="1469"/>
      <c r="Y359" s="36"/>
      <c r="Z359" s="36"/>
      <c r="AA359" s="36"/>
      <c r="AB359" s="36"/>
      <c r="AC359" s="36"/>
      <c r="AD359" s="36"/>
      <c r="AE359" s="36"/>
      <c r="AF359" s="36"/>
      <c r="AG359" s="36"/>
      <c r="AH359" s="36"/>
      <c r="AI359" s="36"/>
      <c r="AJ359" s="36"/>
      <c r="AK359" s="36"/>
      <c r="AL359" s="36"/>
      <c r="AM359" s="36"/>
      <c r="AN359" s="36"/>
    </row>
    <row r="360" spans="6:40" ht="15" customHeight="1" outlineLevel="1">
      <c r="F360" s="52"/>
      <c r="G360" s="51" t="s">
        <v>141</v>
      </c>
      <c r="H360" s="836"/>
      <c r="I360" s="836"/>
      <c r="J360" s="836"/>
      <c r="K360" s="836">
        <f ca="1">IFERROR(ROUND(K359*INDIRECT("'"&amp;$H$3&amp;"'!K273"),0),0)</f>
        <v>0</v>
      </c>
      <c r="L360" s="836"/>
      <c r="M360" s="836"/>
      <c r="N360" s="836">
        <f ca="1">IFERROR(ROUND(N359*INDIRECT("'"&amp;$H$3&amp;"'!N273"),0),0)</f>
        <v>0</v>
      </c>
      <c r="O360" s="836"/>
      <c r="P360" s="836"/>
      <c r="Q360" s="836">
        <f ca="1">IFERROR(ROUND(Q359*INDIRECT("'"&amp;$H$3&amp;"'!Q273"),0),0)</f>
        <v>0</v>
      </c>
      <c r="R360" s="836"/>
      <c r="S360" s="836"/>
      <c r="T360" s="836">
        <f ca="1">IFERROR(ROUND(T359*INDIRECT("'"&amp;$H$3&amp;"'!T273"),0),0)</f>
        <v>0</v>
      </c>
      <c r="U360" s="836"/>
      <c r="V360" s="836"/>
      <c r="W360" s="836">
        <f ca="1">IFERROR(ROUND(W359*INDIRECT("'"&amp;$H$3&amp;"'!W273"),0),0)</f>
        <v>0</v>
      </c>
      <c r="X360" s="1469"/>
      <c r="Y360" s="36"/>
      <c r="Z360" s="36"/>
      <c r="AA360" s="36"/>
      <c r="AB360" s="36"/>
      <c r="AC360" s="36"/>
      <c r="AD360" s="36"/>
      <c r="AE360" s="36"/>
      <c r="AF360" s="36"/>
      <c r="AG360" s="36"/>
      <c r="AH360" s="36"/>
      <c r="AI360" s="36"/>
      <c r="AJ360" s="36"/>
      <c r="AK360" s="36"/>
      <c r="AL360" s="36"/>
      <c r="AM360" s="36"/>
      <c r="AN360" s="36"/>
    </row>
    <row r="361" spans="6:40" ht="15" customHeight="1" outlineLevel="1">
      <c r="F361" s="52"/>
      <c r="G361" s="51" t="s">
        <v>143</v>
      </c>
      <c r="H361" s="836"/>
      <c r="I361" s="836"/>
      <c r="J361" s="836"/>
      <c r="K361" s="836">
        <f ca="1">IFERROR(ROUNDUP(K357/K360,0),0)</f>
        <v>0</v>
      </c>
      <c r="L361" s="836"/>
      <c r="M361" s="836"/>
      <c r="N361" s="836">
        <f ca="1">IFERROR(ROUNDUP(N357/N360,0),0)</f>
        <v>0</v>
      </c>
      <c r="O361" s="836"/>
      <c r="P361" s="836"/>
      <c r="Q361" s="836">
        <f ca="1">IFERROR(ROUNDUP(Q357/Q360,0),0)</f>
        <v>0</v>
      </c>
      <c r="R361" s="836"/>
      <c r="S361" s="836"/>
      <c r="T361" s="836">
        <f ca="1">IFERROR(ROUNDUP(T357/T360,0),0)</f>
        <v>0</v>
      </c>
      <c r="U361" s="836"/>
      <c r="V361" s="836"/>
      <c r="W361" s="836">
        <f ca="1">IFERROR(ROUNDUP(W357/W360,0),0)</f>
        <v>0</v>
      </c>
      <c r="X361" s="1469"/>
      <c r="Y361" s="36"/>
      <c r="Z361" s="36"/>
      <c r="AA361" s="36"/>
      <c r="AB361" s="36"/>
      <c r="AC361" s="36"/>
      <c r="AD361" s="36"/>
      <c r="AE361" s="36"/>
      <c r="AF361" s="36"/>
      <c r="AG361" s="36"/>
      <c r="AH361" s="36"/>
      <c r="AI361" s="36"/>
      <c r="AJ361" s="36"/>
      <c r="AK361" s="242"/>
      <c r="AL361" s="36"/>
      <c r="AM361" s="36"/>
      <c r="AN361" s="36"/>
    </row>
    <row r="362" spans="6:40" ht="15" customHeight="1" outlineLevel="1">
      <c r="F362" s="52"/>
      <c r="G362" s="51" t="s">
        <v>144</v>
      </c>
      <c r="H362" s="836"/>
      <c r="I362" s="836"/>
      <c r="J362" s="836"/>
      <c r="K362" s="836">
        <f ca="1">IFERROR((K361*(K360+1)),0)</f>
        <v>0</v>
      </c>
      <c r="L362" s="836"/>
      <c r="M362" s="836"/>
      <c r="N362" s="836">
        <f ca="1">IFERROR((N361*(N360+1)),0)</f>
        <v>0</v>
      </c>
      <c r="O362" s="836"/>
      <c r="P362" s="836"/>
      <c r="Q362" s="836">
        <f ca="1">IFERROR((Q361*(Q360+1)),0)</f>
        <v>0</v>
      </c>
      <c r="R362" s="836"/>
      <c r="S362" s="836"/>
      <c r="T362" s="836">
        <f ca="1">IFERROR((T361*(T360+1)),0)</f>
        <v>0</v>
      </c>
      <c r="U362" s="836"/>
      <c r="V362" s="836"/>
      <c r="W362" s="836">
        <f ca="1">IFERROR((W361*(W360+1)),0)</f>
        <v>0</v>
      </c>
      <c r="X362" s="1469"/>
      <c r="Y362" s="36"/>
      <c r="Z362" s="36"/>
      <c r="AA362" s="36"/>
      <c r="AB362" s="36"/>
      <c r="AC362" s="36"/>
      <c r="AD362" s="36"/>
      <c r="AE362" s="36"/>
      <c r="AF362" s="36"/>
      <c r="AG362" s="36"/>
      <c r="AH362" s="36"/>
      <c r="AI362" s="36"/>
      <c r="AJ362" s="36"/>
      <c r="AK362" s="242"/>
      <c r="AL362" s="36"/>
      <c r="AM362" s="36"/>
      <c r="AN362" s="36"/>
    </row>
    <row r="363" spans="6:40" ht="15" customHeight="1" outlineLevel="1">
      <c r="F363" s="52"/>
      <c r="G363" s="51" t="s">
        <v>145</v>
      </c>
      <c r="H363" s="836"/>
      <c r="I363" s="836"/>
      <c r="J363" s="836"/>
      <c r="K363" s="836">
        <f ca="1">IFERROR(ROUNDUP(((K362*INDEX(INDIRECT("'"&amp;$H$3&amp;"'!$H$43:$H$78"),MATCH(INDIRECT("'"&amp;$H$3&amp;"'!K264")&amp;"Average duration (hrs) per trip",INDIRECT("'"&amp;$H$3&amp;"'!$F$43:$F$78"),0)))+(K357*((1/60)*(INDIRECT("'"&amp;$H$3&amp;"'!K277")+INDIRECT("'"&amp;$H$3&amp;"'!$H$19")*(INDIRECT("'"&amp;$H$3&amp;"'!K278")+(INDIRECT("'"&amp;$H$3&amp;"'!K279")*('3_Outputs'!K$52/INDIRECT("'"&amp;$H$3&amp;"'!K$261")/INDIRECT("'"&amp;$H$3&amp;"'!$H$19"))))))))/INDIRECT("'"&amp;$H$3&amp;"'!$H$10"),0),0)</f>
        <v>0</v>
      </c>
      <c r="L363" s="836"/>
      <c r="M363" s="836"/>
      <c r="N363" s="836">
        <f ca="1">IFERROR(ROUNDUP(((N362*INDEX(INDIRECT("'"&amp;$H$3&amp;"'!$H$43:$H$78"),MATCH(INDIRECT("'"&amp;$H$3&amp;"'!N264")&amp;"Average duration (hrs) per trip",INDIRECT("'"&amp;$H$3&amp;"'!$F$43:$F$78"),0)))+(N357*((1/60)*(INDIRECT("'"&amp;$H$3&amp;"'!N277")+INDIRECT("'"&amp;$H$3&amp;"'!$H$19")*(INDIRECT("'"&amp;$H$3&amp;"'!N278")+(INDIRECT("'"&amp;$H$3&amp;"'!N279")*('3_Outputs'!N$52/INDIRECT("'"&amp;$H$3&amp;"'!N$261")/INDIRECT("'"&amp;$H$3&amp;"'!$H$19"))))))))/INDIRECT("'"&amp;$H$3&amp;"'!$H$10"),0),0)</f>
        <v>0</v>
      </c>
      <c r="O363" s="836"/>
      <c r="P363" s="836"/>
      <c r="Q363" s="836">
        <f ca="1">IFERROR(ROUNDUP(((Q362*INDEX(INDIRECT("'"&amp;$H$3&amp;"'!$H$43:$H$78"),MATCH(INDIRECT("'"&amp;$H$3&amp;"'!Q264")&amp;"Average duration (hrs) per trip",INDIRECT("'"&amp;$H$3&amp;"'!$F$43:$F$78"),0)))+(Q357*((1/60)*(INDIRECT("'"&amp;$H$3&amp;"'!Q277")+INDIRECT("'"&amp;$H$3&amp;"'!$H$19")*(INDIRECT("'"&amp;$H$3&amp;"'!Q278")+(INDIRECT("'"&amp;$H$3&amp;"'!Q279")*('3_Outputs'!Q$52/INDIRECT("'"&amp;$H$3&amp;"'!Q$261")/INDIRECT("'"&amp;$H$3&amp;"'!$H$19"))))))))/INDIRECT("'"&amp;$H$3&amp;"'!$H$10"),0),0)</f>
        <v>0</v>
      </c>
      <c r="R363" s="836"/>
      <c r="S363" s="836"/>
      <c r="T363" s="836">
        <f ca="1">IFERROR(ROUNDUP(((T362*INDEX(INDIRECT("'"&amp;$H$3&amp;"'!$H$43:$H$78"),MATCH(INDIRECT("'"&amp;$H$3&amp;"'!T264")&amp;"Average duration (hrs) per trip",INDIRECT("'"&amp;$H$3&amp;"'!$F$43:$F$78"),0)))+(T357*((1/60)*(INDIRECT("'"&amp;$H$3&amp;"'!T277")+INDIRECT("'"&amp;$H$3&amp;"'!$H$19")*(INDIRECT("'"&amp;$H$3&amp;"'!T278")+(INDIRECT("'"&amp;$H$3&amp;"'!T279")*('3_Outputs'!T$52/INDIRECT("'"&amp;$H$3&amp;"'!T$261")/INDIRECT("'"&amp;$H$3&amp;"'!$H$19"))))))))/INDIRECT("'"&amp;$H$3&amp;"'!$H$10"),0),0)</f>
        <v>0</v>
      </c>
      <c r="U363" s="836"/>
      <c r="V363" s="836"/>
      <c r="W363" s="836">
        <f ca="1">IFERROR(ROUNDUP(((W362*INDEX(INDIRECT("'"&amp;$H$3&amp;"'!$H$43:$H$78"),MATCH(INDIRECT("'"&amp;$H$3&amp;"'!W264")&amp;"Average duration (hrs) per trip",INDIRECT("'"&amp;$H$3&amp;"'!$F$43:$F$78"),0)))+(W357*((1/60)*(INDIRECT("'"&amp;$H$3&amp;"'!W277")+INDIRECT("'"&amp;$H$3&amp;"'!$H$19")*(INDIRECT("'"&amp;$H$3&amp;"'!W278")+(INDIRECT("'"&amp;$H$3&amp;"'!W279")*('3_Outputs'!W$52/INDIRECT("'"&amp;$H$3&amp;"'!W$261")/INDIRECT("'"&amp;$H$3&amp;"'!$H$19"))))))))/INDIRECT("'"&amp;$H$3&amp;"'!$H$10"),0),0)</f>
        <v>0</v>
      </c>
      <c r="X363" s="1469"/>
      <c r="Y363" s="36"/>
      <c r="Z363" s="36"/>
      <c r="AA363" s="36"/>
      <c r="AB363" s="36"/>
      <c r="AC363" s="36"/>
      <c r="AD363" s="36"/>
      <c r="AE363" s="36"/>
      <c r="AF363" s="36"/>
      <c r="AG363" s="36"/>
      <c r="AH363" s="36"/>
      <c r="AI363" s="36"/>
      <c r="AJ363" s="36"/>
      <c r="AK363" s="242"/>
      <c r="AL363" s="36"/>
      <c r="AM363" s="36"/>
      <c r="AN363" s="36"/>
    </row>
    <row r="364" spans="6:40" ht="15" customHeight="1" outlineLevel="1">
      <c r="F364" s="52"/>
      <c r="G364" s="1613" t="s">
        <v>841</v>
      </c>
      <c r="H364" s="842"/>
      <c r="I364" s="842"/>
      <c r="J364" s="842"/>
      <c r="K364" s="842"/>
      <c r="L364" s="842"/>
      <c r="M364" s="842"/>
      <c r="N364" s="842"/>
      <c r="O364" s="842"/>
      <c r="P364" s="842"/>
      <c r="Q364" s="842"/>
      <c r="R364" s="1650"/>
      <c r="S364" s="1650"/>
      <c r="T364" s="842"/>
      <c r="U364" s="1650"/>
      <c r="V364" s="1650"/>
      <c r="W364" s="842"/>
      <c r="X364" s="1470"/>
      <c r="Y364" s="36"/>
      <c r="Z364" s="36"/>
      <c r="AA364" s="36"/>
      <c r="AB364" s="36"/>
      <c r="AC364" s="36"/>
      <c r="AD364" s="36"/>
      <c r="AE364" s="36"/>
      <c r="AF364" s="36"/>
      <c r="AG364" s="36"/>
      <c r="AH364" s="36"/>
      <c r="AI364" s="36"/>
      <c r="AJ364" s="36"/>
      <c r="AK364" s="36"/>
      <c r="AL364" s="36"/>
      <c r="AM364" s="36"/>
      <c r="AN364" s="36"/>
    </row>
    <row r="365" spans="6:40" ht="15" customHeight="1" outlineLevel="1">
      <c r="F365" s="52"/>
      <c r="G365" s="51" t="s">
        <v>144</v>
      </c>
      <c r="H365" s="836"/>
      <c r="I365" s="836"/>
      <c r="J365" s="836"/>
      <c r="K365" s="836">
        <f ca="1">IFERROR(K357*2,0)</f>
        <v>0</v>
      </c>
      <c r="L365" s="836"/>
      <c r="M365" s="836"/>
      <c r="N365" s="836">
        <f ca="1">IFERROR(N357*2,0)</f>
        <v>0</v>
      </c>
      <c r="O365" s="836"/>
      <c r="P365" s="836"/>
      <c r="Q365" s="836">
        <f ca="1">IFERROR(Q357*2,0)</f>
        <v>0</v>
      </c>
      <c r="R365" s="836"/>
      <c r="S365" s="836"/>
      <c r="T365" s="836">
        <f ca="1">IFERROR(T357*2,0)</f>
        <v>0</v>
      </c>
      <c r="U365" s="836"/>
      <c r="V365" s="836"/>
      <c r="W365" s="836">
        <f ca="1">IFERROR(W357*2,0)</f>
        <v>0</v>
      </c>
      <c r="X365" s="1469"/>
      <c r="Y365" s="36"/>
      <c r="Z365" s="36"/>
      <c r="AA365" s="36"/>
      <c r="AB365" s="36"/>
      <c r="AC365" s="36"/>
      <c r="AD365" s="36"/>
      <c r="AE365" s="36"/>
      <c r="AF365" s="36"/>
      <c r="AG365" s="36"/>
      <c r="AH365" s="36"/>
      <c r="AI365" s="36"/>
      <c r="AJ365" s="36"/>
      <c r="AK365" s="36"/>
      <c r="AL365" s="36"/>
      <c r="AM365" s="36"/>
      <c r="AN365" s="36"/>
    </row>
    <row r="366" spans="6:40" ht="15" customHeight="1" outlineLevel="1">
      <c r="F366" s="52"/>
      <c r="G366" s="51" t="s">
        <v>145</v>
      </c>
      <c r="H366" s="837"/>
      <c r="I366" s="837"/>
      <c r="J366" s="837"/>
      <c r="K366" s="837">
        <f ca="1">IFERROR(MAX(K357,ROUNDUP(((K365*INDEX(INDIRECT("'"&amp;$H$3&amp;"'!$H$43:$H$78"),MATCH(INDIRECT("'"&amp;$H$3&amp;"'!K264")&amp;"Average duration (hrs) per trip",INDIRECT("'"&amp;$H$3&amp;"'!$F$43:$F$78"),0)))+(K357*((1/60)*(INDIRECT("'"&amp;$H$3&amp;"'!K277")+INDIRECT("'"&amp;$H$3&amp;"'!$H$19")*(INDIRECT("'"&amp;$H$3&amp;"'!K278")+(INDIRECT("'"&amp;$H$3&amp;"'!K279")*('3_Outputs'!K$52/INDIRECT("'"&amp;$H$3&amp;"'!K$261")/INDIRECT("'"&amp;$H$3&amp;"'!$H$19"))))))))/INDIRECT("'"&amp;$H$3&amp;"'!$H$10"),0)),0)</f>
        <v>0</v>
      </c>
      <c r="L366" s="837"/>
      <c r="M366" s="837"/>
      <c r="N366" s="837">
        <f ca="1">IFERROR(MAX(N357,ROUNDUP(((N365*INDEX(INDIRECT("'"&amp;$H$3&amp;"'!$H$43:$H$78"),MATCH(INDIRECT("'"&amp;$H$3&amp;"'!N264")&amp;"Average duration (hrs) per trip",INDIRECT("'"&amp;$H$3&amp;"'!$F$43:$F$78"),0)))+(N357*((1/60)*(INDIRECT("'"&amp;$H$3&amp;"'!N277")+INDIRECT("'"&amp;$H$3&amp;"'!$H$19")*(INDIRECT("'"&amp;$H$3&amp;"'!N278")+(INDIRECT("'"&amp;$H$3&amp;"'!N279")*('3_Outputs'!N$52/INDIRECT("'"&amp;$H$3&amp;"'!N$261")/INDIRECT("'"&amp;$H$3&amp;"'!$H$19"))))))))/INDIRECT("'"&amp;$H$3&amp;"'!$H$10"),0)),0)</f>
        <v>0</v>
      </c>
      <c r="O366" s="837"/>
      <c r="P366" s="837"/>
      <c r="Q366" s="837">
        <f ca="1">IFERROR(MAX(Q357,ROUNDUP(((Q365*INDEX(INDIRECT("'"&amp;$H$3&amp;"'!$H$43:$H$78"),MATCH(INDIRECT("'"&amp;$H$3&amp;"'!Q264")&amp;"Average duration (hrs) per trip",INDIRECT("'"&amp;$H$3&amp;"'!$F$43:$F$78"),0)))+(Q357*((1/60)*(INDIRECT("'"&amp;$H$3&amp;"'!Q277")+INDIRECT("'"&amp;$H$3&amp;"'!$H$19")*(INDIRECT("'"&amp;$H$3&amp;"'!Q278")+(INDIRECT("'"&amp;$H$3&amp;"'!Q279")*('3_Outputs'!Q$52/INDIRECT("'"&amp;$H$3&amp;"'!Q$261")/INDIRECT("'"&amp;$H$3&amp;"'!$H$19"))))))))/INDIRECT("'"&amp;$H$3&amp;"'!$H$10"),0)),0)</f>
        <v>0</v>
      </c>
      <c r="R366" s="837"/>
      <c r="S366" s="837"/>
      <c r="T366" s="837">
        <f ca="1">IFERROR(MAX(T357,ROUNDUP(((T365*INDEX(INDIRECT("'"&amp;$H$3&amp;"'!$H$43:$H$78"),MATCH(INDIRECT("'"&amp;$H$3&amp;"'!T264")&amp;"Average duration (hrs) per trip",INDIRECT("'"&amp;$H$3&amp;"'!$F$43:$F$78"),0)))+(T357*((1/60)*(INDIRECT("'"&amp;$H$3&amp;"'!T277")+INDIRECT("'"&amp;$H$3&amp;"'!$H$19")*(INDIRECT("'"&amp;$H$3&amp;"'!T278")+(INDIRECT("'"&amp;$H$3&amp;"'!T279")*('3_Outputs'!T$52/INDIRECT("'"&amp;$H$3&amp;"'!T$261")/INDIRECT("'"&amp;$H$3&amp;"'!$H$19"))))))))/INDIRECT("'"&amp;$H$3&amp;"'!$H$10"),0)),0)</f>
        <v>0</v>
      </c>
      <c r="U366" s="837"/>
      <c r="V366" s="837"/>
      <c r="W366" s="837">
        <f ca="1">IFERROR(MAX(W357,ROUNDUP(((W365*INDEX(INDIRECT("'"&amp;$H$3&amp;"'!$H$43:$H$78"),MATCH(INDIRECT("'"&amp;$H$3&amp;"'!W264")&amp;"Average duration (hrs) per trip",INDIRECT("'"&amp;$H$3&amp;"'!$F$43:$F$78"),0)))+(W357*((1/60)*(INDIRECT("'"&amp;$H$3&amp;"'!W277")+INDIRECT("'"&amp;$H$3&amp;"'!$H$19")*(INDIRECT("'"&amp;$H$3&amp;"'!W278")+(INDIRECT("'"&amp;$H$3&amp;"'!W279")*('3_Outputs'!W$52/INDIRECT("'"&amp;$H$3&amp;"'!W$261")/INDIRECT("'"&amp;$H$3&amp;"'!$H$19"))))))))/INDIRECT("'"&amp;$H$3&amp;"'!$H$10"),0)),0)</f>
        <v>0</v>
      </c>
      <c r="X366" s="1468"/>
      <c r="Y366" s="36"/>
      <c r="Z366" s="36"/>
      <c r="AA366" s="36"/>
      <c r="AB366" s="36"/>
      <c r="AC366" s="36"/>
      <c r="AD366" s="36"/>
      <c r="AE366" s="36"/>
      <c r="AF366" s="36"/>
      <c r="AG366" s="36"/>
      <c r="AH366" s="36"/>
      <c r="AI366" s="36"/>
      <c r="AJ366" s="36"/>
      <c r="AK366" s="36"/>
      <c r="AL366" s="36"/>
      <c r="AM366" s="36"/>
      <c r="AN366" s="36"/>
    </row>
    <row r="367" spans="6:40" ht="15" customHeight="1" outlineLevel="1">
      <c r="F367" s="1681" t="s">
        <v>148</v>
      </c>
      <c r="G367" s="1683"/>
      <c r="H367" s="851"/>
      <c r="I367" s="851"/>
      <c r="J367" s="851"/>
      <c r="K367" s="851"/>
      <c r="L367" s="851"/>
      <c r="M367" s="851"/>
      <c r="N367" s="851"/>
      <c r="O367" s="851"/>
      <c r="P367" s="851"/>
      <c r="Q367" s="851"/>
      <c r="R367" s="1646"/>
      <c r="S367" s="1646"/>
      <c r="T367" s="851"/>
      <c r="U367" s="1646"/>
      <c r="V367" s="1646"/>
      <c r="W367" s="851"/>
      <c r="X367" s="1471"/>
      <c r="Y367" s="36"/>
      <c r="Z367" s="36"/>
      <c r="AA367" s="36"/>
      <c r="AB367" s="36"/>
      <c r="AC367" s="36"/>
      <c r="AD367" s="36"/>
      <c r="AE367" s="36"/>
      <c r="AF367" s="36"/>
      <c r="AG367" s="36"/>
      <c r="AH367" s="36"/>
      <c r="AI367" s="36"/>
      <c r="AJ367" s="36"/>
      <c r="AK367" s="242"/>
      <c r="AL367" s="36"/>
      <c r="AM367" s="36"/>
      <c r="AN367" s="36"/>
    </row>
    <row r="368" spans="6:40" ht="15" customHeight="1" outlineLevel="1">
      <c r="F368" s="86"/>
      <c r="G368" s="51" t="s">
        <v>151</v>
      </c>
      <c r="H368" s="836"/>
      <c r="I368" s="836"/>
      <c r="J368" s="836"/>
      <c r="K368" s="836">
        <f ca="1">IFERROR(IF(COUNTIF(INDIRECT("'"&amp;$H$3&amp;"'!K264"),"Public Transport*")&lt;1,ROUND(INDIRECT("'"&amp;$H$3&amp;"'!K$95")*INDIRECT("'"&amp;$H$3&amp;"'!K263"),0),0),0)</f>
        <v>0</v>
      </c>
      <c r="L368" s="836"/>
      <c r="M368" s="836"/>
      <c r="N368" s="836">
        <f ca="1">IFERROR(IF(COUNTIF(INDIRECT("'"&amp;$H$3&amp;"'!N264"),"Public Transport*")&lt;1,ROUND(INDIRECT("'"&amp;$H$3&amp;"'!N$95")*INDIRECT("'"&amp;$H$3&amp;"'!N263"),0),0),0)</f>
        <v>0</v>
      </c>
      <c r="O368" s="836"/>
      <c r="P368" s="836"/>
      <c r="Q368" s="836">
        <f ca="1">IFERROR(IF(COUNTIF(INDIRECT("'"&amp;$H$3&amp;"'!Q264"),"Public Transport*")&lt;1,ROUND(INDIRECT("'"&amp;$H$3&amp;"'!Q$95")*INDIRECT("'"&amp;$H$3&amp;"'!Q263"),0),0),0)</f>
        <v>0</v>
      </c>
      <c r="R368" s="1646"/>
      <c r="S368" s="1646"/>
      <c r="T368" s="836">
        <f ca="1">IFERROR(IF(COUNTIF(INDIRECT("'"&amp;$H$3&amp;"'!T264"),"Public Transport*")&lt;1,ROUND(INDIRECT("'"&amp;$H$3&amp;"'!T$95")*INDIRECT("'"&amp;$H$3&amp;"'!T263"),0),0),0)</f>
        <v>0</v>
      </c>
      <c r="U368" s="1646"/>
      <c r="V368" s="1646"/>
      <c r="W368" s="836">
        <f ca="1">IFERROR(IF(COUNTIF(INDIRECT("'"&amp;$H$3&amp;"'!W264"),"Public Transport*")&lt;1,ROUND(INDIRECT("'"&amp;$H$3&amp;"'!W$95")*INDIRECT("'"&amp;$H$3&amp;"'!W263"),0),0),0)</f>
        <v>0</v>
      </c>
      <c r="X368" s="1469"/>
      <c r="Y368" s="36"/>
      <c r="Z368" s="36"/>
      <c r="AA368" s="36"/>
      <c r="AB368" s="36"/>
      <c r="AC368" s="36"/>
      <c r="AD368" s="36"/>
      <c r="AE368" s="36"/>
      <c r="AF368" s="36"/>
      <c r="AG368" s="36"/>
      <c r="AH368" s="36"/>
      <c r="AI368" s="36"/>
      <c r="AJ368" s="36"/>
      <c r="AK368" s="242"/>
      <c r="AL368" s="36"/>
      <c r="AM368" s="36"/>
      <c r="AN368" s="36"/>
    </row>
    <row r="369" spans="6:40" ht="15" customHeight="1" outlineLevel="1">
      <c r="F369" s="52"/>
      <c r="G369" s="51" t="s">
        <v>85</v>
      </c>
      <c r="H369" s="837"/>
      <c r="I369" s="837"/>
      <c r="J369" s="837"/>
      <c r="K369" s="837">
        <f ca="1">IFERROR(IF(INDIRECT("'"&amp;$H$3&amp;"'!K272")="Route-based",K374*K375,IF(INDIRECT("'"&amp;$H$3&amp;"'!K272")="Point-to-point",K379*K380,0)),0)</f>
        <v>0</v>
      </c>
      <c r="L369" s="837"/>
      <c r="M369" s="837"/>
      <c r="N369" s="837">
        <f ca="1">IFERROR(IF(INDIRECT("'"&amp;$H$3&amp;"'!N272")="Route-based",N374*N375,IF(INDIRECT("'"&amp;$H$3&amp;"'!N272")="Point-to-point",N379*N380,0)),0)</f>
        <v>0</v>
      </c>
      <c r="O369" s="837"/>
      <c r="P369" s="837"/>
      <c r="Q369" s="837">
        <f ca="1">IFERROR(IF(INDIRECT("'"&amp;$H$3&amp;"'!Q272")="Route-based",Q374*Q375,IF(INDIRECT("'"&amp;$H$3&amp;"'!Q272")="Point-to-point",Q379*Q380,0)),0)</f>
        <v>0</v>
      </c>
      <c r="R369" s="1650"/>
      <c r="S369" s="1650"/>
      <c r="T369" s="837">
        <f ca="1">IFERROR(IF(INDIRECT("'"&amp;$H$3&amp;"'!T272")="Route-based",T374*T375,IF(INDIRECT("'"&amp;$H$3&amp;"'!T272")="Point-to-point",T379*T380,0)),0)</f>
        <v>0</v>
      </c>
      <c r="U369" s="1650"/>
      <c r="V369" s="1650"/>
      <c r="W369" s="837">
        <f ca="1">IFERROR(IF(INDIRECT("'"&amp;$H$3&amp;"'!W272")="Route-based",W374*W375,IF(INDIRECT("'"&amp;$H$3&amp;"'!W272")="Point-to-point",W379*W380,0)),0)</f>
        <v>0</v>
      </c>
      <c r="X369" s="1468"/>
      <c r="Y369" s="36"/>
      <c r="Z369" s="36"/>
      <c r="AA369" s="36"/>
      <c r="AB369" s="36"/>
      <c r="AC369" s="36"/>
      <c r="AD369" s="36"/>
      <c r="AE369" s="36"/>
      <c r="AF369" s="36"/>
      <c r="AG369" s="36"/>
      <c r="AH369" s="36"/>
      <c r="AI369" s="36"/>
      <c r="AJ369" s="36"/>
      <c r="AK369" s="242"/>
      <c r="AL369" s="36"/>
      <c r="AM369" s="36"/>
      <c r="AN369" s="36"/>
    </row>
    <row r="370" spans="6:40" ht="15" customHeight="1" outlineLevel="1">
      <c r="F370" s="52"/>
      <c r="G370" s="51" t="s">
        <v>59</v>
      </c>
      <c r="H370" s="837"/>
      <c r="I370" s="837"/>
      <c r="J370" s="837"/>
      <c r="K370" s="837">
        <f ca="1">IFERROR(IF(INDIRECT("'"&amp;$H$3&amp;"'!K272")="Route-based",ROUND(K374*K376/INDIRECT("'"&amp;$H$3&amp;"'!$H$10"),0),IF(INDIRECT("'"&amp;$H$3&amp;"'!K272")="Point-to-point",ROUND(((K368*INDIRECT("'"&amp;$H$3&amp;"'!K$261")*((1/60)*(INDIRECT("'"&amp;$H$3&amp;"'!K277")+INDIRECT("'"&amp;$H$3&amp;"'!$H$19")*(INDIRECT("'"&amp;$H$3&amp;"'!K278")+(INDIRECT("'"&amp;$H$3&amp;"'!K279")*('3_Outputs'!K$52/INDIRECT("'"&amp;$H$3&amp;"'!K$261")/INDIRECT("'"&amp;$H$3&amp;"'!$H$19")))))))+(K369/INDIRECT("'"&amp;$H$3&amp;"'!K281")))/INDIRECT("'"&amp;$H$3&amp;"'!$H$10"),0),0)),0)</f>
        <v>0</v>
      </c>
      <c r="L370" s="837"/>
      <c r="M370" s="837"/>
      <c r="N370" s="837">
        <f ca="1">IFERROR(IF(INDIRECT("'"&amp;$H$3&amp;"'!N272")="Route-based",ROUND(N374*N376/INDIRECT("'"&amp;$H$3&amp;"'!$H$10"),0),IF(INDIRECT("'"&amp;$H$3&amp;"'!N272")="Point-to-point",ROUND(((N368*INDIRECT("'"&amp;$H$3&amp;"'!N$261")*((1/60)*(INDIRECT("'"&amp;$H$3&amp;"'!N277")+INDIRECT("'"&amp;$H$3&amp;"'!$H$19")*(INDIRECT("'"&amp;$H$3&amp;"'!N278")+(INDIRECT("'"&amp;$H$3&amp;"'!N279")*('3_Outputs'!N$52/INDIRECT("'"&amp;$H$3&amp;"'!N$261")/INDIRECT("'"&amp;$H$3&amp;"'!$H$19")))))))+(N369/INDIRECT("'"&amp;$H$3&amp;"'!N281")))/INDIRECT("'"&amp;$H$3&amp;"'!$H$10"),0),0)),0)</f>
        <v>0</v>
      </c>
      <c r="O370" s="837"/>
      <c r="P370" s="837"/>
      <c r="Q370" s="837">
        <f ca="1">IFERROR(IF(INDIRECT("'"&amp;$H$3&amp;"'!Q272")="Route-based",ROUND(Q374*Q376/INDIRECT("'"&amp;$H$3&amp;"'!$H$10"),0),IF(INDIRECT("'"&amp;$H$3&amp;"'!Q272")="Point-to-point",ROUND(((Q368*INDIRECT("'"&amp;$H$3&amp;"'!Q$261")*((1/60)*(INDIRECT("'"&amp;$H$3&amp;"'!Q277")+INDIRECT("'"&amp;$H$3&amp;"'!$H$19")*(INDIRECT("'"&amp;$H$3&amp;"'!Q278")+(INDIRECT("'"&amp;$H$3&amp;"'!Q279")*('3_Outputs'!Q$52/INDIRECT("'"&amp;$H$3&amp;"'!Q$261")/INDIRECT("'"&amp;$H$3&amp;"'!$H$19")))))))+(Q369/INDIRECT("'"&amp;$H$3&amp;"'!Q281")))/INDIRECT("'"&amp;$H$3&amp;"'!$H$10"),0),0)),0)</f>
        <v>0</v>
      </c>
      <c r="R370" s="837"/>
      <c r="S370" s="837"/>
      <c r="T370" s="837">
        <f ca="1">IFERROR(IF(INDIRECT("'"&amp;$H$3&amp;"'!T272")="Route-based",ROUND(T374*T376/INDIRECT("'"&amp;$H$3&amp;"'!$H$10"),0),IF(INDIRECT("'"&amp;$H$3&amp;"'!T272")="Point-to-point",ROUND(((T368*INDIRECT("'"&amp;$H$3&amp;"'!T$261")*((1/60)*(INDIRECT("'"&amp;$H$3&amp;"'!T277")+INDIRECT("'"&amp;$H$3&amp;"'!$H$19")*(INDIRECT("'"&amp;$H$3&amp;"'!T278")+(INDIRECT("'"&amp;$H$3&amp;"'!T279")*('3_Outputs'!T$52/INDIRECT("'"&amp;$H$3&amp;"'!T$261")/INDIRECT("'"&amp;$H$3&amp;"'!$H$19")))))))+(T369/INDIRECT("'"&amp;$H$3&amp;"'!T281")))/INDIRECT("'"&amp;$H$3&amp;"'!$H$10"),0),0)),0)</f>
        <v>0</v>
      </c>
      <c r="U370" s="837"/>
      <c r="V370" s="837"/>
      <c r="W370" s="837">
        <f ca="1">IFERROR(IF(INDIRECT("'"&amp;$H$3&amp;"'!W272")="Route-based",ROUND(W374*W376/INDIRECT("'"&amp;$H$3&amp;"'!$H$10"),0),IF(INDIRECT("'"&amp;$H$3&amp;"'!W272")="Point-to-point",ROUND(((W368*INDIRECT("'"&amp;$H$3&amp;"'!W$261")*((1/60)*(INDIRECT("'"&amp;$H$3&amp;"'!W277")+INDIRECT("'"&amp;$H$3&amp;"'!$H$19")*(INDIRECT("'"&amp;$H$3&amp;"'!W278")+(INDIRECT("'"&amp;$H$3&amp;"'!W279")*('3_Outputs'!W$52/INDIRECT("'"&amp;$H$3&amp;"'!W$261")/INDIRECT("'"&amp;$H$3&amp;"'!$H$19")))))))+(W369/INDIRECT("'"&amp;$H$3&amp;"'!W281")))/INDIRECT("'"&amp;$H$3&amp;"'!$H$10"),0),0)),0)</f>
        <v>0</v>
      </c>
      <c r="X370" s="1468"/>
      <c r="Y370" s="36"/>
      <c r="Z370" s="36"/>
      <c r="AA370" s="36"/>
      <c r="AB370" s="36"/>
      <c r="AC370" s="36"/>
      <c r="AD370" s="36"/>
      <c r="AE370" s="36"/>
      <c r="AF370" s="36"/>
      <c r="AG370" s="36"/>
      <c r="AH370" s="36"/>
      <c r="AI370" s="36"/>
      <c r="AJ370" s="36"/>
      <c r="AK370" s="242"/>
      <c r="AL370" s="36"/>
      <c r="AM370" s="36"/>
      <c r="AN370" s="36"/>
    </row>
    <row r="371" spans="6:40" ht="15" customHeight="1" outlineLevel="1">
      <c r="F371" s="52"/>
      <c r="G371" s="51" t="s">
        <v>86</v>
      </c>
      <c r="H371" s="839"/>
      <c r="I371" s="839"/>
      <c r="J371" s="839"/>
      <c r="K371" s="839">
        <f ca="1">IFERROR(IF(INDIRECT("'"&amp;$H$3&amp;"'!K272")="Route-based",IF(INDIRECT("'"&amp;$H$3&amp;"'!K269")="Yes",K173, IF(INDIRECT("'"&amp;$H$3&amp;"'!K269")="No",K370/(INDIRECT("'"&amp;$H$3&amp;"'!$H$9")*INDIRECT("'"&amp;$H$3&amp;"'!K268")))),
IF(INDIRECT("'"&amp;$H$3&amp;"'!K272")="Point-to-point",IF(INDIRECT("'"&amp;$H$3&amp;"'!K269")="Yes",K173,IF(INDIRECT("'"&amp;$H$3&amp;"'!K269")="No",K370/(INDIRECT("'"&amp;$H$3&amp;"'!$H$9")*INDIRECT("'"&amp;$H$3&amp;"'!K268")))),0)),0)</f>
        <v>0</v>
      </c>
      <c r="L371" s="839"/>
      <c r="M371" s="839"/>
      <c r="N371" s="839">
        <f ca="1">IFERROR(IF(INDIRECT("'"&amp;$H$3&amp;"'!N272")="Route-based",IF(INDIRECT("'"&amp;$H$3&amp;"'!N269")="Yes",N173, IF(INDIRECT("'"&amp;$H$3&amp;"'!N269")="No",N370/(INDIRECT("'"&amp;$H$3&amp;"'!$H$9")*INDIRECT("'"&amp;$H$3&amp;"'!N268")))),
IF(INDIRECT("'"&amp;$H$3&amp;"'!N272")="Point-to-point",IF(INDIRECT("'"&amp;$H$3&amp;"'!N269")="Yes",N173,IF(INDIRECT("'"&amp;$H$3&amp;"'!N269")="No",N370/(INDIRECT("'"&amp;$H$3&amp;"'!$H$9")*INDIRECT("'"&amp;$H$3&amp;"'!N268")))),0)),0)</f>
        <v>0</v>
      </c>
      <c r="O371" s="839"/>
      <c r="P371" s="839"/>
      <c r="Q371" s="839">
        <f ca="1">IFERROR(IF(INDIRECT("'"&amp;$H$3&amp;"'!Q272")="Route-based",IF(INDIRECT("'"&amp;$H$3&amp;"'!Q269")="Yes",Q173, IF(INDIRECT("'"&amp;$H$3&amp;"'!Q269")="No",Q370/(INDIRECT("'"&amp;$H$3&amp;"'!$H$9")*INDIRECT("'"&amp;$H$3&amp;"'!Q268")))),
IF(INDIRECT("'"&amp;$H$3&amp;"'!Q272")="Point-to-point",IF(INDIRECT("'"&amp;$H$3&amp;"'!Q269")="Yes",Q173,IF(INDIRECT("'"&amp;$H$3&amp;"'!Q269")="No",Q370/(INDIRECT("'"&amp;$H$3&amp;"'!$H$9")*INDIRECT("'"&amp;$H$3&amp;"'!Q268")))),0)),0)</f>
        <v>0</v>
      </c>
      <c r="R371" s="839"/>
      <c r="S371" s="839"/>
      <c r="T371" s="839">
        <f ca="1">IFERROR(IF(INDIRECT("'"&amp;$H$3&amp;"'!T272")="Route-based",IF(INDIRECT("'"&amp;$H$3&amp;"'!T269")="Yes",T173, IF(INDIRECT("'"&amp;$H$3&amp;"'!T269")="No",T370/(INDIRECT("'"&amp;$H$3&amp;"'!$H$9")*INDIRECT("'"&amp;$H$3&amp;"'!T268")))),
IF(INDIRECT("'"&amp;$H$3&amp;"'!T272")="Point-to-point",IF(INDIRECT("'"&amp;$H$3&amp;"'!T269")="Yes",T173,IF(INDIRECT("'"&amp;$H$3&amp;"'!T269")="No",T370/(INDIRECT("'"&amp;$H$3&amp;"'!$H$9")*INDIRECT("'"&amp;$H$3&amp;"'!T268")))),0)),0)</f>
        <v>0</v>
      </c>
      <c r="U371" s="839"/>
      <c r="V371" s="839"/>
      <c r="W371" s="839">
        <f ca="1">IFERROR(IF(INDIRECT("'"&amp;$H$3&amp;"'!W272")="Route-based",IF(INDIRECT("'"&amp;$H$3&amp;"'!W269")="Yes",W173, IF(INDIRECT("'"&amp;$H$3&amp;"'!W269")="No",W370/(INDIRECT("'"&amp;$H$3&amp;"'!$H$9")*INDIRECT("'"&amp;$H$3&amp;"'!W268")))),
IF(INDIRECT("'"&amp;$H$3&amp;"'!W272")="Point-to-point",IF(INDIRECT("'"&amp;$H$3&amp;"'!W269")="Yes",W173,IF(INDIRECT("'"&amp;$H$3&amp;"'!W269")="No",W370/(INDIRECT("'"&amp;$H$3&amp;"'!$H$9")*INDIRECT("'"&amp;$H$3&amp;"'!W268")))),0)),0)</f>
        <v>0</v>
      </c>
      <c r="X371" s="1470"/>
      <c r="Y371" s="36"/>
      <c r="Z371" s="36"/>
      <c r="AA371" s="36"/>
      <c r="AB371" s="36"/>
      <c r="AC371" s="36"/>
      <c r="AD371" s="36"/>
      <c r="AE371" s="36"/>
      <c r="AF371" s="36"/>
      <c r="AG371" s="36"/>
      <c r="AH371" s="36"/>
      <c r="AI371" s="36"/>
      <c r="AJ371" s="36"/>
      <c r="AK371" s="36" t="s">
        <v>191</v>
      </c>
      <c r="AL371" s="36"/>
      <c r="AM371" s="36"/>
      <c r="AN371" s="36"/>
    </row>
    <row r="372" spans="6:40" ht="15" customHeight="1" outlineLevel="1" collapsed="1">
      <c r="F372" s="52"/>
      <c r="G372" s="1613" t="s">
        <v>133</v>
      </c>
      <c r="H372" s="842"/>
      <c r="I372" s="842"/>
      <c r="J372" s="842"/>
      <c r="K372" s="842"/>
      <c r="L372" s="842"/>
      <c r="M372" s="842"/>
      <c r="N372" s="842"/>
      <c r="O372" s="842"/>
      <c r="P372" s="842"/>
      <c r="Q372" s="842"/>
      <c r="R372" s="1650"/>
      <c r="S372" s="1650"/>
      <c r="T372" s="842"/>
      <c r="U372" s="1650"/>
      <c r="V372" s="1650"/>
      <c r="W372" s="842"/>
      <c r="X372" s="1470"/>
      <c r="Y372" s="36"/>
      <c r="Z372" s="36"/>
      <c r="AA372" s="36"/>
      <c r="AB372" s="36"/>
      <c r="AC372" s="36"/>
      <c r="AD372" s="36"/>
      <c r="AE372" s="36"/>
      <c r="AF372" s="36"/>
      <c r="AG372" s="36"/>
      <c r="AH372" s="36"/>
      <c r="AI372" s="36"/>
      <c r="AJ372" s="36"/>
      <c r="AK372" s="36"/>
      <c r="AL372" s="36"/>
      <c r="AM372" s="36"/>
      <c r="AN372" s="36"/>
    </row>
    <row r="373" spans="6:40" ht="15" customHeight="1" outlineLevel="1">
      <c r="F373" s="52"/>
      <c r="G373" s="51" t="s">
        <v>129</v>
      </c>
      <c r="H373" s="836"/>
      <c r="I373" s="836"/>
      <c r="J373" s="836"/>
      <c r="K373" s="836">
        <f ca="1">IFERROR(((INDIRECT("'"&amp;$H$3&amp;"'!K273")*INDIRECT("'"&amp;$H$3&amp;"'!$H$10"))-(2*INDIRECT("'"&amp;$H$3&amp;"'!K$98")/INDIRECT("'"&amp;$H$3&amp;"'!K281"))+(INDIRECT("'"&amp;$H$3&amp;"'!K$99")/INDIRECT("'"&amp;$H$3&amp;"'!K280")))/(((1/60)*(INDIRECT("'"&amp;$H$3&amp;"'!K277")+INDIRECT("'"&amp;$H$3&amp;"'!$H$19")*(INDIRECT("'"&amp;$H$3&amp;"'!K278")+(INDIRECT("'"&amp;$H$3&amp;"'!K279")*('3_Outputs'!K$52/INDIRECT("'"&amp;$H$3&amp;"'!K$261")/INDIRECT("'"&amp;$H$3&amp;"'!$H$19"))))))+(INDIRECT("'"&amp;$H$3&amp;"'!K$99")/INDIRECT("'"&amp;$H$3&amp;"'!K280"))),0)</f>
        <v>0</v>
      </c>
      <c r="L373" s="836"/>
      <c r="M373" s="836"/>
      <c r="N373" s="836">
        <f ca="1">IFERROR(((INDIRECT("'"&amp;$H$3&amp;"'!N273")*INDIRECT("'"&amp;$H$3&amp;"'!$H$10"))-(2*INDIRECT("'"&amp;$H$3&amp;"'!N$98")/INDIRECT("'"&amp;$H$3&amp;"'!N281"))+(INDIRECT("'"&amp;$H$3&amp;"'!N$99")/INDIRECT("'"&amp;$H$3&amp;"'!N280")))/(((1/60)*(INDIRECT("'"&amp;$H$3&amp;"'!N277")+INDIRECT("'"&amp;$H$3&amp;"'!$H$19")*(INDIRECT("'"&amp;$H$3&amp;"'!N278")+(INDIRECT("'"&amp;$H$3&amp;"'!N279")*('3_Outputs'!N$52/INDIRECT("'"&amp;$H$3&amp;"'!N$261")/INDIRECT("'"&amp;$H$3&amp;"'!$H$19"))))))+(INDIRECT("'"&amp;$H$3&amp;"'!N$99")/INDIRECT("'"&amp;$H$3&amp;"'!N280"))),0)</f>
        <v>0</v>
      </c>
      <c r="O373" s="836"/>
      <c r="P373" s="836"/>
      <c r="Q373" s="836">
        <f ca="1">IFERROR(((INDIRECT("'"&amp;$H$3&amp;"'!Q273")*INDIRECT("'"&amp;$H$3&amp;"'!$H$10"))-(2*INDIRECT("'"&amp;$H$3&amp;"'!Q$98")/INDIRECT("'"&amp;$H$3&amp;"'!Q281"))+(INDIRECT("'"&amp;$H$3&amp;"'!Q$99")/INDIRECT("'"&amp;$H$3&amp;"'!Q280")))/(((1/60)*(INDIRECT("'"&amp;$H$3&amp;"'!Q277")+INDIRECT("'"&amp;$H$3&amp;"'!$H$19")*(INDIRECT("'"&amp;$H$3&amp;"'!Q278")+(INDIRECT("'"&amp;$H$3&amp;"'!Q279")*('3_Outputs'!Q$52/INDIRECT("'"&amp;$H$3&amp;"'!Q$261")/INDIRECT("'"&amp;$H$3&amp;"'!$H$19"))))))+(INDIRECT("'"&amp;$H$3&amp;"'!Q$99")/INDIRECT("'"&amp;$H$3&amp;"'!Q280"))),0)</f>
        <v>0</v>
      </c>
      <c r="R373" s="836"/>
      <c r="S373" s="836"/>
      <c r="T373" s="836">
        <f ca="1">IFERROR(((INDIRECT("'"&amp;$H$3&amp;"'!T273")*INDIRECT("'"&amp;$H$3&amp;"'!$H$10"))-(2*INDIRECT("'"&amp;$H$3&amp;"'!T$98")/INDIRECT("'"&amp;$H$3&amp;"'!T281"))+(INDIRECT("'"&amp;$H$3&amp;"'!T$99")/INDIRECT("'"&amp;$H$3&amp;"'!T280")))/(((1/60)*(INDIRECT("'"&amp;$H$3&amp;"'!T277")+INDIRECT("'"&amp;$H$3&amp;"'!$H$19")*(INDIRECT("'"&amp;$H$3&amp;"'!T278")+(INDIRECT("'"&amp;$H$3&amp;"'!T279")*('3_Outputs'!T$52/INDIRECT("'"&amp;$H$3&amp;"'!T$261")/INDIRECT("'"&amp;$H$3&amp;"'!$H$19"))))))+(INDIRECT("'"&amp;$H$3&amp;"'!T$99")/INDIRECT("'"&amp;$H$3&amp;"'!T280"))),0)</f>
        <v>0</v>
      </c>
      <c r="U373" s="836"/>
      <c r="V373" s="836"/>
      <c r="W373" s="836">
        <f ca="1">IFERROR(((INDIRECT("'"&amp;$H$3&amp;"'!W273")*INDIRECT("'"&amp;$H$3&amp;"'!$H$10"))-(2*INDIRECT("'"&amp;$H$3&amp;"'!W$98")/INDIRECT("'"&amp;$H$3&amp;"'!W281"))+(INDIRECT("'"&amp;$H$3&amp;"'!W$99")/INDIRECT("'"&amp;$H$3&amp;"'!W280")))/(((1/60)*(INDIRECT("'"&amp;$H$3&amp;"'!W277")+INDIRECT("'"&amp;$H$3&amp;"'!$H$19")*(INDIRECT("'"&amp;$H$3&amp;"'!W278")+(INDIRECT("'"&amp;$H$3&amp;"'!W279")*('3_Outputs'!W$52/INDIRECT("'"&amp;$H$3&amp;"'!W$261")/INDIRECT("'"&amp;$H$3&amp;"'!$H$19"))))))+(INDIRECT("'"&amp;$H$3&amp;"'!W$99")/INDIRECT("'"&amp;$H$3&amp;"'!W280"))),0)</f>
        <v>0</v>
      </c>
      <c r="X373" s="1469"/>
      <c r="Y373" s="36"/>
      <c r="Z373" s="36"/>
      <c r="AA373" s="36"/>
      <c r="AB373" s="36"/>
      <c r="AC373" s="36"/>
      <c r="AD373" s="36"/>
      <c r="AE373" s="36"/>
      <c r="AF373" s="36"/>
      <c r="AG373" s="36"/>
      <c r="AH373" s="36"/>
      <c r="AI373" s="36"/>
      <c r="AJ373" s="36"/>
      <c r="AK373" s="36"/>
      <c r="AL373" s="36"/>
      <c r="AM373" s="36"/>
      <c r="AN373" s="36"/>
    </row>
    <row r="374" spans="6:40" ht="15" customHeight="1" outlineLevel="1">
      <c r="F374" s="52"/>
      <c r="G374" s="51" t="s">
        <v>206</v>
      </c>
      <c r="H374" s="836"/>
      <c r="I374" s="836"/>
      <c r="J374" s="836"/>
      <c r="K374" s="836">
        <f ca="1">IFERROR(ROUND(K368*INDIRECT("'"&amp;$H$3&amp;"'!K$261")/K373,0),0)</f>
        <v>0</v>
      </c>
      <c r="L374" s="836"/>
      <c r="M374" s="836"/>
      <c r="N374" s="836">
        <f ca="1">IFERROR(ROUND(N368*INDIRECT("'"&amp;$H$3&amp;"'!N$261")/N373,0),0)</f>
        <v>0</v>
      </c>
      <c r="O374" s="836"/>
      <c r="P374" s="836"/>
      <c r="Q374" s="836">
        <f ca="1">IFERROR(ROUND(Q368*INDIRECT("'"&amp;$H$3&amp;"'!Q$261")/Q373,0),0)</f>
        <v>0</v>
      </c>
      <c r="R374" s="836"/>
      <c r="S374" s="836"/>
      <c r="T374" s="836">
        <f ca="1">IFERROR(ROUND(T368*INDIRECT("'"&amp;$H$3&amp;"'!T$261")/T373,0),0)</f>
        <v>0</v>
      </c>
      <c r="U374" s="836"/>
      <c r="V374" s="836"/>
      <c r="W374" s="836">
        <f ca="1">IFERROR(ROUND(W368*INDIRECT("'"&amp;$H$3&amp;"'!W$261")/W373,0),0)</f>
        <v>0</v>
      </c>
      <c r="X374" s="1469"/>
      <c r="Y374" s="36"/>
      <c r="Z374" s="36"/>
      <c r="AA374" s="36"/>
      <c r="AB374" s="36"/>
      <c r="AC374" s="36"/>
      <c r="AD374" s="36"/>
      <c r="AE374" s="36"/>
      <c r="AF374" s="36"/>
      <c r="AG374" s="36"/>
      <c r="AH374" s="36"/>
      <c r="AI374" s="36"/>
      <c r="AJ374" s="36"/>
      <c r="AK374" s="36"/>
      <c r="AL374" s="36"/>
      <c r="AM374" s="36"/>
      <c r="AN374" s="36"/>
    </row>
    <row r="375" spans="6:40" ht="15" customHeight="1" outlineLevel="1">
      <c r="F375" s="52"/>
      <c r="G375" s="51" t="s">
        <v>87</v>
      </c>
      <c r="H375" s="836"/>
      <c r="I375" s="836"/>
      <c r="J375" s="836"/>
      <c r="K375" s="836">
        <f ca="1">IFERROR(IF(K368=0,0,(2*INDIRECT("'"&amp;$H$3&amp;"'!K$98"))+((MAX(K373, 1)-1)*INDIRECT("'"&amp;$H$3&amp;"'!K$99"))),0)</f>
        <v>0</v>
      </c>
      <c r="L375" s="836"/>
      <c r="M375" s="836"/>
      <c r="N375" s="836">
        <f ca="1">IFERROR(IF(N368=0,0,(2*INDIRECT("'"&amp;$H$3&amp;"'!N$98"))+((MAX(N373, 1)-1)*INDIRECT("'"&amp;$H$3&amp;"'!N$99"))),0)</f>
        <v>0</v>
      </c>
      <c r="O375" s="836"/>
      <c r="P375" s="836"/>
      <c r="Q375" s="836">
        <f ca="1">IFERROR(IF(Q368=0,0,(2*INDIRECT("'"&amp;$H$3&amp;"'!Q$98"))+((MAX(Q373, 1)-1)*INDIRECT("'"&amp;$H$3&amp;"'!Q$99"))),0)</f>
        <v>0</v>
      </c>
      <c r="R375" s="836"/>
      <c r="S375" s="836"/>
      <c r="T375" s="836">
        <f ca="1">IFERROR(IF(T368=0,0,(2*INDIRECT("'"&amp;$H$3&amp;"'!T$98"))+((MAX(T373, 1)-1)*INDIRECT("'"&amp;$H$3&amp;"'!T$99"))),0)</f>
        <v>0</v>
      </c>
      <c r="U375" s="836"/>
      <c r="V375" s="836"/>
      <c r="W375" s="836">
        <f ca="1">IFERROR(IF(W368=0,0,(2*INDIRECT("'"&amp;$H$3&amp;"'!W$98"))+((MAX(W373, 1)-1)*INDIRECT("'"&amp;$H$3&amp;"'!W$99"))),0)</f>
        <v>0</v>
      </c>
      <c r="X375" s="1469"/>
      <c r="Y375" s="36"/>
      <c r="Z375" s="36"/>
      <c r="AA375" s="36"/>
      <c r="AB375" s="36"/>
      <c r="AC375" s="36"/>
      <c r="AD375" s="36"/>
      <c r="AE375" s="36"/>
      <c r="AF375" s="36"/>
      <c r="AG375" s="36"/>
      <c r="AH375" s="36"/>
      <c r="AI375" s="36"/>
      <c r="AJ375" s="36"/>
      <c r="AK375" s="36"/>
      <c r="AL375" s="36"/>
      <c r="AM375" s="36"/>
      <c r="AN375" s="36"/>
    </row>
    <row r="376" spans="6:40" ht="15" customHeight="1" outlineLevel="1">
      <c r="F376" s="52"/>
      <c r="G376" s="51" t="s">
        <v>203</v>
      </c>
      <c r="H376" s="836"/>
      <c r="I376" s="836"/>
      <c r="J376" s="836"/>
      <c r="K376" s="836">
        <f ca="1">IFERROR((ROUNDUP(K373,1)*((1/60)*(INDIRECT("'"&amp;$H$3&amp;"'!K277")+INDIRECT("'"&amp;$H$3&amp;"'!$H$19")*(INDIRECT("'"&amp;$H$3&amp;"'!K278")+(INDIRECT("'"&amp;$H$3&amp;"'!K279")*('3_Outputs'!K$52/INDIRECT("'"&amp;$H$3&amp;"'!K$261")/INDIRECT("'"&amp;$H$3&amp;"'!$H$19")))))))+((2*INDIRECT("'"&amp;$H$3&amp;"'!K$98"))/INDIRECT("'"&amp;$H$3&amp;"'!K281"))+(((MAX(K373,1)-1)*INDIRECT("'"&amp;$H$3&amp;"'!K$99"))/INDIRECT("'"&amp;$H$3&amp;"'!K280")),0)</f>
        <v>0</v>
      </c>
      <c r="L376" s="836"/>
      <c r="M376" s="836"/>
      <c r="N376" s="836">
        <f ca="1">IFERROR((ROUNDUP(N373,1)*((1/60)*(INDIRECT("'"&amp;$H$3&amp;"'!N277")+INDIRECT("'"&amp;$H$3&amp;"'!$H$19")*(INDIRECT("'"&amp;$H$3&amp;"'!N278")+(INDIRECT("'"&amp;$H$3&amp;"'!N279")*('3_Outputs'!N$52/INDIRECT("'"&amp;$H$3&amp;"'!N$261")/INDIRECT("'"&amp;$H$3&amp;"'!$H$19")))))))+((2*INDIRECT("'"&amp;$H$3&amp;"'!N$98"))/INDIRECT("'"&amp;$H$3&amp;"'!N281"))+(((MAX(N373,1)-1)*INDIRECT("'"&amp;$H$3&amp;"'!N$99"))/INDIRECT("'"&amp;$H$3&amp;"'!N280")),0)</f>
        <v>0</v>
      </c>
      <c r="O376" s="836"/>
      <c r="P376" s="836"/>
      <c r="Q376" s="836">
        <f ca="1">IFERROR((ROUNDUP(Q373,1)*((1/60)*(INDIRECT("'"&amp;$H$3&amp;"'!Q277")+INDIRECT("'"&amp;$H$3&amp;"'!$H$19")*(INDIRECT("'"&amp;$H$3&amp;"'!Q278")+(INDIRECT("'"&amp;$H$3&amp;"'!Q279")*('3_Outputs'!Q$52/INDIRECT("'"&amp;$H$3&amp;"'!Q$261")/INDIRECT("'"&amp;$H$3&amp;"'!$H$19")))))))+((2*INDIRECT("'"&amp;$H$3&amp;"'!Q$98"))/INDIRECT("'"&amp;$H$3&amp;"'!Q281"))+(((MAX(Q373,1)-1)*INDIRECT("'"&amp;$H$3&amp;"'!Q$99"))/INDIRECT("'"&amp;$H$3&amp;"'!Q280")),0)</f>
        <v>0</v>
      </c>
      <c r="R376" s="836"/>
      <c r="S376" s="836"/>
      <c r="T376" s="836">
        <f ca="1">IFERROR((ROUNDUP(T373,1)*((1/60)*(INDIRECT("'"&amp;$H$3&amp;"'!T277")+INDIRECT("'"&amp;$H$3&amp;"'!$H$19")*(INDIRECT("'"&amp;$H$3&amp;"'!T278")+(INDIRECT("'"&amp;$H$3&amp;"'!T279")*('3_Outputs'!T$52/INDIRECT("'"&amp;$H$3&amp;"'!T$261")/INDIRECT("'"&amp;$H$3&amp;"'!$H$19")))))))+((2*INDIRECT("'"&amp;$H$3&amp;"'!T$98"))/INDIRECT("'"&amp;$H$3&amp;"'!T281"))+(((MAX(T373,1)-1)*INDIRECT("'"&amp;$H$3&amp;"'!T$99"))/INDIRECT("'"&amp;$H$3&amp;"'!T280")),0)</f>
        <v>0</v>
      </c>
      <c r="U376" s="836"/>
      <c r="V376" s="836"/>
      <c r="W376" s="836">
        <f ca="1">IFERROR((ROUNDUP(W373,1)*((1/60)*(INDIRECT("'"&amp;$H$3&amp;"'!W277")+INDIRECT("'"&amp;$H$3&amp;"'!$H$19")*(INDIRECT("'"&amp;$H$3&amp;"'!W278")+(INDIRECT("'"&amp;$H$3&amp;"'!W279")*('3_Outputs'!W$52/INDIRECT("'"&amp;$H$3&amp;"'!W$261")/INDIRECT("'"&amp;$H$3&amp;"'!$H$19")))))))+((2*INDIRECT("'"&amp;$H$3&amp;"'!W$98"))/INDIRECT("'"&amp;$H$3&amp;"'!W281"))+(((MAX(W373,1)-1)*INDIRECT("'"&amp;$H$3&amp;"'!W$99"))/INDIRECT("'"&amp;$H$3&amp;"'!W280")),0)</f>
        <v>0</v>
      </c>
      <c r="X376" s="1465"/>
      <c r="Y376" s="36"/>
      <c r="Z376" s="36"/>
      <c r="AA376" s="36"/>
      <c r="AB376" s="36"/>
      <c r="AC376" s="36"/>
      <c r="AD376" s="36"/>
      <c r="AE376" s="36"/>
      <c r="AF376" s="36"/>
      <c r="AG376" s="36"/>
      <c r="AH376" s="36"/>
      <c r="AI376" s="36"/>
      <c r="AJ376" s="36"/>
      <c r="AK376" s="36"/>
      <c r="AL376" s="36"/>
      <c r="AM376" s="36"/>
      <c r="AN376" s="36"/>
    </row>
    <row r="377" spans="6:40" ht="15" customHeight="1" outlineLevel="1">
      <c r="F377" s="52"/>
      <c r="G377" s="51" t="s">
        <v>204</v>
      </c>
      <c r="H377" s="836"/>
      <c r="I377" s="836"/>
      <c r="J377" s="836"/>
      <c r="K377" s="836">
        <f ca="1">IFERROR((INDIRECT("'"&amp;$H$3&amp;"'!$H$10")*INDIRECT("'"&amp;$H$3&amp;"'!$H$9")*INDIRECT("'"&amp;$H$3&amp;"'!K268"))/K376,0)</f>
        <v>0</v>
      </c>
      <c r="L377" s="836"/>
      <c r="M377" s="836"/>
      <c r="N377" s="836">
        <f ca="1">IFERROR((INDIRECT("'"&amp;$H$3&amp;"'!$H$10")*INDIRECT("'"&amp;$H$3&amp;"'!$H$9")*INDIRECT("'"&amp;$H$3&amp;"'!N268"))/N376,0)</f>
        <v>0</v>
      </c>
      <c r="O377" s="836"/>
      <c r="P377" s="836"/>
      <c r="Q377" s="836">
        <f ca="1">IFERROR((INDIRECT("'"&amp;$H$3&amp;"'!$H$10")*INDIRECT("'"&amp;$H$3&amp;"'!$H$9")*INDIRECT("'"&amp;$H$3&amp;"'!Q268"))/Q376,0)</f>
        <v>0</v>
      </c>
      <c r="R377" s="836"/>
      <c r="S377" s="836"/>
      <c r="T377" s="836">
        <f ca="1">IFERROR((INDIRECT("'"&amp;$H$3&amp;"'!$H$10")*INDIRECT("'"&amp;$H$3&amp;"'!$H$9")*INDIRECT("'"&amp;$H$3&amp;"'!T268"))/T376,0)</f>
        <v>0</v>
      </c>
      <c r="U377" s="836"/>
      <c r="V377" s="836"/>
      <c r="W377" s="836">
        <f ca="1">IFERROR((INDIRECT("'"&amp;$H$3&amp;"'!$H$10")*INDIRECT("'"&amp;$H$3&amp;"'!$H$9")*INDIRECT("'"&amp;$H$3&amp;"'!W268"))/W376,0)</f>
        <v>0</v>
      </c>
      <c r="X377" s="1465"/>
      <c r="Y377" s="36"/>
      <c r="Z377" s="36"/>
      <c r="AA377" s="36"/>
      <c r="AB377" s="36"/>
      <c r="AC377" s="36"/>
      <c r="AD377" s="36"/>
      <c r="AE377" s="36"/>
      <c r="AF377" s="36"/>
      <c r="AG377" s="36"/>
      <c r="AH377" s="36"/>
      <c r="AI377" s="36"/>
      <c r="AJ377" s="36"/>
      <c r="AK377" s="242"/>
      <c r="AL377" s="36"/>
      <c r="AM377" s="36"/>
      <c r="AN377" s="36"/>
    </row>
    <row r="378" spans="6:40" ht="15" customHeight="1" outlineLevel="1">
      <c r="F378" s="52"/>
      <c r="G378" s="1613" t="s">
        <v>134</v>
      </c>
      <c r="H378" s="842"/>
      <c r="I378" s="842"/>
      <c r="J378" s="842"/>
      <c r="K378" s="842"/>
      <c r="L378" s="842"/>
      <c r="M378" s="842"/>
      <c r="N378" s="842"/>
      <c r="O378" s="842"/>
      <c r="P378" s="842"/>
      <c r="Q378" s="842"/>
      <c r="R378" s="1650"/>
      <c r="S378" s="1650"/>
      <c r="T378" s="842"/>
      <c r="U378" s="1650"/>
      <c r="V378" s="1650"/>
      <c r="W378" s="842"/>
      <c r="X378" s="1470"/>
      <c r="Y378" s="36"/>
      <c r="Z378" s="36"/>
      <c r="AA378" s="36"/>
      <c r="AB378" s="36"/>
      <c r="AC378" s="36"/>
      <c r="AD378" s="36"/>
      <c r="AE378" s="36"/>
      <c r="AF378" s="36"/>
      <c r="AG378" s="36"/>
      <c r="AH378" s="36"/>
      <c r="AI378" s="36"/>
      <c r="AJ378" s="36"/>
      <c r="AK378" s="242"/>
      <c r="AL378" s="36"/>
      <c r="AM378" s="36"/>
      <c r="AN378" s="36"/>
    </row>
    <row r="379" spans="6:40" ht="15" customHeight="1" outlineLevel="1">
      <c r="F379" s="52"/>
      <c r="G379" s="51" t="s">
        <v>206</v>
      </c>
      <c r="H379" s="836"/>
      <c r="I379" s="836"/>
      <c r="J379" s="836"/>
      <c r="K379" s="836">
        <f ca="1">IFERROR(K368*INDIRECT("'"&amp;$H$3&amp;"'!K$261"),0)</f>
        <v>0</v>
      </c>
      <c r="L379" s="836"/>
      <c r="M379" s="836"/>
      <c r="N379" s="836">
        <f ca="1">IFERROR(N368*INDIRECT("'"&amp;$H$3&amp;"'!N$261"),0)</f>
        <v>0</v>
      </c>
      <c r="O379" s="836"/>
      <c r="P379" s="836"/>
      <c r="Q379" s="836">
        <f ca="1">IFERROR(Q368*INDIRECT("'"&amp;$H$3&amp;"'!Q$261"),0)</f>
        <v>0</v>
      </c>
      <c r="R379" s="836"/>
      <c r="S379" s="836"/>
      <c r="T379" s="836">
        <f ca="1">IFERROR(T368*INDIRECT("'"&amp;$H$3&amp;"'!T$261"),0)</f>
        <v>0</v>
      </c>
      <c r="U379" s="836"/>
      <c r="V379" s="836"/>
      <c r="W379" s="836">
        <f ca="1">IFERROR(W368*INDIRECT("'"&amp;$H$3&amp;"'!W$261"),0)</f>
        <v>0</v>
      </c>
      <c r="X379" s="1469"/>
      <c r="Y379" s="36"/>
      <c r="Z379" s="36"/>
      <c r="AA379" s="36"/>
      <c r="AB379" s="36" t="s">
        <v>192</v>
      </c>
      <c r="AC379" s="36"/>
      <c r="AD379" s="36" t="s">
        <v>193</v>
      </c>
      <c r="AE379" s="36"/>
      <c r="AF379" s="36"/>
      <c r="AG379" s="36"/>
      <c r="AH379" s="36"/>
      <c r="AI379" s="36"/>
      <c r="AJ379" s="36"/>
      <c r="AK379" s="36"/>
      <c r="AL379" s="36"/>
      <c r="AM379" s="36"/>
      <c r="AN379" s="36"/>
    </row>
    <row r="380" spans="6:40" ht="15" customHeight="1" outlineLevel="1">
      <c r="F380" s="52"/>
      <c r="G380" s="51" t="s">
        <v>87</v>
      </c>
      <c r="H380" s="836"/>
      <c r="I380" s="836"/>
      <c r="J380" s="836"/>
      <c r="K380" s="836">
        <f ca="1">IFERROR(IF(K368=0,0,2*INDIRECT("'"&amp;$H$3&amp;"'!K$98")),0)</f>
        <v>0</v>
      </c>
      <c r="L380" s="836"/>
      <c r="M380" s="836"/>
      <c r="N380" s="836">
        <f ca="1">IFERROR(IF(N368=0,0,2*INDIRECT("'"&amp;$H$3&amp;"'!N$98")),0)</f>
        <v>0</v>
      </c>
      <c r="O380" s="836"/>
      <c r="P380" s="836"/>
      <c r="Q380" s="836">
        <f ca="1">IFERROR(IF(Q368=0,0,2*INDIRECT("'"&amp;$H$3&amp;"'!Q$98")),0)</f>
        <v>0</v>
      </c>
      <c r="R380" s="836"/>
      <c r="S380" s="836"/>
      <c r="T380" s="836">
        <f ca="1">IFERROR(IF(T368=0,0,2*INDIRECT("'"&amp;$H$3&amp;"'!T$98")),0)</f>
        <v>0</v>
      </c>
      <c r="U380" s="836"/>
      <c r="V380" s="836"/>
      <c r="W380" s="836">
        <f ca="1">IFERROR(IF(W368=0,0,2*INDIRECT("'"&amp;$H$3&amp;"'!W$98")),0)</f>
        <v>0</v>
      </c>
      <c r="X380" s="1469"/>
      <c r="Y380" s="36"/>
      <c r="Z380" s="36"/>
      <c r="AA380" s="36"/>
      <c r="AB380" s="36" t="s">
        <v>194</v>
      </c>
      <c r="AC380" s="36"/>
      <c r="AD380" s="36" t="s">
        <v>195</v>
      </c>
      <c r="AE380" s="36"/>
      <c r="AF380" s="36"/>
      <c r="AG380" s="36"/>
      <c r="AH380" s="36"/>
      <c r="AI380" s="36"/>
      <c r="AJ380" s="36"/>
      <c r="AK380" s="36"/>
      <c r="AL380" s="36"/>
      <c r="AM380" s="36"/>
      <c r="AN380" s="36"/>
    </row>
    <row r="381" spans="6:40" ht="15" customHeight="1" outlineLevel="1">
      <c r="F381" s="52"/>
      <c r="G381" s="51" t="s">
        <v>204</v>
      </c>
      <c r="H381" s="837"/>
      <c r="I381" s="837"/>
      <c r="J381" s="837"/>
      <c r="K381" s="837">
        <f ca="1">IFERROR((INDIRECT("'"&amp;$H$3&amp;"'!$H$10")*INDIRECT("'"&amp;$H$3&amp;"'!$H$9")*INDIRECT("'"&amp;$H$3&amp;"'!K268"))/((K380/INDIRECT("'"&amp;$H$3&amp;"'!K281"))+((1/60)*(INDIRECT("'"&amp;$H$3&amp;"'!K277")+INDIRECT("'"&amp;$H$3&amp;"'!$H$19")*(INDIRECT("'"&amp;$H$3&amp;"'!K278")+(INDIRECT("'"&amp;$H$3&amp;"'!K279")*('3_Outputs'!K$52/INDIRECT("'"&amp;$H$3&amp;"'!K$261")/INDIRECT("'"&amp;$H$3&amp;"'!$H$19"))))))),0)</f>
        <v>0</v>
      </c>
      <c r="L381" s="837"/>
      <c r="M381" s="837"/>
      <c r="N381" s="837">
        <f ca="1">IFERROR((INDIRECT("'"&amp;$H$3&amp;"'!$H$10")*INDIRECT("'"&amp;$H$3&amp;"'!$H$9")*INDIRECT("'"&amp;$H$3&amp;"'!N268"))/((N380/INDIRECT("'"&amp;$H$3&amp;"'!N281"))+((1/60)*(INDIRECT("'"&amp;$H$3&amp;"'!N277")+INDIRECT("'"&amp;$H$3&amp;"'!$H$19")*(INDIRECT("'"&amp;$H$3&amp;"'!N278")+(INDIRECT("'"&amp;$H$3&amp;"'!N279")*('3_Outputs'!N$52/INDIRECT("'"&amp;$H$3&amp;"'!N$261")/INDIRECT("'"&amp;$H$3&amp;"'!$H$19"))))))),0)</f>
        <v>0</v>
      </c>
      <c r="O381" s="837"/>
      <c r="P381" s="837"/>
      <c r="Q381" s="837">
        <f ca="1">IFERROR((INDIRECT("'"&amp;$H$3&amp;"'!$H$10")*INDIRECT("'"&amp;$H$3&amp;"'!$H$9")*INDIRECT("'"&amp;$H$3&amp;"'!Q268"))/((Q380/INDIRECT("'"&amp;$H$3&amp;"'!Q281"))+((1/60)*(INDIRECT("'"&amp;$H$3&amp;"'!Q277")+INDIRECT("'"&amp;$H$3&amp;"'!$H$19")*(INDIRECT("'"&amp;$H$3&amp;"'!Q278")+(INDIRECT("'"&amp;$H$3&amp;"'!Q279")*('3_Outputs'!Q$52/INDIRECT("'"&amp;$H$3&amp;"'!Q$261")/INDIRECT("'"&amp;$H$3&amp;"'!$H$19"))))))),0)</f>
        <v>0</v>
      </c>
      <c r="R381" s="837"/>
      <c r="S381" s="837"/>
      <c r="T381" s="837">
        <f ca="1">IFERROR((INDIRECT("'"&amp;$H$3&amp;"'!$H$10")*INDIRECT("'"&amp;$H$3&amp;"'!$H$9")*INDIRECT("'"&amp;$H$3&amp;"'!T268"))/((T380/INDIRECT("'"&amp;$H$3&amp;"'!T281"))+((1/60)*(INDIRECT("'"&amp;$H$3&amp;"'!T277")+INDIRECT("'"&amp;$H$3&amp;"'!$H$19")*(INDIRECT("'"&amp;$H$3&amp;"'!T278")+(INDIRECT("'"&amp;$H$3&amp;"'!T279")*('3_Outputs'!T$52/INDIRECT("'"&amp;$H$3&amp;"'!T$261")/INDIRECT("'"&amp;$H$3&amp;"'!$H$19"))))))),0)</f>
        <v>0</v>
      </c>
      <c r="U381" s="837"/>
      <c r="V381" s="837"/>
      <c r="W381" s="837">
        <f ca="1">IFERROR((INDIRECT("'"&amp;$H$3&amp;"'!$H$10")*INDIRECT("'"&amp;$H$3&amp;"'!$H$9")*INDIRECT("'"&amp;$H$3&amp;"'!W268"))/((W380/INDIRECT("'"&amp;$H$3&amp;"'!W281"))+((1/60)*(INDIRECT("'"&amp;$H$3&amp;"'!W277")+INDIRECT("'"&amp;$H$3&amp;"'!$H$19")*(INDIRECT("'"&amp;$H$3&amp;"'!W278")+(INDIRECT("'"&amp;$H$3&amp;"'!W279")*('3_Outputs'!W$52/INDIRECT("'"&amp;$H$3&amp;"'!W$261")/INDIRECT("'"&amp;$H$3&amp;"'!$H$19"))))))),0)</f>
        <v>0</v>
      </c>
      <c r="X381" s="1468"/>
      <c r="Y381" s="36"/>
      <c r="Z381" s="36"/>
      <c r="AA381" s="36"/>
      <c r="AB381" s="36" t="s">
        <v>196</v>
      </c>
      <c r="AC381" s="36"/>
      <c r="AD381" s="36" t="s">
        <v>197</v>
      </c>
      <c r="AE381" s="36"/>
      <c r="AF381" s="36"/>
      <c r="AG381" s="36"/>
      <c r="AH381" s="36"/>
      <c r="AI381" s="36"/>
      <c r="AJ381" s="36"/>
      <c r="AK381" s="36"/>
      <c r="AL381" s="36"/>
      <c r="AM381" s="36"/>
      <c r="AN381" s="36"/>
    </row>
    <row r="382" spans="6:40" ht="48" customHeight="1">
      <c r="F382" s="1678" t="s">
        <v>157</v>
      </c>
      <c r="G382" s="1679"/>
      <c r="H382" s="1684"/>
      <c r="I382" s="1684"/>
      <c r="J382" s="1684"/>
      <c r="K382" s="1509" t="str">
        <f ca="1">IF($H$9&gt;=2,INDIRECT("'"&amp;$H$3&amp;"'!J$130"),"")</f>
        <v>CMS  to  Regional WH</v>
      </c>
      <c r="L382" s="1509" t="str">
        <f t="shared" ref="L382:V382" ca="1" si="22">IF($H$9&gt;=1,"Tier 1","")</f>
        <v>Tier 1</v>
      </c>
      <c r="M382" s="1509" t="str">
        <f t="shared" ca="1" si="22"/>
        <v>Tier 1</v>
      </c>
      <c r="N382" s="1509" t="str">
        <f ca="1">IF($H$9&gt;=3,INDIRECT("'"&amp;$H$3&amp;"'!M$130"),"")</f>
        <v>Regional WH  to  Health Facility</v>
      </c>
      <c r="O382" s="1509" t="str">
        <f t="shared" ca="1" si="22"/>
        <v>Tier 1</v>
      </c>
      <c r="P382" s="1509" t="str">
        <f t="shared" ca="1" si="22"/>
        <v>Tier 1</v>
      </c>
      <c r="Q382" s="1510" t="str">
        <f ca="1">IF($H$9&gt;=4,INDIRECT("'"&amp;$H$3&amp;"'!P$130"),"")</f>
        <v/>
      </c>
      <c r="R382" s="1511" t="str">
        <f t="shared" ca="1" si="22"/>
        <v>Tier 1</v>
      </c>
      <c r="S382" s="1511" t="str">
        <f t="shared" ca="1" si="22"/>
        <v>Tier 1</v>
      </c>
      <c r="T382" s="1510" t="str">
        <f ca="1">IF($H$9&gt;=5,INDIRECT("'"&amp;$H$3&amp;"'!S$130"),"")</f>
        <v/>
      </c>
      <c r="U382" s="1512" t="str">
        <f t="shared" ca="1" si="22"/>
        <v>Tier 1</v>
      </c>
      <c r="V382" s="1512" t="str">
        <f t="shared" ca="1" si="22"/>
        <v>Tier 1</v>
      </c>
      <c r="W382" s="1510" t="str">
        <f ca="1">IF($H$9&gt;=6,INDIRECT("'"&amp;$H$3&amp;"'!V$130"),"")</f>
        <v/>
      </c>
      <c r="X382" s="1474"/>
      <c r="Y382" s="36"/>
      <c r="Z382" s="36"/>
      <c r="AA382" s="36"/>
      <c r="AB382" s="36"/>
      <c r="AC382" s="36"/>
      <c r="AD382" s="36"/>
      <c r="AE382" s="36"/>
      <c r="AF382" s="36"/>
      <c r="AG382" s="36"/>
      <c r="AH382" s="36"/>
      <c r="AI382" s="36"/>
      <c r="AJ382" s="36"/>
      <c r="AK382" s="36"/>
      <c r="AL382" s="36"/>
      <c r="AM382" s="36"/>
      <c r="AN382" s="36"/>
    </row>
    <row r="383" spans="6:40" ht="15" customHeight="1" outlineLevel="1">
      <c r="F383" s="1681" t="s">
        <v>149</v>
      </c>
      <c r="G383" s="1681"/>
      <c r="H383" s="877"/>
      <c r="I383" s="877"/>
      <c r="J383" s="877"/>
      <c r="K383" s="877"/>
      <c r="L383" s="877"/>
      <c r="M383" s="877"/>
      <c r="N383" s="877"/>
      <c r="O383" s="1685"/>
      <c r="P383" s="1685"/>
      <c r="Q383" s="1686"/>
      <c r="R383" s="1672"/>
      <c r="S383" s="1672"/>
      <c r="T383" s="1686"/>
      <c r="U383" s="1672"/>
      <c r="V383" s="1672"/>
      <c r="W383" s="1686"/>
      <c r="X383" s="1479"/>
      <c r="Y383" s="36"/>
      <c r="Z383" s="36"/>
      <c r="AA383" s="36"/>
      <c r="AB383" s="36"/>
      <c r="AC383" s="36"/>
      <c r="AD383" s="36"/>
      <c r="AE383" s="36"/>
      <c r="AF383" s="36"/>
      <c r="AG383" s="36"/>
      <c r="AH383" s="36"/>
      <c r="AI383" s="36"/>
      <c r="AJ383" s="36"/>
      <c r="AK383" s="242"/>
      <c r="AL383" s="36"/>
      <c r="AM383" s="36"/>
      <c r="AN383" s="36"/>
    </row>
    <row r="384" spans="6:40" ht="15" customHeight="1" outlineLevel="1">
      <c r="F384" s="52"/>
      <c r="G384" s="51" t="s">
        <v>146</v>
      </c>
      <c r="H384" s="837"/>
      <c r="I384" s="837"/>
      <c r="J384" s="837"/>
      <c r="K384" s="837">
        <f ca="1">IFERROR(IF(COUNTIF(INDIRECT("'"&amp;$H$3&amp;"'!K284"),"Public Transport*")=1,IF(INDIRECT("'"&amp;$H$3&amp;"'!K292")="Route-based",K391*INDIRECT("'"&amp;$H$3&amp;"'!K$261"),IF(INDIRECT("'"&amp;$H$3&amp;"'!K292")="Point-to-point",K394*INDIRECT("'"&amp;$H$3&amp;"'!K$261"),0)),0),0)</f>
        <v>0</v>
      </c>
      <c r="L384" s="837"/>
      <c r="M384" s="837"/>
      <c r="N384" s="837">
        <f ca="1">IFERROR(IF(COUNTIF(INDIRECT("'"&amp;$H$3&amp;"'!N284"),"Public Transport*")=1,IF(INDIRECT("'"&amp;$H$3&amp;"'!N292")="Route-based",N391*INDIRECT("'"&amp;$H$3&amp;"'!N$261"),IF(INDIRECT("'"&amp;$H$3&amp;"'!N292")="Point-to-point",N394*INDIRECT("'"&amp;$H$3&amp;"'!N$261"),0)),0),0)</f>
        <v>0</v>
      </c>
      <c r="O384" s="837"/>
      <c r="P384" s="837"/>
      <c r="Q384" s="837">
        <f ca="1">IFERROR(IF(COUNTIF(INDIRECT("'"&amp;$H$3&amp;"'!Q284"),"Public Transport*")=1,IF(INDIRECT("'"&amp;$H$3&amp;"'!Q292")="Route-based",Q391*INDIRECT("'"&amp;$H$3&amp;"'!Q$261"),IF(INDIRECT("'"&amp;$H$3&amp;"'!Q292")="Point-to-point",Q394*INDIRECT("'"&amp;$H$3&amp;"'!Q$261"),0)),0),0)</f>
        <v>0</v>
      </c>
      <c r="R384" s="1650"/>
      <c r="S384" s="1650"/>
      <c r="T384" s="837">
        <f ca="1">IFERROR(IF(COUNTIF(INDIRECT("'"&amp;$H$3&amp;"'!T284"),"Public Transport*")=1,IF(INDIRECT("'"&amp;$H$3&amp;"'!T292")="Route-based",T391*INDIRECT("'"&amp;$H$3&amp;"'!T$261"),IF(INDIRECT("'"&amp;$H$3&amp;"'!T292")="Point-to-point",T394*INDIRECT("'"&amp;$H$3&amp;"'!T$261"),0)),0),0)</f>
        <v>0</v>
      </c>
      <c r="U384" s="1650"/>
      <c r="V384" s="1650"/>
      <c r="W384" s="837">
        <f ca="1">IFERROR(IF(COUNTIF(INDIRECT("'"&amp;$H$3&amp;"'!W284"),"Public Transport*")=1,IF(INDIRECT("'"&amp;$H$3&amp;"'!W292")="Route-based",W391*INDIRECT("'"&amp;$H$3&amp;"'!W$261"),IF(INDIRECT("'"&amp;$H$3&amp;"'!W292")="Point-to-point",W394*INDIRECT("'"&amp;$H$3&amp;"'!W$261"),0)),0),0)</f>
        <v>0</v>
      </c>
      <c r="X384" s="1468"/>
      <c r="Y384" s="36"/>
      <c r="Z384" s="36"/>
      <c r="AA384" s="36"/>
      <c r="AB384" s="36"/>
      <c r="AC384" s="36"/>
      <c r="AD384" s="36"/>
      <c r="AE384" s="36"/>
      <c r="AF384" s="36"/>
      <c r="AG384" s="36"/>
      <c r="AH384" s="36"/>
      <c r="AI384" s="36"/>
      <c r="AJ384" s="36"/>
      <c r="AK384" s="242"/>
      <c r="AL384" s="36"/>
      <c r="AM384" s="36"/>
      <c r="AN384" s="36"/>
    </row>
    <row r="385" spans="6:40" ht="15" customHeight="1" outlineLevel="1">
      <c r="F385" s="52"/>
      <c r="G385" s="51" t="s">
        <v>147</v>
      </c>
      <c r="H385" s="837"/>
      <c r="I385" s="837"/>
      <c r="J385" s="837"/>
      <c r="K385" s="837">
        <f ca="1">IFERROR(IF(INDIRECT("'"&amp;$H$3&amp;"'!K292")="Route-based",K392*INDIRECT("'"&amp;$H$3&amp;"'!K$261"),IF(INDIRECT("'"&amp;$H$3&amp;"'!K292")="Point-to-point",K395*INDIRECT("'"&amp;$H$3&amp;"'!K$261"),0)),0)</f>
        <v>0</v>
      </c>
      <c r="L385" s="837"/>
      <c r="M385" s="837"/>
      <c r="N385" s="837">
        <f ca="1">IFERROR(IF(INDIRECT("'"&amp;$H$3&amp;"'!N292")="Route-based",N392*INDIRECT("'"&amp;$H$3&amp;"'!N$261"),IF(INDIRECT("'"&amp;$H$3&amp;"'!N292")="Point-to-point",N395*INDIRECT("'"&amp;$H$3&amp;"'!N$261"),0)),0)</f>
        <v>0</v>
      </c>
      <c r="O385" s="837"/>
      <c r="P385" s="837"/>
      <c r="Q385" s="837">
        <f ca="1">IFERROR(IF(INDIRECT("'"&amp;$H$3&amp;"'!Q292")="Route-based",Q392*INDIRECT("'"&amp;$H$3&amp;"'!Q$261"),IF(INDIRECT("'"&amp;$H$3&amp;"'!Q292")="Point-to-point",Q395*INDIRECT("'"&amp;$H$3&amp;"'!Q$261"),0)),0)</f>
        <v>0</v>
      </c>
      <c r="R385" s="1650"/>
      <c r="S385" s="1650"/>
      <c r="T385" s="837">
        <f ca="1">IFERROR(IF(INDIRECT("'"&amp;$H$3&amp;"'!T292")="Route-based",T392*INDIRECT("'"&amp;$H$3&amp;"'!T$261"),IF(INDIRECT("'"&amp;$H$3&amp;"'!T292")="Point-to-point",T395*INDIRECT("'"&amp;$H$3&amp;"'!T$261"),0)),0)</f>
        <v>0</v>
      </c>
      <c r="U385" s="1650"/>
      <c r="V385" s="1650"/>
      <c r="W385" s="837">
        <f ca="1">IFERROR(IF(INDIRECT("'"&amp;$H$3&amp;"'!W292")="Route-based",W392*INDIRECT("'"&amp;$H$3&amp;"'!W$261"),IF(INDIRECT("'"&amp;$H$3&amp;"'!W292")="Point-to-point",W395*INDIRECT("'"&amp;$H$3&amp;"'!W$261"),0)),0)</f>
        <v>0</v>
      </c>
      <c r="X385" s="1468"/>
      <c r="Y385" s="36"/>
      <c r="Z385" s="36"/>
      <c r="AA385" s="36"/>
      <c r="AB385" s="36"/>
      <c r="AC385" s="36"/>
      <c r="AD385" s="36"/>
      <c r="AE385" s="36"/>
      <c r="AF385" s="36"/>
      <c r="AG385" s="36"/>
      <c r="AH385" s="36"/>
      <c r="AI385" s="36"/>
      <c r="AJ385" s="36"/>
      <c r="AK385" s="242"/>
      <c r="AL385" s="36"/>
      <c r="AM385" s="36"/>
      <c r="AN385" s="36"/>
    </row>
    <row r="386" spans="6:40" ht="15" customHeight="1" outlineLevel="1">
      <c r="F386" s="52"/>
      <c r="G386" s="51" t="s">
        <v>142</v>
      </c>
      <c r="H386" s="1651"/>
      <c r="I386" s="1651"/>
      <c r="J386" s="1651"/>
      <c r="K386" s="1651">
        <f ca="1">IFERROR(IF(COUNTIF(INDIRECT("'"&amp;$H$3&amp;"'!K284"),"Public Transport*")&gt;0,ROUND(INDIRECT("'"&amp;$H$3&amp;"'!K$95")*INDIRECT("'"&amp;$H$3&amp;"'!K283"),0),0),0)</f>
        <v>0</v>
      </c>
      <c r="L386" s="1651"/>
      <c r="M386" s="1651"/>
      <c r="N386" s="1651">
        <f ca="1">IFERROR(IF(COUNTIF(INDIRECT("'"&amp;$H$3&amp;"'!N284"),"Public Transport*")&gt;0,ROUND(INDIRECT("'"&amp;$H$3&amp;"'!N$95")*INDIRECT("'"&amp;$H$3&amp;"'!N283"),0),0),0)</f>
        <v>0</v>
      </c>
      <c r="O386" s="1651"/>
      <c r="P386" s="1651"/>
      <c r="Q386" s="1651">
        <f ca="1">IFERROR(IF(COUNTIF(INDIRECT("'"&amp;$H$3&amp;"'!Q284"),"Public Transport*")&gt;0,ROUND(INDIRECT("'"&amp;$H$3&amp;"'!Q$95")*INDIRECT("'"&amp;$H$3&amp;"'!Q283"),0),0),0)</f>
        <v>0</v>
      </c>
      <c r="R386" s="1650"/>
      <c r="S386" s="1650"/>
      <c r="T386" s="1651">
        <f ca="1">IFERROR(IF(COUNTIF(INDIRECT("'"&amp;$H$3&amp;"'!T284"),"Public Transport*")&gt;0,ROUND(INDIRECT("'"&amp;$H$3&amp;"'!T$95")*INDIRECT("'"&amp;$H$3&amp;"'!T283"),0),0),0)</f>
        <v>0</v>
      </c>
      <c r="U386" s="1650"/>
      <c r="V386" s="1650"/>
      <c r="W386" s="1651">
        <f ca="1">IFERROR(IF(COUNTIF(INDIRECT("'"&amp;$H$3&amp;"'!W284"),"Public Transport*")&gt;0,ROUND(INDIRECT("'"&amp;$H$3&amp;"'!W$95")*INDIRECT("'"&amp;$H$3&amp;"'!W283"),0),0),0)</f>
        <v>0</v>
      </c>
      <c r="X386" s="1466"/>
      <c r="Y386" s="36"/>
      <c r="Z386" s="36"/>
      <c r="AA386" s="36"/>
      <c r="AB386" s="36"/>
      <c r="AC386" s="36"/>
      <c r="AD386" s="36"/>
      <c r="AE386" s="36"/>
      <c r="AF386" s="36"/>
      <c r="AG386" s="36"/>
      <c r="AH386" s="36"/>
      <c r="AI386" s="36"/>
      <c r="AJ386" s="36"/>
      <c r="AK386" s="36"/>
      <c r="AL386" s="36"/>
      <c r="AM386" s="36"/>
      <c r="AN386" s="36"/>
    </row>
    <row r="387" spans="6:40" ht="15" customHeight="1" outlineLevel="1">
      <c r="F387" s="52"/>
      <c r="G387" s="1613" t="s">
        <v>150</v>
      </c>
      <c r="H387" s="842"/>
      <c r="I387" s="842"/>
      <c r="J387" s="842"/>
      <c r="K387" s="842"/>
      <c r="L387" s="842"/>
      <c r="M387" s="842"/>
      <c r="N387" s="842"/>
      <c r="O387" s="842"/>
      <c r="P387" s="842"/>
      <c r="Q387" s="842"/>
      <c r="R387" s="1650"/>
      <c r="S387" s="1650"/>
      <c r="T387" s="842"/>
      <c r="U387" s="1650"/>
      <c r="V387" s="1650"/>
      <c r="W387" s="842"/>
      <c r="X387" s="1470"/>
      <c r="Y387" s="36"/>
      <c r="Z387" s="36"/>
      <c r="AA387" s="36"/>
      <c r="AB387" s="36"/>
      <c r="AC387" s="36"/>
      <c r="AD387" s="36"/>
      <c r="AE387" s="36"/>
      <c r="AF387" s="36"/>
      <c r="AG387" s="36"/>
      <c r="AH387" s="36"/>
      <c r="AI387" s="36"/>
      <c r="AJ387" s="36"/>
      <c r="AK387" s="36"/>
      <c r="AL387" s="36"/>
      <c r="AM387" s="36"/>
      <c r="AN387" s="36"/>
    </row>
    <row r="388" spans="6:40" ht="15" customHeight="1" outlineLevel="1">
      <c r="F388" s="52"/>
      <c r="G388" s="51" t="s">
        <v>140</v>
      </c>
      <c r="H388" s="836"/>
      <c r="I388" s="836"/>
      <c r="J388" s="836"/>
      <c r="K388" s="836">
        <f ca="1">IFERROR(ROUND(INDIRECT("'"&amp;$H$3&amp;"'!$H$10")/(((1/60)*(INDIRECT("'"&amp;$H$3&amp;"'!K297")+INDIRECT("'"&amp;$H$3&amp;"'!$H$19")*(INDIRECT("'"&amp;$H$3&amp;"'!K298")+(INDIRECT("'"&amp;$H$3&amp;"'!K299")*('3_Outputs'!K$52/INDIRECT("'"&amp;$H$3&amp;"'!K$261")/INDIRECT("'"&amp;$H$3&amp;"'!$H$19"))))))+INDEX(INDIRECT("'"&amp;$H$3&amp;"'!$H$43:$H$78"),MATCH(INDIRECT("'"&amp;$H$3&amp;"'!K284")&amp;"Average duration (hrs) per trip",INDIRECT("'"&amp;$H$3&amp;"'!$F$43:$F$78"),0))),1),0)</f>
        <v>0</v>
      </c>
      <c r="L388" s="836"/>
      <c r="M388" s="836"/>
      <c r="N388" s="836">
        <f ca="1">IFERROR(ROUND(INDIRECT("'"&amp;$H$3&amp;"'!$H$10")/(((1/60)*(INDIRECT("'"&amp;$H$3&amp;"'!N297")+INDIRECT("'"&amp;$H$3&amp;"'!$H$19")*(INDIRECT("'"&amp;$H$3&amp;"'!N298")+(INDIRECT("'"&amp;$H$3&amp;"'!N299")*('3_Outputs'!N$52/INDIRECT("'"&amp;$H$3&amp;"'!N$261")/INDIRECT("'"&amp;$H$3&amp;"'!$H$19"))))))+INDEX(INDIRECT("'"&amp;$H$3&amp;"'!$H$43:$H$78"),MATCH(INDIRECT("'"&amp;$H$3&amp;"'!N284")&amp;"Average duration (hrs) per trip",INDIRECT("'"&amp;$H$3&amp;"'!$F$43:$F$78"),0))),1),0)</f>
        <v>0</v>
      </c>
      <c r="O388" s="836"/>
      <c r="P388" s="836"/>
      <c r="Q388" s="836">
        <f ca="1">IFERROR(ROUND(INDIRECT("'"&amp;$H$3&amp;"'!$H$10")/(((1/60)*(INDIRECT("'"&amp;$H$3&amp;"'!Q297")+INDIRECT("'"&amp;$H$3&amp;"'!$H$19")*(INDIRECT("'"&amp;$H$3&amp;"'!Q298")+(INDIRECT("'"&amp;$H$3&amp;"'!Q299")*('3_Outputs'!Q$52/INDIRECT("'"&amp;$H$3&amp;"'!Q$261")/INDIRECT("'"&amp;$H$3&amp;"'!$H$19"))))))+INDEX(INDIRECT("'"&amp;$H$3&amp;"'!$H$43:$H$78"),MATCH(INDIRECT("'"&amp;$H$3&amp;"'!Q284")&amp;"Average duration (hrs) per trip",INDIRECT("'"&amp;$H$3&amp;"'!$F$43:$F$78"),0))),1),0)</f>
        <v>0</v>
      </c>
      <c r="R388" s="836"/>
      <c r="S388" s="836"/>
      <c r="T388" s="836">
        <f ca="1">IFERROR(ROUND(INDIRECT("'"&amp;$H$3&amp;"'!$H$10")/(((1/60)*(INDIRECT("'"&amp;$H$3&amp;"'!T297")+INDIRECT("'"&amp;$H$3&amp;"'!$H$19")*(INDIRECT("'"&amp;$H$3&amp;"'!T298")+(INDIRECT("'"&amp;$H$3&amp;"'!T299")*('3_Outputs'!T$52/INDIRECT("'"&amp;$H$3&amp;"'!T$261")/INDIRECT("'"&amp;$H$3&amp;"'!$H$19"))))))+INDEX(INDIRECT("'"&amp;$H$3&amp;"'!$H$43:$H$78"),MATCH(INDIRECT("'"&amp;$H$3&amp;"'!T284")&amp;"Average duration (hrs) per trip",INDIRECT("'"&amp;$H$3&amp;"'!$F$43:$F$78"),0))),1),0)</f>
        <v>0</v>
      </c>
      <c r="U388" s="836"/>
      <c r="V388" s="836"/>
      <c r="W388" s="836">
        <f ca="1">IFERROR(ROUND(INDIRECT("'"&amp;$H$3&amp;"'!$H$10")/(((1/60)*(INDIRECT("'"&amp;$H$3&amp;"'!W297")+INDIRECT("'"&amp;$H$3&amp;"'!$H$19")*(INDIRECT("'"&amp;$H$3&amp;"'!W298")+(INDIRECT("'"&amp;$H$3&amp;"'!W299")*('3_Outputs'!W$52/INDIRECT("'"&amp;$H$3&amp;"'!W$261")/INDIRECT("'"&amp;$H$3&amp;"'!$H$19"))))))+INDEX(INDIRECT("'"&amp;$H$3&amp;"'!$H$43:$H$78"),MATCH(INDIRECT("'"&amp;$H$3&amp;"'!W284")&amp;"Average duration (hrs) per trip",INDIRECT("'"&amp;$H$3&amp;"'!$F$43:$F$78"),0))),1),0)</f>
        <v>0</v>
      </c>
      <c r="X388" s="1469"/>
      <c r="Y388" s="36"/>
      <c r="Z388" s="36"/>
      <c r="AA388" s="36"/>
      <c r="AB388" s="36"/>
      <c r="AC388" s="36"/>
      <c r="AD388" s="36"/>
      <c r="AE388" s="36"/>
      <c r="AF388" s="36"/>
      <c r="AG388" s="36"/>
      <c r="AH388" s="36"/>
      <c r="AI388" s="36"/>
      <c r="AJ388" s="36"/>
      <c r="AK388" s="36"/>
      <c r="AL388" s="36"/>
      <c r="AM388" s="36"/>
      <c r="AN388" s="36"/>
    </row>
    <row r="389" spans="6:40" ht="15" customHeight="1" outlineLevel="1">
      <c r="F389" s="52"/>
      <c r="G389" s="51" t="s">
        <v>141</v>
      </c>
      <c r="H389" s="836"/>
      <c r="I389" s="836"/>
      <c r="J389" s="836"/>
      <c r="K389" s="836">
        <f ca="1">IFERROR(ROUND(K388*INDIRECT("'"&amp;$H$3&amp;"'!K293"),0),0)</f>
        <v>0</v>
      </c>
      <c r="L389" s="836"/>
      <c r="M389" s="836"/>
      <c r="N389" s="836">
        <f ca="1">IFERROR(ROUND(N388*INDIRECT("'"&amp;$H$3&amp;"'!N293"),0),0)</f>
        <v>0</v>
      </c>
      <c r="O389" s="836"/>
      <c r="P389" s="836"/>
      <c r="Q389" s="836">
        <f ca="1">IFERROR(ROUND(Q388*INDIRECT("'"&amp;$H$3&amp;"'!Q293"),0),0)</f>
        <v>0</v>
      </c>
      <c r="R389" s="836"/>
      <c r="S389" s="836"/>
      <c r="T389" s="836">
        <f ca="1">IFERROR(ROUND(T388*INDIRECT("'"&amp;$H$3&amp;"'!T293"),0),0)</f>
        <v>0</v>
      </c>
      <c r="U389" s="836"/>
      <c r="V389" s="836"/>
      <c r="W389" s="836">
        <f ca="1">IFERROR(ROUND(W388*INDIRECT("'"&amp;$H$3&amp;"'!W293"),0),0)</f>
        <v>0</v>
      </c>
      <c r="X389" s="1469"/>
      <c r="Y389" s="36"/>
      <c r="Z389" s="36"/>
      <c r="AA389" s="36"/>
      <c r="AB389" s="36"/>
      <c r="AC389" s="36"/>
      <c r="AD389" s="36"/>
      <c r="AE389" s="36"/>
      <c r="AF389" s="36"/>
      <c r="AG389" s="36"/>
      <c r="AH389" s="36"/>
      <c r="AI389" s="36"/>
      <c r="AJ389" s="36"/>
      <c r="AK389" s="36"/>
      <c r="AL389" s="36"/>
      <c r="AM389" s="36"/>
      <c r="AN389" s="36"/>
    </row>
    <row r="390" spans="6:40" ht="15" customHeight="1" outlineLevel="1">
      <c r="F390" s="52"/>
      <c r="G390" s="51" t="s">
        <v>143</v>
      </c>
      <c r="H390" s="836"/>
      <c r="I390" s="836"/>
      <c r="J390" s="836"/>
      <c r="K390" s="836">
        <f ca="1">IFERROR(ROUNDUP(K386/K389,0),0)</f>
        <v>0</v>
      </c>
      <c r="L390" s="836"/>
      <c r="M390" s="836"/>
      <c r="N390" s="836">
        <f ca="1">IFERROR(ROUNDUP(N386/N389,0),0)</f>
        <v>0</v>
      </c>
      <c r="O390" s="836"/>
      <c r="P390" s="836"/>
      <c r="Q390" s="836">
        <f ca="1">IFERROR(ROUNDUP(Q386/Q389,0),0)</f>
        <v>0</v>
      </c>
      <c r="R390" s="836"/>
      <c r="S390" s="836"/>
      <c r="T390" s="836">
        <f ca="1">IFERROR(ROUNDUP(T386/T389,0),0)</f>
        <v>0</v>
      </c>
      <c r="U390" s="836"/>
      <c r="V390" s="836"/>
      <c r="W390" s="836">
        <f ca="1">IFERROR(ROUNDUP(W386/W389,0),0)</f>
        <v>0</v>
      </c>
      <c r="X390" s="1469"/>
      <c r="Y390" s="36"/>
      <c r="Z390" s="36"/>
      <c r="AA390" s="36"/>
      <c r="AB390" s="36"/>
      <c r="AC390" s="36"/>
      <c r="AD390" s="36"/>
      <c r="AE390" s="36"/>
      <c r="AF390" s="36"/>
      <c r="AG390" s="36"/>
      <c r="AH390" s="36"/>
      <c r="AI390" s="36"/>
      <c r="AJ390" s="36"/>
      <c r="AK390" s="36"/>
      <c r="AL390" s="36"/>
      <c r="AM390" s="36"/>
      <c r="AN390" s="36"/>
    </row>
    <row r="391" spans="6:40" ht="15" customHeight="1" outlineLevel="1">
      <c r="F391" s="52"/>
      <c r="G391" s="51" t="s">
        <v>144</v>
      </c>
      <c r="H391" s="836"/>
      <c r="I391" s="836"/>
      <c r="J391" s="836"/>
      <c r="K391" s="836">
        <f ca="1">IFERROR((K390*(K389+1)),0)</f>
        <v>0</v>
      </c>
      <c r="L391" s="836"/>
      <c r="M391" s="836"/>
      <c r="N391" s="836">
        <f ca="1">IFERROR((N390*(N389+1)),0)</f>
        <v>0</v>
      </c>
      <c r="O391" s="836"/>
      <c r="P391" s="836"/>
      <c r="Q391" s="836">
        <f ca="1">IFERROR((Q390*(Q389+1)),0)</f>
        <v>0</v>
      </c>
      <c r="R391" s="836"/>
      <c r="S391" s="836"/>
      <c r="T391" s="836">
        <f ca="1">IFERROR((T390*(T389+1)),0)</f>
        <v>0</v>
      </c>
      <c r="U391" s="836"/>
      <c r="V391" s="836"/>
      <c r="W391" s="836">
        <f ca="1">IFERROR((W390*(W389+1)),0)</f>
        <v>0</v>
      </c>
      <c r="X391" s="1469"/>
      <c r="Y391" s="36"/>
      <c r="Z391" s="36"/>
      <c r="AA391" s="36"/>
      <c r="AB391" s="36"/>
      <c r="AC391" s="36"/>
      <c r="AD391" s="36"/>
      <c r="AE391" s="36"/>
      <c r="AF391" s="36"/>
      <c r="AG391" s="36"/>
      <c r="AH391" s="36"/>
      <c r="AI391" s="36"/>
      <c r="AJ391" s="36"/>
      <c r="AK391" s="242"/>
      <c r="AL391" s="36"/>
      <c r="AM391" s="36"/>
      <c r="AN391" s="36"/>
    </row>
    <row r="392" spans="6:40" ht="15" customHeight="1" outlineLevel="1">
      <c r="F392" s="52"/>
      <c r="G392" s="51" t="s">
        <v>145</v>
      </c>
      <c r="H392" s="836"/>
      <c r="I392" s="836"/>
      <c r="J392" s="836"/>
      <c r="K392" s="836">
        <f ca="1">IFERROR(ROUNDUP(((K391*INDEX(INDIRECT("'"&amp;$H$3&amp;"'!$H$43:$H$78"),MATCH(INDIRECT("'"&amp;$H$3&amp;"'!K284")&amp;"Average duration (hrs) per trip",INDIRECT("'"&amp;$H$3&amp;"'!$F$43:$F$78"),0)))+(K386*((1/60)*(INDIRECT("'"&amp;$H$3&amp;"'!K297")+INDIRECT("'"&amp;$H$3&amp;"'!$H$19")*(INDIRECT("'"&amp;$H$3&amp;"'!K298")+(INDIRECT("'"&amp;$H$3&amp;"'!K299")*('3_Outputs'!K$52/INDIRECT("'"&amp;$H$3&amp;"'!K$261")/INDIRECT("'"&amp;$H$3&amp;"'!$H$19"))))))))/INDIRECT("'"&amp;$H$3&amp;"'!$H$10"),0),0)</f>
        <v>0</v>
      </c>
      <c r="L392" s="836"/>
      <c r="M392" s="836"/>
      <c r="N392" s="836">
        <f ca="1">IFERROR(ROUNDUP(((N391*INDEX(INDIRECT("'"&amp;$H$3&amp;"'!$H$43:$H$78"),MATCH(INDIRECT("'"&amp;$H$3&amp;"'!N284")&amp;"Average duration (hrs) per trip",INDIRECT("'"&amp;$H$3&amp;"'!$F$43:$F$78"),0)))+(N386*((1/60)*(INDIRECT("'"&amp;$H$3&amp;"'!N297")+INDIRECT("'"&amp;$H$3&amp;"'!$H$19")*(INDIRECT("'"&amp;$H$3&amp;"'!N298")+(INDIRECT("'"&amp;$H$3&amp;"'!N299")*('3_Outputs'!N$52/INDIRECT("'"&amp;$H$3&amp;"'!N$261")/INDIRECT("'"&amp;$H$3&amp;"'!$H$19"))))))))/INDIRECT("'"&amp;$H$3&amp;"'!$H$10"),0),0)</f>
        <v>0</v>
      </c>
      <c r="O392" s="836"/>
      <c r="P392" s="836"/>
      <c r="Q392" s="836">
        <f ca="1">IFERROR(ROUNDUP(((Q391*INDEX(INDIRECT("'"&amp;$H$3&amp;"'!$H$43:$H$78"),MATCH(INDIRECT("'"&amp;$H$3&amp;"'!Q284")&amp;"Average duration (hrs) per trip",INDIRECT("'"&amp;$H$3&amp;"'!$F$43:$F$78"),0)))+(Q386*((1/60)*(INDIRECT("'"&amp;$H$3&amp;"'!Q297")+INDIRECT("'"&amp;$H$3&amp;"'!$H$19")*(INDIRECT("'"&amp;$H$3&amp;"'!Q298")+(INDIRECT("'"&amp;$H$3&amp;"'!Q299")*('3_Outputs'!Q$52/INDIRECT("'"&amp;$H$3&amp;"'!Q$261")/INDIRECT("'"&amp;$H$3&amp;"'!$H$19"))))))))/INDIRECT("'"&amp;$H$3&amp;"'!$H$10"),0),0)</f>
        <v>0</v>
      </c>
      <c r="R392" s="836"/>
      <c r="S392" s="836"/>
      <c r="T392" s="836">
        <f ca="1">IFERROR(ROUNDUP(((T391*INDEX(INDIRECT("'"&amp;$H$3&amp;"'!$H$43:$H$78"),MATCH(INDIRECT("'"&amp;$H$3&amp;"'!T284")&amp;"Average duration (hrs) per trip",INDIRECT("'"&amp;$H$3&amp;"'!$F$43:$F$78"),0)))+(T386*((1/60)*(INDIRECT("'"&amp;$H$3&amp;"'!T297")+INDIRECT("'"&amp;$H$3&amp;"'!$H$19")*(INDIRECT("'"&amp;$H$3&amp;"'!T298")+(INDIRECT("'"&amp;$H$3&amp;"'!T299")*('3_Outputs'!T$52/INDIRECT("'"&amp;$H$3&amp;"'!T$261")/INDIRECT("'"&amp;$H$3&amp;"'!$H$19"))))))))/INDIRECT("'"&amp;$H$3&amp;"'!$H$10"),0),0)</f>
        <v>0</v>
      </c>
      <c r="U392" s="836"/>
      <c r="V392" s="836"/>
      <c r="W392" s="836">
        <f ca="1">IFERROR(ROUNDUP(((W391*INDEX(INDIRECT("'"&amp;$H$3&amp;"'!$H$43:$H$78"),MATCH(INDIRECT("'"&amp;$H$3&amp;"'!W284")&amp;"Average duration (hrs) per trip",INDIRECT("'"&amp;$H$3&amp;"'!$F$43:$F$78"),0)))+(W386*((1/60)*(INDIRECT("'"&amp;$H$3&amp;"'!W297")+INDIRECT("'"&amp;$H$3&amp;"'!$H$19")*(INDIRECT("'"&amp;$H$3&amp;"'!W298")+(INDIRECT("'"&amp;$H$3&amp;"'!W299")*('3_Outputs'!W$52/INDIRECT("'"&amp;$H$3&amp;"'!W$261")/INDIRECT("'"&amp;$H$3&amp;"'!$H$19"))))))))/INDIRECT("'"&amp;$H$3&amp;"'!$H$10"),0),0)</f>
        <v>0</v>
      </c>
      <c r="X392" s="1469"/>
      <c r="Y392" s="36"/>
      <c r="Z392" s="36"/>
      <c r="AA392" s="36"/>
      <c r="AB392" s="36"/>
      <c r="AC392" s="36"/>
      <c r="AD392" s="36"/>
      <c r="AE392" s="36"/>
      <c r="AF392" s="36"/>
      <c r="AG392" s="36"/>
      <c r="AH392" s="36"/>
      <c r="AI392" s="36"/>
      <c r="AJ392" s="36"/>
      <c r="AK392" s="242"/>
      <c r="AL392" s="36"/>
      <c r="AM392" s="36"/>
      <c r="AN392" s="36"/>
    </row>
    <row r="393" spans="6:40" ht="15" customHeight="1" outlineLevel="1">
      <c r="F393" s="52"/>
      <c r="G393" s="1613" t="s">
        <v>841</v>
      </c>
      <c r="H393" s="842"/>
      <c r="I393" s="842"/>
      <c r="J393" s="842"/>
      <c r="K393" s="842"/>
      <c r="L393" s="842"/>
      <c r="M393" s="842"/>
      <c r="N393" s="842"/>
      <c r="O393" s="842"/>
      <c r="P393" s="842"/>
      <c r="Q393" s="842"/>
      <c r="R393" s="1650"/>
      <c r="S393" s="1650"/>
      <c r="T393" s="842"/>
      <c r="U393" s="1650"/>
      <c r="V393" s="1650"/>
      <c r="W393" s="842"/>
      <c r="X393" s="1470"/>
      <c r="Y393" s="36"/>
      <c r="Z393" s="36"/>
      <c r="AA393" s="36"/>
      <c r="AB393" s="36"/>
      <c r="AC393" s="36"/>
      <c r="AD393" s="36"/>
      <c r="AE393" s="36"/>
      <c r="AF393" s="36"/>
      <c r="AG393" s="36"/>
      <c r="AH393" s="36"/>
      <c r="AI393" s="36"/>
      <c r="AJ393" s="36"/>
      <c r="AK393" s="242"/>
      <c r="AL393" s="36"/>
      <c r="AM393" s="36"/>
      <c r="AN393" s="36"/>
    </row>
    <row r="394" spans="6:40" ht="15" customHeight="1" outlineLevel="1">
      <c r="F394" s="52"/>
      <c r="G394" s="51" t="s">
        <v>144</v>
      </c>
      <c r="H394" s="836"/>
      <c r="I394" s="836"/>
      <c r="J394" s="836"/>
      <c r="K394" s="836">
        <f ca="1">IFERROR(K386*2,0)</f>
        <v>0</v>
      </c>
      <c r="L394" s="836"/>
      <c r="M394" s="836"/>
      <c r="N394" s="836">
        <f ca="1">IFERROR(N386*2,0)</f>
        <v>0</v>
      </c>
      <c r="O394" s="836"/>
      <c r="P394" s="836"/>
      <c r="Q394" s="836">
        <f ca="1">IFERROR(Q386*2,0)</f>
        <v>0</v>
      </c>
      <c r="R394" s="836"/>
      <c r="S394" s="836"/>
      <c r="T394" s="836">
        <f ca="1">IFERROR(T386*2,0)</f>
        <v>0</v>
      </c>
      <c r="U394" s="836"/>
      <c r="V394" s="836"/>
      <c r="W394" s="836">
        <f ca="1">IFERROR(W386*2,0)</f>
        <v>0</v>
      </c>
      <c r="X394" s="1469"/>
      <c r="Y394" s="36"/>
      <c r="Z394" s="36"/>
      <c r="AA394" s="36"/>
      <c r="AB394" s="36"/>
      <c r="AC394" s="36"/>
      <c r="AD394" s="36"/>
      <c r="AE394" s="36"/>
      <c r="AF394" s="36"/>
      <c r="AG394" s="36"/>
      <c r="AH394" s="36"/>
      <c r="AI394" s="36"/>
      <c r="AJ394" s="36"/>
      <c r="AK394" s="36"/>
      <c r="AL394" s="36"/>
      <c r="AM394" s="36"/>
      <c r="AN394" s="36"/>
    </row>
    <row r="395" spans="6:40" ht="15" customHeight="1" outlineLevel="1">
      <c r="F395" s="52"/>
      <c r="G395" s="51" t="s">
        <v>145</v>
      </c>
      <c r="H395" s="837"/>
      <c r="I395" s="837"/>
      <c r="J395" s="837"/>
      <c r="K395" s="837">
        <f ca="1">IFERROR(MAX(K386,ROUNDUP(((K394*INDEX(INDIRECT("'"&amp;$H$3&amp;"'!$H$43:$H$78"),MATCH(INDIRECT("'"&amp;$H$3&amp;"'!K284")&amp;"Average duration (hrs) per trip",INDIRECT("'"&amp;$H$3&amp;"'!$F$43:$F$78"),0)))+(K386*((1/60)*(INDIRECT("'"&amp;$H$3&amp;"'!K297")+INDIRECT("'"&amp;$H$3&amp;"'!$H$19")*(INDIRECT("'"&amp;$H$3&amp;"'!K298")+(INDIRECT("'"&amp;$H$3&amp;"'!K299")*('3_Outputs'!K$52/INDIRECT("'"&amp;$H$3&amp;"'!K$261")/INDIRECT("'"&amp;$H$3&amp;"'!$H$19"))))))))/INDIRECT("'"&amp;$H$3&amp;"'!$H$10"),0)),0)</f>
        <v>0</v>
      </c>
      <c r="L395" s="837"/>
      <c r="M395" s="837"/>
      <c r="N395" s="837">
        <f ca="1">IFERROR(MAX(N386,ROUNDUP(((N394*INDEX(INDIRECT("'"&amp;$H$3&amp;"'!$H$43:$H$78"),MATCH(INDIRECT("'"&amp;$H$3&amp;"'!N284")&amp;"Average duration (hrs) per trip",INDIRECT("'"&amp;$H$3&amp;"'!$F$43:$F$78"),0)))+(N386*((1/60)*(INDIRECT("'"&amp;$H$3&amp;"'!N297")+INDIRECT("'"&amp;$H$3&amp;"'!$H$19")*(INDIRECT("'"&amp;$H$3&amp;"'!N298")+(INDIRECT("'"&amp;$H$3&amp;"'!N299")*('3_Outputs'!N$52/INDIRECT("'"&amp;$H$3&amp;"'!N$261")/INDIRECT("'"&amp;$H$3&amp;"'!$H$19"))))))))/INDIRECT("'"&amp;$H$3&amp;"'!$H$10"),0)),0)</f>
        <v>0</v>
      </c>
      <c r="O395" s="837"/>
      <c r="P395" s="837"/>
      <c r="Q395" s="837">
        <f ca="1">IFERROR(MAX(Q386,ROUNDUP(((Q394*INDEX(INDIRECT("'"&amp;$H$3&amp;"'!$H$43:$H$78"),MATCH(INDIRECT("'"&amp;$H$3&amp;"'!Q284")&amp;"Average duration (hrs) per trip",INDIRECT("'"&amp;$H$3&amp;"'!$F$43:$F$78"),0)))+(Q386*((1/60)*(INDIRECT("'"&amp;$H$3&amp;"'!Q297")+INDIRECT("'"&amp;$H$3&amp;"'!$H$19")*(INDIRECT("'"&amp;$H$3&amp;"'!Q298")+(INDIRECT("'"&amp;$H$3&amp;"'!Q299")*('3_Outputs'!Q$52/INDIRECT("'"&amp;$H$3&amp;"'!Q$261")/INDIRECT("'"&amp;$H$3&amp;"'!$H$19"))))))))/INDIRECT("'"&amp;$H$3&amp;"'!$H$10"),0)),0)</f>
        <v>0</v>
      </c>
      <c r="R395" s="837"/>
      <c r="S395" s="837"/>
      <c r="T395" s="837">
        <f ca="1">IFERROR(MAX(T386,ROUNDUP(((T394*INDEX(INDIRECT("'"&amp;$H$3&amp;"'!$H$43:$H$78"),MATCH(INDIRECT("'"&amp;$H$3&amp;"'!T284")&amp;"Average duration (hrs) per trip",INDIRECT("'"&amp;$H$3&amp;"'!$F$43:$F$78"),0)))+(T386*((1/60)*(INDIRECT("'"&amp;$H$3&amp;"'!T297")+INDIRECT("'"&amp;$H$3&amp;"'!$H$19")*(INDIRECT("'"&amp;$H$3&amp;"'!T298")+(INDIRECT("'"&amp;$H$3&amp;"'!T299")*('3_Outputs'!T$52/INDIRECT("'"&amp;$H$3&amp;"'!T$261")/INDIRECT("'"&amp;$H$3&amp;"'!$H$19"))))))))/INDIRECT("'"&amp;$H$3&amp;"'!$H$10"),0)),0)</f>
        <v>0</v>
      </c>
      <c r="U395" s="837"/>
      <c r="V395" s="837"/>
      <c r="W395" s="837">
        <f ca="1">IFERROR(MAX(W386,ROUNDUP(((W394*INDEX(INDIRECT("'"&amp;$H$3&amp;"'!$H$43:$H$78"),MATCH(INDIRECT("'"&amp;$H$3&amp;"'!W284")&amp;"Average duration (hrs) per trip",INDIRECT("'"&amp;$H$3&amp;"'!$F$43:$F$78"),0)))+(W386*((1/60)*(INDIRECT("'"&amp;$H$3&amp;"'!W297")+INDIRECT("'"&amp;$H$3&amp;"'!$H$19")*(INDIRECT("'"&amp;$H$3&amp;"'!W298")+(INDIRECT("'"&amp;$H$3&amp;"'!W299")*('3_Outputs'!W$52/INDIRECT("'"&amp;$H$3&amp;"'!W$261")/INDIRECT("'"&amp;$H$3&amp;"'!$H$19"))))))))/INDIRECT("'"&amp;$H$3&amp;"'!$H$10"),0)),0)</f>
        <v>0</v>
      </c>
      <c r="X395" s="1468"/>
      <c r="Y395" s="36"/>
      <c r="Z395" s="36"/>
      <c r="AA395" s="36"/>
      <c r="AB395" s="36"/>
      <c r="AC395" s="36"/>
      <c r="AD395" s="36"/>
      <c r="AE395" s="36"/>
      <c r="AF395" s="36"/>
      <c r="AG395" s="36"/>
      <c r="AH395" s="36"/>
      <c r="AI395" s="36"/>
      <c r="AJ395" s="36"/>
      <c r="AK395" s="36"/>
      <c r="AL395" s="36"/>
      <c r="AM395" s="36"/>
      <c r="AN395" s="36"/>
    </row>
    <row r="396" spans="6:40" ht="15" customHeight="1" outlineLevel="1">
      <c r="F396" s="1681" t="s">
        <v>148</v>
      </c>
      <c r="G396" s="1683"/>
      <c r="H396" s="851"/>
      <c r="I396" s="851"/>
      <c r="J396" s="851"/>
      <c r="K396" s="851"/>
      <c r="L396" s="851"/>
      <c r="M396" s="851"/>
      <c r="N396" s="851"/>
      <c r="O396" s="851"/>
      <c r="P396" s="851"/>
      <c r="Q396" s="851"/>
      <c r="R396" s="1646"/>
      <c r="S396" s="1646"/>
      <c r="T396" s="851"/>
      <c r="U396" s="1646"/>
      <c r="V396" s="1646"/>
      <c r="W396" s="851"/>
      <c r="X396" s="1471"/>
      <c r="Y396" s="36"/>
      <c r="Z396" s="36"/>
      <c r="AA396" s="36"/>
      <c r="AB396" s="36"/>
      <c r="AC396" s="36"/>
      <c r="AD396" s="36"/>
      <c r="AE396" s="36"/>
      <c r="AF396" s="36"/>
      <c r="AG396" s="36"/>
      <c r="AH396" s="36"/>
      <c r="AI396" s="36"/>
      <c r="AJ396" s="36"/>
      <c r="AK396" s="242"/>
      <c r="AL396" s="36"/>
      <c r="AM396" s="36"/>
      <c r="AN396" s="36"/>
    </row>
    <row r="397" spans="6:40" ht="15" customHeight="1" outlineLevel="1">
      <c r="F397" s="86"/>
      <c r="G397" s="51" t="s">
        <v>151</v>
      </c>
      <c r="H397" s="836"/>
      <c r="I397" s="836"/>
      <c r="J397" s="836"/>
      <c r="K397" s="836">
        <f ca="1">IFERROR(IF(COUNTIF(INDIRECT("'"&amp;$H$3&amp;"'!K284"),"Public Transport*")&lt;1,ROUND(INDIRECT("'"&amp;$H$3&amp;"'!K$95")*INDIRECT("'"&amp;$H$3&amp;"'!K283"),0),0),0)</f>
        <v>0</v>
      </c>
      <c r="L397" s="836"/>
      <c r="M397" s="836"/>
      <c r="N397" s="836">
        <f ca="1">IFERROR(IF(COUNTIF(INDIRECT("'"&amp;$H$3&amp;"'!N284"),"Public Transport*")&lt;1,ROUND(INDIRECT("'"&amp;$H$3&amp;"'!N$95")*INDIRECT("'"&amp;$H$3&amp;"'!N283"),0),0),0)</f>
        <v>0</v>
      </c>
      <c r="O397" s="836"/>
      <c r="P397" s="836"/>
      <c r="Q397" s="836">
        <f ca="1">IFERROR(IF(COUNTIF(INDIRECT("'"&amp;$H$3&amp;"'!Q284"),"Public Transport*")&lt;1,ROUND(INDIRECT("'"&amp;$H$3&amp;"'!Q$95")*INDIRECT("'"&amp;$H$3&amp;"'!Q283"),0),0),0)</f>
        <v>0</v>
      </c>
      <c r="R397" s="836"/>
      <c r="S397" s="836"/>
      <c r="T397" s="836">
        <f ca="1">IFERROR(IF(COUNTIF(INDIRECT("'"&amp;$H$3&amp;"'!T284"),"Public Transport*")&lt;1,ROUND(INDIRECT("'"&amp;$H$3&amp;"'!T$95")*INDIRECT("'"&amp;$H$3&amp;"'!T283"),0),0),0)</f>
        <v>0</v>
      </c>
      <c r="U397" s="836"/>
      <c r="V397" s="836"/>
      <c r="W397" s="836">
        <f ca="1">IFERROR(IF(COUNTIF(INDIRECT("'"&amp;$H$3&amp;"'!W284"),"Public Transport*")&lt;1,ROUND(INDIRECT("'"&amp;$H$3&amp;"'!W$95")*INDIRECT("'"&amp;$H$3&amp;"'!W283"),0),0),0)</f>
        <v>0</v>
      </c>
      <c r="X397" s="1469"/>
      <c r="Y397" s="36"/>
      <c r="Z397" s="36"/>
      <c r="AA397" s="36"/>
      <c r="AB397" s="36"/>
      <c r="AC397" s="36"/>
      <c r="AD397" s="36"/>
      <c r="AE397" s="36"/>
      <c r="AF397" s="36"/>
      <c r="AG397" s="36"/>
      <c r="AH397" s="36"/>
      <c r="AI397" s="36"/>
      <c r="AJ397" s="36"/>
      <c r="AK397" s="242"/>
      <c r="AL397" s="36"/>
      <c r="AM397" s="36"/>
      <c r="AN397" s="36"/>
    </row>
    <row r="398" spans="6:40" ht="15" customHeight="1" outlineLevel="1">
      <c r="F398" s="52"/>
      <c r="G398" s="51" t="s">
        <v>85</v>
      </c>
      <c r="H398" s="837"/>
      <c r="I398" s="837"/>
      <c r="J398" s="837"/>
      <c r="K398" s="837">
        <f ca="1">IFERROR(IF(INDIRECT("'"&amp;$H$3&amp;"'!K292")="Route-based",K403*K404,IF(INDIRECT("'"&amp;$H$3&amp;"'!K292")="Point-to-point",K408*K409,0)),0)</f>
        <v>0</v>
      </c>
      <c r="L398" s="837"/>
      <c r="M398" s="837"/>
      <c r="N398" s="837">
        <f ca="1">IFERROR(IF(INDIRECT("'"&amp;$H$3&amp;"'!N292")="Route-based",N403*N404,IF(INDIRECT("'"&amp;$H$3&amp;"'!N292")="Point-to-point",N408*N409,0)),0)</f>
        <v>0</v>
      </c>
      <c r="O398" s="837"/>
      <c r="P398" s="837"/>
      <c r="Q398" s="837">
        <f ca="1">IFERROR(IF(INDIRECT("'"&amp;$H$3&amp;"'!Q292")="Route-based",Q403*Q404,IF(INDIRECT("'"&amp;$H$3&amp;"'!Q292")="Point-to-point",Q408*Q409,0)),0)</f>
        <v>0</v>
      </c>
      <c r="R398" s="837"/>
      <c r="S398" s="837"/>
      <c r="T398" s="837">
        <f ca="1">IFERROR(IF(INDIRECT("'"&amp;$H$3&amp;"'!T292")="Route-based",T403*T404,IF(INDIRECT("'"&amp;$H$3&amp;"'!T292")="Point-to-point",T408*T409,0)),0)</f>
        <v>0</v>
      </c>
      <c r="U398" s="837"/>
      <c r="V398" s="837"/>
      <c r="W398" s="837">
        <f ca="1">IFERROR(IF(INDIRECT("'"&amp;$H$3&amp;"'!W292")="Route-based",W403*W404,IF(INDIRECT("'"&amp;$H$3&amp;"'!W292")="Point-to-point",W408*W409,0)),0)</f>
        <v>0</v>
      </c>
      <c r="X398" s="1468"/>
      <c r="Y398" s="36"/>
      <c r="Z398" s="36"/>
      <c r="AA398" s="36"/>
      <c r="AB398" s="36"/>
      <c r="AC398" s="36"/>
      <c r="AD398" s="36"/>
      <c r="AE398" s="36"/>
      <c r="AF398" s="36"/>
      <c r="AG398" s="36"/>
      <c r="AH398" s="36"/>
      <c r="AI398" s="36"/>
      <c r="AJ398" s="36"/>
      <c r="AK398" s="242"/>
      <c r="AL398" s="36"/>
      <c r="AM398" s="36"/>
      <c r="AN398" s="36"/>
    </row>
    <row r="399" spans="6:40" ht="15" customHeight="1" outlineLevel="1">
      <c r="F399" s="52"/>
      <c r="G399" s="51" t="s">
        <v>59</v>
      </c>
      <c r="H399" s="837"/>
      <c r="I399" s="837"/>
      <c r="J399" s="837"/>
      <c r="K399" s="837">
        <f ca="1">IFERROR(IF(INDIRECT("'"&amp;$H$3&amp;"'!K292")="Route-based",ROUND(K403*K405/INDIRECT("'"&amp;$H$3&amp;"'!$H$10"),0),IF(INDIRECT("'"&amp;$H$3&amp;"'!K292")="Point-to-point",ROUND(((K397*INDIRECT("'"&amp;$H$3&amp;"'!K$261")*((1/60)*(INDIRECT("'"&amp;$H$3&amp;"'!K297")+INDIRECT("'"&amp;$H$3&amp;"'!$H$19")*(INDIRECT("'"&amp;$H$3&amp;"'!K298")+(INDIRECT("'"&amp;$H$3&amp;"'!K299")*('3_Outputs'!K$52/INDIRECT("'"&amp;$H$3&amp;"'!K$261")/INDIRECT("'"&amp;$H$3&amp;"'!$H$19")))))))+(K398/INDIRECT("'"&amp;$H$3&amp;"'!K301")))/INDIRECT("'"&amp;$H$3&amp;"'!$H$10"),0),0)),0)</f>
        <v>0</v>
      </c>
      <c r="L399" s="837"/>
      <c r="M399" s="837"/>
      <c r="N399" s="837">
        <f ca="1">IFERROR(IF(INDIRECT("'"&amp;$H$3&amp;"'!N292")="Route-based",ROUND(N403*N405/INDIRECT("'"&amp;$H$3&amp;"'!$H$10"),0),IF(INDIRECT("'"&amp;$H$3&amp;"'!N292")="Point-to-point",ROUND(((N397*INDIRECT("'"&amp;$H$3&amp;"'!N$261")*((1/60)*(INDIRECT("'"&amp;$H$3&amp;"'!N297")+INDIRECT("'"&amp;$H$3&amp;"'!$H$19")*(INDIRECT("'"&amp;$H$3&amp;"'!N298")+(INDIRECT("'"&amp;$H$3&amp;"'!N299")*('3_Outputs'!N$52/INDIRECT("'"&amp;$H$3&amp;"'!N$261")/INDIRECT("'"&amp;$H$3&amp;"'!$H$19")))))))+(N398/INDIRECT("'"&amp;$H$3&amp;"'!N301")))/INDIRECT("'"&amp;$H$3&amp;"'!$H$10"),0),0)),0)</f>
        <v>0</v>
      </c>
      <c r="O399" s="837"/>
      <c r="P399" s="837"/>
      <c r="Q399" s="837">
        <f ca="1">IFERROR(IF(INDIRECT("'"&amp;$H$3&amp;"'!Q292")="Route-based",ROUND(Q403*Q405/INDIRECT("'"&amp;$H$3&amp;"'!$H$10"),0),IF(INDIRECT("'"&amp;$H$3&amp;"'!Q292")="Point-to-point",ROUND(((Q397*INDIRECT("'"&amp;$H$3&amp;"'!Q$261")*((1/60)*(INDIRECT("'"&amp;$H$3&amp;"'!Q297")+INDIRECT("'"&amp;$H$3&amp;"'!$H$19")*(INDIRECT("'"&amp;$H$3&amp;"'!Q298")+(INDIRECT("'"&amp;$H$3&amp;"'!Q299")*('3_Outputs'!Q$52/INDIRECT("'"&amp;$H$3&amp;"'!Q$261")/INDIRECT("'"&amp;$H$3&amp;"'!$H$19")))))))+(Q398/INDIRECT("'"&amp;$H$3&amp;"'!Q301")))/INDIRECT("'"&amp;$H$3&amp;"'!$H$10"),0),0)),0)</f>
        <v>0</v>
      </c>
      <c r="R399" s="837"/>
      <c r="S399" s="837"/>
      <c r="T399" s="837">
        <f ca="1">IFERROR(IF(INDIRECT("'"&amp;$H$3&amp;"'!T292")="Route-based",ROUND(T403*T405/INDIRECT("'"&amp;$H$3&amp;"'!$H$10"),0),IF(INDIRECT("'"&amp;$H$3&amp;"'!T292")="Point-to-point",ROUND(((T397*INDIRECT("'"&amp;$H$3&amp;"'!T$261")*((1/60)*(INDIRECT("'"&amp;$H$3&amp;"'!T297")+INDIRECT("'"&amp;$H$3&amp;"'!$H$19")*(INDIRECT("'"&amp;$H$3&amp;"'!T298")+(INDIRECT("'"&amp;$H$3&amp;"'!T299")*('3_Outputs'!T$52/INDIRECT("'"&amp;$H$3&amp;"'!T$261")/INDIRECT("'"&amp;$H$3&amp;"'!$H$19")))))))+(T398/INDIRECT("'"&amp;$H$3&amp;"'!T301")))/INDIRECT("'"&amp;$H$3&amp;"'!$H$10"),0),0)),0)</f>
        <v>0</v>
      </c>
      <c r="U399" s="837"/>
      <c r="V399" s="837"/>
      <c r="W399" s="837">
        <f ca="1">IFERROR(IF(INDIRECT("'"&amp;$H$3&amp;"'!W292")="Route-based",ROUND(W403*W405/INDIRECT("'"&amp;$H$3&amp;"'!$H$10"),0),IF(INDIRECT("'"&amp;$H$3&amp;"'!W292")="Point-to-point",ROUND(((W397*INDIRECT("'"&amp;$H$3&amp;"'!W$261")*((1/60)*(INDIRECT("'"&amp;$H$3&amp;"'!W297")+INDIRECT("'"&amp;$H$3&amp;"'!$H$19")*(INDIRECT("'"&amp;$H$3&amp;"'!W298")+(INDIRECT("'"&amp;$H$3&amp;"'!W299")*('3_Outputs'!W$52/INDIRECT("'"&amp;$H$3&amp;"'!W$261")/INDIRECT("'"&amp;$H$3&amp;"'!$H$19")))))))+(W398/INDIRECT("'"&amp;$H$3&amp;"'!W301")))/INDIRECT("'"&amp;$H$3&amp;"'!$H$10"),0),0)),0)</f>
        <v>0</v>
      </c>
      <c r="X399" s="1468"/>
      <c r="Y399" s="36"/>
      <c r="Z399" s="36"/>
      <c r="AA399" s="36"/>
      <c r="AB399" s="36"/>
      <c r="AC399" s="36"/>
      <c r="AD399" s="36"/>
      <c r="AE399" s="36"/>
      <c r="AF399" s="36"/>
      <c r="AG399" s="36"/>
      <c r="AH399" s="36"/>
      <c r="AI399" s="36"/>
      <c r="AJ399" s="36"/>
      <c r="AK399" s="242"/>
      <c r="AL399" s="36"/>
      <c r="AM399" s="36"/>
      <c r="AN399" s="36"/>
    </row>
    <row r="400" spans="6:40" ht="15" customHeight="1" outlineLevel="1">
      <c r="F400" s="52"/>
      <c r="G400" s="51" t="s">
        <v>86</v>
      </c>
      <c r="H400" s="839"/>
      <c r="I400" s="839"/>
      <c r="J400" s="839"/>
      <c r="K400" s="839">
        <f ca="1">IFERROR(IF(INDIRECT("'"&amp;$H$3&amp;"'!K292")="Route-based",IF(INDIRECT("'"&amp;$H$3&amp;"'!K289")="Yes",K211, IF(INDIRECT("'"&amp;$H$3&amp;"'!K289")="No",K399/(INDIRECT("'"&amp;$H$3&amp;"'!$H$9")*INDIRECT("'"&amp;$H$3&amp;"'!K288")))),
IF(INDIRECT("'"&amp;$H$3&amp;"'!K292")="Point-to-point",IF(INDIRECT("'"&amp;$H$3&amp;"'!K289")="Yes",K211,IF(INDIRECT("'"&amp;$H$3&amp;"'!K289")="No",K399/(INDIRECT("'"&amp;$H$3&amp;"'!$H$9")*INDIRECT("'"&amp;$H$3&amp;"'!K288")))),0)),0)</f>
        <v>0</v>
      </c>
      <c r="L400" s="839"/>
      <c r="M400" s="839"/>
      <c r="N400" s="839">
        <f ca="1">IFERROR(IF(INDIRECT("'"&amp;$H$3&amp;"'!N292")="Route-based",IF(INDIRECT("'"&amp;$H$3&amp;"'!N289")="Yes",N211, IF(INDIRECT("'"&amp;$H$3&amp;"'!N289")="No",N399/(INDIRECT("'"&amp;$H$3&amp;"'!$H$9")*INDIRECT("'"&amp;$H$3&amp;"'!N288")))),
IF(INDIRECT("'"&amp;$H$3&amp;"'!N292")="Point-to-point",IF(INDIRECT("'"&amp;$H$3&amp;"'!N289")="Yes",N211,IF(INDIRECT("'"&amp;$H$3&amp;"'!N289")="No",N399/(INDIRECT("'"&amp;$H$3&amp;"'!$H$9")*INDIRECT("'"&amp;$H$3&amp;"'!N288")))),0)),0)</f>
        <v>0</v>
      </c>
      <c r="O400" s="839"/>
      <c r="P400" s="839"/>
      <c r="Q400" s="839">
        <f ca="1">IFERROR(IF(INDIRECT("'"&amp;$H$3&amp;"'!Q292")="Route-based",IF(INDIRECT("'"&amp;$H$3&amp;"'!Q289")="Yes",Q211, IF(INDIRECT("'"&amp;$H$3&amp;"'!Q289")="No",Q399/(INDIRECT("'"&amp;$H$3&amp;"'!$H$9")*INDIRECT("'"&amp;$H$3&amp;"'!Q288")))),
IF(INDIRECT("'"&amp;$H$3&amp;"'!Q292")="Point-to-point",IF(INDIRECT("'"&amp;$H$3&amp;"'!Q289")="Yes",Q211,IF(INDIRECT("'"&amp;$H$3&amp;"'!Q289")="No",Q399/(INDIRECT("'"&amp;$H$3&amp;"'!$H$9")*INDIRECT("'"&amp;$H$3&amp;"'!Q288")))),0)),0)</f>
        <v>0</v>
      </c>
      <c r="R400" s="839"/>
      <c r="S400" s="839"/>
      <c r="T400" s="839">
        <f ca="1">IFERROR(IF(INDIRECT("'"&amp;$H$3&amp;"'!T292")="Route-based",IF(INDIRECT("'"&amp;$H$3&amp;"'!T289")="Yes",T211, IF(INDIRECT("'"&amp;$H$3&amp;"'!T289")="No",T399/(INDIRECT("'"&amp;$H$3&amp;"'!$H$9")*INDIRECT("'"&amp;$H$3&amp;"'!T288")))),
IF(INDIRECT("'"&amp;$H$3&amp;"'!T292")="Point-to-point",IF(INDIRECT("'"&amp;$H$3&amp;"'!T289")="Yes",T211,IF(INDIRECT("'"&amp;$H$3&amp;"'!T289")="No",T399/(INDIRECT("'"&amp;$H$3&amp;"'!$H$9")*INDIRECT("'"&amp;$H$3&amp;"'!T288")))),0)),0)</f>
        <v>0</v>
      </c>
      <c r="U400" s="839"/>
      <c r="V400" s="839"/>
      <c r="W400" s="839">
        <f ca="1">IFERROR(IF(INDIRECT("'"&amp;$H$3&amp;"'!W292")="Route-based",IF(INDIRECT("'"&amp;$H$3&amp;"'!W289")="Yes",W211, IF(INDIRECT("'"&amp;$H$3&amp;"'!W289")="No",W399/(INDIRECT("'"&amp;$H$3&amp;"'!$H$9")*INDIRECT("'"&amp;$H$3&amp;"'!W288")))),
IF(INDIRECT("'"&amp;$H$3&amp;"'!W292")="Point-to-point",IF(INDIRECT("'"&amp;$H$3&amp;"'!W289")="Yes",W211,IF(INDIRECT("'"&amp;$H$3&amp;"'!W289")="No",W399/(INDIRECT("'"&amp;$H$3&amp;"'!$H$9")*INDIRECT("'"&amp;$H$3&amp;"'!W288")))),0)),0)</f>
        <v>0</v>
      </c>
      <c r="X400" s="1470"/>
      <c r="Y400" s="36"/>
      <c r="Z400" s="36"/>
      <c r="AA400" s="36"/>
      <c r="AB400" s="36"/>
      <c r="AC400" s="36"/>
      <c r="AD400" s="36"/>
      <c r="AE400" s="36"/>
      <c r="AF400" s="36"/>
      <c r="AG400" s="36"/>
      <c r="AH400" s="36"/>
      <c r="AI400" s="36"/>
      <c r="AJ400" s="36"/>
      <c r="AK400" s="36" t="s">
        <v>191</v>
      </c>
      <c r="AL400" s="36"/>
      <c r="AM400" s="36"/>
      <c r="AN400" s="36"/>
    </row>
    <row r="401" spans="6:40" ht="15" customHeight="1" outlineLevel="1" collapsed="1">
      <c r="F401" s="52"/>
      <c r="G401" s="1613" t="s">
        <v>133</v>
      </c>
      <c r="H401" s="842"/>
      <c r="I401" s="842"/>
      <c r="J401" s="842"/>
      <c r="K401" s="842"/>
      <c r="L401" s="842"/>
      <c r="M401" s="842"/>
      <c r="N401" s="842"/>
      <c r="O401" s="842"/>
      <c r="P401" s="842"/>
      <c r="Q401" s="842"/>
      <c r="R401" s="1650"/>
      <c r="S401" s="1650"/>
      <c r="T401" s="842"/>
      <c r="U401" s="1650"/>
      <c r="V401" s="1650"/>
      <c r="W401" s="842"/>
      <c r="X401" s="1470"/>
      <c r="Y401" s="36"/>
      <c r="Z401" s="36"/>
      <c r="AA401" s="36"/>
      <c r="AB401" s="36"/>
      <c r="AC401" s="36"/>
      <c r="AD401" s="36"/>
      <c r="AE401" s="36"/>
      <c r="AF401" s="36"/>
      <c r="AG401" s="36"/>
      <c r="AH401" s="36"/>
      <c r="AI401" s="36"/>
      <c r="AJ401" s="36"/>
      <c r="AK401" s="36"/>
      <c r="AL401" s="36"/>
      <c r="AM401" s="36"/>
      <c r="AN401" s="36"/>
    </row>
    <row r="402" spans="6:40" ht="15" customHeight="1" outlineLevel="1">
      <c r="F402" s="52"/>
      <c r="G402" s="51" t="s">
        <v>129</v>
      </c>
      <c r="H402" s="836"/>
      <c r="I402" s="836"/>
      <c r="J402" s="836"/>
      <c r="K402" s="836">
        <f ca="1">IFERROR(((INDIRECT("'"&amp;$H$3&amp;"'!K293")*INDIRECT("'"&amp;$H$3&amp;"'!$H$10"))-(2*INDIRECT("'"&amp;$H$3&amp;"'!K$98")/INDIRECT("'"&amp;$H$3&amp;"'!K301"))+(INDIRECT("'"&amp;$H$3&amp;"'!K$99")/INDIRECT("'"&amp;$H$3&amp;"'!K300")))/(((1/60)*(INDIRECT("'"&amp;$H$3&amp;"'!K297")+INDIRECT("'"&amp;$H$3&amp;"'!$H$19")*(INDIRECT("'"&amp;$H$3&amp;"'!K298")+(INDIRECT("'"&amp;$H$3&amp;"'!K299")*('3_Outputs'!K$52/INDIRECT("'"&amp;$H$3&amp;"'!K$261")/INDIRECT("'"&amp;$H$3&amp;"'!$H$19"))))))+(INDIRECT("'"&amp;$H$3&amp;"'!K$99")/INDIRECT("'"&amp;$H$3&amp;"'!K300"))),0)</f>
        <v>0</v>
      </c>
      <c r="L402" s="836"/>
      <c r="M402" s="836"/>
      <c r="N402" s="836">
        <f ca="1">IFERROR(((INDIRECT("'"&amp;$H$3&amp;"'!N293")*INDIRECT("'"&amp;$H$3&amp;"'!$H$10"))-(2*INDIRECT("'"&amp;$H$3&amp;"'!N$98")/INDIRECT("'"&amp;$H$3&amp;"'!N301"))+(INDIRECT("'"&amp;$H$3&amp;"'!N$99")/INDIRECT("'"&amp;$H$3&amp;"'!N300")))/(((1/60)*(INDIRECT("'"&amp;$H$3&amp;"'!N297")+INDIRECT("'"&amp;$H$3&amp;"'!$H$19")*(INDIRECT("'"&amp;$H$3&amp;"'!N298")+(INDIRECT("'"&amp;$H$3&amp;"'!N299")*('3_Outputs'!N$52/INDIRECT("'"&amp;$H$3&amp;"'!N$261")/INDIRECT("'"&amp;$H$3&amp;"'!$H$19"))))))+(INDIRECT("'"&amp;$H$3&amp;"'!N$99")/INDIRECT("'"&amp;$H$3&amp;"'!N300"))),0)</f>
        <v>0</v>
      </c>
      <c r="O402" s="836"/>
      <c r="P402" s="836"/>
      <c r="Q402" s="836">
        <f ca="1">IFERROR(((INDIRECT("'"&amp;$H$3&amp;"'!Q293")*INDIRECT("'"&amp;$H$3&amp;"'!$H$10"))-(2*INDIRECT("'"&amp;$H$3&amp;"'!Q$98")/INDIRECT("'"&amp;$H$3&amp;"'!Q301"))+(INDIRECT("'"&amp;$H$3&amp;"'!Q$99")/INDIRECT("'"&amp;$H$3&amp;"'!Q300")))/(((1/60)*(INDIRECT("'"&amp;$H$3&amp;"'!Q297")+INDIRECT("'"&amp;$H$3&amp;"'!$H$19")*(INDIRECT("'"&amp;$H$3&amp;"'!Q298")+(INDIRECT("'"&amp;$H$3&amp;"'!Q299")*('3_Outputs'!Q$52/INDIRECT("'"&amp;$H$3&amp;"'!Q$261")/INDIRECT("'"&amp;$H$3&amp;"'!$H$19"))))))+(INDIRECT("'"&amp;$H$3&amp;"'!Q$99")/INDIRECT("'"&amp;$H$3&amp;"'!Q300"))),0)</f>
        <v>0</v>
      </c>
      <c r="R402" s="836"/>
      <c r="S402" s="836"/>
      <c r="T402" s="836">
        <f ca="1">IFERROR(((INDIRECT("'"&amp;$H$3&amp;"'!T293")*INDIRECT("'"&amp;$H$3&amp;"'!$H$10"))-(2*INDIRECT("'"&amp;$H$3&amp;"'!T$98")/INDIRECT("'"&amp;$H$3&amp;"'!T301"))+(INDIRECT("'"&amp;$H$3&amp;"'!T$99")/INDIRECT("'"&amp;$H$3&amp;"'!T300")))/(((1/60)*(INDIRECT("'"&amp;$H$3&amp;"'!T297")+INDIRECT("'"&amp;$H$3&amp;"'!$H$19")*(INDIRECT("'"&amp;$H$3&amp;"'!T298")+(INDIRECT("'"&amp;$H$3&amp;"'!T299")*('3_Outputs'!T$52/INDIRECT("'"&amp;$H$3&amp;"'!T$261")/INDIRECT("'"&amp;$H$3&amp;"'!$H$19"))))))+(INDIRECT("'"&amp;$H$3&amp;"'!T$99")/INDIRECT("'"&amp;$H$3&amp;"'!T300"))),0)</f>
        <v>0</v>
      </c>
      <c r="U402" s="836"/>
      <c r="V402" s="836"/>
      <c r="W402" s="836">
        <f ca="1">IFERROR(((INDIRECT("'"&amp;$H$3&amp;"'!W293")*INDIRECT("'"&amp;$H$3&amp;"'!$H$10"))-(2*INDIRECT("'"&amp;$H$3&amp;"'!W$98")/INDIRECT("'"&amp;$H$3&amp;"'!W301"))+(INDIRECT("'"&amp;$H$3&amp;"'!W$99")/INDIRECT("'"&amp;$H$3&amp;"'!W300")))/(((1/60)*(INDIRECT("'"&amp;$H$3&amp;"'!W297")+INDIRECT("'"&amp;$H$3&amp;"'!$H$19")*(INDIRECT("'"&amp;$H$3&amp;"'!W298")+(INDIRECT("'"&amp;$H$3&amp;"'!W299")*('3_Outputs'!W$52/INDIRECT("'"&amp;$H$3&amp;"'!W$261")/INDIRECT("'"&amp;$H$3&amp;"'!$H$19"))))))+(INDIRECT("'"&amp;$H$3&amp;"'!W$99")/INDIRECT("'"&amp;$H$3&amp;"'!W300"))),0)</f>
        <v>0</v>
      </c>
      <c r="X402" s="1469"/>
      <c r="Y402" s="36"/>
      <c r="Z402" s="36"/>
      <c r="AA402" s="36"/>
      <c r="AB402" s="36"/>
      <c r="AC402" s="36"/>
      <c r="AD402" s="36"/>
      <c r="AE402" s="36"/>
      <c r="AF402" s="36"/>
      <c r="AG402" s="36"/>
      <c r="AH402" s="36"/>
      <c r="AI402" s="36"/>
      <c r="AJ402" s="36"/>
      <c r="AK402" s="36"/>
      <c r="AL402" s="36"/>
      <c r="AM402" s="36"/>
      <c r="AN402" s="36"/>
    </row>
    <row r="403" spans="6:40" ht="15" customHeight="1" outlineLevel="1">
      <c r="F403" s="52"/>
      <c r="G403" s="51" t="s">
        <v>206</v>
      </c>
      <c r="H403" s="836"/>
      <c r="I403" s="836"/>
      <c r="J403" s="836"/>
      <c r="K403" s="836">
        <f ca="1">IFERROR(ROUND(K397*INDIRECT("'"&amp;$H$3&amp;"'!K$261")/K402,0),0)</f>
        <v>0</v>
      </c>
      <c r="L403" s="836"/>
      <c r="M403" s="836"/>
      <c r="N403" s="836">
        <f ca="1">IFERROR(ROUND(N397*INDIRECT("'"&amp;$H$3&amp;"'!N$261")/N402,0),0)</f>
        <v>0</v>
      </c>
      <c r="O403" s="836"/>
      <c r="P403" s="836"/>
      <c r="Q403" s="836">
        <f ca="1">IFERROR(ROUND(Q397*INDIRECT("'"&amp;$H$3&amp;"'!Q$261")/Q402,0),0)</f>
        <v>0</v>
      </c>
      <c r="R403" s="836"/>
      <c r="S403" s="836"/>
      <c r="T403" s="836">
        <f ca="1">IFERROR(ROUND(T397*INDIRECT("'"&amp;$H$3&amp;"'!T$261")/T402,0),0)</f>
        <v>0</v>
      </c>
      <c r="U403" s="836"/>
      <c r="V403" s="836"/>
      <c r="W403" s="836">
        <f ca="1">IFERROR(ROUND(W397*INDIRECT("'"&amp;$H$3&amp;"'!W$261")/W402,0),0)</f>
        <v>0</v>
      </c>
      <c r="X403" s="1469"/>
      <c r="Y403" s="36"/>
      <c r="Z403" s="36"/>
      <c r="AA403" s="36"/>
      <c r="AB403" s="36"/>
      <c r="AC403" s="36"/>
      <c r="AD403" s="36"/>
      <c r="AE403" s="36"/>
      <c r="AF403" s="36"/>
      <c r="AG403" s="36"/>
      <c r="AH403" s="36"/>
      <c r="AI403" s="36"/>
      <c r="AJ403" s="36"/>
      <c r="AK403" s="36"/>
      <c r="AL403" s="36"/>
      <c r="AM403" s="36"/>
      <c r="AN403" s="36"/>
    </row>
    <row r="404" spans="6:40" ht="15" customHeight="1" outlineLevel="1">
      <c r="F404" s="52"/>
      <c r="G404" s="51" t="s">
        <v>87</v>
      </c>
      <c r="H404" s="836"/>
      <c r="I404" s="836"/>
      <c r="J404" s="836"/>
      <c r="K404" s="836">
        <f ca="1">IFERROR(IF(K397=0,0,(2*INDIRECT("'"&amp;$H$3&amp;"'!K$98"))+((MAX(K402, 1)-1)*INDIRECT("'"&amp;$H$3&amp;"'!K$99"))),0)</f>
        <v>0</v>
      </c>
      <c r="L404" s="836"/>
      <c r="M404" s="836"/>
      <c r="N404" s="836">
        <f ca="1">IFERROR(IF(N397=0,0,(2*INDIRECT("'"&amp;$H$3&amp;"'!N$98"))+((MAX(N402, 1)-1)*INDIRECT("'"&amp;$H$3&amp;"'!N$99"))),0)</f>
        <v>0</v>
      </c>
      <c r="O404" s="836"/>
      <c r="P404" s="836"/>
      <c r="Q404" s="836">
        <f ca="1">IFERROR(IF(Q397=0,0,(2*INDIRECT("'"&amp;$H$3&amp;"'!Q$98"))+((MAX(Q402, 1)-1)*INDIRECT("'"&amp;$H$3&amp;"'!Q$99"))),0)</f>
        <v>0</v>
      </c>
      <c r="R404" s="836"/>
      <c r="S404" s="836"/>
      <c r="T404" s="836">
        <f ca="1">IFERROR(IF(T397=0,0,(2*INDIRECT("'"&amp;$H$3&amp;"'!T$98"))+((MAX(T402, 1)-1)*INDIRECT("'"&amp;$H$3&amp;"'!T$99"))),0)</f>
        <v>0</v>
      </c>
      <c r="U404" s="836"/>
      <c r="V404" s="836"/>
      <c r="W404" s="836">
        <f ca="1">IFERROR(IF(W397=0,0,(2*INDIRECT("'"&amp;$H$3&amp;"'!W$98"))+((MAX(W402, 1)-1)*INDIRECT("'"&amp;$H$3&amp;"'!W$99"))),0)</f>
        <v>0</v>
      </c>
      <c r="X404" s="1469"/>
      <c r="Y404" s="36"/>
      <c r="Z404" s="36"/>
      <c r="AA404" s="36"/>
      <c r="AB404" s="36"/>
      <c r="AC404" s="36"/>
      <c r="AD404" s="36"/>
      <c r="AE404" s="36"/>
      <c r="AF404" s="36"/>
      <c r="AG404" s="36"/>
      <c r="AH404" s="36"/>
      <c r="AI404" s="36"/>
      <c r="AJ404" s="36"/>
      <c r="AK404" s="36"/>
      <c r="AL404" s="36"/>
      <c r="AM404" s="36"/>
      <c r="AN404" s="36"/>
    </row>
    <row r="405" spans="6:40" ht="15" customHeight="1" outlineLevel="1">
      <c r="F405" s="52"/>
      <c r="G405" s="51" t="s">
        <v>203</v>
      </c>
      <c r="H405" s="836"/>
      <c r="I405" s="836"/>
      <c r="J405" s="836"/>
      <c r="K405" s="836">
        <f ca="1">IFERROR((ROUNDUP(K402,1)*((1/60)*(INDIRECT("'"&amp;$H$3&amp;"'!K297")+INDIRECT("'"&amp;$H$3&amp;"'!$H$19")*(INDIRECT("'"&amp;$H$3&amp;"'!K298")+(INDIRECT("'"&amp;$H$3&amp;"'!K299")*('3_Outputs'!K$52/INDIRECT("'"&amp;$H$3&amp;"'!K$261")/INDIRECT("'"&amp;$H$3&amp;"'!$H$19")))))))+((2*INDIRECT("'"&amp;$H$3&amp;"'!K$98"))/INDIRECT("'"&amp;$H$3&amp;"'!K301"))+(((MAX(K402,1)-1)*INDIRECT("'"&amp;$H$3&amp;"'!K$99"))/INDIRECT("'"&amp;$H$3&amp;"'!K300")),0)</f>
        <v>0</v>
      </c>
      <c r="L405" s="836"/>
      <c r="M405" s="836"/>
      <c r="N405" s="836">
        <f ca="1">IFERROR((ROUNDUP(N402,1)*((1/60)*(INDIRECT("'"&amp;$H$3&amp;"'!N297")+INDIRECT("'"&amp;$H$3&amp;"'!$H$19")*(INDIRECT("'"&amp;$H$3&amp;"'!N298")+(INDIRECT("'"&amp;$H$3&amp;"'!N299")*('3_Outputs'!N$52/INDIRECT("'"&amp;$H$3&amp;"'!N$261")/INDIRECT("'"&amp;$H$3&amp;"'!$H$19")))))))+((2*INDIRECT("'"&amp;$H$3&amp;"'!N$98"))/INDIRECT("'"&amp;$H$3&amp;"'!N301"))+(((MAX(N402,1)-1)*INDIRECT("'"&amp;$H$3&amp;"'!N$99"))/INDIRECT("'"&amp;$H$3&amp;"'!N300")),0)</f>
        <v>0</v>
      </c>
      <c r="O405" s="836"/>
      <c r="P405" s="836"/>
      <c r="Q405" s="836">
        <f ca="1">IFERROR((ROUNDUP(Q402,1)*((1/60)*(INDIRECT("'"&amp;$H$3&amp;"'!Q297")+INDIRECT("'"&amp;$H$3&amp;"'!$H$19")*(INDIRECT("'"&amp;$H$3&amp;"'!Q298")+(INDIRECT("'"&amp;$H$3&amp;"'!Q299")*('3_Outputs'!Q$52/INDIRECT("'"&amp;$H$3&amp;"'!Q$261")/INDIRECT("'"&amp;$H$3&amp;"'!$H$19")))))))+((2*INDIRECT("'"&amp;$H$3&amp;"'!Q$98"))/INDIRECT("'"&amp;$H$3&amp;"'!Q301"))+(((MAX(Q402,1)-1)*INDIRECT("'"&amp;$H$3&amp;"'!Q$99"))/INDIRECT("'"&amp;$H$3&amp;"'!Q300")),0)</f>
        <v>0</v>
      </c>
      <c r="R405" s="836"/>
      <c r="S405" s="836"/>
      <c r="T405" s="836">
        <f ca="1">IFERROR((ROUNDUP(T402,1)*((1/60)*(INDIRECT("'"&amp;$H$3&amp;"'!T297")+INDIRECT("'"&amp;$H$3&amp;"'!$H$19")*(INDIRECT("'"&amp;$H$3&amp;"'!T298")+(INDIRECT("'"&amp;$H$3&amp;"'!T299")*('3_Outputs'!T$52/INDIRECT("'"&amp;$H$3&amp;"'!T$261")/INDIRECT("'"&amp;$H$3&amp;"'!$H$19")))))))+((2*INDIRECT("'"&amp;$H$3&amp;"'!T$98"))/INDIRECT("'"&amp;$H$3&amp;"'!T301"))+(((MAX(T402,1)-1)*INDIRECT("'"&amp;$H$3&amp;"'!T$99"))/INDIRECT("'"&amp;$H$3&amp;"'!T300")),0)</f>
        <v>0</v>
      </c>
      <c r="U405" s="836"/>
      <c r="V405" s="836"/>
      <c r="W405" s="836">
        <f ca="1">IFERROR((ROUNDUP(W402,1)*((1/60)*(INDIRECT("'"&amp;$H$3&amp;"'!W297")+INDIRECT("'"&amp;$H$3&amp;"'!$H$19")*(INDIRECT("'"&amp;$H$3&amp;"'!W298")+(INDIRECT("'"&amp;$H$3&amp;"'!W299")*('3_Outputs'!W$52/INDIRECT("'"&amp;$H$3&amp;"'!W$261")/INDIRECT("'"&amp;$H$3&amp;"'!$H$19")))))))+((2*INDIRECT("'"&amp;$H$3&amp;"'!W$98"))/INDIRECT("'"&amp;$H$3&amp;"'!W301"))+(((MAX(W402,1)-1)*INDIRECT("'"&amp;$H$3&amp;"'!W$99"))/INDIRECT("'"&amp;$H$3&amp;"'!W300")),0)</f>
        <v>0</v>
      </c>
      <c r="X405" s="1465"/>
      <c r="Y405" s="36"/>
      <c r="Z405" s="36"/>
      <c r="AA405" s="36"/>
      <c r="AB405" s="36"/>
      <c r="AC405" s="36"/>
      <c r="AD405" s="36"/>
      <c r="AE405" s="36"/>
      <c r="AF405" s="36"/>
      <c r="AG405" s="36"/>
      <c r="AH405" s="36"/>
      <c r="AI405" s="36"/>
      <c r="AJ405" s="36"/>
      <c r="AK405" s="36"/>
      <c r="AL405" s="36"/>
      <c r="AM405" s="36"/>
      <c r="AN405" s="36"/>
    </row>
    <row r="406" spans="6:40" ht="15" customHeight="1" outlineLevel="1">
      <c r="F406" s="52"/>
      <c r="G406" s="51" t="s">
        <v>204</v>
      </c>
      <c r="H406" s="836"/>
      <c r="I406" s="836"/>
      <c r="J406" s="836"/>
      <c r="K406" s="836">
        <f ca="1">IFERROR((INDIRECT("'"&amp;$H$3&amp;"'!$H$10")*INDIRECT("'"&amp;$H$3&amp;"'!$H$9")*INDIRECT("'"&amp;$H$3&amp;"'!K288"))/K405,0)</f>
        <v>0</v>
      </c>
      <c r="L406" s="836"/>
      <c r="M406" s="836"/>
      <c r="N406" s="836">
        <f ca="1">IFERROR((INDIRECT("'"&amp;$H$3&amp;"'!$H$10")*INDIRECT("'"&amp;$H$3&amp;"'!$H$9")*INDIRECT("'"&amp;$H$3&amp;"'!N288"))/N405,0)</f>
        <v>0</v>
      </c>
      <c r="O406" s="836"/>
      <c r="P406" s="836"/>
      <c r="Q406" s="836">
        <f ca="1">IFERROR((INDIRECT("'"&amp;$H$3&amp;"'!$H$10")*INDIRECT("'"&amp;$H$3&amp;"'!$H$9")*INDIRECT("'"&amp;$H$3&amp;"'!Q288"))/Q405,0)</f>
        <v>0</v>
      </c>
      <c r="R406" s="836"/>
      <c r="S406" s="836"/>
      <c r="T406" s="836">
        <f ca="1">IFERROR((INDIRECT("'"&amp;$H$3&amp;"'!$H$10")*INDIRECT("'"&amp;$H$3&amp;"'!$H$9")*INDIRECT("'"&amp;$H$3&amp;"'!T288"))/T405,0)</f>
        <v>0</v>
      </c>
      <c r="U406" s="836"/>
      <c r="V406" s="836"/>
      <c r="W406" s="836">
        <f ca="1">IFERROR((INDIRECT("'"&amp;$H$3&amp;"'!$H$10")*INDIRECT("'"&amp;$H$3&amp;"'!$H$9")*INDIRECT("'"&amp;$H$3&amp;"'!W288"))/W405,0)</f>
        <v>0</v>
      </c>
      <c r="X406" s="1465"/>
      <c r="Y406" s="36"/>
      <c r="Z406" s="36"/>
      <c r="AA406" s="36"/>
      <c r="AB406" s="36"/>
      <c r="AC406" s="36"/>
      <c r="AD406" s="36"/>
      <c r="AE406" s="36"/>
      <c r="AF406" s="36"/>
      <c r="AG406" s="36"/>
      <c r="AH406" s="36"/>
      <c r="AI406" s="36"/>
      <c r="AJ406" s="36"/>
      <c r="AK406" s="242"/>
      <c r="AL406" s="36"/>
      <c r="AM406" s="36"/>
      <c r="AN406" s="36"/>
    </row>
    <row r="407" spans="6:40" ht="15" customHeight="1" outlineLevel="1">
      <c r="F407" s="52"/>
      <c r="G407" s="1613" t="s">
        <v>134</v>
      </c>
      <c r="H407" s="842"/>
      <c r="I407" s="842"/>
      <c r="J407" s="842"/>
      <c r="K407" s="842"/>
      <c r="L407" s="842"/>
      <c r="M407" s="842"/>
      <c r="N407" s="842"/>
      <c r="O407" s="842"/>
      <c r="P407" s="842"/>
      <c r="Q407" s="842"/>
      <c r="R407" s="1650"/>
      <c r="S407" s="1650"/>
      <c r="T407" s="842"/>
      <c r="U407" s="1650"/>
      <c r="V407" s="1650"/>
      <c r="W407" s="842"/>
      <c r="X407" s="1470"/>
      <c r="Y407" s="36"/>
      <c r="Z407" s="36"/>
      <c r="AA407" s="36"/>
      <c r="AB407" s="36"/>
      <c r="AC407" s="36"/>
      <c r="AD407" s="36"/>
      <c r="AE407" s="36"/>
      <c r="AF407" s="36"/>
      <c r="AG407" s="36"/>
      <c r="AH407" s="36"/>
      <c r="AI407" s="36"/>
      <c r="AJ407" s="36"/>
      <c r="AK407" s="242"/>
      <c r="AL407" s="36"/>
      <c r="AM407" s="36"/>
      <c r="AN407" s="36"/>
    </row>
    <row r="408" spans="6:40" ht="15" customHeight="1" outlineLevel="1">
      <c r="F408" s="52"/>
      <c r="G408" s="51" t="s">
        <v>206</v>
      </c>
      <c r="H408" s="836"/>
      <c r="I408" s="836"/>
      <c r="J408" s="836"/>
      <c r="K408" s="836">
        <f ca="1">IFERROR(K397*INDIRECT("'"&amp;$H$3&amp;"'!K$261"),0)</f>
        <v>0</v>
      </c>
      <c r="L408" s="836"/>
      <c r="M408" s="836"/>
      <c r="N408" s="836">
        <f ca="1">IFERROR(N397*INDIRECT("'"&amp;$H$3&amp;"'!N$261"),0)</f>
        <v>0</v>
      </c>
      <c r="O408" s="836"/>
      <c r="P408" s="836"/>
      <c r="Q408" s="836">
        <f ca="1">IFERROR(Q397*INDIRECT("'"&amp;$H$3&amp;"'!Q$261"),0)</f>
        <v>0</v>
      </c>
      <c r="R408" s="836"/>
      <c r="S408" s="836"/>
      <c r="T408" s="836">
        <f ca="1">IFERROR(T397*INDIRECT("'"&amp;$H$3&amp;"'!T$261"),0)</f>
        <v>0</v>
      </c>
      <c r="U408" s="836"/>
      <c r="V408" s="836"/>
      <c r="W408" s="836">
        <f ca="1">IFERROR(W397*INDIRECT("'"&amp;$H$3&amp;"'!W$261"),0)</f>
        <v>0</v>
      </c>
      <c r="X408" s="1469"/>
      <c r="Y408" s="36"/>
      <c r="Z408" s="36"/>
      <c r="AA408" s="36"/>
      <c r="AB408" s="36" t="s">
        <v>192</v>
      </c>
      <c r="AC408" s="36"/>
      <c r="AD408" s="36" t="s">
        <v>193</v>
      </c>
      <c r="AE408" s="36"/>
      <c r="AF408" s="36"/>
      <c r="AG408" s="36"/>
      <c r="AH408" s="36"/>
      <c r="AI408" s="36"/>
      <c r="AJ408" s="36"/>
      <c r="AK408" s="36"/>
      <c r="AL408" s="36"/>
      <c r="AM408" s="36"/>
      <c r="AN408" s="36"/>
    </row>
    <row r="409" spans="6:40" ht="15" customHeight="1" outlineLevel="1">
      <c r="F409" s="52"/>
      <c r="G409" s="51" t="s">
        <v>87</v>
      </c>
      <c r="H409" s="836"/>
      <c r="I409" s="836"/>
      <c r="J409" s="836"/>
      <c r="K409" s="836">
        <f ca="1">IFERROR(IF(K397=0,0,2*INDIRECT("'"&amp;$H$3&amp;"'!K$98")),0)</f>
        <v>0</v>
      </c>
      <c r="L409" s="836"/>
      <c r="M409" s="836"/>
      <c r="N409" s="836">
        <f ca="1">IFERROR(IF(N397=0,0,2*INDIRECT("'"&amp;$H$3&amp;"'!N$98")),0)</f>
        <v>0</v>
      </c>
      <c r="O409" s="836"/>
      <c r="P409" s="836"/>
      <c r="Q409" s="836">
        <f ca="1">IFERROR(IF(Q397=0,0,2*INDIRECT("'"&amp;$H$3&amp;"'!Q$98")),0)</f>
        <v>0</v>
      </c>
      <c r="R409" s="836"/>
      <c r="S409" s="836"/>
      <c r="T409" s="836">
        <f ca="1">IFERROR(IF(T397=0,0,2*INDIRECT("'"&amp;$H$3&amp;"'!T$98")),0)</f>
        <v>0</v>
      </c>
      <c r="U409" s="836"/>
      <c r="V409" s="836"/>
      <c r="W409" s="836">
        <f ca="1">IFERROR(IF(W397=0,0,2*INDIRECT("'"&amp;$H$3&amp;"'!W$98")),0)</f>
        <v>0</v>
      </c>
      <c r="X409" s="1469"/>
      <c r="Y409" s="36"/>
      <c r="Z409" s="36"/>
      <c r="AA409" s="36"/>
      <c r="AB409" s="36" t="s">
        <v>194</v>
      </c>
      <c r="AC409" s="36"/>
      <c r="AD409" s="36" t="s">
        <v>195</v>
      </c>
      <c r="AE409" s="36"/>
      <c r="AF409" s="36"/>
      <c r="AG409" s="36"/>
      <c r="AH409" s="36"/>
      <c r="AI409" s="36"/>
      <c r="AJ409" s="36"/>
      <c r="AK409" s="36"/>
      <c r="AL409" s="36"/>
      <c r="AM409" s="36"/>
      <c r="AN409" s="36"/>
    </row>
    <row r="410" spans="6:40" ht="15" customHeight="1" outlineLevel="1">
      <c r="F410" s="52"/>
      <c r="G410" s="51" t="s">
        <v>204</v>
      </c>
      <c r="H410" s="837"/>
      <c r="I410" s="837"/>
      <c r="J410" s="837"/>
      <c r="K410" s="837">
        <f ca="1">IFERROR((INDIRECT("'"&amp;$H$3&amp;"'!$H$10")*INDIRECT("'"&amp;$H$3&amp;"'!$H$9")*INDIRECT("'"&amp;$H$3&amp;"'!K288"))/((K409/INDIRECT("'"&amp;$H$3&amp;"'!K301"))+((1/60)*(INDIRECT("'"&amp;$H$3&amp;"'!K297")+INDIRECT("'"&amp;$H$3&amp;"'!$H$19")*(INDIRECT("'"&amp;$H$3&amp;"'!K298")+(INDIRECT("'"&amp;$H$3&amp;"'!K299")*('3_Outputs'!K$52/INDIRECT("'"&amp;$H$3&amp;"'!K$261")/INDIRECT("'"&amp;$H$3&amp;"'!$H$19"))))))),0)</f>
        <v>0</v>
      </c>
      <c r="L410" s="837"/>
      <c r="M410" s="837"/>
      <c r="N410" s="837">
        <f ca="1">IFERROR((INDIRECT("'"&amp;$H$3&amp;"'!$H$10")*INDIRECT("'"&amp;$H$3&amp;"'!$H$9")*INDIRECT("'"&amp;$H$3&amp;"'!N288"))/((N409/INDIRECT("'"&amp;$H$3&amp;"'!N301"))+((1/60)*(INDIRECT("'"&amp;$H$3&amp;"'!N297")+INDIRECT("'"&amp;$H$3&amp;"'!$H$19")*(INDIRECT("'"&amp;$H$3&amp;"'!N298")+(INDIRECT("'"&amp;$H$3&amp;"'!N299")*('3_Outputs'!N$52/INDIRECT("'"&amp;$H$3&amp;"'!N$261")/INDIRECT("'"&amp;$H$3&amp;"'!$H$19"))))))),0)</f>
        <v>0</v>
      </c>
      <c r="O410" s="837"/>
      <c r="P410" s="837"/>
      <c r="Q410" s="837">
        <f ca="1">IFERROR((INDIRECT("'"&amp;$H$3&amp;"'!$H$10")*INDIRECT("'"&amp;$H$3&amp;"'!$H$9")*INDIRECT("'"&amp;$H$3&amp;"'!Q288"))/((Q409/INDIRECT("'"&amp;$H$3&amp;"'!Q301"))+((1/60)*(INDIRECT("'"&amp;$H$3&amp;"'!Q297")+INDIRECT("'"&amp;$H$3&amp;"'!$H$19")*(INDIRECT("'"&amp;$H$3&amp;"'!Q298")+(INDIRECT("'"&amp;$H$3&amp;"'!Q299")*('3_Outputs'!Q$52/INDIRECT("'"&amp;$H$3&amp;"'!Q$261")/INDIRECT("'"&amp;$H$3&amp;"'!$H$19"))))))),0)</f>
        <v>0</v>
      </c>
      <c r="R410" s="837"/>
      <c r="S410" s="837"/>
      <c r="T410" s="837">
        <f ca="1">IFERROR((INDIRECT("'"&amp;$H$3&amp;"'!$H$10")*INDIRECT("'"&amp;$H$3&amp;"'!$H$9")*INDIRECT("'"&amp;$H$3&amp;"'!T288"))/((T409/INDIRECT("'"&amp;$H$3&amp;"'!T301"))+((1/60)*(INDIRECT("'"&amp;$H$3&amp;"'!T297")+INDIRECT("'"&amp;$H$3&amp;"'!$H$19")*(INDIRECT("'"&amp;$H$3&amp;"'!T298")+(INDIRECT("'"&amp;$H$3&amp;"'!T299")*('3_Outputs'!T$52/INDIRECT("'"&amp;$H$3&amp;"'!T$261")/INDIRECT("'"&amp;$H$3&amp;"'!$H$19"))))))),0)</f>
        <v>0</v>
      </c>
      <c r="U410" s="837"/>
      <c r="V410" s="837"/>
      <c r="W410" s="837">
        <f ca="1">IFERROR((INDIRECT("'"&amp;$H$3&amp;"'!$H$10")*INDIRECT("'"&amp;$H$3&amp;"'!$H$9")*INDIRECT("'"&amp;$H$3&amp;"'!W288"))/((W409/INDIRECT("'"&amp;$H$3&amp;"'!W301"))+((1/60)*(INDIRECT("'"&amp;$H$3&amp;"'!W297")+INDIRECT("'"&amp;$H$3&amp;"'!$H$19")*(INDIRECT("'"&amp;$H$3&amp;"'!W298")+(INDIRECT("'"&amp;$H$3&amp;"'!W299")*('3_Outputs'!W$52/INDIRECT("'"&amp;$H$3&amp;"'!W$261")/INDIRECT("'"&amp;$H$3&amp;"'!$H$19"))))))),0)</f>
        <v>0</v>
      </c>
      <c r="X410" s="1468"/>
      <c r="Y410" s="36"/>
      <c r="Z410" s="36"/>
      <c r="AA410" s="36"/>
      <c r="AB410" s="36" t="s">
        <v>196</v>
      </c>
      <c r="AC410" s="36"/>
      <c r="AD410" s="36" t="s">
        <v>197</v>
      </c>
      <c r="AE410" s="36"/>
      <c r="AF410" s="36"/>
      <c r="AG410" s="36"/>
      <c r="AH410" s="36"/>
      <c r="AI410" s="36"/>
      <c r="AJ410" s="36"/>
      <c r="AK410" s="36"/>
      <c r="AL410" s="36"/>
      <c r="AM410" s="36"/>
      <c r="AN410" s="36"/>
    </row>
    <row r="411" spans="6:40" ht="48" customHeight="1">
      <c r="F411" s="1678" t="s">
        <v>214</v>
      </c>
      <c r="G411" s="1679"/>
      <c r="H411" s="1684"/>
      <c r="I411" s="1684"/>
      <c r="J411" s="1684"/>
      <c r="K411" s="1509" t="str">
        <f ca="1">IF($H$9&gt;=2,INDIRECT("'"&amp;$H$3&amp;"'!J$130"),"")</f>
        <v>CMS  to  Regional WH</v>
      </c>
      <c r="L411" s="1509" t="str">
        <f t="shared" ref="L411:V411" ca="1" si="23">IF($H$9&gt;=1,"Tier 1","")</f>
        <v>Tier 1</v>
      </c>
      <c r="M411" s="1509" t="str">
        <f t="shared" ca="1" si="23"/>
        <v>Tier 1</v>
      </c>
      <c r="N411" s="1509" t="str">
        <f ca="1">IF($H$9&gt;=3,INDIRECT("'"&amp;$H$3&amp;"'!M$130"),"")</f>
        <v>Regional WH  to  Health Facility</v>
      </c>
      <c r="O411" s="1509" t="str">
        <f t="shared" ca="1" si="23"/>
        <v>Tier 1</v>
      </c>
      <c r="P411" s="1509" t="str">
        <f t="shared" ca="1" si="23"/>
        <v>Tier 1</v>
      </c>
      <c r="Q411" s="1510" t="str">
        <f ca="1">IF($H$9&gt;=4,INDIRECT("'"&amp;$H$3&amp;"'!P$130"),"")</f>
        <v/>
      </c>
      <c r="R411" s="1511" t="str">
        <f t="shared" ca="1" si="23"/>
        <v>Tier 1</v>
      </c>
      <c r="S411" s="1511" t="str">
        <f t="shared" ca="1" si="23"/>
        <v>Tier 1</v>
      </c>
      <c r="T411" s="1510" t="str">
        <f ca="1">IF($H$9&gt;=5,INDIRECT("'"&amp;$H$3&amp;"'!S$130"),"")</f>
        <v/>
      </c>
      <c r="U411" s="1512" t="str">
        <f t="shared" ca="1" si="23"/>
        <v>Tier 1</v>
      </c>
      <c r="V411" s="1512" t="str">
        <f t="shared" ca="1" si="23"/>
        <v>Tier 1</v>
      </c>
      <c r="W411" s="1510" t="str">
        <f ca="1">IF($H$9&gt;=6,INDIRECT("'"&amp;$H$3&amp;"'!V$130"),"")</f>
        <v/>
      </c>
      <c r="X411" s="1474"/>
      <c r="Y411" s="36"/>
      <c r="Z411" s="36"/>
      <c r="AA411" s="36"/>
      <c r="AB411" s="36"/>
      <c r="AC411" s="36"/>
      <c r="AD411" s="36"/>
      <c r="AE411" s="36"/>
      <c r="AF411" s="36"/>
      <c r="AG411" s="36"/>
      <c r="AH411" s="36"/>
      <c r="AI411" s="36"/>
      <c r="AJ411" s="36"/>
      <c r="AK411" s="36"/>
      <c r="AL411" s="36"/>
      <c r="AM411" s="36"/>
      <c r="AN411" s="36"/>
    </row>
    <row r="412" spans="6:40" ht="15" customHeight="1" outlineLevel="1">
      <c r="F412" s="77" t="s">
        <v>149</v>
      </c>
      <c r="G412" s="77"/>
      <c r="H412" s="877"/>
      <c r="I412" s="877"/>
      <c r="J412" s="877"/>
      <c r="K412" s="877"/>
      <c r="L412" s="877"/>
      <c r="M412" s="877"/>
      <c r="N412" s="877"/>
      <c r="O412" s="878"/>
      <c r="P412" s="878"/>
      <c r="Q412" s="879"/>
      <c r="R412" s="835"/>
      <c r="S412" s="835"/>
      <c r="T412" s="879"/>
      <c r="U412" s="835"/>
      <c r="V412" s="835"/>
      <c r="W412" s="879"/>
      <c r="X412" s="1479"/>
      <c r="Y412" s="36"/>
      <c r="Z412" s="36"/>
      <c r="AA412" s="36"/>
      <c r="AB412" s="36"/>
      <c r="AC412" s="36"/>
      <c r="AD412" s="36"/>
      <c r="AE412" s="36"/>
      <c r="AF412" s="36"/>
      <c r="AG412" s="36"/>
      <c r="AH412" s="36"/>
      <c r="AI412" s="36"/>
      <c r="AJ412" s="36"/>
      <c r="AK412" s="242"/>
      <c r="AL412" s="36"/>
      <c r="AM412" s="36"/>
      <c r="AN412" s="36"/>
    </row>
    <row r="413" spans="6:40" ht="15" customHeight="1" outlineLevel="1">
      <c r="G413" s="6" t="s">
        <v>146</v>
      </c>
      <c r="H413" s="837"/>
      <c r="I413" s="837"/>
      <c r="J413" s="837"/>
      <c r="K413" s="837">
        <f ca="1">IFERROR(IF(COUNTIF(INDIRECT("'"&amp;$H$3&amp;"'!K304"),"Public Transport*")=1,IF(INDIRECT("'"&amp;$H$3&amp;"'!K312")="Route-based",K420*INDIRECT("'"&amp;$H$3&amp;"'!K$261"),IF(INDIRECT("'"&amp;$H$3&amp;"'!K312")="Point-to-point",K423*INDIRECT("'"&amp;$H$3&amp;"'!K$261"),0)),0),0)</f>
        <v>0</v>
      </c>
      <c r="L413" s="837"/>
      <c r="M413" s="837"/>
      <c r="N413" s="837">
        <f ca="1">IFERROR(IF(COUNTIF(INDIRECT("'"&amp;$H$3&amp;"'!N304"),"Public Transport*")=1,IF(INDIRECT("'"&amp;$H$3&amp;"'!N312")="Route-based",N420*INDIRECT("'"&amp;$H$3&amp;"'!N$261"),IF(INDIRECT("'"&amp;$H$3&amp;"'!N312")="Point-to-point",N423*INDIRECT("'"&amp;$H$3&amp;"'!N$261"),0)),0),0)</f>
        <v>0</v>
      </c>
      <c r="O413" s="837"/>
      <c r="P413" s="837"/>
      <c r="Q413" s="837">
        <f ca="1">IFERROR(IF(COUNTIF(INDIRECT("'"&amp;$H$3&amp;"'!Q304"),"Public Transport*")=1,IF(INDIRECT("'"&amp;$H$3&amp;"'!Q312")="Route-based",Q420*INDIRECT("'"&amp;$H$3&amp;"'!Q$261"),IF(INDIRECT("'"&amp;$H$3&amp;"'!Q312")="Point-to-point",Q423*INDIRECT("'"&amp;$H$3&amp;"'!Q$261"),0)),0),0)</f>
        <v>0</v>
      </c>
      <c r="R413" s="837"/>
      <c r="S413" s="837"/>
      <c r="T413" s="837">
        <f ca="1">IFERROR(IF(COUNTIF(INDIRECT("'"&amp;$H$3&amp;"'!T304"),"Public Transport*")=1,IF(INDIRECT("'"&amp;$H$3&amp;"'!T312")="Route-based",T420*INDIRECT("'"&amp;$H$3&amp;"'!T$261"),IF(INDIRECT("'"&amp;$H$3&amp;"'!T312")="Point-to-point",T423*INDIRECT("'"&amp;$H$3&amp;"'!T$261"),0)),0),0)</f>
        <v>0</v>
      </c>
      <c r="U413" s="837"/>
      <c r="V413" s="837"/>
      <c r="W413" s="837">
        <f ca="1">IFERROR(IF(COUNTIF(INDIRECT("'"&amp;$H$3&amp;"'!W304"),"Public Transport*")=1,IF(INDIRECT("'"&amp;$H$3&amp;"'!W312")="Route-based",W420*INDIRECT("'"&amp;$H$3&amp;"'!W$261"),IF(INDIRECT("'"&amp;$H$3&amp;"'!W312")="Point-to-point",W423*INDIRECT("'"&amp;$H$3&amp;"'!W$261"),0)),0),0)</f>
        <v>0</v>
      </c>
      <c r="X413" s="1468"/>
      <c r="Y413" s="36"/>
      <c r="Z413" s="36"/>
      <c r="AA413" s="36"/>
      <c r="AB413" s="36"/>
      <c r="AC413" s="36"/>
      <c r="AD413" s="36"/>
      <c r="AE413" s="36"/>
      <c r="AF413" s="36"/>
      <c r="AG413" s="36"/>
      <c r="AH413" s="36"/>
      <c r="AI413" s="36"/>
      <c r="AJ413" s="36"/>
      <c r="AK413" s="242"/>
      <c r="AL413" s="36"/>
      <c r="AM413" s="36"/>
      <c r="AN413" s="36"/>
    </row>
    <row r="414" spans="6:40" ht="15" customHeight="1" outlineLevel="1">
      <c r="G414" s="6" t="s">
        <v>147</v>
      </c>
      <c r="H414" s="837"/>
      <c r="I414" s="837"/>
      <c r="J414" s="837"/>
      <c r="K414" s="837">
        <f ca="1">IFERROR(IF(INDIRECT("'"&amp;$H$3&amp;"'!K312")="Route-based",K421*INDIRECT("'"&amp;$H$3&amp;"'!K$261"),IF(INDIRECT("'"&amp;$H$3&amp;"'!K312")="Point-to-point",K424*INDIRECT("'"&amp;$H$3&amp;"'!K$261"),0)),0)</f>
        <v>0</v>
      </c>
      <c r="L414" s="837"/>
      <c r="M414" s="837"/>
      <c r="N414" s="837">
        <f ca="1">IFERROR(IF(INDIRECT("'"&amp;$H$3&amp;"'!N312")="Route-based",N421*INDIRECT("'"&amp;$H$3&amp;"'!N$261"),IF(INDIRECT("'"&amp;$H$3&amp;"'!N312")="Point-to-point",N424*INDIRECT("'"&amp;$H$3&amp;"'!N$261"),0)),0)</f>
        <v>0</v>
      </c>
      <c r="O414" s="837"/>
      <c r="P414" s="837"/>
      <c r="Q414" s="837">
        <f ca="1">IFERROR(IF(INDIRECT("'"&amp;$H$3&amp;"'!Q312")="Route-based",Q421*INDIRECT("'"&amp;$H$3&amp;"'!Q$261"),IF(INDIRECT("'"&amp;$H$3&amp;"'!Q312")="Point-to-point",Q424*INDIRECT("'"&amp;$H$3&amp;"'!Q$261"),0)),0)</f>
        <v>0</v>
      </c>
      <c r="R414" s="837"/>
      <c r="S414" s="837"/>
      <c r="T414" s="837">
        <f ca="1">IFERROR(IF(INDIRECT("'"&amp;$H$3&amp;"'!T312")="Route-based",T421*INDIRECT("'"&amp;$H$3&amp;"'!T$261"),IF(INDIRECT("'"&amp;$H$3&amp;"'!T312")="Point-to-point",T424*INDIRECT("'"&amp;$H$3&amp;"'!T$261"),0)),0)</f>
        <v>0</v>
      </c>
      <c r="U414" s="837"/>
      <c r="V414" s="837"/>
      <c r="W414" s="837">
        <f ca="1">IFERROR(IF(INDIRECT("'"&amp;$H$3&amp;"'!W312")="Route-based",W421*INDIRECT("'"&amp;$H$3&amp;"'!W$261"),IF(INDIRECT("'"&amp;$H$3&amp;"'!W312")="Point-to-point",W424*INDIRECT("'"&amp;$H$3&amp;"'!W$261"),0)),0)</f>
        <v>0</v>
      </c>
      <c r="X414" s="1468"/>
      <c r="Y414" s="36"/>
      <c r="Z414" s="36"/>
      <c r="AA414" s="36"/>
      <c r="AB414" s="36"/>
      <c r="AC414" s="36"/>
      <c r="AD414" s="36"/>
      <c r="AE414" s="36"/>
      <c r="AF414" s="36"/>
      <c r="AG414" s="36"/>
      <c r="AH414" s="36"/>
      <c r="AI414" s="36"/>
      <c r="AJ414" s="36"/>
      <c r="AK414" s="242"/>
      <c r="AL414" s="36"/>
      <c r="AM414" s="36"/>
      <c r="AN414" s="36"/>
    </row>
    <row r="415" spans="6:40" ht="15" customHeight="1" outlineLevel="1">
      <c r="G415" s="6" t="s">
        <v>142</v>
      </c>
      <c r="H415" s="841"/>
      <c r="I415" s="841"/>
      <c r="J415" s="841"/>
      <c r="K415" s="841">
        <f ca="1">IFERROR(IF(COUNTIF(INDIRECT("'"&amp;$H$3&amp;"'!K304"),"Public Transport*")&gt;0,ROUND(INDIRECT("'"&amp;$H$3&amp;"'!K$95")*INDIRECT("'"&amp;$H$3&amp;"'!K303"),0),0),0)</f>
        <v>0</v>
      </c>
      <c r="L415" s="841"/>
      <c r="M415" s="841"/>
      <c r="N415" s="841">
        <f ca="1">IFERROR(IF(COUNTIF(INDIRECT("'"&amp;$H$3&amp;"'!N304"),"Public Transport*")&gt;0,ROUND(INDIRECT("'"&amp;$H$3&amp;"'!N$95")*INDIRECT("'"&amp;$H$3&amp;"'!N303"),0),0),0)</f>
        <v>0</v>
      </c>
      <c r="O415" s="841"/>
      <c r="P415" s="841"/>
      <c r="Q415" s="841">
        <f ca="1">IFERROR(IF(COUNTIF(INDIRECT("'"&amp;$H$3&amp;"'!Q304"),"Public Transport*")&gt;0,ROUND(INDIRECT("'"&amp;$H$3&amp;"'!Q$95")*INDIRECT("'"&amp;$H$3&amp;"'!Q303"),0),0),0)</f>
        <v>0</v>
      </c>
      <c r="R415" s="841"/>
      <c r="S415" s="841"/>
      <c r="T415" s="841">
        <f ca="1">IFERROR(IF(COUNTIF(INDIRECT("'"&amp;$H$3&amp;"'!T304"),"Public Transport*")&gt;0,ROUND(INDIRECT("'"&amp;$H$3&amp;"'!T$95")*INDIRECT("'"&amp;$H$3&amp;"'!T303"),0),0),0)</f>
        <v>0</v>
      </c>
      <c r="U415" s="841"/>
      <c r="V415" s="841"/>
      <c r="W415" s="841">
        <f ca="1">IFERROR(IF(COUNTIF(INDIRECT("'"&amp;$H$3&amp;"'!W304"),"Public Transport*")&gt;0,ROUND(INDIRECT("'"&amp;$H$3&amp;"'!W$95")*INDIRECT("'"&amp;$H$3&amp;"'!W303"),0),0),0)</f>
        <v>0</v>
      </c>
      <c r="X415" s="1466"/>
      <c r="Y415" s="36"/>
      <c r="Z415" s="36"/>
      <c r="AA415" s="36"/>
      <c r="AB415" s="36"/>
      <c r="AC415" s="36"/>
      <c r="AD415" s="36"/>
      <c r="AE415" s="36"/>
      <c r="AF415" s="36"/>
      <c r="AG415" s="36"/>
      <c r="AH415" s="36"/>
      <c r="AI415" s="36"/>
      <c r="AJ415" s="36"/>
      <c r="AK415" s="36"/>
      <c r="AL415" s="36"/>
      <c r="AM415" s="36"/>
      <c r="AN415" s="36"/>
    </row>
    <row r="416" spans="6:40" ht="15" customHeight="1" outlineLevel="1">
      <c r="G416" s="241" t="s">
        <v>150</v>
      </c>
      <c r="H416" s="842"/>
      <c r="I416" s="842"/>
      <c r="J416" s="842"/>
      <c r="K416" s="842"/>
      <c r="L416" s="842"/>
      <c r="M416" s="842"/>
      <c r="N416" s="842"/>
      <c r="O416" s="842"/>
      <c r="P416" s="842"/>
      <c r="Q416" s="842"/>
      <c r="R416" s="853"/>
      <c r="S416" s="853"/>
      <c r="T416" s="842"/>
      <c r="U416" s="853"/>
      <c r="V416" s="853"/>
      <c r="W416" s="842"/>
      <c r="X416" s="1470"/>
      <c r="Y416" s="36"/>
      <c r="Z416" s="36"/>
      <c r="AA416" s="36"/>
      <c r="AB416" s="36"/>
      <c r="AC416" s="36"/>
      <c r="AD416" s="36"/>
      <c r="AE416" s="36"/>
      <c r="AF416" s="36"/>
      <c r="AG416" s="36"/>
      <c r="AH416" s="36"/>
      <c r="AI416" s="36"/>
      <c r="AJ416" s="36"/>
      <c r="AK416" s="36"/>
      <c r="AL416" s="36"/>
      <c r="AM416" s="36"/>
      <c r="AN416" s="36"/>
    </row>
    <row r="417" spans="6:40" ht="15" customHeight="1" outlineLevel="1">
      <c r="G417" s="6" t="s">
        <v>140</v>
      </c>
      <c r="H417" s="836"/>
      <c r="I417" s="836"/>
      <c r="J417" s="836"/>
      <c r="K417" s="836">
        <f ca="1">IFERROR(ROUND(INDIRECT("'"&amp;$H$3&amp;"'!$H$10")/(((1/60)*(INDIRECT("'"&amp;$H$3&amp;"'!K317")+INDIRECT("'"&amp;$H$3&amp;"'!$H$19")*(INDIRECT("'"&amp;$H$3&amp;"'!K318")+(INDIRECT("'"&amp;$H$3&amp;"'!K319")*('3_Outputs'!K$52/INDIRECT("'"&amp;$H$3&amp;"'!K$261")/INDIRECT("'"&amp;$H$3&amp;"'!$H$19"))))))+INDEX(INDIRECT("'"&amp;$H$3&amp;"'!$H$43:$H$78"),MATCH(INDIRECT("'"&amp;$H$3&amp;"'!K304")&amp;"Average duration (hrs) per trip",INDIRECT("'"&amp;$H$3&amp;"'!$F$43:$F$78"),0))),1),0)</f>
        <v>0</v>
      </c>
      <c r="L417" s="836"/>
      <c r="M417" s="836"/>
      <c r="N417" s="836">
        <f ca="1">IFERROR(ROUND(INDIRECT("'"&amp;$H$3&amp;"'!$H$10")/(((1/60)*(INDIRECT("'"&amp;$H$3&amp;"'!N317")+INDIRECT("'"&amp;$H$3&amp;"'!$H$19")*(INDIRECT("'"&amp;$H$3&amp;"'!N318")+(INDIRECT("'"&amp;$H$3&amp;"'!N319")*('3_Outputs'!N$52/INDIRECT("'"&amp;$H$3&amp;"'!N$261")/INDIRECT("'"&amp;$H$3&amp;"'!$H$19"))))))+INDEX(INDIRECT("'"&amp;$H$3&amp;"'!$H$43:$H$78"),MATCH(INDIRECT("'"&amp;$H$3&amp;"'!N304")&amp;"Average duration (hrs) per trip",INDIRECT("'"&amp;$H$3&amp;"'!$F$43:$F$78"),0))),1),0)</f>
        <v>0</v>
      </c>
      <c r="O417" s="836"/>
      <c r="P417" s="836"/>
      <c r="Q417" s="836">
        <f ca="1">IFERROR(ROUND(INDIRECT("'"&amp;$H$3&amp;"'!$H$10")/(((1/60)*(INDIRECT("'"&amp;$H$3&amp;"'!Q317")+INDIRECT("'"&amp;$H$3&amp;"'!$H$19")*(INDIRECT("'"&amp;$H$3&amp;"'!Q318")+(INDIRECT("'"&amp;$H$3&amp;"'!Q319")*('3_Outputs'!Q$52/INDIRECT("'"&amp;$H$3&amp;"'!Q$261")/INDIRECT("'"&amp;$H$3&amp;"'!$H$19"))))))+INDEX(INDIRECT("'"&amp;$H$3&amp;"'!$H$43:$H$78"),MATCH(INDIRECT("'"&amp;$H$3&amp;"'!Q304")&amp;"Average duration (hrs) per trip",INDIRECT("'"&amp;$H$3&amp;"'!$F$43:$F$78"),0))),1),0)</f>
        <v>0</v>
      </c>
      <c r="R417" s="836"/>
      <c r="S417" s="836"/>
      <c r="T417" s="836">
        <f ca="1">IFERROR(ROUND(INDIRECT("'"&amp;$H$3&amp;"'!$H$10")/(((1/60)*(INDIRECT("'"&amp;$H$3&amp;"'!T317")+INDIRECT("'"&amp;$H$3&amp;"'!$H$19")*(INDIRECT("'"&amp;$H$3&amp;"'!T318")+(INDIRECT("'"&amp;$H$3&amp;"'!T319")*('3_Outputs'!T$52/INDIRECT("'"&amp;$H$3&amp;"'!T$261")/INDIRECT("'"&amp;$H$3&amp;"'!$H$19"))))))+INDEX(INDIRECT("'"&amp;$H$3&amp;"'!$H$43:$H$78"),MATCH(INDIRECT("'"&amp;$H$3&amp;"'!T304")&amp;"Average duration (hrs) per trip",INDIRECT("'"&amp;$H$3&amp;"'!$F$43:$F$78"),0))),1),0)</f>
        <v>0</v>
      </c>
      <c r="U417" s="836"/>
      <c r="V417" s="836"/>
      <c r="W417" s="836">
        <f ca="1">IFERROR(ROUND(INDIRECT("'"&amp;$H$3&amp;"'!$H$10")/(((1/60)*(INDIRECT("'"&amp;$H$3&amp;"'!W317")+INDIRECT("'"&amp;$H$3&amp;"'!$H$19")*(INDIRECT("'"&amp;$H$3&amp;"'!W318")+(INDIRECT("'"&amp;$H$3&amp;"'!W319")*('3_Outputs'!W$52/INDIRECT("'"&amp;$H$3&amp;"'!W$261")/INDIRECT("'"&amp;$H$3&amp;"'!$H$19"))))))+INDEX(INDIRECT("'"&amp;$H$3&amp;"'!$H$43:$H$78"),MATCH(INDIRECT("'"&amp;$H$3&amp;"'!W304")&amp;"Average duration (hrs) per trip",INDIRECT("'"&amp;$H$3&amp;"'!$F$43:$F$78"),0))),1),0)</f>
        <v>0</v>
      </c>
      <c r="X417" s="1469"/>
      <c r="Y417" s="36"/>
      <c r="Z417" s="36"/>
      <c r="AA417" s="36"/>
      <c r="AB417" s="36"/>
      <c r="AC417" s="36"/>
      <c r="AD417" s="36"/>
      <c r="AE417" s="36"/>
      <c r="AF417" s="36"/>
      <c r="AG417" s="36"/>
      <c r="AH417" s="36"/>
      <c r="AI417" s="36"/>
      <c r="AJ417" s="36"/>
      <c r="AK417" s="36"/>
      <c r="AL417" s="36"/>
      <c r="AM417" s="36"/>
      <c r="AN417" s="36"/>
    </row>
    <row r="418" spans="6:40" ht="15" customHeight="1" outlineLevel="1">
      <c r="G418" s="6" t="s">
        <v>141</v>
      </c>
      <c r="H418" s="836"/>
      <c r="I418" s="836"/>
      <c r="J418" s="836"/>
      <c r="K418" s="836">
        <f ca="1">IFERROR(ROUND(K417*INDIRECT("'"&amp;$H$3&amp;"'!K313"),0),0)</f>
        <v>0</v>
      </c>
      <c r="L418" s="836"/>
      <c r="M418" s="836"/>
      <c r="N418" s="836">
        <f ca="1">IFERROR(ROUND(N417*INDIRECT("'"&amp;$H$3&amp;"'!N313"),0),0)</f>
        <v>0</v>
      </c>
      <c r="O418" s="836"/>
      <c r="P418" s="836"/>
      <c r="Q418" s="836">
        <f ca="1">IFERROR(ROUND(Q417*INDIRECT("'"&amp;$H$3&amp;"'!Q313"),0),0)</f>
        <v>0</v>
      </c>
      <c r="R418" s="836"/>
      <c r="S418" s="836"/>
      <c r="T418" s="836">
        <f ca="1">IFERROR(ROUND(T417*INDIRECT("'"&amp;$H$3&amp;"'!T313"),0),0)</f>
        <v>0</v>
      </c>
      <c r="U418" s="836"/>
      <c r="V418" s="836"/>
      <c r="W418" s="836">
        <f ca="1">IFERROR(ROUND(W417*INDIRECT("'"&amp;$H$3&amp;"'!W313"),0),0)</f>
        <v>0</v>
      </c>
      <c r="X418" s="1469"/>
      <c r="Y418" s="36"/>
      <c r="Z418" s="36"/>
      <c r="AA418" s="36"/>
      <c r="AB418" s="36"/>
      <c r="AC418" s="36"/>
      <c r="AD418" s="36"/>
      <c r="AE418" s="36"/>
      <c r="AF418" s="36"/>
      <c r="AG418" s="36"/>
      <c r="AH418" s="36"/>
      <c r="AI418" s="36"/>
      <c r="AJ418" s="36"/>
      <c r="AK418" s="36"/>
      <c r="AL418" s="36"/>
      <c r="AM418" s="36"/>
      <c r="AN418" s="36"/>
    </row>
    <row r="419" spans="6:40" ht="15" customHeight="1" outlineLevel="1">
      <c r="G419" s="6" t="s">
        <v>143</v>
      </c>
      <c r="H419" s="836"/>
      <c r="I419" s="836"/>
      <c r="J419" s="836"/>
      <c r="K419" s="836">
        <f ca="1">IFERROR(ROUNDUP(K415/K418,0),0)</f>
        <v>0</v>
      </c>
      <c r="L419" s="836"/>
      <c r="M419" s="836"/>
      <c r="N419" s="836">
        <f ca="1">IFERROR(ROUNDUP(N415/N418,0),0)</f>
        <v>0</v>
      </c>
      <c r="O419" s="836"/>
      <c r="P419" s="836"/>
      <c r="Q419" s="836">
        <f ca="1">IFERROR(ROUNDUP(Q415/Q418,0),0)</f>
        <v>0</v>
      </c>
      <c r="R419" s="836"/>
      <c r="S419" s="836"/>
      <c r="T419" s="836">
        <f ca="1">IFERROR(ROUNDUP(T415/T418,0),0)</f>
        <v>0</v>
      </c>
      <c r="U419" s="836"/>
      <c r="V419" s="836"/>
      <c r="W419" s="836">
        <f ca="1">IFERROR(ROUNDUP(W415/W418,0),0)</f>
        <v>0</v>
      </c>
      <c r="X419" s="1469"/>
      <c r="Y419" s="36"/>
      <c r="Z419" s="36"/>
      <c r="AA419" s="36"/>
      <c r="AB419" s="36"/>
      <c r="AC419" s="36"/>
      <c r="AD419" s="36"/>
      <c r="AE419" s="36"/>
      <c r="AF419" s="36"/>
      <c r="AG419" s="36"/>
      <c r="AH419" s="36"/>
      <c r="AI419" s="36"/>
      <c r="AJ419" s="36"/>
      <c r="AK419" s="36"/>
      <c r="AL419" s="36"/>
      <c r="AM419" s="36"/>
      <c r="AN419" s="36"/>
    </row>
    <row r="420" spans="6:40" ht="15" customHeight="1" outlineLevel="1">
      <c r="G420" s="6" t="s">
        <v>144</v>
      </c>
      <c r="H420" s="836"/>
      <c r="I420" s="836"/>
      <c r="J420" s="836"/>
      <c r="K420" s="836">
        <f ca="1">IFERROR((K419*(K418+1)),0)</f>
        <v>0</v>
      </c>
      <c r="L420" s="836"/>
      <c r="M420" s="836"/>
      <c r="N420" s="836">
        <f ca="1">IFERROR((N419*(N418+1)),0)</f>
        <v>0</v>
      </c>
      <c r="O420" s="836"/>
      <c r="P420" s="836"/>
      <c r="Q420" s="836">
        <f ca="1">IFERROR((Q419*(Q418+1)),0)</f>
        <v>0</v>
      </c>
      <c r="R420" s="836"/>
      <c r="S420" s="836"/>
      <c r="T420" s="836">
        <f ca="1">IFERROR((T419*(T418+1)),0)</f>
        <v>0</v>
      </c>
      <c r="U420" s="836"/>
      <c r="V420" s="836"/>
      <c r="W420" s="836">
        <f ca="1">IFERROR((W419*(W418+1)),0)</f>
        <v>0</v>
      </c>
      <c r="X420" s="1469"/>
      <c r="Y420" s="36"/>
      <c r="Z420" s="36"/>
      <c r="AA420" s="36"/>
      <c r="AB420" s="36"/>
      <c r="AC420" s="36"/>
      <c r="AD420" s="36"/>
      <c r="AE420" s="36"/>
      <c r="AF420" s="36"/>
      <c r="AG420" s="36"/>
      <c r="AH420" s="36"/>
      <c r="AI420" s="36"/>
      <c r="AJ420" s="36"/>
      <c r="AK420" s="242"/>
      <c r="AL420" s="36"/>
      <c r="AM420" s="36"/>
      <c r="AN420" s="36"/>
    </row>
    <row r="421" spans="6:40" ht="15" customHeight="1" outlineLevel="1">
      <c r="G421" s="6" t="s">
        <v>145</v>
      </c>
      <c r="H421" s="836"/>
      <c r="I421" s="836"/>
      <c r="J421" s="836"/>
      <c r="K421" s="836">
        <f ca="1">IFERROR(ROUNDUP(((K420*INDEX(INDIRECT("'"&amp;$H$3&amp;"'!$H$43:$H$78"),MATCH(INDIRECT("'"&amp;$H$3&amp;"'!K304")&amp;"Average duration (hrs) per trip",INDIRECT("'"&amp;$H$3&amp;"'!$F$43:$F$78"),0)))+(K415*((1/60)*(INDIRECT("'"&amp;$H$3&amp;"'!K317")+INDIRECT("'"&amp;$H$3&amp;"'!$H$19")*(INDIRECT("'"&amp;$H$3&amp;"'!K318")+(INDIRECT("'"&amp;$H$3&amp;"'!K319")*('3_Outputs'!K$52/INDIRECT("'"&amp;$H$3&amp;"'!K$261")/INDIRECT("'"&amp;$H$3&amp;"'!$H$19"))))))))/INDIRECT("'"&amp;$H$3&amp;"'!$H$10"),0),0)</f>
        <v>0</v>
      </c>
      <c r="L421" s="836"/>
      <c r="M421" s="836"/>
      <c r="N421" s="836">
        <f ca="1">IFERROR(ROUNDUP(((N420*INDEX(INDIRECT("'"&amp;$H$3&amp;"'!$H$43:$H$78"),MATCH(INDIRECT("'"&amp;$H$3&amp;"'!N304")&amp;"Average duration (hrs) per trip",INDIRECT("'"&amp;$H$3&amp;"'!$F$43:$F$78"),0)))+(N415*((1/60)*(INDIRECT("'"&amp;$H$3&amp;"'!N317")+INDIRECT("'"&amp;$H$3&amp;"'!$H$19")*(INDIRECT("'"&amp;$H$3&amp;"'!N318")+(INDIRECT("'"&amp;$H$3&amp;"'!N319")*('3_Outputs'!N$52/INDIRECT("'"&amp;$H$3&amp;"'!N$261")/INDIRECT("'"&amp;$H$3&amp;"'!$H$19"))))))))/INDIRECT("'"&amp;$H$3&amp;"'!$H$10"),0),0)</f>
        <v>0</v>
      </c>
      <c r="O421" s="836"/>
      <c r="P421" s="836"/>
      <c r="Q421" s="836">
        <f ca="1">IFERROR(ROUNDUP(((Q420*INDEX(INDIRECT("'"&amp;$H$3&amp;"'!$H$43:$H$78"),MATCH(INDIRECT("'"&amp;$H$3&amp;"'!Q304")&amp;"Average duration (hrs) per trip",INDIRECT("'"&amp;$H$3&amp;"'!$F$43:$F$78"),0)))+(Q415*((1/60)*(INDIRECT("'"&amp;$H$3&amp;"'!Q317")+INDIRECT("'"&amp;$H$3&amp;"'!$H$19")*(INDIRECT("'"&amp;$H$3&amp;"'!Q318")+(INDIRECT("'"&amp;$H$3&amp;"'!Q319")*('3_Outputs'!Q$52/INDIRECT("'"&amp;$H$3&amp;"'!Q$261")/INDIRECT("'"&amp;$H$3&amp;"'!$H$19"))))))))/INDIRECT("'"&amp;$H$3&amp;"'!$H$10"),0),0)</f>
        <v>0</v>
      </c>
      <c r="R421" s="836"/>
      <c r="S421" s="836"/>
      <c r="T421" s="836">
        <f ca="1">IFERROR(ROUNDUP(((T420*INDEX(INDIRECT("'"&amp;$H$3&amp;"'!$H$43:$H$78"),MATCH(INDIRECT("'"&amp;$H$3&amp;"'!T304")&amp;"Average duration (hrs) per trip",INDIRECT("'"&amp;$H$3&amp;"'!$F$43:$F$78"),0)))+(T415*((1/60)*(INDIRECT("'"&amp;$H$3&amp;"'!T317")+INDIRECT("'"&amp;$H$3&amp;"'!$H$19")*(INDIRECT("'"&amp;$H$3&amp;"'!T318")+(INDIRECT("'"&amp;$H$3&amp;"'!T319")*('3_Outputs'!T$52/INDIRECT("'"&amp;$H$3&amp;"'!T$261")/INDIRECT("'"&amp;$H$3&amp;"'!$H$19"))))))))/INDIRECT("'"&amp;$H$3&amp;"'!$H$10"),0),0)</f>
        <v>0</v>
      </c>
      <c r="U421" s="836"/>
      <c r="V421" s="836"/>
      <c r="W421" s="836">
        <f ca="1">IFERROR(ROUNDUP(((W420*INDEX(INDIRECT("'"&amp;$H$3&amp;"'!$H$43:$H$78"),MATCH(INDIRECT("'"&amp;$H$3&amp;"'!W304")&amp;"Average duration (hrs) per trip",INDIRECT("'"&amp;$H$3&amp;"'!$F$43:$F$78"),0)))+(W415*((1/60)*(INDIRECT("'"&amp;$H$3&amp;"'!W317")+INDIRECT("'"&amp;$H$3&amp;"'!$H$19")*(INDIRECT("'"&amp;$H$3&amp;"'!W318")+(INDIRECT("'"&amp;$H$3&amp;"'!W319")*('3_Outputs'!W$52/INDIRECT("'"&amp;$H$3&amp;"'!W$261")/INDIRECT("'"&amp;$H$3&amp;"'!$H$19"))))))))/INDIRECT("'"&amp;$H$3&amp;"'!$H$10"),0),0)</f>
        <v>0</v>
      </c>
      <c r="X421" s="1469"/>
      <c r="Y421" s="36"/>
      <c r="Z421" s="36"/>
      <c r="AA421" s="36"/>
      <c r="AB421" s="36"/>
      <c r="AC421" s="36"/>
      <c r="AD421" s="36"/>
      <c r="AE421" s="36"/>
      <c r="AF421" s="36"/>
      <c r="AG421" s="36"/>
      <c r="AH421" s="36"/>
      <c r="AI421" s="36"/>
      <c r="AJ421" s="36"/>
      <c r="AK421" s="242"/>
      <c r="AL421" s="36"/>
      <c r="AM421" s="36"/>
      <c r="AN421" s="36"/>
    </row>
    <row r="422" spans="6:40" ht="15" customHeight="1" outlineLevel="1">
      <c r="G422" s="241" t="s">
        <v>841</v>
      </c>
      <c r="H422" s="842"/>
      <c r="I422" s="842"/>
      <c r="J422" s="842"/>
      <c r="K422" s="842"/>
      <c r="L422" s="842"/>
      <c r="M422" s="842"/>
      <c r="N422" s="842"/>
      <c r="O422" s="842"/>
      <c r="P422" s="842"/>
      <c r="Q422" s="842"/>
      <c r="R422" s="853"/>
      <c r="S422" s="853"/>
      <c r="T422" s="842"/>
      <c r="U422" s="853"/>
      <c r="V422" s="853"/>
      <c r="W422" s="842"/>
      <c r="X422" s="1470"/>
      <c r="Y422" s="36"/>
      <c r="Z422" s="36"/>
      <c r="AA422" s="36"/>
      <c r="AB422" s="36"/>
      <c r="AC422" s="36"/>
      <c r="AD422" s="36"/>
      <c r="AE422" s="36"/>
      <c r="AF422" s="36"/>
      <c r="AG422" s="36"/>
      <c r="AH422" s="36"/>
      <c r="AI422" s="36"/>
      <c r="AJ422" s="36"/>
      <c r="AK422" s="242"/>
      <c r="AL422" s="36"/>
      <c r="AM422" s="36"/>
      <c r="AN422" s="36"/>
    </row>
    <row r="423" spans="6:40" ht="15" customHeight="1" outlineLevel="1">
      <c r="G423" s="6" t="s">
        <v>144</v>
      </c>
      <c r="H423" s="836"/>
      <c r="I423" s="836"/>
      <c r="J423" s="836"/>
      <c r="K423" s="836">
        <f ca="1">IFERROR(K415*2,0)</f>
        <v>0</v>
      </c>
      <c r="L423" s="836"/>
      <c r="M423" s="836"/>
      <c r="N423" s="836">
        <f ca="1">IFERROR(N415*2,0)</f>
        <v>0</v>
      </c>
      <c r="O423" s="836"/>
      <c r="P423" s="836"/>
      <c r="Q423" s="836">
        <f ca="1">IFERROR(Q415*2,0)</f>
        <v>0</v>
      </c>
      <c r="R423" s="836"/>
      <c r="S423" s="836"/>
      <c r="T423" s="836">
        <f ca="1">IFERROR(T415*2,0)</f>
        <v>0</v>
      </c>
      <c r="U423" s="836"/>
      <c r="V423" s="836"/>
      <c r="W423" s="836">
        <f ca="1">IFERROR(W415*2,0)</f>
        <v>0</v>
      </c>
      <c r="X423" s="1469"/>
      <c r="Y423" s="36"/>
      <c r="Z423" s="36"/>
      <c r="AA423" s="36"/>
      <c r="AB423" s="36"/>
      <c r="AC423" s="36"/>
      <c r="AD423" s="36"/>
      <c r="AE423" s="36"/>
      <c r="AF423" s="36"/>
      <c r="AG423" s="36"/>
      <c r="AH423" s="36"/>
      <c r="AI423" s="36"/>
      <c r="AJ423" s="36"/>
      <c r="AK423" s="36"/>
      <c r="AL423" s="36"/>
      <c r="AM423" s="36"/>
      <c r="AN423" s="36"/>
    </row>
    <row r="424" spans="6:40" ht="15" customHeight="1" outlineLevel="1">
      <c r="G424" s="6" t="s">
        <v>145</v>
      </c>
      <c r="H424" s="837"/>
      <c r="I424" s="837"/>
      <c r="J424" s="837"/>
      <c r="K424" s="837">
        <f ca="1">IFERROR(MAX(K415,ROUNDUP(((K423*INDEX(INDIRECT("'"&amp;$H$3&amp;"'!$H$43:$H$78"),MATCH(INDIRECT("'"&amp;$H$3&amp;"'!K304")&amp;"Average duration (hrs) per trip",INDIRECT("'"&amp;$H$3&amp;"'!$F$43:$F$78"),0)))+(K415*((1/60)*(INDIRECT("'"&amp;$H$3&amp;"'!K317")+INDIRECT("'"&amp;$H$3&amp;"'!$H$19")*(INDIRECT("'"&amp;$H$3&amp;"'!K318")+(INDIRECT("'"&amp;$H$3&amp;"'!K319")*('3_Outputs'!K$52/INDIRECT("'"&amp;$H$3&amp;"'!K$261")/INDIRECT("'"&amp;$H$3&amp;"'!$H$19"))))))))/INDIRECT("'"&amp;$H$3&amp;"'!$H$10"),0)),0)</f>
        <v>0</v>
      </c>
      <c r="L424" s="837"/>
      <c r="M424" s="837"/>
      <c r="N424" s="837">
        <f ca="1">IFERROR(MAX(N415,ROUNDUP(((N423*INDEX(INDIRECT("'"&amp;$H$3&amp;"'!$H$43:$H$78"),MATCH(INDIRECT("'"&amp;$H$3&amp;"'!N304")&amp;"Average duration (hrs) per trip",INDIRECT("'"&amp;$H$3&amp;"'!$F$43:$F$78"),0)))+(N415*((1/60)*(INDIRECT("'"&amp;$H$3&amp;"'!N317")+INDIRECT("'"&amp;$H$3&amp;"'!$H$19")*(INDIRECT("'"&amp;$H$3&amp;"'!N318")+(INDIRECT("'"&amp;$H$3&amp;"'!N319")*('3_Outputs'!N$52/INDIRECT("'"&amp;$H$3&amp;"'!N$261")/INDIRECT("'"&amp;$H$3&amp;"'!$H$19"))))))))/INDIRECT("'"&amp;$H$3&amp;"'!$H$10"),0)),0)</f>
        <v>0</v>
      </c>
      <c r="O424" s="837"/>
      <c r="P424" s="837"/>
      <c r="Q424" s="837">
        <f ca="1">IFERROR(MAX(Q415,ROUNDUP(((Q423*INDEX(INDIRECT("'"&amp;$H$3&amp;"'!$H$43:$H$78"),MATCH(INDIRECT("'"&amp;$H$3&amp;"'!Q304")&amp;"Average duration (hrs) per trip",INDIRECT("'"&amp;$H$3&amp;"'!$F$43:$F$78"),0)))+(Q415*((1/60)*(INDIRECT("'"&amp;$H$3&amp;"'!Q317")+INDIRECT("'"&amp;$H$3&amp;"'!$H$19")*(INDIRECT("'"&amp;$H$3&amp;"'!Q318")+(INDIRECT("'"&amp;$H$3&amp;"'!Q319")*('3_Outputs'!Q$52/INDIRECT("'"&amp;$H$3&amp;"'!Q$261")/INDIRECT("'"&amp;$H$3&amp;"'!$H$19"))))))))/INDIRECT("'"&amp;$H$3&amp;"'!$H$10"),0)),0)</f>
        <v>0</v>
      </c>
      <c r="R424" s="837"/>
      <c r="S424" s="837"/>
      <c r="T424" s="837">
        <f ca="1">IFERROR(MAX(T415,ROUNDUP(((T423*INDEX(INDIRECT("'"&amp;$H$3&amp;"'!$H$43:$H$78"),MATCH(INDIRECT("'"&amp;$H$3&amp;"'!T304")&amp;"Average duration (hrs) per trip",INDIRECT("'"&amp;$H$3&amp;"'!$F$43:$F$78"),0)))+(T415*((1/60)*(INDIRECT("'"&amp;$H$3&amp;"'!T317")+INDIRECT("'"&amp;$H$3&amp;"'!$H$19")*(INDIRECT("'"&amp;$H$3&amp;"'!T318")+(INDIRECT("'"&amp;$H$3&amp;"'!T319")*('3_Outputs'!T$52/INDIRECT("'"&amp;$H$3&amp;"'!T$261")/INDIRECT("'"&amp;$H$3&amp;"'!$H$19"))))))))/INDIRECT("'"&amp;$H$3&amp;"'!$H$10"),0)),0)</f>
        <v>0</v>
      </c>
      <c r="U424" s="837"/>
      <c r="V424" s="837"/>
      <c r="W424" s="837">
        <f ca="1">IFERROR(MAX(W415,ROUNDUP(((W423*INDEX(INDIRECT("'"&amp;$H$3&amp;"'!$H$43:$H$78"),MATCH(INDIRECT("'"&amp;$H$3&amp;"'!W304")&amp;"Average duration (hrs) per trip",INDIRECT("'"&amp;$H$3&amp;"'!$F$43:$F$78"),0)))+(W415*((1/60)*(INDIRECT("'"&amp;$H$3&amp;"'!W317")+INDIRECT("'"&amp;$H$3&amp;"'!$H$19")*(INDIRECT("'"&amp;$H$3&amp;"'!W318")+(INDIRECT("'"&amp;$H$3&amp;"'!W319")*('3_Outputs'!W$52/INDIRECT("'"&amp;$H$3&amp;"'!W$261")/INDIRECT("'"&amp;$H$3&amp;"'!$H$19"))))))))/INDIRECT("'"&amp;$H$3&amp;"'!$H$10"),0)),0)</f>
        <v>0</v>
      </c>
      <c r="X424" s="1468"/>
      <c r="Y424" s="36"/>
      <c r="Z424" s="36"/>
      <c r="AA424" s="36"/>
      <c r="AB424" s="36"/>
      <c r="AC424" s="36"/>
      <c r="AD424" s="36"/>
      <c r="AE424" s="36"/>
      <c r="AF424" s="36"/>
      <c r="AG424" s="36"/>
      <c r="AH424" s="36"/>
      <c r="AI424" s="36"/>
      <c r="AJ424" s="36"/>
      <c r="AK424" s="36"/>
      <c r="AL424" s="36"/>
      <c r="AM424" s="36"/>
      <c r="AN424" s="36"/>
    </row>
    <row r="425" spans="6:40" ht="15" customHeight="1" outlineLevel="1">
      <c r="F425" s="77" t="s">
        <v>148</v>
      </c>
      <c r="G425" s="845"/>
      <c r="H425" s="851"/>
      <c r="I425" s="851"/>
      <c r="J425" s="851"/>
      <c r="K425" s="851"/>
      <c r="L425" s="851"/>
      <c r="M425" s="851"/>
      <c r="N425" s="851"/>
      <c r="O425" s="851"/>
      <c r="P425" s="851"/>
      <c r="Q425" s="851"/>
      <c r="R425" s="846"/>
      <c r="S425" s="846"/>
      <c r="T425" s="851"/>
      <c r="U425" s="846"/>
      <c r="V425" s="846"/>
      <c r="W425" s="851"/>
      <c r="X425" s="1471"/>
      <c r="Y425" s="36"/>
      <c r="Z425" s="36"/>
      <c r="AA425" s="36"/>
      <c r="AB425" s="36"/>
      <c r="AC425" s="36"/>
      <c r="AD425" s="36"/>
      <c r="AE425" s="36"/>
      <c r="AF425" s="36"/>
      <c r="AG425" s="36"/>
      <c r="AH425" s="36"/>
      <c r="AI425" s="36"/>
      <c r="AJ425" s="36"/>
      <c r="AK425" s="242"/>
      <c r="AL425" s="36"/>
      <c r="AM425" s="36"/>
      <c r="AN425" s="36"/>
    </row>
    <row r="426" spans="6:40" ht="15" customHeight="1" outlineLevel="1">
      <c r="F426" s="1"/>
      <c r="G426" s="6" t="s">
        <v>151</v>
      </c>
      <c r="H426" s="836"/>
      <c r="I426" s="836"/>
      <c r="J426" s="836"/>
      <c r="K426" s="836">
        <f ca="1">IFERROR(IF(COUNTIF(INDIRECT("'"&amp;$H$3&amp;"'!K304"),"Public Transport*")&lt;1,ROUND(INDIRECT("'"&amp;$H$3&amp;"'!K$95")*INDIRECT("'"&amp;$H$3&amp;"'!K303"),0),0),0)</f>
        <v>0</v>
      </c>
      <c r="L426" s="836"/>
      <c r="M426" s="836"/>
      <c r="N426" s="836">
        <f ca="1">IFERROR(IF(COUNTIF(INDIRECT("'"&amp;$H$3&amp;"'!N304"),"Public Transport*")&lt;1,ROUND(INDIRECT("'"&amp;$H$3&amp;"'!N$95")*INDIRECT("'"&amp;$H$3&amp;"'!N303"),0),0),0)</f>
        <v>0</v>
      </c>
      <c r="O426" s="836"/>
      <c r="P426" s="836"/>
      <c r="Q426" s="836">
        <f ca="1">IFERROR(IF(COUNTIF(INDIRECT("'"&amp;$H$3&amp;"'!Q304"),"Public Transport*")&lt;1,ROUND(INDIRECT("'"&amp;$H$3&amp;"'!Q$95")*INDIRECT("'"&amp;$H$3&amp;"'!Q303"),0),0),0)</f>
        <v>0</v>
      </c>
      <c r="R426" s="836"/>
      <c r="S426" s="836"/>
      <c r="T426" s="836">
        <f ca="1">IFERROR(IF(COUNTIF(INDIRECT("'"&amp;$H$3&amp;"'!T304"),"Public Transport*")&lt;1,ROUND(INDIRECT("'"&amp;$H$3&amp;"'!T$95")*INDIRECT("'"&amp;$H$3&amp;"'!T303"),0),0),0)</f>
        <v>0</v>
      </c>
      <c r="U426" s="836"/>
      <c r="V426" s="836"/>
      <c r="W426" s="836">
        <f ca="1">IFERROR(IF(COUNTIF(INDIRECT("'"&amp;$H$3&amp;"'!W304"),"Public Transport*")&lt;1,ROUND(INDIRECT("'"&amp;$H$3&amp;"'!W$95")*INDIRECT("'"&amp;$H$3&amp;"'!W303"),0),0),0)</f>
        <v>0</v>
      </c>
      <c r="X426" s="1469"/>
      <c r="Y426" s="36"/>
      <c r="Z426" s="36"/>
      <c r="AA426" s="36"/>
      <c r="AB426" s="36"/>
      <c r="AC426" s="36"/>
      <c r="AD426" s="36"/>
      <c r="AE426" s="36"/>
      <c r="AF426" s="36"/>
      <c r="AG426" s="36"/>
      <c r="AH426" s="36"/>
      <c r="AI426" s="36"/>
      <c r="AJ426" s="36"/>
      <c r="AK426" s="242"/>
      <c r="AL426" s="36"/>
      <c r="AM426" s="36"/>
      <c r="AN426" s="36"/>
    </row>
    <row r="427" spans="6:40" ht="15" customHeight="1" outlineLevel="1">
      <c r="G427" s="6" t="s">
        <v>85</v>
      </c>
      <c r="H427" s="837"/>
      <c r="I427" s="837"/>
      <c r="J427" s="837"/>
      <c r="K427" s="837">
        <f ca="1">IFERROR(IF(INDIRECT("'"&amp;$H$3&amp;"'!K312")="Route-based",K432*K433,IF(INDIRECT("'"&amp;$H$3&amp;"'!K312")="Point-to-point",K437*K438,0)),0)</f>
        <v>0</v>
      </c>
      <c r="L427" s="837"/>
      <c r="M427" s="837"/>
      <c r="N427" s="837">
        <f ca="1">IFERROR(IF(INDIRECT("'"&amp;$H$3&amp;"'!N312")="Route-based",N432*N433,IF(INDIRECT("'"&amp;$H$3&amp;"'!N312")="Point-to-point",N437*N438,0)),0)</f>
        <v>0</v>
      </c>
      <c r="O427" s="837"/>
      <c r="P427" s="837"/>
      <c r="Q427" s="837">
        <f ca="1">IFERROR(IF(INDIRECT("'"&amp;$H$3&amp;"'!Q312")="Route-based",Q432*Q433,IF(INDIRECT("'"&amp;$H$3&amp;"'!Q312")="Point-to-point",Q437*Q438,0)),0)</f>
        <v>0</v>
      </c>
      <c r="R427" s="837"/>
      <c r="S427" s="837"/>
      <c r="T427" s="837">
        <f ca="1">IFERROR(IF(INDIRECT("'"&amp;$H$3&amp;"'!T312")="Route-based",T432*T433,IF(INDIRECT("'"&amp;$H$3&amp;"'!T312")="Point-to-point",T437*T438,0)),0)</f>
        <v>0</v>
      </c>
      <c r="U427" s="837"/>
      <c r="V427" s="837"/>
      <c r="W427" s="837">
        <f ca="1">IFERROR(IF(INDIRECT("'"&amp;$H$3&amp;"'!W312")="Route-based",W432*W433,IF(INDIRECT("'"&amp;$H$3&amp;"'!W312")="Point-to-point",W437*W438,0)),0)</f>
        <v>0</v>
      </c>
      <c r="X427" s="1468"/>
      <c r="Y427" s="36"/>
      <c r="Z427" s="36"/>
      <c r="AA427" s="36"/>
      <c r="AB427" s="36"/>
      <c r="AC427" s="36"/>
      <c r="AD427" s="36"/>
      <c r="AE427" s="36"/>
      <c r="AF427" s="36"/>
      <c r="AG427" s="36"/>
      <c r="AH427" s="36"/>
      <c r="AI427" s="36"/>
      <c r="AJ427" s="36"/>
      <c r="AK427" s="242"/>
      <c r="AL427" s="36"/>
      <c r="AM427" s="36"/>
      <c r="AN427" s="36"/>
    </row>
    <row r="428" spans="6:40" ht="15" customHeight="1" outlineLevel="1">
      <c r="G428" s="6" t="s">
        <v>59</v>
      </c>
      <c r="H428" s="837"/>
      <c r="I428" s="837"/>
      <c r="J428" s="837"/>
      <c r="K428" s="837">
        <f ca="1">IFERROR(IF(INDIRECT("'"&amp;$H$3&amp;"'!K312")="Route-based",ROUND(K432*K434/INDIRECT("'"&amp;$H$3&amp;"'!$H$10"),0),IF(INDIRECT("'"&amp;$H$3&amp;"'!K312")="Point-to-point",ROUND(((K426*INDIRECT("'"&amp;$H$3&amp;"'!K$261")*((1/60)*(INDIRECT("'"&amp;$H$3&amp;"'!K317")+INDIRECT("'"&amp;$H$3&amp;"'!$H$19")*(INDIRECT("'"&amp;$H$3&amp;"'!K318")+(INDIRECT("'"&amp;$H$3&amp;"'!K319")*('3_Outputs'!K$52/INDIRECT("'"&amp;$H$3&amp;"'!K$261")/INDIRECT("'"&amp;$H$3&amp;"'!$H$19")))))))+(K427/INDIRECT("'"&amp;$H$3&amp;"'!K321")))/INDIRECT("'"&amp;$H$3&amp;"'!$H$10"),0),0)),0)</f>
        <v>0</v>
      </c>
      <c r="L428" s="837"/>
      <c r="M428" s="837"/>
      <c r="N428" s="837">
        <f ca="1">IFERROR(IF(INDIRECT("'"&amp;$H$3&amp;"'!N312")="Route-based",ROUND(N432*N434/INDIRECT("'"&amp;$H$3&amp;"'!$H$10"),0),IF(INDIRECT("'"&amp;$H$3&amp;"'!N312")="Point-to-point",ROUND(((N426*INDIRECT("'"&amp;$H$3&amp;"'!N$261")*((1/60)*(INDIRECT("'"&amp;$H$3&amp;"'!N317")+INDIRECT("'"&amp;$H$3&amp;"'!$H$19")*(INDIRECT("'"&amp;$H$3&amp;"'!N318")+(INDIRECT("'"&amp;$H$3&amp;"'!N319")*('3_Outputs'!N$52/INDIRECT("'"&amp;$H$3&amp;"'!N$261")/INDIRECT("'"&amp;$H$3&amp;"'!$H$19")))))))+(N427/INDIRECT("'"&amp;$H$3&amp;"'!N321")))/INDIRECT("'"&amp;$H$3&amp;"'!$H$10"),0),0)),0)</f>
        <v>0</v>
      </c>
      <c r="O428" s="837"/>
      <c r="P428" s="837"/>
      <c r="Q428" s="837">
        <f ca="1">IFERROR(IF(INDIRECT("'"&amp;$H$3&amp;"'!Q312")="Route-based",ROUND(Q432*Q434/INDIRECT("'"&amp;$H$3&amp;"'!$H$10"),0),IF(INDIRECT("'"&amp;$H$3&amp;"'!Q312")="Point-to-point",ROUND(((Q426*INDIRECT("'"&amp;$H$3&amp;"'!Q$261")*((1/60)*(INDIRECT("'"&amp;$H$3&amp;"'!Q317")+INDIRECT("'"&amp;$H$3&amp;"'!$H$19")*(INDIRECT("'"&amp;$H$3&amp;"'!Q318")+(INDIRECT("'"&amp;$H$3&amp;"'!Q319")*('3_Outputs'!Q$52/INDIRECT("'"&amp;$H$3&amp;"'!Q$261")/INDIRECT("'"&amp;$H$3&amp;"'!$H$19")))))))+(Q427/INDIRECT("'"&amp;$H$3&amp;"'!Q321")))/INDIRECT("'"&amp;$H$3&amp;"'!$H$10"),0),0)),0)</f>
        <v>0</v>
      </c>
      <c r="R428" s="837"/>
      <c r="S428" s="837"/>
      <c r="T428" s="837">
        <f ca="1">IFERROR(IF(INDIRECT("'"&amp;$H$3&amp;"'!T312")="Route-based",ROUND(T432*T434/INDIRECT("'"&amp;$H$3&amp;"'!$H$10"),0),IF(INDIRECT("'"&amp;$H$3&amp;"'!T312")="Point-to-point",ROUND(((T426*INDIRECT("'"&amp;$H$3&amp;"'!T$261")*((1/60)*(INDIRECT("'"&amp;$H$3&amp;"'!T317")+INDIRECT("'"&amp;$H$3&amp;"'!$H$19")*(INDIRECT("'"&amp;$H$3&amp;"'!T318")+(INDIRECT("'"&amp;$H$3&amp;"'!T319")*('3_Outputs'!T$52/INDIRECT("'"&amp;$H$3&amp;"'!T$261")/INDIRECT("'"&amp;$H$3&amp;"'!$H$19")))))))+(T427/INDIRECT("'"&amp;$H$3&amp;"'!T321")))/INDIRECT("'"&amp;$H$3&amp;"'!$H$10"),0),0)),0)</f>
        <v>0</v>
      </c>
      <c r="U428" s="837"/>
      <c r="V428" s="837"/>
      <c r="W428" s="837">
        <f ca="1">IFERROR(IF(INDIRECT("'"&amp;$H$3&amp;"'!W312")="Route-based",ROUND(W432*W434/INDIRECT("'"&amp;$H$3&amp;"'!$H$10"),0),IF(INDIRECT("'"&amp;$H$3&amp;"'!W312")="Point-to-point",ROUND(((W426*INDIRECT("'"&amp;$H$3&amp;"'!W$261")*((1/60)*(INDIRECT("'"&amp;$H$3&amp;"'!W317")+INDIRECT("'"&amp;$H$3&amp;"'!$H$19")*(INDIRECT("'"&amp;$H$3&amp;"'!W318")+(INDIRECT("'"&amp;$H$3&amp;"'!W319")*('3_Outputs'!W$52/INDIRECT("'"&amp;$H$3&amp;"'!W$261")/INDIRECT("'"&amp;$H$3&amp;"'!$H$19")))))))+(W427/INDIRECT("'"&amp;$H$3&amp;"'!W321")))/INDIRECT("'"&amp;$H$3&amp;"'!$H$10"),0),0)),0)</f>
        <v>0</v>
      </c>
      <c r="X428" s="1468"/>
      <c r="Y428" s="36"/>
      <c r="Z428" s="36"/>
      <c r="AA428" s="36"/>
      <c r="AB428" s="36"/>
      <c r="AC428" s="36"/>
      <c r="AD428" s="36"/>
      <c r="AE428" s="36"/>
      <c r="AF428" s="36"/>
      <c r="AG428" s="36"/>
      <c r="AH428" s="36"/>
      <c r="AI428" s="36"/>
      <c r="AJ428" s="36"/>
      <c r="AK428" s="242"/>
      <c r="AL428" s="36"/>
      <c r="AM428" s="36"/>
      <c r="AN428" s="36"/>
    </row>
    <row r="429" spans="6:40" ht="15" customHeight="1" outlineLevel="1">
      <c r="G429" s="6" t="s">
        <v>86</v>
      </c>
      <c r="H429" s="839"/>
      <c r="I429" s="839"/>
      <c r="J429" s="839"/>
      <c r="K429" s="839">
        <f ca="1">IFERROR(IF(INDIRECT("'"&amp;$H$3&amp;"'!K312")="Route-based",IF(INDIRECT("'"&amp;$H$3&amp;"'!K309")="Yes",K249, IF(INDIRECT("'"&amp;$H$3&amp;"'!K309")="No",K428/(INDIRECT("'"&amp;$H$3&amp;"'!$H$9")*INDIRECT("'"&amp;$H$3&amp;"'!K308")))),
IF(INDIRECT("'"&amp;$H$3&amp;"'!K312")="Point-to-point",IF(INDIRECT("'"&amp;$H$3&amp;"'!K309")="Yes",K249,IF(INDIRECT("'"&amp;$H$3&amp;"'!K309")="No",K428/(INDIRECT("'"&amp;$H$3&amp;"'!$H$9")*INDIRECT("'"&amp;$H$3&amp;"'!K308")))),0)),0)</f>
        <v>0</v>
      </c>
      <c r="L429" s="839"/>
      <c r="M429" s="839"/>
      <c r="N429" s="839">
        <f ca="1">IFERROR(IF(INDIRECT("'"&amp;$H$3&amp;"'!N312")="Route-based",IF(INDIRECT("'"&amp;$H$3&amp;"'!N309")="Yes",N249, IF(INDIRECT("'"&amp;$H$3&amp;"'!N309")="No",N428/(INDIRECT("'"&amp;$H$3&amp;"'!$H$9")*INDIRECT("'"&amp;$H$3&amp;"'!N308")))),
IF(INDIRECT("'"&amp;$H$3&amp;"'!N312")="Point-to-point",IF(INDIRECT("'"&amp;$H$3&amp;"'!N309")="Yes",N249,IF(INDIRECT("'"&amp;$H$3&amp;"'!N309")="No",N428/(INDIRECT("'"&amp;$H$3&amp;"'!$H$9")*INDIRECT("'"&amp;$H$3&amp;"'!N308")))),0)),0)</f>
        <v>0</v>
      </c>
      <c r="O429" s="839"/>
      <c r="P429" s="839"/>
      <c r="Q429" s="839">
        <f ca="1">IFERROR(IF(INDIRECT("'"&amp;$H$3&amp;"'!Q312")="Route-based",IF(INDIRECT("'"&amp;$H$3&amp;"'!Q309")="Yes",Q249, IF(INDIRECT("'"&amp;$H$3&amp;"'!Q309")="No",Q428/(INDIRECT("'"&amp;$H$3&amp;"'!$H$9")*INDIRECT("'"&amp;$H$3&amp;"'!Q308")))),
IF(INDIRECT("'"&amp;$H$3&amp;"'!Q312")="Point-to-point",IF(INDIRECT("'"&amp;$H$3&amp;"'!Q309")="Yes",Q249,IF(INDIRECT("'"&amp;$H$3&amp;"'!Q309")="No",Q428/(INDIRECT("'"&amp;$H$3&amp;"'!$H$9")*INDIRECT("'"&amp;$H$3&amp;"'!Q308")))),0)),0)</f>
        <v>0</v>
      </c>
      <c r="R429" s="839"/>
      <c r="S429" s="839"/>
      <c r="T429" s="839">
        <f ca="1">IFERROR(IF(INDIRECT("'"&amp;$H$3&amp;"'!T312")="Route-based",IF(INDIRECT("'"&amp;$H$3&amp;"'!T309")="Yes",T249, IF(INDIRECT("'"&amp;$H$3&amp;"'!T309")="No",T428/(INDIRECT("'"&amp;$H$3&amp;"'!$H$9")*INDIRECT("'"&amp;$H$3&amp;"'!T308")))),
IF(INDIRECT("'"&amp;$H$3&amp;"'!T312")="Point-to-point",IF(INDIRECT("'"&amp;$H$3&amp;"'!T309")="Yes",T249,IF(INDIRECT("'"&amp;$H$3&amp;"'!T309")="No",T428/(INDIRECT("'"&amp;$H$3&amp;"'!$H$9")*INDIRECT("'"&amp;$H$3&amp;"'!T308")))),0)),0)</f>
        <v>0</v>
      </c>
      <c r="U429" s="839"/>
      <c r="V429" s="839"/>
      <c r="W429" s="839">
        <f ca="1">IFERROR(IF(INDIRECT("'"&amp;$H$3&amp;"'!W312")="Route-based",IF(INDIRECT("'"&amp;$H$3&amp;"'!W309")="Yes",W249, IF(INDIRECT("'"&amp;$H$3&amp;"'!W309")="No",W428/(INDIRECT("'"&amp;$H$3&amp;"'!$H$9")*INDIRECT("'"&amp;$H$3&amp;"'!W308")))),
IF(INDIRECT("'"&amp;$H$3&amp;"'!W312")="Point-to-point",IF(INDIRECT("'"&amp;$H$3&amp;"'!W309")="Yes",W249,IF(INDIRECT("'"&amp;$H$3&amp;"'!W309")="No",W428/(INDIRECT("'"&amp;$H$3&amp;"'!$H$9")*INDIRECT("'"&amp;$H$3&amp;"'!W308")))),0)),0)</f>
        <v>0</v>
      </c>
      <c r="X429" s="1470"/>
      <c r="Y429" s="36"/>
      <c r="Z429" s="36"/>
      <c r="AA429" s="36"/>
      <c r="AB429" s="36"/>
      <c r="AC429" s="36"/>
      <c r="AD429" s="36"/>
      <c r="AE429" s="36"/>
      <c r="AF429" s="36"/>
      <c r="AG429" s="36"/>
      <c r="AH429" s="36"/>
      <c r="AI429" s="36"/>
      <c r="AJ429" s="36"/>
      <c r="AK429" s="36" t="s">
        <v>191</v>
      </c>
      <c r="AL429" s="36"/>
      <c r="AM429" s="36"/>
      <c r="AN429" s="36"/>
    </row>
    <row r="430" spans="6:40" ht="15" customHeight="1" outlineLevel="1" collapsed="1">
      <c r="G430" s="241" t="s">
        <v>133</v>
      </c>
      <c r="H430" s="842"/>
      <c r="I430" s="842"/>
      <c r="J430" s="842"/>
      <c r="K430" s="842"/>
      <c r="L430" s="842"/>
      <c r="M430" s="842"/>
      <c r="N430" s="842"/>
      <c r="O430" s="842"/>
      <c r="P430" s="842"/>
      <c r="Q430" s="842"/>
      <c r="R430" s="853"/>
      <c r="S430" s="853"/>
      <c r="T430" s="842"/>
      <c r="U430" s="853"/>
      <c r="V430" s="853"/>
      <c r="W430" s="842"/>
      <c r="X430" s="1470"/>
      <c r="Y430" s="36"/>
      <c r="Z430" s="36"/>
      <c r="AA430" s="36"/>
      <c r="AB430" s="36"/>
      <c r="AC430" s="36"/>
      <c r="AD430" s="36"/>
      <c r="AE430" s="36"/>
      <c r="AF430" s="36"/>
      <c r="AG430" s="36"/>
      <c r="AH430" s="36"/>
      <c r="AI430" s="36"/>
      <c r="AJ430" s="36"/>
      <c r="AK430" s="36"/>
      <c r="AL430" s="36"/>
      <c r="AM430" s="36"/>
      <c r="AN430" s="36"/>
    </row>
    <row r="431" spans="6:40" outlineLevel="1">
      <c r="G431" s="6" t="s">
        <v>129</v>
      </c>
      <c r="H431" s="836"/>
      <c r="I431" s="836"/>
      <c r="J431" s="836"/>
      <c r="K431" s="836">
        <f ca="1">IFERROR(((INDIRECT("'"&amp;$H$3&amp;"'!K313")*INDIRECT("'"&amp;$H$3&amp;"'!$H$10"))-(2*INDIRECT("'"&amp;$H$3&amp;"'!K$98")/INDIRECT("'"&amp;$H$3&amp;"'!K321"))+(INDIRECT("'"&amp;$H$3&amp;"'!K$99")/INDIRECT("'"&amp;$H$3&amp;"'!K320")))/(((1/60)*(INDIRECT("'"&amp;$H$3&amp;"'!K317")+INDIRECT("'"&amp;$H$3&amp;"'!$H$19")*(INDIRECT("'"&amp;$H$3&amp;"'!K318")+(INDIRECT("'"&amp;$H$3&amp;"'!K319")*('3_Outputs'!K$52/INDIRECT("'"&amp;$H$3&amp;"'!K$261")/INDIRECT("'"&amp;$H$3&amp;"'!$H$19"))))))+(INDIRECT("'"&amp;$H$3&amp;"'!K$99")/INDIRECT("'"&amp;$H$3&amp;"'!K320"))),0)</f>
        <v>0</v>
      </c>
      <c r="L431" s="836"/>
      <c r="M431" s="836"/>
      <c r="N431" s="836">
        <f ca="1">IFERROR(((INDIRECT("'"&amp;$H$3&amp;"'!N313")*INDIRECT("'"&amp;$H$3&amp;"'!$H$10"))-(2*INDIRECT("'"&amp;$H$3&amp;"'!N$98")/INDIRECT("'"&amp;$H$3&amp;"'!N321"))+(INDIRECT("'"&amp;$H$3&amp;"'!N$99")/INDIRECT("'"&amp;$H$3&amp;"'!N320")))/(((1/60)*(INDIRECT("'"&amp;$H$3&amp;"'!N317")+INDIRECT("'"&amp;$H$3&amp;"'!$H$19")*(INDIRECT("'"&amp;$H$3&amp;"'!N318")+(INDIRECT("'"&amp;$H$3&amp;"'!N319")*('3_Outputs'!N$52/INDIRECT("'"&amp;$H$3&amp;"'!N$261")/INDIRECT("'"&amp;$H$3&amp;"'!$H$19"))))))+(INDIRECT("'"&amp;$H$3&amp;"'!N$99")/INDIRECT("'"&amp;$H$3&amp;"'!N320"))),0)</f>
        <v>0</v>
      </c>
      <c r="O431" s="836"/>
      <c r="P431" s="836"/>
      <c r="Q431" s="836">
        <f ca="1">IFERROR(((INDIRECT("'"&amp;$H$3&amp;"'!Q313")*INDIRECT("'"&amp;$H$3&amp;"'!$H$10"))-(2*INDIRECT("'"&amp;$H$3&amp;"'!Q$98")/INDIRECT("'"&amp;$H$3&amp;"'!Q321"))+(INDIRECT("'"&amp;$H$3&amp;"'!Q$99")/INDIRECT("'"&amp;$H$3&amp;"'!Q320")))/(((1/60)*(INDIRECT("'"&amp;$H$3&amp;"'!Q317")+INDIRECT("'"&amp;$H$3&amp;"'!$H$19")*(INDIRECT("'"&amp;$H$3&amp;"'!Q318")+(INDIRECT("'"&amp;$H$3&amp;"'!Q319")*('3_Outputs'!Q$52/INDIRECT("'"&amp;$H$3&amp;"'!Q$261")/INDIRECT("'"&amp;$H$3&amp;"'!$H$19"))))))+(INDIRECT("'"&amp;$H$3&amp;"'!Q$99")/INDIRECT("'"&amp;$H$3&amp;"'!Q320"))),0)</f>
        <v>0</v>
      </c>
      <c r="R431" s="836"/>
      <c r="S431" s="836"/>
      <c r="T431" s="836">
        <f ca="1">IFERROR(((INDIRECT("'"&amp;$H$3&amp;"'!T313")*INDIRECT("'"&amp;$H$3&amp;"'!$H$10"))-(2*INDIRECT("'"&amp;$H$3&amp;"'!T$98")/INDIRECT("'"&amp;$H$3&amp;"'!T321"))+(INDIRECT("'"&amp;$H$3&amp;"'!T$99")/INDIRECT("'"&amp;$H$3&amp;"'!T320")))/(((1/60)*(INDIRECT("'"&amp;$H$3&amp;"'!T317")+INDIRECT("'"&amp;$H$3&amp;"'!$H$19")*(INDIRECT("'"&amp;$H$3&amp;"'!T318")+(INDIRECT("'"&amp;$H$3&amp;"'!T319")*('3_Outputs'!T$52/INDIRECT("'"&amp;$H$3&amp;"'!T$261")/INDIRECT("'"&amp;$H$3&amp;"'!$H$19"))))))+(INDIRECT("'"&amp;$H$3&amp;"'!T$99")/INDIRECT("'"&amp;$H$3&amp;"'!T320"))),0)</f>
        <v>0</v>
      </c>
      <c r="U431" s="836"/>
      <c r="V431" s="836"/>
      <c r="W431" s="836">
        <f ca="1">IFERROR(((INDIRECT("'"&amp;$H$3&amp;"'!W313")*INDIRECT("'"&amp;$H$3&amp;"'!$H$10"))-(2*INDIRECT("'"&amp;$H$3&amp;"'!W$98")/INDIRECT("'"&amp;$H$3&amp;"'!W321"))+(INDIRECT("'"&amp;$H$3&amp;"'!W$99")/INDIRECT("'"&amp;$H$3&amp;"'!W320")))/(((1/60)*(INDIRECT("'"&amp;$H$3&amp;"'!W317")+INDIRECT("'"&amp;$H$3&amp;"'!$H$19")*(INDIRECT("'"&amp;$H$3&amp;"'!W318")+(INDIRECT("'"&amp;$H$3&amp;"'!W319")*('3_Outputs'!W$52/INDIRECT("'"&amp;$H$3&amp;"'!W$261")/INDIRECT("'"&amp;$H$3&amp;"'!$H$19"))))))+(INDIRECT("'"&amp;$H$3&amp;"'!W$99")/INDIRECT("'"&amp;$H$3&amp;"'!W320"))),0)</f>
        <v>0</v>
      </c>
      <c r="X431" s="1469"/>
      <c r="Y431" s="36"/>
      <c r="Z431" s="36"/>
      <c r="AA431" s="36"/>
      <c r="AB431" s="36"/>
      <c r="AC431" s="36"/>
      <c r="AD431" s="36"/>
      <c r="AE431" s="36"/>
      <c r="AF431" s="36"/>
      <c r="AG431" s="36"/>
      <c r="AH431" s="36"/>
      <c r="AI431" s="36"/>
      <c r="AJ431" s="36"/>
      <c r="AK431" s="36"/>
      <c r="AL431" s="36"/>
      <c r="AM431" s="36"/>
      <c r="AN431" s="36"/>
    </row>
    <row r="432" spans="6:40" outlineLevel="1">
      <c r="G432" s="6" t="s">
        <v>206</v>
      </c>
      <c r="H432" s="836"/>
      <c r="I432" s="836"/>
      <c r="J432" s="836"/>
      <c r="K432" s="836">
        <f ca="1">IFERROR(ROUND(K426*INDIRECT("'"&amp;$H$3&amp;"'!K$261")/K431,0),0)</f>
        <v>0</v>
      </c>
      <c r="L432" s="836"/>
      <c r="M432" s="836"/>
      <c r="N432" s="836">
        <f ca="1">IFERROR(ROUND(N426*INDIRECT("'"&amp;$H$3&amp;"'!N$261")/N431,0),0)</f>
        <v>0</v>
      </c>
      <c r="O432" s="836"/>
      <c r="P432" s="836"/>
      <c r="Q432" s="836">
        <f ca="1">IFERROR(ROUND(Q426*INDIRECT("'"&amp;$H$3&amp;"'!Q$261")/Q431,0),0)</f>
        <v>0</v>
      </c>
      <c r="R432" s="836"/>
      <c r="S432" s="836"/>
      <c r="T432" s="836">
        <f ca="1">IFERROR(ROUND(T426*INDIRECT("'"&amp;$H$3&amp;"'!T$261")/T431,0),0)</f>
        <v>0</v>
      </c>
      <c r="U432" s="836"/>
      <c r="V432" s="836"/>
      <c r="W432" s="836">
        <f ca="1">IFERROR(ROUND(W426*INDIRECT("'"&amp;$H$3&amp;"'!W$261")/W431,0),0)</f>
        <v>0</v>
      </c>
      <c r="X432" s="1469"/>
      <c r="Y432" s="36"/>
      <c r="Z432" s="36"/>
      <c r="AA432" s="36"/>
      <c r="AB432" s="36"/>
      <c r="AC432" s="36"/>
      <c r="AD432" s="36"/>
      <c r="AE432" s="36"/>
      <c r="AF432" s="36"/>
      <c r="AG432" s="36"/>
      <c r="AH432" s="36"/>
      <c r="AI432" s="36"/>
      <c r="AJ432" s="36"/>
      <c r="AK432" s="36"/>
      <c r="AL432" s="36"/>
      <c r="AM432" s="36"/>
      <c r="AN432" s="36"/>
    </row>
    <row r="433" spans="7:40" outlineLevel="1">
      <c r="G433" s="6" t="s">
        <v>87</v>
      </c>
      <c r="H433" s="836"/>
      <c r="I433" s="836"/>
      <c r="J433" s="836"/>
      <c r="K433" s="836">
        <f ca="1">IFERROR(IF(K426=0,0,(2*INDIRECT("'"&amp;$H$3&amp;"'!K$98"))+((MAX(K431, 1)-1)*INDIRECT("'"&amp;$H$3&amp;"'!K$99"))),0)</f>
        <v>0</v>
      </c>
      <c r="L433" s="836"/>
      <c r="M433" s="836"/>
      <c r="N433" s="836">
        <f ca="1">IFERROR(IF(N426=0,0,(2*INDIRECT("'"&amp;$H$3&amp;"'!N$98"))+((MAX(N431, 1)-1)*INDIRECT("'"&amp;$H$3&amp;"'!N$99"))),0)</f>
        <v>0</v>
      </c>
      <c r="O433" s="836"/>
      <c r="P433" s="836"/>
      <c r="Q433" s="836">
        <f ca="1">IFERROR(IF(Q426=0,0,(2*INDIRECT("'"&amp;$H$3&amp;"'!Q$98"))+((MAX(Q431, 1)-1)*INDIRECT("'"&amp;$H$3&amp;"'!Q$99"))),0)</f>
        <v>0</v>
      </c>
      <c r="R433" s="836"/>
      <c r="S433" s="836"/>
      <c r="T433" s="836">
        <f ca="1">IFERROR(IF(T426=0,0,(2*INDIRECT("'"&amp;$H$3&amp;"'!T$98"))+((MAX(T431, 1)-1)*INDIRECT("'"&amp;$H$3&amp;"'!T$99"))),0)</f>
        <v>0</v>
      </c>
      <c r="U433" s="836"/>
      <c r="V433" s="836"/>
      <c r="W433" s="836">
        <f ca="1">IFERROR(IF(W426=0,0,(2*INDIRECT("'"&amp;$H$3&amp;"'!W$98"))+((MAX(W431, 1)-1)*INDIRECT("'"&amp;$H$3&amp;"'!W$99"))),0)</f>
        <v>0</v>
      </c>
      <c r="X433" s="1469"/>
      <c r="Y433" s="36"/>
      <c r="Z433" s="36"/>
      <c r="AA433" s="36"/>
      <c r="AB433" s="36"/>
      <c r="AC433" s="36"/>
      <c r="AD433" s="36"/>
      <c r="AE433" s="36"/>
      <c r="AF433" s="36"/>
      <c r="AG433" s="36"/>
      <c r="AH433" s="36"/>
      <c r="AI433" s="36"/>
      <c r="AJ433" s="36"/>
      <c r="AK433" s="36"/>
      <c r="AL433" s="36"/>
      <c r="AM433" s="36"/>
      <c r="AN433" s="36"/>
    </row>
    <row r="434" spans="7:40" outlineLevel="1">
      <c r="G434" s="6" t="s">
        <v>203</v>
      </c>
      <c r="H434" s="838"/>
      <c r="I434" s="838"/>
      <c r="J434" s="838"/>
      <c r="K434" s="838">
        <f ca="1">IFERROR((ROUNDUP(K431,1)*((1/60)*(INDIRECT("'"&amp;$H$3&amp;"'!K317")+INDIRECT("'"&amp;$H$3&amp;"'!$H$19")*(INDIRECT("'"&amp;$H$3&amp;"'!K318")+(INDIRECT("'"&amp;$H$3&amp;"'!K319")*('3_Outputs'!K$52/INDIRECT("'"&amp;$H$3&amp;"'!K$261")/INDIRECT("'"&amp;$H$3&amp;"'!$H$19")))))))+((2*INDIRECT("'"&amp;$H$3&amp;"'!K$98"))/INDIRECT("'"&amp;$H$3&amp;"'!K321"))+(((MAX(K431,1)-1)*INDIRECT("'"&amp;$H$3&amp;"'!K$99"))/INDIRECT("'"&amp;$H$3&amp;"'!K320")),0)</f>
        <v>0</v>
      </c>
      <c r="L434" s="838"/>
      <c r="M434" s="838"/>
      <c r="N434" s="838">
        <f ca="1">IFERROR((ROUNDUP(N431,1)*((1/60)*(INDIRECT("'"&amp;$H$3&amp;"'!N317")+INDIRECT("'"&amp;$H$3&amp;"'!$H$19")*(INDIRECT("'"&amp;$H$3&amp;"'!N318")+(INDIRECT("'"&amp;$H$3&amp;"'!N319")*('3_Outputs'!N$52/INDIRECT("'"&amp;$H$3&amp;"'!N$261")/INDIRECT("'"&amp;$H$3&amp;"'!$H$19")))))))+((2*INDIRECT("'"&amp;$H$3&amp;"'!N$98"))/INDIRECT("'"&amp;$H$3&amp;"'!N321"))+(((MAX(N431,1)-1)*INDIRECT("'"&amp;$H$3&amp;"'!N$99"))/INDIRECT("'"&amp;$H$3&amp;"'!N320")),0)</f>
        <v>0</v>
      </c>
      <c r="O434" s="838"/>
      <c r="P434" s="838"/>
      <c r="Q434" s="838">
        <f ca="1">IFERROR((ROUNDUP(Q431,1)*((1/60)*(INDIRECT("'"&amp;$H$3&amp;"'!Q317")+INDIRECT("'"&amp;$H$3&amp;"'!$H$19")*(INDIRECT("'"&amp;$H$3&amp;"'!Q318")+(INDIRECT("'"&amp;$H$3&amp;"'!Q319")*('3_Outputs'!Q$52/INDIRECT("'"&amp;$H$3&amp;"'!Q$261")/INDIRECT("'"&amp;$H$3&amp;"'!$H$19")))))))+((2*INDIRECT("'"&amp;$H$3&amp;"'!Q$98"))/INDIRECT("'"&amp;$H$3&amp;"'!Q321"))+(((MAX(Q431,1)-1)*INDIRECT("'"&amp;$H$3&amp;"'!Q$99"))/INDIRECT("'"&amp;$H$3&amp;"'!Q320")),0)</f>
        <v>0</v>
      </c>
      <c r="R434" s="838"/>
      <c r="S434" s="838"/>
      <c r="T434" s="838">
        <f ca="1">IFERROR((ROUNDUP(T431,1)*((1/60)*(INDIRECT("'"&amp;$H$3&amp;"'!T317")+INDIRECT("'"&amp;$H$3&amp;"'!$H$19")*(INDIRECT("'"&amp;$H$3&amp;"'!T318")+(INDIRECT("'"&amp;$H$3&amp;"'!T319")*('3_Outputs'!T$52/INDIRECT("'"&amp;$H$3&amp;"'!T$261")/INDIRECT("'"&amp;$H$3&amp;"'!$H$19")))))))+((2*INDIRECT("'"&amp;$H$3&amp;"'!T$98"))/INDIRECT("'"&amp;$H$3&amp;"'!T321"))+(((MAX(T431,1)-1)*INDIRECT("'"&amp;$H$3&amp;"'!T$99"))/INDIRECT("'"&amp;$H$3&amp;"'!T320")),0)</f>
        <v>0</v>
      </c>
      <c r="U434" s="838"/>
      <c r="V434" s="838"/>
      <c r="W434" s="838">
        <f ca="1">IFERROR((ROUNDUP(W431,1)*((1/60)*(INDIRECT("'"&amp;$H$3&amp;"'!W317")+INDIRECT("'"&amp;$H$3&amp;"'!$H$19")*(INDIRECT("'"&amp;$H$3&amp;"'!W318")+(INDIRECT("'"&amp;$H$3&amp;"'!W319")*('3_Outputs'!W$52/INDIRECT("'"&amp;$H$3&amp;"'!W$261")/INDIRECT("'"&amp;$H$3&amp;"'!$H$19")))))))+((2*INDIRECT("'"&amp;$H$3&amp;"'!W$98"))/INDIRECT("'"&amp;$H$3&amp;"'!W321"))+(((MAX(W431,1)-1)*INDIRECT("'"&amp;$H$3&amp;"'!W$99"))/INDIRECT("'"&amp;$H$3&amp;"'!W320")),0)</f>
        <v>0</v>
      </c>
      <c r="X434" s="1465"/>
      <c r="Y434" s="36"/>
      <c r="Z434" s="36"/>
      <c r="AA434" s="36"/>
      <c r="AB434" s="36"/>
      <c r="AC434" s="36"/>
      <c r="AD434" s="36"/>
      <c r="AE434" s="36"/>
      <c r="AF434" s="36"/>
      <c r="AG434" s="36"/>
      <c r="AH434" s="36"/>
      <c r="AI434" s="36"/>
      <c r="AJ434" s="36"/>
      <c r="AK434" s="36"/>
      <c r="AL434" s="36"/>
      <c r="AM434" s="36"/>
      <c r="AN434" s="36"/>
    </row>
    <row r="435" spans="7:40" outlineLevel="1">
      <c r="G435" s="6" t="s">
        <v>204</v>
      </c>
      <c r="H435" s="838"/>
      <c r="I435" s="838"/>
      <c r="J435" s="838"/>
      <c r="K435" s="838">
        <f ca="1">IFERROR((INDIRECT("'"&amp;$H$3&amp;"'!$H$10")*INDIRECT("'"&amp;$H$3&amp;"'!$H$9")*INDIRECT("'"&amp;$H$3&amp;"'!K308"))/K434,0)</f>
        <v>0</v>
      </c>
      <c r="L435" s="838"/>
      <c r="M435" s="838"/>
      <c r="N435" s="838">
        <f ca="1">IFERROR((INDIRECT("'"&amp;$H$3&amp;"'!$H$10")*INDIRECT("'"&amp;$H$3&amp;"'!$H$9")*INDIRECT("'"&amp;$H$3&amp;"'!N308"))/N434,0)</f>
        <v>0</v>
      </c>
      <c r="O435" s="838"/>
      <c r="P435" s="838"/>
      <c r="Q435" s="838">
        <f ca="1">IFERROR((INDIRECT("'"&amp;$H$3&amp;"'!$H$10")*INDIRECT("'"&amp;$H$3&amp;"'!$H$9")*INDIRECT("'"&amp;$H$3&amp;"'!Q308"))/Q434,0)</f>
        <v>0</v>
      </c>
      <c r="R435" s="838"/>
      <c r="S435" s="838"/>
      <c r="T435" s="838">
        <f ca="1">IFERROR((INDIRECT("'"&amp;$H$3&amp;"'!$H$10")*INDIRECT("'"&amp;$H$3&amp;"'!$H$9")*INDIRECT("'"&amp;$H$3&amp;"'!T308"))/T434,0)</f>
        <v>0</v>
      </c>
      <c r="U435" s="838"/>
      <c r="V435" s="838"/>
      <c r="W435" s="838">
        <f ca="1">IFERROR((INDIRECT("'"&amp;$H$3&amp;"'!$H$10")*INDIRECT("'"&amp;$H$3&amp;"'!$H$9")*INDIRECT("'"&amp;$H$3&amp;"'!W308"))/W434,0)</f>
        <v>0</v>
      </c>
      <c r="X435" s="1465"/>
      <c r="Y435" s="36"/>
      <c r="Z435" s="36"/>
      <c r="AA435" s="36"/>
      <c r="AB435" s="36"/>
      <c r="AC435" s="36"/>
      <c r="AD435" s="36"/>
      <c r="AE435" s="36"/>
      <c r="AF435" s="36"/>
      <c r="AG435" s="36"/>
      <c r="AH435" s="36"/>
      <c r="AI435" s="36"/>
      <c r="AJ435" s="36"/>
      <c r="AK435" s="242"/>
      <c r="AL435" s="36"/>
      <c r="AM435" s="36"/>
      <c r="AN435" s="36"/>
    </row>
    <row r="436" spans="7:40" outlineLevel="1">
      <c r="G436" s="241" t="s">
        <v>134</v>
      </c>
      <c r="H436" s="842"/>
      <c r="I436" s="842"/>
      <c r="J436" s="842"/>
      <c r="K436" s="842"/>
      <c r="L436" s="842"/>
      <c r="M436" s="842"/>
      <c r="N436" s="842"/>
      <c r="O436" s="842"/>
      <c r="P436" s="842"/>
      <c r="Q436" s="842"/>
      <c r="R436" s="853"/>
      <c r="S436" s="853"/>
      <c r="T436" s="842"/>
      <c r="U436" s="853"/>
      <c r="V436" s="853"/>
      <c r="W436" s="842"/>
      <c r="X436" s="1470"/>
      <c r="Y436" s="36"/>
      <c r="Z436" s="36"/>
      <c r="AA436" s="36"/>
      <c r="AB436" s="36"/>
      <c r="AC436" s="36"/>
      <c r="AD436" s="36"/>
      <c r="AE436" s="36"/>
      <c r="AF436" s="36"/>
      <c r="AG436" s="36"/>
      <c r="AH436" s="36"/>
      <c r="AI436" s="36"/>
      <c r="AJ436" s="36"/>
      <c r="AK436" s="242"/>
      <c r="AL436" s="36"/>
      <c r="AM436" s="36"/>
      <c r="AN436" s="36"/>
    </row>
    <row r="437" spans="7:40" outlineLevel="1">
      <c r="G437" s="6" t="s">
        <v>206</v>
      </c>
      <c r="H437" s="836"/>
      <c r="I437" s="836"/>
      <c r="J437" s="836"/>
      <c r="K437" s="836">
        <f ca="1">IFERROR(K426*INDIRECT("'"&amp;$H$3&amp;"'!K$261"),0)</f>
        <v>0</v>
      </c>
      <c r="L437" s="836"/>
      <c r="M437" s="836"/>
      <c r="N437" s="836">
        <f ca="1">IFERROR(N426*INDIRECT("'"&amp;$H$3&amp;"'!N$261"),0)</f>
        <v>0</v>
      </c>
      <c r="O437" s="836"/>
      <c r="P437" s="836"/>
      <c r="Q437" s="836">
        <f ca="1">IFERROR(Q426*INDIRECT("'"&amp;$H$3&amp;"'!Q$261"),0)</f>
        <v>0</v>
      </c>
      <c r="R437" s="836"/>
      <c r="S437" s="836"/>
      <c r="T437" s="836">
        <f ca="1">IFERROR(T426*INDIRECT("'"&amp;$H$3&amp;"'!T$261"),0)</f>
        <v>0</v>
      </c>
      <c r="U437" s="836"/>
      <c r="V437" s="836"/>
      <c r="W437" s="836">
        <f ca="1">IFERROR(W426*INDIRECT("'"&amp;$H$3&amp;"'!W$261"),0)</f>
        <v>0</v>
      </c>
      <c r="X437" s="1469"/>
      <c r="Y437" s="36"/>
      <c r="Z437" s="36"/>
      <c r="AA437" s="36"/>
      <c r="AB437" s="36" t="s">
        <v>192</v>
      </c>
      <c r="AC437" s="36"/>
      <c r="AD437" s="36" t="s">
        <v>193</v>
      </c>
      <c r="AE437" s="36"/>
      <c r="AF437" s="36"/>
      <c r="AG437" s="36"/>
      <c r="AH437" s="36"/>
      <c r="AI437" s="36"/>
      <c r="AJ437" s="36"/>
      <c r="AK437" s="36"/>
      <c r="AL437" s="36"/>
      <c r="AM437" s="36"/>
      <c r="AN437" s="36"/>
    </row>
    <row r="438" spans="7:40" outlineLevel="1">
      <c r="G438" s="6" t="s">
        <v>87</v>
      </c>
      <c r="H438" s="836"/>
      <c r="I438" s="836"/>
      <c r="J438" s="836"/>
      <c r="K438" s="836">
        <f ca="1">IFERROR(IF(K426=0,0,2*INDIRECT("'"&amp;$H$3&amp;"'!K$98")),0)</f>
        <v>0</v>
      </c>
      <c r="L438" s="836"/>
      <c r="M438" s="836"/>
      <c r="N438" s="836">
        <f ca="1">IFERROR(IF(N426=0,0,2*INDIRECT("'"&amp;$H$3&amp;"'!N$98")),0)</f>
        <v>0</v>
      </c>
      <c r="O438" s="836"/>
      <c r="P438" s="836"/>
      <c r="Q438" s="836">
        <f ca="1">IFERROR(IF(Q426=0,0,2*INDIRECT("'"&amp;$H$3&amp;"'!Q$98")),0)</f>
        <v>0</v>
      </c>
      <c r="R438" s="836"/>
      <c r="S438" s="836"/>
      <c r="T438" s="836">
        <f ca="1">IFERROR(IF(T426=0,0,2*INDIRECT("'"&amp;$H$3&amp;"'!T$98")),0)</f>
        <v>0</v>
      </c>
      <c r="U438" s="836"/>
      <c r="V438" s="836"/>
      <c r="W438" s="836">
        <f ca="1">IFERROR(IF(W426=0,0,2*INDIRECT("'"&amp;$H$3&amp;"'!W$98")),0)</f>
        <v>0</v>
      </c>
      <c r="X438" s="1469"/>
      <c r="Y438" s="36"/>
      <c r="Z438" s="36"/>
      <c r="AA438" s="36"/>
      <c r="AB438" s="36" t="s">
        <v>194</v>
      </c>
      <c r="AC438" s="36"/>
      <c r="AD438" s="36" t="s">
        <v>195</v>
      </c>
      <c r="AE438" s="36"/>
      <c r="AF438" s="36"/>
      <c r="AG438" s="36"/>
      <c r="AH438" s="36"/>
      <c r="AI438" s="36"/>
      <c r="AJ438" s="36"/>
      <c r="AK438" s="36"/>
      <c r="AL438" s="36"/>
      <c r="AM438" s="36"/>
      <c r="AN438" s="36"/>
    </row>
    <row r="439" spans="7:40" outlineLevel="1">
      <c r="G439" s="6" t="s">
        <v>204</v>
      </c>
      <c r="H439" s="837"/>
      <c r="I439" s="837"/>
      <c r="J439" s="837"/>
      <c r="K439" s="837">
        <f ca="1">IFERROR((INDIRECT("'"&amp;$H$3&amp;"'!$H$10")*INDIRECT("'"&amp;$H$3&amp;"'!$H$9")*INDIRECT("'"&amp;$H$3&amp;"'!K308"))/((K438/INDIRECT("'"&amp;$H$3&amp;"'!K321"))+((1/60)*(INDIRECT("'"&amp;$H$3&amp;"'!K317")+INDIRECT("'"&amp;$H$3&amp;"'!$H$19")*(INDIRECT("'"&amp;$H$3&amp;"'!K318")+(INDIRECT("'"&amp;$H$3&amp;"'!K319")*('3_Outputs'!K$52/INDIRECT("'"&amp;$H$3&amp;"'!K$261")/INDIRECT("'"&amp;$H$3&amp;"'!$H$19"))))))),0)</f>
        <v>0</v>
      </c>
      <c r="L439" s="837"/>
      <c r="M439" s="837"/>
      <c r="N439" s="837">
        <f ca="1">IFERROR((INDIRECT("'"&amp;$H$3&amp;"'!$H$10")*INDIRECT("'"&amp;$H$3&amp;"'!$H$9")*INDIRECT("'"&amp;$H$3&amp;"'!N308"))/((N438/INDIRECT("'"&amp;$H$3&amp;"'!N321"))+((1/60)*(INDIRECT("'"&amp;$H$3&amp;"'!N317")+INDIRECT("'"&amp;$H$3&amp;"'!$H$19")*(INDIRECT("'"&amp;$H$3&amp;"'!N318")+(INDIRECT("'"&amp;$H$3&amp;"'!N319")*('3_Outputs'!N$52/INDIRECT("'"&amp;$H$3&amp;"'!N$261")/INDIRECT("'"&amp;$H$3&amp;"'!$H$19"))))))),0)</f>
        <v>0</v>
      </c>
      <c r="O439" s="837"/>
      <c r="P439" s="837"/>
      <c r="Q439" s="837">
        <f ca="1">IFERROR((INDIRECT("'"&amp;$H$3&amp;"'!$H$10")*INDIRECT("'"&amp;$H$3&amp;"'!$H$9")*INDIRECT("'"&amp;$H$3&amp;"'!Q308"))/((Q438/INDIRECT("'"&amp;$H$3&amp;"'!Q321"))+((1/60)*(INDIRECT("'"&amp;$H$3&amp;"'!Q317")+INDIRECT("'"&amp;$H$3&amp;"'!$H$19")*(INDIRECT("'"&amp;$H$3&amp;"'!Q318")+(INDIRECT("'"&amp;$H$3&amp;"'!Q319")*('3_Outputs'!Q$52/INDIRECT("'"&amp;$H$3&amp;"'!Q$261")/INDIRECT("'"&amp;$H$3&amp;"'!$H$19"))))))),0)</f>
        <v>0</v>
      </c>
      <c r="R439" s="837"/>
      <c r="S439" s="837"/>
      <c r="T439" s="837">
        <f ca="1">IFERROR((INDIRECT("'"&amp;$H$3&amp;"'!$H$10")*INDIRECT("'"&amp;$H$3&amp;"'!$H$9")*INDIRECT("'"&amp;$H$3&amp;"'!T308"))/((T438/INDIRECT("'"&amp;$H$3&amp;"'!T321"))+((1/60)*(INDIRECT("'"&amp;$H$3&amp;"'!T317")+INDIRECT("'"&amp;$H$3&amp;"'!$H$19")*(INDIRECT("'"&amp;$H$3&amp;"'!T318")+(INDIRECT("'"&amp;$H$3&amp;"'!T319")*('3_Outputs'!T$52/INDIRECT("'"&amp;$H$3&amp;"'!T$261")/INDIRECT("'"&amp;$H$3&amp;"'!$H$19"))))))),0)</f>
        <v>0</v>
      </c>
      <c r="U439" s="837"/>
      <c r="V439" s="837"/>
      <c r="W439" s="837">
        <f ca="1">IFERROR((INDIRECT("'"&amp;$H$3&amp;"'!$H$10")*INDIRECT("'"&amp;$H$3&amp;"'!$H$9")*INDIRECT("'"&amp;$H$3&amp;"'!W308"))/((W438/INDIRECT("'"&amp;$H$3&amp;"'!W321"))+((1/60)*(INDIRECT("'"&amp;$H$3&amp;"'!W317")+INDIRECT("'"&amp;$H$3&amp;"'!$H$19")*(INDIRECT("'"&amp;$H$3&amp;"'!W318")+(INDIRECT("'"&amp;$H$3&amp;"'!W319")*('3_Outputs'!W$52/INDIRECT("'"&amp;$H$3&amp;"'!W$261")/INDIRECT("'"&amp;$H$3&amp;"'!$H$19"))))))),0)</f>
        <v>0</v>
      </c>
      <c r="X439" s="1468"/>
      <c r="Y439" s="36"/>
      <c r="Z439" s="36"/>
      <c r="AA439" s="36"/>
      <c r="AB439" s="36" t="s">
        <v>196</v>
      </c>
      <c r="AC439" s="36"/>
      <c r="AD439" s="36" t="s">
        <v>197</v>
      </c>
      <c r="AE439" s="36"/>
      <c r="AF439" s="36"/>
      <c r="AG439" s="36"/>
      <c r="AH439" s="36"/>
      <c r="AI439" s="36"/>
      <c r="AJ439" s="36"/>
      <c r="AK439" s="36"/>
      <c r="AL439" s="36"/>
      <c r="AM439" s="36"/>
      <c r="AN439" s="36"/>
    </row>
    <row r="440" spans="7:40" outlineLevel="1">
      <c r="R440" s="36"/>
      <c r="S440" s="36"/>
      <c r="T440" s="36"/>
      <c r="U440" s="36"/>
      <c r="V440" s="36"/>
      <c r="W440" s="36"/>
      <c r="X440" s="1397"/>
      <c r="Y440" s="36"/>
      <c r="Z440" s="36"/>
      <c r="AA440" s="36"/>
      <c r="AB440" s="36"/>
      <c r="AC440" s="36"/>
      <c r="AD440" s="36"/>
      <c r="AE440" s="36"/>
      <c r="AF440" s="36"/>
      <c r="AG440" s="36"/>
      <c r="AH440" s="36"/>
      <c r="AI440" s="36"/>
      <c r="AJ440" s="36"/>
      <c r="AK440" s="36"/>
      <c r="AL440" s="36"/>
      <c r="AM440" s="36"/>
      <c r="AN440" s="36"/>
    </row>
    <row r="441" spans="7:40" outlineLevel="1">
      <c r="R441" s="36"/>
      <c r="S441" s="36"/>
      <c r="T441" s="36"/>
      <c r="U441" s="36"/>
      <c r="V441" s="36"/>
      <c r="W441" s="36"/>
      <c r="X441" s="1397"/>
      <c r="Y441" s="36"/>
      <c r="Z441" s="36"/>
      <c r="AA441" s="36"/>
      <c r="AB441" s="36"/>
      <c r="AC441" s="36"/>
      <c r="AD441" s="36"/>
      <c r="AE441" s="36"/>
      <c r="AF441" s="36"/>
      <c r="AG441" s="36"/>
      <c r="AH441" s="36"/>
      <c r="AI441" s="36"/>
      <c r="AJ441" s="36"/>
      <c r="AK441" s="36"/>
      <c r="AL441" s="36"/>
      <c r="AM441" s="36"/>
      <c r="AN441" s="36"/>
    </row>
    <row r="442" spans="7:40">
      <c r="H442" s="67"/>
      <c r="I442" s="67"/>
      <c r="J442" s="67"/>
      <c r="K442" s="67"/>
      <c r="L442" s="67"/>
      <c r="M442" s="67"/>
      <c r="N442" s="67"/>
      <c r="O442" s="67"/>
      <c r="P442" s="67"/>
      <c r="R442" s="243"/>
      <c r="S442" s="243"/>
      <c r="T442" s="243"/>
      <c r="U442" s="243"/>
      <c r="V442" s="243"/>
      <c r="W442" s="243"/>
      <c r="X442" s="1457"/>
      <c r="Y442" s="36"/>
      <c r="Z442" s="36"/>
      <c r="AA442" s="36"/>
      <c r="AB442" s="36"/>
      <c r="AC442" s="36"/>
      <c r="AD442" s="36"/>
      <c r="AE442" s="36"/>
      <c r="AF442" s="36"/>
      <c r="AG442" s="36"/>
      <c r="AH442" s="36"/>
      <c r="AI442" s="36"/>
      <c r="AJ442" s="36"/>
      <c r="AK442" s="36"/>
      <c r="AL442" s="36"/>
      <c r="AM442" s="36"/>
      <c r="AN442" s="36"/>
    </row>
    <row r="443" spans="7:40">
      <c r="H443" s="67"/>
      <c r="I443" s="67"/>
      <c r="J443" s="67"/>
      <c r="K443" s="67"/>
      <c r="L443" s="67"/>
      <c r="M443" s="67"/>
      <c r="N443" s="67"/>
      <c r="O443" s="67"/>
      <c r="P443" s="67"/>
      <c r="R443" s="243"/>
      <c r="S443" s="243"/>
      <c r="T443" s="243"/>
      <c r="U443" s="243"/>
      <c r="V443" s="243"/>
      <c r="W443" s="243"/>
      <c r="X443" s="1457"/>
      <c r="Y443" s="36"/>
      <c r="Z443" s="36"/>
      <c r="AA443" s="36"/>
      <c r="AB443" s="36"/>
      <c r="AC443" s="36"/>
      <c r="AD443" s="36"/>
      <c r="AE443" s="36"/>
      <c r="AF443" s="36"/>
      <c r="AG443" s="36"/>
      <c r="AH443" s="36"/>
      <c r="AI443" s="36"/>
      <c r="AJ443" s="36"/>
      <c r="AK443" s="242"/>
      <c r="AL443" s="36"/>
      <c r="AM443" s="36"/>
      <c r="AN443" s="36"/>
    </row>
    <row r="444" spans="7:40">
      <c r="R444" s="243"/>
      <c r="S444" s="243"/>
      <c r="T444" s="243"/>
      <c r="U444" s="243"/>
      <c r="V444" s="243"/>
      <c r="W444" s="243"/>
      <c r="X444" s="1457"/>
      <c r="Y444" s="36"/>
      <c r="Z444" s="36"/>
      <c r="AA444" s="36"/>
      <c r="AB444" s="36"/>
      <c r="AC444" s="36"/>
      <c r="AD444" s="36"/>
      <c r="AE444" s="36"/>
      <c r="AF444" s="36"/>
      <c r="AG444" s="36"/>
      <c r="AH444" s="36"/>
      <c r="AI444" s="36"/>
      <c r="AJ444" s="36"/>
      <c r="AK444" s="36"/>
      <c r="AL444" s="36"/>
      <c r="AM444" s="36"/>
      <c r="AN444" s="36"/>
    </row>
    <row r="445" spans="7:40">
      <c r="R445" s="243"/>
      <c r="S445" s="243"/>
      <c r="T445" s="243"/>
      <c r="U445" s="243"/>
      <c r="V445" s="243"/>
      <c r="W445" s="243"/>
      <c r="X445" s="1457"/>
      <c r="Y445" s="36"/>
      <c r="Z445" s="36"/>
      <c r="AA445" s="36"/>
      <c r="AB445" s="36"/>
      <c r="AC445" s="36"/>
      <c r="AD445" s="36"/>
      <c r="AE445" s="36"/>
      <c r="AF445" s="36"/>
      <c r="AG445" s="36"/>
      <c r="AH445" s="36"/>
      <c r="AI445" s="36"/>
      <c r="AJ445" s="36"/>
      <c r="AK445" s="36"/>
      <c r="AL445" s="36"/>
      <c r="AM445" s="36"/>
      <c r="AN445" s="36"/>
    </row>
    <row r="446" spans="7:40">
      <c r="R446" s="243"/>
      <c r="S446" s="243"/>
      <c r="T446" s="243"/>
      <c r="U446" s="243"/>
      <c r="V446" s="243"/>
      <c r="W446" s="243"/>
      <c r="X446" s="1457"/>
      <c r="Y446" s="36"/>
      <c r="Z446" s="36"/>
      <c r="AA446" s="36"/>
      <c r="AB446" s="36"/>
      <c r="AC446" s="36"/>
      <c r="AD446" s="36"/>
      <c r="AE446" s="36"/>
      <c r="AF446" s="36"/>
      <c r="AG446" s="36"/>
      <c r="AH446" s="36"/>
      <c r="AI446" s="36"/>
      <c r="AJ446" s="36"/>
      <c r="AK446" s="36"/>
      <c r="AL446" s="36"/>
      <c r="AM446" s="36"/>
      <c r="AN446" s="36"/>
    </row>
    <row r="447" spans="7:40">
      <c r="R447" s="243"/>
      <c r="S447" s="243"/>
      <c r="T447" s="243"/>
      <c r="U447" s="243"/>
      <c r="V447" s="243"/>
      <c r="W447" s="243"/>
      <c r="X447" s="1457"/>
      <c r="Y447" s="36"/>
      <c r="Z447" s="36"/>
      <c r="AA447" s="36"/>
      <c r="AB447" s="36"/>
      <c r="AC447" s="36"/>
      <c r="AD447" s="36"/>
      <c r="AE447" s="36"/>
      <c r="AF447" s="36"/>
      <c r="AG447" s="36"/>
      <c r="AH447" s="36"/>
      <c r="AI447" s="36"/>
      <c r="AJ447" s="36"/>
      <c r="AK447" s="36"/>
      <c r="AL447" s="36"/>
      <c r="AM447" s="36"/>
      <c r="AN447" s="36"/>
    </row>
  </sheetData>
  <sheetProtection algorithmName="SHA-512" hashValue="x7MVqoP32HSzgs6c5MW8ecWosr7s/dqWJtHjglpr4ASjrnEDfZKs2YKve50eiRAdFyIDWLMzrkVw1FgFfxvTAw==" saltValue="UePGu6oY9Pjngt4D0kdktQ==" spinCount="100000" sheet="1" formatColumns="0" formatRows="0"/>
  <protectedRanges>
    <protectedRange sqref="H3:K3" name="Range1"/>
  </protectedRanges>
  <mergeCells count="33">
    <mergeCell ref="H16:K16"/>
    <mergeCell ref="A1:T1"/>
    <mergeCell ref="H3:K3"/>
    <mergeCell ref="H4:K4"/>
    <mergeCell ref="H9:K9"/>
    <mergeCell ref="H10:K10"/>
    <mergeCell ref="H11:K11"/>
    <mergeCell ref="H12:K12"/>
    <mergeCell ref="H13:K13"/>
    <mergeCell ref="F14:G14"/>
    <mergeCell ref="H14:K14"/>
    <mergeCell ref="H15:K15"/>
    <mergeCell ref="H18:K18"/>
    <mergeCell ref="F31:F33"/>
    <mergeCell ref="Y31:Y33"/>
    <mergeCell ref="Z31:Z33"/>
    <mergeCell ref="F34:F37"/>
    <mergeCell ref="Y34:Y37"/>
    <mergeCell ref="Z34:Z37"/>
    <mergeCell ref="F38:F41"/>
    <mergeCell ref="Y38:Y41"/>
    <mergeCell ref="Z38:Z41"/>
    <mergeCell ref="F42:F45"/>
    <mergeCell ref="Y42:Y45"/>
    <mergeCell ref="Z42:Z45"/>
    <mergeCell ref="F146:G146"/>
    <mergeCell ref="AP48:AU48"/>
    <mergeCell ref="AP50:AS51"/>
    <mergeCell ref="AT50:AT51"/>
    <mergeCell ref="AU50:AU51"/>
    <mergeCell ref="AP52:AS53"/>
    <mergeCell ref="AT52:AT53"/>
    <mergeCell ref="AU52:AU53"/>
  </mergeCells>
  <conditionalFormatting sqref="H265:N265 H293:J294 I279:J292 I266:J277 H382:J383 L266:P277 L279:P292 I355:J367 O355:P367 H191:J191 R157:X157 R171:X173 R165:X166 R159:X163 R175:X181 R183:X185 H351:N352 H148:J186 H262:N263 O149:X149 O154:Q185 H353:J354">
    <cfRule type="expression" dxfId="325" priority="106">
      <formula>ISERROR(H148)</formula>
    </cfRule>
  </conditionalFormatting>
  <conditionalFormatting sqref="I368:J381 O368:P381">
    <cfRule type="expression" dxfId="324" priority="105">
      <formula>ISERROR(I368)</formula>
    </cfRule>
  </conditionalFormatting>
  <conditionalFormatting sqref="H224:J224 H229:N229">
    <cfRule type="expression" dxfId="323" priority="104">
      <formula>ISERROR(H224)</formula>
    </cfRule>
  </conditionalFormatting>
  <conditionalFormatting sqref="H323:N323 H322:J322">
    <cfRule type="expression" dxfId="322" priority="103">
      <formula>ISERROR(H322)</formula>
    </cfRule>
  </conditionalFormatting>
  <conditionalFormatting sqref="H412:N412 H411:J411">
    <cfRule type="expression" dxfId="321" priority="102">
      <formula>ISERROR(H411)</formula>
    </cfRule>
  </conditionalFormatting>
  <conditionalFormatting sqref="Q279:Q292 Q266:Q277">
    <cfRule type="expression" dxfId="320" priority="101">
      <formula>ISERROR(Q266)</formula>
    </cfRule>
  </conditionalFormatting>
  <conditionalFormatting sqref="K266:K277 K279:K292">
    <cfRule type="expression" dxfId="319" priority="100">
      <formula>ISERROR(K266)</formula>
    </cfRule>
  </conditionalFormatting>
  <conditionalFormatting sqref="H266:H277 H279:H292 I281:X282 I284:X288 I291:X291">
    <cfRule type="expression" dxfId="318" priority="99">
      <formula>ISERROR(H266)</formula>
    </cfRule>
  </conditionalFormatting>
  <conditionalFormatting sqref="I308:J321 I295:J306 O295:P306 O308:P321">
    <cfRule type="expression" dxfId="317" priority="98">
      <formula>ISERROR(I295)</formula>
    </cfRule>
  </conditionalFormatting>
  <conditionalFormatting sqref="Q308:Q321 Q295:Q306">
    <cfRule type="expression" dxfId="316" priority="97">
      <formula>ISERROR(Q295)</formula>
    </cfRule>
  </conditionalFormatting>
  <conditionalFormatting sqref="H295:H306 H308:H321 I310:J311 I305:J306 I299:J303 I313:J317 I319:J321 O319:X321 O313:X317 O299:X303 O305:X306 O310:X311">
    <cfRule type="expression" dxfId="315" priority="96">
      <formula>ISERROR(H295)</formula>
    </cfRule>
  </conditionalFormatting>
  <conditionalFormatting sqref="I337:J350 I324:J335 L324:P335 L337:P350">
    <cfRule type="expression" dxfId="314" priority="95">
      <formula>ISERROR(I324)</formula>
    </cfRule>
  </conditionalFormatting>
  <conditionalFormatting sqref="Q337:Q350 Q324:Q335">
    <cfRule type="expression" dxfId="313" priority="94">
      <formula>ISERROR(Q324)</formula>
    </cfRule>
  </conditionalFormatting>
  <conditionalFormatting sqref="K324:K335 K337:K350">
    <cfRule type="expression" dxfId="312" priority="93">
      <formula>ISERROR(K324)</formula>
    </cfRule>
  </conditionalFormatting>
  <conditionalFormatting sqref="H324:H335 H337:H350 I339:X340 I334:X335 I328:X332 I342:X346 I348:X350">
    <cfRule type="expression" dxfId="311" priority="92">
      <formula>ISERROR(H324)</formula>
    </cfRule>
  </conditionalFormatting>
  <conditionalFormatting sqref="H192:J207 H209:J223 R195:X195 R209:X211 R203:X204 R197:X201 R213:X219 R221:X223 O209:Q223 O192:Q207">
    <cfRule type="expression" dxfId="310" priority="91">
      <formula>ISERROR(H192)</formula>
    </cfRule>
  </conditionalFormatting>
  <conditionalFormatting sqref="H230:Q245 H247:Q261 R233:X233 R247:X249 R241:X242 R235:X239 R251:X257 R259:X261">
    <cfRule type="expression" dxfId="309" priority="90">
      <formula>ISERROR(H230)</formula>
    </cfRule>
  </conditionalFormatting>
  <conditionalFormatting sqref="H355:H367 I365:J366 I359:J363 O359:X363 O365:X366">
    <cfRule type="expression" dxfId="308" priority="89">
      <formula>ISERROR(H355)</formula>
    </cfRule>
  </conditionalFormatting>
  <conditionalFormatting sqref="H368:H381 I370:J371 I373:J377 I379:J381 O379:X381 O373:X377 O370:X371">
    <cfRule type="expression" dxfId="307" priority="88">
      <formula>ISERROR(H368)</formula>
    </cfRule>
  </conditionalFormatting>
  <conditionalFormatting sqref="Q355:Q367">
    <cfRule type="expression" dxfId="306" priority="87">
      <formula>ISERROR(Q355)</formula>
    </cfRule>
  </conditionalFormatting>
  <conditionalFormatting sqref="Q368:Q381">
    <cfRule type="expression" dxfId="305" priority="86">
      <formula>ISERROR(Q368)</formula>
    </cfRule>
  </conditionalFormatting>
  <conditionalFormatting sqref="I384:J396 O384:P396">
    <cfRule type="expression" dxfId="304" priority="85">
      <formula>ISERROR(I384)</formula>
    </cfRule>
  </conditionalFormatting>
  <conditionalFormatting sqref="I397:J410 O397:P410">
    <cfRule type="expression" dxfId="303" priority="84">
      <formula>ISERROR(I397)</formula>
    </cfRule>
  </conditionalFormatting>
  <conditionalFormatting sqref="H384:H396 I394:J395 I388:J392 O388:X392 O394:X395">
    <cfRule type="expression" dxfId="302" priority="83">
      <formula>ISERROR(H384)</formula>
    </cfRule>
  </conditionalFormatting>
  <conditionalFormatting sqref="H397:H410 I397:J400 I402:J406 I408:J410 O408:X410 O402:X406 O397:X400">
    <cfRule type="expression" dxfId="301" priority="82">
      <formula>ISERROR(H397)</formula>
    </cfRule>
  </conditionalFormatting>
  <conditionalFormatting sqref="Q384:Q396">
    <cfRule type="expression" dxfId="300" priority="81">
      <formula>ISERROR(Q384)</formula>
    </cfRule>
  </conditionalFormatting>
  <conditionalFormatting sqref="Q397:Q410">
    <cfRule type="expression" dxfId="299" priority="80">
      <formula>ISERROR(Q397)</formula>
    </cfRule>
  </conditionalFormatting>
  <conditionalFormatting sqref="I413:J425 L413:P425">
    <cfRule type="expression" dxfId="298" priority="79">
      <formula>ISERROR(I413)</formula>
    </cfRule>
  </conditionalFormatting>
  <conditionalFormatting sqref="I426:J439 L426:P439">
    <cfRule type="expression" dxfId="297" priority="78">
      <formula>ISERROR(I426)</formula>
    </cfRule>
  </conditionalFormatting>
  <conditionalFormatting sqref="K413:K425">
    <cfRule type="expression" dxfId="296" priority="77">
      <formula>ISERROR(K413)</formula>
    </cfRule>
  </conditionalFormatting>
  <conditionalFormatting sqref="K426:K439">
    <cfRule type="expression" dxfId="295" priority="76">
      <formula>ISERROR(K426)</formula>
    </cfRule>
  </conditionalFormatting>
  <conditionalFormatting sqref="H413:H425 I423:X424 I417:X421 I413:X415">
    <cfRule type="expression" dxfId="294" priority="75">
      <formula>ISERROR(H413)</formula>
    </cfRule>
  </conditionalFormatting>
  <conditionalFormatting sqref="H426:H439 I426:X429 I431:X435 I437:X439">
    <cfRule type="expression" dxfId="293" priority="74">
      <formula>ISERROR(H426)</formula>
    </cfRule>
  </conditionalFormatting>
  <conditionalFormatting sqref="Q413:Q425">
    <cfRule type="expression" dxfId="292" priority="73">
      <formula>ISERROR(Q413)</formula>
    </cfRule>
  </conditionalFormatting>
  <conditionalFormatting sqref="Q426:Q439">
    <cfRule type="expression" dxfId="291" priority="72">
      <formula>ISERROR(Q426)</formula>
    </cfRule>
  </conditionalFormatting>
  <conditionalFormatting sqref="H208:J208 O208:Q208">
    <cfRule type="expression" dxfId="290" priority="71">
      <formula>ISERROR(H208)</formula>
    </cfRule>
  </conditionalFormatting>
  <conditionalFormatting sqref="H246:Q246">
    <cfRule type="expression" dxfId="289" priority="70">
      <formula>ISERROR(H246)</formula>
    </cfRule>
  </conditionalFormatting>
  <conditionalFormatting sqref="Q152">
    <cfRule type="expression" dxfId="288" priority="69">
      <formula>ISERROR(Q152)</formula>
    </cfRule>
  </conditionalFormatting>
  <conditionalFormatting sqref="H189:J190 O189:Q190">
    <cfRule type="expression" dxfId="287" priority="68">
      <formula>ISERROR(H189)</formula>
    </cfRule>
  </conditionalFormatting>
  <conditionalFormatting sqref="Q189:Q190">
    <cfRule type="expression" dxfId="286" priority="67">
      <formula>ISERROR(Q189)</formula>
    </cfRule>
  </conditionalFormatting>
  <conditionalFormatting sqref="I227:Q228">
    <cfRule type="expression" dxfId="285" priority="66">
      <formula>ISERROR(I227)</formula>
    </cfRule>
  </conditionalFormatting>
  <conditionalFormatting sqref="H227:Q228">
    <cfRule type="expression" dxfId="284" priority="65">
      <formula>ISERROR(H227)</formula>
    </cfRule>
  </conditionalFormatting>
  <conditionalFormatting sqref="Q151">
    <cfRule type="expression" dxfId="283" priority="64">
      <formula>ISERROR(Q151)</formula>
    </cfRule>
  </conditionalFormatting>
  <conditionalFormatting sqref="T279:T292 T266:T277">
    <cfRule type="expression" dxfId="282" priority="63">
      <formula>ISERROR(T266)</formula>
    </cfRule>
  </conditionalFormatting>
  <conditionalFormatting sqref="T282">
    <cfRule type="expression" dxfId="281" priority="62">
      <formula>ISERROR(T282)</formula>
    </cfRule>
  </conditionalFormatting>
  <conditionalFormatting sqref="T308:T321 T295:T306">
    <cfRule type="expression" dxfId="280" priority="61">
      <formula>ISERROR(T295)</formula>
    </cfRule>
  </conditionalFormatting>
  <conditionalFormatting sqref="T311">
    <cfRule type="expression" dxfId="279" priority="60">
      <formula>ISERROR(T311)</formula>
    </cfRule>
  </conditionalFormatting>
  <conditionalFormatting sqref="T337:T350 T324:T335">
    <cfRule type="expression" dxfId="278" priority="59">
      <formula>ISERROR(T324)</formula>
    </cfRule>
  </conditionalFormatting>
  <conditionalFormatting sqref="T340">
    <cfRule type="expression" dxfId="277" priority="58">
      <formula>ISERROR(T340)</formula>
    </cfRule>
  </conditionalFormatting>
  <conditionalFormatting sqref="W279:X292 W266:X277">
    <cfRule type="expression" dxfId="276" priority="57">
      <formula>ISERROR(W266)</formula>
    </cfRule>
  </conditionalFormatting>
  <conditionalFormatting sqref="W282:X282">
    <cfRule type="expression" dxfId="275" priority="56">
      <formula>ISERROR(W282)</formula>
    </cfRule>
  </conditionalFormatting>
  <conditionalFormatting sqref="W308:X321 W295:X306">
    <cfRule type="expression" dxfId="274" priority="55">
      <formula>ISERROR(W295)</formula>
    </cfRule>
  </conditionalFormatting>
  <conditionalFormatting sqref="W311:X311">
    <cfRule type="expression" dxfId="273" priority="54">
      <formula>ISERROR(W311)</formula>
    </cfRule>
  </conditionalFormatting>
  <conditionalFormatting sqref="W337:X350 W324:X335">
    <cfRule type="expression" dxfId="272" priority="53">
      <formula>ISERROR(W324)</formula>
    </cfRule>
  </conditionalFormatting>
  <conditionalFormatting sqref="W340:X340">
    <cfRule type="expression" dxfId="271" priority="52">
      <formula>ISERROR(W340)</formula>
    </cfRule>
  </conditionalFormatting>
  <conditionalFormatting sqref="T154:T185">
    <cfRule type="expression" dxfId="270" priority="51">
      <formula>ISERROR(T154)</formula>
    </cfRule>
  </conditionalFormatting>
  <conditionalFormatting sqref="T192:T207 T209:T223">
    <cfRule type="expression" dxfId="269" priority="50">
      <formula>ISERROR(T192)</formula>
    </cfRule>
  </conditionalFormatting>
  <conditionalFormatting sqref="T230:T245 T247:T261">
    <cfRule type="expression" dxfId="268" priority="49">
      <formula>ISERROR(T230)</formula>
    </cfRule>
  </conditionalFormatting>
  <conditionalFormatting sqref="T208">
    <cfRule type="expression" dxfId="267" priority="48">
      <formula>ISERROR(T208)</formula>
    </cfRule>
  </conditionalFormatting>
  <conditionalFormatting sqref="T246">
    <cfRule type="expression" dxfId="266" priority="47">
      <formula>ISERROR(T246)</formula>
    </cfRule>
  </conditionalFormatting>
  <conditionalFormatting sqref="T152">
    <cfRule type="expression" dxfId="265" priority="46">
      <formula>ISERROR(T152)</formula>
    </cfRule>
  </conditionalFormatting>
  <conditionalFormatting sqref="T189:T190">
    <cfRule type="expression" dxfId="264" priority="45">
      <formula>ISERROR(T189)</formula>
    </cfRule>
  </conditionalFormatting>
  <conditionalFormatting sqref="T189:T190">
    <cfRule type="expression" dxfId="263" priority="44">
      <formula>ISERROR(T189)</formula>
    </cfRule>
  </conditionalFormatting>
  <conditionalFormatting sqref="T227:T228">
    <cfRule type="expression" dxfId="262" priority="43">
      <formula>ISERROR(T227)</formula>
    </cfRule>
  </conditionalFormatting>
  <conditionalFormatting sqref="T227:T228">
    <cfRule type="expression" dxfId="261" priority="42">
      <formula>ISERROR(T227)</formula>
    </cfRule>
  </conditionalFormatting>
  <conditionalFormatting sqref="T151">
    <cfRule type="expression" dxfId="260" priority="41">
      <formula>ISERROR(T151)</formula>
    </cfRule>
  </conditionalFormatting>
  <conditionalFormatting sqref="W154:X185">
    <cfRule type="expression" dxfId="259" priority="40">
      <formula>ISERROR(W154)</formula>
    </cfRule>
  </conditionalFormatting>
  <conditionalFormatting sqref="W192:X207 W209:X223">
    <cfRule type="expression" dxfId="258" priority="39">
      <formula>ISERROR(W192)</formula>
    </cfRule>
  </conditionalFormatting>
  <conditionalFormatting sqref="W230:X245 W247:X261">
    <cfRule type="expression" dxfId="257" priority="38">
      <formula>ISERROR(W230)</formula>
    </cfRule>
  </conditionalFormatting>
  <conditionalFormatting sqref="W208:X208">
    <cfRule type="expression" dxfId="256" priority="37">
      <formula>ISERROR(W208)</formula>
    </cfRule>
  </conditionalFormatting>
  <conditionalFormatting sqref="W246:X246">
    <cfRule type="expression" dxfId="255" priority="36">
      <formula>ISERROR(W246)</formula>
    </cfRule>
  </conditionalFormatting>
  <conditionalFormatting sqref="W152:X152">
    <cfRule type="expression" dxfId="254" priority="35">
      <formula>ISERROR(W152)</formula>
    </cfRule>
  </conditionalFormatting>
  <conditionalFormatting sqref="W189:X190">
    <cfRule type="expression" dxfId="253" priority="34">
      <formula>ISERROR(W189)</formula>
    </cfRule>
  </conditionalFormatting>
  <conditionalFormatting sqref="W189:X190">
    <cfRule type="expression" dxfId="252" priority="33">
      <formula>ISERROR(W189)</formula>
    </cfRule>
  </conditionalFormatting>
  <conditionalFormatting sqref="W227:X228">
    <cfRule type="expression" dxfId="251" priority="32">
      <formula>ISERROR(W227)</formula>
    </cfRule>
  </conditionalFormatting>
  <conditionalFormatting sqref="W227:X228">
    <cfRule type="expression" dxfId="250" priority="31">
      <formula>ISERROR(W227)</formula>
    </cfRule>
  </conditionalFormatting>
  <conditionalFormatting sqref="W151:X151">
    <cfRule type="expression" dxfId="249" priority="30">
      <formula>ISERROR(W151)</formula>
    </cfRule>
  </conditionalFormatting>
  <conditionalFormatting sqref="T371">
    <cfRule type="expression" dxfId="248" priority="29">
      <formula>ISERROR(T371)</formula>
    </cfRule>
  </conditionalFormatting>
  <conditionalFormatting sqref="T355:T367">
    <cfRule type="expression" dxfId="247" priority="28">
      <formula>ISERROR(T355)</formula>
    </cfRule>
  </conditionalFormatting>
  <conditionalFormatting sqref="T368:T381">
    <cfRule type="expression" dxfId="246" priority="27">
      <formula>ISERROR(T368)</formula>
    </cfRule>
  </conditionalFormatting>
  <conditionalFormatting sqref="T400">
    <cfRule type="expression" dxfId="245" priority="26">
      <formula>ISERROR(T400)</formula>
    </cfRule>
  </conditionalFormatting>
  <conditionalFormatting sqref="T384:T396">
    <cfRule type="expression" dxfId="244" priority="25">
      <formula>ISERROR(T384)</formula>
    </cfRule>
  </conditionalFormatting>
  <conditionalFormatting sqref="T397:T410">
    <cfRule type="expression" dxfId="243" priority="24">
      <formula>ISERROR(T397)</formula>
    </cfRule>
  </conditionalFormatting>
  <conditionalFormatting sqref="T429">
    <cfRule type="expression" dxfId="242" priority="23">
      <formula>ISERROR(T429)</formula>
    </cfRule>
  </conditionalFormatting>
  <conditionalFormatting sqref="T413:T425">
    <cfRule type="expression" dxfId="241" priority="22">
      <formula>ISERROR(T413)</formula>
    </cfRule>
  </conditionalFormatting>
  <conditionalFormatting sqref="T426:T439">
    <cfRule type="expression" dxfId="240" priority="21">
      <formula>ISERROR(T426)</formula>
    </cfRule>
  </conditionalFormatting>
  <conditionalFormatting sqref="W371:X371">
    <cfRule type="expression" dxfId="239" priority="20">
      <formula>ISERROR(W371)</formula>
    </cfRule>
  </conditionalFormatting>
  <conditionalFormatting sqref="W355:X367">
    <cfRule type="expression" dxfId="238" priority="19">
      <formula>ISERROR(W355)</formula>
    </cfRule>
  </conditionalFormatting>
  <conditionalFormatting sqref="W368:X381">
    <cfRule type="expression" dxfId="237" priority="18">
      <formula>ISERROR(W368)</formula>
    </cfRule>
  </conditionalFormatting>
  <conditionalFormatting sqref="W400:X400">
    <cfRule type="expression" dxfId="236" priority="17">
      <formula>ISERROR(W400)</formula>
    </cfRule>
  </conditionalFormatting>
  <conditionalFormatting sqref="W384:X396">
    <cfRule type="expression" dxfId="235" priority="16">
      <formula>ISERROR(W384)</formula>
    </cfRule>
  </conditionalFormatting>
  <conditionalFormatting sqref="W397:X410">
    <cfRule type="expression" dxfId="234" priority="15">
      <formula>ISERROR(W397)</formula>
    </cfRule>
  </conditionalFormatting>
  <conditionalFormatting sqref="W429:X429">
    <cfRule type="expression" dxfId="233" priority="14">
      <formula>ISERROR(W429)</formula>
    </cfRule>
  </conditionalFormatting>
  <conditionalFormatting sqref="W413:X425">
    <cfRule type="expression" dxfId="232" priority="13">
      <formula>ISERROR(W413)</formula>
    </cfRule>
  </conditionalFormatting>
  <conditionalFormatting sqref="W426:X439">
    <cfRule type="expression" dxfId="231" priority="12">
      <formula>ISERROR(W426)</formula>
    </cfRule>
  </conditionalFormatting>
  <conditionalFormatting sqref="H187:J187 O187:X187">
    <cfRule type="expression" dxfId="230" priority="11">
      <formula>ISERROR(H187)</formula>
    </cfRule>
  </conditionalFormatting>
  <conditionalFormatting sqref="H188:J188">
    <cfRule type="expression" dxfId="229" priority="10">
      <formula>ISERROR(H188)</formula>
    </cfRule>
  </conditionalFormatting>
  <conditionalFormatting sqref="H225:X225">
    <cfRule type="expression" dxfId="228" priority="9">
      <formula>ISERROR(H225)</formula>
    </cfRule>
  </conditionalFormatting>
  <conditionalFormatting sqref="H226:N226">
    <cfRule type="expression" dxfId="227" priority="8">
      <formula>ISERROR(H226)</formula>
    </cfRule>
  </conditionalFormatting>
  <conditionalFormatting sqref="AP52">
    <cfRule type="expression" dxfId="226" priority="7">
      <formula>$A10&gt;$B$4</formula>
    </cfRule>
  </conditionalFormatting>
  <conditionalFormatting sqref="Z31:Z46">
    <cfRule type="expression" dxfId="225" priority="6">
      <formula>Z31&gt;0</formula>
    </cfRule>
  </conditionalFormatting>
  <conditionalFormatting sqref="H62:X62 H69:X69 H71:X71 H54:X54 W53:X53 T53 Q53 N53 K53 H53">
    <cfRule type="expression" dxfId="224" priority="107">
      <formula>OR(H53=0,H53="",H53="N/A for this mode",H53="-")</formula>
    </cfRule>
    <cfRule type="expression" dxfId="223" priority="108">
      <formula>H53&gt;$AT$50</formula>
    </cfRule>
    <cfRule type="expression" dxfId="222" priority="109">
      <formula>H53&lt;$AT$52</formula>
    </cfRule>
  </conditionalFormatting>
  <conditionalFormatting sqref="H31:Y45 H46:X46">
    <cfRule type="expression" dxfId="221" priority="110">
      <formula>OR(H31=0,H31="",H31="N/A for this mode")</formula>
    </cfRule>
    <cfRule type="expression" dxfId="220" priority="111">
      <formula>H31&gt;$AU$50</formula>
    </cfRule>
    <cfRule type="expression" dxfId="219" priority="112">
      <formula>H31&lt;=$AU$52</formula>
    </cfRule>
  </conditionalFormatting>
  <conditionalFormatting sqref="K23:K147 K225:K292 K323:K352 K412:K439">
    <cfRule type="expression" dxfId="218" priority="5">
      <formula>$H$9&lt;2</formula>
    </cfRule>
  </conditionalFormatting>
  <conditionalFormatting sqref="N23:N147 N225:N292 N323:N352 N412:N439">
    <cfRule type="expression" dxfId="217" priority="4">
      <formula>$H$9&lt;3</formula>
    </cfRule>
  </conditionalFormatting>
  <conditionalFormatting sqref="Q23:Q439">
    <cfRule type="expression" dxfId="216" priority="3">
      <formula>$H$9&lt;4</formula>
    </cfRule>
  </conditionalFormatting>
  <conditionalFormatting sqref="T23:T439">
    <cfRule type="expression" dxfId="215" priority="2">
      <formula>$H$9&lt;5</formula>
    </cfRule>
  </conditionalFormatting>
  <conditionalFormatting sqref="W23:W439">
    <cfRule type="expression" dxfId="214" priority="1">
      <formula>$H$9&lt;6</formula>
    </cfRule>
  </conditionalFormatting>
  <dataValidations count="2">
    <dataValidation type="decimal" allowBlank="1" showInputMessage="1" showErrorMessage="1" sqref="AT52:AU52" xr:uid="{DD54B6E0-289B-4DEC-B49C-160E4C0B1A62}">
      <formula1>0</formula1>
      <formula2>AT50</formula2>
    </dataValidation>
    <dataValidation type="decimal" allowBlank="1" showInputMessage="1" showErrorMessage="1" sqref="AT50:AU50" xr:uid="{54B10C63-5378-43AC-A2E8-29108C88ECDF}">
      <formula1>0</formula1>
      <formula2>1</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D304462-B98A-4FAF-9B02-6509AA6D3E6A}">
          <x14:formula1>
            <xm:f>'Scenario Manager'!$C$7:$C$12</xm:f>
          </x14:formula1>
          <xm:sqref>H3:K3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5079F-2AA3-49AB-ACC7-832582E68727}">
  <sheetPr>
    <tabColor theme="4" tint="0.59999389629810485"/>
  </sheetPr>
  <dimension ref="A1:AU447"/>
  <sheetViews>
    <sheetView showGridLines="0" zoomScale="85" zoomScaleNormal="85" zoomScalePageLayoutView="117" workbookViewId="0">
      <selection activeCell="N5" sqref="N5"/>
    </sheetView>
  </sheetViews>
  <sheetFormatPr defaultColWidth="11.3046875" defaultRowHeight="14.6" outlineLevelRow="1"/>
  <cols>
    <col min="1" max="4" width="2.3046875" customWidth="1"/>
    <col min="5" max="5" width="1.84375" customWidth="1"/>
    <col min="6" max="6" width="22.3828125" customWidth="1"/>
    <col min="7" max="7" width="52.3046875" customWidth="1"/>
    <col min="8" max="8" width="15.15234375" style="7" customWidth="1"/>
    <col min="9" max="10" width="15.69140625" style="7" hidden="1" customWidth="1"/>
    <col min="11" max="11" width="16.3046875" style="7" customWidth="1"/>
    <col min="12" max="13" width="15.3046875" style="7" hidden="1" customWidth="1"/>
    <col min="14" max="14" width="15.15234375" style="7" customWidth="1"/>
    <col min="15" max="16" width="15.3046875" style="7" hidden="1" customWidth="1"/>
    <col min="17" max="17" width="15.15234375" style="7" customWidth="1"/>
    <col min="18" max="19" width="20.15234375" style="7" hidden="1" customWidth="1"/>
    <col min="20" max="20" width="15.15234375" style="7" customWidth="1"/>
    <col min="21" max="22" width="20.15234375" style="7" hidden="1" customWidth="1"/>
    <col min="23" max="23" width="15.15234375" style="7" customWidth="1"/>
    <col min="24" max="24" width="0.53515625" style="1444" customWidth="1"/>
    <col min="25" max="25" width="17" customWidth="1"/>
    <col min="26" max="26" width="13.84375" customWidth="1"/>
    <col min="28" max="28" width="9.84375" customWidth="1"/>
    <col min="29" max="29" width="7.84375" customWidth="1"/>
    <col min="32" max="32" width="8.3046875" customWidth="1"/>
    <col min="33" max="33" width="7.3828125" customWidth="1"/>
  </cols>
  <sheetData>
    <row r="1" spans="1:24" ht="33.75" customHeight="1">
      <c r="A1" s="2688" t="s">
        <v>5799</v>
      </c>
      <c r="B1" s="2688"/>
      <c r="C1" s="2688"/>
      <c r="D1" s="2688"/>
      <c r="E1" s="2688"/>
      <c r="F1" s="2688"/>
      <c r="G1" s="2688"/>
      <c r="H1" s="2688"/>
      <c r="I1" s="2688"/>
      <c r="J1" s="2688"/>
      <c r="K1" s="2688"/>
      <c r="L1" s="2688"/>
      <c r="M1" s="2688"/>
      <c r="N1" s="2688"/>
      <c r="O1" s="2688"/>
      <c r="P1" s="2688"/>
      <c r="Q1" s="2688"/>
      <c r="R1" s="2688"/>
      <c r="S1" s="2688"/>
      <c r="T1" s="2688"/>
    </row>
    <row r="2" spans="1:24">
      <c r="A2" s="486"/>
      <c r="T2" s="1585"/>
    </row>
    <row r="3" spans="1:24" ht="26.9" customHeight="1">
      <c r="F3" s="393" t="s">
        <v>2533</v>
      </c>
      <c r="G3" s="322"/>
      <c r="H3" s="2693" t="s">
        <v>5837</v>
      </c>
      <c r="I3" s="2693"/>
      <c r="J3" s="2693"/>
      <c r="K3" s="2693"/>
      <c r="N3" s="424"/>
      <c r="W3" s="261"/>
    </row>
    <row r="4" spans="1:24" ht="31.5" customHeight="1">
      <c r="F4" s="394" t="s">
        <v>470</v>
      </c>
      <c r="G4" s="323"/>
      <c r="H4" s="2694" t="str">
        <f>IFERROR(INDEX('Scenario Manager'!$B$7:$B$12,MATCH($H$3,'Scenario Manager'!$C$7:$C$12,0)),"Can't Find Selected Input Parameters Worksheet!")</f>
        <v>More Storage + High Demand</v>
      </c>
      <c r="I4" s="2694"/>
      <c r="J4" s="2694"/>
      <c r="K4" s="2694"/>
      <c r="W4" s="261"/>
    </row>
    <row r="5" spans="1:24" ht="22.5" customHeight="1"/>
    <row r="6" spans="1:24" ht="22.5" customHeight="1">
      <c r="W6" s="261"/>
    </row>
    <row r="7" spans="1:24" ht="30" customHeight="1"/>
    <row r="8" spans="1:24" ht="29.25" customHeight="1">
      <c r="E8" s="412" t="s">
        <v>457</v>
      </c>
      <c r="F8" s="324"/>
      <c r="G8" s="324"/>
      <c r="H8" s="324"/>
      <c r="I8" s="324"/>
      <c r="J8" s="324"/>
      <c r="K8" s="325"/>
    </row>
    <row r="9" spans="1:24" ht="25" customHeight="1">
      <c r="F9" s="487" t="s">
        <v>453</v>
      </c>
      <c r="G9" s="488"/>
      <c r="H9" s="2695">
        <f ca="1">INDIRECT("'"&amp;$H$3&amp;"'!$H$7")</f>
        <v>3</v>
      </c>
      <c r="I9" s="2696"/>
      <c r="J9" s="2696"/>
      <c r="K9" s="2697"/>
      <c r="L9" s="309"/>
      <c r="M9" s="309"/>
      <c r="N9" s="260"/>
      <c r="O9" s="260"/>
      <c r="P9" s="260"/>
      <c r="Q9" s="310"/>
      <c r="R9" s="305"/>
      <c r="S9" s="305"/>
      <c r="T9" s="306"/>
    </row>
    <row r="10" spans="1:24" ht="25" customHeight="1">
      <c r="F10" s="314" t="s">
        <v>2534</v>
      </c>
      <c r="G10" s="315"/>
      <c r="H10" s="2698">
        <f ca="1">IF(INDIRECT("'"&amp;$H$3&amp;"'!$H$7")=1,(INDIRECT("'"&amp;$H$3&amp;"'!$H$95")),
IF(INDIRECT("'"&amp;$H$3&amp;"'!$H$7")=2,(INDIRECT("'"&amp;$H$3&amp;"'!$K$95")),
IF(INDIRECT("'"&amp;$H$3&amp;"'!$H$7")=3,(INDIRECT("'"&amp;$H$3&amp;"'!$N$95")),
IF(INDIRECT("'"&amp;$H$3&amp;"'!$H$7")=4,(INDIRECT("'"&amp;$H$3&amp;"'!$Q$95")),
IF(INDIRECT("'"&amp;$H$3&amp;"'!$H$7")=5,(INDIRECT("'"&amp;$H$3&amp;"'!$T$95")),
(INDIRECT("'"&amp;$H$3&amp;"'!$W$95")))))))</f>
        <v>345</v>
      </c>
      <c r="I10" s="2698"/>
      <c r="J10" s="2698"/>
      <c r="K10" s="2698"/>
      <c r="L10" s="23"/>
      <c r="M10" s="23"/>
      <c r="N10" s="260"/>
      <c r="O10" s="260"/>
      <c r="P10" s="260"/>
      <c r="Q10" s="310"/>
      <c r="R10" s="305"/>
      <c r="S10" s="222"/>
      <c r="T10" s="307"/>
      <c r="U10" s="260"/>
      <c r="V10" s="260"/>
    </row>
    <row r="11" spans="1:24" ht="25" customHeight="1">
      <c r="F11" s="317" t="s">
        <v>5515</v>
      </c>
      <c r="G11" s="316"/>
      <c r="H11" s="2691">
        <f ca="1">IF(INDIRECT("'"&amp;$H$3&amp;"'!$H$7")=1,($H$52*INDIRECT("'"&amp;$H$3&amp;"'!$H$95")),
IF(INDIRECT("'"&amp;$H$3&amp;"'!$H$7")=2,($K$52*INDIRECT("'"&amp;$H$3&amp;"'!$K$95")),
IF(INDIRECT("'"&amp;$H$3&amp;"'!$H$7")=3,($N$52*INDIRECT("'"&amp;$H$3&amp;"'!$N$95")),
IF(INDIRECT("'"&amp;$H$3&amp;"'!$H$7")=4,($Q$52*INDIRECT("'"&amp;$H$3&amp;"'!$Q$95")),
IF(INDIRECT("'"&amp;$H$3&amp;"'!$H$7")=5,($T$52*INDIRECT("'"&amp;$H$3&amp;"'!$T$95")),
($W$52*INDIRECT("'"&amp;$H$3&amp;"'!$W$95")))))))</f>
        <v>2932.5</v>
      </c>
      <c r="I11" s="2691"/>
      <c r="J11" s="2691"/>
      <c r="K11" s="2691"/>
      <c r="L11" s="23"/>
      <c r="M11" s="23"/>
      <c r="N11" s="260"/>
      <c r="O11" s="260"/>
      <c r="P11" s="260"/>
      <c r="Q11" s="310"/>
      <c r="R11" s="305"/>
      <c r="S11" s="306"/>
      <c r="T11" s="307"/>
      <c r="U11" s="261"/>
      <c r="V11" s="261"/>
    </row>
    <row r="12" spans="1:24" ht="25" customHeight="1">
      <c r="F12" s="1889" t="s">
        <v>5516</v>
      </c>
      <c r="H12" s="2691">
        <f ca="1">IF(INDIRECT("'"&amp;$H$3&amp;"'!$H$7")=1,($H$64*INDIRECT("'"&amp;$H$3&amp;"'!$H$95")),
IF(INDIRECT("'"&amp;$H$3&amp;"'!$H$7")=2,($K$64*INDIRECT("'"&amp;$H$3&amp;"'!$K$95")),
IF(INDIRECT("'"&amp;$H$3&amp;"'!$H$7")=3,($N$64*INDIRECT("'"&amp;$H$3&amp;"'!$N$95")),
IF(INDIRECT("'"&amp;$H$3&amp;"'!$H$7")=4,($Q$64*INDIRECT("'"&amp;$H$3&amp;"'!$Q$95")),
IF(INDIRECT("'"&amp;$H$3&amp;"'!$H$7")=5,($T$64*INDIRECT("'"&amp;$H$3&amp;"'!$T$95")),
($W$64*INDIRECT("'"&amp;$H$3&amp;"'!$W$95")))))))</f>
        <v>0</v>
      </c>
      <c r="I12" s="2691"/>
      <c r="J12" s="2691"/>
      <c r="K12" s="2691"/>
      <c r="L12" s="23"/>
      <c r="M12" s="23"/>
      <c r="N12" s="260"/>
      <c r="O12" s="260"/>
      <c r="P12" s="260"/>
      <c r="Q12" s="310"/>
      <c r="R12" s="305"/>
      <c r="S12" s="306"/>
      <c r="T12" s="307"/>
      <c r="U12" s="261"/>
      <c r="V12" s="261"/>
    </row>
    <row r="13" spans="1:24" ht="25" customHeight="1">
      <c r="F13" s="317" t="s">
        <v>374</v>
      </c>
      <c r="G13" s="318"/>
      <c r="H13" s="2692">
        <f ca="1">INDIRECT("'"&amp;$H$3&amp;"'!$H$21")</f>
        <v>18450000</v>
      </c>
      <c r="I13" s="2692"/>
      <c r="J13" s="2692"/>
      <c r="K13" s="2692"/>
      <c r="L13" s="23"/>
      <c r="M13" s="23"/>
      <c r="N13" s="260"/>
      <c r="O13" s="260"/>
      <c r="P13" s="260"/>
      <c r="Q13" s="310"/>
      <c r="R13" s="305"/>
      <c r="S13" s="306"/>
      <c r="T13" s="307"/>
      <c r="U13" s="261"/>
      <c r="V13" s="261"/>
      <c r="W13" s="261"/>
      <c r="X13" s="1445"/>
    </row>
    <row r="14" spans="1:24" ht="41.25" customHeight="1">
      <c r="F14" s="2495" t="s">
        <v>830</v>
      </c>
      <c r="G14" s="2496"/>
      <c r="H14" s="2706">
        <f ca="1">SUM(H280:W280,H309:W309,H338:W338,H169:W169,H207:W207,H245:W245,H369:W369,H398:W398,H427:W427)</f>
        <v>467101.45822321251</v>
      </c>
      <c r="I14" s="2707"/>
      <c r="J14" s="2707"/>
      <c r="K14" s="2708"/>
      <c r="L14" s="23"/>
      <c r="M14" s="23"/>
      <c r="N14" s="260"/>
      <c r="O14" s="260"/>
      <c r="P14" s="260"/>
      <c r="Q14" s="310"/>
      <c r="R14" s="305"/>
      <c r="S14" s="306"/>
      <c r="T14" s="307"/>
      <c r="U14" s="261"/>
      <c r="V14" s="261"/>
      <c r="W14" s="261"/>
      <c r="X14" s="1445"/>
    </row>
    <row r="15" spans="1:24" ht="25" customHeight="1">
      <c r="F15" s="314" t="s">
        <v>456</v>
      </c>
      <c r="G15" s="316"/>
      <c r="H15" s="2706">
        <f ca="1">SUM(H267:W267,H281:W281,H296:W296,H310:W310,H325:W325,H339:W339,
H155:W155,H171:W171,H193:W193,H209:W209,H231:W231,H247:W247,
H356:W356,H370:W370,H385:W385,H399:W399,H414:W414,H428:W428)</f>
        <v>1404</v>
      </c>
      <c r="I15" s="2707"/>
      <c r="J15" s="2707"/>
      <c r="K15" s="2708"/>
      <c r="L15" s="23"/>
      <c r="M15" s="23"/>
      <c r="N15" s="260"/>
      <c r="O15" s="260"/>
      <c r="P15" s="260"/>
      <c r="Q15" s="310"/>
      <c r="R15" s="305"/>
      <c r="S15" s="306"/>
      <c r="T15" s="307"/>
      <c r="U15" s="261"/>
      <c r="V15" s="261"/>
      <c r="W15" s="261"/>
      <c r="X15" s="1445"/>
    </row>
    <row r="16" spans="1:24" ht="19.5" customHeight="1">
      <c r="F16" s="319" t="s">
        <v>469</v>
      </c>
      <c r="G16" s="320"/>
      <c r="H16" s="2709">
        <f ca="1">SUM(Z46,H55,K55,N55,Q55,T55,W55)</f>
        <v>3</v>
      </c>
      <c r="I16" s="2710"/>
      <c r="J16" s="2710"/>
      <c r="K16" s="2711"/>
      <c r="L16" s="23"/>
      <c r="M16" s="23"/>
      <c r="N16" s="260"/>
      <c r="O16" s="260"/>
      <c r="P16" s="260"/>
      <c r="Q16" s="310"/>
      <c r="R16" s="305"/>
      <c r="S16" s="306"/>
      <c r="T16" s="307"/>
      <c r="U16" s="261"/>
      <c r="V16" s="261"/>
      <c r="W16" s="261"/>
      <c r="X16" s="1445"/>
    </row>
    <row r="17" spans="5:29" ht="12.75" customHeight="1">
      <c r="F17" s="308"/>
      <c r="G17" s="311"/>
      <c r="H17" s="321"/>
      <c r="I17" s="137"/>
      <c r="J17" s="137"/>
      <c r="K17" s="137"/>
      <c r="L17" s="23"/>
      <c r="M17" s="23"/>
      <c r="N17" s="260"/>
      <c r="O17" s="260"/>
      <c r="P17" s="260"/>
      <c r="Q17" s="221"/>
      <c r="R17" s="1342"/>
      <c r="S17" s="1342"/>
      <c r="T17" s="1343"/>
      <c r="U17" s="260"/>
      <c r="V17" s="260"/>
      <c r="W17" s="260"/>
      <c r="X17" s="1446"/>
    </row>
    <row r="18" spans="5:29" ht="15" customHeight="1">
      <c r="F18" s="417" t="s">
        <v>393</v>
      </c>
      <c r="G18" s="418"/>
      <c r="H18" s="2712">
        <f ca="1">Y81</f>
        <v>1978930.1468091803</v>
      </c>
      <c r="I18" s="2713"/>
      <c r="J18" s="2713"/>
      <c r="K18" s="2714"/>
      <c r="L18" s="23"/>
      <c r="M18" s="23"/>
      <c r="N18" s="260"/>
      <c r="O18" s="260"/>
      <c r="P18" s="260"/>
      <c r="Q18" s="310"/>
      <c r="R18" s="305"/>
      <c r="S18" s="222"/>
      <c r="T18" s="1341"/>
      <c r="U18" s="222"/>
      <c r="V18" s="222"/>
      <c r="W18" s="222"/>
      <c r="X18" s="1447"/>
    </row>
    <row r="19" spans="5:29" ht="15" customHeight="1">
      <c r="F19" s="312"/>
      <c r="G19" s="312"/>
      <c r="H19" s="313"/>
      <c r="I19" s="313"/>
      <c r="J19" s="313"/>
      <c r="K19" s="313"/>
      <c r="L19" s="23"/>
      <c r="M19" s="23"/>
      <c r="N19" s="260"/>
      <c r="O19" s="260"/>
      <c r="P19" s="260"/>
      <c r="Q19" s="310"/>
      <c r="R19" s="305"/>
      <c r="S19" s="222"/>
      <c r="T19" s="307"/>
      <c r="U19" s="222"/>
      <c r="V19" s="222"/>
      <c r="W19" s="222"/>
      <c r="X19" s="1447"/>
    </row>
    <row r="20" spans="5:29" ht="15" customHeight="1">
      <c r="F20" s="312"/>
      <c r="G20" s="312"/>
      <c r="H20" s="313"/>
      <c r="I20" s="313"/>
      <c r="J20" s="313"/>
      <c r="K20" s="313"/>
      <c r="L20" s="23"/>
      <c r="M20" s="23"/>
      <c r="N20" s="260"/>
      <c r="O20" s="260"/>
      <c r="P20" s="260"/>
      <c r="Q20" s="310"/>
      <c r="R20" s="305"/>
      <c r="S20" s="222"/>
      <c r="T20" s="307"/>
      <c r="U20" s="222"/>
      <c r="V20" s="222"/>
      <c r="W20" s="222"/>
      <c r="X20" s="1447"/>
    </row>
    <row r="21" spans="5:29" ht="15" customHeight="1">
      <c r="L21" s="135"/>
      <c r="M21" s="135"/>
      <c r="N21" s="260"/>
      <c r="O21" s="260"/>
      <c r="P21" s="260"/>
      <c r="Q21" s="310"/>
      <c r="R21" s="305"/>
      <c r="S21" s="305"/>
      <c r="U21" s="260"/>
      <c r="V21" s="260"/>
      <c r="W21" s="260"/>
      <c r="X21" s="1446"/>
    </row>
    <row r="22" spans="5:29" ht="15.65" customHeight="1">
      <c r="F22" s="24"/>
      <c r="G22" s="24"/>
      <c r="H22" s="134"/>
      <c r="I22" s="134"/>
      <c r="J22" s="134"/>
      <c r="K22" s="134"/>
      <c r="L22" s="135"/>
      <c r="M22" s="135"/>
      <c r="Q22" s="136"/>
      <c r="R22" s="137"/>
      <c r="S22" s="137"/>
      <c r="T22" s="137"/>
      <c r="U22" s="137"/>
      <c r="V22" s="137"/>
      <c r="W22" s="137"/>
      <c r="X22" s="1448"/>
    </row>
    <row r="23" spans="5:29" ht="31.5" customHeight="1">
      <c r="E23" s="413" t="s">
        <v>458</v>
      </c>
      <c r="F23" s="1491"/>
      <c r="G23" s="1491"/>
      <c r="H23" s="1492" t="str">
        <f ca="1">IF($H$9&gt;=1,INDIRECT("'"&amp;$H$3&amp;"'!G$91"),"")</f>
        <v>CMS Tier</v>
      </c>
      <c r="I23" s="1492" t="str">
        <f t="shared" ref="I23:V23" ca="1" si="0">IF($H$9&gt;=1,"Tier 1","")</f>
        <v>Tier 1</v>
      </c>
      <c r="J23" s="1492" t="str">
        <f t="shared" ca="1" si="0"/>
        <v>Tier 1</v>
      </c>
      <c r="K23" s="1492" t="str">
        <f ca="1">IF($H$9&gt;=2,INDIRECT("'"&amp;$H$3&amp;"'!J$91"),"")</f>
        <v>Regional WH Tier</v>
      </c>
      <c r="L23" s="1492" t="str">
        <f t="shared" ca="1" si="0"/>
        <v>Tier 1</v>
      </c>
      <c r="M23" s="1492" t="str">
        <f t="shared" ca="1" si="0"/>
        <v>Tier 1</v>
      </c>
      <c r="N23" s="1492" t="str">
        <f ca="1">IF($H$9&gt;=3,INDIRECT("'"&amp;$H$3&amp;"'!M$91"),"")</f>
        <v>Health Facility Tier</v>
      </c>
      <c r="O23" s="1492" t="str">
        <f t="shared" ca="1" si="0"/>
        <v>Tier 1</v>
      </c>
      <c r="P23" s="1492" t="str">
        <f t="shared" ca="1" si="0"/>
        <v>Tier 1</v>
      </c>
      <c r="Q23" s="1492" t="str">
        <f ca="1">IF($H$9&gt;=4,INDIRECT("'"&amp;$H$3&amp;"'!P$91"),"")</f>
        <v/>
      </c>
      <c r="R23" s="1493" t="str">
        <f t="shared" ca="1" si="0"/>
        <v>Tier 1</v>
      </c>
      <c r="S23" s="136" t="str">
        <f t="shared" ca="1" si="0"/>
        <v>Tier 1</v>
      </c>
      <c r="T23" s="1492" t="str">
        <f ca="1">IF($H$9&gt;=5,INDIRECT("'"&amp;$H$3&amp;"'!S$91"),"")</f>
        <v/>
      </c>
      <c r="U23" s="136" t="str">
        <f t="shared" ca="1" si="0"/>
        <v>Tier 1</v>
      </c>
      <c r="V23" s="136" t="str">
        <f t="shared" ca="1" si="0"/>
        <v>Tier 1</v>
      </c>
      <c r="W23" s="1492" t="str">
        <f ca="1">IF($H$9&gt;=6,INDIRECT("'"&amp;$H$3&amp;"'!V$91"),"")</f>
        <v/>
      </c>
      <c r="X23" s="1494"/>
      <c r="Y23" s="1495" t="s">
        <v>473</v>
      </c>
    </row>
    <row r="24" spans="5:29" ht="15" customHeight="1">
      <c r="E24" s="367"/>
      <c r="F24" s="351" t="s">
        <v>465</v>
      </c>
      <c r="G24" s="332"/>
      <c r="H24" s="342"/>
      <c r="I24" s="342"/>
      <c r="J24" s="342"/>
      <c r="K24" s="342"/>
      <c r="L24" s="342"/>
      <c r="M24" s="342"/>
      <c r="N24" s="342"/>
      <c r="O24" s="342"/>
      <c r="P24" s="342"/>
      <c r="Q24" s="342"/>
      <c r="R24" s="343"/>
      <c r="S24" s="342"/>
      <c r="T24" s="342"/>
      <c r="U24" s="342"/>
      <c r="V24" s="342"/>
      <c r="W24" s="342"/>
      <c r="X24" s="1420"/>
      <c r="Y24" s="344"/>
    </row>
    <row r="25" spans="5:29" ht="16.5" customHeight="1">
      <c r="F25" s="345"/>
      <c r="G25" s="336" t="s">
        <v>32</v>
      </c>
      <c r="H25" s="387">
        <f ca="1">H81/$H$13</f>
        <v>3.5632260860835326E-2</v>
      </c>
      <c r="I25" s="387"/>
      <c r="J25" s="387"/>
      <c r="K25" s="387">
        <f ca="1">K81/$H$13</f>
        <v>3.1197038115035266E-2</v>
      </c>
      <c r="L25" s="387"/>
      <c r="M25" s="387"/>
      <c r="N25" s="388">
        <f ca="1">N81/$H$13</f>
        <v>4.0429787572052442E-2</v>
      </c>
      <c r="O25" s="388"/>
      <c r="P25" s="388"/>
      <c r="Q25" s="388">
        <f ca="1">Q81/$H$13</f>
        <v>0</v>
      </c>
      <c r="R25" s="388"/>
      <c r="S25" s="388"/>
      <c r="T25" s="388">
        <f ca="1">T81/$H$13</f>
        <v>0</v>
      </c>
      <c r="U25" s="388"/>
      <c r="V25" s="388"/>
      <c r="W25" s="1407">
        <f ca="1">W81/$H$13</f>
        <v>0</v>
      </c>
      <c r="X25" s="1449"/>
      <c r="Y25" s="389">
        <f ca="1">Y81/$H$13</f>
        <v>0.10725908654792304</v>
      </c>
    </row>
    <row r="26" spans="5:29" ht="16.5" customHeight="1">
      <c r="F26" s="345"/>
      <c r="G26" s="336" t="s">
        <v>2535</v>
      </c>
      <c r="H26" s="289">
        <f ca="1">H81/$H$11</f>
        <v>224.18251078684119</v>
      </c>
      <c r="I26" s="289"/>
      <c r="J26" s="289"/>
      <c r="K26" s="289">
        <f ca="1">K81/$H$11</f>
        <v>196.27804031454411</v>
      </c>
      <c r="L26" s="289"/>
      <c r="M26" s="289"/>
      <c r="N26" s="289">
        <f ca="1">N81/$H$11</f>
        <v>254.36643843286194</v>
      </c>
      <c r="O26" s="289"/>
      <c r="P26" s="289"/>
      <c r="Q26" s="289">
        <f ca="1">Q81/$H$11</f>
        <v>0</v>
      </c>
      <c r="R26" s="289"/>
      <c r="S26" s="289"/>
      <c r="T26" s="289">
        <f ca="1">T81/$H$11</f>
        <v>0</v>
      </c>
      <c r="U26" s="289"/>
      <c r="V26" s="289"/>
      <c r="W26" s="1408">
        <f ca="1">W81/$H$11</f>
        <v>0</v>
      </c>
      <c r="X26" s="1450"/>
      <c r="Y26" s="369">
        <f ca="1">Y81/$H$11</f>
        <v>674.82698953424733</v>
      </c>
    </row>
    <row r="27" spans="5:29" ht="16.5" customHeight="1">
      <c r="F27" s="345"/>
      <c r="G27" s="336" t="s">
        <v>183</v>
      </c>
      <c r="H27" s="302">
        <f ca="1">IFERROR((($H$13/$H$11)*H$60*INDIRECT("'"&amp;$H$3&amp;"'!H$95")),0)</f>
        <v>7627921.8750000019</v>
      </c>
      <c r="I27" s="302"/>
      <c r="J27" s="302"/>
      <c r="K27" s="302">
        <f ca="1">IFERROR((($H$13/$H$11)*K$60*INDIRECT("'"&amp;$H$3&amp;"'!K$95")),0)</f>
        <v>7264687.5000000009</v>
      </c>
      <c r="L27" s="302"/>
      <c r="M27" s="302"/>
      <c r="N27" s="302">
        <f ca="1">IFERROR((($H$13/$H$11)*N$60*INDIRECT("'"&amp;$H$3&amp;"'!N$95")),0)</f>
        <v>6918750.0000000009</v>
      </c>
      <c r="O27" s="303"/>
      <c r="P27" s="303"/>
      <c r="Q27" s="302">
        <f ca="1">IFERROR((($H$13/$H$11)*Q$60*INDIRECT("'"&amp;$H$3&amp;"'!Q$95")),0)</f>
        <v>0</v>
      </c>
      <c r="R27" s="304"/>
      <c r="S27" s="304"/>
      <c r="T27" s="302">
        <f ca="1">IFERROR((($H$13/$H$11)*T$60*INDIRECT("'"&amp;$H$3&amp;"'!T$95")),0)</f>
        <v>0</v>
      </c>
      <c r="U27" s="304"/>
      <c r="V27" s="304"/>
      <c r="W27" s="1409">
        <f ca="1">IFERROR((($H$13/$H$11)*W$60*INDIRECT("'"&amp;$H$3&amp;"'!W$95")),0)</f>
        <v>0</v>
      </c>
      <c r="X27" s="1451"/>
      <c r="Y27" s="370">
        <f ca="1">SUM(H27:N27)</f>
        <v>21811359.375000004</v>
      </c>
    </row>
    <row r="28" spans="5:29" ht="16.5" customHeight="1">
      <c r="F28" s="390"/>
      <c r="G28" s="210" t="s">
        <v>2536</v>
      </c>
      <c r="H28" s="391">
        <f ca="1">IFERROR(SUM(H280,H309,H338,H169,H207,H245,H369,H398,H427)/(H52*INDIRECT("'"&amp;$H$3&amp;"'!H$95")),0)</f>
        <v>0</v>
      </c>
      <c r="I28" s="391"/>
      <c r="J28" s="391"/>
      <c r="K28" s="391">
        <f ca="1">IFERROR(SUM(K280,K309,K338,K169,K207,K245,K369,K398,K427)/(K52*INDIRECT("'"&amp;$H$3&amp;"'!K$95")),0)</f>
        <v>46.553485162180813</v>
      </c>
      <c r="L28" s="391"/>
      <c r="M28" s="391"/>
      <c r="N28" s="391">
        <f ca="1">IFERROR(SUM(N280,N309,N338,N169,N207,N245,N369,N398,N427)/(N52*INDIRECT("'"&amp;$H$3&amp;"'!N$95")),0)</f>
        <v>110.4032253105584</v>
      </c>
      <c r="O28" s="391"/>
      <c r="P28" s="391"/>
      <c r="Q28" s="391">
        <f ca="1">IFERROR(SUM(Q280,Q309,Q338,Q169,Q207,Q245,Q369,Q398,Q427)/(Q52*INDIRECT("'"&amp;$H$3&amp;"'!Q$95")),0)</f>
        <v>0</v>
      </c>
      <c r="R28" s="391"/>
      <c r="S28" s="391"/>
      <c r="T28" s="391">
        <f ca="1">IFERROR(SUM(T280,T309,T338,T169,T207,T245,T369,T398,T427)/(T52*INDIRECT("'"&amp;$H$3&amp;"'!T$95")),0)</f>
        <v>0</v>
      </c>
      <c r="U28" s="391"/>
      <c r="V28" s="391"/>
      <c r="W28" s="1410">
        <f ca="1">IFERROR(SUM(W280,W309,W338,W169,W207,W245,W369,W398,W427)/(W52*INDIRECT("'"&amp;$H$3&amp;"'!W$95")),0)</f>
        <v>0</v>
      </c>
      <c r="X28" s="1418"/>
      <c r="Y28" s="392">
        <f ca="1">SUM(H28:W28)</f>
        <v>156.95671047273922</v>
      </c>
    </row>
    <row r="29" spans="5:29" ht="10" customHeight="1">
      <c r="H29" s="439"/>
      <c r="I29" s="439"/>
      <c r="J29" s="439"/>
      <c r="K29" s="439"/>
      <c r="L29" s="439"/>
      <c r="M29" s="439"/>
      <c r="N29" s="439"/>
      <c r="O29" s="439"/>
      <c r="P29" s="439"/>
      <c r="Q29" s="439"/>
      <c r="R29" s="439"/>
      <c r="S29" s="439"/>
      <c r="T29" s="439"/>
      <c r="U29" s="439"/>
      <c r="V29" s="439"/>
      <c r="W29" s="439"/>
      <c r="X29" s="1418"/>
      <c r="Y29" s="1443"/>
    </row>
    <row r="30" spans="5:29" ht="33.65" customHeight="1">
      <c r="F30" s="442" t="s">
        <v>468</v>
      </c>
      <c r="G30" s="332"/>
      <c r="H30" s="437"/>
      <c r="I30" s="437"/>
      <c r="J30" s="437"/>
      <c r="K30" s="437"/>
      <c r="L30" s="437"/>
      <c r="M30" s="437"/>
      <c r="N30" s="437"/>
      <c r="O30" s="437"/>
      <c r="P30" s="437"/>
      <c r="Q30" s="437"/>
      <c r="R30" s="438"/>
      <c r="S30" s="437"/>
      <c r="T30" s="437"/>
      <c r="U30" s="437"/>
      <c r="V30" s="437"/>
      <c r="W30" s="437"/>
      <c r="X30" s="1420"/>
      <c r="Y30" s="1415" t="s">
        <v>590</v>
      </c>
      <c r="Z30" s="441" t="s">
        <v>474</v>
      </c>
    </row>
    <row r="31" spans="5:29" ht="14.9" customHeight="1">
      <c r="F31" s="2481" t="s">
        <v>235</v>
      </c>
      <c r="G31" s="425" t="s">
        <v>209</v>
      </c>
      <c r="H31" s="2082">
        <f ca="1">_xlfn.IFNA(IF(IFERROR(OR(H175&lt;1,AND(H175&gt;0,H176&gt;0,H176&gt;H175,INDIRECT("'"&amp;$H$3&amp;"'!H143")="Route-based")),FALSE),0,H172),0)</f>
        <v>0</v>
      </c>
      <c r="I31" s="2082"/>
      <c r="J31" s="2082"/>
      <c r="K31" s="2082">
        <f ca="1">_xlfn.IFNA(IF(IFERROR(OR(K175&lt;1,AND(K175&gt;0,K176&gt;0,K176&gt;K175,INDIRECT("'"&amp;$H$3&amp;"'!K143")="Route-based")),FALSE),0,K172),0)</f>
        <v>0</v>
      </c>
      <c r="L31" s="2082"/>
      <c r="M31" s="2082"/>
      <c r="N31" s="2082">
        <f ca="1">_xlfn.IFNA(IF(IFERROR(OR(N175&lt;1,AND(N175&gt;0,N176&gt;0,N176&gt;N175,INDIRECT("'"&amp;$H$3&amp;"'!N143")="Route-based")),FALSE),0,N172),0)</f>
        <v>0</v>
      </c>
      <c r="O31" s="2082"/>
      <c r="P31" s="2082"/>
      <c r="Q31" s="2082">
        <f ca="1">_xlfn.IFNA(IF(IFERROR(OR(Q175&lt;1,AND(Q175&gt;0,Q176&gt;0,Q176&gt;Q175,INDIRECT("'"&amp;$H$3&amp;"'!Q143")="Route-based")),FALSE),0,Q172),0)</f>
        <v>0</v>
      </c>
      <c r="R31" s="2082"/>
      <c r="S31" s="2082"/>
      <c r="T31" s="2082">
        <f ca="1">_xlfn.IFNA(IF(IFERROR(OR(T175&lt;1,AND(T175&gt;0,T176&gt;0,T176&gt;T175,INDIRECT("'"&amp;$H$3&amp;"'!T143")="Route-based")),FALSE),0,T172),0)</f>
        <v>0</v>
      </c>
      <c r="U31" s="2082"/>
      <c r="V31" s="2082"/>
      <c r="W31" s="2083">
        <f ca="1">_xlfn.IFNA(IF(IFERROR(OR(W175&lt;1,AND(W175&gt;0,W176&gt;0,W176&gt;W175,INDIRECT("'"&amp;$H$3&amp;"'!W143")="Route-based")),FALSE),0,W172),0)</f>
        <v>0</v>
      </c>
      <c r="X31" s="1452"/>
      <c r="Y31" s="2720"/>
      <c r="Z31" s="2699">
        <f ca="1">COUNTIFS(H31:W33,"&gt;0",H31:W33,{"&gt;0.9","&lt;0.5"})</f>
        <v>0</v>
      </c>
      <c r="AA31" s="273"/>
      <c r="AB31" s="273"/>
      <c r="AC31" s="273"/>
    </row>
    <row r="32" spans="5:29" ht="14.9" customHeight="1">
      <c r="F32" s="2481"/>
      <c r="G32" s="426" t="s">
        <v>210</v>
      </c>
      <c r="H32" s="2084">
        <f ca="1">_xlfn.IFNA(IF(IFERROR(OR(H213&lt;1,AND(H213&gt;0,H214&gt;0,H214&gt;H213,INDIRECT("'"&amp;$H$3&amp;"'!H163")="Route-based")),FALSE),0,H210),0)</f>
        <v>0</v>
      </c>
      <c r="I32" s="2084"/>
      <c r="J32" s="2084"/>
      <c r="K32" s="2084">
        <f ca="1">_xlfn.IFNA(IF(IFERROR(OR(K213&lt;1,AND(K213&gt;0,K214&gt;0,K214&gt;K213,INDIRECT("'"&amp;$H$3&amp;"'!K163")="Route-based")),FALSE),0,K210),0)</f>
        <v>0</v>
      </c>
      <c r="L32" s="2084"/>
      <c r="M32" s="2084"/>
      <c r="N32" s="2084">
        <f ca="1">_xlfn.IFNA(IF(IFERROR(OR(N213&lt;1,AND(N213&gt;0,N214&gt;0,N214&gt;N213,INDIRECT("'"&amp;$H$3&amp;"'!N163")="Route-based")),FALSE),0,N210),0)</f>
        <v>0</v>
      </c>
      <c r="O32" s="2084"/>
      <c r="P32" s="2084"/>
      <c r="Q32" s="2084">
        <f ca="1">_xlfn.IFNA(IF(IFERROR(OR(Q213&lt;1,AND(Q213&gt;0,Q214&gt;0,Q214&gt;Q213,INDIRECT("'"&amp;$H$3&amp;"'!Q163")="Route-based")),FALSE),0,Q210),0)</f>
        <v>0</v>
      </c>
      <c r="R32" s="2084"/>
      <c r="S32" s="2084"/>
      <c r="T32" s="2084">
        <f ca="1">_xlfn.IFNA(IF(IFERROR(OR(T213&lt;1,AND(T213&gt;0,T214&gt;0,T214&gt;T213,INDIRECT("'"&amp;$H$3&amp;"'!T163")="Route-based")),FALSE),0,T210),0)</f>
        <v>0</v>
      </c>
      <c r="U32" s="2084"/>
      <c r="V32" s="2084"/>
      <c r="W32" s="2085">
        <f ca="1">_xlfn.IFNA(IF(IFERROR(OR(W213&lt;1,AND(W213&gt;0,W214&gt;0,W214&gt;W213,INDIRECT("'"&amp;$H$3&amp;"'!W163")="Route-based")),FALSE),0,W210),0)</f>
        <v>0</v>
      </c>
      <c r="X32" s="1452"/>
      <c r="Y32" s="2720"/>
      <c r="Z32" s="2700"/>
      <c r="AA32" s="273"/>
      <c r="AB32" s="273"/>
      <c r="AC32" s="273"/>
    </row>
    <row r="33" spans="6:47" ht="14.9" customHeight="1">
      <c r="F33" s="2482"/>
      <c r="G33" s="427" t="s">
        <v>211</v>
      </c>
      <c r="H33" s="2086">
        <f ca="1">_xlfn.IFNA(IF(IFERROR(OR(H251&lt;1,AND(H251&gt;0,H252&gt;0,H252&gt;H251,INDIRECT("'"&amp;$H$3&amp;"'!H183")="Route-based")),FALSE),0,H248),0)</f>
        <v>0</v>
      </c>
      <c r="I33" s="2086"/>
      <c r="J33" s="2086"/>
      <c r="K33" s="2086">
        <f ca="1">_xlfn.IFNA(IF(IFERROR(OR(K251&lt;1,AND(K251&gt;0,K252&gt;0,K252&gt;K251,INDIRECT("'"&amp;$H$3&amp;"'!K183")="Route-based")),FALSE),0,K248),0)</f>
        <v>0</v>
      </c>
      <c r="L33" s="2086"/>
      <c r="M33" s="2086"/>
      <c r="N33" s="2086">
        <f ca="1">_xlfn.IFNA(IF(IFERROR(OR(N251&lt;1,AND(N251&gt;0,N252&gt;0,N252&gt;N251,INDIRECT("'"&amp;$H$3&amp;"'!N183")="Route-based")),FALSE),0,N248),0)</f>
        <v>0</v>
      </c>
      <c r="O33" s="2086"/>
      <c r="P33" s="2086"/>
      <c r="Q33" s="2086">
        <f ca="1">_xlfn.IFNA(IF(IFERROR(OR(Q251&lt;1,AND(Q251&gt;0,Q252&gt;0,Q252&gt;Q251,INDIRECT("'"&amp;$H$3&amp;"'!Q183")="Route-based")),FALSE),0,Q248),0)</f>
        <v>0</v>
      </c>
      <c r="R33" s="2086"/>
      <c r="S33" s="2086"/>
      <c r="T33" s="2086">
        <f ca="1">_xlfn.IFNA(IF(IFERROR(OR(T251&lt;1,AND(T251&gt;0,T252&gt;0,T252&gt;T251,INDIRECT("'"&amp;$H$3&amp;"'!T183")="Route-based")),FALSE),0,T248),0)</f>
        <v>0</v>
      </c>
      <c r="U33" s="2086"/>
      <c r="V33" s="2086"/>
      <c r="W33" s="2087">
        <f ca="1">_xlfn.IFNA(IF(IFERROR(OR(W251&lt;1,AND(W251&gt;0,W252&gt;0,W252&gt;W251,INDIRECT("'"&amp;$H$3&amp;"'!W183")="Route-based")),FALSE),0,W248),0)</f>
        <v>0</v>
      </c>
      <c r="X33" s="1452"/>
      <c r="Y33" s="2721"/>
      <c r="Z33" s="2701"/>
      <c r="AA33" s="273"/>
      <c r="AB33" s="273"/>
      <c r="AC33" s="273"/>
    </row>
    <row r="34" spans="6:47" ht="15" customHeight="1">
      <c r="F34" s="2483" t="s">
        <v>236</v>
      </c>
      <c r="G34" s="428" t="s">
        <v>359</v>
      </c>
      <c r="H34" s="429">
        <f>IFERROR(((H168*H173)+(H206*H211)+(H244*H249))/(H168+H206+H244),IFERROR(H173+H211+H249,"Error"))</f>
        <v>0</v>
      </c>
      <c r="I34" s="429"/>
      <c r="J34" s="429"/>
      <c r="K34" s="429">
        <f ca="1">IFERROR(((K168*K173)+(K206*K211)+(K244*K249))/(K168+K206+K244),IFERROR(K173+K211+K249,"Error"))</f>
        <v>0.875</v>
      </c>
      <c r="L34" s="429"/>
      <c r="M34" s="429"/>
      <c r="N34" s="429">
        <f ca="1">IFERROR(((N168*N173)+(N206*N211)+(N244*N249))/(N168+N206+N244),IFERROR(N173+N211+N249,"Error"))</f>
        <v>0.70277777777777772</v>
      </c>
      <c r="O34" s="429"/>
      <c r="P34" s="429"/>
      <c r="Q34" s="429">
        <f ca="1">IFERROR(((Q168*Q173)+(Q206*Q211)+(Q244*Q249))/(Q168+Q206+Q244),IFERROR(Q173+Q211+Q249,"Error"))</f>
        <v>0</v>
      </c>
      <c r="R34" s="430"/>
      <c r="S34" s="430"/>
      <c r="T34" s="429">
        <f ca="1">IFERROR(((T168*T173)+(T206*T211)+(T244*T249))/(T168+T206+T244),IFERROR(T173+T211+T249,"Error"))</f>
        <v>0</v>
      </c>
      <c r="U34" s="430"/>
      <c r="V34" s="430"/>
      <c r="W34" s="1411">
        <f ca="1">IFERROR(((W168*W173)+(W206*W211)+(W244*W249))/(W168+W206+W244),IFERROR(W173+W211+W249,"Error"))</f>
        <v>0</v>
      </c>
      <c r="X34" s="1453"/>
      <c r="Y34" s="2702">
        <f ca="1">IFERROR(AVERAGEIF(H34:W34,"&lt;&gt;0"),"")</f>
        <v>0.78888888888888886</v>
      </c>
      <c r="Z34" s="2705">
        <f ca="1">COUNTIFS(H35:W37,"&gt;0",H35:W37,{"&gt;0.9","&lt;0.5"})</f>
        <v>0</v>
      </c>
    </row>
    <row r="35" spans="6:47" ht="15" customHeight="1">
      <c r="F35" s="2484"/>
      <c r="G35" s="425" t="s">
        <v>209</v>
      </c>
      <c r="H35" s="431">
        <f>_xlfn.IFNA(H173,0)</f>
        <v>0</v>
      </c>
      <c r="I35" s="431"/>
      <c r="J35" s="431"/>
      <c r="K35" s="431">
        <f ca="1">_xlfn.IFNA(K173,0)</f>
        <v>0.875</v>
      </c>
      <c r="L35" s="431"/>
      <c r="M35" s="431"/>
      <c r="N35" s="431">
        <f ca="1">_xlfn.IFNA(N173,0)</f>
        <v>0.70277777777777772</v>
      </c>
      <c r="O35" s="431"/>
      <c r="P35" s="431"/>
      <c r="Q35" s="431">
        <f ca="1">_xlfn.IFNA(Q173,0)</f>
        <v>0</v>
      </c>
      <c r="R35" s="432"/>
      <c r="S35" s="432"/>
      <c r="T35" s="431">
        <f ca="1">_xlfn.IFNA(T173,0)</f>
        <v>0</v>
      </c>
      <c r="U35" s="432"/>
      <c r="V35" s="432"/>
      <c r="W35" s="1412">
        <f ca="1">_xlfn.IFNA(W173,0)</f>
        <v>0</v>
      </c>
      <c r="X35" s="1454"/>
      <c r="Y35" s="2703"/>
      <c r="Z35" s="2705"/>
    </row>
    <row r="36" spans="6:47" ht="15" customHeight="1">
      <c r="F36" s="2484"/>
      <c r="G36" s="426" t="s">
        <v>210</v>
      </c>
      <c r="H36" s="433">
        <f>_xlfn.IFNA(H211,0)</f>
        <v>0</v>
      </c>
      <c r="I36" s="433"/>
      <c r="J36" s="433"/>
      <c r="K36" s="433">
        <f ca="1">_xlfn.IFNA(K211,0)</f>
        <v>0</v>
      </c>
      <c r="L36" s="433"/>
      <c r="M36" s="433"/>
      <c r="N36" s="433">
        <f ca="1">_xlfn.IFNA(N211,0)</f>
        <v>0</v>
      </c>
      <c r="O36" s="433"/>
      <c r="P36" s="433"/>
      <c r="Q36" s="433">
        <f ca="1">_xlfn.IFNA(Q211,0)</f>
        <v>0</v>
      </c>
      <c r="R36" s="434"/>
      <c r="S36" s="434"/>
      <c r="T36" s="433">
        <f ca="1">_xlfn.IFNA(T211,0)</f>
        <v>0</v>
      </c>
      <c r="U36" s="434"/>
      <c r="V36" s="434"/>
      <c r="W36" s="1413">
        <f ca="1">_xlfn.IFNA(W211,0)</f>
        <v>0</v>
      </c>
      <c r="X36" s="1454"/>
      <c r="Y36" s="2703"/>
      <c r="Z36" s="2705"/>
    </row>
    <row r="37" spans="6:47" ht="15" customHeight="1">
      <c r="F37" s="2485"/>
      <c r="G37" s="427" t="s">
        <v>211</v>
      </c>
      <c r="H37" s="2088">
        <f>_xlfn.IFNA(H249,0)</f>
        <v>0</v>
      </c>
      <c r="I37" s="2088"/>
      <c r="J37" s="2088"/>
      <c r="K37" s="2088">
        <f ca="1">_xlfn.IFNA(K249,0)</f>
        <v>0</v>
      </c>
      <c r="L37" s="2088"/>
      <c r="M37" s="2088"/>
      <c r="N37" s="2088">
        <f ca="1">_xlfn.IFNA(N249,0)</f>
        <v>0</v>
      </c>
      <c r="O37" s="2088"/>
      <c r="P37" s="2088"/>
      <c r="Q37" s="2088">
        <f ca="1">_xlfn.IFNA(Q249,0)</f>
        <v>0</v>
      </c>
      <c r="R37" s="2089"/>
      <c r="S37" s="2089"/>
      <c r="T37" s="2088">
        <f ca="1">_xlfn.IFNA(T249,0)</f>
        <v>0</v>
      </c>
      <c r="U37" s="2089"/>
      <c r="V37" s="2089"/>
      <c r="W37" s="2090">
        <f ca="1">_xlfn.IFNA(W249,0)</f>
        <v>0</v>
      </c>
      <c r="X37" s="1455"/>
      <c r="Y37" s="2704"/>
      <c r="Z37" s="2705"/>
    </row>
    <row r="38" spans="6:47" ht="15" customHeight="1">
      <c r="F38" s="2483" t="s">
        <v>238</v>
      </c>
      <c r="G38" s="428" t="s">
        <v>359</v>
      </c>
      <c r="H38" s="429">
        <f>IFERROR(((H279*H282)+(H308*H311)+(H337*H340))/(H279+H308+H337),IFERROR(H282+H311+H340,"Error"))</f>
        <v>0</v>
      </c>
      <c r="I38" s="429"/>
      <c r="J38" s="429"/>
      <c r="K38" s="429">
        <f ca="1">IFERROR(((K279*K282)+(K308*K311)+(K337*K340))/(K279+K308+K337),IFERROR(K282+K311+K340,"Error"))</f>
        <v>0</v>
      </c>
      <c r="L38" s="429"/>
      <c r="M38" s="429"/>
      <c r="N38" s="429">
        <f ca="1">IFERROR(((N279*N282)+(N308*N311)+(N337*N340))/(N279+N308+N337),IFERROR(N282+N311+N340,"Error"))</f>
        <v>0.78416666666666668</v>
      </c>
      <c r="O38" s="429"/>
      <c r="P38" s="429"/>
      <c r="Q38" s="429">
        <f ca="1">IFERROR(((Q279*Q282)+(Q308*Q311)+(Q337*Q340))/(Q279+Q308+Q337),IFERROR(Q282+Q311+Q340,"Error"))</f>
        <v>0</v>
      </c>
      <c r="R38" s="430"/>
      <c r="S38" s="430"/>
      <c r="T38" s="429">
        <f ca="1">IFERROR(((T279*T282)+(T308*T311)+(T337*T340))/(T279+T308+T337),IFERROR(T282+T311+T340,"Error"))</f>
        <v>0</v>
      </c>
      <c r="U38" s="430"/>
      <c r="V38" s="430"/>
      <c r="W38" s="1411">
        <f ca="1">IFERROR(((W279*W282)+(W308*W311)+(W337*W340))/(W279+W308+W337),IFERROR(W282+W311+W340,"Error"))</f>
        <v>0</v>
      </c>
      <c r="X38" s="1453"/>
      <c r="Y38" s="2717">
        <f ca="1">IFERROR(AVERAGEIF(H38:W38,"&lt;&gt;0"),"")</f>
        <v>0.78416666666666668</v>
      </c>
      <c r="Z38" s="2705">
        <f ca="1">COUNTIFS(H39:W41,"&gt;0",H39:W41,{"&gt;0.9","&lt;0.5"})</f>
        <v>0</v>
      </c>
    </row>
    <row r="39" spans="6:47" ht="15" customHeight="1">
      <c r="F39" s="2484"/>
      <c r="G39" s="425" t="s">
        <v>209</v>
      </c>
      <c r="H39" s="431">
        <f>_xlfn.IFNA(H282,0)</f>
        <v>0</v>
      </c>
      <c r="I39" s="431"/>
      <c r="J39" s="431"/>
      <c r="K39" s="431">
        <f ca="1">_xlfn.IFNA(K282,0)</f>
        <v>0</v>
      </c>
      <c r="L39" s="431"/>
      <c r="M39" s="431"/>
      <c r="N39" s="431">
        <f ca="1">_xlfn.IFNA(N282,0)</f>
        <v>0.78416666666666668</v>
      </c>
      <c r="O39" s="431"/>
      <c r="P39" s="431"/>
      <c r="Q39" s="431">
        <f ca="1">_xlfn.IFNA(Q282,0)</f>
        <v>0</v>
      </c>
      <c r="R39" s="431"/>
      <c r="S39" s="431"/>
      <c r="T39" s="431">
        <f ca="1">_xlfn.IFNA(T282,0)</f>
        <v>0</v>
      </c>
      <c r="U39" s="431"/>
      <c r="V39" s="431"/>
      <c r="W39" s="1412">
        <f ca="1">_xlfn.IFNA(W282,0)</f>
        <v>0</v>
      </c>
      <c r="X39" s="1454"/>
      <c r="Y39" s="2718"/>
      <c r="Z39" s="2705"/>
    </row>
    <row r="40" spans="6:47" ht="15" customHeight="1">
      <c r="F40" s="2484"/>
      <c r="G40" s="426" t="s">
        <v>210</v>
      </c>
      <c r="H40" s="433">
        <f>_xlfn.IFNA(H311,0)</f>
        <v>0</v>
      </c>
      <c r="I40" s="433"/>
      <c r="J40" s="433"/>
      <c r="K40" s="433">
        <f ca="1">_xlfn.IFNA(K311,0)</f>
        <v>0</v>
      </c>
      <c r="L40" s="433"/>
      <c r="M40" s="433"/>
      <c r="N40" s="433">
        <f ca="1">_xlfn.IFNA(N311,0)</f>
        <v>0</v>
      </c>
      <c r="O40" s="433"/>
      <c r="P40" s="433"/>
      <c r="Q40" s="433">
        <f ca="1">_xlfn.IFNA(Q311,0)</f>
        <v>0</v>
      </c>
      <c r="R40" s="433"/>
      <c r="S40" s="433"/>
      <c r="T40" s="433">
        <f ca="1">_xlfn.IFNA(T311,0)</f>
        <v>0</v>
      </c>
      <c r="U40" s="433"/>
      <c r="V40" s="433"/>
      <c r="W40" s="1413">
        <f ca="1">_xlfn.IFNA(W311,0)</f>
        <v>0</v>
      </c>
      <c r="X40" s="1454"/>
      <c r="Y40" s="2718"/>
      <c r="Z40" s="2705"/>
    </row>
    <row r="41" spans="6:47" ht="15" customHeight="1">
      <c r="F41" s="2485"/>
      <c r="G41" s="427" t="s">
        <v>211</v>
      </c>
      <c r="H41" s="2088">
        <f>_xlfn.IFNA(H340,0)</f>
        <v>0</v>
      </c>
      <c r="I41" s="2088"/>
      <c r="J41" s="2088"/>
      <c r="K41" s="2088">
        <f ca="1">_xlfn.IFNA(K340,0)</f>
        <v>0</v>
      </c>
      <c r="L41" s="2088"/>
      <c r="M41" s="2088"/>
      <c r="N41" s="2088">
        <f ca="1">_xlfn.IFNA(N340,0)</f>
        <v>0</v>
      </c>
      <c r="O41" s="2088"/>
      <c r="P41" s="2088"/>
      <c r="Q41" s="2088">
        <f ca="1">_xlfn.IFNA(Q340,0)</f>
        <v>0</v>
      </c>
      <c r="R41" s="2088"/>
      <c r="S41" s="2088"/>
      <c r="T41" s="2088">
        <f ca="1">_xlfn.IFNA(T340,0)</f>
        <v>0</v>
      </c>
      <c r="U41" s="2088"/>
      <c r="V41" s="2088"/>
      <c r="W41" s="2090">
        <f ca="1">_xlfn.IFNA(W340,0)</f>
        <v>0</v>
      </c>
      <c r="X41" s="1455"/>
      <c r="Y41" s="2719"/>
      <c r="Z41" s="2705"/>
    </row>
    <row r="42" spans="6:47" ht="15" customHeight="1">
      <c r="F42" s="2483" t="s">
        <v>237</v>
      </c>
      <c r="G42" s="428" t="s">
        <v>359</v>
      </c>
      <c r="H42" s="429">
        <f>IFERROR(((H368*H371)+(H397*H400)+(H426*H429))/(H368+H397+H426),IFERROR(H371+H400+H429,"Error"))</f>
        <v>0</v>
      </c>
      <c r="I42" s="429"/>
      <c r="J42" s="429"/>
      <c r="K42" s="429">
        <f t="shared" ref="K42:Q42" ca="1" si="1">IFERROR(((K368*K371)+(K397*K400)+(K426*K429))/(K368+K397+K426),IFERROR(K371+K400+K429,"Error"))</f>
        <v>0</v>
      </c>
      <c r="L42" s="429"/>
      <c r="M42" s="429"/>
      <c r="N42" s="429">
        <f t="shared" ca="1" si="1"/>
        <v>0</v>
      </c>
      <c r="O42" s="429"/>
      <c r="P42" s="429"/>
      <c r="Q42" s="429">
        <f t="shared" ca="1" si="1"/>
        <v>0</v>
      </c>
      <c r="R42" s="430"/>
      <c r="S42" s="430"/>
      <c r="T42" s="429">
        <f ca="1">IFERROR(((T368*T371)+(T397*T400)+(T426*T429))/(T368+T397+T426),IFERROR(T371+T400+T429,"Error"))</f>
        <v>0</v>
      </c>
      <c r="U42" s="430"/>
      <c r="V42" s="430"/>
      <c r="W42" s="1411">
        <f ca="1">IFERROR(((W368*W371)+(W397*W400)+(W426*W429))/(W368+W397+W426),IFERROR(W371+W400+W429,"Error"))</f>
        <v>0</v>
      </c>
      <c r="X42" s="1453"/>
      <c r="Y42" s="2717" t="str">
        <f ca="1">IFERROR(AVERAGEIF(H42:W42,"&lt;&gt;0"),"")</f>
        <v/>
      </c>
      <c r="Z42" s="2705">
        <f ca="1">COUNTIFS(H43:W45,"&gt;0",H43:W45,{"&gt;0.9","&lt;0.5"})</f>
        <v>0</v>
      </c>
    </row>
    <row r="43" spans="6:47" ht="15" customHeight="1">
      <c r="F43" s="2484"/>
      <c r="G43" s="425" t="s">
        <v>209</v>
      </c>
      <c r="H43" s="431">
        <f>_xlfn.IFNA(H371,0)</f>
        <v>0</v>
      </c>
      <c r="I43" s="431"/>
      <c r="J43" s="431"/>
      <c r="K43" s="431">
        <f ca="1">_xlfn.IFNA(K371,0)</f>
        <v>0</v>
      </c>
      <c r="L43" s="431"/>
      <c r="M43" s="431"/>
      <c r="N43" s="431">
        <f ca="1">_xlfn.IFNA(N371,0)</f>
        <v>0</v>
      </c>
      <c r="O43" s="431"/>
      <c r="P43" s="431"/>
      <c r="Q43" s="431">
        <f ca="1">_xlfn.IFNA(Q371,0)</f>
        <v>0</v>
      </c>
      <c r="R43" s="431"/>
      <c r="S43" s="431"/>
      <c r="T43" s="431">
        <f ca="1">_xlfn.IFNA(T371,0)</f>
        <v>0</v>
      </c>
      <c r="U43" s="431"/>
      <c r="V43" s="431"/>
      <c r="W43" s="1412">
        <f ca="1">_xlfn.IFNA(W371,0)</f>
        <v>0</v>
      </c>
      <c r="X43" s="1454"/>
      <c r="Y43" s="2718"/>
      <c r="Z43" s="2705"/>
    </row>
    <row r="44" spans="6:47" ht="15" customHeight="1">
      <c r="F44" s="2484"/>
      <c r="G44" s="426" t="s">
        <v>210</v>
      </c>
      <c r="H44" s="433">
        <f>_xlfn.IFNA(H400,0)</f>
        <v>0</v>
      </c>
      <c r="I44" s="433"/>
      <c r="J44" s="433"/>
      <c r="K44" s="433">
        <f ca="1">_xlfn.IFNA(K400,0)</f>
        <v>0</v>
      </c>
      <c r="L44" s="433"/>
      <c r="M44" s="433"/>
      <c r="N44" s="433">
        <f ca="1">_xlfn.IFNA(N400,0)</f>
        <v>0</v>
      </c>
      <c r="O44" s="433"/>
      <c r="P44" s="433"/>
      <c r="Q44" s="433">
        <f ca="1">_xlfn.IFNA(Q400,0)</f>
        <v>0</v>
      </c>
      <c r="R44" s="433"/>
      <c r="S44" s="433"/>
      <c r="T44" s="433">
        <f ca="1">_xlfn.IFNA(T400,0)</f>
        <v>0</v>
      </c>
      <c r="U44" s="433"/>
      <c r="V44" s="433"/>
      <c r="W44" s="1413">
        <f ca="1">_xlfn.IFNA(W400,0)</f>
        <v>0</v>
      </c>
      <c r="X44" s="1454"/>
      <c r="Y44" s="2718"/>
      <c r="Z44" s="2705"/>
    </row>
    <row r="45" spans="6:47" ht="15" customHeight="1">
      <c r="F45" s="2485"/>
      <c r="G45" s="427" t="s">
        <v>211</v>
      </c>
      <c r="H45" s="2088">
        <f>_xlfn.IFNA(H429,0)</f>
        <v>0</v>
      </c>
      <c r="I45" s="2088"/>
      <c r="J45" s="2088"/>
      <c r="K45" s="2088">
        <f ca="1">_xlfn.IFNA(K429,0)</f>
        <v>0</v>
      </c>
      <c r="L45" s="2088"/>
      <c r="M45" s="2088"/>
      <c r="N45" s="2088">
        <f ca="1">_xlfn.IFNA(N429,0)</f>
        <v>0</v>
      </c>
      <c r="O45" s="2088"/>
      <c r="P45" s="2088"/>
      <c r="Q45" s="2088">
        <f ca="1">_xlfn.IFNA(Q429,0)</f>
        <v>0</v>
      </c>
      <c r="R45" s="2088"/>
      <c r="S45" s="2088"/>
      <c r="T45" s="2088">
        <f ca="1">_xlfn.IFNA(T429,0)</f>
        <v>0</v>
      </c>
      <c r="U45" s="2088"/>
      <c r="V45" s="2088"/>
      <c r="W45" s="2090">
        <f ca="1">_xlfn.IFNA(W429,0)</f>
        <v>0</v>
      </c>
      <c r="X45" s="1455"/>
      <c r="Y45" s="2719"/>
      <c r="Z45" s="2705"/>
    </row>
    <row r="46" spans="6:47" ht="29.25" customHeight="1">
      <c r="F46" s="455" t="s">
        <v>481</v>
      </c>
      <c r="G46" s="490" t="s">
        <v>482</v>
      </c>
      <c r="H46" s="454" t="str">
        <f>IFERROR(SUM(IF(H34&gt;0,H34,0),IF(H38&gt;0,H38,0),IF(H42&gt;0,H42,0))/SUM(IF(H34&gt;0,1,0),IF(H38&gt;0,1,0),IF(H42&gt;0,1,0)),"")</f>
        <v/>
      </c>
      <c r="I46" s="454"/>
      <c r="J46" s="454"/>
      <c r="K46" s="454">
        <f ca="1">IFERROR(SUM(IF(K34&gt;0,K34,0),IF(K38&gt;0,K38,0),IF(K42&gt;0,K42,0))/SUM(IF(K34&gt;0,1,0),IF(K38&gt;0,1,0),IF(K42&gt;0,1,0)),"")</f>
        <v>0.875</v>
      </c>
      <c r="L46" s="454"/>
      <c r="M46" s="454"/>
      <c r="N46" s="454">
        <f ca="1">IFERROR(SUM(IF(N34&gt;0,N34,0),IF(N38&gt;0,N38,0),IF(N42&gt;0,N42,0))/SUM(IF(N34&gt;0,1,0),IF(N38&gt;0,1,0),IF(N42&gt;0,1,0)),"")</f>
        <v>0.7434722222222222</v>
      </c>
      <c r="O46" s="454"/>
      <c r="P46" s="454"/>
      <c r="Q46" s="454" t="str">
        <f ca="1">IFERROR(SUM(IF(Q34&gt;0,Q34,0),IF(Q38&gt;0,Q38,0),IF(Q42&gt;0,Q42,0))/SUM(IF(Q34&gt;0,1,0),IF(Q38&gt;0,1,0),IF(Q42&gt;0,1,0)),"")</f>
        <v/>
      </c>
      <c r="R46" s="454"/>
      <c r="S46" s="454"/>
      <c r="T46" s="454" t="str">
        <f ca="1">IFERROR(SUM(IF(T34&gt;0,T34,0),IF(T38&gt;0,T38,0),IF(T42&gt;0,T42,0))/SUM(IF(T34&gt;0,1,0),IF(T38&gt;0,1,0),IF(T42&gt;0,1,0)),"")</f>
        <v/>
      </c>
      <c r="U46" s="454"/>
      <c r="V46" s="454"/>
      <c r="W46" s="1414" t="str">
        <f ca="1">IFERROR(SUM(IF(W34&gt;0,W34,0),IF(W38&gt;0,W38,0),IF(W42&gt;0,W42,0))/SUM(IF(W34&gt;0,1,0),IF(W38&gt;0,1,0),IF(W42&gt;0,1,0)),"")</f>
        <v/>
      </c>
      <c r="X46" s="1456"/>
      <c r="Y46" s="1416" t="s">
        <v>591</v>
      </c>
      <c r="Z46" s="448">
        <f ca="1">SUM(Z31:Z45)</f>
        <v>0</v>
      </c>
    </row>
    <row r="47" spans="6:47" ht="16.5" customHeight="1">
      <c r="F47" s="240"/>
      <c r="G47" s="52"/>
      <c r="AB47" s="456"/>
      <c r="AC47" s="456"/>
      <c r="AD47" s="456"/>
      <c r="AE47" s="456"/>
      <c r="AF47" s="456"/>
      <c r="AG47" s="456"/>
      <c r="AH47" s="456"/>
      <c r="AI47" s="456"/>
      <c r="AJ47" s="456"/>
    </row>
    <row r="48" spans="6:47" ht="32.9" customHeight="1">
      <c r="AB48" s="456"/>
      <c r="AC48" s="456"/>
      <c r="AD48" s="456"/>
      <c r="AE48" s="456"/>
      <c r="AF48" s="456"/>
      <c r="AG48" s="456"/>
      <c r="AH48" s="456"/>
      <c r="AI48" s="456"/>
      <c r="AJ48" s="456"/>
      <c r="AP48" s="2505" t="s">
        <v>675</v>
      </c>
      <c r="AQ48" s="2506"/>
      <c r="AR48" s="2506"/>
      <c r="AS48" s="2506"/>
      <c r="AT48" s="2506"/>
      <c r="AU48" s="2507"/>
    </row>
    <row r="49" spans="5:47">
      <c r="H49" s="243" t="str">
        <f ca="1">"Overall Storage Capacity - "&amp;H50</f>
        <v>Overall Storage Capacity - CMS Tier</v>
      </c>
      <c r="I49" s="243"/>
      <c r="J49" s="243"/>
      <c r="K49" s="243" t="str">
        <f ca="1">"Overall Storage Capacity - "&amp;K50</f>
        <v>Overall Storage Capacity - Regional WH Tier</v>
      </c>
      <c r="L49" s="243"/>
      <c r="M49" s="243"/>
      <c r="N49" s="243" t="str">
        <f ca="1">"Overall Storage Capacity - "&amp;N50</f>
        <v>Overall Storage Capacity - Health Facility Tier</v>
      </c>
      <c r="O49" s="243"/>
      <c r="P49" s="243"/>
      <c r="Q49" s="243" t="str">
        <f ca="1">"Overall Storage Capacity - "&amp;Q50</f>
        <v xml:space="preserve">Overall Storage Capacity - </v>
      </c>
      <c r="R49" s="243"/>
      <c r="S49" s="243"/>
      <c r="T49" s="243" t="str">
        <f ca="1">"Overall Storage Capacity - "&amp;T50</f>
        <v xml:space="preserve">Overall Storage Capacity - </v>
      </c>
      <c r="U49" s="243"/>
      <c r="V49" s="243"/>
      <c r="W49" s="243" t="str">
        <f ca="1">"Overall Storage Capacity - "&amp;W50</f>
        <v xml:space="preserve">Overall Storage Capacity - </v>
      </c>
      <c r="X49" s="1457"/>
      <c r="AB49" s="456"/>
      <c r="AC49" s="456"/>
      <c r="AD49" s="456"/>
      <c r="AE49" s="456"/>
      <c r="AF49" s="456"/>
      <c r="AG49" s="456"/>
      <c r="AH49" s="456"/>
      <c r="AI49" s="456"/>
      <c r="AJ49" s="456"/>
      <c r="AP49" s="449"/>
      <c r="AQ49" s="450"/>
      <c r="AR49" s="450"/>
      <c r="AS49" s="450"/>
      <c r="AT49" s="451" t="s">
        <v>479</v>
      </c>
      <c r="AU49" s="452" t="s">
        <v>480</v>
      </c>
    </row>
    <row r="50" spans="5:47" ht="33.75" customHeight="1">
      <c r="E50" s="1500" t="s">
        <v>459</v>
      </c>
      <c r="F50" s="1496"/>
      <c r="G50" s="1497"/>
      <c r="H50" s="1498" t="str">
        <f ca="1">IF($H$9&gt;=1,INDIRECT("'"&amp;$H$3&amp;"'!G$91"),"")</f>
        <v>CMS Tier</v>
      </c>
      <c r="I50" s="1498" t="str">
        <f t="shared" ref="I50:V50" ca="1" si="2">IF($H$9&gt;=1,"Tier 1","")</f>
        <v>Tier 1</v>
      </c>
      <c r="J50" s="1498" t="str">
        <f t="shared" ca="1" si="2"/>
        <v>Tier 1</v>
      </c>
      <c r="K50" s="1498" t="str">
        <f ca="1">IF($H$9&gt;=2,INDIRECT("'"&amp;$H$3&amp;"'!J$91"),"")</f>
        <v>Regional WH Tier</v>
      </c>
      <c r="L50" s="1498" t="str">
        <f t="shared" ca="1" si="2"/>
        <v>Tier 1</v>
      </c>
      <c r="M50" s="1498" t="str">
        <f t="shared" ca="1" si="2"/>
        <v>Tier 1</v>
      </c>
      <c r="N50" s="1498" t="str">
        <f ca="1">IF($H$9&gt;=3,INDIRECT("'"&amp;$H$3&amp;"'!M$91"),"")</f>
        <v>Health Facility Tier</v>
      </c>
      <c r="O50" s="1498" t="str">
        <f t="shared" ca="1" si="2"/>
        <v>Tier 1</v>
      </c>
      <c r="P50" s="1498" t="str">
        <f t="shared" ca="1" si="2"/>
        <v>Tier 1</v>
      </c>
      <c r="Q50" s="1499" t="str">
        <f ca="1">IF($H$9&gt;=4,INDIRECT("'"&amp;$H$3&amp;"'!P$91"),"")</f>
        <v/>
      </c>
      <c r="R50" s="659" t="str">
        <f t="shared" ca="1" si="2"/>
        <v>Tier 1</v>
      </c>
      <c r="S50" s="659" t="str">
        <f t="shared" ca="1" si="2"/>
        <v>Tier 1</v>
      </c>
      <c r="T50" s="1499" t="str">
        <f ca="1">IF($H$9&gt;=5,INDIRECT("'"&amp;$H$3&amp;"'!S$91"),"")</f>
        <v/>
      </c>
      <c r="U50" s="1499" t="str">
        <f t="shared" ca="1" si="2"/>
        <v>Tier 1</v>
      </c>
      <c r="V50" s="1499" t="str">
        <f t="shared" ca="1" si="2"/>
        <v>Tier 1</v>
      </c>
      <c r="W50" s="1499" t="str">
        <f ca="1">IF($H$9&gt;=6,INDIRECT("'"&amp;$H$3&amp;"'!V$91"),"")</f>
        <v/>
      </c>
      <c r="X50" s="1419"/>
      <c r="AB50" s="456"/>
      <c r="AC50" s="456"/>
      <c r="AD50" s="456"/>
      <c r="AE50" s="456"/>
      <c r="AF50" s="456"/>
      <c r="AG50" s="456"/>
      <c r="AH50" s="456"/>
      <c r="AI50" s="456"/>
      <c r="AJ50" s="456"/>
      <c r="AP50" s="2508" t="s">
        <v>483</v>
      </c>
      <c r="AQ50" s="2509"/>
      <c r="AR50" s="2509"/>
      <c r="AS50" s="2510"/>
      <c r="AT50" s="2514">
        <v>0.9</v>
      </c>
      <c r="AU50" s="2514">
        <v>0.9</v>
      </c>
    </row>
    <row r="51" spans="5:47" ht="18.45">
      <c r="E51" s="277"/>
      <c r="F51" s="351" t="s">
        <v>382</v>
      </c>
      <c r="G51" s="332"/>
      <c r="H51" s="342"/>
      <c r="I51" s="342"/>
      <c r="J51" s="342"/>
      <c r="K51" s="342"/>
      <c r="L51" s="342"/>
      <c r="M51" s="342"/>
      <c r="N51" s="342"/>
      <c r="O51" s="342"/>
      <c r="P51" s="342"/>
      <c r="Q51" s="342"/>
      <c r="R51" s="343"/>
      <c r="S51" s="342"/>
      <c r="T51" s="342"/>
      <c r="U51" s="342"/>
      <c r="V51" s="342"/>
      <c r="W51" s="342"/>
      <c r="X51" s="1420"/>
      <c r="AA51" s="36"/>
      <c r="AB51" s="456"/>
      <c r="AC51" s="456"/>
      <c r="AD51" s="456"/>
      <c r="AE51" s="456"/>
      <c r="AF51" s="456"/>
      <c r="AG51" s="456"/>
      <c r="AH51" s="456"/>
      <c r="AI51" s="456"/>
      <c r="AJ51" s="456"/>
      <c r="AK51" s="36"/>
      <c r="AL51" s="36"/>
      <c r="AP51" s="2511"/>
      <c r="AQ51" s="2512"/>
      <c r="AR51" s="2512"/>
      <c r="AS51" s="2513"/>
      <c r="AT51" s="2515"/>
      <c r="AU51" s="2515"/>
    </row>
    <row r="52" spans="5:47" ht="19.5" customHeight="1">
      <c r="E52" s="233"/>
      <c r="F52" s="398"/>
      <c r="G52" s="187" t="s">
        <v>381</v>
      </c>
      <c r="H52" s="399">
        <f ca="1">SUM(H57,H64)</f>
        <v>3233.0812500000002</v>
      </c>
      <c r="I52" s="400"/>
      <c r="J52" s="400"/>
      <c r="K52" s="399">
        <f ca="1">SUM(K57,K64)</f>
        <v>3079.125</v>
      </c>
      <c r="L52" s="400"/>
      <c r="M52" s="400"/>
      <c r="N52" s="401">
        <f ca="1">SUM(N57,N64)</f>
        <v>8.5</v>
      </c>
      <c r="O52" s="400"/>
      <c r="P52" s="400"/>
      <c r="Q52" s="401">
        <f ca="1">SUM(Q57,Q64)</f>
        <v>0</v>
      </c>
      <c r="R52" s="295"/>
      <c r="S52" s="295"/>
      <c r="T52" s="401">
        <f ca="1">SUM(T57,T64)</f>
        <v>0</v>
      </c>
      <c r="U52" s="295"/>
      <c r="V52" s="295"/>
      <c r="W52" s="1429">
        <f ca="1">SUM(W57,W64)</f>
        <v>0</v>
      </c>
      <c r="X52" s="1421"/>
      <c r="AA52" s="36"/>
      <c r="AB52" s="456"/>
      <c r="AC52" s="456"/>
      <c r="AD52" s="456"/>
      <c r="AE52" s="456"/>
      <c r="AF52" s="456"/>
      <c r="AG52" s="456"/>
      <c r="AH52" s="456"/>
      <c r="AI52" s="456"/>
      <c r="AJ52" s="456"/>
      <c r="AK52" s="36"/>
      <c r="AL52" s="36"/>
      <c r="AP52" s="2508" t="s">
        <v>484</v>
      </c>
      <c r="AQ52" s="2509"/>
      <c r="AR52" s="2509"/>
      <c r="AS52" s="2510"/>
      <c r="AT52" s="2514">
        <v>0.5</v>
      </c>
      <c r="AU52" s="2514">
        <v>0.5</v>
      </c>
    </row>
    <row r="53" spans="5:47" ht="19.5" customHeight="1">
      <c r="E53" s="233"/>
      <c r="F53" s="398"/>
      <c r="G53" s="187" t="s">
        <v>601</v>
      </c>
      <c r="H53" s="395">
        <f ca="1">IFERROR(H52/(INDIRECT("'"&amp;$H$3&amp;"'!H$106")*INDIRECT("'"&amp;$H$3&amp;"'!H$107")*INDIRECT("'"&amp;$H$3&amp;"'!$H$9")),"")</f>
        <v>0.74079553933082898</v>
      </c>
      <c r="I53" s="400"/>
      <c r="J53" s="400"/>
      <c r="K53" s="395">
        <f ca="1">IFERROR(K52/(INDIRECT("'"&amp;$H$3&amp;"'!K$106")*INDIRECT("'"&amp;$H$3&amp;"'!K$107")*INDIRECT("'"&amp;$H$3&amp;"'!$H$9")),"")</f>
        <v>0.83371170804240347</v>
      </c>
      <c r="L53" s="400"/>
      <c r="M53" s="400"/>
      <c r="N53" s="395">
        <f ca="1">IFERROR(N52/(INDIRECT("'"&amp;$H$3&amp;"'!N$106")*INDIRECT("'"&amp;$H$3&amp;"'!N$107")*INDIRECT("'"&amp;$H$3&amp;"'!$H$9")),"")</f>
        <v>0.79893574455307281</v>
      </c>
      <c r="O53" s="400"/>
      <c r="P53" s="400"/>
      <c r="Q53" s="395" t="str">
        <f ca="1">IFERROR(Q52/(INDIRECT("'"&amp;$H$3&amp;"'!Q$106")*INDIRECT("'"&amp;$H$3&amp;"'!Q$107")*INDIRECT("'"&amp;$H$3&amp;"'!$H$9")),"")</f>
        <v/>
      </c>
      <c r="R53" s="295"/>
      <c r="S53" s="295"/>
      <c r="T53" s="395" t="str">
        <f ca="1">IFERROR(T52/(INDIRECT("'"&amp;$H$3&amp;"'!T$106")*INDIRECT("'"&amp;$H$3&amp;"'!T$107")*INDIRECT("'"&amp;$H$3&amp;"'!$H$9")),"")</f>
        <v/>
      </c>
      <c r="U53" s="295"/>
      <c r="V53" s="295"/>
      <c r="W53" s="1430" t="str">
        <f ca="1">IFERROR(W52/(INDIRECT("'"&amp;$H$3&amp;"'!W$106")*INDIRECT("'"&amp;$H$3&amp;"'!W$107")*INDIRECT("'"&amp;$H$3&amp;"'!$H$9")),"")</f>
        <v/>
      </c>
      <c r="X53" s="1422"/>
      <c r="AA53" s="36"/>
      <c r="AB53" s="456"/>
      <c r="AC53" s="456"/>
      <c r="AD53" s="456"/>
      <c r="AE53" s="456"/>
      <c r="AF53" s="456"/>
      <c r="AG53" s="456"/>
      <c r="AH53" s="456"/>
      <c r="AI53" s="456"/>
      <c r="AJ53" s="456"/>
      <c r="AK53" s="36"/>
      <c r="AL53" s="36"/>
      <c r="AP53" s="2511"/>
      <c r="AQ53" s="2512"/>
      <c r="AR53" s="2512"/>
      <c r="AS53" s="2513"/>
      <c r="AT53" s="2515"/>
      <c r="AU53" s="2515"/>
    </row>
    <row r="54" spans="5:47" ht="18" customHeight="1">
      <c r="F54" s="397"/>
      <c r="G54" s="191" t="s">
        <v>600</v>
      </c>
      <c r="H54" s="395">
        <f ca="1">IFERROR(SUM(H62,H69,H71)/(AND(H71&gt;0,H71&lt;&gt;"")+AND(H69&gt;0,H69&lt;&gt;"")+AND(H62&gt;0,H62&lt;&gt;"")),"")</f>
        <v>0.88200601538629442</v>
      </c>
      <c r="I54" s="395"/>
      <c r="J54" s="395"/>
      <c r="K54" s="395">
        <f ca="1">IFERROR(SUM(K62,K69,K71)/(AND(K71&gt;0,K71&lt;&gt;"")+AND(K69&gt;0,K69&lt;&gt;"")+AND(K62&gt;0,K62&lt;&gt;"")),"")</f>
        <v>0.8400057289393279</v>
      </c>
      <c r="L54" s="395"/>
      <c r="M54" s="395"/>
      <c r="N54" s="395">
        <f ca="1">IFERROR(SUM(N62,N69,N71)/(AND(N71&gt;0,N71&lt;&gt;"")+AND(N69&gt;0,N69&lt;&gt;"")+AND(N62&gt;0,N62&lt;&gt;"")),"")</f>
        <v>0.77743902439024393</v>
      </c>
      <c r="O54" s="395"/>
      <c r="P54" s="395"/>
      <c r="Q54" s="395">
        <f ca="1">IFERROR(SUM(Q62,Q69,Q71)/(AND(Q71&gt;0,Q71&lt;&gt;"")+AND(Q69&gt;0,Q69&lt;&gt;"")+AND(Q62&gt;0,Q62&lt;&gt;"")),"")</f>
        <v>0</v>
      </c>
      <c r="R54" s="395"/>
      <c r="S54" s="395"/>
      <c r="T54" s="395">
        <f ca="1">IFERROR(SUM(T62,T69,T71)/(AND(T71&gt;0,T71&lt;&gt;"")+AND(T69&gt;0,T69&lt;&gt;"")+AND(T62&gt;0,T62&lt;&gt;"")),"")</f>
        <v>0</v>
      </c>
      <c r="U54" s="395"/>
      <c r="V54" s="395"/>
      <c r="W54" s="1430">
        <f ca="1">IFERROR(SUM(W62,W69,W71)/(AND(W71&gt;0,W71&lt;&gt;"")+AND(W69&gt;0,W69&lt;&gt;"")+AND(W62&gt;0,W62&lt;&gt;"")),"")</f>
        <v>0</v>
      </c>
      <c r="X54" s="1422"/>
      <c r="AA54" s="36"/>
      <c r="AB54" s="456"/>
      <c r="AC54" s="456"/>
      <c r="AD54" s="456"/>
      <c r="AE54" s="456"/>
      <c r="AF54" s="456"/>
      <c r="AG54" s="456"/>
      <c r="AH54" s="456"/>
      <c r="AI54" s="456"/>
      <c r="AJ54" s="456"/>
      <c r="AK54" s="36"/>
      <c r="AL54" s="36"/>
    </row>
    <row r="55" spans="5:47" ht="18" customHeight="1">
      <c r="F55" s="390"/>
      <c r="G55" s="207" t="s">
        <v>472</v>
      </c>
      <c r="H55" s="396">
        <f ca="1">IF(AND(H71&gt;0,H71&lt;&gt;"",OR(H71&lt;0.5,H71&gt;0.9)),1,0)+IF(AND(H69&gt;0,H69&lt;&gt;"",OR(H69&lt;0.5,H69&gt;0.9)),1,0)+IF(AND(H62&gt;0,H62&lt;&gt;"",OR(H62&lt;0.5,H62&gt;0.9)),1,0)</f>
        <v>0</v>
      </c>
      <c r="I55" s="396"/>
      <c r="J55" s="396"/>
      <c r="K55" s="396">
        <f ca="1">IF(AND(K71&gt;0,K71&lt;&gt;"",OR(K71&lt;0.5,K71&gt;0.9)),1,0)+IF(AND(K69&gt;0,K69&lt;&gt;"",OR(K69&lt;0.5,K69&gt;0.9)),1,0)+IF(AND(K62&gt;0,K62&lt;&gt;"",OR(K62&lt;0.5,K62&gt;0.9)),1,0)</f>
        <v>0</v>
      </c>
      <c r="L55" s="396"/>
      <c r="M55" s="396"/>
      <c r="N55" s="396">
        <f ca="1">IF(AND(N71&gt;0,N71&lt;&gt;"",OR(N71&lt;0.5,N71&gt;0.9)),1,0)+IF(AND(N69&gt;0,N69&lt;&gt;"",OR(N69&lt;0.5,N69&gt;0.9)),1,0)+IF(AND(N62&gt;0,N62&lt;&gt;"",OR(N62&lt;0.5,N62&gt;0.9)),1,0)</f>
        <v>0</v>
      </c>
      <c r="O55" s="396"/>
      <c r="P55" s="396"/>
      <c r="Q55" s="396">
        <f ca="1">IF(AND(Q71&gt;0,Q71&lt;&gt;"",OR(Q71&lt;0.5,Q71&gt;0.9)),1,0)+IF(AND(Q69&gt;0,Q69&lt;&gt;"",OR(Q69&lt;0.5,Q69&gt;0.9)),1,0)+IF(AND(Q62&gt;0,Q62&lt;&gt;"",OR(Q62&lt;0.5,Q62&gt;0.9)),1,0)</f>
        <v>1</v>
      </c>
      <c r="R55" s="396"/>
      <c r="S55" s="396"/>
      <c r="T55" s="396">
        <f ca="1">IF(AND(T71&gt;0,T71&lt;&gt;"",OR(T71&lt;0.5,T71&gt;0.9)),1,0)+IF(AND(T69&gt;0,T69&lt;&gt;"",OR(T69&lt;0.5,T69&gt;0.9)),1,0)+IF(AND(T62&gt;0,T62&lt;&gt;"",OR(T62&lt;0.5,T62&gt;0.9)),1,0)</f>
        <v>1</v>
      </c>
      <c r="U55" s="396"/>
      <c r="V55" s="396"/>
      <c r="W55" s="1431">
        <f ca="1">IF(AND(W71&gt;0,W71&lt;&gt;"",OR(W71&lt;0.5,W71&gt;0.9)),1,0)+IF(AND(W69&gt;0,W69&lt;&gt;"",OR(W69&lt;0.5,W69&gt;0.9)),1,0)+IF(AND(W62&gt;0,W62&lt;&gt;"",OR(W62&lt;0.5,W62&gt;0.9)),1,0)</f>
        <v>1</v>
      </c>
      <c r="X55" s="1423"/>
      <c r="AA55" s="36"/>
      <c r="AB55" s="456"/>
      <c r="AC55" s="456"/>
      <c r="AD55" s="456"/>
      <c r="AE55" s="456"/>
      <c r="AF55" s="456"/>
      <c r="AG55" s="456"/>
      <c r="AH55" s="456"/>
      <c r="AI55" s="456"/>
      <c r="AJ55" s="456"/>
      <c r="AK55" s="36"/>
      <c r="AL55" s="36"/>
    </row>
    <row r="56" spans="5:47" ht="19.5" customHeight="1">
      <c r="E56" s="233"/>
      <c r="F56" s="351" t="s">
        <v>371</v>
      </c>
      <c r="G56" s="332"/>
      <c r="H56" s="342"/>
      <c r="I56" s="342"/>
      <c r="J56" s="342"/>
      <c r="K56" s="342"/>
      <c r="L56" s="342"/>
      <c r="M56" s="342"/>
      <c r="N56" s="342"/>
      <c r="O56" s="342"/>
      <c r="P56" s="342"/>
      <c r="Q56" s="342"/>
      <c r="R56" s="343"/>
      <c r="S56" s="342"/>
      <c r="T56" s="342"/>
      <c r="U56" s="342"/>
      <c r="V56" s="342"/>
      <c r="W56" s="342"/>
      <c r="X56" s="1420"/>
      <c r="AA56" s="36"/>
      <c r="AB56" s="456"/>
      <c r="AC56" s="456"/>
      <c r="AD56" s="456"/>
      <c r="AE56" s="456"/>
      <c r="AF56" s="457">
        <f t="shared" ref="AF56:AF68" si="3">$AU$52</f>
        <v>0.5</v>
      </c>
      <c r="AG56" s="457">
        <f t="shared" ref="AG56:AG68" si="4">$AU$50-$AU$52</f>
        <v>0.4</v>
      </c>
      <c r="AH56" s="456"/>
      <c r="AI56" s="456"/>
      <c r="AJ56" s="456"/>
      <c r="AK56" s="36"/>
      <c r="AL56" s="36"/>
    </row>
    <row r="57" spans="5:47" ht="21" customHeight="1">
      <c r="E57" s="233"/>
      <c r="F57" s="368"/>
      <c r="G57" s="194" t="s">
        <v>115</v>
      </c>
      <c r="H57" s="401">
        <f ca="1">IF(INDIRECT("'"&amp;$H$3&amp;"'!$H$20")='List Values'!$B$3, (INDIRECT("'"&amp;$H$3&amp;"'!$H$17")*INDIRECT("'"&amp;$H$3&amp;"'!H$93"))/INDIRECT("'"&amp;$H$3&amp;"'!H$95"), IF(INDIRECT("'"&amp;$H$3&amp;"'!$H$7")&gt;1,(INDIRECT("'"&amp;$H$3&amp;"'!H$93")*(K$57*INDIRECT("'"&amp;$H$3&amp;"'!K$95")/INDIRECT("'"&amp;$H$3&amp;"'!K$93"))*(1+INDIRECT("'"&amp;$H$3&amp;"'!K$94")))/INDIRECT("'"&amp;$H$3&amp;"'!H$95"),IF(INDIRECT("'"&amp;$H$3&amp;"'!$H$7")=1,(INDIRECT("'"&amp;$H$3&amp;"'!$H$17")*INDIRECT("'"&amp;$H$3&amp;"'!H$93"))/INDIRECT("'"&amp;$H$3&amp;"'!H$95"),"")))</f>
        <v>3233.0812500000002</v>
      </c>
      <c r="I57" s="402"/>
      <c r="J57" s="402"/>
      <c r="K57" s="401">
        <f ca="1">IF(INDIRECT("'"&amp;$H$3&amp;"'!$H$7") &lt; 2,"",IF(INDIRECT("'"&amp;$H$3&amp;"'!$H$20")='List Values'!$B$3, ((H$57*INDIRECT("'"&amp;$H$3&amp;"'!H$95")/INDIRECT("'"&amp;$H$3&amp;"'!H$93"))*(1-INDIRECT("'"&amp;$H$3&amp;"'!K$94"))*INDIRECT("'"&amp;$H$3&amp;"'!K$93"))/INDIRECT("'"&amp;$H$3&amp;"'!K$95"), IF(INDIRECT("'"&amp;$H$3&amp;"'!$H$7")&gt;2,(INDIRECT("'"&amp;$H$3&amp;"'!K$93")*(N$57*INDIRECT("'"&amp;$H$3&amp;"'!N$95")/INDIRECT("'"&amp;$H$3&amp;"'!N$93"))*(1+INDIRECT("'"&amp;$H$3&amp;"'!N$94")))/INDIRECT("'"&amp;$H$3&amp;"'!K$95"),IF(INDIRECT("'"&amp;$H$3&amp;"'!$H$7")=2,(INDIRECT("'"&amp;$H$3&amp;"'!$H$17")*INDIRECT("'"&amp;$H$3&amp;"'!K$93"))/INDIRECT("'"&amp;$H$3&amp;"'!K$95"),""))))</f>
        <v>3079.125</v>
      </c>
      <c r="L57" s="402"/>
      <c r="M57" s="402"/>
      <c r="N57" s="401">
        <f ca="1">IF(INDIRECT("'"&amp;$H$3&amp;"'!$H$7") &lt; 3,"",IF(INDIRECT("'"&amp;$H$3&amp;"'!$H$20")='List Values'!$B$3, ((K$57*INDIRECT("'"&amp;$H$3&amp;"'!K$95")/INDIRECT("'"&amp;$H$3&amp;"'!K$93"))*(1-INDIRECT("'"&amp;$H$3&amp;"'!N$94"))*INDIRECT("'"&amp;$H$3&amp;"'!N$93"))/INDIRECT("'"&amp;$H$3&amp;"'!N$95"), IF(INDIRECT("'"&amp;$H$3&amp;"'!$H$7")&gt;3,(INDIRECT("'"&amp;$H$3&amp;"'!N$93")*(Q$57*INDIRECT("'"&amp;$H$3&amp;"'!Q$95")/INDIRECT("'"&amp;$H$3&amp;"'!Q$93"))*(1+INDIRECT("'"&amp;$H$3&amp;"'!Q$94")))/INDIRECT("'"&amp;$H$3&amp;"'!N$95"),IF(INDIRECT("'"&amp;$H$3&amp;"'!$H$7")=3,(INDIRECT("'"&amp;$H$3&amp;"'!$H$17")*INDIRECT("'"&amp;$H$3&amp;"'!N$93"))/INDIRECT("'"&amp;$H$3&amp;"'!N$95"),""))))</f>
        <v>8.5</v>
      </c>
      <c r="O57" s="402"/>
      <c r="P57" s="402"/>
      <c r="Q57" s="401" t="str">
        <f ca="1">IF(INDIRECT("'"&amp;$H$3&amp;"'!$H$7") &lt; 4,"",IF(INDIRECT("'"&amp;$H$3&amp;"'!$H$20")='List Values'!$B$3, ((N$57*INDIRECT("'"&amp;$H$3&amp;"'!N$95")/INDIRECT("'"&amp;$H$3&amp;"'!N$93"))*(1-INDIRECT("'"&amp;$H$3&amp;"'!Q$94"))*INDIRECT("'"&amp;$H$3&amp;"'!Q$93"))/INDIRECT("'"&amp;$H$3&amp;"'!Q$95"), IF(INDIRECT("'"&amp;$H$3&amp;"'!$H$7")&gt;4,(INDIRECT("'"&amp;$H$3&amp;"'!Q$93")*(T$57*INDIRECT("'"&amp;$H$3&amp;"'!T$95")/INDIRECT("'"&amp;$H$3&amp;"'!T$93"))*(1+INDIRECT("'"&amp;$H$3&amp;"'!T$94")))/INDIRECT("'"&amp;$H$3&amp;"'!Q$95"),IF(INDIRECT("'"&amp;$H$3&amp;"'!$H$7")=4,(INDIRECT("'"&amp;$H$3&amp;"'!$H$17")*INDIRECT("'"&amp;$H$3&amp;"'!Q$93"))/INDIRECT("'"&amp;$H$3&amp;"'!Q$95"),""))))</f>
        <v/>
      </c>
      <c r="R57" s="295"/>
      <c r="S57" s="295"/>
      <c r="T57" s="401" t="str">
        <f ca="1">IF(INDIRECT("'"&amp;$H$3&amp;"'!$H$7") &lt; 5,"",IF(INDIRECT("'"&amp;$H$3&amp;"'!$H$20")='List Values'!$B$3, ((Q$57*INDIRECT("'"&amp;$H$3&amp;"'!Q$95")/INDIRECT("'"&amp;$H$3&amp;"'!Q$93"))*(1-INDIRECT("'"&amp;$H$3&amp;"'!T$94"))*INDIRECT("'"&amp;$H$3&amp;"'!T$93"))/INDIRECT("'"&amp;$H$3&amp;"'!T$95"), IF(INDIRECT("'"&amp;$H$3&amp;"'!$H$7")&gt;5,(INDIRECT("'"&amp;$H$3&amp;"'!T$93")*(W$57*INDIRECT("'"&amp;$H$3&amp;"'!W$95")/INDIRECT("'"&amp;$H$3&amp;"'!W$93"))*(1+INDIRECT("'"&amp;$H$3&amp;"'!W$94")))/INDIRECT("'"&amp;$H$3&amp;"'!T$95"),IF(INDIRECT("'"&amp;$H$3&amp;"'!$H$7")=5,(INDIRECT("'"&amp;$H$3&amp;"'!$H$17")*INDIRECT("'"&amp;$H$3&amp;"'!T$93"))/INDIRECT("'"&amp;$H$3&amp;"'!T$95"),""))))</f>
        <v/>
      </c>
      <c r="U57" s="298"/>
      <c r="V57" s="298"/>
      <c r="W57" s="1429" t="str">
        <f ca="1">IF(INDIRECT("'"&amp;$H$3&amp;"'!$H$7")&lt;6,"",IF(INDIRECT("'"&amp;$H$3&amp;"'!$H$20")='List Values'!$B$3, ((T$57*INDIRECT("'"&amp;$H$3&amp;"'!T$95")/INDIRECT("'"&amp;$H$3&amp;"'!T$93"))*(1-INDIRECT("'"&amp;$H$3&amp;"'!W$94"))*INDIRECT("'"&amp;$H$3&amp;"'!W$93"))/INDIRECT("'"&amp;$H$3&amp;"'!W$95"), IF(INDIRECT("'"&amp;$H$3&amp;"'!$H$7")=6,(INDIRECT("'"&amp;$H$3&amp;"'!$H$17")*INDIRECT("'"&amp;$H$3&amp;"'!W$93"))/INDIRECT("'"&amp;$H$3&amp;"'!W$95"),"")))</f>
        <v/>
      </c>
      <c r="X57" s="1421"/>
      <c r="AA57" s="36"/>
      <c r="AB57" s="456" t="str">
        <f>IF(H46="","","Vehicle Time Utilization - Tier 1")</f>
        <v/>
      </c>
      <c r="AC57" s="458" t="str">
        <f>H46</f>
        <v/>
      </c>
      <c r="AD57" s="459">
        <f>IF(AC57="",0,1-AC57)</f>
        <v>0</v>
      </c>
      <c r="AE57" s="456"/>
      <c r="AF57" s="457">
        <f t="shared" si="3"/>
        <v>0.5</v>
      </c>
      <c r="AG57" s="457">
        <f t="shared" si="4"/>
        <v>0.4</v>
      </c>
      <c r="AH57" s="456"/>
      <c r="AI57" s="456"/>
      <c r="AJ57" s="456"/>
      <c r="AK57" s="36"/>
      <c r="AL57" s="36"/>
    </row>
    <row r="58" spans="5:47" ht="15" customHeight="1">
      <c r="F58" s="368"/>
      <c r="G58" s="194" t="s">
        <v>239</v>
      </c>
      <c r="H58" s="290">
        <f ca="1">IFERROR(H$52/INDIRECT("'"&amp;$H$3&amp;"'!H$96"),"")</f>
        <v>808.27031250000005</v>
      </c>
      <c r="I58" s="290"/>
      <c r="J58" s="290"/>
      <c r="K58" s="290">
        <f ca="1">IFERROR(K$52/INDIRECT("'"&amp;$H$3&amp;"'!K$96"),"")</f>
        <v>769.78125</v>
      </c>
      <c r="L58" s="290"/>
      <c r="M58" s="290"/>
      <c r="N58" s="290">
        <f ca="1">IFERROR(N$52/INDIRECT("'"&amp;$H$3&amp;"'!N$96"),"")</f>
        <v>2.125</v>
      </c>
      <c r="O58" s="291"/>
      <c r="P58" s="291"/>
      <c r="Q58" s="290" t="str">
        <f ca="1">IFERROR(Q$52/INDIRECT("'"&amp;$H$3&amp;"'!Q$96"),"")</f>
        <v/>
      </c>
      <c r="R58" s="292"/>
      <c r="S58" s="292"/>
      <c r="T58" s="290" t="str">
        <f ca="1">IFERROR(T$52/INDIRECT("'"&amp;$H$3&amp;"'!T$96"),"")</f>
        <v/>
      </c>
      <c r="U58" s="293"/>
      <c r="V58" s="293"/>
      <c r="W58" s="1432" t="str">
        <f ca="1">IFERROR(W$52/INDIRECT("'"&amp;$H$3&amp;"'!W$96"),"")</f>
        <v/>
      </c>
      <c r="X58" s="1424"/>
      <c r="AA58" s="36"/>
      <c r="AB58" s="456" t="str">
        <f ca="1">IF(K46="","","Vehicle Time Utilization - Tier 2")</f>
        <v>Vehicle Time Utilization - Tier 2</v>
      </c>
      <c r="AC58" s="458">
        <f ca="1">K46</f>
        <v>0.875</v>
      </c>
      <c r="AD58" s="459">
        <f ca="1">IF(AC58="",0,1-AC58)</f>
        <v>0.125</v>
      </c>
      <c r="AE58" s="456"/>
      <c r="AF58" s="457">
        <f t="shared" si="3"/>
        <v>0.5</v>
      </c>
      <c r="AG58" s="457">
        <f t="shared" si="4"/>
        <v>0.4</v>
      </c>
      <c r="AH58" s="456"/>
      <c r="AI58" s="456"/>
      <c r="AJ58" s="456"/>
      <c r="AK58" s="36"/>
      <c r="AL58" s="36"/>
    </row>
    <row r="59" spans="5:47" ht="15" customHeight="1">
      <c r="F59" s="368"/>
      <c r="G59" s="194" t="s">
        <v>53</v>
      </c>
      <c r="H59" s="1388">
        <f ca="1">IFERROR(INDIRECT("'"&amp;$H$3&amp;"'!H$104")*H58*(INDIRECT("'"&amp;$H$3&amp;"'!H$96")/12),"")</f>
        <v>808.27031250000005</v>
      </c>
      <c r="I59" s="294">
        <f t="shared" ref="I59:V59" ca="1" si="5">IFERROR(INDIRECT("'"&amp;$H$3&amp;"'!H$103")*I58*(INDIRECT("'"&amp;$H$3&amp;"'!H$96")/12),"")</f>
        <v>0</v>
      </c>
      <c r="J59" s="294">
        <f t="shared" ca="1" si="5"/>
        <v>0</v>
      </c>
      <c r="K59" s="294">
        <f ca="1">IFERROR(INDIRECT("'"&amp;$H$3&amp;"'!K$104")*K58*(INDIRECT("'"&amp;$H$3&amp;"'!K$96")/12),"")</f>
        <v>769.78125</v>
      </c>
      <c r="L59" s="294">
        <f t="shared" ca="1" si="5"/>
        <v>0</v>
      </c>
      <c r="M59" s="294">
        <f t="shared" ca="1" si="5"/>
        <v>0</v>
      </c>
      <c r="N59" s="294">
        <f ca="1">IFERROR(INDIRECT("'"&amp;$H$3&amp;"'!N$104")*N58*(INDIRECT("'"&amp;$H$3&amp;"'!N$96")/12),"")</f>
        <v>2.125</v>
      </c>
      <c r="O59" s="295">
        <f t="shared" ca="1" si="5"/>
        <v>0</v>
      </c>
      <c r="P59" s="295">
        <f t="shared" ca="1" si="5"/>
        <v>0</v>
      </c>
      <c r="Q59" s="294" t="str">
        <f ca="1">IFERROR(INDIRECT("'"&amp;$H$3&amp;"'!Q$104")*Q58*(INDIRECT("'"&amp;$H$3&amp;"'!Q$96")/12),"")</f>
        <v/>
      </c>
      <c r="R59" s="292">
        <f t="shared" ca="1" si="5"/>
        <v>0</v>
      </c>
      <c r="S59" s="292">
        <f t="shared" ca="1" si="5"/>
        <v>0</v>
      </c>
      <c r="T59" s="294" t="str">
        <f ca="1">IFERROR(INDIRECT("'"&amp;$H$3&amp;"'!T$104")*T58*(INDIRECT("'"&amp;$H$3&amp;"'!T$96")/12),"")</f>
        <v/>
      </c>
      <c r="U59" s="293">
        <f t="shared" ca="1" si="5"/>
        <v>0</v>
      </c>
      <c r="V59" s="293">
        <f t="shared" ca="1" si="5"/>
        <v>0</v>
      </c>
      <c r="W59" s="1433" t="str">
        <f ca="1">IFERROR(INDIRECT("'"&amp;$H$3&amp;"'!W$104")*W58*(INDIRECT("'"&amp;$H$3&amp;"'!W$96")/12),"")</f>
        <v/>
      </c>
      <c r="X59" s="1425"/>
      <c r="AA59" s="36"/>
      <c r="AB59" s="456" t="str">
        <f ca="1">IF(N46="","","Vehicle Time Utilization - Tier 3")</f>
        <v>Vehicle Time Utilization - Tier 3</v>
      </c>
      <c r="AC59" s="458">
        <f ca="1">N46</f>
        <v>0.7434722222222222</v>
      </c>
      <c r="AD59" s="459">
        <f ca="1">IF(AC59="",0,1-AC59)</f>
        <v>0.2565277777777778</v>
      </c>
      <c r="AE59" s="456"/>
      <c r="AF59" s="457">
        <f t="shared" si="3"/>
        <v>0.5</v>
      </c>
      <c r="AG59" s="457">
        <f t="shared" si="4"/>
        <v>0.4</v>
      </c>
      <c r="AH59" s="456"/>
      <c r="AI59" s="456"/>
      <c r="AJ59" s="456"/>
      <c r="AK59" s="36"/>
      <c r="AL59" s="36"/>
    </row>
    <row r="60" spans="5:47" ht="15" customHeight="1">
      <c r="F60" s="368"/>
      <c r="G60" s="194" t="s">
        <v>51</v>
      </c>
      <c r="H60" s="290">
        <f ca="1">IFERROR(H59+((H61-H59)/2),"")</f>
        <v>1212.4054687500002</v>
      </c>
      <c r="I60" s="290"/>
      <c r="J60" s="290"/>
      <c r="K60" s="290">
        <f ca="1">IFERROR(K59+((K61-K59)/2),"")</f>
        <v>1154.671875</v>
      </c>
      <c r="L60" s="290"/>
      <c r="M60" s="290"/>
      <c r="N60" s="290">
        <f ca="1">IFERROR(N59+((N61-N59)/2),"")</f>
        <v>3.1875</v>
      </c>
      <c r="O60" s="291"/>
      <c r="P60" s="291"/>
      <c r="Q60" s="290" t="str">
        <f ca="1">IFERROR(Q59+((Q61-Q59)/2),"")</f>
        <v/>
      </c>
      <c r="R60" s="292"/>
      <c r="S60" s="292"/>
      <c r="T60" s="290" t="str">
        <f ca="1">IFERROR(T59+((T61-T59)/2),"")</f>
        <v/>
      </c>
      <c r="U60" s="293"/>
      <c r="V60" s="293"/>
      <c r="W60" s="1432" t="str">
        <f ca="1">IFERROR(W59+((W61-W59)/2),"")</f>
        <v/>
      </c>
      <c r="X60" s="1424"/>
      <c r="AA60" s="36"/>
      <c r="AB60" t="str">
        <f ca="1">IF(Q46="","","Vehicle Time Utilization - Tier 4")</f>
        <v/>
      </c>
      <c r="AC60" s="460" t="str">
        <f ca="1">Q46</f>
        <v/>
      </c>
      <c r="AF60" s="457">
        <f t="shared" si="3"/>
        <v>0.5</v>
      </c>
      <c r="AG60" s="457">
        <f t="shared" si="4"/>
        <v>0.4</v>
      </c>
      <c r="AH60" s="456"/>
      <c r="AI60" s="456"/>
      <c r="AJ60" s="456"/>
      <c r="AK60" s="36"/>
      <c r="AL60" s="36"/>
    </row>
    <row r="61" spans="5:47" ht="15" customHeight="1">
      <c r="F61" s="368"/>
      <c r="G61" s="194" t="s">
        <v>52</v>
      </c>
      <c r="H61" s="294">
        <f ca="1">IFERROR(H59+H58,"")</f>
        <v>1616.5406250000001</v>
      </c>
      <c r="I61" s="294"/>
      <c r="J61" s="294"/>
      <c r="K61" s="294">
        <f ca="1">IFERROR(K59+K58,"")</f>
        <v>1539.5625</v>
      </c>
      <c r="L61" s="294"/>
      <c r="M61" s="294"/>
      <c r="N61" s="294">
        <f ca="1">IFERROR(N59+N58,"")</f>
        <v>4.25</v>
      </c>
      <c r="O61" s="295"/>
      <c r="P61" s="295"/>
      <c r="Q61" s="294" t="str">
        <f ca="1">IFERROR(Q59+Q58,"")</f>
        <v/>
      </c>
      <c r="R61" s="292"/>
      <c r="S61" s="292"/>
      <c r="T61" s="294" t="str">
        <f ca="1">IFERROR(T59+T58,"")</f>
        <v/>
      </c>
      <c r="U61" s="293"/>
      <c r="V61" s="293"/>
      <c r="W61" s="1433" t="str">
        <f ca="1">IFERROR(W59+W58,"")</f>
        <v/>
      </c>
      <c r="X61" s="1425"/>
      <c r="AA61" s="36"/>
      <c r="AB61" t="str">
        <f ca="1">IF(T46="","","Vehicle Time Utilization - Tier 5")</f>
        <v/>
      </c>
      <c r="AC61" s="460" t="str">
        <f ca="1">T46</f>
        <v/>
      </c>
      <c r="AF61" s="457">
        <f t="shared" si="3"/>
        <v>0.5</v>
      </c>
      <c r="AG61" s="457">
        <f t="shared" si="4"/>
        <v>0.4</v>
      </c>
      <c r="AH61" s="456"/>
      <c r="AI61" s="456"/>
      <c r="AJ61" s="456"/>
      <c r="AK61" s="36"/>
      <c r="AL61" s="36"/>
    </row>
    <row r="62" spans="5:47" ht="15" customHeight="1">
      <c r="F62" s="403"/>
      <c r="G62" s="404" t="s">
        <v>240</v>
      </c>
      <c r="H62" s="405">
        <f ca="1">IFERROR(H60/INDIRECT("'"&amp;$H$3&amp;"'!H$108"),"")</f>
        <v>0.88200601538629442</v>
      </c>
      <c r="I62" s="405"/>
      <c r="J62" s="405"/>
      <c r="K62" s="405">
        <f ca="1">IFERROR(K60/INDIRECT("'"&amp;$H$3&amp;"'!K$108"),"")</f>
        <v>0.8400057289393279</v>
      </c>
      <c r="L62" s="405"/>
      <c r="M62" s="405"/>
      <c r="N62" s="405">
        <f ca="1">IFERROR(N60/INDIRECT("'"&amp;$H$3&amp;"'!N$108"),"")</f>
        <v>0.77743902439024393</v>
      </c>
      <c r="O62" s="405"/>
      <c r="P62" s="405"/>
      <c r="Q62" s="405" t="str">
        <f ca="1">IFERROR(Q60/INDIRECT("'"&amp;$H$3&amp;"'!Q$108"),"")</f>
        <v/>
      </c>
      <c r="R62" s="406"/>
      <c r="S62" s="406"/>
      <c r="T62" s="405" t="str">
        <f ca="1">IFERROR(T60/INDIRECT("'"&amp;$H$3&amp;"'!T$108"),"")</f>
        <v/>
      </c>
      <c r="U62" s="407"/>
      <c r="V62" s="407"/>
      <c r="W62" s="1434" t="str">
        <f ca="1">IFERROR(W60/INDIRECT("'"&amp;$H$3&amp;"'!W$108"),"")</f>
        <v/>
      </c>
      <c r="X62" s="1426"/>
      <c r="AA62" s="36"/>
      <c r="AB62" t="str">
        <f ca="1">IF(W46="","","Vehicle Time Utilization - Tier 6")</f>
        <v/>
      </c>
      <c r="AC62" s="460" t="str">
        <f ca="1">W46</f>
        <v/>
      </c>
      <c r="AF62" s="457">
        <f t="shared" si="3"/>
        <v>0.5</v>
      </c>
      <c r="AG62" s="457">
        <f t="shared" si="4"/>
        <v>0.4</v>
      </c>
      <c r="AH62" s="456"/>
      <c r="AI62" s="456"/>
      <c r="AJ62" s="456"/>
      <c r="AK62" s="36"/>
      <c r="AL62" s="36"/>
    </row>
    <row r="63" spans="5:47" ht="15.75" customHeight="1">
      <c r="F63" s="351" t="s">
        <v>372</v>
      </c>
      <c r="G63" s="332"/>
      <c r="H63" s="342"/>
      <c r="I63" s="342"/>
      <c r="J63" s="342"/>
      <c r="K63" s="342"/>
      <c r="L63" s="342"/>
      <c r="M63" s="342"/>
      <c r="N63" s="342"/>
      <c r="O63" s="342"/>
      <c r="P63" s="342"/>
      <c r="Q63" s="342"/>
      <c r="R63" s="343"/>
      <c r="S63" s="342"/>
      <c r="T63" s="342"/>
      <c r="U63" s="342"/>
      <c r="V63" s="342"/>
      <c r="W63" s="342"/>
      <c r="X63" s="1420"/>
      <c r="AA63" s="36"/>
      <c r="AB63" s="456" t="str">
        <f ca="1">IF(H54="","","Combined Storage - Tier 1")</f>
        <v>Combined Storage - Tier 1</v>
      </c>
      <c r="AC63" s="458">
        <f ca="1">H54</f>
        <v>0.88200601538629442</v>
      </c>
      <c r="AD63" s="459">
        <f t="shared" ref="AD63:AD68" ca="1" si="6">IF(AC63="",0,1-AC63)</f>
        <v>0.11799398461370558</v>
      </c>
      <c r="AE63" s="456">
        <f ca="1">H55</f>
        <v>0</v>
      </c>
      <c r="AF63" s="457">
        <f t="shared" si="3"/>
        <v>0.5</v>
      </c>
      <c r="AG63" s="457">
        <f t="shared" si="4"/>
        <v>0.4</v>
      </c>
      <c r="AH63" s="456"/>
      <c r="AI63" s="456"/>
      <c r="AJ63" s="456"/>
      <c r="AK63" s="36"/>
      <c r="AL63" s="36"/>
    </row>
    <row r="64" spans="5:47" ht="15" customHeight="1">
      <c r="F64" s="368"/>
      <c r="G64" s="194" t="s">
        <v>101</v>
      </c>
      <c r="H64" s="301">
        <f ca="1">IF(INDIRECT("'"&amp;$H$3&amp;"'!$H$20")='List Values'!$B$3, (INDIRECT("'"&amp;$H$3&amp;"'!$H$18")*INDIRECT("'"&amp;$H$3&amp;"'!H$93"))/INDIRECT("'"&amp;$H$3&amp;"'!H$95"), IF(INDIRECT("'"&amp;$H$3&amp;"'!$H$7")&gt;1,(INDIRECT("'"&amp;$H$3&amp;"'!H$93")*(K$64*INDIRECT("'"&amp;$H$3&amp;"'!K$95")/INDIRECT("'"&amp;$H$3&amp;"'!K$93"))*(1+INDIRECT("'"&amp;$H$3&amp;"'!K$94")))/INDIRECT("'"&amp;$H$3&amp;"'!H$95"),IF(INDIRECT("'"&amp;$H$3&amp;"'!$H$7")=1,(INDIRECT("'"&amp;$H$3&amp;"'!$H$18")*INDIRECT("'"&amp;$H$3&amp;"'!H$93"))/INDIRECT("'"&amp;$H$3&amp;"'!H$95"),"")))</f>
        <v>0</v>
      </c>
      <c r="I64" s="290"/>
      <c r="J64" s="290"/>
      <c r="K64" s="301">
        <f ca="1">IF(INDIRECT("'"&amp;$H$3&amp;"'!$H$7") &lt; 2,0,IF(INDIRECT("'"&amp;$H$3&amp;"'!$H$20")='List Values'!$B$3, ((H$64*INDIRECT("'"&amp;$H$3&amp;"'!H$95")/INDIRECT("'"&amp;$H$3&amp;"'!H$93"))*(1-INDIRECT("'"&amp;$H$3&amp;"'!K$94"))*INDIRECT("'"&amp;$H$3&amp;"'!K$93"))/INDIRECT("'"&amp;$H$3&amp;"'!K$95"), IF(INDIRECT("'"&amp;$H$3&amp;"'!$H$7")&gt;2,(INDIRECT("'"&amp;$H$3&amp;"'!K$93")*(N$64*INDIRECT("'"&amp;$H$3&amp;"'!N$95")/INDIRECT("'"&amp;$H$3&amp;"'!N$93"))*(1+INDIRECT("'"&amp;$H$3&amp;"'!N$94")))/INDIRECT("'"&amp;$H$3&amp;"'!K$95"),IF(INDIRECT("'"&amp;$H$3&amp;"'!$H$7")=2,(INDIRECT("'"&amp;$H$3&amp;"'!$H$18")*INDIRECT("'"&amp;$H$3&amp;"'!K$93"))/INDIRECT("'"&amp;$H$3&amp;"'!K$95"),""))))</f>
        <v>0</v>
      </c>
      <c r="L64" s="290"/>
      <c r="M64" s="290"/>
      <c r="N64" s="301">
        <f ca="1">IF(INDIRECT("'"&amp;$H$3&amp;"'!$H$7") &lt; 3,0,IF(INDIRECT("'"&amp;$H$3&amp;"'!$H$20")='List Values'!$B$3, ((K$64*INDIRECT("'"&amp;$H$3&amp;"'!K$95")/INDIRECT("'"&amp;$H$3&amp;"'!K$93"))*(1-INDIRECT("'"&amp;$H$3&amp;"'!N$94"))*INDIRECT("'"&amp;$H$3&amp;"'!N$93"))/INDIRECT("'"&amp;$H$3&amp;"'!N$95"), IF(INDIRECT("'"&amp;$H$3&amp;"'!$H$7")&gt;3,(INDIRECT("'"&amp;$H$3&amp;"'!N$93")*(Q$64*INDIRECT("'"&amp;$H$3&amp;"'!Q$95")/INDIRECT("'"&amp;$H$3&amp;"'!Q$93"))*(1+INDIRECT("'"&amp;$H$3&amp;"'!Q$94")))/INDIRECT("'"&amp;$H$3&amp;"'!N$95"),IF(INDIRECT("'"&amp;$H$3&amp;"'!$H$7")=3,(INDIRECT("'"&amp;$H$3&amp;"'!$H$18")*INDIRECT("'"&amp;$H$3&amp;"'!N$93"))/INDIRECT("'"&amp;$H$3&amp;"'!N$95"),""))))</f>
        <v>0</v>
      </c>
      <c r="O64" s="290"/>
      <c r="P64" s="290"/>
      <c r="Q64" s="301">
        <f ca="1">IF(INDIRECT("'"&amp;$H$3&amp;"'!$H$7") &lt; 4,0,IF(INDIRECT("'"&amp;$H$3&amp;"'!$H$20")='List Values'!$B$3, ((N$64*INDIRECT("'"&amp;$H$3&amp;"'!N$95")/INDIRECT("'"&amp;$H$3&amp;"'!N$93"))*(1-INDIRECT("'"&amp;$H$3&amp;"'!Q$94"))*INDIRECT("'"&amp;$H$3&amp;"'!Q$93"))/INDIRECT("'"&amp;$H$3&amp;"'!Q$95"), IF(INDIRECT("'"&amp;$H$3&amp;"'!$H$7")&gt;4,(INDIRECT("'"&amp;$H$3&amp;"'!Q$93")*(T$64*INDIRECT("'"&amp;$H$3&amp;"'!T$95")/INDIRECT("'"&amp;$H$3&amp;"'!T$93"))*(1+INDIRECT("'"&amp;$H$3&amp;"'!T$94")))/INDIRECT("'"&amp;$H$3&amp;"'!Q$95"),IF(INDIRECT("'"&amp;$H$3&amp;"'!$H$7")=4,(INDIRECT("'"&amp;$H$3&amp;"'!$H$18")*INDIRECT("'"&amp;$H$3&amp;"'!Q$93"))/INDIRECT("'"&amp;$H$3&amp;"'!Q$95"),""))))</f>
        <v>0</v>
      </c>
      <c r="R64" s="299"/>
      <c r="S64" s="299"/>
      <c r="T64" s="301">
        <f ca="1">IF(INDIRECT("'"&amp;$H$3&amp;"'!$H$7") &lt; 5,0,IF(INDIRECT("'"&amp;$H$3&amp;"'!$H$20")='List Values'!$B$3, ((Q$64*INDIRECT("'"&amp;$H$3&amp;"'!Q$95")/INDIRECT("'"&amp;$H$3&amp;"'!Q$93"))*(1-INDIRECT("'"&amp;$H$3&amp;"'!T$94"))*INDIRECT("'"&amp;$H$3&amp;"'!T$93"))/INDIRECT("'"&amp;$H$3&amp;"'!T$95"), IF(INDIRECT("'"&amp;$H$3&amp;"'!$H$7")&gt;5,(INDIRECT("'"&amp;$H$3&amp;"'!T$93")*(W$64*INDIRECT("'"&amp;$H$3&amp;"'!W$95")/INDIRECT("'"&amp;$H$3&amp;"'!W$93"))*(1+INDIRECT("'"&amp;$H$3&amp;"'!W$94")))/INDIRECT("'"&amp;$H$3&amp;"'!T$95"),IF(INDIRECT("'"&amp;$H$3&amp;"'!$H$7")=5,(INDIRECT("'"&amp;$H$3&amp;"'!$H$18")*INDIRECT("'"&amp;$H$3&amp;"'!T$93"))/INDIRECT("'"&amp;$H$3&amp;"'!T$95"),""))))</f>
        <v>0</v>
      </c>
      <c r="U64" s="300"/>
      <c r="V64" s="300"/>
      <c r="W64" s="1435">
        <f ca="1">IF(INDIRECT("'"&amp;$H$3&amp;"'!$H$7")&lt;6,0,IF(INDIRECT("'"&amp;$H$3&amp;"'!$H$20")='List Values'!$B$3, ((T$64*INDIRECT("'"&amp;$H$3&amp;"'!T$95")/INDIRECT("'"&amp;$H$3&amp;"'!T$93"))*(1-INDIRECT("'"&amp;$H$3&amp;"'!W$94"))*INDIRECT("'"&amp;$H$3&amp;"'!W$93"))/INDIRECT("'"&amp;$H$3&amp;"'!W$95"), IF(INDIRECT("'"&amp;$H$3&amp;"'!$H$7")=6,(INDIRECT("'"&amp;$H$3&amp;"'!$H$18")*INDIRECT("'"&amp;$H$3&amp;"'!W$93"))/INDIRECT("'"&amp;$H$3&amp;"'!W$95"),"")))</f>
        <v>0</v>
      </c>
      <c r="X64" s="1421"/>
      <c r="AA64" s="36"/>
      <c r="AB64" s="456" t="str">
        <f ca="1">IF(K54="","","Combined Storage - Tier 2")</f>
        <v>Combined Storage - Tier 2</v>
      </c>
      <c r="AC64" s="458">
        <f ca="1">K54</f>
        <v>0.8400057289393279</v>
      </c>
      <c r="AD64" s="459">
        <f t="shared" ca="1" si="6"/>
        <v>0.1599942710606721</v>
      </c>
      <c r="AE64" s="456">
        <f ca="1">K55</f>
        <v>0</v>
      </c>
      <c r="AF64" s="457">
        <f t="shared" si="3"/>
        <v>0.5</v>
      </c>
      <c r="AG64" s="457">
        <f t="shared" si="4"/>
        <v>0.4</v>
      </c>
      <c r="AH64" s="456"/>
      <c r="AI64" s="456"/>
      <c r="AJ64" s="456"/>
      <c r="AK64" s="36"/>
      <c r="AL64" s="36"/>
    </row>
    <row r="65" spans="5:38" ht="15" customHeight="1">
      <c r="F65" s="368"/>
      <c r="G65" s="194" t="s">
        <v>239</v>
      </c>
      <c r="H65" s="290">
        <f ca="1">IFERROR(H$64/INDIRECT("'"&amp;$H$3&amp;"'!H$96"),"")</f>
        <v>0</v>
      </c>
      <c r="I65" s="290"/>
      <c r="J65" s="290"/>
      <c r="K65" s="290">
        <f ca="1">IFERROR(K$64/INDIRECT("'"&amp;$H$3&amp;"'!K$96"),"")</f>
        <v>0</v>
      </c>
      <c r="L65" s="290"/>
      <c r="M65" s="290"/>
      <c r="N65" s="290">
        <f ca="1">IFERROR(N$64/INDIRECT("'"&amp;$H$3&amp;"'!N$96"),"")</f>
        <v>0</v>
      </c>
      <c r="O65" s="290"/>
      <c r="P65" s="290"/>
      <c r="Q65" s="290" t="str">
        <f ca="1">IFERROR(Q$64/INDIRECT("'"&amp;$H$3&amp;"'!Q$96"),"")</f>
        <v/>
      </c>
      <c r="R65" s="299"/>
      <c r="S65" s="299"/>
      <c r="T65" s="290" t="str">
        <f ca="1">IFERROR(T$64/INDIRECT("'"&amp;$H$3&amp;"'!T$96"),"")</f>
        <v/>
      </c>
      <c r="U65" s="300"/>
      <c r="V65" s="300"/>
      <c r="W65" s="1432" t="str">
        <f ca="1">IFERROR(W$64/INDIRECT("'"&amp;$H$3&amp;"'!W$96"),"")</f>
        <v/>
      </c>
      <c r="X65" s="1424"/>
      <c r="AA65" s="36"/>
      <c r="AB65" s="456" t="str">
        <f ca="1">IF(N54="","","Combined Storage - Tier 3")</f>
        <v>Combined Storage - Tier 3</v>
      </c>
      <c r="AC65" s="458">
        <f ca="1">N54</f>
        <v>0.77743902439024393</v>
      </c>
      <c r="AD65" s="459">
        <f t="shared" ca="1" si="6"/>
        <v>0.22256097560975607</v>
      </c>
      <c r="AE65" s="456">
        <f ca="1">N55</f>
        <v>0</v>
      </c>
      <c r="AF65" s="457">
        <f t="shared" si="3"/>
        <v>0.5</v>
      </c>
      <c r="AG65" s="457">
        <f t="shared" si="4"/>
        <v>0.4</v>
      </c>
      <c r="AH65" s="456"/>
      <c r="AI65" s="456"/>
      <c r="AJ65" s="456"/>
      <c r="AK65" s="36"/>
      <c r="AL65" s="36"/>
    </row>
    <row r="66" spans="5:38" ht="15" customHeight="1">
      <c r="F66" s="368"/>
      <c r="G66" s="194" t="s">
        <v>53</v>
      </c>
      <c r="H66" s="294">
        <f ca="1">IFERROR(INDIRECT("'"&amp;$H$3&amp;"'!H$104")*H65*(INDIRECT("'"&amp;$H$3&amp;"'!H$96")/12),"")</f>
        <v>0</v>
      </c>
      <c r="I66" s="294"/>
      <c r="J66" s="294"/>
      <c r="K66" s="294">
        <f ca="1">IFERROR(INDIRECT("'"&amp;$H$3&amp;"'!K$104")*K65*(INDIRECT("'"&amp;$H$3&amp;"'!K$96")/12),"")</f>
        <v>0</v>
      </c>
      <c r="L66" s="294"/>
      <c r="M66" s="294"/>
      <c r="N66" s="294">
        <f ca="1">IFERROR(INDIRECT("'"&amp;$H$3&amp;"'!N$104")*N65*(INDIRECT("'"&amp;$H$3&amp;"'!N$96")/12),"")</f>
        <v>0</v>
      </c>
      <c r="O66" s="295"/>
      <c r="P66" s="295"/>
      <c r="Q66" s="294" t="str">
        <f ca="1">IFERROR(INDIRECT("'"&amp;$H$3&amp;"'!Q$104")*Q65*(INDIRECT("'"&amp;$H$3&amp;"'!Q$96")/12),"")</f>
        <v/>
      </c>
      <c r="R66" s="299"/>
      <c r="S66" s="299"/>
      <c r="T66" s="294" t="str">
        <f ca="1">IFERROR(INDIRECT("'"&amp;$H$3&amp;"'!T$104")*T65*(INDIRECT("'"&amp;$H$3&amp;"'!T$96")/12),"")</f>
        <v/>
      </c>
      <c r="U66" s="300"/>
      <c r="V66" s="300"/>
      <c r="W66" s="1433" t="str">
        <f ca="1">IFERROR(INDIRECT("'"&amp;$H$3&amp;"'!W$104")*W65*(INDIRECT("'"&amp;$H$3&amp;"'!W$96")/12),"")</f>
        <v/>
      </c>
      <c r="X66" s="1425"/>
      <c r="AA66" s="36"/>
      <c r="AB66" s="36" t="str">
        <f ca="1">IF(Q54="","","Combined Storage - Tier 4")</f>
        <v>Combined Storage - Tier 4</v>
      </c>
      <c r="AC66" s="458">
        <f ca="1">Q54</f>
        <v>0</v>
      </c>
      <c r="AD66" s="459">
        <f t="shared" ca="1" si="6"/>
        <v>1</v>
      </c>
      <c r="AE66" s="456">
        <f ca="1">Q55</f>
        <v>1</v>
      </c>
      <c r="AF66" s="457">
        <f t="shared" si="3"/>
        <v>0.5</v>
      </c>
      <c r="AG66" s="457">
        <f t="shared" si="4"/>
        <v>0.4</v>
      </c>
      <c r="AH66" s="456"/>
      <c r="AI66" s="456"/>
      <c r="AJ66" s="456"/>
      <c r="AK66" s="36"/>
      <c r="AL66" s="36"/>
    </row>
    <row r="67" spans="5:38" ht="15" customHeight="1">
      <c r="F67" s="368"/>
      <c r="G67" s="194" t="s">
        <v>51</v>
      </c>
      <c r="H67" s="290">
        <f ca="1">IFERROR(H66+((H68-H66)/2),"")</f>
        <v>0</v>
      </c>
      <c r="I67" s="290"/>
      <c r="J67" s="290"/>
      <c r="K67" s="290">
        <f ca="1">IFERROR(K66+((K68-K66)/2),"")</f>
        <v>0</v>
      </c>
      <c r="L67" s="290"/>
      <c r="M67" s="290"/>
      <c r="N67" s="290">
        <f ca="1">IFERROR(N66+((N68-N66)/2),"")</f>
        <v>0</v>
      </c>
      <c r="O67" s="291"/>
      <c r="P67" s="291"/>
      <c r="Q67" s="290" t="str">
        <f ca="1">IFERROR(Q66+((Q68-Q66)/2),"")</f>
        <v/>
      </c>
      <c r="R67" s="299"/>
      <c r="S67" s="299"/>
      <c r="T67" s="290" t="str">
        <f ca="1">IFERROR(T66+((T68-T66)/2),"")</f>
        <v/>
      </c>
      <c r="U67" s="300"/>
      <c r="V67" s="300"/>
      <c r="W67" s="1432" t="str">
        <f ca="1">IFERROR(W66+((W68-W66)/2),"")</f>
        <v/>
      </c>
      <c r="X67" s="1424"/>
      <c r="AA67" s="36"/>
      <c r="AB67" s="36" t="str">
        <f ca="1">IF(T54="","","Combined Storage - Tier 5")</f>
        <v>Combined Storage - Tier 5</v>
      </c>
      <c r="AC67" s="458">
        <f ca="1">T54</f>
        <v>0</v>
      </c>
      <c r="AD67" s="459">
        <f t="shared" ca="1" si="6"/>
        <v>1</v>
      </c>
      <c r="AE67" s="456">
        <f ca="1">T55</f>
        <v>1</v>
      </c>
      <c r="AF67" s="457">
        <f t="shared" si="3"/>
        <v>0.5</v>
      </c>
      <c r="AG67" s="457">
        <f t="shared" si="4"/>
        <v>0.4</v>
      </c>
      <c r="AH67" s="456"/>
      <c r="AI67" s="456"/>
      <c r="AJ67" s="456"/>
      <c r="AK67" s="36"/>
      <c r="AL67" s="36"/>
    </row>
    <row r="68" spans="5:38" ht="15" customHeight="1">
      <c r="F68" s="368"/>
      <c r="G68" s="194" t="s">
        <v>52</v>
      </c>
      <c r="H68" s="294">
        <f ca="1">IFERROR(H66+H65,"")</f>
        <v>0</v>
      </c>
      <c r="I68" s="294"/>
      <c r="J68" s="294"/>
      <c r="K68" s="294">
        <f ca="1">IFERROR(K66+K65,"")</f>
        <v>0</v>
      </c>
      <c r="L68" s="294"/>
      <c r="M68" s="294"/>
      <c r="N68" s="294">
        <f ca="1">IFERROR(N66+N65,"")</f>
        <v>0</v>
      </c>
      <c r="O68" s="295"/>
      <c r="P68" s="295"/>
      <c r="Q68" s="294" t="str">
        <f ca="1">IFERROR(Q66+Q65,"")</f>
        <v/>
      </c>
      <c r="R68" s="299"/>
      <c r="S68" s="299"/>
      <c r="T68" s="294" t="str">
        <f ca="1">IFERROR(T66+T65,"")</f>
        <v/>
      </c>
      <c r="U68" s="300"/>
      <c r="V68" s="300"/>
      <c r="W68" s="1433" t="str">
        <f ca="1">IFERROR(W66+W65,"")</f>
        <v/>
      </c>
      <c r="X68" s="1425"/>
      <c r="AA68" s="36"/>
      <c r="AB68" s="36" t="str">
        <f ca="1">IF(W54="","","Combined Storage - Tier 6")</f>
        <v>Combined Storage - Tier 6</v>
      </c>
      <c r="AC68" s="458">
        <f ca="1">W54</f>
        <v>0</v>
      </c>
      <c r="AD68" s="459">
        <f t="shared" ca="1" si="6"/>
        <v>1</v>
      </c>
      <c r="AE68" s="456">
        <f ca="1">W55</f>
        <v>1</v>
      </c>
      <c r="AF68" s="457">
        <f t="shared" si="3"/>
        <v>0.5</v>
      </c>
      <c r="AG68" s="457">
        <f t="shared" si="4"/>
        <v>0.4</v>
      </c>
      <c r="AH68" s="456"/>
      <c r="AI68" s="456"/>
      <c r="AJ68" s="456"/>
      <c r="AK68" s="36"/>
      <c r="AL68" s="36"/>
    </row>
    <row r="69" spans="5:38" ht="15" customHeight="1">
      <c r="F69" s="403"/>
      <c r="G69" s="404" t="s">
        <v>5844</v>
      </c>
      <c r="H69" s="405" t="str">
        <f ca="1">IFERROR(H68/INDIRECT("'"&amp;$H$3&amp;"'!H$109"),"")</f>
        <v/>
      </c>
      <c r="I69" s="405"/>
      <c r="J69" s="405"/>
      <c r="K69" s="405" t="str">
        <f ca="1">IFERROR(K68/INDIRECT("'"&amp;$H$3&amp;"'!K$109"),"")</f>
        <v/>
      </c>
      <c r="L69" s="405"/>
      <c r="M69" s="405"/>
      <c r="N69" s="405" t="str">
        <f ca="1">IFERROR(N68/INDIRECT("'"&amp;$H$3&amp;"'!N$109"),"")</f>
        <v/>
      </c>
      <c r="O69" s="408"/>
      <c r="P69" s="408"/>
      <c r="Q69" s="408" t="str">
        <f ca="1">IFERROR(Q68/INDIRECT("'"&amp;$H$3&amp;"'!Q$109"),"")</f>
        <v/>
      </c>
      <c r="R69" s="409"/>
      <c r="S69" s="409"/>
      <c r="T69" s="408" t="str">
        <f ca="1">IFERROR(T68/INDIRECT("'"&amp;$H$3&amp;"'!T$109"),"")</f>
        <v/>
      </c>
      <c r="U69" s="410"/>
      <c r="V69" s="410"/>
      <c r="W69" s="1434" t="str">
        <f ca="1">IFERROR(W68/INDIRECT("'"&amp;$H$3&amp;"'!W$109"),"")</f>
        <v/>
      </c>
      <c r="X69" s="1426"/>
      <c r="AA69" s="36"/>
      <c r="AB69" s="456"/>
      <c r="AC69" s="456"/>
      <c r="AD69" s="456"/>
      <c r="AE69" s="456"/>
      <c r="AF69" s="456"/>
      <c r="AG69" s="456"/>
      <c r="AH69" s="456"/>
      <c r="AI69" s="456"/>
      <c r="AJ69" s="456"/>
      <c r="AK69" s="36"/>
      <c r="AL69" s="36"/>
    </row>
    <row r="70" spans="5:38" ht="15.75" customHeight="1">
      <c r="F70" s="351" t="s">
        <v>466</v>
      </c>
      <c r="G70" s="332"/>
      <c r="H70" s="342"/>
      <c r="I70" s="342"/>
      <c r="J70" s="342"/>
      <c r="K70" s="342"/>
      <c r="L70" s="342"/>
      <c r="M70" s="342"/>
      <c r="N70" s="342"/>
      <c r="O70" s="342"/>
      <c r="P70" s="342"/>
      <c r="Q70" s="342"/>
      <c r="R70" s="343"/>
      <c r="S70" s="342"/>
      <c r="T70" s="342"/>
      <c r="U70" s="342"/>
      <c r="V70" s="342"/>
      <c r="W70" s="342"/>
      <c r="X70" s="1420"/>
      <c r="AA70" s="36"/>
      <c r="AB70" s="456"/>
      <c r="AC70" s="456"/>
      <c r="AD70" s="456"/>
      <c r="AE70" s="456"/>
      <c r="AF70" s="456"/>
      <c r="AG70" s="456"/>
      <c r="AH70" s="456"/>
      <c r="AI70" s="456"/>
      <c r="AJ70" s="456"/>
      <c r="AK70" s="36"/>
      <c r="AL70" s="36"/>
    </row>
    <row r="71" spans="5:38" ht="22.5" customHeight="1">
      <c r="F71" s="411"/>
      <c r="G71" s="211" t="s">
        <v>392</v>
      </c>
      <c r="H71" s="2069">
        <f ca="1">IFERROR(IF(AND(INDIRECT("'"&amp;$H$3&amp;"'!H113")&gt;0,INDIRECT("'"&amp;$H$3&amp;"'!H117")="Upstream"),AVERAGE(H151*H152,H189*H190,H227*H228)/(INDIRECT("'"&amp;$H$3&amp;"'!H113")*INDIRECT("'"&amp;$H$3&amp;"'!H114")),
IF(AND(INDIRECT("'"&amp;$H$3&amp;"'!H113")&gt;0,INDIRECT("'"&amp;$H$3&amp;"'!H117")="Downstream"),SUM(K151*K152,K189*K190,K227*K228)/(IF(INDIRECT("'"&amp;$H$3&amp;"'!K117")="Upstream",(INDIRECT("'"&amp;$H$3&amp;"'!K113")*INDIRECT("'"&amp;$H$3&amp;"'!K114")),0)+(INDIRECT("'"&amp;$H$3&amp;"'!H113")*INDIRECT("'"&amp;$H$3&amp;"'!H114"))),
IF(OR(H64=0,INDIRECT("'"&amp;$H$3&amp;"'!H113")=0,INDIRECT("'"&amp;$H$3&amp;"'!H113")=""),"-","Must Select Upstream or Downstream"))),
IF(H64=0,"-","Cannot calculate. Is cold box capacity set to zero for this tier?"))</f>
        <v>0</v>
      </c>
      <c r="I71" s="2069"/>
      <c r="J71" s="2069"/>
      <c r="K71" s="2069">
        <f ca="1">IFERROR(IF(AND(INDIRECT("'"&amp;$H$3&amp;"'!K113")&gt;0,INDIRECT("'"&amp;$H$3&amp;"'!K117")="Upstream"),AVERAGE(K151*K152,K189*K190,K227*K228)/(IF(INDIRECT("'"&amp;$H$3&amp;"'!H117")="Downstream",(INDIRECT("'"&amp;$H$3&amp;"'!H113")*INDIRECT("'"&amp;$H$3&amp;"'!H114")),0)+(INDIRECT("'"&amp;$H$3&amp;"'!K113")*INDIRECT("'"&amp;$H$3&amp;"'!K114"))),
IF(AND(INDIRECT("'"&amp;$H$3&amp;"'!K113")&gt;0,INDIRECT("'"&amp;$H$3&amp;"'!K117")="Downstream"),SUM(N151*N152,N189*N190,N227*N228)/(IF(INDIRECT("'"&amp;$H$3&amp;"'!N117")="Upstream",(INDIRECT("'"&amp;$H$3&amp;"'!N113")*INDIRECT("'"&amp;$H$3&amp;"'!N114")),0)+(INDIRECT("'"&amp;$H$3&amp;"'!K113")*INDIRECT("'"&amp;$H$3&amp;"'!K114"))),
IF(OR(K64=0,INDIRECT("'"&amp;$H$3&amp;"'!K113")=0,INDIRECT("'"&amp;$H$3&amp;"'!K113")=""),"-","Must Select Upstream or Downstream"))),
IF(K64=0,"-","Cannot calculate. Is cold box capacity set to zero for this tier?"))</f>
        <v>0</v>
      </c>
      <c r="L71" s="2069"/>
      <c r="M71" s="2069"/>
      <c r="N71" s="2069">
        <f ca="1">IFERROR(IF(AND(INDIRECT("'"&amp;$H$3&amp;"'!N113")&gt;0,INDIRECT("'"&amp;$H$3&amp;"'!N117")="Upstream"),AVERAGE(N151*N152,N189*N190,N227*N228)/(IF(INDIRECT("'"&amp;$H$3&amp;"'!K117")="Downstream",(INDIRECT("'"&amp;$H$3&amp;"'!K113")*INDIRECT("'"&amp;$H$3&amp;"'!K114")),0)+(INDIRECT("'"&amp;$H$3&amp;"'!N113")*INDIRECT("'"&amp;$H$3&amp;"'!N114"))),
IF(AND(INDIRECT("'"&amp;$H$3&amp;"'!N113")&gt;0,INDIRECT("'"&amp;$H$3&amp;"'!N117")="Downstream"),SUM(Q151*Q152,Q189*Q190,Q227*Q228)/(IF(INDIRECT("'"&amp;$H$3&amp;"'!Q117")="Upstream",(INDIRECT("'"&amp;$H$3&amp;"'!Q113")*INDIRECT("'"&amp;$H$3&amp;"'!Q114")),0)+(INDIRECT("'"&amp;$H$3&amp;"'!N113")*INDIRECT("'"&amp;$H$3&amp;"'!N114"))),
IF(OR(N64=0,INDIRECT("'"&amp;$H$3&amp;"'!N113")=0,INDIRECT("'"&amp;$H$3&amp;"'!N113")=""),"-","Must Select Upstream or Downstream"))),
IF(N64=0,"-","Cannot calculate. Is cold box capacity set to zero for this tier?"))</f>
        <v>0</v>
      </c>
      <c r="O71" s="2069"/>
      <c r="P71" s="2069"/>
      <c r="Q71" s="2069" t="str">
        <f ca="1">IFERROR(IF(AND(INDIRECT("'"&amp;$H$3&amp;"'!Q113")&gt;0,INDIRECT("'"&amp;$H$3&amp;"'!Q117")="Upstream"),AVERAGE(Q151*Q152,Q189*Q190,Q227*Q228)/(IF(INDIRECT("'"&amp;$H$3&amp;"'!N117")="Downstream",(INDIRECT("'"&amp;$H$3&amp;"'!N113")*INDIRECT("'"&amp;$H$3&amp;"'!N114")),0)+(INDIRECT("'"&amp;$H$3&amp;"'!Q113")*INDIRECT("'"&amp;$H$3&amp;"'!Q114"))),
IF(AND(INDIRECT("'"&amp;$H$3&amp;"'!Q113")&gt;0,INDIRECT("'"&amp;$H$3&amp;"'!Q117")="Downstream"),SUM(T151*T152,T189*T190,T227*T228)/(IF(INDIRECT("'"&amp;$H$3&amp;"'!T117")="Upstream",(INDIRECT("'"&amp;$H$3&amp;"'!T113")*INDIRECT("'"&amp;$H$3&amp;"'!T114")),0)+(INDIRECT("'"&amp;$H$3&amp;"'!Q113")*INDIRECT("'"&amp;$H$3&amp;"'!Q114"))),
IF(OR(Q64=0,INDIRECT("'"&amp;$H$3&amp;"'!Q113")=0,INDIRECT("'"&amp;$H$3&amp;"'!Q113")=""),"-","Must Select Upstream or Downstream"))),
IF(OR(Q64=0,Q64=""),"-","Cannot calculate. Is cold box capacity set to zero for this tier?"))</f>
        <v>-</v>
      </c>
      <c r="R71" s="2069"/>
      <c r="S71" s="2069"/>
      <c r="T71" s="2069" t="str">
        <f ca="1">IFERROR(IF(AND(INDIRECT("'"&amp;$H$3&amp;"'!T113")&gt;0,INDIRECT("'"&amp;$H$3&amp;"'!T117")="Upstream"),AVERAGE(T151*T152,T189*T190,T227*T228)/(IF(INDIRECT("'"&amp;$H$3&amp;"'!Q117")="Downstream",(INDIRECT("'"&amp;$H$3&amp;"'!Q113")*INDIRECT("'"&amp;$H$3&amp;"'!Q114")),0)+(INDIRECT("'"&amp;$H$3&amp;"'!T113")*INDIRECT("'"&amp;$H$3&amp;"'!T114"))),
IF(AND(INDIRECT("'"&amp;$H$3&amp;"'!T113")&gt;0,INDIRECT("'"&amp;$H$3&amp;"'!T117")="Downstream"),SUM(W151*W152,W189*W190,W227*W228)/(IF(INDIRECT("'"&amp;$H$3&amp;"'!W117")="Upstream",(INDIRECT("'"&amp;$H$3&amp;"'!W113")*INDIRECT("'"&amp;$H$3&amp;"'!W114")),0)+(INDIRECT("'"&amp;$H$3&amp;"'!T113")*INDIRECT("'"&amp;$H$3&amp;"'!T114"))),
IF(OR(T64=0,INDIRECT("'"&amp;$H$3&amp;"'!T113")=0,INDIRECT("'"&amp;$H$3&amp;"'!T113")=""),"-","Must Select Upstream or Downstream"))),
IF(T64=0,"-","Cannot calculate. Is cold box capacity set to zero for this tier?"))</f>
        <v>-</v>
      </c>
      <c r="U71" s="2069"/>
      <c r="V71" s="2069"/>
      <c r="W71" s="2070" t="str">
        <f ca="1">IFERROR(IF(AND(INDIRECT("'"&amp;$H$3&amp;"'!W113")&gt;0,INDIRECT("'"&amp;$H$3&amp;"'!W117")="Upstream"),AVERAGE(W151*W152,W189*W190,W227*W228)/(IF(INDIRECT("'"&amp;$H$3&amp;"'!T117")="Downstream",(INDIRECT("'"&amp;$H$3&amp;"'!T113")*INDIRECT("'"&amp;$H$3&amp;"'!T114")),0)+(INDIRECT("'"&amp;$H$3&amp;"'!W113")*INDIRECT("'"&amp;$H$3&amp;"'!W114"))),
IF(AND(INDIRECT("'"&amp;$H$3&amp;"'!W113")&gt;0,INDIRECT("'"&amp;$H$3&amp;"'!W117")="Downstream"),0,
IF(OR(W64=0,INDIRECT("'"&amp;$H$3&amp;"'!W113")=0,INDIRECT("'"&amp;$H$3&amp;"'!W113")=""),"-","Must Select Upstream or Downstream"))),
IF(W64=0,"-","Cannot calculate. Is cold box capacity set to zero for this tier?"))</f>
        <v>-</v>
      </c>
      <c r="X71" s="1427"/>
      <c r="AA71" s="36"/>
      <c r="AB71" s="36"/>
      <c r="AC71" s="36"/>
      <c r="AD71" s="36"/>
      <c r="AE71" s="36"/>
      <c r="AF71" s="36"/>
      <c r="AG71" s="36"/>
      <c r="AH71" s="36"/>
      <c r="AI71" s="36"/>
      <c r="AJ71" s="36"/>
      <c r="AK71" s="36"/>
      <c r="AL71" s="36"/>
    </row>
    <row r="72" spans="5:38" ht="65.25" customHeight="1">
      <c r="F72" s="1406" t="s">
        <v>467</v>
      </c>
      <c r="G72" s="1406"/>
      <c r="H72" s="1406"/>
      <c r="I72" s="1406"/>
      <c r="J72" s="1406"/>
      <c r="K72" s="1406"/>
      <c r="L72" s="1406"/>
      <c r="M72" s="1406"/>
      <c r="N72" s="1406"/>
      <c r="O72" s="1406"/>
      <c r="P72" s="245"/>
      <c r="Q72" s="244"/>
      <c r="R72" s="257"/>
      <c r="S72" s="257"/>
      <c r="T72" s="257"/>
      <c r="U72" s="257"/>
      <c r="V72" s="257"/>
      <c r="W72" s="257"/>
      <c r="X72" s="1458"/>
      <c r="Y72" s="257"/>
      <c r="Z72" s="257"/>
      <c r="AA72" s="447"/>
      <c r="AB72" s="447"/>
      <c r="AC72" s="36"/>
      <c r="AD72" s="36"/>
      <c r="AE72" s="36"/>
      <c r="AF72" s="36"/>
      <c r="AG72" s="36"/>
      <c r="AH72" s="36"/>
      <c r="AI72" s="36"/>
      <c r="AJ72" s="36"/>
      <c r="AK72" s="36"/>
      <c r="AL72" s="36"/>
    </row>
    <row r="73" spans="5:38" ht="36.75" customHeight="1"/>
    <row r="74" spans="5:38" ht="16.5" customHeight="1"/>
    <row r="75" spans="5:38" ht="15.9">
      <c r="E75" s="415" t="s">
        <v>475</v>
      </c>
      <c r="F75" s="324"/>
      <c r="G75" s="324"/>
      <c r="H75" s="22"/>
      <c r="I75" s="22"/>
      <c r="J75" s="22"/>
      <c r="K75" s="22"/>
      <c r="L75" s="22"/>
      <c r="M75" s="22"/>
      <c r="N75" s="22"/>
      <c r="O75" s="22"/>
      <c r="P75" s="22"/>
      <c r="Q75" s="22"/>
      <c r="R75" s="22"/>
      <c r="S75" s="22"/>
      <c r="T75" s="22"/>
      <c r="U75" s="22"/>
      <c r="V75" s="22"/>
      <c r="W75" s="22"/>
      <c r="Y75" s="1485"/>
    </row>
    <row r="76" spans="5:38" ht="29.15">
      <c r="F76" s="20"/>
      <c r="G76" s="21"/>
      <c r="H76" s="1579" t="str">
        <f ca="1">IF($H$9&gt;=1,INDIRECT("'"&amp;$H$3&amp;"'!G$91"),"")</f>
        <v>CMS Tier</v>
      </c>
      <c r="I76" s="1579" t="str">
        <f t="shared" ref="I76:V76" ca="1" si="7">IF($H$9&gt;=1,"Tier 1","")</f>
        <v>Tier 1</v>
      </c>
      <c r="J76" s="1579" t="str">
        <f t="shared" ca="1" si="7"/>
        <v>Tier 1</v>
      </c>
      <c r="K76" s="1579" t="str">
        <f ca="1">IF($H$9&gt;=2,INDIRECT("'"&amp;$H$3&amp;"'!J$91"),"")</f>
        <v>Regional WH Tier</v>
      </c>
      <c r="L76" s="1579" t="str">
        <f t="shared" ca="1" si="7"/>
        <v>Tier 1</v>
      </c>
      <c r="M76" s="1579" t="str">
        <f t="shared" ca="1" si="7"/>
        <v>Tier 1</v>
      </c>
      <c r="N76" s="1579" t="str">
        <f ca="1">IF($H$9&gt;=3,INDIRECT("'"&amp;$H$3&amp;"'!M$91"),"")</f>
        <v>Health Facility Tier</v>
      </c>
      <c r="O76" s="1578" t="str">
        <f t="shared" ca="1" si="7"/>
        <v>Tier 1</v>
      </c>
      <c r="P76" s="1578" t="str">
        <f t="shared" ca="1" si="7"/>
        <v>Tier 1</v>
      </c>
      <c r="Q76" s="1578" t="str">
        <f ca="1">IF($H$9&gt;=4,INDIRECT("'"&amp;$H$3&amp;"'!P$91"),"")</f>
        <v/>
      </c>
      <c r="R76" s="1493" t="str">
        <f t="shared" ca="1" si="7"/>
        <v>Tier 1</v>
      </c>
      <c r="S76" s="1580" t="str">
        <f t="shared" ca="1" si="7"/>
        <v>Tier 1</v>
      </c>
      <c r="T76" s="1578" t="str">
        <f ca="1">IF($H$9&gt;=5,INDIRECT("'"&amp;$H$3&amp;"'!S$91"),"")</f>
        <v/>
      </c>
      <c r="U76" s="1580" t="str">
        <f t="shared" ca="1" si="7"/>
        <v>Tier 1</v>
      </c>
      <c r="V76" s="1580" t="str">
        <f t="shared" ca="1" si="7"/>
        <v>Tier 1</v>
      </c>
      <c r="W76" s="1578" t="str">
        <f ca="1">IF($H$9&gt;=6,INDIRECT("'"&amp;$H$3&amp;"'!V$91"),"")</f>
        <v/>
      </c>
      <c r="X76" s="1459"/>
      <c r="Y76" s="380" t="s">
        <v>25</v>
      </c>
    </row>
    <row r="77" spans="5:38">
      <c r="F77" s="351" t="s">
        <v>464</v>
      </c>
      <c r="G77" s="332"/>
      <c r="H77" s="333"/>
      <c r="I77" s="333"/>
      <c r="J77" s="333"/>
      <c r="K77" s="333"/>
      <c r="L77" s="333"/>
      <c r="M77" s="333"/>
      <c r="N77" s="333"/>
      <c r="O77" s="333"/>
      <c r="P77" s="333"/>
      <c r="Q77" s="333"/>
      <c r="R77" s="334"/>
      <c r="S77" s="335"/>
      <c r="T77" s="333"/>
      <c r="U77" s="335"/>
      <c r="V77" s="335"/>
      <c r="W77" s="333"/>
      <c r="X77" s="1459"/>
      <c r="Y77" s="1486"/>
    </row>
    <row r="78" spans="5:38">
      <c r="F78" s="288" t="s">
        <v>28</v>
      </c>
      <c r="G78" s="336"/>
      <c r="H78" s="337">
        <f ca="1">SUM(H$132:H$137)</f>
        <v>588896.87734702753</v>
      </c>
      <c r="I78" s="337"/>
      <c r="J78" s="337"/>
      <c r="K78" s="337">
        <f ca="1">SUM(K$132:K$137)</f>
        <v>424240.19594778924</v>
      </c>
      <c r="L78" s="337"/>
      <c r="M78" s="337"/>
      <c r="N78" s="337">
        <f ca="1">SUM(N$132:N$137)</f>
        <v>368132.48846262967</v>
      </c>
      <c r="O78" s="338"/>
      <c r="P78" s="338"/>
      <c r="Q78" s="337">
        <f ca="1">SUM(Q$132:Q$137)</f>
        <v>0</v>
      </c>
      <c r="R78" s="339"/>
      <c r="S78" s="340"/>
      <c r="T78" s="337">
        <f ca="1">SUM(T$132:T$137)</f>
        <v>0</v>
      </c>
      <c r="U78" s="340"/>
      <c r="V78" s="340"/>
      <c r="W78" s="338">
        <f ca="1">SUM(W$132:W$137)</f>
        <v>0</v>
      </c>
      <c r="X78" s="1420"/>
      <c r="Y78" s="341">
        <f ca="1">SUM(H78:W78)</f>
        <v>1381269.5617574465</v>
      </c>
      <c r="Z78" s="1"/>
      <c r="AA78" s="1"/>
      <c r="AL78" s="1"/>
    </row>
    <row r="79" spans="5:38">
      <c r="F79" s="288" t="s">
        <v>29</v>
      </c>
      <c r="G79" s="336"/>
      <c r="H79" s="337">
        <f ca="1">SUM(H99:H127)</f>
        <v>0</v>
      </c>
      <c r="I79" s="337"/>
      <c r="J79" s="337"/>
      <c r="K79" s="337">
        <f ca="1">SUM(K99:K127)</f>
        <v>138241.15727461141</v>
      </c>
      <c r="L79" s="337"/>
      <c r="M79" s="337"/>
      <c r="N79" s="337">
        <f ca="1">SUM(N99:N127)</f>
        <v>327344.74427604821</v>
      </c>
      <c r="O79" s="337"/>
      <c r="P79" s="337"/>
      <c r="Q79" s="337">
        <f ca="1">SUM(Q99:Q127)</f>
        <v>0</v>
      </c>
      <c r="R79" s="339"/>
      <c r="S79" s="340"/>
      <c r="T79" s="337">
        <f ca="1">SUM(T99:T127)</f>
        <v>0</v>
      </c>
      <c r="U79" s="340"/>
      <c r="V79" s="340"/>
      <c r="W79" s="338">
        <f ca="1">SUM(W99:W127)</f>
        <v>0</v>
      </c>
      <c r="X79" s="1420"/>
      <c r="Y79" s="341">
        <f ca="1">SUM(H79:W79)</f>
        <v>465585.90155065962</v>
      </c>
    </row>
    <row r="80" spans="5:38">
      <c r="F80" s="288" t="s">
        <v>84</v>
      </c>
      <c r="G80" s="336"/>
      <c r="H80" s="337">
        <f ca="1">SUM(H139)</f>
        <v>68518.335535384278</v>
      </c>
      <c r="I80" s="337"/>
      <c r="J80" s="337"/>
      <c r="K80" s="337">
        <f ca="1">SUM(K139)</f>
        <v>13104</v>
      </c>
      <c r="L80" s="337"/>
      <c r="M80" s="337"/>
      <c r="N80" s="337">
        <f ca="1">SUM(N139)</f>
        <v>50452.347965689762</v>
      </c>
      <c r="O80" s="338"/>
      <c r="P80" s="338"/>
      <c r="Q80" s="337">
        <f ca="1">SUM(Q139)</f>
        <v>0</v>
      </c>
      <c r="R80" s="339"/>
      <c r="S80" s="340"/>
      <c r="T80" s="337">
        <f ca="1">SUM(T139)</f>
        <v>0</v>
      </c>
      <c r="U80" s="340"/>
      <c r="V80" s="340"/>
      <c r="W80" s="338">
        <f ca="1">SUM(W139)</f>
        <v>0</v>
      </c>
      <c r="X80" s="1420"/>
      <c r="Y80" s="341">
        <f ca="1">SUM(H80:W80)</f>
        <v>132074.68350107403</v>
      </c>
    </row>
    <row r="81" spans="5:38">
      <c r="F81" s="419" t="s">
        <v>33</v>
      </c>
      <c r="G81" s="420"/>
      <c r="H81" s="421">
        <f ca="1">SUM(H78:H80)</f>
        <v>657415.21288241178</v>
      </c>
      <c r="I81" s="421"/>
      <c r="J81" s="421"/>
      <c r="K81" s="421">
        <f ca="1">SUM(K78:K80)</f>
        <v>575585.35322240065</v>
      </c>
      <c r="L81" s="421"/>
      <c r="M81" s="421"/>
      <c r="N81" s="421">
        <f ca="1">SUM(N78:N80)</f>
        <v>745929.5807043676</v>
      </c>
      <c r="O81" s="421"/>
      <c r="P81" s="421"/>
      <c r="Q81" s="421">
        <f t="shared" ref="Q81:W81" ca="1" si="8">SUM(Q78:Q80)</f>
        <v>0</v>
      </c>
      <c r="R81" s="421"/>
      <c r="S81" s="421"/>
      <c r="T81" s="421">
        <f t="shared" ca="1" si="8"/>
        <v>0</v>
      </c>
      <c r="U81" s="421"/>
      <c r="V81" s="421"/>
      <c r="W81" s="422">
        <f t="shared" ca="1" si="8"/>
        <v>0</v>
      </c>
      <c r="X81" s="1460"/>
      <c r="Y81" s="423">
        <f ca="1">SUM(Y78:Y80)</f>
        <v>1978930.1468091803</v>
      </c>
    </row>
    <row r="82" spans="5:38" ht="8.25" customHeight="1">
      <c r="E82" s="348"/>
      <c r="F82" s="348"/>
      <c r="G82" s="348"/>
      <c r="H82" s="349"/>
      <c r="I82" s="349"/>
      <c r="J82" s="349"/>
      <c r="K82" s="349"/>
      <c r="L82" s="349"/>
      <c r="M82" s="349"/>
      <c r="N82" s="349"/>
      <c r="O82" s="349"/>
      <c r="P82" s="349"/>
      <c r="Q82" s="349"/>
      <c r="R82" s="349"/>
      <c r="S82" s="349"/>
      <c r="T82" s="349"/>
      <c r="U82" s="349"/>
      <c r="V82" s="349"/>
      <c r="W82" s="349"/>
      <c r="X82" s="1461"/>
      <c r="Y82" s="350"/>
    </row>
    <row r="83" spans="5:38">
      <c r="F83" s="326" t="s">
        <v>476</v>
      </c>
      <c r="G83" s="332"/>
      <c r="H83" s="342"/>
      <c r="I83" s="342"/>
      <c r="J83" s="342"/>
      <c r="K83" s="342"/>
      <c r="L83" s="342"/>
      <c r="M83" s="342"/>
      <c r="N83" s="342"/>
      <c r="O83" s="342"/>
      <c r="P83" s="342"/>
      <c r="Q83" s="342"/>
      <c r="R83" s="343"/>
      <c r="S83" s="342"/>
      <c r="T83" s="342"/>
      <c r="U83" s="342"/>
      <c r="V83" s="342"/>
      <c r="W83" s="342"/>
      <c r="X83" s="1420"/>
      <c r="Y83" s="344"/>
    </row>
    <row r="84" spans="5:38">
      <c r="F84" s="443" t="s">
        <v>185</v>
      </c>
      <c r="G84" s="336"/>
      <c r="H84" s="337">
        <f ca="1">SUM(H132)</f>
        <v>336000</v>
      </c>
      <c r="I84" s="337"/>
      <c r="J84" s="337"/>
      <c r="K84" s="337">
        <f ca="1">SUM(K132)</f>
        <v>268800</v>
      </c>
      <c r="L84" s="337"/>
      <c r="M84" s="337"/>
      <c r="N84" s="337">
        <f ca="1">SUM(N132)</f>
        <v>92620.557692307644</v>
      </c>
      <c r="O84" s="337"/>
      <c r="P84" s="337"/>
      <c r="Q84" s="337">
        <f ca="1">SUM(Q132)</f>
        <v>0</v>
      </c>
      <c r="R84" s="337"/>
      <c r="S84" s="337"/>
      <c r="T84" s="337">
        <f ca="1">SUM(T132)</f>
        <v>0</v>
      </c>
      <c r="U84" s="337"/>
      <c r="V84" s="337"/>
      <c r="W84" s="338">
        <f ca="1">SUM(W132)</f>
        <v>0</v>
      </c>
      <c r="X84" s="1420"/>
      <c r="Y84" s="341">
        <f ca="1">SUM(H84:W84)</f>
        <v>697420.55769230763</v>
      </c>
      <c r="AL84" s="4"/>
    </row>
    <row r="85" spans="5:38">
      <c r="F85" s="444" t="s">
        <v>462</v>
      </c>
      <c r="G85" s="336"/>
      <c r="H85" s="337">
        <f ca="1">SUM(H134,H135,H137)</f>
        <v>19694.82683246637</v>
      </c>
      <c r="I85" s="337"/>
      <c r="J85" s="337"/>
      <c r="K85" s="337">
        <f ca="1">SUM(K134,K135,K137)</f>
        <v>38998.376770428666</v>
      </c>
      <c r="L85" s="337"/>
      <c r="M85" s="337"/>
      <c r="N85" s="337">
        <f ca="1">SUM(N134,N135,N137)</f>
        <v>10350</v>
      </c>
      <c r="O85" s="337"/>
      <c r="P85" s="337"/>
      <c r="Q85" s="337">
        <f ca="1">SUM(Q134,Q135,Q137)</f>
        <v>0</v>
      </c>
      <c r="R85" s="337"/>
      <c r="S85" s="337"/>
      <c r="T85" s="337">
        <f ca="1">SUM(T134,T135,T137)</f>
        <v>0</v>
      </c>
      <c r="U85" s="337"/>
      <c r="V85" s="337"/>
      <c r="W85" s="338">
        <f ca="1">SUM(W134,W135,W137)</f>
        <v>0</v>
      </c>
      <c r="X85" s="1420"/>
      <c r="Y85" s="341">
        <f ca="1">SUM(H85:W85)</f>
        <v>69043.203602895039</v>
      </c>
    </row>
    <row r="86" spans="5:38">
      <c r="F86" s="443" t="s">
        <v>478</v>
      </c>
      <c r="G86" s="336"/>
      <c r="H86" s="337">
        <f ca="1">SUM(H133,H136)</f>
        <v>233202.05051456118</v>
      </c>
      <c r="I86" s="337"/>
      <c r="J86" s="337"/>
      <c r="K86" s="337">
        <f ca="1">SUM(K133,K136)</f>
        <v>116441.81917736056</v>
      </c>
      <c r="L86" s="337"/>
      <c r="M86" s="337"/>
      <c r="N86" s="337">
        <f ca="1">SUM(N133,N136)</f>
        <v>265161.93077032204</v>
      </c>
      <c r="O86" s="337"/>
      <c r="P86" s="337"/>
      <c r="Q86" s="337">
        <f ca="1">SUM(Q133,Q136)</f>
        <v>0</v>
      </c>
      <c r="R86" s="337"/>
      <c r="S86" s="337"/>
      <c r="T86" s="337">
        <f ca="1">SUM(T133,T136)</f>
        <v>0</v>
      </c>
      <c r="U86" s="337"/>
      <c r="V86" s="337"/>
      <c r="W86" s="338">
        <f ca="1">SUM(W133,W136)</f>
        <v>0</v>
      </c>
      <c r="X86" s="1420"/>
      <c r="Y86" s="341">
        <f ca="1">SUM(H86:W86)</f>
        <v>614805.80046224385</v>
      </c>
    </row>
    <row r="87" spans="5:38">
      <c r="F87" s="326" t="s">
        <v>477</v>
      </c>
      <c r="G87" s="332"/>
      <c r="H87" s="342"/>
      <c r="I87" s="342"/>
      <c r="J87" s="342"/>
      <c r="K87" s="342"/>
      <c r="L87" s="342"/>
      <c r="M87" s="342"/>
      <c r="N87" s="342"/>
      <c r="O87" s="342"/>
      <c r="P87" s="342"/>
      <c r="Q87" s="342"/>
      <c r="R87" s="343"/>
      <c r="S87" s="342"/>
      <c r="T87" s="342"/>
      <c r="U87" s="342"/>
      <c r="V87" s="342"/>
      <c r="W87" s="342"/>
      <c r="X87" s="1420"/>
      <c r="Y87" s="344"/>
    </row>
    <row r="88" spans="5:38">
      <c r="F88" s="443" t="s">
        <v>185</v>
      </c>
      <c r="G88" s="336"/>
      <c r="H88" s="337">
        <f ca="1">SUM(H101,H111,H121)</f>
        <v>0</v>
      </c>
      <c r="I88" s="337"/>
      <c r="J88" s="337"/>
      <c r="K88" s="337">
        <f ca="1">SUM(K101,K111,K121)</f>
        <v>9928.8000000000011</v>
      </c>
      <c r="L88" s="337"/>
      <c r="M88" s="337"/>
      <c r="N88" s="337">
        <f ca="1">SUM(N101,N111,N121)</f>
        <v>56452.320000000007</v>
      </c>
      <c r="O88" s="337"/>
      <c r="P88" s="337"/>
      <c r="Q88" s="337">
        <f ca="1">SUM(Q101,Q111,Q121)</f>
        <v>0</v>
      </c>
      <c r="R88" s="337"/>
      <c r="S88" s="337"/>
      <c r="T88" s="337">
        <f ca="1">SUM(T101,T111,T121)</f>
        <v>0</v>
      </c>
      <c r="U88" s="337"/>
      <c r="V88" s="337"/>
      <c r="W88" s="338">
        <f ca="1">SUM(W101,W111,W121)</f>
        <v>0</v>
      </c>
      <c r="X88" s="1420"/>
      <c r="Y88" s="341">
        <f ca="1">SUM(H88:W88)</f>
        <v>66381.12000000001</v>
      </c>
      <c r="AL88" s="4"/>
    </row>
    <row r="89" spans="5:38">
      <c r="F89" s="444" t="s">
        <v>462</v>
      </c>
      <c r="G89" s="336"/>
      <c r="H89" s="337">
        <f ca="1">SUM(H106,H116,H126)</f>
        <v>0</v>
      </c>
      <c r="I89" s="337"/>
      <c r="J89" s="337"/>
      <c r="K89" s="337">
        <f ca="1">SUM(K106,K116,K126)</f>
        <v>14089.798000000001</v>
      </c>
      <c r="L89" s="337"/>
      <c r="M89" s="337"/>
      <c r="N89" s="337">
        <f ca="1">SUM(N106,N116,N126)</f>
        <v>82074.196795095864</v>
      </c>
      <c r="O89" s="337"/>
      <c r="P89" s="337"/>
      <c r="Q89" s="337">
        <f ca="1">SUM(Q106,Q116,Q126)</f>
        <v>0</v>
      </c>
      <c r="R89" s="337"/>
      <c r="S89" s="337"/>
      <c r="T89" s="337">
        <f ca="1">SUM(T106,T116,T126)</f>
        <v>0</v>
      </c>
      <c r="U89" s="337"/>
      <c r="V89" s="337"/>
      <c r="W89" s="338">
        <f ca="1">SUM(W106,W116,W126)</f>
        <v>0</v>
      </c>
      <c r="X89" s="1420"/>
      <c r="Y89" s="341">
        <f ca="1">SUM(H89:W89)</f>
        <v>96163.994795095859</v>
      </c>
    </row>
    <row r="90" spans="5:38">
      <c r="F90" s="443" t="s">
        <v>471</v>
      </c>
      <c r="G90" s="336"/>
      <c r="H90" s="337">
        <f ca="1">SUM(H102,H112,H122)</f>
        <v>0</v>
      </c>
      <c r="I90" s="337"/>
      <c r="J90" s="337"/>
      <c r="K90" s="337">
        <f ca="1">SUM(K102,K112,K122)</f>
        <v>6300</v>
      </c>
      <c r="L90" s="337"/>
      <c r="M90" s="337"/>
      <c r="N90" s="337">
        <f ca="1">SUM(N102,N112,N122)</f>
        <v>35820</v>
      </c>
      <c r="O90" s="337"/>
      <c r="P90" s="337"/>
      <c r="Q90" s="337">
        <f ca="1">SUM(Q102,Q112,Q122)</f>
        <v>0</v>
      </c>
      <c r="R90" s="337"/>
      <c r="S90" s="337"/>
      <c r="T90" s="337">
        <f ca="1">SUM(T102,T112,T122)</f>
        <v>0</v>
      </c>
      <c r="U90" s="337"/>
      <c r="V90" s="337"/>
      <c r="W90" s="338">
        <f ca="1">SUM(W102,W112,W122)</f>
        <v>0</v>
      </c>
      <c r="X90" s="1420"/>
      <c r="Y90" s="341">
        <f ca="1">SUM(H90:W90)</f>
        <v>42120</v>
      </c>
      <c r="AL90" s="4"/>
    </row>
    <row r="91" spans="5:38">
      <c r="F91" s="445" t="s">
        <v>463</v>
      </c>
      <c r="G91" s="346"/>
      <c r="H91" s="446">
        <f ca="1">SUM(H99:H100,H103:H105,H107,H109:H110,H113:H115,H117,H119:H120,H123:H125,H127)</f>
        <v>0</v>
      </c>
      <c r="I91" s="446"/>
      <c r="J91" s="446"/>
      <c r="K91" s="446">
        <f ca="1">SUM(K99:K100,K103:K105,K107,K109:K110,K113:K115,K117,K119:K120,K123:K125,K127)</f>
        <v>107922.55927461141</v>
      </c>
      <c r="L91" s="446"/>
      <c r="M91" s="446"/>
      <c r="N91" s="446">
        <f ca="1">SUM(N99:N100,N103:N105,N107,N109:N110,N113:N115,N117,N119:N120,N123:N125,N127)</f>
        <v>152998.2274809524</v>
      </c>
      <c r="O91" s="446"/>
      <c r="P91" s="446"/>
      <c r="Q91" s="446">
        <f ca="1">SUM(Q99:Q100,Q103:Q105,Q107,Q109:Q110,Q113:Q115,Q117,Q119:Q120,Q123:Q125,Q127)</f>
        <v>0</v>
      </c>
      <c r="R91" s="446"/>
      <c r="S91" s="446"/>
      <c r="T91" s="446">
        <f ca="1">SUM(T99:T100,T103:T105,T107,T109:T110,T113:T115,T117,T119:T120,T123:T125,T127)</f>
        <v>0</v>
      </c>
      <c r="U91" s="446"/>
      <c r="V91" s="446"/>
      <c r="W91" s="1436">
        <f ca="1">SUM(W99:W100,W103:W105,W107,W109:W110,W113:W115,W117,W119:W120,W123:W125,W127)</f>
        <v>0</v>
      </c>
      <c r="X91" s="1462"/>
      <c r="Y91" s="347">
        <f ca="1">SUM(H91:W91)</f>
        <v>260920.78675556381</v>
      </c>
    </row>
    <row r="92" spans="5:38">
      <c r="F92" s="6"/>
      <c r="G92" s="6"/>
      <c r="S92" s="246"/>
      <c r="T92" s="246"/>
      <c r="U92" s="246"/>
      <c r="V92" s="246"/>
      <c r="W92" s="246"/>
      <c r="X92" s="1420"/>
      <c r="Y92" s="246"/>
      <c r="AL92" s="4"/>
    </row>
    <row r="93" spans="5:38">
      <c r="F93" s="6"/>
      <c r="G93" s="6"/>
      <c r="S93" s="246"/>
      <c r="T93" s="246"/>
      <c r="U93" s="246"/>
      <c r="V93" s="246"/>
      <c r="W93" s="246"/>
      <c r="X93" s="1420"/>
      <c r="Y93" s="246"/>
      <c r="AL93" s="4"/>
    </row>
    <row r="94" spans="5:38">
      <c r="F94" s="6"/>
      <c r="G94" s="6"/>
      <c r="S94" s="246"/>
      <c r="T94" s="246"/>
      <c r="U94" s="246"/>
      <c r="V94" s="246"/>
      <c r="W94" s="246"/>
      <c r="X94" s="1420"/>
      <c r="Y94" s="246"/>
      <c r="AL94" s="4"/>
    </row>
    <row r="95" spans="5:38">
      <c r="F95" s="6"/>
      <c r="G95" s="6"/>
      <c r="S95" s="246"/>
      <c r="T95" s="246"/>
      <c r="U95" s="246"/>
      <c r="V95" s="246"/>
      <c r="W95" s="246"/>
      <c r="X95" s="1420"/>
      <c r="Y95" s="246"/>
      <c r="AL95" s="4"/>
    </row>
    <row r="96" spans="5:38" ht="18.45">
      <c r="E96" s="415" t="s">
        <v>460</v>
      </c>
      <c r="F96" s="324"/>
      <c r="G96" s="995"/>
      <c r="H96" s="996"/>
      <c r="I96" s="996"/>
      <c r="J96" s="996"/>
      <c r="K96" s="996"/>
      <c r="L96" s="996"/>
      <c r="M96" s="996"/>
      <c r="N96" s="996"/>
      <c r="O96" s="996"/>
      <c r="P96" s="996"/>
      <c r="Q96" s="996"/>
      <c r="R96" s="996"/>
      <c r="S96" s="996"/>
      <c r="T96" s="996"/>
      <c r="U96" s="996"/>
      <c r="V96" s="996"/>
      <c r="W96" s="996"/>
      <c r="X96" s="1428"/>
      <c r="Y96" s="1490"/>
      <c r="AL96" s="4"/>
    </row>
    <row r="97" spans="6:38" ht="30" customHeight="1">
      <c r="F97" s="994"/>
      <c r="G97" s="994"/>
      <c r="H97" s="1501"/>
      <c r="I97" s="1501" t="str">
        <f t="shared" ref="I97:V97" ca="1" si="9">IF($H$9&gt;=1,"Tier 1","")</f>
        <v>Tier 1</v>
      </c>
      <c r="J97" s="1501" t="str">
        <f t="shared" ca="1" si="9"/>
        <v>Tier 1</v>
      </c>
      <c r="K97" s="1502" t="str">
        <f ca="1">IF($H$9&gt;=2,INDIRECT("'"&amp;$H$3&amp;"'!J$130"),"")</f>
        <v>CMS  to  Regional WH</v>
      </c>
      <c r="L97" s="1502" t="str">
        <f t="shared" ca="1" si="9"/>
        <v>Tier 1</v>
      </c>
      <c r="M97" s="1502" t="str">
        <f t="shared" ca="1" si="9"/>
        <v>Tier 1</v>
      </c>
      <c r="N97" s="1502" t="str">
        <f ca="1">IF($H$9&gt;=3,INDIRECT("'"&amp;$H$3&amp;"'!M$130"),"")</f>
        <v>Regional WH  to  Health Facility</v>
      </c>
      <c r="O97" s="1502" t="str">
        <f t="shared" ca="1" si="9"/>
        <v>Tier 1</v>
      </c>
      <c r="P97" s="1502" t="str">
        <f t="shared" ca="1" si="9"/>
        <v>Tier 1</v>
      </c>
      <c r="Q97" s="1502" t="str">
        <f ca="1">IF($H$9&gt;=4,INDIRECT("'"&amp;$H$3&amp;"'!P$130"),"")</f>
        <v/>
      </c>
      <c r="R97" s="1503" t="str">
        <f t="shared" ca="1" si="9"/>
        <v>Tier 1</v>
      </c>
      <c r="S97" s="1504" t="str">
        <f t="shared" ca="1" si="9"/>
        <v>Tier 1</v>
      </c>
      <c r="T97" s="1502" t="str">
        <f ca="1">IF($H$9&gt;=5,INDIRECT("'"&amp;$H$3&amp;"'!S$130"),"")</f>
        <v/>
      </c>
      <c r="U97" s="1504" t="str">
        <f t="shared" ca="1" si="9"/>
        <v>Tier 1</v>
      </c>
      <c r="V97" s="1504" t="str">
        <f t="shared" ca="1" si="9"/>
        <v>Tier 1</v>
      </c>
      <c r="W97" s="1505" t="str">
        <f ca="1">IF($H$9&gt;=6,INDIRECT("'"&amp;$H$3&amp;"'!V$130"),"")</f>
        <v/>
      </c>
      <c r="X97" s="1459"/>
      <c r="Y97" s="1488" t="s">
        <v>25</v>
      </c>
    </row>
    <row r="98" spans="6:38">
      <c r="F98" s="352" t="s">
        <v>2442</v>
      </c>
      <c r="G98" s="353"/>
      <c r="H98" s="354"/>
      <c r="I98" s="354"/>
      <c r="J98" s="354"/>
      <c r="K98" s="354"/>
      <c r="L98" s="354"/>
      <c r="M98" s="354"/>
      <c r="N98" s="354"/>
      <c r="O98" s="354"/>
      <c r="P98" s="354"/>
      <c r="Q98" s="354"/>
      <c r="R98" s="354"/>
      <c r="S98" s="355"/>
      <c r="T98" s="354"/>
      <c r="U98" s="355"/>
      <c r="V98" s="355"/>
      <c r="W98" s="383"/>
      <c r="Y98" s="355">
        <f ca="1">SUM(Y99:Y107)</f>
        <v>222108.85711184109</v>
      </c>
    </row>
    <row r="99" spans="6:38">
      <c r="F99" s="288"/>
      <c r="G99" s="356" t="s">
        <v>48</v>
      </c>
      <c r="H99" s="300">
        <f ca="1">IFERROR((1-INDIRECT("'"&amp;$H$3&amp;"'!H$207"))*IF(INDIRECT("'"&amp;$H$3&amp;"'!H$201")='List Values'!$E$5,INDIRECT("'"&amp;$H$3&amp;"'!H$203")*IF(INDIRECT("'"&amp;$H$3&amp;"'!H$202")='List Values'!$F$3,H$280,IF(INDIRECT("'"&amp;$H$3&amp;"'!H$202")='List Values'!$F$4,'4_Outputs'!H$52*INDIRECT("'"&amp;$H$3&amp;"'!H$95")*INDIRECT("'"&amp;$H$3&amp;"'!H$199"),IF(INDIRECT("'"&amp;$H$3&amp;"'!H$202")='List Values'!$F$5,H$281,IF(INDIRECT("'"&amp;$H$3&amp;"'!H$202")='List Values'!$F$6,INDIRECT("'"&amp;$H$3&amp;"'!H$95")*INDIRECT("'"&amp;$H$3&amp;"'!H$199"),IF(INDIRECT("'"&amp;$H$3&amp;"'!H$202")='List Values'!$F$7,1,0))))),0),0)
+IFERROR((1-INDIRECT("'"&amp;$H$3&amp;"'!H$227"))*IF(INDIRECT("'"&amp;$H$3&amp;"'!H$221")='List Values'!$E$5,INDIRECT("'"&amp;$H$3&amp;"'!H$223")*IF(INDIRECT("'"&amp;$H$3&amp;"'!H$222")='List Values'!$F$3,H$309,IF(INDIRECT("'"&amp;$H$3&amp;"'!H$222")='List Values'!$F$4,'4_Outputs'!H$52*INDIRECT("'"&amp;$H$3&amp;"'!H$95")*INDIRECT("'"&amp;$H$3&amp;"'!H$219"),IF(INDIRECT("'"&amp;$H$3&amp;"'!H$222")='List Values'!$F$5,H$310,IF(INDIRECT("'"&amp;$H$3&amp;"'!H$222")='List Values'!$F$6,INDIRECT("'"&amp;$H$3&amp;"'!H$95")*INDIRECT("'"&amp;$H$3&amp;"'!H$219"),IF(INDIRECT("'"&amp;$H$3&amp;"'!H$222")='List Values'!$F$7,1,0))))),0),0)
+IFERROR((1-INDIRECT("'"&amp;$H$3&amp;"'!H$247"))*IF(INDIRECT("'"&amp;$H$3&amp;"'!H$241")='List Values'!$E$5,INDIRECT("'"&amp;$H$3&amp;"'!H$243")*IF(INDIRECT("'"&amp;$H$3&amp;"'!H$242")='List Values'!$F$3,H$338,IF(INDIRECT("'"&amp;$H$3&amp;"'!H$242")='List Values'!$F$4,'4_Outputs'!H$52*INDIRECT("'"&amp;$H$3&amp;"'!H$95")*INDIRECT("'"&amp;$H$3&amp;"'!H$239"),IF(INDIRECT("'"&amp;$H$3&amp;"'!H$242")='List Values'!$F$5,H$339,IF(INDIRECT("'"&amp;$H$3&amp;"'!H$242")='List Values'!$F$6,INDIRECT("'"&amp;$H$3&amp;"'!H$95")*INDIRECT("'"&amp;$H$3&amp;"'!H$239"),IF(INDIRECT("'"&amp;$H$3&amp;"'!H$242")='List Values'!$F$7,1,0))))),0),0)</f>
        <v>0</v>
      </c>
      <c r="I99" s="300"/>
      <c r="J99" s="300"/>
      <c r="K99" s="300">
        <f ca="1">IFERROR((1-INDIRECT("'"&amp;$H$3&amp;"'!K$207"))*IF(INDIRECT("'"&amp;$H$3&amp;"'!K$201")='List Values'!$E$5,INDIRECT("'"&amp;$H$3&amp;"'!K$203")*IF(INDIRECT("'"&amp;$H$3&amp;"'!K$202")='List Values'!$F$3,K$280,IF(INDIRECT("'"&amp;$H$3&amp;"'!K$202")='List Values'!$F$4,'4_Outputs'!K$52*INDIRECT("'"&amp;$H$3&amp;"'!K$95")*INDIRECT("'"&amp;$H$3&amp;"'!K$199"),IF(INDIRECT("'"&amp;$H$3&amp;"'!K$202")='List Values'!$F$5,K$281,IF(INDIRECT("'"&amp;$H$3&amp;"'!K$202")='List Values'!$F$6,INDIRECT("'"&amp;$H$3&amp;"'!K$95")*INDIRECT("'"&amp;$H$3&amp;"'!K$199"),IF(INDIRECT("'"&amp;$H$3&amp;"'!K$202")='List Values'!$F$7,1,0))))),0),0)
+IFERROR((1-INDIRECT("'"&amp;$H$3&amp;"'!K$227"))*IF(INDIRECT("'"&amp;$H$3&amp;"'!K$221")='List Values'!$E$5,INDIRECT("'"&amp;$H$3&amp;"'!K$223")*IF(INDIRECT("'"&amp;$H$3&amp;"'!K$222")='List Values'!$F$3,K$309,IF(INDIRECT("'"&amp;$H$3&amp;"'!K$222")='List Values'!$F$4,'4_Outputs'!K$52*INDIRECT("'"&amp;$H$3&amp;"'!K$95")*INDIRECT("'"&amp;$H$3&amp;"'!K$219"),IF(INDIRECT("'"&amp;$H$3&amp;"'!K$222")='List Values'!$F$5,K$310,IF(INDIRECT("'"&amp;$H$3&amp;"'!K$222")='List Values'!$F$6,INDIRECT("'"&amp;$H$3&amp;"'!K$95")*INDIRECT("'"&amp;$H$3&amp;"'!K$219"),IF(INDIRECT("'"&amp;$H$3&amp;"'!K$222")='List Values'!$F$7,1,0))))),0),0)
+IFERROR((1-INDIRECT("'"&amp;$H$3&amp;"'!K$247"))*IF(INDIRECT("'"&amp;$H$3&amp;"'!K$241")='List Values'!$E$5,INDIRECT("'"&amp;$H$3&amp;"'!K$243")*IF(INDIRECT("'"&amp;$H$3&amp;"'!K$242")='List Values'!$F$3,K$338,IF(INDIRECT("'"&amp;$H$3&amp;"'!K$242")='List Values'!$F$4,'4_Outputs'!K$52*INDIRECT("'"&amp;$H$3&amp;"'!K$95")*INDIRECT("'"&amp;$H$3&amp;"'!K$239"),IF(INDIRECT("'"&amp;$H$3&amp;"'!K$242")='List Values'!$F$5,K$339,IF(INDIRECT("'"&amp;$H$3&amp;"'!K$242")='List Values'!$F$6,INDIRECT("'"&amp;$H$3&amp;"'!K$95")*INDIRECT("'"&amp;$H$3&amp;"'!K$239"),IF(INDIRECT("'"&amp;$H$3&amp;"'!K$242")='List Values'!$F$7,1,0))))),0),0)</f>
        <v>0</v>
      </c>
      <c r="L99" s="300"/>
      <c r="M99" s="300"/>
      <c r="N99" s="300">
        <f ca="1">IFERROR((1-INDIRECT("'"&amp;$H$3&amp;"'!N$207"))*IF(INDIRECT("'"&amp;$H$3&amp;"'!N$201")='List Values'!$E$5,INDIRECT("'"&amp;$H$3&amp;"'!N$203")*IF(INDIRECT("'"&amp;$H$3&amp;"'!N$202")='List Values'!$F$3,N$280,IF(INDIRECT("'"&amp;$H$3&amp;"'!N$202")='List Values'!$F$4,'4_Outputs'!N$52*INDIRECT("'"&amp;$H$3&amp;"'!N$95")*INDIRECT("'"&amp;$H$3&amp;"'!N$199"),IF(INDIRECT("'"&amp;$H$3&amp;"'!N$202")='List Values'!$F$5,N$281,IF(INDIRECT("'"&amp;$H$3&amp;"'!N$202")='List Values'!$F$6,INDIRECT("'"&amp;$H$3&amp;"'!N$95")*INDIRECT("'"&amp;$H$3&amp;"'!N$199"),IF(INDIRECT("'"&amp;$H$3&amp;"'!N$202")='List Values'!$F$7,1,0))))),0),0)
+IFERROR((1-INDIRECT("'"&amp;$H$3&amp;"'!N$227"))*IF(INDIRECT("'"&amp;$H$3&amp;"'!N$221")='List Values'!$E$5,INDIRECT("'"&amp;$H$3&amp;"'!N$223")*IF(INDIRECT("'"&amp;$H$3&amp;"'!N$222")='List Values'!$F$3,N$309,IF(INDIRECT("'"&amp;$H$3&amp;"'!N$222")='List Values'!$F$4,'4_Outputs'!N$52*INDIRECT("'"&amp;$H$3&amp;"'!N$95")*INDIRECT("'"&amp;$H$3&amp;"'!N$219"),IF(INDIRECT("'"&amp;$H$3&amp;"'!N$222")='List Values'!$F$5,N$310,IF(INDIRECT("'"&amp;$H$3&amp;"'!N$222")='List Values'!$F$6,INDIRECT("'"&amp;$H$3&amp;"'!N$95")*INDIRECT("'"&amp;$H$3&amp;"'!N$219"),IF(INDIRECT("'"&amp;$H$3&amp;"'!N$222")='List Values'!$F$7,1,0))))),0),0)
+IFERROR((1-INDIRECT("'"&amp;$H$3&amp;"'!N$247"))*IF(INDIRECT("'"&amp;$H$3&amp;"'!N$241")='List Values'!$E$5,INDIRECT("'"&amp;$H$3&amp;"'!N$243")*IF(INDIRECT("'"&amp;$H$3&amp;"'!N$242")='List Values'!$F$3,N$338,IF(INDIRECT("'"&amp;$H$3&amp;"'!N$242")='List Values'!$F$4,'4_Outputs'!N$52*INDIRECT("'"&amp;$H$3&amp;"'!N$95")*INDIRECT("'"&amp;$H$3&amp;"'!N$239"),IF(INDIRECT("'"&amp;$H$3&amp;"'!N$242")='List Values'!$F$5,N$339,IF(INDIRECT("'"&amp;$H$3&amp;"'!N$242")='List Values'!$F$6,INDIRECT("'"&amp;$H$3&amp;"'!N$95")*INDIRECT("'"&amp;$H$3&amp;"'!N$239"),IF(INDIRECT("'"&amp;$H$3&amp;"'!N$242")='List Values'!$F$7,1,0))))),0),0)</f>
        <v>0</v>
      </c>
      <c r="O99" s="300"/>
      <c r="P99" s="300"/>
      <c r="Q99" s="300">
        <f ca="1">IFERROR((1-INDIRECT("'"&amp;$H$3&amp;"'!Q$207"))*IF(INDIRECT("'"&amp;$H$3&amp;"'!Q$201")='List Values'!$E$5,INDIRECT("'"&amp;$H$3&amp;"'!Q$203")*IF(INDIRECT("'"&amp;$H$3&amp;"'!Q$202")='List Values'!$F$3,Q$280,IF(INDIRECT("'"&amp;$H$3&amp;"'!Q$202")='List Values'!$F$4,'4_Outputs'!Q$52*INDIRECT("'"&amp;$H$3&amp;"'!Q$95")*INDIRECT("'"&amp;$H$3&amp;"'!Q$199"),IF(INDIRECT("'"&amp;$H$3&amp;"'!Q$202")='List Values'!$F$5,Q$281,IF(INDIRECT("'"&amp;$H$3&amp;"'!Q$202")='List Values'!$F$6,INDIRECT("'"&amp;$H$3&amp;"'!Q$95")*INDIRECT("'"&amp;$H$3&amp;"'!Q$199"),IF(INDIRECT("'"&amp;$H$3&amp;"'!Q$202")='List Values'!$F$7,1,0))))),0),0)
+IFERROR((1-INDIRECT("'"&amp;$H$3&amp;"'!Q$227"))*IF(INDIRECT("'"&amp;$H$3&amp;"'!Q$221")='List Values'!$E$5,INDIRECT("'"&amp;$H$3&amp;"'!Q$223")*IF(INDIRECT("'"&amp;$H$3&amp;"'!Q$222")='List Values'!$F$3,Q$309,IF(INDIRECT("'"&amp;$H$3&amp;"'!Q$222")='List Values'!$F$4,'4_Outputs'!Q$52*INDIRECT("'"&amp;$H$3&amp;"'!Q$95")*INDIRECT("'"&amp;$H$3&amp;"'!Q$219"),IF(INDIRECT("'"&amp;$H$3&amp;"'!Q$222")='List Values'!$F$5,Q$310,IF(INDIRECT("'"&amp;$H$3&amp;"'!Q$222")='List Values'!$F$6,INDIRECT("'"&amp;$H$3&amp;"'!Q$95")*INDIRECT("'"&amp;$H$3&amp;"'!Q$219"),IF(INDIRECT("'"&amp;$H$3&amp;"'!Q$222")='List Values'!$F$7,1,0))))),0),0)
+IFERROR((1-INDIRECT("'"&amp;$H$3&amp;"'!Q$247"))*IF(INDIRECT("'"&amp;$H$3&amp;"'!Q$241")='List Values'!$E$5,INDIRECT("'"&amp;$H$3&amp;"'!Q$243")*IF(INDIRECT("'"&amp;$H$3&amp;"'!Q$242")='List Values'!$F$3,Q$338,IF(INDIRECT("'"&amp;$H$3&amp;"'!Q$242")='List Values'!$F$4,'4_Outputs'!Q$52*INDIRECT("'"&amp;$H$3&amp;"'!Q$95")*INDIRECT("'"&amp;$H$3&amp;"'!Q$239"),IF(INDIRECT("'"&amp;$H$3&amp;"'!Q$242")='List Values'!$F$5,Q$339,IF(INDIRECT("'"&amp;$H$3&amp;"'!Q$242")='List Values'!$F$6,INDIRECT("'"&amp;$H$3&amp;"'!Q$95")*INDIRECT("'"&amp;$H$3&amp;"'!Q$239"),IF(INDIRECT("'"&amp;$H$3&amp;"'!Q$242")='List Values'!$F$7,1,0))))),0),0)</f>
        <v>0</v>
      </c>
      <c r="R99" s="300"/>
      <c r="S99" s="337"/>
      <c r="T99" s="300">
        <f ca="1">IFERROR((1-INDIRECT("'"&amp;$H$3&amp;"'!T$207"))*IF(INDIRECT("'"&amp;$H$3&amp;"'!T$201")='List Values'!$E$5,INDIRECT("'"&amp;$H$3&amp;"'!T$203")*IF(INDIRECT("'"&amp;$H$3&amp;"'!T$202")='List Values'!$F$3,T$280,IF(INDIRECT("'"&amp;$H$3&amp;"'!T$202")='List Values'!$F$4,'4_Outputs'!T$52*INDIRECT("'"&amp;$H$3&amp;"'!T$95")*INDIRECT("'"&amp;$H$3&amp;"'!T$199"),IF(INDIRECT("'"&amp;$H$3&amp;"'!T$202")='List Values'!$F$5,T$281,IF(INDIRECT("'"&amp;$H$3&amp;"'!T$202")='List Values'!$F$6,INDIRECT("'"&amp;$H$3&amp;"'!T$95")*INDIRECT("'"&amp;$H$3&amp;"'!T$199"),IF(INDIRECT("'"&amp;$H$3&amp;"'!T$202")='List Values'!$F$7,1,0))))),0),0)
+IFERROR((1-INDIRECT("'"&amp;$H$3&amp;"'!T$227"))*IF(INDIRECT("'"&amp;$H$3&amp;"'!T$221")='List Values'!$E$5,INDIRECT("'"&amp;$H$3&amp;"'!T$223")*IF(INDIRECT("'"&amp;$H$3&amp;"'!T$222")='List Values'!$F$3,T$309,IF(INDIRECT("'"&amp;$H$3&amp;"'!T$222")='List Values'!$F$4,'4_Outputs'!T$52*INDIRECT("'"&amp;$H$3&amp;"'!T$95")*INDIRECT("'"&amp;$H$3&amp;"'!T$219"),IF(INDIRECT("'"&amp;$H$3&amp;"'!T$222")='List Values'!$F$5,T$310,IF(INDIRECT("'"&amp;$H$3&amp;"'!T$222")='List Values'!$F$6,INDIRECT("'"&amp;$H$3&amp;"'!T$95")*INDIRECT("'"&amp;$H$3&amp;"'!T$219"),IF(INDIRECT("'"&amp;$H$3&amp;"'!T$222")='List Values'!$F$7,1,0))))),0),0)
+IFERROR((1-INDIRECT("'"&amp;$H$3&amp;"'!T$247"))*IF(INDIRECT("'"&amp;$H$3&amp;"'!T$241")='List Values'!$E$5,INDIRECT("'"&amp;$H$3&amp;"'!T$243")*IF(INDIRECT("'"&amp;$H$3&amp;"'!T$242")='List Values'!$F$3,T$338,IF(INDIRECT("'"&amp;$H$3&amp;"'!T$242")='List Values'!$F$4,'4_Outputs'!T$52*INDIRECT("'"&amp;$H$3&amp;"'!T$95")*INDIRECT("'"&amp;$H$3&amp;"'!T$239"),IF(INDIRECT("'"&amp;$H$3&amp;"'!T$242")='List Values'!$F$5,T$339,IF(INDIRECT("'"&amp;$H$3&amp;"'!T$242")='List Values'!$F$6,INDIRECT("'"&amp;$H$3&amp;"'!T$95")*INDIRECT("'"&amp;$H$3&amp;"'!T$239"),IF(INDIRECT("'"&amp;$H$3&amp;"'!T$242")='List Values'!$F$7,1,0))))),0),0)</f>
        <v>0</v>
      </c>
      <c r="U99" s="337"/>
      <c r="V99" s="337"/>
      <c r="W99" s="1437">
        <f ca="1">IFERROR((1-INDIRECT("'"&amp;$H$3&amp;"'!W$207"))*IF(INDIRECT("'"&amp;$H$3&amp;"'!W$201")='List Values'!$E$5,INDIRECT("'"&amp;$H$3&amp;"'!W$203")*IF(INDIRECT("'"&amp;$H$3&amp;"'!W$202")='List Values'!$F$3,W$280,IF(INDIRECT("'"&amp;$H$3&amp;"'!W$202")='List Values'!$F$4,'4_Outputs'!W$52*INDIRECT("'"&amp;$H$3&amp;"'!W$95")*INDIRECT("'"&amp;$H$3&amp;"'!W$199"),IF(INDIRECT("'"&amp;$H$3&amp;"'!W$202")='List Values'!$F$5,W$281,IF(INDIRECT("'"&amp;$H$3&amp;"'!W$202")='List Values'!$F$6,INDIRECT("'"&amp;$H$3&amp;"'!W$95")*INDIRECT("'"&amp;$H$3&amp;"'!W$199"),IF(INDIRECT("'"&amp;$H$3&amp;"'!W$202")='List Values'!$F$7,1,0))))),0),0)
+IFERROR((1-INDIRECT("'"&amp;$H$3&amp;"'!W$227"))*IF(INDIRECT("'"&amp;$H$3&amp;"'!W$221")='List Values'!$E$5,INDIRECT("'"&amp;$H$3&amp;"'!W$223")*IF(INDIRECT("'"&amp;$H$3&amp;"'!W$222")='List Values'!$F$3,W$309,IF(INDIRECT("'"&amp;$H$3&amp;"'!W$222")='List Values'!$F$4,'4_Outputs'!W$52*INDIRECT("'"&amp;$H$3&amp;"'!W$95")*INDIRECT("'"&amp;$H$3&amp;"'!W$219"),IF(INDIRECT("'"&amp;$H$3&amp;"'!W$222")='List Values'!$F$5,W$310,IF(INDIRECT("'"&amp;$H$3&amp;"'!W$222")='List Values'!$F$6,INDIRECT("'"&amp;$H$3&amp;"'!W$95")*INDIRECT("'"&amp;$H$3&amp;"'!W$219"),IF(INDIRECT("'"&amp;$H$3&amp;"'!W$222")='List Values'!$F$7,1,0))))),0),0)
+IFERROR((1-INDIRECT("'"&amp;$H$3&amp;"'!W$247"))*IF(INDIRECT("'"&amp;$H$3&amp;"'!W$241")='List Values'!$E$5,INDIRECT("'"&amp;$H$3&amp;"'!W$243")*IF(INDIRECT("'"&amp;$H$3&amp;"'!W$242")='List Values'!$F$3,W$338,IF(INDIRECT("'"&amp;$H$3&amp;"'!W$242")='List Values'!$F$4,'4_Outputs'!W$52*INDIRECT("'"&amp;$H$3&amp;"'!W$95")*INDIRECT("'"&amp;$H$3&amp;"'!W$239"),IF(INDIRECT("'"&amp;$H$3&amp;"'!W$242")='List Values'!$F$5,W$339,IF(INDIRECT("'"&amp;$H$3&amp;"'!W$242")='List Values'!$F$6,INDIRECT("'"&amp;$H$3&amp;"'!W$95")*INDIRECT("'"&amp;$H$3&amp;"'!W$239"),IF(INDIRECT("'"&amp;$H$3&amp;"'!W$242")='List Values'!$F$7,1,0))))),0),0)</f>
        <v>0</v>
      </c>
      <c r="Y99" s="341">
        <f t="shared" ref="Y99:Y107" ca="1" si="10">SUM(H99:W99)</f>
        <v>0</v>
      </c>
    </row>
    <row r="100" spans="6:38">
      <c r="F100" s="298"/>
      <c r="G100" s="298" t="s">
        <v>226</v>
      </c>
      <c r="H100" s="300">
        <f ca="1">IFERROR((1-INDIRECT("'"&amp;$H$3&amp;"'!H$207"))*IF(INDIRECT("'"&amp;$H$3&amp;"'!H$201")='List Values'!$E$4,INDIRECT("'"&amp;$H$3&amp;"'!H$203")*IF(INDIRECT("'"&amp;$H$3&amp;"'!H$202")='List Values'!$F$3,H$280,IF(INDIRECT("'"&amp;$H$3&amp;"'!H$202")='List Values'!$F$4,'4_Outputs'!H$52*INDIRECT("'"&amp;$H$3&amp;"'!H$95")*INDIRECT("'"&amp;$H$3&amp;"'!H$199"),IF(INDIRECT("'"&amp;$H$3&amp;"'!H$202")='List Values'!$F$5,H$281,IF(INDIRECT("'"&amp;$H$3&amp;"'!H$202")='List Values'!$F$6,INDIRECT("'"&amp;$H$3&amp;"'!H$95")*INDIRECT("'"&amp;$H$3&amp;"'!H$199"),IF(INDIRECT("'"&amp;$H$3&amp;"'!H$202")='List Values'!$F$7,1,0))))),0),0)
+IFERROR((1-INDIRECT("'"&amp;$H$3&amp;"'!H$227"))*IF(INDIRECT("'"&amp;$H$3&amp;"'!H$221")='List Values'!$E$4,INDIRECT("'"&amp;$H$3&amp;"'!H$223")*IF(INDIRECT("'"&amp;$H$3&amp;"'!H$222")='List Values'!$F$3,H$309,IF(INDIRECT("'"&amp;$H$3&amp;"'!H$222")='List Values'!$F$4,'4_Outputs'!H$52*INDIRECT("'"&amp;$H$3&amp;"'!H$95")*INDIRECT("'"&amp;$H$3&amp;"'!H$219"),IF(INDIRECT("'"&amp;$H$3&amp;"'!H$222")='List Values'!$F$5,H$310,IF(INDIRECT("'"&amp;$H$3&amp;"'!H$222")='List Values'!$F$6,INDIRECT("'"&amp;$H$3&amp;"'!H$95")*INDIRECT("'"&amp;$H$3&amp;"'!H$219"),IF(INDIRECT("'"&amp;$H$3&amp;"'!H$222")='List Values'!$F$7,1,0))))),0),0)
+IFERROR((1-INDIRECT("'"&amp;$H$3&amp;"'!H$247"))*IF(INDIRECT("'"&amp;$H$3&amp;"'!H$241")='List Values'!$E$4,INDIRECT("'"&amp;$H$3&amp;"'!H$243")*IF(INDIRECT("'"&amp;$H$3&amp;"'!H$242")='List Values'!$F$3,H$338,IF(INDIRECT("'"&amp;$H$3&amp;"'!H$242")='List Values'!$F$4,'4_Outputs'!H$52*INDIRECT("'"&amp;$H$3&amp;"'!H$95")*INDIRECT("'"&amp;$H$3&amp;"'!H$239"),IF(INDIRECT("'"&amp;$H$3&amp;"'!H$242")='List Values'!$F$5,H$339,IF(INDIRECT("'"&amp;$H$3&amp;"'!H$242")='List Values'!$F$6,INDIRECT("'"&amp;$H$3&amp;"'!H$95")*INDIRECT("'"&amp;$H$3&amp;"'!H$239"),IF(INDIRECT("'"&amp;$H$3&amp;"'!H$242")='List Values'!$F$7,1,0))))),0),0)</f>
        <v>0</v>
      </c>
      <c r="I100" s="300"/>
      <c r="J100" s="300"/>
      <c r="K100" s="300">
        <f ca="1">IFERROR((1-INDIRECT("'"&amp;$H$3&amp;"'!K$207"))*IF(INDIRECT("'"&amp;$H$3&amp;"'!K$201")='List Values'!$E$4,INDIRECT("'"&amp;$H$3&amp;"'!K$203")*IF(INDIRECT("'"&amp;$H$3&amp;"'!K$202")='List Values'!$F$3,K$280,IF(INDIRECT("'"&amp;$H$3&amp;"'!K$202")='List Values'!$F$4,'4_Outputs'!K$52*INDIRECT("'"&amp;$H$3&amp;"'!K$95")*INDIRECT("'"&amp;$H$3&amp;"'!K$199"),IF(INDIRECT("'"&amp;$H$3&amp;"'!K$202")='List Values'!$F$5,K$281,IF(INDIRECT("'"&amp;$H$3&amp;"'!K$202")='List Values'!$F$6,INDIRECT("'"&amp;$H$3&amp;"'!K$95")*INDIRECT("'"&amp;$H$3&amp;"'!K$199"),IF(INDIRECT("'"&amp;$H$3&amp;"'!K$202")='List Values'!$F$7,1,0))))),0),0)
+IFERROR((1-INDIRECT("'"&amp;$H$3&amp;"'!K$227"))*IF(INDIRECT("'"&amp;$H$3&amp;"'!K$221")='List Values'!$E$4,INDIRECT("'"&amp;$H$3&amp;"'!K$223")*IF(INDIRECT("'"&amp;$H$3&amp;"'!K$222")='List Values'!$F$3,K$309,IF(INDIRECT("'"&amp;$H$3&amp;"'!K$222")='List Values'!$F$4,'4_Outputs'!K$52*INDIRECT("'"&amp;$H$3&amp;"'!K$95")*INDIRECT("'"&amp;$H$3&amp;"'!K$219"),IF(INDIRECT("'"&amp;$H$3&amp;"'!K$222")='List Values'!$F$5,K$310,IF(INDIRECT("'"&amp;$H$3&amp;"'!K$222")='List Values'!$F$6,INDIRECT("'"&amp;$H$3&amp;"'!K$95")*INDIRECT("'"&amp;$H$3&amp;"'!K$219"),IF(INDIRECT("'"&amp;$H$3&amp;"'!K$222")='List Values'!$F$7,1,0))))),0),0)
+IFERROR((1-INDIRECT("'"&amp;$H$3&amp;"'!K$247"))*IF(INDIRECT("'"&amp;$H$3&amp;"'!K$241")='List Values'!$E$4,INDIRECT("'"&amp;$H$3&amp;"'!K$243")*IF(INDIRECT("'"&amp;$H$3&amp;"'!K$242")='List Values'!$F$3,K$338,IF(INDIRECT("'"&amp;$H$3&amp;"'!K$242")='List Values'!$F$4,'4_Outputs'!K$52*INDIRECT("'"&amp;$H$3&amp;"'!K$95")*INDIRECT("'"&amp;$H$3&amp;"'!K$239"),IF(INDIRECT("'"&amp;$H$3&amp;"'!K$242")='List Values'!$F$5,K$339,IF(INDIRECT("'"&amp;$H$3&amp;"'!K$242")='List Values'!$F$6,INDIRECT("'"&amp;$H$3&amp;"'!K$95")*INDIRECT("'"&amp;$H$3&amp;"'!K$239"),IF(INDIRECT("'"&amp;$H$3&amp;"'!K$242")='List Values'!$F$7,1,0))))),0),0)</f>
        <v>0</v>
      </c>
      <c r="L100" s="300"/>
      <c r="M100" s="300"/>
      <c r="N100" s="300">
        <f ca="1">IFERROR((1-INDIRECT("'"&amp;$H$3&amp;"'!N$207"))*IF(INDIRECT("'"&amp;$H$3&amp;"'!N$201")='List Values'!$E$4,INDIRECT("'"&amp;$H$3&amp;"'!N$203")*IF(INDIRECT("'"&amp;$H$3&amp;"'!N$202")='List Values'!$F$3,N$280,IF(INDIRECT("'"&amp;$H$3&amp;"'!N$202")='List Values'!$F$4,'4_Outputs'!N$52*INDIRECT("'"&amp;$H$3&amp;"'!N$95")*INDIRECT("'"&amp;$H$3&amp;"'!N$199"),IF(INDIRECT("'"&amp;$H$3&amp;"'!N$202")='List Values'!$F$5,N$281,IF(INDIRECT("'"&amp;$H$3&amp;"'!N$202")='List Values'!$F$6,INDIRECT("'"&amp;$H$3&amp;"'!N$95")*INDIRECT("'"&amp;$H$3&amp;"'!N$199"),IF(INDIRECT("'"&amp;$H$3&amp;"'!N$202")='List Values'!$F$7,1,0))))),0),0)
+IFERROR((1-INDIRECT("'"&amp;$H$3&amp;"'!N$227"))*IF(INDIRECT("'"&amp;$H$3&amp;"'!N$221")='List Values'!$E$4,INDIRECT("'"&amp;$H$3&amp;"'!N$223")*IF(INDIRECT("'"&amp;$H$3&amp;"'!N$222")='List Values'!$F$3,N$309,IF(INDIRECT("'"&amp;$H$3&amp;"'!N$222")='List Values'!$F$4,'4_Outputs'!N$52*INDIRECT("'"&amp;$H$3&amp;"'!N$95")*INDIRECT("'"&amp;$H$3&amp;"'!N$219"),IF(INDIRECT("'"&amp;$H$3&amp;"'!N$222")='List Values'!$F$5,N$310,IF(INDIRECT("'"&amp;$H$3&amp;"'!N$222")='List Values'!$F$6,INDIRECT("'"&amp;$H$3&amp;"'!N$95")*INDIRECT("'"&amp;$H$3&amp;"'!N$219"),IF(INDIRECT("'"&amp;$H$3&amp;"'!N$222")='List Values'!$F$7,1,0))))),0),0)
+IFERROR((1-INDIRECT("'"&amp;$H$3&amp;"'!N$247"))*IF(INDIRECT("'"&amp;$H$3&amp;"'!N$241")='List Values'!$E$4,INDIRECT("'"&amp;$H$3&amp;"'!N$243")*IF(INDIRECT("'"&amp;$H$3&amp;"'!N$242")='List Values'!$F$3,N$338,IF(INDIRECT("'"&amp;$H$3&amp;"'!N$242")='List Values'!$F$4,'4_Outputs'!N$52*INDIRECT("'"&amp;$H$3&amp;"'!N$95")*INDIRECT("'"&amp;$H$3&amp;"'!N$239"),IF(INDIRECT("'"&amp;$H$3&amp;"'!N$242")='List Values'!$F$5,N$339,IF(INDIRECT("'"&amp;$H$3&amp;"'!N$242")='List Values'!$F$6,INDIRECT("'"&amp;$H$3&amp;"'!N$95")*INDIRECT("'"&amp;$H$3&amp;"'!N$239"),IF(INDIRECT("'"&amp;$H$3&amp;"'!N$242")='List Values'!$F$7,1,0))))),0),0)</f>
        <v>0</v>
      </c>
      <c r="O100" s="300"/>
      <c r="P100" s="300"/>
      <c r="Q100" s="300">
        <f ca="1">IFERROR((1-INDIRECT("'"&amp;$H$3&amp;"'!Q$207"))*IF(INDIRECT("'"&amp;$H$3&amp;"'!Q$201")='List Values'!$E$4,INDIRECT("'"&amp;$H$3&amp;"'!Q$203")*IF(INDIRECT("'"&amp;$H$3&amp;"'!Q$202")='List Values'!$F$3,Q$280,IF(INDIRECT("'"&amp;$H$3&amp;"'!Q$202")='List Values'!$F$4,'4_Outputs'!Q$52*INDIRECT("'"&amp;$H$3&amp;"'!Q$95")*INDIRECT("'"&amp;$H$3&amp;"'!Q$199"),IF(INDIRECT("'"&amp;$H$3&amp;"'!Q$202")='List Values'!$F$5,Q$281,IF(INDIRECT("'"&amp;$H$3&amp;"'!Q$202")='List Values'!$F$6,INDIRECT("'"&amp;$H$3&amp;"'!Q$95")*INDIRECT("'"&amp;$H$3&amp;"'!Q$199"),IF(INDIRECT("'"&amp;$H$3&amp;"'!Q$202")='List Values'!$F$7,1,0))))),0),0)
+IFERROR((1-INDIRECT("'"&amp;$H$3&amp;"'!Q$227"))*IF(INDIRECT("'"&amp;$H$3&amp;"'!Q$221")='List Values'!$E$4,INDIRECT("'"&amp;$H$3&amp;"'!Q$223")*IF(INDIRECT("'"&amp;$H$3&amp;"'!Q$222")='List Values'!$F$3,Q$309,IF(INDIRECT("'"&amp;$H$3&amp;"'!Q$222")='List Values'!$F$4,'4_Outputs'!Q$52*INDIRECT("'"&amp;$H$3&amp;"'!Q$95")*INDIRECT("'"&amp;$H$3&amp;"'!Q$219"),IF(INDIRECT("'"&amp;$H$3&amp;"'!Q$222")='List Values'!$F$5,Q$310,IF(INDIRECT("'"&amp;$H$3&amp;"'!Q$222")='List Values'!$F$6,INDIRECT("'"&amp;$H$3&amp;"'!Q$95")*INDIRECT("'"&amp;$H$3&amp;"'!Q$219"),IF(INDIRECT("'"&amp;$H$3&amp;"'!Q$222")='List Values'!$F$7,1,0))))),0),0)
+IFERROR((1-INDIRECT("'"&amp;$H$3&amp;"'!Q$247"))*IF(INDIRECT("'"&amp;$H$3&amp;"'!Q$241")='List Values'!$E$4,INDIRECT("'"&amp;$H$3&amp;"'!Q$243")*IF(INDIRECT("'"&amp;$H$3&amp;"'!Q$242")='List Values'!$F$3,Q$338,IF(INDIRECT("'"&amp;$H$3&amp;"'!Q$242")='List Values'!$F$4,'4_Outputs'!Q$52*INDIRECT("'"&amp;$H$3&amp;"'!Q$95")*INDIRECT("'"&amp;$H$3&amp;"'!Q$239"),IF(INDIRECT("'"&amp;$H$3&amp;"'!Q$242")='List Values'!$F$5,Q$339,IF(INDIRECT("'"&amp;$H$3&amp;"'!Q$242")='List Values'!$F$6,INDIRECT("'"&amp;$H$3&amp;"'!Q$95")*INDIRECT("'"&amp;$H$3&amp;"'!Q$239"),IF(INDIRECT("'"&amp;$H$3&amp;"'!Q$242")='List Values'!$F$7,1,0))))),0),0)</f>
        <v>0</v>
      </c>
      <c r="R100" s="300"/>
      <c r="S100" s="337"/>
      <c r="T100" s="300">
        <f ca="1">IFERROR((1-INDIRECT("'"&amp;$H$3&amp;"'!T$207"))*IF(INDIRECT("'"&amp;$H$3&amp;"'!T$201")='List Values'!$E$4,INDIRECT("'"&amp;$H$3&amp;"'!T$203")*IF(INDIRECT("'"&amp;$H$3&amp;"'!T$202")='List Values'!$F$3,T$280,IF(INDIRECT("'"&amp;$H$3&amp;"'!T$202")='List Values'!$F$4,'4_Outputs'!T$52*INDIRECT("'"&amp;$H$3&amp;"'!T$95")*INDIRECT("'"&amp;$H$3&amp;"'!T$199"),IF(INDIRECT("'"&amp;$H$3&amp;"'!T$202")='List Values'!$F$5,T$281,IF(INDIRECT("'"&amp;$H$3&amp;"'!T$202")='List Values'!$F$6,INDIRECT("'"&amp;$H$3&amp;"'!T$95")*INDIRECT("'"&amp;$H$3&amp;"'!T$199"),IF(INDIRECT("'"&amp;$H$3&amp;"'!T$202")='List Values'!$F$7,1,0))))),0),0)
+IFERROR((1-INDIRECT("'"&amp;$H$3&amp;"'!T$227"))*IF(INDIRECT("'"&amp;$H$3&amp;"'!T$221")='List Values'!$E$4,INDIRECT("'"&amp;$H$3&amp;"'!T$223")*IF(INDIRECT("'"&amp;$H$3&amp;"'!T$222")='List Values'!$F$3,T$309,IF(INDIRECT("'"&amp;$H$3&amp;"'!T$222")='List Values'!$F$4,'4_Outputs'!T$52*INDIRECT("'"&amp;$H$3&amp;"'!T$95")*INDIRECT("'"&amp;$H$3&amp;"'!T$219"),IF(INDIRECT("'"&amp;$H$3&amp;"'!T$222")='List Values'!$F$5,T$310,IF(INDIRECT("'"&amp;$H$3&amp;"'!T$222")='List Values'!$F$6,INDIRECT("'"&amp;$H$3&amp;"'!T$95")*INDIRECT("'"&amp;$H$3&amp;"'!T$219"),IF(INDIRECT("'"&amp;$H$3&amp;"'!T$222")='List Values'!$F$7,1,0))))),0),0)
+IFERROR((1-INDIRECT("'"&amp;$H$3&amp;"'!T$247"))*IF(INDIRECT("'"&amp;$H$3&amp;"'!T$241")='List Values'!$E$4,INDIRECT("'"&amp;$H$3&amp;"'!T$243")*IF(INDIRECT("'"&amp;$H$3&amp;"'!T$242")='List Values'!$F$3,T$338,IF(INDIRECT("'"&amp;$H$3&amp;"'!T$242")='List Values'!$F$4,'4_Outputs'!T$52*INDIRECT("'"&amp;$H$3&amp;"'!T$95")*INDIRECT("'"&amp;$H$3&amp;"'!T$239"),IF(INDIRECT("'"&amp;$H$3&amp;"'!T$242")='List Values'!$F$5,T$339,IF(INDIRECT("'"&amp;$H$3&amp;"'!T$242")='List Values'!$F$6,INDIRECT("'"&amp;$H$3&amp;"'!T$95")*INDIRECT("'"&amp;$H$3&amp;"'!T$239"),IF(INDIRECT("'"&amp;$H$3&amp;"'!T$242")='List Values'!$F$7,1,0))))),0),0)</f>
        <v>0</v>
      </c>
      <c r="U100" s="337"/>
      <c r="V100" s="337"/>
      <c r="W100" s="1437">
        <f ca="1">IFERROR((1-INDIRECT("'"&amp;$H$3&amp;"'!W$207"))*IF(INDIRECT("'"&amp;$H$3&amp;"'!W$201")='List Values'!$E$4,INDIRECT("'"&amp;$H$3&amp;"'!W$203")*IF(INDIRECT("'"&amp;$H$3&amp;"'!W$202")='List Values'!$F$3,W$280,IF(INDIRECT("'"&amp;$H$3&amp;"'!W$202")='List Values'!$F$4,'4_Outputs'!W$52*INDIRECT("'"&amp;$H$3&amp;"'!W$95")*INDIRECT("'"&amp;$H$3&amp;"'!W$199"),IF(INDIRECT("'"&amp;$H$3&amp;"'!W$202")='List Values'!$F$5,W$281,IF(INDIRECT("'"&amp;$H$3&amp;"'!W$202")='List Values'!$F$6,INDIRECT("'"&amp;$H$3&amp;"'!W$95")*INDIRECT("'"&amp;$H$3&amp;"'!W$199"),IF(INDIRECT("'"&amp;$H$3&amp;"'!W$202")='List Values'!$F$7,1,0))))),0),0)
+IFERROR((1-INDIRECT("'"&amp;$H$3&amp;"'!W$227"))*IF(INDIRECT("'"&amp;$H$3&amp;"'!W$221")='List Values'!$E$4,INDIRECT("'"&amp;$H$3&amp;"'!W$223")*IF(INDIRECT("'"&amp;$H$3&amp;"'!W$222")='List Values'!$F$3,W$309,IF(INDIRECT("'"&amp;$H$3&amp;"'!W$222")='List Values'!$F$4,'4_Outputs'!W$52*INDIRECT("'"&amp;$H$3&amp;"'!W$95")*INDIRECT("'"&amp;$H$3&amp;"'!W$219"),IF(INDIRECT("'"&amp;$H$3&amp;"'!W$222")='List Values'!$F$5,W$310,IF(INDIRECT("'"&amp;$H$3&amp;"'!W$222")='List Values'!$F$6,INDIRECT("'"&amp;$H$3&amp;"'!W$95")*INDIRECT("'"&amp;$H$3&amp;"'!W$219"),IF(INDIRECT("'"&amp;$H$3&amp;"'!W$222")='List Values'!$F$7,1,0))))),0),0)
+IFERROR((1-INDIRECT("'"&amp;$H$3&amp;"'!W$247"))*IF(INDIRECT("'"&amp;$H$3&amp;"'!W$241")='List Values'!$E$4,INDIRECT("'"&amp;$H$3&amp;"'!W$243")*IF(INDIRECT("'"&amp;$H$3&amp;"'!W$242")='List Values'!$F$3,W$338,IF(INDIRECT("'"&amp;$H$3&amp;"'!W$242")='List Values'!$F$4,'4_Outputs'!W$52*INDIRECT("'"&amp;$H$3&amp;"'!W$95")*INDIRECT("'"&amp;$H$3&amp;"'!W$239"),IF(INDIRECT("'"&amp;$H$3&amp;"'!W$242")='List Values'!$F$5,W$339,IF(INDIRECT("'"&amp;$H$3&amp;"'!W$242")='List Values'!$F$6,INDIRECT("'"&amp;$H$3&amp;"'!W$95")*INDIRECT("'"&amp;$H$3&amp;"'!W$239"),IF(INDIRECT("'"&amp;$H$3&amp;"'!W$242")='List Values'!$F$7,1,0))))),0),0)</f>
        <v>0</v>
      </c>
      <c r="Y100" s="341">
        <f t="shared" ca="1" si="10"/>
        <v>0</v>
      </c>
    </row>
    <row r="101" spans="6:38">
      <c r="F101" s="288"/>
      <c r="G101" s="356" t="s">
        <v>89</v>
      </c>
      <c r="H101" s="300">
        <f ca="1">(IFERROR(1-INDIRECT("'"&amp;$H$3&amp;"'!H$207"),0))*(H$267+H$281)*INDIRECT("'"&amp;$H$3&amp;"'!$H$10")*(IFERROR(INDEX(INDIRECT("'"&amp;$H$3&amp;"'!$H$28:$H$38"),MATCH(INDIRECT("'"&amp;$H$3&amp;"'!H$210"),INDIRECT("'"&amp;$H$3&amp;"'!$B$28:$B$38"),0)),0)+IFERROR(INDIRECT("'"&amp;$H$3&amp;"'!H$211")*INDEX(INDIRECT("'"&amp;$H$3&amp;"'!$H$28:$H$38"),MATCH(INDIRECT("'"&amp;$H$3&amp;"'!H$212"),INDIRECT("'"&amp;$H$3&amp;"'!$B$28:$B$38"),0)),0))
+(IFERROR(1-INDIRECT("'"&amp;$H$3&amp;"'!H$227"),0))*(H$296+H$310)*INDIRECT("'"&amp;$H$3&amp;"'!$H$10")*(IFERROR(INDEX(INDIRECT("'"&amp;$H$3&amp;"'!$H$28:$H$38"),MATCH(INDIRECT("'"&amp;$H$3&amp;"'!H$230"),INDIRECT("'"&amp;$H$3&amp;"'!$B$28:$B$38"),0)),0)+IFERROR(INDIRECT("'"&amp;$H$3&amp;"'!H$231")*INDEX(INDIRECT("'"&amp;$H$3&amp;"'!$H$28:$H$38"),MATCH(INDIRECT("'"&amp;$H$3&amp;"'!H$232"),INDIRECT("'"&amp;$H$3&amp;"'!$B$28:$B$38"),0)),0))
+(IFERROR(1-INDIRECT("'"&amp;$H$3&amp;"'!H$247"),0))*(H$325+H$339)*INDIRECT("'"&amp;$H$3&amp;"'!$H$10")*(IFERROR(INDEX(INDIRECT("'"&amp;$H$3&amp;"'!$H$28:$H$38"),MATCH(INDIRECT("'"&amp;$H$3&amp;"'!H$250"),INDIRECT("'"&amp;$H$3&amp;"'!$B$28:$B$38"),0)),0)+IFERROR(INDIRECT("'"&amp;$H$3&amp;"'!H$251")*INDEX(INDIRECT("'"&amp;$H$3&amp;"'!$H$28:$H$38"),MATCH(INDIRECT("'"&amp;$H$3&amp;"'!H$252"),INDIRECT("'"&amp;$H$3&amp;"'!$B$28:$B$38"),0)),0))</f>
        <v>0</v>
      </c>
      <c r="I101" s="300"/>
      <c r="J101" s="300"/>
      <c r="K101" s="300">
        <f ca="1">(IFERROR(1-INDIRECT("'"&amp;$H$3&amp;"'!K$207"),0))*(K$267+K$281)*INDIRECT("'"&amp;$H$3&amp;"'!$H$10")*(IFERROR(INDEX(INDIRECT("'"&amp;$H$3&amp;"'!$H$28:$H$38"),MATCH(INDIRECT("'"&amp;$H$3&amp;"'!K$210"),INDIRECT("'"&amp;$H$3&amp;"'!$B$28:$B$38"),0)),0)+IFERROR(INDIRECT("'"&amp;$H$3&amp;"'!K$211")*INDEX(INDIRECT("'"&amp;$H$3&amp;"'!$H$28:$H$38"),MATCH(INDIRECT("'"&amp;$H$3&amp;"'!K$212"),INDIRECT("'"&amp;$H$3&amp;"'!$B$28:$B$38"),0)),0))
+(IFERROR(1-INDIRECT("'"&amp;$H$3&amp;"'!K$227"),0))*(K$296+K$310)*INDIRECT("'"&amp;$H$3&amp;"'!$H$10")*(IFERROR(INDEX(INDIRECT("'"&amp;$H$3&amp;"'!$H$28:$H$38"),MATCH(INDIRECT("'"&amp;$H$3&amp;"'!K$230"),INDIRECT("'"&amp;$H$3&amp;"'!$B$28:$B$38"),0)),0)+IFERROR(INDIRECT("'"&amp;$H$3&amp;"'!K$231")*INDEX(INDIRECT("'"&amp;$H$3&amp;"'!$H$28:$H$38"),MATCH(INDIRECT("'"&amp;$H$3&amp;"'!K$232"),INDIRECT("'"&amp;$H$3&amp;"'!$B$28:$B$38"),0)),0))
+(IFERROR(1-INDIRECT("'"&amp;$H$3&amp;"'!K$247"),0))*(K$325+K$339)*INDIRECT("'"&amp;$H$3&amp;"'!$H$10")*(IFERROR(INDEX(INDIRECT("'"&amp;$H$3&amp;"'!$H$28:$H$38"),MATCH(INDIRECT("'"&amp;$H$3&amp;"'!K$250"),INDIRECT("'"&amp;$H$3&amp;"'!$B$28:$B$38"),0)),0)+IFERROR(INDIRECT("'"&amp;$H$3&amp;"'!K$251")*INDEX(INDIRECT("'"&amp;$H$3&amp;"'!$H$28:$H$38"),MATCH(INDIRECT("'"&amp;$H$3&amp;"'!K$252"),INDIRECT("'"&amp;$H$3&amp;"'!$B$28:$B$38"),0)),0))</f>
        <v>0</v>
      </c>
      <c r="L101" s="300"/>
      <c r="M101" s="300"/>
      <c r="N101" s="300">
        <f ca="1">(IFERROR(1-INDIRECT("'"&amp;$H$3&amp;"'!N$207"),0))*(N$267+N$281)*INDIRECT("'"&amp;$H$3&amp;"'!$H$10")*(IFERROR(INDEX(INDIRECT("'"&amp;$H$3&amp;"'!$H$28:$H$38"),MATCH(INDIRECT("'"&amp;$H$3&amp;"'!N$210"),INDIRECT("'"&amp;$H$3&amp;"'!$B$28:$B$38"),0)),0)+IFERROR(INDIRECT("'"&amp;$H$3&amp;"'!N$211")*INDEX(INDIRECT("'"&amp;$H$3&amp;"'!$H$28:$H$38"),MATCH(INDIRECT("'"&amp;$H$3&amp;"'!N$212"),INDIRECT("'"&amp;$H$3&amp;"'!$B$28:$B$38"),0)),0))
+(IFERROR(1-INDIRECT("'"&amp;$H$3&amp;"'!N$227"),0))*(N$296+N$310)*INDIRECT("'"&amp;$H$3&amp;"'!$H$10")*(IFERROR(INDEX(INDIRECT("'"&amp;$H$3&amp;"'!$H$28:$H$38"),MATCH(INDIRECT("'"&amp;$H$3&amp;"'!N$230"),INDIRECT("'"&amp;$H$3&amp;"'!$B$28:$B$38"),0)),0)+IFERROR(INDIRECT("'"&amp;$H$3&amp;"'!N$231")*INDEX(INDIRECT("'"&amp;$H$3&amp;"'!$H$28:$H$38"),MATCH(INDIRECT("'"&amp;$H$3&amp;"'!N$232"),INDIRECT("'"&amp;$H$3&amp;"'!$B$28:$B$38"),0)),0))
+(IFERROR(1-INDIRECT("'"&amp;$H$3&amp;"'!N$247"),0))*(N$325+N$339)*INDIRECT("'"&amp;$H$3&amp;"'!$H$10")*(IFERROR(INDEX(INDIRECT("'"&amp;$H$3&amp;"'!$H$28:$H$38"),MATCH(INDIRECT("'"&amp;$H$3&amp;"'!N$250"),INDIRECT("'"&amp;$H$3&amp;"'!$B$28:$B$38"),0)),0)+IFERROR(INDIRECT("'"&amp;$H$3&amp;"'!N$251")*INDEX(INDIRECT("'"&amp;$H$3&amp;"'!$H$28:$H$38"),MATCH(INDIRECT("'"&amp;$H$3&amp;"'!N$252"),INDIRECT("'"&amp;$H$3&amp;"'!$B$28:$B$38"),0)),0))</f>
        <v>44490.48</v>
      </c>
      <c r="O101" s="300"/>
      <c r="P101" s="300"/>
      <c r="Q101" s="300">
        <f ca="1">(IFERROR(1-INDIRECT("'"&amp;$H$3&amp;"'!Q$207"),0))*(Q$267+Q$281)*INDIRECT("'"&amp;$H$3&amp;"'!$H$10")*(IFERROR(INDEX(INDIRECT("'"&amp;$H$3&amp;"'!$H$28:$H$38"),MATCH(INDIRECT("'"&amp;$H$3&amp;"'!Q$210"),INDIRECT("'"&amp;$H$3&amp;"'!$B$28:$B$38"),0)),0)+IFERROR(INDIRECT("'"&amp;$H$3&amp;"'!Q$211")*INDEX(INDIRECT("'"&amp;$H$3&amp;"'!$H$28:$H$38"),MATCH(INDIRECT("'"&amp;$H$3&amp;"'!Q$212"),INDIRECT("'"&amp;$H$3&amp;"'!$B$28:$B$38"),0)),0))
+(IFERROR(1-INDIRECT("'"&amp;$H$3&amp;"'!Q$227"),0))*(Q$296+Q$310)*INDIRECT("'"&amp;$H$3&amp;"'!$H$10")*(IFERROR(INDEX(INDIRECT("'"&amp;$H$3&amp;"'!$H$28:$H$38"),MATCH(INDIRECT("'"&amp;$H$3&amp;"'!Q$230"),INDIRECT("'"&amp;$H$3&amp;"'!$B$28:$B$38"),0)),0)+IFERROR(INDIRECT("'"&amp;$H$3&amp;"'!Q$231")*INDEX(INDIRECT("'"&amp;$H$3&amp;"'!$H$28:$H$38"),MATCH(INDIRECT("'"&amp;$H$3&amp;"'!Q$232"),INDIRECT("'"&amp;$H$3&amp;"'!$B$28:$B$38"),0)),0))
+(IFERROR(1-INDIRECT("'"&amp;$H$3&amp;"'!Q$247"),0))*(Q$325+Q$339)*INDIRECT("'"&amp;$H$3&amp;"'!$H$10")*(IFERROR(INDEX(INDIRECT("'"&amp;$H$3&amp;"'!$H$28:$H$38"),MATCH(INDIRECT("'"&amp;$H$3&amp;"'!Q$250"),INDIRECT("'"&amp;$H$3&amp;"'!$B$28:$B$38"),0)),0)+IFERROR(INDIRECT("'"&amp;$H$3&amp;"'!Q$251")*INDEX(INDIRECT("'"&amp;$H$3&amp;"'!$H$28:$H$38"),MATCH(INDIRECT("'"&amp;$H$3&amp;"'!Q$252"),INDIRECT("'"&amp;$H$3&amp;"'!$B$28:$B$38"),0)),0))</f>
        <v>0</v>
      </c>
      <c r="R101" s="300"/>
      <c r="S101" s="337"/>
      <c r="T101" s="300">
        <f ca="1">(IFERROR(1-INDIRECT("'"&amp;$H$3&amp;"'!T$207"),0))*(T$267+T$281)*INDIRECT("'"&amp;$H$3&amp;"'!$H$10")*(IFERROR(INDEX(INDIRECT("'"&amp;$H$3&amp;"'!$H$28:$H$38"),MATCH(INDIRECT("'"&amp;$H$3&amp;"'!T$210"),INDIRECT("'"&amp;$H$3&amp;"'!$B$28:$B$38"),0)),0)+IFERROR(INDIRECT("'"&amp;$H$3&amp;"'!T$211")*INDEX(INDIRECT("'"&amp;$H$3&amp;"'!$H$28:$H$38"),MATCH(INDIRECT("'"&amp;$H$3&amp;"'!T$212"),INDIRECT("'"&amp;$H$3&amp;"'!$B$28:$B$38"),0)),0))
+(IFERROR(1-INDIRECT("'"&amp;$H$3&amp;"'!T$227"),0))*(T$296+T$310)*INDIRECT("'"&amp;$H$3&amp;"'!$H$10")*(IFERROR(INDEX(INDIRECT("'"&amp;$H$3&amp;"'!$H$28:$H$38"),MATCH(INDIRECT("'"&amp;$H$3&amp;"'!T$230"),INDIRECT("'"&amp;$H$3&amp;"'!$B$28:$B$38"),0)),0)+IFERROR(INDIRECT("'"&amp;$H$3&amp;"'!T$231")*INDEX(INDIRECT("'"&amp;$H$3&amp;"'!$H$28:$H$38"),MATCH(INDIRECT("'"&amp;$H$3&amp;"'!T$232"),INDIRECT("'"&amp;$H$3&amp;"'!$B$28:$B$38"),0)),0))
+(IFERROR(1-INDIRECT("'"&amp;$H$3&amp;"'!T$247"),0))*(T$325+T$339)*INDIRECT("'"&amp;$H$3&amp;"'!$H$10")*(IFERROR(INDEX(INDIRECT("'"&amp;$H$3&amp;"'!$H$28:$H$38"),MATCH(INDIRECT("'"&amp;$H$3&amp;"'!T$250"),INDIRECT("'"&amp;$H$3&amp;"'!$B$28:$B$38"),0)),0)+IFERROR(INDIRECT("'"&amp;$H$3&amp;"'!T$251")*INDEX(INDIRECT("'"&amp;$H$3&amp;"'!$H$28:$H$38"),MATCH(INDIRECT("'"&amp;$H$3&amp;"'!T$252"),INDIRECT("'"&amp;$H$3&amp;"'!$B$28:$B$38"),0)),0))</f>
        <v>0</v>
      </c>
      <c r="U101" s="337"/>
      <c r="V101" s="337"/>
      <c r="W101" s="1437">
        <f ca="1">(IFERROR(1-INDIRECT("'"&amp;$H$3&amp;"'!W$207"),0))*(W$267+W$281)*INDIRECT("'"&amp;$H$3&amp;"'!$H$10")*(IFERROR(INDEX(INDIRECT("'"&amp;$H$3&amp;"'!$H$28:$H$38"),MATCH(INDIRECT("'"&amp;$H$3&amp;"'!W$210"),INDIRECT("'"&amp;$H$3&amp;"'!$B$28:$B$38"),0)),0)+IFERROR(INDIRECT("'"&amp;$H$3&amp;"'!W$211")*INDEX(INDIRECT("'"&amp;$H$3&amp;"'!$H$28:$H$38"),MATCH(INDIRECT("'"&amp;$H$3&amp;"'!W$212"),INDIRECT("'"&amp;$H$3&amp;"'!$B$28:$B$38"),0)),0))
+(IFERROR(1-INDIRECT("'"&amp;$H$3&amp;"'!W$227"),0))*(W$296+W$310)*INDIRECT("'"&amp;$H$3&amp;"'!$H$10")*(IFERROR(INDEX(INDIRECT("'"&amp;$H$3&amp;"'!$H$28:$H$38"),MATCH(INDIRECT("'"&amp;$H$3&amp;"'!W$230"),INDIRECT("'"&amp;$H$3&amp;"'!$B$28:$B$38"),0)),0)+IFERROR(INDIRECT("'"&amp;$H$3&amp;"'!W$231")*INDEX(INDIRECT("'"&amp;$H$3&amp;"'!$H$28:$H$38"),MATCH(INDIRECT("'"&amp;$H$3&amp;"'!W$232"),INDIRECT("'"&amp;$H$3&amp;"'!$B$28:$B$38"),0)),0))
+(IFERROR(1-INDIRECT("'"&amp;$H$3&amp;"'!W$247"),0))*(W$325+W$339)*INDIRECT("'"&amp;$H$3&amp;"'!$H$10")*(IFERROR(INDEX(INDIRECT("'"&amp;$H$3&amp;"'!$H$28:$H$38"),MATCH(INDIRECT("'"&amp;$H$3&amp;"'!W$250"),INDIRECT("'"&amp;$H$3&amp;"'!$B$28:$B$38"),0)),0)+IFERROR(INDIRECT("'"&amp;$H$3&amp;"'!W$251")*INDEX(INDIRECT("'"&amp;$H$3&amp;"'!$H$28:$H$38"),MATCH(INDIRECT("'"&amp;$H$3&amp;"'!W$252"),INDIRECT("'"&amp;$H$3&amp;"'!$B$28:$B$38"),0)),0))</f>
        <v>0</v>
      </c>
      <c r="Y101" s="341">
        <f t="shared" ca="1" si="10"/>
        <v>44490.48</v>
      </c>
      <c r="AL101" s="4"/>
    </row>
    <row r="102" spans="6:38">
      <c r="F102" s="288"/>
      <c r="G102" s="356" t="s">
        <v>90</v>
      </c>
      <c r="H102" s="300">
        <f ca="1">(IFERROR(1-INDIRECT("'"&amp;$H$3&amp;"'!H$207"),0))*(H$267+H$281)*(IFERROR(INDEX(INDIRECT("'"&amp;$H$3&amp;"'!$K$28:$K$38"),MATCH(INDIRECT("'"&amp;$H$3&amp;"'!H$210"),INDIRECT("'"&amp;$H$3&amp;"'!$B$28:$B$38"),0)),0)+IFERROR(INDIRECT("'"&amp;$H$3&amp;"'!H$211")*INDEX(INDIRECT("'"&amp;$H$3&amp;"'!$K$28:$K$38"),MATCH(INDIRECT("'"&amp;$H$3&amp;"'!H$212"),INDIRECT("'"&amp;$H$3&amp;"'!$B$28:$B$38"),0)),0))
+(IFERROR(1-INDIRECT("'"&amp;$H$3&amp;"'!H$227"),0))*(H$296+H$310)*(IFERROR(INDEX(INDIRECT("'"&amp;$H$3&amp;"'!$K$28:$K$38"),MATCH(INDIRECT("'"&amp;$H$3&amp;"'!H$230"),INDIRECT("'"&amp;$H$3&amp;"'!$B$28:$B$38"),0)),0)+IFERROR(INDIRECT("'"&amp;$H$3&amp;"'!H$231")*INDEX(INDIRECT("'"&amp;$H$3&amp;"'!$K$28:$K$38"),MATCH(INDIRECT("'"&amp;$H$3&amp;"'!H$232"),INDIRECT("'"&amp;$H$3&amp;"'!$B$28:$B$38"),0)),0))
+(IFERROR(1-INDIRECT("'"&amp;$H$3&amp;"'!H$247"),0))*(H$325+H$339)*(IFERROR(INDEX(INDIRECT("'"&amp;$H$3&amp;"'!$K$28:$K$38"),MATCH(INDIRECT("'"&amp;$H$3&amp;"'!H$250"),INDIRECT("'"&amp;$H$3&amp;"'!$B$28:$B$38"),0)),0)+IFERROR(INDIRECT("'"&amp;$H$3&amp;"'!H$251")*INDEX(INDIRECT("'"&amp;$H$3&amp;"'!$K$28:$K$38"),MATCH(INDIRECT("'"&amp;$H$3&amp;"'!H$252"),INDIRECT("'"&amp;$H$3&amp;"'!$B$28:$B$38"),0)),0))</f>
        <v>0</v>
      </c>
      <c r="I102" s="300"/>
      <c r="J102" s="300"/>
      <c r="K102" s="300">
        <f ca="1">(IFERROR(1-INDIRECT("'"&amp;$H$3&amp;"'!K$207"),0))*(K$267+K$281)*(IFERROR(INDEX(INDIRECT("'"&amp;$H$3&amp;"'!$K$28:$K$38"),MATCH(INDIRECT("'"&amp;$H$3&amp;"'!K$210"),INDIRECT("'"&amp;$H$3&amp;"'!$B$28:$B$38"),0)),0)+IFERROR(INDIRECT("'"&amp;$H$3&amp;"'!K$211")*INDEX(INDIRECT("'"&amp;$H$3&amp;"'!$K$28:$K$38"),MATCH(INDIRECT("'"&amp;$H$3&amp;"'!K$212"),INDIRECT("'"&amp;$H$3&amp;"'!$B$28:$B$38"),0)),0))
+(IFERROR(1-INDIRECT("'"&amp;$H$3&amp;"'!K$227"),0))*(K$296+K$310)*(IFERROR(INDEX(INDIRECT("'"&amp;$H$3&amp;"'!$K$28:$K$38"),MATCH(INDIRECT("'"&amp;$H$3&amp;"'!K$230"),INDIRECT("'"&amp;$H$3&amp;"'!$B$28:$B$38"),0)),0)+IFERROR(INDIRECT("'"&amp;$H$3&amp;"'!K$231")*INDEX(INDIRECT("'"&amp;$H$3&amp;"'!$K$28:$K$38"),MATCH(INDIRECT("'"&amp;$H$3&amp;"'!K$232"),INDIRECT("'"&amp;$H$3&amp;"'!$B$28:$B$38"),0)),0))
+(IFERROR(1-INDIRECT("'"&amp;$H$3&amp;"'!K$247"),0))*(K$325+K$339)*(IFERROR(INDEX(INDIRECT("'"&amp;$H$3&amp;"'!$K$28:$K$38"),MATCH(INDIRECT("'"&amp;$H$3&amp;"'!K$250"),INDIRECT("'"&amp;$H$3&amp;"'!$B$28:$B$38"),0)),0)+IFERROR(INDIRECT("'"&amp;$H$3&amp;"'!K$251")*INDEX(INDIRECT("'"&amp;$H$3&amp;"'!$K$28:$K$38"),MATCH(INDIRECT("'"&amp;$H$3&amp;"'!K$252"),INDIRECT("'"&amp;$H$3&amp;"'!$B$28:$B$38"),0)),0))</f>
        <v>0</v>
      </c>
      <c r="L102" s="300"/>
      <c r="M102" s="300"/>
      <c r="N102" s="300">
        <f ca="1">(IFERROR(1-INDIRECT("'"&amp;$H$3&amp;"'!N$207"),0))*(N$267+N$281)*(IFERROR(INDEX(INDIRECT("'"&amp;$H$3&amp;"'!$K$28:$K$38"),MATCH(INDIRECT("'"&amp;$H$3&amp;"'!N$210"),INDIRECT("'"&amp;$H$3&amp;"'!$B$28:$B$38"),0)),0)+IFERROR(INDIRECT("'"&amp;$H$3&amp;"'!N$211")*INDEX(INDIRECT("'"&amp;$H$3&amp;"'!$K$28:$K$38"),MATCH(INDIRECT("'"&amp;$H$3&amp;"'!N$212"),INDIRECT("'"&amp;$H$3&amp;"'!$B$28:$B$38"),0)),0))
+(IFERROR(1-INDIRECT("'"&amp;$H$3&amp;"'!N$227"),0))*(N$296+N$310)*(IFERROR(INDEX(INDIRECT("'"&amp;$H$3&amp;"'!$K$28:$K$38"),MATCH(INDIRECT("'"&amp;$H$3&amp;"'!N$230"),INDIRECT("'"&amp;$H$3&amp;"'!$B$28:$B$38"),0)),0)+IFERROR(INDIRECT("'"&amp;$H$3&amp;"'!N$231")*INDEX(INDIRECT("'"&amp;$H$3&amp;"'!$K$28:$K$38"),MATCH(INDIRECT("'"&amp;$H$3&amp;"'!N$232"),INDIRECT("'"&amp;$H$3&amp;"'!$B$28:$B$38"),0)),0))
+(IFERROR(1-INDIRECT("'"&amp;$H$3&amp;"'!N$247"),0))*(N$325+N$339)*(IFERROR(INDEX(INDIRECT("'"&amp;$H$3&amp;"'!$K$28:$K$38"),MATCH(INDIRECT("'"&amp;$H$3&amp;"'!N$250"),INDIRECT("'"&amp;$H$3&amp;"'!$B$28:$B$38"),0)),0)+IFERROR(INDIRECT("'"&amp;$H$3&amp;"'!N$251")*INDEX(INDIRECT("'"&amp;$H$3&amp;"'!$K$28:$K$38"),MATCH(INDIRECT("'"&amp;$H$3&amp;"'!N$252"),INDIRECT("'"&amp;$H$3&amp;"'!$B$28:$B$38"),0)),0))</f>
        <v>28230</v>
      </c>
      <c r="O102" s="300"/>
      <c r="P102" s="300"/>
      <c r="Q102" s="300">
        <f ca="1">(IFERROR(1-INDIRECT("'"&amp;$H$3&amp;"'!Q$207"),0))*(Q$267+Q$281)*(IFERROR(INDEX(INDIRECT("'"&amp;$H$3&amp;"'!$K$28:$K$38"),MATCH(INDIRECT("'"&amp;$H$3&amp;"'!Q$210"),INDIRECT("'"&amp;$H$3&amp;"'!$B$28:$B$38"),0)),0)+IFERROR(INDIRECT("'"&amp;$H$3&amp;"'!Q$211")*INDEX(INDIRECT("'"&amp;$H$3&amp;"'!$K$28:$K$38"),MATCH(INDIRECT("'"&amp;$H$3&amp;"'!Q$212"),INDIRECT("'"&amp;$H$3&amp;"'!$B$28:$B$38"),0)),0))
+(IFERROR(1-INDIRECT("'"&amp;$H$3&amp;"'!Q$227"),0))*(Q$296+Q$310)*(IFERROR(INDEX(INDIRECT("'"&amp;$H$3&amp;"'!$K$28:$K$38"),MATCH(INDIRECT("'"&amp;$H$3&amp;"'!Q$230"),INDIRECT("'"&amp;$H$3&amp;"'!$B$28:$B$38"),0)),0)+IFERROR(INDIRECT("'"&amp;$H$3&amp;"'!Q$231")*INDEX(INDIRECT("'"&amp;$H$3&amp;"'!$K$28:$K$38"),MATCH(INDIRECT("'"&amp;$H$3&amp;"'!Q$232"),INDIRECT("'"&amp;$H$3&amp;"'!$B$28:$B$38"),0)),0))
+(IFERROR(1-INDIRECT("'"&amp;$H$3&amp;"'!Q$247"),0))*(Q$325+Q$339)*(IFERROR(INDEX(INDIRECT("'"&amp;$H$3&amp;"'!$K$28:$K$38"),MATCH(INDIRECT("'"&amp;$H$3&amp;"'!Q$250"),INDIRECT("'"&amp;$H$3&amp;"'!$B$28:$B$38"),0)),0)+IFERROR(INDIRECT("'"&amp;$H$3&amp;"'!Q$251")*INDEX(INDIRECT("'"&amp;$H$3&amp;"'!$K$28:$K$38"),MATCH(INDIRECT("'"&amp;$H$3&amp;"'!Q$252"),INDIRECT("'"&amp;$H$3&amp;"'!$B$28:$B$38"),0)),0))</f>
        <v>0</v>
      </c>
      <c r="R102" s="300"/>
      <c r="S102" s="337"/>
      <c r="T102" s="300">
        <f ca="1">(IFERROR(1-INDIRECT("'"&amp;$H$3&amp;"'!T$207"),0))*(T$267+T$281)*(IFERROR(INDEX(INDIRECT("'"&amp;$H$3&amp;"'!$K$28:$K$38"),MATCH(INDIRECT("'"&amp;$H$3&amp;"'!T$210"),INDIRECT("'"&amp;$H$3&amp;"'!$B$28:$B$38"),0)),0)+IFERROR(INDIRECT("'"&amp;$H$3&amp;"'!T$211")*INDEX(INDIRECT("'"&amp;$H$3&amp;"'!$K$28:$K$38"),MATCH(INDIRECT("'"&amp;$H$3&amp;"'!T$212"),INDIRECT("'"&amp;$H$3&amp;"'!$B$28:$B$38"),0)),0))
+(IFERROR(1-INDIRECT("'"&amp;$H$3&amp;"'!T$227"),0))*(T$296+T$310)*(IFERROR(INDEX(INDIRECT("'"&amp;$H$3&amp;"'!$K$28:$K$38"),MATCH(INDIRECT("'"&amp;$H$3&amp;"'!T$230"),INDIRECT("'"&amp;$H$3&amp;"'!$B$28:$B$38"),0)),0)+IFERROR(INDIRECT("'"&amp;$H$3&amp;"'!T$231")*INDEX(INDIRECT("'"&amp;$H$3&amp;"'!$K$28:$K$38"),MATCH(INDIRECT("'"&amp;$H$3&amp;"'!T$232"),INDIRECT("'"&amp;$H$3&amp;"'!$B$28:$B$38"),0)),0))
+(IFERROR(1-INDIRECT("'"&amp;$H$3&amp;"'!T$247"),0))*(T$325+T$339)*(IFERROR(INDEX(INDIRECT("'"&amp;$H$3&amp;"'!$K$28:$K$38"),MATCH(INDIRECT("'"&amp;$H$3&amp;"'!T$250"),INDIRECT("'"&amp;$H$3&amp;"'!$B$28:$B$38"),0)),0)+IFERROR(INDIRECT("'"&amp;$H$3&amp;"'!T$251")*INDEX(INDIRECT("'"&amp;$H$3&amp;"'!$K$28:$K$38"),MATCH(INDIRECT("'"&amp;$H$3&amp;"'!T$252"),INDIRECT("'"&amp;$H$3&amp;"'!$B$28:$B$38"),0)),0))</f>
        <v>0</v>
      </c>
      <c r="U102" s="337"/>
      <c r="V102" s="337"/>
      <c r="W102" s="1437">
        <f ca="1">(IFERROR(1-INDIRECT("'"&amp;$H$3&amp;"'!W$207"),0))*(W$267+W$281)*(IFERROR(INDEX(INDIRECT("'"&amp;$H$3&amp;"'!$K$28:$K$38"),MATCH(INDIRECT("'"&amp;$H$3&amp;"'!W$210"),INDIRECT("'"&amp;$H$3&amp;"'!$B$28:$B$38"),0)),0)+IFERROR(INDIRECT("'"&amp;$H$3&amp;"'!W$211")*INDEX(INDIRECT("'"&amp;$H$3&amp;"'!$K$28:$K$38"),MATCH(INDIRECT("'"&amp;$H$3&amp;"'!W$212"),INDIRECT("'"&amp;$H$3&amp;"'!$B$28:$B$38"),0)),0))
+(IFERROR(1-INDIRECT("'"&amp;$H$3&amp;"'!W$227"),0))*(W$296+W$310)*(IFERROR(INDEX(INDIRECT("'"&amp;$H$3&amp;"'!$K$28:$K$38"),MATCH(INDIRECT("'"&amp;$H$3&amp;"'!W$230"),INDIRECT("'"&amp;$H$3&amp;"'!$B$28:$B$38"),0)),0)+IFERROR(INDIRECT("'"&amp;$H$3&amp;"'!W$231")*INDEX(INDIRECT("'"&amp;$H$3&amp;"'!$K$28:$K$38"),MATCH(INDIRECT("'"&amp;$H$3&amp;"'!W$232"),INDIRECT("'"&amp;$H$3&amp;"'!$B$28:$B$38"),0)),0))
+(IFERROR(1-INDIRECT("'"&amp;$H$3&amp;"'!W$247"),0))*(W$325+W$339)*(IFERROR(INDEX(INDIRECT("'"&amp;$H$3&amp;"'!$K$28:$K$38"),MATCH(INDIRECT("'"&amp;$H$3&amp;"'!W$250"),INDIRECT("'"&amp;$H$3&amp;"'!$B$28:$B$38"),0)),0)+IFERROR(INDIRECT("'"&amp;$H$3&amp;"'!W$251")*INDEX(INDIRECT("'"&amp;$H$3&amp;"'!$K$28:$K$38"),MATCH(INDIRECT("'"&amp;$H$3&amp;"'!W$252"),INDIRECT("'"&amp;$H$3&amp;"'!$B$28:$B$38"),0)),0))</f>
        <v>0</v>
      </c>
      <c r="Y102" s="341">
        <f t="shared" ca="1" si="10"/>
        <v>28230</v>
      </c>
    </row>
    <row r="103" spans="6:38">
      <c r="F103" s="357"/>
      <c r="G103" s="298" t="s">
        <v>1</v>
      </c>
      <c r="H103" s="300">
        <f ca="1">INDIRECT("'"&amp;$H$3&amp;"'!$H$8")*(
(IFERROR(1-INDIRECT("'"&amp;$H$3&amp;"'!H$207"),0))*IF(INDIRECT("'"&amp;$H$3&amp;"'!H$201")='List Values'!$E$5,0,(H$280*IFERROR(1/INDEX(INDIRECT("'"&amp;$H$3&amp;"'!$H$49:$H$78"),MATCH(INDIRECT("'"&amp;$H$3&amp;"'!H$200")&amp;"Fuel Efficiency (km/liter)",INDIRECT("'"&amp;$H$3&amp;"'!$F$49:$F$78"),0)),0)))
+(IFERROR(1-INDIRECT("'"&amp;$H$3&amp;"'!H$227"),0))*IF(INDIRECT("'"&amp;$H$3&amp;"'!H$221")='List Values'!$E$5,0,(H$309*IFERROR(1/INDEX(INDIRECT("'"&amp;$H$3&amp;"'!$H$49:$H$78"),MATCH(INDIRECT("'"&amp;$H$3&amp;"'!H$220")&amp;"Fuel Efficiency (km/liter)",INDIRECT("'"&amp;$H$3&amp;"'!$F$49:$F$78"),0)),0)))
+(IFERROR(1-INDIRECT("'"&amp;$H$3&amp;"'!H$247"),0))*IF(INDIRECT("'"&amp;$H$3&amp;"'!H$241")='List Values'!$E$5,0,(H$338*IFERROR(1/INDEX(INDIRECT("'"&amp;$H$3&amp;"'!$H$49:$H$78"),MATCH(INDIRECT("'"&amp;$H$3&amp;"'!H$240")&amp;"Fuel Efficiency (km/liter)",INDIRECT("'"&amp;$H$3&amp;"'!$F$49:$F$78"),0)),0))))</f>
        <v>0</v>
      </c>
      <c r="I103" s="300"/>
      <c r="J103" s="300"/>
      <c r="K103" s="300">
        <f ca="1">INDIRECT("'"&amp;$H$3&amp;"'!$H$8")*(
(IFERROR(1-INDIRECT("'"&amp;$H$3&amp;"'!K$207"),0))*IF(INDIRECT("'"&amp;$H$3&amp;"'!K$201")='List Values'!$E$5,0,(K$280*IFERROR(1/INDEX(INDIRECT("'"&amp;$H$3&amp;"'!$H$49:$H$78"),MATCH(INDIRECT("'"&amp;$H$3&amp;"'!K$200")&amp;"Fuel Efficiency (km/liter)",INDIRECT("'"&amp;$H$3&amp;"'!$F$49:$F$78"),0)),0)))
+(IFERROR(1-INDIRECT("'"&amp;$H$3&amp;"'!K$227"),0))*IF(INDIRECT("'"&amp;$H$3&amp;"'!K$221")='List Values'!$E$5,0,(K$309*IFERROR(1/INDEX(INDIRECT("'"&amp;$H$3&amp;"'!$H$49:$H$78"),MATCH(INDIRECT("'"&amp;$H$3&amp;"'!K$220")&amp;"Fuel Efficiency (km/liter)",INDIRECT("'"&amp;$H$3&amp;"'!$F$49:$F$78"),0)),0)))
+(IFERROR(1-INDIRECT("'"&amp;$H$3&amp;"'!K$247"),0))*IF(INDIRECT("'"&amp;$H$3&amp;"'!K$241")='List Values'!$E$5,0,(K$338*IFERROR(1/INDEX(INDIRECT("'"&amp;$H$3&amp;"'!$H$49:$H$78"),MATCH(INDIRECT("'"&amp;$H$3&amp;"'!K$240")&amp;"Fuel Efficiency (km/liter)",INDIRECT("'"&amp;$H$3&amp;"'!$F$49:$F$78"),0)),0))))</f>
        <v>0</v>
      </c>
      <c r="L103" s="300"/>
      <c r="M103" s="300"/>
      <c r="N103" s="300">
        <f ca="1">INDIRECT("'"&amp;$H$3&amp;"'!$H$8")*(
(IFERROR(1-INDIRECT("'"&amp;$H$3&amp;"'!N$207"),0))*IF(INDIRECT("'"&amp;$H$3&amp;"'!N$201")='List Values'!$E$5,0,(N$280*IFERROR(1/INDEX(INDIRECT("'"&amp;$H$3&amp;"'!$H$49:$H$78"),MATCH(INDIRECT("'"&amp;$H$3&amp;"'!N$200")&amp;"Fuel Efficiency (km/liter)",INDIRECT("'"&amp;$H$3&amp;"'!$F$49:$F$78"),0)),0)))
+(IFERROR(1-INDIRECT("'"&amp;$H$3&amp;"'!N$227"),0))*IF(INDIRECT("'"&amp;$H$3&amp;"'!N$221")='List Values'!$E$5,0,(N$309*IFERROR(1/INDEX(INDIRECT("'"&amp;$H$3&amp;"'!$H$49:$H$78"),MATCH(INDIRECT("'"&amp;$H$3&amp;"'!N$220")&amp;"Fuel Efficiency (km/liter)",INDIRECT("'"&amp;$H$3&amp;"'!$F$49:$F$78"),0)),0)))
+(IFERROR(1-INDIRECT("'"&amp;$H$3&amp;"'!N$247"),0))*IF(INDIRECT("'"&amp;$H$3&amp;"'!N$241")='List Values'!$E$5,0,(N$338*IFERROR(1/INDEX(INDIRECT("'"&amp;$H$3&amp;"'!$H$49:$H$78"),MATCH(INDIRECT("'"&amp;$H$3&amp;"'!N$240")&amp;"Fuel Efficiency (km/liter)",INDIRECT("'"&amp;$H$3&amp;"'!$F$49:$F$78"),0)),0))))</f>
        <v>47887.12667149269</v>
      </c>
      <c r="O103" s="300"/>
      <c r="P103" s="300"/>
      <c r="Q103" s="300">
        <f ca="1">INDIRECT("'"&amp;$H$3&amp;"'!$H$8")*(
(IFERROR(1-INDIRECT("'"&amp;$H$3&amp;"'!Q$207"),0))*IF(INDIRECT("'"&amp;$H$3&amp;"'!Q$201")='List Values'!$E$5,0,(Q$280*IFERROR(1/INDEX(INDIRECT("'"&amp;$H$3&amp;"'!$H$49:$H$78"),MATCH(INDIRECT("'"&amp;$H$3&amp;"'!Q$200")&amp;"Fuel Efficiency (km/liter)",INDIRECT("'"&amp;$H$3&amp;"'!$F$49:$F$78"),0)),0)))
+(IFERROR(1-INDIRECT("'"&amp;$H$3&amp;"'!Q$227"),0))*IF(INDIRECT("'"&amp;$H$3&amp;"'!Q$221")='List Values'!$E$5,0,(Q$309*IFERROR(1/INDEX(INDIRECT("'"&amp;$H$3&amp;"'!$H$49:$H$78"),MATCH(INDIRECT("'"&amp;$H$3&amp;"'!Q$220")&amp;"Fuel Efficiency (km/liter)",INDIRECT("'"&amp;$H$3&amp;"'!$F$49:$F$78"),0)),0)))
+(IFERROR(1-INDIRECT("'"&amp;$H$3&amp;"'!Q$247"),0))*IF(INDIRECT("'"&amp;$H$3&amp;"'!Q$241")='List Values'!$E$5,0,(Q$338*IFERROR(1/INDEX(INDIRECT("'"&amp;$H$3&amp;"'!$H$49:$H$78"),MATCH(INDIRECT("'"&amp;$H$3&amp;"'!Q$240")&amp;"Fuel Efficiency (km/liter)",INDIRECT("'"&amp;$H$3&amp;"'!$F$49:$F$78"),0)),0))))</f>
        <v>0</v>
      </c>
      <c r="R103" s="300"/>
      <c r="S103" s="337"/>
      <c r="T103" s="300">
        <f ca="1">INDIRECT("'"&amp;$H$3&amp;"'!$H$8")*(
(IFERROR(1-INDIRECT("'"&amp;$H$3&amp;"'!T$207"),0))*IF(INDIRECT("'"&amp;$H$3&amp;"'!T$201")='List Values'!$E$5,0,(T$280*IFERROR(1/INDEX(INDIRECT("'"&amp;$H$3&amp;"'!$H$49:$H$78"),MATCH(INDIRECT("'"&amp;$H$3&amp;"'!T$200")&amp;"Fuel Efficiency (km/liter)",INDIRECT("'"&amp;$H$3&amp;"'!$F$49:$F$78"),0)),0)))
+(IFERROR(1-INDIRECT("'"&amp;$H$3&amp;"'!T$227"),0))*IF(INDIRECT("'"&amp;$H$3&amp;"'!T$221")='List Values'!$E$5,0,(T$309*IFERROR(1/INDEX(INDIRECT("'"&amp;$H$3&amp;"'!$H$49:$H$78"),MATCH(INDIRECT("'"&amp;$H$3&amp;"'!T$220")&amp;"Fuel Efficiency (km/liter)",INDIRECT("'"&amp;$H$3&amp;"'!$F$49:$F$78"),0)),0)))
+(IFERROR(1-INDIRECT("'"&amp;$H$3&amp;"'!T$247"),0))*IF(INDIRECT("'"&amp;$H$3&amp;"'!T$241")='List Values'!$E$5,0,(T$338*IFERROR(1/INDEX(INDIRECT("'"&amp;$H$3&amp;"'!$H$49:$H$78"),MATCH(INDIRECT("'"&amp;$H$3&amp;"'!T$240")&amp;"Fuel Efficiency (km/liter)",INDIRECT("'"&amp;$H$3&amp;"'!$F$49:$F$78"),0)),0))))</f>
        <v>0</v>
      </c>
      <c r="U103" s="337"/>
      <c r="V103" s="337"/>
      <c r="W103" s="1437">
        <f ca="1">INDIRECT("'"&amp;$H$3&amp;"'!$H$8")*(
(IFERROR(1-INDIRECT("'"&amp;$H$3&amp;"'!W$207"),0))*IF(INDIRECT("'"&amp;$H$3&amp;"'!W$201")='List Values'!$E$5,0,(W$280*IFERROR(1/INDEX(INDIRECT("'"&amp;$H$3&amp;"'!$H$49:$H$78"),MATCH(INDIRECT("'"&amp;$H$3&amp;"'!W$200")&amp;"Fuel Efficiency (km/liter)",INDIRECT("'"&amp;$H$3&amp;"'!$F$49:$F$78"),0)),0)))
+(IFERROR(1-INDIRECT("'"&amp;$H$3&amp;"'!W$227"),0))*IF(INDIRECT("'"&amp;$H$3&amp;"'!W$221")='List Values'!$E$5,0,(W$309*IFERROR(1/INDEX(INDIRECT("'"&amp;$H$3&amp;"'!$H$49:$H$78"),MATCH(INDIRECT("'"&amp;$H$3&amp;"'!W$220")&amp;"Fuel Efficiency (km/liter)",INDIRECT("'"&amp;$H$3&amp;"'!$F$49:$F$78"),0)),0)))
+(IFERROR(1-INDIRECT("'"&amp;$H$3&amp;"'!W$247"),0))*IF(INDIRECT("'"&amp;$H$3&amp;"'!W$241")='List Values'!$E$5,0,(W$338*IFERROR(1/INDEX(INDIRECT("'"&amp;$H$3&amp;"'!$H$49:$H$78"),MATCH(INDIRECT("'"&amp;$H$3&amp;"'!W$240")&amp;"Fuel Efficiency (km/liter)",INDIRECT("'"&amp;$H$3&amp;"'!$F$49:$F$78"),0)),0))))</f>
        <v>0</v>
      </c>
      <c r="Y103" s="341">
        <f t="shared" ca="1" si="10"/>
        <v>47887.12667149269</v>
      </c>
    </row>
    <row r="104" spans="6:38">
      <c r="F104" s="298"/>
      <c r="G104" s="298" t="s">
        <v>91</v>
      </c>
      <c r="H104" s="300">
        <f ca="1">IFERROR((1-INDIRECT("'"&amp;$H$3&amp;"'!H$206"))*IF(AND(INDIRECT("'"&amp;$H$3&amp;"'!H$205")="No",INDIRECT("'"&amp;$H$3&amp;"'!H$201")='List Values'!$E$3),INDEX(INDIRECT("'"&amp;$H$3&amp;"'!$H$49:$H$78"),MATCH(INDIRECT("'"&amp;$H$3&amp;"'!H$200")&amp;"Insurance cost /yr ($)",INDIRECT("'"&amp;$H$3&amp;"'!$F$49:$F$78"),0))*INDIRECT("'"&amp;$H$3&amp;"'!H$204"),0),0)
+IFERROR((1-INDIRECT("'"&amp;$H$3&amp;"'!H$226"))*IF(AND(INDIRECT("'"&amp;$H$3&amp;"'!H$225")="No",INDIRECT("'"&amp;$H$3&amp;"'!H$221")='List Values'!$E$3),INDEX(INDIRECT("'"&amp;$H$3&amp;"'!$H$49:$H$78"),MATCH(INDIRECT("'"&amp;$H$3&amp;"'!H$220")&amp;"Insurance cost /yr ($)",INDIRECT("'"&amp;$H$3&amp;"'!$F$49:$F$78"),0))*INDIRECT("'"&amp;$H$3&amp;"'!H$224"),0),0)
+IFERROR((1-INDIRECT("'"&amp;$H$3&amp;"'!H$246"))*IF(AND(INDIRECT("'"&amp;$H$3&amp;"'!H$245")="No",INDIRECT("'"&amp;$H$3&amp;"'!H$241")='List Values'!$E$3),INDEX(INDIRECT("'"&amp;$H$3&amp;"'!$H$49:$H$78"),MATCH(INDIRECT("'"&amp;$H$3&amp;"'!H$240")&amp;"Insurance cost /yr ($)",INDIRECT("'"&amp;$H$3&amp;"'!$F$49:$F$78"),0))*INDIRECT("'"&amp;$H$3&amp;"'!H$244"),0),0)</f>
        <v>0</v>
      </c>
      <c r="I104" s="300"/>
      <c r="J104" s="300"/>
      <c r="K104" s="300">
        <f ca="1">IFERROR((1-INDIRECT("'"&amp;$H$3&amp;"'!K$206"))*IF(AND(INDIRECT("'"&amp;$H$3&amp;"'!K$205")="No",INDIRECT("'"&amp;$H$3&amp;"'!K$201")='List Values'!$E$3),INDEX(INDIRECT("'"&amp;$H$3&amp;"'!$H$49:$H$78"),MATCH(INDIRECT("'"&amp;$H$3&amp;"'!K$200")&amp;"Insurance cost /yr ($)",INDIRECT("'"&amp;$H$3&amp;"'!$F$49:$F$78"),0))*INDIRECT("'"&amp;$H$3&amp;"'!K$204"),0),0)
+IFERROR((1-INDIRECT("'"&amp;$H$3&amp;"'!K$226"))*IF(AND(INDIRECT("'"&amp;$H$3&amp;"'!K$225")="No",INDIRECT("'"&amp;$H$3&amp;"'!K$221")='List Values'!$E$3),INDEX(INDIRECT("'"&amp;$H$3&amp;"'!$H$49:$H$78"),MATCH(INDIRECT("'"&amp;$H$3&amp;"'!K$220")&amp;"Insurance cost /yr ($)",INDIRECT("'"&amp;$H$3&amp;"'!$F$49:$F$78"),0))*INDIRECT("'"&amp;$H$3&amp;"'!K$224"),0),0)
+IFERROR((1-INDIRECT("'"&amp;$H$3&amp;"'!K$246"))*IF(AND(INDIRECT("'"&amp;$H$3&amp;"'!K$245")="No",INDIRECT("'"&amp;$H$3&amp;"'!K$241")='List Values'!$E$3),INDEX(INDIRECT("'"&amp;$H$3&amp;"'!$H$49:$H$78"),MATCH(INDIRECT("'"&amp;$H$3&amp;"'!K$240")&amp;"Insurance cost /yr ($)",INDIRECT("'"&amp;$H$3&amp;"'!$F$49:$F$78"),0))*INDIRECT("'"&amp;$H$3&amp;"'!K$244"),0),0)</f>
        <v>0</v>
      </c>
      <c r="L104" s="300"/>
      <c r="M104" s="300"/>
      <c r="N104" s="300">
        <f ca="1">IFERROR((1-INDIRECT("'"&amp;$H$3&amp;"'!N$206"))*IF(AND(INDIRECT("'"&amp;$H$3&amp;"'!N$205")="No",INDIRECT("'"&amp;$H$3&amp;"'!N$201")='List Values'!$E$3),INDEX(INDIRECT("'"&amp;$H$3&amp;"'!$H$49:$H$78"),MATCH(INDIRECT("'"&amp;$H$3&amp;"'!N$200")&amp;"Insurance cost /yr ($)",INDIRECT("'"&amp;$H$3&amp;"'!$F$49:$F$78"),0))*INDIRECT("'"&amp;$H$3&amp;"'!N$204"),0),0)
+IFERROR((1-INDIRECT("'"&amp;$H$3&amp;"'!N$226"))*IF(AND(INDIRECT("'"&amp;$H$3&amp;"'!N$225")="No",INDIRECT("'"&amp;$H$3&amp;"'!N$221")='List Values'!$E$3),INDEX(INDIRECT("'"&amp;$H$3&amp;"'!$H$49:$H$78"),MATCH(INDIRECT("'"&amp;$H$3&amp;"'!N$220")&amp;"Insurance cost /yr ($)",INDIRECT("'"&amp;$H$3&amp;"'!$F$49:$F$78"),0))*INDIRECT("'"&amp;$H$3&amp;"'!N$224"),0),0)
+IFERROR((1-INDIRECT("'"&amp;$H$3&amp;"'!N$246"))*IF(AND(INDIRECT("'"&amp;$H$3&amp;"'!N$245")="No",INDIRECT("'"&amp;$H$3&amp;"'!N$241")='List Values'!$E$3),INDEX(INDIRECT("'"&amp;$H$3&amp;"'!$H$49:$H$78"),MATCH(INDIRECT("'"&amp;$H$3&amp;"'!N$240")&amp;"Insurance cost /yr ($)",INDIRECT("'"&amp;$H$3&amp;"'!$F$49:$F$78"),0))*INDIRECT("'"&amp;$H$3&amp;"'!N$244"),0),0)</f>
        <v>11619.75</v>
      </c>
      <c r="O104" s="300"/>
      <c r="P104" s="300"/>
      <c r="Q104" s="300">
        <f ca="1">IFERROR((1-INDIRECT("'"&amp;$H$3&amp;"'!Q$206"))*IF(AND(INDIRECT("'"&amp;$H$3&amp;"'!Q$205")="No",INDIRECT("'"&amp;$H$3&amp;"'!Q$201")='List Values'!$E$3),INDEX(INDIRECT("'"&amp;$H$3&amp;"'!$H$49:$H$78"),MATCH(INDIRECT("'"&amp;$H$3&amp;"'!Q$200")&amp;"Insurance cost /yr ($)",INDIRECT("'"&amp;$H$3&amp;"'!$F$49:$F$78"),0))*INDIRECT("'"&amp;$H$3&amp;"'!Q$204"),0),0)
+IFERROR((1-INDIRECT("'"&amp;$H$3&amp;"'!Q$226"))*IF(AND(INDIRECT("'"&amp;$H$3&amp;"'!Q$225")="No",INDIRECT("'"&amp;$H$3&amp;"'!Q$221")='List Values'!$E$3),INDEX(INDIRECT("'"&amp;$H$3&amp;"'!$H$49:$H$78"),MATCH(INDIRECT("'"&amp;$H$3&amp;"'!Q$220")&amp;"Insurance cost /yr ($)",INDIRECT("'"&amp;$H$3&amp;"'!$F$49:$F$78"),0))*INDIRECT("'"&amp;$H$3&amp;"'!Q$224"),0),0)
+IFERROR((1-INDIRECT("'"&amp;$H$3&amp;"'!Q$246"))*IF(AND(INDIRECT("'"&amp;$H$3&amp;"'!Q$245")="No",INDIRECT("'"&amp;$H$3&amp;"'!Q$241")='List Values'!$E$3),INDEX(INDIRECT("'"&amp;$H$3&amp;"'!$H$49:$H$78"),MATCH(INDIRECT("'"&amp;$H$3&amp;"'!Q$240")&amp;"Insurance cost /yr ($)",INDIRECT("'"&amp;$H$3&amp;"'!$F$49:$F$78"),0))*INDIRECT("'"&amp;$H$3&amp;"'!Q$244"),0),0)</f>
        <v>0</v>
      </c>
      <c r="R104" s="300"/>
      <c r="S104" s="337"/>
      <c r="T104" s="300">
        <f ca="1">IFERROR((1-INDIRECT("'"&amp;$H$3&amp;"'!T$206"))*IF(AND(INDIRECT("'"&amp;$H$3&amp;"'!T$205")="No",INDIRECT("'"&amp;$H$3&amp;"'!T$201")='List Values'!$E$3),INDEX(INDIRECT("'"&amp;$H$3&amp;"'!$H$49:$H$78"),MATCH(INDIRECT("'"&amp;$H$3&amp;"'!T$200")&amp;"Insurance cost /yr ($)",INDIRECT("'"&amp;$H$3&amp;"'!$F$49:$F$78"),0))*INDIRECT("'"&amp;$H$3&amp;"'!T$204"),0),0)
+IFERROR((1-INDIRECT("'"&amp;$H$3&amp;"'!T$226"))*IF(AND(INDIRECT("'"&amp;$H$3&amp;"'!T$225")="No",INDIRECT("'"&amp;$H$3&amp;"'!T$221")='List Values'!$E$3),INDEX(INDIRECT("'"&amp;$H$3&amp;"'!$H$49:$H$78"),MATCH(INDIRECT("'"&amp;$H$3&amp;"'!T$220")&amp;"Insurance cost /yr ($)",INDIRECT("'"&amp;$H$3&amp;"'!$F$49:$F$78"),0))*INDIRECT("'"&amp;$H$3&amp;"'!T$224"),0),0)
+IFERROR((1-INDIRECT("'"&amp;$H$3&amp;"'!T$246"))*IF(AND(INDIRECT("'"&amp;$H$3&amp;"'!T$245")="No",INDIRECT("'"&amp;$H$3&amp;"'!T$241")='List Values'!$E$3),INDEX(INDIRECT("'"&amp;$H$3&amp;"'!$H$49:$H$78"),MATCH(INDIRECT("'"&amp;$H$3&amp;"'!T$240")&amp;"Insurance cost /yr ($)",INDIRECT("'"&amp;$H$3&amp;"'!$F$49:$F$78"),0))*INDIRECT("'"&amp;$H$3&amp;"'!T$244"),0),0)</f>
        <v>0</v>
      </c>
      <c r="U104" s="337"/>
      <c r="V104" s="337"/>
      <c r="W104" s="1437">
        <f ca="1">IFERROR((1-INDIRECT("'"&amp;$H$3&amp;"'!W$206"))*IF(AND(INDIRECT("'"&amp;$H$3&amp;"'!W$205")="No",INDIRECT("'"&amp;$H$3&amp;"'!W$201")='List Values'!$E$3),INDEX(INDIRECT("'"&amp;$H$3&amp;"'!$H$49:$H$78"),MATCH(INDIRECT("'"&amp;$H$3&amp;"'!W$200")&amp;"Insurance cost /yr ($)",INDIRECT("'"&amp;$H$3&amp;"'!$F$49:$F$78"),0))*INDIRECT("'"&amp;$H$3&amp;"'!W$204"),0),0)
+IFERROR((1-INDIRECT("'"&amp;$H$3&amp;"'!W$226"))*IF(AND(INDIRECT("'"&amp;$H$3&amp;"'!W$225")="No",INDIRECT("'"&amp;$H$3&amp;"'!W$221")='List Values'!$E$3),INDEX(INDIRECT("'"&amp;$H$3&amp;"'!$H$49:$H$78"),MATCH(INDIRECT("'"&amp;$H$3&amp;"'!W$220")&amp;"Insurance cost /yr ($)",INDIRECT("'"&amp;$H$3&amp;"'!$F$49:$F$78"),0))*INDIRECT("'"&amp;$H$3&amp;"'!W$224"),0),0)
+IFERROR((1-INDIRECT("'"&amp;$H$3&amp;"'!W$246"))*IF(AND(INDIRECT("'"&amp;$H$3&amp;"'!W$245")="No",INDIRECT("'"&amp;$H$3&amp;"'!W$241")='List Values'!$E$3),INDEX(INDIRECT("'"&amp;$H$3&amp;"'!$H$49:$H$78"),MATCH(INDIRECT("'"&amp;$H$3&amp;"'!W$240")&amp;"Insurance cost /yr ($)",INDIRECT("'"&amp;$H$3&amp;"'!$F$49:$F$78"),0))*INDIRECT("'"&amp;$H$3&amp;"'!W$244"),0),0)</f>
        <v>0</v>
      </c>
      <c r="Y104" s="341">
        <f t="shared" ca="1" si="10"/>
        <v>11619.75</v>
      </c>
      <c r="AL104" s="4"/>
    </row>
    <row r="105" spans="6:38">
      <c r="F105" s="298"/>
      <c r="G105" s="298" t="s">
        <v>92</v>
      </c>
      <c r="H105" s="300">
        <f ca="1">IFERROR((1-INDIRECT("'"&amp;$H$3&amp;"'!H$207"))*IF(INDIRECT("'"&amp;$H$3&amp;"'!H$201")='List Values'!$E$3,H$280*INDEX(INDIRECT("'"&amp;$H$3&amp;"'!$H$49:$H$78"),MATCH(INDIRECT("'"&amp;$H$3&amp;"'!H$200")&amp;"Maintenance cost/km ($)",INDIRECT("'"&amp;$H$3&amp;"'!$F$49:$F$78"),0)),0),0)
+ IFERROR((1-INDIRECT("'"&amp;$H$3&amp;"'!H$227"))*IF(INDIRECT("'"&amp;$H$3&amp;"'!H$221")='List Values'!$E$3,H$309*INDEX(INDIRECT("'"&amp;$H$3&amp;"'!$H$49:$H$78"),MATCH(INDIRECT("'"&amp;$H$3&amp;"'!H$220")&amp;"Maintenance cost/km ($)",INDIRECT("'"&amp;$H$3&amp;"'!$F$49:$F$78"),0)),0),0)
+ IFERROR((1-INDIRECT("'"&amp;$H$3&amp;"'!H$247"))*IF(INDIRECT("'"&amp;$H$3&amp;"'!H$241")='List Values'!$E$3,H$338*INDEX(INDIRECT("'"&amp;$H$3&amp;"'!$H$49:$H$78"),MATCH(INDIRECT("'"&amp;$H$3&amp;"'!H$240")&amp;"Maintenance cost/km ($)",INDIRECT("'"&amp;$H$3&amp;"'!$F$49:$F$78"),0)),0),0)</f>
        <v>0</v>
      </c>
      <c r="I105" s="358"/>
      <c r="J105" s="358"/>
      <c r="K105" s="300">
        <f ca="1">IFERROR((1-INDIRECT("'"&amp;$H$3&amp;"'!K$207"))*IF(INDIRECT("'"&amp;$H$3&amp;"'!K$201")='List Values'!$E$3,K$280*INDEX(INDIRECT("'"&amp;$H$3&amp;"'!$H$49:$H$78"),MATCH(INDIRECT("'"&amp;$H$3&amp;"'!K$200")&amp;"Maintenance cost/km ($)",INDIRECT("'"&amp;$H$3&amp;"'!$F$49:$F$78"),0)),0),0)
+ IFERROR((1-INDIRECT("'"&amp;$H$3&amp;"'!K$227"))*IF(INDIRECT("'"&amp;$H$3&amp;"'!K$221")='List Values'!$E$3,K$309*INDEX(INDIRECT("'"&amp;$H$3&amp;"'!$H$49:$H$78"),MATCH(INDIRECT("'"&amp;$H$3&amp;"'!K$220")&amp;"Maintenance cost/km ($)",INDIRECT("'"&amp;$H$3&amp;"'!$F$49:$F$78"),0)),0),0)
+ IFERROR((1-INDIRECT("'"&amp;$H$3&amp;"'!K$247"))*IF(INDIRECT("'"&amp;$H$3&amp;"'!K$241")='List Values'!$E$3,K$338*INDEX(INDIRECT("'"&amp;$H$3&amp;"'!$H$49:$H$78"),MATCH(INDIRECT("'"&amp;$H$3&amp;"'!K$240")&amp;"Maintenance cost/km ($)",INDIRECT("'"&amp;$H$3&amp;"'!$F$49:$F$78"),0)),0),0)</f>
        <v>0</v>
      </c>
      <c r="L105" s="300"/>
      <c r="M105" s="300"/>
      <c r="N105" s="300">
        <f ca="1">IFERROR((1-INDIRECT("'"&amp;$H$3&amp;"'!N$207"))*IF(INDIRECT("'"&amp;$H$3&amp;"'!N$201")='List Values'!$E$3,N$280*INDEX(INDIRECT("'"&amp;$H$3&amp;"'!$H$49:$H$78"),MATCH(INDIRECT("'"&amp;$H$3&amp;"'!N$200")&amp;"Maintenance cost/km ($)",INDIRECT("'"&amp;$H$3&amp;"'!$F$49:$F$78"),0)),0),0)
+ IFERROR((1-INDIRECT("'"&amp;$H$3&amp;"'!N$227"))*IF(INDIRECT("'"&amp;$H$3&amp;"'!N$221")='List Values'!$E$3,N$309*INDEX(INDIRECT("'"&amp;$H$3&amp;"'!$H$49:$H$78"),MATCH(INDIRECT("'"&amp;$H$3&amp;"'!N$220")&amp;"Maintenance cost/km ($)",INDIRECT("'"&amp;$H$3&amp;"'!$F$49:$F$78"),0)),0),0)
+ IFERROR((1-INDIRECT("'"&amp;$H$3&amp;"'!N$247"))*IF(INDIRECT("'"&amp;$H$3&amp;"'!N$241")='List Values'!$E$3,N$338*INDEX(INDIRECT("'"&amp;$H$3&amp;"'!$H$49:$H$78"),MATCH(INDIRECT("'"&amp;$H$3&amp;"'!N$240")&amp;"Maintenance cost/km ($)",INDIRECT("'"&amp;$H$3&amp;"'!$F$49:$F$78"),0)),0),0)</f>
        <v>28942.000645252512</v>
      </c>
      <c r="O105" s="300"/>
      <c r="P105" s="300"/>
      <c r="Q105" s="300">
        <f ca="1">IFERROR((1-INDIRECT("'"&amp;$H$3&amp;"'!Q$207"))*IF(INDIRECT("'"&amp;$H$3&amp;"'!Q$201")='List Values'!$E$3,Q$280*INDEX(INDIRECT("'"&amp;$H$3&amp;"'!$H$49:$H$78"),MATCH(INDIRECT("'"&amp;$H$3&amp;"'!Q$200")&amp;"Maintenance cost/km ($)",INDIRECT("'"&amp;$H$3&amp;"'!$F$49:$F$78"),0)),0),0)
+ IFERROR((1-INDIRECT("'"&amp;$H$3&amp;"'!Q$227"))*IF(INDIRECT("'"&amp;$H$3&amp;"'!Q$221")='List Values'!$E$3,Q$309*INDEX(INDIRECT("'"&amp;$H$3&amp;"'!$H$49:$H$78"),MATCH(INDIRECT("'"&amp;$H$3&amp;"'!Q$220")&amp;"Maintenance cost/km ($)",INDIRECT("'"&amp;$H$3&amp;"'!$F$49:$F$78"),0)),0),0)
+ IFERROR((1-INDIRECT("'"&amp;$H$3&amp;"'!Q$247"))*IF(INDIRECT("'"&amp;$H$3&amp;"'!Q$241")='List Values'!$E$3,Q$338*INDEX(INDIRECT("'"&amp;$H$3&amp;"'!$H$49:$H$78"),MATCH(INDIRECT("'"&amp;$H$3&amp;"'!Q$240")&amp;"Maintenance cost/km ($)",INDIRECT("'"&amp;$H$3&amp;"'!$F$49:$F$78"),0)),0),0)</f>
        <v>0</v>
      </c>
      <c r="R105" s="300"/>
      <c r="S105" s="337"/>
      <c r="T105" s="300">
        <f ca="1">IFERROR((1-INDIRECT("'"&amp;$H$3&amp;"'!T$207"))*IF(INDIRECT("'"&amp;$H$3&amp;"'!T$201")='List Values'!$E$3,T$280*INDEX(INDIRECT("'"&amp;$H$3&amp;"'!$H$49:$H$78"),MATCH(INDIRECT("'"&amp;$H$3&amp;"'!T$200")&amp;"Maintenance cost/km ($)",INDIRECT("'"&amp;$H$3&amp;"'!$F$49:$F$78"),0)),0),0)
+ IFERROR((1-INDIRECT("'"&amp;$H$3&amp;"'!T$227"))*IF(INDIRECT("'"&amp;$H$3&amp;"'!T$221")='List Values'!$E$3,T$309*INDEX(INDIRECT("'"&amp;$H$3&amp;"'!$H$49:$H$78"),MATCH(INDIRECT("'"&amp;$H$3&amp;"'!T$220")&amp;"Maintenance cost/km ($)",INDIRECT("'"&amp;$H$3&amp;"'!$F$49:$F$78"),0)),0),0)
+ IFERROR((1-INDIRECT("'"&amp;$H$3&amp;"'!T$247"))*IF(INDIRECT("'"&amp;$H$3&amp;"'!T$241")='List Values'!$E$3,T$338*INDEX(INDIRECT("'"&amp;$H$3&amp;"'!$H$49:$H$78"),MATCH(INDIRECT("'"&amp;$H$3&amp;"'!T$240")&amp;"Maintenance cost/km ($)",INDIRECT("'"&amp;$H$3&amp;"'!$F$49:$F$78"),0)),0),0)</f>
        <v>0</v>
      </c>
      <c r="U105" s="337"/>
      <c r="V105" s="337"/>
      <c r="W105" s="1437">
        <f ca="1">IFERROR((1-INDIRECT("'"&amp;$H$3&amp;"'!W$207"))*IF(INDIRECT("'"&amp;$H$3&amp;"'!W$201")='List Values'!$E$3,W$280*INDEX(INDIRECT("'"&amp;$H$3&amp;"'!$H$49:$H$78"),MATCH(INDIRECT("'"&amp;$H$3&amp;"'!W$200")&amp;"Maintenance cost/km ($)",INDIRECT("'"&amp;$H$3&amp;"'!$F$49:$F$78"),0)),0),0)
+ IFERROR((1-INDIRECT("'"&amp;$H$3&amp;"'!W$227"))*IF(INDIRECT("'"&amp;$H$3&amp;"'!W$221")='List Values'!$E$3,W$309*INDEX(INDIRECT("'"&amp;$H$3&amp;"'!$H$49:$H$78"),MATCH(INDIRECT("'"&amp;$H$3&amp;"'!W$220")&amp;"Maintenance cost/km ($)",INDIRECT("'"&amp;$H$3&amp;"'!$F$49:$F$78"),0)),0),0)
+ IFERROR((1-INDIRECT("'"&amp;$H$3&amp;"'!W$247"))*IF(INDIRECT("'"&amp;$H$3&amp;"'!W$241")='List Values'!$E$3,W$338*INDEX(INDIRECT("'"&amp;$H$3&amp;"'!$H$49:$H$78"),MATCH(INDIRECT("'"&amp;$H$3&amp;"'!W$240")&amp;"Maintenance cost/km ($)",INDIRECT("'"&amp;$H$3&amp;"'!$F$49:$F$78"),0)),0),0)</f>
        <v>0</v>
      </c>
      <c r="Y105" s="341">
        <f t="shared" ca="1" si="10"/>
        <v>28942.000645252512</v>
      </c>
      <c r="AF105" s="34"/>
      <c r="AL105" s="4"/>
    </row>
    <row r="106" spans="6:38">
      <c r="F106" s="298"/>
      <c r="G106" s="298" t="s">
        <v>93</v>
      </c>
      <c r="H106" s="300">
        <f ca="1">IFERROR((1-INDIRECT("'"&amp;$H$3&amp;"'!H$206"))*IF(AND(INDIRECT("'"&amp;$H$3&amp;"'!H$205")="No",INDIRECT("'"&amp;$H$3&amp;"'!H$201")='List Values'!$E$3),INDEX(INDIRECT("'"&amp;$H$3&amp;"'!$H$49:$H$78"),MATCH(INDIRECT("'"&amp;$H$3&amp;"'!H$200")&amp;"Depreciation cost / yr ($)",INDIRECT("'"&amp;$H$3&amp;"'!$F$49:$F$78"),0))*INDIRECT("'"&amp;$H$3&amp;"'!H$204"),0),0)
+IFERROR((1-INDIRECT("'"&amp;$H$3&amp;"'!H$226"))*IF(AND(INDIRECT("'"&amp;$H$3&amp;"'!H$225")="No",INDIRECT("'"&amp;$H$3&amp;"'!H$221")='List Values'!$E$3),INDEX(INDIRECT("'"&amp;$H$3&amp;"'!$H$49:$H$78"),MATCH(INDIRECT("'"&amp;$H$3&amp;"'!H$220")&amp;"Depreciation cost / yr ($)",INDIRECT("'"&amp;$H$3&amp;"'!$F$49:$F$78"),0))*INDIRECT("'"&amp;$H$3&amp;"'!H$224"),0),0)
+IFERROR((1-INDIRECT("'"&amp;$H$3&amp;"'!H$246"))*IF(AND(INDIRECT("'"&amp;$H$3&amp;"'!H$245")="No",INDIRECT("'"&amp;$H$3&amp;"'!H$241")='List Values'!$E$3),INDEX(INDIRECT("'"&amp;$H$3&amp;"'!$H$49:$H$78"),MATCH(INDIRECT("'"&amp;$H$3&amp;"'!H$240")&amp;"Depreciation cost / yr ($)",INDIRECT("'"&amp;$H$3&amp;"'!$F$49:$F$78"),0))*INDIRECT("'"&amp;$H$3&amp;"'!H$244"),0),0)</f>
        <v>0</v>
      </c>
      <c r="I106" s="358"/>
      <c r="J106" s="358"/>
      <c r="K106" s="300">
        <f ca="1">IFERROR((1-INDIRECT("'"&amp;$H$3&amp;"'!K$206"))*IF(AND(INDIRECT("'"&amp;$H$3&amp;"'!K$205")="No",INDIRECT("'"&amp;$H$3&amp;"'!K$201")='List Values'!$E$3),INDEX(INDIRECT("'"&amp;$H$3&amp;"'!$H$49:$H$78"),MATCH(INDIRECT("'"&amp;$H$3&amp;"'!K$200")&amp;"Depreciation cost / yr ($)",INDIRECT("'"&amp;$H$3&amp;"'!$F$49:$F$78"),0))*INDIRECT("'"&amp;$H$3&amp;"'!K$204"),0),0)
+IFERROR((1-INDIRECT("'"&amp;$H$3&amp;"'!K$226"))*IF(AND(INDIRECT("'"&amp;$H$3&amp;"'!K$225")="No",INDIRECT("'"&amp;$H$3&amp;"'!K$221")='List Values'!$E$3),INDEX(INDIRECT("'"&amp;$H$3&amp;"'!$H$49:$H$78"),MATCH(INDIRECT("'"&amp;$H$3&amp;"'!K$220")&amp;"Depreciation cost / yr ($)",INDIRECT("'"&amp;$H$3&amp;"'!$F$49:$F$78"),0))*INDIRECT("'"&amp;$H$3&amp;"'!K$224"),0),0)
+IFERROR((1-INDIRECT("'"&amp;$H$3&amp;"'!K$246"))*IF(AND(INDIRECT("'"&amp;$H$3&amp;"'!K$245")="No",INDIRECT("'"&amp;$H$3&amp;"'!K$241")='List Values'!$E$3),INDEX(INDIRECT("'"&amp;$H$3&amp;"'!$H$49:$H$78"),MATCH(INDIRECT("'"&amp;$H$3&amp;"'!K$240")&amp;"Depreciation cost / yr ($)",INDIRECT("'"&amp;$H$3&amp;"'!$F$49:$F$78"),0))*INDIRECT("'"&amp;$H$3&amp;"'!K$244"),0),0)</f>
        <v>0</v>
      </c>
      <c r="L106" s="300"/>
      <c r="M106" s="300"/>
      <c r="N106" s="300">
        <f ca="1">IFERROR((1-INDIRECT("'"&amp;$H$3&amp;"'!N$206"))*IF(AND(INDIRECT("'"&amp;$H$3&amp;"'!N$205")="No",INDIRECT("'"&amp;$H$3&amp;"'!N$201")='List Values'!$E$3),INDEX(INDIRECT("'"&amp;$H$3&amp;"'!$H$49:$H$78"),MATCH(INDIRECT("'"&amp;$H$3&amp;"'!N$200")&amp;"Depreciation cost / yr ($)",INDIRECT("'"&amp;$H$3&amp;"'!$F$49:$F$78"),0))*INDIRECT("'"&amp;$H$3&amp;"'!N$204"),0),0)
+IFERROR((1-INDIRECT("'"&amp;$H$3&amp;"'!N$226"))*IF(AND(INDIRECT("'"&amp;$H$3&amp;"'!N$225")="No",INDIRECT("'"&amp;$H$3&amp;"'!N$221")='List Values'!$E$3),INDEX(INDIRECT("'"&amp;$H$3&amp;"'!$H$49:$H$78"),MATCH(INDIRECT("'"&amp;$H$3&amp;"'!N$220")&amp;"Depreciation cost / yr ($)",INDIRECT("'"&amp;$H$3&amp;"'!$F$49:$F$78"),0))*INDIRECT("'"&amp;$H$3&amp;"'!N$224"),0),0)
+IFERROR((1-INDIRECT("'"&amp;$H$3&amp;"'!N$246"))*IF(AND(INDIRECT("'"&amp;$H$3&amp;"'!N$245")="No",INDIRECT("'"&amp;$H$3&amp;"'!N$241")='List Values'!$E$3),INDEX(INDIRECT("'"&amp;$H$3&amp;"'!$H$49:$H$78"),MATCH(INDIRECT("'"&amp;$H$3&amp;"'!N$240")&amp;"Depreciation cost / yr ($)",INDIRECT("'"&amp;$H$3&amp;"'!$F$49:$F$78"),0))*INDIRECT("'"&amp;$H$3&amp;"'!N$244"),0),0)</f>
        <v>60939.499795095864</v>
      </c>
      <c r="O106" s="300"/>
      <c r="P106" s="300"/>
      <c r="Q106" s="300">
        <f ca="1">IFERROR((1-INDIRECT("'"&amp;$H$3&amp;"'!Q$206"))*IF(AND(INDIRECT("'"&amp;$H$3&amp;"'!Q$205")="No",INDIRECT("'"&amp;$H$3&amp;"'!Q$201")='List Values'!$E$3),INDEX(INDIRECT("'"&amp;$H$3&amp;"'!$H$49:$H$78"),MATCH(INDIRECT("'"&amp;$H$3&amp;"'!Q$200")&amp;"Depreciation cost / yr ($)",INDIRECT("'"&amp;$H$3&amp;"'!$F$49:$F$78"),0))*INDIRECT("'"&amp;$H$3&amp;"'!Q$204"),0),0)
+IFERROR((1-INDIRECT("'"&amp;$H$3&amp;"'!Q$226"))*IF(AND(INDIRECT("'"&amp;$H$3&amp;"'!Q$225")="No",INDIRECT("'"&amp;$H$3&amp;"'!Q$221")='List Values'!$E$3),INDEX(INDIRECT("'"&amp;$H$3&amp;"'!$H$49:$H$78"),MATCH(INDIRECT("'"&amp;$H$3&amp;"'!Q$220")&amp;"Depreciation cost / yr ($)",INDIRECT("'"&amp;$H$3&amp;"'!$F$49:$F$78"),0))*INDIRECT("'"&amp;$H$3&amp;"'!Q$224"),0),0)
+IFERROR((1-INDIRECT("'"&amp;$H$3&amp;"'!Q$246"))*IF(AND(INDIRECT("'"&amp;$H$3&amp;"'!Q$245")="No",INDIRECT("'"&amp;$H$3&amp;"'!Q$241")='List Values'!$E$3),INDEX(INDIRECT("'"&amp;$H$3&amp;"'!$H$49:$H$78"),MATCH(INDIRECT("'"&amp;$H$3&amp;"'!Q$240")&amp;"Depreciation cost / yr ($)",INDIRECT("'"&amp;$H$3&amp;"'!$F$49:$F$78"),0))*INDIRECT("'"&amp;$H$3&amp;"'!Q$244"),0),0)</f>
        <v>0</v>
      </c>
      <c r="R106" s="300"/>
      <c r="S106" s="337"/>
      <c r="T106" s="300">
        <f ca="1">IFERROR((1-INDIRECT("'"&amp;$H$3&amp;"'!T$206"))*IF(AND(INDIRECT("'"&amp;$H$3&amp;"'!T$205")="No",INDIRECT("'"&amp;$H$3&amp;"'!T$201")='List Values'!$E$3),INDEX(INDIRECT("'"&amp;$H$3&amp;"'!$H$49:$H$78"),MATCH(INDIRECT("'"&amp;$H$3&amp;"'!T$200")&amp;"Depreciation cost / yr ($)",INDIRECT("'"&amp;$H$3&amp;"'!$F$49:$F$78"),0))*INDIRECT("'"&amp;$H$3&amp;"'!T$204"),0),0)
+IFERROR((1-INDIRECT("'"&amp;$H$3&amp;"'!T$226"))*IF(AND(INDIRECT("'"&amp;$H$3&amp;"'!T$225")="No",INDIRECT("'"&amp;$H$3&amp;"'!T$221")='List Values'!$E$3),INDEX(INDIRECT("'"&amp;$H$3&amp;"'!$H$49:$H$78"),MATCH(INDIRECT("'"&amp;$H$3&amp;"'!T$220")&amp;"Depreciation cost / yr ($)",INDIRECT("'"&amp;$H$3&amp;"'!$F$49:$F$78"),0))*INDIRECT("'"&amp;$H$3&amp;"'!T$224"),0),0)
+IFERROR((1-INDIRECT("'"&amp;$H$3&amp;"'!T$246"))*IF(AND(INDIRECT("'"&amp;$H$3&amp;"'!T$245")="No",INDIRECT("'"&amp;$H$3&amp;"'!T$241")='List Values'!$E$3),INDEX(INDIRECT("'"&amp;$H$3&amp;"'!$H$49:$H$78"),MATCH(INDIRECT("'"&amp;$H$3&amp;"'!T$240")&amp;"Depreciation cost / yr ($)",INDIRECT("'"&amp;$H$3&amp;"'!$F$49:$F$78"),0))*INDIRECT("'"&amp;$H$3&amp;"'!T$244"),0),0)</f>
        <v>0</v>
      </c>
      <c r="U106" s="337"/>
      <c r="V106" s="337"/>
      <c r="W106" s="1437">
        <f ca="1">IFERROR((1-INDIRECT("'"&amp;$H$3&amp;"'!W$206"))*IF(AND(INDIRECT("'"&amp;$H$3&amp;"'!W$205")="No",INDIRECT("'"&amp;$H$3&amp;"'!W$201")='List Values'!$E$3),INDEX(INDIRECT("'"&amp;$H$3&amp;"'!$H$49:$H$78"),MATCH(INDIRECT("'"&amp;$H$3&amp;"'!W$200")&amp;"Depreciation cost / yr ($)",INDIRECT("'"&amp;$H$3&amp;"'!$F$49:$F$78"),0))*INDIRECT("'"&amp;$H$3&amp;"'!W$204"),0),0)
+IFERROR((1-INDIRECT("'"&amp;$H$3&amp;"'!W$226"))*IF(AND(INDIRECT("'"&amp;$H$3&amp;"'!W$225")="No",INDIRECT("'"&amp;$H$3&amp;"'!W$221")='List Values'!$E$3),INDEX(INDIRECT("'"&amp;$H$3&amp;"'!$H$49:$H$78"),MATCH(INDIRECT("'"&amp;$H$3&amp;"'!W$220")&amp;"Depreciation cost / yr ($)",INDIRECT("'"&amp;$H$3&amp;"'!$F$49:$F$78"),0))*INDIRECT("'"&amp;$H$3&amp;"'!W$224"),0),0)
+IFERROR((1-INDIRECT("'"&amp;$H$3&amp;"'!W$246"))*IF(AND(INDIRECT("'"&amp;$H$3&amp;"'!W$245")="No",INDIRECT("'"&amp;$H$3&amp;"'!W$241")='List Values'!$E$3),INDEX(INDIRECT("'"&amp;$H$3&amp;"'!$H$49:$H$78"),MATCH(INDIRECT("'"&amp;$H$3&amp;"'!W$240")&amp;"Depreciation cost / yr ($)",INDIRECT("'"&amp;$H$3&amp;"'!$F$49:$F$78"),0))*INDIRECT("'"&amp;$H$3&amp;"'!W$244"),0),0)</f>
        <v>0</v>
      </c>
      <c r="Y106" s="341">
        <f t="shared" ca="1" si="10"/>
        <v>60939.499795095864</v>
      </c>
      <c r="AL106" s="4"/>
    </row>
    <row r="107" spans="6:38">
      <c r="F107" s="359"/>
      <c r="G107" s="220" t="s">
        <v>160</v>
      </c>
      <c r="H107" s="296">
        <f ca="1">IFERROR((1-INDIRECT("'"&amp;$H$3&amp;"'!H$207"))*H$266*INDEX(INDIRECT("'"&amp;$H$3&amp;"'!$H$43:$H$78"),MATCH(INDIRECT("'"&amp;$H$3&amp;"'!H$200")&amp;"Average cost ($) per trip (one-way)",INDIRECT("'"&amp;$H$3&amp;"'!$F$43:$F$78"),0)),0)
+IFERROR((1-INDIRECT("'"&amp;$H$3&amp;"'!H$227"))*H$295*INDEX(INDIRECT("'"&amp;$H$3&amp;"'!$H$43:$H$78"),MATCH(INDIRECT("'"&amp;$H$3&amp;"'!H$220")&amp;"Average cost ($) per trip (one-way)",INDIRECT("'"&amp;$H$3&amp;"'!$F$43:$F$78"),0)),0)
+IFERROR((1-INDIRECT("'"&amp;$H$3&amp;"'!H$247"))*H$324*INDEX(INDIRECT("'"&amp;$H$3&amp;"'!$H$43:$H$78"),MATCH(INDIRECT("'"&amp;$H$3&amp;"'!H$240")&amp;"Average cost ($) per trip (one-way)",INDIRECT("'"&amp;$H$3&amp;"'!$F$43:$F$78"),0)),0)</f>
        <v>0</v>
      </c>
      <c r="I107" s="360"/>
      <c r="J107" s="360"/>
      <c r="K107" s="296">
        <f ca="1">IFERROR((1-INDIRECT("'"&amp;$H$3&amp;"'!K$207"))*K$266*INDEX(INDIRECT("'"&amp;$H$3&amp;"'!$H$43:$H$78"),MATCH(INDIRECT("'"&amp;$H$3&amp;"'!K$200")&amp;"Average cost ($) per trip (one-way)",INDIRECT("'"&amp;$H$3&amp;"'!$F$43:$F$78"),0)),0)
+IFERROR((1-INDIRECT("'"&amp;$H$3&amp;"'!K$227"))*K$295*INDEX(INDIRECT("'"&amp;$H$3&amp;"'!$H$43:$H$78"),MATCH(INDIRECT("'"&amp;$H$3&amp;"'!K$220")&amp;"Average cost ($) per trip (one-way)",INDIRECT("'"&amp;$H$3&amp;"'!$F$43:$F$78"),0)),0)
+IFERROR((1-INDIRECT("'"&amp;$H$3&amp;"'!K$247"))*K$324*INDEX(INDIRECT("'"&amp;$H$3&amp;"'!$H$43:$H$78"),MATCH(INDIRECT("'"&amp;$H$3&amp;"'!K$240")&amp;"Average cost ($) per trip (one-way)",INDIRECT("'"&amp;$H$3&amp;"'!$F$43:$F$78"),0)),0)</f>
        <v>0</v>
      </c>
      <c r="L107" s="296"/>
      <c r="M107" s="296"/>
      <c r="N107" s="296">
        <f ca="1">IFERROR((1-INDIRECT("'"&amp;$H$3&amp;"'!N$207"))*N$266*INDEX(INDIRECT("'"&amp;$H$3&amp;"'!$H$43:$H$78"),MATCH(INDIRECT("'"&amp;$H$3&amp;"'!N$200")&amp;"Average cost ($) per trip (one-way)",INDIRECT("'"&amp;$H$3&amp;"'!$F$43:$F$78"),0)),0)
+IFERROR((1-INDIRECT("'"&amp;$H$3&amp;"'!N$227"))*N$295*INDEX(INDIRECT("'"&amp;$H$3&amp;"'!$H$43:$H$78"),MATCH(INDIRECT("'"&amp;$H$3&amp;"'!N$220")&amp;"Average cost ($) per trip (one-way)",INDIRECT("'"&amp;$H$3&amp;"'!$F$43:$F$78"),0)),0)
+IFERROR((1-INDIRECT("'"&amp;$H$3&amp;"'!N$247"))*N$324*INDEX(INDIRECT("'"&amp;$H$3&amp;"'!$H$43:$H$78"),MATCH(INDIRECT("'"&amp;$H$3&amp;"'!N$240")&amp;"Average cost ($) per trip (one-way)",INDIRECT("'"&amp;$H$3&amp;"'!$F$43:$F$78"),0)),0)</f>
        <v>0</v>
      </c>
      <c r="O107" s="296"/>
      <c r="P107" s="296"/>
      <c r="Q107" s="296">
        <f ca="1">IFERROR((1-INDIRECT("'"&amp;$H$3&amp;"'!Q$207"))*Q$266*INDEX(INDIRECT("'"&amp;$H$3&amp;"'!$H$43:$H$78"),MATCH(INDIRECT("'"&amp;$H$3&amp;"'!Q$200")&amp;"Average cost ($) per trip (one-way)",INDIRECT("'"&amp;$H$3&amp;"'!$F$43:$F$78"),0)),0)
+IFERROR((1-INDIRECT("'"&amp;$H$3&amp;"'!Q$227"))*Q$295*INDEX(INDIRECT("'"&amp;$H$3&amp;"'!$H$43:$H$78"),MATCH(INDIRECT("'"&amp;$H$3&amp;"'!Q$220")&amp;"Average cost ($) per trip (one-way)",INDIRECT("'"&amp;$H$3&amp;"'!$F$43:$F$78"),0)),0)
+IFERROR((1-INDIRECT("'"&amp;$H$3&amp;"'!Q$247"))*Q$324*INDEX(INDIRECT("'"&amp;$H$3&amp;"'!$H$43:$H$78"),MATCH(INDIRECT("'"&amp;$H$3&amp;"'!Q$240")&amp;"Average cost ($) per trip (one-way)",INDIRECT("'"&amp;$H$3&amp;"'!$F$43:$F$78"),0)),0)</f>
        <v>0</v>
      </c>
      <c r="R107" s="296"/>
      <c r="S107" s="361"/>
      <c r="T107" s="296">
        <f ca="1">IFERROR((1-INDIRECT("'"&amp;$H$3&amp;"'!T$207"))*T$266*INDEX(INDIRECT("'"&amp;$H$3&amp;"'!$H$43:$H$78"),MATCH(INDIRECT("'"&amp;$H$3&amp;"'!T$200")&amp;"Average cost ($) per trip (one-way)",INDIRECT("'"&amp;$H$3&amp;"'!$F$43:$F$78"),0)),0)
+IFERROR((1-INDIRECT("'"&amp;$H$3&amp;"'!T$227"))*T$295*INDEX(INDIRECT("'"&amp;$H$3&amp;"'!$H$43:$H$78"),MATCH(INDIRECT("'"&amp;$H$3&amp;"'!T$220")&amp;"Average cost ($) per trip (one-way)",INDIRECT("'"&amp;$H$3&amp;"'!$F$43:$F$78"),0)),0)
+IFERROR((1-INDIRECT("'"&amp;$H$3&amp;"'!T$247"))*T$324*INDEX(INDIRECT("'"&amp;$H$3&amp;"'!$H$43:$H$78"),MATCH(INDIRECT("'"&amp;$H$3&amp;"'!T$240")&amp;"Average cost ($) per trip (one-way)",INDIRECT("'"&amp;$H$3&amp;"'!$F$43:$F$78"),0)),0)</f>
        <v>0</v>
      </c>
      <c r="U107" s="361"/>
      <c r="V107" s="361"/>
      <c r="W107" s="1438">
        <f ca="1">IFERROR((1-INDIRECT("'"&amp;$H$3&amp;"'!W$207"))*W$266*INDEX(INDIRECT("'"&amp;$H$3&amp;"'!$H$43:$H$78"),MATCH(INDIRECT("'"&amp;$H$3&amp;"'!W$200")&amp;"Average cost ($) per trip (one-way)",INDIRECT("'"&amp;$H$3&amp;"'!$F$43:$F$78"),0)),0)
+IFERROR((1-INDIRECT("'"&amp;$H$3&amp;"'!W$227"))*W$295*INDEX(INDIRECT("'"&amp;$H$3&amp;"'!$H$43:$H$78"),MATCH(INDIRECT("'"&amp;$H$3&amp;"'!W$220")&amp;"Average cost ($) per trip (one-way)",INDIRECT("'"&amp;$H$3&amp;"'!$F$43:$F$78"),0)),0)
+IFERROR((1-INDIRECT("'"&amp;$H$3&amp;"'!W$247"))*W$324*INDEX(INDIRECT("'"&amp;$H$3&amp;"'!$H$43:$H$78"),MATCH(INDIRECT("'"&amp;$H$3&amp;"'!W$240")&amp;"Average cost ($) per trip (one-way)",INDIRECT("'"&amp;$H$3&amp;"'!$F$43:$F$78"),0)),0)</f>
        <v>0</v>
      </c>
      <c r="Y107" s="347">
        <f t="shared" ca="1" si="10"/>
        <v>0</v>
      </c>
    </row>
    <row r="108" spans="6:38">
      <c r="F108" s="352" t="s">
        <v>2443</v>
      </c>
      <c r="G108" s="352"/>
      <c r="H108" s="362"/>
      <c r="I108" s="362"/>
      <c r="J108" s="362"/>
      <c r="K108" s="362"/>
      <c r="L108" s="362"/>
      <c r="M108" s="362"/>
      <c r="N108" s="362"/>
      <c r="O108" s="362"/>
      <c r="P108" s="362"/>
      <c r="Q108" s="362"/>
      <c r="R108" s="354"/>
      <c r="S108" s="355"/>
      <c r="T108" s="362"/>
      <c r="U108" s="355"/>
      <c r="V108" s="355"/>
      <c r="W108" s="384"/>
      <c r="X108" s="1463"/>
      <c r="Y108" s="355">
        <f ca="1">SUM(Y109:Y117)</f>
        <v>243477.04443881859</v>
      </c>
    </row>
    <row r="109" spans="6:38">
      <c r="F109" s="298"/>
      <c r="G109" s="298" t="s">
        <v>48</v>
      </c>
      <c r="H109" s="300">
        <f ca="1">IFERROR((1-INDIRECT("'"&amp;$H$3&amp;"'!H$142"))*IF(INDIRECT("'"&amp;$H$3&amp;"'!H$137")='List Values'!$E$5,INDIRECT("'"&amp;$H$3&amp;"'!H$139")*IF(INDIRECT("'"&amp;$H$3&amp;"'!H$138")='List Values'!$F$3,H$169,IF(INDIRECT("'"&amp;$H$3&amp;"'!H$138")='List Values'!$F$4,'4_Outputs'!H$52*INDIRECT("'"&amp;$H$3&amp;"'!H$95")*INDIRECT("'"&amp;$H$3&amp;"'!H$135"),IF(INDIRECT("'"&amp;$H$3&amp;"'!H$138")='List Values'!$F$5,H$171,IF(INDIRECT("'"&amp;$H$3&amp;"'!H$138")='List Values'!$F$6,INDIRECT("'"&amp;$H$3&amp;"'!H$95")*INDIRECT("'"&amp;$H$3&amp;"'!H$135"),IF(INDIRECT("'"&amp;$H$3&amp;"'!H$138")='List Values'!$F$7,1,0))))),0),0)
+IFERROR((1-INDIRECT("'"&amp;$H$3&amp;"'!H$162"))*IF(INDIRECT("'"&amp;$H$3&amp;"'!H$157")='List Values'!$E$5,INDIRECT("'"&amp;$H$3&amp;"'!H$159")*IF(INDIRECT("'"&amp;$H$3&amp;"'!H$158")='List Values'!$F$3,H$207,IF(INDIRECT("'"&amp;$H$3&amp;"'!H$158")='List Values'!$F$4,'4_Outputs'!H$52*INDIRECT("'"&amp;$H$3&amp;"'!H$95")*INDIRECT("'"&amp;$H$3&amp;"'!H$155"),IF(INDIRECT("'"&amp;$H$3&amp;"'!H$158")='List Values'!$F$5,H$209,IF(INDIRECT("'"&amp;$H$3&amp;"'!H$158")='List Values'!$F$6,INDIRECT("'"&amp;$H$3&amp;"'!H$95")*INDIRECT("'"&amp;$H$3&amp;"'!H$155"),IF(INDIRECT("'"&amp;$H$3&amp;"'!H$158")='List Values'!$F$7,1,0))))),0),0)
+IFERROR((1-INDIRECT("'"&amp;$H$3&amp;"'!H$182"))*IF(INDIRECT("'"&amp;$H$3&amp;"'!H$177")='List Values'!$E$5,INDIRECT("'"&amp;$H$3&amp;"'!H$179")*IF(INDIRECT("'"&amp;$H$3&amp;"'!H$178")='List Values'!$F$3,H$245,IF(INDIRECT("'"&amp;$H$3&amp;"'!H$178")='List Values'!$F$4,'4_Outputs'!H$52*INDIRECT("'"&amp;$H$3&amp;"'!H$95")*INDIRECT("'"&amp;$H$3&amp;"'!H$175"),IF(INDIRECT("'"&amp;$H$3&amp;"'!H$178")='List Values'!$F$5,H$247,IF(INDIRECT("'"&amp;$H$3&amp;"'!H$178")='List Values'!$F$6,INDIRECT("'"&amp;$H$3&amp;"'!H$95")*INDIRECT("'"&amp;$H$3&amp;"'!H$175"),IF(INDIRECT("'"&amp;$H$3&amp;"'!H$178")='List Values'!$F$7,1,0))))),0),0)</f>
        <v>0</v>
      </c>
      <c r="I109" s="300"/>
      <c r="J109" s="300"/>
      <c r="K109" s="300">
        <f ca="1">IFERROR((1-INDIRECT("'"&amp;$H$3&amp;"'!K$142"))*IF(INDIRECT("'"&amp;$H$3&amp;"'!K$137")='List Values'!$E$5,INDIRECT("'"&amp;$H$3&amp;"'!K$139")*IF(INDIRECT("'"&amp;$H$3&amp;"'!K$138")='List Values'!$F$3,K$169,IF(INDIRECT("'"&amp;$H$3&amp;"'!K$138")='List Values'!$F$4,'4_Outputs'!K$52*INDIRECT("'"&amp;$H$3&amp;"'!K$95")*INDIRECT("'"&amp;$H$3&amp;"'!K$135"),IF(INDIRECT("'"&amp;$H$3&amp;"'!K$138")='List Values'!$F$5,K$171,IF(INDIRECT("'"&amp;$H$3&amp;"'!K$138")='List Values'!$F$6,INDIRECT("'"&amp;$H$3&amp;"'!K$95")*INDIRECT("'"&amp;$H$3&amp;"'!K$135"),IF(INDIRECT("'"&amp;$H$3&amp;"'!K$138")='List Values'!$F$7,1,0))))),0),0)
+IFERROR((1-INDIRECT("'"&amp;$H$3&amp;"'!K$162"))*IF(INDIRECT("'"&amp;$H$3&amp;"'!K$157")='List Values'!$E$5,INDIRECT("'"&amp;$H$3&amp;"'!K$159")*IF(INDIRECT("'"&amp;$H$3&amp;"'!K$158")='List Values'!$F$3,K$207,IF(INDIRECT("'"&amp;$H$3&amp;"'!K$158")='List Values'!$F$4,'4_Outputs'!K$52*INDIRECT("'"&amp;$H$3&amp;"'!K$95")*INDIRECT("'"&amp;$H$3&amp;"'!K$155"),IF(INDIRECT("'"&amp;$H$3&amp;"'!K$158")='List Values'!$F$5,K$209,IF(INDIRECT("'"&amp;$H$3&amp;"'!K$158")='List Values'!$F$6,INDIRECT("'"&amp;$H$3&amp;"'!K$95")*INDIRECT("'"&amp;$H$3&amp;"'!K$155"),IF(INDIRECT("'"&amp;$H$3&amp;"'!K$158")='List Values'!$F$7,1,0))))),0),0)
+IFERROR((1-INDIRECT("'"&amp;$H$3&amp;"'!K$182"))*IF(INDIRECT("'"&amp;$H$3&amp;"'!K$177")='List Values'!$E$5,INDIRECT("'"&amp;$H$3&amp;"'!K$179")*IF(INDIRECT("'"&amp;$H$3&amp;"'!K$178")='List Values'!$F$3,K$245,IF(INDIRECT("'"&amp;$H$3&amp;"'!K$178")='List Values'!$F$4,'4_Outputs'!K$52*INDIRECT("'"&amp;$H$3&amp;"'!K$95")*INDIRECT("'"&amp;$H$3&amp;"'!K$175"),IF(INDIRECT("'"&amp;$H$3&amp;"'!K$178")='List Values'!$F$5,K$247,IF(INDIRECT("'"&amp;$H$3&amp;"'!K$178")='List Values'!$F$6,INDIRECT("'"&amp;$H$3&amp;"'!K$95")*INDIRECT("'"&amp;$H$3&amp;"'!K$175"),IF(INDIRECT("'"&amp;$H$3&amp;"'!K$178")='List Values'!$F$7,1,0))))),0),0)</f>
        <v>0</v>
      </c>
      <c r="L109" s="300"/>
      <c r="M109" s="300"/>
      <c r="N109" s="300">
        <f ca="1">IFERROR((1-INDIRECT("'"&amp;$H$3&amp;"'!N$142"))*IF(INDIRECT("'"&amp;$H$3&amp;"'!N$137")='List Values'!$E$5,INDIRECT("'"&amp;$H$3&amp;"'!N$139")*IF(INDIRECT("'"&amp;$H$3&amp;"'!N$138")='List Values'!$F$3,N$169,IF(INDIRECT("'"&amp;$H$3&amp;"'!N$138")='List Values'!$F$4,'4_Outputs'!N$52*INDIRECT("'"&amp;$H$3&amp;"'!N$95")*INDIRECT("'"&amp;$H$3&amp;"'!N$135"),IF(INDIRECT("'"&amp;$H$3&amp;"'!N$138")='List Values'!$F$5,N$171,IF(INDIRECT("'"&amp;$H$3&amp;"'!N$138")='List Values'!$F$6,INDIRECT("'"&amp;$H$3&amp;"'!N$95")*INDIRECT("'"&amp;$H$3&amp;"'!N$135"),IF(INDIRECT("'"&amp;$H$3&amp;"'!N$138")='List Values'!$F$7,1,0))))),0),0)
+IFERROR((1-INDIRECT("'"&amp;$H$3&amp;"'!N$162"))*IF(INDIRECT("'"&amp;$H$3&amp;"'!N$157")='List Values'!$E$5,INDIRECT("'"&amp;$H$3&amp;"'!N$159")*IF(INDIRECT("'"&amp;$H$3&amp;"'!N$158")='List Values'!$F$3,N$207,IF(INDIRECT("'"&amp;$H$3&amp;"'!N$158")='List Values'!$F$4,'4_Outputs'!N$52*INDIRECT("'"&amp;$H$3&amp;"'!N$95")*INDIRECT("'"&amp;$H$3&amp;"'!N$155"),IF(INDIRECT("'"&amp;$H$3&amp;"'!N$158")='List Values'!$F$5,N$209,IF(INDIRECT("'"&amp;$H$3&amp;"'!N$158")='List Values'!$F$6,INDIRECT("'"&amp;$H$3&amp;"'!N$95")*INDIRECT("'"&amp;$H$3&amp;"'!N$155"),IF(INDIRECT("'"&amp;$H$3&amp;"'!N$158")='List Values'!$F$7,1,0))))),0),0)
+IFERROR((1-INDIRECT("'"&amp;$H$3&amp;"'!N$182"))*IF(INDIRECT("'"&amp;$H$3&amp;"'!N$177")='List Values'!$E$5,INDIRECT("'"&amp;$H$3&amp;"'!N$179")*IF(INDIRECT("'"&amp;$H$3&amp;"'!N$178")='List Values'!$F$3,N$245,IF(INDIRECT("'"&amp;$H$3&amp;"'!N$178")='List Values'!$F$4,'4_Outputs'!N$52*INDIRECT("'"&amp;$H$3&amp;"'!N$95")*INDIRECT("'"&amp;$H$3&amp;"'!N$175"),IF(INDIRECT("'"&amp;$H$3&amp;"'!N$178")='List Values'!$F$5,N$247,IF(INDIRECT("'"&amp;$H$3&amp;"'!N$178")='List Values'!$F$6,INDIRECT("'"&amp;$H$3&amp;"'!N$95")*INDIRECT("'"&amp;$H$3&amp;"'!N$175"),IF(INDIRECT("'"&amp;$H$3&amp;"'!N$178")='List Values'!$F$7,1,0))))),0),0)</f>
        <v>0</v>
      </c>
      <c r="O109" s="300"/>
      <c r="P109" s="300"/>
      <c r="Q109" s="300">
        <f ca="1">IFERROR((1-INDIRECT("'"&amp;$H$3&amp;"'!Q$142"))*IF(INDIRECT("'"&amp;$H$3&amp;"'!Q$137")='List Values'!$E$5,INDIRECT("'"&amp;$H$3&amp;"'!Q$139")*IF(INDIRECT("'"&amp;$H$3&amp;"'!Q$138")='List Values'!$F$3,Q$169,IF(INDIRECT("'"&amp;$H$3&amp;"'!Q$138")='List Values'!$F$4,'4_Outputs'!Q$52*INDIRECT("'"&amp;$H$3&amp;"'!Q$95")*INDIRECT("'"&amp;$H$3&amp;"'!Q$135"),IF(INDIRECT("'"&amp;$H$3&amp;"'!Q$138")='List Values'!$F$5,Q$171,IF(INDIRECT("'"&amp;$H$3&amp;"'!Q$138")='List Values'!$F$6,INDIRECT("'"&amp;$H$3&amp;"'!Q$95")*INDIRECT("'"&amp;$H$3&amp;"'!Q$135"),IF(INDIRECT("'"&amp;$H$3&amp;"'!Q$138")='List Values'!$F$7,1,0))))),0),0)
+IFERROR((1-INDIRECT("'"&amp;$H$3&amp;"'!Q$162"))*IF(INDIRECT("'"&amp;$H$3&amp;"'!Q$157")='List Values'!$E$5,INDIRECT("'"&amp;$H$3&amp;"'!Q$159")*IF(INDIRECT("'"&amp;$H$3&amp;"'!Q$158")='List Values'!$F$3,Q$207,IF(INDIRECT("'"&amp;$H$3&amp;"'!Q$158")='List Values'!$F$4,'4_Outputs'!Q$52*INDIRECT("'"&amp;$H$3&amp;"'!Q$95")*INDIRECT("'"&amp;$H$3&amp;"'!Q$155"),IF(INDIRECT("'"&amp;$H$3&amp;"'!Q$158")='List Values'!$F$5,Q$209,IF(INDIRECT("'"&amp;$H$3&amp;"'!Q$158")='List Values'!$F$6,INDIRECT("'"&amp;$H$3&amp;"'!Q$95")*INDIRECT("'"&amp;$H$3&amp;"'!Q$155"),IF(INDIRECT("'"&amp;$H$3&amp;"'!Q$158")='List Values'!$F$7,1,0))))),0),0)
+IFERROR((1-INDIRECT("'"&amp;$H$3&amp;"'!Q$182"))*IF(INDIRECT("'"&amp;$H$3&amp;"'!Q$177")='List Values'!$E$5,INDIRECT("'"&amp;$H$3&amp;"'!Q$179")*IF(INDIRECT("'"&amp;$H$3&amp;"'!Q$178")='List Values'!$F$3,Q$245,IF(INDIRECT("'"&amp;$H$3&amp;"'!Q$178")='List Values'!$F$4,'4_Outputs'!Q$52*INDIRECT("'"&amp;$H$3&amp;"'!Q$95")*INDIRECT("'"&amp;$H$3&amp;"'!Q$175"),IF(INDIRECT("'"&amp;$H$3&amp;"'!Q$178")='List Values'!$F$5,Q$247,IF(INDIRECT("'"&amp;$H$3&amp;"'!Q$178")='List Values'!$F$6,INDIRECT("'"&amp;$H$3&amp;"'!Q$95")*INDIRECT("'"&amp;$H$3&amp;"'!Q$175"),IF(INDIRECT("'"&amp;$H$3&amp;"'!Q$178")='List Values'!$F$7,1,0))))),0),0)</f>
        <v>0</v>
      </c>
      <c r="R109" s="300"/>
      <c r="S109" s="337"/>
      <c r="T109" s="300">
        <f ca="1">IFERROR((1-INDIRECT("'"&amp;$H$3&amp;"'!T$142"))*IF(INDIRECT("'"&amp;$H$3&amp;"'!T$137")='List Values'!$E$5,INDIRECT("'"&amp;$H$3&amp;"'!T$139")*IF(INDIRECT("'"&amp;$H$3&amp;"'!T$138")='List Values'!$F$3,T$169,IF(INDIRECT("'"&amp;$H$3&amp;"'!T$138")='List Values'!$F$4,'4_Outputs'!T$52*INDIRECT("'"&amp;$H$3&amp;"'!T$95")*INDIRECT("'"&amp;$H$3&amp;"'!T$135"),IF(INDIRECT("'"&amp;$H$3&amp;"'!T$138")='List Values'!$F$5,T$171,IF(INDIRECT("'"&amp;$H$3&amp;"'!T$138")='List Values'!$F$6,INDIRECT("'"&amp;$H$3&amp;"'!T$95")*INDIRECT("'"&amp;$H$3&amp;"'!T$135"),IF(INDIRECT("'"&amp;$H$3&amp;"'!T$138")='List Values'!$F$7,1,0))))),0),0)
+IFERROR((1-INDIRECT("'"&amp;$H$3&amp;"'!T$162"))*IF(INDIRECT("'"&amp;$H$3&amp;"'!T$157")='List Values'!$E$5,INDIRECT("'"&amp;$H$3&amp;"'!T$159")*IF(INDIRECT("'"&amp;$H$3&amp;"'!T$158")='List Values'!$F$3,T$207,IF(INDIRECT("'"&amp;$H$3&amp;"'!T$158")='List Values'!$F$4,'4_Outputs'!T$52*INDIRECT("'"&amp;$H$3&amp;"'!T$95")*INDIRECT("'"&amp;$H$3&amp;"'!T$155"),IF(INDIRECT("'"&amp;$H$3&amp;"'!T$158")='List Values'!$F$5,T$209,IF(INDIRECT("'"&amp;$H$3&amp;"'!T$158")='List Values'!$F$6,INDIRECT("'"&amp;$H$3&amp;"'!T$95")*INDIRECT("'"&amp;$H$3&amp;"'!T$155"),IF(INDIRECT("'"&amp;$H$3&amp;"'!T$158")='List Values'!$F$7,1,0))))),0),0)
+IFERROR((1-INDIRECT("'"&amp;$H$3&amp;"'!T$182"))*IF(INDIRECT("'"&amp;$H$3&amp;"'!T$177")='List Values'!$E$5,INDIRECT("'"&amp;$H$3&amp;"'!T$179")*IF(INDIRECT("'"&amp;$H$3&amp;"'!T$178")='List Values'!$F$3,T$245,IF(INDIRECT("'"&amp;$H$3&amp;"'!T$178")='List Values'!$F$4,'4_Outputs'!T$52*INDIRECT("'"&amp;$H$3&amp;"'!T$95")*INDIRECT("'"&amp;$H$3&amp;"'!T$175"),IF(INDIRECT("'"&amp;$H$3&amp;"'!T$178")='List Values'!$F$5,T$247,IF(INDIRECT("'"&amp;$H$3&amp;"'!T$178")='List Values'!$F$6,INDIRECT("'"&amp;$H$3&amp;"'!T$95")*INDIRECT("'"&amp;$H$3&amp;"'!T$175"),IF(INDIRECT("'"&amp;$H$3&amp;"'!T$178")='List Values'!$F$7,1,0))))),0),0)</f>
        <v>0</v>
      </c>
      <c r="U109" s="337"/>
      <c r="V109" s="337"/>
      <c r="W109" s="1437">
        <f ca="1">IFERROR((1-INDIRECT("'"&amp;$H$3&amp;"'!W$142"))*IF(INDIRECT("'"&amp;$H$3&amp;"'!W$137")='List Values'!$E$5,INDIRECT("'"&amp;$H$3&amp;"'!W$139")*IF(INDIRECT("'"&amp;$H$3&amp;"'!W$138")='List Values'!$F$3,W$169,IF(INDIRECT("'"&amp;$H$3&amp;"'!W$138")='List Values'!$F$4,'4_Outputs'!W$52*INDIRECT("'"&amp;$H$3&amp;"'!W$95")*INDIRECT("'"&amp;$H$3&amp;"'!W$135"),IF(INDIRECT("'"&amp;$H$3&amp;"'!W$138")='List Values'!$F$5,W$171,IF(INDIRECT("'"&amp;$H$3&amp;"'!W$138")='List Values'!$F$6,INDIRECT("'"&amp;$H$3&amp;"'!W$95")*INDIRECT("'"&amp;$H$3&amp;"'!W$135"),IF(INDIRECT("'"&amp;$H$3&amp;"'!W$138")='List Values'!$F$7,1,0))))),0),0)
+IFERROR((1-INDIRECT("'"&amp;$H$3&amp;"'!W$162"))*IF(INDIRECT("'"&amp;$H$3&amp;"'!W$157")='List Values'!$E$5,INDIRECT("'"&amp;$H$3&amp;"'!W$159")*IF(INDIRECT("'"&amp;$H$3&amp;"'!W$158")='List Values'!$F$3,W$207,IF(INDIRECT("'"&amp;$H$3&amp;"'!W$158")='List Values'!$F$4,'4_Outputs'!W$52*INDIRECT("'"&amp;$H$3&amp;"'!W$95")*INDIRECT("'"&amp;$H$3&amp;"'!W$155"),IF(INDIRECT("'"&amp;$H$3&amp;"'!W$158")='List Values'!$F$5,W$209,IF(INDIRECT("'"&amp;$H$3&amp;"'!W$158")='List Values'!$F$6,INDIRECT("'"&amp;$H$3&amp;"'!W$95")*INDIRECT("'"&amp;$H$3&amp;"'!W$155"),IF(INDIRECT("'"&amp;$H$3&amp;"'!W$158")='List Values'!$F$7,1,0))))),0),0)
+IFERROR((1-INDIRECT("'"&amp;$H$3&amp;"'!W$182"))*IF(INDIRECT("'"&amp;$H$3&amp;"'!W$177")='List Values'!$E$5,INDIRECT("'"&amp;$H$3&amp;"'!W$179")*IF(INDIRECT("'"&amp;$H$3&amp;"'!W$178")='List Values'!$F$3,W$245,IF(INDIRECT("'"&amp;$H$3&amp;"'!W$178")='List Values'!$F$4,'4_Outputs'!W$52*INDIRECT("'"&amp;$H$3&amp;"'!W$95")*INDIRECT("'"&amp;$H$3&amp;"'!W$175"),IF(INDIRECT("'"&amp;$H$3&amp;"'!W$178")='List Values'!$F$5,W$247,IF(INDIRECT("'"&amp;$H$3&amp;"'!W$178")='List Values'!$F$6,INDIRECT("'"&amp;$H$3&amp;"'!W$95")*INDIRECT("'"&amp;$H$3&amp;"'!W$175"),IF(INDIRECT("'"&amp;$H$3&amp;"'!W$178")='List Values'!$F$7,1,0))))),0),0)</f>
        <v>0</v>
      </c>
      <c r="Y109" s="341">
        <f ca="1">SUM(H109:W109)</f>
        <v>0</v>
      </c>
    </row>
    <row r="110" spans="6:38">
      <c r="F110" s="288"/>
      <c r="G110" s="298" t="s">
        <v>226</v>
      </c>
      <c r="H110" s="300">
        <f ca="1">IFERROR((1-INDIRECT("'"&amp;$H$3&amp;"'!H$142"))*IF(INDIRECT("'"&amp;$H$3&amp;"'!H$137")='List Values'!$E$4,INDIRECT("'"&amp;$H$3&amp;"'!H$139")*IF(INDIRECT("'"&amp;$H$3&amp;"'!H$138")='List Values'!$F$3,H$169,IF(INDIRECT("'"&amp;$H$3&amp;"'!H$138")='List Values'!$F$4,'4_Outputs'!H$52*INDIRECT("'"&amp;$H$3&amp;"'!H$95")*INDIRECT("'"&amp;$H$3&amp;"'!H$135"),IF(INDIRECT("'"&amp;$H$3&amp;"'!H$138")='List Values'!$F$5,H$171,IF(INDIRECT("'"&amp;$H$3&amp;"'!H$138")='List Values'!$F$6,INDIRECT("'"&amp;$H$3&amp;"'!H$95")*INDIRECT("'"&amp;$H$3&amp;"'!H$135"),IF(INDIRECT("'"&amp;$H$3&amp;"'!H$138")='List Values'!$F$7,1,0))))),0),0)
+IFERROR((1-INDIRECT("'"&amp;$H$3&amp;"'!H$162"))*IF(INDIRECT("'"&amp;$H$3&amp;"'!H$157")='List Values'!$E$4,INDIRECT("'"&amp;$H$3&amp;"'!H$159")*IF(INDIRECT("'"&amp;$H$3&amp;"'!H$158")='List Values'!$F$3,H$207,IF(INDIRECT("'"&amp;$H$3&amp;"'!H$158")='List Values'!$F$4,'4_Outputs'!H$52*INDIRECT("'"&amp;$H$3&amp;"'!H$95")*INDIRECT("'"&amp;$H$3&amp;"'!H$155"),IF(INDIRECT("'"&amp;$H$3&amp;"'!H$158")='List Values'!$F$5,H$209,IF(INDIRECT("'"&amp;$H$3&amp;"'!H$158")='List Values'!$F$6,INDIRECT("'"&amp;$H$3&amp;"'!H$95")*INDIRECT("'"&amp;$H$3&amp;"'!H$155"),IF(INDIRECT("'"&amp;$H$3&amp;"'!H$158")='List Values'!$F$7,1,0))))),0),0)
+IFERROR((1-INDIRECT("'"&amp;$H$3&amp;"'!H$182"))*IF(INDIRECT("'"&amp;$H$3&amp;"'!H$177")='List Values'!$E$4,INDIRECT("'"&amp;$H$3&amp;"'!H$179")*IF(INDIRECT("'"&amp;$H$3&amp;"'!H$178")='List Values'!$F$3,H$245,IF(INDIRECT("'"&amp;$H$3&amp;"'!H$178")='List Values'!$F$4,'4_Outputs'!H$52*INDIRECT("'"&amp;$H$3&amp;"'!H$95")*INDIRECT("'"&amp;$H$3&amp;"'!H$175"),IF(INDIRECT("'"&amp;$H$3&amp;"'!H$178")='List Values'!$F$5,H$247,IF(INDIRECT("'"&amp;$H$3&amp;"'!H$178")='List Values'!$F$6,INDIRECT("'"&amp;$H$3&amp;"'!H$95")*INDIRECT("'"&amp;$H$3&amp;"'!H$175"),IF(INDIRECT("'"&amp;$H$3&amp;"'!H$178")='List Values'!$F$7,1,0))))),0),0)</f>
        <v>0</v>
      </c>
      <c r="I110" s="300"/>
      <c r="J110" s="300"/>
      <c r="K110" s="300">
        <f ca="1">IFERROR((1-INDIRECT("'"&amp;$H$3&amp;"'!K$142"))*IF(INDIRECT("'"&amp;$H$3&amp;"'!K$137")='List Values'!$E$4,INDIRECT("'"&amp;$H$3&amp;"'!K$139")*IF(INDIRECT("'"&amp;$H$3&amp;"'!K$138")='List Values'!$F$3,K$169,IF(INDIRECT("'"&amp;$H$3&amp;"'!K$138")='List Values'!$F$4,'4_Outputs'!K$52*INDIRECT("'"&amp;$H$3&amp;"'!K$95")*INDIRECT("'"&amp;$H$3&amp;"'!K$135"),IF(INDIRECT("'"&amp;$H$3&amp;"'!K$138")='List Values'!$F$5,K$171,IF(INDIRECT("'"&amp;$H$3&amp;"'!K$138")='List Values'!$F$6,INDIRECT("'"&amp;$H$3&amp;"'!K$95")*INDIRECT("'"&amp;$H$3&amp;"'!K$135"),IF(INDIRECT("'"&amp;$H$3&amp;"'!K$138")='List Values'!$F$7,1,0))))),0),0)
+IFERROR((1-INDIRECT("'"&amp;$H$3&amp;"'!K$162"))*IF(INDIRECT("'"&amp;$H$3&amp;"'!K$157")='List Values'!$E$4,INDIRECT("'"&amp;$H$3&amp;"'!K$159")*IF(INDIRECT("'"&amp;$H$3&amp;"'!K$158")='List Values'!$F$3,K$207,IF(INDIRECT("'"&amp;$H$3&amp;"'!K$158")='List Values'!$F$4,'4_Outputs'!K$52*INDIRECT("'"&amp;$H$3&amp;"'!K$95")*INDIRECT("'"&amp;$H$3&amp;"'!K$155"),IF(INDIRECT("'"&amp;$H$3&amp;"'!K$158")='List Values'!$F$5,K$209,IF(INDIRECT("'"&amp;$H$3&amp;"'!K$158")='List Values'!$F$6,INDIRECT("'"&amp;$H$3&amp;"'!K$95")*INDIRECT("'"&amp;$H$3&amp;"'!K$155"),IF(INDIRECT("'"&amp;$H$3&amp;"'!K$158")='List Values'!$F$7,1,0))))),0),0)
+IFERROR((1-INDIRECT("'"&amp;$H$3&amp;"'!K$182"))*IF(INDIRECT("'"&amp;$H$3&amp;"'!K$177")='List Values'!$E$4,INDIRECT("'"&amp;$H$3&amp;"'!K$179")*IF(INDIRECT("'"&amp;$H$3&amp;"'!K$178")='List Values'!$F$3,K$245,IF(INDIRECT("'"&amp;$H$3&amp;"'!K$178")='List Values'!$F$4,'4_Outputs'!K$52*INDIRECT("'"&amp;$H$3&amp;"'!K$95")*INDIRECT("'"&amp;$H$3&amp;"'!K$175"),IF(INDIRECT("'"&amp;$H$3&amp;"'!K$178")='List Values'!$F$5,K$247,IF(INDIRECT("'"&amp;$H$3&amp;"'!K$178")='List Values'!$F$6,INDIRECT("'"&amp;$H$3&amp;"'!K$95")*INDIRECT("'"&amp;$H$3&amp;"'!K$175"),IF(INDIRECT("'"&amp;$H$3&amp;"'!K$178")='List Values'!$F$7,1,0))))),0),0)</f>
        <v>0</v>
      </c>
      <c r="L110" s="300"/>
      <c r="M110" s="300"/>
      <c r="N110" s="300">
        <f ca="1">IFERROR((1-INDIRECT("'"&amp;$H$3&amp;"'!N$142"))*IF(INDIRECT("'"&amp;$H$3&amp;"'!N$137")='List Values'!$E$4,INDIRECT("'"&amp;$H$3&amp;"'!N$139")*IF(INDIRECT("'"&amp;$H$3&amp;"'!N$138")='List Values'!$F$3,N$169,IF(INDIRECT("'"&amp;$H$3&amp;"'!N$138")='List Values'!$F$4,'4_Outputs'!N$52*INDIRECT("'"&amp;$H$3&amp;"'!N$95")*INDIRECT("'"&amp;$H$3&amp;"'!N$135"),IF(INDIRECT("'"&amp;$H$3&amp;"'!N$138")='List Values'!$F$5,N$171,IF(INDIRECT("'"&amp;$H$3&amp;"'!N$138")='List Values'!$F$6,INDIRECT("'"&amp;$H$3&amp;"'!N$95")*INDIRECT("'"&amp;$H$3&amp;"'!N$135"),IF(INDIRECT("'"&amp;$H$3&amp;"'!N$138")='List Values'!$F$7,1,0))))),0),0)
+IFERROR((1-INDIRECT("'"&amp;$H$3&amp;"'!N$162"))*IF(INDIRECT("'"&amp;$H$3&amp;"'!N$157")='List Values'!$E$4,INDIRECT("'"&amp;$H$3&amp;"'!N$159")*IF(INDIRECT("'"&amp;$H$3&amp;"'!N$158")='List Values'!$F$3,N$207,IF(INDIRECT("'"&amp;$H$3&amp;"'!N$158")='List Values'!$F$4,'4_Outputs'!N$52*INDIRECT("'"&amp;$H$3&amp;"'!N$95")*INDIRECT("'"&amp;$H$3&amp;"'!N$155"),IF(INDIRECT("'"&amp;$H$3&amp;"'!N$158")='List Values'!$F$5,N$209,IF(INDIRECT("'"&amp;$H$3&amp;"'!N$158")='List Values'!$F$6,INDIRECT("'"&amp;$H$3&amp;"'!N$95")*INDIRECT("'"&amp;$H$3&amp;"'!N$155"),IF(INDIRECT("'"&amp;$H$3&amp;"'!N$158")='List Values'!$F$7,1,0))))),0),0)
+IFERROR((1-INDIRECT("'"&amp;$H$3&amp;"'!N$182"))*IF(INDIRECT("'"&amp;$H$3&amp;"'!N$177")='List Values'!$E$4,INDIRECT("'"&amp;$H$3&amp;"'!N$179")*IF(INDIRECT("'"&amp;$H$3&amp;"'!N$178")='List Values'!$F$3,N$245,IF(INDIRECT("'"&amp;$H$3&amp;"'!N$178")='List Values'!$F$4,'4_Outputs'!N$52*INDIRECT("'"&amp;$H$3&amp;"'!N$95")*INDIRECT("'"&amp;$H$3&amp;"'!N$175"),IF(INDIRECT("'"&amp;$H$3&amp;"'!N$178")='List Values'!$F$5,N$247,IF(INDIRECT("'"&amp;$H$3&amp;"'!N$178")='List Values'!$F$6,INDIRECT("'"&amp;$H$3&amp;"'!N$95")*INDIRECT("'"&amp;$H$3&amp;"'!N$175"),IF(INDIRECT("'"&amp;$H$3&amp;"'!N$178")='List Values'!$F$7,1,0))))),0),0)</f>
        <v>0</v>
      </c>
      <c r="O110" s="300"/>
      <c r="P110" s="300"/>
      <c r="Q110" s="300">
        <f ca="1">IFERROR((1-INDIRECT("'"&amp;$H$3&amp;"'!Q$142"))*IF(INDIRECT("'"&amp;$H$3&amp;"'!Q$137")='List Values'!$E$4,INDIRECT("'"&amp;$H$3&amp;"'!Q$139")*IF(INDIRECT("'"&amp;$H$3&amp;"'!Q$138")='List Values'!$F$3,Q$169,IF(INDIRECT("'"&amp;$H$3&amp;"'!Q$138")='List Values'!$F$4,'4_Outputs'!Q$52*INDIRECT("'"&amp;$H$3&amp;"'!Q$95")*INDIRECT("'"&amp;$H$3&amp;"'!Q$135"),IF(INDIRECT("'"&amp;$H$3&amp;"'!Q$138")='List Values'!$F$5,Q$171,IF(INDIRECT("'"&amp;$H$3&amp;"'!Q$138")='List Values'!$F$6,INDIRECT("'"&amp;$H$3&amp;"'!Q$95")*INDIRECT("'"&amp;$H$3&amp;"'!Q$135"),IF(INDIRECT("'"&amp;$H$3&amp;"'!Q$138")='List Values'!$F$7,1,0))))),0),0)
+IFERROR((1-INDIRECT("'"&amp;$H$3&amp;"'!Q$162"))*IF(INDIRECT("'"&amp;$H$3&amp;"'!Q$157")='List Values'!$E$4,INDIRECT("'"&amp;$H$3&amp;"'!Q$159")*IF(INDIRECT("'"&amp;$H$3&amp;"'!Q$158")='List Values'!$F$3,Q$207,IF(INDIRECT("'"&amp;$H$3&amp;"'!Q$158")='List Values'!$F$4,'4_Outputs'!Q$52*INDIRECT("'"&amp;$H$3&amp;"'!Q$95")*INDIRECT("'"&amp;$H$3&amp;"'!Q$155"),IF(INDIRECT("'"&amp;$H$3&amp;"'!Q$158")='List Values'!$F$5,Q$209,IF(INDIRECT("'"&amp;$H$3&amp;"'!Q$158")='List Values'!$F$6,INDIRECT("'"&amp;$H$3&amp;"'!Q$95")*INDIRECT("'"&amp;$H$3&amp;"'!Q$155"),IF(INDIRECT("'"&amp;$H$3&amp;"'!Q$158")='List Values'!$F$7,1,0))))),0),0)
+IFERROR((1-INDIRECT("'"&amp;$H$3&amp;"'!Q$182"))*IF(INDIRECT("'"&amp;$H$3&amp;"'!Q$177")='List Values'!$E$4,INDIRECT("'"&amp;$H$3&amp;"'!Q$179")*IF(INDIRECT("'"&amp;$H$3&amp;"'!Q$178")='List Values'!$F$3,Q$245,IF(INDIRECT("'"&amp;$H$3&amp;"'!Q$178")='List Values'!$F$4,'4_Outputs'!Q$52*INDIRECT("'"&amp;$H$3&amp;"'!Q$95")*INDIRECT("'"&amp;$H$3&amp;"'!Q$175"),IF(INDIRECT("'"&amp;$H$3&amp;"'!Q$178")='List Values'!$F$5,Q$247,IF(INDIRECT("'"&amp;$H$3&amp;"'!Q$178")='List Values'!$F$6,INDIRECT("'"&amp;$H$3&amp;"'!Q$95")*INDIRECT("'"&amp;$H$3&amp;"'!Q$175"),IF(INDIRECT("'"&amp;$H$3&amp;"'!Q$178")='List Values'!$F$7,1,0))))),0),0)</f>
        <v>0</v>
      </c>
      <c r="R110" s="300"/>
      <c r="S110" s="337"/>
      <c r="T110" s="300">
        <f ca="1">IFERROR((1-INDIRECT("'"&amp;$H$3&amp;"'!T$142"))*IF(INDIRECT("'"&amp;$H$3&amp;"'!T$137")='List Values'!$E$4,INDIRECT("'"&amp;$H$3&amp;"'!T$139")*IF(INDIRECT("'"&amp;$H$3&amp;"'!T$138")='List Values'!$F$3,T$169,IF(INDIRECT("'"&amp;$H$3&amp;"'!T$138")='List Values'!$F$4,'4_Outputs'!T$52*INDIRECT("'"&amp;$H$3&amp;"'!T$95")*INDIRECT("'"&amp;$H$3&amp;"'!T$135"),IF(INDIRECT("'"&amp;$H$3&amp;"'!T$138")='List Values'!$F$5,T$171,IF(INDIRECT("'"&amp;$H$3&amp;"'!T$138")='List Values'!$F$6,INDIRECT("'"&amp;$H$3&amp;"'!T$95")*INDIRECT("'"&amp;$H$3&amp;"'!T$135"),IF(INDIRECT("'"&amp;$H$3&amp;"'!T$138")='List Values'!$F$7,1,0))))),0),0)
+IFERROR((1-INDIRECT("'"&amp;$H$3&amp;"'!T$162"))*IF(INDIRECT("'"&amp;$H$3&amp;"'!T$157")='List Values'!$E$4,INDIRECT("'"&amp;$H$3&amp;"'!T$159")*IF(INDIRECT("'"&amp;$H$3&amp;"'!T$158")='List Values'!$F$3,T$207,IF(INDIRECT("'"&amp;$H$3&amp;"'!T$158")='List Values'!$F$4,'4_Outputs'!T$52*INDIRECT("'"&amp;$H$3&amp;"'!T$95")*INDIRECT("'"&amp;$H$3&amp;"'!T$155"),IF(INDIRECT("'"&amp;$H$3&amp;"'!T$158")='List Values'!$F$5,T$209,IF(INDIRECT("'"&amp;$H$3&amp;"'!T$158")='List Values'!$F$6,INDIRECT("'"&amp;$H$3&amp;"'!T$95")*INDIRECT("'"&amp;$H$3&amp;"'!T$155"),IF(INDIRECT("'"&amp;$H$3&amp;"'!T$158")='List Values'!$F$7,1,0))))),0),0)
+IFERROR((1-INDIRECT("'"&amp;$H$3&amp;"'!T$182"))*IF(INDIRECT("'"&amp;$H$3&amp;"'!T$177")='List Values'!$E$4,INDIRECT("'"&amp;$H$3&amp;"'!T$179")*IF(INDIRECT("'"&amp;$H$3&amp;"'!T$178")='List Values'!$F$3,T$245,IF(INDIRECT("'"&amp;$H$3&amp;"'!T$178")='List Values'!$F$4,'4_Outputs'!T$52*INDIRECT("'"&amp;$H$3&amp;"'!T$95")*INDIRECT("'"&amp;$H$3&amp;"'!T$175"),IF(INDIRECT("'"&amp;$H$3&amp;"'!T$178")='List Values'!$F$5,T$247,IF(INDIRECT("'"&amp;$H$3&amp;"'!T$178")='List Values'!$F$6,INDIRECT("'"&amp;$H$3&amp;"'!T$95")*INDIRECT("'"&amp;$H$3&amp;"'!T$175"),IF(INDIRECT("'"&amp;$H$3&amp;"'!T$178")='List Values'!$F$7,1,0))))),0),0)</f>
        <v>0</v>
      </c>
      <c r="U110" s="337"/>
      <c r="V110" s="337"/>
      <c r="W110" s="1437">
        <f ca="1">IFERROR((1-INDIRECT("'"&amp;$H$3&amp;"'!W$142"))*IF(INDIRECT("'"&amp;$H$3&amp;"'!W$137")='List Values'!$E$4,INDIRECT("'"&amp;$H$3&amp;"'!W$139")*IF(INDIRECT("'"&amp;$H$3&amp;"'!W$138")='List Values'!$F$3,W$169,IF(INDIRECT("'"&amp;$H$3&amp;"'!W$138")='List Values'!$F$4,'4_Outputs'!W$52*INDIRECT("'"&amp;$H$3&amp;"'!W$95")*INDIRECT("'"&amp;$H$3&amp;"'!W$135"),IF(INDIRECT("'"&amp;$H$3&amp;"'!W$138")='List Values'!$F$5,W$171,IF(INDIRECT("'"&amp;$H$3&amp;"'!W$138")='List Values'!$F$6,INDIRECT("'"&amp;$H$3&amp;"'!W$95")*INDIRECT("'"&amp;$H$3&amp;"'!W$135"),IF(INDIRECT("'"&amp;$H$3&amp;"'!W$138")='List Values'!$F$7,1,0))))),0),0)
+IFERROR((1-INDIRECT("'"&amp;$H$3&amp;"'!W$162"))*IF(INDIRECT("'"&amp;$H$3&amp;"'!W$157")='List Values'!$E$4,INDIRECT("'"&amp;$H$3&amp;"'!W$159")*IF(INDIRECT("'"&amp;$H$3&amp;"'!W$158")='List Values'!$F$3,W$207,IF(INDIRECT("'"&amp;$H$3&amp;"'!W$158")='List Values'!$F$4,'4_Outputs'!W$52*INDIRECT("'"&amp;$H$3&amp;"'!W$95")*INDIRECT("'"&amp;$H$3&amp;"'!W$155"),IF(INDIRECT("'"&amp;$H$3&amp;"'!W$158")='List Values'!$F$5,W$209,IF(INDIRECT("'"&amp;$H$3&amp;"'!W$158")='List Values'!$F$6,INDIRECT("'"&amp;$H$3&amp;"'!W$95")*INDIRECT("'"&amp;$H$3&amp;"'!W$155"),IF(INDIRECT("'"&amp;$H$3&amp;"'!W$158")='List Values'!$F$7,1,0))))),0),0)
+IFERROR((1-INDIRECT("'"&amp;$H$3&amp;"'!W$182"))*IF(INDIRECT("'"&amp;$H$3&amp;"'!W$177")='List Values'!$E$4,INDIRECT("'"&amp;$H$3&amp;"'!W$179")*IF(INDIRECT("'"&amp;$H$3&amp;"'!W$178")='List Values'!$F$3,W$245,IF(INDIRECT("'"&amp;$H$3&amp;"'!W$178")='List Values'!$F$4,'4_Outputs'!W$52*INDIRECT("'"&amp;$H$3&amp;"'!W$95")*INDIRECT("'"&amp;$H$3&amp;"'!W$175"),IF(INDIRECT("'"&amp;$H$3&amp;"'!W$178")='List Values'!$F$5,W$247,IF(INDIRECT("'"&amp;$H$3&amp;"'!W$178")='List Values'!$F$6,INDIRECT("'"&amp;$H$3&amp;"'!W$95")*INDIRECT("'"&amp;$H$3&amp;"'!W$175"),IF(INDIRECT("'"&amp;$H$3&amp;"'!W$178")='List Values'!$F$7,1,0))))),0),0)</f>
        <v>0</v>
      </c>
      <c r="Y110" s="341">
        <f t="shared" ref="Y110:Y117" ca="1" si="11">SUM(H110:W110)</f>
        <v>0</v>
      </c>
    </row>
    <row r="111" spans="6:38">
      <c r="F111" s="298"/>
      <c r="G111" s="298" t="s">
        <v>89</v>
      </c>
      <c r="H111" s="300">
        <f ca="1">(IFERROR(1-INDIRECT("'"&amp;$H$3&amp;"'!H$142"),0))*(H$155+H$171)*INDIRECT("'"&amp;$H$3&amp;"'!$H$10")*(IFERROR(INDEX(INDIRECT("'"&amp;$H$3&amp;"'!$H$28:$H$38"),MATCH(INDIRECT("'"&amp;$H$3&amp;"'!H$145"),INDIRECT("'"&amp;$H$3&amp;"'!$B$28:$B$38"),0)),0)+IFERROR(INDIRECT("'"&amp;$H$3&amp;"'!H$146")*INDEX(INDIRECT("'"&amp;$H$3&amp;"'!$H$28:$H$38"),MATCH(INDIRECT("'"&amp;$H$3&amp;"'!H$147"),INDIRECT("'"&amp;$H$3&amp;"'!$B$28:$B$38"),0)),0))
+(IFERROR(1-INDIRECT("'"&amp;$H$3&amp;"'!H$162"),0))*(H$193+H$209)*INDIRECT("'"&amp;$H$3&amp;"'!$H$10")*(IFERROR(INDEX(INDIRECT("'"&amp;$H$3&amp;"'!$H$28:$H$38"),MATCH(INDIRECT("'"&amp;$H$3&amp;"'!H$165"),INDIRECT("'"&amp;$H$3&amp;"'!$B$28:$B$38"),0)),0)+IFERROR(INDIRECT("'"&amp;$H$3&amp;"'!H$166")*INDEX(INDIRECT("'"&amp;$H$3&amp;"'!$H$28:$H$38"),MATCH(INDIRECT("'"&amp;$H$3&amp;"'!H$167"),INDIRECT("'"&amp;$H$3&amp;"'!$B$28:$B$38"),0)),0))
+(IFERROR(1-INDIRECT("'"&amp;$H$3&amp;"'!H$182"),0))*(H$231+H$247)*INDIRECT("'"&amp;$H$3&amp;"'!$H$10")*(IFERROR(INDEX(INDIRECT("'"&amp;$H$3&amp;"'!$H$28:$H$38"),MATCH(INDIRECT("'"&amp;$H$3&amp;"'!H$185"),INDIRECT("'"&amp;$H$3&amp;"'!$B$28:$B$38"),0)),0)+IFERROR(INDIRECT("'"&amp;$H$3&amp;"'!H$186")*INDEX(INDIRECT("'"&amp;$H$3&amp;"'!$H$28:$H$38"),MATCH(INDIRECT("'"&amp;$H$3&amp;"'!H$187"),INDIRECT("'"&amp;$H$3&amp;"'!$B$28:$B$38"),0)),0))</f>
        <v>0</v>
      </c>
      <c r="I111" s="300"/>
      <c r="J111" s="300"/>
      <c r="K111" s="300">
        <f ca="1">(IFERROR(1-INDIRECT("'"&amp;$H$3&amp;"'!K$142"),0))*(K$155+K$171)*INDIRECT("'"&amp;$H$3&amp;"'!$H$10")*(IFERROR(INDEX(INDIRECT("'"&amp;$H$3&amp;"'!$H$28:$H$38"),MATCH(INDIRECT("'"&amp;$H$3&amp;"'!K$145"),INDIRECT("'"&amp;$H$3&amp;"'!$B$28:$B$38"),0)),0)+IFERROR(INDIRECT("'"&amp;$H$3&amp;"'!K$146")*INDEX(INDIRECT("'"&amp;$H$3&amp;"'!$H$28:$H$38"),MATCH(INDIRECT("'"&amp;$H$3&amp;"'!K$147"),INDIRECT("'"&amp;$H$3&amp;"'!$B$28:$B$38"),0)),0))
+(IFERROR(1-INDIRECT("'"&amp;$H$3&amp;"'!K$162"),0))*(K$193+K$209)*INDIRECT("'"&amp;$H$3&amp;"'!$H$10")*(IFERROR(INDEX(INDIRECT("'"&amp;$H$3&amp;"'!$H$28:$H$38"),MATCH(INDIRECT("'"&amp;$H$3&amp;"'!K$165"),INDIRECT("'"&amp;$H$3&amp;"'!$B$28:$B$38"),0)),0)+IFERROR(INDIRECT("'"&amp;$H$3&amp;"'!K$166")*INDEX(INDIRECT("'"&amp;$H$3&amp;"'!$H$28:$H$38"),MATCH(INDIRECT("'"&amp;$H$3&amp;"'!K$167"),INDIRECT("'"&amp;$H$3&amp;"'!$B$28:$B$38"),0)),0))
+(IFERROR(1-INDIRECT("'"&amp;$H$3&amp;"'!K$182"),0))*(K$231+K$247)*INDIRECT("'"&amp;$H$3&amp;"'!$H$10")*(IFERROR(INDEX(INDIRECT("'"&amp;$H$3&amp;"'!$H$28:$H$38"),MATCH(INDIRECT("'"&amp;$H$3&amp;"'!K$185"),INDIRECT("'"&amp;$H$3&amp;"'!$B$28:$B$38"),0)),0)+IFERROR(INDIRECT("'"&amp;$H$3&amp;"'!K$186")*INDEX(INDIRECT("'"&amp;$H$3&amp;"'!$H$28:$H$38"),MATCH(INDIRECT("'"&amp;$H$3&amp;"'!K$187"),INDIRECT("'"&amp;$H$3&amp;"'!$B$28:$B$38"),0)),0))</f>
        <v>9928.8000000000011</v>
      </c>
      <c r="L111" s="300"/>
      <c r="M111" s="300"/>
      <c r="N111" s="300">
        <f ca="1">(IFERROR(1-INDIRECT("'"&amp;$H$3&amp;"'!N$142"),0))*(N$155+N$171)*INDIRECT("'"&amp;$H$3&amp;"'!$H$10")*(IFERROR(INDEX(INDIRECT("'"&amp;$H$3&amp;"'!$H$28:$H$38"),MATCH(INDIRECT("'"&amp;$H$3&amp;"'!N$145"),INDIRECT("'"&amp;$H$3&amp;"'!$B$28:$B$38"),0)),0)+IFERROR(INDIRECT("'"&amp;$H$3&amp;"'!N$146")*INDEX(INDIRECT("'"&amp;$H$3&amp;"'!$H$28:$H$38"),MATCH(INDIRECT("'"&amp;$H$3&amp;"'!N$147"),INDIRECT("'"&amp;$H$3&amp;"'!$B$28:$B$38"),0)),0))
+(IFERROR(1-INDIRECT("'"&amp;$H$3&amp;"'!N$162"),0))*(N$193+N$209)*INDIRECT("'"&amp;$H$3&amp;"'!$H$10")*(IFERROR(INDEX(INDIRECT("'"&amp;$H$3&amp;"'!$H$28:$H$38"),MATCH(INDIRECT("'"&amp;$H$3&amp;"'!N$165"),INDIRECT("'"&amp;$H$3&amp;"'!$B$28:$B$38"),0)),0)+IFERROR(INDIRECT("'"&amp;$H$3&amp;"'!N$166")*INDEX(INDIRECT("'"&amp;$H$3&amp;"'!$H$28:$H$38"),MATCH(INDIRECT("'"&amp;$H$3&amp;"'!N$167"),INDIRECT("'"&amp;$H$3&amp;"'!$B$28:$B$38"),0)),0))
+(IFERROR(1-INDIRECT("'"&amp;$H$3&amp;"'!N$182"),0))*(N$231+N$247)*INDIRECT("'"&amp;$H$3&amp;"'!$H$10")*(IFERROR(INDEX(INDIRECT("'"&amp;$H$3&amp;"'!$H$28:$H$38"),MATCH(INDIRECT("'"&amp;$H$3&amp;"'!N$185"),INDIRECT("'"&amp;$H$3&amp;"'!$B$28:$B$38"),0)),0)+IFERROR(INDIRECT("'"&amp;$H$3&amp;"'!N$186")*INDEX(INDIRECT("'"&amp;$H$3&amp;"'!$H$28:$H$38"),MATCH(INDIRECT("'"&amp;$H$3&amp;"'!N$187"),INDIRECT("'"&amp;$H$3&amp;"'!$B$28:$B$38"),0)),0))</f>
        <v>11961.84</v>
      </c>
      <c r="O111" s="300"/>
      <c r="P111" s="300"/>
      <c r="Q111" s="300">
        <f ca="1">(IFERROR(1-INDIRECT("'"&amp;$H$3&amp;"'!Q$142"),0))*(Q$155+Q$171)*INDIRECT("'"&amp;$H$3&amp;"'!$H$10")*(IFERROR(INDEX(INDIRECT("'"&amp;$H$3&amp;"'!$H$28:$H$38"),MATCH(INDIRECT("'"&amp;$H$3&amp;"'!Q$145"),INDIRECT("'"&amp;$H$3&amp;"'!$B$28:$B$38"),0)),0)+IFERROR(INDIRECT("'"&amp;$H$3&amp;"'!Q$146")*INDEX(INDIRECT("'"&amp;$H$3&amp;"'!$H$28:$H$38"),MATCH(INDIRECT("'"&amp;$H$3&amp;"'!Q$147"),INDIRECT("'"&amp;$H$3&amp;"'!$B$28:$B$38"),0)),0))
+(IFERROR(1-INDIRECT("'"&amp;$H$3&amp;"'!Q$162"),0))*(Q$193+Q$209)*INDIRECT("'"&amp;$H$3&amp;"'!$H$10")*(IFERROR(INDEX(INDIRECT("'"&amp;$H$3&amp;"'!$H$28:$H$38"),MATCH(INDIRECT("'"&amp;$H$3&amp;"'!Q$165"),INDIRECT("'"&amp;$H$3&amp;"'!$B$28:$B$38"),0)),0)+IFERROR(INDIRECT("'"&amp;$H$3&amp;"'!Q$166")*INDEX(INDIRECT("'"&amp;$H$3&amp;"'!$H$28:$H$38"),MATCH(INDIRECT("'"&amp;$H$3&amp;"'!Q$167"),INDIRECT("'"&amp;$H$3&amp;"'!$B$28:$B$38"),0)),0))
+(IFERROR(1-INDIRECT("'"&amp;$H$3&amp;"'!Q$182"),0))*(Q$231+Q$247)*INDIRECT("'"&amp;$H$3&amp;"'!$H$10")*(IFERROR(INDEX(INDIRECT("'"&amp;$H$3&amp;"'!$H$28:$H$38"),MATCH(INDIRECT("'"&amp;$H$3&amp;"'!Q$185"),INDIRECT("'"&amp;$H$3&amp;"'!$B$28:$B$38"),0)),0)+IFERROR(INDIRECT("'"&amp;$H$3&amp;"'!Q$186")*INDEX(INDIRECT("'"&amp;$H$3&amp;"'!$H$28:$H$38"),MATCH(INDIRECT("'"&amp;$H$3&amp;"'!Q$187"),INDIRECT("'"&amp;$H$3&amp;"'!$B$28:$B$38"),0)),0))</f>
        <v>0</v>
      </c>
      <c r="R111" s="300"/>
      <c r="S111" s="337"/>
      <c r="T111" s="300">
        <f ca="1">(IFERROR(1-INDIRECT("'"&amp;$H$3&amp;"'!T$142"),0))*(T$155+T$171)*INDIRECT("'"&amp;$H$3&amp;"'!$H$10")*(IFERROR(INDEX(INDIRECT("'"&amp;$H$3&amp;"'!$H$28:$H$38"),MATCH(INDIRECT("'"&amp;$H$3&amp;"'!T$145"),INDIRECT("'"&amp;$H$3&amp;"'!$B$28:$B$38"),0)),0)+IFERROR(INDIRECT("'"&amp;$H$3&amp;"'!T$146")*INDEX(INDIRECT("'"&amp;$H$3&amp;"'!$H$28:$H$38"),MATCH(INDIRECT("'"&amp;$H$3&amp;"'!T$147"),INDIRECT("'"&amp;$H$3&amp;"'!$B$28:$B$38"),0)),0))
+(IFERROR(1-INDIRECT("'"&amp;$H$3&amp;"'!T$162"),0))*(T$193+T$209)*INDIRECT("'"&amp;$H$3&amp;"'!$H$10")*(IFERROR(INDEX(INDIRECT("'"&amp;$H$3&amp;"'!$H$28:$H$38"),MATCH(INDIRECT("'"&amp;$H$3&amp;"'!T$165"),INDIRECT("'"&amp;$H$3&amp;"'!$B$28:$B$38"),0)),0)+IFERROR(INDIRECT("'"&amp;$H$3&amp;"'!T$166")*INDEX(INDIRECT("'"&amp;$H$3&amp;"'!$H$28:$H$38"),MATCH(INDIRECT("'"&amp;$H$3&amp;"'!T$167"),INDIRECT("'"&amp;$H$3&amp;"'!$B$28:$B$38"),0)),0))
+(IFERROR(1-INDIRECT("'"&amp;$H$3&amp;"'!T$182"),0))*(T$231+T$247)*INDIRECT("'"&amp;$H$3&amp;"'!$H$10")*(IFERROR(INDEX(INDIRECT("'"&amp;$H$3&amp;"'!$H$28:$H$38"),MATCH(INDIRECT("'"&amp;$H$3&amp;"'!T$185"),INDIRECT("'"&amp;$H$3&amp;"'!$B$28:$B$38"),0)),0)+IFERROR(INDIRECT("'"&amp;$H$3&amp;"'!T$186")*INDEX(INDIRECT("'"&amp;$H$3&amp;"'!$H$28:$H$38"),MATCH(INDIRECT("'"&amp;$H$3&amp;"'!T$187"),INDIRECT("'"&amp;$H$3&amp;"'!$B$28:$B$38"),0)),0))</f>
        <v>0</v>
      </c>
      <c r="U111" s="337"/>
      <c r="V111" s="337"/>
      <c r="W111" s="1437">
        <f ca="1">(IFERROR(1-INDIRECT("'"&amp;$H$3&amp;"'!W$142"),0))*(W$155+W$171)*INDIRECT("'"&amp;$H$3&amp;"'!$H$10")*(IFERROR(INDEX(INDIRECT("'"&amp;$H$3&amp;"'!$H$28:$H$38"),MATCH(INDIRECT("'"&amp;$H$3&amp;"'!W$145"),INDIRECT("'"&amp;$H$3&amp;"'!$B$28:$B$38"),0)),0)+IFERROR(INDIRECT("'"&amp;$H$3&amp;"'!W$146")*INDEX(INDIRECT("'"&amp;$H$3&amp;"'!$H$28:$H$38"),MATCH(INDIRECT("'"&amp;$H$3&amp;"'!W$147"),INDIRECT("'"&amp;$H$3&amp;"'!$B$28:$B$38"),0)),0))
+(IFERROR(1-INDIRECT("'"&amp;$H$3&amp;"'!W$162"),0))*(W$193+W$209)*INDIRECT("'"&amp;$H$3&amp;"'!$H$10")*(IFERROR(INDEX(INDIRECT("'"&amp;$H$3&amp;"'!$H$28:$H$38"),MATCH(INDIRECT("'"&amp;$H$3&amp;"'!W$165"),INDIRECT("'"&amp;$H$3&amp;"'!$B$28:$B$38"),0)),0)+IFERROR(INDIRECT("'"&amp;$H$3&amp;"'!W$166")*INDEX(INDIRECT("'"&amp;$H$3&amp;"'!$H$28:$H$38"),MATCH(INDIRECT("'"&amp;$H$3&amp;"'!W$167"),INDIRECT("'"&amp;$H$3&amp;"'!$B$28:$B$38"),0)),0))
+(IFERROR(1-INDIRECT("'"&amp;$H$3&amp;"'!W$182"),0))*(W$231+W$247)*INDIRECT("'"&amp;$H$3&amp;"'!$H$10")*(IFERROR(INDEX(INDIRECT("'"&amp;$H$3&amp;"'!$H$28:$H$38"),MATCH(INDIRECT("'"&amp;$H$3&amp;"'!W$185"),INDIRECT("'"&amp;$H$3&amp;"'!$B$28:$B$38"),0)),0)+IFERROR(INDIRECT("'"&amp;$H$3&amp;"'!W$186")*INDEX(INDIRECT("'"&amp;$H$3&amp;"'!$H$28:$H$38"),MATCH(INDIRECT("'"&amp;$H$3&amp;"'!W$187"),INDIRECT("'"&amp;$H$3&amp;"'!$B$28:$B$38"),0)),0))</f>
        <v>0</v>
      </c>
      <c r="Y111" s="341">
        <f t="shared" ca="1" si="11"/>
        <v>21890.639999999999</v>
      </c>
      <c r="AL111" s="4"/>
    </row>
    <row r="112" spans="6:38">
      <c r="F112" s="288"/>
      <c r="G112" s="288" t="s">
        <v>90</v>
      </c>
      <c r="H112" s="300">
        <f ca="1">(IFERROR(1-INDIRECT("'"&amp;$H$3&amp;"'!H$142"),0))*(H$155+H$171)*(IFERROR(INDEX(INDIRECT("'"&amp;$H$3&amp;"'!$K$28:$K$38"),MATCH(INDIRECT("'"&amp;$H$3&amp;"'!H$145"),INDIRECT("'"&amp;$H$3&amp;"'!$B$28:$B$38"),0)),0)+IFERROR(INDIRECT("'"&amp;$H$3&amp;"'!H$146")*INDEX(INDIRECT("'"&amp;$H$3&amp;"'!$K$28:$K$38"),MATCH(INDIRECT("'"&amp;$H$3&amp;"'!H$147"),INDIRECT("'"&amp;$H$3&amp;"'!$B$28:$B$38"),0)),0))
+(IFERROR(1-INDIRECT("'"&amp;$H$3&amp;"'!H$162"),0))*(H$193+H$209)*(IFERROR(INDEX(INDIRECT("'"&amp;$H$3&amp;"'!$K$28:$K$38"),MATCH(INDIRECT("'"&amp;$H$3&amp;"'!H$165"),INDIRECT("'"&amp;$H$3&amp;"'!$B$28:$B$38"),0)),0)+IFERROR(INDIRECT("'"&amp;$H$3&amp;"'!H$166")*INDEX(INDIRECT("'"&amp;$H$3&amp;"'!$K$28:$K$38"),MATCH(INDIRECT("'"&amp;$H$3&amp;"'!H$167"),INDIRECT("'"&amp;$H$3&amp;"'!$B$28:$B$38"),0)),0))
+(IFERROR(1-INDIRECT("'"&amp;$H$3&amp;"'!H$182"),0))*(H$231+H$247)*(IFERROR(INDEX(INDIRECT("'"&amp;$H$3&amp;"'!$K$28:$K$38"),MATCH(INDIRECT("'"&amp;$H$3&amp;"'!H$185"),INDIRECT("'"&amp;$H$3&amp;"'!$B$28:$B$38"),0)),0)+IFERROR(INDIRECT("'"&amp;$H$3&amp;"'!H$186")*INDEX(INDIRECT("'"&amp;$H$3&amp;"'!$K$28:$K$38"),MATCH(INDIRECT("'"&amp;$H$3&amp;"'!H$187"),INDIRECT("'"&amp;$H$3&amp;"'!$B$28:$B$38"),0)),0))</f>
        <v>0</v>
      </c>
      <c r="I112" s="300"/>
      <c r="J112" s="300"/>
      <c r="K112" s="300">
        <f ca="1">(IFERROR(1-INDIRECT("'"&amp;$H$3&amp;"'!K$142"),0))*(K$155+K$171)*(IFERROR(INDEX(INDIRECT("'"&amp;$H$3&amp;"'!$K$28:$K$38"),MATCH(INDIRECT("'"&amp;$H$3&amp;"'!K$145"),INDIRECT("'"&amp;$H$3&amp;"'!$B$28:$B$38"),0)),0)+IFERROR(INDIRECT("'"&amp;$H$3&amp;"'!K$146")*INDEX(INDIRECT("'"&amp;$H$3&amp;"'!$K$28:$K$38"),MATCH(INDIRECT("'"&amp;$H$3&amp;"'!K$147"),INDIRECT("'"&amp;$H$3&amp;"'!$B$28:$B$38"),0)),0))
+(IFERROR(1-INDIRECT("'"&amp;$H$3&amp;"'!K$162"),0))*(K$193+K$209)*(IFERROR(INDEX(INDIRECT("'"&amp;$H$3&amp;"'!$K$28:$K$38"),MATCH(INDIRECT("'"&amp;$H$3&amp;"'!K$165"),INDIRECT("'"&amp;$H$3&amp;"'!$B$28:$B$38"),0)),0)+IFERROR(INDIRECT("'"&amp;$H$3&amp;"'!K$166")*INDEX(INDIRECT("'"&amp;$H$3&amp;"'!$K$28:$K$38"),MATCH(INDIRECT("'"&amp;$H$3&amp;"'!K$167"),INDIRECT("'"&amp;$H$3&amp;"'!$B$28:$B$38"),0)),0))
+(IFERROR(1-INDIRECT("'"&amp;$H$3&amp;"'!K$182"),0))*(K$231+K$247)*(IFERROR(INDEX(INDIRECT("'"&amp;$H$3&amp;"'!$K$28:$K$38"),MATCH(INDIRECT("'"&amp;$H$3&amp;"'!K$185"),INDIRECT("'"&amp;$H$3&amp;"'!$B$28:$B$38"),0)),0)+IFERROR(INDIRECT("'"&amp;$H$3&amp;"'!K$186")*INDEX(INDIRECT("'"&amp;$H$3&amp;"'!$K$28:$K$38"),MATCH(INDIRECT("'"&amp;$H$3&amp;"'!K$187"),INDIRECT("'"&amp;$H$3&amp;"'!$B$28:$B$38"),0)),0))</f>
        <v>6300</v>
      </c>
      <c r="L112" s="300"/>
      <c r="M112" s="300"/>
      <c r="N112" s="300">
        <f ca="1">(IFERROR(1-INDIRECT("'"&amp;$H$3&amp;"'!N$142"),0))*(N$155+N$171)*(IFERROR(INDEX(INDIRECT("'"&amp;$H$3&amp;"'!$K$28:$K$38"),MATCH(INDIRECT("'"&amp;$H$3&amp;"'!N$145"),INDIRECT("'"&amp;$H$3&amp;"'!$B$28:$B$38"),0)),0)+IFERROR(INDIRECT("'"&amp;$H$3&amp;"'!N$146")*INDEX(INDIRECT("'"&amp;$H$3&amp;"'!$K$28:$K$38"),MATCH(INDIRECT("'"&amp;$H$3&amp;"'!N$147"),INDIRECT("'"&amp;$H$3&amp;"'!$B$28:$B$38"),0)),0))
+(IFERROR(1-INDIRECT("'"&amp;$H$3&amp;"'!N$162"),0))*(N$193+N$209)*(IFERROR(INDEX(INDIRECT("'"&amp;$H$3&amp;"'!$K$28:$K$38"),MATCH(INDIRECT("'"&amp;$H$3&amp;"'!N$165"),INDIRECT("'"&amp;$H$3&amp;"'!$B$28:$B$38"),0)),0)+IFERROR(INDIRECT("'"&amp;$H$3&amp;"'!N$166")*INDEX(INDIRECT("'"&amp;$H$3&amp;"'!$K$28:$K$38"),MATCH(INDIRECT("'"&amp;$H$3&amp;"'!N$167"),INDIRECT("'"&amp;$H$3&amp;"'!$B$28:$B$38"),0)),0))
+(IFERROR(1-INDIRECT("'"&amp;$H$3&amp;"'!N$182"),0))*(N$231+N$247)*(IFERROR(INDEX(INDIRECT("'"&amp;$H$3&amp;"'!$K$28:$K$38"),MATCH(INDIRECT("'"&amp;$H$3&amp;"'!N$185"),INDIRECT("'"&amp;$H$3&amp;"'!$B$28:$B$38"),0)),0)+IFERROR(INDIRECT("'"&amp;$H$3&amp;"'!N$186")*INDEX(INDIRECT("'"&amp;$H$3&amp;"'!$K$28:$K$38"),MATCH(INDIRECT("'"&amp;$H$3&amp;"'!N$187"),INDIRECT("'"&amp;$H$3&amp;"'!$B$28:$B$38"),0)),0))</f>
        <v>7590</v>
      </c>
      <c r="O112" s="300"/>
      <c r="P112" s="300"/>
      <c r="Q112" s="300">
        <f ca="1">(IFERROR(1-INDIRECT("'"&amp;$H$3&amp;"'!Q$142"),0))*(Q$155+Q$171)*(IFERROR(INDEX(INDIRECT("'"&amp;$H$3&amp;"'!$K$28:$K$38"),MATCH(INDIRECT("'"&amp;$H$3&amp;"'!Q$145"),INDIRECT("'"&amp;$H$3&amp;"'!$B$28:$B$38"),0)),0)+IFERROR(INDIRECT("'"&amp;$H$3&amp;"'!Q$146")*INDEX(INDIRECT("'"&amp;$H$3&amp;"'!$K$28:$K$38"),MATCH(INDIRECT("'"&amp;$H$3&amp;"'!Q$147"),INDIRECT("'"&amp;$H$3&amp;"'!$B$28:$B$38"),0)),0))
+(IFERROR(1-INDIRECT("'"&amp;$H$3&amp;"'!Q$162"),0))*(Q$193+Q$209)*(IFERROR(INDEX(INDIRECT("'"&amp;$H$3&amp;"'!$K$28:$K$38"),MATCH(INDIRECT("'"&amp;$H$3&amp;"'!Q$165"),INDIRECT("'"&amp;$H$3&amp;"'!$B$28:$B$38"),0)),0)+IFERROR(INDIRECT("'"&amp;$H$3&amp;"'!Q$166")*INDEX(INDIRECT("'"&amp;$H$3&amp;"'!$K$28:$K$38"),MATCH(INDIRECT("'"&amp;$H$3&amp;"'!Q$167"),INDIRECT("'"&amp;$H$3&amp;"'!$B$28:$B$38"),0)),0))
+(IFERROR(1-INDIRECT("'"&amp;$H$3&amp;"'!Q$182"),0))*(Q$231+Q$247)*(IFERROR(INDEX(INDIRECT("'"&amp;$H$3&amp;"'!$K$28:$K$38"),MATCH(INDIRECT("'"&amp;$H$3&amp;"'!Q$185"),INDIRECT("'"&amp;$H$3&amp;"'!$B$28:$B$38"),0)),0)+IFERROR(INDIRECT("'"&amp;$H$3&amp;"'!Q$186")*INDEX(INDIRECT("'"&amp;$H$3&amp;"'!$K$28:$K$38"),MATCH(INDIRECT("'"&amp;$H$3&amp;"'!Q$187"),INDIRECT("'"&amp;$H$3&amp;"'!$B$28:$B$38"),0)),0))</f>
        <v>0</v>
      </c>
      <c r="R112" s="300"/>
      <c r="S112" s="337"/>
      <c r="T112" s="300">
        <f ca="1">(IFERROR(1-INDIRECT("'"&amp;$H$3&amp;"'!T$142"),0))*(T$155+T$171)*(IFERROR(INDEX(INDIRECT("'"&amp;$H$3&amp;"'!$K$28:$K$38"),MATCH(INDIRECT("'"&amp;$H$3&amp;"'!T$145"),INDIRECT("'"&amp;$H$3&amp;"'!$B$28:$B$38"),0)),0)+IFERROR(INDIRECT("'"&amp;$H$3&amp;"'!T$146")*INDEX(INDIRECT("'"&amp;$H$3&amp;"'!$K$28:$K$38"),MATCH(INDIRECT("'"&amp;$H$3&amp;"'!T$147"),INDIRECT("'"&amp;$H$3&amp;"'!$B$28:$B$38"),0)),0))
+(IFERROR(1-INDIRECT("'"&amp;$H$3&amp;"'!T$162"),0))*(T$193+T$209)*(IFERROR(INDEX(INDIRECT("'"&amp;$H$3&amp;"'!$K$28:$K$38"),MATCH(INDIRECT("'"&amp;$H$3&amp;"'!T$165"),INDIRECT("'"&amp;$H$3&amp;"'!$B$28:$B$38"),0)),0)+IFERROR(INDIRECT("'"&amp;$H$3&amp;"'!T$166")*INDEX(INDIRECT("'"&amp;$H$3&amp;"'!$K$28:$K$38"),MATCH(INDIRECT("'"&amp;$H$3&amp;"'!T$167"),INDIRECT("'"&amp;$H$3&amp;"'!$B$28:$B$38"),0)),0))
+(IFERROR(1-INDIRECT("'"&amp;$H$3&amp;"'!T$182"),0))*(T$231+T$247)*(IFERROR(INDEX(INDIRECT("'"&amp;$H$3&amp;"'!$K$28:$K$38"),MATCH(INDIRECT("'"&amp;$H$3&amp;"'!T$185"),INDIRECT("'"&amp;$H$3&amp;"'!$B$28:$B$38"),0)),0)+IFERROR(INDIRECT("'"&amp;$H$3&amp;"'!T$186")*INDEX(INDIRECT("'"&amp;$H$3&amp;"'!$K$28:$K$38"),MATCH(INDIRECT("'"&amp;$H$3&amp;"'!T$187"),INDIRECT("'"&amp;$H$3&amp;"'!$B$28:$B$38"),0)),0))</f>
        <v>0</v>
      </c>
      <c r="U112" s="337"/>
      <c r="V112" s="337"/>
      <c r="W112" s="1437">
        <f ca="1">(IFERROR(1-INDIRECT("'"&amp;$H$3&amp;"'!W$142"),0))*(W$155+W$171)*(IFERROR(INDEX(INDIRECT("'"&amp;$H$3&amp;"'!$K$28:$K$38"),MATCH(INDIRECT("'"&amp;$H$3&amp;"'!W$145"),INDIRECT("'"&amp;$H$3&amp;"'!$B$28:$B$38"),0)),0)+IFERROR(INDIRECT("'"&amp;$H$3&amp;"'!W$146")*INDEX(INDIRECT("'"&amp;$H$3&amp;"'!$K$28:$K$38"),MATCH(INDIRECT("'"&amp;$H$3&amp;"'!W$147"),INDIRECT("'"&amp;$H$3&amp;"'!$B$28:$B$38"),0)),0))
+(IFERROR(1-INDIRECT("'"&amp;$H$3&amp;"'!W$162"),0))*(W$193+W$209)*(IFERROR(INDEX(INDIRECT("'"&amp;$H$3&amp;"'!$K$28:$K$38"),MATCH(INDIRECT("'"&amp;$H$3&amp;"'!W$165"),INDIRECT("'"&amp;$H$3&amp;"'!$B$28:$B$38"),0)),0)+IFERROR(INDIRECT("'"&amp;$H$3&amp;"'!W$166")*INDEX(INDIRECT("'"&amp;$H$3&amp;"'!$K$28:$K$38"),MATCH(INDIRECT("'"&amp;$H$3&amp;"'!W$167"),INDIRECT("'"&amp;$H$3&amp;"'!$B$28:$B$38"),0)),0))
+(IFERROR(1-INDIRECT("'"&amp;$H$3&amp;"'!W$182"),0))*(W$231+W$247)*(IFERROR(INDEX(INDIRECT("'"&amp;$H$3&amp;"'!$K$28:$K$38"),MATCH(INDIRECT("'"&amp;$H$3&amp;"'!W$185"),INDIRECT("'"&amp;$H$3&amp;"'!$B$28:$B$38"),0)),0)+IFERROR(INDIRECT("'"&amp;$H$3&amp;"'!W$186")*INDEX(INDIRECT("'"&amp;$H$3&amp;"'!$K$28:$K$38"),MATCH(INDIRECT("'"&amp;$H$3&amp;"'!W$187"),INDIRECT("'"&amp;$H$3&amp;"'!$B$28:$B$38"),0)),0))</f>
        <v>0</v>
      </c>
      <c r="Y112" s="341">
        <f t="shared" ca="1" si="11"/>
        <v>13890</v>
      </c>
    </row>
    <row r="113" spans="6:38">
      <c r="F113" s="288"/>
      <c r="G113" s="288" t="s">
        <v>1</v>
      </c>
      <c r="H113" s="300">
        <f ca="1">INDIRECT("'"&amp;$H$3&amp;"'!$H$8")*(
(IFERROR(1-INDIRECT("'"&amp;$H$3&amp;"'!H$142"),0))*IF(INDIRECT("'"&amp;$H$3&amp;"'!H$137")='List Values'!$E$5,0,(H$169*IFERROR(1/INDEX(INDIRECT("'"&amp;$H$3&amp;"'!$H$49:$H$78"),MATCH(INDIRECT("'"&amp;$H$3&amp;"'!H$136")&amp;"Fuel Efficiency (km/liter)",INDIRECT("'"&amp;$H$3&amp;"'!$F$49:$F$78"),0)),0)))
+(IFERROR(1-INDIRECT("'"&amp;$H$3&amp;"'!H$162"),0))*IF(INDIRECT("'"&amp;$H$3&amp;"'!H$157")='List Values'!$E$5,0,(H$207*IFERROR(1/INDEX(INDIRECT("'"&amp;$H$3&amp;"'!$H$49:$H$78"),MATCH(INDIRECT("'"&amp;$H$3&amp;"'!H$156")&amp;"Fuel Efficiency (km/liter)",INDIRECT("'"&amp;$H$3&amp;"'!$F$49:$F$78"),0)),0)))
+(IFERROR(1-INDIRECT("'"&amp;$H$3&amp;"'!H$182"),0))*IF(INDIRECT("'"&amp;$H$3&amp;"'!H$177")='List Values'!$E$5,0,(H$245*IFERROR(1/INDEX(INDIRECT("'"&amp;$H$3&amp;"'!$H$49:$H$78"),MATCH(INDIRECT("'"&amp;$H$3&amp;"'!H$176")&amp;"Fuel Efficiency (km/liter)",INDIRECT("'"&amp;$H$3&amp;"'!$F$49:$F$78"),0)),0))))</f>
        <v>0</v>
      </c>
      <c r="I113" s="300"/>
      <c r="J113" s="300"/>
      <c r="K113" s="300">
        <f ca="1">INDIRECT("'"&amp;$H$3&amp;"'!$H$8")*(
(IFERROR(1-INDIRECT("'"&amp;$H$3&amp;"'!K$142"),0))*IF(INDIRECT("'"&amp;$H$3&amp;"'!K$137")='List Values'!$E$5,0,(K$169*IFERROR(1/INDEX(INDIRECT("'"&amp;$H$3&amp;"'!$H$49:$H$78"),MATCH(INDIRECT("'"&amp;$H$3&amp;"'!K$136")&amp;"Fuel Efficiency (km/liter)",INDIRECT("'"&amp;$H$3&amp;"'!$F$49:$F$78"),0)),0)))
+(IFERROR(1-INDIRECT("'"&amp;$H$3&amp;"'!K$162"),0))*IF(INDIRECT("'"&amp;$H$3&amp;"'!K$157")='List Values'!$E$5,0,(K$207*IFERROR(1/INDEX(INDIRECT("'"&amp;$H$3&amp;"'!$H$49:$H$78"),MATCH(INDIRECT("'"&amp;$H$3&amp;"'!K$156")&amp;"Fuel Efficiency (km/liter)",INDIRECT("'"&amp;$H$3&amp;"'!$F$49:$F$78"),0)),0)))
+(IFERROR(1-INDIRECT("'"&amp;$H$3&amp;"'!K$182"),0))*IF(INDIRECT("'"&amp;$H$3&amp;"'!K$177")='List Values'!$E$5,0,(K$245*IFERROR(1/INDEX(INDIRECT("'"&amp;$H$3&amp;"'!$H$49:$H$78"),MATCH(INDIRECT("'"&amp;$H$3&amp;"'!K$176")&amp;"Fuel Efficiency (km/liter)",INDIRECT("'"&amp;$H$3&amp;"'!$F$49:$F$78"),0)),0))))</f>
        <v>50875.979274611411</v>
      </c>
      <c r="L113" s="300"/>
      <c r="M113" s="300"/>
      <c r="N113" s="300">
        <f ca="1">INDIRECT("'"&amp;$H$3&amp;"'!$H$8")*(
(IFERROR(1-INDIRECT("'"&amp;$H$3&amp;"'!N$142"),0))*IF(INDIRECT("'"&amp;$H$3&amp;"'!N$137")='List Values'!$E$5,0,(N$169*IFERROR(1/INDEX(INDIRECT("'"&amp;$H$3&amp;"'!$H$49:$H$78"),MATCH(INDIRECT("'"&amp;$H$3&amp;"'!N$136")&amp;"Fuel Efficiency (km/liter)",INDIRECT("'"&amp;$H$3&amp;"'!$F$49:$F$78"),0)),0)))
+(IFERROR(1-INDIRECT("'"&amp;$H$3&amp;"'!N$162"),0))*IF(INDIRECT("'"&amp;$H$3&amp;"'!N$157")='List Values'!$E$5,0,(N$207*IFERROR(1/INDEX(INDIRECT("'"&amp;$H$3&amp;"'!$H$49:$H$78"),MATCH(INDIRECT("'"&amp;$H$3&amp;"'!N$156")&amp;"Fuel Efficiency (km/liter)",INDIRECT("'"&amp;$H$3&amp;"'!$F$49:$F$78"),0)),0)))
+(IFERROR(1-INDIRECT("'"&amp;$H$3&amp;"'!N$182"),0))*IF(INDIRECT("'"&amp;$H$3&amp;"'!N$177")='List Values'!$E$5,0,(N$245*IFERROR(1/INDEX(INDIRECT("'"&amp;$H$3&amp;"'!$H$49:$H$78"),MATCH(INDIRECT("'"&amp;$H$3&amp;"'!N$176")&amp;"Fuel Efficiency (km/liter)",INDIRECT("'"&amp;$H$3&amp;"'!$F$49:$F$78"),0)),0))))</f>
        <v>29307.394749352741</v>
      </c>
      <c r="O113" s="300"/>
      <c r="P113" s="300"/>
      <c r="Q113" s="300">
        <f ca="1">INDIRECT("'"&amp;$H$3&amp;"'!$H$8")*(
(IFERROR(1-INDIRECT("'"&amp;$H$3&amp;"'!Q$142"),0))*IF(INDIRECT("'"&amp;$H$3&amp;"'!Q$137")='List Values'!$E$5,0,(Q$169*IFERROR(1/INDEX(INDIRECT("'"&amp;$H$3&amp;"'!$H$49:$H$78"),MATCH(INDIRECT("'"&amp;$H$3&amp;"'!Q$136")&amp;"Fuel Efficiency (km/liter)",INDIRECT("'"&amp;$H$3&amp;"'!$F$49:$F$78"),0)),0)))
+(IFERROR(1-INDIRECT("'"&amp;$H$3&amp;"'!Q$162"),0))*IF(INDIRECT("'"&amp;$H$3&amp;"'!Q$157")='List Values'!$E$5,0,(Q$207*IFERROR(1/INDEX(INDIRECT("'"&amp;$H$3&amp;"'!$H$49:$H$78"),MATCH(INDIRECT("'"&amp;$H$3&amp;"'!Q$156")&amp;"Fuel Efficiency (km/liter)",INDIRECT("'"&amp;$H$3&amp;"'!$F$49:$F$78"),0)),0)))
+(IFERROR(1-INDIRECT("'"&amp;$H$3&amp;"'!Q$182"),0))*IF(INDIRECT("'"&amp;$H$3&amp;"'!Q$177")='List Values'!$E$5,0,(Q$245*IFERROR(1/INDEX(INDIRECT("'"&amp;$H$3&amp;"'!$H$49:$H$78"),MATCH(INDIRECT("'"&amp;$H$3&amp;"'!Q$176")&amp;"Fuel Efficiency (km/liter)",INDIRECT("'"&amp;$H$3&amp;"'!$F$49:$F$78"),0)),0))))</f>
        <v>0</v>
      </c>
      <c r="R113" s="300"/>
      <c r="S113" s="337"/>
      <c r="T113" s="300">
        <f ca="1">INDIRECT("'"&amp;$H$3&amp;"'!$H$8")*(
(IFERROR(1-INDIRECT("'"&amp;$H$3&amp;"'!T$142"),0))*IF(INDIRECT("'"&amp;$H$3&amp;"'!T$137")='List Values'!$E$5,0,(T$169*IFERROR(1/INDEX(INDIRECT("'"&amp;$H$3&amp;"'!$H$49:$H$78"),MATCH(INDIRECT("'"&amp;$H$3&amp;"'!T$136")&amp;"Fuel Efficiency (km/liter)",INDIRECT("'"&amp;$H$3&amp;"'!$F$49:$F$78"),0)),0)))
+(IFERROR(1-INDIRECT("'"&amp;$H$3&amp;"'!T$162"),0))*IF(INDIRECT("'"&amp;$H$3&amp;"'!T$157")='List Values'!$E$5,0,(T$207*IFERROR(1/INDEX(INDIRECT("'"&amp;$H$3&amp;"'!$H$49:$H$78"),MATCH(INDIRECT("'"&amp;$H$3&amp;"'!T$156")&amp;"Fuel Efficiency (km/liter)",INDIRECT("'"&amp;$H$3&amp;"'!$F$49:$F$78"),0)),0)))
+(IFERROR(1-INDIRECT("'"&amp;$H$3&amp;"'!T$182"),0))*IF(INDIRECT("'"&amp;$H$3&amp;"'!T$177")='List Values'!$E$5,0,(T$245*IFERROR(1/INDEX(INDIRECT("'"&amp;$H$3&amp;"'!$H$49:$H$78"),MATCH(INDIRECT("'"&amp;$H$3&amp;"'!T$176")&amp;"Fuel Efficiency (km/liter)",INDIRECT("'"&amp;$H$3&amp;"'!$F$49:$F$78"),0)),0))))</f>
        <v>0</v>
      </c>
      <c r="U113" s="337"/>
      <c r="V113" s="337"/>
      <c r="W113" s="1437">
        <f ca="1">INDIRECT("'"&amp;$H$3&amp;"'!$H$8")*(
(IFERROR(1-INDIRECT("'"&amp;$H$3&amp;"'!W$142"),0))*IF(INDIRECT("'"&amp;$H$3&amp;"'!W$137")='List Values'!$E$5,0,(W$169*IFERROR(1/INDEX(INDIRECT("'"&amp;$H$3&amp;"'!$H$49:$H$78"),MATCH(INDIRECT("'"&amp;$H$3&amp;"'!W$136")&amp;"Fuel Efficiency (km/liter)",INDIRECT("'"&amp;$H$3&amp;"'!$F$49:$F$78"),0)),0)))
+(IFERROR(1-INDIRECT("'"&amp;$H$3&amp;"'!W$162"),0))*IF(INDIRECT("'"&amp;$H$3&amp;"'!W$157")='List Values'!$E$5,0,(W$207*IFERROR(1/INDEX(INDIRECT("'"&amp;$H$3&amp;"'!$H$49:$H$78"),MATCH(INDIRECT("'"&amp;$H$3&amp;"'!W$156")&amp;"Fuel Efficiency (km/liter)",INDIRECT("'"&amp;$H$3&amp;"'!$F$49:$F$78"),0)),0)))
+(IFERROR(1-INDIRECT("'"&amp;$H$3&amp;"'!W$182"),0))*IF(INDIRECT("'"&amp;$H$3&amp;"'!W$177")='List Values'!$E$5,0,(W$245*IFERROR(1/INDEX(INDIRECT("'"&amp;$H$3&amp;"'!$H$49:$H$78"),MATCH(INDIRECT("'"&amp;$H$3&amp;"'!W$176")&amp;"Fuel Efficiency (km/liter)",INDIRECT("'"&amp;$H$3&amp;"'!$F$49:$F$78"),0)),0))))</f>
        <v>0</v>
      </c>
      <c r="Y113" s="341">
        <f t="shared" ca="1" si="11"/>
        <v>80183.374023964148</v>
      </c>
    </row>
    <row r="114" spans="6:38">
      <c r="F114" s="288"/>
      <c r="G114" s="288" t="s">
        <v>91</v>
      </c>
      <c r="H114" s="300">
        <f ca="1">IFERROR((1-INDIRECT("'"&amp;$H$3&amp;"'!H$141"))*IF(INDIRECT("'"&amp;$H$3&amp;"'!H$137")='List Values'!$E$3,INDEX(INDIRECT("'"&amp;$H$3&amp;"'!$H$49:$H$78"),MATCH(INDIRECT("'"&amp;$H$3&amp;"'!H$136")&amp;"Insurance cost /yr ($)",INDIRECT("'"&amp;$H$3&amp;"'!$F$49:$F$78"),0))*INDIRECT("'"&amp;$H$3&amp;"'!H$140"),0),0)
+IFERROR((1-INDIRECT("'"&amp;$H$3&amp;"'!H$161"))*IF(INDIRECT("'"&amp;$H$3&amp;"'!H$157")='List Values'!$E$3,INDEX(INDIRECT("'"&amp;$H$3&amp;"'!$H$49:$H$78"),MATCH(INDIRECT("'"&amp;$H$3&amp;"'!H$156")&amp;"Insurance cost /yr ($)",INDIRECT("'"&amp;$H$3&amp;"'!$F$49:$F$78"),0))*INDIRECT("'"&amp;$H$3&amp;"'!H$160"),0),0)
+IFERROR((1-INDIRECT("'"&amp;$H$3&amp;"'!H$181"))*IF(INDIRECT("'"&amp;$H$3&amp;"'!H$177")='List Values'!$E$3,INDEX(INDIRECT("'"&amp;$H$3&amp;"'!$H$49:$H$78"),MATCH(INDIRECT("'"&amp;$H$3&amp;"'!H$176")&amp;"Insurance cost /yr ($)",INDIRECT("'"&amp;$H$3&amp;"'!$F$49:$F$78"),0))*INDIRECT("'"&amp;$H$3&amp;"'!H$180"),0),0)</f>
        <v>0</v>
      </c>
      <c r="I114" s="300"/>
      <c r="J114" s="300"/>
      <c r="K114" s="300">
        <f ca="1">IFERROR((1-INDIRECT("'"&amp;$H$3&amp;"'!K$141"))*IF(INDIRECT("'"&amp;$H$3&amp;"'!K$137")='List Values'!$E$3,INDEX(INDIRECT("'"&amp;$H$3&amp;"'!$H$49:$H$78"),MATCH(INDIRECT("'"&amp;$H$3&amp;"'!K$136")&amp;"Insurance cost /yr ($)",INDIRECT("'"&amp;$H$3&amp;"'!$F$49:$F$78"),0))*INDIRECT("'"&amp;$H$3&amp;"'!K$140"),0),0)
+IFERROR((1-INDIRECT("'"&amp;$H$3&amp;"'!K$161"))*IF(INDIRECT("'"&amp;$H$3&amp;"'!K$157")='List Values'!$E$3,INDEX(INDIRECT("'"&amp;$H$3&amp;"'!$H$49:$H$78"),MATCH(INDIRECT("'"&amp;$H$3&amp;"'!K$156")&amp;"Insurance cost /yr ($)",INDIRECT("'"&amp;$H$3&amp;"'!$F$49:$F$78"),0))*INDIRECT("'"&amp;$H$3&amp;"'!K$160"),0),0)
+IFERROR((1-INDIRECT("'"&amp;$H$3&amp;"'!K$181"))*IF(INDIRECT("'"&amp;$H$3&amp;"'!K$177")='List Values'!$E$3,INDEX(INDIRECT("'"&amp;$H$3&amp;"'!$H$49:$H$78"),MATCH(INDIRECT("'"&amp;$H$3&amp;"'!K$176")&amp;"Insurance cost /yr ($)",INDIRECT("'"&amp;$H$3&amp;"'!$F$49:$F$78"),0))*INDIRECT("'"&amp;$H$3&amp;"'!K$180"),0),0)</f>
        <v>2575.86</v>
      </c>
      <c r="L114" s="300"/>
      <c r="M114" s="300"/>
      <c r="N114" s="300">
        <f ca="1">IFERROR((1-INDIRECT("'"&amp;$H$3&amp;"'!N$141"))*IF(INDIRECT("'"&amp;$H$3&amp;"'!N$137")='List Values'!$E$3,INDEX(INDIRECT("'"&amp;$H$3&amp;"'!$H$49:$H$78"),MATCH(INDIRECT("'"&amp;$H$3&amp;"'!N$136")&amp;"Insurance cost /yr ($)",INDIRECT("'"&amp;$H$3&amp;"'!$F$49:$F$78"),0))*INDIRECT("'"&amp;$H$3&amp;"'!N$140"),0),0)
+IFERROR((1-INDIRECT("'"&amp;$H$3&amp;"'!N$161"))*IF(INDIRECT("'"&amp;$H$3&amp;"'!N$157")='List Values'!$E$3,INDEX(INDIRECT("'"&amp;$H$3&amp;"'!$H$49:$H$78"),MATCH(INDIRECT("'"&amp;$H$3&amp;"'!N$156")&amp;"Insurance cost /yr ($)",INDIRECT("'"&amp;$H$3&amp;"'!$F$49:$F$78"),0))*INDIRECT("'"&amp;$H$3&amp;"'!N$160"),0),0)
+IFERROR((1-INDIRECT("'"&amp;$H$3&amp;"'!N$181"))*IF(INDIRECT("'"&amp;$H$3&amp;"'!N$177")='List Values'!$E$3,INDEX(INDIRECT("'"&amp;$H$3&amp;"'!$H$49:$H$78"),MATCH(INDIRECT("'"&amp;$H$3&amp;"'!N$176")&amp;"Insurance cost /yr ($)",INDIRECT("'"&amp;$H$3&amp;"'!$F$49:$F$78"),0))*INDIRECT("'"&amp;$H$3&amp;"'!N$180"),0),0)</f>
        <v>3863.79</v>
      </c>
      <c r="O114" s="300"/>
      <c r="P114" s="300"/>
      <c r="Q114" s="300">
        <f ca="1">IFERROR((1-INDIRECT("'"&amp;$H$3&amp;"'!Q$141"))*IF(INDIRECT("'"&amp;$H$3&amp;"'!Q$137")='List Values'!$E$3,INDEX(INDIRECT("'"&amp;$H$3&amp;"'!$H$49:$H$78"),MATCH(INDIRECT("'"&amp;$H$3&amp;"'!Q$136")&amp;"Insurance cost /yr ($)",INDIRECT("'"&amp;$H$3&amp;"'!$F$49:$F$78"),0))*INDIRECT("'"&amp;$H$3&amp;"'!Q$140"),0),0)
+IFERROR((1-INDIRECT("'"&amp;$H$3&amp;"'!Q$161"))*IF(INDIRECT("'"&amp;$H$3&amp;"'!Q$157")='List Values'!$E$3,INDEX(INDIRECT("'"&amp;$H$3&amp;"'!$H$49:$H$78"),MATCH(INDIRECT("'"&amp;$H$3&amp;"'!Q$156")&amp;"Insurance cost /yr ($)",INDIRECT("'"&amp;$H$3&amp;"'!$F$49:$F$78"),0))*INDIRECT("'"&amp;$H$3&amp;"'!Q$160"),0),0)
+IFERROR((1-INDIRECT("'"&amp;$H$3&amp;"'!Q$181"))*IF(INDIRECT("'"&amp;$H$3&amp;"'!Q$177")='List Values'!$E$3,INDEX(INDIRECT("'"&amp;$H$3&amp;"'!$H$49:$H$78"),MATCH(INDIRECT("'"&amp;$H$3&amp;"'!Q$176")&amp;"Insurance cost /yr ($)",INDIRECT("'"&amp;$H$3&amp;"'!$F$49:$F$78"),0))*INDIRECT("'"&amp;$H$3&amp;"'!Q$180"),0),0)</f>
        <v>0</v>
      </c>
      <c r="R114" s="300"/>
      <c r="S114" s="337"/>
      <c r="T114" s="300">
        <f ca="1">IFERROR((1-INDIRECT("'"&amp;$H$3&amp;"'!T$141"))*IF(INDIRECT("'"&amp;$H$3&amp;"'!T$137")='List Values'!$E$3,INDEX(INDIRECT("'"&amp;$H$3&amp;"'!$H$49:$H$78"),MATCH(INDIRECT("'"&amp;$H$3&amp;"'!T$136")&amp;"Insurance cost /yr ($)",INDIRECT("'"&amp;$H$3&amp;"'!$F$49:$F$78"),0))*INDIRECT("'"&amp;$H$3&amp;"'!T$140"),0),0)
+IFERROR((1-INDIRECT("'"&amp;$H$3&amp;"'!T$161"))*IF(INDIRECT("'"&amp;$H$3&amp;"'!T$157")='List Values'!$E$3,INDEX(INDIRECT("'"&amp;$H$3&amp;"'!$H$49:$H$78"),MATCH(INDIRECT("'"&amp;$H$3&amp;"'!T$156")&amp;"Insurance cost /yr ($)",INDIRECT("'"&amp;$H$3&amp;"'!$F$49:$F$78"),0))*INDIRECT("'"&amp;$H$3&amp;"'!T$160"),0),0)
+IFERROR((1-INDIRECT("'"&amp;$H$3&amp;"'!T$181"))*IF(INDIRECT("'"&amp;$H$3&amp;"'!T$177")='List Values'!$E$3,INDEX(INDIRECT("'"&amp;$H$3&amp;"'!$H$49:$H$78"),MATCH(INDIRECT("'"&amp;$H$3&amp;"'!T$176")&amp;"Insurance cost /yr ($)",INDIRECT("'"&amp;$H$3&amp;"'!$F$49:$F$78"),0))*INDIRECT("'"&amp;$H$3&amp;"'!T$180"),0),0)</f>
        <v>0</v>
      </c>
      <c r="U114" s="337"/>
      <c r="V114" s="337"/>
      <c r="W114" s="1437">
        <f ca="1">IFERROR((1-INDIRECT("'"&amp;$H$3&amp;"'!W$141"))*IF(INDIRECT("'"&amp;$H$3&amp;"'!W$137")='List Values'!$E$3,INDEX(INDIRECT("'"&amp;$H$3&amp;"'!$H$49:$H$78"),MATCH(INDIRECT("'"&amp;$H$3&amp;"'!W$136")&amp;"Insurance cost /yr ($)",INDIRECT("'"&amp;$H$3&amp;"'!$F$49:$F$78"),0))*INDIRECT("'"&amp;$H$3&amp;"'!W$140"),0),0)
+IFERROR((1-INDIRECT("'"&amp;$H$3&amp;"'!W$161"))*IF(INDIRECT("'"&amp;$H$3&amp;"'!W$157")='List Values'!$E$3,INDEX(INDIRECT("'"&amp;$H$3&amp;"'!$H$49:$H$78"),MATCH(INDIRECT("'"&amp;$H$3&amp;"'!W$156")&amp;"Insurance cost /yr ($)",INDIRECT("'"&amp;$H$3&amp;"'!$F$49:$F$78"),0))*INDIRECT("'"&amp;$H$3&amp;"'!W$160"),0),0)
+IFERROR((1-INDIRECT("'"&amp;$H$3&amp;"'!W$181"))*IF(INDIRECT("'"&amp;$H$3&amp;"'!W$177")='List Values'!$E$3,INDEX(INDIRECT("'"&amp;$H$3&amp;"'!$H$49:$H$78"),MATCH(INDIRECT("'"&amp;$H$3&amp;"'!W$176")&amp;"Insurance cost /yr ($)",INDIRECT("'"&amp;$H$3&amp;"'!$F$49:$F$78"),0))*INDIRECT("'"&amp;$H$3&amp;"'!W$180"),0),0)</f>
        <v>0</v>
      </c>
      <c r="Y114" s="341">
        <f t="shared" ca="1" si="11"/>
        <v>6439.65</v>
      </c>
      <c r="AL114" s="4"/>
    </row>
    <row r="115" spans="6:38">
      <c r="F115" s="288"/>
      <c r="G115" s="288" t="s">
        <v>92</v>
      </c>
      <c r="H115" s="300">
        <f ca="1">IFERROR((1-INDIRECT("'"&amp;$H$3&amp;"'!H$142"))*IF(INDIRECT("'"&amp;$H$3&amp;"'!H$137")='List Values'!$E$3,H$169*INDEX(INDIRECT("'"&amp;$H$3&amp;"'!$H$49:$H$78"),MATCH(INDIRECT("'"&amp;$H$3&amp;"'!H$136")&amp;"Maintenance cost/km ($)",INDIRECT("'"&amp;$H$3&amp;"'!$F$49:$F$78"),0)),0),0)
+ IFERROR((1-INDIRECT("'"&amp;$H$3&amp;"'!H$162"))*IF(INDIRECT("'"&amp;$H$3&amp;"'!H$157")='List Values'!$E$3,H$207*INDEX(INDIRECT("'"&amp;$H$3&amp;"'!$H$49:$H$78"),MATCH(INDIRECT("'"&amp;$H$3&amp;"'!H$156")&amp;"Maintenance cost/km ($)",INDIRECT("'"&amp;$H$3&amp;"'!$F$49:$F$78"),0)),0),0)
+ IFERROR((1-INDIRECT("'"&amp;$H$3&amp;"'!H$182"))*IF(INDIRECT("'"&amp;$H$3&amp;"'!H$177")='List Values'!$E$3,H$245*INDEX(INDIRECT("'"&amp;$H$3&amp;"'!$H$49:$H$78"),MATCH(INDIRECT("'"&amp;$H$3&amp;"'!H$176")&amp;"Maintenance cost/km ($)",INDIRECT("'"&amp;$H$3&amp;"'!$F$49:$F$78"),0)),0),0)</f>
        <v>0</v>
      </c>
      <c r="I115" s="300"/>
      <c r="J115" s="300"/>
      <c r="K115" s="300">
        <f ca="1">IFERROR((1-INDIRECT("'"&amp;$H$3&amp;"'!K$142"))*IF(INDIRECT("'"&amp;$H$3&amp;"'!K$137")='List Values'!$E$3,K$169*INDEX(INDIRECT("'"&amp;$H$3&amp;"'!$H$49:$H$78"),MATCH(INDIRECT("'"&amp;$H$3&amp;"'!K$136")&amp;"Maintenance cost/km ($)",INDIRECT("'"&amp;$H$3&amp;"'!$F$49:$F$78"),0)),0),0)
+ IFERROR((1-INDIRECT("'"&amp;$H$3&amp;"'!K$162"))*IF(INDIRECT("'"&amp;$H$3&amp;"'!K$157")='List Values'!$E$3,K$207*INDEX(INDIRECT("'"&amp;$H$3&amp;"'!$H$49:$H$78"),MATCH(INDIRECT("'"&amp;$H$3&amp;"'!K$156")&amp;"Maintenance cost/km ($)",INDIRECT("'"&amp;$H$3&amp;"'!$F$49:$F$78"),0)),0),0)
+ IFERROR((1-INDIRECT("'"&amp;$H$3&amp;"'!K$182"))*IF(INDIRECT("'"&amp;$H$3&amp;"'!K$177")='List Values'!$E$3,K$245*INDEX(INDIRECT("'"&amp;$H$3&amp;"'!$H$49:$H$78"),MATCH(INDIRECT("'"&amp;$H$3&amp;"'!K$176")&amp;"Maintenance cost/km ($)",INDIRECT("'"&amp;$H$3&amp;"'!$F$49:$F$78"),0)),0),0)</f>
        <v>54470.720000000001</v>
      </c>
      <c r="L115" s="300"/>
      <c r="M115" s="300"/>
      <c r="N115" s="300">
        <f ca="1">IFERROR((1-INDIRECT("'"&amp;$H$3&amp;"'!N$142"))*IF(INDIRECT("'"&amp;$H$3&amp;"'!N$137")='List Values'!$E$3,N$169*INDEX(INDIRECT("'"&amp;$H$3&amp;"'!$H$49:$H$78"),MATCH(INDIRECT("'"&amp;$H$3&amp;"'!N$136")&amp;"Maintenance cost/km ($)",INDIRECT("'"&amp;$H$3&amp;"'!$F$49:$F$78"),0)),0),0)
+ IFERROR((1-INDIRECT("'"&amp;$H$3&amp;"'!N$162"))*IF(INDIRECT("'"&amp;$H$3&amp;"'!N$157")='List Values'!$E$3,N$207*INDEX(INDIRECT("'"&amp;$H$3&amp;"'!$H$49:$H$78"),MATCH(INDIRECT("'"&amp;$H$3&amp;"'!N$156")&amp;"Maintenance cost/km ($)",INDIRECT("'"&amp;$H$3&amp;"'!$F$49:$F$78"),0)),0),0)
+ IFERROR((1-INDIRECT("'"&amp;$H$3&amp;"'!N$182"))*IF(INDIRECT("'"&amp;$H$3&amp;"'!N$177")='List Values'!$E$3,N$245*INDEX(INDIRECT("'"&amp;$H$3&amp;"'!$H$49:$H$78"),MATCH(INDIRECT("'"&amp;$H$3&amp;"'!N$176")&amp;"Maintenance cost/km ($)",INDIRECT("'"&amp;$H$3&amp;"'!$F$49:$F$78"),0)),0),0)</f>
        <v>31378.165414854448</v>
      </c>
      <c r="O115" s="300"/>
      <c r="P115" s="300"/>
      <c r="Q115" s="300">
        <f ca="1">IFERROR((1-INDIRECT("'"&amp;$H$3&amp;"'!Q$142"))*IF(INDIRECT("'"&amp;$H$3&amp;"'!Q$137")='List Values'!$E$3,Q$169*INDEX(INDIRECT("'"&amp;$H$3&amp;"'!$H$49:$H$78"),MATCH(INDIRECT("'"&amp;$H$3&amp;"'!Q$136")&amp;"Maintenance cost/km ($)",INDIRECT("'"&amp;$H$3&amp;"'!$F$49:$F$78"),0)),0),0)
+ IFERROR((1-INDIRECT("'"&amp;$H$3&amp;"'!Q$162"))*IF(INDIRECT("'"&amp;$H$3&amp;"'!Q$157")='List Values'!$E$3,Q$207*INDEX(INDIRECT("'"&amp;$H$3&amp;"'!$H$49:$H$78"),MATCH(INDIRECT("'"&amp;$H$3&amp;"'!Q$156")&amp;"Maintenance cost/km ($)",INDIRECT("'"&amp;$H$3&amp;"'!$F$49:$F$78"),0)),0),0)
+ IFERROR((1-INDIRECT("'"&amp;$H$3&amp;"'!Q$182"))*IF(INDIRECT("'"&amp;$H$3&amp;"'!Q$177")='List Values'!$E$3,Q$245*INDEX(INDIRECT("'"&amp;$H$3&amp;"'!$H$49:$H$78"),MATCH(INDIRECT("'"&amp;$H$3&amp;"'!Q$176")&amp;"Maintenance cost/km ($)",INDIRECT("'"&amp;$H$3&amp;"'!$F$49:$F$78"),0)),0),0)</f>
        <v>0</v>
      </c>
      <c r="R115" s="300"/>
      <c r="S115" s="337"/>
      <c r="T115" s="300">
        <f ca="1">IFERROR((1-INDIRECT("'"&amp;$H$3&amp;"'!T$142"))*IF(INDIRECT("'"&amp;$H$3&amp;"'!T$137")='List Values'!$E$3,T$169*INDEX(INDIRECT("'"&amp;$H$3&amp;"'!$H$49:$H$78"),MATCH(INDIRECT("'"&amp;$H$3&amp;"'!T$136")&amp;"Maintenance cost/km ($)",INDIRECT("'"&amp;$H$3&amp;"'!$F$49:$F$78"),0)),0),0)
+ IFERROR((1-INDIRECT("'"&amp;$H$3&amp;"'!T$162"))*IF(INDIRECT("'"&amp;$H$3&amp;"'!T$157")='List Values'!$E$3,T$207*INDEX(INDIRECT("'"&amp;$H$3&amp;"'!$H$49:$H$78"),MATCH(INDIRECT("'"&amp;$H$3&amp;"'!T$156")&amp;"Maintenance cost/km ($)",INDIRECT("'"&amp;$H$3&amp;"'!$F$49:$F$78"),0)),0),0)
+ IFERROR((1-INDIRECT("'"&amp;$H$3&amp;"'!T$182"))*IF(INDIRECT("'"&amp;$H$3&amp;"'!T$177")='List Values'!$E$3,T$245*INDEX(INDIRECT("'"&amp;$H$3&amp;"'!$H$49:$H$78"),MATCH(INDIRECT("'"&amp;$H$3&amp;"'!T$176")&amp;"Maintenance cost/km ($)",INDIRECT("'"&amp;$H$3&amp;"'!$F$49:$F$78"),0)),0),0)</f>
        <v>0</v>
      </c>
      <c r="U115" s="337"/>
      <c r="V115" s="337"/>
      <c r="W115" s="1437">
        <f ca="1">IFERROR((1-INDIRECT("'"&amp;$H$3&amp;"'!W$142"))*IF(INDIRECT("'"&amp;$H$3&amp;"'!W$137")='List Values'!$E$3,W$169*INDEX(INDIRECT("'"&amp;$H$3&amp;"'!$H$49:$H$78"),MATCH(INDIRECT("'"&amp;$H$3&amp;"'!W$136")&amp;"Maintenance cost/km ($)",INDIRECT("'"&amp;$H$3&amp;"'!$F$49:$F$78"),0)),0),0)
+ IFERROR((1-INDIRECT("'"&amp;$H$3&amp;"'!W$162"))*IF(INDIRECT("'"&amp;$H$3&amp;"'!W$157")='List Values'!$E$3,W$207*INDEX(INDIRECT("'"&amp;$H$3&amp;"'!$H$49:$H$78"),MATCH(INDIRECT("'"&amp;$H$3&amp;"'!W$156")&amp;"Maintenance cost/km ($)",INDIRECT("'"&amp;$H$3&amp;"'!$F$49:$F$78"),0)),0),0)
+ IFERROR((1-INDIRECT("'"&amp;$H$3&amp;"'!W$182"))*IF(INDIRECT("'"&amp;$H$3&amp;"'!W$177")='List Values'!$E$3,W$245*INDEX(INDIRECT("'"&amp;$H$3&amp;"'!$H$49:$H$78"),MATCH(INDIRECT("'"&amp;$H$3&amp;"'!W$176")&amp;"Maintenance cost/km ($)",INDIRECT("'"&amp;$H$3&amp;"'!$F$49:$F$78"),0)),0),0)</f>
        <v>0</v>
      </c>
      <c r="Y115" s="341">
        <f t="shared" ca="1" si="11"/>
        <v>85848.885414854449</v>
      </c>
      <c r="AL115" s="4"/>
    </row>
    <row r="116" spans="6:38">
      <c r="F116" s="288"/>
      <c r="G116" s="288" t="s">
        <v>93</v>
      </c>
      <c r="H116" s="300">
        <f ca="1">IFERROR((1-INDIRECT("'"&amp;$H$3&amp;"'!H$141"))*IF(INDIRECT("'"&amp;$H$3&amp;"'!H$137")='List Values'!$E$3,INDEX(INDIRECT("'"&amp;$H$3&amp;"'!$H$49:$H$78"),MATCH(INDIRECT("'"&amp;$H$3&amp;"'!H$136")&amp;"Depreciation cost / yr ($)",INDIRECT("'"&amp;$H$3&amp;"'!$F$49:$F$78"),0))*INDIRECT("'"&amp;$H$3&amp;"'!H$140"),0),0)
+IFERROR((1-INDIRECT("'"&amp;$H$3&amp;"'!H$161"))*IF(INDIRECT("'"&amp;$H$3&amp;"'!H$157")='List Values'!$E$3,INDEX(INDIRECT("'"&amp;$H$3&amp;"'!$H$49:$H$78"),MATCH(INDIRECT("'"&amp;$H$3&amp;"'!H$156")&amp;"Depreciation cost / yr ($)",INDIRECT("'"&amp;$H$3&amp;"'!$F$49:$F$78"),0))*INDIRECT("'"&amp;$H$3&amp;"'!H$160"),0),0)
+IFERROR((1-INDIRECT("'"&amp;$H$3&amp;"'!H$181"))*IF(INDIRECT("'"&amp;$H$3&amp;"'!H$177")='List Values'!$E$3,INDEX(INDIRECT("'"&amp;$H$3&amp;"'!$H$49:$H$78"),MATCH(INDIRECT("'"&amp;$H$3&amp;"'!H$176")&amp;"Depreciation cost / yr ($)",INDIRECT("'"&amp;$H$3&amp;"'!$F$49:$F$78"),0))*INDIRECT("'"&amp;$H$3&amp;"'!H$180"),0),0)</f>
        <v>0</v>
      </c>
      <c r="I116" s="300"/>
      <c r="J116" s="300"/>
      <c r="K116" s="300">
        <f ca="1">IFERROR((1-INDIRECT("'"&amp;$H$3&amp;"'!K$141"))*IF(INDIRECT("'"&amp;$H$3&amp;"'!K$137")='List Values'!$E$3,INDEX(INDIRECT("'"&amp;$H$3&amp;"'!$H$49:$H$78"),MATCH(INDIRECT("'"&amp;$H$3&amp;"'!K$136")&amp;"Depreciation cost / yr ($)",INDIRECT("'"&amp;$H$3&amp;"'!$F$49:$F$78"),0))*INDIRECT("'"&amp;$H$3&amp;"'!K$140"),0),0)
+IFERROR((1-INDIRECT("'"&amp;$H$3&amp;"'!K$161"))*IF(INDIRECT("'"&amp;$H$3&amp;"'!K$157")='List Values'!$E$3,INDEX(INDIRECT("'"&amp;$H$3&amp;"'!$H$49:$H$78"),MATCH(INDIRECT("'"&amp;$H$3&amp;"'!K$156")&amp;"Depreciation cost / yr ($)",INDIRECT("'"&amp;$H$3&amp;"'!$F$49:$F$78"),0))*INDIRECT("'"&amp;$H$3&amp;"'!K$160"),0),0)
+IFERROR((1-INDIRECT("'"&amp;$H$3&amp;"'!K$181"))*IF(INDIRECT("'"&amp;$H$3&amp;"'!K$177")='List Values'!$E$3,INDEX(INDIRECT("'"&amp;$H$3&amp;"'!$H$49:$H$78"),MATCH(INDIRECT("'"&amp;$H$3&amp;"'!K$176")&amp;"Depreciation cost / yr ($)",INDIRECT("'"&amp;$H$3&amp;"'!$F$49:$F$78"),0))*INDIRECT("'"&amp;$H$3&amp;"'!K$180"),0),0)</f>
        <v>14089.798000000001</v>
      </c>
      <c r="L116" s="300"/>
      <c r="M116" s="300"/>
      <c r="N116" s="300">
        <f ca="1">IFERROR((1-INDIRECT("'"&amp;$H$3&amp;"'!N$141"))*IF(INDIRECT("'"&amp;$H$3&amp;"'!N$137")='List Values'!$E$3,INDEX(INDIRECT("'"&amp;$H$3&amp;"'!$H$49:$H$78"),MATCH(INDIRECT("'"&amp;$H$3&amp;"'!N$136")&amp;"Depreciation cost / yr ($)",INDIRECT("'"&amp;$H$3&amp;"'!$F$49:$F$78"),0))*INDIRECT("'"&amp;$H$3&amp;"'!N$140"),0),0)
+IFERROR((1-INDIRECT("'"&amp;$H$3&amp;"'!N$161"))*IF(INDIRECT("'"&amp;$H$3&amp;"'!N$157")='List Values'!$E$3,INDEX(INDIRECT("'"&amp;$H$3&amp;"'!$H$49:$H$78"),MATCH(INDIRECT("'"&amp;$H$3&amp;"'!N$156")&amp;"Depreciation cost / yr ($)",INDIRECT("'"&amp;$H$3&amp;"'!$F$49:$F$78"),0))*INDIRECT("'"&amp;$H$3&amp;"'!N$160"),0),0)
+IFERROR((1-INDIRECT("'"&amp;$H$3&amp;"'!N$181"))*IF(INDIRECT("'"&amp;$H$3&amp;"'!N$177")='List Values'!$E$3,INDEX(INDIRECT("'"&amp;$H$3&amp;"'!$H$49:$H$78"),MATCH(INDIRECT("'"&amp;$H$3&amp;"'!N$176")&amp;"Depreciation cost / yr ($)",INDIRECT("'"&amp;$H$3&amp;"'!$F$49:$F$78"),0))*INDIRECT("'"&amp;$H$3&amp;"'!N$180"),0),0)</f>
        <v>21134.697</v>
      </c>
      <c r="O116" s="300"/>
      <c r="P116" s="300"/>
      <c r="Q116" s="300">
        <f ca="1">IFERROR((1-INDIRECT("'"&amp;$H$3&amp;"'!Q$141"))*IF(INDIRECT("'"&amp;$H$3&amp;"'!Q$137")='List Values'!$E$3,INDEX(INDIRECT("'"&amp;$H$3&amp;"'!$H$49:$H$78"),MATCH(INDIRECT("'"&amp;$H$3&amp;"'!Q$136")&amp;"Depreciation cost / yr ($)",INDIRECT("'"&amp;$H$3&amp;"'!$F$49:$F$78"),0))*INDIRECT("'"&amp;$H$3&amp;"'!Q$140"),0),0)
+IFERROR((1-INDIRECT("'"&amp;$H$3&amp;"'!Q$161"))*IF(INDIRECT("'"&amp;$H$3&amp;"'!Q$157")='List Values'!$E$3,INDEX(INDIRECT("'"&amp;$H$3&amp;"'!$H$49:$H$78"),MATCH(INDIRECT("'"&amp;$H$3&amp;"'!Q$156")&amp;"Depreciation cost / yr ($)",INDIRECT("'"&amp;$H$3&amp;"'!$F$49:$F$78"),0))*INDIRECT("'"&amp;$H$3&amp;"'!Q$160"),0),0)
+IFERROR((1-INDIRECT("'"&amp;$H$3&amp;"'!Q$181"))*IF(INDIRECT("'"&amp;$H$3&amp;"'!Q$177")='List Values'!$E$3,INDEX(INDIRECT("'"&amp;$H$3&amp;"'!$H$49:$H$78"),MATCH(INDIRECT("'"&amp;$H$3&amp;"'!Q$176")&amp;"Depreciation cost / yr ($)",INDIRECT("'"&amp;$H$3&amp;"'!$F$49:$F$78"),0))*INDIRECT("'"&amp;$H$3&amp;"'!Q$180"),0),0)</f>
        <v>0</v>
      </c>
      <c r="R116" s="300"/>
      <c r="S116" s="337"/>
      <c r="T116" s="300">
        <f ca="1">IFERROR((1-INDIRECT("'"&amp;$H$3&amp;"'!T$141"))*IF(INDIRECT("'"&amp;$H$3&amp;"'!T$137")='List Values'!$E$3,INDEX(INDIRECT("'"&amp;$H$3&amp;"'!$H$49:$H$78"),MATCH(INDIRECT("'"&amp;$H$3&amp;"'!T$136")&amp;"Depreciation cost / yr ($)",INDIRECT("'"&amp;$H$3&amp;"'!$F$49:$F$78"),0))*INDIRECT("'"&amp;$H$3&amp;"'!T$140"),0),0)
+IFERROR((1-INDIRECT("'"&amp;$H$3&amp;"'!T$161"))*IF(INDIRECT("'"&amp;$H$3&amp;"'!T$157")='List Values'!$E$3,INDEX(INDIRECT("'"&amp;$H$3&amp;"'!$H$49:$H$78"),MATCH(INDIRECT("'"&amp;$H$3&amp;"'!T$156")&amp;"Depreciation cost / yr ($)",INDIRECT("'"&amp;$H$3&amp;"'!$F$49:$F$78"),0))*INDIRECT("'"&amp;$H$3&amp;"'!T$160"),0),0)
+IFERROR((1-INDIRECT("'"&amp;$H$3&amp;"'!T$181"))*IF(INDIRECT("'"&amp;$H$3&amp;"'!T$177")='List Values'!$E$3,INDEX(INDIRECT("'"&amp;$H$3&amp;"'!$H$49:$H$78"),MATCH(INDIRECT("'"&amp;$H$3&amp;"'!T$176")&amp;"Depreciation cost / yr ($)",INDIRECT("'"&amp;$H$3&amp;"'!$F$49:$F$78"),0))*INDIRECT("'"&amp;$H$3&amp;"'!T$180"),0),0)</f>
        <v>0</v>
      </c>
      <c r="U116" s="337"/>
      <c r="V116" s="337"/>
      <c r="W116" s="1437">
        <f ca="1">IFERROR((1-INDIRECT("'"&amp;$H$3&amp;"'!W$141"))*IF(INDIRECT("'"&amp;$H$3&amp;"'!W$137")='List Values'!$E$3,INDEX(INDIRECT("'"&amp;$H$3&amp;"'!$H$49:$H$78"),MATCH(INDIRECT("'"&amp;$H$3&amp;"'!W$136")&amp;"Depreciation cost / yr ($)",INDIRECT("'"&amp;$H$3&amp;"'!$F$49:$F$78"),0))*INDIRECT("'"&amp;$H$3&amp;"'!W$140"),0),0)
+IFERROR((1-INDIRECT("'"&amp;$H$3&amp;"'!W$161"))*IF(INDIRECT("'"&amp;$H$3&amp;"'!W$157")='List Values'!$E$3,INDEX(INDIRECT("'"&amp;$H$3&amp;"'!$H$49:$H$78"),MATCH(INDIRECT("'"&amp;$H$3&amp;"'!W$156")&amp;"Depreciation cost / yr ($)",INDIRECT("'"&amp;$H$3&amp;"'!$F$49:$F$78"),0))*INDIRECT("'"&amp;$H$3&amp;"'!W$160"),0),0)
+IFERROR((1-INDIRECT("'"&amp;$H$3&amp;"'!W$181"))*IF(INDIRECT("'"&amp;$H$3&amp;"'!W$177")='List Values'!$E$3,INDEX(INDIRECT("'"&amp;$H$3&amp;"'!$H$49:$H$78"),MATCH(INDIRECT("'"&amp;$H$3&amp;"'!W$176")&amp;"Depreciation cost / yr ($)",INDIRECT("'"&amp;$H$3&amp;"'!$F$49:$F$78"),0))*INDIRECT("'"&amp;$H$3&amp;"'!W$180"),0),0)</f>
        <v>0</v>
      </c>
      <c r="Y116" s="341">
        <f t="shared" ca="1" si="11"/>
        <v>35224.495000000003</v>
      </c>
      <c r="AL116" s="4"/>
    </row>
    <row r="117" spans="6:38">
      <c r="F117" s="363"/>
      <c r="G117" s="220" t="s">
        <v>160</v>
      </c>
      <c r="H117" s="296">
        <f ca="1">IFERROR((1-INDIRECT("'"&amp;$H$3&amp;"'!H$142"))*H$154*INDEX(INDIRECT("'"&amp;$H$3&amp;"'!$H$43:$H$78"),MATCH(INDIRECT("'"&amp;$H$3&amp;"'!H$136")&amp;"Average cost ($) per trip (one-way)",INDIRECT("'"&amp;$H$3&amp;"'!$F$43:$F$78"),0)),0)
+IFERROR((1-INDIRECT("'"&amp;$H$3&amp;"'!H$162"))*H$192*INDEX(INDIRECT("'"&amp;$H$3&amp;"'!$H$43:$H$78"),MATCH(INDIRECT("'"&amp;$H$3&amp;"'!H$156")&amp;"Average cost ($) per trip (one-way)",INDIRECT("'"&amp;$H$3&amp;"'!$F$43:$F$78"),0)),0)
+IFERROR((1-INDIRECT("'"&amp;$H$3&amp;"'!H$182"))*H$230*INDEX(INDIRECT("'"&amp;$H$3&amp;"'!$H$43:$H$78"),MATCH(INDIRECT("'"&amp;$H$3&amp;"'!H$176")&amp;"Average cost ($) per trip (one-way)",INDIRECT("'"&amp;$H$3&amp;"'!$F$43:$F$78"),0)),0)</f>
        <v>0</v>
      </c>
      <c r="I117" s="296"/>
      <c r="J117" s="296"/>
      <c r="K117" s="296">
        <f ca="1">IFERROR((1-INDIRECT("'"&amp;$H$3&amp;"'!K$142"))*K$154*INDEX(INDIRECT("'"&amp;$H$3&amp;"'!$H$43:$H$78"),MATCH(INDIRECT("'"&amp;$H$3&amp;"'!K$136")&amp;"Average cost ($) per trip (one-way)",INDIRECT("'"&amp;$H$3&amp;"'!$F$43:$F$78"),0)),0)
+IFERROR((1-INDIRECT("'"&amp;$H$3&amp;"'!K$162"))*K$192*INDEX(INDIRECT("'"&amp;$H$3&amp;"'!$H$43:$H$78"),MATCH(INDIRECT("'"&amp;$H$3&amp;"'!K$156")&amp;"Average cost ($) per trip (one-way)",INDIRECT("'"&amp;$H$3&amp;"'!$F$43:$F$78"),0)),0)
+IFERROR((1-INDIRECT("'"&amp;$H$3&amp;"'!K$182"))*K$230*INDEX(INDIRECT("'"&amp;$H$3&amp;"'!$H$43:$H$78"),MATCH(INDIRECT("'"&amp;$H$3&amp;"'!K$176")&amp;"Average cost ($) per trip (one-way)",INDIRECT("'"&amp;$H$3&amp;"'!$F$43:$F$78"),0)),0)</f>
        <v>0</v>
      </c>
      <c r="L117" s="296"/>
      <c r="M117" s="296"/>
      <c r="N117" s="296">
        <f ca="1">IFERROR((1-INDIRECT("'"&amp;$H$3&amp;"'!N$142"))*N$154*INDEX(INDIRECT("'"&amp;$H$3&amp;"'!$H$43:$H$78"),MATCH(INDIRECT("'"&amp;$H$3&amp;"'!N$136")&amp;"Average cost ($) per trip (one-way)",INDIRECT("'"&amp;$H$3&amp;"'!$F$43:$F$78"),0)),0)
+IFERROR((1-INDIRECT("'"&amp;$H$3&amp;"'!N$162"))*N$192*INDEX(INDIRECT("'"&amp;$H$3&amp;"'!$H$43:$H$78"),MATCH(INDIRECT("'"&amp;$H$3&amp;"'!N$156")&amp;"Average cost ($) per trip (one-way)",INDIRECT("'"&amp;$H$3&amp;"'!$F$43:$F$78"),0)),0)
+IFERROR((1-INDIRECT("'"&amp;$H$3&amp;"'!N$182"))*N$230*INDEX(INDIRECT("'"&amp;$H$3&amp;"'!$H$43:$H$78"),MATCH(INDIRECT("'"&amp;$H$3&amp;"'!N$176")&amp;"Average cost ($) per trip (one-way)",INDIRECT("'"&amp;$H$3&amp;"'!$F$43:$F$78"),0)),0)</f>
        <v>0</v>
      </c>
      <c r="O117" s="296"/>
      <c r="P117" s="296"/>
      <c r="Q117" s="296">
        <f ca="1">IFERROR((1-INDIRECT("'"&amp;$H$3&amp;"'!Q$142"))*Q$154*INDEX(INDIRECT("'"&amp;$H$3&amp;"'!$H$43:$H$78"),MATCH(INDIRECT("'"&amp;$H$3&amp;"'!Q$136")&amp;"Average cost ($) per trip (one-way)",INDIRECT("'"&amp;$H$3&amp;"'!$F$43:$F$78"),0)),0)
+IFERROR((1-INDIRECT("'"&amp;$H$3&amp;"'!Q$162"))*Q$192*INDEX(INDIRECT("'"&amp;$H$3&amp;"'!$H$43:$H$78"),MATCH(INDIRECT("'"&amp;$H$3&amp;"'!Q$156")&amp;"Average cost ($) per trip (one-way)",INDIRECT("'"&amp;$H$3&amp;"'!$F$43:$F$78"),0)),0)
+IFERROR((1-INDIRECT("'"&amp;$H$3&amp;"'!Q$182"))*Q$230*INDEX(INDIRECT("'"&amp;$H$3&amp;"'!$H$43:$H$78"),MATCH(INDIRECT("'"&amp;$H$3&amp;"'!Q$176")&amp;"Average cost ($) per trip (one-way)",INDIRECT("'"&amp;$H$3&amp;"'!$F$43:$F$78"),0)),0)</f>
        <v>0</v>
      </c>
      <c r="R117" s="296"/>
      <c r="S117" s="361"/>
      <c r="T117" s="296">
        <f ca="1">IFERROR((1-INDIRECT("'"&amp;$H$3&amp;"'!T$142"))*T$154*INDEX(INDIRECT("'"&amp;$H$3&amp;"'!$H$43:$H$78"),MATCH(INDIRECT("'"&amp;$H$3&amp;"'!T$136")&amp;"Average cost ($) per trip (one-way)",INDIRECT("'"&amp;$H$3&amp;"'!$F$43:$F$78"),0)),0)
+IFERROR((1-INDIRECT("'"&amp;$H$3&amp;"'!T$162"))*T$192*INDEX(INDIRECT("'"&amp;$H$3&amp;"'!$H$43:$H$78"),MATCH(INDIRECT("'"&amp;$H$3&amp;"'!T$156")&amp;"Average cost ($) per trip (one-way)",INDIRECT("'"&amp;$H$3&amp;"'!$F$43:$F$78"),0)),0)
+IFERROR((1-INDIRECT("'"&amp;$H$3&amp;"'!T$182"))*T$230*INDEX(INDIRECT("'"&amp;$H$3&amp;"'!$H$43:$H$78"),MATCH(INDIRECT("'"&amp;$H$3&amp;"'!T$176")&amp;"Average cost ($) per trip (one-way)",INDIRECT("'"&amp;$H$3&amp;"'!$F$43:$F$78"),0)),0)</f>
        <v>0</v>
      </c>
      <c r="U117" s="361"/>
      <c r="V117" s="361"/>
      <c r="W117" s="1438">
        <f ca="1">IFERROR((1-INDIRECT("'"&amp;$H$3&amp;"'!W$142"))*W$154*INDEX(INDIRECT("'"&amp;$H$3&amp;"'!$H$43:$H$78"),MATCH(INDIRECT("'"&amp;$H$3&amp;"'!W$136")&amp;"Average cost ($) per trip (one-way)",INDIRECT("'"&amp;$H$3&amp;"'!$F$43:$F$78"),0)),0)
+IFERROR((1-INDIRECT("'"&amp;$H$3&amp;"'!W$162"))*W$192*INDEX(INDIRECT("'"&amp;$H$3&amp;"'!$H$43:$H$78"),MATCH(INDIRECT("'"&amp;$H$3&amp;"'!W$156")&amp;"Average cost ($) per trip (one-way)",INDIRECT("'"&amp;$H$3&amp;"'!$F$43:$F$78"),0)),0)
+IFERROR((1-INDIRECT("'"&amp;$H$3&amp;"'!W$182"))*W$230*INDEX(INDIRECT("'"&amp;$H$3&amp;"'!$H$43:$H$78"),MATCH(INDIRECT("'"&amp;$H$3&amp;"'!W$176")&amp;"Average cost ($) per trip (one-way)",INDIRECT("'"&amp;$H$3&amp;"'!$F$43:$F$78"),0)),0)</f>
        <v>0</v>
      </c>
      <c r="Y117" s="347">
        <f t="shared" ca="1" si="11"/>
        <v>0</v>
      </c>
    </row>
    <row r="118" spans="6:38">
      <c r="F118" s="330" t="s">
        <v>2441</v>
      </c>
      <c r="G118" s="330"/>
      <c r="H118" s="327"/>
      <c r="I118" s="327"/>
      <c r="J118" s="327"/>
      <c r="K118" s="327"/>
      <c r="L118" s="327"/>
      <c r="M118" s="327"/>
      <c r="N118" s="327"/>
      <c r="O118" s="327"/>
      <c r="P118" s="327"/>
      <c r="Q118" s="327"/>
      <c r="R118" s="329"/>
      <c r="S118" s="331"/>
      <c r="T118" s="327"/>
      <c r="U118" s="331"/>
      <c r="V118" s="331"/>
      <c r="W118" s="1439"/>
      <c r="X118" s="1463"/>
      <c r="Y118" s="1489">
        <f ca="1">SUM(Y119:Y127)</f>
        <v>0</v>
      </c>
    </row>
    <row r="119" spans="6:38">
      <c r="F119" s="219"/>
      <c r="G119" s="219" t="s">
        <v>48</v>
      </c>
      <c r="H119" s="297">
        <f ca="1">IFERROR((1-INDIRECT("'"&amp;$H$3&amp;"'!H$271"))*IF(INDIRECT("'"&amp;$H$3&amp;"'!H$265")='List Values'!$E$5,INDIRECT("'"&amp;$H$3&amp;"'!H$267")*IF(INDIRECT("'"&amp;$H$3&amp;"'!H$266")='List Values'!$F$3,H$369,IF(INDIRECT("'"&amp;$H$3&amp;"'!H$266")='List Values'!$F$4,'4_Outputs'!H$52*INDIRECT("'"&amp;$H$3&amp;"'!H$95")*INDIRECT("'"&amp;$H$3&amp;"'!H$263"),IF(INDIRECT("'"&amp;$H$3&amp;"'!H$266")='List Values'!$F$5,H$370,IF(INDIRECT("'"&amp;$H$3&amp;"'!H$266")='List Values'!$F$6,INDIRECT("'"&amp;$H$3&amp;"'!H$95")*INDIRECT("'"&amp;$H$3&amp;"'!H$263"),IF(INDIRECT("'"&amp;$H$3&amp;"'!H$266")='List Values'!$F$7,1,0))))),0),0)
+IFERROR((1-INDIRECT("'"&amp;$H$3&amp;"'!H$291"))*IF(INDIRECT("'"&amp;$H$3&amp;"'!H$285")='List Values'!$E$5,INDIRECT("'"&amp;$H$3&amp;"'!H$287")*IF(INDIRECT("'"&amp;$H$3&amp;"'!H$286")='List Values'!$F$3,H$398,IF(INDIRECT("'"&amp;$H$3&amp;"'!H$286")='List Values'!$F$4,'4_Outputs'!H$52*INDIRECT("'"&amp;$H$3&amp;"'!H$95")*INDIRECT("'"&amp;$H$3&amp;"'!H$283"),IF(INDIRECT("'"&amp;$H$3&amp;"'!H$286")='List Values'!$F$5,H$399,IF(INDIRECT("'"&amp;$H$3&amp;"'!H$286")='List Values'!$F$6,INDIRECT("'"&amp;$H$3&amp;"'!H$95")*INDIRECT("'"&amp;$H$3&amp;"'!H$283"),IF(INDIRECT("'"&amp;$H$3&amp;"'!H$286")='List Values'!$F$7,1,0))))),0),0)
+IFERROR((1-INDIRECT("'"&amp;$H$3&amp;"'!H$311"))*IF(INDIRECT("'"&amp;$H$3&amp;"'!H$305")='List Values'!$E$5,INDIRECT("'"&amp;$H$3&amp;"'!H$307")*IF(INDIRECT("'"&amp;$H$3&amp;"'!H$306")='List Values'!$F$3,H$427,IF(INDIRECT("'"&amp;$H$3&amp;"'!H$306")='List Values'!$F$4,'4_Outputs'!H$52*INDIRECT("'"&amp;$H$3&amp;"'!H$95")*INDIRECT("'"&amp;$H$3&amp;"'!H$303"),IF(INDIRECT("'"&amp;$H$3&amp;"'!H$306")='List Values'!$F$5,H$428,IF(INDIRECT("'"&amp;$H$3&amp;"'!H$306")='List Values'!$F$6,INDIRECT("'"&amp;$H$3&amp;"'!H$95")*INDIRECT("'"&amp;$H$3&amp;"'!H$303"),IF(INDIRECT("'"&amp;$H$3&amp;"'!H$306")='List Values'!$F$7,1,0))))),0),0)</f>
        <v>0</v>
      </c>
      <c r="I119" s="297"/>
      <c r="J119" s="297"/>
      <c r="K119" s="297">
        <f ca="1">IFERROR((1-INDIRECT("'"&amp;$H$3&amp;"'!K$271"))*IF(INDIRECT("'"&amp;$H$3&amp;"'!K$265")='List Values'!$E$5,INDIRECT("'"&amp;$H$3&amp;"'!K$267")*IF(INDIRECT("'"&amp;$H$3&amp;"'!K$266")='List Values'!$F$3,K$369,IF(INDIRECT("'"&amp;$H$3&amp;"'!K$266")='List Values'!$F$4,'4_Outputs'!K$52*INDIRECT("'"&amp;$H$3&amp;"'!K$95")*INDIRECT("'"&amp;$H$3&amp;"'!K$263"),IF(INDIRECT("'"&amp;$H$3&amp;"'!K$266")='List Values'!$F$5,K$370,IF(INDIRECT("'"&amp;$H$3&amp;"'!K$266")='List Values'!$F$6,INDIRECT("'"&amp;$H$3&amp;"'!K$95")*INDIRECT("'"&amp;$H$3&amp;"'!K$263"),IF(INDIRECT("'"&amp;$H$3&amp;"'!K$266")='List Values'!$F$7,1,0))))),0),0)
+IFERROR((1-INDIRECT("'"&amp;$H$3&amp;"'!K$291"))*IF(INDIRECT("'"&amp;$H$3&amp;"'!K$285")='List Values'!$E$5,INDIRECT("'"&amp;$H$3&amp;"'!K$287")*IF(INDIRECT("'"&amp;$H$3&amp;"'!K$286")='List Values'!$F$3,K$398,IF(INDIRECT("'"&amp;$H$3&amp;"'!K$286")='List Values'!$F$4,'4_Outputs'!K$52*INDIRECT("'"&amp;$H$3&amp;"'!K$95")*INDIRECT("'"&amp;$H$3&amp;"'!K$283"),IF(INDIRECT("'"&amp;$H$3&amp;"'!K$286")='List Values'!$F$5,K$399,IF(INDIRECT("'"&amp;$H$3&amp;"'!K$286")='List Values'!$F$6,INDIRECT("'"&amp;$H$3&amp;"'!K$95")*INDIRECT("'"&amp;$H$3&amp;"'!K$283"),IF(INDIRECT("'"&amp;$H$3&amp;"'!K$286")='List Values'!$F$7,1,0))))),0),0)
+IFERROR((1-INDIRECT("'"&amp;$H$3&amp;"'!K$311"))*IF(INDIRECT("'"&amp;$H$3&amp;"'!K$305")='List Values'!$E$5,INDIRECT("'"&amp;$H$3&amp;"'!K$307")*IF(INDIRECT("'"&amp;$H$3&amp;"'!K$306")='List Values'!$F$3,K$427,IF(INDIRECT("'"&amp;$H$3&amp;"'!K$306")='List Values'!$F$4,'4_Outputs'!K$52*INDIRECT("'"&amp;$H$3&amp;"'!K$95")*INDIRECT("'"&amp;$H$3&amp;"'!K$303"),IF(INDIRECT("'"&amp;$H$3&amp;"'!K$306")='List Values'!$F$5,K$428,IF(INDIRECT("'"&amp;$H$3&amp;"'!K$306")='List Values'!$F$6,INDIRECT("'"&amp;$H$3&amp;"'!K$95")*INDIRECT("'"&amp;$H$3&amp;"'!K$303"),IF(INDIRECT("'"&amp;$H$3&amp;"'!K$306")='List Values'!$F$7,1,0))))),0),0)</f>
        <v>0</v>
      </c>
      <c r="L119" s="297"/>
      <c r="M119" s="297"/>
      <c r="N119" s="297">
        <f ca="1">IFERROR((1-INDIRECT("'"&amp;$H$3&amp;"'!N$271"))*IF(INDIRECT("'"&amp;$H$3&amp;"'!N$265")='List Values'!$E$5,INDIRECT("'"&amp;$H$3&amp;"'!N$267")*IF(INDIRECT("'"&amp;$H$3&amp;"'!N$266")='List Values'!$F$3,N$369,IF(INDIRECT("'"&amp;$H$3&amp;"'!N$266")='List Values'!$F$4,'4_Outputs'!N$52*INDIRECT("'"&amp;$H$3&amp;"'!N$95")*INDIRECT("'"&amp;$H$3&amp;"'!N$263"),IF(INDIRECT("'"&amp;$H$3&amp;"'!N$266")='List Values'!$F$5,N$370,IF(INDIRECT("'"&amp;$H$3&amp;"'!N$266")='List Values'!$F$6,INDIRECT("'"&amp;$H$3&amp;"'!N$95")*INDIRECT("'"&amp;$H$3&amp;"'!N$263"),IF(INDIRECT("'"&amp;$H$3&amp;"'!N$266")='List Values'!$F$7,1,0))))),0),0)
+IFERROR((1-INDIRECT("'"&amp;$H$3&amp;"'!N$291"))*IF(INDIRECT("'"&amp;$H$3&amp;"'!N$285")='List Values'!$E$5,INDIRECT("'"&amp;$H$3&amp;"'!N$287")*IF(INDIRECT("'"&amp;$H$3&amp;"'!N$286")='List Values'!$F$3,N$398,IF(INDIRECT("'"&amp;$H$3&amp;"'!N$286")='List Values'!$F$4,'4_Outputs'!N$52*INDIRECT("'"&amp;$H$3&amp;"'!N$95")*INDIRECT("'"&amp;$H$3&amp;"'!N$283"),IF(INDIRECT("'"&amp;$H$3&amp;"'!N$286")='List Values'!$F$5,N$399,IF(INDIRECT("'"&amp;$H$3&amp;"'!N$286")='List Values'!$F$6,INDIRECT("'"&amp;$H$3&amp;"'!N$95")*INDIRECT("'"&amp;$H$3&amp;"'!N$283"),IF(INDIRECT("'"&amp;$H$3&amp;"'!N$286")='List Values'!$F$7,1,0))))),0),0)
+IFERROR((1-INDIRECT("'"&amp;$H$3&amp;"'!N$311"))*IF(INDIRECT("'"&amp;$H$3&amp;"'!N$305")='List Values'!$E$5,INDIRECT("'"&amp;$H$3&amp;"'!N$307")*IF(INDIRECT("'"&amp;$H$3&amp;"'!N$306")='List Values'!$F$3,N$427,IF(INDIRECT("'"&amp;$H$3&amp;"'!N$306")='List Values'!$F$4,'4_Outputs'!N$52*INDIRECT("'"&amp;$H$3&amp;"'!N$95")*INDIRECT("'"&amp;$H$3&amp;"'!N$303"),IF(INDIRECT("'"&amp;$H$3&amp;"'!N$306")='List Values'!$F$5,N$428,IF(INDIRECT("'"&amp;$H$3&amp;"'!N$306")='List Values'!$F$6,INDIRECT("'"&amp;$H$3&amp;"'!N$95")*INDIRECT("'"&amp;$H$3&amp;"'!N$303"),IF(INDIRECT("'"&amp;$H$3&amp;"'!N$306")='List Values'!$F$7,1,0))))),0),0)</f>
        <v>0</v>
      </c>
      <c r="O119" s="297"/>
      <c r="P119" s="297"/>
      <c r="Q119" s="297">
        <f ca="1">IFERROR((1-INDIRECT("'"&amp;$H$3&amp;"'!Q$271"))*IF(INDIRECT("'"&amp;$H$3&amp;"'!Q$265")='List Values'!$E$5,INDIRECT("'"&amp;$H$3&amp;"'!Q$267")*IF(INDIRECT("'"&amp;$H$3&amp;"'!Q$266")='List Values'!$F$3,Q$369,IF(INDIRECT("'"&amp;$H$3&amp;"'!Q$266")='List Values'!$F$4,'4_Outputs'!Q$52*INDIRECT("'"&amp;$H$3&amp;"'!Q$95")*INDIRECT("'"&amp;$H$3&amp;"'!Q$263"),IF(INDIRECT("'"&amp;$H$3&amp;"'!Q$266")='List Values'!$F$5,Q$370,IF(INDIRECT("'"&amp;$H$3&amp;"'!Q$266")='List Values'!$F$6,INDIRECT("'"&amp;$H$3&amp;"'!Q$95")*INDIRECT("'"&amp;$H$3&amp;"'!Q$263"),IF(INDIRECT("'"&amp;$H$3&amp;"'!Q$266")='List Values'!$F$7,1,0))))),0),0)
+IFERROR((1-INDIRECT("'"&amp;$H$3&amp;"'!Q$291"))*IF(INDIRECT("'"&amp;$H$3&amp;"'!Q$285")='List Values'!$E$5,INDIRECT("'"&amp;$H$3&amp;"'!Q$287")*IF(INDIRECT("'"&amp;$H$3&amp;"'!Q$286")='List Values'!$F$3,Q$398,IF(INDIRECT("'"&amp;$H$3&amp;"'!Q$286")='List Values'!$F$4,'4_Outputs'!Q$52*INDIRECT("'"&amp;$H$3&amp;"'!Q$95")*INDIRECT("'"&amp;$H$3&amp;"'!Q$283"),IF(INDIRECT("'"&amp;$H$3&amp;"'!Q$286")='List Values'!$F$5,Q$399,IF(INDIRECT("'"&amp;$H$3&amp;"'!Q$286")='List Values'!$F$6,INDIRECT("'"&amp;$H$3&amp;"'!Q$95")*INDIRECT("'"&amp;$H$3&amp;"'!Q$283"),IF(INDIRECT("'"&amp;$H$3&amp;"'!Q$286")='List Values'!$F$7,1,0))))),0),0)
+IFERROR((1-INDIRECT("'"&amp;$H$3&amp;"'!Q$311"))*IF(INDIRECT("'"&amp;$H$3&amp;"'!Q$305")='List Values'!$E$5,INDIRECT("'"&amp;$H$3&amp;"'!Q$307")*IF(INDIRECT("'"&amp;$H$3&amp;"'!Q$306")='List Values'!$F$3,Q$427,IF(INDIRECT("'"&amp;$H$3&amp;"'!Q$306")='List Values'!$F$4,'4_Outputs'!Q$52*INDIRECT("'"&amp;$H$3&amp;"'!Q$95")*INDIRECT("'"&amp;$H$3&amp;"'!Q$303"),IF(INDIRECT("'"&amp;$H$3&amp;"'!Q$306")='List Values'!$F$5,Q$428,IF(INDIRECT("'"&amp;$H$3&amp;"'!Q$306")='List Values'!$F$6,INDIRECT("'"&amp;$H$3&amp;"'!Q$95")*INDIRECT("'"&amp;$H$3&amp;"'!Q$303"),IF(INDIRECT("'"&amp;$H$3&amp;"'!Q$306")='List Values'!$F$7,1,0))))),0),0)</f>
        <v>0</v>
      </c>
      <c r="R119" s="297"/>
      <c r="S119" s="364"/>
      <c r="T119" s="297">
        <f ca="1">IFERROR((1-INDIRECT("'"&amp;$H$3&amp;"'!T$271"))*IF(INDIRECT("'"&amp;$H$3&amp;"'!T$265")='List Values'!$E$5,INDIRECT("'"&amp;$H$3&amp;"'!T$267")*IF(INDIRECT("'"&amp;$H$3&amp;"'!T$266")='List Values'!$F$3,T$369,IF(INDIRECT("'"&amp;$H$3&amp;"'!T$266")='List Values'!$F$4,'4_Outputs'!T$52*INDIRECT("'"&amp;$H$3&amp;"'!T$95")*INDIRECT("'"&amp;$H$3&amp;"'!T$263"),IF(INDIRECT("'"&amp;$H$3&amp;"'!T$266")='List Values'!$F$5,T$370,IF(INDIRECT("'"&amp;$H$3&amp;"'!T$266")='List Values'!$F$6,INDIRECT("'"&amp;$H$3&amp;"'!T$95")*INDIRECT("'"&amp;$H$3&amp;"'!T$263"),IF(INDIRECT("'"&amp;$H$3&amp;"'!T$266")='List Values'!$F$7,1,0))))),0),0)
+IFERROR((1-INDIRECT("'"&amp;$H$3&amp;"'!T$291"))*IF(INDIRECT("'"&amp;$H$3&amp;"'!T$285")='List Values'!$E$5,INDIRECT("'"&amp;$H$3&amp;"'!T$287")*IF(INDIRECT("'"&amp;$H$3&amp;"'!T$286")='List Values'!$F$3,T$398,IF(INDIRECT("'"&amp;$H$3&amp;"'!T$286")='List Values'!$F$4,'4_Outputs'!T$52*INDIRECT("'"&amp;$H$3&amp;"'!T$95")*INDIRECT("'"&amp;$H$3&amp;"'!T$283"),IF(INDIRECT("'"&amp;$H$3&amp;"'!T$286")='List Values'!$F$5,T$399,IF(INDIRECT("'"&amp;$H$3&amp;"'!T$286")='List Values'!$F$6,INDIRECT("'"&amp;$H$3&amp;"'!T$95")*INDIRECT("'"&amp;$H$3&amp;"'!T$283"),IF(INDIRECT("'"&amp;$H$3&amp;"'!T$286")='List Values'!$F$7,1,0))))),0),0)
+IFERROR((1-INDIRECT("'"&amp;$H$3&amp;"'!T$311"))*IF(INDIRECT("'"&amp;$H$3&amp;"'!T$305")='List Values'!$E$5,INDIRECT("'"&amp;$H$3&amp;"'!T$307")*IF(INDIRECT("'"&amp;$H$3&amp;"'!T$306")='List Values'!$F$3,T$427,IF(INDIRECT("'"&amp;$H$3&amp;"'!T$306")='List Values'!$F$4,'4_Outputs'!T$52*INDIRECT("'"&amp;$H$3&amp;"'!T$95")*INDIRECT("'"&amp;$H$3&amp;"'!T$303"),IF(INDIRECT("'"&amp;$H$3&amp;"'!T$306")='List Values'!$F$5,T$428,IF(INDIRECT("'"&amp;$H$3&amp;"'!T$306")='List Values'!$F$6,INDIRECT("'"&amp;$H$3&amp;"'!T$95")*INDIRECT("'"&amp;$H$3&amp;"'!T$303"),IF(INDIRECT("'"&amp;$H$3&amp;"'!T$306")='List Values'!$F$7,1,0))))),0),0)</f>
        <v>0</v>
      </c>
      <c r="U119" s="364"/>
      <c r="V119" s="364"/>
      <c r="W119" s="1440">
        <f ca="1">IFERROR((1-INDIRECT("'"&amp;$H$3&amp;"'!W$271"))*IF(INDIRECT("'"&amp;$H$3&amp;"'!W$265")='List Values'!$E$5,INDIRECT("'"&amp;$H$3&amp;"'!W$267")*IF(INDIRECT("'"&amp;$H$3&amp;"'!W$266")='List Values'!$F$3,W$369,IF(INDIRECT("'"&amp;$H$3&amp;"'!W$266")='List Values'!$F$4,'4_Outputs'!W$52*INDIRECT("'"&amp;$H$3&amp;"'!W$95")*INDIRECT("'"&amp;$H$3&amp;"'!W$263"),IF(INDIRECT("'"&amp;$H$3&amp;"'!W$266")='List Values'!$F$5,W$370,IF(INDIRECT("'"&amp;$H$3&amp;"'!W$266")='List Values'!$F$6,INDIRECT("'"&amp;$H$3&amp;"'!W$95")*INDIRECT("'"&amp;$H$3&amp;"'!W$263"),IF(INDIRECT("'"&amp;$H$3&amp;"'!W$266")='List Values'!$F$7,1,0))))),0),0)
+IFERROR((1-INDIRECT("'"&amp;$H$3&amp;"'!W$291"))*IF(INDIRECT("'"&amp;$H$3&amp;"'!W$285")='List Values'!$E$5,INDIRECT("'"&amp;$H$3&amp;"'!W$287")*IF(INDIRECT("'"&amp;$H$3&amp;"'!W$286")='List Values'!$F$3,W$398,IF(INDIRECT("'"&amp;$H$3&amp;"'!W$286")='List Values'!$F$4,'4_Outputs'!W$52*INDIRECT("'"&amp;$H$3&amp;"'!W$95")*INDIRECT("'"&amp;$H$3&amp;"'!W$283"),IF(INDIRECT("'"&amp;$H$3&amp;"'!W$286")='List Values'!$F$5,W$399,IF(INDIRECT("'"&amp;$H$3&amp;"'!W$286")='List Values'!$F$6,INDIRECT("'"&amp;$H$3&amp;"'!W$95")*INDIRECT("'"&amp;$H$3&amp;"'!W$283"),IF(INDIRECT("'"&amp;$H$3&amp;"'!W$286")='List Values'!$F$7,1,0))))),0),0)
+IFERROR((1-INDIRECT("'"&amp;$H$3&amp;"'!W$311"))*IF(INDIRECT("'"&amp;$H$3&amp;"'!W$305")='List Values'!$E$5,INDIRECT("'"&amp;$H$3&amp;"'!W$307")*IF(INDIRECT("'"&amp;$H$3&amp;"'!W$306")='List Values'!$F$3,W$427,IF(INDIRECT("'"&amp;$H$3&amp;"'!W$306")='List Values'!$F$4,'4_Outputs'!W$52*INDIRECT("'"&amp;$H$3&amp;"'!W$95")*INDIRECT("'"&amp;$H$3&amp;"'!W$303"),IF(INDIRECT("'"&amp;$H$3&amp;"'!W$306")='List Values'!$F$5,W$428,IF(INDIRECT("'"&amp;$H$3&amp;"'!W$306")='List Values'!$F$6,INDIRECT("'"&amp;$H$3&amp;"'!W$95")*INDIRECT("'"&amp;$H$3&amp;"'!W$303"),IF(INDIRECT("'"&amp;$H$3&amp;"'!W$306")='List Values'!$F$7,1,0))))),0),0)</f>
        <v>0</v>
      </c>
      <c r="Y119" s="365">
        <f ca="1">SUM(H119:W119)</f>
        <v>0</v>
      </c>
    </row>
    <row r="120" spans="6:38">
      <c r="F120" s="288"/>
      <c r="G120" s="288" t="s">
        <v>226</v>
      </c>
      <c r="H120" s="300">
        <f ca="1">IFERROR((1-INDIRECT("'"&amp;$H$3&amp;"'!H$271"))*IF(INDIRECT("'"&amp;$H$3&amp;"'!H$265")='List Values'!$E$4,INDIRECT("'"&amp;$H$3&amp;"'!H$267")*IF(INDIRECT("'"&amp;$H$3&amp;"'!H$266")='List Values'!$F$3,H$369,IF(INDIRECT("'"&amp;$H$3&amp;"'!H$266")='List Values'!$F$4,'4_Outputs'!H$52*INDIRECT("'"&amp;$H$3&amp;"'!H$95")*INDIRECT("'"&amp;$H$3&amp;"'!H$263"),IF(INDIRECT("'"&amp;$H$3&amp;"'!H$266")='List Values'!$F$5,H$370,IF(INDIRECT("'"&amp;$H$3&amp;"'!H$266")='List Values'!$F$6,INDIRECT("'"&amp;$H$3&amp;"'!H$95")*INDIRECT("'"&amp;$H$3&amp;"'!H$263"),IF(INDIRECT("'"&amp;$H$3&amp;"'!H$266")='List Values'!$F$7,1,0))))),0),0)
+IFERROR((1-INDIRECT("'"&amp;$H$3&amp;"'!H$291"))*IF(INDIRECT("'"&amp;$H$3&amp;"'!H$285")='List Values'!$E$4,INDIRECT("'"&amp;$H$3&amp;"'!H$287")*IF(INDIRECT("'"&amp;$H$3&amp;"'!H$286")='List Values'!$F$3,H$398,IF(INDIRECT("'"&amp;$H$3&amp;"'!H$286")='List Values'!$F$4,'4_Outputs'!H$52*INDIRECT("'"&amp;$H$3&amp;"'!H$95")*INDIRECT("'"&amp;$H$3&amp;"'!H$283"),IF(INDIRECT("'"&amp;$H$3&amp;"'!H$286")='List Values'!$F$5,H$399,IF(INDIRECT("'"&amp;$H$3&amp;"'!H$286")='List Values'!$F$6,INDIRECT("'"&amp;$H$3&amp;"'!H$95")*INDIRECT("'"&amp;$H$3&amp;"'!H$283"),IF(INDIRECT("'"&amp;$H$3&amp;"'!H$286")='List Values'!$F$7,1,0))))),0),0)
+IFERROR((1-INDIRECT("'"&amp;$H$3&amp;"'!H$311"))*IF(INDIRECT("'"&amp;$H$3&amp;"'!H$305")='List Values'!$E$4,INDIRECT("'"&amp;$H$3&amp;"'!H$307")*IF(INDIRECT("'"&amp;$H$3&amp;"'!H$306")='List Values'!$F$3,H$427,IF(INDIRECT("'"&amp;$H$3&amp;"'!H$306")='List Values'!$F$4,'4_Outputs'!H$52*INDIRECT("'"&amp;$H$3&amp;"'!H$95")*INDIRECT("'"&amp;$H$3&amp;"'!H$303"),IF(INDIRECT("'"&amp;$H$3&amp;"'!H$306")='List Values'!$F$5,H$428,IF(INDIRECT("'"&amp;$H$3&amp;"'!H$306")='List Values'!$F$6,INDIRECT("'"&amp;$H$3&amp;"'!H$95")*INDIRECT("'"&amp;$H$3&amp;"'!H$303"),IF(INDIRECT("'"&amp;$H$3&amp;"'!H$306")='List Values'!$F$7,1,0))))),0),0)</f>
        <v>0</v>
      </c>
      <c r="I120" s="300"/>
      <c r="J120" s="300"/>
      <c r="K120" s="300">
        <f ca="1">IFERROR((1-INDIRECT("'"&amp;$H$3&amp;"'!K$271"))*IF(INDIRECT("'"&amp;$H$3&amp;"'!K$265")='List Values'!$E$4,INDIRECT("'"&amp;$H$3&amp;"'!K$267")*IF(INDIRECT("'"&amp;$H$3&amp;"'!K$266")='List Values'!$F$3,K$369,IF(INDIRECT("'"&amp;$H$3&amp;"'!K$266")='List Values'!$F$4,'4_Outputs'!K$52*INDIRECT("'"&amp;$H$3&amp;"'!K$95")*INDIRECT("'"&amp;$H$3&amp;"'!K$263"),IF(INDIRECT("'"&amp;$H$3&amp;"'!K$266")='List Values'!$F$5,K$370,IF(INDIRECT("'"&amp;$H$3&amp;"'!K$266")='List Values'!$F$6,INDIRECT("'"&amp;$H$3&amp;"'!K$95")*INDIRECT("'"&amp;$H$3&amp;"'!K$263"),IF(INDIRECT("'"&amp;$H$3&amp;"'!K$266")='List Values'!$F$7,1,0))))),0),0)
+IFERROR((1-INDIRECT("'"&amp;$H$3&amp;"'!K$291"))*IF(INDIRECT("'"&amp;$H$3&amp;"'!K$285")='List Values'!$E$4,INDIRECT("'"&amp;$H$3&amp;"'!K$287")*IF(INDIRECT("'"&amp;$H$3&amp;"'!K$286")='List Values'!$F$3,K$398,IF(INDIRECT("'"&amp;$H$3&amp;"'!K$286")='List Values'!$F$4,'4_Outputs'!K$52*INDIRECT("'"&amp;$H$3&amp;"'!K$95")*INDIRECT("'"&amp;$H$3&amp;"'!K$283"),IF(INDIRECT("'"&amp;$H$3&amp;"'!K$286")='List Values'!$F$5,K$399,IF(INDIRECT("'"&amp;$H$3&amp;"'!K$286")='List Values'!$F$6,INDIRECT("'"&amp;$H$3&amp;"'!K$95")*INDIRECT("'"&amp;$H$3&amp;"'!K$283"),IF(INDIRECT("'"&amp;$H$3&amp;"'!K$286")='List Values'!$F$7,1,0))))),0),0)
+IFERROR((1-INDIRECT("'"&amp;$H$3&amp;"'!K$311"))*IF(INDIRECT("'"&amp;$H$3&amp;"'!K$305")='List Values'!$E$4,INDIRECT("'"&amp;$H$3&amp;"'!K$307")*IF(INDIRECT("'"&amp;$H$3&amp;"'!K$306")='List Values'!$F$3,K$427,IF(INDIRECT("'"&amp;$H$3&amp;"'!K$306")='List Values'!$F$4,'4_Outputs'!K$52*INDIRECT("'"&amp;$H$3&amp;"'!K$95")*INDIRECT("'"&amp;$H$3&amp;"'!K$303"),IF(INDIRECT("'"&amp;$H$3&amp;"'!K$306")='List Values'!$F$5,K$428,IF(INDIRECT("'"&amp;$H$3&amp;"'!K$306")='List Values'!$F$6,INDIRECT("'"&amp;$H$3&amp;"'!K$95")*INDIRECT("'"&amp;$H$3&amp;"'!K$303"),IF(INDIRECT("'"&amp;$H$3&amp;"'!K$306")='List Values'!$F$7,1,0))))),0),0)</f>
        <v>0</v>
      </c>
      <c r="L120" s="300"/>
      <c r="M120" s="300"/>
      <c r="N120" s="300">
        <f ca="1">IFERROR((1-INDIRECT("'"&amp;$H$3&amp;"'!N$271"))*IF(INDIRECT("'"&amp;$H$3&amp;"'!N$265")='List Values'!$E$4,INDIRECT("'"&amp;$H$3&amp;"'!N$267")*IF(INDIRECT("'"&amp;$H$3&amp;"'!N$266")='List Values'!$F$3,N$369,IF(INDIRECT("'"&amp;$H$3&amp;"'!N$266")='List Values'!$F$4,'4_Outputs'!N$52*INDIRECT("'"&amp;$H$3&amp;"'!N$95")*INDIRECT("'"&amp;$H$3&amp;"'!N$263"),IF(INDIRECT("'"&amp;$H$3&amp;"'!N$266")='List Values'!$F$5,N$370,IF(INDIRECT("'"&amp;$H$3&amp;"'!N$266")='List Values'!$F$6,INDIRECT("'"&amp;$H$3&amp;"'!N$95")*INDIRECT("'"&amp;$H$3&amp;"'!N$263"),IF(INDIRECT("'"&amp;$H$3&amp;"'!N$266")='List Values'!$F$7,1,0))))),0),0)
+IFERROR((1-INDIRECT("'"&amp;$H$3&amp;"'!N$291"))*IF(INDIRECT("'"&amp;$H$3&amp;"'!N$285")='List Values'!$E$4,INDIRECT("'"&amp;$H$3&amp;"'!N$287")*IF(INDIRECT("'"&amp;$H$3&amp;"'!N$286")='List Values'!$F$3,N$398,IF(INDIRECT("'"&amp;$H$3&amp;"'!N$286")='List Values'!$F$4,'4_Outputs'!N$52*INDIRECT("'"&amp;$H$3&amp;"'!N$95")*INDIRECT("'"&amp;$H$3&amp;"'!N$283"),IF(INDIRECT("'"&amp;$H$3&amp;"'!N$286")='List Values'!$F$5,N$399,IF(INDIRECT("'"&amp;$H$3&amp;"'!N$286")='List Values'!$F$6,INDIRECT("'"&amp;$H$3&amp;"'!N$95")*INDIRECT("'"&amp;$H$3&amp;"'!N$283"),IF(INDIRECT("'"&amp;$H$3&amp;"'!N$286")='List Values'!$F$7,1,0))))),0),0)
+IFERROR((1-INDIRECT("'"&amp;$H$3&amp;"'!N$311"))*IF(INDIRECT("'"&amp;$H$3&amp;"'!N$305")='List Values'!$E$4,INDIRECT("'"&amp;$H$3&amp;"'!N$307")*IF(INDIRECT("'"&amp;$H$3&amp;"'!N$306")='List Values'!$F$3,N$427,IF(INDIRECT("'"&amp;$H$3&amp;"'!N$306")='List Values'!$F$4,'4_Outputs'!N$52*INDIRECT("'"&amp;$H$3&amp;"'!N$95")*INDIRECT("'"&amp;$H$3&amp;"'!N$303"),IF(INDIRECT("'"&amp;$H$3&amp;"'!N$306")='List Values'!$F$5,N$428,IF(INDIRECT("'"&amp;$H$3&amp;"'!N$306")='List Values'!$F$6,INDIRECT("'"&amp;$H$3&amp;"'!N$95")*INDIRECT("'"&amp;$H$3&amp;"'!N$303"),IF(INDIRECT("'"&amp;$H$3&amp;"'!N$306")='List Values'!$F$7,1,0))))),0),0)</f>
        <v>0</v>
      </c>
      <c r="O120" s="300"/>
      <c r="P120" s="300"/>
      <c r="Q120" s="300">
        <f ca="1">IFERROR((1-INDIRECT("'"&amp;$H$3&amp;"'!Q$271"))*IF(INDIRECT("'"&amp;$H$3&amp;"'!Q$265")='List Values'!$E$4,INDIRECT("'"&amp;$H$3&amp;"'!Q$267")*IF(INDIRECT("'"&amp;$H$3&amp;"'!Q$266")='List Values'!$F$3,Q$369,IF(INDIRECT("'"&amp;$H$3&amp;"'!Q$266")='List Values'!$F$4,'4_Outputs'!Q$52*INDIRECT("'"&amp;$H$3&amp;"'!Q$95")*INDIRECT("'"&amp;$H$3&amp;"'!Q$263"),IF(INDIRECT("'"&amp;$H$3&amp;"'!Q$266")='List Values'!$F$5,Q$370,IF(INDIRECT("'"&amp;$H$3&amp;"'!Q$266")='List Values'!$F$6,INDIRECT("'"&amp;$H$3&amp;"'!Q$95")*INDIRECT("'"&amp;$H$3&amp;"'!Q$263"),IF(INDIRECT("'"&amp;$H$3&amp;"'!Q$266")='List Values'!$F$7,1,0))))),0),0)
+IFERROR((1-INDIRECT("'"&amp;$H$3&amp;"'!Q$291"))*IF(INDIRECT("'"&amp;$H$3&amp;"'!Q$285")='List Values'!$E$4,INDIRECT("'"&amp;$H$3&amp;"'!Q$287")*IF(INDIRECT("'"&amp;$H$3&amp;"'!Q$286")='List Values'!$F$3,Q$398,IF(INDIRECT("'"&amp;$H$3&amp;"'!Q$286")='List Values'!$F$4,'4_Outputs'!Q$52*INDIRECT("'"&amp;$H$3&amp;"'!Q$95")*INDIRECT("'"&amp;$H$3&amp;"'!Q$283"),IF(INDIRECT("'"&amp;$H$3&amp;"'!Q$286")='List Values'!$F$5,Q$399,IF(INDIRECT("'"&amp;$H$3&amp;"'!Q$286")='List Values'!$F$6,INDIRECT("'"&amp;$H$3&amp;"'!Q$95")*INDIRECT("'"&amp;$H$3&amp;"'!Q$283"),IF(INDIRECT("'"&amp;$H$3&amp;"'!Q$286")='List Values'!$F$7,1,0))))),0),0)
+IFERROR((1-INDIRECT("'"&amp;$H$3&amp;"'!Q$311"))*IF(INDIRECT("'"&amp;$H$3&amp;"'!Q$305")='List Values'!$E$4,INDIRECT("'"&amp;$H$3&amp;"'!Q$307")*IF(INDIRECT("'"&amp;$H$3&amp;"'!Q$306")='List Values'!$F$3,Q$427,IF(INDIRECT("'"&amp;$H$3&amp;"'!Q$306")='List Values'!$F$4,'4_Outputs'!Q$52*INDIRECT("'"&amp;$H$3&amp;"'!Q$95")*INDIRECT("'"&amp;$H$3&amp;"'!Q$303"),IF(INDIRECT("'"&amp;$H$3&amp;"'!Q$306")='List Values'!$F$5,Q$428,IF(INDIRECT("'"&amp;$H$3&amp;"'!Q$306")='List Values'!$F$6,INDIRECT("'"&amp;$H$3&amp;"'!Q$95")*INDIRECT("'"&amp;$H$3&amp;"'!Q$303"),IF(INDIRECT("'"&amp;$H$3&amp;"'!Q$306")='List Values'!$F$7,1,0))))),0),0)</f>
        <v>0</v>
      </c>
      <c r="R120" s="300"/>
      <c r="S120" s="337"/>
      <c r="T120" s="300">
        <f ca="1">IFERROR((1-INDIRECT("'"&amp;$H$3&amp;"'!T$271"))*IF(INDIRECT("'"&amp;$H$3&amp;"'!T$265")='List Values'!$E$4,INDIRECT("'"&amp;$H$3&amp;"'!T$267")*IF(INDIRECT("'"&amp;$H$3&amp;"'!T$266")='List Values'!$F$3,T$369,IF(INDIRECT("'"&amp;$H$3&amp;"'!T$266")='List Values'!$F$4,'4_Outputs'!T$52*INDIRECT("'"&amp;$H$3&amp;"'!T$95")*INDIRECT("'"&amp;$H$3&amp;"'!T$263"),IF(INDIRECT("'"&amp;$H$3&amp;"'!T$266")='List Values'!$F$5,T$370,IF(INDIRECT("'"&amp;$H$3&amp;"'!T$266")='List Values'!$F$6,INDIRECT("'"&amp;$H$3&amp;"'!T$95")*INDIRECT("'"&amp;$H$3&amp;"'!T$263"),IF(INDIRECT("'"&amp;$H$3&amp;"'!T$266")='List Values'!$F$7,1,0))))),0),0)
+IFERROR((1-INDIRECT("'"&amp;$H$3&amp;"'!T$291"))*IF(INDIRECT("'"&amp;$H$3&amp;"'!T$285")='List Values'!$E$4,INDIRECT("'"&amp;$H$3&amp;"'!T$287")*IF(INDIRECT("'"&amp;$H$3&amp;"'!T$286")='List Values'!$F$3,T$398,IF(INDIRECT("'"&amp;$H$3&amp;"'!T$286")='List Values'!$F$4,'4_Outputs'!T$52*INDIRECT("'"&amp;$H$3&amp;"'!T$95")*INDIRECT("'"&amp;$H$3&amp;"'!T$283"),IF(INDIRECT("'"&amp;$H$3&amp;"'!T$286")='List Values'!$F$5,T$399,IF(INDIRECT("'"&amp;$H$3&amp;"'!T$286")='List Values'!$F$6,INDIRECT("'"&amp;$H$3&amp;"'!T$95")*INDIRECT("'"&amp;$H$3&amp;"'!T$283"),IF(INDIRECT("'"&amp;$H$3&amp;"'!T$286")='List Values'!$F$7,1,0))))),0),0)
+IFERROR((1-INDIRECT("'"&amp;$H$3&amp;"'!T$311"))*IF(INDIRECT("'"&amp;$H$3&amp;"'!T$305")='List Values'!$E$4,INDIRECT("'"&amp;$H$3&amp;"'!T$307")*IF(INDIRECT("'"&amp;$H$3&amp;"'!T$306")='List Values'!$F$3,T$427,IF(INDIRECT("'"&amp;$H$3&amp;"'!T$306")='List Values'!$F$4,'4_Outputs'!T$52*INDIRECT("'"&amp;$H$3&amp;"'!T$95")*INDIRECT("'"&amp;$H$3&amp;"'!T$303"),IF(INDIRECT("'"&amp;$H$3&amp;"'!T$306")='List Values'!$F$5,T$428,IF(INDIRECT("'"&amp;$H$3&amp;"'!T$306")='List Values'!$F$6,INDIRECT("'"&amp;$H$3&amp;"'!T$95")*INDIRECT("'"&amp;$H$3&amp;"'!T$303"),IF(INDIRECT("'"&amp;$H$3&amp;"'!T$306")='List Values'!$F$7,1,0))))),0),0)</f>
        <v>0</v>
      </c>
      <c r="U120" s="337"/>
      <c r="V120" s="337"/>
      <c r="W120" s="1437">
        <f ca="1">IFERROR((1-INDIRECT("'"&amp;$H$3&amp;"'!W$271"))*IF(INDIRECT("'"&amp;$H$3&amp;"'!W$265")='List Values'!$E$4,INDIRECT("'"&amp;$H$3&amp;"'!W$267")*IF(INDIRECT("'"&amp;$H$3&amp;"'!W$266")='List Values'!$F$3,W$369,IF(INDIRECT("'"&amp;$H$3&amp;"'!W$266")='List Values'!$F$4,'4_Outputs'!W$52*INDIRECT("'"&amp;$H$3&amp;"'!W$95")*INDIRECT("'"&amp;$H$3&amp;"'!W$263"),IF(INDIRECT("'"&amp;$H$3&amp;"'!W$266")='List Values'!$F$5,W$370,IF(INDIRECT("'"&amp;$H$3&amp;"'!W$266")='List Values'!$F$6,INDIRECT("'"&amp;$H$3&amp;"'!W$95")*INDIRECT("'"&amp;$H$3&amp;"'!W$263"),IF(INDIRECT("'"&amp;$H$3&amp;"'!W$266")='List Values'!$F$7,1,0))))),0),0)
+IFERROR((1-INDIRECT("'"&amp;$H$3&amp;"'!W$291"))*IF(INDIRECT("'"&amp;$H$3&amp;"'!W$285")='List Values'!$E$4,INDIRECT("'"&amp;$H$3&amp;"'!W$287")*IF(INDIRECT("'"&amp;$H$3&amp;"'!W$286")='List Values'!$F$3,W$398,IF(INDIRECT("'"&amp;$H$3&amp;"'!W$286")='List Values'!$F$4,'4_Outputs'!W$52*INDIRECT("'"&amp;$H$3&amp;"'!W$95")*INDIRECT("'"&amp;$H$3&amp;"'!W$283"),IF(INDIRECT("'"&amp;$H$3&amp;"'!W$286")='List Values'!$F$5,W$399,IF(INDIRECT("'"&amp;$H$3&amp;"'!W$286")='List Values'!$F$6,INDIRECT("'"&amp;$H$3&amp;"'!W$95")*INDIRECT("'"&amp;$H$3&amp;"'!W$283"),IF(INDIRECT("'"&amp;$H$3&amp;"'!W$286")='List Values'!$F$7,1,0))))),0),0)
+IFERROR((1-INDIRECT("'"&amp;$H$3&amp;"'!W$311"))*IF(INDIRECT("'"&amp;$H$3&amp;"'!W$305")='List Values'!$E$4,INDIRECT("'"&amp;$H$3&amp;"'!W$307")*IF(INDIRECT("'"&amp;$H$3&amp;"'!W$306")='List Values'!$F$3,W$427,IF(INDIRECT("'"&amp;$H$3&amp;"'!W$306")='List Values'!$F$4,'4_Outputs'!W$52*INDIRECT("'"&amp;$H$3&amp;"'!W$95")*INDIRECT("'"&amp;$H$3&amp;"'!W$303"),IF(INDIRECT("'"&amp;$H$3&amp;"'!W$306")='List Values'!$F$5,W$428,IF(INDIRECT("'"&amp;$H$3&amp;"'!W$306")='List Values'!$F$6,INDIRECT("'"&amp;$H$3&amp;"'!W$95")*INDIRECT("'"&amp;$H$3&amp;"'!W$303"),IF(INDIRECT("'"&amp;$H$3&amp;"'!W$306")='List Values'!$F$7,1,0))))),0),0)</f>
        <v>0</v>
      </c>
      <c r="Y120" s="341">
        <f t="shared" ref="Y120:Y127" ca="1" si="12">SUM(H120:W120)</f>
        <v>0</v>
      </c>
      <c r="AL120" s="4"/>
    </row>
    <row r="121" spans="6:38">
      <c r="F121" s="298"/>
      <c r="G121" s="298" t="s">
        <v>89</v>
      </c>
      <c r="H121" s="300">
        <f ca="1">(IFERROR(1-INDIRECT("'"&amp;$H$3&amp;"'!H$271"),0))*(H$356+H$370)*INDIRECT("'"&amp;$H$3&amp;"'!$H$10")*(IFERROR(INDEX(INDIRECT("'"&amp;$H$3&amp;"'!$H$28:$H$38"),MATCH(INDIRECT("'"&amp;$H$3&amp;"'!H$274"),INDIRECT("'"&amp;$H$3&amp;"'!$B$28:$B$38"),0)),0)+IFERROR(INDIRECT("'"&amp;$H$3&amp;"'!H$275")*INDEX(INDIRECT("'"&amp;$H$3&amp;"'!$H$28:$H$38"),MATCH(INDIRECT("'"&amp;$H$3&amp;"'!H$276"),INDIRECT("'"&amp;$H$3&amp;"'!$B$28:$B$38"),0)),0))
+(IFERROR(1-INDIRECT("'"&amp;$H$3&amp;"'!H$291"),0))*(H$385+H$399)*INDIRECT("'"&amp;$H$3&amp;"'!$H$10")*(IFERROR(INDEX(INDIRECT("'"&amp;$H$3&amp;"'!$H$28:$H$38"),MATCH(INDIRECT("'"&amp;$H$3&amp;"'!H$294"),INDIRECT("'"&amp;$H$3&amp;"'!$B$28:$B$38"),0)),0)+IFERROR(INDIRECT("'"&amp;$H$3&amp;"'!H$295")*INDEX(INDIRECT("'"&amp;$H$3&amp;"'!$H$28:$H$38"),MATCH(INDIRECT("'"&amp;$H$3&amp;"'!H$296"),INDIRECT("'"&amp;$H$3&amp;"'!$B$28:$B$38"),0)),0))
+(IFERROR(1-INDIRECT("'"&amp;$H$3&amp;"'!H$311"),0))*(H$414+H$428)*INDIRECT("'"&amp;$H$3&amp;"'!$H$10")*(IFERROR(INDEX(INDIRECT("'"&amp;$H$3&amp;"'!$H$28:$H$38"),MATCH(INDIRECT("'"&amp;$H$3&amp;"'!H$314"),INDIRECT("'"&amp;$H$3&amp;"'!$B$28:$B$38"),0)),0)+IFERROR(INDIRECT("'"&amp;$H$3&amp;"'!H$315")*INDEX(INDIRECT("'"&amp;$H$3&amp;"'!$H$28:$H$38"),MATCH(INDIRECT("'"&amp;$H$3&amp;"'!H$316"),INDIRECT("'"&amp;$H$3&amp;"'!$B$28:$B$38"),0)),0))</f>
        <v>0</v>
      </c>
      <c r="I121" s="300"/>
      <c r="J121" s="300"/>
      <c r="K121" s="300">
        <f ca="1">(IFERROR(1-INDIRECT("'"&amp;$H$3&amp;"'!K$271"),0))*(K$356+K$370)*INDIRECT("'"&amp;$H$3&amp;"'!$H$10")*(IFERROR(INDEX(INDIRECT("'"&amp;$H$3&amp;"'!$H$28:$H$38"),MATCH(INDIRECT("'"&amp;$H$3&amp;"'!K$274"),INDIRECT("'"&amp;$H$3&amp;"'!$B$28:$B$38"),0)),0)+IFERROR(INDIRECT("'"&amp;$H$3&amp;"'!K$275")*INDEX(INDIRECT("'"&amp;$H$3&amp;"'!$H$28:$H$38"),MATCH(INDIRECT("'"&amp;$H$3&amp;"'!K$276"),INDIRECT("'"&amp;$H$3&amp;"'!$B$28:$B$38"),0)),0))
+(IFERROR(1-INDIRECT("'"&amp;$H$3&amp;"'!K$291"),0))*(K$385+K$399)*INDIRECT("'"&amp;$H$3&amp;"'!$H$10")*(IFERROR(INDEX(INDIRECT("'"&amp;$H$3&amp;"'!$H$28:$H$38"),MATCH(INDIRECT("'"&amp;$H$3&amp;"'!K$294"),INDIRECT("'"&amp;$H$3&amp;"'!$B$28:$B$38"),0)),0)+IFERROR(INDIRECT("'"&amp;$H$3&amp;"'!K$295")*INDEX(INDIRECT("'"&amp;$H$3&amp;"'!$H$28:$H$38"),MATCH(INDIRECT("'"&amp;$H$3&amp;"'!K$296"),INDIRECT("'"&amp;$H$3&amp;"'!$B$28:$B$38"),0)),0))
+(IFERROR(1-INDIRECT("'"&amp;$H$3&amp;"'!K$311"),0))*(K$414+K$428)*INDIRECT("'"&amp;$H$3&amp;"'!$H$10")*(IFERROR(INDEX(INDIRECT("'"&amp;$H$3&amp;"'!$H$28:$H$38"),MATCH(INDIRECT("'"&amp;$H$3&amp;"'!K$314"),INDIRECT("'"&amp;$H$3&amp;"'!$B$28:$B$38"),0)),0)+IFERROR(INDIRECT("'"&amp;$H$3&amp;"'!K$315")*INDEX(INDIRECT("'"&amp;$H$3&amp;"'!$H$28:$H$38"),MATCH(INDIRECT("'"&amp;$H$3&amp;"'!K$316"),INDIRECT("'"&amp;$H$3&amp;"'!$B$28:$B$38"),0)),0))</f>
        <v>0</v>
      </c>
      <c r="L121" s="300"/>
      <c r="M121" s="300"/>
      <c r="N121" s="300">
        <f ca="1">(IFERROR(1-INDIRECT("'"&amp;$H$3&amp;"'!N$271"),0))*(N$356+N$370)*INDIRECT("'"&amp;$H$3&amp;"'!$H$10")*(IFERROR(INDEX(INDIRECT("'"&amp;$H$3&amp;"'!$H$28:$H$38"),MATCH(INDIRECT("'"&amp;$H$3&amp;"'!N$274"),INDIRECT("'"&amp;$H$3&amp;"'!$B$28:$B$38"),0)),0)+IFERROR(INDIRECT("'"&amp;$H$3&amp;"'!N$275")*INDEX(INDIRECT("'"&amp;$H$3&amp;"'!$H$28:$H$38"),MATCH(INDIRECT("'"&amp;$H$3&amp;"'!N$276"),INDIRECT("'"&amp;$H$3&amp;"'!$B$28:$B$38"),0)),0))
+(IFERROR(1-INDIRECT("'"&amp;$H$3&amp;"'!N$291"),0))*(N$385+N$399)*INDIRECT("'"&amp;$H$3&amp;"'!$H$10")*(IFERROR(INDEX(INDIRECT("'"&amp;$H$3&amp;"'!$H$28:$H$38"),MATCH(INDIRECT("'"&amp;$H$3&amp;"'!N$294"),INDIRECT("'"&amp;$H$3&amp;"'!$B$28:$B$38"),0)),0)+IFERROR(INDIRECT("'"&amp;$H$3&amp;"'!N$295")*INDEX(INDIRECT("'"&amp;$H$3&amp;"'!$H$28:$H$38"),MATCH(INDIRECT("'"&amp;$H$3&amp;"'!N$296"),INDIRECT("'"&amp;$H$3&amp;"'!$B$28:$B$38"),0)),0))
+(IFERROR(1-INDIRECT("'"&amp;$H$3&amp;"'!N$311"),0))*(N$414+N$428)*INDIRECT("'"&amp;$H$3&amp;"'!$H$10")*(IFERROR(INDEX(INDIRECT("'"&amp;$H$3&amp;"'!$H$28:$H$38"),MATCH(INDIRECT("'"&amp;$H$3&amp;"'!N$314"),INDIRECT("'"&amp;$H$3&amp;"'!$B$28:$B$38"),0)),0)+IFERROR(INDIRECT("'"&amp;$H$3&amp;"'!N$315")*INDEX(INDIRECT("'"&amp;$H$3&amp;"'!$H$28:$H$38"),MATCH(INDIRECT("'"&amp;$H$3&amp;"'!N$316"),INDIRECT("'"&amp;$H$3&amp;"'!$B$28:$B$38"),0)),0))</f>
        <v>0</v>
      </c>
      <c r="O121" s="300"/>
      <c r="P121" s="300"/>
      <c r="Q121" s="300">
        <f ca="1">(IFERROR(1-INDIRECT("'"&amp;$H$3&amp;"'!Q$271"),0))*(Q$356+Q$370)*INDIRECT("'"&amp;$H$3&amp;"'!$H$10")*(IFERROR(INDEX(INDIRECT("'"&amp;$H$3&amp;"'!$H$28:$H$38"),MATCH(INDIRECT("'"&amp;$H$3&amp;"'!Q$274"),INDIRECT("'"&amp;$H$3&amp;"'!$B$28:$B$38"),0)),0)+IFERROR(INDIRECT("'"&amp;$H$3&amp;"'!Q$275")*INDEX(INDIRECT("'"&amp;$H$3&amp;"'!$H$28:$H$38"),MATCH(INDIRECT("'"&amp;$H$3&amp;"'!Q$276"),INDIRECT("'"&amp;$H$3&amp;"'!$B$28:$B$38"),0)),0))
+(IFERROR(1-INDIRECT("'"&amp;$H$3&amp;"'!Q$291"),0))*(Q$385+Q$399)*INDIRECT("'"&amp;$H$3&amp;"'!$H$10")*(IFERROR(INDEX(INDIRECT("'"&amp;$H$3&amp;"'!$H$28:$H$38"),MATCH(INDIRECT("'"&amp;$H$3&amp;"'!Q$294"),INDIRECT("'"&amp;$H$3&amp;"'!$B$28:$B$38"),0)),0)+IFERROR(INDIRECT("'"&amp;$H$3&amp;"'!Q$295")*INDEX(INDIRECT("'"&amp;$H$3&amp;"'!$H$28:$H$38"),MATCH(INDIRECT("'"&amp;$H$3&amp;"'!Q$296"),INDIRECT("'"&amp;$H$3&amp;"'!$B$28:$B$38"),0)),0))
+(IFERROR(1-INDIRECT("'"&amp;$H$3&amp;"'!Q$311"),0))*(Q$414+Q$428)*INDIRECT("'"&amp;$H$3&amp;"'!$H$10")*(IFERROR(INDEX(INDIRECT("'"&amp;$H$3&amp;"'!$H$28:$H$38"),MATCH(INDIRECT("'"&amp;$H$3&amp;"'!Q$314"),INDIRECT("'"&amp;$H$3&amp;"'!$B$28:$B$38"),0)),0)+IFERROR(INDIRECT("'"&amp;$H$3&amp;"'!Q$315")*INDEX(INDIRECT("'"&amp;$H$3&amp;"'!$H$28:$H$38"),MATCH(INDIRECT("'"&amp;$H$3&amp;"'!Q$316"),INDIRECT("'"&amp;$H$3&amp;"'!$B$28:$B$38"),0)),0))</f>
        <v>0</v>
      </c>
      <c r="R121" s="300"/>
      <c r="S121" s="337"/>
      <c r="T121" s="300">
        <f ca="1">(IFERROR(1-INDIRECT("'"&amp;$H$3&amp;"'!T$271"),0))*(T$356+T$370)*INDIRECT("'"&amp;$H$3&amp;"'!$H$10")*(IFERROR(INDEX(INDIRECT("'"&amp;$H$3&amp;"'!$H$28:$H$38"),MATCH(INDIRECT("'"&amp;$H$3&amp;"'!T$274"),INDIRECT("'"&amp;$H$3&amp;"'!$B$28:$B$38"),0)),0)+IFERROR(INDIRECT("'"&amp;$H$3&amp;"'!T$275")*INDEX(INDIRECT("'"&amp;$H$3&amp;"'!$H$28:$H$38"),MATCH(INDIRECT("'"&amp;$H$3&amp;"'!T$276"),INDIRECT("'"&amp;$H$3&amp;"'!$B$28:$B$38"),0)),0))
+(IFERROR(1-INDIRECT("'"&amp;$H$3&amp;"'!T$291"),0))*(T$385+T$399)*INDIRECT("'"&amp;$H$3&amp;"'!$H$10")*(IFERROR(INDEX(INDIRECT("'"&amp;$H$3&amp;"'!$H$28:$H$38"),MATCH(INDIRECT("'"&amp;$H$3&amp;"'!T$294"),INDIRECT("'"&amp;$H$3&amp;"'!$B$28:$B$38"),0)),0)+IFERROR(INDIRECT("'"&amp;$H$3&amp;"'!T$295")*INDEX(INDIRECT("'"&amp;$H$3&amp;"'!$H$28:$H$38"),MATCH(INDIRECT("'"&amp;$H$3&amp;"'!T$296"),INDIRECT("'"&amp;$H$3&amp;"'!$B$28:$B$38"),0)),0))
+(IFERROR(1-INDIRECT("'"&amp;$H$3&amp;"'!T$311"),0))*(T$414+T$428)*INDIRECT("'"&amp;$H$3&amp;"'!$H$10")*(IFERROR(INDEX(INDIRECT("'"&amp;$H$3&amp;"'!$H$28:$H$38"),MATCH(INDIRECT("'"&amp;$H$3&amp;"'!T$314"),INDIRECT("'"&amp;$H$3&amp;"'!$B$28:$B$38"),0)),0)+IFERROR(INDIRECT("'"&amp;$H$3&amp;"'!T$315")*INDEX(INDIRECT("'"&amp;$H$3&amp;"'!$H$28:$H$38"),MATCH(INDIRECT("'"&amp;$H$3&amp;"'!T$316"),INDIRECT("'"&amp;$H$3&amp;"'!$B$28:$B$38"),0)),0))</f>
        <v>0</v>
      </c>
      <c r="U121" s="337"/>
      <c r="V121" s="337"/>
      <c r="W121" s="1437">
        <f ca="1">(IFERROR(1-INDIRECT("'"&amp;$H$3&amp;"'!W$271"),0))*(W$356+W$370)*INDIRECT("'"&amp;$H$3&amp;"'!$H$10")*(IFERROR(INDEX(INDIRECT("'"&amp;$H$3&amp;"'!$H$28:$H$38"),MATCH(INDIRECT("'"&amp;$H$3&amp;"'!W$274"),INDIRECT("'"&amp;$H$3&amp;"'!$B$28:$B$38"),0)),0)+IFERROR(INDIRECT("'"&amp;$H$3&amp;"'!W$275")*INDEX(INDIRECT("'"&amp;$H$3&amp;"'!$H$28:$H$38"),MATCH(INDIRECT("'"&amp;$H$3&amp;"'!W$276"),INDIRECT("'"&amp;$H$3&amp;"'!$B$28:$B$38"),0)),0))
+(IFERROR(1-INDIRECT("'"&amp;$H$3&amp;"'!W$291"),0))*(W$385+W$399)*INDIRECT("'"&amp;$H$3&amp;"'!$H$10")*(IFERROR(INDEX(INDIRECT("'"&amp;$H$3&amp;"'!$H$28:$H$38"),MATCH(INDIRECT("'"&amp;$H$3&amp;"'!W$294"),INDIRECT("'"&amp;$H$3&amp;"'!$B$28:$B$38"),0)),0)+IFERROR(INDIRECT("'"&amp;$H$3&amp;"'!W$295")*INDEX(INDIRECT("'"&amp;$H$3&amp;"'!$H$28:$H$38"),MATCH(INDIRECT("'"&amp;$H$3&amp;"'!W$296"),INDIRECT("'"&amp;$H$3&amp;"'!$B$28:$B$38"),0)),0))
+(IFERROR(1-INDIRECT("'"&amp;$H$3&amp;"'!W$311"),0))*(W$414+W$428)*INDIRECT("'"&amp;$H$3&amp;"'!$H$10")*(IFERROR(INDEX(INDIRECT("'"&amp;$H$3&amp;"'!$H$28:$H$38"),MATCH(INDIRECT("'"&amp;$H$3&amp;"'!W$314"),INDIRECT("'"&amp;$H$3&amp;"'!$B$28:$B$38"),0)),0)+IFERROR(INDIRECT("'"&amp;$H$3&amp;"'!W$315")*INDEX(INDIRECT("'"&amp;$H$3&amp;"'!$H$28:$H$38"),MATCH(INDIRECT("'"&amp;$H$3&amp;"'!W$316"),INDIRECT("'"&amp;$H$3&amp;"'!$B$28:$B$38"),0)),0))</f>
        <v>0</v>
      </c>
      <c r="Y121" s="341">
        <f t="shared" ca="1" si="12"/>
        <v>0</v>
      </c>
      <c r="AL121" s="4"/>
    </row>
    <row r="122" spans="6:38">
      <c r="F122" s="288"/>
      <c r="G122" s="288" t="s">
        <v>90</v>
      </c>
      <c r="H122" s="300">
        <f ca="1">(IFERROR(1-INDIRECT("'"&amp;$H$3&amp;"'!H$271"),0))*(H$356+H$370)*(IFERROR(INDEX(INDIRECT("'"&amp;$H$3&amp;"'!$K$28:$K$38"),MATCH(INDIRECT("'"&amp;$H$3&amp;"'!H$274"),INDIRECT("'"&amp;$H$3&amp;"'!$B$28:$B$38"),0)),0)+IFERROR(INDIRECT("'"&amp;$H$3&amp;"'!H$275")*INDEX(INDIRECT("'"&amp;$H$3&amp;"'!$K$28:$K$38"),MATCH(INDIRECT("'"&amp;$H$3&amp;"'!H$276"),INDIRECT("'"&amp;$H$3&amp;"'!$B$28:$B$38"),0)),0))
+(IFERROR(1-INDIRECT("'"&amp;$H$3&amp;"'!H$291"),0))*(H$385+H$399)*(IFERROR(INDEX(INDIRECT("'"&amp;$H$3&amp;"'!$K$28:$K$38"),MATCH(INDIRECT("'"&amp;$H$3&amp;"'!H$294"),INDIRECT("'"&amp;$H$3&amp;"'!$B$28:$B$38"),0)),0)+IFERROR(INDIRECT("'"&amp;$H$3&amp;"'!H$295")*INDEX(INDIRECT("'"&amp;$H$3&amp;"'!$K$28:$K$38"),MATCH(INDIRECT("'"&amp;$H$3&amp;"'!H$296"),INDIRECT("'"&amp;$H$3&amp;"'!$B$28:$B$38"),0)),0))
+(IFERROR(1-INDIRECT("'"&amp;$H$3&amp;"'!H$311"),0))*(H$414+H$428)*(IFERROR(INDEX(INDIRECT("'"&amp;$H$3&amp;"'!$K$28:$K$38"),MATCH(INDIRECT("'"&amp;$H$3&amp;"'!H$314"),INDIRECT("'"&amp;$H$3&amp;"'!$B$28:$B$38"),0)),0)+IFERROR(INDIRECT("'"&amp;$H$3&amp;"'!H$315")*INDEX(INDIRECT("'"&amp;$H$3&amp;"'!$K$28:$K$38"),MATCH(INDIRECT("'"&amp;$H$3&amp;"'!H$316"),INDIRECT("'"&amp;$H$3&amp;"'!$B$28:$B$38"),0)),0))</f>
        <v>0</v>
      </c>
      <c r="I122" s="300"/>
      <c r="J122" s="300"/>
      <c r="K122" s="300">
        <f ca="1">(IFERROR(1-INDIRECT("'"&amp;$H$3&amp;"'!K$271"),0))*(K$356+K$370)*(IFERROR(INDEX(INDIRECT("'"&amp;$H$3&amp;"'!$K$28:$K$38"),MATCH(INDIRECT("'"&amp;$H$3&amp;"'!K$274"),INDIRECT("'"&amp;$H$3&amp;"'!$B$28:$B$38"),0)),0)+IFERROR(INDIRECT("'"&amp;$H$3&amp;"'!K$275")*INDEX(INDIRECT("'"&amp;$H$3&amp;"'!$K$28:$K$38"),MATCH(INDIRECT("'"&amp;$H$3&amp;"'!K$276"),INDIRECT("'"&amp;$H$3&amp;"'!$B$28:$B$38"),0)),0))
+(IFERROR(1-INDIRECT("'"&amp;$H$3&amp;"'!K$291"),0))*(K$385+K$399)*(IFERROR(INDEX(INDIRECT("'"&amp;$H$3&amp;"'!$K$28:$K$38"),MATCH(INDIRECT("'"&amp;$H$3&amp;"'!K$294"),INDIRECT("'"&amp;$H$3&amp;"'!$B$28:$B$38"),0)),0)+IFERROR(INDIRECT("'"&amp;$H$3&amp;"'!K$295")*INDEX(INDIRECT("'"&amp;$H$3&amp;"'!$K$28:$K$38"),MATCH(INDIRECT("'"&amp;$H$3&amp;"'!K$296"),INDIRECT("'"&amp;$H$3&amp;"'!$B$28:$B$38"),0)),0))
+(IFERROR(1-INDIRECT("'"&amp;$H$3&amp;"'!K$311"),0))*(K$414+K$428)*(IFERROR(INDEX(INDIRECT("'"&amp;$H$3&amp;"'!$K$28:$K$38"),MATCH(INDIRECT("'"&amp;$H$3&amp;"'!K$314"),INDIRECT("'"&amp;$H$3&amp;"'!$B$28:$B$38"),0)),0)+IFERROR(INDIRECT("'"&amp;$H$3&amp;"'!K$315")*INDEX(INDIRECT("'"&amp;$H$3&amp;"'!$K$28:$K$38"),MATCH(INDIRECT("'"&amp;$H$3&amp;"'!K$316"),INDIRECT("'"&amp;$H$3&amp;"'!$B$28:$B$38"),0)),0))</f>
        <v>0</v>
      </c>
      <c r="L122" s="300"/>
      <c r="M122" s="300"/>
      <c r="N122" s="300">
        <f ca="1">(IFERROR(1-INDIRECT("'"&amp;$H$3&amp;"'!N$271"),0))*(N$356+N$370)*(IFERROR(INDEX(INDIRECT("'"&amp;$H$3&amp;"'!$K$28:$K$38"),MATCH(INDIRECT("'"&amp;$H$3&amp;"'!N$274"),INDIRECT("'"&amp;$H$3&amp;"'!$B$28:$B$38"),0)),0)+IFERROR(INDIRECT("'"&amp;$H$3&amp;"'!N$275")*INDEX(INDIRECT("'"&amp;$H$3&amp;"'!$K$28:$K$38"),MATCH(INDIRECT("'"&amp;$H$3&amp;"'!N$276"),INDIRECT("'"&amp;$H$3&amp;"'!$B$28:$B$38"),0)),0))
+(IFERROR(1-INDIRECT("'"&amp;$H$3&amp;"'!N$291"),0))*(N$385+N$399)*(IFERROR(INDEX(INDIRECT("'"&amp;$H$3&amp;"'!$K$28:$K$38"),MATCH(INDIRECT("'"&amp;$H$3&amp;"'!N$294"),INDIRECT("'"&amp;$H$3&amp;"'!$B$28:$B$38"),0)),0)+IFERROR(INDIRECT("'"&amp;$H$3&amp;"'!N$295")*INDEX(INDIRECT("'"&amp;$H$3&amp;"'!$K$28:$K$38"),MATCH(INDIRECT("'"&amp;$H$3&amp;"'!N$296"),INDIRECT("'"&amp;$H$3&amp;"'!$B$28:$B$38"),0)),0))
+(IFERROR(1-INDIRECT("'"&amp;$H$3&amp;"'!N$311"),0))*(N$414+N$428)*(IFERROR(INDEX(INDIRECT("'"&amp;$H$3&amp;"'!$K$28:$K$38"),MATCH(INDIRECT("'"&amp;$H$3&amp;"'!N$314"),INDIRECT("'"&amp;$H$3&amp;"'!$B$28:$B$38"),0)),0)+IFERROR(INDIRECT("'"&amp;$H$3&amp;"'!N$315")*INDEX(INDIRECT("'"&amp;$H$3&amp;"'!$K$28:$K$38"),MATCH(INDIRECT("'"&amp;$H$3&amp;"'!N$316"),INDIRECT("'"&amp;$H$3&amp;"'!$B$28:$B$38"),0)),0))</f>
        <v>0</v>
      </c>
      <c r="O122" s="300"/>
      <c r="P122" s="300"/>
      <c r="Q122" s="300">
        <f ca="1">(IFERROR(1-INDIRECT("'"&amp;$H$3&amp;"'!Q$271"),0))*(Q$356+Q$370)*(IFERROR(INDEX(INDIRECT("'"&amp;$H$3&amp;"'!$K$28:$K$38"),MATCH(INDIRECT("'"&amp;$H$3&amp;"'!Q$274"),INDIRECT("'"&amp;$H$3&amp;"'!$B$28:$B$38"),0)),0)+IFERROR(INDIRECT("'"&amp;$H$3&amp;"'!Q$275")*INDEX(INDIRECT("'"&amp;$H$3&amp;"'!$K$28:$K$38"),MATCH(INDIRECT("'"&amp;$H$3&amp;"'!Q$276"),INDIRECT("'"&amp;$H$3&amp;"'!$B$28:$B$38"),0)),0))
+(IFERROR(1-INDIRECT("'"&amp;$H$3&amp;"'!Q$291"),0))*(Q$385+Q$399)*(IFERROR(INDEX(INDIRECT("'"&amp;$H$3&amp;"'!$K$28:$K$38"),MATCH(INDIRECT("'"&amp;$H$3&amp;"'!Q$294"),INDIRECT("'"&amp;$H$3&amp;"'!$B$28:$B$38"),0)),0)+IFERROR(INDIRECT("'"&amp;$H$3&amp;"'!Q$295")*INDEX(INDIRECT("'"&amp;$H$3&amp;"'!$K$28:$K$38"),MATCH(INDIRECT("'"&amp;$H$3&amp;"'!Q$296"),INDIRECT("'"&amp;$H$3&amp;"'!$B$28:$B$38"),0)),0))
+(IFERROR(1-INDIRECT("'"&amp;$H$3&amp;"'!Q$311"),0))*(Q$414+Q$428)*(IFERROR(INDEX(INDIRECT("'"&amp;$H$3&amp;"'!$K$28:$K$38"),MATCH(INDIRECT("'"&amp;$H$3&amp;"'!Q$314"),INDIRECT("'"&amp;$H$3&amp;"'!$B$28:$B$38"),0)),0)+IFERROR(INDIRECT("'"&amp;$H$3&amp;"'!Q$315")*INDEX(INDIRECT("'"&amp;$H$3&amp;"'!$K$28:$K$38"),MATCH(INDIRECT("'"&amp;$H$3&amp;"'!Q$316"),INDIRECT("'"&amp;$H$3&amp;"'!$B$28:$B$38"),0)),0))</f>
        <v>0</v>
      </c>
      <c r="R122" s="300"/>
      <c r="S122" s="337"/>
      <c r="T122" s="300">
        <f ca="1">(IFERROR(1-INDIRECT("'"&amp;$H$3&amp;"'!T$271"),0))*(T$356+T$370)*(IFERROR(INDEX(INDIRECT("'"&amp;$H$3&amp;"'!$K$28:$K$38"),MATCH(INDIRECT("'"&amp;$H$3&amp;"'!T$274"),INDIRECT("'"&amp;$H$3&amp;"'!$B$28:$B$38"),0)),0)+IFERROR(INDIRECT("'"&amp;$H$3&amp;"'!T$275")*INDEX(INDIRECT("'"&amp;$H$3&amp;"'!$K$28:$K$38"),MATCH(INDIRECT("'"&amp;$H$3&amp;"'!T$276"),INDIRECT("'"&amp;$H$3&amp;"'!$B$28:$B$38"),0)),0))
+(IFERROR(1-INDIRECT("'"&amp;$H$3&amp;"'!T$291"),0))*(T$385+T$399)*(IFERROR(INDEX(INDIRECT("'"&amp;$H$3&amp;"'!$K$28:$K$38"),MATCH(INDIRECT("'"&amp;$H$3&amp;"'!T$294"),INDIRECT("'"&amp;$H$3&amp;"'!$B$28:$B$38"),0)),0)+IFERROR(INDIRECT("'"&amp;$H$3&amp;"'!T$295")*INDEX(INDIRECT("'"&amp;$H$3&amp;"'!$K$28:$K$38"),MATCH(INDIRECT("'"&amp;$H$3&amp;"'!T$296"),INDIRECT("'"&amp;$H$3&amp;"'!$B$28:$B$38"),0)),0))
+(IFERROR(1-INDIRECT("'"&amp;$H$3&amp;"'!T$311"),0))*(T$414+T$428)*(IFERROR(INDEX(INDIRECT("'"&amp;$H$3&amp;"'!$K$28:$K$38"),MATCH(INDIRECT("'"&amp;$H$3&amp;"'!T$314"),INDIRECT("'"&amp;$H$3&amp;"'!$B$28:$B$38"),0)),0)+IFERROR(INDIRECT("'"&amp;$H$3&amp;"'!T$315")*INDEX(INDIRECT("'"&amp;$H$3&amp;"'!$K$28:$K$38"),MATCH(INDIRECT("'"&amp;$H$3&amp;"'!T$316"),INDIRECT("'"&amp;$H$3&amp;"'!$B$28:$B$38"),0)),0))</f>
        <v>0</v>
      </c>
      <c r="U122" s="337"/>
      <c r="V122" s="337"/>
      <c r="W122" s="1437">
        <f ca="1">(IFERROR(1-INDIRECT("'"&amp;$H$3&amp;"'!W$271"),0))*(W$356+W$370)*(IFERROR(INDEX(INDIRECT("'"&amp;$H$3&amp;"'!$K$28:$K$38"),MATCH(INDIRECT("'"&amp;$H$3&amp;"'!W$274"),INDIRECT("'"&amp;$H$3&amp;"'!$B$28:$B$38"),0)),0)+IFERROR(INDIRECT("'"&amp;$H$3&amp;"'!W$275")*INDEX(INDIRECT("'"&amp;$H$3&amp;"'!$K$28:$K$38"),MATCH(INDIRECT("'"&amp;$H$3&amp;"'!W$276"),INDIRECT("'"&amp;$H$3&amp;"'!$B$28:$B$38"),0)),0))
+(IFERROR(1-INDIRECT("'"&amp;$H$3&amp;"'!W$291"),0))*(W$385+W$399)*(IFERROR(INDEX(INDIRECT("'"&amp;$H$3&amp;"'!$K$28:$K$38"),MATCH(INDIRECT("'"&amp;$H$3&amp;"'!W$294"),INDIRECT("'"&amp;$H$3&amp;"'!$B$28:$B$38"),0)),0)+IFERROR(INDIRECT("'"&amp;$H$3&amp;"'!W$295")*INDEX(INDIRECT("'"&amp;$H$3&amp;"'!$K$28:$K$38"),MATCH(INDIRECT("'"&amp;$H$3&amp;"'!W$296"),INDIRECT("'"&amp;$H$3&amp;"'!$B$28:$B$38"),0)),0))
+(IFERROR(1-INDIRECT("'"&amp;$H$3&amp;"'!W$311"),0))*(W$414+W$428)*(IFERROR(INDEX(INDIRECT("'"&amp;$H$3&amp;"'!$K$28:$K$38"),MATCH(INDIRECT("'"&amp;$H$3&amp;"'!W$314"),INDIRECT("'"&amp;$H$3&amp;"'!$B$28:$B$38"),0)),0)+IFERROR(INDIRECT("'"&amp;$H$3&amp;"'!W$315")*INDEX(INDIRECT("'"&amp;$H$3&amp;"'!$K$28:$K$38"),MATCH(INDIRECT("'"&amp;$H$3&amp;"'!W$316"),INDIRECT("'"&amp;$H$3&amp;"'!$B$28:$B$38"),0)),0))</f>
        <v>0</v>
      </c>
      <c r="Y122" s="341">
        <f t="shared" ca="1" si="12"/>
        <v>0</v>
      </c>
    </row>
    <row r="123" spans="6:38">
      <c r="F123" s="288"/>
      <c r="G123" s="288" t="s">
        <v>1</v>
      </c>
      <c r="H123" s="300">
        <f ca="1">INDIRECT("'"&amp;$H$3&amp;"'!$H$8")*(
(IFERROR(1-INDIRECT("'"&amp;$H$3&amp;"'!H$271"),0))*IF(INDIRECT("'"&amp;$H$3&amp;"'!H$265")='List Values'!$E$5,0,(H$369*IFERROR(1/INDEX(INDIRECT("'"&amp;$H$3&amp;"'!$H$49:$H$78"),MATCH(INDIRECT("'"&amp;$H$3&amp;"'!H$264")&amp;"Fuel Efficiency (km/liter)",INDIRECT("'"&amp;$H$3&amp;"'!$F$49:$F$78"),0)),0)))
+(IFERROR(1-INDIRECT("'"&amp;$H$3&amp;"'!H$291"),0))*IF(INDIRECT("'"&amp;$H$3&amp;"'!H$285")='List Values'!$E$5,0,(H$398*IFERROR(1/INDEX(INDIRECT("'"&amp;$H$3&amp;"'!$H$49:$H$78"),MATCH(INDIRECT("'"&amp;$H$3&amp;"'!H$284")&amp;"Fuel Efficiency (km/liter)",INDIRECT("'"&amp;$H$3&amp;"'!$F$49:$F$78"),0)),0)))
+(IFERROR(1-INDIRECT("'"&amp;$H$3&amp;"'!H$311"),0))*IF(INDIRECT("'"&amp;$H$3&amp;"'!H$305")='List Values'!$E$5,0,(H$427*IFERROR(1/INDEX(INDIRECT("'"&amp;$H$3&amp;"'!$H$49:$H$78"),MATCH(INDIRECT("'"&amp;$H$3&amp;"'!H$304")&amp;"Fuel Efficiency (km/liter)",INDIRECT("'"&amp;$H$3&amp;"'!$F$49:$F$78"),0)),0))))</f>
        <v>0</v>
      </c>
      <c r="I123" s="300"/>
      <c r="J123" s="300"/>
      <c r="K123" s="300">
        <f ca="1">INDIRECT("'"&amp;$H$3&amp;"'!$H$8")*(
(IFERROR(1-INDIRECT("'"&amp;$H$3&amp;"'!K$271"),0))*IF(INDIRECT("'"&amp;$H$3&amp;"'!K$265")='List Values'!$E$5,0,(K$369*IFERROR(1/INDEX(INDIRECT("'"&amp;$H$3&amp;"'!$H$49:$H$78"),MATCH(INDIRECT("'"&amp;$H$3&amp;"'!K$264")&amp;"Fuel Efficiency (km/liter)",INDIRECT("'"&amp;$H$3&amp;"'!$F$49:$F$78"),0)),0)))
+(IFERROR(1-INDIRECT("'"&amp;$H$3&amp;"'!K$291"),0))*IF(INDIRECT("'"&amp;$H$3&amp;"'!K$285")='List Values'!$E$5,0,(K$398*IFERROR(1/INDEX(INDIRECT("'"&amp;$H$3&amp;"'!$H$49:$H$78"),MATCH(INDIRECT("'"&amp;$H$3&amp;"'!K$284")&amp;"Fuel Efficiency (km/liter)",INDIRECT("'"&amp;$H$3&amp;"'!$F$49:$F$78"),0)),0)))
+(IFERROR(1-INDIRECT("'"&amp;$H$3&amp;"'!K$311"),0))*IF(INDIRECT("'"&amp;$H$3&amp;"'!K$305")='List Values'!$E$5,0,(K$427*IFERROR(1/INDEX(INDIRECT("'"&amp;$H$3&amp;"'!$H$49:$H$78"),MATCH(INDIRECT("'"&amp;$H$3&amp;"'!K$304")&amp;"Fuel Efficiency (km/liter)",INDIRECT("'"&amp;$H$3&amp;"'!$F$49:$F$78"),0)),0))))</f>
        <v>0</v>
      </c>
      <c r="L123" s="300"/>
      <c r="M123" s="300"/>
      <c r="N123" s="300">
        <f ca="1">INDIRECT("'"&amp;$H$3&amp;"'!$H$8")*(
(IFERROR(1-INDIRECT("'"&amp;$H$3&amp;"'!N$271"),0))*IF(INDIRECT("'"&amp;$H$3&amp;"'!N$265")='List Values'!$E$5,0,(N$369*IFERROR(1/INDEX(INDIRECT("'"&amp;$H$3&amp;"'!$H$49:$H$78"),MATCH(INDIRECT("'"&amp;$H$3&amp;"'!N$264")&amp;"Fuel Efficiency (km/liter)",INDIRECT("'"&amp;$H$3&amp;"'!$F$49:$F$78"),0)),0)))
+(IFERROR(1-INDIRECT("'"&amp;$H$3&amp;"'!N$291"),0))*IF(INDIRECT("'"&amp;$H$3&amp;"'!N$285")='List Values'!$E$5,0,(N$398*IFERROR(1/INDEX(INDIRECT("'"&amp;$H$3&amp;"'!$H$49:$H$78"),MATCH(INDIRECT("'"&amp;$H$3&amp;"'!N$284")&amp;"Fuel Efficiency (km/liter)",INDIRECT("'"&amp;$H$3&amp;"'!$F$49:$F$78"),0)),0)))
+(IFERROR(1-INDIRECT("'"&amp;$H$3&amp;"'!N$311"),0))*IF(INDIRECT("'"&amp;$H$3&amp;"'!N$305")='List Values'!$E$5,0,(N$427*IFERROR(1/INDEX(INDIRECT("'"&amp;$H$3&amp;"'!$H$49:$H$78"),MATCH(INDIRECT("'"&amp;$H$3&amp;"'!N$304")&amp;"Fuel Efficiency (km/liter)",INDIRECT("'"&amp;$H$3&amp;"'!$F$49:$F$78"),0)),0))))</f>
        <v>0</v>
      </c>
      <c r="O123" s="300"/>
      <c r="P123" s="300"/>
      <c r="Q123" s="300">
        <f ca="1">INDIRECT("'"&amp;$H$3&amp;"'!$H$8")*(
(IFERROR(1-INDIRECT("'"&amp;$H$3&amp;"'!Q$271"),0))*IF(INDIRECT("'"&amp;$H$3&amp;"'!Q$265")='List Values'!$E$5,0,(Q$369*IFERROR(1/INDEX(INDIRECT("'"&amp;$H$3&amp;"'!$H$49:$H$78"),MATCH(INDIRECT("'"&amp;$H$3&amp;"'!Q$264")&amp;"Fuel Efficiency (km/liter)",INDIRECT("'"&amp;$H$3&amp;"'!$F$49:$F$78"),0)),0)))
+(IFERROR(1-INDIRECT("'"&amp;$H$3&amp;"'!Q$291"),0))*IF(INDIRECT("'"&amp;$H$3&amp;"'!Q$285")='List Values'!$E$5,0,(Q$398*IFERROR(1/INDEX(INDIRECT("'"&amp;$H$3&amp;"'!$H$49:$H$78"),MATCH(INDIRECT("'"&amp;$H$3&amp;"'!Q$284")&amp;"Fuel Efficiency (km/liter)",INDIRECT("'"&amp;$H$3&amp;"'!$F$49:$F$78"),0)),0)))
+(IFERROR(1-INDIRECT("'"&amp;$H$3&amp;"'!Q$311"),0))*IF(INDIRECT("'"&amp;$H$3&amp;"'!Q$305")='List Values'!$E$5,0,(Q$427*IFERROR(1/INDEX(INDIRECT("'"&amp;$H$3&amp;"'!$H$49:$H$78"),MATCH(INDIRECT("'"&amp;$H$3&amp;"'!Q$304")&amp;"Fuel Efficiency (km/liter)",INDIRECT("'"&amp;$H$3&amp;"'!$F$49:$F$78"),0)),0))))</f>
        <v>0</v>
      </c>
      <c r="R123" s="300"/>
      <c r="S123" s="337"/>
      <c r="T123" s="300">
        <f ca="1">INDIRECT("'"&amp;$H$3&amp;"'!$H$8")*(
(IFERROR(1-INDIRECT("'"&amp;$H$3&amp;"'!T$271"),0))*IF(INDIRECT("'"&amp;$H$3&amp;"'!T$265")='List Values'!$E$5,0,(T$369*IFERROR(1/INDEX(INDIRECT("'"&amp;$H$3&amp;"'!$H$49:$H$78"),MATCH(INDIRECT("'"&amp;$H$3&amp;"'!T$264")&amp;"Fuel Efficiency (km/liter)",INDIRECT("'"&amp;$H$3&amp;"'!$F$49:$F$78"),0)),0)))
+(IFERROR(1-INDIRECT("'"&amp;$H$3&amp;"'!T$291"),0))*IF(INDIRECT("'"&amp;$H$3&amp;"'!T$285")='List Values'!$E$5,0,(T$398*IFERROR(1/INDEX(INDIRECT("'"&amp;$H$3&amp;"'!$H$49:$H$78"),MATCH(INDIRECT("'"&amp;$H$3&amp;"'!T$284")&amp;"Fuel Efficiency (km/liter)",INDIRECT("'"&amp;$H$3&amp;"'!$F$49:$F$78"),0)),0)))
+(IFERROR(1-INDIRECT("'"&amp;$H$3&amp;"'!T$311"),0))*IF(INDIRECT("'"&amp;$H$3&amp;"'!T$305")='List Values'!$E$5,0,(T$427*IFERROR(1/INDEX(INDIRECT("'"&amp;$H$3&amp;"'!$H$49:$H$78"),MATCH(INDIRECT("'"&amp;$H$3&amp;"'!T$304")&amp;"Fuel Efficiency (km/liter)",INDIRECT("'"&amp;$H$3&amp;"'!$F$49:$F$78"),0)),0))))</f>
        <v>0</v>
      </c>
      <c r="U123" s="337"/>
      <c r="V123" s="337"/>
      <c r="W123" s="1437">
        <f ca="1">INDIRECT("'"&amp;$H$3&amp;"'!$H$8")*(
(IFERROR(1-INDIRECT("'"&amp;$H$3&amp;"'!W$271"),0))*IF(INDIRECT("'"&amp;$H$3&amp;"'!W$265")='List Values'!$E$5,0,(W$369*IFERROR(1/INDEX(INDIRECT("'"&amp;$H$3&amp;"'!$H$49:$H$78"),MATCH(INDIRECT("'"&amp;$H$3&amp;"'!W$264")&amp;"Fuel Efficiency (km/liter)",INDIRECT("'"&amp;$H$3&amp;"'!$F$49:$F$78"),0)),0)))
+(IFERROR(1-INDIRECT("'"&amp;$H$3&amp;"'!W$291"),0))*IF(INDIRECT("'"&amp;$H$3&amp;"'!W$285")='List Values'!$E$5,0,(W$398*IFERROR(1/INDEX(INDIRECT("'"&amp;$H$3&amp;"'!$H$49:$H$78"),MATCH(INDIRECT("'"&amp;$H$3&amp;"'!W$284")&amp;"Fuel Efficiency (km/liter)",INDIRECT("'"&amp;$H$3&amp;"'!$F$49:$F$78"),0)),0)))
+(IFERROR(1-INDIRECT("'"&amp;$H$3&amp;"'!W$311"),0))*IF(INDIRECT("'"&amp;$H$3&amp;"'!W$305")='List Values'!$E$5,0,(W$427*IFERROR(1/INDEX(INDIRECT("'"&amp;$H$3&amp;"'!$H$49:$H$78"),MATCH(INDIRECT("'"&amp;$H$3&amp;"'!W$304")&amp;"Fuel Efficiency (km/liter)",INDIRECT("'"&amp;$H$3&amp;"'!$F$49:$F$78"),0)),0))))</f>
        <v>0</v>
      </c>
      <c r="Y123" s="341">
        <f t="shared" ca="1" si="12"/>
        <v>0</v>
      </c>
    </row>
    <row r="124" spans="6:38">
      <c r="F124" s="288"/>
      <c r="G124" s="288" t="s">
        <v>91</v>
      </c>
      <c r="H124" s="300">
        <f ca="1">IFERROR((1-INDIRECT("'"&amp;$H$3&amp;"'!H$270"))*IF(AND(INDIRECT("'"&amp;$H$3&amp;"'!H$269")="No",INDIRECT("'"&amp;$H$3&amp;"'!H$265")='List Values'!$E$3),INDEX(INDIRECT("'"&amp;$H$3&amp;"'!$H$49:$H$78"),MATCH(INDIRECT("'"&amp;$H$3&amp;"'!H$264")&amp;"Insurance cost /yr ($)",INDIRECT("'"&amp;$H$3&amp;"'!$F$49:$F$78"),0))*INDIRECT("'"&amp;$H$3&amp;"'!H$268"),0),0)
+IFERROR((1-INDIRECT("'"&amp;$H$3&amp;"'!H$290"))*IF(AND(INDIRECT("'"&amp;$H$3&amp;"'!H$289")="No",INDIRECT("'"&amp;$H$3&amp;"'!H$285")='List Values'!$E$3),INDEX(INDIRECT("'"&amp;$H$3&amp;"'!$H$49:$H$78"),MATCH(INDIRECT("'"&amp;$H$3&amp;"'!H$284")&amp;"Insurance cost /yr ($)",INDIRECT("'"&amp;$H$3&amp;"'!$F$49:$F$78"),0))*INDIRECT("'"&amp;$H$3&amp;"'!H$288"),0),0)
+IFERROR((1-INDIRECT("'"&amp;$H$3&amp;"'!H$310"))*IF(AND(INDIRECT("'"&amp;$H$3&amp;"'!H$309")="No",INDIRECT("'"&amp;$H$3&amp;"'!H$305")='List Values'!$E$3),INDEX(INDIRECT("'"&amp;$H$3&amp;"'!$H$49:$H$78"),MATCH(INDIRECT("'"&amp;$H$3&amp;"'!H$304")&amp;"Insurance cost /yr ($)",INDIRECT("'"&amp;$H$3&amp;"'!$F$49:$F$78"),0))*INDIRECT("'"&amp;$H$3&amp;"'!H$308"),0),0)</f>
        <v>0</v>
      </c>
      <c r="I124" s="300"/>
      <c r="J124" s="300"/>
      <c r="K124" s="300">
        <f ca="1">IFERROR((1-INDIRECT("'"&amp;$H$3&amp;"'!K$270"))*IF(AND(INDIRECT("'"&amp;$H$3&amp;"'!K$269")="No",INDIRECT("'"&amp;$H$3&amp;"'!K$265")='List Values'!$E$3),INDEX(INDIRECT("'"&amp;$H$3&amp;"'!$H$49:$H$78"),MATCH(INDIRECT("'"&amp;$H$3&amp;"'!K$264")&amp;"Insurance cost /yr ($)",INDIRECT("'"&amp;$H$3&amp;"'!$F$49:$F$78"),0))*INDIRECT("'"&amp;$H$3&amp;"'!K$268"),0),0)
+IFERROR((1-INDIRECT("'"&amp;$H$3&amp;"'!K$290"))*IF(AND(INDIRECT("'"&amp;$H$3&amp;"'!K$289")="No",INDIRECT("'"&amp;$H$3&amp;"'!K$285")='List Values'!$E$3),INDEX(INDIRECT("'"&amp;$H$3&amp;"'!$H$49:$H$78"),MATCH(INDIRECT("'"&amp;$H$3&amp;"'!K$284")&amp;"Insurance cost /yr ($)",INDIRECT("'"&amp;$H$3&amp;"'!$F$49:$F$78"),0))*INDIRECT("'"&amp;$H$3&amp;"'!K$288"),0),0)
+IFERROR((1-INDIRECT("'"&amp;$H$3&amp;"'!K$310"))*IF(AND(INDIRECT("'"&amp;$H$3&amp;"'!K$309")="No",INDIRECT("'"&amp;$H$3&amp;"'!K$305")='List Values'!$E$3),INDEX(INDIRECT("'"&amp;$H$3&amp;"'!$H$49:$H$78"),MATCH(INDIRECT("'"&amp;$H$3&amp;"'!K$304")&amp;"Insurance cost /yr ($)",INDIRECT("'"&amp;$H$3&amp;"'!$F$49:$F$78"),0))*INDIRECT("'"&amp;$H$3&amp;"'!K$308"),0),0)</f>
        <v>0</v>
      </c>
      <c r="L124" s="300"/>
      <c r="M124" s="300"/>
      <c r="N124" s="300">
        <f ca="1">IFERROR((1-INDIRECT("'"&amp;$H$3&amp;"'!N$270"))*IF(AND(INDIRECT("'"&amp;$H$3&amp;"'!N$269")="No",INDIRECT("'"&amp;$H$3&amp;"'!N$265")='List Values'!$E$3),INDEX(INDIRECT("'"&amp;$H$3&amp;"'!$H$49:$H$78"),MATCH(INDIRECT("'"&amp;$H$3&amp;"'!N$264")&amp;"Insurance cost /yr ($)",INDIRECT("'"&amp;$H$3&amp;"'!$F$49:$F$78"),0))*INDIRECT("'"&amp;$H$3&amp;"'!N$268"),0),0)
+IFERROR((1-INDIRECT("'"&amp;$H$3&amp;"'!N$290"))*IF(AND(INDIRECT("'"&amp;$H$3&amp;"'!N$289")="No",INDIRECT("'"&amp;$H$3&amp;"'!N$285")='List Values'!$E$3),INDEX(INDIRECT("'"&amp;$H$3&amp;"'!$H$49:$H$78"),MATCH(INDIRECT("'"&amp;$H$3&amp;"'!N$284")&amp;"Insurance cost /yr ($)",INDIRECT("'"&amp;$H$3&amp;"'!$F$49:$F$78"),0))*INDIRECT("'"&amp;$H$3&amp;"'!N$288"),0),0)
+IFERROR((1-INDIRECT("'"&amp;$H$3&amp;"'!N$310"))*IF(AND(INDIRECT("'"&amp;$H$3&amp;"'!N$309")="No",INDIRECT("'"&amp;$H$3&amp;"'!N$305")='List Values'!$E$3),INDEX(INDIRECT("'"&amp;$H$3&amp;"'!$H$49:$H$78"),MATCH(INDIRECT("'"&amp;$H$3&amp;"'!N$304")&amp;"Insurance cost /yr ($)",INDIRECT("'"&amp;$H$3&amp;"'!$F$49:$F$78"),0))*INDIRECT("'"&amp;$H$3&amp;"'!N$308"),0),0)</f>
        <v>0</v>
      </c>
      <c r="O124" s="300"/>
      <c r="P124" s="300"/>
      <c r="Q124" s="300">
        <f ca="1">IFERROR((1-INDIRECT("'"&amp;$H$3&amp;"'!Q$270"))*IF(AND(INDIRECT("'"&amp;$H$3&amp;"'!Q$269")="No",INDIRECT("'"&amp;$H$3&amp;"'!Q$265")='List Values'!$E$3),INDEX(INDIRECT("'"&amp;$H$3&amp;"'!$H$49:$H$78"),MATCH(INDIRECT("'"&amp;$H$3&amp;"'!Q$264")&amp;"Insurance cost /yr ($)",INDIRECT("'"&amp;$H$3&amp;"'!$F$49:$F$78"),0))*INDIRECT("'"&amp;$H$3&amp;"'!Q$268"),0),0)
+IFERROR((1-INDIRECT("'"&amp;$H$3&amp;"'!Q$290"))*IF(AND(INDIRECT("'"&amp;$H$3&amp;"'!Q$289")="No",INDIRECT("'"&amp;$H$3&amp;"'!Q$285")='List Values'!$E$3),INDEX(INDIRECT("'"&amp;$H$3&amp;"'!$H$49:$H$78"),MATCH(INDIRECT("'"&amp;$H$3&amp;"'!Q$284")&amp;"Insurance cost /yr ($)",INDIRECT("'"&amp;$H$3&amp;"'!$F$49:$F$78"),0))*INDIRECT("'"&amp;$H$3&amp;"'!Q$288"),0),0)
+IFERROR((1-INDIRECT("'"&amp;$H$3&amp;"'!Q$310"))*IF(AND(INDIRECT("'"&amp;$H$3&amp;"'!Q$309")="No",INDIRECT("'"&amp;$H$3&amp;"'!Q$305")='List Values'!$E$3),INDEX(INDIRECT("'"&amp;$H$3&amp;"'!$H$49:$H$78"),MATCH(INDIRECT("'"&amp;$H$3&amp;"'!Q$304")&amp;"Insurance cost /yr ($)",INDIRECT("'"&amp;$H$3&amp;"'!$F$49:$F$78"),0))*INDIRECT("'"&amp;$H$3&amp;"'!Q$308"),0),0)</f>
        <v>0</v>
      </c>
      <c r="R124" s="300"/>
      <c r="S124" s="337"/>
      <c r="T124" s="300">
        <f ca="1">IFERROR((1-INDIRECT("'"&amp;$H$3&amp;"'!T$270"))*IF(AND(INDIRECT("'"&amp;$H$3&amp;"'!T$269")="No",INDIRECT("'"&amp;$H$3&amp;"'!T$265")='List Values'!$E$3),INDEX(INDIRECT("'"&amp;$H$3&amp;"'!$H$49:$H$78"),MATCH(INDIRECT("'"&amp;$H$3&amp;"'!T$264")&amp;"Insurance cost /yr ($)",INDIRECT("'"&amp;$H$3&amp;"'!$F$49:$F$78"),0))*INDIRECT("'"&amp;$H$3&amp;"'!T$268"),0),0)
+IFERROR((1-INDIRECT("'"&amp;$H$3&amp;"'!T$290"))*IF(AND(INDIRECT("'"&amp;$H$3&amp;"'!T$289")="No",INDIRECT("'"&amp;$H$3&amp;"'!T$285")='List Values'!$E$3),INDEX(INDIRECT("'"&amp;$H$3&amp;"'!$H$49:$H$78"),MATCH(INDIRECT("'"&amp;$H$3&amp;"'!T$284")&amp;"Insurance cost /yr ($)",INDIRECT("'"&amp;$H$3&amp;"'!$F$49:$F$78"),0))*INDIRECT("'"&amp;$H$3&amp;"'!T$288"),0),0)
+IFERROR((1-INDIRECT("'"&amp;$H$3&amp;"'!T$310"))*IF(AND(INDIRECT("'"&amp;$H$3&amp;"'!T$309")="No",INDIRECT("'"&amp;$H$3&amp;"'!T$305")='List Values'!$E$3),INDEX(INDIRECT("'"&amp;$H$3&amp;"'!$H$49:$H$78"),MATCH(INDIRECT("'"&amp;$H$3&amp;"'!T$304")&amp;"Insurance cost /yr ($)",INDIRECT("'"&amp;$H$3&amp;"'!$F$49:$F$78"),0))*INDIRECT("'"&amp;$H$3&amp;"'!T$308"),0),0)</f>
        <v>0</v>
      </c>
      <c r="U124" s="337"/>
      <c r="V124" s="337"/>
      <c r="W124" s="1437">
        <f ca="1">IFERROR((1-INDIRECT("'"&amp;$H$3&amp;"'!W$270"))*IF(AND(INDIRECT("'"&amp;$H$3&amp;"'!W$269")="No",INDIRECT("'"&amp;$H$3&amp;"'!W$265")='List Values'!$E$3),INDEX(INDIRECT("'"&amp;$H$3&amp;"'!$H$49:$H$78"),MATCH(INDIRECT("'"&amp;$H$3&amp;"'!W$264")&amp;"Insurance cost /yr ($)",INDIRECT("'"&amp;$H$3&amp;"'!$F$49:$F$78"),0))*INDIRECT("'"&amp;$H$3&amp;"'!W$268"),0),0)
+IFERROR((1-INDIRECT("'"&amp;$H$3&amp;"'!W$290"))*IF(AND(INDIRECT("'"&amp;$H$3&amp;"'!W$289")="No",INDIRECT("'"&amp;$H$3&amp;"'!W$285")='List Values'!$E$3),INDEX(INDIRECT("'"&amp;$H$3&amp;"'!$H$49:$H$78"),MATCH(INDIRECT("'"&amp;$H$3&amp;"'!W$284")&amp;"Insurance cost /yr ($)",INDIRECT("'"&amp;$H$3&amp;"'!$F$49:$F$78"),0))*INDIRECT("'"&amp;$H$3&amp;"'!W$288"),0),0)
+IFERROR((1-INDIRECT("'"&amp;$H$3&amp;"'!W$310"))*IF(AND(INDIRECT("'"&amp;$H$3&amp;"'!W$309")="No",INDIRECT("'"&amp;$H$3&amp;"'!W$305")='List Values'!$E$3),INDEX(INDIRECT("'"&amp;$H$3&amp;"'!$H$49:$H$78"),MATCH(INDIRECT("'"&amp;$H$3&amp;"'!W$304")&amp;"Insurance cost /yr ($)",INDIRECT("'"&amp;$H$3&amp;"'!$F$49:$F$78"),0))*INDIRECT("'"&amp;$H$3&amp;"'!W$308"),0),0)</f>
        <v>0</v>
      </c>
      <c r="Y124" s="341">
        <f t="shared" ca="1" si="12"/>
        <v>0</v>
      </c>
      <c r="Z124" s="7"/>
      <c r="AA124" s="7"/>
    </row>
    <row r="125" spans="6:38">
      <c r="F125" s="288"/>
      <c r="G125" s="288" t="s">
        <v>92</v>
      </c>
      <c r="H125" s="300">
        <f ca="1">IFERROR((1-INDIRECT("'"&amp;$H$3&amp;"'!H$271"))*IF(INDIRECT("'"&amp;$H$3&amp;"'!H$265")='List Values'!$E$3,H$369*INDEX(INDIRECT("'"&amp;$H$3&amp;"'!$H$49:$H$78"),MATCH(INDIRECT("'"&amp;$H$3&amp;"'!H$264")&amp;"Maintenance cost/km ($)",INDIRECT("'"&amp;$H$3&amp;"'!$F$49:$F$78"),0)),0),0)
+ IFERROR((1-INDIRECT("'"&amp;$H$3&amp;"'!H$291"))*IF(INDIRECT("'"&amp;$H$3&amp;"'!H$285")='List Values'!$E$3,H$398*INDEX(INDIRECT("'"&amp;$H$3&amp;"'!$H$49:$H$78"),MATCH(INDIRECT("'"&amp;$H$3&amp;"'!H$284")&amp;"Maintenance cost/km ($)",INDIRECT("'"&amp;$H$3&amp;"'!$F$49:$F$78"),0)),0),0)
+ IFERROR((1-INDIRECT("'"&amp;$H$3&amp;"'!H$311"))*IF(INDIRECT("'"&amp;$H$3&amp;"'!H$305")='List Values'!$E$3,H$427*INDEX(INDIRECT("'"&amp;$H$3&amp;"'!$H$49:$H$78"),MATCH(INDIRECT("'"&amp;$H$3&amp;"'!H$304")&amp;"Maintenance cost/km ($)",INDIRECT("'"&amp;$H$3&amp;"'!$F$49:$F$78"),0)),0),0)</f>
        <v>0</v>
      </c>
      <c r="I125" s="300"/>
      <c r="J125" s="300"/>
      <c r="K125" s="300">
        <f ca="1">IFERROR((1-INDIRECT("'"&amp;$H$3&amp;"'!K$271"))*IF(INDIRECT("'"&amp;$H$3&amp;"'!K$265")='List Values'!$E$3,K$369*INDEX(INDIRECT("'"&amp;$H$3&amp;"'!$H$49:$H$78"),MATCH(INDIRECT("'"&amp;$H$3&amp;"'!K$264")&amp;"Maintenance cost/km ($)",INDIRECT("'"&amp;$H$3&amp;"'!$F$49:$F$78"),0)),0),0)
+ IFERROR((1-INDIRECT("'"&amp;$H$3&amp;"'!K$291"))*IF(INDIRECT("'"&amp;$H$3&amp;"'!K$285")='List Values'!$E$3,K$398*INDEX(INDIRECT("'"&amp;$H$3&amp;"'!$H$49:$H$78"),MATCH(INDIRECT("'"&amp;$H$3&amp;"'!K$284")&amp;"Maintenance cost/km ($)",INDIRECT("'"&amp;$H$3&amp;"'!$F$49:$F$78"),0)),0),0)
+ IFERROR((1-INDIRECT("'"&amp;$H$3&amp;"'!K$311"))*IF(INDIRECT("'"&amp;$H$3&amp;"'!K$305")='List Values'!$E$3,K$427*INDEX(INDIRECT("'"&amp;$H$3&amp;"'!$H$49:$H$78"),MATCH(INDIRECT("'"&amp;$H$3&amp;"'!K$304")&amp;"Maintenance cost/km ($)",INDIRECT("'"&amp;$H$3&amp;"'!$F$49:$F$78"),0)),0),0)</f>
        <v>0</v>
      </c>
      <c r="L125" s="300"/>
      <c r="M125" s="300"/>
      <c r="N125" s="300">
        <f ca="1">IFERROR((1-INDIRECT("'"&amp;$H$3&amp;"'!N$271"))*IF(INDIRECT("'"&amp;$H$3&amp;"'!N$265")='List Values'!$E$3,N$369*INDEX(INDIRECT("'"&amp;$H$3&amp;"'!$H$49:$H$78"),MATCH(INDIRECT("'"&amp;$H$3&amp;"'!N$264")&amp;"Maintenance cost/km ($)",INDIRECT("'"&amp;$H$3&amp;"'!$F$49:$F$78"),0)),0),0)
+ IFERROR((1-INDIRECT("'"&amp;$H$3&amp;"'!N$291"))*IF(INDIRECT("'"&amp;$H$3&amp;"'!N$285")='List Values'!$E$3,N$398*INDEX(INDIRECT("'"&amp;$H$3&amp;"'!$H$49:$H$78"),MATCH(INDIRECT("'"&amp;$H$3&amp;"'!N$284")&amp;"Maintenance cost/km ($)",INDIRECT("'"&amp;$H$3&amp;"'!$F$49:$F$78"),0)),0),0)
+ IFERROR((1-INDIRECT("'"&amp;$H$3&amp;"'!N$311"))*IF(INDIRECT("'"&amp;$H$3&amp;"'!N$305")='List Values'!$E$3,N$427*INDEX(INDIRECT("'"&amp;$H$3&amp;"'!$H$49:$H$78"),MATCH(INDIRECT("'"&amp;$H$3&amp;"'!N$304")&amp;"Maintenance cost/km ($)",INDIRECT("'"&amp;$H$3&amp;"'!$F$49:$F$78"),0)),0),0)</f>
        <v>0</v>
      </c>
      <c r="O125" s="300"/>
      <c r="P125" s="300"/>
      <c r="Q125" s="300">
        <f ca="1">IFERROR((1-INDIRECT("'"&amp;$H$3&amp;"'!Q$271"))*IF(INDIRECT("'"&amp;$H$3&amp;"'!Q$265")='List Values'!$E$3,Q$369*INDEX(INDIRECT("'"&amp;$H$3&amp;"'!$H$49:$H$78"),MATCH(INDIRECT("'"&amp;$H$3&amp;"'!Q$264")&amp;"Maintenance cost/km ($)",INDIRECT("'"&amp;$H$3&amp;"'!$F$49:$F$78"),0)),0),0)
+ IFERROR((1-INDIRECT("'"&amp;$H$3&amp;"'!Q$291"))*IF(INDIRECT("'"&amp;$H$3&amp;"'!Q$285")='List Values'!$E$3,Q$398*INDEX(INDIRECT("'"&amp;$H$3&amp;"'!$H$49:$H$78"),MATCH(INDIRECT("'"&amp;$H$3&amp;"'!Q$284")&amp;"Maintenance cost/km ($)",INDIRECT("'"&amp;$H$3&amp;"'!$F$49:$F$78"),0)),0),0)
+ IFERROR((1-INDIRECT("'"&amp;$H$3&amp;"'!Q$311"))*IF(INDIRECT("'"&amp;$H$3&amp;"'!Q$305")='List Values'!$E$3,Q$427*INDEX(INDIRECT("'"&amp;$H$3&amp;"'!$H$49:$H$78"),MATCH(INDIRECT("'"&amp;$H$3&amp;"'!Q$304")&amp;"Maintenance cost/km ($)",INDIRECT("'"&amp;$H$3&amp;"'!$F$49:$F$78"),0)),0),0)</f>
        <v>0</v>
      </c>
      <c r="R125" s="300"/>
      <c r="S125" s="337"/>
      <c r="T125" s="300">
        <f ca="1">IFERROR((1-INDIRECT("'"&amp;$H$3&amp;"'!T$271"))*IF(INDIRECT("'"&amp;$H$3&amp;"'!T$265")='List Values'!$E$3,T$369*INDEX(INDIRECT("'"&amp;$H$3&amp;"'!$H$49:$H$78"),MATCH(INDIRECT("'"&amp;$H$3&amp;"'!T$264")&amp;"Maintenance cost/km ($)",INDIRECT("'"&amp;$H$3&amp;"'!$F$49:$F$78"),0)),0),0)
+ IFERROR((1-INDIRECT("'"&amp;$H$3&amp;"'!T$291"))*IF(INDIRECT("'"&amp;$H$3&amp;"'!T$285")='List Values'!$E$3,T$398*INDEX(INDIRECT("'"&amp;$H$3&amp;"'!$H$49:$H$78"),MATCH(INDIRECT("'"&amp;$H$3&amp;"'!T$284")&amp;"Maintenance cost/km ($)",INDIRECT("'"&amp;$H$3&amp;"'!$F$49:$F$78"),0)),0),0)
+ IFERROR((1-INDIRECT("'"&amp;$H$3&amp;"'!T$311"))*IF(INDIRECT("'"&amp;$H$3&amp;"'!T$305")='List Values'!$E$3,T$427*INDEX(INDIRECT("'"&amp;$H$3&amp;"'!$H$49:$H$78"),MATCH(INDIRECT("'"&amp;$H$3&amp;"'!T$304")&amp;"Maintenance cost/km ($)",INDIRECT("'"&amp;$H$3&amp;"'!$F$49:$F$78"),0)),0),0)</f>
        <v>0</v>
      </c>
      <c r="U125" s="337"/>
      <c r="V125" s="337"/>
      <c r="W125" s="1437">
        <f ca="1">IFERROR((1-INDIRECT("'"&amp;$H$3&amp;"'!W$271"))*IF(INDIRECT("'"&amp;$H$3&amp;"'!W$265")='List Values'!$E$3,W$369*INDEX(INDIRECT("'"&amp;$H$3&amp;"'!$H$49:$H$78"),MATCH(INDIRECT("'"&amp;$H$3&amp;"'!W$264")&amp;"Maintenance cost/km ($)",INDIRECT("'"&amp;$H$3&amp;"'!$F$49:$F$78"),0)),0),0)
+ IFERROR((1-INDIRECT("'"&amp;$H$3&amp;"'!W$291"))*IF(INDIRECT("'"&amp;$H$3&amp;"'!W$285")='List Values'!$E$3,W$398*INDEX(INDIRECT("'"&amp;$H$3&amp;"'!$H$49:$H$78"),MATCH(INDIRECT("'"&amp;$H$3&amp;"'!W$284")&amp;"Maintenance cost/km ($)",INDIRECT("'"&amp;$H$3&amp;"'!$F$49:$F$78"),0)),0),0)
+ IFERROR((1-INDIRECT("'"&amp;$H$3&amp;"'!W$311"))*IF(INDIRECT("'"&amp;$H$3&amp;"'!W$305")='List Values'!$E$3,W$427*INDEX(INDIRECT("'"&amp;$H$3&amp;"'!$H$49:$H$78"),MATCH(INDIRECT("'"&amp;$H$3&amp;"'!W$304")&amp;"Maintenance cost/km ($)",INDIRECT("'"&amp;$H$3&amp;"'!$F$49:$F$78"),0)),0),0)</f>
        <v>0</v>
      </c>
      <c r="Y125" s="341">
        <f t="shared" ca="1" si="12"/>
        <v>0</v>
      </c>
      <c r="Z125" s="7"/>
      <c r="AA125" s="7"/>
    </row>
    <row r="126" spans="6:38">
      <c r="F126" s="288"/>
      <c r="G126" s="288" t="s">
        <v>93</v>
      </c>
      <c r="H126" s="300">
        <f ca="1">IFERROR((1-INDIRECT("'"&amp;$H$3&amp;"'!H$270"))*IF(AND(INDIRECT("'"&amp;$H$3&amp;"'!H$269")="No",INDIRECT("'"&amp;$H$3&amp;"'!H$265")='List Values'!$E$3),INDEX(INDIRECT("'"&amp;$H$3&amp;"'!$H$49:$H$78"),MATCH(INDIRECT("'"&amp;$H$3&amp;"'!H$264")&amp;"Depreciation cost / yr ($)",INDIRECT("'"&amp;$H$3&amp;"'!$F$49:$F$78"),0))*INDIRECT("'"&amp;$H$3&amp;"'!H$268"),0),0)
+IFERROR((1-INDIRECT("'"&amp;$H$3&amp;"'!H$290"))*IF(AND(INDIRECT("'"&amp;$H$3&amp;"'!H$289")="No",INDIRECT("'"&amp;$H$3&amp;"'!H$285")='List Values'!$E$3),INDEX(INDIRECT("'"&amp;$H$3&amp;"'!$H$49:$H$78"),MATCH(INDIRECT("'"&amp;$H$3&amp;"'!H$284")&amp;"Depreciation cost / yr ($)",INDIRECT("'"&amp;$H$3&amp;"'!$F$49:$F$78"),0))*INDIRECT("'"&amp;$H$3&amp;"'!H$288"),0),0)
+IFERROR((1-INDIRECT("'"&amp;$H$3&amp;"'!H$310"))*IF(AND(INDIRECT("'"&amp;$H$3&amp;"'!H$309")="No",INDIRECT("'"&amp;$H$3&amp;"'!H$305")='List Values'!$E$3),INDEX(INDIRECT("'"&amp;$H$3&amp;"'!$H$49:$H$78"),MATCH(INDIRECT("'"&amp;$H$3&amp;"'!H$304")&amp;"Depreciation cost / yr ($)",INDIRECT("'"&amp;$H$3&amp;"'!$F$49:$F$78"),0))*INDIRECT("'"&amp;$H$3&amp;"'!H$308"),0),0)</f>
        <v>0</v>
      </c>
      <c r="I126" s="300"/>
      <c r="J126" s="300"/>
      <c r="K126" s="300">
        <f ca="1">IFERROR((1-INDIRECT("'"&amp;$H$3&amp;"'!K$270"))*IF(AND(INDIRECT("'"&amp;$H$3&amp;"'!K$269")="No",INDIRECT("'"&amp;$H$3&amp;"'!K$265")='List Values'!$E$3),INDEX(INDIRECT("'"&amp;$H$3&amp;"'!$H$49:$H$78"),MATCH(INDIRECT("'"&amp;$H$3&amp;"'!K$264")&amp;"Depreciation cost / yr ($)",INDIRECT("'"&amp;$H$3&amp;"'!$F$49:$F$78"),0))*INDIRECT("'"&amp;$H$3&amp;"'!K$268"),0),0)
+IFERROR((1-INDIRECT("'"&amp;$H$3&amp;"'!K$290"))*IF(AND(INDIRECT("'"&amp;$H$3&amp;"'!K$289")="No",INDIRECT("'"&amp;$H$3&amp;"'!K$285")='List Values'!$E$3),INDEX(INDIRECT("'"&amp;$H$3&amp;"'!$H$49:$H$78"),MATCH(INDIRECT("'"&amp;$H$3&amp;"'!K$284")&amp;"Depreciation cost / yr ($)",INDIRECT("'"&amp;$H$3&amp;"'!$F$49:$F$78"),0))*INDIRECT("'"&amp;$H$3&amp;"'!K$288"),0),0)
+IFERROR((1-INDIRECT("'"&amp;$H$3&amp;"'!K$310"))*IF(AND(INDIRECT("'"&amp;$H$3&amp;"'!K$309")="No",INDIRECT("'"&amp;$H$3&amp;"'!K$305")='List Values'!$E$3),INDEX(INDIRECT("'"&amp;$H$3&amp;"'!$H$49:$H$78"),MATCH(INDIRECT("'"&amp;$H$3&amp;"'!K$304")&amp;"Depreciation cost / yr ($)",INDIRECT("'"&amp;$H$3&amp;"'!$F$49:$F$78"),0))*INDIRECT("'"&amp;$H$3&amp;"'!K$308"),0),0)</f>
        <v>0</v>
      </c>
      <c r="L126" s="300"/>
      <c r="M126" s="300"/>
      <c r="N126" s="300">
        <f ca="1">IFERROR((1-INDIRECT("'"&amp;$H$3&amp;"'!N$270"))*IF(AND(INDIRECT("'"&amp;$H$3&amp;"'!N$269")="No",INDIRECT("'"&amp;$H$3&amp;"'!N$265")='List Values'!$E$3),INDEX(INDIRECT("'"&amp;$H$3&amp;"'!$H$49:$H$78"),MATCH(INDIRECT("'"&amp;$H$3&amp;"'!N$264")&amp;"Depreciation cost / yr ($)",INDIRECT("'"&amp;$H$3&amp;"'!$F$49:$F$78"),0))*INDIRECT("'"&amp;$H$3&amp;"'!N$268"),0),0)
+IFERROR((1-INDIRECT("'"&amp;$H$3&amp;"'!N$290"))*IF(AND(INDIRECT("'"&amp;$H$3&amp;"'!N$289")="No",INDIRECT("'"&amp;$H$3&amp;"'!N$285")='List Values'!$E$3),INDEX(INDIRECT("'"&amp;$H$3&amp;"'!$H$49:$H$78"),MATCH(INDIRECT("'"&amp;$H$3&amp;"'!N$284")&amp;"Depreciation cost / yr ($)",INDIRECT("'"&amp;$H$3&amp;"'!$F$49:$F$78"),0))*INDIRECT("'"&amp;$H$3&amp;"'!N$288"),0),0)
+IFERROR((1-INDIRECT("'"&amp;$H$3&amp;"'!N$310"))*IF(AND(INDIRECT("'"&amp;$H$3&amp;"'!N$309")="No",INDIRECT("'"&amp;$H$3&amp;"'!N$305")='List Values'!$E$3),INDEX(INDIRECT("'"&amp;$H$3&amp;"'!$H$49:$H$78"),MATCH(INDIRECT("'"&amp;$H$3&amp;"'!N$304")&amp;"Depreciation cost / yr ($)",INDIRECT("'"&amp;$H$3&amp;"'!$F$49:$F$78"),0))*INDIRECT("'"&amp;$H$3&amp;"'!N$308"),0),0)</f>
        <v>0</v>
      </c>
      <c r="O126" s="300"/>
      <c r="P126" s="300"/>
      <c r="Q126" s="300">
        <f ca="1">IFERROR((1-INDIRECT("'"&amp;$H$3&amp;"'!Q$270"))*IF(AND(INDIRECT("'"&amp;$H$3&amp;"'!Q$269")="No",INDIRECT("'"&amp;$H$3&amp;"'!Q$265")='List Values'!$E$3),INDEX(INDIRECT("'"&amp;$H$3&amp;"'!$H$49:$H$78"),MATCH(INDIRECT("'"&amp;$H$3&amp;"'!Q$264")&amp;"Depreciation cost / yr ($)",INDIRECT("'"&amp;$H$3&amp;"'!$F$49:$F$78"),0))*INDIRECT("'"&amp;$H$3&amp;"'!Q$268"),0),0)
+IFERROR((1-INDIRECT("'"&amp;$H$3&amp;"'!Q$290"))*IF(AND(INDIRECT("'"&amp;$H$3&amp;"'!Q$289")="No",INDIRECT("'"&amp;$H$3&amp;"'!Q$285")='List Values'!$E$3),INDEX(INDIRECT("'"&amp;$H$3&amp;"'!$H$49:$H$78"),MATCH(INDIRECT("'"&amp;$H$3&amp;"'!Q$284")&amp;"Depreciation cost / yr ($)",INDIRECT("'"&amp;$H$3&amp;"'!$F$49:$F$78"),0))*INDIRECT("'"&amp;$H$3&amp;"'!Q$288"),0),0)
+IFERROR((1-INDIRECT("'"&amp;$H$3&amp;"'!Q$310"))*IF(AND(INDIRECT("'"&amp;$H$3&amp;"'!Q$309")="No",INDIRECT("'"&amp;$H$3&amp;"'!Q$305")='List Values'!$E$3),INDEX(INDIRECT("'"&amp;$H$3&amp;"'!$H$49:$H$78"),MATCH(INDIRECT("'"&amp;$H$3&amp;"'!Q$304")&amp;"Depreciation cost / yr ($)",INDIRECT("'"&amp;$H$3&amp;"'!$F$49:$F$78"),0))*INDIRECT("'"&amp;$H$3&amp;"'!Q$308"),0),0)</f>
        <v>0</v>
      </c>
      <c r="R126" s="300"/>
      <c r="S126" s="337"/>
      <c r="T126" s="300">
        <f ca="1">IFERROR((1-INDIRECT("'"&amp;$H$3&amp;"'!T$270"))*IF(AND(INDIRECT("'"&amp;$H$3&amp;"'!T$269")="No",INDIRECT("'"&amp;$H$3&amp;"'!T$265")='List Values'!$E$3),INDEX(INDIRECT("'"&amp;$H$3&amp;"'!$H$49:$H$78"),MATCH(INDIRECT("'"&amp;$H$3&amp;"'!T$264")&amp;"Depreciation cost / yr ($)",INDIRECT("'"&amp;$H$3&amp;"'!$F$49:$F$78"),0))*INDIRECT("'"&amp;$H$3&amp;"'!T$268"),0),0)
+IFERROR((1-INDIRECT("'"&amp;$H$3&amp;"'!T$290"))*IF(AND(INDIRECT("'"&amp;$H$3&amp;"'!T$289")="No",INDIRECT("'"&amp;$H$3&amp;"'!T$285")='List Values'!$E$3),INDEX(INDIRECT("'"&amp;$H$3&amp;"'!$H$49:$H$78"),MATCH(INDIRECT("'"&amp;$H$3&amp;"'!T$284")&amp;"Depreciation cost / yr ($)",INDIRECT("'"&amp;$H$3&amp;"'!$F$49:$F$78"),0))*INDIRECT("'"&amp;$H$3&amp;"'!T$288"),0),0)
+IFERROR((1-INDIRECT("'"&amp;$H$3&amp;"'!T$310"))*IF(AND(INDIRECT("'"&amp;$H$3&amp;"'!T$309")="No",INDIRECT("'"&amp;$H$3&amp;"'!T$305")='List Values'!$E$3),INDEX(INDIRECT("'"&amp;$H$3&amp;"'!$H$49:$H$78"),MATCH(INDIRECT("'"&amp;$H$3&amp;"'!T$304")&amp;"Depreciation cost / yr ($)",INDIRECT("'"&amp;$H$3&amp;"'!$F$49:$F$78"),0))*INDIRECT("'"&amp;$H$3&amp;"'!T$308"),0),0)</f>
        <v>0</v>
      </c>
      <c r="U126" s="337"/>
      <c r="V126" s="337"/>
      <c r="W126" s="1437">
        <f ca="1">IFERROR((1-INDIRECT("'"&amp;$H$3&amp;"'!W$270"))*IF(AND(INDIRECT("'"&amp;$H$3&amp;"'!W$269")="No",INDIRECT("'"&amp;$H$3&amp;"'!W$265")='List Values'!$E$3),INDEX(INDIRECT("'"&amp;$H$3&amp;"'!$H$49:$H$78"),MATCH(INDIRECT("'"&amp;$H$3&amp;"'!W$264")&amp;"Depreciation cost / yr ($)",INDIRECT("'"&amp;$H$3&amp;"'!$F$49:$F$78"),0))*INDIRECT("'"&amp;$H$3&amp;"'!W$268"),0),0)
+IFERROR((1-INDIRECT("'"&amp;$H$3&amp;"'!W$290"))*IF(AND(INDIRECT("'"&amp;$H$3&amp;"'!W$289")="No",INDIRECT("'"&amp;$H$3&amp;"'!W$285")='List Values'!$E$3),INDEX(INDIRECT("'"&amp;$H$3&amp;"'!$H$49:$H$78"),MATCH(INDIRECT("'"&amp;$H$3&amp;"'!W$284")&amp;"Depreciation cost / yr ($)",INDIRECT("'"&amp;$H$3&amp;"'!$F$49:$F$78"),0))*INDIRECT("'"&amp;$H$3&amp;"'!W$288"),0),0)
+IFERROR((1-INDIRECT("'"&amp;$H$3&amp;"'!W$310"))*IF(AND(INDIRECT("'"&amp;$H$3&amp;"'!W$309")="No",INDIRECT("'"&amp;$H$3&amp;"'!W$305")='List Values'!$E$3),INDEX(INDIRECT("'"&amp;$H$3&amp;"'!$H$49:$H$78"),MATCH(INDIRECT("'"&amp;$H$3&amp;"'!W$304")&amp;"Depreciation cost / yr ($)",INDIRECT("'"&amp;$H$3&amp;"'!$F$49:$F$78"),0))*INDIRECT("'"&amp;$H$3&amp;"'!W$308"),0),0)</f>
        <v>0</v>
      </c>
      <c r="Y126" s="341">
        <f t="shared" ca="1" si="12"/>
        <v>0</v>
      </c>
      <c r="Z126" s="7"/>
      <c r="AA126" s="7"/>
    </row>
    <row r="127" spans="6:38">
      <c r="F127" s="984"/>
      <c r="G127" s="985" t="s">
        <v>160</v>
      </c>
      <c r="H127" s="986">
        <f ca="1">IFERROR((1-INDIRECT("'"&amp;$H$3&amp;"'!H$271"))*H$355*INDEX(INDIRECT("'"&amp;$H$3&amp;"'!$H$43:$H$78"),MATCH(INDIRECT("'"&amp;$H$3&amp;"'!H$264")&amp;"Average cost ($) per trip (one-way)",INDIRECT("'"&amp;$H$3&amp;"'!$F$43:$F$78"),0)),0)
+IFERROR((1-INDIRECT("'"&amp;$H$3&amp;"'!H$291"))*H$384*INDEX(INDIRECT("'"&amp;$H$3&amp;"'!$H$43:$H$78"),MATCH(INDIRECT("'"&amp;$H$3&amp;"'!H$284")&amp;"Average cost ($) per trip (one-way)",INDIRECT("'"&amp;$H$3&amp;"'!$F$43:$F$78"),0)),0)
+IFERROR((1-INDIRECT("'"&amp;$H$3&amp;"'!H$311"))*H$413*INDEX(INDIRECT("'"&amp;$H$3&amp;"'!$H$43:$H$78"),MATCH(INDIRECT("'"&amp;$H$3&amp;"'!H$304")&amp;"Average cost ($) per trip (one-way)",INDIRECT("'"&amp;$H$3&amp;"'!$F$43:$F$78"),0)),0)</f>
        <v>0</v>
      </c>
      <c r="I127" s="986"/>
      <c r="J127" s="986"/>
      <c r="K127" s="986">
        <f ca="1">IFERROR((1-INDIRECT("'"&amp;$H$3&amp;"'!K$271"))*K$355*INDEX(INDIRECT("'"&amp;$H$3&amp;"'!$H$43:$H$78"),MATCH(INDIRECT("'"&amp;$H$3&amp;"'!K$264")&amp;"Average cost ($) per trip (one-way)",INDIRECT("'"&amp;$H$3&amp;"'!$F$43:$F$78"),0)),0)
+IFERROR((1-INDIRECT("'"&amp;$H$3&amp;"'!K$291"))*K$384*INDEX(INDIRECT("'"&amp;$H$3&amp;"'!$H$43:$H$78"),MATCH(INDIRECT("'"&amp;$H$3&amp;"'!K$284")&amp;"Average cost ($) per trip (one-way)",INDIRECT("'"&amp;$H$3&amp;"'!$F$43:$F$78"),0)),0)
+IFERROR((1-INDIRECT("'"&amp;$H$3&amp;"'!K$311"))*K$413*INDEX(INDIRECT("'"&amp;$H$3&amp;"'!$H$43:$H$78"),MATCH(INDIRECT("'"&amp;$H$3&amp;"'!K$304")&amp;"Average cost ($) per trip (one-way)",INDIRECT("'"&amp;$H$3&amp;"'!$F$43:$F$78"),0)),0)</f>
        <v>0</v>
      </c>
      <c r="L127" s="986"/>
      <c r="M127" s="986"/>
      <c r="N127" s="986">
        <f ca="1">IFERROR((1-INDIRECT("'"&amp;$H$3&amp;"'!N$271"))*N$355*INDEX(INDIRECT("'"&amp;$H$3&amp;"'!$H$43:$H$78"),MATCH(INDIRECT("'"&amp;$H$3&amp;"'!N$264")&amp;"Average cost ($) per trip (one-way)",INDIRECT("'"&amp;$H$3&amp;"'!$F$43:$F$78"),0)),0)
+IFERROR((1-INDIRECT("'"&amp;$H$3&amp;"'!N$291"))*N$384*INDEX(INDIRECT("'"&amp;$H$3&amp;"'!$H$43:$H$78"),MATCH(INDIRECT("'"&amp;$H$3&amp;"'!N$284")&amp;"Average cost ($) per trip (one-way)",INDIRECT("'"&amp;$H$3&amp;"'!$F$43:$F$78"),0)),0)
+IFERROR((1-INDIRECT("'"&amp;$H$3&amp;"'!N$311"))*N$413*INDEX(INDIRECT("'"&amp;$H$3&amp;"'!$H$43:$H$78"),MATCH(INDIRECT("'"&amp;$H$3&amp;"'!N$304")&amp;"Average cost ($) per trip (one-way)",INDIRECT("'"&amp;$H$3&amp;"'!$F$43:$F$78"),0)),0)</f>
        <v>0</v>
      </c>
      <c r="O127" s="986"/>
      <c r="P127" s="986"/>
      <c r="Q127" s="986">
        <f ca="1">IFERROR((1-INDIRECT("'"&amp;$H$3&amp;"'!Q$271"))*Q$355*INDEX(INDIRECT("'"&amp;$H$3&amp;"'!$H$43:$H$78"),MATCH(INDIRECT("'"&amp;$H$3&amp;"'!Q$264")&amp;"Average cost ($) per trip (one-way)",INDIRECT("'"&amp;$H$3&amp;"'!$F$43:$F$78"),0)),0)
+IFERROR((1-INDIRECT("'"&amp;$H$3&amp;"'!Q$291"))*Q$384*INDEX(INDIRECT("'"&amp;$H$3&amp;"'!$H$43:$H$78"),MATCH(INDIRECT("'"&amp;$H$3&amp;"'!Q$284")&amp;"Average cost ($) per trip (one-way)",INDIRECT("'"&amp;$H$3&amp;"'!$F$43:$F$78"),0)),0)
+IFERROR((1-INDIRECT("'"&amp;$H$3&amp;"'!Q$311"))*Q$413*INDEX(INDIRECT("'"&amp;$H$3&amp;"'!$H$43:$H$78"),MATCH(INDIRECT("'"&amp;$H$3&amp;"'!Q$304")&amp;"Average cost ($) per trip (one-way)",INDIRECT("'"&amp;$H$3&amp;"'!$F$43:$F$78"),0)),0)</f>
        <v>0</v>
      </c>
      <c r="R127" s="986"/>
      <c r="S127" s="987"/>
      <c r="T127" s="986">
        <f ca="1">IFERROR((1-INDIRECT("'"&amp;$H$3&amp;"'!T$271"))*T$355*INDEX(INDIRECT("'"&amp;$H$3&amp;"'!$H$43:$H$78"),MATCH(INDIRECT("'"&amp;$H$3&amp;"'!T$264")&amp;"Average cost ($) per trip (one-way)",INDIRECT("'"&amp;$H$3&amp;"'!$F$43:$F$78"),0)),0)
+IFERROR((1-INDIRECT("'"&amp;$H$3&amp;"'!T$291"))*T$384*INDEX(INDIRECT("'"&amp;$H$3&amp;"'!$H$43:$H$78"),MATCH(INDIRECT("'"&amp;$H$3&amp;"'!T$284")&amp;"Average cost ($) per trip (one-way)",INDIRECT("'"&amp;$H$3&amp;"'!$F$43:$F$78"),0)),0)
+IFERROR((1-INDIRECT("'"&amp;$H$3&amp;"'!T$311"))*T$413*INDEX(INDIRECT("'"&amp;$H$3&amp;"'!$H$43:$H$78"),MATCH(INDIRECT("'"&amp;$H$3&amp;"'!T$304")&amp;"Average cost ($) per trip (one-way)",INDIRECT("'"&amp;$H$3&amp;"'!$F$43:$F$78"),0)),0)</f>
        <v>0</v>
      </c>
      <c r="U127" s="987"/>
      <c r="V127" s="987"/>
      <c r="W127" s="1441">
        <f ca="1">IFERROR((1-INDIRECT("'"&amp;$H$3&amp;"'!W$271"))*W$355*INDEX(INDIRECT("'"&amp;$H$3&amp;"'!$H$43:$H$78"),MATCH(INDIRECT("'"&amp;$H$3&amp;"'!W$264")&amp;"Average cost ($) per trip (one-way)",INDIRECT("'"&amp;$H$3&amp;"'!$F$43:$F$78"),0)),0)
+IFERROR((1-INDIRECT("'"&amp;$H$3&amp;"'!W$291"))*W$384*INDEX(INDIRECT("'"&amp;$H$3&amp;"'!$H$43:$H$78"),MATCH(INDIRECT("'"&amp;$H$3&amp;"'!W$284")&amp;"Average cost ($) per trip (one-way)",INDIRECT("'"&amp;$H$3&amp;"'!$F$43:$F$78"),0)),0)
+IFERROR((1-INDIRECT("'"&amp;$H$3&amp;"'!W$311"))*W$413*INDEX(INDIRECT("'"&amp;$H$3&amp;"'!$H$43:$H$78"),MATCH(INDIRECT("'"&amp;$H$3&amp;"'!W$304")&amp;"Average cost ($) per trip (one-way)",INDIRECT("'"&amp;$H$3&amp;"'!$F$43:$F$78"),0)),0)</f>
        <v>0</v>
      </c>
      <c r="Y127" s="347">
        <f t="shared" ca="1" si="12"/>
        <v>0</v>
      </c>
      <c r="Z127" s="7"/>
      <c r="AA127" s="7"/>
    </row>
    <row r="128" spans="6:38" ht="6.75" customHeight="1">
      <c r="F128" s="991"/>
      <c r="G128" s="27"/>
      <c r="H128" s="992"/>
      <c r="I128" s="992"/>
      <c r="J128" s="992"/>
      <c r="K128" s="992"/>
      <c r="L128" s="992"/>
      <c r="M128" s="992"/>
      <c r="N128" s="992"/>
      <c r="O128" s="992"/>
      <c r="P128" s="992"/>
      <c r="Q128" s="992"/>
      <c r="R128" s="992"/>
      <c r="S128" s="993"/>
      <c r="T128" s="992"/>
      <c r="U128" s="993"/>
      <c r="V128" s="993"/>
      <c r="W128" s="992"/>
      <c r="Y128" s="993"/>
      <c r="Z128" s="7"/>
      <c r="AA128" s="7"/>
    </row>
    <row r="129" spans="6:38" ht="29.15">
      <c r="F129" s="887"/>
      <c r="G129" s="888"/>
      <c r="H129" s="1502" t="str">
        <f ca="1">IF($H$9&gt;=1,INDIRECT("'"&amp;$H$3&amp;"'!G$91"),"")</f>
        <v>CMS Tier</v>
      </c>
      <c r="I129" s="1502" t="str">
        <f t="shared" ref="I129:V129" ca="1" si="13">IF($H$9&gt;=1,"Tier 1","")</f>
        <v>Tier 1</v>
      </c>
      <c r="J129" s="1502" t="str">
        <f t="shared" ca="1" si="13"/>
        <v>Tier 1</v>
      </c>
      <c r="K129" s="1502" t="str">
        <f ca="1">IF($H$9&gt;=2,INDIRECT("'"&amp;$H$3&amp;"'!J$91"),"")</f>
        <v>Regional WH Tier</v>
      </c>
      <c r="L129" s="1502" t="str">
        <f t="shared" ca="1" si="13"/>
        <v>Tier 1</v>
      </c>
      <c r="M129" s="1502" t="str">
        <f t="shared" ca="1" si="13"/>
        <v>Tier 1</v>
      </c>
      <c r="N129" s="1502" t="str">
        <f ca="1">IF($H$9&gt;=3,INDIRECT("'"&amp;$H$3&amp;"'!M$91"),"")</f>
        <v>Health Facility Tier</v>
      </c>
      <c r="O129" s="1502" t="str">
        <f t="shared" ca="1" si="13"/>
        <v>Tier 1</v>
      </c>
      <c r="P129" s="1502" t="str">
        <f t="shared" ca="1" si="13"/>
        <v>Tier 1</v>
      </c>
      <c r="Q129" s="1502" t="str">
        <f ca="1">IF($H$9&gt;=4,INDIRECT("'"&amp;$H$3&amp;"'!P$91"),"")</f>
        <v/>
      </c>
      <c r="R129" s="1503" t="str">
        <f t="shared" ca="1" si="13"/>
        <v>Tier 1</v>
      </c>
      <c r="S129" s="1504" t="str">
        <f t="shared" ca="1" si="13"/>
        <v>Tier 1</v>
      </c>
      <c r="T129" s="1502" t="str">
        <f ca="1">IF($H$9&gt;=5,INDIRECT("'"&amp;$H$3&amp;"'!S$91"),"")</f>
        <v/>
      </c>
      <c r="U129" s="1504" t="str">
        <f t="shared" ca="1" si="13"/>
        <v>Tier 1</v>
      </c>
      <c r="V129" s="1504" t="str">
        <f t="shared" ca="1" si="13"/>
        <v>Tier 1</v>
      </c>
      <c r="W129" s="1505" t="str">
        <f ca="1">IF($H$9&gt;=6,INDIRECT("'"&amp;$H$3&amp;"'!V$91"),"")</f>
        <v/>
      </c>
      <c r="X129" s="1459"/>
      <c r="Y129" s="1487"/>
      <c r="Z129" s="7"/>
      <c r="AA129" s="7"/>
    </row>
    <row r="130" spans="6:38">
      <c r="F130" s="352" t="s">
        <v>97</v>
      </c>
      <c r="G130" s="353"/>
      <c r="H130" s="354"/>
      <c r="I130" s="354"/>
      <c r="J130" s="354"/>
      <c r="K130" s="354"/>
      <c r="L130" s="354"/>
      <c r="M130" s="354"/>
      <c r="N130" s="354"/>
      <c r="O130" s="354"/>
      <c r="P130" s="354"/>
      <c r="Q130" s="354"/>
      <c r="R130" s="354"/>
      <c r="S130" s="355"/>
      <c r="T130" s="354"/>
      <c r="U130" s="355"/>
      <c r="V130" s="355"/>
      <c r="W130" s="383"/>
      <c r="Y130" s="355">
        <f ca="1">SUM(Y131:Y134)</f>
        <v>1370019.5617574467</v>
      </c>
      <c r="Z130" s="7"/>
      <c r="AA130" s="7"/>
    </row>
    <row r="131" spans="6:38" hidden="1">
      <c r="F131" s="288"/>
      <c r="G131" s="366" t="s">
        <v>48</v>
      </c>
      <c r="H131" s="300"/>
      <c r="I131" s="300"/>
      <c r="J131" s="300"/>
      <c r="K131" s="300">
        <v>0</v>
      </c>
      <c r="L131" s="300"/>
      <c r="M131" s="300"/>
      <c r="N131" s="300">
        <v>0</v>
      </c>
      <c r="O131" s="300"/>
      <c r="P131" s="300"/>
      <c r="Q131" s="300"/>
      <c r="R131" s="300"/>
      <c r="S131" s="337"/>
      <c r="T131" s="300"/>
      <c r="U131" s="337"/>
      <c r="V131" s="337"/>
      <c r="W131" s="1437"/>
      <c r="Y131" s="341">
        <f>SUM(H131:Q131)</f>
        <v>0</v>
      </c>
    </row>
    <row r="132" spans="6:38">
      <c r="F132" s="288"/>
      <c r="G132" s="288" t="s">
        <v>94</v>
      </c>
      <c r="H132" s="300">
        <f ca="1">IFERROR(INDIRECT("'"&amp;$H$3&amp;"'!H$106")*INDIRECT("'"&amp;$H$3&amp;"'!H$95")*INDIRECT("'"&amp;$H$3&amp;"'!$H$10")*INDIRECT("'"&amp;$H$3&amp;"'!$H$9")*IFERROR(INDEX(INDIRECT("'"&amp;$H$3&amp;"'!$H$28:$H$38"),MATCH(INDIRECT("'"&amp;$H$3&amp;"'!H$105"),INDIRECT("'"&amp;$H$3&amp;"'!$B$28:$B$38"),0)),0),0)</f>
        <v>336000</v>
      </c>
      <c r="I132" s="300"/>
      <c r="J132" s="300"/>
      <c r="K132" s="300">
        <f ca="1">IFERROR(INDIRECT("'"&amp;$H$3&amp;"'!K$106")*INDIRECT("'"&amp;$H$3&amp;"'!K$95")*INDIRECT("'"&amp;$H$3&amp;"'!$H$10")*INDIRECT("'"&amp;$H$3&amp;"'!$H$9")*IFERROR(INDEX(INDIRECT("'"&amp;$H$3&amp;"'!$H$28:$H$38"),MATCH(INDIRECT("'"&amp;$H$3&amp;"'!K$105"),INDIRECT("'"&amp;$H$3&amp;"'!$B$28:$B$38"),0)),0),0)</f>
        <v>268800</v>
      </c>
      <c r="L132" s="300"/>
      <c r="M132" s="300"/>
      <c r="N132" s="300">
        <f ca="1">IFERROR(INDIRECT("'"&amp;$H$3&amp;"'!N$106")*INDIRECT("'"&amp;$H$3&amp;"'!N$95")*INDIRECT("'"&amp;$H$3&amp;"'!$H$10")*INDIRECT("'"&amp;$H$3&amp;"'!$H$9")*IFERROR(INDEX(INDIRECT("'"&amp;$H$3&amp;"'!$H$28:$H$38"),MATCH(INDIRECT("'"&amp;$H$3&amp;"'!N$105"),INDIRECT("'"&amp;$H$3&amp;"'!$B$28:$B$38"),0)),0),0)</f>
        <v>92620.557692307644</v>
      </c>
      <c r="O132" s="300"/>
      <c r="P132" s="300"/>
      <c r="Q132" s="300">
        <f ca="1">IFERROR(INDIRECT("'"&amp;$H$3&amp;"'!Q$106")*INDIRECT("'"&amp;$H$3&amp;"'!Q$95")*INDIRECT("'"&amp;$H$3&amp;"'!$H$10")*INDIRECT("'"&amp;$H$3&amp;"'!$H$9")*IFERROR(INDEX(INDIRECT("'"&amp;$H$3&amp;"'!$H$28:$H$38"),MATCH(INDIRECT("'"&amp;$H$3&amp;"'!Q$105"),INDIRECT("'"&amp;$H$3&amp;"'!$B$28:$B$38"),0)),0),0)</f>
        <v>0</v>
      </c>
      <c r="R132" s="300"/>
      <c r="S132" s="337"/>
      <c r="T132" s="300">
        <f ca="1">IFERROR(INDIRECT("'"&amp;$H$3&amp;"'!T$106")*INDIRECT("'"&amp;$H$3&amp;"'!T$95")*INDIRECT("'"&amp;$H$3&amp;"'!$H$10")*INDIRECT("'"&amp;$H$3&amp;"'!$H$9")*IFERROR(INDEX(INDIRECT("'"&amp;$H$3&amp;"'!$H$28:$H$38"),MATCH(INDIRECT("'"&amp;$H$3&amp;"'!T$105"),INDIRECT("'"&amp;$H$3&amp;"'!$B$28:$B$38"),0)),0),0)</f>
        <v>0</v>
      </c>
      <c r="U132" s="337"/>
      <c r="V132" s="337"/>
      <c r="W132" s="1437">
        <f ca="1">IFERROR(INDIRECT("'"&amp;$H$3&amp;"'!W$106")*INDIRECT("'"&amp;$H$3&amp;"'!W$95")*INDIRECT("'"&amp;$H$3&amp;"'!$H$10")*INDIRECT("'"&amp;$H$3&amp;"'!$H$9")*IFERROR(INDEX(INDIRECT("'"&amp;$H$3&amp;"'!$H$28:$H$38"),MATCH(INDIRECT("'"&amp;$H$3&amp;"'!W$105"),INDIRECT("'"&amp;$H$3&amp;"'!$B$28:$B$38"),0)),0),0)</f>
        <v>0</v>
      </c>
      <c r="Y132" s="341">
        <f t="shared" ref="Y132:Y137" ca="1" si="14">SUM(H132:W132)</f>
        <v>697420.55769230763</v>
      </c>
    </row>
    <row r="133" spans="6:38">
      <c r="F133" s="288"/>
      <c r="G133" s="288" t="s">
        <v>485</v>
      </c>
      <c r="H133" s="300">
        <f ca="1">IFERROR(SUM(INDIRECT("'"&amp;$H$3&amp;"'!H$108"),INDIRECT("'"&amp;$H$3&amp;"'!H$109"))*INDIRECT("'"&amp;$H$3&amp;"'!H$110")*INDIRECT("'"&amp;$H$3&amp;"'!H$95"),0)</f>
        <v>233202.05051456118</v>
      </c>
      <c r="I133" s="300"/>
      <c r="J133" s="300"/>
      <c r="K133" s="300">
        <f ca="1">IFERROR(SUM(INDIRECT("'"&amp;$H$3&amp;"'!K$108"),INDIRECT("'"&amp;$H$3&amp;"'!K$109"))*INDIRECT("'"&amp;$H$3&amp;"'!K$110")*INDIRECT("'"&amp;$H$3&amp;"'!K$95"),0)</f>
        <v>116441.81917736056</v>
      </c>
      <c r="L133" s="300"/>
      <c r="M133" s="300"/>
      <c r="N133" s="300">
        <f ca="1">IFERROR(SUM(INDIRECT("'"&amp;$H$3&amp;"'!N$108"),INDIRECT("'"&amp;$H$3&amp;"'!N$109"))*INDIRECT("'"&amp;$H$3&amp;"'!N$110")*INDIRECT("'"&amp;$H$3&amp;"'!N$95"),0)</f>
        <v>265161.93077032204</v>
      </c>
      <c r="O133" s="300"/>
      <c r="P133" s="300"/>
      <c r="Q133" s="300">
        <f ca="1">IFERROR(SUM(INDIRECT("'"&amp;$H$3&amp;"'!Q$108"),INDIRECT("'"&amp;$H$3&amp;"'!Q$109"))*INDIRECT("'"&amp;$H$3&amp;"'!Q$110")*INDIRECT("'"&amp;$H$3&amp;"'!Q$95"),0)</f>
        <v>0</v>
      </c>
      <c r="R133" s="300"/>
      <c r="S133" s="337"/>
      <c r="T133" s="300">
        <f ca="1">IFERROR(SUM(INDIRECT("'"&amp;$H$3&amp;"'!T$108"),INDIRECT("'"&amp;$H$3&amp;"'!T$109"))*INDIRECT("'"&amp;$H$3&amp;"'!T$110")*INDIRECT("'"&amp;$H$3&amp;"'!T$95"),0)</f>
        <v>0</v>
      </c>
      <c r="U133" s="337"/>
      <c r="V133" s="337"/>
      <c r="W133" s="1437">
        <f ca="1">IFERROR(SUM(INDIRECT("'"&amp;$H$3&amp;"'!W$108"),INDIRECT("'"&amp;$H$3&amp;"'!W$109"))*INDIRECT("'"&amp;$H$3&amp;"'!W$110")*INDIRECT("'"&amp;$H$3&amp;"'!W$95"),0)</f>
        <v>0</v>
      </c>
      <c r="Y133" s="341">
        <f t="shared" ca="1" si="14"/>
        <v>614805.80046224385</v>
      </c>
    </row>
    <row r="134" spans="6:38">
      <c r="F134" s="288"/>
      <c r="G134" s="288" t="s">
        <v>383</v>
      </c>
      <c r="H134" s="300">
        <f ca="1">IFERROR(INDIRECT("'"&amp;$H$3&amp;"'!H$108")*INDIRECT("'"&amp;$H$3&amp;"'!H$111")*INDIRECT("'"&amp;$H$3&amp;"'!H$95"),0)</f>
        <v>19094.82683246637</v>
      </c>
      <c r="I134" s="300"/>
      <c r="J134" s="300"/>
      <c r="K134" s="300">
        <f ca="1">IFERROR(INDIRECT("'"&amp;$H$3&amp;"'!K$108")*INDIRECT("'"&amp;$H$3&amp;"'!K$111")*INDIRECT("'"&amp;$H$3&amp;"'!K$95"),0)</f>
        <v>38698.376770428666</v>
      </c>
      <c r="L134" s="300"/>
      <c r="M134" s="300"/>
      <c r="N134" s="300">
        <f ca="1">IFERROR(INDIRECT("'"&amp;$H$3&amp;"'!N$108")*INDIRECT("'"&amp;$H$3&amp;"'!N$111")*INDIRECT("'"&amp;$H$3&amp;"'!N$95"),0)</f>
        <v>0</v>
      </c>
      <c r="O134" s="300"/>
      <c r="P134" s="300"/>
      <c r="Q134" s="300">
        <f ca="1">IFERROR(INDIRECT("'"&amp;$H$3&amp;"'!Q$108")*INDIRECT("'"&amp;$H$3&amp;"'!Q$111")*INDIRECT("'"&amp;$H$3&amp;"'!Q$95"),0)</f>
        <v>0</v>
      </c>
      <c r="R134" s="300"/>
      <c r="S134" s="337"/>
      <c r="T134" s="300">
        <f ca="1">IFERROR(INDIRECT("'"&amp;$H$3&amp;"'!T$108")*INDIRECT("'"&amp;$H$3&amp;"'!T$111")*INDIRECT("'"&amp;$H$3&amp;"'!T$95"),0)</f>
        <v>0</v>
      </c>
      <c r="U134" s="337"/>
      <c r="V134" s="337"/>
      <c r="W134" s="1437">
        <f ca="1">IFERROR(INDIRECT("'"&amp;$H$3&amp;"'!W$108")*INDIRECT("'"&amp;$H$3&amp;"'!W$111")*INDIRECT("'"&amp;$H$3&amp;"'!W$95"),0)</f>
        <v>0</v>
      </c>
      <c r="Y134" s="341">
        <f t="shared" ca="1" si="14"/>
        <v>57793.203602895039</v>
      </c>
    </row>
    <row r="135" spans="6:38">
      <c r="F135" s="288"/>
      <c r="G135" s="298" t="s">
        <v>384</v>
      </c>
      <c r="H135" s="300">
        <f ca="1">IFERROR(INDIRECT("'"&amp;$H$3&amp;"'!H$109")*INDIRECT("'"&amp;$H$3&amp;"'!H$112")*INDIRECT("'"&amp;$H$3&amp;"'!H$95"),0)</f>
        <v>0</v>
      </c>
      <c r="I135" s="300"/>
      <c r="J135" s="300"/>
      <c r="K135" s="300">
        <f ca="1">IFERROR(INDIRECT("'"&amp;$H$3&amp;"'!K$109")*INDIRECT("'"&amp;$H$3&amp;"'!K$112")*INDIRECT("'"&amp;$H$3&amp;"'!K$95"),0)</f>
        <v>0</v>
      </c>
      <c r="L135" s="300"/>
      <c r="M135" s="300"/>
      <c r="N135" s="300">
        <f ca="1">IFERROR(INDIRECT("'"&amp;$H$3&amp;"'!N$109")*INDIRECT("'"&amp;$H$3&amp;"'!N$112")*INDIRECT("'"&amp;$H$3&amp;"'!N$95"),0)</f>
        <v>0</v>
      </c>
      <c r="O135" s="300"/>
      <c r="P135" s="300"/>
      <c r="Q135" s="300">
        <f ca="1">IFERROR(INDIRECT("'"&amp;$H$3&amp;"'!Q$109")*INDIRECT("'"&amp;$H$3&amp;"'!Q$112")*INDIRECT("'"&amp;$H$3&amp;"'!Q$95"),0)</f>
        <v>0</v>
      </c>
      <c r="R135" s="300"/>
      <c r="S135" s="337"/>
      <c r="T135" s="300">
        <f ca="1">IFERROR(INDIRECT("'"&amp;$H$3&amp;"'!T$109")*INDIRECT("'"&amp;$H$3&amp;"'!T$112")*INDIRECT("'"&amp;$H$3&amp;"'!T$95"),0)</f>
        <v>0</v>
      </c>
      <c r="U135" s="337"/>
      <c r="V135" s="337"/>
      <c r="W135" s="1437">
        <f ca="1">IFERROR(INDIRECT("'"&amp;$H$3&amp;"'!W$109")*INDIRECT("'"&amp;$H$3&amp;"'!W$112")*INDIRECT("'"&amp;$H$3&amp;"'!W$95"),0)</f>
        <v>0</v>
      </c>
      <c r="Y135" s="341">
        <f t="shared" ca="1" si="14"/>
        <v>0</v>
      </c>
    </row>
    <row r="136" spans="6:38">
      <c r="F136" s="288"/>
      <c r="G136" s="298" t="s">
        <v>385</v>
      </c>
      <c r="H136" s="300">
        <f ca="1">IFERROR(INDIRECT("'"&amp;$H$3&amp;"'!H$113")*INDIRECT("'"&amp;$H$3&amp;"'!H$116")*INDIRECT("'"&amp;$H$3&amp;"'!H$95"),0)</f>
        <v>0</v>
      </c>
      <c r="I136" s="300"/>
      <c r="J136" s="300"/>
      <c r="K136" s="300">
        <f ca="1">IFERROR(INDIRECT("'"&amp;$H$3&amp;"'!K$113")*INDIRECT("'"&amp;$H$3&amp;"'!K$116")*INDIRECT("'"&amp;$H$3&amp;"'!K$95"),0)</f>
        <v>0</v>
      </c>
      <c r="L136" s="300"/>
      <c r="M136" s="300"/>
      <c r="N136" s="300">
        <f ca="1">IFERROR(INDIRECT("'"&amp;$H$3&amp;"'!N$113")*INDIRECT("'"&amp;$H$3&amp;"'!N$116")*INDIRECT("'"&amp;$H$3&amp;"'!N$95"),0)</f>
        <v>0</v>
      </c>
      <c r="O136" s="300"/>
      <c r="P136" s="300"/>
      <c r="Q136" s="300">
        <f ca="1">IFERROR(INDIRECT("'"&amp;$H$3&amp;"'!Q$113")*INDIRECT("'"&amp;$H$3&amp;"'!Q$116")*INDIRECT("'"&amp;$H$3&amp;"'!Q$95"),0)</f>
        <v>0</v>
      </c>
      <c r="R136" s="300"/>
      <c r="S136" s="337"/>
      <c r="T136" s="300">
        <f ca="1">IFERROR(INDIRECT("'"&amp;$H$3&amp;"'!T$113")*INDIRECT("'"&amp;$H$3&amp;"'!T$116")*INDIRECT("'"&amp;$H$3&amp;"'!T$95"),0)</f>
        <v>0</v>
      </c>
      <c r="U136" s="337"/>
      <c r="V136" s="337"/>
      <c r="W136" s="1437">
        <f ca="1">IFERROR(INDIRECT("'"&amp;$H$3&amp;"'!W$113")*INDIRECT("'"&amp;$H$3&amp;"'!W$116")*INDIRECT("'"&amp;$H$3&amp;"'!W$95"),0)</f>
        <v>0</v>
      </c>
      <c r="Y136" s="341">
        <f t="shared" ca="1" si="14"/>
        <v>0</v>
      </c>
    </row>
    <row r="137" spans="6:38">
      <c r="F137" s="363"/>
      <c r="G137" s="220" t="s">
        <v>386</v>
      </c>
      <c r="H137" s="296">
        <f ca="1">IFERROR((1/INDIRECT("'"&amp;$H$3&amp;"'!$H$12"))*INDIRECT("'"&amp;$H$3&amp;"'!H$113")*INDIRECT("'"&amp;$H$3&amp;"'!H$115")*INDIRECT("'"&amp;$H$3&amp;"'!H$95"),0)</f>
        <v>600</v>
      </c>
      <c r="I137" s="296"/>
      <c r="J137" s="296"/>
      <c r="K137" s="296">
        <f ca="1">IFERROR((1/INDIRECT("'"&amp;$H$3&amp;"'!$H$12"))*INDIRECT("'"&amp;$H$3&amp;"'!K$113")*INDIRECT("'"&amp;$H$3&amp;"'!K$115")*INDIRECT("'"&amp;$H$3&amp;"'!K$95"),0)</f>
        <v>300</v>
      </c>
      <c r="L137" s="296"/>
      <c r="M137" s="296"/>
      <c r="N137" s="296">
        <f ca="1">IFERROR((1/INDIRECT("'"&amp;$H$3&amp;"'!$H$12"))*INDIRECT("'"&amp;$H$3&amp;"'!N$113")*INDIRECT("'"&amp;$H$3&amp;"'!N$115")*INDIRECT("'"&amp;$H$3&amp;"'!N$95"),0)</f>
        <v>10350</v>
      </c>
      <c r="O137" s="296"/>
      <c r="P137" s="296"/>
      <c r="Q137" s="296">
        <f ca="1">IFERROR((1/INDIRECT("'"&amp;$H$3&amp;"'!$H$12"))*INDIRECT("'"&amp;$H$3&amp;"'!Q$113")*INDIRECT("'"&amp;$H$3&amp;"'!Q$115")*INDIRECT("'"&amp;$H$3&amp;"'!Q$95"),0)</f>
        <v>0</v>
      </c>
      <c r="R137" s="296"/>
      <c r="S137" s="361"/>
      <c r="T137" s="296">
        <f ca="1">IFERROR((1/INDIRECT("'"&amp;$H$3&amp;"'!$H$12"))*INDIRECT("'"&amp;$H$3&amp;"'!T$113")*INDIRECT("'"&amp;$H$3&amp;"'!T$115")*INDIRECT("'"&amp;$H$3&amp;"'!T$95"),0)</f>
        <v>0</v>
      </c>
      <c r="U137" s="361"/>
      <c r="V137" s="361"/>
      <c r="W137" s="1438">
        <f ca="1">IFERROR((1/INDIRECT("'"&amp;$H$3&amp;"'!$H$12"))*INDIRECT("'"&amp;$H$3&amp;"'!W$113")*INDIRECT("'"&amp;$H$3&amp;"'!W$115")*INDIRECT("'"&amp;$H$3&amp;"'!W$95"),0)</f>
        <v>0</v>
      </c>
      <c r="Y137" s="347">
        <f t="shared" ca="1" si="14"/>
        <v>11250</v>
      </c>
    </row>
    <row r="138" spans="6:38" ht="15" customHeight="1">
      <c r="F138" s="352" t="s">
        <v>83</v>
      </c>
      <c r="G138" s="353"/>
      <c r="H138" s="354"/>
      <c r="I138" s="354"/>
      <c r="J138" s="354"/>
      <c r="K138" s="354"/>
      <c r="L138" s="354"/>
      <c r="M138" s="354"/>
      <c r="N138" s="354"/>
      <c r="O138" s="354"/>
      <c r="P138" s="354"/>
      <c r="Q138" s="354"/>
      <c r="R138" s="354"/>
      <c r="S138" s="355"/>
      <c r="T138" s="354"/>
      <c r="U138" s="355"/>
      <c r="V138" s="355"/>
      <c r="W138" s="383"/>
      <c r="Y138" s="355">
        <f ca="1">SUM(Y139)</f>
        <v>132074.68350107403</v>
      </c>
      <c r="Z138" s="1"/>
      <c r="AA138" s="1"/>
      <c r="AL138" s="1"/>
    </row>
    <row r="139" spans="6:38" ht="15" customHeight="1">
      <c r="F139" s="363"/>
      <c r="G139" s="363" t="s">
        <v>95</v>
      </c>
      <c r="H139" s="296">
        <f ca="1">IF($H$9&lt;1,0,IF(INDIRECT("'"&amp;$H$3&amp;"'!H121")="Cost per facility",IFERROR(INDIRECT("'"&amp;$H$3&amp;"'!H$122")*INDIRECT("'"&amp;$H$3&amp;"'!H$95"),0), IF(INDIRECT("'"&amp;$H$3&amp;"'!H121")="Cost as % commodity value",IFERROR(INDIRECT("'"&amp;$H$3&amp;"'!H$123")*$H$13,0),0)))</f>
        <v>68518.335535384278</v>
      </c>
      <c r="I139" s="296"/>
      <c r="J139" s="296"/>
      <c r="K139" s="296">
        <f ca="1">IF($H$9&lt;2,0,IF(INDIRECT("'"&amp;$H$3&amp;"'!K121")="Cost per facility",IFERROR(INDIRECT("'"&amp;$H$3&amp;"'!K$122")*INDIRECT("'"&amp;$H$3&amp;"'!K$95"),0), IF(INDIRECT("'"&amp;$H$3&amp;"'!K121")="Cost as % commodity value",IFERROR(INDIRECT("'"&amp;$H$3&amp;"'!K$123")*$H$13,0),0)))</f>
        <v>13104</v>
      </c>
      <c r="L139" s="296"/>
      <c r="M139" s="296"/>
      <c r="N139" s="296">
        <f ca="1">IF($H$9&lt;3,0,IF(INDIRECT("'"&amp;$H$3&amp;"'!N121")="Cost per facility",IFERROR(INDIRECT("'"&amp;$H$3&amp;"'!N$122")*INDIRECT("'"&amp;$H$3&amp;"'!N$95"),0), IF(INDIRECT("'"&amp;$H$3&amp;"'!N121")="Cost as % commodity value",IFERROR(INDIRECT("'"&amp;$H$3&amp;"'!N$123")*$H$13,0),0)))</f>
        <v>50452.347965689762</v>
      </c>
      <c r="O139" s="296"/>
      <c r="P139" s="296"/>
      <c r="Q139" s="296">
        <f ca="1">IF($H$9&lt;4,0,IF(INDIRECT("'"&amp;$H$3&amp;"'!Q121")="Cost per facility",IFERROR(INDIRECT("'"&amp;$H$3&amp;"'!Q$122")*INDIRECT("'"&amp;$H$3&amp;"'!Q$95"),0), IF(INDIRECT("'"&amp;$H$3&amp;"'!Q121")="Cost as % commodity value",IFERROR(INDIRECT("'"&amp;$H$3&amp;"'!Q$123")*$H$13,0),0)))</f>
        <v>0</v>
      </c>
      <c r="R139" s="296"/>
      <c r="S139" s="361"/>
      <c r="T139" s="296">
        <f ca="1">IF($H$9&lt;5,0,IF(INDIRECT("'"&amp;$H$3&amp;"'!T121")="Cost per facility",IFERROR(INDIRECT("'"&amp;$H$3&amp;"'!T$122")*INDIRECT("'"&amp;$H$3&amp;"'!T$95"),0), IF(INDIRECT("'"&amp;$H$3&amp;"'!T121")="Cost as % commodity value",IFERROR(INDIRECT("'"&amp;$H$3&amp;"'!T$123")*$H$13,0),0)))</f>
        <v>0</v>
      </c>
      <c r="U139" s="361"/>
      <c r="V139" s="361"/>
      <c r="W139" s="1438">
        <f ca="1">IF($H$9&lt;6,0,IF(INDIRECT("'"&amp;$H$3&amp;"'!W121")="Cost per facility",IFERROR(INDIRECT("'"&amp;$H$3&amp;"'!W$122")*INDIRECT("'"&amp;$H$3&amp;"'!W$95"),0), IF(INDIRECT("'"&amp;$H$3&amp;"'!W121")="Cost as % commodity value",IFERROR(INDIRECT("'"&amp;$H$3&amp;"'!W$123")*$H$13,0),0)))</f>
        <v>0</v>
      </c>
      <c r="Y139" s="347">
        <f ca="1">SUM(H139:W139)</f>
        <v>132074.68350107403</v>
      </c>
      <c r="Z139" s="1"/>
      <c r="AA139" s="1"/>
      <c r="AL139" s="1"/>
    </row>
    <row r="140" spans="6:38" ht="15" customHeight="1">
      <c r="F140" s="109"/>
      <c r="G140" s="109"/>
      <c r="R140" s="246"/>
      <c r="S140" s="246"/>
      <c r="T140" s="246"/>
      <c r="U140" s="246"/>
      <c r="V140" s="246"/>
      <c r="W140" s="246"/>
      <c r="X140" s="1420"/>
      <c r="AL140" s="1"/>
    </row>
    <row r="141" spans="6:38" ht="15" customHeight="1">
      <c r="F141" s="109"/>
      <c r="G141" s="109"/>
      <c r="R141" s="246"/>
      <c r="S141" s="246"/>
      <c r="T141" s="246"/>
      <c r="U141" s="246"/>
      <c r="V141" s="246"/>
      <c r="W141" s="246"/>
      <c r="X141" s="1420"/>
      <c r="AL141" s="1"/>
    </row>
    <row r="142" spans="6:38" ht="15" customHeight="1">
      <c r="F142" s="109"/>
      <c r="G142" s="109"/>
      <c r="R142" s="246"/>
      <c r="S142" s="246"/>
      <c r="T142" s="246"/>
      <c r="U142" s="246"/>
      <c r="V142" s="246"/>
      <c r="W142" s="246"/>
      <c r="X142" s="1420"/>
      <c r="AL142" s="4"/>
    </row>
    <row r="143" spans="6:38" ht="15" customHeight="1">
      <c r="F143" s="109"/>
      <c r="G143" s="109"/>
      <c r="R143" s="246"/>
      <c r="S143" s="246"/>
      <c r="T143" s="246"/>
      <c r="U143" s="246"/>
      <c r="V143" s="246"/>
      <c r="W143" s="246"/>
      <c r="X143" s="1420"/>
    </row>
    <row r="144" spans="6:38" ht="15" customHeight="1">
      <c r="R144" s="246"/>
      <c r="S144" s="246"/>
      <c r="T144" s="246"/>
      <c r="U144" s="246"/>
      <c r="V144" s="246"/>
      <c r="W144" s="246"/>
      <c r="X144" s="1420"/>
    </row>
    <row r="145" spans="6:40" ht="15" customHeight="1">
      <c r="R145" s="246"/>
      <c r="S145" s="246"/>
      <c r="T145" s="246"/>
      <c r="U145" s="246"/>
      <c r="V145" s="246"/>
      <c r="W145" s="246"/>
      <c r="X145" s="1420"/>
    </row>
    <row r="146" spans="6:40" ht="15" customHeight="1">
      <c r="F146" s="2715" t="s">
        <v>461</v>
      </c>
      <c r="G146" s="2716"/>
      <c r="H146" s="140"/>
      <c r="I146" s="140"/>
      <c r="J146" s="140"/>
      <c r="K146" s="140"/>
      <c r="L146" s="140"/>
      <c r="M146" s="140"/>
      <c r="N146" s="140"/>
      <c r="O146" s="140"/>
      <c r="P146" s="140"/>
      <c r="Q146" s="140"/>
      <c r="R146" s="140"/>
      <c r="S146" s="140"/>
      <c r="T146" s="140"/>
      <c r="U146" s="140"/>
      <c r="V146" s="140"/>
      <c r="W146" s="1442"/>
      <c r="X146" s="1428"/>
      <c r="Y146" s="36"/>
      <c r="Z146" s="36"/>
      <c r="AA146" s="36"/>
      <c r="AB146" s="36"/>
      <c r="AC146" s="36"/>
      <c r="AD146" s="36"/>
      <c r="AE146" s="36"/>
      <c r="AF146" s="36"/>
      <c r="AG146" s="36"/>
      <c r="AH146" s="36"/>
      <c r="AI146" s="36"/>
      <c r="AJ146" s="36"/>
      <c r="AK146" s="36"/>
      <c r="AL146" s="36"/>
      <c r="AM146" s="36"/>
      <c r="AN146" s="36"/>
    </row>
    <row r="147" spans="6:40" ht="15" customHeight="1">
      <c r="F147" s="860"/>
      <c r="G147" s="861"/>
      <c r="H147" s="265"/>
      <c r="I147" s="265"/>
      <c r="J147" s="265"/>
      <c r="K147" s="265"/>
      <c r="L147" s="265"/>
      <c r="M147" s="265"/>
      <c r="N147" s="265"/>
      <c r="O147" s="265"/>
      <c r="P147" s="265"/>
      <c r="Q147" s="265"/>
      <c r="R147" s="265"/>
      <c r="S147" s="265"/>
      <c r="T147" s="265"/>
      <c r="U147" s="265"/>
      <c r="V147" s="265"/>
      <c r="W147" s="1417"/>
      <c r="X147" s="1428"/>
      <c r="Y147" s="36"/>
      <c r="Z147" s="36"/>
      <c r="AA147" s="36"/>
      <c r="AB147" s="36"/>
      <c r="AC147" s="36"/>
      <c r="AD147" s="36"/>
      <c r="AE147" s="36"/>
      <c r="AF147" s="36"/>
      <c r="AG147" s="36"/>
      <c r="AH147" s="36"/>
      <c r="AI147" s="36"/>
      <c r="AJ147" s="36"/>
      <c r="AK147" s="36"/>
      <c r="AL147" s="36"/>
      <c r="AM147" s="36"/>
      <c r="AN147" s="36"/>
    </row>
    <row r="148" spans="6:40" ht="48" customHeight="1">
      <c r="F148" s="1638" t="s">
        <v>2500</v>
      </c>
      <c r="G148" s="1639"/>
      <c r="H148" s="1640"/>
      <c r="I148" s="1640"/>
      <c r="J148" s="1640"/>
      <c r="K148" s="1506" t="str">
        <f ca="1">IF($H$9&gt;=2,INDIRECT("'"&amp;$H$3&amp;"'!J$130"),"")</f>
        <v>CMS  to  Regional WH</v>
      </c>
      <c r="L148" s="1506" t="str">
        <f t="shared" ref="L148:V148" ca="1" si="15">IF($H$9&gt;=1,"Tier 1","")</f>
        <v>Tier 1</v>
      </c>
      <c r="M148" s="1506" t="str">
        <f t="shared" ca="1" si="15"/>
        <v>Tier 1</v>
      </c>
      <c r="N148" s="1506" t="str">
        <f ca="1">IF($H$9&gt;=3,INDIRECT("'"&amp;$H$3&amp;"'!M$130"),"")</f>
        <v>Regional WH  to  Health Facility</v>
      </c>
      <c r="O148" s="1506" t="str">
        <f t="shared" ca="1" si="15"/>
        <v>Tier 1</v>
      </c>
      <c r="P148" s="1506" t="str">
        <f t="shared" ca="1" si="15"/>
        <v>Tier 1</v>
      </c>
      <c r="Q148" s="1507" t="str">
        <f ca="1">IF($H$9&gt;=4,INDIRECT("'"&amp;$H$3&amp;"'!P$130"),"")</f>
        <v/>
      </c>
      <c r="R148" s="1508" t="str">
        <f t="shared" ca="1" si="15"/>
        <v>Tier 1</v>
      </c>
      <c r="S148" s="1508" t="str">
        <f t="shared" ca="1" si="15"/>
        <v>Tier 1</v>
      </c>
      <c r="T148" s="1507" t="str">
        <f ca="1">IF($H$9&gt;=5,INDIRECT("'"&amp;$H$3&amp;"'!S$130"),"")</f>
        <v/>
      </c>
      <c r="U148" s="1508" t="str">
        <f t="shared" ca="1" si="15"/>
        <v>Tier 1</v>
      </c>
      <c r="V148" s="1508" t="str">
        <f t="shared" ca="1" si="15"/>
        <v>Tier 1</v>
      </c>
      <c r="W148" s="1507" t="str">
        <f ca="1">IF($H$9&gt;=6,INDIRECT("'"&amp;$H$3&amp;"'!V$130"),"")</f>
        <v/>
      </c>
      <c r="X148" s="1464"/>
    </row>
    <row r="149" spans="6:40" ht="15" customHeight="1" outlineLevel="1">
      <c r="F149" s="1641"/>
      <c r="G149" s="51" t="s">
        <v>414</v>
      </c>
      <c r="H149" s="836"/>
      <c r="I149" s="836"/>
      <c r="J149" s="836"/>
      <c r="K149" s="836">
        <f ca="1">IFERROR(IF(INDIRECT("'"&amp;$H$3&amp;"'!K133")=0,0,IF(INDIRECT("'"&amp;$H$3&amp;"'!K153")="Yes",'4_Outputs'!K64,IF(OR(AND(INDIRECT("'"&amp;$H$3&amp;"'!K133")&gt;1,INDIRECT("'"&amp;$H$3&amp;"'!K173")="Yes"),AND(INDIRECT("'"&amp;$H$3&amp;"'!K133")&gt;2,INDIRECT("'"&amp;$H$3&amp;"'!K193")="Yes")),'4_Outputs'!K57,'4_Outputs'!K52))),0)</f>
        <v>3079.125</v>
      </c>
      <c r="L149" s="836"/>
      <c r="M149" s="836"/>
      <c r="N149" s="836">
        <f ca="1">IFERROR(IF(INDIRECT("'"&amp;$H$3&amp;"'!N133")=0,0,IF(INDIRECT("'"&amp;$H$3&amp;"'!N153")="Yes",'4_Outputs'!N64,IF(OR(AND(INDIRECT("'"&amp;$H$3&amp;"'!N133")&gt;1,INDIRECT("'"&amp;$H$3&amp;"'!N173")="Yes"),AND(INDIRECT("'"&amp;$H$3&amp;"'!N133")&gt;2,INDIRECT("'"&amp;$H$3&amp;"'!N193")="Yes")),'4_Outputs'!N57,'4_Outputs'!N52))),0)</f>
        <v>8.5</v>
      </c>
      <c r="O149" s="836"/>
      <c r="P149" s="836"/>
      <c r="Q149" s="836">
        <f ca="1">IFERROR(IF(INDIRECT("'"&amp;$H$3&amp;"'!Q133")=0,0,IF(INDIRECT("'"&amp;$H$3&amp;"'!Q153")="Yes",'4_Outputs'!Q64,IF(OR(AND(INDIRECT("'"&amp;$H$3&amp;"'!Q133")&gt;1,INDIRECT("'"&amp;$H$3&amp;"'!Q173")="Yes"),AND(INDIRECT("'"&amp;$H$3&amp;"'!Q133")&gt;2,INDIRECT("'"&amp;$H$3&amp;"'!Q193")="Yes")),'4_Outputs'!Q57,'4_Outputs'!Q52))),0)</f>
        <v>0</v>
      </c>
      <c r="R149" s="836"/>
      <c r="S149" s="836"/>
      <c r="T149" s="836">
        <f ca="1">IFERROR(IF(INDIRECT("'"&amp;$H$3&amp;"'!T133")=0,0,IF(INDIRECT("'"&amp;$H$3&amp;"'!T153")="Yes",'4_Outputs'!T64,IF(OR(AND(INDIRECT("'"&amp;$H$3&amp;"'!T133")&gt;1,INDIRECT("'"&amp;$H$3&amp;"'!T173")="Yes"),AND(INDIRECT("'"&amp;$H$3&amp;"'!T133")&gt;2,INDIRECT("'"&amp;$H$3&amp;"'!T193")="Yes")),'4_Outputs'!T57,'4_Outputs'!T52))),0)</f>
        <v>0</v>
      </c>
      <c r="U149" s="836"/>
      <c r="V149" s="836"/>
      <c r="W149" s="836">
        <f ca="1">IFERROR(IF(INDIRECT("'"&amp;$H$3&amp;"'!W133")=0,0,IF(INDIRECT("'"&amp;$H$3&amp;"'!W153")="Yes",'4_Outputs'!W64,IF(OR(AND(INDIRECT("'"&amp;$H$3&amp;"'!W133")&gt;1,INDIRECT("'"&amp;$H$3&amp;"'!W173")="Yes"),AND(INDIRECT("'"&amp;$H$3&amp;"'!W133")&gt;2,INDIRECT("'"&amp;$H$3&amp;"'!W193")="Yes")),'4_Outputs'!W57,'4_Outputs'!W52))),0)</f>
        <v>0</v>
      </c>
      <c r="X149" s="1465"/>
      <c r="AK149" s="1"/>
    </row>
    <row r="150" spans="6:40" ht="15" customHeight="1" outlineLevel="1">
      <c r="F150" s="1642" t="s">
        <v>387</v>
      </c>
      <c r="G150" s="1614"/>
      <c r="H150" s="848"/>
      <c r="I150" s="848"/>
      <c r="J150" s="848"/>
      <c r="K150" s="848"/>
      <c r="L150" s="848"/>
      <c r="M150" s="848"/>
      <c r="N150" s="848"/>
      <c r="O150" s="848"/>
      <c r="P150" s="848"/>
      <c r="Q150" s="1643"/>
      <c r="R150" s="1644"/>
      <c r="S150" s="1644"/>
      <c r="T150" s="1643"/>
      <c r="U150" s="1644"/>
      <c r="V150" s="1644"/>
      <c r="W150" s="1643"/>
      <c r="X150" s="1466"/>
      <c r="AK150" s="1"/>
    </row>
    <row r="151" spans="6:40" ht="15" customHeight="1" outlineLevel="1">
      <c r="F151" s="1645"/>
      <c r="G151" s="51" t="s">
        <v>390</v>
      </c>
      <c r="H151" s="836"/>
      <c r="I151" s="836"/>
      <c r="J151" s="836"/>
      <c r="K151" s="836">
        <f ca="1">IFERROR(((K$64*INDIRECT("'"&amp;$H$3&amp;"'!K$95"))*(IF(COUNTIF(INDIRECT("'"&amp;$H$3&amp;"'!K136"),"Public Transport*")=1,K156,K168)/INDIRECT("'"&amp;$H$3&amp;"'!K$95")))/IF(COUNTIF(INDIRECT("'"&amp;$H$3&amp;"'!K136"),"Public Transport*")=1,K154,K170),0)</f>
        <v>0</v>
      </c>
      <c r="L151" s="836"/>
      <c r="M151" s="836"/>
      <c r="N151" s="836">
        <f ca="1">IFERROR(((N$64*INDIRECT("'"&amp;$H$3&amp;"'!N$95"))*(IF(COUNTIF(INDIRECT("'"&amp;$H$3&amp;"'!N136"),"Public Transport*")=1,N156,N168)/INDIRECT("'"&amp;$H$3&amp;"'!N$95")))/IF(COUNTIF(INDIRECT("'"&amp;$H$3&amp;"'!N136"),"Public Transport*")=1,N154,N170),0)</f>
        <v>0</v>
      </c>
      <c r="O151" s="836"/>
      <c r="P151" s="836"/>
      <c r="Q151" s="836">
        <f ca="1">IFERROR(((Q$64*INDIRECT("'"&amp;$H$3&amp;"'!Q$95"))*(IF(COUNTIF(INDIRECT("'"&amp;$H$3&amp;"'!Q136"),"Public Transport*")=1,Q156,Q168)/INDIRECT("'"&amp;$H$3&amp;"'!Q$95")))/IF(COUNTIF(INDIRECT("'"&amp;$H$3&amp;"'!Q136"),"Public Transport*")=1,Q154,Q170),0)</f>
        <v>0</v>
      </c>
      <c r="R151" s="1646"/>
      <c r="S151" s="1646"/>
      <c r="T151" s="836">
        <f ca="1">IFERROR(((T$64*INDIRECT("'"&amp;$H$3&amp;"'!T$95"))*(IF(COUNTIF(INDIRECT("'"&amp;$H$3&amp;"'!T136"),"Public Transport*")=1,T156,T168)/INDIRECT("'"&amp;$H$3&amp;"'!T$95")))/IF(COUNTIF(INDIRECT("'"&amp;$H$3&amp;"'!T136"),"Public Transport*")=1,T154,T170),0)</f>
        <v>0</v>
      </c>
      <c r="U151" s="1646"/>
      <c r="V151" s="1646"/>
      <c r="W151" s="836">
        <f ca="1">IFERROR(((W$64*INDIRECT("'"&amp;$H$3&amp;"'!W$95"))*(IF(COUNTIF(INDIRECT("'"&amp;$H$3&amp;"'!W136"),"Public Transport*")=1,W156,W168)/INDIRECT("'"&amp;$H$3&amp;"'!W$95")))/IF(COUNTIF(INDIRECT("'"&amp;$H$3&amp;"'!W136"),"Public Transport*")=1,W154,W170),0)</f>
        <v>0</v>
      </c>
      <c r="X151" s="1465"/>
      <c r="AK151" s="1"/>
    </row>
    <row r="152" spans="6:40" ht="15" customHeight="1" outlineLevel="1">
      <c r="F152" s="1645"/>
      <c r="G152" s="51" t="s">
        <v>391</v>
      </c>
      <c r="H152" s="836"/>
      <c r="I152" s="836"/>
      <c r="J152" s="836"/>
      <c r="K152" s="836">
        <f ca="1">IFERROR(IF(COUNTIF(INDIRECT("'"&amp;$H$3&amp;"'!K136"),"Public Transport*")=1,(K155/INDIRECT("'"&amp;$H$3&amp;"'!$H$9")),(K171/INDIRECT("'"&amp;$H$3&amp;"'!$H$9"))),0)</f>
        <v>0.875</v>
      </c>
      <c r="L152" s="836"/>
      <c r="M152" s="836"/>
      <c r="N152" s="836">
        <f ca="1">IFERROR(IF(COUNTIF(INDIRECT("'"&amp;$H$3&amp;"'!N136"),"Public Transport*")=1,(N155/INDIRECT("'"&amp;$H$3&amp;"'!$H$9")),(N171/INDIRECT("'"&amp;$H$3&amp;"'!$H$9"))),0)</f>
        <v>1.0541666666666667</v>
      </c>
      <c r="O152" s="836"/>
      <c r="P152" s="836"/>
      <c r="Q152" s="836">
        <f ca="1">IFERROR(IF(COUNTIF(INDIRECT("'"&amp;$H$3&amp;"'!Q136"),"Public Transport*")=1,(Q155/INDIRECT("'"&amp;$H$3&amp;"'!$H$9")),(Q171/INDIRECT("'"&amp;$H$3&amp;"'!$H$9"))),0)</f>
        <v>0</v>
      </c>
      <c r="R152" s="1646"/>
      <c r="S152" s="1646"/>
      <c r="T152" s="836">
        <f ca="1">IFERROR(IF(COUNTIF(INDIRECT("'"&amp;$H$3&amp;"'!T136"),"Public Transport*")=1,(T155/INDIRECT("'"&amp;$H$3&amp;"'!$H$9")),(T171/INDIRECT("'"&amp;$H$3&amp;"'!$H$9"))),0)</f>
        <v>0</v>
      </c>
      <c r="U152" s="1646"/>
      <c r="V152" s="1646"/>
      <c r="W152" s="836">
        <f ca="1">IFERROR(IF(COUNTIF(INDIRECT("'"&amp;$H$3&amp;"'!W136"),"Public Transport*")=1,(W155/INDIRECT("'"&amp;$H$3&amp;"'!$H$9")),(W171/INDIRECT("'"&amp;$H$3&amp;"'!$H$9"))),0)</f>
        <v>0</v>
      </c>
      <c r="X152" s="1465"/>
      <c r="AK152" s="1"/>
    </row>
    <row r="153" spans="6:40" ht="15" customHeight="1" outlineLevel="1">
      <c r="F153" s="1647" t="s">
        <v>149</v>
      </c>
      <c r="G153" s="1614"/>
      <c r="H153" s="848"/>
      <c r="I153" s="848"/>
      <c r="J153" s="848"/>
      <c r="K153" s="848"/>
      <c r="L153" s="848"/>
      <c r="M153" s="848"/>
      <c r="N153" s="848"/>
      <c r="O153" s="1644"/>
      <c r="P153" s="1644"/>
      <c r="Q153" s="1648"/>
      <c r="R153" s="1646"/>
      <c r="S153" s="1646"/>
      <c r="T153" s="1648"/>
      <c r="U153" s="1646"/>
      <c r="V153" s="1646"/>
      <c r="W153" s="1648"/>
      <c r="X153" s="1467"/>
      <c r="AK153" s="1"/>
    </row>
    <row r="154" spans="6:40" ht="15" customHeight="1" outlineLevel="1">
      <c r="F154" s="1649"/>
      <c r="G154" s="51" t="s">
        <v>146</v>
      </c>
      <c r="H154" s="837"/>
      <c r="I154" s="837"/>
      <c r="J154" s="837"/>
      <c r="K154" s="837">
        <f ca="1">IFERROR(IF(COUNTIF(INDIRECT("'"&amp;$H$3&amp;"'!K136"),"Public Transport*")=1,IF(INDIRECT("'"&amp;$H$3&amp;"'!K143")="Route-based",K162*INDIRECT("'"&amp;$H$3&amp;"'!K$96"),IF(INDIRECT("'"&amp;$H$3&amp;"'!K143")="Point-to-point",K165*INDIRECT("'"&amp;$H$3&amp;"'!K$96"),0)),0),0)</f>
        <v>0</v>
      </c>
      <c r="L154" s="837"/>
      <c r="M154" s="837"/>
      <c r="N154" s="837">
        <f ca="1">IFERROR(IF(COUNTIF(INDIRECT("'"&amp;$H$3&amp;"'!N136"),"Public Transport*")=1,IF(INDIRECT("'"&amp;$H$3&amp;"'!N143")="Route-based",N162*INDIRECT("'"&amp;$H$3&amp;"'!N$96"),IF(INDIRECT("'"&amp;$H$3&amp;"'!N143")="Point-to-point",N165*INDIRECT("'"&amp;$H$3&amp;"'!N$96"),0)),0),0)</f>
        <v>0</v>
      </c>
      <c r="O154" s="837"/>
      <c r="P154" s="837"/>
      <c r="Q154" s="837">
        <f ca="1">IFERROR(IF(COUNTIF(INDIRECT("'"&amp;$H$3&amp;"'!Q136"),"Public Transport*")=1,IF(INDIRECT("'"&amp;$H$3&amp;"'!Q143")="Route-based",Q162*INDIRECT("'"&amp;$H$3&amp;"'!Q$96"),IF(INDIRECT("'"&amp;$H$3&amp;"'!Q143")="Point-to-point",Q165*INDIRECT("'"&amp;$H$3&amp;"'!Q$96"),0)),0),0)</f>
        <v>0</v>
      </c>
      <c r="R154" s="1650"/>
      <c r="S154" s="1650"/>
      <c r="T154" s="837">
        <f ca="1">IFERROR(IF(COUNTIF(INDIRECT("'"&amp;$H$3&amp;"'!T136"),"Public Transport*")=1,IF(INDIRECT("'"&amp;$H$3&amp;"'!T143")="Route-based",T162*INDIRECT("'"&amp;$H$3&amp;"'!T$96"),IF(INDIRECT("'"&amp;$H$3&amp;"'!T143")="Point-to-point",T165*INDIRECT("'"&amp;$H$3&amp;"'!T$96"),0)),0),0)</f>
        <v>0</v>
      </c>
      <c r="U154" s="1650"/>
      <c r="V154" s="1650"/>
      <c r="W154" s="837">
        <f ca="1">IFERROR(IF(COUNTIF(INDIRECT("'"&amp;$H$3&amp;"'!W136"),"Public Transport*")=1,IF(INDIRECT("'"&amp;$H$3&amp;"'!W143")="Route-based",W162*INDIRECT("'"&amp;$H$3&amp;"'!W$96"),IF(INDIRECT("'"&amp;$H$3&amp;"'!W143")="Point-to-point",W165*INDIRECT("'"&amp;$H$3&amp;"'!W$96"),0)),0),0)</f>
        <v>0</v>
      </c>
      <c r="X154" s="1468"/>
      <c r="Y154" s="36"/>
      <c r="Z154" s="36"/>
      <c r="AA154" s="36"/>
      <c r="AB154" s="36"/>
      <c r="AC154" s="36"/>
      <c r="AD154" s="36"/>
      <c r="AE154" s="36"/>
      <c r="AF154" s="36"/>
      <c r="AG154" s="36"/>
      <c r="AH154" s="36"/>
      <c r="AI154" s="36"/>
      <c r="AJ154" s="36"/>
      <c r="AK154" s="242"/>
      <c r="AL154" s="36"/>
      <c r="AM154" s="36"/>
      <c r="AN154" s="36"/>
    </row>
    <row r="155" spans="6:40" ht="15" customHeight="1" outlineLevel="1">
      <c r="F155" s="1649"/>
      <c r="G155" s="51" t="s">
        <v>147</v>
      </c>
      <c r="H155" s="837"/>
      <c r="I155" s="837"/>
      <c r="J155" s="837"/>
      <c r="K155" s="837">
        <f ca="1">IFERROR(IF(INDIRECT("'"&amp;$H$3&amp;"'!K143")="Route-based",K163*INDIRECT("'"&amp;$H$3&amp;"'!K$96"),IF(INDIRECT("'"&amp;$H$3&amp;"'!K143")="Point-to-point",K166*INDIRECT("'"&amp;$H$3&amp;"'!K$96"),0)),0)</f>
        <v>0</v>
      </c>
      <c r="L155" s="837"/>
      <c r="M155" s="837"/>
      <c r="N155" s="837">
        <f ca="1">IFERROR(IF(INDIRECT("'"&amp;$H$3&amp;"'!N143")="Route-based",N163*INDIRECT("'"&amp;$H$3&amp;"'!N$96"),IF(INDIRECT("'"&amp;$H$3&amp;"'!N143")="Point-to-point",N166*INDIRECT("'"&amp;$H$3&amp;"'!N$96"),0)),0)</f>
        <v>0</v>
      </c>
      <c r="O155" s="837"/>
      <c r="P155" s="837"/>
      <c r="Q155" s="837">
        <f ca="1">IFERROR(IF(INDIRECT("'"&amp;$H$3&amp;"'!Q143")="Route-based",Q163*INDIRECT("'"&amp;$H$3&amp;"'!Q$96"),IF(INDIRECT("'"&amp;$H$3&amp;"'!Q143")="Point-to-point",Q166*INDIRECT("'"&amp;$H$3&amp;"'!Q$96"),0)),0)</f>
        <v>0</v>
      </c>
      <c r="R155" s="1650"/>
      <c r="S155" s="1650"/>
      <c r="T155" s="837">
        <f ca="1">IFERROR(IF(INDIRECT("'"&amp;$H$3&amp;"'!T143")="Route-based",T163*INDIRECT("'"&amp;$H$3&amp;"'!T$96"),IF(INDIRECT("'"&amp;$H$3&amp;"'!T143")="Point-to-point",T166*INDIRECT("'"&amp;$H$3&amp;"'!T$96"),0)),0)</f>
        <v>0</v>
      </c>
      <c r="U155" s="1650"/>
      <c r="V155" s="1650"/>
      <c r="W155" s="837">
        <f ca="1">IFERROR(IF(INDIRECT("'"&amp;$H$3&amp;"'!W143")="Route-based",W163*INDIRECT("'"&amp;$H$3&amp;"'!W$96"),IF(INDIRECT("'"&amp;$H$3&amp;"'!W143")="Point-to-point",W166*INDIRECT("'"&amp;$H$3&amp;"'!W$96"),0)),0)</f>
        <v>0</v>
      </c>
      <c r="X155" s="1468"/>
      <c r="Y155" s="36"/>
      <c r="Z155" s="36"/>
      <c r="AA155" s="36"/>
      <c r="AB155" s="36"/>
      <c r="AC155" s="36"/>
      <c r="AD155" s="36"/>
      <c r="AE155" s="36"/>
      <c r="AF155" s="36"/>
      <c r="AG155" s="36"/>
      <c r="AH155" s="36"/>
      <c r="AI155" s="36"/>
      <c r="AJ155" s="36"/>
      <c r="AK155" s="242"/>
      <c r="AL155" s="36"/>
      <c r="AM155" s="36"/>
      <c r="AN155" s="36"/>
    </row>
    <row r="156" spans="6:40" ht="15" customHeight="1" outlineLevel="1">
      <c r="F156" s="1649"/>
      <c r="G156" s="51" t="s">
        <v>142</v>
      </c>
      <c r="H156" s="1651"/>
      <c r="I156" s="1651"/>
      <c r="J156" s="1651"/>
      <c r="K156" s="1651">
        <f ca="1">IFERROR(IF(COUNTIF(INDIRECT("'"&amp;$H$3&amp;"'!K136"),"Public Transport*")=1,ROUND(INDIRECT("'"&amp;$H$3&amp;"'!K$95")*INDIRECT("'"&amp;$H$3&amp;"'!K135"),0),0),0)</f>
        <v>0</v>
      </c>
      <c r="L156" s="1651"/>
      <c r="M156" s="1651"/>
      <c r="N156" s="1651">
        <f ca="1">IFERROR(IF(COUNTIF(INDIRECT("'"&amp;$H$3&amp;"'!N136"),"Public Transport*")=1,ROUND(INDIRECT("'"&amp;$H$3&amp;"'!N$95")*INDIRECT("'"&amp;$H$3&amp;"'!N135"),0),0),0)</f>
        <v>0</v>
      </c>
      <c r="O156" s="1651"/>
      <c r="P156" s="1651"/>
      <c r="Q156" s="1651">
        <f ca="1">IFERROR(IF(COUNTIF(INDIRECT("'"&amp;$H$3&amp;"'!Q136"),"Public Transport*")=1,ROUND(INDIRECT("'"&amp;$H$3&amp;"'!Q$95")*INDIRECT("'"&amp;$H$3&amp;"'!Q135"),0),0),0)</f>
        <v>0</v>
      </c>
      <c r="R156" s="1652"/>
      <c r="S156" s="1652"/>
      <c r="T156" s="1651">
        <f ca="1">IFERROR(IF(COUNTIF(INDIRECT("'"&amp;$H$3&amp;"'!T136"),"Public Transport*")=1,ROUND(INDIRECT("'"&amp;$H$3&amp;"'!T$95")*INDIRECT("'"&amp;$H$3&amp;"'!T135"),0),0),0)</f>
        <v>0</v>
      </c>
      <c r="U156" s="1652"/>
      <c r="V156" s="1652"/>
      <c r="W156" s="1651">
        <f ca="1">IFERROR(IF(COUNTIF(INDIRECT("'"&amp;$H$3&amp;"'!W136"),"Public Transport*")=1,ROUND(INDIRECT("'"&amp;$H$3&amp;"'!W$95")*INDIRECT("'"&amp;$H$3&amp;"'!W135"),0),0),0)</f>
        <v>0</v>
      </c>
      <c r="X156" s="1466"/>
      <c r="Y156" s="36"/>
      <c r="Z156" s="36"/>
      <c r="AA156" s="36"/>
      <c r="AB156" s="36"/>
      <c r="AC156" s="36"/>
      <c r="AD156" s="36"/>
      <c r="AE156" s="36"/>
      <c r="AF156" s="36"/>
      <c r="AG156" s="36"/>
      <c r="AH156" s="36"/>
      <c r="AI156" s="36"/>
      <c r="AJ156" s="36"/>
      <c r="AK156" s="36"/>
      <c r="AL156" s="36"/>
      <c r="AM156" s="36"/>
      <c r="AN156" s="36" t="s">
        <v>190</v>
      </c>
    </row>
    <row r="157" spans="6:40" ht="15" customHeight="1" outlineLevel="1">
      <c r="F157" s="1649"/>
      <c r="G157" s="51" t="s">
        <v>163</v>
      </c>
      <c r="H157" s="836"/>
      <c r="I157" s="836"/>
      <c r="J157" s="836"/>
      <c r="K157" s="836">
        <f ca="1">IFERROR(INDEX(INDIRECT("'"&amp;$H$3&amp;"'!$H$43:$H$78"),MATCH(INDIRECT("'"&amp;$H$3&amp;"'!K136")&amp;"Maximum delivery capacity (m^3)", INDIRECT("'"&amp;$H$3&amp;"'!$F$43:$F$78"),0))/('4_Outputs'!K$149/INDIRECT("'"&amp;$H$3&amp;"'!K$96")),0)</f>
        <v>0</v>
      </c>
      <c r="L157" s="836"/>
      <c r="M157" s="836"/>
      <c r="N157" s="836">
        <f ca="1">IFERROR(INDEX(INDIRECT("'"&amp;$H$3&amp;"'!$H$43:$H$78"),MATCH(INDIRECT("'"&amp;$H$3&amp;"'!N136")&amp;"Maximum delivery capacity (m^3)", INDIRECT("'"&amp;$H$3&amp;"'!$F$43:$F$78"),0))/('4_Outputs'!N$149/INDIRECT("'"&amp;$H$3&amp;"'!N$96")),0)</f>
        <v>0</v>
      </c>
      <c r="O157" s="836"/>
      <c r="P157" s="836"/>
      <c r="Q157" s="836">
        <f ca="1">IFERROR(INDEX(INDIRECT("'"&amp;$H$3&amp;"'!$H$43:$H$78"),MATCH(INDIRECT("'"&amp;$H$3&amp;"'!Q136")&amp;"Maximum delivery capacity (m^3)", INDIRECT("'"&amp;$H$3&amp;"'!$F$43:$F$78"),0))/('4_Outputs'!Q$149/INDIRECT("'"&amp;$H$3&amp;"'!Q$96")),0)</f>
        <v>0</v>
      </c>
      <c r="R157" s="836"/>
      <c r="S157" s="836"/>
      <c r="T157" s="836">
        <f ca="1">IFERROR(INDEX(INDIRECT("'"&amp;$H$3&amp;"'!$H$43:$H$78"),MATCH(INDIRECT("'"&amp;$H$3&amp;"'!T136")&amp;"Maximum delivery capacity (m^3)", INDIRECT("'"&amp;$H$3&amp;"'!$F$43:$F$78"),0))/('4_Outputs'!T$149/INDIRECT("'"&amp;$H$3&amp;"'!T$96")),0)</f>
        <v>0</v>
      </c>
      <c r="U157" s="836"/>
      <c r="V157" s="836"/>
      <c r="W157" s="836">
        <f ca="1">IFERROR(INDEX(INDIRECT("'"&amp;$H$3&amp;"'!$H$43:$H$78"),MATCH(INDIRECT("'"&amp;$H$3&amp;"'!W136")&amp;"Maximum delivery capacity (m^3)", INDIRECT("'"&amp;$H$3&amp;"'!$F$43:$F$78"),0))/('4_Outputs'!W$149/INDIRECT("'"&amp;$H$3&amp;"'!W$96")),0)</f>
        <v>0</v>
      </c>
      <c r="X157" s="1469"/>
      <c r="Y157" s="36"/>
      <c r="Z157" s="36"/>
      <c r="AA157" s="36"/>
      <c r="AB157" s="36"/>
      <c r="AC157" s="36"/>
      <c r="AD157" s="36"/>
      <c r="AE157" s="36"/>
      <c r="AF157" s="36"/>
      <c r="AG157" s="36"/>
      <c r="AH157" s="36"/>
      <c r="AI157" s="36"/>
      <c r="AJ157" s="36"/>
      <c r="AK157" s="36"/>
      <c r="AL157" s="36"/>
      <c r="AM157" s="36"/>
      <c r="AN157" s="36"/>
    </row>
    <row r="158" spans="6:40" ht="15" customHeight="1" outlineLevel="1">
      <c r="F158" s="1649"/>
      <c r="G158" s="1613" t="s">
        <v>150</v>
      </c>
      <c r="H158" s="842"/>
      <c r="I158" s="842"/>
      <c r="J158" s="842"/>
      <c r="K158" s="842"/>
      <c r="L158" s="842"/>
      <c r="M158" s="842"/>
      <c r="N158" s="842"/>
      <c r="O158" s="842"/>
      <c r="P158" s="842"/>
      <c r="Q158" s="842"/>
      <c r="R158" s="1650"/>
      <c r="S158" s="1650"/>
      <c r="T158" s="842"/>
      <c r="U158" s="1650"/>
      <c r="V158" s="1650"/>
      <c r="W158" s="842"/>
      <c r="X158" s="1470"/>
      <c r="Y158" s="36"/>
      <c r="Z158" s="36"/>
      <c r="AA158" s="36"/>
      <c r="AB158" s="36"/>
      <c r="AC158" s="36"/>
      <c r="AD158" s="36"/>
      <c r="AE158" s="36"/>
      <c r="AF158" s="36"/>
      <c r="AG158" s="36"/>
      <c r="AH158" s="36"/>
      <c r="AI158" s="36"/>
      <c r="AJ158" s="36"/>
      <c r="AK158" s="36"/>
      <c r="AL158" s="36"/>
      <c r="AM158" s="36"/>
      <c r="AN158" s="36"/>
    </row>
    <row r="159" spans="6:40" ht="15" customHeight="1" outlineLevel="1">
      <c r="F159" s="1649"/>
      <c r="G159" s="51" t="s">
        <v>140</v>
      </c>
      <c r="H159" s="836"/>
      <c r="I159" s="836"/>
      <c r="J159" s="836"/>
      <c r="K159" s="836">
        <f ca="1">IFERROR(ROUND(INDIRECT("'"&amp;$H$3&amp;"'!$H$10")/(((1/60)*(INDIRECT("'"&amp;$H$3&amp;"'!K148")+INDIRECT("'"&amp;$H$3&amp;"'!$H$19")*(INDIRECT("'"&amp;$H$3&amp;"'!K149")+(INDIRECT("'"&amp;$H$3&amp;"'!K150")*('4_Outputs'!K$149/INDIRECT("'"&amp;$H$3&amp;"'!K$96")/INDIRECT("'"&amp;$H$3&amp;"'!$H$19"))))))+INDEX(INDIRECT("'"&amp;$H$3&amp;"'!$H$43:$H$78"),MATCH(INDIRECT("'"&amp;$H$3&amp;"'!K136")&amp;"Average duration (hrs) per trip",INDIRECT("'"&amp;$H$3&amp;"'!$F$43:$F$78"),0))),1),0)</f>
        <v>0</v>
      </c>
      <c r="L159" s="836"/>
      <c r="M159" s="836"/>
      <c r="N159" s="836">
        <f ca="1">IFERROR(ROUND(INDIRECT("'"&amp;$H$3&amp;"'!$H$10")/(((1/60)*(INDIRECT("'"&amp;$H$3&amp;"'!N148")+INDIRECT("'"&amp;$H$3&amp;"'!$H$19")*(INDIRECT("'"&amp;$H$3&amp;"'!N149")+(INDIRECT("'"&amp;$H$3&amp;"'!N150")*('4_Outputs'!N$149/INDIRECT("'"&amp;$H$3&amp;"'!N$96")/INDIRECT("'"&amp;$H$3&amp;"'!$H$19"))))))+INDEX(INDIRECT("'"&amp;$H$3&amp;"'!$H$43:$H$78"),MATCH(INDIRECT("'"&amp;$H$3&amp;"'!N136")&amp;"Average duration (hrs) per trip",INDIRECT("'"&amp;$H$3&amp;"'!$F$43:$F$78"),0))),1),0)</f>
        <v>0</v>
      </c>
      <c r="O159" s="836"/>
      <c r="P159" s="836"/>
      <c r="Q159" s="836">
        <f ca="1">IFERROR(ROUND(INDIRECT("'"&amp;$H$3&amp;"'!$H$10")/(((1/60)*(INDIRECT("'"&amp;$H$3&amp;"'!Q148")+INDIRECT("'"&amp;$H$3&amp;"'!$H$19")*(INDIRECT("'"&amp;$H$3&amp;"'!Q149")+(INDIRECT("'"&amp;$H$3&amp;"'!Q150")*('4_Outputs'!Q$149/INDIRECT("'"&amp;$H$3&amp;"'!Q$96")/INDIRECT("'"&amp;$H$3&amp;"'!$H$19"))))))+INDEX(INDIRECT("'"&amp;$H$3&amp;"'!$H$43:$H$78"),MATCH(INDIRECT("'"&amp;$H$3&amp;"'!Q136")&amp;"Average duration (hrs) per trip",INDIRECT("'"&amp;$H$3&amp;"'!$F$43:$F$78"),0))),1),0)</f>
        <v>0</v>
      </c>
      <c r="R159" s="836"/>
      <c r="S159" s="836"/>
      <c r="T159" s="836">
        <f ca="1">IFERROR(ROUND(INDIRECT("'"&amp;$H$3&amp;"'!$H$10")/(((1/60)*(INDIRECT("'"&amp;$H$3&amp;"'!T148")+INDIRECT("'"&amp;$H$3&amp;"'!$H$19")*(INDIRECT("'"&amp;$H$3&amp;"'!T149")+(INDIRECT("'"&amp;$H$3&amp;"'!T150")*('4_Outputs'!T$149/INDIRECT("'"&amp;$H$3&amp;"'!T$96")/INDIRECT("'"&amp;$H$3&amp;"'!$H$19"))))))+INDEX(INDIRECT("'"&amp;$H$3&amp;"'!$H$43:$H$78"),MATCH(INDIRECT("'"&amp;$H$3&amp;"'!T136")&amp;"Average duration (hrs) per trip",INDIRECT("'"&amp;$H$3&amp;"'!$F$43:$F$78"),0))),1),0)</f>
        <v>0</v>
      </c>
      <c r="U159" s="836"/>
      <c r="V159" s="836"/>
      <c r="W159" s="836">
        <f ca="1">IFERROR(ROUND(INDIRECT("'"&amp;$H$3&amp;"'!$H$10")/(((1/60)*(INDIRECT("'"&amp;$H$3&amp;"'!W148")+INDIRECT("'"&amp;$H$3&amp;"'!$H$19")*(INDIRECT("'"&amp;$H$3&amp;"'!W149")+(INDIRECT("'"&amp;$H$3&amp;"'!W150")*('4_Outputs'!W$149/INDIRECT("'"&amp;$H$3&amp;"'!W$96")/INDIRECT("'"&amp;$H$3&amp;"'!$H$19"))))))+INDEX(INDIRECT("'"&amp;$H$3&amp;"'!$H$43:$H$78"),MATCH(INDIRECT("'"&amp;$H$3&amp;"'!W136")&amp;"Average duration (hrs) per trip",INDIRECT("'"&amp;$H$3&amp;"'!$F$43:$F$78"),0))),1),0)</f>
        <v>0</v>
      </c>
      <c r="X159" s="1469"/>
      <c r="Y159" s="36"/>
      <c r="Z159" s="36"/>
      <c r="AA159" s="36"/>
      <c r="AB159" s="36"/>
      <c r="AC159" s="36"/>
      <c r="AD159" s="36"/>
      <c r="AE159" s="36"/>
      <c r="AF159" s="36"/>
      <c r="AG159" s="36"/>
      <c r="AH159" s="36"/>
      <c r="AI159" s="36"/>
      <c r="AJ159" s="36"/>
      <c r="AK159" s="36"/>
      <c r="AL159" s="36"/>
      <c r="AM159" s="36"/>
      <c r="AN159" s="36"/>
    </row>
    <row r="160" spans="6:40" ht="15" customHeight="1" outlineLevel="1">
      <c r="F160" s="1649"/>
      <c r="G160" s="51" t="s">
        <v>141</v>
      </c>
      <c r="H160" s="836"/>
      <c r="I160" s="836"/>
      <c r="J160" s="836"/>
      <c r="K160" s="836">
        <f ca="1">IFERROR(MIN(ROUND(K159*INDIRECT("'"&amp;$H$3&amp;"'!K144"),0),K157),0)</f>
        <v>0</v>
      </c>
      <c r="L160" s="836"/>
      <c r="M160" s="836"/>
      <c r="N160" s="836">
        <f ca="1">IFERROR(MIN(ROUND(N159*INDIRECT("'"&amp;$H$3&amp;"'!N144"),0),N157),0)</f>
        <v>0</v>
      </c>
      <c r="O160" s="836"/>
      <c r="P160" s="836"/>
      <c r="Q160" s="836">
        <f ca="1">IFERROR(MIN(ROUND(Q159*INDIRECT("'"&amp;$H$3&amp;"'!Q144"),0),Q157),0)</f>
        <v>0</v>
      </c>
      <c r="R160" s="836"/>
      <c r="S160" s="836"/>
      <c r="T160" s="836">
        <f ca="1">IFERROR(MIN(ROUND(T159*INDIRECT("'"&amp;$H$3&amp;"'!T144"),0),T157),0)</f>
        <v>0</v>
      </c>
      <c r="U160" s="836"/>
      <c r="V160" s="836"/>
      <c r="W160" s="836">
        <f ca="1">IFERROR(MIN(ROUND(W159*INDIRECT("'"&amp;$H$3&amp;"'!W144"),0),W157),0)</f>
        <v>0</v>
      </c>
      <c r="X160" s="1469"/>
      <c r="Y160" s="36"/>
      <c r="Z160" s="36"/>
      <c r="AA160" s="36"/>
      <c r="AB160" s="36"/>
      <c r="AC160" s="36"/>
      <c r="AD160" s="36"/>
      <c r="AE160" s="36"/>
      <c r="AF160" s="36"/>
      <c r="AG160" s="36"/>
      <c r="AH160" s="36"/>
      <c r="AI160" s="36"/>
      <c r="AJ160" s="36"/>
      <c r="AK160" s="36"/>
      <c r="AL160" s="36"/>
      <c r="AM160" s="36"/>
      <c r="AN160" s="36"/>
    </row>
    <row r="161" spans="6:40" ht="15" customHeight="1" outlineLevel="1">
      <c r="F161" s="1649"/>
      <c r="G161" s="51" t="s">
        <v>143</v>
      </c>
      <c r="H161" s="836"/>
      <c r="I161" s="836"/>
      <c r="J161" s="836"/>
      <c r="K161" s="836">
        <f ca="1">IFERROR(ROUNDUP(K156/K160,0),0)</f>
        <v>0</v>
      </c>
      <c r="L161" s="836"/>
      <c r="M161" s="836"/>
      <c r="N161" s="836">
        <f ca="1">IFERROR(ROUNDUP(N156/N160,0),0)</f>
        <v>0</v>
      </c>
      <c r="O161" s="836"/>
      <c r="P161" s="836"/>
      <c r="Q161" s="836">
        <f ca="1">IFERROR(ROUNDUP(Q156/Q160,0),0)</f>
        <v>0</v>
      </c>
      <c r="R161" s="836"/>
      <c r="S161" s="836"/>
      <c r="T161" s="836">
        <f ca="1">IFERROR(ROUNDUP(T156/T160,0),0)</f>
        <v>0</v>
      </c>
      <c r="U161" s="836"/>
      <c r="V161" s="836"/>
      <c r="W161" s="836">
        <f ca="1">IFERROR(ROUNDUP(W156/W160,0),0)</f>
        <v>0</v>
      </c>
      <c r="X161" s="1469"/>
      <c r="Y161" s="36"/>
      <c r="Z161" s="36"/>
      <c r="AA161" s="36"/>
      <c r="AB161" s="36"/>
      <c r="AC161" s="36"/>
      <c r="AD161" s="36"/>
      <c r="AE161" s="36"/>
      <c r="AF161" s="36"/>
      <c r="AG161" s="36"/>
      <c r="AH161" s="36"/>
      <c r="AI161" s="36"/>
      <c r="AJ161" s="36"/>
      <c r="AK161" s="36"/>
      <c r="AL161" s="36"/>
      <c r="AM161" s="36"/>
      <c r="AN161" s="36"/>
    </row>
    <row r="162" spans="6:40" ht="15" customHeight="1" outlineLevel="1">
      <c r="F162" s="1649"/>
      <c r="G162" s="51" t="s">
        <v>144</v>
      </c>
      <c r="H162" s="836"/>
      <c r="I162" s="836"/>
      <c r="J162" s="836"/>
      <c r="K162" s="836">
        <f ca="1">IFERROR((K161*(MAX(K160,1)+1)),0)</f>
        <v>0</v>
      </c>
      <c r="L162" s="836"/>
      <c r="M162" s="836"/>
      <c r="N162" s="836">
        <f ca="1">IFERROR((N161*(MAX(N160,1)+1)),0)</f>
        <v>0</v>
      </c>
      <c r="O162" s="836"/>
      <c r="P162" s="836"/>
      <c r="Q162" s="836">
        <f ca="1">IFERROR((Q161*(MAX(Q160,1)+1)),0)</f>
        <v>0</v>
      </c>
      <c r="R162" s="836"/>
      <c r="S162" s="836"/>
      <c r="T162" s="836">
        <f ca="1">IFERROR((T161*(MAX(T160,1)+1)),0)</f>
        <v>0</v>
      </c>
      <c r="U162" s="836"/>
      <c r="V162" s="836"/>
      <c r="W162" s="836">
        <f ca="1">IFERROR((W161*(MAX(W160,1)+1)),0)</f>
        <v>0</v>
      </c>
      <c r="X162" s="1469"/>
      <c r="Y162" s="36"/>
      <c r="Z162" s="36"/>
      <c r="AA162" s="36"/>
      <c r="AB162" s="36"/>
      <c r="AC162" s="36"/>
      <c r="AD162" s="36"/>
      <c r="AE162" s="36"/>
      <c r="AF162" s="36"/>
      <c r="AG162" s="36"/>
      <c r="AH162" s="36"/>
      <c r="AI162" s="36"/>
      <c r="AJ162" s="36"/>
      <c r="AK162" s="242"/>
      <c r="AL162" s="36"/>
      <c r="AM162" s="36"/>
      <c r="AN162" s="36"/>
    </row>
    <row r="163" spans="6:40" ht="15" customHeight="1" outlineLevel="1">
      <c r="F163" s="1649"/>
      <c r="G163" s="51" t="s">
        <v>145</v>
      </c>
      <c r="H163" s="836"/>
      <c r="I163" s="836"/>
      <c r="J163" s="836"/>
      <c r="K163" s="836">
        <f ca="1">IFERROR(ROUNDUP(((K162*INDEX(INDIRECT("'"&amp;$H$3&amp;"'!$H$43:$H$78"),MATCH(INDIRECT("'"&amp;$H$3&amp;"'!K136")&amp;"Average duration (hrs) per trip",INDIRECT("'"&amp;$H$3&amp;"'!$F$43:$F$78"),0)))+(K156*((1/60)*(INDIRECT("'"&amp;$H$3&amp;"'!K148")+INDIRECT("'"&amp;$H$3&amp;"'!$H$19")*(INDIRECT("'"&amp;$H$3&amp;"'!K149")+(INDIRECT("'"&amp;$H$3&amp;"'!K150")*('4_Outputs'!K$149/INDIRECT("'"&amp;$H$3&amp;"'!K$96")/INDIRECT("'"&amp;$H$3&amp;"'!$H$19"))))))))/INDIRECT("'"&amp;$H$3&amp;"'!$H$10"),0),0)</f>
        <v>0</v>
      </c>
      <c r="L163" s="836"/>
      <c r="M163" s="836"/>
      <c r="N163" s="836">
        <f ca="1">IFERROR(ROUNDUP(((N162*INDEX(INDIRECT("'"&amp;$H$3&amp;"'!$H$43:$H$78"),MATCH(INDIRECT("'"&amp;$H$3&amp;"'!N136")&amp;"Average duration (hrs) per trip",INDIRECT("'"&amp;$H$3&amp;"'!$F$43:$F$78"),0)))+(N156*((1/60)*(INDIRECT("'"&amp;$H$3&amp;"'!N148")+INDIRECT("'"&amp;$H$3&amp;"'!$H$19")*(INDIRECT("'"&amp;$H$3&amp;"'!N149")+(INDIRECT("'"&amp;$H$3&amp;"'!N150")*('4_Outputs'!N$149/INDIRECT("'"&amp;$H$3&amp;"'!N$96")/INDIRECT("'"&amp;$H$3&amp;"'!$H$19"))))))))/INDIRECT("'"&amp;$H$3&amp;"'!$H$10"),0),0)</f>
        <v>0</v>
      </c>
      <c r="O163" s="836"/>
      <c r="P163" s="836"/>
      <c r="Q163" s="836">
        <f ca="1">IFERROR(ROUNDUP(((Q162*INDEX(INDIRECT("'"&amp;$H$3&amp;"'!$H$43:$H$78"),MATCH(INDIRECT("'"&amp;$H$3&amp;"'!Q136")&amp;"Average duration (hrs) per trip",INDIRECT("'"&amp;$H$3&amp;"'!$F$43:$F$78"),0)))+(Q156*((1/60)*(INDIRECT("'"&amp;$H$3&amp;"'!Q148")+INDIRECT("'"&amp;$H$3&amp;"'!$H$19")*(INDIRECT("'"&amp;$H$3&amp;"'!Q149")+(INDIRECT("'"&amp;$H$3&amp;"'!Q150")*('4_Outputs'!Q$149/INDIRECT("'"&amp;$H$3&amp;"'!Q$96")/INDIRECT("'"&amp;$H$3&amp;"'!$H$19"))))))))/INDIRECT("'"&amp;$H$3&amp;"'!$H$10"),0),0)</f>
        <v>0</v>
      </c>
      <c r="R163" s="836"/>
      <c r="S163" s="836"/>
      <c r="T163" s="836">
        <f ca="1">IFERROR(ROUNDUP(((T162*INDEX(INDIRECT("'"&amp;$H$3&amp;"'!$H$43:$H$78"),MATCH(INDIRECT("'"&amp;$H$3&amp;"'!T136")&amp;"Average duration (hrs) per trip",INDIRECT("'"&amp;$H$3&amp;"'!$F$43:$F$78"),0)))+(T156*((1/60)*(INDIRECT("'"&amp;$H$3&amp;"'!T148")+INDIRECT("'"&amp;$H$3&amp;"'!$H$19")*(INDIRECT("'"&amp;$H$3&amp;"'!T149")+(INDIRECT("'"&amp;$H$3&amp;"'!T150")*('4_Outputs'!T$149/INDIRECT("'"&amp;$H$3&amp;"'!T$96")/INDIRECT("'"&amp;$H$3&amp;"'!$H$19"))))))))/INDIRECT("'"&amp;$H$3&amp;"'!$H$10"),0),0)</f>
        <v>0</v>
      </c>
      <c r="U163" s="836"/>
      <c r="V163" s="836"/>
      <c r="W163" s="836">
        <f ca="1">IFERROR(ROUNDUP(((W162*INDEX(INDIRECT("'"&amp;$H$3&amp;"'!$H$43:$H$78"),MATCH(INDIRECT("'"&amp;$H$3&amp;"'!W136")&amp;"Average duration (hrs) per trip",INDIRECT("'"&amp;$H$3&amp;"'!$F$43:$F$78"),0)))+(W156*((1/60)*(INDIRECT("'"&amp;$H$3&amp;"'!W148")+INDIRECT("'"&amp;$H$3&amp;"'!$H$19")*(INDIRECT("'"&amp;$H$3&amp;"'!W149")+(INDIRECT("'"&amp;$H$3&amp;"'!W150")*('4_Outputs'!W$149/INDIRECT("'"&amp;$H$3&amp;"'!W$96")/INDIRECT("'"&amp;$H$3&amp;"'!$H$19"))))))))/INDIRECT("'"&amp;$H$3&amp;"'!$H$10"),0),0)</f>
        <v>0</v>
      </c>
      <c r="X163" s="1469"/>
      <c r="Y163" s="36"/>
      <c r="Z163" s="36"/>
      <c r="AA163" s="36"/>
      <c r="AB163" s="36"/>
      <c r="AC163" s="36"/>
      <c r="AD163" s="36"/>
      <c r="AE163" s="36"/>
      <c r="AF163" s="36"/>
      <c r="AG163" s="36"/>
      <c r="AH163" s="36"/>
      <c r="AI163" s="36"/>
      <c r="AJ163" s="36"/>
      <c r="AK163" s="242"/>
      <c r="AL163" s="36"/>
      <c r="AM163" s="36"/>
      <c r="AN163" s="36"/>
    </row>
    <row r="164" spans="6:40" ht="15" customHeight="1" outlineLevel="1">
      <c r="F164" s="1649"/>
      <c r="G164" s="1613" t="s">
        <v>841</v>
      </c>
      <c r="H164" s="842"/>
      <c r="I164" s="842"/>
      <c r="J164" s="842"/>
      <c r="K164" s="842"/>
      <c r="L164" s="842"/>
      <c r="M164" s="842"/>
      <c r="N164" s="842"/>
      <c r="O164" s="842"/>
      <c r="P164" s="842"/>
      <c r="Q164" s="842"/>
      <c r="R164" s="1650"/>
      <c r="S164" s="1650"/>
      <c r="T164" s="842"/>
      <c r="U164" s="1650"/>
      <c r="V164" s="1650"/>
      <c r="W164" s="842"/>
      <c r="X164" s="1470"/>
      <c r="Y164" s="36"/>
      <c r="Z164" s="36"/>
      <c r="AA164" s="36"/>
      <c r="AB164" s="36"/>
      <c r="AC164" s="36"/>
      <c r="AD164" s="36"/>
      <c r="AE164" s="36"/>
      <c r="AF164" s="36"/>
      <c r="AG164" s="36"/>
      <c r="AH164" s="36"/>
      <c r="AI164" s="36"/>
      <c r="AJ164" s="36"/>
      <c r="AK164" s="242"/>
      <c r="AL164" s="36"/>
      <c r="AM164" s="36"/>
      <c r="AN164" s="36"/>
    </row>
    <row r="165" spans="6:40" ht="15" customHeight="1" outlineLevel="1">
      <c r="F165" s="1649"/>
      <c r="G165" s="51" t="s">
        <v>144</v>
      </c>
      <c r="H165" s="836"/>
      <c r="I165" s="836"/>
      <c r="J165" s="836"/>
      <c r="K165" s="836">
        <f ca="1">IFERROR((K156/MIN(K157,1))*2,0)</f>
        <v>0</v>
      </c>
      <c r="L165" s="836"/>
      <c r="M165" s="836"/>
      <c r="N165" s="836">
        <f ca="1">IFERROR((N156/MIN(N157,1))*2,0)</f>
        <v>0</v>
      </c>
      <c r="O165" s="836"/>
      <c r="P165" s="836"/>
      <c r="Q165" s="836">
        <f ca="1">IFERROR((Q156/MIN(Q157,1))*2,0)</f>
        <v>0</v>
      </c>
      <c r="R165" s="836"/>
      <c r="S165" s="836"/>
      <c r="T165" s="836">
        <f ca="1">IFERROR((T156/MIN(T157,1))*2,0)</f>
        <v>0</v>
      </c>
      <c r="U165" s="836"/>
      <c r="V165" s="836"/>
      <c r="W165" s="836">
        <f ca="1">IFERROR((W156/MIN(W157,1))*2,0)</f>
        <v>0</v>
      </c>
      <c r="X165" s="1469"/>
      <c r="Y165" s="36"/>
      <c r="Z165" s="36"/>
      <c r="AA165" s="36"/>
      <c r="AB165" s="36"/>
      <c r="AC165" s="36"/>
      <c r="AD165" s="36"/>
      <c r="AE165" s="36"/>
      <c r="AF165" s="36"/>
      <c r="AG165" s="36"/>
      <c r="AH165" s="36"/>
      <c r="AI165" s="36"/>
      <c r="AJ165" s="36"/>
      <c r="AK165" s="36"/>
      <c r="AL165" s="36"/>
      <c r="AM165" s="36"/>
      <c r="AN165" s="36"/>
    </row>
    <row r="166" spans="6:40" ht="15" customHeight="1" outlineLevel="1">
      <c r="F166" s="1649"/>
      <c r="G166" s="51" t="s">
        <v>145</v>
      </c>
      <c r="H166" s="837"/>
      <c r="I166" s="837"/>
      <c r="J166" s="837"/>
      <c r="K166" s="837">
        <f ca="1">IFERROR(MAX(K156,ROUNDUP(((K165*INDEX(INDIRECT("'"&amp;$H$3&amp;"'!$H$43:$H$78"),MATCH(INDIRECT("'"&amp;$H$3&amp;"'!K136")&amp;"Average duration (hrs) per trip",INDIRECT("'"&amp;$H$3&amp;"'!$F$43:$F$78"),0)))+(K156*((1/60)*(INDIRECT("'"&amp;$H$3&amp;"'!K148")+INDIRECT("'"&amp;$H$3&amp;"'!$H$19")*(INDIRECT("'"&amp;$H$3&amp;"'!K149")+(INDIRECT("'"&amp;$H$3&amp;"'!K150")*('4_Outputs'!K$149/INDIRECT("'"&amp;$H$3&amp;"'!K$96")/INDIRECT("'"&amp;$H$3&amp;"'!$H$19"))))))))/INDIRECT("'"&amp;$H$3&amp;"'!$H$10"),0)),0)</f>
        <v>0</v>
      </c>
      <c r="L166" s="837"/>
      <c r="M166" s="837"/>
      <c r="N166" s="837">
        <f ca="1">IFERROR(MAX(N156,ROUNDUP(((N165*INDEX(INDIRECT("'"&amp;$H$3&amp;"'!$H$43:$H$78"),MATCH(INDIRECT("'"&amp;$H$3&amp;"'!N136")&amp;"Average duration (hrs) per trip",INDIRECT("'"&amp;$H$3&amp;"'!$F$43:$F$78"),0)))+(N156*((1/60)*(INDIRECT("'"&amp;$H$3&amp;"'!N148")+INDIRECT("'"&amp;$H$3&amp;"'!$H$19")*(INDIRECT("'"&amp;$H$3&amp;"'!N149")+(INDIRECT("'"&amp;$H$3&amp;"'!N150")*('4_Outputs'!N$149/INDIRECT("'"&amp;$H$3&amp;"'!N$96")/INDIRECT("'"&amp;$H$3&amp;"'!$H$19"))))))))/INDIRECT("'"&amp;$H$3&amp;"'!$H$10"),0)),0)</f>
        <v>0</v>
      </c>
      <c r="O166" s="837"/>
      <c r="P166" s="837"/>
      <c r="Q166" s="837">
        <f ca="1">IFERROR(MAX(Q156,ROUNDUP(((Q165*INDEX(INDIRECT("'"&amp;$H$3&amp;"'!$H$43:$H$78"),MATCH(INDIRECT("'"&amp;$H$3&amp;"'!Q136")&amp;"Average duration (hrs) per trip",INDIRECT("'"&amp;$H$3&amp;"'!$F$43:$F$78"),0)))+(Q156*((1/60)*(INDIRECT("'"&amp;$H$3&amp;"'!Q148")+INDIRECT("'"&amp;$H$3&amp;"'!$H$19")*(INDIRECT("'"&amp;$H$3&amp;"'!Q149")+(INDIRECT("'"&amp;$H$3&amp;"'!Q150")*('4_Outputs'!Q$149/INDIRECT("'"&amp;$H$3&amp;"'!Q$96")/INDIRECT("'"&amp;$H$3&amp;"'!$H$19"))))))))/INDIRECT("'"&amp;$H$3&amp;"'!$H$10"),0)),0)</f>
        <v>0</v>
      </c>
      <c r="R166" s="837"/>
      <c r="S166" s="837"/>
      <c r="T166" s="837">
        <f ca="1">IFERROR(MAX(T156,ROUNDUP(((T165*INDEX(INDIRECT("'"&amp;$H$3&amp;"'!$H$43:$H$78"),MATCH(INDIRECT("'"&amp;$H$3&amp;"'!T136")&amp;"Average duration (hrs) per trip",INDIRECT("'"&amp;$H$3&amp;"'!$F$43:$F$78"),0)))+(T156*((1/60)*(INDIRECT("'"&amp;$H$3&amp;"'!T148")+INDIRECT("'"&amp;$H$3&amp;"'!$H$19")*(INDIRECT("'"&amp;$H$3&amp;"'!T149")+(INDIRECT("'"&amp;$H$3&amp;"'!T150")*('4_Outputs'!T$149/INDIRECT("'"&amp;$H$3&amp;"'!T$96")/INDIRECT("'"&amp;$H$3&amp;"'!$H$19"))))))))/INDIRECT("'"&amp;$H$3&amp;"'!$H$10"),0)),0)</f>
        <v>0</v>
      </c>
      <c r="U166" s="837"/>
      <c r="V166" s="837"/>
      <c r="W166" s="837">
        <f ca="1">IFERROR(MAX(W156,ROUNDUP(((W165*INDEX(INDIRECT("'"&amp;$H$3&amp;"'!$H$43:$H$78"),MATCH(INDIRECT("'"&amp;$H$3&amp;"'!W136")&amp;"Average duration (hrs) per trip",INDIRECT("'"&amp;$H$3&amp;"'!$F$43:$F$78"),0)))+(W156*((1/60)*(INDIRECT("'"&amp;$H$3&amp;"'!W148")+INDIRECT("'"&amp;$H$3&amp;"'!$H$19")*(INDIRECT("'"&amp;$H$3&amp;"'!W149")+(INDIRECT("'"&amp;$H$3&amp;"'!W150")*('4_Outputs'!W$149/INDIRECT("'"&amp;$H$3&amp;"'!W$96")/INDIRECT("'"&amp;$H$3&amp;"'!$H$19"))))))))/INDIRECT("'"&amp;$H$3&amp;"'!$H$10"),0)),0)</f>
        <v>0</v>
      </c>
      <c r="X166" s="1468"/>
      <c r="Y166" s="36"/>
      <c r="Z166" s="36"/>
      <c r="AA166" s="36"/>
      <c r="AB166" s="36"/>
      <c r="AC166" s="36"/>
      <c r="AD166" s="36"/>
      <c r="AE166" s="36"/>
      <c r="AF166" s="36"/>
      <c r="AG166" s="36"/>
      <c r="AH166" s="36"/>
      <c r="AI166" s="36"/>
      <c r="AJ166" s="36"/>
      <c r="AK166" s="36"/>
      <c r="AL166" s="36"/>
      <c r="AM166" s="36"/>
      <c r="AN166" s="36"/>
    </row>
    <row r="167" spans="6:40" ht="15" customHeight="1" outlineLevel="1">
      <c r="F167" s="1647" t="s">
        <v>148</v>
      </c>
      <c r="G167" s="1614"/>
      <c r="H167" s="848"/>
      <c r="I167" s="848"/>
      <c r="J167" s="848"/>
      <c r="K167" s="848"/>
      <c r="L167" s="848"/>
      <c r="M167" s="848"/>
      <c r="N167" s="848"/>
      <c r="O167" s="848"/>
      <c r="P167" s="848"/>
      <c r="Q167" s="848"/>
      <c r="R167" s="1646"/>
      <c r="S167" s="1646"/>
      <c r="T167" s="848"/>
      <c r="U167" s="1646"/>
      <c r="V167" s="1646"/>
      <c r="W167" s="848"/>
      <c r="X167" s="1471"/>
      <c r="Y167" s="36"/>
      <c r="Z167" s="36"/>
      <c r="AA167" s="36"/>
      <c r="AB167" s="36"/>
      <c r="AC167" s="36"/>
      <c r="AD167" s="36"/>
      <c r="AE167" s="36"/>
      <c r="AF167" s="36"/>
      <c r="AG167" s="36"/>
      <c r="AH167" s="36"/>
      <c r="AI167" s="36"/>
      <c r="AJ167" s="36"/>
      <c r="AK167" s="242"/>
      <c r="AL167" s="36"/>
      <c r="AM167" s="36"/>
      <c r="AN167" s="36"/>
    </row>
    <row r="168" spans="6:40" ht="15" customHeight="1" outlineLevel="1">
      <c r="F168" s="1653"/>
      <c r="G168" s="51" t="s">
        <v>151</v>
      </c>
      <c r="H168" s="836"/>
      <c r="I168" s="836"/>
      <c r="J168" s="836"/>
      <c r="K168" s="836">
        <f ca="1">IFERROR(IF(COUNTIF(INDIRECT("'"&amp;$H$3&amp;"'!K136"),"Public Transport*")&lt;1,ROUND(INDIRECT("'"&amp;$H$3&amp;"'!K$95")*INDIRECT("'"&amp;$H$3&amp;"'!K135"),0),0),0)</f>
        <v>1</v>
      </c>
      <c r="L168" s="836"/>
      <c r="M168" s="836"/>
      <c r="N168" s="836">
        <f ca="1">IFERROR(IF(COUNTIF(INDIRECT("'"&amp;$H$3&amp;"'!N136"),"Public Transport*")&lt;1,ROUND(INDIRECT("'"&amp;$H$3&amp;"'!N$95")*INDIRECT("'"&amp;$H$3&amp;"'!N135"),0),0),0)</f>
        <v>345</v>
      </c>
      <c r="O168" s="836"/>
      <c r="P168" s="836"/>
      <c r="Q168" s="836">
        <f ca="1">IFERROR(IF(COUNTIF(INDIRECT("'"&amp;$H$3&amp;"'!Q136"),"Public Transport*")&lt;1,ROUND(INDIRECT("'"&amp;$H$3&amp;"'!Q$95")*INDIRECT("'"&amp;$H$3&amp;"'!Q135"),0),0),0)</f>
        <v>0</v>
      </c>
      <c r="R168" s="1646"/>
      <c r="S168" s="1646"/>
      <c r="T168" s="836">
        <f ca="1">IFERROR(IF(COUNTIF(INDIRECT("'"&amp;$H$3&amp;"'!T136"),"Public Transport*")&lt;1,ROUND(INDIRECT("'"&amp;$H$3&amp;"'!T$95")*INDIRECT("'"&amp;$H$3&amp;"'!T135"),0),0),0)</f>
        <v>0</v>
      </c>
      <c r="U168" s="1646"/>
      <c r="V168" s="1646"/>
      <c r="W168" s="836">
        <f ca="1">IFERROR(IF(COUNTIF(INDIRECT("'"&amp;$H$3&amp;"'!W136"),"Public Transport*")&lt;1,ROUND(INDIRECT("'"&amp;$H$3&amp;"'!W$95")*INDIRECT("'"&amp;$H$3&amp;"'!W135"),0),0),0)</f>
        <v>0</v>
      </c>
      <c r="X168" s="1469"/>
      <c r="Y168" s="36"/>
      <c r="Z168" s="36"/>
      <c r="AA168" s="36"/>
      <c r="AB168" s="36"/>
      <c r="AC168" s="36"/>
      <c r="AD168" s="36"/>
      <c r="AE168" s="36"/>
      <c r="AF168" s="36"/>
      <c r="AG168" s="36"/>
      <c r="AH168" s="36"/>
      <c r="AI168" s="36"/>
      <c r="AJ168" s="36"/>
      <c r="AK168" s="242"/>
      <c r="AL168" s="36"/>
      <c r="AM168" s="36"/>
      <c r="AN168" s="36"/>
    </row>
    <row r="169" spans="6:40" ht="15" customHeight="1" outlineLevel="1">
      <c r="F169" s="52"/>
      <c r="G169" s="51" t="s">
        <v>58</v>
      </c>
      <c r="H169" s="837"/>
      <c r="I169" s="837"/>
      <c r="J169" s="837"/>
      <c r="K169" s="837">
        <f ca="1">IFERROR(IF(INDIRECT("'"&amp;$H$3&amp;"'!K143")="Route-based",K178*K179,IF(INDIRECT("'"&amp;$H$3&amp;"'!K143")="Point-to-point",K183*K184,0)),0)</f>
        <v>143344</v>
      </c>
      <c r="L169" s="837"/>
      <c r="M169" s="837"/>
      <c r="N169" s="837">
        <f ca="1">IFERROR(IF(INDIRECT("'"&amp;$H$3&amp;"'!N143")="Route-based",N178*N179,IF(INDIRECT("'"&amp;$H$3&amp;"'!N143")="Point-to-point",N183*N184,0)),0)</f>
        <v>82574.119512774865</v>
      </c>
      <c r="O169" s="837"/>
      <c r="P169" s="837"/>
      <c r="Q169" s="837">
        <f ca="1">IFERROR(IF(INDIRECT("'"&amp;$H$3&amp;"'!Q143")="Route-based",Q178*Q179,IF(INDIRECT("'"&amp;$H$3&amp;"'!Q143")="Point-to-point",Q183*Q184,0)),0)</f>
        <v>0</v>
      </c>
      <c r="R169" s="1650"/>
      <c r="S169" s="1650"/>
      <c r="T169" s="837">
        <f ca="1">IFERROR(IF(INDIRECT("'"&amp;$H$3&amp;"'!T143")="Route-based",T178*T179,IF(INDIRECT("'"&amp;$H$3&amp;"'!T143")="Point-to-point",T183*T184,0)),0)</f>
        <v>0</v>
      </c>
      <c r="U169" s="1650"/>
      <c r="V169" s="1650"/>
      <c r="W169" s="837">
        <f ca="1">IFERROR(IF(INDIRECT("'"&amp;$H$3&amp;"'!W143")="Route-based",W178*W179,IF(INDIRECT("'"&amp;$H$3&amp;"'!W143")="Point-to-point",W183*W184,0)),0)</f>
        <v>0</v>
      </c>
      <c r="X169" s="1472"/>
      <c r="Y169" s="36"/>
      <c r="Z169" s="36"/>
      <c r="AA169" s="36"/>
      <c r="AB169" s="36"/>
      <c r="AC169" s="36"/>
      <c r="AD169" s="36"/>
      <c r="AE169" s="36"/>
      <c r="AF169" s="36"/>
      <c r="AG169" s="36"/>
      <c r="AH169" s="36"/>
      <c r="AI169" s="36"/>
      <c r="AJ169" s="36"/>
      <c r="AK169" s="36"/>
      <c r="AL169" s="36"/>
      <c r="AM169" s="36"/>
      <c r="AN169" s="36"/>
    </row>
    <row r="170" spans="6:40" ht="15" customHeight="1" outlineLevel="1">
      <c r="F170" s="52"/>
      <c r="G170" s="51" t="s">
        <v>389</v>
      </c>
      <c r="H170" s="837"/>
      <c r="I170" s="837"/>
      <c r="J170" s="837"/>
      <c r="K170" s="837">
        <f ca="1">IFERROR(IF(INDIRECT("'"&amp;$H$3&amp;"'!K143")="Route-based",K178,IF(INDIRECT("'"&amp;$H$3&amp;"'!K143")="Point-to-point",K183,0)),"")</f>
        <v>248</v>
      </c>
      <c r="L170" s="837"/>
      <c r="M170" s="837"/>
      <c r="N170" s="837">
        <f ca="1">IFERROR(IF(INDIRECT("'"&amp;$H$3&amp;"'!N143")="Route-based",N178,IF(INDIRECT("'"&amp;$H$3&amp;"'!N143")="Point-to-point",N183,0)),"")</f>
        <v>235</v>
      </c>
      <c r="O170" s="837"/>
      <c r="P170" s="837"/>
      <c r="Q170" s="837">
        <f ca="1">IFERROR(IF(INDIRECT("'"&amp;$H$3&amp;"'!Q143")="Route-based",Q178,IF(INDIRECT("'"&amp;$H$3&amp;"'!Q143")="Point-to-point",Q183,0)),"")</f>
        <v>0</v>
      </c>
      <c r="R170" s="1650"/>
      <c r="S170" s="1650"/>
      <c r="T170" s="837">
        <f ca="1">IFERROR(IF(INDIRECT("'"&amp;$H$3&amp;"'!T143")="Route-based",T178,IF(INDIRECT("'"&amp;$H$3&amp;"'!T143")="Point-to-point",T183,0)),"")</f>
        <v>0</v>
      </c>
      <c r="U170" s="1650"/>
      <c r="V170" s="1650"/>
      <c r="W170" s="837">
        <f ca="1">IFERROR(IF(INDIRECT("'"&amp;$H$3&amp;"'!W143")="Route-based",W178,IF(INDIRECT("'"&amp;$H$3&amp;"'!W143")="Point-to-point",W183,0)),"")</f>
        <v>0</v>
      </c>
      <c r="X170" s="1472"/>
      <c r="Y170" s="36"/>
      <c r="Z170" s="36"/>
      <c r="AA170" s="36"/>
      <c r="AB170" s="36"/>
      <c r="AC170" s="36"/>
      <c r="AD170" s="36"/>
      <c r="AE170" s="36"/>
      <c r="AF170" s="36"/>
      <c r="AG170" s="36"/>
      <c r="AH170" s="36"/>
      <c r="AI170" s="36"/>
      <c r="AJ170" s="36"/>
      <c r="AK170" s="36"/>
      <c r="AL170" s="36"/>
      <c r="AM170" s="36"/>
      <c r="AN170" s="36"/>
    </row>
    <row r="171" spans="6:40" ht="15" customHeight="1" outlineLevel="1">
      <c r="F171" s="52"/>
      <c r="G171" s="51" t="s">
        <v>49</v>
      </c>
      <c r="H171" s="837"/>
      <c r="I171" s="837"/>
      <c r="J171" s="837"/>
      <c r="K171" s="837">
        <f ca="1">IFERROR(IF(INDIRECT("'"&amp;$H$3&amp;"'!K143")="Route-based",ROUND(K180*K178/INDIRECT("'"&amp;$H$3&amp;"'!$H$10"),0),IF(INDIRECT("'"&amp;$H$3&amp;"'!K143")="Point-to-point",ROUND(((K183*((1/60)*(INDIRECT("'"&amp;$H$3&amp;"'!K148")+INDIRECT("'"&amp;$H$3&amp;"'!$H$19")*(INDIRECT("'"&amp;$H$3&amp;"'!K149")+(INDIRECT("'"&amp;$H$3&amp;"'!K150")*(MIN(('4_Outputs'!K$149/INDIRECT("'"&amp;$H$3&amp;"'!K$96")),INDEX(INDIRECT("'"&amp;$H$3&amp;"'!$H$49:$H$78"),MATCH(INDIRECT("'"&amp;$H$3&amp;"'!K136")&amp;"Delivery Capacity (m^3)",INDIRECT("'"&amp;$H$3&amp;"'!$F$49:$F$78"),0)))/INDIRECT("'"&amp;$H$3&amp;"'!$H$19")))))))+(K169/INDIRECT("'"&amp;$H$3&amp;"'!K152")))/INDIRECT("'"&amp;$H$3&amp;"'!$H$10"),0),0)),0)</f>
        <v>210</v>
      </c>
      <c r="L171" s="837"/>
      <c r="M171" s="837"/>
      <c r="N171" s="837">
        <f ca="1">IFERROR(IF(INDIRECT("'"&amp;$H$3&amp;"'!N143")="Route-based",ROUND(N180*N178/INDIRECT("'"&amp;$H$3&amp;"'!$H$10"),0),IF(INDIRECT("'"&amp;$H$3&amp;"'!N143")="Point-to-point",ROUND(((N183*((1/60)*(INDIRECT("'"&amp;$H$3&amp;"'!N148")+INDIRECT("'"&amp;$H$3&amp;"'!$H$19")*(INDIRECT("'"&amp;$H$3&amp;"'!N149")+(INDIRECT("'"&amp;$H$3&amp;"'!N150")*(MIN(('4_Outputs'!N$149/INDIRECT("'"&amp;$H$3&amp;"'!N$96")),INDEX(INDIRECT("'"&amp;$H$3&amp;"'!$H$49:$H$78"),MATCH(INDIRECT("'"&amp;$H$3&amp;"'!N136")&amp;"Delivery Capacity (m^3)",INDIRECT("'"&amp;$H$3&amp;"'!$F$49:$F$78"),0)))/INDIRECT("'"&amp;$H$3&amp;"'!$H$19")))))))+(N169/INDIRECT("'"&amp;$H$3&amp;"'!N152")))/INDIRECT("'"&amp;$H$3&amp;"'!$H$10"),0),0)),0)</f>
        <v>253</v>
      </c>
      <c r="O171" s="837"/>
      <c r="P171" s="837"/>
      <c r="Q171" s="837">
        <f ca="1">IFERROR(IF(INDIRECT("'"&amp;$H$3&amp;"'!Q143")="Route-based",ROUND(Q180*Q178/INDIRECT("'"&amp;$H$3&amp;"'!$H$10"),0),IF(INDIRECT("'"&amp;$H$3&amp;"'!Q143")="Point-to-point",ROUND(((Q183*((1/60)*(INDIRECT("'"&amp;$H$3&amp;"'!Q148")+INDIRECT("'"&amp;$H$3&amp;"'!$H$19")*(INDIRECT("'"&amp;$H$3&amp;"'!Q149")+(INDIRECT("'"&amp;$H$3&amp;"'!Q150")*(MIN(('4_Outputs'!Q$149/INDIRECT("'"&amp;$H$3&amp;"'!Q$96")),INDEX(INDIRECT("'"&amp;$H$3&amp;"'!$H$49:$H$78"),MATCH(INDIRECT("'"&amp;$H$3&amp;"'!Q136")&amp;"Delivery Capacity (m^3)",INDIRECT("'"&amp;$H$3&amp;"'!$F$49:$F$78"),0)))/INDIRECT("'"&amp;$H$3&amp;"'!$H$19")))))))+(Q169/INDIRECT("'"&amp;$H$3&amp;"'!Q152")))/INDIRECT("'"&amp;$H$3&amp;"'!$H$10"),0),0)),0)</f>
        <v>0</v>
      </c>
      <c r="R171" s="837"/>
      <c r="S171" s="837"/>
      <c r="T171" s="837">
        <f ca="1">IFERROR(IF(INDIRECT("'"&amp;$H$3&amp;"'!T143")="Route-based",ROUND(T180*T178/INDIRECT("'"&amp;$H$3&amp;"'!$H$10"),0),IF(INDIRECT("'"&amp;$H$3&amp;"'!T143")="Point-to-point",ROUND(((T183*((1/60)*(INDIRECT("'"&amp;$H$3&amp;"'!T148")+INDIRECT("'"&amp;$H$3&amp;"'!$H$19")*(INDIRECT("'"&amp;$H$3&amp;"'!T149")+(INDIRECT("'"&amp;$H$3&amp;"'!T150")*(MIN(('4_Outputs'!T$149/INDIRECT("'"&amp;$H$3&amp;"'!T$96")),INDEX(INDIRECT("'"&amp;$H$3&amp;"'!$H$49:$H$78"),MATCH(INDIRECT("'"&amp;$H$3&amp;"'!T136")&amp;"Delivery Capacity (m^3)",INDIRECT("'"&amp;$H$3&amp;"'!$F$49:$F$78"),0)))/INDIRECT("'"&amp;$H$3&amp;"'!$H$19")))))))+(T169/INDIRECT("'"&amp;$H$3&amp;"'!T152")))/INDIRECT("'"&amp;$H$3&amp;"'!$H$10"),0),0)),0)</f>
        <v>0</v>
      </c>
      <c r="U171" s="837"/>
      <c r="V171" s="837"/>
      <c r="W171" s="837">
        <f ca="1">IFERROR(IF(INDIRECT("'"&amp;$H$3&amp;"'!W143")="Route-based",ROUND(W180*W178/INDIRECT("'"&amp;$H$3&amp;"'!$H$10"),0),IF(INDIRECT("'"&amp;$H$3&amp;"'!W143")="Point-to-point",ROUND(((W183*((1/60)*(INDIRECT("'"&amp;$H$3&amp;"'!W148")+INDIRECT("'"&amp;$H$3&amp;"'!$H$19")*(INDIRECT("'"&amp;$H$3&amp;"'!W149")+(INDIRECT("'"&amp;$H$3&amp;"'!W150")*(MIN(('4_Outputs'!W$149/INDIRECT("'"&amp;$H$3&amp;"'!W$96")),INDEX(INDIRECT("'"&amp;$H$3&amp;"'!$H$49:$H$78"),MATCH(INDIRECT("'"&amp;$H$3&amp;"'!W136")&amp;"Delivery Capacity (m^3)",INDIRECT("'"&amp;$H$3&amp;"'!$F$49:$F$78"),0)))/INDIRECT("'"&amp;$H$3&amp;"'!$H$19")))))))+(W169/INDIRECT("'"&amp;$H$3&amp;"'!W152")))/INDIRECT("'"&amp;$H$3&amp;"'!$H$10"),0),0)),0)</f>
        <v>0</v>
      </c>
      <c r="X171" s="1472"/>
      <c r="Y171" s="36"/>
      <c r="Z171" s="36"/>
      <c r="AA171" s="36"/>
      <c r="AB171" s="36"/>
      <c r="AC171" s="36"/>
      <c r="AD171" s="36"/>
      <c r="AE171" s="36"/>
      <c r="AF171" s="36"/>
      <c r="AG171" s="36"/>
      <c r="AH171" s="36"/>
      <c r="AI171" s="36"/>
      <c r="AJ171" s="36"/>
      <c r="AK171" s="36"/>
      <c r="AL171" s="36"/>
      <c r="AM171" s="36"/>
      <c r="AN171" s="36"/>
    </row>
    <row r="172" spans="6:40" ht="15" customHeight="1" outlineLevel="1">
      <c r="F172" s="52"/>
      <c r="G172" s="51" t="s">
        <v>189</v>
      </c>
      <c r="H172" s="839"/>
      <c r="I172" s="839"/>
      <c r="J172" s="839"/>
      <c r="K172" s="839">
        <f ca="1">IFERROR(IF(INDIRECT("'"&amp;$H$3&amp;"'!K143")="Route-based",('4_Outputs'!K$149*K168)/(K178*INDEX(INDIRECT("'"&amp;$H$3&amp;"'!$H$49:$H$78"),MATCH(INDIRECT("'"&amp;$H$3&amp;"'!K136")&amp;"Delivery Capacity (m^3)",INDIRECT("'"&amp;$H$3&amp;"'!$F$49:$F$78"),0))),IF(INDIRECT("'"&amp;$H$3&amp;"'!K143")="Point-to-point",('4_Outputs'!K$149*K168)/(K183*INDEX(INDIRECT("'"&amp;$H$3&amp;"'!$H$49:$H$78"),MATCH(INDIRECT("'"&amp;$H$3&amp;"'!K136")&amp;"Delivery Capacity (m^3)",INDIRECT("'"&amp;$H$3&amp;"'!$F$49:$F$78"),0))),0)),0)</f>
        <v>0.99326612903225808</v>
      </c>
      <c r="L172" s="839"/>
      <c r="M172" s="839"/>
      <c r="N172" s="839">
        <f ca="1">IFERROR(IF(INDIRECT("'"&amp;$H$3&amp;"'!N143")="Route-based",('4_Outputs'!N$149*N168)/(N178*INDEX(INDIRECT("'"&amp;$H$3&amp;"'!$H$49:$H$78"),MATCH(INDIRECT("'"&amp;$H$3&amp;"'!N136")&amp;"Delivery Capacity (m^3)",INDIRECT("'"&amp;$H$3&amp;"'!$F$49:$F$78"),0))),IF(INDIRECT("'"&amp;$H$3&amp;"'!N143")="Point-to-point",('4_Outputs'!N$149*N168)/(N183*INDEX(INDIRECT("'"&amp;$H$3&amp;"'!$H$49:$H$78"),MATCH(INDIRECT("'"&amp;$H$3&amp;"'!N136")&amp;"Delivery Capacity (m^3)",INDIRECT("'"&amp;$H$3&amp;"'!$F$49:$F$78"),0))),0)),0)</f>
        <v>0.99829787234042555</v>
      </c>
      <c r="O172" s="839"/>
      <c r="P172" s="839"/>
      <c r="Q172" s="839">
        <f ca="1">IFERROR(IF(INDIRECT("'"&amp;$H$3&amp;"'!Q143")="Route-based",('4_Outputs'!Q$149*Q168)/(Q178*INDEX(INDIRECT("'"&amp;$H$3&amp;"'!$H$49:$H$78"),MATCH(INDIRECT("'"&amp;$H$3&amp;"'!Q136")&amp;"Delivery Capacity (m^3)",INDIRECT("'"&amp;$H$3&amp;"'!$F$49:$F$78"),0))),IF(INDIRECT("'"&amp;$H$3&amp;"'!Q143")="Point-to-point",('4_Outputs'!Q$149*Q168)/(Q183*INDEX(INDIRECT("'"&amp;$H$3&amp;"'!$H$49:$H$78"),MATCH(INDIRECT("'"&amp;$H$3&amp;"'!Q136")&amp;"Delivery Capacity (m^3)",INDIRECT("'"&amp;$H$3&amp;"'!$F$49:$F$78"),0))),0)),0)</f>
        <v>0</v>
      </c>
      <c r="R172" s="839"/>
      <c r="S172" s="839"/>
      <c r="T172" s="839">
        <f ca="1">IFERROR(IF(INDIRECT("'"&amp;$H$3&amp;"'!T143")="Route-based",('4_Outputs'!T$149*T168)/(T178*INDEX(INDIRECT("'"&amp;$H$3&amp;"'!$H$49:$H$78"),MATCH(INDIRECT("'"&amp;$H$3&amp;"'!T136")&amp;"Delivery Capacity (m^3)",INDIRECT("'"&amp;$H$3&amp;"'!$F$49:$F$78"),0))),IF(INDIRECT("'"&amp;$H$3&amp;"'!T143")="Point-to-point",('4_Outputs'!T$149*T168)/(T183*INDEX(INDIRECT("'"&amp;$H$3&amp;"'!$H$49:$H$78"),MATCH(INDIRECT("'"&amp;$H$3&amp;"'!T136")&amp;"Delivery Capacity (m^3)",INDIRECT("'"&amp;$H$3&amp;"'!$F$49:$F$78"),0))),0)),0)</f>
        <v>0</v>
      </c>
      <c r="U172" s="839"/>
      <c r="V172" s="839"/>
      <c r="W172" s="839">
        <f ca="1">IFERROR(IF(INDIRECT("'"&amp;$H$3&amp;"'!W143")="Route-based",('4_Outputs'!W$149*W168)/(W178*INDEX(INDIRECT("'"&amp;$H$3&amp;"'!$H$49:$H$78"),MATCH(INDIRECT("'"&amp;$H$3&amp;"'!W136")&amp;"Delivery Capacity (m^3)",INDIRECT("'"&amp;$H$3&amp;"'!$F$49:$F$78"),0))),IF(INDIRECT("'"&amp;$H$3&amp;"'!W143")="Point-to-point",('4_Outputs'!W$149*W168)/(W183*INDEX(INDIRECT("'"&amp;$H$3&amp;"'!$H$49:$H$78"),MATCH(INDIRECT("'"&amp;$H$3&amp;"'!W136")&amp;"Delivery Capacity (m^3)",INDIRECT("'"&amp;$H$3&amp;"'!$F$49:$F$78"),0))),0)),0)</f>
        <v>0</v>
      </c>
      <c r="X172" s="1473"/>
      <c r="Y172" s="36"/>
      <c r="Z172" s="36"/>
      <c r="AA172" s="36"/>
      <c r="AB172" s="36"/>
      <c r="AC172" s="36"/>
      <c r="AD172" s="36"/>
      <c r="AE172" s="36"/>
      <c r="AF172" s="36"/>
      <c r="AG172" s="36"/>
      <c r="AH172" s="36"/>
      <c r="AI172" s="36"/>
      <c r="AJ172" s="36"/>
      <c r="AK172" s="36" t="s">
        <v>198</v>
      </c>
      <c r="AL172" s="36"/>
      <c r="AM172" s="36"/>
      <c r="AN172" s="36"/>
    </row>
    <row r="173" spans="6:40" ht="15" customHeight="1" outlineLevel="1">
      <c r="F173" s="52"/>
      <c r="G173" s="51" t="s">
        <v>201</v>
      </c>
      <c r="H173" s="839"/>
      <c r="I173" s="839"/>
      <c r="J173" s="839"/>
      <c r="K173" s="839">
        <f ca="1">IFERROR((K171+IF(INDIRECT("'"&amp;$H$3&amp;"'!K205")="Yes",K281,0)+IF(INDIRECT("'"&amp;$H$3&amp;"'!K269")="Yes",K370,0))/(INDIRECT("'"&amp;$H$3&amp;"'!K140")*INDIRECT("'"&amp;$H$3&amp;"'!$H$9")),0)</f>
        <v>0.875</v>
      </c>
      <c r="L173" s="839"/>
      <c r="M173" s="839"/>
      <c r="N173" s="1821">
        <f ca="1">IFERROR((N171+IF(INDIRECT("'"&amp;$H$3&amp;"'!N205")="Yes",N281,0)+IF(INDIRECT("'"&amp;$H$3&amp;"'!N269")="Yes",N370,0))/(INDIRECT("'"&amp;$H$3&amp;"'!N140")*INDIRECT("'"&amp;$H$3&amp;"'!$H$9")),0)</f>
        <v>0.70277777777777772</v>
      </c>
      <c r="O173" s="839"/>
      <c r="P173" s="839"/>
      <c r="Q173" s="839">
        <f ca="1">IFERROR((Q171+IF(INDIRECT("'"&amp;$H$3&amp;"'!Q205")="Yes",Q281,0)+IF(INDIRECT("'"&amp;$H$3&amp;"'!Q269")="Yes",Q370,0))/(INDIRECT("'"&amp;$H$3&amp;"'!Q140")*INDIRECT("'"&amp;$H$3&amp;"'!$H$9")),0)</f>
        <v>0</v>
      </c>
      <c r="R173" s="839"/>
      <c r="S173" s="839"/>
      <c r="T173" s="839">
        <f ca="1">IFERROR((T171+IF(INDIRECT("'"&amp;$H$3&amp;"'!T205")="Yes",T281,0)+IF(INDIRECT("'"&amp;$H$3&amp;"'!T269")="Yes",T370,0))/(INDIRECT("'"&amp;$H$3&amp;"'!T140")*INDIRECT("'"&amp;$H$3&amp;"'!$H$9")),0)</f>
        <v>0</v>
      </c>
      <c r="U173" s="839"/>
      <c r="V173" s="839"/>
      <c r="W173" s="839">
        <f ca="1">IFERROR((W171+IF(INDIRECT("'"&amp;$H$3&amp;"'!W205")="Yes",W281,0)+IF(INDIRECT("'"&amp;$H$3&amp;"'!W269")="Yes",W370,0))/(INDIRECT("'"&amp;$H$3&amp;"'!W140")*INDIRECT("'"&amp;$H$3&amp;"'!$H$9")),0)</f>
        <v>0</v>
      </c>
      <c r="X173" s="1473"/>
      <c r="Y173" s="36"/>
      <c r="Z173" s="36"/>
      <c r="AA173" s="36"/>
      <c r="AB173" s="36"/>
      <c r="AC173" s="36"/>
      <c r="AD173" s="36"/>
      <c r="AE173" s="36"/>
      <c r="AF173" s="36"/>
      <c r="AG173" s="36"/>
      <c r="AH173" s="36"/>
      <c r="AI173" s="36"/>
      <c r="AJ173" s="36"/>
      <c r="AK173" s="36"/>
      <c r="AL173" s="36"/>
      <c r="AM173" s="36"/>
      <c r="AN173" s="36"/>
    </row>
    <row r="174" spans="6:40" ht="15" customHeight="1" outlineLevel="1">
      <c r="F174" s="52"/>
      <c r="G174" s="1613" t="s">
        <v>133</v>
      </c>
      <c r="H174" s="842"/>
      <c r="I174" s="842"/>
      <c r="J174" s="842"/>
      <c r="K174" s="842"/>
      <c r="L174" s="842"/>
      <c r="M174" s="842"/>
      <c r="N174" s="842"/>
      <c r="O174" s="842"/>
      <c r="P174" s="842"/>
      <c r="Q174" s="842"/>
      <c r="R174" s="1650"/>
      <c r="S174" s="1650"/>
      <c r="T174" s="842"/>
      <c r="U174" s="1650"/>
      <c r="V174" s="1650"/>
      <c r="W174" s="842"/>
      <c r="X174" s="1470"/>
      <c r="Y174" s="36"/>
      <c r="Z174" s="36"/>
      <c r="AA174" s="36"/>
      <c r="AB174" s="36"/>
      <c r="AC174" s="36"/>
      <c r="AD174" s="36"/>
      <c r="AE174" s="36"/>
      <c r="AF174" s="36"/>
      <c r="AG174" s="36"/>
      <c r="AH174" s="36"/>
      <c r="AI174" s="36"/>
      <c r="AJ174" s="36"/>
      <c r="AK174" s="36"/>
      <c r="AL174" s="36"/>
      <c r="AM174" s="36"/>
      <c r="AN174" s="36"/>
    </row>
    <row r="175" spans="6:40" ht="15" customHeight="1" outlineLevel="1">
      <c r="F175" s="52"/>
      <c r="G175" s="51" t="s">
        <v>127</v>
      </c>
      <c r="H175" s="836"/>
      <c r="I175" s="836"/>
      <c r="J175" s="836"/>
      <c r="K175" s="836">
        <f ca="1">IFERROR(INDEX(INDIRECT("'"&amp;$H$3&amp;"'!$H$49:$H$78"),MATCH(INDIRECT("'"&amp;$H$3&amp;"'!K136")&amp;"Delivery Capacity (m^3)",INDIRECT("'"&amp;$H$3&amp;"'!$F$49:$F$78"),0))/('4_Outputs'!K$149/INDIRECT("'"&amp;$H$3&amp;"'!K$96")),0)</f>
        <v>1.623837940973491E-2</v>
      </c>
      <c r="L175" s="836"/>
      <c r="M175" s="836"/>
      <c r="N175" s="836">
        <f ca="1">IFERROR(INDEX(INDIRECT("'"&amp;$H$3&amp;"'!$H$49:$H$78"),MATCH(INDIRECT("'"&amp;$H$3&amp;"'!N136")&amp;"Delivery Capacity (m^3)",INDIRECT("'"&amp;$H$3&amp;"'!$F$49:$F$78"),0))/(N$149/INDIRECT("'"&amp;$H$3&amp;"'!N$96")),0)</f>
        <v>5.882352941176471</v>
      </c>
      <c r="O175" s="836"/>
      <c r="P175" s="836"/>
      <c r="Q175" s="836">
        <f ca="1">IFERROR(INDEX(INDIRECT("'"&amp;$H$3&amp;"'!$H$49:$H$78"),MATCH(INDIRECT("'"&amp;$H$3&amp;"'!Q136")&amp;"Delivery Capacity (m^3)",INDIRECT("'"&amp;$H$3&amp;"'!$F$49:$F$78"),0))/('4_Outputs'!Q$149/INDIRECT("'"&amp;$H$3&amp;"'!Q$96")),0)</f>
        <v>0</v>
      </c>
      <c r="R175" s="836"/>
      <c r="S175" s="836"/>
      <c r="T175" s="836">
        <f ca="1">IFERROR(INDEX(INDIRECT("'"&amp;$H$3&amp;"'!$H$49:$H$78"),MATCH(INDIRECT("'"&amp;$H$3&amp;"'!T136")&amp;"Delivery Capacity (m^3)",INDIRECT("'"&amp;$H$3&amp;"'!$F$49:$F$78"),0))/('4_Outputs'!T$149/INDIRECT("'"&amp;$H$3&amp;"'!T$96")),0)</f>
        <v>0</v>
      </c>
      <c r="U175" s="836"/>
      <c r="V175" s="836"/>
      <c r="W175" s="836">
        <f ca="1">IFERROR(INDEX(INDIRECT("'"&amp;$H$3&amp;"'!$H$49:$H$78"),MATCH(INDIRECT("'"&amp;$H$3&amp;"'!W136")&amp;"Delivery Capacity (m^3)",INDIRECT("'"&amp;$H$3&amp;"'!$F$49:$F$78"),0))/('4_Outputs'!W$149/INDIRECT("'"&amp;$H$3&amp;"'!W$96")),0)</f>
        <v>0</v>
      </c>
      <c r="X175" s="1465"/>
      <c r="Y175" s="36"/>
      <c r="Z175" s="36">
        <f ca="1">INDEX(INDIRECT("'"&amp;$H$3&amp;"'!$H$49:$H$78"),MATCH(INDIRECT("'"&amp;$H$3&amp;"'!N136")&amp;"Delivery Capacity (m^3)",INDIRECT("'"&amp;$H$3&amp;"'!$F$49:$F$78"),0))</f>
        <v>12.5</v>
      </c>
      <c r="AA175" s="36"/>
      <c r="AB175" s="36"/>
      <c r="AC175" s="36"/>
      <c r="AD175" s="36"/>
      <c r="AE175" s="36"/>
      <c r="AF175" s="36"/>
      <c r="AG175" s="36"/>
      <c r="AH175" s="36"/>
      <c r="AI175" s="36"/>
      <c r="AJ175" s="36"/>
      <c r="AK175" s="36"/>
      <c r="AL175" s="36"/>
      <c r="AM175" s="36"/>
      <c r="AN175" s="36"/>
    </row>
    <row r="176" spans="6:40" ht="15" customHeight="1" outlineLevel="1" collapsed="1">
      <c r="F176" s="52"/>
      <c r="G176" s="51" t="s">
        <v>128</v>
      </c>
      <c r="H176" s="836"/>
      <c r="I176" s="836"/>
      <c r="J176" s="836"/>
      <c r="K176" s="836">
        <f ca="1">IFERROR(((INDIRECT("'"&amp;$H$3&amp;"'!K144")*INDIRECT("'"&amp;$H$3&amp;"'!$H$10"))-(2*INDIRECT("'"&amp;$H$3&amp;"'!K$98")/INDIRECT("'"&amp;$H$3&amp;"'!K152"))+(INDIRECT("'"&amp;$H$3&amp;"'!K$99")/INDIRECT("'"&amp;$H$3&amp;"'!K151")))/(((1/60)*(INDIRECT("'"&amp;$H$3&amp;"'!K148")+INDIRECT("'"&amp;$H$3&amp;"'!$H$19")*(INDIRECT("'"&amp;$H$3&amp;"'!K149")+(INDIRECT("'"&amp;$H$3&amp;"'!K150")*('4_Outputs'!K$149/INDIRECT("'"&amp;$H$3&amp;"'!K$96")/INDIRECT("'"&amp;$H$3&amp;"'!$H$19"))))))+(INDIRECT("'"&amp;$H$3&amp;"'!K$99")/INDIRECT("'"&amp;$H$3&amp;"'!K151"))),0)</f>
        <v>10.219999999999999</v>
      </c>
      <c r="L176" s="836"/>
      <c r="M176" s="836"/>
      <c r="N176" s="836">
        <f ca="1">IFERROR(((INDIRECT("'"&amp;$H$3&amp;"'!N144")*INDIRECT("'"&amp;$H$3&amp;"'!$H$10"))-(2*INDIRECT("'"&amp;$H$3&amp;"'!N$98")/INDIRECT("'"&amp;$H$3&amp;"'!N152"))+(INDIRECT("'"&amp;$H$3&amp;"'!N$99")/INDIRECT("'"&amp;$H$3&amp;"'!N151")))/(((1/60)*(INDIRECT("'"&amp;$H$3&amp;"'!N148")+INDIRECT("'"&amp;$H$3&amp;"'!$H$19")*(INDIRECT("'"&amp;$H$3&amp;"'!N149")+(INDIRECT("'"&amp;$H$3&amp;"'!N150")*('4_Outputs'!N$149/INDIRECT("'"&amp;$H$3&amp;"'!N$96")/INDIRECT("'"&amp;$H$3&amp;"'!$H$19"))))))+(INDIRECT("'"&amp;$H$3&amp;"'!N$99")/INDIRECT("'"&amp;$H$3&amp;"'!N151"))),0)</f>
        <v>12.198946602420028</v>
      </c>
      <c r="O176" s="836"/>
      <c r="P176" s="836"/>
      <c r="Q176" s="836">
        <f ca="1">IFERROR(((INDIRECT("'"&amp;$H$3&amp;"'!Q144")*INDIRECT("'"&amp;$H$3&amp;"'!$H$10"))-(2*INDIRECT("'"&amp;$H$3&amp;"'!Q$98")/INDIRECT("'"&amp;$H$3&amp;"'!Q152"))+(INDIRECT("'"&amp;$H$3&amp;"'!Q$99")/INDIRECT("'"&amp;$H$3&amp;"'!Q151")))/(((1/60)*(INDIRECT("'"&amp;$H$3&amp;"'!Q148")+INDIRECT("'"&amp;$H$3&amp;"'!$H$19")*(INDIRECT("'"&amp;$H$3&amp;"'!Q149")+(INDIRECT("'"&amp;$H$3&amp;"'!Q150")*('4_Outputs'!Q$149/INDIRECT("'"&amp;$H$3&amp;"'!Q$96")/INDIRECT("'"&amp;$H$3&amp;"'!$H$19"))))))+(INDIRECT("'"&amp;$H$3&amp;"'!Q$99")/INDIRECT("'"&amp;$H$3&amp;"'!Q151"))),0)</f>
        <v>0</v>
      </c>
      <c r="R176" s="836"/>
      <c r="S176" s="836"/>
      <c r="T176" s="836">
        <f ca="1">IFERROR(((INDIRECT("'"&amp;$H$3&amp;"'!T144")*INDIRECT("'"&amp;$H$3&amp;"'!$H$10"))-(2*INDIRECT("'"&amp;$H$3&amp;"'!T$98")/INDIRECT("'"&amp;$H$3&amp;"'!T152"))+(INDIRECT("'"&amp;$H$3&amp;"'!T$99")/INDIRECT("'"&amp;$H$3&amp;"'!T151")))/(((1/60)*(INDIRECT("'"&amp;$H$3&amp;"'!T148")+INDIRECT("'"&amp;$H$3&amp;"'!$H$19")*(INDIRECT("'"&amp;$H$3&amp;"'!T149")+(INDIRECT("'"&amp;$H$3&amp;"'!T150")*('4_Outputs'!T$149/INDIRECT("'"&amp;$H$3&amp;"'!T$96")/INDIRECT("'"&amp;$H$3&amp;"'!$H$19"))))))+(INDIRECT("'"&amp;$H$3&amp;"'!T$99")/INDIRECT("'"&amp;$H$3&amp;"'!T151"))),0)</f>
        <v>0</v>
      </c>
      <c r="U176" s="836"/>
      <c r="V176" s="836"/>
      <c r="W176" s="836">
        <f ca="1">IFERROR(((INDIRECT("'"&amp;$H$3&amp;"'!W144")*INDIRECT("'"&amp;$H$3&amp;"'!$H$10"))-(2*INDIRECT("'"&amp;$H$3&amp;"'!W$98")/INDIRECT("'"&amp;$H$3&amp;"'!W152"))+(INDIRECT("'"&amp;$H$3&amp;"'!W$99")/INDIRECT("'"&amp;$H$3&amp;"'!W151")))/(((1/60)*(INDIRECT("'"&amp;$H$3&amp;"'!W148")+INDIRECT("'"&amp;$H$3&amp;"'!$H$19")*(INDIRECT("'"&amp;$H$3&amp;"'!W149")+(INDIRECT("'"&amp;$H$3&amp;"'!W150")*('4_Outputs'!W$149/INDIRECT("'"&amp;$H$3&amp;"'!W$96")/INDIRECT("'"&amp;$H$3&amp;"'!$H$19"))))))+(INDIRECT("'"&amp;$H$3&amp;"'!W$99")/INDIRECT("'"&amp;$H$3&amp;"'!W151"))),0)</f>
        <v>0</v>
      </c>
      <c r="X176" s="1465"/>
      <c r="Y176" s="36"/>
      <c r="Z176" s="36"/>
      <c r="AA176" s="36"/>
      <c r="AB176" s="36"/>
      <c r="AC176" s="36"/>
      <c r="AD176" s="36"/>
      <c r="AE176" s="36"/>
      <c r="AF176" s="36"/>
      <c r="AG176" s="36"/>
      <c r="AH176" s="36"/>
      <c r="AI176" s="36"/>
      <c r="AJ176" s="36"/>
      <c r="AK176" s="36"/>
      <c r="AL176" s="36"/>
      <c r="AM176" s="36"/>
      <c r="AN176" s="36"/>
    </row>
    <row r="177" spans="6:40" ht="15" customHeight="1" outlineLevel="1">
      <c r="F177" s="52"/>
      <c r="G177" s="51" t="s">
        <v>129</v>
      </c>
      <c r="H177" s="836"/>
      <c r="I177" s="836"/>
      <c r="J177" s="836"/>
      <c r="K177" s="836">
        <f ca="1">IFERROR(MIN(K176,K175),0)</f>
        <v>1.623837940973491E-2</v>
      </c>
      <c r="L177" s="836"/>
      <c r="M177" s="836"/>
      <c r="N177" s="836">
        <f ca="1">IFERROR(MIN(N176,N175),0)</f>
        <v>5.882352941176471</v>
      </c>
      <c r="O177" s="836"/>
      <c r="P177" s="836"/>
      <c r="Q177" s="836">
        <f ca="1">IFERROR(MIN(Q176,Q175),0)</f>
        <v>0</v>
      </c>
      <c r="R177" s="836"/>
      <c r="S177" s="836"/>
      <c r="T177" s="836">
        <f ca="1">IFERROR(MIN(T176,T175),0)</f>
        <v>0</v>
      </c>
      <c r="U177" s="836"/>
      <c r="V177" s="836"/>
      <c r="W177" s="836">
        <f ca="1">IFERROR(MIN(W176,W175),0)</f>
        <v>0</v>
      </c>
      <c r="X177" s="1465"/>
      <c r="Y177" s="36"/>
      <c r="Z177" s="36"/>
      <c r="AA177" s="36"/>
      <c r="AB177" s="36"/>
      <c r="AC177" s="36"/>
      <c r="AD177" s="36"/>
      <c r="AE177" s="36"/>
      <c r="AF177" s="36"/>
      <c r="AG177" s="36"/>
      <c r="AH177" s="36"/>
      <c r="AI177" s="36"/>
      <c r="AJ177" s="36"/>
      <c r="AK177" s="36"/>
      <c r="AL177" s="36"/>
      <c r="AM177" s="36"/>
      <c r="AN177" s="36"/>
    </row>
    <row r="178" spans="6:40" ht="15" customHeight="1" outlineLevel="1">
      <c r="F178" s="52"/>
      <c r="G178" s="51" t="s">
        <v>188</v>
      </c>
      <c r="H178" s="836"/>
      <c r="I178" s="836"/>
      <c r="J178" s="836"/>
      <c r="K178" s="836">
        <f ca="1">IFERROR(ROUND(K168*INDIRECT("'"&amp;$H$3&amp;"'!K$96")/K177,0),0)</f>
        <v>246</v>
      </c>
      <c r="L178" s="836"/>
      <c r="M178" s="836"/>
      <c r="N178" s="836">
        <f ca="1">IFERROR(ROUND(N168*INDIRECT("'"&amp;$H$3&amp;"'!N$96")/N177,0),0)</f>
        <v>235</v>
      </c>
      <c r="O178" s="836"/>
      <c r="P178" s="836"/>
      <c r="Q178" s="836">
        <f ca="1">IFERROR(ROUND(Q168*INDIRECT("'"&amp;$H$3&amp;"'!Q$96")/Q177,0),0)</f>
        <v>0</v>
      </c>
      <c r="R178" s="836"/>
      <c r="S178" s="836"/>
      <c r="T178" s="836">
        <f ca="1">IFERROR(ROUND(T168*INDIRECT("'"&amp;$H$3&amp;"'!T$96")/T177,0),0)</f>
        <v>0</v>
      </c>
      <c r="U178" s="836"/>
      <c r="V178" s="836"/>
      <c r="W178" s="836">
        <f ca="1">IFERROR(ROUND(W168*INDIRECT("'"&amp;$H$3&amp;"'!W$96")/W177,0),0)</f>
        <v>0</v>
      </c>
      <c r="X178" s="1465"/>
      <c r="Y178" s="36"/>
      <c r="Z178" s="36"/>
      <c r="AA178" s="36"/>
      <c r="AB178" s="36"/>
      <c r="AC178" s="36"/>
      <c r="AD178" s="36"/>
      <c r="AE178" s="36"/>
      <c r="AF178" s="36"/>
      <c r="AG178" s="36"/>
      <c r="AH178" s="36"/>
      <c r="AI178" s="36"/>
      <c r="AJ178" s="36"/>
      <c r="AK178" s="36"/>
      <c r="AL178" s="36"/>
      <c r="AM178" s="36"/>
      <c r="AN178" s="36"/>
    </row>
    <row r="179" spans="6:40" ht="15" customHeight="1" outlineLevel="1">
      <c r="F179" s="52"/>
      <c r="G179" s="51" t="s">
        <v>88</v>
      </c>
      <c r="H179" s="836"/>
      <c r="I179" s="836"/>
      <c r="J179" s="836"/>
      <c r="K179" s="836">
        <f ca="1">IFERROR(IF(K168=0,0,(2*INDIRECT("'"&amp;$H$3&amp;"'!K$98"))+((MAX(K177,1)-1)*INDIRECT("'"&amp;$H$3&amp;"'!K$99"))),0)</f>
        <v>578</v>
      </c>
      <c r="L179" s="836"/>
      <c r="M179" s="836"/>
      <c r="N179" s="836">
        <f ca="1">IFERROR(IF(N168=0,0,(2*INDIRECT("'"&amp;$H$3&amp;"'!N$98"))+((MAX(N177,1)-1)*INDIRECT("'"&amp;$H$3&amp;"'!N$99"))),0)</f>
        <v>351.37923196925476</v>
      </c>
      <c r="O179" s="836"/>
      <c r="P179" s="836"/>
      <c r="Q179" s="836">
        <f ca="1">IFERROR(IF(Q168=0,0,(2*INDIRECT("'"&amp;$H$3&amp;"'!Q$98"))+((MAX(Q177,1)-1)*INDIRECT("'"&amp;$H$3&amp;"'!Q$99"))),0)</f>
        <v>0</v>
      </c>
      <c r="R179" s="836"/>
      <c r="S179" s="836"/>
      <c r="T179" s="836">
        <f ca="1">IFERROR(IF(T168=0,0,(2*INDIRECT("'"&amp;$H$3&amp;"'!T$98"))+((MAX(T177,1)-1)*INDIRECT("'"&amp;$H$3&amp;"'!T$99"))),0)</f>
        <v>0</v>
      </c>
      <c r="U179" s="836"/>
      <c r="V179" s="836"/>
      <c r="W179" s="836">
        <f ca="1">IFERROR(IF(W168=0,0,(2*INDIRECT("'"&amp;$H$3&amp;"'!W$98"))+((MAX(W177,1)-1)*INDIRECT("'"&amp;$H$3&amp;"'!W$99"))),0)</f>
        <v>0</v>
      </c>
      <c r="X179" s="1465"/>
      <c r="Y179" s="36"/>
      <c r="Z179" s="36"/>
      <c r="AA179" s="36"/>
      <c r="AB179" s="36"/>
      <c r="AC179" s="36"/>
      <c r="AD179" s="36"/>
      <c r="AE179" s="36"/>
      <c r="AF179" s="36"/>
      <c r="AG179" s="36"/>
      <c r="AH179" s="36"/>
      <c r="AI179" s="36"/>
      <c r="AJ179" s="36"/>
      <c r="AK179" s="36"/>
      <c r="AL179" s="36"/>
      <c r="AM179" s="36"/>
      <c r="AN179" s="36"/>
    </row>
    <row r="180" spans="6:40" ht="15" customHeight="1" outlineLevel="1">
      <c r="F180" s="52"/>
      <c r="G180" s="51" t="s">
        <v>199</v>
      </c>
      <c r="H180" s="836"/>
      <c r="I180" s="836"/>
      <c r="J180" s="836"/>
      <c r="K180" s="836">
        <f ca="1">IFERROR((ROUNDUP(K177,0)*(1/60)*INDIRECT("'"&amp;$H$3&amp;"'!K148"))+(K177*((1/60)*(INDIRECT("'"&amp;$H$3&amp;"'!$H$19")*(INDIRECT("'"&amp;$H$3&amp;"'!K149")+(INDIRECT("'"&amp;$H$3&amp;"'!K150")*('4_Outputs'!K$149/INDIRECT("'"&amp;$H$3&amp;"'!K$96")/INDIRECT("'"&amp;$H$3&amp;"'!$H$19")))))))+((2*INDIRECT("'"&amp;$H$3&amp;"'!K$98"))/INDIRECT("'"&amp;$H$3&amp;"'!K152"))+(((MAX(K177,1)-1)*INDIRECT("'"&amp;$H$3&amp;"'!K$99"))/INDIRECT("'"&amp;$H$3&amp;"'!K151")),0)</f>
        <v>6.78</v>
      </c>
      <c r="L180" s="836"/>
      <c r="M180" s="836"/>
      <c r="N180" s="836">
        <f ca="1">IFERROR((ROUNDUP(N177,0)*(1/60)*INDIRECT("'"&amp;$H$3&amp;"'!N148"))+(N177*((1/60)*(INDIRECT("'"&amp;$H$3&amp;"'!$H$19")*(INDIRECT("'"&amp;$H$3&amp;"'!N149")+(INDIRECT("'"&amp;$H$3&amp;"'!N150")*('4_Outputs'!N$149/INDIRECT("'"&amp;$H$3&amp;"'!N$96")/INDIRECT("'"&amp;$H$3&amp;"'!$H$19")))))))+((2*INDIRECT("'"&amp;$H$3&amp;"'!N$98"))/INDIRECT("'"&amp;$H$3&amp;"'!N152"))+(((MAX(N177,1)-1)*INDIRECT("'"&amp;$H$3&amp;"'!N$99"))/INDIRECT("'"&amp;$H$3&amp;"'!N151")),0)</f>
        <v>8.6036456556629286</v>
      </c>
      <c r="O180" s="836"/>
      <c r="P180" s="836"/>
      <c r="Q180" s="836">
        <f ca="1">IFERROR((ROUNDUP(Q177,0)*(1/60)*INDIRECT("'"&amp;$H$3&amp;"'!Q148"))+(Q177*((1/60)*(INDIRECT("'"&amp;$H$3&amp;"'!$H$19")*(INDIRECT("'"&amp;$H$3&amp;"'!Q149")+(INDIRECT("'"&amp;$H$3&amp;"'!Q150")*('4_Outputs'!Q$149/INDIRECT("'"&amp;$H$3&amp;"'!Q$96")/INDIRECT("'"&amp;$H$3&amp;"'!$H$19")))))))+((2*INDIRECT("'"&amp;$H$3&amp;"'!Q$98"))/INDIRECT("'"&amp;$H$3&amp;"'!Q152"))+(((MAX(Q177,1)-1)*INDIRECT("'"&amp;$H$3&amp;"'!Q$99"))/INDIRECT("'"&amp;$H$3&amp;"'!Q151")),0)</f>
        <v>0</v>
      </c>
      <c r="R180" s="836"/>
      <c r="S180" s="836"/>
      <c r="T180" s="836">
        <f ca="1">IFERROR((ROUNDUP(T177,0)*(1/60)*INDIRECT("'"&amp;$H$3&amp;"'!T148"))+(T177*((1/60)*(INDIRECT("'"&amp;$H$3&amp;"'!$H$19")*(INDIRECT("'"&amp;$H$3&amp;"'!T149")+(INDIRECT("'"&amp;$H$3&amp;"'!T150")*('4_Outputs'!T$149/INDIRECT("'"&amp;$H$3&amp;"'!T$96")/INDIRECT("'"&amp;$H$3&amp;"'!$H$19")))))))+((2*INDIRECT("'"&amp;$H$3&amp;"'!T$98"))/INDIRECT("'"&amp;$H$3&amp;"'!T152"))+(((MAX(T177,1)-1)*INDIRECT("'"&amp;$H$3&amp;"'!T$99"))/INDIRECT("'"&amp;$H$3&amp;"'!T151")),0)</f>
        <v>0</v>
      </c>
      <c r="U180" s="836"/>
      <c r="V180" s="836"/>
      <c r="W180" s="836">
        <f ca="1">IFERROR((ROUNDUP(W177,0)*(1/60)*INDIRECT("'"&amp;$H$3&amp;"'!W148"))+(W177*((1/60)*(INDIRECT("'"&amp;$H$3&amp;"'!$H$19")*(INDIRECT("'"&amp;$H$3&amp;"'!W149")+(INDIRECT("'"&amp;$H$3&amp;"'!W150")*('4_Outputs'!W$149/INDIRECT("'"&amp;$H$3&amp;"'!W$96")/INDIRECT("'"&amp;$H$3&amp;"'!$H$19")))))))+((2*INDIRECT("'"&amp;$H$3&amp;"'!W$98"))/INDIRECT("'"&amp;$H$3&amp;"'!W152"))+(((MAX(W177,1)-1)*INDIRECT("'"&amp;$H$3&amp;"'!W$99"))/INDIRECT("'"&amp;$H$3&amp;"'!W151")),0)</f>
        <v>0</v>
      </c>
      <c r="X180" s="1465"/>
      <c r="Y180" s="36"/>
      <c r="Z180" s="36"/>
      <c r="AA180" s="36"/>
      <c r="AB180" s="36"/>
      <c r="AC180" s="36"/>
      <c r="AD180" s="36"/>
      <c r="AE180" s="36"/>
      <c r="AF180" s="36"/>
      <c r="AG180" s="36"/>
      <c r="AH180" s="36"/>
      <c r="AI180" s="36"/>
      <c r="AJ180" s="36"/>
      <c r="AK180" s="36" t="s">
        <v>205</v>
      </c>
      <c r="AL180" s="36"/>
      <c r="AM180" s="36"/>
      <c r="AN180" s="36"/>
    </row>
    <row r="181" spans="6:40" ht="15" customHeight="1" outlineLevel="1">
      <c r="F181" s="52"/>
      <c r="G181" s="51" t="s">
        <v>200</v>
      </c>
      <c r="H181" s="836"/>
      <c r="I181" s="836"/>
      <c r="J181" s="836"/>
      <c r="K181" s="836">
        <f ca="1">IFERROR((INDIRECT("'"&amp;$H$3&amp;"'!$H$10")*INDIRECT("'"&amp;$H$3&amp;"'!$H$9")*INDIRECT("'"&amp;$H$3&amp;"'!K140"))/K180,0)</f>
        <v>283.18584070796459</v>
      </c>
      <c r="L181" s="836"/>
      <c r="M181" s="836"/>
      <c r="N181" s="836">
        <f ca="1">IFERROR((INDIRECT("'"&amp;$H$3&amp;"'!$H$10")*INDIRECT("'"&amp;$H$3&amp;"'!$H$9")*INDIRECT("'"&amp;$H$3&amp;"'!N140"))/N180,0)</f>
        <v>334.74181937099894</v>
      </c>
      <c r="O181" s="836"/>
      <c r="P181" s="836"/>
      <c r="Q181" s="836">
        <f ca="1">IFERROR((INDIRECT("'"&amp;$H$3&amp;"'!$H$10")*INDIRECT("'"&amp;$H$3&amp;"'!$H$9")*INDIRECT("'"&amp;$H$3&amp;"'!Q140"))/Q180,0)</f>
        <v>0</v>
      </c>
      <c r="R181" s="836"/>
      <c r="S181" s="836"/>
      <c r="T181" s="836">
        <f ca="1">IFERROR((INDIRECT("'"&amp;$H$3&amp;"'!$H$10")*INDIRECT("'"&amp;$H$3&amp;"'!$H$9")*INDIRECT("'"&amp;$H$3&amp;"'!T140"))/T180,0)</f>
        <v>0</v>
      </c>
      <c r="U181" s="836"/>
      <c r="V181" s="836"/>
      <c r="W181" s="836">
        <f ca="1">IFERROR((INDIRECT("'"&amp;$H$3&amp;"'!$H$10")*INDIRECT("'"&amp;$H$3&amp;"'!$H$9")*INDIRECT("'"&amp;$H$3&amp;"'!W140"))/W180,0)</f>
        <v>0</v>
      </c>
      <c r="X181" s="1465"/>
      <c r="Y181" s="36"/>
      <c r="Z181" s="36"/>
      <c r="AA181" s="36"/>
      <c r="AB181" s="36"/>
      <c r="AC181" s="36"/>
      <c r="AD181" s="36"/>
      <c r="AE181" s="36"/>
      <c r="AF181" s="36"/>
      <c r="AG181" s="36"/>
      <c r="AH181" s="36"/>
      <c r="AI181" s="36"/>
      <c r="AJ181" s="36"/>
      <c r="AK181" s="36"/>
      <c r="AL181" s="36"/>
      <c r="AM181" s="36"/>
      <c r="AN181" s="36"/>
    </row>
    <row r="182" spans="6:40" ht="15" customHeight="1" outlineLevel="1">
      <c r="F182" s="52"/>
      <c r="G182" s="1613" t="s">
        <v>134</v>
      </c>
      <c r="H182" s="842"/>
      <c r="I182" s="842"/>
      <c r="J182" s="842"/>
      <c r="K182" s="842"/>
      <c r="L182" s="842"/>
      <c r="M182" s="842"/>
      <c r="N182" s="842"/>
      <c r="O182" s="842"/>
      <c r="P182" s="842"/>
      <c r="Q182" s="842"/>
      <c r="R182" s="1650"/>
      <c r="S182" s="1650"/>
      <c r="T182" s="842"/>
      <c r="U182" s="1650"/>
      <c r="V182" s="1650"/>
      <c r="W182" s="842"/>
      <c r="X182" s="1470"/>
      <c r="Y182" s="36"/>
      <c r="Z182" s="36"/>
      <c r="AA182" s="4"/>
      <c r="AB182" s="36"/>
      <c r="AC182" s="36"/>
      <c r="AD182" s="36"/>
      <c r="AE182" s="36"/>
      <c r="AF182" s="36"/>
      <c r="AG182" s="36"/>
      <c r="AH182" s="36"/>
      <c r="AI182" s="36"/>
      <c r="AJ182" s="36"/>
      <c r="AK182" s="36"/>
      <c r="AL182" s="36"/>
      <c r="AM182" s="36"/>
      <c r="AN182" s="36"/>
    </row>
    <row r="183" spans="6:40" ht="15" customHeight="1" outlineLevel="1">
      <c r="F183" s="52"/>
      <c r="G183" s="51" t="s">
        <v>188</v>
      </c>
      <c r="H183" s="836"/>
      <c r="I183" s="836"/>
      <c r="J183" s="836"/>
      <c r="K183" s="836">
        <f ca="1">IFERROR(K168*INDIRECT("'"&amp;$H$3&amp;"'!K$96")*MAX(1,ROUND(('4_Outputs'!K$149/INDIRECT("'"&amp;$H$3&amp;"'!K$96"))/INDEX(INDIRECT("'"&amp;$H$3&amp;"'!$H$49:$H$78"),MATCH(INDIRECT("'"&amp;$H$3&amp;"'!K136")&amp;"Delivery Capacity (m^3)",INDIRECT("'"&amp;$H$3&amp;"'!$F$49:$F$78"),0)),0)),0)</f>
        <v>248</v>
      </c>
      <c r="L183" s="836"/>
      <c r="M183" s="836"/>
      <c r="N183" s="836">
        <f ca="1">IFERROR(N168*INDIRECT("'"&amp;$H$3&amp;"'!N$96")*MAX(1,ROUND(('4_Outputs'!N$149/INDIRECT("'"&amp;$H$3&amp;"'!N$96"))/INDEX(INDIRECT("'"&amp;$H$3&amp;"'!$H$49:$H$78"),MATCH(INDIRECT("'"&amp;$H$3&amp;"'!N136")&amp;"Delivery Capacity (m^3)",INDIRECT("'"&amp;$H$3&amp;"'!$F$49:$F$78"),0)),0)),0)</f>
        <v>1380</v>
      </c>
      <c r="O183" s="836"/>
      <c r="P183" s="836"/>
      <c r="Q183" s="836">
        <f ca="1">IFERROR(Q168*INDIRECT("'"&amp;$H$3&amp;"'!Q$96")*MAX(1,ROUND(('4_Outputs'!Q$149/INDIRECT("'"&amp;$H$3&amp;"'!Q$96"))/INDEX(INDIRECT("'"&amp;$H$3&amp;"'!$H$49:$H$78"),MATCH(INDIRECT("'"&amp;$H$3&amp;"'!Q136")&amp;"Delivery Capacity (m^3)",INDIRECT("'"&amp;$H$3&amp;"'!$F$49:$F$78"),0)),0)),0)</f>
        <v>0</v>
      </c>
      <c r="R183" s="836"/>
      <c r="S183" s="836"/>
      <c r="T183" s="836">
        <f ca="1">IFERROR(T168*INDIRECT("'"&amp;$H$3&amp;"'!T$96")*MAX(1,ROUND(('4_Outputs'!T$149/INDIRECT("'"&amp;$H$3&amp;"'!T$96"))/INDEX(INDIRECT("'"&amp;$H$3&amp;"'!$H$49:$H$78"),MATCH(INDIRECT("'"&amp;$H$3&amp;"'!T136")&amp;"Delivery Capacity (m^3)",INDIRECT("'"&amp;$H$3&amp;"'!$F$49:$F$78"),0)),0)),0)</f>
        <v>0</v>
      </c>
      <c r="U183" s="836"/>
      <c r="V183" s="836"/>
      <c r="W183" s="836">
        <f ca="1">IFERROR(W168*INDIRECT("'"&amp;$H$3&amp;"'!W$96")*MAX(1,ROUND(('4_Outputs'!W$149/INDIRECT("'"&amp;$H$3&amp;"'!W$96"))/INDEX(INDIRECT("'"&amp;$H$3&amp;"'!$H$49:$H$78"),MATCH(INDIRECT("'"&amp;$H$3&amp;"'!W136")&amp;"Delivery Capacity (m^3)",INDIRECT("'"&amp;$H$3&amp;"'!$F$49:$F$78"),0)),0)),0)</f>
        <v>0</v>
      </c>
      <c r="X183" s="1465"/>
      <c r="Y183" s="36"/>
      <c r="Z183" s="36"/>
      <c r="AA183" s="36"/>
      <c r="AB183" s="36"/>
      <c r="AC183" s="36"/>
      <c r="AD183" s="36"/>
      <c r="AE183" s="36"/>
      <c r="AF183" s="36"/>
      <c r="AG183" s="36"/>
      <c r="AH183" s="36"/>
      <c r="AI183" s="36"/>
      <c r="AJ183" s="36"/>
      <c r="AK183" s="36"/>
      <c r="AL183" s="36"/>
      <c r="AM183" s="36"/>
      <c r="AN183" s="36"/>
    </row>
    <row r="184" spans="6:40" ht="15" customHeight="1" outlineLevel="1">
      <c r="F184" s="52"/>
      <c r="G184" s="51" t="s">
        <v>88</v>
      </c>
      <c r="H184" s="836"/>
      <c r="I184" s="836"/>
      <c r="J184" s="836"/>
      <c r="K184" s="836">
        <f ca="1">IFERROR(IF(K168=0,0,2*INDIRECT("'"&amp;$H$3&amp;"'!K$98")),0)</f>
        <v>578</v>
      </c>
      <c r="L184" s="836"/>
      <c r="M184" s="836"/>
      <c r="N184" s="1654">
        <f ca="1">IFERROR(IF(N168=0,0,2*INDIRECT("'"&amp;$H$3&amp;"'!N$98")),0)</f>
        <v>248.38412077024208</v>
      </c>
      <c r="O184" s="836"/>
      <c r="P184" s="836"/>
      <c r="Q184" s="836">
        <f ca="1">IFERROR(IF(Q168=0,0,2*INDIRECT("'"&amp;$H$3&amp;"'!Q$98")),0)</f>
        <v>0</v>
      </c>
      <c r="R184" s="836"/>
      <c r="S184" s="836"/>
      <c r="T184" s="836">
        <f ca="1">IFERROR(IF(T168=0,0,2*INDIRECT("'"&amp;$H$3&amp;"'!T$98")),0)</f>
        <v>0</v>
      </c>
      <c r="U184" s="836"/>
      <c r="V184" s="836"/>
      <c r="W184" s="836">
        <f ca="1">IFERROR(IF(W168=0,0,2*INDIRECT("'"&amp;$H$3&amp;"'!W$98")),0)</f>
        <v>0</v>
      </c>
      <c r="X184" s="1465"/>
      <c r="Y184" s="36"/>
      <c r="Z184" s="36"/>
      <c r="AA184" s="36"/>
      <c r="AB184" s="36"/>
      <c r="AC184" s="36"/>
      <c r="AD184" s="36"/>
      <c r="AE184" s="36"/>
      <c r="AF184" s="36"/>
      <c r="AG184" s="36"/>
      <c r="AH184" s="36"/>
      <c r="AI184" s="36"/>
      <c r="AJ184" s="36"/>
      <c r="AK184" s="36"/>
      <c r="AL184" s="36"/>
      <c r="AM184" s="36"/>
      <c r="AN184" s="36"/>
    </row>
    <row r="185" spans="6:40" ht="15" customHeight="1" outlineLevel="1">
      <c r="F185" s="52"/>
      <c r="G185" s="51" t="s">
        <v>200</v>
      </c>
      <c r="H185" s="839"/>
      <c r="I185" s="839"/>
      <c r="J185" s="839"/>
      <c r="K185" s="839">
        <f ca="1">(INDIRECT("'"&amp;$H$3&amp;"'!$H$10")*INDIRECT("'"&amp;$H$3&amp;"'!$H$9")*INDIRECT("'"&amp;$H$3&amp;"'!K140"))/((K184/INDIRECT("'"&amp;$H$3&amp;"'!K152"))+((1/60)*(INDIRECT("'"&amp;$H$3&amp;"'!K148")+INDIRECT("'"&amp;$H$3&amp;"'!$H$19")*(INDIRECT("'"&amp;$H$3&amp;"'!K149")+(INDIRECT("'"&amp;$H$3&amp;"'!K150")*(MIN(('4_Outputs'!K$149/INDIRECT("'"&amp;$H$3&amp;"'!K$96")),INDEX(INDIRECT("'"&amp;$H$3&amp;"'!$H$49:$H$78"),MATCH(INDIRECT("'"&amp;$H$3&amp;"'!K136")&amp;"Delivery Capacity (m^3)",INDIRECT("'"&amp;$H$3&amp;"'!$F$49:$F$78"),0)))/INDIRECT("'"&amp;$H$3&amp;"'!$H$19")))))))</f>
        <v>283.18584070796459</v>
      </c>
      <c r="L185" s="839"/>
      <c r="M185" s="839"/>
      <c r="N185" s="839">
        <f ca="1">IFERROR((INDIRECT("'"&amp;$H$3&amp;"'!$H$10")*INDIRECT("'"&amp;$H$3&amp;"'!$H$9")*INDIRECT("'"&amp;$H$3&amp;"'!N140"))/((N184/INDIRECT("'"&amp;$H$3&amp;"'!N152"))+((1/60)*(INDIRECT("'"&amp;$H$3&amp;"'!N148")+INDIRECT("'"&amp;$H$3&amp;"'!$H$19")*(INDIRECT("'"&amp;$H$3&amp;"'!N149")+(INDIRECT("'"&amp;$H$3&amp;"'!N150")*(MIN(('4_Outputs'!N$149/INDIRECT("'"&amp;$H$3&amp;"'!N$96")),INDEX(INDIRECT("'"&amp;$H$3&amp;"'!$H$49:$H$78"),MATCH(INDIRECT("'"&amp;$H$3&amp;"'!N136")&amp;"Delivery Capacity (m^3)",INDIRECT("'"&amp;$H$3&amp;"'!$F$49:$F$78"),0)))/INDIRECT("'"&amp;$H$3&amp;"'!$H$19"))))))),0)</f>
        <v>1022.3008755932984</v>
      </c>
      <c r="O185" s="839"/>
      <c r="P185" s="839"/>
      <c r="Q185" s="839">
        <f ca="1">IFERROR((INDIRECT("'"&amp;$H$3&amp;"'!$H$10")*INDIRECT("'"&amp;$H$3&amp;"'!$H$9")*INDIRECT("'"&amp;$H$3&amp;"'!Q140"))/((Q184/INDIRECT("'"&amp;$H$3&amp;"'!Q152"))+((1/60)*(INDIRECT("'"&amp;$H$3&amp;"'!Q148")+INDIRECT("'"&amp;$H$3&amp;"'!$H$19")*(INDIRECT("'"&amp;$H$3&amp;"'!Q149")+(INDIRECT("'"&amp;$H$3&amp;"'!Q150")*(MIN(('4_Outputs'!Q$149/INDIRECT("'"&amp;$H$3&amp;"'!Q$96")),INDEX(INDIRECT("'"&amp;$H$3&amp;"'!$H$49:$H$78"),MATCH(INDIRECT("'"&amp;$H$3&amp;"'!Q136")&amp;"Delivery Capacity (m^3)",INDIRECT("'"&amp;$H$3&amp;"'!$F$49:$F$78"),0)))/INDIRECT("'"&amp;$H$3&amp;"'!$H$19"))))))),0)</f>
        <v>0</v>
      </c>
      <c r="R185" s="839"/>
      <c r="S185" s="839"/>
      <c r="T185" s="839">
        <f ca="1">IFERROR((INDIRECT("'"&amp;$H$3&amp;"'!$H$10")*INDIRECT("'"&amp;$H$3&amp;"'!$H$9")*INDIRECT("'"&amp;$H$3&amp;"'!T140"))/((T184/INDIRECT("'"&amp;$H$3&amp;"'!T152"))+((1/60)*(INDIRECT("'"&amp;$H$3&amp;"'!T148")+INDIRECT("'"&amp;$H$3&amp;"'!$H$19")*(INDIRECT("'"&amp;$H$3&amp;"'!T149")+(INDIRECT("'"&amp;$H$3&amp;"'!T150")*(MIN(('4_Outputs'!T$149/INDIRECT("'"&amp;$H$3&amp;"'!T$96")),INDEX(INDIRECT("'"&amp;$H$3&amp;"'!$H$49:$H$78"),MATCH(INDIRECT("'"&amp;$H$3&amp;"'!T136")&amp;"Delivery Capacity (m^3)",INDIRECT("'"&amp;$H$3&amp;"'!$F$49:$F$78"),0)))/INDIRECT("'"&amp;$H$3&amp;"'!$H$19"))))))),0)</f>
        <v>0</v>
      </c>
      <c r="U185" s="839"/>
      <c r="V185" s="839"/>
      <c r="W185" s="839">
        <f ca="1">IFERROR((INDIRECT("'"&amp;$H$3&amp;"'!$H$10")*INDIRECT("'"&amp;$H$3&amp;"'!$H$9")*INDIRECT("'"&amp;$H$3&amp;"'!W140"))/((W184/INDIRECT("'"&amp;$H$3&amp;"'!W152"))+((1/60)*(INDIRECT("'"&amp;$H$3&amp;"'!W148")+INDIRECT("'"&amp;$H$3&amp;"'!$H$19")*(INDIRECT("'"&amp;$H$3&amp;"'!W149")+(INDIRECT("'"&amp;$H$3&amp;"'!W150")*(MIN(('4_Outputs'!W$149/INDIRECT("'"&amp;$H$3&amp;"'!W$96")),INDEX(INDIRECT("'"&amp;$H$3&amp;"'!$H$49:$H$78"),MATCH(INDIRECT("'"&amp;$H$3&amp;"'!W136")&amp;"Delivery Capacity (m^3)",INDIRECT("'"&amp;$H$3&amp;"'!$F$49:$F$78"),0)))/INDIRECT("'"&amp;$H$3&amp;"'!$H$19"))))))),0)</f>
        <v>0</v>
      </c>
      <c r="X185" s="1473"/>
      <c r="Y185" s="36"/>
      <c r="Z185" s="4"/>
      <c r="AA185" s="36"/>
      <c r="AB185" s="36"/>
      <c r="AC185" s="36"/>
      <c r="AD185" s="36"/>
      <c r="AE185" s="36"/>
      <c r="AF185" s="36"/>
      <c r="AG185" s="36"/>
      <c r="AH185" s="36"/>
      <c r="AI185" s="36"/>
      <c r="AJ185" s="36"/>
      <c r="AK185" s="36"/>
      <c r="AL185" s="36"/>
      <c r="AM185" s="36"/>
      <c r="AN185" s="36"/>
    </row>
    <row r="186" spans="6:40" ht="48" customHeight="1">
      <c r="F186" s="1638" t="s">
        <v>2501</v>
      </c>
      <c r="G186" s="1639"/>
      <c r="H186" s="1655"/>
      <c r="I186" s="1655"/>
      <c r="J186" s="1655"/>
      <c r="K186" s="1522" t="str">
        <f ca="1">IF($H$9&gt;=2,INDIRECT("'"&amp;$H$3&amp;"'!J$130"),"")</f>
        <v>CMS  to  Regional WH</v>
      </c>
      <c r="L186" s="1522" t="str">
        <f t="shared" ref="L186:V186" ca="1" si="16">IF($H$9&gt;=1,"Tier 1","")</f>
        <v>Tier 1</v>
      </c>
      <c r="M186" s="1522" t="str">
        <f t="shared" ca="1" si="16"/>
        <v>Tier 1</v>
      </c>
      <c r="N186" s="1522" t="str">
        <f ca="1">IF($H$9&gt;=3,INDIRECT("'"&amp;$H$3&amp;"'!M$130"),"")</f>
        <v>Regional WH  to  Health Facility</v>
      </c>
      <c r="O186" s="1522" t="str">
        <f t="shared" ca="1" si="16"/>
        <v>Tier 1</v>
      </c>
      <c r="P186" s="1522" t="str">
        <f t="shared" ca="1" si="16"/>
        <v>Tier 1</v>
      </c>
      <c r="Q186" s="1523" t="str">
        <f ca="1">IF($H$9&gt;=4,INDIRECT("'"&amp;$H$3&amp;"'!P$130"),"")</f>
        <v/>
      </c>
      <c r="R186" s="1512" t="str">
        <f t="shared" ca="1" si="16"/>
        <v>Tier 1</v>
      </c>
      <c r="S186" s="1512" t="str">
        <f t="shared" ca="1" si="16"/>
        <v>Tier 1</v>
      </c>
      <c r="T186" s="1523" t="str">
        <f ca="1">IF($H$9&gt;=5,INDIRECT("'"&amp;$H$3&amp;"'!S$130"),"")</f>
        <v/>
      </c>
      <c r="U186" s="1524" t="str">
        <f t="shared" ca="1" si="16"/>
        <v>Tier 1</v>
      </c>
      <c r="V186" s="1524" t="str">
        <f t="shared" ca="1" si="16"/>
        <v>Tier 1</v>
      </c>
      <c r="W186" s="1523" t="str">
        <f ca="1">IF($H$9&gt;=6,INDIRECT("'"&amp;$H$3&amp;"'!V$130"),"")</f>
        <v/>
      </c>
      <c r="X186" s="1474"/>
      <c r="Y186" s="36"/>
      <c r="Z186" s="36"/>
      <c r="AA186" s="36"/>
      <c r="AB186" s="36"/>
      <c r="AC186" s="36"/>
      <c r="AD186" s="36"/>
      <c r="AE186" s="36"/>
      <c r="AF186" s="36"/>
      <c r="AG186" s="36"/>
      <c r="AH186" s="36"/>
      <c r="AI186" s="36"/>
      <c r="AJ186" s="36"/>
      <c r="AK186" s="242"/>
      <c r="AL186" s="36"/>
      <c r="AM186" s="36"/>
      <c r="AN186" s="36"/>
    </row>
    <row r="187" spans="6:40" ht="15" customHeight="1" outlineLevel="1">
      <c r="F187" s="1641"/>
      <c r="G187" s="51" t="s">
        <v>414</v>
      </c>
      <c r="H187" s="836"/>
      <c r="I187" s="836"/>
      <c r="J187" s="836"/>
      <c r="K187" s="836">
        <f ca="1">IFERROR(IF(INDIRECT("'"&amp;$H$3&amp;"'!K133")=0,0,IF(INDIRECT("'"&amp;$H$3&amp;"'!K173")="Yes",'4_Outputs'!K64,IF(OR(AND(INDIRECT("'"&amp;$H$3&amp;"'!K133")&gt;0,INDIRECT("'"&amp;$H$3&amp;"'!K153")="Yes"),AND(INDIRECT("'"&amp;$H$3&amp;"'!K133")&gt;2,INDIRECT("'"&amp;$H$3&amp;"'!K193")="Yes")),'4_Outputs'!K57,'4_Outputs'!K52))),0)</f>
        <v>3079.125</v>
      </c>
      <c r="L187" s="836"/>
      <c r="M187" s="836"/>
      <c r="N187" s="836">
        <f ca="1">IFERROR(IF(INDIRECT("'"&amp;$H$3&amp;"'!N133")=0,0,IF(INDIRECT("'"&amp;$H$3&amp;"'!N173")="Yes",'4_Outputs'!N64,IF(OR(AND(INDIRECT("'"&amp;$H$3&amp;"'!N133")&gt;0,INDIRECT("'"&amp;$H$3&amp;"'!N153")="Yes"),AND(INDIRECT("'"&amp;$H$3&amp;"'!N133")&gt;2,INDIRECT("'"&amp;$H$3&amp;"'!N193")="Yes")),'4_Outputs'!N57,'4_Outputs'!N52))),0)</f>
        <v>8.5</v>
      </c>
      <c r="O187" s="836"/>
      <c r="P187" s="836"/>
      <c r="Q187" s="836">
        <f ca="1">IFERROR(IF(INDIRECT("'"&amp;$H$3&amp;"'!Q133")=0,0,IF(INDIRECT("'"&amp;$H$3&amp;"'!Q173")="Yes",'4_Outputs'!Q64,IF(OR(AND(INDIRECT("'"&amp;$H$3&amp;"'!Q133")&gt;0,INDIRECT("'"&amp;$H$3&amp;"'!Q153")="Yes"),AND(INDIRECT("'"&amp;$H$3&amp;"'!Q133")&gt;2,INDIRECT("'"&amp;$H$3&amp;"'!Q193")="Yes")),'4_Outputs'!Q57,'4_Outputs'!Q52))),0)</f>
        <v>0</v>
      </c>
      <c r="R187" s="836"/>
      <c r="S187" s="836"/>
      <c r="T187" s="836">
        <f ca="1">IFERROR(IF(INDIRECT("'"&amp;$H$3&amp;"'!T133")=0,0,IF(INDIRECT("'"&amp;$H$3&amp;"'!T173")="Yes",'4_Outputs'!T64,IF(OR(AND(INDIRECT("'"&amp;$H$3&amp;"'!T133")&gt;0,INDIRECT("'"&amp;$H$3&amp;"'!T153")="Yes"),AND(INDIRECT("'"&amp;$H$3&amp;"'!T133")&gt;2,INDIRECT("'"&amp;$H$3&amp;"'!T193")="Yes")),'4_Outputs'!T57,'4_Outputs'!T52))),0)</f>
        <v>0</v>
      </c>
      <c r="U187" s="836"/>
      <c r="V187" s="836"/>
      <c r="W187" s="836">
        <f ca="1">IFERROR(IF(INDIRECT("'"&amp;$H$3&amp;"'!W133")=0,0,IF(INDIRECT("'"&amp;$H$3&amp;"'!W173")="Yes",'4_Outputs'!W64,IF(OR(AND(INDIRECT("'"&amp;$H$3&amp;"'!W133")&gt;0,INDIRECT("'"&amp;$H$3&amp;"'!W153")="Yes"),AND(INDIRECT("'"&amp;$H$3&amp;"'!W133")&gt;2,INDIRECT("'"&amp;$H$3&amp;"'!W193")="Yes")),'4_Outputs'!W57,'4_Outputs'!W52))),0)</f>
        <v>0</v>
      </c>
      <c r="X187" s="1465"/>
      <c r="AK187" s="1"/>
    </row>
    <row r="188" spans="6:40" ht="15" customHeight="1" outlineLevel="1">
      <c r="F188" s="1642" t="s">
        <v>387</v>
      </c>
      <c r="G188" s="1614"/>
      <c r="H188" s="848"/>
      <c r="I188" s="848"/>
      <c r="J188" s="848"/>
      <c r="K188" s="848"/>
      <c r="L188" s="848"/>
      <c r="M188" s="848"/>
      <c r="N188" s="848"/>
      <c r="O188" s="848"/>
      <c r="P188" s="848"/>
      <c r="Q188" s="1643"/>
      <c r="R188" s="1644"/>
      <c r="S188" s="1644"/>
      <c r="T188" s="1643"/>
      <c r="U188" s="1644"/>
      <c r="V188" s="1644"/>
      <c r="W188" s="1643"/>
      <c r="X188" s="1466"/>
      <c r="AK188" s="1"/>
    </row>
    <row r="189" spans="6:40" ht="15" customHeight="1" outlineLevel="1">
      <c r="F189" s="1649"/>
      <c r="G189" s="51" t="s">
        <v>390</v>
      </c>
      <c r="H189" s="836"/>
      <c r="I189" s="836"/>
      <c r="J189" s="836"/>
      <c r="K189" s="836">
        <f ca="1">IFERROR(((K$64*INDIRECT("'"&amp;$H$3&amp;"'!K$95"))*(IF(COUNTIF(INDIRECT("'"&amp;$H$3&amp;"'!K156"),"Public Transport*")=1,K194,K206)/INDIRECT("'"&amp;$H$3&amp;"'!K$95")))/IF(COUNTIF(INDIRECT("'"&amp;$H$3&amp;"'!K156"),"Public Transport*")=1,K192,K208),0)</f>
        <v>0</v>
      </c>
      <c r="L189" s="836"/>
      <c r="M189" s="836"/>
      <c r="N189" s="836">
        <f ca="1">IFERROR(((N$64*INDIRECT("'"&amp;$H$3&amp;"'!N$95"))*(IF(COUNTIF(INDIRECT("'"&amp;$H$3&amp;"'!N156"),"Public Transport*")=1,N194,N206)/INDIRECT("'"&amp;$H$3&amp;"'!N$95")))/IF(COUNTIF(INDIRECT("'"&amp;$H$3&amp;"'!N156"),"Public Transport*")=1,N192,N208),0)</f>
        <v>0</v>
      </c>
      <c r="O189" s="836"/>
      <c r="P189" s="836"/>
      <c r="Q189" s="836">
        <f ca="1">IFERROR(((Q$64*INDIRECT("'"&amp;$H$3&amp;"'!Q$95"))*(IF(COUNTIF(INDIRECT("'"&amp;$H$3&amp;"'!Q156"),"Public Transport*")=1,Q194,Q206)/INDIRECT("'"&amp;$H$3&amp;"'!Q$95")))/IF(COUNTIF(INDIRECT("'"&amp;$H$3&amp;"'!Q156"),"Public Transport*")=1,Q192,Q208),0)</f>
        <v>0</v>
      </c>
      <c r="R189" s="1646"/>
      <c r="S189" s="1646"/>
      <c r="T189" s="836">
        <f ca="1">IFERROR(((T$64*INDIRECT("'"&amp;$H$3&amp;"'!T$95"))*(IF(COUNTIF(INDIRECT("'"&amp;$H$3&amp;"'!T156"),"Public Transport*")=1,T194,T206)/INDIRECT("'"&amp;$H$3&amp;"'!T$95")))/IF(COUNTIF(INDIRECT("'"&amp;$H$3&amp;"'!T156"),"Public Transport*")=1,T192,T208),0)</f>
        <v>0</v>
      </c>
      <c r="U189" s="1646"/>
      <c r="V189" s="1646"/>
      <c r="W189" s="836">
        <f ca="1">IFERROR(((W$64*INDIRECT("'"&amp;$H$3&amp;"'!W$95"))*(IF(COUNTIF(INDIRECT("'"&amp;$H$3&amp;"'!W156"),"Public Transport*")=1,W194,W206)/INDIRECT("'"&amp;$H$3&amp;"'!W$95")))/IF(COUNTIF(INDIRECT("'"&amp;$H$3&amp;"'!W156"),"Public Transport*")=1,W192,W208),0)</f>
        <v>0</v>
      </c>
      <c r="X189" s="1465"/>
      <c r="Y189" s="36"/>
      <c r="Z189" s="36"/>
      <c r="AA189" s="36"/>
      <c r="AB189" s="36"/>
      <c r="AC189" s="36"/>
      <c r="AD189" s="36"/>
      <c r="AE189" s="36"/>
      <c r="AF189" s="36"/>
      <c r="AG189" s="36"/>
      <c r="AH189" s="36"/>
      <c r="AI189" s="36"/>
      <c r="AJ189" s="36"/>
      <c r="AK189" s="242"/>
      <c r="AL189" s="36"/>
      <c r="AM189" s="36"/>
      <c r="AN189" s="36"/>
    </row>
    <row r="190" spans="6:40" ht="15" customHeight="1" outlineLevel="1">
      <c r="F190" s="1649"/>
      <c r="G190" s="51" t="s">
        <v>391</v>
      </c>
      <c r="H190" s="836"/>
      <c r="I190" s="836"/>
      <c r="J190" s="836"/>
      <c r="K190" s="836">
        <f ca="1">IFERROR(IF(COUNTIF(INDIRECT("'"&amp;$H$3&amp;"'!K156"),"Public Transport*")=1,(K193/INDIRECT("'"&amp;$H$3&amp;"'!$H$9")),(K209/INDIRECT("'"&amp;$H$3&amp;"'!$H$9"))),0)</f>
        <v>0</v>
      </c>
      <c r="L190" s="836"/>
      <c r="M190" s="836"/>
      <c r="N190" s="836">
        <f ca="1">IFERROR(IF(COUNTIF(INDIRECT("'"&amp;$H$3&amp;"'!N156"),"Public Transport*")=1,(N193/INDIRECT("'"&amp;$H$3&amp;"'!$H$9")),(N209/INDIRECT("'"&amp;$H$3&amp;"'!$H$9"))),0)</f>
        <v>0</v>
      </c>
      <c r="O190" s="836"/>
      <c r="P190" s="836"/>
      <c r="Q190" s="836">
        <f ca="1">IFERROR(IF(COUNTIF(INDIRECT("'"&amp;$H$3&amp;"'!Q156"),"Public Transport*")=1,(Q193/INDIRECT("'"&amp;$H$3&amp;"'!$H$9")),(Q209/INDIRECT("'"&amp;$H$3&amp;"'!$H$9"))),0)</f>
        <v>0</v>
      </c>
      <c r="R190" s="1646"/>
      <c r="S190" s="1646"/>
      <c r="T190" s="836">
        <f ca="1">IFERROR(IF(COUNTIF(INDIRECT("'"&amp;$H$3&amp;"'!T156"),"Public Transport*")=1,(T193/INDIRECT("'"&amp;$H$3&amp;"'!$H$9")),(T209/INDIRECT("'"&amp;$H$3&amp;"'!$H$9"))),0)</f>
        <v>0</v>
      </c>
      <c r="U190" s="1646"/>
      <c r="V190" s="1646"/>
      <c r="W190" s="836">
        <f ca="1">IFERROR(IF(COUNTIF(INDIRECT("'"&amp;$H$3&amp;"'!W156"),"Public Transport*")=1,(W193/INDIRECT("'"&amp;$H$3&amp;"'!$H$9")),(W209/INDIRECT("'"&amp;$H$3&amp;"'!$H$9"))),0)</f>
        <v>0</v>
      </c>
      <c r="X190" s="1465"/>
      <c r="Y190" s="36"/>
      <c r="Z190" s="36"/>
      <c r="AA190" s="36"/>
      <c r="AB190" s="36"/>
      <c r="AC190" s="36"/>
      <c r="AD190" s="36"/>
      <c r="AE190" s="36"/>
      <c r="AF190" s="36"/>
      <c r="AG190" s="36"/>
      <c r="AH190" s="36"/>
      <c r="AI190" s="36"/>
      <c r="AJ190" s="36"/>
      <c r="AK190" s="242"/>
      <c r="AL190" s="36"/>
      <c r="AM190" s="36"/>
      <c r="AN190" s="36"/>
    </row>
    <row r="191" spans="6:40" ht="15" customHeight="1" outlineLevel="1">
      <c r="F191" s="1647" t="s">
        <v>149</v>
      </c>
      <c r="G191" s="1614"/>
      <c r="H191" s="848"/>
      <c r="I191" s="848"/>
      <c r="J191" s="848"/>
      <c r="K191" s="848"/>
      <c r="L191" s="848"/>
      <c r="M191" s="848"/>
      <c r="N191" s="848"/>
      <c r="O191" s="1644"/>
      <c r="P191" s="1644"/>
      <c r="Q191" s="1648"/>
      <c r="R191" s="1650"/>
      <c r="S191" s="1650"/>
      <c r="T191" s="1648"/>
      <c r="U191" s="1650"/>
      <c r="V191" s="1650"/>
      <c r="W191" s="1648"/>
      <c r="X191" s="1467"/>
      <c r="Y191" s="36"/>
      <c r="Z191" s="36"/>
      <c r="AA191" s="36"/>
      <c r="AB191" s="36"/>
      <c r="AC191" s="36"/>
      <c r="AD191" s="36"/>
      <c r="AE191" s="36"/>
      <c r="AF191" s="36"/>
      <c r="AG191" s="36"/>
      <c r="AH191" s="36"/>
      <c r="AI191" s="36"/>
      <c r="AJ191" s="36"/>
      <c r="AK191" s="242"/>
      <c r="AL191" s="36"/>
      <c r="AM191" s="36"/>
      <c r="AN191" s="36"/>
    </row>
    <row r="192" spans="6:40" ht="15" customHeight="1" outlineLevel="1">
      <c r="F192" s="1649"/>
      <c r="G192" s="51" t="s">
        <v>146</v>
      </c>
      <c r="H192" s="837"/>
      <c r="I192" s="837"/>
      <c r="J192" s="837"/>
      <c r="K192" s="837">
        <f ca="1">IFERROR(IF(COUNTIF(INDIRECT("'"&amp;$H$3&amp;"'!K156"),"Public Transport*")=1,IF(INDIRECT("'"&amp;$H$3&amp;"'!K163")="Route-based",K200*INDIRECT("'"&amp;$H$3&amp;"'!K$96"),IF(INDIRECT("'"&amp;$H$3&amp;"'!K163")="Point-to-point",K203*INDIRECT("'"&amp;$H$3&amp;"'!K$96"),0)),0),0)</f>
        <v>0</v>
      </c>
      <c r="L192" s="837"/>
      <c r="M192" s="837"/>
      <c r="N192" s="837">
        <f ca="1">IFERROR(IF(COUNTIF(INDIRECT("'"&amp;$H$3&amp;"'!N156"),"Public Transport*")=1,IF(INDIRECT("'"&amp;$H$3&amp;"'!N163")="Route-based",N200*INDIRECT("'"&amp;$H$3&amp;"'!N$96"),IF(INDIRECT("'"&amp;$H$3&amp;"'!N163")="Point-to-point",N203*INDIRECT("'"&amp;$H$3&amp;"'!N$96"),0)),0),0)</f>
        <v>0</v>
      </c>
      <c r="O192" s="837"/>
      <c r="P192" s="837"/>
      <c r="Q192" s="837">
        <f ca="1">IFERROR(IF(COUNTIF(INDIRECT("'"&amp;$H$3&amp;"'!Q156"),"Public Transport*")=1,IF(INDIRECT("'"&amp;$H$3&amp;"'!Q163")="Route-based",Q200*INDIRECT("'"&amp;$H$3&amp;"'!Q$96"),IF(INDIRECT("'"&amp;$H$3&amp;"'!Q163")="Point-to-point",Q203*INDIRECT("'"&amp;$H$3&amp;"'!Q$96"),0)),0),0)</f>
        <v>0</v>
      </c>
      <c r="R192" s="1650"/>
      <c r="S192" s="1650"/>
      <c r="T192" s="837">
        <f ca="1">IFERROR(IF(COUNTIF(INDIRECT("'"&amp;$H$3&amp;"'!T156"),"Public Transport*")=1,IF(INDIRECT("'"&amp;$H$3&amp;"'!T163")="Route-based",T200*INDIRECT("'"&amp;$H$3&amp;"'!T$96"),IF(INDIRECT("'"&amp;$H$3&amp;"'!T163")="Point-to-point",T203*INDIRECT("'"&amp;$H$3&amp;"'!T$96"),0)),0),0)</f>
        <v>0</v>
      </c>
      <c r="U192" s="1650"/>
      <c r="V192" s="1650"/>
      <c r="W192" s="837">
        <f ca="1">IFERROR(IF(COUNTIF(INDIRECT("'"&amp;$H$3&amp;"'!W156"),"Public Transport*")=1,IF(INDIRECT("'"&amp;$H$3&amp;"'!W163")="Route-based",W200*INDIRECT("'"&amp;$H$3&amp;"'!W$96"),IF(INDIRECT("'"&amp;$H$3&amp;"'!W163")="Point-to-point",W203*INDIRECT("'"&amp;$H$3&amp;"'!W$96"),0)),0),0)</f>
        <v>0</v>
      </c>
      <c r="X192" s="1468"/>
      <c r="Y192" s="36"/>
      <c r="Z192" s="36"/>
      <c r="AA192" s="36"/>
      <c r="AB192" s="36"/>
      <c r="AC192" s="36"/>
      <c r="AD192" s="36"/>
      <c r="AE192" s="36"/>
      <c r="AF192" s="36"/>
      <c r="AG192" s="36"/>
      <c r="AH192" s="36"/>
      <c r="AI192" s="36"/>
      <c r="AJ192" s="36"/>
      <c r="AK192" s="242"/>
      <c r="AL192" s="36"/>
      <c r="AM192" s="36"/>
      <c r="AN192" s="36"/>
    </row>
    <row r="193" spans="6:40" ht="15" customHeight="1" outlineLevel="1">
      <c r="F193" s="1649"/>
      <c r="G193" s="51" t="s">
        <v>147</v>
      </c>
      <c r="H193" s="837"/>
      <c r="I193" s="837"/>
      <c r="J193" s="837"/>
      <c r="K193" s="837">
        <f ca="1">IFERROR(IF(INDIRECT("'"&amp;$H$3&amp;"'!K163")="Route-based",K201*INDIRECT("'"&amp;$H$3&amp;"'!K$96"),IF(INDIRECT("'"&amp;$H$3&amp;"'!K163")="Point-to-point",K204*INDIRECT("'"&amp;$H$3&amp;"'!K$96"),0)),0)</f>
        <v>0</v>
      </c>
      <c r="L193" s="837"/>
      <c r="M193" s="837"/>
      <c r="N193" s="837">
        <f ca="1">IFERROR(IF(INDIRECT("'"&amp;$H$3&amp;"'!N163")="Route-based",N201*INDIRECT("'"&amp;$H$3&amp;"'!N$96"),IF(INDIRECT("'"&amp;$H$3&amp;"'!N163")="Point-to-point",N204*INDIRECT("'"&amp;$H$3&amp;"'!N$96"),0)),0)</f>
        <v>0</v>
      </c>
      <c r="O193" s="837"/>
      <c r="P193" s="837"/>
      <c r="Q193" s="837">
        <f ca="1">IFERROR(IF(INDIRECT("'"&amp;$H$3&amp;"'!Q163")="Route-based",Q201*INDIRECT("'"&amp;$H$3&amp;"'!Q$96"),IF(INDIRECT("'"&amp;$H$3&amp;"'!Q163")="Point-to-point",Q204*INDIRECT("'"&amp;$H$3&amp;"'!Q$96"),0)),0)</f>
        <v>0</v>
      </c>
      <c r="R193" s="1650"/>
      <c r="S193" s="1650"/>
      <c r="T193" s="837">
        <f ca="1">IFERROR(IF(INDIRECT("'"&amp;$H$3&amp;"'!T163")="Route-based",T201*INDIRECT("'"&amp;$H$3&amp;"'!T$96"),IF(INDIRECT("'"&amp;$H$3&amp;"'!T163")="Point-to-point",T204*INDIRECT("'"&amp;$H$3&amp;"'!T$96"),0)),0)</f>
        <v>0</v>
      </c>
      <c r="U193" s="1650"/>
      <c r="V193" s="1650"/>
      <c r="W193" s="837">
        <f ca="1">IFERROR(IF(INDIRECT("'"&amp;$H$3&amp;"'!W163")="Route-based",W201*INDIRECT("'"&amp;$H$3&amp;"'!W$96"),IF(INDIRECT("'"&amp;$H$3&amp;"'!W163")="Point-to-point",W204*INDIRECT("'"&amp;$H$3&amp;"'!W$96"),0)),0)</f>
        <v>0</v>
      </c>
      <c r="X193" s="1468"/>
      <c r="Y193" s="36"/>
      <c r="Z193" s="36"/>
      <c r="AA193" s="36"/>
      <c r="AB193" s="36"/>
      <c r="AC193" s="36"/>
      <c r="AD193" s="36"/>
      <c r="AE193" s="36"/>
      <c r="AF193" s="36"/>
      <c r="AG193" s="36"/>
      <c r="AH193" s="36"/>
      <c r="AI193" s="36"/>
      <c r="AJ193" s="36"/>
      <c r="AK193" s="36"/>
      <c r="AL193" s="36"/>
      <c r="AM193" s="36"/>
      <c r="AN193" s="36"/>
    </row>
    <row r="194" spans="6:40" ht="15" customHeight="1" outlineLevel="1">
      <c r="F194" s="1649"/>
      <c r="G194" s="51" t="s">
        <v>142</v>
      </c>
      <c r="H194" s="1651"/>
      <c r="I194" s="1651"/>
      <c r="J194" s="1651"/>
      <c r="K194" s="1651">
        <f ca="1">IFERROR(IF(COUNTIF(INDIRECT("'"&amp;$H$3&amp;"'!K156"),"Public Transport*")=1,ROUND(INDIRECT("'"&amp;$H$3&amp;"'!K$95")*INDIRECT("'"&amp;$H$3&amp;"'!K155"),0),0),0)</f>
        <v>0</v>
      </c>
      <c r="L194" s="1651"/>
      <c r="M194" s="1651"/>
      <c r="N194" s="1651">
        <f ca="1">IFERROR(IF(COUNTIF(INDIRECT("'"&amp;$H$3&amp;"'!N156"),"Public Transport*")=1,ROUND(INDIRECT("'"&amp;$H$3&amp;"'!N$95")*INDIRECT("'"&amp;$H$3&amp;"'!N155"),0),0),0)</f>
        <v>0</v>
      </c>
      <c r="O194" s="1651"/>
      <c r="P194" s="1651"/>
      <c r="Q194" s="1651">
        <f ca="1">IFERROR(IF(COUNTIF(INDIRECT("'"&amp;$H$3&amp;"'!Q156"),"Public Transport*")=1,ROUND(INDIRECT("'"&amp;$H$3&amp;"'!Q$95")*INDIRECT("'"&amp;$H$3&amp;"'!Q155"),0),0),0)</f>
        <v>0</v>
      </c>
      <c r="R194" s="1652"/>
      <c r="S194" s="1652"/>
      <c r="T194" s="1651">
        <f ca="1">IFERROR(IF(COUNTIF(INDIRECT("'"&amp;$H$3&amp;"'!T156"),"Public Transport*")=1,ROUND(INDIRECT("'"&amp;$H$3&amp;"'!T$95")*INDIRECT("'"&amp;$H$3&amp;"'!T155"),0),0),0)</f>
        <v>0</v>
      </c>
      <c r="U194" s="1652"/>
      <c r="V194" s="1652"/>
      <c r="W194" s="1651">
        <f ca="1">IFERROR(IF(COUNTIF(INDIRECT("'"&amp;$H$3&amp;"'!W156"),"Public Transport*")=1,ROUND(INDIRECT("'"&amp;$H$3&amp;"'!W$95")*INDIRECT("'"&amp;$H$3&amp;"'!W155"),0),0),0)</f>
        <v>0</v>
      </c>
      <c r="X194" s="1466"/>
      <c r="Y194" s="36"/>
      <c r="Z194" s="36"/>
      <c r="AA194" s="36"/>
      <c r="AB194" s="36"/>
      <c r="AC194" s="36"/>
      <c r="AD194" s="36"/>
      <c r="AE194" s="36"/>
      <c r="AF194" s="36"/>
      <c r="AG194" s="36"/>
      <c r="AH194" s="36"/>
      <c r="AI194" s="36"/>
      <c r="AJ194" s="36"/>
      <c r="AK194" s="36"/>
      <c r="AL194" s="36"/>
      <c r="AM194" s="36"/>
      <c r="AN194" s="36" t="s">
        <v>190</v>
      </c>
    </row>
    <row r="195" spans="6:40" ht="15" customHeight="1" outlineLevel="1">
      <c r="F195" s="1649"/>
      <c r="G195" s="51" t="s">
        <v>158</v>
      </c>
      <c r="H195" s="836"/>
      <c r="I195" s="836"/>
      <c r="J195" s="836"/>
      <c r="K195" s="836">
        <f ca="1">IFERROR(INDEX(INDIRECT("'"&amp;$H$3&amp;"'!$H$43:$H$78"),MATCH(INDIRECT("'"&amp;$H$3&amp;"'!K156")&amp;"Maximum delivery capacity (m^3)", INDIRECT("'"&amp;$H$3&amp;"'!$F$43:$F$78"),0))/('4_Outputs'!K$187/INDIRECT("'"&amp;$H$3&amp;"'!K$96")),0)</f>
        <v>0</v>
      </c>
      <c r="L195" s="836"/>
      <c r="M195" s="836"/>
      <c r="N195" s="836">
        <f ca="1">IFERROR(INDEX(INDIRECT("'"&amp;$H$3&amp;"'!$H$43:$H$78"),MATCH(INDIRECT("'"&amp;$H$3&amp;"'!N156")&amp;"Maximum delivery capacity (m^3)", INDIRECT("'"&amp;$H$3&amp;"'!$F$43:$F$78"),0))/('4_Outputs'!N$187/INDIRECT("'"&amp;$H$3&amp;"'!N$96")),0)</f>
        <v>0</v>
      </c>
      <c r="O195" s="836"/>
      <c r="P195" s="836"/>
      <c r="Q195" s="836">
        <f ca="1">IFERROR(INDEX(INDIRECT("'"&amp;$H$3&amp;"'!$H$43:$H$78"),MATCH(INDIRECT("'"&amp;$H$3&amp;"'!Q156")&amp;"Maximum delivery capacity (m^3)", INDIRECT("'"&amp;$H$3&amp;"'!$F$43:$F$78"),0))/('4_Outputs'!Q$187/INDIRECT("'"&amp;$H$3&amp;"'!Q$96")),0)</f>
        <v>0</v>
      </c>
      <c r="R195" s="836"/>
      <c r="S195" s="836"/>
      <c r="T195" s="836">
        <f ca="1">IFERROR(INDEX(INDIRECT("'"&amp;$H$3&amp;"'!$H$43:$H$78"),MATCH(INDIRECT("'"&amp;$H$3&amp;"'!T156")&amp;"Maximum delivery capacity (m^3)", INDIRECT("'"&amp;$H$3&amp;"'!$F$43:$F$78"),0))/('4_Outputs'!T$187/INDIRECT("'"&amp;$H$3&amp;"'!T$96")),0)</f>
        <v>0</v>
      </c>
      <c r="U195" s="836"/>
      <c r="V195" s="836"/>
      <c r="W195" s="836">
        <f ca="1">IFERROR(INDEX(INDIRECT("'"&amp;$H$3&amp;"'!$H$43:$H$78"),MATCH(INDIRECT("'"&amp;$H$3&amp;"'!W156")&amp;"Maximum delivery capacity (m^3)", INDIRECT("'"&amp;$H$3&amp;"'!$F$43:$F$78"),0))/('4_Outputs'!W$187/INDIRECT("'"&amp;$H$3&amp;"'!W$96")),0)</f>
        <v>0</v>
      </c>
      <c r="X195" s="1469"/>
      <c r="Y195" s="36"/>
      <c r="Z195" s="36"/>
      <c r="AA195" s="36"/>
      <c r="AB195" s="36"/>
      <c r="AC195" s="36"/>
      <c r="AD195" s="36"/>
      <c r="AE195" s="36"/>
      <c r="AF195" s="36"/>
      <c r="AG195" s="36"/>
      <c r="AH195" s="36"/>
      <c r="AI195" s="36"/>
      <c r="AJ195" s="36"/>
      <c r="AK195" s="36"/>
      <c r="AL195" s="36"/>
      <c r="AM195" s="36"/>
      <c r="AN195" s="36"/>
    </row>
    <row r="196" spans="6:40" ht="15" customHeight="1" outlineLevel="1">
      <c r="F196" s="1649"/>
      <c r="G196" s="1613" t="s">
        <v>150</v>
      </c>
      <c r="H196" s="842"/>
      <c r="I196" s="842"/>
      <c r="J196" s="842"/>
      <c r="K196" s="842"/>
      <c r="L196" s="842"/>
      <c r="M196" s="842"/>
      <c r="N196" s="842"/>
      <c r="O196" s="842"/>
      <c r="P196" s="842"/>
      <c r="Q196" s="842"/>
      <c r="R196" s="1650"/>
      <c r="S196" s="1650"/>
      <c r="T196" s="842"/>
      <c r="U196" s="1650"/>
      <c r="V196" s="1650"/>
      <c r="W196" s="842"/>
      <c r="X196" s="1470"/>
      <c r="Y196" s="36"/>
      <c r="Z196" s="36"/>
      <c r="AA196" s="36"/>
      <c r="AB196" s="36"/>
      <c r="AC196" s="36"/>
      <c r="AD196" s="36"/>
      <c r="AE196" s="36"/>
      <c r="AF196" s="36"/>
      <c r="AG196" s="36"/>
      <c r="AH196" s="36"/>
      <c r="AI196" s="36"/>
      <c r="AJ196" s="36"/>
      <c r="AK196" s="36"/>
      <c r="AL196" s="36"/>
      <c r="AM196" s="36"/>
      <c r="AN196" s="36"/>
    </row>
    <row r="197" spans="6:40" ht="15" customHeight="1" outlineLevel="1">
      <c r="F197" s="1649"/>
      <c r="G197" s="51" t="s">
        <v>140</v>
      </c>
      <c r="H197" s="836"/>
      <c r="I197" s="836"/>
      <c r="J197" s="836"/>
      <c r="K197" s="836">
        <f ca="1">IFERROR(ROUND(INDIRECT("'"&amp;$H$3&amp;"'!$H$10")/(((1/60)*(INDIRECT("'"&amp;$H$3&amp;"'!K168")+INDIRECT("'"&amp;$H$3&amp;"'!$H$19")*(INDIRECT("'"&amp;$H$3&amp;"'!K169")+(INDIRECT("'"&amp;$H$3&amp;"'!K170")*('4_Outputs'!K$187/INDIRECT("'"&amp;$H$3&amp;"'!K$96")/INDIRECT("'"&amp;$H$3&amp;"'!$H$19"))))))+INDEX(INDIRECT("'"&amp;$H$3&amp;"'!$H$43:$H$78"),MATCH(INDIRECT("'"&amp;$H$3&amp;"'!K156")&amp;"Average duration (hrs) per trip",INDIRECT("'"&amp;$H$3&amp;"'!$F$43:$F$78"),0))),1),0)</f>
        <v>0</v>
      </c>
      <c r="L197" s="836"/>
      <c r="M197" s="836"/>
      <c r="N197" s="836">
        <f ca="1">IFERROR(ROUND(INDIRECT("'"&amp;$H$3&amp;"'!$H$10")/(((1/60)*(INDIRECT("'"&amp;$H$3&amp;"'!N168")+INDIRECT("'"&amp;$H$3&amp;"'!$H$19")*(INDIRECT("'"&amp;$H$3&amp;"'!N169")+(INDIRECT("'"&amp;$H$3&amp;"'!N170")*('4_Outputs'!N$187/INDIRECT("'"&amp;$H$3&amp;"'!N$96")/INDIRECT("'"&amp;$H$3&amp;"'!$H$19"))))))+INDEX(INDIRECT("'"&amp;$H$3&amp;"'!$H$43:$H$78"),MATCH(INDIRECT("'"&amp;$H$3&amp;"'!N156")&amp;"Average duration (hrs) per trip",INDIRECT("'"&amp;$H$3&amp;"'!$F$43:$F$78"),0))),1),0)</f>
        <v>0</v>
      </c>
      <c r="O197" s="836"/>
      <c r="P197" s="836"/>
      <c r="Q197" s="836">
        <f ca="1">IFERROR(ROUND(INDIRECT("'"&amp;$H$3&amp;"'!$H$10")/(((1/60)*(INDIRECT("'"&amp;$H$3&amp;"'!Q168")+INDIRECT("'"&amp;$H$3&amp;"'!$H$19")*(INDIRECT("'"&amp;$H$3&amp;"'!Q169")+(INDIRECT("'"&amp;$H$3&amp;"'!Q170")*('4_Outputs'!Q$187/INDIRECT("'"&amp;$H$3&amp;"'!Q$96")/INDIRECT("'"&amp;$H$3&amp;"'!$H$19"))))))+INDEX(INDIRECT("'"&amp;$H$3&amp;"'!$H$43:$H$78"),MATCH(INDIRECT("'"&amp;$H$3&amp;"'!Q156")&amp;"Average duration (hrs) per trip",INDIRECT("'"&amp;$H$3&amp;"'!$F$43:$F$78"),0))),1),0)</f>
        <v>0</v>
      </c>
      <c r="R197" s="836"/>
      <c r="S197" s="836"/>
      <c r="T197" s="836">
        <f ca="1">IFERROR(ROUND(INDIRECT("'"&amp;$H$3&amp;"'!$H$10")/(((1/60)*(INDIRECT("'"&amp;$H$3&amp;"'!T168")+INDIRECT("'"&amp;$H$3&amp;"'!$H$19")*(INDIRECT("'"&amp;$H$3&amp;"'!T169")+(INDIRECT("'"&amp;$H$3&amp;"'!T170")*('4_Outputs'!T$187/INDIRECT("'"&amp;$H$3&amp;"'!T$96")/INDIRECT("'"&amp;$H$3&amp;"'!$H$19"))))))+INDEX(INDIRECT("'"&amp;$H$3&amp;"'!$H$43:$H$78"),MATCH(INDIRECT("'"&amp;$H$3&amp;"'!T156")&amp;"Average duration (hrs) per trip",INDIRECT("'"&amp;$H$3&amp;"'!$F$43:$F$78"),0))),1),0)</f>
        <v>0</v>
      </c>
      <c r="U197" s="836"/>
      <c r="V197" s="836"/>
      <c r="W197" s="836">
        <f ca="1">IFERROR(ROUND(INDIRECT("'"&amp;$H$3&amp;"'!$H$10")/(((1/60)*(INDIRECT("'"&amp;$H$3&amp;"'!W168")+INDIRECT("'"&amp;$H$3&amp;"'!$H$19")*(INDIRECT("'"&amp;$H$3&amp;"'!W169")+(INDIRECT("'"&amp;$H$3&amp;"'!W170")*('4_Outputs'!W$187/INDIRECT("'"&amp;$H$3&amp;"'!W$96")/INDIRECT("'"&amp;$H$3&amp;"'!$H$19"))))))+INDEX(INDIRECT("'"&amp;$H$3&amp;"'!$H$43:$H$78"),MATCH(INDIRECT("'"&amp;$H$3&amp;"'!W156")&amp;"Average duration (hrs) per trip",INDIRECT("'"&amp;$H$3&amp;"'!$F$43:$F$78"),0))),1),0)</f>
        <v>0</v>
      </c>
      <c r="X197" s="1469"/>
      <c r="Y197" s="36"/>
      <c r="Z197" s="36"/>
      <c r="AA197" s="36"/>
      <c r="AB197" s="36"/>
      <c r="AC197" s="36"/>
      <c r="AD197" s="36"/>
      <c r="AE197" s="36"/>
      <c r="AF197" s="36"/>
      <c r="AG197" s="36"/>
      <c r="AH197" s="36"/>
      <c r="AI197" s="36"/>
      <c r="AJ197" s="36"/>
      <c r="AK197" s="36"/>
      <c r="AL197" s="36"/>
      <c r="AM197" s="36"/>
      <c r="AN197" s="36"/>
    </row>
    <row r="198" spans="6:40" ht="15" customHeight="1" outlineLevel="1">
      <c r="F198" s="1649"/>
      <c r="G198" s="51" t="s">
        <v>141</v>
      </c>
      <c r="H198" s="836"/>
      <c r="I198" s="836"/>
      <c r="J198" s="836"/>
      <c r="K198" s="836">
        <f ca="1">IFERROR(MIN(ROUND(K197*INDIRECT("'"&amp;$H$3&amp;"'!K164"),0),K195),0)</f>
        <v>0</v>
      </c>
      <c r="L198" s="836"/>
      <c r="M198" s="836"/>
      <c r="N198" s="836">
        <f ca="1">IFERROR(MIN(ROUND(N197*INDIRECT("'"&amp;$H$3&amp;"'!N164"),0),N195),0)</f>
        <v>0</v>
      </c>
      <c r="O198" s="836"/>
      <c r="P198" s="836"/>
      <c r="Q198" s="836">
        <f ca="1">IFERROR(MIN(ROUND(Q197*INDIRECT("'"&amp;$H$3&amp;"'!Q164"),0),Q195),0)</f>
        <v>0</v>
      </c>
      <c r="R198" s="836"/>
      <c r="S198" s="836"/>
      <c r="T198" s="836">
        <f ca="1">IFERROR(MIN(ROUND(T197*INDIRECT("'"&amp;$H$3&amp;"'!T164"),0),T195),0)</f>
        <v>0</v>
      </c>
      <c r="U198" s="836"/>
      <c r="V198" s="836"/>
      <c r="W198" s="836">
        <f ca="1">IFERROR(MIN(ROUND(W197*INDIRECT("'"&amp;$H$3&amp;"'!W164"),0),W195),0)</f>
        <v>0</v>
      </c>
      <c r="X198" s="1469"/>
      <c r="Y198" s="36"/>
      <c r="Z198" s="36"/>
      <c r="AA198" s="36"/>
      <c r="AB198" s="36"/>
      <c r="AC198" s="36"/>
      <c r="AD198" s="36"/>
      <c r="AE198" s="36"/>
      <c r="AF198" s="36"/>
      <c r="AG198" s="36"/>
      <c r="AH198" s="36"/>
      <c r="AI198" s="36"/>
      <c r="AJ198" s="36"/>
      <c r="AK198" s="36"/>
      <c r="AL198" s="36"/>
      <c r="AM198" s="36"/>
      <c r="AN198" s="36"/>
    </row>
    <row r="199" spans="6:40" ht="15" customHeight="1" outlineLevel="1">
      <c r="F199" s="1649"/>
      <c r="G199" s="51" t="s">
        <v>143</v>
      </c>
      <c r="H199" s="836"/>
      <c r="I199" s="836"/>
      <c r="J199" s="836"/>
      <c r="K199" s="836">
        <f ca="1">IFERROR(ROUNDUP(K194/K198,0),0)</f>
        <v>0</v>
      </c>
      <c r="L199" s="836"/>
      <c r="M199" s="836"/>
      <c r="N199" s="836">
        <f ca="1">IFERROR(ROUNDUP(N194/N198,0),0)</f>
        <v>0</v>
      </c>
      <c r="O199" s="836"/>
      <c r="P199" s="836"/>
      <c r="Q199" s="836">
        <f ca="1">IFERROR(ROUNDUP(Q194/Q198,0),0)</f>
        <v>0</v>
      </c>
      <c r="R199" s="836"/>
      <c r="S199" s="836"/>
      <c r="T199" s="836">
        <f ca="1">IFERROR(ROUNDUP(T194/T198,0),0)</f>
        <v>0</v>
      </c>
      <c r="U199" s="836"/>
      <c r="V199" s="836"/>
      <c r="W199" s="836">
        <f ca="1">IFERROR(ROUNDUP(W194/W198,0),0)</f>
        <v>0</v>
      </c>
      <c r="X199" s="1469"/>
      <c r="Y199" s="36"/>
      <c r="Z199" s="36"/>
      <c r="AA199" s="36"/>
      <c r="AB199" s="36"/>
      <c r="AC199" s="36"/>
      <c r="AD199" s="36"/>
      <c r="AE199" s="36"/>
      <c r="AF199" s="36"/>
      <c r="AG199" s="36"/>
      <c r="AH199" s="36"/>
      <c r="AI199" s="36"/>
      <c r="AJ199" s="36"/>
      <c r="AK199" s="242"/>
      <c r="AL199" s="36"/>
      <c r="AM199" s="36"/>
      <c r="AN199" s="36"/>
    </row>
    <row r="200" spans="6:40" ht="15" customHeight="1" outlineLevel="1">
      <c r="F200" s="1649"/>
      <c r="G200" s="51" t="s">
        <v>144</v>
      </c>
      <c r="H200" s="836"/>
      <c r="I200" s="836"/>
      <c r="J200" s="836"/>
      <c r="K200" s="836">
        <f ca="1">IFERROR((K199*(MAX(K198,1)+1)),0)</f>
        <v>0</v>
      </c>
      <c r="L200" s="836"/>
      <c r="M200" s="836"/>
      <c r="N200" s="836">
        <f ca="1">IFERROR((N199*(MAX(N198,1)+1)),0)</f>
        <v>0</v>
      </c>
      <c r="O200" s="836"/>
      <c r="P200" s="836"/>
      <c r="Q200" s="836">
        <f ca="1">IFERROR((Q199*(MAX(Q198,1)+1)),0)</f>
        <v>0</v>
      </c>
      <c r="R200" s="836"/>
      <c r="S200" s="836"/>
      <c r="T200" s="836">
        <f ca="1">IFERROR((T199*(MAX(T198,1)+1)),0)</f>
        <v>0</v>
      </c>
      <c r="U200" s="836"/>
      <c r="V200" s="836"/>
      <c r="W200" s="836">
        <f ca="1">IFERROR((W199*(MAX(W198,1)+1)),0)</f>
        <v>0</v>
      </c>
      <c r="X200" s="1469"/>
      <c r="Y200" s="36"/>
      <c r="Z200" s="36"/>
      <c r="AA200" s="36"/>
      <c r="AB200" s="36"/>
      <c r="AC200" s="36"/>
      <c r="AD200" s="36"/>
      <c r="AE200" s="36"/>
      <c r="AF200" s="36"/>
      <c r="AG200" s="36"/>
      <c r="AH200" s="36"/>
      <c r="AI200" s="36"/>
      <c r="AJ200" s="36"/>
      <c r="AK200" s="242"/>
      <c r="AL200" s="36"/>
      <c r="AM200" s="36"/>
      <c r="AN200" s="36"/>
    </row>
    <row r="201" spans="6:40" ht="15" customHeight="1" outlineLevel="1">
      <c r="F201" s="1649"/>
      <c r="G201" s="51" t="s">
        <v>145</v>
      </c>
      <c r="H201" s="836"/>
      <c r="I201" s="836"/>
      <c r="J201" s="836"/>
      <c r="K201" s="836">
        <f ca="1">IFERROR(ROUNDUP(((K200*INDEX(INDIRECT("'"&amp;$H$3&amp;"'!$H$43:$H$78"),MATCH(INDIRECT("'"&amp;$H$3&amp;"'!K156")&amp;"Average duration (hrs) per trip",INDIRECT("'"&amp;$H$3&amp;"'!$F$43:$F$78"),0)))+(K194*((1/60)*(INDIRECT("'"&amp;$H$3&amp;"'!K168")+INDIRECT("'"&amp;$H$3&amp;"'!$H$19")*(INDIRECT("'"&amp;$H$3&amp;"'!K169")+(INDIRECT("'"&amp;$H$3&amp;"'!K170")*('4_Outputs'!K$187/INDIRECT("'"&amp;$H$3&amp;"'!K$96")/INDIRECT("'"&amp;$H$3&amp;"'!$H$19"))))))))/INDIRECT("'"&amp;$H$3&amp;"'!$H$10"),0),0)</f>
        <v>0</v>
      </c>
      <c r="L201" s="836"/>
      <c r="M201" s="836"/>
      <c r="N201" s="836">
        <f ca="1">IFERROR(ROUNDUP(((N200*INDEX(INDIRECT("'"&amp;$H$3&amp;"'!$H$43:$H$78"),MATCH(INDIRECT("'"&amp;$H$3&amp;"'!N156")&amp;"Average duration (hrs) per trip",INDIRECT("'"&amp;$H$3&amp;"'!$F$43:$F$78"),0)))+(N194*((1/60)*(INDIRECT("'"&amp;$H$3&amp;"'!N168")+INDIRECT("'"&amp;$H$3&amp;"'!$H$19")*(INDIRECT("'"&amp;$H$3&amp;"'!N169")+(INDIRECT("'"&amp;$H$3&amp;"'!N170")*('4_Outputs'!N$187/INDIRECT("'"&amp;$H$3&amp;"'!N$96")/INDIRECT("'"&amp;$H$3&amp;"'!$H$19"))))))))/INDIRECT("'"&amp;$H$3&amp;"'!$H$10"),0),0)</f>
        <v>0</v>
      </c>
      <c r="O201" s="836"/>
      <c r="P201" s="836"/>
      <c r="Q201" s="836">
        <f ca="1">IFERROR(ROUNDUP(((Q200*INDEX(INDIRECT("'"&amp;$H$3&amp;"'!$H$43:$H$78"),MATCH(INDIRECT("'"&amp;$H$3&amp;"'!Q156")&amp;"Average duration (hrs) per trip",INDIRECT("'"&amp;$H$3&amp;"'!$F$43:$F$78"),0)))+(Q194*((1/60)*(INDIRECT("'"&amp;$H$3&amp;"'!Q168")+INDIRECT("'"&amp;$H$3&amp;"'!$H$19")*(INDIRECT("'"&amp;$H$3&amp;"'!Q169")+(INDIRECT("'"&amp;$H$3&amp;"'!Q170")*('4_Outputs'!Q$187/INDIRECT("'"&amp;$H$3&amp;"'!Q$96")/INDIRECT("'"&amp;$H$3&amp;"'!$H$19"))))))))/INDIRECT("'"&amp;$H$3&amp;"'!$H$10"),0),0)</f>
        <v>0</v>
      </c>
      <c r="R201" s="836"/>
      <c r="S201" s="836"/>
      <c r="T201" s="836">
        <f ca="1">IFERROR(ROUNDUP(((T200*INDEX(INDIRECT("'"&amp;$H$3&amp;"'!$H$43:$H$78"),MATCH(INDIRECT("'"&amp;$H$3&amp;"'!T156")&amp;"Average duration (hrs) per trip",INDIRECT("'"&amp;$H$3&amp;"'!$F$43:$F$78"),0)))+(T194*((1/60)*(INDIRECT("'"&amp;$H$3&amp;"'!T168")+INDIRECT("'"&amp;$H$3&amp;"'!$H$19")*(INDIRECT("'"&amp;$H$3&amp;"'!T169")+(INDIRECT("'"&amp;$H$3&amp;"'!T170")*('4_Outputs'!T$187/INDIRECT("'"&amp;$H$3&amp;"'!T$96")/INDIRECT("'"&amp;$H$3&amp;"'!$H$19"))))))))/INDIRECT("'"&amp;$H$3&amp;"'!$H$10"),0),0)</f>
        <v>0</v>
      </c>
      <c r="U201" s="836"/>
      <c r="V201" s="836"/>
      <c r="W201" s="836">
        <f ca="1">IFERROR(ROUNDUP(((W200*INDEX(INDIRECT("'"&amp;$H$3&amp;"'!$H$43:$H$78"),MATCH(INDIRECT("'"&amp;$H$3&amp;"'!W156")&amp;"Average duration (hrs) per trip",INDIRECT("'"&amp;$H$3&amp;"'!$F$43:$F$78"),0)))+(W194*((1/60)*(INDIRECT("'"&amp;$H$3&amp;"'!W168")+INDIRECT("'"&amp;$H$3&amp;"'!$H$19")*(INDIRECT("'"&amp;$H$3&amp;"'!W169")+(INDIRECT("'"&amp;$H$3&amp;"'!W170")*('4_Outputs'!W$187/INDIRECT("'"&amp;$H$3&amp;"'!W$96")/INDIRECT("'"&amp;$H$3&amp;"'!$H$19"))))))))/INDIRECT("'"&amp;$H$3&amp;"'!$H$10"),0),0)</f>
        <v>0</v>
      </c>
      <c r="X201" s="1469"/>
      <c r="Y201" s="36"/>
      <c r="Z201" s="36"/>
      <c r="AA201" s="36"/>
      <c r="AB201" s="36"/>
      <c r="AC201" s="36"/>
      <c r="AD201" s="36"/>
      <c r="AE201" s="36"/>
      <c r="AF201" s="36"/>
      <c r="AG201" s="36"/>
      <c r="AH201" s="36"/>
      <c r="AI201" s="36"/>
      <c r="AJ201" s="36"/>
      <c r="AK201" s="242"/>
      <c r="AL201" s="36"/>
      <c r="AM201" s="36"/>
      <c r="AN201" s="36"/>
    </row>
    <row r="202" spans="6:40" ht="15" customHeight="1" outlineLevel="1">
      <c r="F202" s="1649"/>
      <c r="G202" s="1613" t="s">
        <v>841</v>
      </c>
      <c r="H202" s="842"/>
      <c r="I202" s="842"/>
      <c r="J202" s="842"/>
      <c r="K202" s="842"/>
      <c r="L202" s="842"/>
      <c r="M202" s="842"/>
      <c r="N202" s="842"/>
      <c r="O202" s="842"/>
      <c r="P202" s="842"/>
      <c r="Q202" s="842"/>
      <c r="R202" s="1650"/>
      <c r="S202" s="1650"/>
      <c r="T202" s="842"/>
      <c r="U202" s="1650"/>
      <c r="V202" s="1650"/>
      <c r="W202" s="842"/>
      <c r="X202" s="1470"/>
      <c r="Y202" s="36"/>
      <c r="Z202" s="36"/>
      <c r="AA202" s="36"/>
      <c r="AB202" s="36"/>
      <c r="AC202" s="36"/>
      <c r="AD202" s="36"/>
      <c r="AE202" s="36"/>
      <c r="AF202" s="36"/>
      <c r="AG202" s="36"/>
      <c r="AH202" s="36"/>
      <c r="AI202" s="36"/>
      <c r="AJ202" s="36"/>
      <c r="AK202" s="36"/>
      <c r="AL202" s="36"/>
      <c r="AM202" s="36"/>
      <c r="AN202" s="36"/>
    </row>
    <row r="203" spans="6:40" ht="15" customHeight="1" outlineLevel="1">
      <c r="F203" s="1649"/>
      <c r="G203" s="51" t="s">
        <v>144</v>
      </c>
      <c r="H203" s="836"/>
      <c r="I203" s="836"/>
      <c r="J203" s="836"/>
      <c r="K203" s="836">
        <f ca="1">IFERROR((K194/MIN(K195,1))*2,0)</f>
        <v>0</v>
      </c>
      <c r="L203" s="836"/>
      <c r="M203" s="836"/>
      <c r="N203" s="836">
        <f ca="1">IFERROR((N194/MIN(N195,1))*2,0)</f>
        <v>0</v>
      </c>
      <c r="O203" s="836"/>
      <c r="P203" s="836"/>
      <c r="Q203" s="836">
        <f ca="1">IFERROR((Q194/MIN(Q195,1))*2,0)</f>
        <v>0</v>
      </c>
      <c r="R203" s="836"/>
      <c r="S203" s="836"/>
      <c r="T203" s="836">
        <f ca="1">IFERROR((T194/MIN(T195,1))*2,0)</f>
        <v>0</v>
      </c>
      <c r="U203" s="836"/>
      <c r="V203" s="836"/>
      <c r="W203" s="836">
        <f ca="1">IFERROR((W194/MIN(W195,1))*2,0)</f>
        <v>0</v>
      </c>
      <c r="X203" s="1469"/>
      <c r="Y203" s="36"/>
      <c r="Z203" s="36"/>
      <c r="AA203" s="36"/>
      <c r="AB203" s="36"/>
      <c r="AC203" s="36"/>
      <c r="AD203" s="36"/>
      <c r="AE203" s="36"/>
      <c r="AF203" s="36"/>
      <c r="AG203" s="36"/>
      <c r="AH203" s="36"/>
      <c r="AI203" s="36"/>
      <c r="AJ203" s="36"/>
      <c r="AK203" s="36"/>
      <c r="AL203" s="36"/>
      <c r="AM203" s="36"/>
      <c r="AN203" s="36"/>
    </row>
    <row r="204" spans="6:40" ht="15" customHeight="1" outlineLevel="1">
      <c r="F204" s="1649"/>
      <c r="G204" s="51" t="s">
        <v>145</v>
      </c>
      <c r="H204" s="837"/>
      <c r="I204" s="837"/>
      <c r="J204" s="837"/>
      <c r="K204" s="837">
        <f ca="1">IFERROR(MAX(K194,ROUNDUP(((K203*INDEX(INDIRECT("'"&amp;$H$3&amp;"'!$H$43:$H$78"),MATCH(INDIRECT("'"&amp;$H$3&amp;"'!K156")&amp;"Average duration (hrs) per trip",INDIRECT("'"&amp;$H$3&amp;"'!$F$43:$F$78"),0)))+(K194*((1/60)*(INDIRECT("'"&amp;$H$3&amp;"'!K168")+INDIRECT("'"&amp;$H$3&amp;"'!$H$19")*(INDIRECT("'"&amp;$H$3&amp;"'!K169")+(INDIRECT("'"&amp;$H$3&amp;"'!K170")*('4_Outputs'!K$187/INDIRECT("'"&amp;$H$3&amp;"'!K$96")/INDIRECT("'"&amp;$H$3&amp;"'!$H$19"))))))))/INDIRECT("'"&amp;$H$3&amp;"'!$H$10"),0)),0)</f>
        <v>0</v>
      </c>
      <c r="L204" s="837"/>
      <c r="M204" s="837"/>
      <c r="N204" s="837">
        <f ca="1">IFERROR(MAX(N194,ROUNDUP(((N203*INDEX(INDIRECT("'"&amp;$H$3&amp;"'!$H$43:$H$78"),MATCH(INDIRECT("'"&amp;$H$3&amp;"'!N156")&amp;"Average duration (hrs) per trip",INDIRECT("'"&amp;$H$3&amp;"'!$F$43:$F$78"),0)))+(N194*((1/60)*(INDIRECT("'"&amp;$H$3&amp;"'!N168")+INDIRECT("'"&amp;$H$3&amp;"'!$H$19")*(INDIRECT("'"&amp;$H$3&amp;"'!N169")+(INDIRECT("'"&amp;$H$3&amp;"'!N170")*('4_Outputs'!N$187/INDIRECT("'"&amp;$H$3&amp;"'!N$96")/INDIRECT("'"&amp;$H$3&amp;"'!$H$19"))))))))/INDIRECT("'"&amp;$H$3&amp;"'!$H$10"),0)),0)</f>
        <v>0</v>
      </c>
      <c r="O204" s="837"/>
      <c r="P204" s="837"/>
      <c r="Q204" s="837">
        <f ca="1">IFERROR(MAX(Q194,ROUNDUP(((Q203*INDEX(INDIRECT("'"&amp;$H$3&amp;"'!$H$43:$H$78"),MATCH(INDIRECT("'"&amp;$H$3&amp;"'!Q156")&amp;"Average duration (hrs) per trip",INDIRECT("'"&amp;$H$3&amp;"'!$F$43:$F$78"),0)))+(Q194*((1/60)*(INDIRECT("'"&amp;$H$3&amp;"'!Q168")+INDIRECT("'"&amp;$H$3&amp;"'!$H$19")*(INDIRECT("'"&amp;$H$3&amp;"'!Q169")+(INDIRECT("'"&amp;$H$3&amp;"'!Q170")*('4_Outputs'!Q$187/INDIRECT("'"&amp;$H$3&amp;"'!Q$96")/INDIRECT("'"&amp;$H$3&amp;"'!$H$19"))))))))/INDIRECT("'"&amp;$H$3&amp;"'!$H$10"),0)),0)</f>
        <v>0</v>
      </c>
      <c r="R204" s="837"/>
      <c r="S204" s="837"/>
      <c r="T204" s="837">
        <f ca="1">IFERROR(MAX(T194,ROUNDUP(((T203*INDEX(INDIRECT("'"&amp;$H$3&amp;"'!$H$43:$H$78"),MATCH(INDIRECT("'"&amp;$H$3&amp;"'!T156")&amp;"Average duration (hrs) per trip",INDIRECT("'"&amp;$H$3&amp;"'!$F$43:$F$78"),0)))+(T194*((1/60)*(INDIRECT("'"&amp;$H$3&amp;"'!T168")+INDIRECT("'"&amp;$H$3&amp;"'!$H$19")*(INDIRECT("'"&amp;$H$3&amp;"'!T169")+(INDIRECT("'"&amp;$H$3&amp;"'!T170")*('4_Outputs'!T$187/INDIRECT("'"&amp;$H$3&amp;"'!T$96")/INDIRECT("'"&amp;$H$3&amp;"'!$H$19"))))))))/INDIRECT("'"&amp;$H$3&amp;"'!$H$10"),0)),0)</f>
        <v>0</v>
      </c>
      <c r="U204" s="837"/>
      <c r="V204" s="837"/>
      <c r="W204" s="837">
        <f ca="1">IFERROR(MAX(W194,ROUNDUP(((W203*INDEX(INDIRECT("'"&amp;$H$3&amp;"'!$H$43:$H$78"),MATCH(INDIRECT("'"&amp;$H$3&amp;"'!W156")&amp;"Average duration (hrs) per trip",INDIRECT("'"&amp;$H$3&amp;"'!$F$43:$F$78"),0)))+(W194*((1/60)*(INDIRECT("'"&amp;$H$3&amp;"'!W168")+INDIRECT("'"&amp;$H$3&amp;"'!$H$19")*(INDIRECT("'"&amp;$H$3&amp;"'!W169")+(INDIRECT("'"&amp;$H$3&amp;"'!W170")*('4_Outputs'!W$187/INDIRECT("'"&amp;$H$3&amp;"'!W$96")/INDIRECT("'"&amp;$H$3&amp;"'!$H$19"))))))))/INDIRECT("'"&amp;$H$3&amp;"'!$H$10"),0)),0)</f>
        <v>0</v>
      </c>
      <c r="X204" s="1468"/>
      <c r="Y204" s="36"/>
      <c r="Z204" s="36"/>
      <c r="AA204" s="36"/>
      <c r="AB204" s="36"/>
      <c r="AC204" s="36"/>
      <c r="AD204" s="36"/>
      <c r="AE204" s="36"/>
      <c r="AF204" s="36"/>
      <c r="AG204" s="36"/>
      <c r="AH204" s="36"/>
      <c r="AI204" s="36"/>
      <c r="AJ204" s="36"/>
      <c r="AK204" s="242"/>
      <c r="AL204" s="36"/>
      <c r="AM204" s="36"/>
      <c r="AN204" s="36"/>
    </row>
    <row r="205" spans="6:40" ht="15" customHeight="1" outlineLevel="1">
      <c r="F205" s="1647" t="s">
        <v>148</v>
      </c>
      <c r="G205" s="1614"/>
      <c r="H205" s="848"/>
      <c r="I205" s="848"/>
      <c r="J205" s="848"/>
      <c r="K205" s="848"/>
      <c r="L205" s="848"/>
      <c r="M205" s="848"/>
      <c r="N205" s="848"/>
      <c r="O205" s="848"/>
      <c r="P205" s="848"/>
      <c r="Q205" s="848"/>
      <c r="R205" s="1646"/>
      <c r="S205" s="1646"/>
      <c r="T205" s="848"/>
      <c r="U205" s="1646"/>
      <c r="V205" s="1646"/>
      <c r="W205" s="848"/>
      <c r="X205" s="1471"/>
      <c r="Y205" s="36"/>
      <c r="Z205" s="36"/>
      <c r="AA205" s="36"/>
      <c r="AB205" s="36"/>
      <c r="AC205" s="36"/>
      <c r="AD205" s="36"/>
      <c r="AE205" s="36"/>
      <c r="AF205" s="36"/>
      <c r="AG205" s="36"/>
      <c r="AH205" s="36"/>
      <c r="AI205" s="36"/>
      <c r="AJ205" s="36"/>
      <c r="AK205" s="242"/>
      <c r="AL205" s="36"/>
      <c r="AM205" s="36"/>
      <c r="AN205" s="36"/>
    </row>
    <row r="206" spans="6:40" ht="15" customHeight="1" outlineLevel="1">
      <c r="F206" s="86"/>
      <c r="G206" s="51" t="s">
        <v>151</v>
      </c>
      <c r="H206" s="836"/>
      <c r="I206" s="836"/>
      <c r="J206" s="836"/>
      <c r="K206" s="836">
        <f ca="1">IFERROR(IF(COUNTIF(INDIRECT("'"&amp;$H$3&amp;"'!K156"),"Public Transport*")&lt;1,ROUND(INDIRECT("'"&amp;$H$3&amp;"'!K$95")*INDIRECT("'"&amp;$H$3&amp;"'!K155"),0),0),0)</f>
        <v>0</v>
      </c>
      <c r="L206" s="836"/>
      <c r="M206" s="836"/>
      <c r="N206" s="836">
        <f ca="1">IFERROR(IF(COUNTIF(INDIRECT("'"&amp;$H$3&amp;"'!N156"),"Public Transport*")&lt;1,ROUND(INDIRECT("'"&amp;$H$3&amp;"'!N$95")*INDIRECT("'"&amp;$H$3&amp;"'!N155"),0),0),0)</f>
        <v>0</v>
      </c>
      <c r="O206" s="836"/>
      <c r="P206" s="836"/>
      <c r="Q206" s="836">
        <f ca="1">IFERROR(IF(COUNTIF(INDIRECT("'"&amp;$H$3&amp;"'!Q156"),"Public Transport*")&lt;1,ROUND(INDIRECT("'"&amp;$H$3&amp;"'!Q$95")*INDIRECT("'"&amp;$H$3&amp;"'!Q155"),0),0),0)</f>
        <v>0</v>
      </c>
      <c r="R206" s="1652"/>
      <c r="S206" s="1652"/>
      <c r="T206" s="836">
        <f ca="1">IFERROR(IF(COUNTIF(INDIRECT("'"&amp;$H$3&amp;"'!T156"),"Public Transport*")&lt;1,ROUND(INDIRECT("'"&amp;$H$3&amp;"'!T$95")*INDIRECT("'"&amp;$H$3&amp;"'!T155"),0),0),0)</f>
        <v>0</v>
      </c>
      <c r="U206" s="1652"/>
      <c r="V206" s="1652"/>
      <c r="W206" s="836">
        <f ca="1">IFERROR(IF(COUNTIF(INDIRECT("'"&amp;$H$3&amp;"'!W156"),"Public Transport*")&lt;1,ROUND(INDIRECT("'"&amp;$H$3&amp;"'!W$95")*INDIRECT("'"&amp;$H$3&amp;"'!W155"),0),0),0)</f>
        <v>0</v>
      </c>
      <c r="X206" s="1469"/>
      <c r="Y206" s="36"/>
      <c r="Z206" s="36"/>
      <c r="AA206" s="36"/>
      <c r="AB206" s="36"/>
      <c r="AC206" s="36"/>
      <c r="AD206" s="36"/>
      <c r="AE206" s="36"/>
      <c r="AF206" s="36"/>
      <c r="AG206" s="36"/>
      <c r="AH206" s="36"/>
      <c r="AI206" s="36"/>
      <c r="AJ206" s="36"/>
      <c r="AK206" s="242"/>
      <c r="AL206" s="36"/>
      <c r="AM206" s="36"/>
      <c r="AN206" s="36"/>
    </row>
    <row r="207" spans="6:40" ht="15" customHeight="1" outlineLevel="1">
      <c r="F207" s="52"/>
      <c r="G207" s="51" t="s">
        <v>58</v>
      </c>
      <c r="H207" s="837"/>
      <c r="I207" s="837"/>
      <c r="J207" s="837"/>
      <c r="K207" s="837">
        <f ca="1">IFERROR(IF(INDIRECT("'"&amp;$H$3&amp;"'!K163")="Route-based",K216*K217,IF(INDIRECT("'"&amp;$H$3&amp;"'!K163")="Point-to-point",K221*K222,0)),0)</f>
        <v>0</v>
      </c>
      <c r="L207" s="837"/>
      <c r="M207" s="837"/>
      <c r="N207" s="837">
        <f ca="1">IFERROR(IF(INDIRECT("'"&amp;$H$3&amp;"'!N163")="Route-based",N216*N217,IF(INDIRECT("'"&amp;$H$3&amp;"'!N163")="Point-to-point",N221*N222,0)),0)</f>
        <v>0</v>
      </c>
      <c r="O207" s="837"/>
      <c r="P207" s="837"/>
      <c r="Q207" s="837">
        <f ca="1">IFERROR(IF(INDIRECT("'"&amp;$H$3&amp;"'!Q163")="Route-based",Q216*Q217,IF(INDIRECT("'"&amp;$H$3&amp;"'!Q163")="Point-to-point",Q221*Q222,0)),0)</f>
        <v>0</v>
      </c>
      <c r="R207" s="1650"/>
      <c r="S207" s="1650"/>
      <c r="T207" s="837">
        <f ca="1">IFERROR(IF(INDIRECT("'"&amp;$H$3&amp;"'!T163")="Route-based",T216*T217,IF(INDIRECT("'"&amp;$H$3&amp;"'!T163")="Point-to-point",T221*T222,0)),0)</f>
        <v>0</v>
      </c>
      <c r="U207" s="1650"/>
      <c r="V207" s="1650"/>
      <c r="W207" s="837">
        <f ca="1">IFERROR(IF(INDIRECT("'"&amp;$H$3&amp;"'!W163")="Route-based",W216*W217,IF(INDIRECT("'"&amp;$H$3&amp;"'!W163")="Point-to-point",W221*W222,0)),0)</f>
        <v>0</v>
      </c>
      <c r="X207" s="1472"/>
      <c r="Y207" s="36"/>
      <c r="Z207" s="36"/>
      <c r="AA207" s="36"/>
      <c r="AB207" s="36"/>
      <c r="AC207" s="36"/>
      <c r="AD207" s="36"/>
      <c r="AE207" s="36"/>
      <c r="AF207" s="36"/>
      <c r="AG207" s="36"/>
      <c r="AH207" s="36"/>
      <c r="AI207" s="36"/>
      <c r="AJ207" s="36"/>
      <c r="AK207" s="242"/>
      <c r="AL207" s="36"/>
      <c r="AM207" s="36"/>
      <c r="AN207" s="36"/>
    </row>
    <row r="208" spans="6:40" ht="15" customHeight="1" outlineLevel="1">
      <c r="F208" s="52"/>
      <c r="G208" s="51" t="s">
        <v>389</v>
      </c>
      <c r="H208" s="837"/>
      <c r="I208" s="837"/>
      <c r="J208" s="837"/>
      <c r="K208" s="837">
        <f ca="1">IFERROR(IF(INDIRECT("'"&amp;$H$3&amp;"'!K183")="Route-based",K216,IF(INDIRECT("'"&amp;$H$3&amp;"'!K183")="Point-to-point",K221,0)),"")</f>
        <v>0</v>
      </c>
      <c r="L208" s="837"/>
      <c r="M208" s="837"/>
      <c r="N208" s="837">
        <f ca="1">IFERROR(IF(INDIRECT("'"&amp;$H$3&amp;"'!N183")="Route-based",N216,IF(INDIRECT("'"&amp;$H$3&amp;"'!N183")="Point-to-point",N221,0)),"")</f>
        <v>0</v>
      </c>
      <c r="O208" s="837"/>
      <c r="P208" s="837"/>
      <c r="Q208" s="837">
        <f ca="1">IFERROR(IF(INDIRECT("'"&amp;$H$3&amp;"'!Q183")="Route-based",Q216,IF(INDIRECT("'"&amp;$H$3&amp;"'!Q183")="Point-to-point",Q221,0)),"")</f>
        <v>0</v>
      </c>
      <c r="R208" s="1650"/>
      <c r="S208" s="1650"/>
      <c r="T208" s="837">
        <f ca="1">IFERROR(IF(INDIRECT("'"&amp;$H$3&amp;"'!T183")="Route-based",T216,IF(INDIRECT("'"&amp;$H$3&amp;"'!T183")="Point-to-point",T221,0)),"")</f>
        <v>0</v>
      </c>
      <c r="U208" s="1650"/>
      <c r="V208" s="1650"/>
      <c r="W208" s="837">
        <f ca="1">IFERROR(IF(INDIRECT("'"&amp;$H$3&amp;"'!W183")="Route-based",W216,IF(INDIRECT("'"&amp;$H$3&amp;"'!W183")="Point-to-point",W221,0)),"")</f>
        <v>0</v>
      </c>
      <c r="X208" s="1472"/>
      <c r="Y208" s="36"/>
      <c r="Z208" s="36"/>
      <c r="AA208" s="36"/>
      <c r="AB208" s="36"/>
      <c r="AC208" s="36"/>
      <c r="AD208" s="36"/>
      <c r="AE208" s="36"/>
      <c r="AF208" s="36"/>
      <c r="AG208" s="36"/>
      <c r="AH208" s="36"/>
      <c r="AI208" s="36"/>
      <c r="AJ208" s="36"/>
      <c r="AK208" s="242"/>
      <c r="AL208" s="36"/>
      <c r="AM208" s="36"/>
      <c r="AN208" s="36"/>
    </row>
    <row r="209" spans="6:40" ht="15" customHeight="1" outlineLevel="1">
      <c r="F209" s="52"/>
      <c r="G209" s="51" t="s">
        <v>49</v>
      </c>
      <c r="H209" s="837"/>
      <c r="I209" s="837"/>
      <c r="J209" s="837"/>
      <c r="K209" s="837">
        <f ca="1">IFERROR(IF(INDIRECT("'"&amp;$H$3&amp;"'!K163")="Route-based",ROUND(K218*K216/INDIRECT("'"&amp;$H$3&amp;"'!$H$10"),0),IF(INDIRECT("'"&amp;$H$3&amp;"'!K163")="Point-to-point",ROUND(((K221*((1/60)*(INDIRECT("'"&amp;$H$3&amp;"'!K168")+INDIRECT("'"&amp;$H$3&amp;"'!$H$19")*(INDIRECT("'"&amp;$H$3&amp;"'!K169")+(INDIRECT("'"&amp;$H$3&amp;"'!K170")*(MIN(('4_Outputs'!K$187/INDIRECT("'"&amp;$H$3&amp;"'!K$96")),INDEX(INDIRECT("'"&amp;$H$3&amp;"'!$H$49:$H$78"),MATCH(INDIRECT("'"&amp;$H$3&amp;"'!K156")&amp;"Delivery Capacity (m^3)",INDIRECT("'"&amp;$H$3&amp;"'!$F$49:$F$78"),0)))/INDIRECT("'"&amp;$H$3&amp;"'!$H$19")))))))+(K207/INDIRECT("'"&amp;$H$3&amp;"'!K172")))/INDIRECT("'"&amp;$H$3&amp;"'!$H$10"),0),0)),0)</f>
        <v>0</v>
      </c>
      <c r="L209" s="837"/>
      <c r="M209" s="837"/>
      <c r="N209" s="837">
        <f ca="1">IFERROR(IF(INDIRECT("'"&amp;$H$3&amp;"'!N163")="Route-based",ROUND(N218*N216/INDIRECT("'"&amp;$H$3&amp;"'!$H$10"),0),IF(INDIRECT("'"&amp;$H$3&amp;"'!N163")="Point-to-point",ROUND(((N221*((1/60)*(INDIRECT("'"&amp;$H$3&amp;"'!N168")+INDIRECT("'"&amp;$H$3&amp;"'!$H$19")*(INDIRECT("'"&amp;$H$3&amp;"'!N169")+(INDIRECT("'"&amp;$H$3&amp;"'!N170")*(MIN(('4_Outputs'!N$187/INDIRECT("'"&amp;$H$3&amp;"'!N$96")),INDEX(INDIRECT("'"&amp;$H$3&amp;"'!$H$49:$H$78"),MATCH(INDIRECT("'"&amp;$H$3&amp;"'!N156")&amp;"Delivery Capacity (m^3)",INDIRECT("'"&amp;$H$3&amp;"'!$F$49:$F$78"),0)))/INDIRECT("'"&amp;$H$3&amp;"'!$H$19")))))))+(N207/INDIRECT("'"&amp;$H$3&amp;"'!N172")))/INDIRECT("'"&amp;$H$3&amp;"'!$H$10"),0),0)),0)</f>
        <v>0</v>
      </c>
      <c r="O209" s="837"/>
      <c r="P209" s="837"/>
      <c r="Q209" s="837">
        <f ca="1">IFERROR(IF(INDIRECT("'"&amp;$H$3&amp;"'!Q163")="Route-based",ROUND(Q218*Q216/INDIRECT("'"&amp;$H$3&amp;"'!$H$10"),0),IF(INDIRECT("'"&amp;$H$3&amp;"'!Q163")="Point-to-point",ROUND(((Q221*((1/60)*(INDIRECT("'"&amp;$H$3&amp;"'!Q168")+INDIRECT("'"&amp;$H$3&amp;"'!$H$19")*(INDIRECT("'"&amp;$H$3&amp;"'!Q169")+(INDIRECT("'"&amp;$H$3&amp;"'!Q170")*(MIN(('4_Outputs'!Q$187/INDIRECT("'"&amp;$H$3&amp;"'!Q$96")),INDEX(INDIRECT("'"&amp;$H$3&amp;"'!$H$49:$H$78"),MATCH(INDIRECT("'"&amp;$H$3&amp;"'!Q156")&amp;"Delivery Capacity (m^3)",INDIRECT("'"&amp;$H$3&amp;"'!$F$49:$F$78"),0)))/INDIRECT("'"&amp;$H$3&amp;"'!$H$19")))))))+(Q207/INDIRECT("'"&amp;$H$3&amp;"'!Q172")))/INDIRECT("'"&amp;$H$3&amp;"'!$H$10"),0),0)),0)</f>
        <v>0</v>
      </c>
      <c r="R209" s="837"/>
      <c r="S209" s="837"/>
      <c r="T209" s="837">
        <f ca="1">IFERROR(IF(INDIRECT("'"&amp;$H$3&amp;"'!T163")="Route-based",ROUND(T218*T216/INDIRECT("'"&amp;$H$3&amp;"'!$H$10"),0),IF(INDIRECT("'"&amp;$H$3&amp;"'!T163")="Point-to-point",ROUND(((T221*((1/60)*(INDIRECT("'"&amp;$H$3&amp;"'!T168")+INDIRECT("'"&amp;$H$3&amp;"'!$H$19")*(INDIRECT("'"&amp;$H$3&amp;"'!T169")+(INDIRECT("'"&amp;$H$3&amp;"'!T170")*(MIN(('4_Outputs'!T$187/INDIRECT("'"&amp;$H$3&amp;"'!T$96")),INDEX(INDIRECT("'"&amp;$H$3&amp;"'!$H$49:$H$78"),MATCH(INDIRECT("'"&amp;$H$3&amp;"'!T156")&amp;"Delivery Capacity (m^3)",INDIRECT("'"&amp;$H$3&amp;"'!$F$49:$F$78"),0)))/INDIRECT("'"&amp;$H$3&amp;"'!$H$19")))))))+(T207/INDIRECT("'"&amp;$H$3&amp;"'!T172")))/INDIRECT("'"&amp;$H$3&amp;"'!$H$10"),0),0)),0)</f>
        <v>0</v>
      </c>
      <c r="U209" s="837"/>
      <c r="V209" s="837"/>
      <c r="W209" s="837">
        <f ca="1">IFERROR(IF(INDIRECT("'"&amp;$H$3&amp;"'!W163")="Route-based",ROUND(W218*W216/INDIRECT("'"&amp;$H$3&amp;"'!$H$10"),0),IF(INDIRECT("'"&amp;$H$3&amp;"'!W163")="Point-to-point",ROUND(((W221*((1/60)*(INDIRECT("'"&amp;$H$3&amp;"'!W168")+INDIRECT("'"&amp;$H$3&amp;"'!$H$19")*(INDIRECT("'"&amp;$H$3&amp;"'!W169")+(INDIRECT("'"&amp;$H$3&amp;"'!W170")*(MIN(('4_Outputs'!W$187/INDIRECT("'"&amp;$H$3&amp;"'!W$96")),INDEX(INDIRECT("'"&amp;$H$3&amp;"'!$H$49:$H$78"),MATCH(INDIRECT("'"&amp;$H$3&amp;"'!W156")&amp;"Delivery Capacity (m^3)",INDIRECT("'"&amp;$H$3&amp;"'!$F$49:$F$78"),0)))/INDIRECT("'"&amp;$H$3&amp;"'!$H$19")))))))+(W207/INDIRECT("'"&amp;$H$3&amp;"'!W172")))/INDIRECT("'"&amp;$H$3&amp;"'!$H$10"),0),0)),0)</f>
        <v>0</v>
      </c>
      <c r="X209" s="1472"/>
      <c r="Y209" s="36"/>
      <c r="Z209" s="36"/>
      <c r="AA209" s="36"/>
      <c r="AB209" s="36"/>
      <c r="AC209" s="36"/>
      <c r="AD209" s="36"/>
      <c r="AE209" s="36"/>
      <c r="AF209" s="36"/>
      <c r="AG209" s="36"/>
      <c r="AH209" s="36"/>
      <c r="AI209" s="36"/>
      <c r="AJ209" s="36"/>
      <c r="AK209" s="36"/>
      <c r="AL209" s="36"/>
      <c r="AM209" s="36"/>
      <c r="AN209" s="36"/>
    </row>
    <row r="210" spans="6:40" ht="15" customHeight="1" outlineLevel="1">
      <c r="F210" s="52"/>
      <c r="G210" s="51" t="s">
        <v>189</v>
      </c>
      <c r="H210" s="839"/>
      <c r="I210" s="839"/>
      <c r="J210" s="839"/>
      <c r="K210" s="839">
        <f ca="1">IFERROR(IF(INDIRECT("'"&amp;$H$3&amp;"'!K163")="Route-based",('4_Outputs'!K$187*K206)/(K216*INDEX(INDIRECT("'"&amp;$H$3&amp;"'!$H$49:$H$78"),MATCH(INDIRECT("'"&amp;$H$3&amp;"'!K156")&amp;"Delivery Capacity (m^3)",INDIRECT("'"&amp;$H$3&amp;"'!$F$49:$F$78"),0))),IF(INDIRECT("'"&amp;$H$3&amp;"'!K163")="Point-to-point",('4_Outputs'!K$187*K206)/(K221*INDEX(INDIRECT("'"&amp;$H$3&amp;"'!$H$49:$H$78"),MATCH(INDIRECT("'"&amp;$H$3&amp;"'!K156")&amp;"Delivery Capacity (m^3)",INDIRECT("'"&amp;$H$3&amp;"'!$F$49:$F$78"),0))),0)),0)</f>
        <v>0</v>
      </c>
      <c r="L210" s="839"/>
      <c r="M210" s="839"/>
      <c r="N210" s="839">
        <f ca="1">IFERROR(IF(INDIRECT("'"&amp;$H$3&amp;"'!N163")="Route-based",('4_Outputs'!N$187*N206)/(N216*INDEX(INDIRECT("'"&amp;$H$3&amp;"'!$H$49:$H$78"),MATCH(INDIRECT("'"&amp;$H$3&amp;"'!N156")&amp;"Delivery Capacity (m^3)",INDIRECT("'"&amp;$H$3&amp;"'!$F$49:$F$78"),0))),IF(INDIRECT("'"&amp;$H$3&amp;"'!N163")="Point-to-point",('4_Outputs'!N$187*N206)/(N221*INDEX(INDIRECT("'"&amp;$H$3&amp;"'!$H$49:$H$78"),MATCH(INDIRECT("'"&amp;$H$3&amp;"'!N156")&amp;"Delivery Capacity (m^3)",INDIRECT("'"&amp;$H$3&amp;"'!$F$49:$F$78"),0))),0)),0)</f>
        <v>0</v>
      </c>
      <c r="O210" s="839"/>
      <c r="P210" s="839"/>
      <c r="Q210" s="839">
        <f ca="1">IFERROR(IF(INDIRECT("'"&amp;$H$3&amp;"'!Q163")="Route-based",('4_Outputs'!Q$187*Q206)/(Q216*INDEX(INDIRECT("'"&amp;$H$3&amp;"'!$H$49:$H$78"),MATCH(INDIRECT("'"&amp;$H$3&amp;"'!Q156")&amp;"Delivery Capacity (m^3)",INDIRECT("'"&amp;$H$3&amp;"'!$F$49:$F$78"),0))),IF(INDIRECT("'"&amp;$H$3&amp;"'!Q163")="Point-to-point",('4_Outputs'!Q$187*Q206)/(Q221*INDEX(INDIRECT("'"&amp;$H$3&amp;"'!$H$49:$H$78"),MATCH(INDIRECT("'"&amp;$H$3&amp;"'!Q156")&amp;"Delivery Capacity (m^3)",INDIRECT("'"&amp;$H$3&amp;"'!$F$49:$F$78"),0))),0)),0)</f>
        <v>0</v>
      </c>
      <c r="R210" s="839"/>
      <c r="S210" s="839"/>
      <c r="T210" s="839">
        <f ca="1">IFERROR(IF(INDIRECT("'"&amp;$H$3&amp;"'!T163")="Route-based",('4_Outputs'!T$187*T206)/(T216*INDEX(INDIRECT("'"&amp;$H$3&amp;"'!$H$49:$H$78"),MATCH(INDIRECT("'"&amp;$H$3&amp;"'!T156")&amp;"Delivery Capacity (m^3)",INDIRECT("'"&amp;$H$3&amp;"'!$F$49:$F$78"),0))),IF(INDIRECT("'"&amp;$H$3&amp;"'!T163")="Point-to-point",('4_Outputs'!T$187*T206)/(T221*INDEX(INDIRECT("'"&amp;$H$3&amp;"'!$H$49:$H$78"),MATCH(INDIRECT("'"&amp;$H$3&amp;"'!T156")&amp;"Delivery Capacity (m^3)",INDIRECT("'"&amp;$H$3&amp;"'!$F$49:$F$78"),0))),0)),0)</f>
        <v>0</v>
      </c>
      <c r="U210" s="839"/>
      <c r="V210" s="839"/>
      <c r="W210" s="839">
        <f ca="1">IFERROR(IF(INDIRECT("'"&amp;$H$3&amp;"'!W163")="Route-based",('4_Outputs'!W$187*W206)/(W216*INDEX(INDIRECT("'"&amp;$H$3&amp;"'!$H$49:$H$78"),MATCH(INDIRECT("'"&amp;$H$3&amp;"'!W156")&amp;"Delivery Capacity (m^3)",INDIRECT("'"&amp;$H$3&amp;"'!$F$49:$F$78"),0))),IF(INDIRECT("'"&amp;$H$3&amp;"'!W163")="Point-to-point",('4_Outputs'!W$187*W206)/(W221*INDEX(INDIRECT("'"&amp;$H$3&amp;"'!$H$49:$H$78"),MATCH(INDIRECT("'"&amp;$H$3&amp;"'!W156")&amp;"Delivery Capacity (m^3)",INDIRECT("'"&amp;$H$3&amp;"'!$F$49:$F$78"),0))),0)),0)</f>
        <v>0</v>
      </c>
      <c r="X210" s="1473"/>
      <c r="Y210" s="36"/>
      <c r="Z210" s="36"/>
      <c r="AA210" s="36"/>
      <c r="AB210" s="36"/>
      <c r="AC210" s="36"/>
      <c r="AD210" s="36"/>
      <c r="AE210" s="36"/>
      <c r="AF210" s="36"/>
      <c r="AG210" s="36"/>
      <c r="AH210" s="36"/>
      <c r="AI210" s="36"/>
      <c r="AJ210" s="36"/>
      <c r="AK210" s="36" t="s">
        <v>191</v>
      </c>
      <c r="AL210" s="36"/>
      <c r="AM210" s="36"/>
      <c r="AN210" s="36"/>
    </row>
    <row r="211" spans="6:40" ht="15" customHeight="1" outlineLevel="1">
      <c r="F211" s="52"/>
      <c r="G211" s="51" t="s">
        <v>201</v>
      </c>
      <c r="H211" s="839"/>
      <c r="I211" s="839"/>
      <c r="J211" s="839"/>
      <c r="K211" s="839">
        <f ca="1">IFERROR((K209+IF(INDIRECT("'"&amp;$H$3&amp;"'!K225")="Yes",K310,0)+IF(INDIRECT("'"&amp;$H$3&amp;"'!K289")="Yes",K399,0))/(INDIRECT("'"&amp;$H$3&amp;"'!K160")*INDIRECT("'"&amp;$H$3&amp;"'!$H$9")),0)</f>
        <v>0</v>
      </c>
      <c r="L211" s="839"/>
      <c r="M211" s="839"/>
      <c r="N211" s="839">
        <f ca="1">IFERROR((N209+IF(INDIRECT("'"&amp;$H$3&amp;"'!N225")="Yes",N310,0)+IF(INDIRECT("'"&amp;$H$3&amp;"'!N289")="Yes",N399,0))/(INDIRECT("'"&amp;$H$3&amp;"'!N160")*INDIRECT("'"&amp;$H$3&amp;"'!$H$9")),0)</f>
        <v>0</v>
      </c>
      <c r="O211" s="839"/>
      <c r="P211" s="839"/>
      <c r="Q211" s="839">
        <f ca="1">IFERROR((Q209+IF(INDIRECT("'"&amp;$H$3&amp;"'!Q225")="Yes",Q310,0)+IF(INDIRECT("'"&amp;$H$3&amp;"'!Q289")="Yes",Q399,0))/(INDIRECT("'"&amp;$H$3&amp;"'!Q160")*INDIRECT("'"&amp;$H$3&amp;"'!$H$9")),0)</f>
        <v>0</v>
      </c>
      <c r="R211" s="839"/>
      <c r="S211" s="839"/>
      <c r="T211" s="839">
        <f ca="1">IFERROR((T209+IF(INDIRECT("'"&amp;$H$3&amp;"'!T225")="Yes",T310,0)+IF(INDIRECT("'"&amp;$H$3&amp;"'!T289")="Yes",T399,0))/(INDIRECT("'"&amp;$H$3&amp;"'!T160")*INDIRECT("'"&amp;$H$3&amp;"'!$H$9")),0)</f>
        <v>0</v>
      </c>
      <c r="U211" s="839"/>
      <c r="V211" s="839"/>
      <c r="W211" s="839">
        <f ca="1">IFERROR((W209+IF(INDIRECT("'"&amp;$H$3&amp;"'!W225")="Yes",W310,0)+IF(INDIRECT("'"&amp;$H$3&amp;"'!W289")="Yes",W399,0))/(INDIRECT("'"&amp;$H$3&amp;"'!W160")*INDIRECT("'"&amp;$H$3&amp;"'!$H$9")),0)</f>
        <v>0</v>
      </c>
      <c r="X211" s="1473"/>
      <c r="Y211" s="36"/>
      <c r="Z211" s="36"/>
      <c r="AA211" s="36"/>
      <c r="AB211" s="36"/>
      <c r="AC211" s="36"/>
      <c r="AD211" s="36"/>
      <c r="AE211" s="36"/>
      <c r="AF211" s="36"/>
      <c r="AG211" s="36"/>
      <c r="AH211" s="36"/>
      <c r="AI211" s="36"/>
      <c r="AJ211" s="36"/>
      <c r="AK211" s="36"/>
      <c r="AL211" s="36"/>
      <c r="AM211" s="36"/>
      <c r="AN211" s="36"/>
    </row>
    <row r="212" spans="6:40" ht="15" customHeight="1" outlineLevel="1">
      <c r="F212" s="52"/>
      <c r="G212" s="1613" t="s">
        <v>133</v>
      </c>
      <c r="H212" s="842"/>
      <c r="I212" s="842"/>
      <c r="J212" s="842"/>
      <c r="K212" s="842"/>
      <c r="L212" s="842"/>
      <c r="M212" s="842"/>
      <c r="N212" s="842"/>
      <c r="O212" s="842"/>
      <c r="P212" s="842"/>
      <c r="Q212" s="842"/>
      <c r="R212" s="1650"/>
      <c r="S212" s="1650"/>
      <c r="T212" s="842"/>
      <c r="U212" s="1650"/>
      <c r="V212" s="1650"/>
      <c r="W212" s="842"/>
      <c r="X212" s="1470"/>
      <c r="Y212" s="36"/>
      <c r="Z212" s="36"/>
      <c r="AA212" s="36"/>
      <c r="AB212" s="36"/>
      <c r="AC212" s="36"/>
      <c r="AD212" s="36"/>
      <c r="AE212" s="36"/>
      <c r="AF212" s="36"/>
      <c r="AG212" s="36"/>
      <c r="AH212" s="36"/>
      <c r="AI212" s="36"/>
      <c r="AJ212" s="36"/>
      <c r="AK212" s="36"/>
      <c r="AL212" s="36"/>
      <c r="AM212" s="36"/>
      <c r="AN212" s="36"/>
    </row>
    <row r="213" spans="6:40" ht="15" customHeight="1" outlineLevel="1">
      <c r="F213" s="52"/>
      <c r="G213" s="51" t="s">
        <v>127</v>
      </c>
      <c r="H213" s="836"/>
      <c r="I213" s="836"/>
      <c r="J213" s="836"/>
      <c r="K213" s="836">
        <f ca="1">IFERROR(INDEX(INDIRECT("'"&amp;$H$3&amp;"'!$H$49:$H$78"),MATCH(INDIRECT("'"&amp;$H$3&amp;"'!K156")&amp;"Delivery Capacity (m^3)",INDIRECT("'"&amp;$H$3&amp;"'!$F$49:$F$78"),0))/('4_Outputs'!K$187/INDIRECT("'"&amp;$H$3&amp;"'!K$96")),0)</f>
        <v>0</v>
      </c>
      <c r="L213" s="836"/>
      <c r="M213" s="836"/>
      <c r="N213" s="836">
        <f ca="1">IFERROR(INDEX(INDIRECT("'"&amp;$H$3&amp;"'!$H$49:$H$78"),MATCH(INDIRECT("'"&amp;$H$3&amp;"'!N156")&amp;"Delivery Capacity (m^3)",INDIRECT("'"&amp;$H$3&amp;"'!$F$49:$F$78"),0))/('4_Outputs'!N$187/INDIRECT("'"&amp;$H$3&amp;"'!N$96")),0)</f>
        <v>0</v>
      </c>
      <c r="O213" s="836"/>
      <c r="P213" s="836"/>
      <c r="Q213" s="836">
        <f ca="1">IFERROR(INDEX(INDIRECT("'"&amp;$H$3&amp;"'!$H$49:$H$78"),MATCH(INDIRECT("'"&amp;$H$3&amp;"'!Q156")&amp;"Delivery Capacity (m^3)",INDIRECT("'"&amp;$H$3&amp;"'!$F$49:$F$78"),0))/('4_Outputs'!Q$187/INDIRECT("'"&amp;$H$3&amp;"'!Q$96")),0)</f>
        <v>0</v>
      </c>
      <c r="R213" s="836"/>
      <c r="S213" s="836"/>
      <c r="T213" s="836">
        <f ca="1">IFERROR(INDEX(INDIRECT("'"&amp;$H$3&amp;"'!$H$49:$H$78"),MATCH(INDIRECT("'"&amp;$H$3&amp;"'!T156")&amp;"Delivery Capacity (m^3)",INDIRECT("'"&amp;$H$3&amp;"'!$F$49:$F$78"),0))/('4_Outputs'!T$187/INDIRECT("'"&amp;$H$3&amp;"'!T$96")),0)</f>
        <v>0</v>
      </c>
      <c r="U213" s="836"/>
      <c r="V213" s="836"/>
      <c r="W213" s="836">
        <f ca="1">IFERROR(INDEX(INDIRECT("'"&amp;$H$3&amp;"'!$H$49:$H$78"),MATCH(INDIRECT("'"&amp;$H$3&amp;"'!W156")&amp;"Delivery Capacity (m^3)",INDIRECT("'"&amp;$H$3&amp;"'!$F$49:$F$78"),0))/('4_Outputs'!W$187/INDIRECT("'"&amp;$H$3&amp;"'!W$96")),0)</f>
        <v>0</v>
      </c>
      <c r="X213" s="1465"/>
      <c r="Y213" s="36"/>
      <c r="Z213" s="36"/>
      <c r="AA213" s="36"/>
      <c r="AB213" s="36"/>
      <c r="AC213" s="36"/>
      <c r="AD213" s="36"/>
      <c r="AE213" s="36"/>
      <c r="AF213" s="36"/>
      <c r="AG213" s="36"/>
      <c r="AH213" s="36"/>
      <c r="AI213" s="36"/>
      <c r="AJ213" s="36"/>
      <c r="AK213" s="36"/>
      <c r="AL213" s="36"/>
      <c r="AM213" s="36"/>
      <c r="AN213" s="36"/>
    </row>
    <row r="214" spans="6:40" ht="15" customHeight="1" outlineLevel="1" collapsed="1">
      <c r="F214" s="52"/>
      <c r="G214" s="51" t="s">
        <v>128</v>
      </c>
      <c r="H214" s="836"/>
      <c r="I214" s="836"/>
      <c r="J214" s="836"/>
      <c r="K214" s="836">
        <f ca="1">IFERROR(((INDIRECT("'"&amp;$H$3&amp;"'!K164")*INDIRECT("'"&amp;$H$3&amp;"'!$H$10"))-(2*INDIRECT("'"&amp;$H$3&amp;"'!K$98")/INDIRECT("'"&amp;$H$3&amp;"'!K172"))+(INDIRECT("'"&amp;$H$3&amp;"'!K$99")/INDIRECT("'"&amp;$H$3&amp;"'!K171")))/(((1/60)*(INDIRECT("'"&amp;$H$3&amp;"'!K168")+INDIRECT("'"&amp;$H$3&amp;"'!$H$19")*(INDIRECT("'"&amp;$H$3&amp;"'!K169")+(INDIRECT("'"&amp;$H$3&amp;"'!K170")*('4_Outputs'!K$187/INDIRECT("'"&amp;$H$3&amp;"'!K$96")/INDIRECT("'"&amp;$H$3&amp;"'!$H$19"))))))+(INDIRECT("'"&amp;$H$3&amp;"'!K$99")/INDIRECT("'"&amp;$H$3&amp;"'!K171"))),0)</f>
        <v>0</v>
      </c>
      <c r="L214" s="836"/>
      <c r="M214" s="836"/>
      <c r="N214" s="836">
        <f ca="1">IFERROR(((INDIRECT("'"&amp;$H$3&amp;"'!N164")*INDIRECT("'"&amp;$H$3&amp;"'!$H$10"))-(2*INDIRECT("'"&amp;$H$3&amp;"'!N$98")/INDIRECT("'"&amp;$H$3&amp;"'!N172"))+(INDIRECT("'"&amp;$H$3&amp;"'!N$99")/INDIRECT("'"&amp;$H$3&amp;"'!N171")))/(((1/60)*(INDIRECT("'"&amp;$H$3&amp;"'!N168")+INDIRECT("'"&amp;$H$3&amp;"'!$H$19")*(INDIRECT("'"&amp;$H$3&amp;"'!N169")+(INDIRECT("'"&amp;$H$3&amp;"'!N170")*('4_Outputs'!N$187/INDIRECT("'"&amp;$H$3&amp;"'!N$96")/INDIRECT("'"&amp;$H$3&amp;"'!$H$19"))))))+(INDIRECT("'"&amp;$H$3&amp;"'!N$99")/INDIRECT("'"&amp;$H$3&amp;"'!N171"))),0)</f>
        <v>0</v>
      </c>
      <c r="O214" s="836"/>
      <c r="P214" s="836"/>
      <c r="Q214" s="836">
        <f ca="1">IFERROR(((INDIRECT("'"&amp;$H$3&amp;"'!Q164")*INDIRECT("'"&amp;$H$3&amp;"'!$H$10"))-(2*INDIRECT("'"&amp;$H$3&amp;"'!Q$98")/INDIRECT("'"&amp;$H$3&amp;"'!Q172"))+(INDIRECT("'"&amp;$H$3&amp;"'!Q$99")/INDIRECT("'"&amp;$H$3&amp;"'!Q171")))/(((1/60)*(INDIRECT("'"&amp;$H$3&amp;"'!Q168")+INDIRECT("'"&amp;$H$3&amp;"'!$H$19")*(INDIRECT("'"&amp;$H$3&amp;"'!Q169")+(INDIRECT("'"&amp;$H$3&amp;"'!Q170")*('4_Outputs'!Q$187/INDIRECT("'"&amp;$H$3&amp;"'!Q$96")/INDIRECT("'"&amp;$H$3&amp;"'!$H$19"))))))+(INDIRECT("'"&amp;$H$3&amp;"'!Q$99")/INDIRECT("'"&amp;$H$3&amp;"'!Q171"))),0)</f>
        <v>0</v>
      </c>
      <c r="R214" s="836"/>
      <c r="S214" s="836"/>
      <c r="T214" s="836">
        <f ca="1">IFERROR(((INDIRECT("'"&amp;$H$3&amp;"'!T164")*INDIRECT("'"&amp;$H$3&amp;"'!$H$10"))-(2*INDIRECT("'"&amp;$H$3&amp;"'!T$98")/INDIRECT("'"&amp;$H$3&amp;"'!T172"))+(INDIRECT("'"&amp;$H$3&amp;"'!T$99")/INDIRECT("'"&amp;$H$3&amp;"'!T171")))/(((1/60)*(INDIRECT("'"&amp;$H$3&amp;"'!T168")+INDIRECT("'"&amp;$H$3&amp;"'!$H$19")*(INDIRECT("'"&amp;$H$3&amp;"'!T169")+(INDIRECT("'"&amp;$H$3&amp;"'!T170")*('4_Outputs'!T$187/INDIRECT("'"&amp;$H$3&amp;"'!T$96")/INDIRECT("'"&amp;$H$3&amp;"'!$H$19"))))))+(INDIRECT("'"&amp;$H$3&amp;"'!T$99")/INDIRECT("'"&amp;$H$3&amp;"'!T171"))),0)</f>
        <v>0</v>
      </c>
      <c r="U214" s="836"/>
      <c r="V214" s="836"/>
      <c r="W214" s="836">
        <f ca="1">IFERROR(((INDIRECT("'"&amp;$H$3&amp;"'!W164")*INDIRECT("'"&amp;$H$3&amp;"'!$H$10"))-(2*INDIRECT("'"&amp;$H$3&amp;"'!W$98")/INDIRECT("'"&amp;$H$3&amp;"'!W172"))+(INDIRECT("'"&amp;$H$3&amp;"'!W$99")/INDIRECT("'"&amp;$H$3&amp;"'!W171")))/(((1/60)*(INDIRECT("'"&amp;$H$3&amp;"'!W168")+INDIRECT("'"&amp;$H$3&amp;"'!$H$19")*(INDIRECT("'"&amp;$H$3&amp;"'!W169")+(INDIRECT("'"&amp;$H$3&amp;"'!W170")*('4_Outputs'!W$187/INDIRECT("'"&amp;$H$3&amp;"'!W$96")/INDIRECT("'"&amp;$H$3&amp;"'!$H$19"))))))+(INDIRECT("'"&amp;$H$3&amp;"'!W$99")/INDIRECT("'"&amp;$H$3&amp;"'!W171"))),0)</f>
        <v>0</v>
      </c>
      <c r="X214" s="1465"/>
      <c r="Y214" s="36"/>
      <c r="Z214" s="36"/>
      <c r="AA214" s="36"/>
      <c r="AB214" s="36"/>
      <c r="AC214" s="36"/>
      <c r="AD214" s="36"/>
      <c r="AE214" s="36"/>
      <c r="AF214" s="36"/>
      <c r="AG214" s="36"/>
      <c r="AH214" s="36"/>
      <c r="AI214" s="36"/>
      <c r="AJ214" s="36"/>
      <c r="AK214" s="242"/>
      <c r="AL214" s="36"/>
      <c r="AM214" s="36"/>
      <c r="AN214" s="36"/>
    </row>
    <row r="215" spans="6:40" ht="15" customHeight="1" outlineLevel="1">
      <c r="F215" s="52"/>
      <c r="G215" s="51" t="s">
        <v>129</v>
      </c>
      <c r="H215" s="836"/>
      <c r="I215" s="836"/>
      <c r="J215" s="836"/>
      <c r="K215" s="836">
        <f ca="1">IFERROR(MIN(K214,K213),0)</f>
        <v>0</v>
      </c>
      <c r="L215" s="836"/>
      <c r="M215" s="836"/>
      <c r="N215" s="836">
        <f ca="1">IFERROR(MIN(N214,N213),0)</f>
        <v>0</v>
      </c>
      <c r="O215" s="836"/>
      <c r="P215" s="836"/>
      <c r="Q215" s="836">
        <f ca="1">IFERROR(MIN(Q214,Q213),0)</f>
        <v>0</v>
      </c>
      <c r="R215" s="836"/>
      <c r="S215" s="836"/>
      <c r="T215" s="836">
        <f ca="1">IFERROR(MIN(T214,T213),0)</f>
        <v>0</v>
      </c>
      <c r="U215" s="836"/>
      <c r="V215" s="836"/>
      <c r="W215" s="836">
        <f ca="1">IFERROR(MIN(W214,W213),0)</f>
        <v>0</v>
      </c>
      <c r="X215" s="1465"/>
      <c r="Y215" s="36"/>
      <c r="Z215" s="36"/>
      <c r="AA215" s="36"/>
      <c r="AB215" s="36"/>
      <c r="AC215" s="36"/>
      <c r="AD215" s="36"/>
      <c r="AE215" s="36"/>
      <c r="AF215" s="36"/>
      <c r="AG215" s="36"/>
      <c r="AH215" s="36"/>
      <c r="AI215" s="36"/>
      <c r="AJ215" s="36"/>
      <c r="AK215" s="242"/>
      <c r="AL215" s="36"/>
      <c r="AM215" s="36"/>
      <c r="AN215" s="36"/>
    </row>
    <row r="216" spans="6:40" ht="15" customHeight="1" outlineLevel="1">
      <c r="F216" s="52"/>
      <c r="G216" s="51" t="s">
        <v>188</v>
      </c>
      <c r="H216" s="836"/>
      <c r="I216" s="836"/>
      <c r="J216" s="836"/>
      <c r="K216" s="836">
        <f ca="1">IFERROR(ROUND(K206*INDIRECT("'"&amp;$H$3&amp;"'!K$96")/K215,0),0)</f>
        <v>0</v>
      </c>
      <c r="L216" s="836"/>
      <c r="M216" s="836"/>
      <c r="N216" s="836">
        <f ca="1">IFERROR(ROUND(N206*INDIRECT("'"&amp;$H$3&amp;"'!N$96")/N215,0),0)</f>
        <v>0</v>
      </c>
      <c r="O216" s="836"/>
      <c r="P216" s="836"/>
      <c r="Q216" s="836">
        <f ca="1">IFERROR(ROUND(Q206*INDIRECT("'"&amp;$H$3&amp;"'!Q$96")/Q215,0),0)</f>
        <v>0</v>
      </c>
      <c r="R216" s="836"/>
      <c r="S216" s="836"/>
      <c r="T216" s="836">
        <f ca="1">IFERROR(ROUND(T206*INDIRECT("'"&amp;$H$3&amp;"'!T$96")/T215,0),0)</f>
        <v>0</v>
      </c>
      <c r="U216" s="836"/>
      <c r="V216" s="836"/>
      <c r="W216" s="836">
        <f ca="1">IFERROR(ROUND(W206*INDIRECT("'"&amp;$H$3&amp;"'!W$96")/W215,0),0)</f>
        <v>0</v>
      </c>
      <c r="X216" s="1465"/>
      <c r="Y216" s="36"/>
      <c r="Z216" s="36"/>
      <c r="AA216" s="36"/>
      <c r="AB216" s="36"/>
      <c r="AC216" s="36"/>
      <c r="AD216" s="36"/>
      <c r="AE216" s="36"/>
      <c r="AF216" s="36"/>
      <c r="AG216" s="36"/>
      <c r="AH216" s="36"/>
      <c r="AI216" s="36"/>
      <c r="AJ216" s="36"/>
      <c r="AK216" s="242"/>
      <c r="AL216" s="36"/>
      <c r="AM216" s="36"/>
      <c r="AN216" s="36"/>
    </row>
    <row r="217" spans="6:40" ht="15" customHeight="1" outlineLevel="1">
      <c r="F217" s="52"/>
      <c r="G217" s="51" t="s">
        <v>88</v>
      </c>
      <c r="H217" s="836"/>
      <c r="I217" s="836"/>
      <c r="J217" s="836"/>
      <c r="K217" s="836">
        <f ca="1">IFERROR(IF(K206=0,0,(2*INDIRECT("'"&amp;$H$3&amp;"'!K$98"))+((MAX(K215,1)-1)*INDIRECT("'"&amp;$H$3&amp;"'!K$99"))),0)</f>
        <v>0</v>
      </c>
      <c r="L217" s="836"/>
      <c r="M217" s="836"/>
      <c r="N217" s="836">
        <f ca="1">IFERROR(IF(N206=0,0,(2*INDIRECT("'"&amp;$H$3&amp;"'!N$98"))+((MAX(N215,1)-1)*INDIRECT("'"&amp;$H$3&amp;"'!N$99"))),0)</f>
        <v>0</v>
      </c>
      <c r="O217" s="836"/>
      <c r="P217" s="836"/>
      <c r="Q217" s="836">
        <f ca="1">IFERROR(IF(Q206=0,0,(2*INDIRECT("'"&amp;$H$3&amp;"'!Q$98"))+((MAX(Q215,1)-1)*INDIRECT("'"&amp;$H$3&amp;"'!Q$99"))),0)</f>
        <v>0</v>
      </c>
      <c r="R217" s="836"/>
      <c r="S217" s="836"/>
      <c r="T217" s="836">
        <f ca="1">IFERROR(IF(T206=0,0,(2*INDIRECT("'"&amp;$H$3&amp;"'!T$98"))+((MAX(T215,1)-1)*INDIRECT("'"&amp;$H$3&amp;"'!T$99"))),0)</f>
        <v>0</v>
      </c>
      <c r="U217" s="836"/>
      <c r="V217" s="836"/>
      <c r="W217" s="836">
        <f ca="1">IFERROR(IF(W206=0,0,(2*INDIRECT("'"&amp;$H$3&amp;"'!W$98"))+((MAX(W215,1)-1)*INDIRECT("'"&amp;$H$3&amp;"'!W$99"))),0)</f>
        <v>0</v>
      </c>
      <c r="X217" s="1465"/>
      <c r="Y217" s="36"/>
      <c r="Z217" s="36"/>
      <c r="AA217" s="36"/>
      <c r="AB217" s="36"/>
      <c r="AC217" s="36"/>
      <c r="AD217" s="36"/>
      <c r="AE217" s="36"/>
      <c r="AF217" s="36"/>
      <c r="AG217" s="36"/>
      <c r="AH217" s="36"/>
      <c r="AI217" s="36"/>
      <c r="AJ217" s="36"/>
      <c r="AK217" s="242"/>
      <c r="AL217" s="36"/>
      <c r="AM217" s="36"/>
      <c r="AN217" s="36"/>
    </row>
    <row r="218" spans="6:40" ht="15" customHeight="1" outlineLevel="1">
      <c r="F218" s="52"/>
      <c r="G218" s="51" t="s">
        <v>199</v>
      </c>
      <c r="H218" s="836"/>
      <c r="I218" s="836"/>
      <c r="J218" s="836"/>
      <c r="K218" s="836">
        <f ca="1">IFERROR((ROUNDUP(K215,0)*(1/60)*INDIRECT("'"&amp;$H$3&amp;"'!K168"))+(K215*((1/60)*(INDIRECT("'"&amp;$H$3&amp;"'!$H$19")*(INDIRECT("'"&amp;$H$3&amp;"'!K169")+(INDIRECT("'"&amp;$H$3&amp;"'!K170")*('4_Outputs'!K$187/INDIRECT("'"&amp;$H$3&amp;"'!K$96")/INDIRECT("'"&amp;$H$3&amp;"'!$H$19")))))))+((2*INDIRECT("'"&amp;$H$3&amp;"'!K$98"))/INDIRECT("'"&amp;$H$3&amp;"'!K172"))+(((MAX(K215,1)-1)*INDIRECT("'"&amp;$H$3&amp;"'!K$99"))/INDIRECT("'"&amp;$H$3&amp;"'!K171")),0)</f>
        <v>0</v>
      </c>
      <c r="L218" s="836"/>
      <c r="M218" s="836"/>
      <c r="N218" s="836">
        <f ca="1">IFERROR((ROUNDUP(N215,0)*(1/60)*INDIRECT("'"&amp;$H$3&amp;"'!N168"))+(N215*((1/60)*(INDIRECT("'"&amp;$H$3&amp;"'!$H$19")*(INDIRECT("'"&amp;$H$3&amp;"'!N169")+(INDIRECT("'"&amp;$H$3&amp;"'!N170")*('4_Outputs'!N$187/INDIRECT("'"&amp;$H$3&amp;"'!N$96")/INDIRECT("'"&amp;$H$3&amp;"'!$H$19")))))))+((2*INDIRECT("'"&amp;$H$3&amp;"'!N$98"))/INDIRECT("'"&amp;$H$3&amp;"'!N172"))+(((MAX(N215,1)-1)*INDIRECT("'"&amp;$H$3&amp;"'!N$99"))/INDIRECT("'"&amp;$H$3&amp;"'!N171")),0)</f>
        <v>0</v>
      </c>
      <c r="O218" s="836"/>
      <c r="P218" s="836"/>
      <c r="Q218" s="836">
        <f ca="1">IFERROR((ROUNDUP(Q215,0)*(1/60)*INDIRECT("'"&amp;$H$3&amp;"'!Q168"))+(Q215*((1/60)*(INDIRECT("'"&amp;$H$3&amp;"'!$H$19")*(INDIRECT("'"&amp;$H$3&amp;"'!Q169")+(INDIRECT("'"&amp;$H$3&amp;"'!Q170")*('4_Outputs'!Q$187/INDIRECT("'"&amp;$H$3&amp;"'!Q$96")/INDIRECT("'"&amp;$H$3&amp;"'!$H$19")))))))+((2*INDIRECT("'"&amp;$H$3&amp;"'!Q$98"))/INDIRECT("'"&amp;$H$3&amp;"'!Q172"))+(((MAX(Q215,1)-1)*INDIRECT("'"&amp;$H$3&amp;"'!Q$99"))/INDIRECT("'"&amp;$H$3&amp;"'!Q171")),0)</f>
        <v>0</v>
      </c>
      <c r="R218" s="836"/>
      <c r="S218" s="836"/>
      <c r="T218" s="836">
        <f ca="1">IFERROR((ROUNDUP(T215,0)*(1/60)*INDIRECT("'"&amp;$H$3&amp;"'!T168"))+(T215*((1/60)*(INDIRECT("'"&amp;$H$3&amp;"'!$H$19")*(INDIRECT("'"&amp;$H$3&amp;"'!T169")+(INDIRECT("'"&amp;$H$3&amp;"'!T170")*('4_Outputs'!T$187/INDIRECT("'"&amp;$H$3&amp;"'!T$96")/INDIRECT("'"&amp;$H$3&amp;"'!$H$19")))))))+((2*INDIRECT("'"&amp;$H$3&amp;"'!T$98"))/INDIRECT("'"&amp;$H$3&amp;"'!T172"))+(((MAX(T215,1)-1)*INDIRECT("'"&amp;$H$3&amp;"'!T$99"))/INDIRECT("'"&amp;$H$3&amp;"'!T171")),0)</f>
        <v>0</v>
      </c>
      <c r="U218" s="836"/>
      <c r="V218" s="836"/>
      <c r="W218" s="836">
        <f ca="1">IFERROR((ROUNDUP(W215,0)*(1/60)*INDIRECT("'"&amp;$H$3&amp;"'!W168"))+(W215*((1/60)*(INDIRECT("'"&amp;$H$3&amp;"'!$H$19")*(INDIRECT("'"&amp;$H$3&amp;"'!W169")+(INDIRECT("'"&amp;$H$3&amp;"'!W170")*('4_Outputs'!W$187/INDIRECT("'"&amp;$H$3&amp;"'!W$96")/INDIRECT("'"&amp;$H$3&amp;"'!$H$19")))))))+((2*INDIRECT("'"&amp;$H$3&amp;"'!W$98"))/INDIRECT("'"&amp;$H$3&amp;"'!W172"))+(((MAX(W215,1)-1)*INDIRECT("'"&amp;$H$3&amp;"'!W$99"))/INDIRECT("'"&amp;$H$3&amp;"'!W171")),0)</f>
        <v>0</v>
      </c>
      <c r="X218" s="1465"/>
      <c r="Y218" s="36"/>
      <c r="Z218" s="36"/>
      <c r="AA218" s="36"/>
      <c r="AB218" s="36"/>
      <c r="AC218" s="36"/>
      <c r="AD218" s="36"/>
      <c r="AE218" s="36"/>
      <c r="AF218" s="36"/>
      <c r="AG218" s="36"/>
      <c r="AH218" s="36"/>
      <c r="AI218" s="36"/>
      <c r="AJ218" s="36"/>
      <c r="AK218" s="242"/>
      <c r="AL218" s="36"/>
      <c r="AM218" s="36"/>
      <c r="AN218" s="36"/>
    </row>
    <row r="219" spans="6:40" ht="15" customHeight="1" outlineLevel="1">
      <c r="F219" s="52"/>
      <c r="G219" s="51" t="s">
        <v>200</v>
      </c>
      <c r="H219" s="836"/>
      <c r="I219" s="836"/>
      <c r="J219" s="836"/>
      <c r="K219" s="836">
        <f ca="1">IFERROR((INDIRECT("'"&amp;$H$3&amp;"'!$H$10")*INDIRECT("'"&amp;$H$3&amp;"'!$H$9")*INDIRECT("'"&amp;$H$3&amp;"'!K160"))/K218,0)</f>
        <v>0</v>
      </c>
      <c r="L219" s="836"/>
      <c r="M219" s="836"/>
      <c r="N219" s="836">
        <f ca="1">IFERROR((INDIRECT("'"&amp;$H$3&amp;"'!$H$10")*INDIRECT("'"&amp;$H$3&amp;"'!$H$9")*INDIRECT("'"&amp;$H$3&amp;"'!N160"))/N218,0)</f>
        <v>0</v>
      </c>
      <c r="O219" s="836"/>
      <c r="P219" s="836"/>
      <c r="Q219" s="836">
        <f ca="1">IFERROR((INDIRECT("'"&amp;$H$3&amp;"'!$H$10")*INDIRECT("'"&amp;$H$3&amp;"'!$H$9")*INDIRECT("'"&amp;$H$3&amp;"'!Q160"))/Q218,0)</f>
        <v>0</v>
      </c>
      <c r="R219" s="836"/>
      <c r="S219" s="836"/>
      <c r="T219" s="836">
        <f ca="1">IFERROR((INDIRECT("'"&amp;$H$3&amp;"'!$H$10")*INDIRECT("'"&amp;$H$3&amp;"'!$H$9")*INDIRECT("'"&amp;$H$3&amp;"'!T160"))/T218,0)</f>
        <v>0</v>
      </c>
      <c r="U219" s="836"/>
      <c r="V219" s="836"/>
      <c r="W219" s="836">
        <f ca="1">IFERROR((INDIRECT("'"&amp;$H$3&amp;"'!$H$10")*INDIRECT("'"&amp;$H$3&amp;"'!$H$9")*INDIRECT("'"&amp;$H$3&amp;"'!W160"))/W218,0)</f>
        <v>0</v>
      </c>
      <c r="X219" s="1465"/>
      <c r="Y219" s="36"/>
      <c r="Z219" s="36"/>
      <c r="AA219" s="36"/>
      <c r="AB219" s="36"/>
      <c r="AC219" s="36"/>
      <c r="AD219" s="36"/>
      <c r="AE219" s="36"/>
      <c r="AF219" s="36"/>
      <c r="AG219" s="36"/>
      <c r="AH219" s="36"/>
      <c r="AI219" s="36"/>
      <c r="AJ219" s="36"/>
      <c r="AK219" s="242"/>
      <c r="AL219" s="36"/>
      <c r="AM219" s="36"/>
      <c r="AN219" s="36"/>
    </row>
    <row r="220" spans="6:40" ht="15" customHeight="1" outlineLevel="1">
      <c r="F220" s="52"/>
      <c r="G220" s="1613" t="s">
        <v>134</v>
      </c>
      <c r="H220" s="842"/>
      <c r="I220" s="842"/>
      <c r="J220" s="842"/>
      <c r="K220" s="842"/>
      <c r="L220" s="842"/>
      <c r="M220" s="842"/>
      <c r="N220" s="842"/>
      <c r="O220" s="842"/>
      <c r="P220" s="842"/>
      <c r="Q220" s="842"/>
      <c r="R220" s="1650"/>
      <c r="S220" s="1650"/>
      <c r="T220" s="842"/>
      <c r="U220" s="1650"/>
      <c r="V220" s="1650"/>
      <c r="W220" s="842"/>
      <c r="X220" s="1470"/>
      <c r="Y220" s="36"/>
      <c r="Z220" s="36"/>
      <c r="AA220" s="36"/>
      <c r="AB220" s="36"/>
      <c r="AC220" s="36"/>
      <c r="AD220" s="36"/>
      <c r="AE220" s="36"/>
      <c r="AF220" s="36"/>
      <c r="AG220" s="36"/>
      <c r="AH220" s="36"/>
      <c r="AI220" s="36"/>
      <c r="AJ220" s="36"/>
      <c r="AK220" s="36"/>
      <c r="AL220" s="36"/>
      <c r="AM220" s="36"/>
      <c r="AN220" s="36"/>
    </row>
    <row r="221" spans="6:40" ht="15" customHeight="1" outlineLevel="1">
      <c r="F221" s="52"/>
      <c r="G221" s="51" t="s">
        <v>188</v>
      </c>
      <c r="H221" s="836"/>
      <c r="I221" s="836"/>
      <c r="J221" s="836"/>
      <c r="K221" s="1656">
        <f ca="1">IFERROR(ROUND(K206*INDIRECT("'"&amp;$H$3&amp;"'!K$96")*MAX(1,('4_Outputs'!K$187/INDIRECT("'"&amp;$H$3&amp;"'!K$96"))/INDEX(INDIRECT("'"&amp;$H$3&amp;"'!$H$49:$H$78"),MATCH(INDIRECT("'"&amp;$H$3&amp;"'!K156")&amp;"Delivery Capacity (m^3)",INDIRECT("'"&amp;$H$3&amp;"'!$F$49:$F$78"),0))),0),0)</f>
        <v>0</v>
      </c>
      <c r="L221" s="1656"/>
      <c r="M221" s="1656"/>
      <c r="N221" s="1656">
        <f ca="1">IFERROR(ROUND(N206*INDIRECT("'"&amp;$H$3&amp;"'!N$96")*MAX(1,('4_Outputs'!N$187/INDIRECT("'"&amp;$H$3&amp;"'!N$96"))/INDEX(INDIRECT("'"&amp;$H$3&amp;"'!$H$49:$H$78"),MATCH(INDIRECT("'"&amp;$H$3&amp;"'!N156")&amp;"Delivery Capacity (m^3)",INDIRECT("'"&amp;$H$3&amp;"'!$F$49:$F$78"),0))),0),0)</f>
        <v>0</v>
      </c>
      <c r="O221" s="836"/>
      <c r="P221" s="836"/>
      <c r="Q221" s="836">
        <f ca="1">IFERROR(ROUND(Q206*INDIRECT("'"&amp;$H$3&amp;"'!Q$96")*MAX(1,('4_Outputs'!Q$187/INDIRECT("'"&amp;$H$3&amp;"'!Q$96"))/INDEX(INDIRECT("'"&amp;$H$3&amp;"'!$H$49:$H$78"),MATCH(INDIRECT("'"&amp;$H$3&amp;"'!Q156")&amp;"Delivery Capacity (m^3)",INDIRECT("'"&amp;$H$3&amp;"'!$F$49:$F$78"),0))),0),0)</f>
        <v>0</v>
      </c>
      <c r="R221" s="836"/>
      <c r="S221" s="836"/>
      <c r="T221" s="836">
        <f ca="1">IFERROR(ROUND(T206*INDIRECT("'"&amp;$H$3&amp;"'!T$96")*MAX(1,('4_Outputs'!T$187/INDIRECT("'"&amp;$H$3&amp;"'!T$96"))/INDEX(INDIRECT("'"&amp;$H$3&amp;"'!$H$49:$H$78"),MATCH(INDIRECT("'"&amp;$H$3&amp;"'!T156")&amp;"Delivery Capacity (m^3)",INDIRECT("'"&amp;$H$3&amp;"'!$F$49:$F$78"),0))),0),0)</f>
        <v>0</v>
      </c>
      <c r="U221" s="836"/>
      <c r="V221" s="836"/>
      <c r="W221" s="836">
        <f ca="1">IFERROR(ROUND(W206*INDIRECT("'"&amp;$H$3&amp;"'!W$96")*MAX(1,('4_Outputs'!W$187/INDIRECT("'"&amp;$H$3&amp;"'!W$96"))/INDEX(INDIRECT("'"&amp;$H$3&amp;"'!$H$49:$H$78"),MATCH(INDIRECT("'"&amp;$H$3&amp;"'!W156")&amp;"Delivery Capacity (m^3)",INDIRECT("'"&amp;$H$3&amp;"'!$F$49:$F$78"),0))),0),0)</f>
        <v>0</v>
      </c>
      <c r="X221" s="1465"/>
      <c r="Y221" s="36"/>
      <c r="Z221" s="36"/>
      <c r="AA221" s="36"/>
      <c r="AB221" s="36" t="s">
        <v>192</v>
      </c>
      <c r="AC221" s="36"/>
      <c r="AD221" s="36" t="s">
        <v>193</v>
      </c>
      <c r="AE221" s="36"/>
      <c r="AF221" s="36"/>
      <c r="AG221" s="36"/>
      <c r="AH221" s="36"/>
      <c r="AI221" s="36"/>
      <c r="AJ221" s="36"/>
      <c r="AK221" s="36"/>
      <c r="AL221" s="36"/>
      <c r="AM221" s="36"/>
      <c r="AN221" s="36"/>
    </row>
    <row r="222" spans="6:40" ht="15" customHeight="1" outlineLevel="1">
      <c r="F222" s="52"/>
      <c r="G222" s="51" t="s">
        <v>88</v>
      </c>
      <c r="H222" s="836"/>
      <c r="I222" s="836"/>
      <c r="J222" s="836"/>
      <c r="K222" s="1656">
        <f ca="1">IFERROR(IF(K206=0,0,2*INDIRECT("'"&amp;$H$3&amp;"'!K$98")),0)</f>
        <v>0</v>
      </c>
      <c r="L222" s="1656"/>
      <c r="M222" s="1656"/>
      <c r="N222" s="1656">
        <f ca="1">IFERROR(IF(N206=0,0,2*INDIRECT("'"&amp;$H$3&amp;"'!N$98")),0)</f>
        <v>0</v>
      </c>
      <c r="O222" s="836"/>
      <c r="P222" s="836"/>
      <c r="Q222" s="836">
        <f ca="1">IFERROR(IF(Q206=0,0,2*INDIRECT("'"&amp;$H$3&amp;"'!Q$98")),0)</f>
        <v>0</v>
      </c>
      <c r="R222" s="836"/>
      <c r="S222" s="836"/>
      <c r="T222" s="836">
        <f ca="1">IFERROR(IF(T206=0,0,2*INDIRECT("'"&amp;$H$3&amp;"'!T$98")),0)</f>
        <v>0</v>
      </c>
      <c r="U222" s="836"/>
      <c r="V222" s="836"/>
      <c r="W222" s="836">
        <f ca="1">IFERROR(IF(W206=0,0,2*INDIRECT("'"&amp;$H$3&amp;"'!W$98")),0)</f>
        <v>0</v>
      </c>
      <c r="X222" s="1465"/>
      <c r="Y222" s="36"/>
      <c r="Z222" s="36"/>
      <c r="AA222" s="36"/>
      <c r="AB222" s="36" t="s">
        <v>194</v>
      </c>
      <c r="AC222" s="36"/>
      <c r="AD222" s="36" t="s">
        <v>195</v>
      </c>
      <c r="AE222" s="36"/>
      <c r="AF222" s="36"/>
      <c r="AG222" s="36"/>
      <c r="AH222" s="36"/>
      <c r="AI222" s="36"/>
      <c r="AJ222" s="36"/>
      <c r="AK222" s="36"/>
      <c r="AL222" s="36"/>
      <c r="AM222" s="36"/>
      <c r="AN222" s="36"/>
    </row>
    <row r="223" spans="6:40" ht="15" customHeight="1" outlineLevel="1">
      <c r="F223" s="52"/>
      <c r="G223" s="51" t="s">
        <v>200</v>
      </c>
      <c r="H223" s="839"/>
      <c r="I223" s="839"/>
      <c r="J223" s="839"/>
      <c r="K223" s="1657">
        <f ca="1">IFERROR((INDIRECT("'"&amp;$H$3&amp;"'!$H$10")*INDIRECT("'"&amp;$H$3&amp;"'!$H$9")*INDIRECT("'"&amp;$H$3&amp;"'!K160"))/((K222/INDIRECT("'"&amp;$H$3&amp;"'!K172"))+((1/60)*(INDIRECT("'"&amp;$H$3&amp;"'!K168")+INDIRECT("'"&amp;$H$3&amp;"'!$H$19")*(INDIRECT("'"&amp;$H$3&amp;"'!K169")+(INDIRECT("'"&amp;$H$3&amp;"'!K170")*(MIN(('4_Outputs'!K$187/INDIRECT("'"&amp;$H$3&amp;"'!K$96")),INDEX(INDIRECT("'"&amp;$H$3&amp;"'!$H$49:$H$78"),MATCH(INDIRECT("'"&amp;$H$3&amp;"'!K156")&amp;"Delivery Capacity (m^3)",INDIRECT("'"&amp;$H$3&amp;"'!$F$49:$F$78"),0)))/INDIRECT("'"&amp;$H$3&amp;"'!$H$19"))))))),0)</f>
        <v>0</v>
      </c>
      <c r="L223" s="1657"/>
      <c r="M223" s="1657"/>
      <c r="N223" s="1657">
        <f ca="1">IFERROR((INDIRECT("'"&amp;$H$3&amp;"'!$H$10")*INDIRECT("'"&amp;$H$3&amp;"'!$H$9")*INDIRECT("'"&amp;$H$3&amp;"'!N160"))/((N222/INDIRECT("'"&amp;$H$3&amp;"'!N172"))+((1/60)*(INDIRECT("'"&amp;$H$3&amp;"'!N168")+INDIRECT("'"&amp;$H$3&amp;"'!$H$19")*(INDIRECT("'"&amp;$H$3&amp;"'!N169")+(INDIRECT("'"&amp;$H$3&amp;"'!N170")*(MIN(('4_Outputs'!N$187/INDIRECT("'"&amp;$H$3&amp;"'!N$96")),INDEX(INDIRECT("'"&amp;$H$3&amp;"'!$H$49:$H$78"),MATCH(INDIRECT("'"&amp;$H$3&amp;"'!N156")&amp;"Delivery Capacity (m^3)",INDIRECT("'"&amp;$H$3&amp;"'!$F$49:$F$78"),0)))/INDIRECT("'"&amp;$H$3&amp;"'!$H$19"))))))),0)</f>
        <v>0</v>
      </c>
      <c r="O223" s="839"/>
      <c r="P223" s="839"/>
      <c r="Q223" s="839">
        <f ca="1">IFERROR((INDIRECT("'"&amp;$H$3&amp;"'!$H$10")*INDIRECT("'"&amp;$H$3&amp;"'!$H$9")*INDIRECT("'"&amp;$H$3&amp;"'!Q160"))/((Q222/INDIRECT("'"&amp;$H$3&amp;"'!Q172"))+((1/60)*(INDIRECT("'"&amp;$H$3&amp;"'!Q168")+INDIRECT("'"&amp;$H$3&amp;"'!$H$19")*(INDIRECT("'"&amp;$H$3&amp;"'!Q169")+(INDIRECT("'"&amp;$H$3&amp;"'!Q170")*(MIN(('4_Outputs'!Q$187/INDIRECT("'"&amp;$H$3&amp;"'!Q$96")),INDEX(INDIRECT("'"&amp;$H$3&amp;"'!$H$49:$H$78"),MATCH(INDIRECT("'"&amp;$H$3&amp;"'!Q156")&amp;"Delivery Capacity (m^3)",INDIRECT("'"&amp;$H$3&amp;"'!$F$49:$F$78"),0)))/INDIRECT("'"&amp;$H$3&amp;"'!$H$19"))))))),0)</f>
        <v>0</v>
      </c>
      <c r="R223" s="839"/>
      <c r="S223" s="839"/>
      <c r="T223" s="839">
        <f ca="1">IFERROR((INDIRECT("'"&amp;$H$3&amp;"'!$H$10")*INDIRECT("'"&amp;$H$3&amp;"'!$H$9")*INDIRECT("'"&amp;$H$3&amp;"'!T160"))/((T222/INDIRECT("'"&amp;$H$3&amp;"'!T172"))+((1/60)*(INDIRECT("'"&amp;$H$3&amp;"'!T168")+INDIRECT("'"&amp;$H$3&amp;"'!$H$19")*(INDIRECT("'"&amp;$H$3&amp;"'!T169")+(INDIRECT("'"&amp;$H$3&amp;"'!T170")*(MIN(('4_Outputs'!T$187/INDIRECT("'"&amp;$H$3&amp;"'!T$96")),INDEX(INDIRECT("'"&amp;$H$3&amp;"'!$H$49:$H$78"),MATCH(INDIRECT("'"&amp;$H$3&amp;"'!T156")&amp;"Delivery Capacity (m^3)",INDIRECT("'"&amp;$H$3&amp;"'!$F$49:$F$78"),0)))/INDIRECT("'"&amp;$H$3&amp;"'!$H$19"))))))),0)</f>
        <v>0</v>
      </c>
      <c r="U223" s="839"/>
      <c r="V223" s="839"/>
      <c r="W223" s="839">
        <f ca="1">IFERROR((INDIRECT("'"&amp;$H$3&amp;"'!$H$10")*INDIRECT("'"&amp;$H$3&amp;"'!$H$9")*INDIRECT("'"&amp;$H$3&amp;"'!W160"))/((W222/INDIRECT("'"&amp;$H$3&amp;"'!W172"))+((1/60)*(INDIRECT("'"&amp;$H$3&amp;"'!W168")+INDIRECT("'"&amp;$H$3&amp;"'!$H$19")*(INDIRECT("'"&amp;$H$3&amp;"'!W169")+(INDIRECT("'"&amp;$H$3&amp;"'!W170")*(MIN(('4_Outputs'!W$187/INDIRECT("'"&amp;$H$3&amp;"'!W$96")),INDEX(INDIRECT("'"&amp;$H$3&amp;"'!$H$49:$H$78"),MATCH(INDIRECT("'"&amp;$H$3&amp;"'!W156")&amp;"Delivery Capacity (m^3)",INDIRECT("'"&amp;$H$3&amp;"'!$F$49:$F$78"),0)))/INDIRECT("'"&amp;$H$3&amp;"'!$H$19"))))))),0)</f>
        <v>0</v>
      </c>
      <c r="X223" s="1473"/>
      <c r="Y223" s="36"/>
      <c r="Z223" s="36"/>
      <c r="AA223" s="36"/>
      <c r="AB223" s="36"/>
      <c r="AC223" s="36"/>
      <c r="AD223" s="36"/>
      <c r="AE223" s="36"/>
      <c r="AF223" s="36"/>
      <c r="AG223" s="36"/>
      <c r="AH223" s="36"/>
      <c r="AI223" s="36"/>
      <c r="AJ223" s="36"/>
      <c r="AK223" s="36"/>
      <c r="AL223" s="36"/>
      <c r="AM223" s="36"/>
      <c r="AN223" s="36"/>
    </row>
    <row r="224" spans="6:40" ht="48" customHeight="1">
      <c r="F224" s="1638" t="s">
        <v>2502</v>
      </c>
      <c r="G224" s="1639"/>
      <c r="H224" s="1655"/>
      <c r="I224" s="1655"/>
      <c r="J224" s="1655"/>
      <c r="K224" s="1522" t="str">
        <f ca="1">IF($H$9&gt;=2,INDIRECT("'"&amp;$H$3&amp;"'!J$130"),"")</f>
        <v>CMS  to  Regional WH</v>
      </c>
      <c r="L224" s="1522" t="str">
        <f t="shared" ref="L224:V224" ca="1" si="17">IF($H$9&gt;=1,"Tier 1","")</f>
        <v>Tier 1</v>
      </c>
      <c r="M224" s="1522" t="str">
        <f t="shared" ca="1" si="17"/>
        <v>Tier 1</v>
      </c>
      <c r="N224" s="1522" t="str">
        <f ca="1">IF($H$9&gt;=3,INDIRECT("'"&amp;$H$3&amp;"'!M$130"),"")</f>
        <v>Regional WH  to  Health Facility</v>
      </c>
      <c r="O224" s="1522" t="str">
        <f t="shared" ca="1" si="17"/>
        <v>Tier 1</v>
      </c>
      <c r="P224" s="1522" t="str">
        <f t="shared" ca="1" si="17"/>
        <v>Tier 1</v>
      </c>
      <c r="Q224" s="1523" t="str">
        <f ca="1">IF($H$9&gt;=4,INDIRECT("'"&amp;$H$3&amp;"'!P$130"),"")</f>
        <v/>
      </c>
      <c r="R224" s="1512" t="str">
        <f t="shared" ca="1" si="17"/>
        <v>Tier 1</v>
      </c>
      <c r="S224" s="1512" t="str">
        <f t="shared" ca="1" si="17"/>
        <v>Tier 1</v>
      </c>
      <c r="T224" s="1523" t="str">
        <f ca="1">IF($H$9&gt;=5,INDIRECT("'"&amp;$H$3&amp;"'!S$130"),"")</f>
        <v/>
      </c>
      <c r="U224" s="1524" t="str">
        <f t="shared" ca="1" si="17"/>
        <v>Tier 1</v>
      </c>
      <c r="V224" s="1524" t="str">
        <f t="shared" ca="1" si="17"/>
        <v>Tier 1</v>
      </c>
      <c r="W224" s="1523" t="str">
        <f ca="1">IF($H$9&gt;=6,INDIRECT("'"&amp;$H$3&amp;"'!V$130"),"")</f>
        <v/>
      </c>
      <c r="X224" s="1474"/>
      <c r="Y224" s="36"/>
      <c r="Z224" s="36"/>
      <c r="AA224" s="36"/>
      <c r="AB224" s="36"/>
      <c r="AC224" s="36"/>
      <c r="AD224" s="36"/>
      <c r="AE224" s="36"/>
      <c r="AF224" s="36"/>
      <c r="AG224" s="36"/>
      <c r="AH224" s="36"/>
      <c r="AI224" s="36"/>
      <c r="AJ224" s="36"/>
      <c r="AK224" s="242"/>
      <c r="AL224" s="36"/>
      <c r="AM224" s="36"/>
      <c r="AN224" s="36"/>
    </row>
    <row r="225" spans="6:40" ht="15" customHeight="1" outlineLevel="1">
      <c r="F225" s="1641"/>
      <c r="G225" s="51" t="s">
        <v>414</v>
      </c>
      <c r="H225" s="836"/>
      <c r="I225" s="836"/>
      <c r="J225" s="836"/>
      <c r="K225" s="836">
        <f ca="1">IFERROR(IF(INDIRECT("'"&amp;$H$3&amp;"'!K133")=0,0,IF(INDIRECT("'"&amp;$H$3&amp;"'!K193")="Yes",'4_Outputs'!K64,IF(OR(AND(INDIRECT("'"&amp;$H$3&amp;"'!K133")&gt;0,INDIRECT("'"&amp;$H$3&amp;"'!K153")="Yes"),AND(INDIRECT("'"&amp;$H$3&amp;"'!K133")&gt;1,INDIRECT("'"&amp;$H$3&amp;"'!K173")="Yes")),'4_Outputs'!K57,'4_Outputs'!K52))),0)</f>
        <v>3079.125</v>
      </c>
      <c r="L225" s="836"/>
      <c r="M225" s="836"/>
      <c r="N225" s="1658">
        <f ca="1">IFERROR(IF(INDIRECT("'"&amp;$H$3&amp;"'!N133")=0,0,IF(INDIRECT("'"&amp;$H$3&amp;"'!N193")="Yes",'4_Outputs'!N64,IF(OR(AND(INDIRECT("'"&amp;$H$3&amp;"'!N133")&gt;0,INDIRECT("'"&amp;$H$3&amp;"'!N153")="Yes"),AND(INDIRECT("'"&amp;$H$3&amp;"'!N133")&gt;1,INDIRECT("'"&amp;$H$3&amp;"'!N173")="Yes")),'4_Outputs'!N57,'4_Outputs'!N52))),0)</f>
        <v>8.5</v>
      </c>
      <c r="O225" s="836"/>
      <c r="P225" s="836"/>
      <c r="Q225" s="836">
        <f ca="1">IFERROR(IF(INDIRECT("'"&amp;$H$3&amp;"'!Q133")=0,0,IF(INDIRECT("'"&amp;$H$3&amp;"'!Q193")="Yes",'4_Outputs'!Q64,IF(OR(AND(INDIRECT("'"&amp;$H$3&amp;"'!Q133")&gt;0,INDIRECT("'"&amp;$H$3&amp;"'!Q153")="Yes"),AND(INDIRECT("'"&amp;$H$3&amp;"'!Q133")&gt;1,INDIRECT("'"&amp;$H$3&amp;"'!Q173")="Yes")),'4_Outputs'!Q57,'4_Outputs'!Q52))),0)</f>
        <v>0</v>
      </c>
      <c r="R225" s="836"/>
      <c r="S225" s="836"/>
      <c r="T225" s="836">
        <f ca="1">IFERROR(IF(INDIRECT("'"&amp;$H$3&amp;"'!T133")=0,0,IF(INDIRECT("'"&amp;$H$3&amp;"'!T193")="Yes",'4_Outputs'!T64,IF(OR(AND(INDIRECT("'"&amp;$H$3&amp;"'!T133")&gt;0,INDIRECT("'"&amp;$H$3&amp;"'!T153")="Yes"),AND(INDIRECT("'"&amp;$H$3&amp;"'!T133")&gt;1,INDIRECT("'"&amp;$H$3&amp;"'!T173")="Yes")),'4_Outputs'!T57,'4_Outputs'!T52))),0)</f>
        <v>0</v>
      </c>
      <c r="U225" s="836"/>
      <c r="V225" s="836"/>
      <c r="W225" s="836">
        <f ca="1">IFERROR(IF(INDIRECT("'"&amp;$H$3&amp;"'!W133")=0,0,IF(INDIRECT("'"&amp;$H$3&amp;"'!W193")="Yes",'4_Outputs'!W64,IF(OR(AND(INDIRECT("'"&amp;$H$3&amp;"'!W133")&gt;0,INDIRECT("'"&amp;$H$3&amp;"'!W153")="Yes"),AND(INDIRECT("'"&amp;$H$3&amp;"'!W133")&gt;1,INDIRECT("'"&amp;$H$3&amp;"'!W173")="Yes")),'4_Outputs'!W57,'4_Outputs'!W52))),0)</f>
        <v>0</v>
      </c>
      <c r="X225" s="1465"/>
      <c r="AK225" s="1"/>
    </row>
    <row r="226" spans="6:40" ht="15" customHeight="1" outlineLevel="1">
      <c r="F226" s="1614" t="s">
        <v>387</v>
      </c>
      <c r="G226" s="1614"/>
      <c r="H226" s="848"/>
      <c r="I226" s="848"/>
      <c r="J226" s="848"/>
      <c r="K226" s="848"/>
      <c r="L226" s="848"/>
      <c r="M226" s="848"/>
      <c r="N226" s="848"/>
      <c r="O226" s="848"/>
      <c r="P226" s="848"/>
      <c r="Q226" s="1643"/>
      <c r="R226" s="1644"/>
      <c r="S226" s="1644"/>
      <c r="T226" s="1643"/>
      <c r="U226" s="1644"/>
      <c r="V226" s="1644"/>
      <c r="W226" s="1643"/>
      <c r="X226" s="1466"/>
      <c r="AK226" s="1"/>
    </row>
    <row r="227" spans="6:40" ht="15" customHeight="1" outlineLevel="1">
      <c r="F227" s="52"/>
      <c r="G227" s="51" t="s">
        <v>390</v>
      </c>
      <c r="H227" s="836"/>
      <c r="I227" s="836"/>
      <c r="J227" s="836"/>
      <c r="K227" s="836">
        <f ca="1">IFERROR(((K$64*INDIRECT("'"&amp;$H$3&amp;"'!K$95"))*(IF(COUNTIF(INDIRECT("'"&amp;$H$3&amp;"'!K176"),"Public Transport*")=1,K232,K244)/INDIRECT("'"&amp;$H$3&amp;"'!K$95")))/IF(COUNTIF(INDIRECT("'"&amp;$H$3&amp;"'!K176"),"Public Transport*")=1,K230,K246),0)</f>
        <v>0</v>
      </c>
      <c r="L227" s="836"/>
      <c r="M227" s="836"/>
      <c r="N227" s="836">
        <f ca="1">IFERROR(((N$64*INDIRECT("'"&amp;$H$3&amp;"'!N$95"))*(IF(COUNTIF(INDIRECT("'"&amp;$H$3&amp;"'!N176"),"Public Transport*")=1,N232,N244)/INDIRECT("'"&amp;$H$3&amp;"'!N$95")))/IF(COUNTIF(INDIRECT("'"&amp;$H$3&amp;"'!N176"),"Public Transport*")=1,N230,N246),0)</f>
        <v>0</v>
      </c>
      <c r="O227" s="836"/>
      <c r="P227" s="836"/>
      <c r="Q227" s="836">
        <f ca="1">IFERROR(((Q$64*INDIRECT("'"&amp;$H$3&amp;"'!Q$95"))*(IF(COUNTIF(INDIRECT("'"&amp;$H$3&amp;"'!Q176"),"Public Transport*")=1,Q232,Q244)/INDIRECT("'"&amp;$H$3&amp;"'!Q$95")))/IF(COUNTIF(INDIRECT("'"&amp;$H$3&amp;"'!Q176"),"Public Transport*")=1,Q230,Q246),0)</f>
        <v>0</v>
      </c>
      <c r="R227" s="1646"/>
      <c r="S227" s="1646"/>
      <c r="T227" s="836">
        <f ca="1">IFERROR(((T$64*INDIRECT("'"&amp;$H$3&amp;"'!T$95"))*(IF(COUNTIF(INDIRECT("'"&amp;$H$3&amp;"'!T176"),"Public Transport*")=1,T232,T244)/INDIRECT("'"&amp;$H$3&amp;"'!T$95")))/IF(COUNTIF(INDIRECT("'"&amp;$H$3&amp;"'!T176"),"Public Transport*")=1,T230,T246),0)</f>
        <v>0</v>
      </c>
      <c r="U227" s="1646"/>
      <c r="V227" s="1646"/>
      <c r="W227" s="836">
        <f ca="1">IFERROR(((W$64*INDIRECT("'"&amp;$H$3&amp;"'!W$95"))*(IF(COUNTIF(INDIRECT("'"&amp;$H$3&amp;"'!W176"),"Public Transport*")=1,W232,W244)/INDIRECT("'"&amp;$H$3&amp;"'!W$95")))/IF(COUNTIF(INDIRECT("'"&amp;$H$3&amp;"'!W176"),"Public Transport*")=1,W230,W246),0)</f>
        <v>0</v>
      </c>
      <c r="X227" s="1465"/>
      <c r="Y227" s="36"/>
      <c r="Z227" s="36"/>
      <c r="AA227" s="36"/>
      <c r="AB227" s="36"/>
      <c r="AC227" s="36"/>
      <c r="AD227" s="36"/>
      <c r="AE227" s="36"/>
      <c r="AF227" s="36"/>
      <c r="AG227" s="36"/>
      <c r="AH227" s="36"/>
      <c r="AI227" s="36"/>
      <c r="AJ227" s="36"/>
      <c r="AK227" s="242"/>
      <c r="AL227" s="36"/>
      <c r="AM227" s="36"/>
      <c r="AN227" s="36"/>
    </row>
    <row r="228" spans="6:40" ht="15" customHeight="1" outlineLevel="1">
      <c r="F228" s="52"/>
      <c r="G228" s="51" t="s">
        <v>391</v>
      </c>
      <c r="H228" s="836"/>
      <c r="I228" s="836"/>
      <c r="J228" s="836"/>
      <c r="K228" s="836">
        <f ca="1">IFERROR(IF(COUNTIF(INDIRECT("'"&amp;$H$3&amp;"'!K176"),"Public Transport*")=1,(K231/INDIRECT("'"&amp;$H$3&amp;"'!$H$9")),(K247/INDIRECT("'"&amp;$H$3&amp;"'!$H$9"))),0)</f>
        <v>0</v>
      </c>
      <c r="L228" s="836"/>
      <c r="M228" s="836"/>
      <c r="N228" s="836">
        <f ca="1">IFERROR(IF(COUNTIF(INDIRECT("'"&amp;$H$3&amp;"'!N176"),"Public Transport*")=1,(N231/INDIRECT("'"&amp;$H$3&amp;"'!$H$9")),(N247/INDIRECT("'"&amp;$H$3&amp;"'!$H$9"))),0)</f>
        <v>0</v>
      </c>
      <c r="O228" s="836"/>
      <c r="P228" s="836"/>
      <c r="Q228" s="836">
        <f ca="1">IFERROR(IF(COUNTIF(INDIRECT("'"&amp;$H$3&amp;"'!Q176"),"Public Transport*")=1,(Q231/INDIRECT("'"&amp;$H$3&amp;"'!$H$9")),(Q247/INDIRECT("'"&amp;$H$3&amp;"'!$H$9"))),0)</f>
        <v>0</v>
      </c>
      <c r="R228" s="1646"/>
      <c r="S228" s="1646"/>
      <c r="T228" s="836">
        <f ca="1">IFERROR(IF(COUNTIF(INDIRECT("'"&amp;$H$3&amp;"'!T176"),"Public Transport*")=1,(T231/INDIRECT("'"&amp;$H$3&amp;"'!$H$9")),(T247/INDIRECT("'"&amp;$H$3&amp;"'!$H$9"))),0)</f>
        <v>0</v>
      </c>
      <c r="U228" s="1646"/>
      <c r="V228" s="1646"/>
      <c r="W228" s="836">
        <f ca="1">IFERROR(IF(COUNTIF(INDIRECT("'"&amp;$H$3&amp;"'!W176"),"Public Transport*")=1,(W231/INDIRECT("'"&amp;$H$3&amp;"'!$H$9")),(W247/INDIRECT("'"&amp;$H$3&amp;"'!$H$9"))),0)</f>
        <v>0</v>
      </c>
      <c r="X228" s="1465"/>
      <c r="Y228" s="36"/>
      <c r="Z228" s="36"/>
      <c r="AA228" s="36"/>
      <c r="AB228" s="36"/>
      <c r="AC228" s="36"/>
      <c r="AD228" s="36"/>
      <c r="AE228" s="36"/>
      <c r="AF228" s="36"/>
      <c r="AG228" s="36"/>
      <c r="AH228" s="36"/>
      <c r="AI228" s="36"/>
      <c r="AJ228" s="36"/>
      <c r="AK228" s="242"/>
      <c r="AL228" s="36"/>
      <c r="AM228" s="36"/>
      <c r="AN228" s="36"/>
    </row>
    <row r="229" spans="6:40" ht="15" customHeight="1" outlineLevel="1">
      <c r="F229" s="1659" t="s">
        <v>149</v>
      </c>
      <c r="G229" s="1614"/>
      <c r="H229" s="848"/>
      <c r="I229" s="848"/>
      <c r="J229" s="848"/>
      <c r="K229" s="848"/>
      <c r="L229" s="848"/>
      <c r="M229" s="848"/>
      <c r="N229" s="848"/>
      <c r="O229" s="1644"/>
      <c r="P229" s="1644"/>
      <c r="Q229" s="1648"/>
      <c r="R229" s="1650"/>
      <c r="S229" s="1650"/>
      <c r="T229" s="1648"/>
      <c r="U229" s="1650"/>
      <c r="V229" s="1650"/>
      <c r="W229" s="1648"/>
      <c r="X229" s="1467"/>
      <c r="Y229" s="36"/>
      <c r="Z229" s="36"/>
      <c r="AA229" s="36"/>
      <c r="AB229" s="36"/>
      <c r="AC229" s="36"/>
      <c r="AD229" s="36"/>
      <c r="AE229" s="36"/>
      <c r="AF229" s="36"/>
      <c r="AG229" s="36"/>
      <c r="AH229" s="36"/>
      <c r="AI229" s="36"/>
      <c r="AJ229" s="36"/>
      <c r="AK229" s="242"/>
      <c r="AL229" s="36"/>
      <c r="AM229" s="36"/>
      <c r="AN229" s="36"/>
    </row>
    <row r="230" spans="6:40" ht="15" customHeight="1" outlineLevel="1">
      <c r="F230" s="52"/>
      <c r="G230" s="51" t="s">
        <v>146</v>
      </c>
      <c r="H230" s="837"/>
      <c r="I230" s="837"/>
      <c r="J230" s="837"/>
      <c r="K230" s="837">
        <f ca="1">IFERROR(IF(COUNTIF(INDIRECT("'"&amp;$H$3&amp;"'!K176"),"Public Transport*")=1,IF(INDIRECT("'"&amp;$H$3&amp;"'!K183")="Route-based",K238*INDIRECT("'"&amp;$H$3&amp;"'!K$96"),IF(INDIRECT("'"&amp;$H$3&amp;"'!K183")="Point-to-point",K241*INDIRECT("'"&amp;$H$3&amp;"'!K$96"),0)),0),0)</f>
        <v>0</v>
      </c>
      <c r="L230" s="837"/>
      <c r="M230" s="837"/>
      <c r="N230" s="837">
        <f ca="1">IFERROR(IF(COUNTIF(INDIRECT("'"&amp;$H$3&amp;"'!N176"),"Public Transport*")=1,IF(INDIRECT("'"&amp;$H$3&amp;"'!N183")="Route-based",N238*INDIRECT("'"&amp;$H$3&amp;"'!N$96"),IF(INDIRECT("'"&amp;$H$3&amp;"'!N183")="Point-to-point",N241*INDIRECT("'"&amp;$H$3&amp;"'!N$96"),0)),0),0)</f>
        <v>0</v>
      </c>
      <c r="O230" s="837"/>
      <c r="P230" s="837"/>
      <c r="Q230" s="837">
        <f ca="1">IFERROR(IF(COUNTIF(INDIRECT("'"&amp;$H$3&amp;"'!Q176"),"Public Transport*")=1,IF(INDIRECT("'"&amp;$H$3&amp;"'!Q183")="Route-based",Q238*INDIRECT("'"&amp;$H$3&amp;"'!Q$96"),IF(INDIRECT("'"&amp;$H$3&amp;"'!Q183")="Point-to-point",Q241*INDIRECT("'"&amp;$H$3&amp;"'!Q$96"),0)),0),0)</f>
        <v>0</v>
      </c>
      <c r="R230" s="1650"/>
      <c r="S230" s="1650"/>
      <c r="T230" s="837">
        <f ca="1">IFERROR(IF(COUNTIF(INDIRECT("'"&amp;$H$3&amp;"'!T176"),"Public Transport*")=1,IF(INDIRECT("'"&amp;$H$3&amp;"'!T183")="Route-based",T238*INDIRECT("'"&amp;$H$3&amp;"'!T$96"),IF(INDIRECT("'"&amp;$H$3&amp;"'!T183")="Point-to-point",T241*INDIRECT("'"&amp;$H$3&amp;"'!T$96"),0)),0),0)</f>
        <v>0</v>
      </c>
      <c r="U230" s="1650"/>
      <c r="V230" s="1650"/>
      <c r="W230" s="837">
        <f ca="1">IFERROR(IF(COUNTIF(INDIRECT("'"&amp;$H$3&amp;"'!W176"),"Public Transport*")=1,IF(INDIRECT("'"&amp;$H$3&amp;"'!W183")="Route-based",W238*INDIRECT("'"&amp;$H$3&amp;"'!W$96"),IF(INDIRECT("'"&amp;$H$3&amp;"'!W183")="Point-to-point",W241*INDIRECT("'"&amp;$H$3&amp;"'!W$96"),0)),0),0)</f>
        <v>0</v>
      </c>
      <c r="X230" s="1468"/>
      <c r="Y230" s="36"/>
      <c r="Z230" s="36"/>
      <c r="AA230" s="36"/>
      <c r="AB230" s="36"/>
      <c r="AC230" s="36"/>
      <c r="AD230" s="36"/>
      <c r="AE230" s="36"/>
      <c r="AF230" s="36"/>
      <c r="AG230" s="36"/>
      <c r="AH230" s="36"/>
      <c r="AI230" s="36"/>
      <c r="AJ230" s="36"/>
      <c r="AK230" s="242"/>
      <c r="AL230" s="36"/>
      <c r="AM230" s="36"/>
      <c r="AN230" s="36"/>
    </row>
    <row r="231" spans="6:40" ht="15" customHeight="1" outlineLevel="1">
      <c r="F231" s="52"/>
      <c r="G231" s="51" t="s">
        <v>147</v>
      </c>
      <c r="H231" s="837"/>
      <c r="I231" s="837"/>
      <c r="J231" s="837"/>
      <c r="K231" s="837">
        <f ca="1">IFERROR(IF(INDIRECT("'"&amp;$H$3&amp;"'!K183")="Route-based",K239*INDIRECT("'"&amp;$H$3&amp;"'!K$96"),IF(INDIRECT("'"&amp;$H$3&amp;"'!K183")="Point-to-point",K242*INDIRECT("'"&amp;$H$3&amp;"'!K$96"),0)),0)</f>
        <v>0</v>
      </c>
      <c r="L231" s="837"/>
      <c r="M231" s="837"/>
      <c r="N231" s="837">
        <f ca="1">IFERROR(IF(INDIRECT("'"&amp;$H$3&amp;"'!N183")="Route-based",N239*INDIRECT("'"&amp;$H$3&amp;"'!N$96"),IF(INDIRECT("'"&amp;$H$3&amp;"'!N183")="Point-to-point",N242*INDIRECT("'"&amp;$H$3&amp;"'!N$96"),0)),0)</f>
        <v>0</v>
      </c>
      <c r="O231" s="837"/>
      <c r="P231" s="837"/>
      <c r="Q231" s="837">
        <f ca="1">IFERROR(IF(INDIRECT("'"&amp;$H$3&amp;"'!Q183")="Route-based",Q239*INDIRECT("'"&amp;$H$3&amp;"'!Q$96"),IF(INDIRECT("'"&amp;$H$3&amp;"'!Q183")="Point-to-point",Q242*INDIRECT("'"&amp;$H$3&amp;"'!Q$96"),0)),0)</f>
        <v>0</v>
      </c>
      <c r="R231" s="1650"/>
      <c r="S231" s="1650"/>
      <c r="T231" s="837">
        <f ca="1">IFERROR(IF(INDIRECT("'"&amp;$H$3&amp;"'!T183")="Route-based",T239*INDIRECT("'"&amp;$H$3&amp;"'!T$96"),IF(INDIRECT("'"&amp;$H$3&amp;"'!T183")="Point-to-point",T242*INDIRECT("'"&amp;$H$3&amp;"'!T$96"),0)),0)</f>
        <v>0</v>
      </c>
      <c r="U231" s="1650"/>
      <c r="V231" s="1650"/>
      <c r="W231" s="837">
        <f ca="1">IFERROR(IF(INDIRECT("'"&amp;$H$3&amp;"'!W183")="Route-based",W239*INDIRECT("'"&amp;$H$3&amp;"'!W$96"),IF(INDIRECT("'"&amp;$H$3&amp;"'!W183")="Point-to-point",W242*INDIRECT("'"&amp;$H$3&amp;"'!W$96"),0)),0)</f>
        <v>0</v>
      </c>
      <c r="X231" s="1468"/>
      <c r="Y231" s="36"/>
      <c r="Z231" s="36"/>
      <c r="AA231" s="36"/>
      <c r="AB231" s="36"/>
      <c r="AC231" s="36"/>
      <c r="AD231" s="36"/>
      <c r="AE231" s="36"/>
      <c r="AF231" s="36"/>
      <c r="AG231" s="36"/>
      <c r="AH231" s="36"/>
      <c r="AI231" s="36"/>
      <c r="AJ231" s="36"/>
      <c r="AK231" s="36"/>
      <c r="AL231" s="36"/>
      <c r="AM231" s="36"/>
      <c r="AN231" s="36"/>
    </row>
    <row r="232" spans="6:40" ht="15" customHeight="1" outlineLevel="1">
      <c r="F232" s="52"/>
      <c r="G232" s="51" t="s">
        <v>142</v>
      </c>
      <c r="H232" s="1651"/>
      <c r="I232" s="1651"/>
      <c r="J232" s="1651"/>
      <c r="K232" s="1651">
        <f ca="1">IFERROR(IF(COUNTIF(INDIRECT("'"&amp;$H$3&amp;"'!K176"),"Public Transport*")=1,ROUND(INDIRECT("'"&amp;$H$3&amp;"'!K$95")*INDIRECT("'"&amp;$H$3&amp;"'!K175"),0),0),0)</f>
        <v>0</v>
      </c>
      <c r="L232" s="1651"/>
      <c r="M232" s="1651"/>
      <c r="N232" s="1651">
        <f ca="1">IFERROR(IF(COUNTIF(INDIRECT("'"&amp;$H$3&amp;"'!N176"),"Public Transport*")=1,ROUND(INDIRECT("'"&amp;$H$3&amp;"'!N$95")*INDIRECT("'"&amp;$H$3&amp;"'!N175"),0),0),0)</f>
        <v>0</v>
      </c>
      <c r="O232" s="1651"/>
      <c r="P232" s="1651"/>
      <c r="Q232" s="1651">
        <f ca="1">IFERROR(IF(COUNTIF(INDIRECT("'"&amp;$H$3&amp;"'!Q176"),"Public Transport*")=1,ROUND(INDIRECT("'"&amp;$H$3&amp;"'!Q$95")*INDIRECT("'"&amp;$H$3&amp;"'!Q175"),0),0),0)</f>
        <v>0</v>
      </c>
      <c r="R232" s="1652"/>
      <c r="S232" s="1652"/>
      <c r="T232" s="1651">
        <f ca="1">IFERROR(IF(COUNTIF(INDIRECT("'"&amp;$H$3&amp;"'!T176"),"Public Transport*")=1,ROUND(INDIRECT("'"&amp;$H$3&amp;"'!T$95")*INDIRECT("'"&amp;$H$3&amp;"'!T175"),0),0),0)</f>
        <v>0</v>
      </c>
      <c r="U232" s="1652"/>
      <c r="V232" s="1652"/>
      <c r="W232" s="1651">
        <f ca="1">IFERROR(IF(COUNTIF(INDIRECT("'"&amp;$H$3&amp;"'!W176"),"Public Transport*")=1,ROUND(INDIRECT("'"&amp;$H$3&amp;"'!W$95")*INDIRECT("'"&amp;$H$3&amp;"'!W175"),0),0),0)</f>
        <v>0</v>
      </c>
      <c r="X232" s="1466"/>
      <c r="Y232" s="36"/>
      <c r="Z232" s="36"/>
      <c r="AA232" s="36"/>
      <c r="AB232" s="36"/>
      <c r="AC232" s="36"/>
      <c r="AD232" s="36"/>
      <c r="AE232" s="36"/>
      <c r="AF232" s="36"/>
      <c r="AG232" s="36"/>
      <c r="AH232" s="36"/>
      <c r="AI232" s="36"/>
      <c r="AJ232" s="36"/>
      <c r="AK232" s="36"/>
      <c r="AL232" s="36"/>
      <c r="AM232" s="36"/>
      <c r="AN232" s="36" t="s">
        <v>190</v>
      </c>
    </row>
    <row r="233" spans="6:40" ht="15" customHeight="1" outlineLevel="1">
      <c r="F233" s="52"/>
      <c r="G233" s="51" t="s">
        <v>158</v>
      </c>
      <c r="H233" s="836"/>
      <c r="I233" s="836"/>
      <c r="J233" s="836"/>
      <c r="K233" s="836">
        <f ca="1">IFERROR(INDEX(INDIRECT("'"&amp;$H$3&amp;"'!$H$43:$H$78"),MATCH(INDIRECT("'"&amp;$H$3&amp;"'!K176")&amp;"Maximum delivery capacity (m^3)", INDIRECT("'"&amp;$H$3&amp;"'!$F$43:$F$78"),0))/('4_Outputs'!K$225/INDIRECT("'"&amp;$H$3&amp;"'!K$96")),0)</f>
        <v>0</v>
      </c>
      <c r="L233" s="836"/>
      <c r="M233" s="836"/>
      <c r="N233" s="836">
        <f ca="1">IFERROR(INDEX(INDIRECT("'"&amp;$H$3&amp;"'!$H$43:$H$78"),MATCH(INDIRECT("'"&amp;$H$3&amp;"'!N176")&amp;"Maximum delivery capacity (m^3)", INDIRECT("'"&amp;$H$3&amp;"'!$F$43:$F$78"),0))/('4_Outputs'!N$225/INDIRECT("'"&amp;$H$3&amp;"'!N$96")),0)</f>
        <v>0</v>
      </c>
      <c r="O233" s="836"/>
      <c r="P233" s="836"/>
      <c r="Q233" s="836">
        <f ca="1">IFERROR(INDEX(INDIRECT("'"&amp;$H$3&amp;"'!$H$43:$H$78"),MATCH(INDIRECT("'"&amp;$H$3&amp;"'!Q176")&amp;"Maximum delivery capacity (m^3)", INDIRECT("'"&amp;$H$3&amp;"'!$F$43:$F$78"),0))/('4_Outputs'!Q$225/INDIRECT("'"&amp;$H$3&amp;"'!Q$96")),0)</f>
        <v>0</v>
      </c>
      <c r="R233" s="836"/>
      <c r="S233" s="836"/>
      <c r="T233" s="836">
        <f ca="1">IFERROR(INDEX(INDIRECT("'"&amp;$H$3&amp;"'!$H$43:$H$78"),MATCH(INDIRECT("'"&amp;$H$3&amp;"'!T176")&amp;"Maximum delivery capacity (m^3)", INDIRECT("'"&amp;$H$3&amp;"'!$F$43:$F$78"),0))/('4_Outputs'!T$225/INDIRECT("'"&amp;$H$3&amp;"'!T$96")),0)</f>
        <v>0</v>
      </c>
      <c r="U233" s="836"/>
      <c r="V233" s="836"/>
      <c r="W233" s="836">
        <f ca="1">IFERROR(INDEX(INDIRECT("'"&amp;$H$3&amp;"'!$H$43:$H$78"),MATCH(INDIRECT("'"&amp;$H$3&amp;"'!W176")&amp;"Maximum delivery capacity (m^3)", INDIRECT("'"&amp;$H$3&amp;"'!$F$43:$F$78"),0))/('4_Outputs'!W$225/INDIRECT("'"&amp;$H$3&amp;"'!W$96")),0)</f>
        <v>0</v>
      </c>
      <c r="X233" s="1469"/>
      <c r="Y233" s="36"/>
      <c r="Z233" s="36"/>
      <c r="AA233" s="36"/>
      <c r="AB233" s="36"/>
      <c r="AC233" s="36"/>
      <c r="AD233" s="36"/>
      <c r="AE233" s="36"/>
      <c r="AF233" s="36"/>
      <c r="AG233" s="36"/>
      <c r="AH233" s="36"/>
      <c r="AI233" s="36"/>
      <c r="AJ233" s="36"/>
      <c r="AK233" s="36"/>
      <c r="AL233" s="36"/>
      <c r="AM233" s="36"/>
      <c r="AN233" s="36"/>
    </row>
    <row r="234" spans="6:40" ht="15" customHeight="1" outlineLevel="1">
      <c r="F234" s="52"/>
      <c r="G234" s="1613" t="s">
        <v>150</v>
      </c>
      <c r="H234" s="842"/>
      <c r="I234" s="842"/>
      <c r="J234" s="842"/>
      <c r="K234" s="842"/>
      <c r="L234" s="842"/>
      <c r="M234" s="842"/>
      <c r="N234" s="842"/>
      <c r="O234" s="842"/>
      <c r="P234" s="842"/>
      <c r="Q234" s="842"/>
      <c r="R234" s="1650"/>
      <c r="S234" s="1650"/>
      <c r="T234" s="842"/>
      <c r="U234" s="1650"/>
      <c r="V234" s="1650"/>
      <c r="W234" s="842"/>
      <c r="X234" s="1470"/>
      <c r="Y234" s="36"/>
      <c r="Z234" s="36"/>
      <c r="AA234" s="36"/>
      <c r="AB234" s="36"/>
      <c r="AC234" s="36"/>
      <c r="AD234" s="36"/>
      <c r="AE234" s="36"/>
      <c r="AF234" s="36"/>
      <c r="AG234" s="36"/>
      <c r="AH234" s="36"/>
      <c r="AI234" s="36"/>
      <c r="AJ234" s="36"/>
      <c r="AK234" s="36"/>
      <c r="AL234" s="36"/>
      <c r="AM234" s="36"/>
      <c r="AN234" s="36"/>
    </row>
    <row r="235" spans="6:40" ht="15" customHeight="1" outlineLevel="1">
      <c r="F235" s="52"/>
      <c r="G235" s="51" t="s">
        <v>140</v>
      </c>
      <c r="H235" s="836"/>
      <c r="I235" s="836"/>
      <c r="J235" s="836"/>
      <c r="K235" s="836">
        <f ca="1">IFERROR(ROUND(INDIRECT("'"&amp;$H$3&amp;"'!$H$10")/(((1/60)*(INDIRECT("'"&amp;$H$3&amp;"'!K188")+INDIRECT("'"&amp;$H$3&amp;"'!$H$19")*(INDIRECT("'"&amp;$H$3&amp;"'!K189")+(INDIRECT("'"&amp;$H$3&amp;"'!K190")*('4_Outputs'!K$225/INDIRECT("'"&amp;$H$3&amp;"'!K$96")/INDIRECT("'"&amp;$H$3&amp;"'!$H$19"))))))+INDEX(INDIRECT("'"&amp;$H$3&amp;"'!$H$43:$H$78"),MATCH(INDIRECT("'"&amp;$H$3&amp;"'!K176")&amp;"Average duration (hrs) per trip",INDIRECT("'"&amp;$H$3&amp;"'!$F$43:$F$78"),0))),1),0)</f>
        <v>0</v>
      </c>
      <c r="L235" s="836"/>
      <c r="M235" s="836"/>
      <c r="N235" s="836">
        <f ca="1">IFERROR(ROUND(INDIRECT("'"&amp;$H$3&amp;"'!$H$10")/(((1/60)*(INDIRECT("'"&amp;$H$3&amp;"'!N188")+INDIRECT("'"&amp;$H$3&amp;"'!$H$19")*(INDIRECT("'"&amp;$H$3&amp;"'!N189")+(INDIRECT("'"&amp;$H$3&amp;"'!N190")*('4_Outputs'!N$225/INDIRECT("'"&amp;$H$3&amp;"'!N$96")/INDIRECT("'"&amp;$H$3&amp;"'!$H$19"))))))+INDEX(INDIRECT("'"&amp;$H$3&amp;"'!$H$43:$H$78"),MATCH(INDIRECT("'"&amp;$H$3&amp;"'!N176")&amp;"Average duration (hrs) per trip",INDIRECT("'"&amp;$H$3&amp;"'!$F$43:$F$78"),0))),1),0)</f>
        <v>0</v>
      </c>
      <c r="O235" s="836"/>
      <c r="P235" s="836"/>
      <c r="Q235" s="836">
        <f ca="1">IFERROR(ROUND(INDIRECT("'"&amp;$H$3&amp;"'!$H$10")/(((1/60)*(INDIRECT("'"&amp;$H$3&amp;"'!Q188")+INDIRECT("'"&amp;$H$3&amp;"'!$H$19")*(INDIRECT("'"&amp;$H$3&amp;"'!Q189")+(INDIRECT("'"&amp;$H$3&amp;"'!Q190")*('4_Outputs'!Q$225/INDIRECT("'"&amp;$H$3&amp;"'!Q$96")/INDIRECT("'"&amp;$H$3&amp;"'!$H$19"))))))+INDEX(INDIRECT("'"&amp;$H$3&amp;"'!$H$43:$H$78"),MATCH(INDIRECT("'"&amp;$H$3&amp;"'!Q176")&amp;"Average duration (hrs) per trip",INDIRECT("'"&amp;$H$3&amp;"'!$F$43:$F$78"),0))),1),0)</f>
        <v>0</v>
      </c>
      <c r="R235" s="836"/>
      <c r="S235" s="836"/>
      <c r="T235" s="836">
        <f ca="1">IFERROR(ROUND(INDIRECT("'"&amp;$H$3&amp;"'!$H$10")/(((1/60)*(INDIRECT("'"&amp;$H$3&amp;"'!T188")+INDIRECT("'"&amp;$H$3&amp;"'!$H$19")*(INDIRECT("'"&amp;$H$3&amp;"'!T189")+(INDIRECT("'"&amp;$H$3&amp;"'!T190")*('4_Outputs'!T$225/INDIRECT("'"&amp;$H$3&amp;"'!T$96")/INDIRECT("'"&amp;$H$3&amp;"'!$H$19"))))))+INDEX(INDIRECT("'"&amp;$H$3&amp;"'!$H$43:$H$78"),MATCH(INDIRECT("'"&amp;$H$3&amp;"'!T176")&amp;"Average duration (hrs) per trip",INDIRECT("'"&amp;$H$3&amp;"'!$F$43:$F$78"),0))),1),0)</f>
        <v>0</v>
      </c>
      <c r="U235" s="836"/>
      <c r="V235" s="836"/>
      <c r="W235" s="836">
        <f ca="1">IFERROR(ROUND(INDIRECT("'"&amp;$H$3&amp;"'!$H$10")/(((1/60)*(INDIRECT("'"&amp;$H$3&amp;"'!W188")+INDIRECT("'"&amp;$H$3&amp;"'!$H$19")*(INDIRECT("'"&amp;$H$3&amp;"'!W189")+(INDIRECT("'"&amp;$H$3&amp;"'!W190")*('4_Outputs'!W$225/INDIRECT("'"&amp;$H$3&amp;"'!W$96")/INDIRECT("'"&amp;$H$3&amp;"'!$H$19"))))))+INDEX(INDIRECT("'"&amp;$H$3&amp;"'!$H$43:$H$78"),MATCH(INDIRECT("'"&amp;$H$3&amp;"'!W176")&amp;"Average duration (hrs) per trip",INDIRECT("'"&amp;$H$3&amp;"'!$F$43:$F$78"),0))),1),0)</f>
        <v>0</v>
      </c>
      <c r="X235" s="1469"/>
      <c r="Y235" s="36"/>
      <c r="Z235" s="36"/>
      <c r="AA235" s="36"/>
      <c r="AB235" s="36"/>
      <c r="AC235" s="36"/>
      <c r="AD235" s="36"/>
      <c r="AE235" s="36"/>
      <c r="AF235" s="36"/>
      <c r="AG235" s="36"/>
      <c r="AH235" s="36"/>
      <c r="AI235" s="36"/>
      <c r="AJ235" s="36"/>
      <c r="AK235" s="36"/>
      <c r="AL235" s="36"/>
      <c r="AM235" s="36"/>
      <c r="AN235" s="36"/>
    </row>
    <row r="236" spans="6:40" ht="15" customHeight="1" outlineLevel="1">
      <c r="F236" s="52"/>
      <c r="G236" s="51" t="s">
        <v>141</v>
      </c>
      <c r="H236" s="836"/>
      <c r="I236" s="836"/>
      <c r="J236" s="836"/>
      <c r="K236" s="836">
        <f ca="1">IFERROR(MIN(ROUND(K235*INDIRECT("'"&amp;$H$3&amp;"'!K184"),0),K233),0)</f>
        <v>0</v>
      </c>
      <c r="L236" s="836"/>
      <c r="M236" s="836"/>
      <c r="N236" s="836">
        <f ca="1">IFERROR(MIN(ROUND(N235*INDIRECT("'"&amp;$H$3&amp;"'!N184"),0),N233),0)</f>
        <v>0</v>
      </c>
      <c r="O236" s="836"/>
      <c r="P236" s="836"/>
      <c r="Q236" s="836">
        <f ca="1">IFERROR(MIN(ROUND(Q235*INDIRECT("'"&amp;$H$3&amp;"'!Q184"),0),Q233),0)</f>
        <v>0</v>
      </c>
      <c r="R236" s="836"/>
      <c r="S236" s="836"/>
      <c r="T236" s="836">
        <f ca="1">IFERROR(MIN(ROUND(T235*INDIRECT("'"&amp;$H$3&amp;"'!T184"),0),T233),0)</f>
        <v>0</v>
      </c>
      <c r="U236" s="836"/>
      <c r="V236" s="836"/>
      <c r="W236" s="836">
        <f ca="1">IFERROR(MIN(ROUND(W235*INDIRECT("'"&amp;$H$3&amp;"'!W184"),0),W233),0)</f>
        <v>0</v>
      </c>
      <c r="X236" s="1469"/>
      <c r="Y236" s="36"/>
      <c r="Z236" s="36"/>
      <c r="AA236" s="36"/>
      <c r="AB236" s="36"/>
      <c r="AC236" s="36"/>
      <c r="AD236" s="36"/>
      <c r="AE236" s="36"/>
      <c r="AF236" s="36"/>
      <c r="AG236" s="36"/>
      <c r="AH236" s="36"/>
      <c r="AI236" s="36"/>
      <c r="AJ236" s="36"/>
      <c r="AK236" s="36"/>
      <c r="AL236" s="36"/>
      <c r="AM236" s="36"/>
      <c r="AN236" s="36"/>
    </row>
    <row r="237" spans="6:40" ht="15" customHeight="1" outlineLevel="1">
      <c r="F237" s="52"/>
      <c r="G237" s="51" t="s">
        <v>143</v>
      </c>
      <c r="H237" s="836"/>
      <c r="I237" s="836"/>
      <c r="J237" s="836"/>
      <c r="K237" s="836">
        <f ca="1">IFERROR(ROUNDUP(K232/K236,0),0)</f>
        <v>0</v>
      </c>
      <c r="L237" s="836"/>
      <c r="M237" s="836"/>
      <c r="N237" s="836">
        <f ca="1">IFERROR(ROUNDUP(N232/N236,0),0)</f>
        <v>0</v>
      </c>
      <c r="O237" s="836"/>
      <c r="P237" s="836"/>
      <c r="Q237" s="836">
        <f ca="1">IFERROR(ROUNDUP(Q232/Q236,0),0)</f>
        <v>0</v>
      </c>
      <c r="R237" s="836"/>
      <c r="S237" s="836"/>
      <c r="T237" s="836">
        <f ca="1">IFERROR(ROUNDUP(T232/T236,0),0)</f>
        <v>0</v>
      </c>
      <c r="U237" s="836"/>
      <c r="V237" s="836"/>
      <c r="W237" s="836">
        <f ca="1">IFERROR(ROUNDUP(W232/W236,0),0)</f>
        <v>0</v>
      </c>
      <c r="X237" s="1469"/>
      <c r="Y237" s="36"/>
      <c r="Z237" s="36"/>
      <c r="AA237" s="36"/>
      <c r="AB237" s="36"/>
      <c r="AC237" s="36"/>
      <c r="AD237" s="36"/>
      <c r="AE237" s="36"/>
      <c r="AF237" s="36"/>
      <c r="AG237" s="36"/>
      <c r="AH237" s="36"/>
      <c r="AI237" s="36"/>
      <c r="AJ237" s="36"/>
      <c r="AK237" s="242"/>
      <c r="AL237" s="36"/>
      <c r="AM237" s="36"/>
      <c r="AN237" s="36"/>
    </row>
    <row r="238" spans="6:40" ht="15" customHeight="1" outlineLevel="1">
      <c r="F238" s="52"/>
      <c r="G238" s="51" t="s">
        <v>144</v>
      </c>
      <c r="H238" s="836"/>
      <c r="I238" s="836"/>
      <c r="J238" s="836"/>
      <c r="K238" s="836">
        <f ca="1">IFERROR((K237*(MAX(K236,1)+1)),0)</f>
        <v>0</v>
      </c>
      <c r="L238" s="836"/>
      <c r="M238" s="836"/>
      <c r="N238" s="836">
        <f ca="1">IFERROR((N237*(MAX(N236,1)+1)),0)</f>
        <v>0</v>
      </c>
      <c r="O238" s="836"/>
      <c r="P238" s="836"/>
      <c r="Q238" s="836">
        <f ca="1">IFERROR((Q237*(MAX(Q236,1)+1)),0)</f>
        <v>0</v>
      </c>
      <c r="R238" s="836"/>
      <c r="S238" s="836"/>
      <c r="T238" s="836">
        <f ca="1">IFERROR((T237*(MAX(T236,1)+1)),0)</f>
        <v>0</v>
      </c>
      <c r="U238" s="836"/>
      <c r="V238" s="836"/>
      <c r="W238" s="836">
        <f ca="1">IFERROR((W237*(MAX(W236,1)+1)),0)</f>
        <v>0</v>
      </c>
      <c r="X238" s="1469"/>
      <c r="Y238" s="36"/>
      <c r="Z238" s="36"/>
      <c r="AA238" s="36"/>
      <c r="AB238" s="36"/>
      <c r="AC238" s="36"/>
      <c r="AD238" s="36"/>
      <c r="AE238" s="36"/>
      <c r="AF238" s="36"/>
      <c r="AG238" s="36"/>
      <c r="AH238" s="36"/>
      <c r="AI238" s="36"/>
      <c r="AJ238" s="36"/>
      <c r="AK238" s="242"/>
      <c r="AL238" s="36"/>
      <c r="AM238" s="36"/>
      <c r="AN238" s="36"/>
    </row>
    <row r="239" spans="6:40" ht="15" customHeight="1" outlineLevel="1">
      <c r="F239" s="52"/>
      <c r="G239" s="51" t="s">
        <v>145</v>
      </c>
      <c r="H239" s="836"/>
      <c r="I239" s="836"/>
      <c r="J239" s="836"/>
      <c r="K239" s="836">
        <f ca="1">IFERROR(ROUNDUP(((K238*INDEX(INDIRECT("'"&amp;$H$3&amp;"'!$H$43:$H$78"),MATCH(INDIRECT("'"&amp;$H$3&amp;"'!K176")&amp;"Average duration (hrs) per trip",INDIRECT("'"&amp;$H$3&amp;"'!$F$43:$F$78"),0)))+(K232*((1/60)*(INDIRECT("'"&amp;$H$3&amp;"'!K188")+INDIRECT("'"&amp;$H$3&amp;"'!$H$19")*(INDIRECT("'"&amp;$H$3&amp;"'!K189")+(INDIRECT("'"&amp;$H$3&amp;"'!K190")*('4_Outputs'!K$225/INDIRECT("'"&amp;$H$3&amp;"'!K$96")/INDIRECT("'"&amp;$H$3&amp;"'!$H$19"))))))))/INDIRECT("'"&amp;$H$3&amp;"'!$H$10"),0),0)</f>
        <v>0</v>
      </c>
      <c r="L239" s="836"/>
      <c r="M239" s="836"/>
      <c r="N239" s="836">
        <f ca="1">IFERROR(ROUNDUP(((N238*INDEX(INDIRECT("'"&amp;$H$3&amp;"'!$H$43:$H$78"),MATCH(INDIRECT("'"&amp;$H$3&amp;"'!N176")&amp;"Average duration (hrs) per trip",INDIRECT("'"&amp;$H$3&amp;"'!$F$43:$F$78"),0)))+(N232*((1/60)*(INDIRECT("'"&amp;$H$3&amp;"'!N188")+INDIRECT("'"&amp;$H$3&amp;"'!$H$19")*(INDIRECT("'"&amp;$H$3&amp;"'!N189")+(INDIRECT("'"&amp;$H$3&amp;"'!N190")*('4_Outputs'!N$225/INDIRECT("'"&amp;$H$3&amp;"'!N$96")/INDIRECT("'"&amp;$H$3&amp;"'!$H$19"))))))))/INDIRECT("'"&amp;$H$3&amp;"'!$H$10"),0),0)</f>
        <v>0</v>
      </c>
      <c r="O239" s="836"/>
      <c r="P239" s="836"/>
      <c r="Q239" s="836">
        <f ca="1">IFERROR(ROUNDUP(((Q238*INDEX(INDIRECT("'"&amp;$H$3&amp;"'!$H$43:$H$78"),MATCH(INDIRECT("'"&amp;$H$3&amp;"'!Q176")&amp;"Average duration (hrs) per trip",INDIRECT("'"&amp;$H$3&amp;"'!$F$43:$F$78"),0)))+(Q232*((1/60)*(INDIRECT("'"&amp;$H$3&amp;"'!Q188")+INDIRECT("'"&amp;$H$3&amp;"'!$H$19")*(INDIRECT("'"&amp;$H$3&amp;"'!Q189")+(INDIRECT("'"&amp;$H$3&amp;"'!Q190")*('4_Outputs'!Q$225/INDIRECT("'"&amp;$H$3&amp;"'!Q$96")/INDIRECT("'"&amp;$H$3&amp;"'!$H$19"))))))))/INDIRECT("'"&amp;$H$3&amp;"'!$H$10"),0),0)</f>
        <v>0</v>
      </c>
      <c r="R239" s="836"/>
      <c r="S239" s="836"/>
      <c r="T239" s="836">
        <f ca="1">IFERROR(ROUNDUP(((T238*INDEX(INDIRECT("'"&amp;$H$3&amp;"'!$H$43:$H$78"),MATCH(INDIRECT("'"&amp;$H$3&amp;"'!T176")&amp;"Average duration (hrs) per trip",INDIRECT("'"&amp;$H$3&amp;"'!$F$43:$F$78"),0)))+(T232*((1/60)*(INDIRECT("'"&amp;$H$3&amp;"'!T188")+INDIRECT("'"&amp;$H$3&amp;"'!$H$19")*(INDIRECT("'"&amp;$H$3&amp;"'!T189")+(INDIRECT("'"&amp;$H$3&amp;"'!T190")*('4_Outputs'!T$225/INDIRECT("'"&amp;$H$3&amp;"'!T$96")/INDIRECT("'"&amp;$H$3&amp;"'!$H$19"))))))))/INDIRECT("'"&amp;$H$3&amp;"'!$H$10"),0),0)</f>
        <v>0</v>
      </c>
      <c r="U239" s="836"/>
      <c r="V239" s="836"/>
      <c r="W239" s="836">
        <f ca="1">IFERROR(ROUNDUP(((W238*INDEX(INDIRECT("'"&amp;$H$3&amp;"'!$H$43:$H$78"),MATCH(INDIRECT("'"&amp;$H$3&amp;"'!W176")&amp;"Average duration (hrs) per trip",INDIRECT("'"&amp;$H$3&amp;"'!$F$43:$F$78"),0)))+(W232*((1/60)*(INDIRECT("'"&amp;$H$3&amp;"'!W188")+INDIRECT("'"&amp;$H$3&amp;"'!$H$19")*(INDIRECT("'"&amp;$H$3&amp;"'!W189")+(INDIRECT("'"&amp;$H$3&amp;"'!W190")*('4_Outputs'!W$225/INDIRECT("'"&amp;$H$3&amp;"'!W$96")/INDIRECT("'"&amp;$H$3&amp;"'!$H$19"))))))))/INDIRECT("'"&amp;$H$3&amp;"'!$H$10"),0),0)</f>
        <v>0</v>
      </c>
      <c r="X239" s="1469"/>
      <c r="Y239" s="36"/>
      <c r="Z239" s="36"/>
      <c r="AA239" s="36"/>
      <c r="AB239" s="36"/>
      <c r="AC239" s="36"/>
      <c r="AD239" s="36"/>
      <c r="AE239" s="36"/>
      <c r="AF239" s="36"/>
      <c r="AG239" s="36"/>
      <c r="AH239" s="36"/>
      <c r="AI239" s="36"/>
      <c r="AJ239" s="36"/>
      <c r="AK239" s="242"/>
      <c r="AL239" s="36"/>
      <c r="AM239" s="36"/>
      <c r="AN239" s="36"/>
    </row>
    <row r="240" spans="6:40" ht="15" customHeight="1" outlineLevel="1">
      <c r="F240" s="52"/>
      <c r="G240" s="1613" t="s">
        <v>841</v>
      </c>
      <c r="H240" s="842"/>
      <c r="I240" s="842"/>
      <c r="J240" s="842"/>
      <c r="K240" s="842"/>
      <c r="L240" s="842"/>
      <c r="M240" s="842"/>
      <c r="N240" s="842"/>
      <c r="O240" s="842"/>
      <c r="P240" s="842"/>
      <c r="Q240" s="842"/>
      <c r="R240" s="1650"/>
      <c r="S240" s="1650"/>
      <c r="T240" s="842"/>
      <c r="U240" s="1650"/>
      <c r="V240" s="1650"/>
      <c r="W240" s="842"/>
      <c r="X240" s="1470"/>
      <c r="Y240" s="36"/>
      <c r="Z240" s="36"/>
      <c r="AA240" s="36"/>
      <c r="AB240" s="36"/>
      <c r="AC240" s="36"/>
      <c r="AD240" s="36"/>
      <c r="AE240" s="36"/>
      <c r="AF240" s="36"/>
      <c r="AG240" s="36"/>
      <c r="AH240" s="36"/>
      <c r="AI240" s="36"/>
      <c r="AJ240" s="36"/>
      <c r="AK240" s="36"/>
      <c r="AL240" s="36"/>
      <c r="AM240" s="36"/>
      <c r="AN240" s="36"/>
    </row>
    <row r="241" spans="6:40" ht="15" customHeight="1" outlineLevel="1">
      <c r="F241" s="52"/>
      <c r="G241" s="51" t="s">
        <v>144</v>
      </c>
      <c r="H241" s="836"/>
      <c r="I241" s="836"/>
      <c r="J241" s="836"/>
      <c r="K241" s="836">
        <f ca="1">IFERROR((K232/MIN(K233,1))*2,0)</f>
        <v>0</v>
      </c>
      <c r="L241" s="836"/>
      <c r="M241" s="836"/>
      <c r="N241" s="836">
        <f ca="1">IFERROR((N232/MIN(N233,1))*2,0)</f>
        <v>0</v>
      </c>
      <c r="O241" s="836"/>
      <c r="P241" s="836"/>
      <c r="Q241" s="836">
        <f ca="1">IFERROR((Q232/MIN(Q233,1))*2,0)</f>
        <v>0</v>
      </c>
      <c r="R241" s="836"/>
      <c r="S241" s="836"/>
      <c r="T241" s="836">
        <f ca="1">IFERROR((T232/MIN(T233,1))*2,0)</f>
        <v>0</v>
      </c>
      <c r="U241" s="836"/>
      <c r="V241" s="836"/>
      <c r="W241" s="836">
        <f ca="1">IFERROR((W232/MIN(W233,1))*2,0)</f>
        <v>0</v>
      </c>
      <c r="X241" s="1469"/>
      <c r="Y241" s="36"/>
      <c r="Z241" s="36"/>
      <c r="AA241" s="36"/>
      <c r="AB241" s="36"/>
      <c r="AC241" s="36"/>
      <c r="AD241" s="36"/>
      <c r="AE241" s="36"/>
      <c r="AF241" s="36"/>
      <c r="AG241" s="36"/>
      <c r="AH241" s="36"/>
      <c r="AI241" s="36"/>
      <c r="AJ241" s="36"/>
      <c r="AK241" s="36"/>
      <c r="AL241" s="36"/>
      <c r="AM241" s="36"/>
      <c r="AN241" s="36"/>
    </row>
    <row r="242" spans="6:40" ht="15" customHeight="1" outlineLevel="1">
      <c r="F242" s="52"/>
      <c r="G242" s="51" t="s">
        <v>145</v>
      </c>
      <c r="H242" s="837"/>
      <c r="I242" s="837"/>
      <c r="J242" s="837"/>
      <c r="K242" s="837">
        <f ca="1">IFERROR(MAX(K232,ROUNDUP(((K241*INDEX(INDIRECT("'"&amp;$H$3&amp;"'!$H$43:$H$78"),MATCH(INDIRECT("'"&amp;$H$3&amp;"'!K176")&amp;"Average duration (hrs) per trip",INDIRECT("'"&amp;$H$3&amp;"'!$F$43:$F$78"),0)))+(K232*((1/60)*(INDIRECT("'"&amp;$H$3&amp;"'!K188")+INDIRECT("'"&amp;$H$3&amp;"'!$H$19")*(INDIRECT("'"&amp;$H$3&amp;"'!K189")+(INDIRECT("'"&amp;$H$3&amp;"'!K190")*('4_Outputs'!K$225/INDIRECT("'"&amp;$H$3&amp;"'!K$96")/INDIRECT("'"&amp;$H$3&amp;"'!$H$19"))))))))/INDIRECT("'"&amp;$H$3&amp;"'!$H$10"),0)),0)</f>
        <v>0</v>
      </c>
      <c r="L242" s="837"/>
      <c r="M242" s="837"/>
      <c r="N242" s="837">
        <f ca="1">IFERROR(MAX(N232,ROUNDUP(((N241*INDEX(INDIRECT("'"&amp;$H$3&amp;"'!$H$43:$H$78"),MATCH(INDIRECT("'"&amp;$H$3&amp;"'!N176")&amp;"Average duration (hrs) per trip",INDIRECT("'"&amp;$H$3&amp;"'!$F$43:$F$78"),0)))+(N232*((1/60)*(INDIRECT("'"&amp;$H$3&amp;"'!N188")+INDIRECT("'"&amp;$H$3&amp;"'!$H$19")*(INDIRECT("'"&amp;$H$3&amp;"'!N189")+(INDIRECT("'"&amp;$H$3&amp;"'!N190")*('4_Outputs'!N$225/INDIRECT("'"&amp;$H$3&amp;"'!N$96")/INDIRECT("'"&amp;$H$3&amp;"'!$H$19"))))))))/INDIRECT("'"&amp;$H$3&amp;"'!$H$10"),0)),0)</f>
        <v>0</v>
      </c>
      <c r="O242" s="837"/>
      <c r="P242" s="837"/>
      <c r="Q242" s="837">
        <f ca="1">IFERROR(MAX(Q232,ROUNDUP(((Q241*INDEX(INDIRECT("'"&amp;$H$3&amp;"'!$H$43:$H$78"),MATCH(INDIRECT("'"&amp;$H$3&amp;"'!Q176")&amp;"Average duration (hrs) per trip",INDIRECT("'"&amp;$H$3&amp;"'!$F$43:$F$78"),0)))+(Q232*((1/60)*(INDIRECT("'"&amp;$H$3&amp;"'!Q188")+INDIRECT("'"&amp;$H$3&amp;"'!$H$19")*(INDIRECT("'"&amp;$H$3&amp;"'!Q189")+(INDIRECT("'"&amp;$H$3&amp;"'!Q190")*('4_Outputs'!Q$225/INDIRECT("'"&amp;$H$3&amp;"'!Q$96")/INDIRECT("'"&amp;$H$3&amp;"'!$H$19"))))))))/INDIRECT("'"&amp;$H$3&amp;"'!$H$10"),0)),0)</f>
        <v>0</v>
      </c>
      <c r="R242" s="837"/>
      <c r="S242" s="837"/>
      <c r="T242" s="837">
        <f ca="1">IFERROR(MAX(T232,ROUNDUP(((T241*INDEX(INDIRECT("'"&amp;$H$3&amp;"'!$H$43:$H$78"),MATCH(INDIRECT("'"&amp;$H$3&amp;"'!T176")&amp;"Average duration (hrs) per trip",INDIRECT("'"&amp;$H$3&amp;"'!$F$43:$F$78"),0)))+(T232*((1/60)*(INDIRECT("'"&amp;$H$3&amp;"'!T188")+INDIRECT("'"&amp;$H$3&amp;"'!$H$19")*(INDIRECT("'"&amp;$H$3&amp;"'!T189")+(INDIRECT("'"&amp;$H$3&amp;"'!T190")*('4_Outputs'!T$225/INDIRECT("'"&amp;$H$3&amp;"'!T$96")/INDIRECT("'"&amp;$H$3&amp;"'!$H$19"))))))))/INDIRECT("'"&amp;$H$3&amp;"'!$H$10"),0)),0)</f>
        <v>0</v>
      </c>
      <c r="U242" s="837"/>
      <c r="V242" s="837"/>
      <c r="W242" s="837">
        <f ca="1">IFERROR(MAX(W232,ROUNDUP(((W241*INDEX(INDIRECT("'"&amp;$H$3&amp;"'!$H$43:$H$78"),MATCH(INDIRECT("'"&amp;$H$3&amp;"'!W176")&amp;"Average duration (hrs) per trip",INDIRECT("'"&amp;$H$3&amp;"'!$F$43:$F$78"),0)))+(W232*((1/60)*(INDIRECT("'"&amp;$H$3&amp;"'!W188")+INDIRECT("'"&amp;$H$3&amp;"'!$H$19")*(INDIRECT("'"&amp;$H$3&amp;"'!W189")+(INDIRECT("'"&amp;$H$3&amp;"'!W190")*('4_Outputs'!W$225/INDIRECT("'"&amp;$H$3&amp;"'!W$96")/INDIRECT("'"&amp;$H$3&amp;"'!$H$19"))))))))/INDIRECT("'"&amp;$H$3&amp;"'!$H$10"),0)),0)</f>
        <v>0</v>
      </c>
      <c r="X242" s="1468"/>
      <c r="Y242" s="36"/>
      <c r="Z242" s="36"/>
      <c r="AA242" s="36"/>
      <c r="AB242" s="36"/>
      <c r="AC242" s="36"/>
      <c r="AD242" s="36"/>
      <c r="AE242" s="36"/>
      <c r="AF242" s="36"/>
      <c r="AG242" s="36"/>
      <c r="AH242" s="36"/>
      <c r="AI242" s="36"/>
      <c r="AJ242" s="36"/>
      <c r="AK242" s="242"/>
      <c r="AL242" s="36"/>
      <c r="AM242" s="36"/>
      <c r="AN242" s="36"/>
    </row>
    <row r="243" spans="6:40" ht="15" customHeight="1" outlineLevel="1">
      <c r="F243" s="1659" t="s">
        <v>148</v>
      </c>
      <c r="G243" s="1614"/>
      <c r="H243" s="848"/>
      <c r="I243" s="848"/>
      <c r="J243" s="848"/>
      <c r="K243" s="848"/>
      <c r="L243" s="848"/>
      <c r="M243" s="848"/>
      <c r="N243" s="848"/>
      <c r="O243" s="848"/>
      <c r="P243" s="848"/>
      <c r="Q243" s="848"/>
      <c r="R243" s="1646"/>
      <c r="S243" s="1646"/>
      <c r="T243" s="848"/>
      <c r="U243" s="1646"/>
      <c r="V243" s="1646"/>
      <c r="W243" s="848"/>
      <c r="X243" s="1471"/>
      <c r="Y243" s="36"/>
      <c r="Z243" s="36"/>
      <c r="AA243" s="36"/>
      <c r="AB243" s="36"/>
      <c r="AC243" s="36"/>
      <c r="AD243" s="36"/>
      <c r="AE243" s="36"/>
      <c r="AF243" s="36"/>
      <c r="AG243" s="36"/>
      <c r="AH243" s="36"/>
      <c r="AI243" s="36"/>
      <c r="AJ243" s="36"/>
      <c r="AK243" s="242"/>
      <c r="AL243" s="36"/>
      <c r="AM243" s="36"/>
      <c r="AN243" s="36"/>
    </row>
    <row r="244" spans="6:40" ht="15" customHeight="1" outlineLevel="1">
      <c r="F244" s="86"/>
      <c r="G244" s="51" t="s">
        <v>151</v>
      </c>
      <c r="H244" s="836"/>
      <c r="I244" s="836"/>
      <c r="J244" s="836"/>
      <c r="K244" s="836">
        <f ca="1">IFERROR(IF(COUNTIF(INDIRECT("'"&amp;$H$3&amp;"'!K176"),"Public Transport*")&lt;1,ROUND(INDIRECT("'"&amp;$H$3&amp;"'!K$95")*INDIRECT("'"&amp;$H$3&amp;"'!K175"),0),0),0)</f>
        <v>0</v>
      </c>
      <c r="L244" s="836"/>
      <c r="M244" s="836"/>
      <c r="N244" s="836">
        <f ca="1">IFERROR(IF(COUNTIF(INDIRECT("'"&amp;$H$3&amp;"'!N176"),"Public Transport*")&lt;1,ROUND(INDIRECT("'"&amp;$H$3&amp;"'!N$95")*INDIRECT("'"&amp;$H$3&amp;"'!N175"),0),0),0)</f>
        <v>0</v>
      </c>
      <c r="O244" s="836"/>
      <c r="P244" s="836"/>
      <c r="Q244" s="836">
        <f ca="1">IFERROR(IF(COUNTIF(INDIRECT("'"&amp;$H$3&amp;"'!Q176"),"Public Transport*")&lt;1,ROUND(INDIRECT("'"&amp;$H$3&amp;"'!Q$95")*INDIRECT("'"&amp;$H$3&amp;"'!Q175"),0),0),0)</f>
        <v>0</v>
      </c>
      <c r="R244" s="1652"/>
      <c r="S244" s="1652"/>
      <c r="T244" s="836">
        <f ca="1">IFERROR(IF(COUNTIF(INDIRECT("'"&amp;$H$3&amp;"'!T176"),"Public Transport*")&lt;1,ROUND(INDIRECT("'"&amp;$H$3&amp;"'!T$95")*INDIRECT("'"&amp;$H$3&amp;"'!T175"),0),0),0)</f>
        <v>0</v>
      </c>
      <c r="U244" s="1652"/>
      <c r="V244" s="1652"/>
      <c r="W244" s="836">
        <f ca="1">IFERROR(IF(COUNTIF(INDIRECT("'"&amp;$H$3&amp;"'!W176"),"Public Transport*")&lt;1,ROUND(INDIRECT("'"&amp;$H$3&amp;"'!W$95")*INDIRECT("'"&amp;$H$3&amp;"'!W175"),0),0),0)</f>
        <v>0</v>
      </c>
      <c r="X244" s="1469"/>
      <c r="Y244" s="36"/>
      <c r="Z244" s="36"/>
      <c r="AA244" s="36"/>
      <c r="AB244" s="36"/>
      <c r="AC244" s="36"/>
      <c r="AD244" s="36"/>
      <c r="AE244" s="36"/>
      <c r="AF244" s="36"/>
      <c r="AG244" s="36"/>
      <c r="AH244" s="36"/>
      <c r="AI244" s="36"/>
      <c r="AJ244" s="36"/>
      <c r="AK244" s="242"/>
      <c r="AL244" s="36"/>
      <c r="AM244" s="36"/>
      <c r="AN244" s="36"/>
    </row>
    <row r="245" spans="6:40" ht="15" customHeight="1" outlineLevel="1">
      <c r="F245" s="52"/>
      <c r="G245" s="51" t="s">
        <v>58</v>
      </c>
      <c r="H245" s="837"/>
      <c r="I245" s="837"/>
      <c r="J245" s="837"/>
      <c r="K245" s="837">
        <f ca="1">IFERROR(IF(INDIRECT("'"&amp;$H$3&amp;"'!K183")="Route-based",K254*K255,IF(INDIRECT("'"&amp;$H$3&amp;"'!K183")="Point-to-point",K259*K260,0)),0)</f>
        <v>0</v>
      </c>
      <c r="L245" s="837"/>
      <c r="M245" s="837"/>
      <c r="N245" s="837">
        <f ca="1">IFERROR(IF(INDIRECT("'"&amp;$H$3&amp;"'!N183")="Route-based",N254*N255,IF(INDIRECT("'"&amp;$H$3&amp;"'!N183")="Point-to-point",N259*N260,0)),0)</f>
        <v>0</v>
      </c>
      <c r="O245" s="837"/>
      <c r="P245" s="837"/>
      <c r="Q245" s="837">
        <f ca="1">IFERROR(IF(INDIRECT("'"&amp;$H$3&amp;"'!Q183")="Route-based",Q254*Q255,IF(INDIRECT("'"&amp;$H$3&amp;"'!Q183")="Point-to-point",Q259*Q260,0)),0)</f>
        <v>0</v>
      </c>
      <c r="R245" s="1650"/>
      <c r="S245" s="1650"/>
      <c r="T245" s="837">
        <f ca="1">IFERROR(IF(INDIRECT("'"&amp;$H$3&amp;"'!T183")="Route-based",T254*T255,IF(INDIRECT("'"&amp;$H$3&amp;"'!T183")="Point-to-point",T259*T260,0)),0)</f>
        <v>0</v>
      </c>
      <c r="U245" s="1650"/>
      <c r="V245" s="1650"/>
      <c r="W245" s="837">
        <f ca="1">IFERROR(IF(INDIRECT("'"&amp;$H$3&amp;"'!W183")="Route-based",W254*W255,IF(INDIRECT("'"&amp;$H$3&amp;"'!W183")="Point-to-point",W259*W260,0)),0)</f>
        <v>0</v>
      </c>
      <c r="X245" s="1472"/>
      <c r="Y245" s="36"/>
      <c r="Z245" s="36"/>
      <c r="AA245" s="36"/>
      <c r="AB245" s="36"/>
      <c r="AC245" s="36"/>
      <c r="AD245" s="36"/>
      <c r="AE245" s="36"/>
      <c r="AF245" s="36"/>
      <c r="AG245" s="36"/>
      <c r="AH245" s="36"/>
      <c r="AI245" s="36"/>
      <c r="AJ245" s="36"/>
      <c r="AK245" s="242"/>
      <c r="AL245" s="36"/>
      <c r="AM245" s="36"/>
      <c r="AN245" s="36"/>
    </row>
    <row r="246" spans="6:40" ht="15" customHeight="1" outlineLevel="1">
      <c r="F246" s="52"/>
      <c r="G246" s="51" t="s">
        <v>389</v>
      </c>
      <c r="H246" s="837"/>
      <c r="I246" s="837"/>
      <c r="J246" s="837"/>
      <c r="K246" s="837">
        <f ca="1">IFERROR(IF(INDIRECT("'"&amp;$H$3&amp;"'!K223")="Route-based",K254,IF(INDIRECT("'"&amp;$H$3&amp;"'!K223")="Point-to-point",K259,0)),"")</f>
        <v>0</v>
      </c>
      <c r="L246" s="837"/>
      <c r="M246" s="837"/>
      <c r="N246" s="837">
        <f ca="1">IFERROR(IF(INDIRECT("'"&amp;$H$3&amp;"'!N223")="Route-based",N254,IF(INDIRECT("'"&amp;$H$3&amp;"'!N223")="Point-to-point",N259,0)),"")</f>
        <v>0</v>
      </c>
      <c r="O246" s="837"/>
      <c r="P246" s="837"/>
      <c r="Q246" s="837">
        <f ca="1">IFERROR(IF(INDIRECT("'"&amp;$H$3&amp;"'!Q223")="Route-based",Q254,IF(INDIRECT("'"&amp;$H$3&amp;"'!Q223")="Point-to-point",Q259,0)),"")</f>
        <v>0</v>
      </c>
      <c r="R246" s="1650"/>
      <c r="S246" s="1650"/>
      <c r="T246" s="837">
        <f ca="1">IFERROR(IF(INDIRECT("'"&amp;$H$3&amp;"'!T223")="Route-based",T254,IF(INDIRECT("'"&amp;$H$3&amp;"'!T223")="Point-to-point",T259,0)),"")</f>
        <v>0</v>
      </c>
      <c r="U246" s="1650"/>
      <c r="V246" s="1650"/>
      <c r="W246" s="837">
        <f ca="1">IFERROR(IF(INDIRECT("'"&amp;$H$3&amp;"'!W223")="Route-based",W254,IF(INDIRECT("'"&amp;$H$3&amp;"'!W223")="Point-to-point",W259,0)),"")</f>
        <v>0</v>
      </c>
      <c r="X246" s="1472"/>
      <c r="Y246" s="36"/>
      <c r="Z246" s="36"/>
      <c r="AA246" s="36"/>
      <c r="AB246" s="36"/>
      <c r="AC246" s="36"/>
      <c r="AD246" s="36"/>
      <c r="AE246" s="36"/>
      <c r="AF246" s="36"/>
      <c r="AG246" s="36"/>
      <c r="AH246" s="36"/>
      <c r="AI246" s="36"/>
      <c r="AJ246" s="36"/>
      <c r="AK246" s="242"/>
      <c r="AL246" s="36"/>
      <c r="AM246" s="36"/>
      <c r="AN246" s="36"/>
    </row>
    <row r="247" spans="6:40" ht="15" customHeight="1" outlineLevel="1">
      <c r="F247" s="52"/>
      <c r="G247" s="51" t="s">
        <v>49</v>
      </c>
      <c r="H247" s="837"/>
      <c r="I247" s="837"/>
      <c r="J247" s="837"/>
      <c r="K247" s="837">
        <f ca="1">IFERROR(IF(INDIRECT("'"&amp;$H$3&amp;"'!K183")="Route-based",ROUND(K256*K254/INDIRECT("'"&amp;$H$3&amp;"'!$H$10"),0),IF(INDIRECT("'"&amp;$H$3&amp;"'!K183")="Point-to-point",ROUND(((K259*((1/60)*(INDIRECT("'"&amp;$H$3&amp;"'!K188")+INDIRECT("'"&amp;$H$3&amp;"'!$H$19")*(INDIRECT("'"&amp;$H$3&amp;"'!K189")+(INDIRECT("'"&amp;$H$3&amp;"'!K190")*(MIN(('4_Outputs'!K$225/INDIRECT("'"&amp;$H$3&amp;"'!K$96")),INDEX(INDIRECT("'"&amp;$H$3&amp;"'!$H$49:$H$78"),MATCH(INDIRECT("'"&amp;$H$3&amp;"'!K176")&amp;"Delivery Capacity (m^3)",INDIRECT("'"&amp;$H$3&amp;"'!$F$49:$F$78"),0)))/INDIRECT("'"&amp;$H$3&amp;"'!$H$19")))))))+(K245/INDIRECT("'"&amp;$H$3&amp;"'!K192")))/INDIRECT("'"&amp;$H$3&amp;"'!$H$10"),0),0)),0)</f>
        <v>0</v>
      </c>
      <c r="L247" s="837"/>
      <c r="M247" s="837"/>
      <c r="N247" s="837">
        <f ca="1">IFERROR(IF(INDIRECT("'"&amp;$H$3&amp;"'!N183")="Route-based",ROUND(N256*N254/INDIRECT("'"&amp;$H$3&amp;"'!$H$10"),0),IF(INDIRECT("'"&amp;$H$3&amp;"'!N183")="Point-to-point",ROUND(((N259*((1/60)*(INDIRECT("'"&amp;$H$3&amp;"'!N188")+INDIRECT("'"&amp;$H$3&amp;"'!$H$19")*(INDIRECT("'"&amp;$H$3&amp;"'!N189")+(INDIRECT("'"&amp;$H$3&amp;"'!N190")*(MIN(('4_Outputs'!N$225/INDIRECT("'"&amp;$H$3&amp;"'!N$96")),INDEX(INDIRECT("'"&amp;$H$3&amp;"'!$H$49:$H$78"),MATCH(INDIRECT("'"&amp;$H$3&amp;"'!N176")&amp;"Delivery Capacity (m^3)",INDIRECT("'"&amp;$H$3&amp;"'!$F$49:$F$78"),0)))/INDIRECT("'"&amp;$H$3&amp;"'!$H$19")))))))+(N245/INDIRECT("'"&amp;$H$3&amp;"'!N192")))/INDIRECT("'"&amp;$H$3&amp;"'!$H$10"),0),0)),0)</f>
        <v>0</v>
      </c>
      <c r="O247" s="837"/>
      <c r="P247" s="837"/>
      <c r="Q247" s="837">
        <f ca="1">IFERROR(IF(INDIRECT("'"&amp;$H$3&amp;"'!Q183")="Route-based",ROUND(Q256*Q254/INDIRECT("'"&amp;$H$3&amp;"'!$H$10"),0),IF(INDIRECT("'"&amp;$H$3&amp;"'!Q183")="Point-to-point",ROUND(((Q259*((1/60)*(INDIRECT("'"&amp;$H$3&amp;"'!Q188")+INDIRECT("'"&amp;$H$3&amp;"'!$H$19")*(INDIRECT("'"&amp;$H$3&amp;"'!Q189")+(INDIRECT("'"&amp;$H$3&amp;"'!Q190")*(MIN(('4_Outputs'!Q$225/INDIRECT("'"&amp;$H$3&amp;"'!Q$96")),INDEX(INDIRECT("'"&amp;$H$3&amp;"'!$H$49:$H$78"),MATCH(INDIRECT("'"&amp;$H$3&amp;"'!Q176")&amp;"Delivery Capacity (m^3)",INDIRECT("'"&amp;$H$3&amp;"'!$F$49:$F$78"),0)))/INDIRECT("'"&amp;$H$3&amp;"'!$H$19")))))))+(Q245/INDIRECT("'"&amp;$H$3&amp;"'!Q192")))/INDIRECT("'"&amp;$H$3&amp;"'!$H$10"),0),0)),0)</f>
        <v>0</v>
      </c>
      <c r="R247" s="837"/>
      <c r="S247" s="837"/>
      <c r="T247" s="837">
        <f ca="1">IFERROR(IF(INDIRECT("'"&amp;$H$3&amp;"'!T183")="Route-based",ROUND(T256*T254/INDIRECT("'"&amp;$H$3&amp;"'!$H$10"),0),IF(INDIRECT("'"&amp;$H$3&amp;"'!T183")="Point-to-point",ROUND(((T259*((1/60)*(INDIRECT("'"&amp;$H$3&amp;"'!T188")+INDIRECT("'"&amp;$H$3&amp;"'!$H$19")*(INDIRECT("'"&amp;$H$3&amp;"'!T189")+(INDIRECT("'"&amp;$H$3&amp;"'!T190")*(MIN(('4_Outputs'!T$225/INDIRECT("'"&amp;$H$3&amp;"'!T$96")),INDEX(INDIRECT("'"&amp;$H$3&amp;"'!$H$49:$H$78"),MATCH(INDIRECT("'"&amp;$H$3&amp;"'!T176")&amp;"Delivery Capacity (m^3)",INDIRECT("'"&amp;$H$3&amp;"'!$F$49:$F$78"),0)))/INDIRECT("'"&amp;$H$3&amp;"'!$H$19")))))))+(T245/INDIRECT("'"&amp;$H$3&amp;"'!T192")))/INDIRECT("'"&amp;$H$3&amp;"'!$H$10"),0),0)),0)</f>
        <v>0</v>
      </c>
      <c r="U247" s="837"/>
      <c r="V247" s="837"/>
      <c r="W247" s="837">
        <f ca="1">IFERROR(IF(INDIRECT("'"&amp;$H$3&amp;"'!W183")="Route-based",ROUND(W256*W254/INDIRECT("'"&amp;$H$3&amp;"'!$H$10"),0),IF(INDIRECT("'"&amp;$H$3&amp;"'!W183")="Point-to-point",ROUND(((W259*((1/60)*(INDIRECT("'"&amp;$H$3&amp;"'!W188")+INDIRECT("'"&amp;$H$3&amp;"'!$H$19")*(INDIRECT("'"&amp;$H$3&amp;"'!W189")+(INDIRECT("'"&amp;$H$3&amp;"'!W190")*(MIN(('4_Outputs'!W$225/INDIRECT("'"&amp;$H$3&amp;"'!W$96")),INDEX(INDIRECT("'"&amp;$H$3&amp;"'!$H$49:$H$78"),MATCH(INDIRECT("'"&amp;$H$3&amp;"'!W176")&amp;"Delivery Capacity (m^3)",INDIRECT("'"&amp;$H$3&amp;"'!$F$49:$F$78"),0)))/INDIRECT("'"&amp;$H$3&amp;"'!$H$19")))))))+(W245/INDIRECT("'"&amp;$H$3&amp;"'!W192")))/INDIRECT("'"&amp;$H$3&amp;"'!$H$10"),0),0)),0)</f>
        <v>0</v>
      </c>
      <c r="X247" s="1472"/>
      <c r="Y247" s="36"/>
      <c r="Z247" s="36"/>
      <c r="AA247" s="36"/>
      <c r="AB247" s="36"/>
      <c r="AC247" s="36"/>
      <c r="AD247" s="36"/>
      <c r="AE247" s="36"/>
      <c r="AF247" s="36"/>
      <c r="AG247" s="36"/>
      <c r="AH247" s="36"/>
      <c r="AI247" s="36"/>
      <c r="AJ247" s="36"/>
      <c r="AK247" s="36"/>
      <c r="AL247" s="36"/>
      <c r="AM247" s="36"/>
      <c r="AN247" s="36"/>
    </row>
    <row r="248" spans="6:40" ht="15" customHeight="1" outlineLevel="1">
      <c r="F248" s="52"/>
      <c r="G248" s="51" t="s">
        <v>189</v>
      </c>
      <c r="H248" s="839"/>
      <c r="I248" s="839"/>
      <c r="J248" s="839"/>
      <c r="K248" s="839">
        <f ca="1">IFERROR(IF(INDIRECT("'"&amp;$H$3&amp;"'!K183")="Route-based",('4_Outputs'!K$225*K244)/(K254*INDEX(INDIRECT("'"&amp;$H$3&amp;"'!$H$49:$H$78"),MATCH(INDIRECT("'"&amp;$H$3&amp;"'!K176")&amp;"Delivery Capacity (m^3)",INDIRECT("'"&amp;$H$3&amp;"'!$F$49:$F$78"),0))),IF(INDIRECT("'"&amp;$H$3&amp;"'!K183")="Point-to-point",('4_Outputs'!K$225*K244)/(K259*INDEX(INDIRECT("'"&amp;$H$3&amp;"'!$H$49:$H$78"),MATCH(INDIRECT("'"&amp;$H$3&amp;"'!K176")&amp;"Delivery Capacity (m^3)",INDIRECT("'"&amp;$H$3&amp;"'!$F$49:$F$78"),0))),0)),0)</f>
        <v>0</v>
      </c>
      <c r="L248" s="839"/>
      <c r="M248" s="839"/>
      <c r="N248" s="839">
        <f ca="1">IFERROR(IF(INDIRECT("'"&amp;$H$3&amp;"'!N183")="Route-based",('4_Outputs'!N$225*N244)/(N254*INDEX(INDIRECT("'"&amp;$H$3&amp;"'!$H$49:$H$78"),MATCH(INDIRECT("'"&amp;$H$3&amp;"'!N176")&amp;"Delivery Capacity (m^3)",INDIRECT("'"&amp;$H$3&amp;"'!$F$49:$F$78"),0))),IF(INDIRECT("'"&amp;$H$3&amp;"'!N183")="Point-to-point",('4_Outputs'!N$225*N244)/(N259*INDEX(INDIRECT("'"&amp;$H$3&amp;"'!$H$49:$H$78"),MATCH(INDIRECT("'"&amp;$H$3&amp;"'!N176")&amp;"Delivery Capacity (m^3)",INDIRECT("'"&amp;$H$3&amp;"'!$F$49:$F$78"),0))),0)),0)</f>
        <v>0</v>
      </c>
      <c r="O248" s="839"/>
      <c r="P248" s="839"/>
      <c r="Q248" s="839">
        <f ca="1">IFERROR(IF(INDIRECT("'"&amp;$H$3&amp;"'!Q183")="Route-based",('4_Outputs'!Q$225*Q244)/(Q254*INDEX(INDIRECT("'"&amp;$H$3&amp;"'!$H$49:$H$78"),MATCH(INDIRECT("'"&amp;$H$3&amp;"'!Q176")&amp;"Delivery Capacity (m^3)",INDIRECT("'"&amp;$H$3&amp;"'!$F$49:$F$78"),0))),IF(INDIRECT("'"&amp;$H$3&amp;"'!Q183")="Point-to-point",('4_Outputs'!Q$225*Q244)/(Q259*INDEX(INDIRECT("'"&amp;$H$3&amp;"'!$H$49:$H$78"),MATCH(INDIRECT("'"&amp;$H$3&amp;"'!Q176")&amp;"Delivery Capacity (m^3)",INDIRECT("'"&amp;$H$3&amp;"'!$F$49:$F$78"),0))),0)),0)</f>
        <v>0</v>
      </c>
      <c r="R248" s="839"/>
      <c r="S248" s="839"/>
      <c r="T248" s="839">
        <f ca="1">IFERROR(IF(INDIRECT("'"&amp;$H$3&amp;"'!T183")="Route-based",('4_Outputs'!T$225*T244)/(T254*INDEX(INDIRECT("'"&amp;$H$3&amp;"'!$H$49:$H$78"),MATCH(INDIRECT("'"&amp;$H$3&amp;"'!T176")&amp;"Delivery Capacity (m^3)",INDIRECT("'"&amp;$H$3&amp;"'!$F$49:$F$78"),0))),IF(INDIRECT("'"&amp;$H$3&amp;"'!T183")="Point-to-point",('4_Outputs'!T$225*T244)/(T259*INDEX(INDIRECT("'"&amp;$H$3&amp;"'!$H$49:$H$78"),MATCH(INDIRECT("'"&amp;$H$3&amp;"'!T176")&amp;"Delivery Capacity (m^3)",INDIRECT("'"&amp;$H$3&amp;"'!$F$49:$F$78"),0))),0)),0)</f>
        <v>0</v>
      </c>
      <c r="U248" s="839"/>
      <c r="V248" s="839"/>
      <c r="W248" s="839">
        <f ca="1">IFERROR(IF(INDIRECT("'"&amp;$H$3&amp;"'!W183")="Route-based",('4_Outputs'!W$225*W244)/(W254*INDEX(INDIRECT("'"&amp;$H$3&amp;"'!$H$49:$H$78"),MATCH(INDIRECT("'"&amp;$H$3&amp;"'!W176")&amp;"Delivery Capacity (m^3)",INDIRECT("'"&amp;$H$3&amp;"'!$F$49:$F$78"),0))),IF(INDIRECT("'"&amp;$H$3&amp;"'!W183")="Point-to-point",('4_Outputs'!W$225*W244)/(W259*INDEX(INDIRECT("'"&amp;$H$3&amp;"'!$H$49:$H$78"),MATCH(INDIRECT("'"&amp;$H$3&amp;"'!W176")&amp;"Delivery Capacity (m^3)",INDIRECT("'"&amp;$H$3&amp;"'!$F$49:$F$78"),0))),0)),0)</f>
        <v>0</v>
      </c>
      <c r="X248" s="1473"/>
      <c r="Y248" s="36"/>
      <c r="Z248" s="36"/>
      <c r="AA248" s="36"/>
      <c r="AB248" s="36"/>
      <c r="AC248" s="36"/>
      <c r="AD248" s="36"/>
      <c r="AE248" s="36"/>
      <c r="AF248" s="36"/>
      <c r="AG248" s="36"/>
      <c r="AH248" s="36"/>
      <c r="AI248" s="36"/>
      <c r="AJ248" s="36"/>
      <c r="AK248" s="36" t="s">
        <v>191</v>
      </c>
      <c r="AL248" s="36"/>
      <c r="AM248" s="36"/>
      <c r="AN248" s="36"/>
    </row>
    <row r="249" spans="6:40" ht="15" customHeight="1" outlineLevel="1">
      <c r="F249" s="52"/>
      <c r="G249" s="51" t="s">
        <v>201</v>
      </c>
      <c r="H249" s="839"/>
      <c r="I249" s="839"/>
      <c r="J249" s="839"/>
      <c r="K249" s="839">
        <f ca="1">IFERROR((K247+IF(INDIRECT("'"&amp;$H$3&amp;"'!K245")="Yes",K339,0)+IF(INDIRECT("'"&amp;$H$3&amp;"'!K309")="Yes",K428,0))/(INDIRECT("'"&amp;$H$3&amp;"'!K180")*INDIRECT("'"&amp;$H$3&amp;"'!$H$9")),0)</f>
        <v>0</v>
      </c>
      <c r="L249" s="839"/>
      <c r="M249" s="839"/>
      <c r="N249" s="839">
        <f ca="1">IFERROR((N247+IF(INDIRECT("'"&amp;$H$3&amp;"'!N245")="Yes",N339,0)+IF(INDIRECT("'"&amp;$H$3&amp;"'!N309")="Yes",N428,0))/(INDIRECT("'"&amp;$H$3&amp;"'!N180")*INDIRECT("'"&amp;$H$3&amp;"'!$H$9")),0)</f>
        <v>0</v>
      </c>
      <c r="O249" s="839"/>
      <c r="P249" s="839"/>
      <c r="Q249" s="839">
        <f ca="1">IFERROR((Q247+IF(INDIRECT("'"&amp;$H$3&amp;"'!Q245")="Yes",Q339,0)+IF(INDIRECT("'"&amp;$H$3&amp;"'!Q309")="Yes",Q428,0))/(INDIRECT("'"&amp;$H$3&amp;"'!Q180")*INDIRECT("'"&amp;$H$3&amp;"'!$H$9")),0)</f>
        <v>0</v>
      </c>
      <c r="R249" s="839"/>
      <c r="S249" s="839"/>
      <c r="T249" s="839">
        <f ca="1">IFERROR((T247+IF(INDIRECT("'"&amp;$H$3&amp;"'!T245")="Yes",T339,0)+IF(INDIRECT("'"&amp;$H$3&amp;"'!T309")="Yes",T428,0))/(INDIRECT("'"&amp;$H$3&amp;"'!T180")*INDIRECT("'"&amp;$H$3&amp;"'!$H$9")),0)</f>
        <v>0</v>
      </c>
      <c r="U249" s="839"/>
      <c r="V249" s="839"/>
      <c r="W249" s="839">
        <f ca="1">IFERROR((W247+IF(INDIRECT("'"&amp;$H$3&amp;"'!W245")="Yes",W339,0)+IF(INDIRECT("'"&amp;$H$3&amp;"'!W309")="Yes",W428,0))/(INDIRECT("'"&amp;$H$3&amp;"'!W180")*INDIRECT("'"&amp;$H$3&amp;"'!$H$9")),0)</f>
        <v>0</v>
      </c>
      <c r="X249" s="1473"/>
      <c r="Y249" s="36"/>
      <c r="Z249" s="36"/>
      <c r="AA249" s="36"/>
      <c r="AB249" s="36"/>
      <c r="AC249" s="36"/>
      <c r="AD249" s="36"/>
      <c r="AE249" s="36"/>
      <c r="AF249" s="36"/>
      <c r="AG249" s="36"/>
      <c r="AH249" s="36"/>
      <c r="AI249" s="36"/>
      <c r="AJ249" s="36"/>
      <c r="AK249" s="36"/>
      <c r="AL249" s="36"/>
      <c r="AM249" s="36"/>
      <c r="AN249" s="36"/>
    </row>
    <row r="250" spans="6:40" ht="15" customHeight="1" outlineLevel="1">
      <c r="F250" s="52"/>
      <c r="G250" s="1613" t="s">
        <v>133</v>
      </c>
      <c r="H250" s="842"/>
      <c r="I250" s="842"/>
      <c r="J250" s="842"/>
      <c r="K250" s="842"/>
      <c r="L250" s="842"/>
      <c r="M250" s="842"/>
      <c r="N250" s="842"/>
      <c r="O250" s="842"/>
      <c r="P250" s="842"/>
      <c r="Q250" s="842"/>
      <c r="R250" s="1650"/>
      <c r="S250" s="1650"/>
      <c r="T250" s="842"/>
      <c r="U250" s="1650"/>
      <c r="V250" s="1650"/>
      <c r="W250" s="842"/>
      <c r="X250" s="1470"/>
      <c r="Y250" s="36"/>
      <c r="Z250" s="36"/>
      <c r="AA250" s="36"/>
      <c r="AB250" s="36"/>
      <c r="AC250" s="36"/>
      <c r="AD250" s="36"/>
      <c r="AE250" s="36"/>
      <c r="AF250" s="36"/>
      <c r="AG250" s="36"/>
      <c r="AH250" s="36"/>
      <c r="AI250" s="36"/>
      <c r="AJ250" s="36"/>
      <c r="AK250" s="36"/>
      <c r="AL250" s="36"/>
      <c r="AM250" s="36"/>
      <c r="AN250" s="36"/>
    </row>
    <row r="251" spans="6:40" ht="15" customHeight="1" outlineLevel="1">
      <c r="F251" s="52"/>
      <c r="G251" s="51" t="s">
        <v>127</v>
      </c>
      <c r="H251" s="836"/>
      <c r="I251" s="836"/>
      <c r="J251" s="836"/>
      <c r="K251" s="836">
        <f ca="1">IFERROR(INDEX(INDIRECT("'"&amp;$H$3&amp;"'!$H$49:$H$78"),MATCH(INDIRECT("'"&amp;$H$3&amp;"'!K176")&amp;"Delivery Capacity (m^3)",INDIRECT("'"&amp;$H$3&amp;"'!$F$49:$F$78"),0))/('4_Outputs'!K$225/INDIRECT("'"&amp;$H$3&amp;"'!K$96")),0)</f>
        <v>0</v>
      </c>
      <c r="L251" s="836"/>
      <c r="M251" s="836"/>
      <c r="N251" s="836">
        <f ca="1">IFERROR(INDEX(INDIRECT("'"&amp;$H$3&amp;"'!$H$49:$H$78"),MATCH(INDIRECT("'"&amp;$H$3&amp;"'!N176")&amp;"Delivery Capacity (m^3)",INDIRECT("'"&amp;$H$3&amp;"'!$F$49:$F$78"),0))/('4_Outputs'!N$225/INDIRECT("'"&amp;$H$3&amp;"'!N$96")),0)</f>
        <v>0</v>
      </c>
      <c r="O251" s="836"/>
      <c r="P251" s="836"/>
      <c r="Q251" s="836">
        <f ca="1">IFERROR(INDEX(INDIRECT("'"&amp;$H$3&amp;"'!$H$49:$H$78"),MATCH(INDIRECT("'"&amp;$H$3&amp;"'!Q176")&amp;"Delivery Capacity (m^3)",INDIRECT("'"&amp;$H$3&amp;"'!$F$49:$F$78"),0))/('4_Outputs'!Q$225/INDIRECT("'"&amp;$H$3&amp;"'!Q$96")),0)</f>
        <v>0</v>
      </c>
      <c r="R251" s="836"/>
      <c r="S251" s="836"/>
      <c r="T251" s="836">
        <f ca="1">IFERROR(INDEX(INDIRECT("'"&amp;$H$3&amp;"'!$H$49:$H$78"),MATCH(INDIRECT("'"&amp;$H$3&amp;"'!T176")&amp;"Delivery Capacity (m^3)",INDIRECT("'"&amp;$H$3&amp;"'!$F$49:$F$78"),0))/('4_Outputs'!T$225/INDIRECT("'"&amp;$H$3&amp;"'!T$96")),0)</f>
        <v>0</v>
      </c>
      <c r="U251" s="836"/>
      <c r="V251" s="836"/>
      <c r="W251" s="836">
        <f ca="1">IFERROR(INDEX(INDIRECT("'"&amp;$H$3&amp;"'!$H$49:$H$78"),MATCH(INDIRECT("'"&amp;$H$3&amp;"'!W176")&amp;"Delivery Capacity (m^3)",INDIRECT("'"&amp;$H$3&amp;"'!$F$49:$F$78"),0))/('4_Outputs'!W$225/INDIRECT("'"&amp;$H$3&amp;"'!W$96")),0)</f>
        <v>0</v>
      </c>
      <c r="X251" s="1465"/>
      <c r="Y251" s="36"/>
      <c r="Z251" s="36"/>
      <c r="AA251" s="36"/>
      <c r="AB251" s="36"/>
      <c r="AC251" s="36"/>
      <c r="AD251" s="36"/>
      <c r="AE251" s="36"/>
      <c r="AF251" s="36"/>
      <c r="AG251" s="36"/>
      <c r="AH251" s="36"/>
      <c r="AI251" s="36"/>
      <c r="AJ251" s="36"/>
      <c r="AK251" s="36"/>
      <c r="AL251" s="36"/>
      <c r="AM251" s="36"/>
      <c r="AN251" s="36"/>
    </row>
    <row r="252" spans="6:40" ht="15" customHeight="1" outlineLevel="1" collapsed="1">
      <c r="F252" s="52"/>
      <c r="G252" s="51" t="s">
        <v>128</v>
      </c>
      <c r="H252" s="836"/>
      <c r="I252" s="836"/>
      <c r="J252" s="836"/>
      <c r="K252" s="836">
        <f ca="1">IFERROR(((INDIRECT("'"&amp;$H$3&amp;"'!K184")*INDIRECT("'"&amp;$H$3&amp;"'!$H$10"))-(2*INDIRECT("'"&amp;$H$3&amp;"'!K$98")/INDIRECT("'"&amp;$H$3&amp;"'!K192"))+(INDIRECT("'"&amp;$H$3&amp;"'!K$99")/INDIRECT("'"&amp;$H$3&amp;"'!K191")))/(((1/60)*(INDIRECT("'"&amp;$H$3&amp;"'!K188")+INDIRECT("'"&amp;$H$3&amp;"'!$H$19")*(INDIRECT("'"&amp;$H$3&amp;"'!K189")+(INDIRECT("'"&amp;$H$3&amp;"'!K190")*('4_Outputs'!K$225/INDIRECT("'"&amp;$H$3&amp;"'!K$96")/INDIRECT("'"&amp;$H$3&amp;"'!$H$19"))))))+(INDIRECT("'"&amp;$H$3&amp;"'!K$99")/INDIRECT("'"&amp;$H$3&amp;"'!K191"))),0)</f>
        <v>0</v>
      </c>
      <c r="L252" s="836"/>
      <c r="M252" s="836"/>
      <c r="N252" s="836">
        <f ca="1">IFERROR(((INDIRECT("'"&amp;$H$3&amp;"'!N184")*INDIRECT("'"&amp;$H$3&amp;"'!$H$10"))-(2*INDIRECT("'"&amp;$H$3&amp;"'!N$98")/INDIRECT("'"&amp;$H$3&amp;"'!N192"))+(INDIRECT("'"&amp;$H$3&amp;"'!N$99")/INDIRECT("'"&amp;$H$3&amp;"'!N191")))/(((1/60)*(INDIRECT("'"&amp;$H$3&amp;"'!N188")+INDIRECT("'"&amp;$H$3&amp;"'!$H$19")*(INDIRECT("'"&amp;$H$3&amp;"'!N189")+(INDIRECT("'"&amp;$H$3&amp;"'!N190")*('4_Outputs'!N$225/INDIRECT("'"&amp;$H$3&amp;"'!N$96")/INDIRECT("'"&amp;$H$3&amp;"'!$H$19"))))))+(INDIRECT("'"&amp;$H$3&amp;"'!N$99")/INDIRECT("'"&amp;$H$3&amp;"'!N191"))),0)</f>
        <v>0</v>
      </c>
      <c r="O252" s="836"/>
      <c r="P252" s="836"/>
      <c r="Q252" s="836">
        <f ca="1">IFERROR(((INDIRECT("'"&amp;$H$3&amp;"'!Q184")*INDIRECT("'"&amp;$H$3&amp;"'!$H$10"))-(2*INDIRECT("'"&amp;$H$3&amp;"'!Q$98")/INDIRECT("'"&amp;$H$3&amp;"'!Q192"))+(INDIRECT("'"&amp;$H$3&amp;"'!Q$99")/INDIRECT("'"&amp;$H$3&amp;"'!Q191")))/(((1/60)*(INDIRECT("'"&amp;$H$3&amp;"'!Q188")+INDIRECT("'"&amp;$H$3&amp;"'!$H$19")*(INDIRECT("'"&amp;$H$3&amp;"'!Q189")+(INDIRECT("'"&amp;$H$3&amp;"'!Q190")*('4_Outputs'!Q$225/INDIRECT("'"&amp;$H$3&amp;"'!Q$96")/INDIRECT("'"&amp;$H$3&amp;"'!$H$19"))))))+(INDIRECT("'"&amp;$H$3&amp;"'!Q$99")/INDIRECT("'"&amp;$H$3&amp;"'!Q191"))),0)</f>
        <v>0</v>
      </c>
      <c r="R252" s="836"/>
      <c r="S252" s="836"/>
      <c r="T252" s="836">
        <f ca="1">IFERROR(((INDIRECT("'"&amp;$H$3&amp;"'!T184")*INDIRECT("'"&amp;$H$3&amp;"'!$H$10"))-(2*INDIRECT("'"&amp;$H$3&amp;"'!T$98")/INDIRECT("'"&amp;$H$3&amp;"'!T192"))+(INDIRECT("'"&amp;$H$3&amp;"'!T$99")/INDIRECT("'"&amp;$H$3&amp;"'!T191")))/(((1/60)*(INDIRECT("'"&amp;$H$3&amp;"'!T188")+INDIRECT("'"&amp;$H$3&amp;"'!$H$19")*(INDIRECT("'"&amp;$H$3&amp;"'!T189")+(INDIRECT("'"&amp;$H$3&amp;"'!T190")*('4_Outputs'!T$225/INDIRECT("'"&amp;$H$3&amp;"'!T$96")/INDIRECT("'"&amp;$H$3&amp;"'!$H$19"))))))+(INDIRECT("'"&amp;$H$3&amp;"'!T$99")/INDIRECT("'"&amp;$H$3&amp;"'!T191"))),0)</f>
        <v>0</v>
      </c>
      <c r="U252" s="836"/>
      <c r="V252" s="836"/>
      <c r="W252" s="836">
        <f ca="1">IFERROR(((INDIRECT("'"&amp;$H$3&amp;"'!W184")*INDIRECT("'"&amp;$H$3&amp;"'!$H$10"))-(2*INDIRECT("'"&amp;$H$3&amp;"'!W$98")/INDIRECT("'"&amp;$H$3&amp;"'!W192"))+(INDIRECT("'"&amp;$H$3&amp;"'!W$99")/INDIRECT("'"&amp;$H$3&amp;"'!W191")))/(((1/60)*(INDIRECT("'"&amp;$H$3&amp;"'!W188")+INDIRECT("'"&amp;$H$3&amp;"'!$H$19")*(INDIRECT("'"&amp;$H$3&amp;"'!W189")+(INDIRECT("'"&amp;$H$3&amp;"'!W190")*('4_Outputs'!W$225/INDIRECT("'"&amp;$H$3&amp;"'!W$96")/INDIRECT("'"&amp;$H$3&amp;"'!$H$19"))))))+(INDIRECT("'"&amp;$H$3&amp;"'!W$99")/INDIRECT("'"&amp;$H$3&amp;"'!W191"))),0)</f>
        <v>0</v>
      </c>
      <c r="X252" s="1465"/>
      <c r="Y252" s="36"/>
      <c r="Z252" s="36"/>
      <c r="AA252" s="36"/>
      <c r="AB252" s="36"/>
      <c r="AC252" s="36"/>
      <c r="AD252" s="36"/>
      <c r="AE252" s="36"/>
      <c r="AF252" s="36"/>
      <c r="AG252" s="36"/>
      <c r="AH252" s="36"/>
      <c r="AI252" s="36"/>
      <c r="AJ252" s="36"/>
      <c r="AK252" s="242"/>
      <c r="AL252" s="36"/>
      <c r="AM252" s="36"/>
      <c r="AN252" s="36"/>
    </row>
    <row r="253" spans="6:40" ht="15" customHeight="1" outlineLevel="1">
      <c r="F253" s="52"/>
      <c r="G253" s="51" t="s">
        <v>129</v>
      </c>
      <c r="H253" s="836"/>
      <c r="I253" s="836"/>
      <c r="J253" s="836"/>
      <c r="K253" s="836">
        <f ca="1">IFERROR(MIN(K252,K251),0)</f>
        <v>0</v>
      </c>
      <c r="L253" s="836"/>
      <c r="M253" s="836"/>
      <c r="N253" s="836">
        <f ca="1">IFERROR(MIN(N252,N251),0)</f>
        <v>0</v>
      </c>
      <c r="O253" s="836"/>
      <c r="P253" s="836"/>
      <c r="Q253" s="836">
        <f ca="1">IFERROR(MIN(Q252,Q251),0)</f>
        <v>0</v>
      </c>
      <c r="R253" s="836"/>
      <c r="S253" s="836"/>
      <c r="T253" s="836">
        <f ca="1">IFERROR(MIN(T252,T251),0)</f>
        <v>0</v>
      </c>
      <c r="U253" s="836"/>
      <c r="V253" s="836"/>
      <c r="W253" s="836">
        <f ca="1">IFERROR(MIN(W252,W251),0)</f>
        <v>0</v>
      </c>
      <c r="X253" s="1465"/>
      <c r="Y253" s="36"/>
      <c r="Z253" s="36"/>
      <c r="AA253" s="36"/>
      <c r="AB253" s="36"/>
      <c r="AC253" s="36"/>
      <c r="AD253" s="36"/>
      <c r="AE253" s="36"/>
      <c r="AF253" s="36"/>
      <c r="AG253" s="36"/>
      <c r="AH253" s="36"/>
      <c r="AI253" s="36"/>
      <c r="AJ253" s="36"/>
      <c r="AK253" s="242"/>
      <c r="AL253" s="36"/>
      <c r="AM253" s="36"/>
      <c r="AN253" s="36"/>
    </row>
    <row r="254" spans="6:40" ht="15" customHeight="1" outlineLevel="1">
      <c r="F254" s="52"/>
      <c r="G254" s="51" t="s">
        <v>188</v>
      </c>
      <c r="H254" s="836"/>
      <c r="I254" s="836"/>
      <c r="J254" s="836"/>
      <c r="K254" s="836">
        <f ca="1">IFERROR(ROUND(K244*INDIRECT("'"&amp;$H$3&amp;"'!K$96")/K253,0),0)</f>
        <v>0</v>
      </c>
      <c r="L254" s="836"/>
      <c r="M254" s="836"/>
      <c r="N254" s="836">
        <f ca="1">IFERROR(ROUND(N244*INDIRECT("'"&amp;$H$3&amp;"'!N$96")/N253,0),0)</f>
        <v>0</v>
      </c>
      <c r="O254" s="836"/>
      <c r="P254" s="836"/>
      <c r="Q254" s="836">
        <f ca="1">IFERROR(ROUND(Q244*INDIRECT("'"&amp;$H$3&amp;"'!Q$96")/Q253,0),0)</f>
        <v>0</v>
      </c>
      <c r="R254" s="836"/>
      <c r="S254" s="836"/>
      <c r="T254" s="836">
        <f ca="1">IFERROR(ROUND(T244*INDIRECT("'"&amp;$H$3&amp;"'!T$96")/T253,0),0)</f>
        <v>0</v>
      </c>
      <c r="U254" s="836"/>
      <c r="V254" s="836"/>
      <c r="W254" s="836">
        <f ca="1">IFERROR(ROUND(W244*INDIRECT("'"&amp;$H$3&amp;"'!W$96")/W253,0),0)</f>
        <v>0</v>
      </c>
      <c r="X254" s="1465"/>
      <c r="Y254" s="36"/>
      <c r="Z254" s="36"/>
      <c r="AA254" s="36"/>
      <c r="AB254" s="36"/>
      <c r="AC254" s="36"/>
      <c r="AD254" s="36"/>
      <c r="AE254" s="36"/>
      <c r="AF254" s="36"/>
      <c r="AG254" s="36"/>
      <c r="AH254" s="36"/>
      <c r="AI254" s="36"/>
      <c r="AJ254" s="36"/>
      <c r="AK254" s="242"/>
      <c r="AL254" s="36"/>
      <c r="AM254" s="36"/>
      <c r="AN254" s="36"/>
    </row>
    <row r="255" spans="6:40" ht="15" customHeight="1" outlineLevel="1">
      <c r="F255" s="52"/>
      <c r="G255" s="51" t="s">
        <v>88</v>
      </c>
      <c r="H255" s="836"/>
      <c r="I255" s="836"/>
      <c r="J255" s="836"/>
      <c r="K255" s="836">
        <f ca="1">IFERROR(IF(K244=0,0,(2*INDIRECT("'"&amp;$H$3&amp;"'!K$98"))+((MAX(K253,1)-1)*INDIRECT("'"&amp;$H$3&amp;"'!K$99"))),0)</f>
        <v>0</v>
      </c>
      <c r="L255" s="836"/>
      <c r="M255" s="836"/>
      <c r="N255" s="836">
        <f ca="1">IFERROR(IF(N244=0,0,(2*INDIRECT("'"&amp;$H$3&amp;"'!N$98"))+((MAX(N253,1)-1)*INDIRECT("'"&amp;$H$3&amp;"'!N$99"))),0)</f>
        <v>0</v>
      </c>
      <c r="O255" s="836"/>
      <c r="P255" s="836"/>
      <c r="Q255" s="836">
        <f ca="1">IFERROR(IF(Q244=0,0,(2*INDIRECT("'"&amp;$H$3&amp;"'!Q$98"))+((MAX(Q253,1)-1)*INDIRECT("'"&amp;$H$3&amp;"'!Q$99"))),0)</f>
        <v>0</v>
      </c>
      <c r="R255" s="836"/>
      <c r="S255" s="836"/>
      <c r="T255" s="836">
        <f ca="1">IFERROR(IF(T244=0,0,(2*INDIRECT("'"&amp;$H$3&amp;"'!T$98"))+((MAX(T253,1)-1)*INDIRECT("'"&amp;$H$3&amp;"'!T$99"))),0)</f>
        <v>0</v>
      </c>
      <c r="U255" s="836"/>
      <c r="V255" s="836"/>
      <c r="W255" s="836">
        <f ca="1">IFERROR(IF(W244=0,0,(2*INDIRECT("'"&amp;$H$3&amp;"'!W$98"))+((MAX(W253,1)-1)*INDIRECT("'"&amp;$H$3&amp;"'!W$99"))),0)</f>
        <v>0</v>
      </c>
      <c r="X255" s="1465"/>
      <c r="Y255" s="36"/>
      <c r="Z255" s="36"/>
      <c r="AA255" s="36"/>
      <c r="AB255" s="36"/>
      <c r="AC255" s="36"/>
      <c r="AD255" s="36"/>
      <c r="AE255" s="36"/>
      <c r="AF255" s="36"/>
      <c r="AG255" s="36"/>
      <c r="AH255" s="36"/>
      <c r="AI255" s="36"/>
      <c r="AJ255" s="36"/>
      <c r="AK255" s="242"/>
      <c r="AL255" s="36"/>
      <c r="AM255" s="36"/>
      <c r="AN255" s="36"/>
    </row>
    <row r="256" spans="6:40" ht="15" customHeight="1" outlineLevel="1">
      <c r="F256" s="52"/>
      <c r="G256" s="51" t="s">
        <v>199</v>
      </c>
      <c r="H256" s="836"/>
      <c r="I256" s="836"/>
      <c r="J256" s="836"/>
      <c r="K256" s="836">
        <f ca="1">IFERROR((ROUNDUP(K253,0)*(1/60)*INDIRECT("'"&amp;$H$3&amp;"'!K188"))+(K253*((1/60)*(INDIRECT("'"&amp;$H$3&amp;"'!$H$19")*(INDIRECT("'"&amp;$H$3&amp;"'!K189")+(INDIRECT("'"&amp;$H$3&amp;"'!K190")*('4_Outputs'!K$225/INDIRECT("'"&amp;$H$3&amp;"'!K$96")/INDIRECT("'"&amp;$H$3&amp;"'!$H$19")))))))+((2*INDIRECT("'"&amp;$H$3&amp;"'!K$98"))/INDIRECT("'"&amp;$H$3&amp;"'!K192"))+(((MAX(K253,1)-1)*INDIRECT("'"&amp;$H$3&amp;"'!K$99"))/INDIRECT("'"&amp;$H$3&amp;"'!K191")),0)</f>
        <v>0</v>
      </c>
      <c r="L256" s="836"/>
      <c r="M256" s="836"/>
      <c r="N256" s="836">
        <f ca="1">IFERROR((ROUNDUP(N253,0)*(1/60)*INDIRECT("'"&amp;$H$3&amp;"'!N188"))+(N253*((1/60)*(INDIRECT("'"&amp;$H$3&amp;"'!$H$19")*(INDIRECT("'"&amp;$H$3&amp;"'!N189")+(INDIRECT("'"&amp;$H$3&amp;"'!N190")*('4_Outputs'!N$225/INDIRECT("'"&amp;$H$3&amp;"'!N$96")/INDIRECT("'"&amp;$H$3&amp;"'!$H$19")))))))+((2*INDIRECT("'"&amp;$H$3&amp;"'!N$98"))/INDIRECT("'"&amp;$H$3&amp;"'!N192"))+(((MAX(N253,1)-1)*INDIRECT("'"&amp;$H$3&amp;"'!N$99"))/INDIRECT("'"&amp;$H$3&amp;"'!N191")),0)</f>
        <v>0</v>
      </c>
      <c r="O256" s="836"/>
      <c r="P256" s="836"/>
      <c r="Q256" s="836">
        <f ca="1">IFERROR((ROUNDUP(Q253,0)*(1/60)*INDIRECT("'"&amp;$H$3&amp;"'!Q188"))+(Q253*((1/60)*(INDIRECT("'"&amp;$H$3&amp;"'!$H$19")*(INDIRECT("'"&amp;$H$3&amp;"'!Q189")+(INDIRECT("'"&amp;$H$3&amp;"'!Q190")*('4_Outputs'!Q$225/INDIRECT("'"&amp;$H$3&amp;"'!Q$96")/INDIRECT("'"&amp;$H$3&amp;"'!$H$19")))))))+((2*INDIRECT("'"&amp;$H$3&amp;"'!Q$98"))/INDIRECT("'"&amp;$H$3&amp;"'!Q192"))+(((MAX(Q253,1)-1)*INDIRECT("'"&amp;$H$3&amp;"'!Q$99"))/INDIRECT("'"&amp;$H$3&amp;"'!Q191")),0)</f>
        <v>0</v>
      </c>
      <c r="R256" s="836"/>
      <c r="S256" s="836"/>
      <c r="T256" s="836">
        <f ca="1">IFERROR((ROUNDUP(T253,0)*(1/60)*INDIRECT("'"&amp;$H$3&amp;"'!T188"))+(T253*((1/60)*(INDIRECT("'"&amp;$H$3&amp;"'!$H$19")*(INDIRECT("'"&amp;$H$3&amp;"'!T189")+(INDIRECT("'"&amp;$H$3&amp;"'!T190")*('4_Outputs'!T$225/INDIRECT("'"&amp;$H$3&amp;"'!T$96")/INDIRECT("'"&amp;$H$3&amp;"'!$H$19")))))))+((2*INDIRECT("'"&amp;$H$3&amp;"'!T$98"))/INDIRECT("'"&amp;$H$3&amp;"'!T192"))+(((MAX(T253,1)-1)*INDIRECT("'"&amp;$H$3&amp;"'!T$99"))/INDIRECT("'"&amp;$H$3&amp;"'!T191")),0)</f>
        <v>0</v>
      </c>
      <c r="U256" s="836"/>
      <c r="V256" s="836"/>
      <c r="W256" s="836">
        <f ca="1">IFERROR((ROUNDUP(W253,0)*(1/60)*INDIRECT("'"&amp;$H$3&amp;"'!W188"))+(W253*((1/60)*(INDIRECT("'"&amp;$H$3&amp;"'!$H$19")*(INDIRECT("'"&amp;$H$3&amp;"'!W189")+(INDIRECT("'"&amp;$H$3&amp;"'!W190")*('4_Outputs'!W$225/INDIRECT("'"&amp;$H$3&amp;"'!W$96")/INDIRECT("'"&amp;$H$3&amp;"'!$H$19")))))))+((2*INDIRECT("'"&amp;$H$3&amp;"'!W$98"))/INDIRECT("'"&amp;$H$3&amp;"'!W192"))+(((MAX(W253,1)-1)*INDIRECT("'"&amp;$H$3&amp;"'!W$99"))/INDIRECT("'"&amp;$H$3&amp;"'!W191")),0)</f>
        <v>0</v>
      </c>
      <c r="X256" s="1465"/>
      <c r="Y256" s="36"/>
      <c r="Z256" s="36"/>
      <c r="AA256" s="36"/>
      <c r="AB256" s="36"/>
      <c r="AC256" s="36"/>
      <c r="AD256" s="36"/>
      <c r="AE256" s="36"/>
      <c r="AF256" s="36"/>
      <c r="AG256" s="36"/>
      <c r="AH256" s="36"/>
      <c r="AI256" s="36"/>
      <c r="AJ256" s="36"/>
      <c r="AK256" s="242"/>
      <c r="AL256" s="36"/>
      <c r="AM256" s="36"/>
      <c r="AN256" s="36"/>
    </row>
    <row r="257" spans="6:40" ht="15" customHeight="1" outlineLevel="1">
      <c r="F257" s="52"/>
      <c r="G257" s="51" t="s">
        <v>200</v>
      </c>
      <c r="H257" s="836"/>
      <c r="I257" s="836"/>
      <c r="J257" s="836"/>
      <c r="K257" s="836">
        <f ca="1">IFERROR((INDIRECT("'"&amp;$H$3&amp;"'!$H$10")*INDIRECT("'"&amp;$H$3&amp;"'!$H$9")*INDIRECT("'"&amp;$H$3&amp;"'!K180"))/K256,0)</f>
        <v>0</v>
      </c>
      <c r="L257" s="836"/>
      <c r="M257" s="836"/>
      <c r="N257" s="836">
        <f ca="1">IFERROR((INDIRECT("'"&amp;$H$3&amp;"'!$H$10")*INDIRECT("'"&amp;$H$3&amp;"'!$H$9")*INDIRECT("'"&amp;$H$3&amp;"'!N180"))/N256,0)</f>
        <v>0</v>
      </c>
      <c r="O257" s="836"/>
      <c r="P257" s="836"/>
      <c r="Q257" s="836">
        <f ca="1">IFERROR((INDIRECT("'"&amp;$H$3&amp;"'!$H$10")*INDIRECT("'"&amp;$H$3&amp;"'!$H$9")*INDIRECT("'"&amp;$H$3&amp;"'!Q180"))/Q256,0)</f>
        <v>0</v>
      </c>
      <c r="R257" s="836"/>
      <c r="S257" s="836"/>
      <c r="T257" s="836">
        <f ca="1">IFERROR((INDIRECT("'"&amp;$H$3&amp;"'!$H$10")*INDIRECT("'"&amp;$H$3&amp;"'!$H$9")*INDIRECT("'"&amp;$H$3&amp;"'!T180"))/T256,0)</f>
        <v>0</v>
      </c>
      <c r="U257" s="836"/>
      <c r="V257" s="836"/>
      <c r="W257" s="836">
        <f ca="1">IFERROR((INDIRECT("'"&amp;$H$3&amp;"'!$H$10")*INDIRECT("'"&amp;$H$3&amp;"'!$H$9")*INDIRECT("'"&amp;$H$3&amp;"'!W180"))/W256,0)</f>
        <v>0</v>
      </c>
      <c r="X257" s="1465"/>
      <c r="Y257" s="36"/>
      <c r="Z257" s="36"/>
      <c r="AA257" s="36"/>
      <c r="AB257" s="36"/>
      <c r="AC257" s="36"/>
      <c r="AD257" s="36"/>
      <c r="AE257" s="36"/>
      <c r="AF257" s="36"/>
      <c r="AG257" s="36"/>
      <c r="AH257" s="36"/>
      <c r="AI257" s="36"/>
      <c r="AJ257" s="36"/>
      <c r="AK257" s="242"/>
      <c r="AL257" s="36"/>
      <c r="AM257" s="36"/>
      <c r="AN257" s="36"/>
    </row>
    <row r="258" spans="6:40" ht="15" customHeight="1" outlineLevel="1">
      <c r="F258" s="52"/>
      <c r="G258" s="1613" t="s">
        <v>134</v>
      </c>
      <c r="H258" s="842"/>
      <c r="I258" s="842"/>
      <c r="J258" s="842"/>
      <c r="K258" s="842"/>
      <c r="L258" s="842"/>
      <c r="M258" s="842"/>
      <c r="N258" s="842"/>
      <c r="O258" s="842"/>
      <c r="P258" s="842"/>
      <c r="Q258" s="842"/>
      <c r="R258" s="1650"/>
      <c r="S258" s="1650"/>
      <c r="T258" s="842"/>
      <c r="U258" s="1650"/>
      <c r="V258" s="1650"/>
      <c r="W258" s="842"/>
      <c r="X258" s="1470"/>
      <c r="Y258" s="36"/>
      <c r="Z258" s="36"/>
      <c r="AA258" s="36"/>
      <c r="AB258" s="36"/>
      <c r="AC258" s="36"/>
      <c r="AD258" s="36"/>
      <c r="AE258" s="36"/>
      <c r="AF258" s="36"/>
      <c r="AG258" s="36"/>
      <c r="AH258" s="36"/>
      <c r="AI258" s="36"/>
      <c r="AJ258" s="36"/>
      <c r="AK258" s="36"/>
      <c r="AL258" s="36"/>
      <c r="AM258" s="36"/>
      <c r="AN258" s="36"/>
    </row>
    <row r="259" spans="6:40" ht="15" customHeight="1" outlineLevel="1">
      <c r="F259" s="52"/>
      <c r="G259" s="51" t="s">
        <v>188</v>
      </c>
      <c r="H259" s="836"/>
      <c r="I259" s="836"/>
      <c r="J259" s="836"/>
      <c r="K259" s="836">
        <f ca="1">IFERROR(K244*INDIRECT("'"&amp;$H$3&amp;"'!K$96")*MAX(1,ROUND(('4_Outputs'!K$225/INDIRECT("'"&amp;$H$3&amp;"'!K$96"))/INDEX(INDIRECT("'"&amp;$H$3&amp;"'!$H$49:$H$78"),MATCH(INDIRECT("'"&amp;$H$3&amp;"'!K176")&amp;"Delivery Capacity (m^3)",INDIRECT("'"&amp;$H$3&amp;"'!$F$49:$F$78"),0)),0)),0)</f>
        <v>0</v>
      </c>
      <c r="L259" s="836"/>
      <c r="M259" s="836"/>
      <c r="N259" s="836">
        <f ca="1">IFERROR(N244*INDIRECT("'"&amp;$H$3&amp;"'!N$96")*MAX(1,ROUND(('4_Outputs'!N$225/INDIRECT("'"&amp;$H$3&amp;"'!N$96"))/INDEX(INDIRECT("'"&amp;$H$3&amp;"'!$H$49:$H$78"),MATCH(INDIRECT("'"&amp;$H$3&amp;"'!N176")&amp;"Delivery Capacity (m^3)",INDIRECT("'"&amp;$H$3&amp;"'!$F$49:$F$78"),0)),0)),0)</f>
        <v>0</v>
      </c>
      <c r="O259" s="836"/>
      <c r="P259" s="836"/>
      <c r="Q259" s="836">
        <f ca="1">IFERROR(Q244*INDIRECT("'"&amp;$H$3&amp;"'!Q$96")*MAX(1,ROUND(('4_Outputs'!Q$225/INDIRECT("'"&amp;$H$3&amp;"'!Q$96"))/INDEX(INDIRECT("'"&amp;$H$3&amp;"'!$H$49:$H$78"),MATCH(INDIRECT("'"&amp;$H$3&amp;"'!Q176")&amp;"Delivery Capacity (m^3)",INDIRECT("'"&amp;$H$3&amp;"'!$F$49:$F$78"),0)),0)),0)</f>
        <v>0</v>
      </c>
      <c r="R259" s="836"/>
      <c r="S259" s="836"/>
      <c r="T259" s="836">
        <f ca="1">IFERROR(T244*INDIRECT("'"&amp;$H$3&amp;"'!T$96")*MAX(1,ROUND(('4_Outputs'!T$225/INDIRECT("'"&amp;$H$3&amp;"'!T$96"))/INDEX(INDIRECT("'"&amp;$H$3&amp;"'!$H$49:$H$78"),MATCH(INDIRECT("'"&amp;$H$3&amp;"'!T176")&amp;"Delivery Capacity (m^3)",INDIRECT("'"&amp;$H$3&amp;"'!$F$49:$F$78"),0)),0)),0)</f>
        <v>0</v>
      </c>
      <c r="U259" s="836"/>
      <c r="V259" s="836"/>
      <c r="W259" s="836">
        <f ca="1">IFERROR(W244*INDIRECT("'"&amp;$H$3&amp;"'!W$96")*MAX(1,ROUND(('4_Outputs'!W$225/INDIRECT("'"&amp;$H$3&amp;"'!W$96"))/INDEX(INDIRECT("'"&amp;$H$3&amp;"'!$H$49:$H$78"),MATCH(INDIRECT("'"&amp;$H$3&amp;"'!W176")&amp;"Delivery Capacity (m^3)",INDIRECT("'"&amp;$H$3&amp;"'!$F$49:$F$78"),0)),0)),0)</f>
        <v>0</v>
      </c>
      <c r="X259" s="1465"/>
      <c r="Y259" s="36"/>
      <c r="Z259" s="36"/>
      <c r="AA259" s="36"/>
      <c r="AB259" s="36" t="s">
        <v>192</v>
      </c>
      <c r="AC259" s="36"/>
      <c r="AD259" s="36" t="s">
        <v>193</v>
      </c>
      <c r="AE259" s="36"/>
      <c r="AF259" s="36"/>
      <c r="AG259" s="36"/>
      <c r="AH259" s="36"/>
      <c r="AI259" s="36"/>
      <c r="AJ259" s="36"/>
      <c r="AK259" s="36"/>
      <c r="AL259" s="36"/>
      <c r="AM259" s="36"/>
      <c r="AN259" s="36"/>
    </row>
    <row r="260" spans="6:40" ht="15" customHeight="1" outlineLevel="1">
      <c r="F260" s="52"/>
      <c r="G260" s="51" t="s">
        <v>88</v>
      </c>
      <c r="H260" s="836"/>
      <c r="I260" s="836"/>
      <c r="J260" s="836"/>
      <c r="K260" s="836">
        <f ca="1">IFERROR(IF(K244=0,0,2*INDIRECT("'"&amp;$H$3&amp;"'!K$98")),0)</f>
        <v>0</v>
      </c>
      <c r="L260" s="836"/>
      <c r="M260" s="836"/>
      <c r="N260" s="836">
        <f ca="1">IFERROR(IF(N244=0,0,2*INDIRECT("'"&amp;$H$3&amp;"'!N$98")),0)</f>
        <v>0</v>
      </c>
      <c r="O260" s="836"/>
      <c r="P260" s="836"/>
      <c r="Q260" s="836">
        <f ca="1">IFERROR(IF(Q244=0,0,2*INDIRECT("'"&amp;$H$3&amp;"'!Q$98")),0)</f>
        <v>0</v>
      </c>
      <c r="R260" s="836"/>
      <c r="S260" s="836"/>
      <c r="T260" s="836">
        <f ca="1">IFERROR(IF(T244=0,0,2*INDIRECT("'"&amp;$H$3&amp;"'!T$98")),0)</f>
        <v>0</v>
      </c>
      <c r="U260" s="836"/>
      <c r="V260" s="836"/>
      <c r="W260" s="836">
        <f ca="1">IFERROR(IF(W244=0,0,2*INDIRECT("'"&amp;$H$3&amp;"'!W$98")),0)</f>
        <v>0</v>
      </c>
      <c r="X260" s="1465"/>
      <c r="Y260" s="36"/>
      <c r="Z260" s="36"/>
      <c r="AA260" s="36"/>
      <c r="AB260" s="36" t="s">
        <v>194</v>
      </c>
      <c r="AC260" s="36"/>
      <c r="AD260" s="36" t="s">
        <v>195</v>
      </c>
      <c r="AE260" s="36"/>
      <c r="AF260" s="36"/>
      <c r="AG260" s="36"/>
      <c r="AH260" s="36"/>
      <c r="AI260" s="36"/>
      <c r="AJ260" s="36"/>
      <c r="AK260" s="36"/>
      <c r="AL260" s="36"/>
      <c r="AM260" s="36"/>
      <c r="AN260" s="36"/>
    </row>
    <row r="261" spans="6:40" ht="15" customHeight="1" outlineLevel="1">
      <c r="F261" s="52"/>
      <c r="G261" s="51" t="s">
        <v>200</v>
      </c>
      <c r="H261" s="839"/>
      <c r="I261" s="839"/>
      <c r="J261" s="839"/>
      <c r="K261" s="839">
        <f ca="1">IFERROR((INDIRECT("'"&amp;$H$3&amp;"'!$H$10")*INDIRECT("'"&amp;$H$3&amp;"'!$H$9")*INDIRECT("'"&amp;$H$3&amp;"'!K180"))/((K260/INDIRECT("'"&amp;$H$3&amp;"'!K192"))+((1/60)*(INDIRECT("'"&amp;$H$3&amp;"'!K188")+INDIRECT("'"&amp;$H$3&amp;"'!$H$19")*(INDIRECT("'"&amp;$H$3&amp;"'!K189")+(INDIRECT("'"&amp;$H$3&amp;"'!K190")*(MIN(('4_Outputs'!K$225/INDIRECT("'"&amp;$H$3&amp;"'!K$96")),INDEX(INDIRECT("'"&amp;$H$3&amp;"'!$H$49:$H$78"),MATCH(INDIRECT("'"&amp;$H$3&amp;"'!K176")&amp;"Delivery Capacity (m^3)",INDIRECT("'"&amp;$H$3&amp;"'!$F$49:$F$78"),0)))/INDIRECT("'"&amp;$H$3&amp;"'!$H$19"))))))),0)</f>
        <v>0</v>
      </c>
      <c r="L261" s="839"/>
      <c r="M261" s="839"/>
      <c r="N261" s="839">
        <f ca="1">IFERROR((INDIRECT("'"&amp;$H$3&amp;"'!$H$10")*INDIRECT("'"&amp;$H$3&amp;"'!$H$9")*INDIRECT("'"&amp;$H$3&amp;"'!N180"))/((N260/INDIRECT("'"&amp;$H$3&amp;"'!N192"))+((1/60)*(INDIRECT("'"&amp;$H$3&amp;"'!N188")+INDIRECT("'"&amp;$H$3&amp;"'!$H$19")*(INDIRECT("'"&amp;$H$3&amp;"'!N189")+(INDIRECT("'"&amp;$H$3&amp;"'!N190")*(MIN(('4_Outputs'!N$225/INDIRECT("'"&amp;$H$3&amp;"'!N$96")),INDEX(INDIRECT("'"&amp;$H$3&amp;"'!$H$49:$H$78"),MATCH(INDIRECT("'"&amp;$H$3&amp;"'!N176")&amp;"Delivery Capacity (m^3)",INDIRECT("'"&amp;$H$3&amp;"'!$F$49:$F$78"),0)))/INDIRECT("'"&amp;$H$3&amp;"'!$H$19"))))))),0)</f>
        <v>0</v>
      </c>
      <c r="O261" s="839"/>
      <c r="P261" s="839"/>
      <c r="Q261" s="839">
        <f ca="1">IFERROR((INDIRECT("'"&amp;$H$3&amp;"'!$H$10")*INDIRECT("'"&amp;$H$3&amp;"'!$H$9")*INDIRECT("'"&amp;$H$3&amp;"'!Q180"))/((Q260/INDIRECT("'"&amp;$H$3&amp;"'!Q192"))+((1/60)*(INDIRECT("'"&amp;$H$3&amp;"'!Q188")+INDIRECT("'"&amp;$H$3&amp;"'!$H$19")*(INDIRECT("'"&amp;$H$3&amp;"'!Q189")+(INDIRECT("'"&amp;$H$3&amp;"'!Q190")*(MIN(('4_Outputs'!Q$225/INDIRECT("'"&amp;$H$3&amp;"'!Q$96")),INDEX(INDIRECT("'"&amp;$H$3&amp;"'!$H$49:$H$78"),MATCH(INDIRECT("'"&amp;$H$3&amp;"'!Q176")&amp;"Delivery Capacity (m^3)",INDIRECT("'"&amp;$H$3&amp;"'!$F$49:$F$78"),0)))/INDIRECT("'"&amp;$H$3&amp;"'!$H$19"))))))),0)</f>
        <v>0</v>
      </c>
      <c r="R261" s="839"/>
      <c r="S261" s="839"/>
      <c r="T261" s="839">
        <f ca="1">IFERROR((INDIRECT("'"&amp;$H$3&amp;"'!$H$10")*INDIRECT("'"&amp;$H$3&amp;"'!$H$9")*INDIRECT("'"&amp;$H$3&amp;"'!T180"))/((T260/INDIRECT("'"&amp;$H$3&amp;"'!T192"))+((1/60)*(INDIRECT("'"&amp;$H$3&amp;"'!T188")+INDIRECT("'"&amp;$H$3&amp;"'!$H$19")*(INDIRECT("'"&amp;$H$3&amp;"'!T189")+(INDIRECT("'"&amp;$H$3&amp;"'!T190")*(MIN(('4_Outputs'!T$225/INDIRECT("'"&amp;$H$3&amp;"'!T$96")),INDEX(INDIRECT("'"&amp;$H$3&amp;"'!$H$49:$H$78"),MATCH(INDIRECT("'"&amp;$H$3&amp;"'!T176")&amp;"Delivery Capacity (m^3)",INDIRECT("'"&amp;$H$3&amp;"'!$F$49:$F$78"),0)))/INDIRECT("'"&amp;$H$3&amp;"'!$H$19"))))))),0)</f>
        <v>0</v>
      </c>
      <c r="U261" s="839"/>
      <c r="V261" s="839"/>
      <c r="W261" s="839">
        <f ca="1">IFERROR((INDIRECT("'"&amp;$H$3&amp;"'!$H$10")*INDIRECT("'"&amp;$H$3&amp;"'!$H$9")*INDIRECT("'"&amp;$H$3&amp;"'!W180"))/((W260/INDIRECT("'"&amp;$H$3&amp;"'!W192"))+((1/60)*(INDIRECT("'"&amp;$H$3&amp;"'!W188")+INDIRECT("'"&amp;$H$3&amp;"'!$H$19")*(INDIRECT("'"&amp;$H$3&amp;"'!W189")+(INDIRECT("'"&amp;$H$3&amp;"'!W190")*(MIN(('4_Outputs'!W$225/INDIRECT("'"&amp;$H$3&amp;"'!W$96")),INDEX(INDIRECT("'"&amp;$H$3&amp;"'!$H$49:$H$78"),MATCH(INDIRECT("'"&amp;$H$3&amp;"'!W176")&amp;"Delivery Capacity (m^3)",INDIRECT("'"&amp;$H$3&amp;"'!$F$49:$F$78"),0)))/INDIRECT("'"&amp;$H$3&amp;"'!$H$19"))))))),0)</f>
        <v>0</v>
      </c>
      <c r="X261" s="1473"/>
      <c r="Y261" s="36"/>
      <c r="Z261" s="36"/>
      <c r="AA261" s="36"/>
      <c r="AB261" s="36"/>
      <c r="AC261" s="36"/>
      <c r="AD261" s="36"/>
      <c r="AE261" s="36"/>
      <c r="AF261" s="36"/>
      <c r="AG261" s="36"/>
      <c r="AH261" s="36"/>
      <c r="AI261" s="36"/>
      <c r="AJ261" s="36"/>
      <c r="AK261" s="36"/>
      <c r="AL261" s="36"/>
      <c r="AM261" s="36"/>
      <c r="AN261" s="36"/>
    </row>
    <row r="262" spans="6:40" ht="15" customHeight="1">
      <c r="F262" s="52"/>
      <c r="G262" s="52"/>
      <c r="H262" s="1660"/>
      <c r="I262" s="1660"/>
      <c r="J262" s="1660"/>
      <c r="K262" s="1660"/>
      <c r="L262" s="1660"/>
      <c r="M262" s="1660"/>
      <c r="N262" s="1660"/>
      <c r="O262" s="1660"/>
      <c r="P262" s="1660"/>
      <c r="Q262" s="1660"/>
      <c r="R262" s="1641"/>
      <c r="S262" s="1641"/>
      <c r="T262" s="1641"/>
      <c r="U262" s="1641"/>
      <c r="V262" s="1641"/>
      <c r="W262" s="1641"/>
      <c r="X262" s="1397"/>
      <c r="Y262" s="36"/>
      <c r="Z262" s="36"/>
      <c r="AA262" s="36"/>
      <c r="AB262" s="36"/>
      <c r="AC262" s="36"/>
      <c r="AD262" s="36"/>
      <c r="AE262" s="36"/>
      <c r="AF262" s="36"/>
      <c r="AG262" s="36"/>
      <c r="AH262" s="36"/>
      <c r="AI262" s="36"/>
      <c r="AJ262" s="36"/>
      <c r="AK262" s="36"/>
      <c r="AL262" s="36"/>
      <c r="AM262" s="36"/>
      <c r="AN262" s="36"/>
    </row>
    <row r="263" spans="6:40" ht="15" customHeight="1">
      <c r="F263" s="52"/>
      <c r="G263" s="52"/>
      <c r="H263" s="1660"/>
      <c r="I263" s="1660"/>
      <c r="J263" s="1660"/>
      <c r="K263" s="1660"/>
      <c r="L263" s="1660"/>
      <c r="M263" s="1660"/>
      <c r="N263" s="1660"/>
      <c r="O263" s="1660"/>
      <c r="P263" s="1660"/>
      <c r="Q263" s="1660"/>
      <c r="R263" s="1641"/>
      <c r="S263" s="1641"/>
      <c r="T263" s="1641"/>
      <c r="U263" s="1641"/>
      <c r="V263" s="1641"/>
      <c r="W263" s="1641"/>
      <c r="X263" s="1397"/>
      <c r="Y263" s="36"/>
      <c r="Z263" s="36"/>
      <c r="AA263" s="36"/>
      <c r="AB263" s="36"/>
      <c r="AC263" s="36"/>
      <c r="AD263" s="36"/>
      <c r="AE263" s="36"/>
      <c r="AF263" s="36"/>
      <c r="AG263" s="36"/>
      <c r="AH263" s="36"/>
      <c r="AI263" s="36"/>
      <c r="AJ263" s="36"/>
      <c r="AK263" s="36"/>
      <c r="AL263" s="36"/>
      <c r="AM263" s="36"/>
      <c r="AN263" s="36"/>
    </row>
    <row r="264" spans="6:40" ht="48" customHeight="1">
      <c r="F264" s="1661" t="s">
        <v>2503</v>
      </c>
      <c r="G264" s="1662"/>
      <c r="H264" s="1663"/>
      <c r="I264" s="1663"/>
      <c r="J264" s="1663"/>
      <c r="K264" s="1519" t="str">
        <f ca="1">IF($H$9&gt;=2,INDIRECT("'"&amp;$H$3&amp;"'!J$130"),"")</f>
        <v>CMS  to  Regional WH</v>
      </c>
      <c r="L264" s="1519" t="str">
        <f t="shared" ref="L264:V264" ca="1" si="18">IF($H$9&gt;=1,"Tier 1","")</f>
        <v>Tier 1</v>
      </c>
      <c r="M264" s="1519" t="str">
        <f t="shared" ca="1" si="18"/>
        <v>Tier 1</v>
      </c>
      <c r="N264" s="1519" t="str">
        <f ca="1">IF($H$9&gt;=3,INDIRECT("'"&amp;$H$3&amp;"'!M$130"),"")</f>
        <v>Regional WH  to  Health Facility</v>
      </c>
      <c r="O264" s="1519" t="str">
        <f t="shared" ca="1" si="18"/>
        <v>Tier 1</v>
      </c>
      <c r="P264" s="1519" t="str">
        <f t="shared" ca="1" si="18"/>
        <v>Tier 1</v>
      </c>
      <c r="Q264" s="1520" t="str">
        <f ca="1">IF($H$9&gt;=4,INDIRECT("'"&amp;$H$3&amp;"'!P$130"),"")</f>
        <v/>
      </c>
      <c r="R264" s="1519" t="str">
        <f t="shared" ca="1" si="18"/>
        <v>Tier 1</v>
      </c>
      <c r="S264" s="1521" t="str">
        <f t="shared" ca="1" si="18"/>
        <v>Tier 1</v>
      </c>
      <c r="T264" s="1520" t="str">
        <f ca="1">IF($H$9&gt;=5,INDIRECT("'"&amp;$H$3&amp;"'!S$130"),"")</f>
        <v/>
      </c>
      <c r="U264" s="1521" t="str">
        <f t="shared" ca="1" si="18"/>
        <v>Tier 1</v>
      </c>
      <c r="V264" s="1521" t="str">
        <f t="shared" ca="1" si="18"/>
        <v>Tier 1</v>
      </c>
      <c r="W264" s="1520" t="str">
        <f ca="1">IF($H$9&gt;=6,INDIRECT("'"&amp;$H$3&amp;"'!V$130"),"")</f>
        <v/>
      </c>
      <c r="X264" s="1464"/>
      <c r="Y264" s="264"/>
      <c r="Z264" s="264"/>
      <c r="AA264" s="264"/>
      <c r="AB264" s="36"/>
      <c r="AC264" s="36"/>
      <c r="AD264" s="36"/>
      <c r="AE264" s="36"/>
      <c r="AF264" s="36"/>
      <c r="AG264" s="36"/>
      <c r="AH264" s="36"/>
      <c r="AI264" s="36"/>
      <c r="AJ264" s="36"/>
      <c r="AK264" s="36"/>
      <c r="AL264" s="36"/>
      <c r="AM264" s="36"/>
      <c r="AN264" s="36"/>
    </row>
    <row r="265" spans="6:40" ht="15" customHeight="1" outlineLevel="1">
      <c r="F265" s="1664" t="s">
        <v>149</v>
      </c>
      <c r="G265" s="1664"/>
      <c r="H265" s="862"/>
      <c r="I265" s="862"/>
      <c r="J265" s="862"/>
      <c r="K265" s="862"/>
      <c r="L265" s="862"/>
      <c r="M265" s="862"/>
      <c r="N265" s="862"/>
      <c r="O265" s="1664"/>
      <c r="P265" s="1664"/>
      <c r="Q265" s="1665"/>
      <c r="R265" s="1666"/>
      <c r="S265" s="1666"/>
      <c r="T265" s="1665"/>
      <c r="U265" s="1666"/>
      <c r="V265" s="1666"/>
      <c r="W265" s="1665"/>
      <c r="Y265" s="36"/>
      <c r="Z265" s="36"/>
      <c r="AA265" s="36"/>
      <c r="AB265" s="36"/>
      <c r="AC265" s="36"/>
      <c r="AD265" s="36"/>
      <c r="AE265" s="36"/>
      <c r="AF265" s="36"/>
      <c r="AG265" s="36"/>
      <c r="AH265" s="36"/>
      <c r="AI265" s="36"/>
      <c r="AJ265" s="36"/>
      <c r="AK265" s="36"/>
      <c r="AL265" s="36"/>
      <c r="AM265" s="36"/>
      <c r="AN265" s="36"/>
    </row>
    <row r="266" spans="6:40" ht="15" customHeight="1" outlineLevel="1">
      <c r="F266" s="52"/>
      <c r="G266" s="52" t="s">
        <v>146</v>
      </c>
      <c r="H266" s="822"/>
      <c r="I266" s="822"/>
      <c r="J266" s="822"/>
      <c r="K266" s="822">
        <f ca="1">IFERROR(IF(COUNTIF(INDIRECT("'"&amp;$H$3&amp;"'!K200"),"Public Transport*")=1,IF(INDIRECT("'"&amp;$H$3&amp;"'!K208")="Route-based",K273*INDIRECT("'"&amp;$H$3&amp;"'!K$96"),IF(INDIRECT("'"&amp;$H$3&amp;"'!K208")="Point-to-point",K276*INDIRECT("'"&amp;$H$3&amp;"'!K$96"),0)),0),0)</f>
        <v>0</v>
      </c>
      <c r="L266" s="822"/>
      <c r="M266" s="822"/>
      <c r="N266" s="822">
        <f ca="1">IFERROR(IF(COUNTIF(INDIRECT("'"&amp;$H$3&amp;"'!N200"),"Public Transport*")=1,IF(INDIRECT("'"&amp;$H$3&amp;"'!N208")="Route-based",N273*INDIRECT("'"&amp;$H$3&amp;"'!N$96"),IF(INDIRECT("'"&amp;$H$3&amp;"'!N208")="Point-to-point",N276*INDIRECT("'"&amp;$H$3&amp;"'!N$96"),0)),0),0)</f>
        <v>0</v>
      </c>
      <c r="O266" s="822"/>
      <c r="P266" s="822"/>
      <c r="Q266" s="822">
        <f ca="1">IFERROR(IF(COUNTIF(INDIRECT("'"&amp;$H$3&amp;"'!Q200"),"Public Transport*")=1,IF(INDIRECT("'"&amp;$H$3&amp;"'!Q208")="Route-based",Q273*INDIRECT("'"&amp;$H$3&amp;"'!Q$96"),IF(INDIRECT("'"&amp;$H$3&amp;"'!Q208")="Point-to-point",Q276*INDIRECT("'"&amp;$H$3&amp;"'!Q$96"),0)),0),0)</f>
        <v>0</v>
      </c>
      <c r="R266" s="1667"/>
      <c r="S266" s="1667"/>
      <c r="T266" s="822">
        <f ca="1">IFERROR(IF(COUNTIF(INDIRECT("'"&amp;$H$3&amp;"'!T200"),"Public Transport*")=1,IF(INDIRECT("'"&amp;$H$3&amp;"'!T208")="Route-based",T273*INDIRECT("'"&amp;$H$3&amp;"'!T$96"),IF(INDIRECT("'"&amp;$H$3&amp;"'!T208")="Point-to-point",T276*INDIRECT("'"&amp;$H$3&amp;"'!T$96"),0)),0),0)</f>
        <v>0</v>
      </c>
      <c r="U266" s="1667"/>
      <c r="V266" s="1667"/>
      <c r="W266" s="822">
        <f ca="1">IFERROR(IF(COUNTIF(INDIRECT("'"&amp;$H$3&amp;"'!W200"),"Public Transport*")=1,IF(INDIRECT("'"&amp;$H$3&amp;"'!W208")="Route-based",W273*INDIRECT("'"&amp;$H$3&amp;"'!W$96"),IF(INDIRECT("'"&amp;$H$3&amp;"'!W208")="Point-to-point",W276*INDIRECT("'"&amp;$H$3&amp;"'!W$96"),0)),0),0)</f>
        <v>0</v>
      </c>
      <c r="X266" s="1475"/>
      <c r="Y266" s="36"/>
      <c r="Z266" s="36"/>
      <c r="AA266" s="36"/>
      <c r="AB266" s="36"/>
      <c r="AC266" s="36"/>
      <c r="AD266" s="36"/>
      <c r="AE266" s="36"/>
      <c r="AF266" s="36"/>
      <c r="AG266" s="36"/>
      <c r="AH266" s="36"/>
      <c r="AI266" s="36"/>
      <c r="AJ266" s="36"/>
      <c r="AK266" s="36"/>
      <c r="AL266" s="36"/>
      <c r="AM266" s="36"/>
      <c r="AN266" s="36"/>
    </row>
    <row r="267" spans="6:40" ht="15" customHeight="1" outlineLevel="1">
      <c r="F267" s="52"/>
      <c r="G267" s="52" t="s">
        <v>147</v>
      </c>
      <c r="H267" s="822"/>
      <c r="I267" s="822"/>
      <c r="J267" s="822"/>
      <c r="K267" s="822">
        <f ca="1">IFERROR(IF(INDIRECT("'"&amp;$H$3&amp;"'!K208")="Route-based",K274*INDIRECT("'"&amp;$H$3&amp;"'!K$96"),IF(INDIRECT("'"&amp;$H$3&amp;"'!K208")="Point-to-point",K277*INDIRECT("'"&amp;$H$3&amp;"'!K$96"),0)),0)</f>
        <v>0</v>
      </c>
      <c r="L267" s="822"/>
      <c r="M267" s="822"/>
      <c r="N267" s="822">
        <f ca="1">IFERROR(IF(INDIRECT("'"&amp;$H$3&amp;"'!N208")="Route-based",N274*INDIRECT("'"&amp;$H$3&amp;"'!N$96"),IF(INDIRECT("'"&amp;$H$3&amp;"'!N208")="Point-to-point",N277*INDIRECT("'"&amp;$H$3&amp;"'!N$96"),0)),0)</f>
        <v>0</v>
      </c>
      <c r="O267" s="822"/>
      <c r="P267" s="822"/>
      <c r="Q267" s="822">
        <f ca="1">IFERROR(IF(INDIRECT("'"&amp;$H$3&amp;"'!Q208")="Route-based",Q274*INDIRECT("'"&amp;$H$3&amp;"'!Q$96"),IF(INDIRECT("'"&amp;$H$3&amp;"'!Q208")="Point-to-point",Q277*INDIRECT("'"&amp;$H$3&amp;"'!Q$96"),0)),0)</f>
        <v>0</v>
      </c>
      <c r="R267" s="1667"/>
      <c r="S267" s="1667"/>
      <c r="T267" s="822">
        <f ca="1">IFERROR(IF(INDIRECT("'"&amp;$H$3&amp;"'!T208")="Route-based",T274*INDIRECT("'"&amp;$H$3&amp;"'!T$96"),IF(INDIRECT("'"&amp;$H$3&amp;"'!T208")="Point-to-point",T277*INDIRECT("'"&amp;$H$3&amp;"'!T$96"),0)),0)</f>
        <v>0</v>
      </c>
      <c r="U267" s="1667"/>
      <c r="V267" s="1667"/>
      <c r="W267" s="822">
        <f ca="1">IFERROR(IF(INDIRECT("'"&amp;$H$3&amp;"'!W208")="Route-based",W274*INDIRECT("'"&amp;$H$3&amp;"'!W$96"),IF(INDIRECT("'"&amp;$H$3&amp;"'!W208")="Point-to-point",W277*INDIRECT("'"&amp;$H$3&amp;"'!W$96"),0)),0)</f>
        <v>0</v>
      </c>
      <c r="X267" s="1475"/>
      <c r="Y267" s="36"/>
      <c r="Z267" s="36"/>
      <c r="AA267" s="36"/>
      <c r="AB267" s="36"/>
      <c r="AC267" s="36"/>
      <c r="AD267" s="36"/>
      <c r="AE267" s="36"/>
      <c r="AF267" s="36"/>
      <c r="AG267" s="36"/>
      <c r="AH267" s="36"/>
      <c r="AI267" s="36"/>
      <c r="AJ267" s="36"/>
      <c r="AK267" s="36"/>
      <c r="AL267" s="36"/>
      <c r="AM267" s="36"/>
      <c r="AN267" s="36"/>
    </row>
    <row r="268" spans="6:40" ht="15" customHeight="1" outlineLevel="1">
      <c r="F268" s="52"/>
      <c r="G268" s="52" t="s">
        <v>142</v>
      </c>
      <c r="H268" s="1668"/>
      <c r="I268" s="1668"/>
      <c r="J268" s="1668"/>
      <c r="K268" s="1668">
        <f ca="1">IFERROR(IF(COUNTIF(INDIRECT("'"&amp;$H$3&amp;"'!K200"),"Public Transport*")&gt;0,ROUND(INDIRECT("'"&amp;$H$3&amp;"'!K$95")*INDIRECT("'"&amp;$H$3&amp;"'!K199"),0),0),0)</f>
        <v>0</v>
      </c>
      <c r="L268" s="1668"/>
      <c r="M268" s="1668"/>
      <c r="N268" s="1668">
        <f ca="1">IFERROR(IF(COUNTIF(INDIRECT("'"&amp;$H$3&amp;"'!N200"),"Public Transport*")&gt;0,ROUND(INDIRECT("'"&amp;$H$3&amp;"'!N$95")*INDIRECT("'"&amp;$H$3&amp;"'!N199"),0),0),0)</f>
        <v>0</v>
      </c>
      <c r="O268" s="1668"/>
      <c r="P268" s="1668"/>
      <c r="Q268" s="1668">
        <f ca="1">IFERROR(IF(COUNTIF(INDIRECT("'"&amp;$H$3&amp;"'!Q200"),"Public Transport*")&gt;0,ROUND(INDIRECT("'"&amp;$H$3&amp;"'!Q$95")*INDIRECT("'"&amp;$H$3&amp;"'!Q199"),0),0),0)</f>
        <v>0</v>
      </c>
      <c r="R268" s="1667"/>
      <c r="S268" s="1667"/>
      <c r="T268" s="1668">
        <f ca="1">IFERROR(IF(COUNTIF(INDIRECT("'"&amp;$H$3&amp;"'!T200"),"Public Transport*")&gt;0,ROUND(INDIRECT("'"&amp;$H$3&amp;"'!T$95")*INDIRECT("'"&amp;$H$3&amp;"'!T199"),0),0),0)</f>
        <v>0</v>
      </c>
      <c r="U268" s="1667"/>
      <c r="V268" s="1667"/>
      <c r="W268" s="1668">
        <f ca="1">IFERROR(IF(COUNTIF(INDIRECT("'"&amp;$H$3&amp;"'!W200"),"Public Transport*")&gt;0,ROUND(INDIRECT("'"&amp;$H$3&amp;"'!W$95")*INDIRECT("'"&amp;$H$3&amp;"'!W199"),0),0),0)</f>
        <v>0</v>
      </c>
      <c r="X268" s="1476"/>
      <c r="Y268" s="36"/>
      <c r="Z268" s="36"/>
      <c r="AA268" s="36"/>
      <c r="AB268" s="36"/>
      <c r="AC268" s="36"/>
      <c r="AD268" s="36"/>
      <c r="AE268" s="36"/>
      <c r="AF268" s="36"/>
      <c r="AG268" s="36"/>
      <c r="AH268" s="36"/>
      <c r="AI268" s="36"/>
      <c r="AJ268" s="36"/>
      <c r="AK268" s="36"/>
      <c r="AL268" s="36"/>
      <c r="AM268" s="36"/>
      <c r="AN268" s="36"/>
    </row>
    <row r="269" spans="6:40" ht="15" customHeight="1" outlineLevel="1">
      <c r="F269" s="52"/>
      <c r="G269" s="1669" t="s">
        <v>150</v>
      </c>
      <c r="H269" s="829"/>
      <c r="I269" s="829"/>
      <c r="J269" s="829"/>
      <c r="K269" s="829"/>
      <c r="L269" s="829"/>
      <c r="M269" s="829"/>
      <c r="N269" s="829"/>
      <c r="O269" s="829"/>
      <c r="P269" s="829"/>
      <c r="Q269" s="829"/>
      <c r="R269" s="1667"/>
      <c r="S269" s="1667"/>
      <c r="T269" s="829"/>
      <c r="U269" s="1667"/>
      <c r="V269" s="1667"/>
      <c r="W269" s="829"/>
      <c r="X269" s="1477"/>
      <c r="Y269" s="36"/>
      <c r="Z269" s="36"/>
      <c r="AA269" s="36"/>
      <c r="AB269" s="36"/>
      <c r="AC269" s="36"/>
      <c r="AD269" s="36"/>
      <c r="AE269" s="36"/>
      <c r="AF269" s="36"/>
      <c r="AG269" s="36"/>
      <c r="AH269" s="36"/>
      <c r="AI269" s="36"/>
      <c r="AJ269" s="36"/>
      <c r="AK269" s="36"/>
      <c r="AL269" s="36"/>
      <c r="AM269" s="36"/>
      <c r="AN269" s="36"/>
    </row>
    <row r="270" spans="6:40" ht="15" customHeight="1" outlineLevel="1">
      <c r="F270" s="52"/>
      <c r="G270" s="52" t="s">
        <v>140</v>
      </c>
      <c r="H270" s="824"/>
      <c r="I270" s="824"/>
      <c r="J270" s="824"/>
      <c r="K270" s="824">
        <f ca="1">IFERROR(ROUND(INDIRECT("'"&amp;$H$3&amp;"'!$H$10")/(((1/60)*(INDIRECT("'"&amp;$H$3&amp;"'!K213")+INDIRECT("'"&amp;$H$3&amp;"'!$H$19")*(INDIRECT("'"&amp;$H$3&amp;"'!K214")+(INDIRECT("'"&amp;$H$3&amp;"'!K215")*('4_Outputs'!K$52/INDIRECT("'"&amp;$H$3&amp;"'!K$96")/INDIRECT("'"&amp;$H$3&amp;"'!$H$19"))))))+INDEX(INDIRECT("'"&amp;$H$3&amp;"'!$H$43:$H$78"),MATCH(INDIRECT("'"&amp;$H$3&amp;"'!K200")&amp;"Average duration (hrs) per trip",INDIRECT("'"&amp;$H$3&amp;"'!$F$43:$F$78"),0))),1),0)</f>
        <v>0</v>
      </c>
      <c r="L270" s="824"/>
      <c r="M270" s="824"/>
      <c r="N270" s="824">
        <f ca="1">IFERROR(ROUND(INDIRECT("'"&amp;$H$3&amp;"'!$H$10")/(((1/60)*(INDIRECT("'"&amp;$H$3&amp;"'!N213")+INDIRECT("'"&amp;$H$3&amp;"'!$H$19")*(INDIRECT("'"&amp;$H$3&amp;"'!N214")+(INDIRECT("'"&amp;$H$3&amp;"'!N215")*('4_Outputs'!N$52/INDIRECT("'"&amp;$H$3&amp;"'!N$96")/INDIRECT("'"&amp;$H$3&amp;"'!$H$19"))))))+INDEX(INDIRECT("'"&amp;$H$3&amp;"'!$H$43:$H$78"),MATCH(INDIRECT("'"&amp;$H$3&amp;"'!N200")&amp;"Average duration (hrs) per trip",INDIRECT("'"&amp;$H$3&amp;"'!$F$43:$F$78"),0))),1),0)</f>
        <v>0</v>
      </c>
      <c r="O270" s="824"/>
      <c r="P270" s="824"/>
      <c r="Q270" s="824">
        <f ca="1">IFERROR(ROUND(INDIRECT("'"&amp;$H$3&amp;"'!$H$10")/(((1/60)*(INDIRECT("'"&amp;$H$3&amp;"'!Q213")+INDIRECT("'"&amp;$H$3&amp;"'!$H$19")*(INDIRECT("'"&amp;$H$3&amp;"'!Q214")+(INDIRECT("'"&amp;$H$3&amp;"'!Q215")*('4_Outputs'!Q$52/INDIRECT("'"&amp;$H$3&amp;"'!Q$96")/INDIRECT("'"&amp;$H$3&amp;"'!$H$19"))))))+INDEX(INDIRECT("'"&amp;$H$3&amp;"'!$H$43:$H$78"),MATCH(INDIRECT("'"&amp;$H$3&amp;"'!Q200")&amp;"Average duration (hrs) per trip",INDIRECT("'"&amp;$H$3&amp;"'!$F$43:$F$78"),0))),1),0)</f>
        <v>0</v>
      </c>
      <c r="R270" s="1667"/>
      <c r="S270" s="1667"/>
      <c r="T270" s="824">
        <f ca="1">IFERROR(ROUND(INDIRECT("'"&amp;$H$3&amp;"'!$H$10")/(((1/60)*(INDIRECT("'"&amp;$H$3&amp;"'!T213")+INDIRECT("'"&amp;$H$3&amp;"'!$H$19")*(INDIRECT("'"&amp;$H$3&amp;"'!T214")+(INDIRECT("'"&amp;$H$3&amp;"'!T215")*('4_Outputs'!T$52/INDIRECT("'"&amp;$H$3&amp;"'!T$96")/INDIRECT("'"&amp;$H$3&amp;"'!$H$19"))))))+INDEX(INDIRECT("'"&amp;$H$3&amp;"'!$H$43:$H$78"),MATCH(INDIRECT("'"&amp;$H$3&amp;"'!T200")&amp;"Average duration (hrs) per trip",INDIRECT("'"&amp;$H$3&amp;"'!$F$43:$F$78"),0))),1),0)</f>
        <v>0</v>
      </c>
      <c r="U270" s="1667"/>
      <c r="V270" s="1667"/>
      <c r="W270" s="824">
        <f ca="1">IFERROR(ROUND(INDIRECT("'"&amp;$H$3&amp;"'!$H$10")/(((1/60)*(INDIRECT("'"&amp;$H$3&amp;"'!W213")+INDIRECT("'"&amp;$H$3&amp;"'!$H$19")*(INDIRECT("'"&amp;$H$3&amp;"'!W214")+(INDIRECT("'"&amp;$H$3&amp;"'!W215")*('4_Outputs'!W$52/INDIRECT("'"&amp;$H$3&amp;"'!W$96")/INDIRECT("'"&amp;$H$3&amp;"'!$H$19"))))))+INDEX(INDIRECT("'"&amp;$H$3&amp;"'!$H$43:$H$78"),MATCH(INDIRECT("'"&amp;$H$3&amp;"'!W200")&amp;"Average duration (hrs) per trip",INDIRECT("'"&amp;$H$3&amp;"'!$F$43:$F$78"),0))),1),0)</f>
        <v>0</v>
      </c>
      <c r="X270" s="1478"/>
      <c r="Y270" s="36"/>
      <c r="Z270" s="36"/>
      <c r="AA270" s="36"/>
      <c r="AB270" s="36"/>
      <c r="AC270" s="36"/>
      <c r="AD270" s="36"/>
      <c r="AE270" s="36"/>
      <c r="AF270" s="36"/>
      <c r="AG270" s="36"/>
      <c r="AH270" s="36"/>
      <c r="AI270" s="36"/>
      <c r="AJ270" s="36"/>
      <c r="AK270" s="36"/>
      <c r="AL270" s="36"/>
      <c r="AM270" s="36"/>
      <c r="AN270" s="36"/>
    </row>
    <row r="271" spans="6:40" ht="15" customHeight="1" outlineLevel="1">
      <c r="F271" s="52"/>
      <c r="G271" s="52" t="s">
        <v>141</v>
      </c>
      <c r="H271" s="824"/>
      <c r="I271" s="824"/>
      <c r="J271" s="824"/>
      <c r="K271" s="824">
        <f ca="1">IFERROR(ROUND(K270*INDIRECT("'"&amp;$H$3&amp;"'!K209"),0),0)</f>
        <v>0</v>
      </c>
      <c r="L271" s="824"/>
      <c r="M271" s="824"/>
      <c r="N271" s="824">
        <f ca="1">IFERROR(ROUND(N270*INDIRECT("'"&amp;$H$3&amp;"'!N209"),0),0)</f>
        <v>0</v>
      </c>
      <c r="O271" s="824"/>
      <c r="P271" s="824"/>
      <c r="Q271" s="824">
        <f ca="1">IFERROR(ROUND(Q270*INDIRECT("'"&amp;$H$3&amp;"'!Q209"),0),0)</f>
        <v>0</v>
      </c>
      <c r="R271" s="1667"/>
      <c r="S271" s="1667"/>
      <c r="T271" s="824">
        <f ca="1">IFERROR(ROUND(T270*INDIRECT("'"&amp;$H$3&amp;"'!T209"),0),0)</f>
        <v>0</v>
      </c>
      <c r="U271" s="1667"/>
      <c r="V271" s="1667"/>
      <c r="W271" s="824">
        <f ca="1">IFERROR(ROUND(W270*INDIRECT("'"&amp;$H$3&amp;"'!W209"),0),0)</f>
        <v>0</v>
      </c>
      <c r="X271" s="1478"/>
      <c r="Y271" s="36"/>
      <c r="Z271" s="36"/>
      <c r="AA271" s="36"/>
      <c r="AB271" s="36"/>
      <c r="AC271" s="36"/>
      <c r="AD271" s="36"/>
      <c r="AE271" s="36"/>
      <c r="AF271" s="36"/>
      <c r="AG271" s="36"/>
      <c r="AH271" s="36"/>
      <c r="AI271" s="36"/>
      <c r="AJ271" s="36"/>
      <c r="AK271" s="36"/>
      <c r="AL271" s="36"/>
      <c r="AM271" s="36"/>
      <c r="AN271" s="36"/>
    </row>
    <row r="272" spans="6:40" ht="15" customHeight="1" outlineLevel="1">
      <c r="F272" s="52"/>
      <c r="G272" s="52" t="s">
        <v>143</v>
      </c>
      <c r="H272" s="824"/>
      <c r="I272" s="824"/>
      <c r="J272" s="824"/>
      <c r="K272" s="824">
        <f ca="1">IFERROR(K268/K271,0)</f>
        <v>0</v>
      </c>
      <c r="L272" s="824"/>
      <c r="M272" s="824"/>
      <c r="N272" s="824">
        <f ca="1">IFERROR(N268/N271,0)</f>
        <v>0</v>
      </c>
      <c r="O272" s="824"/>
      <c r="P272" s="824"/>
      <c r="Q272" s="824">
        <f ca="1">IFERROR(Q268/Q271,0)</f>
        <v>0</v>
      </c>
      <c r="R272" s="1667"/>
      <c r="S272" s="1667"/>
      <c r="T272" s="824">
        <f ca="1">IFERROR(T268/T271,0)</f>
        <v>0</v>
      </c>
      <c r="U272" s="1667"/>
      <c r="V272" s="1667"/>
      <c r="W272" s="824">
        <f ca="1">IFERROR(W268/W271,0)</f>
        <v>0</v>
      </c>
      <c r="X272" s="1478"/>
      <c r="Y272" s="36"/>
      <c r="Z272" s="36"/>
      <c r="AA272" s="36"/>
      <c r="AB272" s="36"/>
      <c r="AC272" s="36"/>
      <c r="AD272" s="36"/>
      <c r="AE272" s="36"/>
      <c r="AF272" s="36"/>
      <c r="AG272" s="36"/>
      <c r="AH272" s="36"/>
      <c r="AI272" s="36"/>
      <c r="AJ272" s="36"/>
      <c r="AK272" s="36"/>
      <c r="AL272" s="36"/>
      <c r="AM272" s="36"/>
      <c r="AN272" s="36"/>
    </row>
    <row r="273" spans="6:40" ht="15" customHeight="1" outlineLevel="1">
      <c r="F273" s="52"/>
      <c r="G273" s="52" t="s">
        <v>144</v>
      </c>
      <c r="H273" s="824"/>
      <c r="I273" s="824"/>
      <c r="J273" s="824"/>
      <c r="K273" s="824">
        <f ca="1">IFERROR((K272*(K271+1)),0)</f>
        <v>0</v>
      </c>
      <c r="L273" s="824"/>
      <c r="M273" s="824"/>
      <c r="N273" s="824">
        <f ca="1">IFERROR((N272*(N271+1)),0)</f>
        <v>0</v>
      </c>
      <c r="O273" s="824"/>
      <c r="P273" s="824"/>
      <c r="Q273" s="824">
        <f ca="1">IFERROR((Q272*(Q271+1)),0)</f>
        <v>0</v>
      </c>
      <c r="R273" s="1667"/>
      <c r="S273" s="1667"/>
      <c r="T273" s="824">
        <f ca="1">IFERROR((T272*(T271+1)),0)</f>
        <v>0</v>
      </c>
      <c r="U273" s="1667"/>
      <c r="V273" s="1667"/>
      <c r="W273" s="824">
        <f ca="1">IFERROR((W272*(W271+1)),0)</f>
        <v>0</v>
      </c>
      <c r="X273" s="1478"/>
      <c r="Y273" s="36"/>
      <c r="Z273" s="36"/>
      <c r="AA273" s="36"/>
      <c r="AB273" s="36"/>
      <c r="AC273" s="36"/>
      <c r="AD273" s="36"/>
      <c r="AE273" s="36"/>
      <c r="AF273" s="36"/>
      <c r="AG273" s="36"/>
      <c r="AH273" s="36"/>
      <c r="AI273" s="36"/>
      <c r="AJ273" s="36"/>
      <c r="AK273" s="36"/>
      <c r="AL273" s="242"/>
      <c r="AM273" s="36"/>
      <c r="AN273" s="36"/>
    </row>
    <row r="274" spans="6:40" ht="15" customHeight="1" outlineLevel="1">
      <c r="F274" s="52"/>
      <c r="G274" s="52" t="s">
        <v>145</v>
      </c>
      <c r="H274" s="824"/>
      <c r="I274" s="824"/>
      <c r="J274" s="824"/>
      <c r="K274" s="824">
        <f ca="1">IFERROR(ROUNDUP(((K273*INDEX(INDIRECT("'"&amp;$H$3&amp;"'!$H$43:$H$78"),MATCH(INDIRECT("'"&amp;$H$3&amp;"'!K200")&amp;"Average duration (hrs) per trip",INDIRECT("'"&amp;$H$3&amp;"'!$F$43:$F$78"),0)))+(K268*((1/60)*(INDIRECT("'"&amp;$H$3&amp;"'!K213")+INDIRECT("'"&amp;$H$3&amp;"'!$H$19")*(INDIRECT("'"&amp;$H$3&amp;"'!K214")+(INDIRECT("'"&amp;$H$3&amp;"'!K215")*('4_Outputs'!K$52/INDIRECT("'"&amp;$H$3&amp;"'!K$96")/INDIRECT("'"&amp;$H$3&amp;"'!$H$19"))))))))/INDIRECT("'"&amp;$H$3&amp;"'!$H$10"),0),0)</f>
        <v>0</v>
      </c>
      <c r="L274" s="824"/>
      <c r="M274" s="824"/>
      <c r="N274" s="824">
        <f ca="1">IFERROR(ROUNDUP(((N273*INDEX(INDIRECT("'"&amp;$H$3&amp;"'!$H$43:$H$78"),MATCH(INDIRECT("'"&amp;$H$3&amp;"'!N200")&amp;"Average duration (hrs) per trip",INDIRECT("'"&amp;$H$3&amp;"'!$F$43:$F$78"),0)))+(N268*((1/60)*(INDIRECT("'"&amp;$H$3&amp;"'!N213")+INDIRECT("'"&amp;$H$3&amp;"'!$H$19")*(INDIRECT("'"&amp;$H$3&amp;"'!N214")+(INDIRECT("'"&amp;$H$3&amp;"'!N215")*('4_Outputs'!N$52/INDIRECT("'"&amp;$H$3&amp;"'!N$96")/INDIRECT("'"&amp;$H$3&amp;"'!$H$19"))))))))/INDIRECT("'"&amp;$H$3&amp;"'!$H$10"),0),0)</f>
        <v>0</v>
      </c>
      <c r="O274" s="824"/>
      <c r="P274" s="824"/>
      <c r="Q274" s="824">
        <f ca="1">IFERROR(ROUNDUP(((Q273*INDEX(INDIRECT("'"&amp;$H$3&amp;"'!$H$43:$H$78"),MATCH(INDIRECT("'"&amp;$H$3&amp;"'!Q200")&amp;"Average duration (hrs) per trip",INDIRECT("'"&amp;$H$3&amp;"'!$F$43:$F$78"),0)))+(Q268*((1/60)*(INDIRECT("'"&amp;$H$3&amp;"'!Q213")+INDIRECT("'"&amp;$H$3&amp;"'!$H$19")*(INDIRECT("'"&amp;$H$3&amp;"'!Q214")+(INDIRECT("'"&amp;$H$3&amp;"'!Q215")*('4_Outputs'!Q$52/INDIRECT("'"&amp;$H$3&amp;"'!Q$96")/INDIRECT("'"&amp;$H$3&amp;"'!$H$19"))))))))/INDIRECT("'"&amp;$H$3&amp;"'!$H$10"),0),0)</f>
        <v>0</v>
      </c>
      <c r="R274" s="1667"/>
      <c r="S274" s="1667"/>
      <c r="T274" s="824">
        <f ca="1">IFERROR(ROUNDUP(((T273*INDEX(INDIRECT("'"&amp;$H$3&amp;"'!$H$43:$H$78"),MATCH(INDIRECT("'"&amp;$H$3&amp;"'!T200")&amp;"Average duration (hrs) per trip",INDIRECT("'"&amp;$H$3&amp;"'!$F$43:$F$78"),0)))+(T268*((1/60)*(INDIRECT("'"&amp;$H$3&amp;"'!T213")+INDIRECT("'"&amp;$H$3&amp;"'!$H$19")*(INDIRECT("'"&amp;$H$3&amp;"'!T214")+(INDIRECT("'"&amp;$H$3&amp;"'!T215")*('4_Outputs'!T$52/INDIRECT("'"&amp;$H$3&amp;"'!T$96")/INDIRECT("'"&amp;$H$3&amp;"'!$H$19"))))))))/INDIRECT("'"&amp;$H$3&amp;"'!$H$10"),0),0)</f>
        <v>0</v>
      </c>
      <c r="U274" s="1667"/>
      <c r="V274" s="1667"/>
      <c r="W274" s="824">
        <f ca="1">IFERROR(ROUNDUP(((W273*INDEX(INDIRECT("'"&amp;$H$3&amp;"'!$H$43:$H$78"),MATCH(INDIRECT("'"&amp;$H$3&amp;"'!W200")&amp;"Average duration (hrs) per trip",INDIRECT("'"&amp;$H$3&amp;"'!$F$43:$F$78"),0)))+(W268*((1/60)*(INDIRECT("'"&amp;$H$3&amp;"'!W213")+INDIRECT("'"&amp;$H$3&amp;"'!$H$19")*(INDIRECT("'"&amp;$H$3&amp;"'!W214")+(INDIRECT("'"&amp;$H$3&amp;"'!W215")*('4_Outputs'!W$52/INDIRECT("'"&amp;$H$3&amp;"'!W$96")/INDIRECT("'"&amp;$H$3&amp;"'!$H$19"))))))))/INDIRECT("'"&amp;$H$3&amp;"'!$H$10"),0),0)</f>
        <v>0</v>
      </c>
      <c r="X274" s="1478"/>
      <c r="Y274" s="36"/>
      <c r="Z274" s="36"/>
      <c r="AA274" s="36"/>
      <c r="AB274" s="36"/>
      <c r="AC274" s="36"/>
      <c r="AD274" s="36"/>
      <c r="AE274" s="36"/>
      <c r="AF274" s="36"/>
      <c r="AG274" s="36"/>
      <c r="AH274" s="36"/>
      <c r="AI274" s="36"/>
      <c r="AJ274" s="36"/>
      <c r="AK274" s="36"/>
      <c r="AL274" s="242"/>
      <c r="AM274" s="36"/>
      <c r="AN274" s="36"/>
    </row>
    <row r="275" spans="6:40" ht="15" customHeight="1" outlineLevel="1">
      <c r="F275" s="52"/>
      <c r="G275" s="1669" t="s">
        <v>840</v>
      </c>
      <c r="H275" s="829"/>
      <c r="I275" s="829"/>
      <c r="J275" s="829"/>
      <c r="K275" s="829"/>
      <c r="L275" s="829"/>
      <c r="M275" s="829"/>
      <c r="N275" s="829"/>
      <c r="O275" s="829"/>
      <c r="P275" s="829"/>
      <c r="Q275" s="829"/>
      <c r="R275" s="1667"/>
      <c r="S275" s="1667"/>
      <c r="T275" s="829"/>
      <c r="U275" s="1667"/>
      <c r="V275" s="1667"/>
      <c r="W275" s="829"/>
      <c r="X275" s="1477"/>
      <c r="Y275" s="36"/>
      <c r="Z275" s="36"/>
      <c r="AA275" s="36"/>
      <c r="AB275" s="36"/>
      <c r="AC275" s="36"/>
      <c r="AD275" s="36"/>
      <c r="AE275" s="36"/>
      <c r="AF275" s="36"/>
      <c r="AG275" s="36"/>
      <c r="AH275" s="36"/>
      <c r="AI275" s="36"/>
      <c r="AJ275" s="36"/>
      <c r="AK275" s="36"/>
      <c r="AL275" s="242"/>
      <c r="AM275" s="36"/>
      <c r="AN275" s="36"/>
    </row>
    <row r="276" spans="6:40" ht="15" customHeight="1" outlineLevel="1">
      <c r="F276" s="52"/>
      <c r="G276" s="52" t="s">
        <v>144</v>
      </c>
      <c r="H276" s="824"/>
      <c r="I276" s="824"/>
      <c r="J276" s="824"/>
      <c r="K276" s="824">
        <f ca="1">K268*2</f>
        <v>0</v>
      </c>
      <c r="L276" s="824"/>
      <c r="M276" s="824"/>
      <c r="N276" s="824">
        <f ca="1">N268*2</f>
        <v>0</v>
      </c>
      <c r="O276" s="824"/>
      <c r="P276" s="824"/>
      <c r="Q276" s="824">
        <f ca="1">Q268*2</f>
        <v>0</v>
      </c>
      <c r="R276" s="1667"/>
      <c r="S276" s="1667"/>
      <c r="T276" s="824">
        <f ca="1">T268*2</f>
        <v>0</v>
      </c>
      <c r="U276" s="1667"/>
      <c r="V276" s="1667"/>
      <c r="W276" s="824">
        <f ca="1">W268*2</f>
        <v>0</v>
      </c>
      <c r="X276" s="1478"/>
      <c r="Y276" s="36"/>
      <c r="Z276" s="36"/>
      <c r="AA276" s="36"/>
      <c r="AB276" s="36"/>
      <c r="AC276" s="36"/>
      <c r="AD276" s="36"/>
      <c r="AE276" s="36"/>
      <c r="AF276" s="36"/>
      <c r="AG276" s="36"/>
      <c r="AH276" s="36"/>
      <c r="AI276" s="36"/>
      <c r="AJ276" s="36"/>
      <c r="AK276" s="36"/>
      <c r="AL276" s="36"/>
      <c r="AM276" s="36"/>
      <c r="AN276" s="36"/>
    </row>
    <row r="277" spans="6:40" ht="15" customHeight="1" outlineLevel="1">
      <c r="F277" s="52"/>
      <c r="G277" s="52" t="s">
        <v>145</v>
      </c>
      <c r="H277" s="822"/>
      <c r="I277" s="822"/>
      <c r="J277" s="822"/>
      <c r="K277" s="822">
        <f ca="1">IFERROR(MAX(K268,ROUNDUP(((K276*INDEX(INDIRECT("'"&amp;$H$3&amp;"'!$H$43:$H$78"),MATCH(INDIRECT("'"&amp;$H$3&amp;"'!K200")&amp;"Average duration (hrs) per trip",INDIRECT("'"&amp;$H$3&amp;"'!$F$43:$F$78"),0)))+(K268*((1/60)*(INDIRECT("'"&amp;$H$3&amp;"'!K213")+INDIRECT("'"&amp;$H$3&amp;"'!$H$19")*(INDIRECT("'"&amp;$H$3&amp;"'!K214")+(INDIRECT("'"&amp;$H$3&amp;"'!K215")*('4_Outputs'!K$52/INDIRECT("'"&amp;$H$3&amp;"'!K$96")/INDIRECT("'"&amp;$H$3&amp;"'!$H$19"))))))))/INDIRECT("'"&amp;$H$3&amp;"'!$H$10"),0)),0)</f>
        <v>0</v>
      </c>
      <c r="L277" s="822"/>
      <c r="M277" s="822"/>
      <c r="N277" s="822">
        <f ca="1">IFERROR(MAX(N268,ROUNDUP(((N276*INDEX(INDIRECT("'"&amp;$H$3&amp;"'!$H$43:$H$78"),MATCH(INDIRECT("'"&amp;$H$3&amp;"'!N200")&amp;"Average duration (hrs) per trip",INDIRECT("'"&amp;$H$3&amp;"'!$F$43:$F$78"),0)))+(N268*((1/60)*(INDIRECT("'"&amp;$H$3&amp;"'!N213")+INDIRECT("'"&amp;$H$3&amp;"'!$H$19")*(INDIRECT("'"&amp;$H$3&amp;"'!N214")+(INDIRECT("'"&amp;$H$3&amp;"'!N215")*('4_Outputs'!N$52/INDIRECT("'"&amp;$H$3&amp;"'!N$96")/INDIRECT("'"&amp;$H$3&amp;"'!$H$19"))))))))/INDIRECT("'"&amp;$H$3&amp;"'!$H$10"),0)),0)</f>
        <v>0</v>
      </c>
      <c r="O277" s="822"/>
      <c r="P277" s="822"/>
      <c r="Q277" s="822">
        <f ca="1">IFERROR(MAX(Q268,ROUNDUP(((Q276*INDEX(INDIRECT("'"&amp;$H$3&amp;"'!$H$43:$H$78"),MATCH(INDIRECT("'"&amp;$H$3&amp;"'!Q200")&amp;"Average duration (hrs) per trip",INDIRECT("'"&amp;$H$3&amp;"'!$F$43:$F$78"),0)))+(Q268*((1/60)*(INDIRECT("'"&amp;$H$3&amp;"'!Q213")+INDIRECT("'"&amp;$H$3&amp;"'!$H$19")*(INDIRECT("'"&amp;$H$3&amp;"'!Q214")+(INDIRECT("'"&amp;$H$3&amp;"'!Q215")*('4_Outputs'!Q$52/INDIRECT("'"&amp;$H$3&amp;"'!Q$96")/INDIRECT("'"&amp;$H$3&amp;"'!$H$19"))))))))/INDIRECT("'"&amp;$H$3&amp;"'!$H$10"),0)),0)</f>
        <v>0</v>
      </c>
      <c r="R277" s="1670"/>
      <c r="S277" s="1670"/>
      <c r="T277" s="822">
        <f ca="1">IFERROR(MAX(T268,ROUNDUP(((T276*INDEX(INDIRECT("'"&amp;$H$3&amp;"'!$H$43:$H$78"),MATCH(INDIRECT("'"&amp;$H$3&amp;"'!T200")&amp;"Average duration (hrs) per trip",INDIRECT("'"&amp;$H$3&amp;"'!$F$43:$F$78"),0)))+(T268*((1/60)*(INDIRECT("'"&amp;$H$3&amp;"'!T213")+INDIRECT("'"&amp;$H$3&amp;"'!$H$19")*(INDIRECT("'"&amp;$H$3&amp;"'!T214")+(INDIRECT("'"&amp;$H$3&amp;"'!T215")*('4_Outputs'!T$52/INDIRECT("'"&amp;$H$3&amp;"'!T$96")/INDIRECT("'"&amp;$H$3&amp;"'!$H$19"))))))))/INDIRECT("'"&amp;$H$3&amp;"'!$H$10"),0)),0)</f>
        <v>0</v>
      </c>
      <c r="U277" s="1670"/>
      <c r="V277" s="1670"/>
      <c r="W277" s="822">
        <f ca="1">IFERROR(MAX(W268,ROUNDUP(((W276*INDEX(INDIRECT("'"&amp;$H$3&amp;"'!$H$43:$H$78"),MATCH(INDIRECT("'"&amp;$H$3&amp;"'!W200")&amp;"Average duration (hrs) per trip",INDIRECT("'"&amp;$H$3&amp;"'!$F$43:$F$78"),0)))+(W268*((1/60)*(INDIRECT("'"&amp;$H$3&amp;"'!W213")+INDIRECT("'"&amp;$H$3&amp;"'!$H$19")*(INDIRECT("'"&amp;$H$3&amp;"'!W214")+(INDIRECT("'"&amp;$H$3&amp;"'!W215")*('4_Outputs'!W$52/INDIRECT("'"&amp;$H$3&amp;"'!W$96")/INDIRECT("'"&amp;$H$3&amp;"'!$H$19"))))))))/INDIRECT("'"&amp;$H$3&amp;"'!$H$10"),0)),0)</f>
        <v>0</v>
      </c>
      <c r="X277" s="1475"/>
      <c r="Y277" s="36"/>
      <c r="Z277" s="36"/>
      <c r="AA277" s="36"/>
      <c r="AB277" s="36"/>
      <c r="AC277" s="36"/>
      <c r="AD277" s="36"/>
      <c r="AE277" s="36"/>
      <c r="AF277" s="36"/>
      <c r="AG277" s="36"/>
      <c r="AH277" s="36"/>
      <c r="AI277" s="36"/>
      <c r="AJ277" s="36"/>
      <c r="AK277" s="36"/>
      <c r="AL277" s="36"/>
      <c r="AM277" s="36"/>
      <c r="AN277" s="36"/>
    </row>
    <row r="278" spans="6:40" ht="15" customHeight="1" outlineLevel="1">
      <c r="F278" s="1664" t="s">
        <v>148</v>
      </c>
      <c r="G278" s="1664"/>
      <c r="H278" s="1671"/>
      <c r="I278" s="1671"/>
      <c r="J278" s="1671"/>
      <c r="K278" s="1671"/>
      <c r="L278" s="1671"/>
      <c r="M278" s="1671"/>
      <c r="N278" s="1671"/>
      <c r="O278" s="1671"/>
      <c r="P278" s="1671"/>
      <c r="Q278" s="1671"/>
      <c r="R278" s="1672"/>
      <c r="S278" s="1672"/>
      <c r="T278" s="1671"/>
      <c r="U278" s="1672"/>
      <c r="V278" s="1672"/>
      <c r="W278" s="1671"/>
      <c r="X278" s="1479"/>
      <c r="Y278" s="36"/>
      <c r="Z278" s="36"/>
      <c r="AA278" s="36"/>
      <c r="AB278" s="36"/>
      <c r="AC278" s="36"/>
      <c r="AD278" s="36"/>
      <c r="AE278" s="36"/>
      <c r="AF278" s="36"/>
      <c r="AG278" s="36"/>
      <c r="AH278" s="36"/>
      <c r="AI278" s="36"/>
      <c r="AJ278" s="36"/>
      <c r="AK278" s="242"/>
      <c r="AL278" s="36"/>
      <c r="AM278" s="36"/>
      <c r="AN278" s="36"/>
    </row>
    <row r="279" spans="6:40" ht="15" customHeight="1" outlineLevel="1">
      <c r="F279" s="86"/>
      <c r="G279" s="51" t="s">
        <v>151</v>
      </c>
      <c r="H279" s="826"/>
      <c r="I279" s="826"/>
      <c r="J279" s="826"/>
      <c r="K279" s="836">
        <f ca="1">IFERROR(IF(COUNTIF(INDIRECT("'"&amp;$H$3&amp;"'!K200"),"Public Transport*")&lt;1,ROUND(INDIRECT("'"&amp;$H$3&amp;"'!K$95")*INDIRECT("'"&amp;$H$3&amp;"'!K199"),0),0),0)</f>
        <v>0</v>
      </c>
      <c r="L279" s="826"/>
      <c r="M279" s="826"/>
      <c r="N279" s="836">
        <f ca="1">IFERROR(IF(COUNTIF(INDIRECT("'"&amp;$H$3&amp;"'!N200"),"Public Transport*")&lt;1,ROUND(INDIRECT("'"&amp;$H$3&amp;"'!N$95")*INDIRECT("'"&amp;$H$3&amp;"'!N199"),0),0),0)</f>
        <v>345</v>
      </c>
      <c r="O279" s="826"/>
      <c r="P279" s="826"/>
      <c r="Q279" s="826">
        <f ca="1">IFERROR(IF(COUNTIF(INDIRECT("'"&amp;$H$3&amp;"'!Q200"),"Public Transport*")&lt;1,ROUND(INDIRECT("'"&amp;$H$3&amp;"'!Q$95")*INDIRECT("'"&amp;$H$3&amp;"'!Q199"),0),0),0)</f>
        <v>0</v>
      </c>
      <c r="R279" s="1672"/>
      <c r="S279" s="1672"/>
      <c r="T279" s="826">
        <f ca="1">IFERROR(IF(COUNTIF(INDIRECT("'"&amp;$H$3&amp;"'!T200"),"Public Transport*")&lt;1,ROUND(INDIRECT("'"&amp;$H$3&amp;"'!T$95")*INDIRECT("'"&amp;$H$3&amp;"'!T199"),0),0),0)</f>
        <v>0</v>
      </c>
      <c r="U279" s="1672"/>
      <c r="V279" s="1672"/>
      <c r="W279" s="826">
        <f ca="1">IFERROR(IF(COUNTIF(INDIRECT("'"&amp;$H$3&amp;"'!W200"),"Public Transport*")&lt;1,ROUND(INDIRECT("'"&amp;$H$3&amp;"'!W$95")*INDIRECT("'"&amp;$H$3&amp;"'!W199"),0),0),0)</f>
        <v>0</v>
      </c>
      <c r="X279" s="1480"/>
      <c r="Y279" s="36"/>
      <c r="Z279" s="36"/>
      <c r="AA279" s="36"/>
      <c r="AB279" s="36"/>
      <c r="AC279" s="36"/>
      <c r="AD279" s="36"/>
      <c r="AE279" s="36"/>
      <c r="AF279" s="36"/>
      <c r="AG279" s="36"/>
      <c r="AH279" s="36"/>
      <c r="AI279" s="36"/>
      <c r="AJ279" s="36"/>
      <c r="AK279" s="242"/>
      <c r="AL279" s="36"/>
      <c r="AM279" s="36"/>
      <c r="AN279" s="36"/>
    </row>
    <row r="280" spans="6:40" ht="15" customHeight="1" outlineLevel="1">
      <c r="F280" s="52"/>
      <c r="G280" s="51" t="s">
        <v>85</v>
      </c>
      <c r="H280" s="827"/>
      <c r="I280" s="827"/>
      <c r="J280" s="827"/>
      <c r="K280" s="837">
        <f ca="1">IFERROR(IF(INDIRECT("'"&amp;$H$3&amp;"'!K208")="Route-based",K285*K286,IF(INDIRECT("'"&amp;$H$3&amp;"'!K208")="Point-to-point",K290*K291,0)),0)</f>
        <v>0</v>
      </c>
      <c r="L280" s="827"/>
      <c r="M280" s="827"/>
      <c r="N280" s="837">
        <f ca="1">IFERROR(IF(INDIRECT("'"&amp;$H$3&amp;"'!N208")="Route-based",N285*N286,IF(INDIRECT("'"&amp;$H$3&amp;"'!N208")="Point-to-point",N290*N291,0)),0)</f>
        <v>241183.33871043762</v>
      </c>
      <c r="O280" s="827"/>
      <c r="P280" s="827"/>
      <c r="Q280" s="827">
        <f ca="1">IFERROR(IF(INDIRECT("'"&amp;$H$3&amp;"'!Q208")="Route-based",Q285*Q286,IF(INDIRECT("'"&amp;$H$3&amp;"'!Q208")="Point-to-point",Q290*Q291,0)),0)</f>
        <v>0</v>
      </c>
      <c r="R280" s="1670"/>
      <c r="S280" s="1670"/>
      <c r="T280" s="827">
        <f ca="1">IFERROR(IF(INDIRECT("'"&amp;$H$3&amp;"'!T208")="Route-based",T285*T286,IF(INDIRECT("'"&amp;$H$3&amp;"'!T208")="Point-to-point",T290*T291,0)),0)</f>
        <v>0</v>
      </c>
      <c r="U280" s="1670"/>
      <c r="V280" s="1670"/>
      <c r="W280" s="827">
        <f ca="1">IFERROR(IF(INDIRECT("'"&amp;$H$3&amp;"'!W208")="Route-based",W285*W286,IF(INDIRECT("'"&amp;$H$3&amp;"'!W208")="Point-to-point",W290*W291,0)),0)</f>
        <v>0</v>
      </c>
      <c r="X280" s="1481"/>
      <c r="Y280" s="36"/>
      <c r="Z280" s="36"/>
      <c r="AA280" s="36"/>
      <c r="AB280" s="36"/>
      <c r="AC280" s="36"/>
      <c r="AD280" s="36"/>
      <c r="AE280" s="36" t="s">
        <v>202</v>
      </c>
      <c r="AF280" s="36"/>
      <c r="AG280" s="36"/>
      <c r="AH280" s="36"/>
      <c r="AI280" s="36"/>
      <c r="AJ280" s="36"/>
      <c r="AK280" s="242"/>
      <c r="AL280" s="36"/>
      <c r="AM280" s="36"/>
      <c r="AN280" s="36"/>
    </row>
    <row r="281" spans="6:40" ht="15" customHeight="1" outlineLevel="1">
      <c r="F281" s="52"/>
      <c r="G281" s="51" t="s">
        <v>59</v>
      </c>
      <c r="H281" s="828"/>
      <c r="I281" s="828"/>
      <c r="J281" s="828"/>
      <c r="K281" s="837">
        <f ca="1">IFERROR(IF(INDIRECT("'"&amp;$H$3&amp;"'!K208")="Route-based",ROUND(K285*K287/INDIRECT("'"&amp;$H$3&amp;"'!$H$10"),0),IF(INDIRECT("'"&amp;$H$3&amp;"'!K208")="Point-to-point",ROUND(((K279*INDIRECT("'"&amp;$H$3&amp;"'!K$96")*((1/60)*(INDIRECT("'"&amp;$H$3&amp;"'!K213")+INDIRECT("'"&amp;$H$3&amp;"'!$H$19")*(INDIRECT("'"&amp;$H$3&amp;"'!K214")+(INDIRECT("'"&amp;$H$3&amp;"'!K215")*('4_Outputs'!K$52/INDIRECT("'"&amp;$H$3&amp;"'!K$96")/INDIRECT("'"&amp;$H$3&amp;"'!$H$19")))))))+(K280/INDIRECT("'"&amp;$H$3&amp;"'!K217")))/INDIRECT("'"&amp;$H$3&amp;"'!$H$10"),0),0)),0)</f>
        <v>0</v>
      </c>
      <c r="L281" s="828"/>
      <c r="M281" s="828"/>
      <c r="N281" s="837">
        <f ca="1">IFERROR(IF(INDIRECT("'"&amp;$H$3&amp;"'!N208")="Route-based",ROUND(N285*N287/INDIRECT("'"&amp;$H$3&amp;"'!$H$10"),0),IF(INDIRECT("'"&amp;$H$3&amp;"'!N208")="Point-to-point",ROUND(((N279*INDIRECT("'"&amp;$H$3&amp;"'!N$96")*((1/60)*(INDIRECT("'"&amp;$H$3&amp;"'!N213")+INDIRECT("'"&amp;$H$3&amp;"'!$H$19")*(INDIRECT("'"&amp;$H$3&amp;"'!N214")+(INDIRECT("'"&amp;$H$3&amp;"'!N215")*('4_Outputs'!N$52/INDIRECT("'"&amp;$H$3&amp;"'!N$96")/INDIRECT("'"&amp;$H$3&amp;"'!$H$19")))))))+(N280/INDIRECT("'"&amp;$H$3&amp;"'!N217")))/INDIRECT("'"&amp;$H$3&amp;"'!$H$10"),0),0)),0)</f>
        <v>941</v>
      </c>
      <c r="O281" s="828"/>
      <c r="P281" s="828"/>
      <c r="Q281" s="828">
        <f ca="1">IFERROR(IF(INDIRECT("'"&amp;$H$3&amp;"'!Q208")="Route-based",ROUND(Q285*Q287/INDIRECT("'"&amp;$H$3&amp;"'!$H$10"),0),IF(INDIRECT("'"&amp;$H$3&amp;"'!Q208")="Point-to-point",ROUND(((Q279*INDIRECT("'"&amp;$H$3&amp;"'!Q$96")*((1/60)*(INDIRECT("'"&amp;$H$3&amp;"'!Q213")+INDIRECT("'"&amp;$H$3&amp;"'!$H$19")*(INDIRECT("'"&amp;$H$3&amp;"'!Q214")+(INDIRECT("'"&amp;$H$3&amp;"'!Q215")*('4_Outputs'!Q$52/INDIRECT("'"&amp;$H$3&amp;"'!Q$96")/INDIRECT("'"&amp;$H$3&amp;"'!$H$19")))))))+(Q280/INDIRECT("'"&amp;$H$3&amp;"'!Q217")))/INDIRECT("'"&amp;$H$3&amp;"'!$H$10"),0),0)),0)</f>
        <v>0</v>
      </c>
      <c r="R281" s="828"/>
      <c r="S281" s="828"/>
      <c r="T281" s="828">
        <f ca="1">IFERROR(IF(INDIRECT("'"&amp;$H$3&amp;"'!T208")="Route-based",ROUND(T285*T287/INDIRECT("'"&amp;$H$3&amp;"'!$H$10"),0),IF(INDIRECT("'"&amp;$H$3&amp;"'!T208")="Point-to-point",ROUND(((T279*INDIRECT("'"&amp;$H$3&amp;"'!T$96")*((1/60)*(INDIRECT("'"&amp;$H$3&amp;"'!T213")+INDIRECT("'"&amp;$H$3&amp;"'!$H$19")*(INDIRECT("'"&amp;$H$3&amp;"'!T214")+(INDIRECT("'"&amp;$H$3&amp;"'!T215")*('4_Outputs'!T$52/INDIRECT("'"&amp;$H$3&amp;"'!T$96")/INDIRECT("'"&amp;$H$3&amp;"'!$H$19")))))))+(T280/INDIRECT("'"&amp;$H$3&amp;"'!T217")))/INDIRECT("'"&amp;$H$3&amp;"'!$H$10"),0),0)),0)</f>
        <v>0</v>
      </c>
      <c r="U281" s="828"/>
      <c r="V281" s="828"/>
      <c r="W281" s="828">
        <f ca="1">IFERROR(IF(INDIRECT("'"&amp;$H$3&amp;"'!W208")="Route-based",ROUND(W285*W287/INDIRECT("'"&amp;$H$3&amp;"'!$H$10"),0),IF(INDIRECT("'"&amp;$H$3&amp;"'!W208")="Point-to-point",ROUND(((W279*INDIRECT("'"&amp;$H$3&amp;"'!W$96")*((1/60)*(INDIRECT("'"&amp;$H$3&amp;"'!W213")+INDIRECT("'"&amp;$H$3&amp;"'!$H$19")*(INDIRECT("'"&amp;$H$3&amp;"'!W214")+(INDIRECT("'"&amp;$H$3&amp;"'!W215")*('4_Outputs'!W$52/INDIRECT("'"&amp;$H$3&amp;"'!W$96")/INDIRECT("'"&amp;$H$3&amp;"'!$H$19")))))))+(W280/INDIRECT("'"&amp;$H$3&amp;"'!W217")))/INDIRECT("'"&amp;$H$3&amp;"'!$H$10"),0),0)),0)</f>
        <v>0</v>
      </c>
      <c r="X281" s="1482"/>
      <c r="Y281" s="36"/>
      <c r="Z281" s="36"/>
      <c r="AA281" s="36"/>
      <c r="AB281" s="36"/>
      <c r="AC281" s="36"/>
      <c r="AD281" s="36"/>
      <c r="AE281" s="36" t="s">
        <v>202</v>
      </c>
      <c r="AF281" s="36"/>
      <c r="AG281" s="36"/>
      <c r="AH281" s="36"/>
      <c r="AI281" s="36"/>
      <c r="AJ281" s="36"/>
      <c r="AK281" s="242"/>
      <c r="AL281" s="36"/>
      <c r="AM281" s="36"/>
      <c r="AN281" s="36"/>
    </row>
    <row r="282" spans="6:40" ht="15" customHeight="1" outlineLevel="1">
      <c r="F282" s="52"/>
      <c r="G282" s="51" t="s">
        <v>86</v>
      </c>
      <c r="H282" s="830"/>
      <c r="I282" s="830"/>
      <c r="J282" s="830"/>
      <c r="K282" s="839">
        <f ca="1">IFERROR(IF(INDIRECT("'"&amp;$H$3&amp;"'!K208")="Route-based",IF(INDIRECT("'"&amp;$H$3&amp;"'!K205")="Yes",K173, IF(INDIRECT("'"&amp;$H$3&amp;"'!K205")="No",K281/(INDIRECT("'"&amp;$H$3&amp;"'!$H$9")*INDIRECT("'"&amp;$H$3&amp;"'!K204")))),
IF(INDIRECT("'"&amp;$H$3&amp;"'!K208")="Point-to-point",IF(INDIRECT("'"&amp;$H$3&amp;"'!K205")="Yes",K173,IF(INDIRECT("'"&amp;$H$3&amp;"'!K205")="No",K281/(INDIRECT("'"&amp;$H$3&amp;"'!$H$9")*INDIRECT("'"&amp;$H$3&amp;"'!K204")))),0)),0)</f>
        <v>0</v>
      </c>
      <c r="L282" s="830"/>
      <c r="M282" s="830"/>
      <c r="N282" s="839">
        <f ca="1">IFERROR(IF(INDIRECT("'"&amp;$H$3&amp;"'!N208")="Route-based",IF(INDIRECT("'"&amp;$H$3&amp;"'!N205")="Yes",N173, IF(INDIRECT("'"&amp;$H$3&amp;"'!N205")="No",N281/(INDIRECT("'"&amp;$H$3&amp;"'!$H$9")*INDIRECT("'"&amp;$H$3&amp;"'!N204")))),
IF(INDIRECT("'"&amp;$H$3&amp;"'!N208")="Point-to-point",IF(INDIRECT("'"&amp;$H$3&amp;"'!N205")="Yes",N173,IF(INDIRECT("'"&amp;$H$3&amp;"'!N205")="No",N281/(INDIRECT("'"&amp;$H$3&amp;"'!$H$9")*INDIRECT("'"&amp;$H$3&amp;"'!N204")))),0)),0)</f>
        <v>0.78416666666666668</v>
      </c>
      <c r="O282" s="830"/>
      <c r="P282" s="830"/>
      <c r="Q282" s="830">
        <f ca="1">IFERROR(IF(INDIRECT("'"&amp;$H$3&amp;"'!Q208")="Route-based",IF(INDIRECT("'"&amp;$H$3&amp;"'!Q205")="Yes",Q173, IF(INDIRECT("'"&amp;$H$3&amp;"'!Q205")="No",Q281/(INDIRECT("'"&amp;$H$3&amp;"'!$H$9")*INDIRECT("'"&amp;$H$3&amp;"'!Q204")))),
IF(INDIRECT("'"&amp;$H$3&amp;"'!Q208")="Point-to-point",IF(INDIRECT("'"&amp;$H$3&amp;"'!Q205")="Yes",Q173,IF(INDIRECT("'"&amp;$H$3&amp;"'!Q205")="No",Q281/(INDIRECT("'"&amp;$H$3&amp;"'!$H$9")*INDIRECT("'"&amp;$H$3&amp;"'!Q204")))),0)),0)</f>
        <v>0</v>
      </c>
      <c r="R282" s="830"/>
      <c r="S282" s="830"/>
      <c r="T282" s="830">
        <f ca="1">IFERROR(IF(INDIRECT("'"&amp;$H$3&amp;"'!T208")="Route-based",IF(INDIRECT("'"&amp;$H$3&amp;"'!T205")="Yes",T173, IF(INDIRECT("'"&amp;$H$3&amp;"'!T205")="No",T281/(INDIRECT("'"&amp;$H$3&amp;"'!$H$9")*INDIRECT("'"&amp;$H$3&amp;"'!T204")))),
IF(INDIRECT("'"&amp;$H$3&amp;"'!T208")="Point-to-point",IF(INDIRECT("'"&amp;$H$3&amp;"'!T205")="Yes",T173,IF(INDIRECT("'"&amp;$H$3&amp;"'!T205")="No",T281/(INDIRECT("'"&amp;$H$3&amp;"'!$H$9")*INDIRECT("'"&amp;$H$3&amp;"'!T204")))),0)),0)</f>
        <v>0</v>
      </c>
      <c r="U282" s="830"/>
      <c r="V282" s="830"/>
      <c r="W282" s="830">
        <f ca="1">IFERROR(IF(INDIRECT("'"&amp;$H$3&amp;"'!W208")="Route-based",IF(INDIRECT("'"&amp;$H$3&amp;"'!W205")="Yes",W173, IF(INDIRECT("'"&amp;$H$3&amp;"'!W205")="No",W281/(INDIRECT("'"&amp;$H$3&amp;"'!$H$9")*INDIRECT("'"&amp;$H$3&amp;"'!W204")))),
IF(INDIRECT("'"&amp;$H$3&amp;"'!W208")="Point-to-point",IF(INDIRECT("'"&amp;$H$3&amp;"'!W205")="Yes",W173,IF(INDIRECT("'"&amp;$H$3&amp;"'!W205")="No",W281/(INDIRECT("'"&amp;$H$3&amp;"'!$H$9")*INDIRECT("'"&amp;$H$3&amp;"'!W204")))),0)),0)</f>
        <v>0</v>
      </c>
      <c r="X282" s="1477"/>
      <c r="Y282" s="36"/>
      <c r="Z282" s="36"/>
      <c r="AA282" s="36"/>
      <c r="AB282" s="36"/>
      <c r="AC282" s="36"/>
      <c r="AD282" s="36"/>
      <c r="AE282" s="36" t="s">
        <v>202</v>
      </c>
      <c r="AF282" s="36"/>
      <c r="AG282" s="36"/>
      <c r="AH282" s="36"/>
      <c r="AI282" s="36"/>
      <c r="AJ282" s="36"/>
      <c r="AK282" s="36" t="s">
        <v>191</v>
      </c>
      <c r="AL282" s="36"/>
      <c r="AM282" s="36"/>
      <c r="AN282" s="36"/>
    </row>
    <row r="283" spans="6:40" ht="15" customHeight="1" outlineLevel="1" collapsed="1">
      <c r="F283" s="52"/>
      <c r="G283" s="1669" t="s">
        <v>133</v>
      </c>
      <c r="H283" s="829"/>
      <c r="I283" s="829"/>
      <c r="J283" s="829"/>
      <c r="K283" s="842"/>
      <c r="L283" s="829"/>
      <c r="M283" s="829"/>
      <c r="N283" s="842"/>
      <c r="O283" s="829"/>
      <c r="P283" s="829"/>
      <c r="Q283" s="829"/>
      <c r="R283" s="1670"/>
      <c r="S283" s="1670"/>
      <c r="T283" s="829"/>
      <c r="U283" s="1670"/>
      <c r="V283" s="1670"/>
      <c r="W283" s="829"/>
      <c r="X283" s="1477"/>
      <c r="Y283" s="36"/>
      <c r="Z283" s="36"/>
      <c r="AA283" s="36"/>
      <c r="AB283" s="36"/>
      <c r="AC283" s="36"/>
      <c r="AD283" s="36"/>
      <c r="AE283" s="36"/>
      <c r="AF283" s="36"/>
      <c r="AG283" s="36"/>
      <c r="AH283" s="36"/>
      <c r="AI283" s="36"/>
      <c r="AJ283" s="36"/>
      <c r="AK283" s="36"/>
      <c r="AL283" s="36"/>
      <c r="AM283" s="36"/>
      <c r="AN283" s="36"/>
    </row>
    <row r="284" spans="6:40" ht="15" customHeight="1" outlineLevel="1">
      <c r="F284" s="52"/>
      <c r="G284" s="52" t="s">
        <v>129</v>
      </c>
      <c r="H284" s="826"/>
      <c r="I284" s="826"/>
      <c r="J284" s="826"/>
      <c r="K284" s="836">
        <f ca="1">IFERROR(((INDIRECT("'"&amp;$H$3&amp;"'!K209")*INDIRECT("'"&amp;$H$3&amp;"'!$H$10"))-(2*INDIRECT("'"&amp;$H$3&amp;"'!K$98")/INDIRECT("'"&amp;$H$3&amp;"'!K217"))+(INDIRECT("'"&amp;$H$3&amp;"'!K$99")/INDIRECT("'"&amp;$H$3&amp;"'!K216")))/(((1/60)*(INDIRECT("'"&amp;$H$3&amp;"'!K213")+INDIRECT("'"&amp;$H$3&amp;"'!$H$19")*(INDIRECT("'"&amp;$H$3&amp;"'!K214")+(INDIRECT("'"&amp;$H$3&amp;"'!K215")*('4_Outputs'!K$52/INDIRECT("'"&amp;$H$3&amp;"'!K$96")/INDIRECT("'"&amp;$H$3&amp;"'!$H$19"))))))+(INDIRECT("'"&amp;$H$3&amp;"'!K$99")/INDIRECT("'"&amp;$H$3&amp;"'!K216"))),0)</f>
        <v>0</v>
      </c>
      <c r="L284" s="826"/>
      <c r="M284" s="826"/>
      <c r="N284" s="836">
        <f ca="1">IFERROR(((INDIRECT("'"&amp;$H$3&amp;"'!N209")*INDIRECT("'"&amp;$H$3&amp;"'!$H$10"))-(2*INDIRECT("'"&amp;$H$3&amp;"'!N$98")/INDIRECT("'"&amp;$H$3&amp;"'!N217"))+(INDIRECT("'"&amp;$H$3&amp;"'!N$99")/INDIRECT("'"&amp;$H$3&amp;"'!N216")))/(((1/60)*(INDIRECT("'"&amp;$H$3&amp;"'!N213")+INDIRECT("'"&amp;$H$3&amp;"'!$H$19")*(INDIRECT("'"&amp;$H$3&amp;"'!N214")+(INDIRECT("'"&amp;$H$3&amp;"'!N215")*('4_Outputs'!N$52/INDIRECT("'"&amp;$H$3&amp;"'!N$96")/INDIRECT("'"&amp;$H$3&amp;"'!$H$19"))))))+(INDIRECT("'"&amp;$H$3&amp;"'!N$99")/INDIRECT("'"&amp;$H$3&amp;"'!N216"))),0)</f>
        <v>1.4796746854959169</v>
      </c>
      <c r="O284" s="826"/>
      <c r="P284" s="826"/>
      <c r="Q284" s="826">
        <f ca="1">IFERROR(((INDIRECT("'"&amp;$H$3&amp;"'!Q209")*INDIRECT("'"&amp;$H$3&amp;"'!$H$10"))-(2*INDIRECT("'"&amp;$H$3&amp;"'!Q$98")/INDIRECT("'"&amp;$H$3&amp;"'!Q217"))+(INDIRECT("'"&amp;$H$3&amp;"'!Q$99")/INDIRECT("'"&amp;$H$3&amp;"'!Q216")))/(((1/60)*(INDIRECT("'"&amp;$H$3&amp;"'!Q213")+INDIRECT("'"&amp;$H$3&amp;"'!$H$19")*(INDIRECT("'"&amp;$H$3&amp;"'!Q214")+(INDIRECT("'"&amp;$H$3&amp;"'!Q215")*('4_Outputs'!Q$52/INDIRECT("'"&amp;$H$3&amp;"'!Q$96")/INDIRECT("'"&amp;$H$3&amp;"'!$H$19"))))))+(INDIRECT("'"&amp;$H$3&amp;"'!Q$99")/INDIRECT("'"&amp;$H$3&amp;"'!Q216"))),0)</f>
        <v>0</v>
      </c>
      <c r="R284" s="826"/>
      <c r="S284" s="826"/>
      <c r="T284" s="826">
        <f ca="1">IFERROR(((INDIRECT("'"&amp;$H$3&amp;"'!T209")*INDIRECT("'"&amp;$H$3&amp;"'!$H$10"))-(2*INDIRECT("'"&amp;$H$3&amp;"'!T$98")/INDIRECT("'"&amp;$H$3&amp;"'!T217"))+(INDIRECT("'"&amp;$H$3&amp;"'!T$99")/INDIRECT("'"&amp;$H$3&amp;"'!T216")))/(((1/60)*(INDIRECT("'"&amp;$H$3&amp;"'!T213")+INDIRECT("'"&amp;$H$3&amp;"'!$H$19")*(INDIRECT("'"&amp;$H$3&amp;"'!T214")+(INDIRECT("'"&amp;$H$3&amp;"'!T215")*('4_Outputs'!T$52/INDIRECT("'"&amp;$H$3&amp;"'!T$96")/INDIRECT("'"&amp;$H$3&amp;"'!$H$19"))))))+(INDIRECT("'"&amp;$H$3&amp;"'!T$99")/INDIRECT("'"&amp;$H$3&amp;"'!T216"))),0)</f>
        <v>0</v>
      </c>
      <c r="U284" s="826"/>
      <c r="V284" s="826"/>
      <c r="W284" s="826">
        <f ca="1">IFERROR(((INDIRECT("'"&amp;$H$3&amp;"'!W209")*INDIRECT("'"&amp;$H$3&amp;"'!$H$10"))-(2*INDIRECT("'"&amp;$H$3&amp;"'!W$98")/INDIRECT("'"&amp;$H$3&amp;"'!W217"))+(INDIRECT("'"&amp;$H$3&amp;"'!W$99")/INDIRECT("'"&amp;$H$3&amp;"'!W216")))/(((1/60)*(INDIRECT("'"&amp;$H$3&amp;"'!W213")+INDIRECT("'"&amp;$H$3&amp;"'!$H$19")*(INDIRECT("'"&amp;$H$3&amp;"'!W214")+(INDIRECT("'"&amp;$H$3&amp;"'!W215")*('4_Outputs'!W$52/INDIRECT("'"&amp;$H$3&amp;"'!W$96")/INDIRECT("'"&amp;$H$3&amp;"'!$H$19"))))))+(INDIRECT("'"&amp;$H$3&amp;"'!W$99")/INDIRECT("'"&amp;$H$3&amp;"'!W216"))),0)</f>
        <v>0</v>
      </c>
      <c r="X284" s="1480"/>
      <c r="Y284" s="36"/>
      <c r="Z284" s="36"/>
      <c r="AA284" s="36"/>
      <c r="AB284" s="36"/>
      <c r="AC284" s="36"/>
      <c r="AD284" s="36"/>
      <c r="AE284" s="36"/>
      <c r="AF284" s="36"/>
      <c r="AG284" s="36"/>
      <c r="AH284" s="36"/>
      <c r="AI284" s="36"/>
      <c r="AJ284" s="36"/>
      <c r="AK284" s="36"/>
      <c r="AL284" s="36"/>
      <c r="AM284" s="36"/>
      <c r="AN284" s="36"/>
    </row>
    <row r="285" spans="6:40" ht="15" customHeight="1" outlineLevel="1">
      <c r="F285" s="52"/>
      <c r="G285" s="52" t="s">
        <v>206</v>
      </c>
      <c r="H285" s="826"/>
      <c r="I285" s="826"/>
      <c r="J285" s="826"/>
      <c r="K285" s="836">
        <f ca="1">IFERROR(ROUND(K279*INDIRECT("'"&amp;$H$3&amp;"'!K$96")/K284,0),0)</f>
        <v>0</v>
      </c>
      <c r="L285" s="826"/>
      <c r="M285" s="826"/>
      <c r="N285" s="836">
        <f ca="1">IFERROR(ROUND(N279*INDIRECT("'"&amp;$H$3&amp;"'!N$96")/N284,0),0)</f>
        <v>933</v>
      </c>
      <c r="O285" s="826"/>
      <c r="P285" s="826"/>
      <c r="Q285" s="826">
        <f ca="1">IFERROR(ROUND(Q279*INDIRECT("'"&amp;$H$3&amp;"'!Q$96")/Q284,0),0)</f>
        <v>0</v>
      </c>
      <c r="R285" s="826"/>
      <c r="S285" s="826"/>
      <c r="T285" s="826">
        <f ca="1">IFERROR(ROUND(T279*INDIRECT("'"&amp;$H$3&amp;"'!T$96")/T284,0),0)</f>
        <v>0</v>
      </c>
      <c r="U285" s="826"/>
      <c r="V285" s="826"/>
      <c r="W285" s="826">
        <f ca="1">IFERROR(ROUND(W279*INDIRECT("'"&amp;$H$3&amp;"'!W$96")/W284,0),0)</f>
        <v>0</v>
      </c>
      <c r="X285" s="1480"/>
      <c r="Y285" s="36"/>
      <c r="Z285" s="36"/>
      <c r="AA285" s="36"/>
      <c r="AB285" s="36"/>
      <c r="AC285" s="36"/>
      <c r="AD285" s="36"/>
      <c r="AE285" s="36"/>
      <c r="AF285" s="36"/>
      <c r="AG285" s="36"/>
      <c r="AH285" s="36"/>
      <c r="AI285" s="36"/>
      <c r="AJ285" s="36"/>
      <c r="AK285" s="242"/>
      <c r="AL285" s="36"/>
      <c r="AM285" s="36"/>
      <c r="AN285" s="36"/>
    </row>
    <row r="286" spans="6:40" ht="15" customHeight="1" outlineLevel="1">
      <c r="F286" s="52"/>
      <c r="G286" s="52" t="s">
        <v>87</v>
      </c>
      <c r="H286" s="826"/>
      <c r="I286" s="826"/>
      <c r="J286" s="826"/>
      <c r="K286" s="836">
        <f ca="1">IFERROR(IF(K279=0,0,(2*INDIRECT("'"&amp;$H$3&amp;"'!K$98"))+((MAX(K284, 1)-1)*INDIRECT("'"&amp;$H$3&amp;"'!K$99"))),0)</f>
        <v>0</v>
      </c>
      <c r="L286" s="826"/>
      <c r="M286" s="826"/>
      <c r="N286" s="836">
        <f ca="1">IFERROR(IF(N279=0,0,(2*INDIRECT("'"&amp;$H$3&amp;"'!N$98"))+((MAX(N284, 1)-1)*INDIRECT("'"&amp;$H$3&amp;"'!N$99"))),0)</f>
        <v>258.50304256209819</v>
      </c>
      <c r="O286" s="826"/>
      <c r="P286" s="826"/>
      <c r="Q286" s="826">
        <f ca="1">IFERROR(IF(Q279=0,0,(2*INDIRECT("'"&amp;$H$3&amp;"'!Q$98"))+((MAX(Q284, 1)-1)*INDIRECT("'"&amp;$H$3&amp;"'!Q$99"))),0)</f>
        <v>0</v>
      </c>
      <c r="R286" s="826"/>
      <c r="S286" s="826"/>
      <c r="T286" s="826">
        <f ca="1">IFERROR(IF(T279=0,0,(2*INDIRECT("'"&amp;$H$3&amp;"'!T$98"))+((MAX(T284, 1)-1)*INDIRECT("'"&amp;$H$3&amp;"'!T$99"))),0)</f>
        <v>0</v>
      </c>
      <c r="U286" s="826"/>
      <c r="V286" s="826"/>
      <c r="W286" s="826">
        <f ca="1">IFERROR(IF(W279=0,0,(2*INDIRECT("'"&amp;$H$3&amp;"'!W$98"))+((MAX(W284, 1)-1)*INDIRECT("'"&amp;$H$3&amp;"'!W$99"))),0)</f>
        <v>0</v>
      </c>
      <c r="X286" s="1480"/>
      <c r="Y286" s="36"/>
      <c r="Z286" s="36"/>
      <c r="AA286" s="36"/>
      <c r="AB286" s="36"/>
      <c r="AC286" s="36"/>
      <c r="AD286" s="36"/>
      <c r="AE286" s="36"/>
      <c r="AF286" s="36"/>
      <c r="AG286" s="36"/>
      <c r="AH286" s="36"/>
      <c r="AI286" s="36"/>
      <c r="AJ286" s="36"/>
      <c r="AK286" s="242"/>
      <c r="AL286" s="36"/>
      <c r="AM286" s="36"/>
      <c r="AN286" s="36"/>
    </row>
    <row r="287" spans="6:40" ht="15" customHeight="1" outlineLevel="1">
      <c r="F287" s="52"/>
      <c r="G287" s="51" t="s">
        <v>203</v>
      </c>
      <c r="H287" s="826"/>
      <c r="I287" s="826"/>
      <c r="J287" s="826"/>
      <c r="K287" s="836">
        <f ca="1">IFERROR((ROUNDUP(K284,1)*((1/60)*(INDIRECT("'"&amp;$H$3&amp;"'!K213")+INDIRECT("'"&amp;$H$3&amp;"'!$H$19")*(INDIRECT("'"&amp;$H$3&amp;"'!K214")+(INDIRECT("'"&amp;$H$3&amp;"'!K215")*('4_Outputs'!K$52/INDIRECT("'"&amp;$H$3&amp;"'!K$96")/INDIRECT("'"&amp;$H$3&amp;"'!$H$19")))))))+((2*INDIRECT("'"&amp;$H$3&amp;"'!K$98"))/INDIRECT("'"&amp;$H$3&amp;"'!K217"))+(((MAX(K284,1)-1)*INDIRECT("'"&amp;$H$3&amp;"'!K$99"))/INDIRECT("'"&amp;$H$3&amp;"'!K216")),0)</f>
        <v>0</v>
      </c>
      <c r="L287" s="826"/>
      <c r="M287" s="826"/>
      <c r="N287" s="836">
        <f ca="1">IFERROR((ROUNDUP(N284,1)*((1/60)*(INDIRECT("'"&amp;$H$3&amp;"'!N213")+INDIRECT("'"&amp;$H$3&amp;"'!$H$19")*(INDIRECT("'"&amp;$H$3&amp;"'!N214")+(INDIRECT("'"&amp;$H$3&amp;"'!N215")*('4_Outputs'!N$52/INDIRECT("'"&amp;$H$3&amp;"'!N$96")/INDIRECT("'"&amp;$H$3&amp;"'!$H$19")))))))+((2*INDIRECT("'"&amp;$H$3&amp;"'!N$98"))/INDIRECT("'"&amp;$H$3&amp;"'!N217"))+(((MAX(N284,1)-1)*INDIRECT("'"&amp;$H$3&amp;"'!N$99"))/INDIRECT("'"&amp;$H$3&amp;"'!N216")),0)</f>
        <v>8.0711386007642911</v>
      </c>
      <c r="O287" s="826"/>
      <c r="P287" s="826"/>
      <c r="Q287" s="826">
        <f ca="1">IFERROR((ROUNDUP(Q284,1)*((1/60)*(INDIRECT("'"&amp;$H$3&amp;"'!Q213")+INDIRECT("'"&amp;$H$3&amp;"'!$H$19")*(INDIRECT("'"&amp;$H$3&amp;"'!Q214")+(INDIRECT("'"&amp;$H$3&amp;"'!Q215")*('4_Outputs'!Q$52/INDIRECT("'"&amp;$H$3&amp;"'!Q$96")/INDIRECT("'"&amp;$H$3&amp;"'!$H$19")))))))+((2*INDIRECT("'"&amp;$H$3&amp;"'!Q$98"))/INDIRECT("'"&amp;$H$3&amp;"'!Q217"))+(((MAX(Q284,1)-1)*INDIRECT("'"&amp;$H$3&amp;"'!Q$99"))/INDIRECT("'"&amp;$H$3&amp;"'!Q216")),0)</f>
        <v>0</v>
      </c>
      <c r="R287" s="826"/>
      <c r="S287" s="826"/>
      <c r="T287" s="826">
        <f ca="1">IFERROR((ROUNDUP(T284,1)*((1/60)*(INDIRECT("'"&amp;$H$3&amp;"'!T213")+INDIRECT("'"&amp;$H$3&amp;"'!$H$19")*(INDIRECT("'"&amp;$H$3&amp;"'!T214")+(INDIRECT("'"&amp;$H$3&amp;"'!T215")*('4_Outputs'!T$52/INDIRECT("'"&amp;$H$3&amp;"'!T$96")/INDIRECT("'"&amp;$H$3&amp;"'!$H$19")))))))+((2*INDIRECT("'"&amp;$H$3&amp;"'!T$98"))/INDIRECT("'"&amp;$H$3&amp;"'!T217"))+(((MAX(T284,1)-1)*INDIRECT("'"&amp;$H$3&amp;"'!T$99"))/INDIRECT("'"&amp;$H$3&amp;"'!T216")),0)</f>
        <v>0</v>
      </c>
      <c r="U287" s="826"/>
      <c r="V287" s="826"/>
      <c r="W287" s="826">
        <f ca="1">IFERROR((ROUNDUP(W284,1)*((1/60)*(INDIRECT("'"&amp;$H$3&amp;"'!W213")+INDIRECT("'"&amp;$H$3&amp;"'!$H$19")*(INDIRECT("'"&amp;$H$3&amp;"'!W214")+(INDIRECT("'"&amp;$H$3&amp;"'!W215")*('4_Outputs'!W$52/INDIRECT("'"&amp;$H$3&amp;"'!W$96")/INDIRECT("'"&amp;$H$3&amp;"'!$H$19")))))))+((2*INDIRECT("'"&amp;$H$3&amp;"'!W$98"))/INDIRECT("'"&amp;$H$3&amp;"'!W217"))+(((MAX(W284,1)-1)*INDIRECT("'"&amp;$H$3&amp;"'!W$99"))/INDIRECT("'"&amp;$H$3&amp;"'!W216")),0)</f>
        <v>0</v>
      </c>
      <c r="X287" s="1483"/>
      <c r="Y287" s="36"/>
      <c r="Z287" s="36"/>
      <c r="AA287" s="36"/>
      <c r="AB287" s="36"/>
      <c r="AC287" s="36"/>
      <c r="AD287" s="36"/>
      <c r="AE287" s="36" t="s">
        <v>205</v>
      </c>
      <c r="AF287" s="36"/>
      <c r="AG287" s="36"/>
      <c r="AH287" s="36"/>
      <c r="AI287" s="36"/>
      <c r="AJ287" s="36"/>
      <c r="AK287" s="242"/>
      <c r="AL287" s="36"/>
      <c r="AM287" s="36"/>
      <c r="AN287" s="36"/>
    </row>
    <row r="288" spans="6:40" ht="15" customHeight="1" outlineLevel="1">
      <c r="F288" s="52"/>
      <c r="G288" s="51" t="s">
        <v>204</v>
      </c>
      <c r="H288" s="826"/>
      <c r="I288" s="826"/>
      <c r="J288" s="826"/>
      <c r="K288" s="836">
        <f ca="1">IFERROR((INDIRECT("'"&amp;$H$3&amp;"'!$H$10")*INDIRECT("'"&amp;$H$3&amp;"'!$H$9")*INDIRECT("'"&amp;$H$3&amp;"'!K204"))/K287,0)</f>
        <v>0</v>
      </c>
      <c r="L288" s="826"/>
      <c r="M288" s="826"/>
      <c r="N288" s="836">
        <f ca="1">IFERROR((INDIRECT("'"&amp;$H$3&amp;"'!$H$10")*INDIRECT("'"&amp;$H$3&amp;"'!$H$9")*INDIRECT("'"&amp;$H$3&amp;"'!N204"))/N287,0)</f>
        <v>1189.4232616809397</v>
      </c>
      <c r="O288" s="826"/>
      <c r="P288" s="826"/>
      <c r="Q288" s="826">
        <f ca="1">IFERROR((INDIRECT("'"&amp;$H$3&amp;"'!$H$10")*INDIRECT("'"&amp;$H$3&amp;"'!$H$9")*INDIRECT("'"&amp;$H$3&amp;"'!Q204"))/Q287,0)</f>
        <v>0</v>
      </c>
      <c r="R288" s="826"/>
      <c r="S288" s="826"/>
      <c r="T288" s="826">
        <f ca="1">IFERROR((INDIRECT("'"&amp;$H$3&amp;"'!$H$10")*INDIRECT("'"&amp;$H$3&amp;"'!$H$9")*INDIRECT("'"&amp;$H$3&amp;"'!T204"))/T287,0)</f>
        <v>0</v>
      </c>
      <c r="U288" s="826"/>
      <c r="V288" s="826"/>
      <c r="W288" s="826">
        <f ca="1">IFERROR((INDIRECT("'"&amp;$H$3&amp;"'!$H$10")*INDIRECT("'"&amp;$H$3&amp;"'!$H$9")*INDIRECT("'"&amp;$H$3&amp;"'!W204"))/W287,0)</f>
        <v>0</v>
      </c>
      <c r="X288" s="1483"/>
      <c r="Y288" s="36"/>
      <c r="Z288" s="36"/>
      <c r="AA288" s="36"/>
      <c r="AB288" s="36"/>
      <c r="AC288" s="36"/>
      <c r="AD288" s="36"/>
      <c r="AE288" s="36"/>
      <c r="AF288" s="36"/>
      <c r="AG288" s="36"/>
      <c r="AH288" s="36"/>
      <c r="AI288" s="36"/>
      <c r="AJ288" s="36"/>
      <c r="AK288" s="242"/>
      <c r="AL288" s="36"/>
      <c r="AM288" s="36"/>
      <c r="AN288" s="36"/>
    </row>
    <row r="289" spans="6:40" ht="15" customHeight="1" outlineLevel="1">
      <c r="F289" s="52"/>
      <c r="G289" s="1669" t="s">
        <v>134</v>
      </c>
      <c r="H289" s="829"/>
      <c r="I289" s="829"/>
      <c r="J289" s="829"/>
      <c r="K289" s="842"/>
      <c r="L289" s="829"/>
      <c r="M289" s="829"/>
      <c r="N289" s="842"/>
      <c r="O289" s="829"/>
      <c r="P289" s="829"/>
      <c r="Q289" s="829"/>
      <c r="R289" s="1670"/>
      <c r="S289" s="1670"/>
      <c r="T289" s="829"/>
      <c r="U289" s="1670"/>
      <c r="V289" s="1670"/>
      <c r="W289" s="829"/>
      <c r="X289" s="1477"/>
      <c r="Y289" s="36"/>
      <c r="Z289" s="36"/>
      <c r="AA289" s="36"/>
      <c r="AB289" s="36"/>
      <c r="AC289" s="36"/>
      <c r="AD289" s="36"/>
      <c r="AE289" s="36"/>
      <c r="AF289" s="36"/>
      <c r="AG289" s="36"/>
      <c r="AH289" s="36"/>
      <c r="AI289" s="36"/>
      <c r="AJ289" s="36"/>
      <c r="AK289" s="242"/>
      <c r="AL289" s="36"/>
      <c r="AM289" s="36"/>
      <c r="AN289" s="36"/>
    </row>
    <row r="290" spans="6:40" ht="15" customHeight="1" outlineLevel="1">
      <c r="F290" s="52"/>
      <c r="G290" s="52" t="s">
        <v>206</v>
      </c>
      <c r="H290" s="826"/>
      <c r="I290" s="826"/>
      <c r="J290" s="826"/>
      <c r="K290" s="836">
        <f ca="1">IFERROR(K279*INDIRECT("'"&amp;$H$3&amp;"'!K$96"),0)</f>
        <v>0</v>
      </c>
      <c r="L290" s="826"/>
      <c r="M290" s="826"/>
      <c r="N290" s="836">
        <f ca="1">IFERROR(N279*INDIRECT("'"&amp;$H$3&amp;"'!N$96"),0)</f>
        <v>1380</v>
      </c>
      <c r="O290" s="826"/>
      <c r="P290" s="826"/>
      <c r="Q290" s="826">
        <f ca="1">IFERROR(Q279*INDIRECT("'"&amp;$H$3&amp;"'!Q$96"),0)</f>
        <v>0</v>
      </c>
      <c r="R290" s="1670"/>
      <c r="S290" s="1670"/>
      <c r="T290" s="826">
        <f ca="1">IFERROR(T279*INDIRECT("'"&amp;$H$3&amp;"'!T$96"),0)</f>
        <v>0</v>
      </c>
      <c r="U290" s="1670"/>
      <c r="V290" s="1670"/>
      <c r="W290" s="826">
        <f ca="1">IFERROR(W279*INDIRECT("'"&amp;$H$3&amp;"'!W$96"),0)</f>
        <v>0</v>
      </c>
      <c r="X290" s="1480"/>
      <c r="Y290" s="36"/>
      <c r="Z290" s="36"/>
      <c r="AA290" s="36"/>
      <c r="AB290" s="36" t="s">
        <v>192</v>
      </c>
      <c r="AC290" s="36"/>
      <c r="AD290" s="36" t="s">
        <v>193</v>
      </c>
      <c r="AE290" s="36"/>
      <c r="AF290" s="36"/>
      <c r="AG290" s="36"/>
      <c r="AH290" s="36"/>
      <c r="AI290" s="36"/>
      <c r="AJ290" s="36"/>
      <c r="AK290" s="36"/>
      <c r="AL290" s="36"/>
      <c r="AM290" s="36"/>
      <c r="AN290" s="36"/>
    </row>
    <row r="291" spans="6:40" ht="15" customHeight="1" outlineLevel="1">
      <c r="F291" s="52"/>
      <c r="G291" s="52" t="s">
        <v>87</v>
      </c>
      <c r="H291" s="826"/>
      <c r="I291" s="826"/>
      <c r="J291" s="826"/>
      <c r="K291" s="836">
        <f ca="1">IFERROR(IF(K279=0,0,2*INDIRECT("'"&amp;$H$3&amp;"'!K$98")),0)</f>
        <v>0</v>
      </c>
      <c r="L291" s="826"/>
      <c r="M291" s="826"/>
      <c r="N291" s="836">
        <f ca="1">IFERROR(IF(N279=0,0,2*INDIRECT("'"&amp;$H$3&amp;"'!N$98")),0)</f>
        <v>248.38412077024208</v>
      </c>
      <c r="O291" s="826"/>
      <c r="P291" s="826"/>
      <c r="Q291" s="826">
        <f ca="1">IFERROR(IF(Q279=0,0,2*INDIRECT("'"&amp;$H$3&amp;"'!Q$98")),0)</f>
        <v>0</v>
      </c>
      <c r="R291" s="826"/>
      <c r="S291" s="826"/>
      <c r="T291" s="826">
        <f ca="1">IFERROR(IF(T279=0,0,2*INDIRECT("'"&amp;$H$3&amp;"'!T$98")),0)</f>
        <v>0</v>
      </c>
      <c r="U291" s="826"/>
      <c r="V291" s="826"/>
      <c r="W291" s="826">
        <f ca="1">IFERROR(IF(W279=0,0,2*INDIRECT("'"&amp;$H$3&amp;"'!W$98")),0)</f>
        <v>0</v>
      </c>
      <c r="X291" s="1480"/>
      <c r="Y291" s="36"/>
      <c r="Z291" s="36"/>
      <c r="AA291" s="36"/>
      <c r="AB291" s="36" t="s">
        <v>194</v>
      </c>
      <c r="AC291" s="36"/>
      <c r="AD291" s="36" t="s">
        <v>195</v>
      </c>
      <c r="AE291" s="36"/>
      <c r="AF291" s="36"/>
      <c r="AG291" s="36"/>
      <c r="AH291" s="36"/>
      <c r="AI291" s="36"/>
      <c r="AJ291" s="36"/>
      <c r="AK291" s="36"/>
      <c r="AL291" s="36"/>
      <c r="AM291" s="36"/>
      <c r="AN291" s="36"/>
    </row>
    <row r="292" spans="6:40" ht="15" customHeight="1" outlineLevel="1">
      <c r="F292" s="52"/>
      <c r="G292" s="51" t="s">
        <v>204</v>
      </c>
      <c r="H292" s="828"/>
      <c r="I292" s="828"/>
      <c r="J292" s="828"/>
      <c r="K292" s="837">
        <f ca="1">IFERROR((INDIRECT("'"&amp;$H$3&amp;"'!$H$10")*INDIRECT("'"&amp;$H$3&amp;"'!$H$9")*INDIRECT("'"&amp;$H$3&amp;"'!K204"))/((K291/INDIRECT("'"&amp;$H$3&amp;"'!K217"))+((1/60)*(INDIRECT("'"&amp;$H$3&amp;"'!K213")+INDIRECT("'"&amp;$H$3&amp;"'!$H$19")*(INDIRECT("'"&amp;$H$3&amp;"'!K214")+(INDIRECT("'"&amp;$H$3&amp;"'!K215")*('4_Outputs'!K$52/INDIRECT("'"&amp;$H$3&amp;"'!K$96")/INDIRECT("'"&amp;$H$3&amp;"'!$H$19"))))))),0)</f>
        <v>0</v>
      </c>
      <c r="L292" s="828"/>
      <c r="M292" s="828"/>
      <c r="N292" s="837">
        <f ca="1">IFERROR((INDIRECT("'"&amp;$H$3&amp;"'!$H$10")*INDIRECT("'"&amp;$H$3&amp;"'!$H$9")*INDIRECT("'"&amp;$H$3&amp;"'!N204"))/((N291/INDIRECT("'"&amp;$H$3&amp;"'!N217"))+((1/60)*(INDIRECT("'"&amp;$H$3&amp;"'!N213")+INDIRECT("'"&amp;$H$3&amp;"'!$H$19")*(INDIRECT("'"&amp;$H$3&amp;"'!N214")+(INDIRECT("'"&amp;$H$3&amp;"'!N215")*('4_Outputs'!N$52/INDIRECT("'"&amp;$H$3&amp;"'!N$96")/INDIRECT("'"&amp;$H$3&amp;"'!$H$19"))))))),0)</f>
        <v>1604.3206473532164</v>
      </c>
      <c r="O292" s="828"/>
      <c r="P292" s="828"/>
      <c r="Q292" s="828">
        <f ca="1">IFERROR((INDIRECT("'"&amp;$H$3&amp;"'!$H$10")*INDIRECT("'"&amp;$H$3&amp;"'!$H$9")*INDIRECT("'"&amp;$H$3&amp;"'!Q204"))/((Q291/INDIRECT("'"&amp;$H$3&amp;"'!Q217"))+((1/60)*(INDIRECT("'"&amp;$H$3&amp;"'!Q213")+INDIRECT("'"&amp;$H$3&amp;"'!$H$19")*(INDIRECT("'"&amp;$H$3&amp;"'!Q214")+(INDIRECT("'"&amp;$H$3&amp;"'!Q215")*('4_Outputs'!Q$52/INDIRECT("'"&amp;$H$3&amp;"'!Q$96")/INDIRECT("'"&amp;$H$3&amp;"'!$H$19"))))))),0)</f>
        <v>0</v>
      </c>
      <c r="R292" s="1670"/>
      <c r="S292" s="1670"/>
      <c r="T292" s="828">
        <f ca="1">IFERROR((INDIRECT("'"&amp;$H$3&amp;"'!$H$10")*INDIRECT("'"&amp;$H$3&amp;"'!$H$9")*INDIRECT("'"&amp;$H$3&amp;"'!T204"))/((T291/INDIRECT("'"&amp;$H$3&amp;"'!T217"))+((1/60)*(INDIRECT("'"&amp;$H$3&amp;"'!T213")+INDIRECT("'"&amp;$H$3&amp;"'!$H$19")*(INDIRECT("'"&amp;$H$3&amp;"'!T214")+(INDIRECT("'"&amp;$H$3&amp;"'!T215")*('4_Outputs'!T$52/INDIRECT("'"&amp;$H$3&amp;"'!T$96")/INDIRECT("'"&amp;$H$3&amp;"'!$H$19"))))))),0)</f>
        <v>0</v>
      </c>
      <c r="U292" s="1670"/>
      <c r="V292" s="1670"/>
      <c r="W292" s="828">
        <f ca="1">IFERROR((INDIRECT("'"&amp;$H$3&amp;"'!$H$10")*INDIRECT("'"&amp;$H$3&amp;"'!$H$9")*INDIRECT("'"&amp;$H$3&amp;"'!W204"))/((W291/INDIRECT("'"&amp;$H$3&amp;"'!W217"))+((1/60)*(INDIRECT("'"&amp;$H$3&amp;"'!W213")+INDIRECT("'"&amp;$H$3&amp;"'!$H$19")*(INDIRECT("'"&amp;$H$3&amp;"'!W214")+(INDIRECT("'"&amp;$H$3&amp;"'!W215")*('4_Outputs'!W$52/INDIRECT("'"&amp;$H$3&amp;"'!W$96")/INDIRECT("'"&amp;$H$3&amp;"'!$H$19"))))))),0)</f>
        <v>0</v>
      </c>
      <c r="X292" s="1482"/>
      <c r="Y292" s="36"/>
      <c r="Z292" s="36"/>
      <c r="AA292" s="36"/>
      <c r="AB292" s="36" t="s">
        <v>196</v>
      </c>
      <c r="AC292" s="36"/>
      <c r="AD292" s="36" t="s">
        <v>197</v>
      </c>
      <c r="AE292" s="36"/>
      <c r="AF292" s="36"/>
      <c r="AG292" s="36"/>
      <c r="AH292" s="36"/>
      <c r="AI292" s="36"/>
      <c r="AJ292" s="36"/>
      <c r="AK292" s="36"/>
      <c r="AL292" s="36"/>
      <c r="AM292" s="36"/>
      <c r="AN292" s="36"/>
    </row>
    <row r="293" spans="6:40" ht="48" customHeight="1">
      <c r="F293" s="1661" t="s">
        <v>2504</v>
      </c>
      <c r="G293" s="1662"/>
      <c r="H293" s="1673"/>
      <c r="I293" s="1673"/>
      <c r="J293" s="1673"/>
      <c r="K293" s="1516" t="str">
        <f ca="1">IF($H$9&gt;=2,INDIRECT("'"&amp;$H$3&amp;"'!J$130"),"")</f>
        <v>CMS  to  Regional WH</v>
      </c>
      <c r="L293" s="1516" t="str">
        <f t="shared" ref="L293:V293" ca="1" si="19">IF($H$9&gt;=1,"Tier 1","")</f>
        <v>Tier 1</v>
      </c>
      <c r="M293" s="1516" t="str">
        <f t="shared" ca="1" si="19"/>
        <v>Tier 1</v>
      </c>
      <c r="N293" s="1516" t="str">
        <f ca="1">IF($H$9&gt;=3,INDIRECT("'"&amp;$H$3&amp;"'!M$130"),"")</f>
        <v>Regional WH  to  Health Facility</v>
      </c>
      <c r="O293" s="1516" t="str">
        <f t="shared" ca="1" si="19"/>
        <v>Tier 1</v>
      </c>
      <c r="P293" s="1516" t="str">
        <f t="shared" ca="1" si="19"/>
        <v>Tier 1</v>
      </c>
      <c r="Q293" s="1517" t="str">
        <f ca="1">IF($H$9&gt;=4,INDIRECT("'"&amp;$H$3&amp;"'!P$130"),"")</f>
        <v/>
      </c>
      <c r="R293" s="1511" t="str">
        <f t="shared" ca="1" si="19"/>
        <v>Tier 1</v>
      </c>
      <c r="S293" s="1511" t="str">
        <f t="shared" ca="1" si="19"/>
        <v>Tier 1</v>
      </c>
      <c r="T293" s="1517" t="str">
        <f ca="1">IF($H$9&gt;=5,INDIRECT("'"&amp;$H$3&amp;"'!S$130"),"")</f>
        <v/>
      </c>
      <c r="U293" s="1518" t="str">
        <f t="shared" ca="1" si="19"/>
        <v>Tier 1</v>
      </c>
      <c r="V293" s="1518" t="str">
        <f t="shared" ca="1" si="19"/>
        <v>Tier 1</v>
      </c>
      <c r="W293" s="1517" t="str">
        <f ca="1">IF($H$9&gt;=6,INDIRECT("'"&amp;$H$3&amp;"'!V$130"),"")</f>
        <v/>
      </c>
      <c r="X293" s="1474"/>
      <c r="Y293" s="36"/>
      <c r="Z293" s="36"/>
      <c r="AA293" s="36"/>
      <c r="AB293" s="36" t="s">
        <v>230</v>
      </c>
      <c r="AC293" s="36"/>
      <c r="AD293" s="36" t="s">
        <v>229</v>
      </c>
      <c r="AE293" s="36"/>
      <c r="AF293" s="36"/>
      <c r="AG293" s="36"/>
      <c r="AH293" s="36"/>
      <c r="AI293" s="36"/>
      <c r="AJ293" s="36"/>
      <c r="AK293" s="36"/>
      <c r="AL293" s="36"/>
      <c r="AM293" s="36"/>
      <c r="AN293" s="36"/>
    </row>
    <row r="294" spans="6:40" ht="15" customHeight="1" outlineLevel="1">
      <c r="F294" s="1664" t="s">
        <v>149</v>
      </c>
      <c r="G294" s="1664"/>
      <c r="H294" s="865"/>
      <c r="I294" s="865"/>
      <c r="J294" s="865"/>
      <c r="K294" s="865"/>
      <c r="L294" s="865"/>
      <c r="M294" s="865"/>
      <c r="N294" s="865"/>
      <c r="O294" s="1674"/>
      <c r="P294" s="1674"/>
      <c r="Q294" s="1671"/>
      <c r="R294" s="1672"/>
      <c r="S294" s="1672"/>
      <c r="T294" s="1671"/>
      <c r="U294" s="1672"/>
      <c r="V294" s="1672"/>
      <c r="W294" s="1671"/>
      <c r="X294" s="1479"/>
      <c r="Y294" s="36"/>
      <c r="Z294" s="36"/>
      <c r="AA294" s="36"/>
      <c r="AB294" s="36"/>
      <c r="AC294" s="36"/>
      <c r="AD294" s="36"/>
      <c r="AE294" s="36"/>
      <c r="AF294" s="36"/>
      <c r="AG294" s="36"/>
      <c r="AH294" s="36"/>
      <c r="AI294" s="36"/>
      <c r="AJ294" s="36"/>
      <c r="AK294" s="242"/>
      <c r="AL294" s="36"/>
      <c r="AM294" s="36"/>
      <c r="AN294" s="36"/>
    </row>
    <row r="295" spans="6:40" ht="15" customHeight="1" outlineLevel="1">
      <c r="F295" s="52"/>
      <c r="G295" s="51" t="s">
        <v>146</v>
      </c>
      <c r="H295" s="837"/>
      <c r="I295" s="837"/>
      <c r="J295" s="837"/>
      <c r="K295" s="837">
        <f ca="1">IFERROR(IF(COUNTIF(INDIRECT("'"&amp;$H$3&amp;"'!K220"),"Public Transport*")=1,IF(INDIRECT("'"&amp;$H$3&amp;"'!K228")="Route-based",K302*INDIRECT("'"&amp;$H$3&amp;"'!K$96"),IF(INDIRECT("'"&amp;$H$3&amp;"'!K228")="Point-to-point",K305*INDIRECT("'"&amp;$H$3&amp;"'!K$96"),0)),0),0)</f>
        <v>0</v>
      </c>
      <c r="L295" s="837"/>
      <c r="M295" s="837"/>
      <c r="N295" s="837">
        <f ca="1">IFERROR(IF(COUNTIF(INDIRECT("'"&amp;$H$3&amp;"'!N220"),"Public Transport*")=1,IF(INDIRECT("'"&amp;$H$3&amp;"'!N228")="Route-based",N302*INDIRECT("'"&amp;$H$3&amp;"'!N$96"),IF(INDIRECT("'"&amp;$H$3&amp;"'!N228")="Point-to-point",N305*INDIRECT("'"&amp;$H$3&amp;"'!N$96"),0)),0),0)</f>
        <v>0</v>
      </c>
      <c r="O295" s="837"/>
      <c r="P295" s="837"/>
      <c r="Q295" s="837">
        <f ca="1">IFERROR(IF(COUNTIF(INDIRECT("'"&amp;$H$3&amp;"'!Q220"),"Public Transport*")=1,IF(INDIRECT("'"&amp;$H$3&amp;"'!Q228")="Route-based",Q302*INDIRECT("'"&amp;$H$3&amp;"'!Q$96"),IF(INDIRECT("'"&amp;$H$3&amp;"'!Q228")="Point-to-point",Q305*INDIRECT("'"&amp;$H$3&amp;"'!Q$96"),0)),0),0)</f>
        <v>0</v>
      </c>
      <c r="R295" s="1650"/>
      <c r="S295" s="1650"/>
      <c r="T295" s="837">
        <f ca="1">IFERROR(IF(COUNTIF(INDIRECT("'"&amp;$H$3&amp;"'!T220"),"Public Transport*")=1,IF(INDIRECT("'"&amp;$H$3&amp;"'!T228")="Route-based",T302*INDIRECT("'"&amp;$H$3&amp;"'!T$96"),IF(INDIRECT("'"&amp;$H$3&amp;"'!T228")="Point-to-point",T305*INDIRECT("'"&amp;$H$3&amp;"'!T$96"),0)),0),0)</f>
        <v>0</v>
      </c>
      <c r="U295" s="1650"/>
      <c r="V295" s="1650"/>
      <c r="W295" s="837">
        <f ca="1">IFERROR(IF(COUNTIF(INDIRECT("'"&amp;$H$3&amp;"'!W220"),"Public Transport*")=1,IF(INDIRECT("'"&amp;$H$3&amp;"'!W228")="Route-based",W302*INDIRECT("'"&amp;$H$3&amp;"'!W$96"),IF(INDIRECT("'"&amp;$H$3&amp;"'!W228")="Point-to-point",W305*INDIRECT("'"&amp;$H$3&amp;"'!W$96"),0)),0),0)</f>
        <v>0</v>
      </c>
      <c r="X295" s="1468"/>
      <c r="Y295" s="36"/>
      <c r="Z295" s="36"/>
      <c r="AA295" s="36"/>
      <c r="AB295" s="36"/>
      <c r="AC295" s="36"/>
      <c r="AD295" s="36"/>
      <c r="AE295" s="36"/>
      <c r="AF295" s="36"/>
      <c r="AG295" s="36"/>
      <c r="AH295" s="36"/>
      <c r="AI295" s="36"/>
      <c r="AJ295" s="36"/>
      <c r="AK295" s="242"/>
      <c r="AL295" s="36"/>
      <c r="AM295" s="36"/>
      <c r="AN295" s="36"/>
    </row>
    <row r="296" spans="6:40" ht="15" customHeight="1" outlineLevel="1">
      <c r="F296" s="52"/>
      <c r="G296" s="51" t="s">
        <v>147</v>
      </c>
      <c r="H296" s="837"/>
      <c r="I296" s="837"/>
      <c r="J296" s="837"/>
      <c r="K296" s="837">
        <f ca="1">IFERROR(IF(INDIRECT("'"&amp;$H$3&amp;"'!K228")="Route-based",K303*INDIRECT("'"&amp;$H$3&amp;"'!K$96"),IF(INDIRECT("'"&amp;$H$3&amp;"'!K228")="Point-to-point",K306*INDIRECT("'"&amp;$H$3&amp;"'!K$96"),0)),0)</f>
        <v>0</v>
      </c>
      <c r="L296" s="837"/>
      <c r="M296" s="837"/>
      <c r="N296" s="837">
        <f ca="1">IFERROR(IF(INDIRECT("'"&amp;$H$3&amp;"'!N228")="Route-based",N303*INDIRECT("'"&amp;$H$3&amp;"'!N$96"),IF(INDIRECT("'"&amp;$H$3&amp;"'!N228")="Point-to-point",N306*INDIRECT("'"&amp;$H$3&amp;"'!N$96"),0)),0)</f>
        <v>0</v>
      </c>
      <c r="O296" s="837"/>
      <c r="P296" s="837"/>
      <c r="Q296" s="837">
        <f ca="1">IFERROR(IF(INDIRECT("'"&amp;$H$3&amp;"'!Q228")="Route-based",Q303*INDIRECT("'"&amp;$H$3&amp;"'!Q$96"),IF(INDIRECT("'"&amp;$H$3&amp;"'!Q228")="Point-to-point",Q306*INDIRECT("'"&amp;$H$3&amp;"'!Q$96"),0)),0)</f>
        <v>0</v>
      </c>
      <c r="R296" s="1650"/>
      <c r="S296" s="1650"/>
      <c r="T296" s="837">
        <f ca="1">IFERROR(IF(INDIRECT("'"&amp;$H$3&amp;"'!T228")="Route-based",T303*INDIRECT("'"&amp;$H$3&amp;"'!T$96"),IF(INDIRECT("'"&amp;$H$3&amp;"'!T228")="Point-to-point",T306*INDIRECT("'"&amp;$H$3&amp;"'!T$96"),0)),0)</f>
        <v>0</v>
      </c>
      <c r="U296" s="1650"/>
      <c r="V296" s="1650"/>
      <c r="W296" s="837">
        <f ca="1">IFERROR(IF(INDIRECT("'"&amp;$H$3&amp;"'!W228")="Route-based",W303*INDIRECT("'"&amp;$H$3&amp;"'!W$96"),IF(INDIRECT("'"&amp;$H$3&amp;"'!W228")="Point-to-point",W306*INDIRECT("'"&amp;$H$3&amp;"'!W$96"),0)),0)</f>
        <v>0</v>
      </c>
      <c r="X296" s="1468"/>
      <c r="Y296" s="36"/>
      <c r="Z296" s="36"/>
      <c r="AA296" s="36"/>
      <c r="AB296" s="36"/>
      <c r="AC296" s="36"/>
      <c r="AD296" s="36"/>
      <c r="AE296" s="36"/>
      <c r="AF296" s="36"/>
      <c r="AG296" s="36"/>
      <c r="AH296" s="36"/>
      <c r="AI296" s="36"/>
      <c r="AJ296" s="36"/>
      <c r="AK296" s="242"/>
      <c r="AL296" s="36"/>
      <c r="AM296" s="36"/>
      <c r="AN296" s="36"/>
    </row>
    <row r="297" spans="6:40" ht="15" customHeight="1" outlineLevel="1">
      <c r="F297" s="52"/>
      <c r="G297" s="51" t="s">
        <v>142</v>
      </c>
      <c r="H297" s="1651"/>
      <c r="I297" s="1651"/>
      <c r="J297" s="1651"/>
      <c r="K297" s="1651">
        <f ca="1">IFERROR(IF(COUNTIF(INDIRECT("'"&amp;$H$3&amp;"'!K220"),"Public Transport*")&gt;0,ROUND(INDIRECT("'"&amp;$H$3&amp;"'!K$95")*INDIRECT("'"&amp;$H$3&amp;"'!K219"),0),0),0)</f>
        <v>0</v>
      </c>
      <c r="L297" s="1651"/>
      <c r="M297" s="1651"/>
      <c r="N297" s="1651">
        <f ca="1">IFERROR(IF(COUNTIF(INDIRECT("'"&amp;$H$3&amp;"'!N220"),"Public Transport*")&gt;0,ROUND(INDIRECT("'"&amp;$H$3&amp;"'!N$95")*INDIRECT("'"&amp;$H$3&amp;"'!N219"),0),0),0)</f>
        <v>0</v>
      </c>
      <c r="O297" s="1651"/>
      <c r="P297" s="1651"/>
      <c r="Q297" s="1651">
        <f ca="1">IFERROR(IF(COUNTIF(INDIRECT("'"&amp;$H$3&amp;"'!Q220"),"Public Transport*")&gt;0,ROUND(INDIRECT("'"&amp;$H$3&amp;"'!Q$95")*INDIRECT("'"&amp;$H$3&amp;"'!Q219"),0),0),0)</f>
        <v>0</v>
      </c>
      <c r="R297" s="1650"/>
      <c r="S297" s="1650"/>
      <c r="T297" s="1651">
        <f ca="1">IFERROR(IF(COUNTIF(INDIRECT("'"&amp;$H$3&amp;"'!T220"),"Public Transport*")&gt;0,ROUND(INDIRECT("'"&amp;$H$3&amp;"'!T$95")*INDIRECT("'"&amp;$H$3&amp;"'!T219"),0),0),0)</f>
        <v>0</v>
      </c>
      <c r="U297" s="1650"/>
      <c r="V297" s="1650"/>
      <c r="W297" s="1651">
        <f ca="1">IFERROR(IF(COUNTIF(INDIRECT("'"&amp;$H$3&amp;"'!W220"),"Public Transport*")&gt;0,ROUND(INDIRECT("'"&amp;$H$3&amp;"'!W$95")*INDIRECT("'"&amp;$H$3&amp;"'!W219"),0),0),0)</f>
        <v>0</v>
      </c>
      <c r="X297" s="1466"/>
      <c r="Y297" s="36"/>
      <c r="Z297" s="36"/>
      <c r="AA297" s="36"/>
      <c r="AB297" s="36"/>
      <c r="AC297" s="36"/>
      <c r="AD297" s="36"/>
      <c r="AE297" s="36"/>
      <c r="AF297" s="36"/>
      <c r="AG297" s="36"/>
      <c r="AH297" s="36"/>
      <c r="AI297" s="36"/>
      <c r="AJ297" s="36"/>
      <c r="AK297" s="36"/>
      <c r="AL297" s="36"/>
      <c r="AM297" s="36"/>
      <c r="AN297" s="36"/>
    </row>
    <row r="298" spans="6:40" ht="15" customHeight="1" outlineLevel="1">
      <c r="F298" s="52"/>
      <c r="G298" s="1613" t="s">
        <v>150</v>
      </c>
      <c r="H298" s="842"/>
      <c r="I298" s="842"/>
      <c r="J298" s="842"/>
      <c r="K298" s="842"/>
      <c r="L298" s="842"/>
      <c r="M298" s="842"/>
      <c r="N298" s="842"/>
      <c r="O298" s="842"/>
      <c r="P298" s="842"/>
      <c r="Q298" s="842"/>
      <c r="R298" s="1650"/>
      <c r="S298" s="1650"/>
      <c r="T298" s="842"/>
      <c r="U298" s="1650"/>
      <c r="V298" s="1650"/>
      <c r="W298" s="842"/>
      <c r="X298" s="1470"/>
      <c r="Y298" s="36"/>
      <c r="Z298" s="36"/>
      <c r="AA298" s="36"/>
      <c r="AB298" s="36"/>
      <c r="AC298" s="36"/>
      <c r="AD298" s="36"/>
      <c r="AE298" s="36"/>
      <c r="AF298" s="36"/>
      <c r="AG298" s="36"/>
      <c r="AH298" s="36"/>
      <c r="AI298" s="36"/>
      <c r="AJ298" s="36"/>
      <c r="AK298" s="36"/>
      <c r="AL298" s="36"/>
      <c r="AM298" s="36"/>
      <c r="AN298" s="36"/>
    </row>
    <row r="299" spans="6:40" ht="15" customHeight="1" outlineLevel="1">
      <c r="F299" s="52"/>
      <c r="G299" s="51" t="s">
        <v>140</v>
      </c>
      <c r="H299" s="836"/>
      <c r="I299" s="836"/>
      <c r="J299" s="836"/>
      <c r="K299" s="836">
        <f ca="1">IFERROR(ROUND(INDIRECT("'"&amp;$H$3&amp;"'!$H$10")/(((1/60)*(INDIRECT("'"&amp;$H$3&amp;"'!K233")+INDIRECT("'"&amp;$H$3&amp;"'!$H$19")*(INDIRECT("'"&amp;$H$3&amp;"'!K234")+(INDIRECT("'"&amp;$H$3&amp;"'!K235")*('4_Outputs'!K$52/INDIRECT("'"&amp;$H$3&amp;"'!K$96")/INDIRECT("'"&amp;$H$3&amp;"'!$H$19"))))))+INDEX(INDIRECT("'"&amp;$H$3&amp;"'!$H$43:$H$78"),MATCH(INDIRECT("'"&amp;$H$3&amp;"'!K220")&amp;"Average duration (hrs) per trip",INDIRECT("'"&amp;$H$3&amp;"'!$F$43:$F$78"),0))),1),0)</f>
        <v>0</v>
      </c>
      <c r="L299" s="836"/>
      <c r="M299" s="836"/>
      <c r="N299" s="836">
        <f ca="1">IFERROR(ROUND(INDIRECT("'"&amp;$H$3&amp;"'!$H$10")/(((1/60)*(INDIRECT("'"&amp;$H$3&amp;"'!N233")+INDIRECT("'"&amp;$H$3&amp;"'!$H$19")*(INDIRECT("'"&amp;$H$3&amp;"'!N234")+(INDIRECT("'"&amp;$H$3&amp;"'!N235")*('4_Outputs'!N$52/INDIRECT("'"&amp;$H$3&amp;"'!N$96")/INDIRECT("'"&amp;$H$3&amp;"'!$H$19"))))))+INDEX(INDIRECT("'"&amp;$H$3&amp;"'!$H$43:$H$78"),MATCH(INDIRECT("'"&amp;$H$3&amp;"'!N220")&amp;"Average duration (hrs) per trip",INDIRECT("'"&amp;$H$3&amp;"'!$F$43:$F$78"),0))),1),0)</f>
        <v>0</v>
      </c>
      <c r="O299" s="836"/>
      <c r="P299" s="836"/>
      <c r="Q299" s="836">
        <f ca="1">IFERROR(ROUND(INDIRECT("'"&amp;$H$3&amp;"'!$H$10")/(((1/60)*(INDIRECT("'"&amp;$H$3&amp;"'!Q233")+INDIRECT("'"&amp;$H$3&amp;"'!$H$19")*(INDIRECT("'"&amp;$H$3&amp;"'!Q234")+(INDIRECT("'"&amp;$H$3&amp;"'!Q235")*('4_Outputs'!Q$52/INDIRECT("'"&amp;$H$3&amp;"'!Q$96")/INDIRECT("'"&amp;$H$3&amp;"'!$H$19"))))))+INDEX(INDIRECT("'"&amp;$H$3&amp;"'!$H$43:$H$78"),MATCH(INDIRECT("'"&amp;$H$3&amp;"'!Q220")&amp;"Average duration (hrs) per trip",INDIRECT("'"&amp;$H$3&amp;"'!$F$43:$F$78"),0))),1),0)</f>
        <v>0</v>
      </c>
      <c r="R299" s="836"/>
      <c r="S299" s="836"/>
      <c r="T299" s="836">
        <f ca="1">IFERROR(ROUND(INDIRECT("'"&amp;$H$3&amp;"'!$H$10")/(((1/60)*(INDIRECT("'"&amp;$H$3&amp;"'!T233")+INDIRECT("'"&amp;$H$3&amp;"'!$H$19")*(INDIRECT("'"&amp;$H$3&amp;"'!T234")+(INDIRECT("'"&amp;$H$3&amp;"'!T235")*('4_Outputs'!T$52/INDIRECT("'"&amp;$H$3&amp;"'!T$96")/INDIRECT("'"&amp;$H$3&amp;"'!$H$19"))))))+INDEX(INDIRECT("'"&amp;$H$3&amp;"'!$H$43:$H$78"),MATCH(INDIRECT("'"&amp;$H$3&amp;"'!T220")&amp;"Average duration (hrs) per trip",INDIRECT("'"&amp;$H$3&amp;"'!$F$43:$F$78"),0))),1),0)</f>
        <v>0</v>
      </c>
      <c r="U299" s="836"/>
      <c r="V299" s="836"/>
      <c r="W299" s="836">
        <f ca="1">IFERROR(ROUND(INDIRECT("'"&amp;$H$3&amp;"'!$H$10")/(((1/60)*(INDIRECT("'"&amp;$H$3&amp;"'!W233")+INDIRECT("'"&amp;$H$3&amp;"'!$H$19")*(INDIRECT("'"&amp;$H$3&amp;"'!W234")+(INDIRECT("'"&amp;$H$3&amp;"'!W235")*('4_Outputs'!W$52/INDIRECT("'"&amp;$H$3&amp;"'!W$96")/INDIRECT("'"&amp;$H$3&amp;"'!$H$19"))))))+INDEX(INDIRECT("'"&amp;$H$3&amp;"'!$H$43:$H$78"),MATCH(INDIRECT("'"&amp;$H$3&amp;"'!W220")&amp;"Average duration (hrs) per trip",INDIRECT("'"&amp;$H$3&amp;"'!$F$43:$F$78"),0))),1),0)</f>
        <v>0</v>
      </c>
      <c r="X299" s="1469"/>
      <c r="Y299" s="36"/>
      <c r="Z299" s="36"/>
      <c r="AA299" s="36"/>
      <c r="AB299" s="36"/>
      <c r="AC299" s="36"/>
      <c r="AD299" s="36"/>
      <c r="AE299" s="36"/>
      <c r="AF299" s="36"/>
      <c r="AG299" s="36"/>
      <c r="AH299" s="36"/>
      <c r="AI299" s="36"/>
      <c r="AJ299" s="36"/>
      <c r="AK299" s="36"/>
      <c r="AL299" s="36"/>
      <c r="AM299" s="36"/>
      <c r="AN299" s="36"/>
    </row>
    <row r="300" spans="6:40" ht="15" customHeight="1" outlineLevel="1">
      <c r="F300" s="52"/>
      <c r="G300" s="51" t="s">
        <v>141</v>
      </c>
      <c r="H300" s="836"/>
      <c r="I300" s="836"/>
      <c r="J300" s="836"/>
      <c r="K300" s="836">
        <f ca="1">IFERROR(ROUND(K299*INDIRECT("'"&amp;$H$3&amp;"'!K229"),0),0)</f>
        <v>0</v>
      </c>
      <c r="L300" s="836"/>
      <c r="M300" s="836"/>
      <c r="N300" s="836">
        <f ca="1">IFERROR(ROUND(N299*INDIRECT("'"&amp;$H$3&amp;"'!N229"),0),0)</f>
        <v>0</v>
      </c>
      <c r="O300" s="836"/>
      <c r="P300" s="836"/>
      <c r="Q300" s="836">
        <f ca="1">IFERROR(ROUND(Q299*INDIRECT("'"&amp;$H$3&amp;"'!Q229"),0),0)</f>
        <v>0</v>
      </c>
      <c r="R300" s="836"/>
      <c r="S300" s="836"/>
      <c r="T300" s="836">
        <f ca="1">IFERROR(ROUND(T299*INDIRECT("'"&amp;$H$3&amp;"'!T229"),0),0)</f>
        <v>0</v>
      </c>
      <c r="U300" s="836"/>
      <c r="V300" s="836"/>
      <c r="W300" s="836">
        <f ca="1">IFERROR(ROUND(W299*INDIRECT("'"&amp;$H$3&amp;"'!W229"),0),0)</f>
        <v>0</v>
      </c>
      <c r="X300" s="1469"/>
      <c r="Y300" s="36"/>
      <c r="Z300" s="36"/>
      <c r="AA300" s="36"/>
      <c r="AB300" s="36"/>
      <c r="AC300" s="36"/>
      <c r="AD300" s="36"/>
      <c r="AE300" s="36"/>
      <c r="AF300" s="36"/>
      <c r="AG300" s="36"/>
      <c r="AH300" s="36"/>
      <c r="AI300" s="36"/>
      <c r="AJ300" s="36"/>
      <c r="AK300" s="36"/>
      <c r="AL300" s="36"/>
      <c r="AM300" s="36"/>
      <c r="AN300" s="36"/>
    </row>
    <row r="301" spans="6:40" ht="15" customHeight="1" outlineLevel="1">
      <c r="F301" s="52"/>
      <c r="G301" s="51" t="s">
        <v>143</v>
      </c>
      <c r="H301" s="836"/>
      <c r="I301" s="836"/>
      <c r="J301" s="836"/>
      <c r="K301" s="836">
        <f ca="1">IFERROR(K297/K300,0)</f>
        <v>0</v>
      </c>
      <c r="L301" s="836"/>
      <c r="M301" s="836"/>
      <c r="N301" s="836">
        <f ca="1">IFERROR(N297/N300,0)</f>
        <v>0</v>
      </c>
      <c r="O301" s="836"/>
      <c r="P301" s="836"/>
      <c r="Q301" s="836">
        <f ca="1">IFERROR(Q297/Q300,0)</f>
        <v>0</v>
      </c>
      <c r="R301" s="836"/>
      <c r="S301" s="836"/>
      <c r="T301" s="836">
        <f ca="1">IFERROR(T297/T300,0)</f>
        <v>0</v>
      </c>
      <c r="U301" s="836"/>
      <c r="V301" s="836"/>
      <c r="W301" s="836">
        <f ca="1">IFERROR(W297/W300,0)</f>
        <v>0</v>
      </c>
      <c r="X301" s="1469"/>
      <c r="Y301" s="36"/>
      <c r="Z301" s="36"/>
      <c r="AA301" s="36"/>
      <c r="AB301" s="36"/>
      <c r="AC301" s="36"/>
      <c r="AD301" s="36"/>
      <c r="AE301" s="36"/>
      <c r="AF301" s="36"/>
      <c r="AG301" s="36"/>
      <c r="AH301" s="36"/>
      <c r="AI301" s="36"/>
      <c r="AJ301" s="36"/>
      <c r="AK301" s="36"/>
      <c r="AL301" s="36"/>
      <c r="AM301" s="36"/>
      <c r="AN301" s="36"/>
    </row>
    <row r="302" spans="6:40" ht="15" customHeight="1" outlineLevel="1">
      <c r="F302" s="52"/>
      <c r="G302" s="51" t="s">
        <v>144</v>
      </c>
      <c r="H302" s="836"/>
      <c r="I302" s="836"/>
      <c r="J302" s="836"/>
      <c r="K302" s="836">
        <f ca="1">IFERROR((K301*(K300+1)),0)</f>
        <v>0</v>
      </c>
      <c r="L302" s="836"/>
      <c r="M302" s="836"/>
      <c r="N302" s="836">
        <f ca="1">IFERROR((N301*(N300+1)),0)</f>
        <v>0</v>
      </c>
      <c r="O302" s="836"/>
      <c r="P302" s="836"/>
      <c r="Q302" s="836">
        <f ca="1">IFERROR((Q301*(Q300+1)),0)</f>
        <v>0</v>
      </c>
      <c r="R302" s="836"/>
      <c r="S302" s="836"/>
      <c r="T302" s="836">
        <f ca="1">IFERROR((T301*(T300+1)),0)</f>
        <v>0</v>
      </c>
      <c r="U302" s="836"/>
      <c r="V302" s="836"/>
      <c r="W302" s="836">
        <f ca="1">IFERROR((W301*(W300+1)),0)</f>
        <v>0</v>
      </c>
      <c r="X302" s="1469"/>
      <c r="Y302" s="36"/>
      <c r="Z302" s="36"/>
      <c r="AA302" s="36"/>
      <c r="AB302" s="36"/>
      <c r="AC302" s="36"/>
      <c r="AD302" s="36"/>
      <c r="AE302" s="36"/>
      <c r="AF302" s="36"/>
      <c r="AG302" s="36"/>
      <c r="AH302" s="36"/>
      <c r="AI302" s="36"/>
      <c r="AJ302" s="36"/>
      <c r="AK302" s="242"/>
      <c r="AL302" s="36"/>
      <c r="AM302" s="36"/>
      <c r="AN302" s="36"/>
    </row>
    <row r="303" spans="6:40" ht="15" customHeight="1" outlineLevel="1">
      <c r="F303" s="52"/>
      <c r="G303" s="51" t="s">
        <v>145</v>
      </c>
      <c r="H303" s="836"/>
      <c r="I303" s="836"/>
      <c r="J303" s="836"/>
      <c r="K303" s="836">
        <f ca="1">IFERROR(ROUNDUP(((K302*INDEX(INDIRECT("'"&amp;$H$3&amp;"'!$H$43:$H$78"),MATCH(INDIRECT("'"&amp;$H$3&amp;"'!K220")&amp;"Average duration (hrs) per trip",INDIRECT("'"&amp;$H$3&amp;"'!$F$43:$F$78"),0)))+(K297*((1/60)*(INDIRECT("'"&amp;$H$3&amp;"'!K233")+INDIRECT("'"&amp;$H$3&amp;"'!$H$19")*(INDIRECT("'"&amp;$H$3&amp;"'!K234")+(INDIRECT("'"&amp;$H$3&amp;"'!K235")*('4_Outputs'!K$52/INDIRECT("'"&amp;$H$3&amp;"'!K$96")/INDIRECT("'"&amp;$H$3&amp;"'!$H$19"))))))))/INDIRECT("'"&amp;$H$3&amp;"'!$H$10"),0),0)</f>
        <v>0</v>
      </c>
      <c r="L303" s="836"/>
      <c r="M303" s="836"/>
      <c r="N303" s="836">
        <f ca="1">IFERROR(ROUNDUP(((N302*INDEX(INDIRECT("'"&amp;$H$3&amp;"'!$H$43:$H$78"),MATCH(INDIRECT("'"&amp;$H$3&amp;"'!N220")&amp;"Average duration (hrs) per trip",INDIRECT("'"&amp;$H$3&amp;"'!$F$43:$F$78"),0)))+(N297*((1/60)*(INDIRECT("'"&amp;$H$3&amp;"'!N233")+INDIRECT("'"&amp;$H$3&amp;"'!$H$19")*(INDIRECT("'"&amp;$H$3&amp;"'!N234")+(INDIRECT("'"&amp;$H$3&amp;"'!N235")*('4_Outputs'!N$52/INDIRECT("'"&amp;$H$3&amp;"'!N$96")/INDIRECT("'"&amp;$H$3&amp;"'!$H$19"))))))))/INDIRECT("'"&amp;$H$3&amp;"'!$H$10"),0),0)</f>
        <v>0</v>
      </c>
      <c r="O303" s="836"/>
      <c r="P303" s="836"/>
      <c r="Q303" s="836">
        <f ca="1">IFERROR(ROUNDUP(((Q302*INDEX(INDIRECT("'"&amp;$H$3&amp;"'!$H$43:$H$78"),MATCH(INDIRECT("'"&amp;$H$3&amp;"'!Q220")&amp;"Average duration (hrs) per trip",INDIRECT("'"&amp;$H$3&amp;"'!$F$43:$F$78"),0)))+(Q297*((1/60)*(INDIRECT("'"&amp;$H$3&amp;"'!Q233")+INDIRECT("'"&amp;$H$3&amp;"'!$H$19")*(INDIRECT("'"&amp;$H$3&amp;"'!Q234")+(INDIRECT("'"&amp;$H$3&amp;"'!Q235")*('4_Outputs'!Q$52/INDIRECT("'"&amp;$H$3&amp;"'!Q$96")/INDIRECT("'"&amp;$H$3&amp;"'!$H$19"))))))))/INDIRECT("'"&amp;$H$3&amp;"'!$H$10"),0),0)</f>
        <v>0</v>
      </c>
      <c r="R303" s="836"/>
      <c r="S303" s="836"/>
      <c r="T303" s="836">
        <f ca="1">IFERROR(ROUNDUP(((T302*INDEX(INDIRECT("'"&amp;$H$3&amp;"'!$H$43:$H$78"),MATCH(INDIRECT("'"&amp;$H$3&amp;"'!T220")&amp;"Average duration (hrs) per trip",INDIRECT("'"&amp;$H$3&amp;"'!$F$43:$F$78"),0)))+(T297*((1/60)*(INDIRECT("'"&amp;$H$3&amp;"'!T233")+INDIRECT("'"&amp;$H$3&amp;"'!$H$19")*(INDIRECT("'"&amp;$H$3&amp;"'!T234")+(INDIRECT("'"&amp;$H$3&amp;"'!T235")*('4_Outputs'!T$52/INDIRECT("'"&amp;$H$3&amp;"'!T$96")/INDIRECT("'"&amp;$H$3&amp;"'!$H$19"))))))))/INDIRECT("'"&amp;$H$3&amp;"'!$H$10"),0),0)</f>
        <v>0</v>
      </c>
      <c r="U303" s="836"/>
      <c r="V303" s="836"/>
      <c r="W303" s="836">
        <f ca="1">IFERROR(ROUNDUP(((W302*INDEX(INDIRECT("'"&amp;$H$3&amp;"'!$H$43:$H$78"),MATCH(INDIRECT("'"&amp;$H$3&amp;"'!W220")&amp;"Average duration (hrs) per trip",INDIRECT("'"&amp;$H$3&amp;"'!$F$43:$F$78"),0)))+(W297*((1/60)*(INDIRECT("'"&amp;$H$3&amp;"'!W233")+INDIRECT("'"&amp;$H$3&amp;"'!$H$19")*(INDIRECT("'"&amp;$H$3&amp;"'!W234")+(INDIRECT("'"&amp;$H$3&amp;"'!W235")*('4_Outputs'!W$52/INDIRECT("'"&amp;$H$3&amp;"'!W$96")/INDIRECT("'"&amp;$H$3&amp;"'!$H$19"))))))))/INDIRECT("'"&amp;$H$3&amp;"'!$H$10"),0),0)</f>
        <v>0</v>
      </c>
      <c r="X303" s="1469"/>
      <c r="Y303" s="36"/>
      <c r="Z303" s="36"/>
      <c r="AA303" s="36"/>
      <c r="AB303" s="36"/>
      <c r="AC303" s="36"/>
      <c r="AD303" s="36"/>
      <c r="AE303" s="36"/>
      <c r="AF303" s="36"/>
      <c r="AG303" s="36"/>
      <c r="AH303" s="36"/>
      <c r="AI303" s="36"/>
      <c r="AJ303" s="36"/>
      <c r="AK303" s="242"/>
      <c r="AL303" s="36"/>
      <c r="AM303" s="36"/>
      <c r="AN303" s="36"/>
    </row>
    <row r="304" spans="6:40" ht="15" customHeight="1" outlineLevel="1">
      <c r="F304" s="52"/>
      <c r="G304" s="1613" t="s">
        <v>841</v>
      </c>
      <c r="H304" s="842"/>
      <c r="I304" s="842"/>
      <c r="J304" s="842"/>
      <c r="K304" s="842"/>
      <c r="L304" s="842"/>
      <c r="M304" s="842"/>
      <c r="N304" s="842"/>
      <c r="O304" s="842"/>
      <c r="P304" s="842"/>
      <c r="Q304" s="842"/>
      <c r="R304" s="1650"/>
      <c r="S304" s="1650"/>
      <c r="T304" s="842"/>
      <c r="U304" s="1650"/>
      <c r="V304" s="1650"/>
      <c r="W304" s="842"/>
      <c r="X304" s="1470"/>
      <c r="Y304" s="36"/>
      <c r="Z304" s="36"/>
      <c r="AA304" s="36"/>
      <c r="AB304" s="36"/>
      <c r="AC304" s="36"/>
      <c r="AD304" s="36"/>
      <c r="AE304" s="36"/>
      <c r="AF304" s="36"/>
      <c r="AG304" s="36"/>
      <c r="AH304" s="36"/>
      <c r="AI304" s="36"/>
      <c r="AJ304" s="36"/>
      <c r="AK304" s="242"/>
      <c r="AL304" s="36"/>
      <c r="AM304" s="36"/>
      <c r="AN304" s="36"/>
    </row>
    <row r="305" spans="6:40" ht="15" customHeight="1" outlineLevel="1">
      <c r="F305" s="52"/>
      <c r="G305" s="51" t="s">
        <v>144</v>
      </c>
      <c r="H305" s="836"/>
      <c r="I305" s="836"/>
      <c r="J305" s="836"/>
      <c r="K305" s="836">
        <f ca="1">IFERROR(K297*2,0)</f>
        <v>0</v>
      </c>
      <c r="L305" s="836"/>
      <c r="M305" s="836"/>
      <c r="N305" s="836">
        <f ca="1">IFERROR(N297*2,0)</f>
        <v>0</v>
      </c>
      <c r="O305" s="836"/>
      <c r="P305" s="836"/>
      <c r="Q305" s="836">
        <f ca="1">IFERROR(Q297*2,0)</f>
        <v>0</v>
      </c>
      <c r="R305" s="836"/>
      <c r="S305" s="836"/>
      <c r="T305" s="836">
        <f ca="1">IFERROR(T297*2,0)</f>
        <v>0</v>
      </c>
      <c r="U305" s="836"/>
      <c r="V305" s="836"/>
      <c r="W305" s="836">
        <f ca="1">IFERROR(W297*2,0)</f>
        <v>0</v>
      </c>
      <c r="X305" s="1469"/>
      <c r="Y305" s="36"/>
      <c r="Z305" s="36"/>
      <c r="AA305" s="36"/>
      <c r="AB305" s="36"/>
      <c r="AC305" s="36"/>
      <c r="AD305" s="36"/>
      <c r="AE305" s="36"/>
      <c r="AF305" s="36"/>
      <c r="AG305" s="36"/>
      <c r="AH305" s="36"/>
      <c r="AI305" s="36"/>
      <c r="AJ305" s="36"/>
      <c r="AK305" s="36"/>
      <c r="AL305" s="36"/>
      <c r="AM305" s="36"/>
      <c r="AN305" s="36"/>
    </row>
    <row r="306" spans="6:40" ht="15" customHeight="1" outlineLevel="1">
      <c r="F306" s="52"/>
      <c r="G306" s="51" t="s">
        <v>145</v>
      </c>
      <c r="H306" s="837"/>
      <c r="I306" s="837"/>
      <c r="J306" s="837"/>
      <c r="K306" s="837">
        <f ca="1">IFERROR(MAX(K297,ROUNDUP(((K305*INDEX(INDIRECT("'"&amp;$H$3&amp;"'!$H$43:$H$78"),MATCH(INDIRECT("'"&amp;$H$3&amp;"'!K220")&amp;"Average duration (hrs) per trip",INDIRECT("'"&amp;$H$3&amp;"'!$F$43:$F$78"),0)))+(K297*((1/60)*(INDIRECT("'"&amp;$H$3&amp;"'!K233")+INDIRECT("'"&amp;$H$3&amp;"'!$H$19")*(INDIRECT("'"&amp;$H$3&amp;"'!K234")+(INDIRECT("'"&amp;$H$3&amp;"'!K235")*('4_Outputs'!K$52/INDIRECT("'"&amp;$H$3&amp;"'!K$96")/INDIRECT("'"&amp;$H$3&amp;"'!$H$19"))))))))/INDIRECT("'"&amp;$H$3&amp;"'!$H$10"),0)),0)</f>
        <v>0</v>
      </c>
      <c r="L306" s="837"/>
      <c r="M306" s="837"/>
      <c r="N306" s="837">
        <f ca="1">IFERROR(MAX(N297,ROUNDUP(((N305*INDEX(INDIRECT("'"&amp;$H$3&amp;"'!$H$43:$H$78"),MATCH(INDIRECT("'"&amp;$H$3&amp;"'!N220")&amp;"Average duration (hrs) per trip",INDIRECT("'"&amp;$H$3&amp;"'!$F$43:$F$78"),0)))+(N297*((1/60)*(INDIRECT("'"&amp;$H$3&amp;"'!N233")+INDIRECT("'"&amp;$H$3&amp;"'!$H$19")*(INDIRECT("'"&amp;$H$3&amp;"'!N234")+(INDIRECT("'"&amp;$H$3&amp;"'!N235")*('4_Outputs'!N$52/INDIRECT("'"&amp;$H$3&amp;"'!N$96")/INDIRECT("'"&amp;$H$3&amp;"'!$H$19"))))))))/INDIRECT("'"&amp;$H$3&amp;"'!$H$10"),0)),0)</f>
        <v>0</v>
      </c>
      <c r="O306" s="837"/>
      <c r="P306" s="837"/>
      <c r="Q306" s="837">
        <f ca="1">IFERROR(MAX(Q297,ROUNDUP(((Q305*INDEX(INDIRECT("'"&amp;$H$3&amp;"'!$H$43:$H$78"),MATCH(INDIRECT("'"&amp;$H$3&amp;"'!Q220")&amp;"Average duration (hrs) per trip",INDIRECT("'"&amp;$H$3&amp;"'!$F$43:$F$78"),0)))+(Q297*((1/60)*(INDIRECT("'"&amp;$H$3&amp;"'!Q233")+INDIRECT("'"&amp;$H$3&amp;"'!$H$19")*(INDIRECT("'"&amp;$H$3&amp;"'!Q234")+(INDIRECT("'"&amp;$H$3&amp;"'!Q235")*('4_Outputs'!Q$52/INDIRECT("'"&amp;$H$3&amp;"'!Q$96")/INDIRECT("'"&amp;$H$3&amp;"'!$H$19"))))))))/INDIRECT("'"&amp;$H$3&amp;"'!$H$10"),0)),0)</f>
        <v>0</v>
      </c>
      <c r="R306" s="837"/>
      <c r="S306" s="837"/>
      <c r="T306" s="837">
        <f ca="1">IFERROR(MAX(T297,ROUNDUP(((T305*INDEX(INDIRECT("'"&amp;$H$3&amp;"'!$H$43:$H$78"),MATCH(INDIRECT("'"&amp;$H$3&amp;"'!T220")&amp;"Average duration (hrs) per trip",INDIRECT("'"&amp;$H$3&amp;"'!$F$43:$F$78"),0)))+(T297*((1/60)*(INDIRECT("'"&amp;$H$3&amp;"'!T233")+INDIRECT("'"&amp;$H$3&amp;"'!$H$19")*(INDIRECT("'"&amp;$H$3&amp;"'!T234")+(INDIRECT("'"&amp;$H$3&amp;"'!T235")*('4_Outputs'!T$52/INDIRECT("'"&amp;$H$3&amp;"'!T$96")/INDIRECT("'"&amp;$H$3&amp;"'!$H$19"))))))))/INDIRECT("'"&amp;$H$3&amp;"'!$H$10"),0)),0)</f>
        <v>0</v>
      </c>
      <c r="U306" s="837"/>
      <c r="V306" s="837"/>
      <c r="W306" s="837">
        <f ca="1">IFERROR(MAX(W297,ROUNDUP(((W305*INDEX(INDIRECT("'"&amp;$H$3&amp;"'!$H$43:$H$78"),MATCH(INDIRECT("'"&amp;$H$3&amp;"'!W220")&amp;"Average duration (hrs) per trip",INDIRECT("'"&amp;$H$3&amp;"'!$F$43:$F$78"),0)))+(W297*((1/60)*(INDIRECT("'"&amp;$H$3&amp;"'!W233")+INDIRECT("'"&amp;$H$3&amp;"'!$H$19")*(INDIRECT("'"&amp;$H$3&amp;"'!W234")+(INDIRECT("'"&amp;$H$3&amp;"'!W235")*('4_Outputs'!W$52/INDIRECT("'"&amp;$H$3&amp;"'!W$96")/INDIRECT("'"&amp;$H$3&amp;"'!$H$19"))))))))/INDIRECT("'"&amp;$H$3&amp;"'!$H$10"),0)),0)</f>
        <v>0</v>
      </c>
      <c r="X306" s="1468"/>
      <c r="Y306" s="36"/>
      <c r="Z306" s="36"/>
      <c r="AA306" s="36"/>
      <c r="AB306" s="36"/>
      <c r="AC306" s="36"/>
      <c r="AD306" s="36"/>
      <c r="AE306" s="36"/>
      <c r="AF306" s="36"/>
      <c r="AG306" s="36"/>
      <c r="AH306" s="36"/>
      <c r="AI306" s="36"/>
      <c r="AJ306" s="36"/>
      <c r="AK306" s="36"/>
      <c r="AL306" s="36"/>
      <c r="AM306" s="36"/>
      <c r="AN306" s="36"/>
    </row>
    <row r="307" spans="6:40" ht="15" customHeight="1" outlineLevel="1">
      <c r="F307" s="1664" t="s">
        <v>148</v>
      </c>
      <c r="G307" s="1675"/>
      <c r="H307" s="1676"/>
      <c r="I307" s="1676"/>
      <c r="J307" s="1676"/>
      <c r="K307" s="1676"/>
      <c r="L307" s="1676"/>
      <c r="M307" s="1676"/>
      <c r="N307" s="1676"/>
      <c r="O307" s="1676"/>
      <c r="P307" s="1676"/>
      <c r="Q307" s="1676"/>
      <c r="R307" s="1646"/>
      <c r="S307" s="1646"/>
      <c r="T307" s="1676"/>
      <c r="U307" s="1646"/>
      <c r="V307" s="1646"/>
      <c r="W307" s="1676"/>
      <c r="X307" s="1467"/>
      <c r="Y307" s="36"/>
      <c r="Z307" s="36"/>
      <c r="AA307" s="36"/>
      <c r="AB307" s="36"/>
      <c r="AC307" s="36"/>
      <c r="AD307" s="36"/>
      <c r="AE307" s="36"/>
      <c r="AF307" s="36"/>
      <c r="AG307" s="36"/>
      <c r="AH307" s="36"/>
      <c r="AI307" s="36"/>
      <c r="AJ307" s="36"/>
      <c r="AK307" s="242"/>
      <c r="AL307" s="36"/>
      <c r="AM307" s="36"/>
      <c r="AN307" s="36"/>
    </row>
    <row r="308" spans="6:40" ht="15" customHeight="1" outlineLevel="1">
      <c r="F308" s="86"/>
      <c r="G308" s="51" t="s">
        <v>151</v>
      </c>
      <c r="H308" s="836"/>
      <c r="I308" s="836"/>
      <c r="J308" s="836"/>
      <c r="K308" s="836">
        <f ca="1">IFERROR(IF(COUNTIF(INDIRECT("'"&amp;$H$3&amp;"'!K220"),"Public Transport*")&lt;1,ROUND(INDIRECT("'"&amp;$H$3&amp;"'!K$95")*INDIRECT("'"&amp;$H$3&amp;"'!K219"),0),0),0)</f>
        <v>0</v>
      </c>
      <c r="L308" s="836"/>
      <c r="M308" s="836"/>
      <c r="N308" s="836">
        <f ca="1">IFERROR(IF(COUNTIF(INDIRECT("'"&amp;$H$3&amp;"'!N220"),"Public Transport*")&lt;1,ROUND(INDIRECT("'"&amp;$H$3&amp;"'!N$95")*INDIRECT("'"&amp;$H$3&amp;"'!N219"),0),0),0)</f>
        <v>0</v>
      </c>
      <c r="O308" s="836"/>
      <c r="P308" s="836"/>
      <c r="Q308" s="836">
        <f ca="1">IFERROR(IF(COUNTIF(INDIRECT("'"&amp;$H$3&amp;"'!Q220"),"Public Transport*")&lt;1,ROUND(INDIRECT("'"&amp;$H$3&amp;"'!Q$95")*INDIRECT("'"&amp;$H$3&amp;"'!Q219"),0),0),0)</f>
        <v>0</v>
      </c>
      <c r="R308" s="1646"/>
      <c r="S308" s="1646"/>
      <c r="T308" s="836">
        <f ca="1">IFERROR(IF(COUNTIF(INDIRECT("'"&amp;$H$3&amp;"'!T220"),"Public Transport*")&lt;1,ROUND(INDIRECT("'"&amp;$H$3&amp;"'!T$95")*INDIRECT("'"&amp;$H$3&amp;"'!T219"),0),0),0)</f>
        <v>0</v>
      </c>
      <c r="U308" s="1646"/>
      <c r="V308" s="1646"/>
      <c r="W308" s="836">
        <f ca="1">IFERROR(IF(COUNTIF(INDIRECT("'"&amp;$H$3&amp;"'!W220"),"Public Transport*")&lt;1,ROUND(INDIRECT("'"&amp;$H$3&amp;"'!W$95")*INDIRECT("'"&amp;$H$3&amp;"'!W219"),0),0),0)</f>
        <v>0</v>
      </c>
      <c r="X308" s="1469"/>
      <c r="Y308" s="36"/>
      <c r="Z308" s="36"/>
      <c r="AA308" s="36"/>
      <c r="AB308" s="36"/>
      <c r="AC308" s="36"/>
      <c r="AD308" s="36"/>
      <c r="AE308" s="36"/>
      <c r="AF308" s="36"/>
      <c r="AG308" s="36"/>
      <c r="AH308" s="36"/>
      <c r="AI308" s="36"/>
      <c r="AJ308" s="36"/>
      <c r="AK308" s="242"/>
      <c r="AL308" s="36"/>
      <c r="AM308" s="36"/>
      <c r="AN308" s="36"/>
    </row>
    <row r="309" spans="6:40" ht="15" customHeight="1" outlineLevel="1">
      <c r="F309" s="52"/>
      <c r="G309" s="51" t="s">
        <v>85</v>
      </c>
      <c r="H309" s="837"/>
      <c r="I309" s="837"/>
      <c r="J309" s="837"/>
      <c r="K309" s="837">
        <f ca="1">IFERROR(IF(INDIRECT("'"&amp;$H$3&amp;"'!K228")="Route-based",K314*K315,IF(INDIRECT("'"&amp;$H$3&amp;"'!K228")="Point-to-point",K319*K320,0)),0)</f>
        <v>0</v>
      </c>
      <c r="L309" s="837"/>
      <c r="M309" s="837"/>
      <c r="N309" s="837">
        <f ca="1">IFERROR(IF(INDIRECT("'"&amp;$H$3&amp;"'!N228")="Route-based",N314*N315,IF(INDIRECT("'"&amp;$H$3&amp;"'!N228")="Point-to-point",N319*N320,0)),0)</f>
        <v>0</v>
      </c>
      <c r="O309" s="837"/>
      <c r="P309" s="837"/>
      <c r="Q309" s="837">
        <f ca="1">IFERROR(IF(INDIRECT("'"&amp;$H$3&amp;"'!Q228")="Route-based",Q314*Q315,IF(INDIRECT("'"&amp;$H$3&amp;"'!Q228")="Point-to-point",Q319*Q320,0)),0)</f>
        <v>0</v>
      </c>
      <c r="R309" s="1650"/>
      <c r="S309" s="1650"/>
      <c r="T309" s="837">
        <f ca="1">IFERROR(IF(INDIRECT("'"&amp;$H$3&amp;"'!T228")="Route-based",T314*T315,IF(INDIRECT("'"&amp;$H$3&amp;"'!T228")="Point-to-point",T319*T320,0)),0)</f>
        <v>0</v>
      </c>
      <c r="U309" s="1650"/>
      <c r="V309" s="1650"/>
      <c r="W309" s="837">
        <f ca="1">IFERROR(IF(INDIRECT("'"&amp;$H$3&amp;"'!W228")="Route-based",W314*W315,IF(INDIRECT("'"&amp;$H$3&amp;"'!W228")="Point-to-point",W319*W320,0)),0)</f>
        <v>0</v>
      </c>
      <c r="X309" s="1468"/>
      <c r="Y309" s="36"/>
      <c r="Z309" s="36"/>
      <c r="AA309" s="36"/>
      <c r="AB309" s="36"/>
      <c r="AC309" s="36"/>
      <c r="AD309" s="36"/>
      <c r="AE309" s="36"/>
      <c r="AF309" s="36"/>
      <c r="AG309" s="36"/>
      <c r="AH309" s="36"/>
      <c r="AI309" s="36"/>
      <c r="AJ309" s="36"/>
      <c r="AK309" s="242"/>
      <c r="AL309" s="36"/>
      <c r="AM309" s="36"/>
      <c r="AN309" s="36"/>
    </row>
    <row r="310" spans="6:40" ht="15" customHeight="1" outlineLevel="1">
      <c r="F310" s="52"/>
      <c r="G310" s="51" t="s">
        <v>59</v>
      </c>
      <c r="H310" s="837"/>
      <c r="I310" s="837"/>
      <c r="J310" s="837"/>
      <c r="K310" s="837">
        <f ca="1">IFERROR(IF(INDIRECT("'"&amp;$H$3&amp;"'!K228")="Route-based",ROUND(K314*K316/INDIRECT("'"&amp;$H$3&amp;"'!$H$10"),0),IF(INDIRECT("'"&amp;$H$3&amp;"'!K228")="Point-to-point",ROUND(((K308*INDIRECT("'"&amp;$H$3&amp;"'!K$96")*((1/60)*(INDIRECT("'"&amp;$H$3&amp;"'!K233")+INDIRECT("'"&amp;$H$3&amp;"'!$H$19")*(INDIRECT("'"&amp;$H$3&amp;"'!K234")+(INDIRECT("'"&amp;$H$3&amp;"'!K235")*('4_Outputs'!K$52/INDIRECT("'"&amp;$H$3&amp;"'!K$96")/INDIRECT("'"&amp;$H$3&amp;"'!$H$19")))))))+(K309/INDIRECT("'"&amp;$H$3&amp;"'!K237")))/INDIRECT("'"&amp;$H$3&amp;"'!$H$10"),0),0)),0)</f>
        <v>0</v>
      </c>
      <c r="L310" s="837"/>
      <c r="M310" s="837"/>
      <c r="N310" s="837">
        <f ca="1">IFERROR(IF(INDIRECT("'"&amp;$H$3&amp;"'!N228")="Route-based",ROUND(N314*N316/INDIRECT("'"&amp;$H$3&amp;"'!$H$10"),0),IF(INDIRECT("'"&amp;$H$3&amp;"'!N228")="Point-to-point",ROUND(((N308*INDIRECT("'"&amp;$H$3&amp;"'!N$96")*((1/60)*(INDIRECT("'"&amp;$H$3&amp;"'!N233")+INDIRECT("'"&amp;$H$3&amp;"'!$H$19")*(INDIRECT("'"&amp;$H$3&amp;"'!N234")+(INDIRECT("'"&amp;$H$3&amp;"'!N235")*('4_Outputs'!N$52/INDIRECT("'"&amp;$H$3&amp;"'!N$96")/INDIRECT("'"&amp;$H$3&amp;"'!$H$19")))))))+(N309/INDIRECT("'"&amp;$H$3&amp;"'!N237")))/INDIRECT("'"&amp;$H$3&amp;"'!$H$10"),0),0)),0)</f>
        <v>0</v>
      </c>
      <c r="O310" s="837"/>
      <c r="P310" s="837"/>
      <c r="Q310" s="837">
        <f ca="1">IFERROR(IF(INDIRECT("'"&amp;$H$3&amp;"'!Q228")="Route-based",ROUND(Q314*Q316/INDIRECT("'"&amp;$H$3&amp;"'!$H$10"),0),IF(INDIRECT("'"&amp;$H$3&amp;"'!Q228")="Point-to-point",ROUND(((Q308*INDIRECT("'"&amp;$H$3&amp;"'!Q$96")*((1/60)*(INDIRECT("'"&amp;$H$3&amp;"'!Q233")+INDIRECT("'"&amp;$H$3&amp;"'!$H$19")*(INDIRECT("'"&amp;$H$3&amp;"'!Q234")+(INDIRECT("'"&amp;$H$3&amp;"'!Q235")*('4_Outputs'!Q$52/INDIRECT("'"&amp;$H$3&amp;"'!Q$96")/INDIRECT("'"&amp;$H$3&amp;"'!$H$19")))))))+(Q309/INDIRECT("'"&amp;$H$3&amp;"'!Q237")))/INDIRECT("'"&amp;$H$3&amp;"'!$H$10"),0),0)),0)</f>
        <v>0</v>
      </c>
      <c r="R310" s="837"/>
      <c r="S310" s="837"/>
      <c r="T310" s="837">
        <f ca="1">IFERROR(IF(INDIRECT("'"&amp;$H$3&amp;"'!T228")="Route-based",ROUND(T314*T316/INDIRECT("'"&amp;$H$3&amp;"'!$H$10"),0),IF(INDIRECT("'"&amp;$H$3&amp;"'!T228")="Point-to-point",ROUND(((T308*INDIRECT("'"&amp;$H$3&amp;"'!T$96")*((1/60)*(INDIRECT("'"&amp;$H$3&amp;"'!T233")+INDIRECT("'"&amp;$H$3&amp;"'!$H$19")*(INDIRECT("'"&amp;$H$3&amp;"'!T234")+(INDIRECT("'"&amp;$H$3&amp;"'!T235")*('4_Outputs'!T$52/INDIRECT("'"&amp;$H$3&amp;"'!T$96")/INDIRECT("'"&amp;$H$3&amp;"'!$H$19")))))))+(T309/INDIRECT("'"&amp;$H$3&amp;"'!T237")))/INDIRECT("'"&amp;$H$3&amp;"'!$H$10"),0),0)),0)</f>
        <v>0</v>
      </c>
      <c r="U310" s="837"/>
      <c r="V310" s="837"/>
      <c r="W310" s="837">
        <f ca="1">IFERROR(IF(INDIRECT("'"&amp;$H$3&amp;"'!W228")="Route-based",ROUND(W314*W316/INDIRECT("'"&amp;$H$3&amp;"'!$H$10"),0),IF(INDIRECT("'"&amp;$H$3&amp;"'!W228")="Point-to-point",ROUND(((W308*INDIRECT("'"&amp;$H$3&amp;"'!W$96")*((1/60)*(INDIRECT("'"&amp;$H$3&amp;"'!W233")+INDIRECT("'"&amp;$H$3&amp;"'!$H$19")*(INDIRECT("'"&amp;$H$3&amp;"'!W234")+(INDIRECT("'"&amp;$H$3&amp;"'!W235")*('4_Outputs'!W$52/INDIRECT("'"&amp;$H$3&amp;"'!W$96")/INDIRECT("'"&amp;$H$3&amp;"'!$H$19")))))))+(W309/INDIRECT("'"&amp;$H$3&amp;"'!W237")))/INDIRECT("'"&amp;$H$3&amp;"'!$H$10"),0),0)),0)</f>
        <v>0</v>
      </c>
      <c r="X310" s="1468"/>
      <c r="Y310" s="36"/>
      <c r="Z310" s="36"/>
      <c r="AA310" s="36"/>
      <c r="AB310" s="36"/>
      <c r="AC310" s="36"/>
      <c r="AD310" s="36"/>
      <c r="AE310" s="36"/>
      <c r="AF310" s="36"/>
      <c r="AG310" s="36"/>
      <c r="AH310" s="36"/>
      <c r="AI310" s="36"/>
      <c r="AJ310" s="36"/>
      <c r="AK310" s="242"/>
      <c r="AL310" s="36"/>
      <c r="AM310" s="36"/>
      <c r="AN310" s="36"/>
    </row>
    <row r="311" spans="6:40" ht="15" customHeight="1" outlineLevel="1">
      <c r="F311" s="52"/>
      <c r="G311" s="51" t="s">
        <v>86</v>
      </c>
      <c r="H311" s="839"/>
      <c r="I311" s="839"/>
      <c r="J311" s="839"/>
      <c r="K311" s="839">
        <f ca="1">IFERROR(IF(INDIRECT("'"&amp;$H$3&amp;"'!K228")="Route-based",IF(INDIRECT("'"&amp;$H$3&amp;"'!K225")="Yes",K211, IF(INDIRECT("'"&amp;$H$3&amp;"'!K225")="No",K310/(INDIRECT("'"&amp;$H$3&amp;"'!$H$9")*INDIRECT("'"&amp;$H$3&amp;"'!K224")))),
IF(INDIRECT("'"&amp;$H$3&amp;"'!K228")="Point-to-point",IF(INDIRECT("'"&amp;$H$3&amp;"'!K225")="Yes",K211,IF(INDIRECT("'"&amp;$H$3&amp;"'!K225")="No",K310/(INDIRECT("'"&amp;$H$3&amp;"'!$H$9")*INDIRECT("'"&amp;$H$3&amp;"'!K224")))),0)),0)</f>
        <v>0</v>
      </c>
      <c r="L311" s="839"/>
      <c r="M311" s="839"/>
      <c r="N311" s="839">
        <f ca="1">IFERROR(IF(INDIRECT("'"&amp;$H$3&amp;"'!N228")="Route-based",IF(INDIRECT("'"&amp;$H$3&amp;"'!N225")="Yes",N211, IF(INDIRECT("'"&amp;$H$3&amp;"'!N225")="No",N310/(INDIRECT("'"&amp;$H$3&amp;"'!$H$9")*INDIRECT("'"&amp;$H$3&amp;"'!N224")))),
IF(INDIRECT("'"&amp;$H$3&amp;"'!N228")="Point-to-point",IF(INDIRECT("'"&amp;$H$3&amp;"'!N225")="Yes",N211,IF(INDIRECT("'"&amp;$H$3&amp;"'!N225")="No",N310/(INDIRECT("'"&amp;$H$3&amp;"'!$H$9")*INDIRECT("'"&amp;$H$3&amp;"'!N224")))),0)),0)</f>
        <v>0</v>
      </c>
      <c r="O311" s="839"/>
      <c r="P311" s="839"/>
      <c r="Q311" s="839">
        <f ca="1">IFERROR(IF(INDIRECT("'"&amp;$H$3&amp;"'!Q228")="Route-based",IF(INDIRECT("'"&amp;$H$3&amp;"'!Q225")="Yes",Q211, IF(INDIRECT("'"&amp;$H$3&amp;"'!Q225")="No",Q310/(INDIRECT("'"&amp;$H$3&amp;"'!$H$9")*INDIRECT("'"&amp;$H$3&amp;"'!Q224")))),
IF(INDIRECT("'"&amp;$H$3&amp;"'!Q228")="Point-to-point",IF(INDIRECT("'"&amp;$H$3&amp;"'!Q225")="Yes",Q211,IF(INDIRECT("'"&amp;$H$3&amp;"'!Q225")="No",Q310/(INDIRECT("'"&amp;$H$3&amp;"'!$H$9")*INDIRECT("'"&amp;$H$3&amp;"'!Q224")))),0)),0)</f>
        <v>0</v>
      </c>
      <c r="R311" s="839"/>
      <c r="S311" s="839"/>
      <c r="T311" s="839">
        <f ca="1">IFERROR(IF(INDIRECT("'"&amp;$H$3&amp;"'!T228")="Route-based",IF(INDIRECT("'"&amp;$H$3&amp;"'!T225")="Yes",T211, IF(INDIRECT("'"&amp;$H$3&amp;"'!T225")="No",T310/(INDIRECT("'"&amp;$H$3&amp;"'!$H$9")*INDIRECT("'"&amp;$H$3&amp;"'!T224")))),
IF(INDIRECT("'"&amp;$H$3&amp;"'!T228")="Point-to-point",IF(INDIRECT("'"&amp;$H$3&amp;"'!T225")="Yes",T211,IF(INDIRECT("'"&amp;$H$3&amp;"'!T225")="No",T310/(INDIRECT("'"&amp;$H$3&amp;"'!$H$9")*INDIRECT("'"&amp;$H$3&amp;"'!T224")))),0)),0)</f>
        <v>0</v>
      </c>
      <c r="U311" s="839"/>
      <c r="V311" s="839"/>
      <c r="W311" s="839">
        <f ca="1">IFERROR(IF(INDIRECT("'"&amp;$H$3&amp;"'!W228")="Route-based",IF(INDIRECT("'"&amp;$H$3&amp;"'!W225")="Yes",W211, IF(INDIRECT("'"&amp;$H$3&amp;"'!W225")="No",W310/(INDIRECT("'"&amp;$H$3&amp;"'!$H$9")*INDIRECT("'"&amp;$H$3&amp;"'!W224")))),
IF(INDIRECT("'"&amp;$H$3&amp;"'!W228")="Point-to-point",IF(INDIRECT("'"&amp;$H$3&amp;"'!W225")="Yes",W211,IF(INDIRECT("'"&amp;$H$3&amp;"'!W225")="No",W310/(INDIRECT("'"&amp;$H$3&amp;"'!$H$9")*INDIRECT("'"&amp;$H$3&amp;"'!W224")))),0)),0)</f>
        <v>0</v>
      </c>
      <c r="X311" s="1470"/>
      <c r="Y311" s="36"/>
      <c r="Z311" s="36"/>
      <c r="AA311" s="36"/>
      <c r="AB311" s="36"/>
      <c r="AC311" s="36"/>
      <c r="AD311" s="36"/>
      <c r="AE311" s="36"/>
      <c r="AF311" s="36"/>
      <c r="AG311" s="36"/>
      <c r="AH311" s="36"/>
      <c r="AI311" s="36"/>
      <c r="AJ311" s="36"/>
      <c r="AK311" s="36" t="s">
        <v>191</v>
      </c>
      <c r="AL311" s="36"/>
      <c r="AM311" s="36"/>
      <c r="AN311" s="36"/>
    </row>
    <row r="312" spans="6:40" ht="15" customHeight="1" outlineLevel="1" collapsed="1">
      <c r="F312" s="52"/>
      <c r="G312" s="1613" t="s">
        <v>133</v>
      </c>
      <c r="H312" s="842"/>
      <c r="I312" s="842"/>
      <c r="J312" s="842"/>
      <c r="K312" s="842"/>
      <c r="L312" s="842"/>
      <c r="M312" s="842"/>
      <c r="N312" s="842"/>
      <c r="O312" s="842"/>
      <c r="P312" s="842"/>
      <c r="Q312" s="842"/>
      <c r="R312" s="1650"/>
      <c r="S312" s="1650"/>
      <c r="T312" s="842"/>
      <c r="U312" s="1650"/>
      <c r="V312" s="1650"/>
      <c r="W312" s="842"/>
      <c r="X312" s="1470"/>
      <c r="Y312" s="36"/>
      <c r="Z312" s="36"/>
      <c r="AA312" s="36"/>
      <c r="AB312" s="36"/>
      <c r="AC312" s="36"/>
      <c r="AD312" s="36"/>
      <c r="AE312" s="36"/>
      <c r="AF312" s="36"/>
      <c r="AG312" s="36"/>
      <c r="AH312" s="36"/>
      <c r="AI312" s="36"/>
      <c r="AJ312" s="36"/>
      <c r="AK312" s="36"/>
      <c r="AL312" s="36"/>
      <c r="AM312" s="36"/>
      <c r="AN312" s="36"/>
    </row>
    <row r="313" spans="6:40" ht="15" customHeight="1" outlineLevel="1">
      <c r="F313" s="52"/>
      <c r="G313" s="51" t="s">
        <v>129</v>
      </c>
      <c r="H313" s="836"/>
      <c r="I313" s="836"/>
      <c r="J313" s="836"/>
      <c r="K313" s="836">
        <f ca="1">IFERROR(((INDIRECT("'"&amp;$H$3&amp;"'!K229")*INDIRECT("'"&amp;$H$3&amp;"'!$H$10"))-(2*INDIRECT("'"&amp;$H$3&amp;"'!K$98")/INDIRECT("'"&amp;$H$3&amp;"'!K237"))+(INDIRECT("'"&amp;$H$3&amp;"'!K$99")/INDIRECT("'"&amp;$H$3&amp;"'!K236")))/(((1/60)*(INDIRECT("'"&amp;$H$3&amp;"'!K233")+INDIRECT("'"&amp;$H$3&amp;"'!$H$19")*(INDIRECT("'"&amp;$H$3&amp;"'!K234")+(INDIRECT("'"&amp;$H$3&amp;"'!K235")*('4_Outputs'!K$52/INDIRECT("'"&amp;$H$3&amp;"'!K$96")/INDIRECT("'"&amp;$H$3&amp;"'!$H$19"))))))+(INDIRECT("'"&amp;$H$3&amp;"'!K$99")/INDIRECT("'"&amp;$H$3&amp;"'!K236"))),0)</f>
        <v>0</v>
      </c>
      <c r="L313" s="836"/>
      <c r="M313" s="836"/>
      <c r="N313" s="836">
        <f ca="1">IFERROR(((INDIRECT("'"&amp;$H$3&amp;"'!N229")*INDIRECT("'"&amp;$H$3&amp;"'!$H$10"))-(2*INDIRECT("'"&amp;$H$3&amp;"'!N$98")/INDIRECT("'"&amp;$H$3&amp;"'!N237"))+(INDIRECT("'"&amp;$H$3&amp;"'!N$99")/INDIRECT("'"&amp;$H$3&amp;"'!N236")))/(((1/60)*(INDIRECT("'"&amp;$H$3&amp;"'!N233")+INDIRECT("'"&amp;$H$3&amp;"'!$H$19")*(INDIRECT("'"&amp;$H$3&amp;"'!N234")+(INDIRECT("'"&amp;$H$3&amp;"'!N235")*('4_Outputs'!N$52/INDIRECT("'"&amp;$H$3&amp;"'!N$96")/INDIRECT("'"&amp;$H$3&amp;"'!$H$19"))))))+(INDIRECT("'"&amp;$H$3&amp;"'!N$99")/INDIRECT("'"&amp;$H$3&amp;"'!N236"))),0)</f>
        <v>0</v>
      </c>
      <c r="O313" s="836"/>
      <c r="P313" s="836"/>
      <c r="Q313" s="836">
        <f ca="1">IFERROR(((INDIRECT("'"&amp;$H$3&amp;"'!Q229")*INDIRECT("'"&amp;$H$3&amp;"'!$H$10"))-(2*INDIRECT("'"&amp;$H$3&amp;"'!Q$98")/INDIRECT("'"&amp;$H$3&amp;"'!Q237"))+(INDIRECT("'"&amp;$H$3&amp;"'!Q$99")/INDIRECT("'"&amp;$H$3&amp;"'!Q236")))/(((1/60)*(INDIRECT("'"&amp;$H$3&amp;"'!Q233")+INDIRECT("'"&amp;$H$3&amp;"'!$H$19")*(INDIRECT("'"&amp;$H$3&amp;"'!Q234")+(INDIRECT("'"&amp;$H$3&amp;"'!Q235")*('4_Outputs'!Q$52/INDIRECT("'"&amp;$H$3&amp;"'!Q$96")/INDIRECT("'"&amp;$H$3&amp;"'!$H$19"))))))+(INDIRECT("'"&amp;$H$3&amp;"'!Q$99")/INDIRECT("'"&amp;$H$3&amp;"'!Q236"))),0)</f>
        <v>0</v>
      </c>
      <c r="R313" s="836"/>
      <c r="S313" s="836"/>
      <c r="T313" s="836">
        <f ca="1">IFERROR(((INDIRECT("'"&amp;$H$3&amp;"'!T229")*INDIRECT("'"&amp;$H$3&amp;"'!$H$10"))-(2*INDIRECT("'"&amp;$H$3&amp;"'!T$98")/INDIRECT("'"&amp;$H$3&amp;"'!T237"))+(INDIRECT("'"&amp;$H$3&amp;"'!T$99")/INDIRECT("'"&amp;$H$3&amp;"'!T236")))/(((1/60)*(INDIRECT("'"&amp;$H$3&amp;"'!T233")+INDIRECT("'"&amp;$H$3&amp;"'!$H$19")*(INDIRECT("'"&amp;$H$3&amp;"'!T234")+(INDIRECT("'"&amp;$H$3&amp;"'!T235")*('4_Outputs'!T$52/INDIRECT("'"&amp;$H$3&amp;"'!T$96")/INDIRECT("'"&amp;$H$3&amp;"'!$H$19"))))))+(INDIRECT("'"&amp;$H$3&amp;"'!T$99")/INDIRECT("'"&amp;$H$3&amp;"'!T236"))),0)</f>
        <v>0</v>
      </c>
      <c r="U313" s="836"/>
      <c r="V313" s="836"/>
      <c r="W313" s="836">
        <f ca="1">IFERROR(((INDIRECT("'"&amp;$H$3&amp;"'!W229")*INDIRECT("'"&amp;$H$3&amp;"'!$H$10"))-(2*INDIRECT("'"&amp;$H$3&amp;"'!W$98")/INDIRECT("'"&amp;$H$3&amp;"'!W237"))+(INDIRECT("'"&amp;$H$3&amp;"'!W$99")/INDIRECT("'"&amp;$H$3&amp;"'!W236")))/(((1/60)*(INDIRECT("'"&amp;$H$3&amp;"'!W233")+INDIRECT("'"&amp;$H$3&amp;"'!$H$19")*(INDIRECT("'"&amp;$H$3&amp;"'!W234")+(INDIRECT("'"&amp;$H$3&amp;"'!W235")*('4_Outputs'!W$52/INDIRECT("'"&amp;$H$3&amp;"'!W$96")/INDIRECT("'"&amp;$H$3&amp;"'!$H$19"))))))+(INDIRECT("'"&amp;$H$3&amp;"'!W$99")/INDIRECT("'"&amp;$H$3&amp;"'!W236"))),0)</f>
        <v>0</v>
      </c>
      <c r="X313" s="1469"/>
      <c r="Y313" s="36"/>
      <c r="Z313" s="36"/>
      <c r="AA313" s="36"/>
      <c r="AB313" s="36"/>
      <c r="AC313" s="36"/>
      <c r="AD313" s="36"/>
      <c r="AE313" s="36"/>
      <c r="AF313" s="36"/>
      <c r="AG313" s="36"/>
      <c r="AH313" s="36"/>
      <c r="AI313" s="36"/>
      <c r="AJ313" s="36"/>
      <c r="AK313" s="36"/>
      <c r="AL313" s="36"/>
      <c r="AM313" s="36"/>
      <c r="AN313" s="36"/>
    </row>
    <row r="314" spans="6:40" ht="15" customHeight="1" outlineLevel="1">
      <c r="F314" s="52"/>
      <c r="G314" s="51" t="s">
        <v>206</v>
      </c>
      <c r="H314" s="836"/>
      <c r="I314" s="836"/>
      <c r="J314" s="836"/>
      <c r="K314" s="836">
        <f ca="1">IFERROR(ROUND(K308*INDIRECT("'"&amp;$H$3&amp;"'!K$96")/K313,0),0)</f>
        <v>0</v>
      </c>
      <c r="L314" s="836"/>
      <c r="M314" s="836"/>
      <c r="N314" s="836">
        <f ca="1">IFERROR(ROUND(N308*INDIRECT("'"&amp;$H$3&amp;"'!N$96")/N313,0),0)</f>
        <v>0</v>
      </c>
      <c r="O314" s="836"/>
      <c r="P314" s="836"/>
      <c r="Q314" s="836">
        <f ca="1">IFERROR(ROUND(Q308*INDIRECT("'"&amp;$H$3&amp;"'!Q$96")/Q313,0),0)</f>
        <v>0</v>
      </c>
      <c r="R314" s="836"/>
      <c r="S314" s="836"/>
      <c r="T314" s="836">
        <f ca="1">IFERROR(ROUND(T308*INDIRECT("'"&amp;$H$3&amp;"'!T$96")/T313,0),0)</f>
        <v>0</v>
      </c>
      <c r="U314" s="836"/>
      <c r="V314" s="836"/>
      <c r="W314" s="836">
        <f ca="1">IFERROR(ROUND(W308*INDIRECT("'"&amp;$H$3&amp;"'!W$96")/W313,0),0)</f>
        <v>0</v>
      </c>
      <c r="X314" s="1469"/>
      <c r="Y314" s="36"/>
      <c r="Z314" s="36"/>
      <c r="AA314" s="36"/>
      <c r="AB314" s="36"/>
      <c r="AC314" s="36"/>
      <c r="AD314" s="36"/>
      <c r="AE314" s="36"/>
      <c r="AF314" s="36"/>
      <c r="AG314" s="36"/>
      <c r="AH314" s="36"/>
      <c r="AI314" s="36"/>
      <c r="AJ314" s="36"/>
      <c r="AK314" s="36"/>
      <c r="AL314" s="36"/>
      <c r="AM314" s="36"/>
      <c r="AN314" s="36"/>
    </row>
    <row r="315" spans="6:40" ht="15" customHeight="1" outlineLevel="1">
      <c r="F315" s="52"/>
      <c r="G315" s="51" t="s">
        <v>87</v>
      </c>
      <c r="H315" s="836"/>
      <c r="I315" s="836"/>
      <c r="J315" s="836"/>
      <c r="K315" s="836">
        <f ca="1">IFERROR(IF(K308=0,0,(2*INDIRECT("'"&amp;$H$3&amp;"'!K$98"))+((MAX(K313, 1)-1)*INDIRECT("'"&amp;$H$3&amp;"'!K$99"))),0)</f>
        <v>0</v>
      </c>
      <c r="L315" s="836"/>
      <c r="M315" s="836"/>
      <c r="N315" s="836">
        <f ca="1">IFERROR(IF(N308=0,0,(2*INDIRECT("'"&amp;$H$3&amp;"'!N$98"))+((MAX(N313, 1)-1)*INDIRECT("'"&amp;$H$3&amp;"'!N$99"))),0)</f>
        <v>0</v>
      </c>
      <c r="O315" s="836"/>
      <c r="P315" s="836"/>
      <c r="Q315" s="836">
        <f ca="1">IFERROR(IF(Q308=0,0,(2*INDIRECT("'"&amp;$H$3&amp;"'!Q$98"))+((MAX(Q313, 1)-1)*INDIRECT("'"&amp;$H$3&amp;"'!Q$99"))),0)</f>
        <v>0</v>
      </c>
      <c r="R315" s="836"/>
      <c r="S315" s="836"/>
      <c r="T315" s="836">
        <f ca="1">IFERROR(IF(T308=0,0,(2*INDIRECT("'"&amp;$H$3&amp;"'!T$98"))+((MAX(T313, 1)-1)*INDIRECT("'"&amp;$H$3&amp;"'!T$99"))),0)</f>
        <v>0</v>
      </c>
      <c r="U315" s="836"/>
      <c r="V315" s="836"/>
      <c r="W315" s="836">
        <f ca="1">IFERROR(IF(W308=0,0,(2*INDIRECT("'"&amp;$H$3&amp;"'!W$98"))+((MAX(W313, 1)-1)*INDIRECT("'"&amp;$H$3&amp;"'!W$99"))),0)</f>
        <v>0</v>
      </c>
      <c r="X315" s="1469"/>
      <c r="Y315" s="36"/>
      <c r="Z315" s="36"/>
      <c r="AA315" s="36"/>
      <c r="AB315" s="36"/>
      <c r="AC315" s="36"/>
      <c r="AD315" s="36"/>
      <c r="AE315" s="36"/>
      <c r="AF315" s="36"/>
      <c r="AG315" s="36"/>
      <c r="AH315" s="36"/>
      <c r="AI315" s="36"/>
      <c r="AJ315" s="36"/>
      <c r="AK315" s="36"/>
      <c r="AL315" s="36"/>
      <c r="AM315" s="36"/>
      <c r="AN315" s="36"/>
    </row>
    <row r="316" spans="6:40" ht="15" customHeight="1" outlineLevel="1">
      <c r="F316" s="52"/>
      <c r="G316" s="51" t="s">
        <v>203</v>
      </c>
      <c r="H316" s="836"/>
      <c r="I316" s="836"/>
      <c r="J316" s="836"/>
      <c r="K316" s="836">
        <f ca="1">IFERROR((ROUNDUP(K313,1)*((1/60)*(INDIRECT("'"&amp;$H$3&amp;"'!K233")+INDIRECT("'"&amp;$H$3&amp;"'!$H$19")*(INDIRECT("'"&amp;$H$3&amp;"'!K234")+(INDIRECT("'"&amp;$H$3&amp;"'!K235")*('4_Outputs'!K$52/INDIRECT("'"&amp;$H$3&amp;"'!K$96")/INDIRECT("'"&amp;$H$3&amp;"'!$H$19")))))))+((2*INDIRECT("'"&amp;$H$3&amp;"'!K$98"))/INDIRECT("'"&amp;$H$3&amp;"'!K237"))+(((MAX(K313,1)-1)*INDIRECT("'"&amp;$H$3&amp;"'!K$99"))/INDIRECT("'"&amp;$H$3&amp;"'!K236")),0)</f>
        <v>0</v>
      </c>
      <c r="L316" s="836"/>
      <c r="M316" s="836"/>
      <c r="N316" s="836">
        <f ca="1">IFERROR((ROUNDUP(N313,1)*((1/60)*(INDIRECT("'"&amp;$H$3&amp;"'!N233")+INDIRECT("'"&amp;$H$3&amp;"'!$H$19")*(INDIRECT("'"&amp;$H$3&amp;"'!N234")+(INDIRECT("'"&amp;$H$3&amp;"'!N235")*('4_Outputs'!N$52/INDIRECT("'"&amp;$H$3&amp;"'!N$96")/INDIRECT("'"&amp;$H$3&amp;"'!$H$19")))))))+((2*INDIRECT("'"&amp;$H$3&amp;"'!N$98"))/INDIRECT("'"&amp;$H$3&amp;"'!N237"))+(((MAX(N313,1)-1)*INDIRECT("'"&amp;$H$3&amp;"'!N$99"))/INDIRECT("'"&amp;$H$3&amp;"'!N236")),0)</f>
        <v>0</v>
      </c>
      <c r="O316" s="836"/>
      <c r="P316" s="836"/>
      <c r="Q316" s="836">
        <f ca="1">IFERROR((ROUNDUP(Q313,1)*((1/60)*(INDIRECT("'"&amp;$H$3&amp;"'!Q233")+INDIRECT("'"&amp;$H$3&amp;"'!$H$19")*(INDIRECT("'"&amp;$H$3&amp;"'!Q234")+(INDIRECT("'"&amp;$H$3&amp;"'!Q235")*('4_Outputs'!Q$52/INDIRECT("'"&amp;$H$3&amp;"'!Q$96")/INDIRECT("'"&amp;$H$3&amp;"'!$H$19")))))))+((2*INDIRECT("'"&amp;$H$3&amp;"'!Q$98"))/INDIRECT("'"&amp;$H$3&amp;"'!Q237"))+(((MAX(Q313,1)-1)*INDIRECT("'"&amp;$H$3&amp;"'!Q$99"))/INDIRECT("'"&amp;$H$3&amp;"'!Q236")),0)</f>
        <v>0</v>
      </c>
      <c r="R316" s="836"/>
      <c r="S316" s="836"/>
      <c r="T316" s="836">
        <f ca="1">IFERROR((ROUNDUP(T313,1)*((1/60)*(INDIRECT("'"&amp;$H$3&amp;"'!T233")+INDIRECT("'"&amp;$H$3&amp;"'!$H$19")*(INDIRECT("'"&amp;$H$3&amp;"'!T234")+(INDIRECT("'"&amp;$H$3&amp;"'!T235")*('4_Outputs'!T$52/INDIRECT("'"&amp;$H$3&amp;"'!T$96")/INDIRECT("'"&amp;$H$3&amp;"'!$H$19")))))))+((2*INDIRECT("'"&amp;$H$3&amp;"'!T$98"))/INDIRECT("'"&amp;$H$3&amp;"'!T237"))+(((MAX(T313,1)-1)*INDIRECT("'"&amp;$H$3&amp;"'!T$99"))/INDIRECT("'"&amp;$H$3&amp;"'!T236")),0)</f>
        <v>0</v>
      </c>
      <c r="U316" s="836"/>
      <c r="V316" s="836"/>
      <c r="W316" s="836">
        <f ca="1">IFERROR((ROUNDUP(W313,1)*((1/60)*(INDIRECT("'"&amp;$H$3&amp;"'!W233")+INDIRECT("'"&amp;$H$3&amp;"'!$H$19")*(INDIRECT("'"&amp;$H$3&amp;"'!W234")+(INDIRECT("'"&amp;$H$3&amp;"'!W235")*('4_Outputs'!W$52/INDIRECT("'"&amp;$H$3&amp;"'!W$96")/INDIRECT("'"&amp;$H$3&amp;"'!$H$19")))))))+((2*INDIRECT("'"&amp;$H$3&amp;"'!W$98"))/INDIRECT("'"&amp;$H$3&amp;"'!W237"))+(((MAX(W313,1)-1)*INDIRECT("'"&amp;$H$3&amp;"'!W$99"))/INDIRECT("'"&amp;$H$3&amp;"'!W236")),0)</f>
        <v>0</v>
      </c>
      <c r="X316" s="1465"/>
      <c r="Y316" s="36"/>
      <c r="Z316" s="36"/>
      <c r="AA316" s="36"/>
      <c r="AB316" s="36"/>
      <c r="AC316" s="36"/>
      <c r="AD316" s="36"/>
      <c r="AE316" s="36"/>
      <c r="AF316" s="36"/>
      <c r="AG316" s="36"/>
      <c r="AH316" s="36"/>
      <c r="AI316" s="36"/>
      <c r="AJ316" s="36"/>
      <c r="AK316" s="36"/>
      <c r="AL316" s="36"/>
      <c r="AM316" s="36"/>
      <c r="AN316" s="36"/>
    </row>
    <row r="317" spans="6:40" ht="15" customHeight="1" outlineLevel="1">
      <c r="F317" s="52"/>
      <c r="G317" s="51" t="s">
        <v>204</v>
      </c>
      <c r="H317" s="836"/>
      <c r="I317" s="836"/>
      <c r="J317" s="836"/>
      <c r="K317" s="836">
        <f ca="1">IFERROR((INDIRECT("'"&amp;$H$3&amp;"'!$H$10")*INDIRECT("'"&amp;$H$3&amp;"'!$H$9")*INDIRECT("'"&amp;$H$3&amp;"'!K224"))/K316,0)</f>
        <v>0</v>
      </c>
      <c r="L317" s="836"/>
      <c r="M317" s="836"/>
      <c r="N317" s="836">
        <f ca="1">IFERROR((INDIRECT("'"&amp;$H$3&amp;"'!$H$10")*INDIRECT("'"&amp;$H$3&amp;"'!$H$9")*INDIRECT("'"&amp;$H$3&amp;"'!N224"))/N316,0)</f>
        <v>0</v>
      </c>
      <c r="O317" s="836"/>
      <c r="P317" s="836"/>
      <c r="Q317" s="836">
        <f ca="1">IFERROR((INDIRECT("'"&amp;$H$3&amp;"'!$H$10")*INDIRECT("'"&amp;$H$3&amp;"'!$H$9")*INDIRECT("'"&amp;$H$3&amp;"'!Q224"))/Q316,0)</f>
        <v>0</v>
      </c>
      <c r="R317" s="836"/>
      <c r="S317" s="836"/>
      <c r="T317" s="836">
        <f ca="1">IFERROR((INDIRECT("'"&amp;$H$3&amp;"'!$H$10")*INDIRECT("'"&amp;$H$3&amp;"'!$H$9")*INDIRECT("'"&amp;$H$3&amp;"'!T224"))/T316,0)</f>
        <v>0</v>
      </c>
      <c r="U317" s="836"/>
      <c r="V317" s="836"/>
      <c r="W317" s="836">
        <f ca="1">IFERROR((INDIRECT("'"&amp;$H$3&amp;"'!$H$10")*INDIRECT("'"&amp;$H$3&amp;"'!$H$9")*INDIRECT("'"&amp;$H$3&amp;"'!W224"))/W316,0)</f>
        <v>0</v>
      </c>
      <c r="X317" s="1465"/>
      <c r="Y317" s="36"/>
      <c r="Z317" s="36"/>
      <c r="AA317" s="36"/>
      <c r="AB317" s="36"/>
      <c r="AC317" s="36"/>
      <c r="AD317" s="36"/>
      <c r="AE317" s="36"/>
      <c r="AF317" s="36"/>
      <c r="AG317" s="36"/>
      <c r="AH317" s="36"/>
      <c r="AI317" s="36"/>
      <c r="AJ317" s="36"/>
      <c r="AK317" s="242"/>
      <c r="AL317" s="36"/>
      <c r="AM317" s="36"/>
      <c r="AN317" s="36"/>
    </row>
    <row r="318" spans="6:40" ht="15" customHeight="1" outlineLevel="1">
      <c r="F318" s="52"/>
      <c r="G318" s="1613" t="s">
        <v>134</v>
      </c>
      <c r="H318" s="842"/>
      <c r="I318" s="842"/>
      <c r="J318" s="842"/>
      <c r="K318" s="842"/>
      <c r="L318" s="842"/>
      <c r="M318" s="842"/>
      <c r="N318" s="842"/>
      <c r="O318" s="842"/>
      <c r="P318" s="842"/>
      <c r="Q318" s="842"/>
      <c r="R318" s="1650"/>
      <c r="S318" s="1650"/>
      <c r="T318" s="842"/>
      <c r="U318" s="1650"/>
      <c r="V318" s="1650"/>
      <c r="W318" s="842"/>
      <c r="X318" s="1470"/>
      <c r="Y318" s="36"/>
      <c r="Z318" s="36"/>
      <c r="AA318" s="36"/>
      <c r="AB318" s="36"/>
      <c r="AC318" s="36"/>
      <c r="AD318" s="36"/>
      <c r="AE318" s="36"/>
      <c r="AF318" s="36"/>
      <c r="AG318" s="36"/>
      <c r="AH318" s="36"/>
      <c r="AI318" s="36"/>
      <c r="AJ318" s="36"/>
      <c r="AK318" s="242"/>
      <c r="AL318" s="36"/>
      <c r="AM318" s="36"/>
      <c r="AN318" s="36"/>
    </row>
    <row r="319" spans="6:40" ht="15" customHeight="1" outlineLevel="1">
      <c r="F319" s="52"/>
      <c r="G319" s="51" t="s">
        <v>206</v>
      </c>
      <c r="H319" s="836"/>
      <c r="I319" s="836"/>
      <c r="J319" s="836"/>
      <c r="K319" s="836">
        <f ca="1">IFERROR(K308*INDIRECT("'"&amp;$H$3&amp;"'!K$96"),0)</f>
        <v>0</v>
      </c>
      <c r="L319" s="836"/>
      <c r="M319" s="836"/>
      <c r="N319" s="836">
        <f ca="1">IFERROR(N308*INDIRECT("'"&amp;$H$3&amp;"'!N$96"),0)</f>
        <v>0</v>
      </c>
      <c r="O319" s="836"/>
      <c r="P319" s="836"/>
      <c r="Q319" s="836">
        <f ca="1">IFERROR(Q308*INDIRECT("'"&amp;$H$3&amp;"'!Q$96"),0)</f>
        <v>0</v>
      </c>
      <c r="R319" s="836"/>
      <c r="S319" s="836"/>
      <c r="T319" s="836">
        <f ca="1">IFERROR(T308*INDIRECT("'"&amp;$H$3&amp;"'!T$96"),0)</f>
        <v>0</v>
      </c>
      <c r="U319" s="836"/>
      <c r="V319" s="836"/>
      <c r="W319" s="836">
        <f ca="1">IFERROR(W308*INDIRECT("'"&amp;$H$3&amp;"'!W$96"),0)</f>
        <v>0</v>
      </c>
      <c r="X319" s="1469"/>
      <c r="Y319" s="36"/>
      <c r="Z319" s="36"/>
      <c r="AA319" s="36"/>
      <c r="AB319" s="36" t="s">
        <v>192</v>
      </c>
      <c r="AC319" s="36"/>
      <c r="AD319" s="36" t="s">
        <v>193</v>
      </c>
      <c r="AE319" s="36"/>
      <c r="AF319" s="36"/>
      <c r="AG319" s="36"/>
      <c r="AH319" s="36"/>
      <c r="AI319" s="36"/>
      <c r="AJ319" s="36"/>
      <c r="AK319" s="36"/>
      <c r="AL319" s="36"/>
      <c r="AM319" s="36"/>
      <c r="AN319" s="36"/>
    </row>
    <row r="320" spans="6:40" ht="15" customHeight="1" outlineLevel="1">
      <c r="F320" s="52"/>
      <c r="G320" s="51" t="s">
        <v>87</v>
      </c>
      <c r="H320" s="836"/>
      <c r="I320" s="836"/>
      <c r="J320" s="836"/>
      <c r="K320" s="836">
        <f ca="1">IFERROR(IF(K308=0,0,2*INDIRECT("'"&amp;$H$3&amp;"'!K$98")),0)</f>
        <v>0</v>
      </c>
      <c r="L320" s="836"/>
      <c r="M320" s="836"/>
      <c r="N320" s="836">
        <f ca="1">IFERROR(IF(N308=0,0,2*INDIRECT("'"&amp;$H$3&amp;"'!N$98")),0)</f>
        <v>0</v>
      </c>
      <c r="O320" s="836"/>
      <c r="P320" s="836"/>
      <c r="Q320" s="836">
        <f ca="1">IFERROR(IF(Q308=0,0,2*INDIRECT("'"&amp;$H$3&amp;"'!Q$98")),0)</f>
        <v>0</v>
      </c>
      <c r="R320" s="836"/>
      <c r="S320" s="836"/>
      <c r="T320" s="836">
        <f ca="1">IFERROR(IF(T308=0,0,2*INDIRECT("'"&amp;$H$3&amp;"'!T$98")),0)</f>
        <v>0</v>
      </c>
      <c r="U320" s="836"/>
      <c r="V320" s="836"/>
      <c r="W320" s="836">
        <f ca="1">IFERROR(IF(W308=0,0,2*INDIRECT("'"&amp;$H$3&amp;"'!W$98")),0)</f>
        <v>0</v>
      </c>
      <c r="X320" s="1469"/>
      <c r="Y320" s="36"/>
      <c r="Z320" s="36"/>
      <c r="AA320" s="36"/>
      <c r="AB320" s="36" t="s">
        <v>194</v>
      </c>
      <c r="AC320" s="36"/>
      <c r="AD320" s="36" t="s">
        <v>195</v>
      </c>
      <c r="AE320" s="36"/>
      <c r="AF320" s="36"/>
      <c r="AG320" s="36"/>
      <c r="AH320" s="36"/>
      <c r="AI320" s="36"/>
      <c r="AJ320" s="36"/>
      <c r="AK320" s="36"/>
      <c r="AL320" s="36"/>
      <c r="AM320" s="36"/>
      <c r="AN320" s="36"/>
    </row>
    <row r="321" spans="6:40" ht="15" customHeight="1" outlineLevel="1">
      <c r="F321" s="52"/>
      <c r="G321" s="51" t="s">
        <v>204</v>
      </c>
      <c r="H321" s="837"/>
      <c r="I321" s="837"/>
      <c r="J321" s="837"/>
      <c r="K321" s="837">
        <f ca="1">IFERROR((INDIRECT("'"&amp;$H$3&amp;"'!$H$10")*INDIRECT("'"&amp;$H$3&amp;"'!$H$9")*INDIRECT("'"&amp;$H$3&amp;"'!K224"))/((K320/INDIRECT("'"&amp;$H$3&amp;"'!K237"))+((1/60)*(INDIRECT("'"&amp;$H$3&amp;"'!K233")+INDIRECT("'"&amp;$H$3&amp;"'!$H$19")*(INDIRECT("'"&amp;$H$3&amp;"'!K234")+(INDIRECT("'"&amp;$H$3&amp;"'!K235")*('4_Outputs'!K$52/INDIRECT("'"&amp;$H$3&amp;"'!K$96")/INDIRECT("'"&amp;$H$3&amp;"'!$H$19"))))))),0)</f>
        <v>0</v>
      </c>
      <c r="L321" s="837"/>
      <c r="M321" s="837"/>
      <c r="N321" s="837">
        <f ca="1">IFERROR((INDIRECT("'"&amp;$H$3&amp;"'!$H$10")*INDIRECT("'"&amp;$H$3&amp;"'!$H$9")*INDIRECT("'"&amp;$H$3&amp;"'!N224"))/((N320/INDIRECT("'"&amp;$H$3&amp;"'!N237"))+((1/60)*(INDIRECT("'"&amp;$H$3&amp;"'!N233")+INDIRECT("'"&amp;$H$3&amp;"'!$H$19")*(INDIRECT("'"&amp;$H$3&amp;"'!N234")+(INDIRECT("'"&amp;$H$3&amp;"'!N235")*('4_Outputs'!N$52/INDIRECT("'"&amp;$H$3&amp;"'!N$96")/INDIRECT("'"&amp;$H$3&amp;"'!$H$19"))))))),0)</f>
        <v>0</v>
      </c>
      <c r="O321" s="837"/>
      <c r="P321" s="837"/>
      <c r="Q321" s="837">
        <f ca="1">IFERROR((INDIRECT("'"&amp;$H$3&amp;"'!$H$10")*INDIRECT("'"&amp;$H$3&amp;"'!$H$9")*INDIRECT("'"&amp;$H$3&amp;"'!Q224"))/((Q320/INDIRECT("'"&amp;$H$3&amp;"'!Q237"))+((1/60)*(INDIRECT("'"&amp;$H$3&amp;"'!Q233")+INDIRECT("'"&amp;$H$3&amp;"'!$H$19")*(INDIRECT("'"&amp;$H$3&amp;"'!Q234")+(INDIRECT("'"&amp;$H$3&amp;"'!Q235")*('4_Outputs'!Q$52/INDIRECT("'"&amp;$H$3&amp;"'!Q$96")/INDIRECT("'"&amp;$H$3&amp;"'!$H$19"))))))),0)</f>
        <v>0</v>
      </c>
      <c r="R321" s="837"/>
      <c r="S321" s="837"/>
      <c r="T321" s="837">
        <f ca="1">IFERROR((INDIRECT("'"&amp;$H$3&amp;"'!$H$10")*INDIRECT("'"&amp;$H$3&amp;"'!$H$9")*INDIRECT("'"&amp;$H$3&amp;"'!T224"))/((T320/INDIRECT("'"&amp;$H$3&amp;"'!T237"))+((1/60)*(INDIRECT("'"&amp;$H$3&amp;"'!T233")+INDIRECT("'"&amp;$H$3&amp;"'!$H$19")*(INDIRECT("'"&amp;$H$3&amp;"'!T234")+(INDIRECT("'"&amp;$H$3&amp;"'!T235")*('4_Outputs'!T$52/INDIRECT("'"&amp;$H$3&amp;"'!T$96")/INDIRECT("'"&amp;$H$3&amp;"'!$H$19"))))))),0)</f>
        <v>0</v>
      </c>
      <c r="U321" s="837"/>
      <c r="V321" s="837"/>
      <c r="W321" s="837">
        <f ca="1">IFERROR((INDIRECT("'"&amp;$H$3&amp;"'!$H$10")*INDIRECT("'"&amp;$H$3&amp;"'!$H$9")*INDIRECT("'"&amp;$H$3&amp;"'!W224"))/((W320/INDIRECT("'"&amp;$H$3&amp;"'!W237"))+((1/60)*(INDIRECT("'"&amp;$H$3&amp;"'!W233")+INDIRECT("'"&amp;$H$3&amp;"'!$H$19")*(INDIRECT("'"&amp;$H$3&amp;"'!W234")+(INDIRECT("'"&amp;$H$3&amp;"'!W235")*('4_Outputs'!W$52/INDIRECT("'"&amp;$H$3&amp;"'!W$96")/INDIRECT("'"&amp;$H$3&amp;"'!$H$19"))))))),0)</f>
        <v>0</v>
      </c>
      <c r="X321" s="1468"/>
      <c r="Y321" s="36"/>
      <c r="Z321" s="36"/>
      <c r="AA321" s="36"/>
      <c r="AB321" s="36" t="s">
        <v>196</v>
      </c>
      <c r="AC321" s="36"/>
      <c r="AD321" s="36" t="s">
        <v>197</v>
      </c>
      <c r="AE321" s="36"/>
      <c r="AF321" s="36"/>
      <c r="AG321" s="36"/>
      <c r="AH321" s="36"/>
      <c r="AI321" s="36"/>
      <c r="AJ321" s="36"/>
      <c r="AK321" s="36"/>
      <c r="AL321" s="36"/>
      <c r="AM321" s="36"/>
      <c r="AN321" s="36"/>
    </row>
    <row r="322" spans="6:40" ht="48" customHeight="1">
      <c r="F322" s="1661" t="s">
        <v>2505</v>
      </c>
      <c r="G322" s="1662"/>
      <c r="H322" s="1673"/>
      <c r="I322" s="1673"/>
      <c r="J322" s="1673"/>
      <c r="K322" s="1516" t="str">
        <f ca="1">IF($H$9&gt;=2,INDIRECT("'"&amp;$H$3&amp;"'!J$130"),"")</f>
        <v>CMS  to  Regional WH</v>
      </c>
      <c r="L322" s="1516" t="str">
        <f t="shared" ref="L322:V322" ca="1" si="20">IF($H$9&gt;=1,"Tier 1","")</f>
        <v>Tier 1</v>
      </c>
      <c r="M322" s="1516" t="str">
        <f t="shared" ca="1" si="20"/>
        <v>Tier 1</v>
      </c>
      <c r="N322" s="1516" t="str">
        <f ca="1">IF($H$9&gt;=3,INDIRECT("'"&amp;$H$3&amp;"'!M$130"),"")</f>
        <v>Regional WH  to  Health Facility</v>
      </c>
      <c r="O322" s="1516" t="str">
        <f t="shared" ca="1" si="20"/>
        <v>Tier 1</v>
      </c>
      <c r="P322" s="1516" t="str">
        <f t="shared" ca="1" si="20"/>
        <v>Tier 1</v>
      </c>
      <c r="Q322" s="1517" t="str">
        <f ca="1">IF($H$9&gt;=4,INDIRECT("'"&amp;$H$3&amp;"'!P$130"),"")</f>
        <v/>
      </c>
      <c r="R322" s="1511" t="str">
        <f t="shared" ca="1" si="20"/>
        <v>Tier 1</v>
      </c>
      <c r="S322" s="1511" t="str">
        <f t="shared" ca="1" si="20"/>
        <v>Tier 1</v>
      </c>
      <c r="T322" s="1517" t="str">
        <f ca="1">IF($H$9&gt;=5,INDIRECT("'"&amp;$H$3&amp;"'!S$130"),"")</f>
        <v/>
      </c>
      <c r="U322" s="1518" t="str">
        <f t="shared" ca="1" si="20"/>
        <v>Tier 1</v>
      </c>
      <c r="V322" s="1518" t="str">
        <f t="shared" ca="1" si="20"/>
        <v>Tier 1</v>
      </c>
      <c r="W322" s="1517" t="str">
        <f ca="1">IF($H$9&gt;=6,INDIRECT("'"&amp;$H$3&amp;"'!V$130"),"")</f>
        <v/>
      </c>
      <c r="X322" s="1474"/>
      <c r="Y322" s="36"/>
      <c r="Z322" s="36"/>
      <c r="AA322" s="36"/>
      <c r="AB322" s="36"/>
      <c r="AC322" s="36"/>
      <c r="AD322" s="36"/>
      <c r="AE322" s="36"/>
      <c r="AF322" s="36"/>
      <c r="AG322" s="36"/>
      <c r="AH322" s="36"/>
      <c r="AI322" s="36"/>
      <c r="AJ322" s="36"/>
      <c r="AK322" s="36"/>
      <c r="AL322" s="36"/>
      <c r="AM322" s="36"/>
      <c r="AN322" s="36"/>
    </row>
    <row r="323" spans="6:40" ht="15" customHeight="1" outlineLevel="1">
      <c r="F323" s="1664" t="s">
        <v>149</v>
      </c>
      <c r="G323" s="1664"/>
      <c r="H323" s="865"/>
      <c r="I323" s="865"/>
      <c r="J323" s="865"/>
      <c r="K323" s="865"/>
      <c r="L323" s="865"/>
      <c r="M323" s="865"/>
      <c r="N323" s="865"/>
      <c r="O323" s="1674"/>
      <c r="P323" s="1674"/>
      <c r="Q323" s="1671"/>
      <c r="R323" s="1672"/>
      <c r="S323" s="1672"/>
      <c r="T323" s="1671"/>
      <c r="U323" s="1672"/>
      <c r="V323" s="1672"/>
      <c r="W323" s="1671"/>
      <c r="X323" s="1479"/>
      <c r="Y323" s="36"/>
      <c r="Z323" s="36"/>
      <c r="AA323" s="36"/>
      <c r="AB323" s="36"/>
      <c r="AC323" s="36"/>
      <c r="AD323" s="36"/>
      <c r="AE323" s="36"/>
      <c r="AF323" s="36"/>
      <c r="AG323" s="36"/>
      <c r="AH323" s="36"/>
      <c r="AI323" s="36"/>
      <c r="AJ323" s="36"/>
      <c r="AK323" s="242"/>
      <c r="AL323" s="36"/>
      <c r="AM323" s="36"/>
      <c r="AN323" s="36"/>
    </row>
    <row r="324" spans="6:40" ht="15" customHeight="1" outlineLevel="1">
      <c r="F324" s="52"/>
      <c r="G324" s="51" t="s">
        <v>146</v>
      </c>
      <c r="H324" s="837"/>
      <c r="I324" s="837"/>
      <c r="J324" s="837"/>
      <c r="K324" s="837">
        <f ca="1">IFERROR(IF(COUNTIF(INDIRECT("'"&amp;$H$3&amp;"'!K240"),"Public Transport*")=1,IF(INDIRECT("'"&amp;$H$3&amp;"'!K248")="Route-based",K331*INDIRECT("'"&amp;$H$3&amp;"'!K$96"),IF(INDIRECT("'"&amp;$H$3&amp;"'!K248")="Point-to-point",K334*INDIRECT("'"&amp;$H$3&amp;"'!K$96"),0)),0),0)</f>
        <v>0</v>
      </c>
      <c r="L324" s="837"/>
      <c r="M324" s="837"/>
      <c r="N324" s="837">
        <f ca="1">IFERROR(IF(COUNTIF(INDIRECT("'"&amp;$H$3&amp;"'!N240"),"Public Transport*")=1,IF(INDIRECT("'"&amp;$H$3&amp;"'!N248")="Route-based",N331*INDIRECT("'"&amp;$H$3&amp;"'!N$96"),IF(INDIRECT("'"&amp;$H$3&amp;"'!N248")="Point-to-point",N334*INDIRECT("'"&amp;$H$3&amp;"'!N$96"),0)),0),0)</f>
        <v>0</v>
      </c>
      <c r="O324" s="837"/>
      <c r="P324" s="837"/>
      <c r="Q324" s="837">
        <f ca="1">IFERROR(IF(COUNTIF(INDIRECT("'"&amp;$H$3&amp;"'!Q240"),"Public Transport*")=1,IF(INDIRECT("'"&amp;$H$3&amp;"'!Q248")="Route-based",Q331*INDIRECT("'"&amp;$H$3&amp;"'!Q$96"),IF(INDIRECT("'"&amp;$H$3&amp;"'!Q248")="Point-to-point",Q334*INDIRECT("'"&amp;$H$3&amp;"'!Q$96"),0)),0),0)</f>
        <v>0</v>
      </c>
      <c r="R324" s="1650"/>
      <c r="S324" s="1650"/>
      <c r="T324" s="837">
        <f ca="1">IFERROR(IF(COUNTIF(INDIRECT("'"&amp;$H$3&amp;"'!T240"),"Public Transport*")=1,IF(INDIRECT("'"&amp;$H$3&amp;"'!T248")="Route-based",T331*INDIRECT("'"&amp;$H$3&amp;"'!T$96"),IF(INDIRECT("'"&amp;$H$3&amp;"'!T248")="Point-to-point",T334*INDIRECT("'"&amp;$H$3&amp;"'!T$96"),0)),0),0)</f>
        <v>0</v>
      </c>
      <c r="U324" s="1650"/>
      <c r="V324" s="1650"/>
      <c r="W324" s="837">
        <f ca="1">IFERROR(IF(COUNTIF(INDIRECT("'"&amp;$H$3&amp;"'!W240"),"Public Transport*")=1,IF(INDIRECT("'"&amp;$H$3&amp;"'!W248")="Route-based",W331*INDIRECT("'"&amp;$H$3&amp;"'!W$96"),IF(INDIRECT("'"&amp;$H$3&amp;"'!W248")="Point-to-point",W334*INDIRECT("'"&amp;$H$3&amp;"'!W$96"),0)),0),0)</f>
        <v>0</v>
      </c>
      <c r="X324" s="1468"/>
      <c r="Y324" s="36"/>
      <c r="Z324" s="36"/>
      <c r="AA324" s="36"/>
      <c r="AB324" s="36"/>
      <c r="AC324" s="36"/>
      <c r="AD324" s="36"/>
      <c r="AE324" s="36"/>
      <c r="AF324" s="36"/>
      <c r="AG324" s="36"/>
      <c r="AH324" s="36"/>
      <c r="AI324" s="36"/>
      <c r="AJ324" s="36"/>
      <c r="AK324" s="242"/>
      <c r="AL324" s="36"/>
      <c r="AM324" s="36"/>
      <c r="AN324" s="36"/>
    </row>
    <row r="325" spans="6:40" ht="15" customHeight="1" outlineLevel="1">
      <c r="F325" s="52"/>
      <c r="G325" s="51" t="s">
        <v>147</v>
      </c>
      <c r="H325" s="837"/>
      <c r="I325" s="837"/>
      <c r="J325" s="837"/>
      <c r="K325" s="837">
        <f ca="1">IFERROR(IF(INDIRECT("'"&amp;$H$3&amp;"'!K248")="Route-based",K332*INDIRECT("'"&amp;$H$3&amp;"'!K$96"),IF(INDIRECT("'"&amp;$H$3&amp;"'!K248")="Point-to-point",K335*INDIRECT("'"&amp;$H$3&amp;"'!K$96"),0)),0)</f>
        <v>0</v>
      </c>
      <c r="L325" s="837"/>
      <c r="M325" s="837"/>
      <c r="N325" s="837">
        <f ca="1">IFERROR(IF(INDIRECT("'"&amp;$H$3&amp;"'!N248")="Route-based",N332*INDIRECT("'"&amp;$H$3&amp;"'!N$96"),IF(INDIRECT("'"&amp;$H$3&amp;"'!N248")="Point-to-point",N335*INDIRECT("'"&amp;$H$3&amp;"'!N$96"),0)),0)</f>
        <v>0</v>
      </c>
      <c r="O325" s="837"/>
      <c r="P325" s="837"/>
      <c r="Q325" s="837">
        <f ca="1">IFERROR(IF(INDIRECT("'"&amp;$H$3&amp;"'!Q248")="Route-based",Q332*INDIRECT("'"&amp;$H$3&amp;"'!Q$96"),IF(INDIRECT("'"&amp;$H$3&amp;"'!Q248")="Point-to-point",Q335*INDIRECT("'"&amp;$H$3&amp;"'!Q$96"),0)),0)</f>
        <v>0</v>
      </c>
      <c r="R325" s="1650"/>
      <c r="S325" s="1650"/>
      <c r="T325" s="837">
        <f ca="1">IFERROR(IF(INDIRECT("'"&amp;$H$3&amp;"'!T248")="Route-based",T332*INDIRECT("'"&amp;$H$3&amp;"'!T$96"),IF(INDIRECT("'"&amp;$H$3&amp;"'!T248")="Point-to-point",T335*INDIRECT("'"&amp;$H$3&amp;"'!T$96"),0)),0)</f>
        <v>0</v>
      </c>
      <c r="U325" s="1650"/>
      <c r="V325" s="1650"/>
      <c r="W325" s="837">
        <f ca="1">IFERROR(IF(INDIRECT("'"&amp;$H$3&amp;"'!W248")="Route-based",W332*INDIRECT("'"&amp;$H$3&amp;"'!W$96"),IF(INDIRECT("'"&amp;$H$3&amp;"'!W248")="Point-to-point",W335*INDIRECT("'"&amp;$H$3&amp;"'!W$96"),0)),0)</f>
        <v>0</v>
      </c>
      <c r="X325" s="1468"/>
      <c r="Y325" s="36"/>
      <c r="Z325" s="36"/>
      <c r="AA325" s="36"/>
      <c r="AB325" s="36"/>
      <c r="AC325" s="36"/>
      <c r="AD325" s="36"/>
      <c r="AE325" s="36"/>
      <c r="AF325" s="36"/>
      <c r="AG325" s="36"/>
      <c r="AH325" s="36"/>
      <c r="AI325" s="36"/>
      <c r="AJ325" s="36"/>
      <c r="AK325" s="242"/>
      <c r="AL325" s="36"/>
      <c r="AM325" s="36"/>
      <c r="AN325" s="36"/>
    </row>
    <row r="326" spans="6:40" ht="15" customHeight="1" outlineLevel="1">
      <c r="F326" s="52"/>
      <c r="G326" s="51" t="s">
        <v>142</v>
      </c>
      <c r="H326" s="1651"/>
      <c r="I326" s="1651"/>
      <c r="J326" s="1651"/>
      <c r="K326" s="1651">
        <f ca="1">IFERROR(IF(COUNTIF(INDIRECT("'"&amp;$H$3&amp;"'!K240"),"Public Transport*")&gt;0,ROUND(INDIRECT("'"&amp;$H$3&amp;"'!K$95")*INDIRECT("'"&amp;$H$3&amp;"'!K239"),0),0),0)</f>
        <v>0</v>
      </c>
      <c r="L326" s="1651"/>
      <c r="M326" s="1651"/>
      <c r="N326" s="1651">
        <f ca="1">IFERROR(IF(COUNTIF(INDIRECT("'"&amp;$H$3&amp;"'!N240"),"Public Transport*")&gt;0,ROUND(INDIRECT("'"&amp;$H$3&amp;"'!N$95")*INDIRECT("'"&amp;$H$3&amp;"'!N239"),0),0),0)</f>
        <v>0</v>
      </c>
      <c r="O326" s="1651"/>
      <c r="P326" s="1651"/>
      <c r="Q326" s="1651">
        <f ca="1">IFERROR(IF(COUNTIF(INDIRECT("'"&amp;$H$3&amp;"'!Q240"),"Public Transport*")&gt;0,ROUND(INDIRECT("'"&amp;$H$3&amp;"'!Q$95")*INDIRECT("'"&amp;$H$3&amp;"'!Q239"),0),0),0)</f>
        <v>0</v>
      </c>
      <c r="R326" s="1650"/>
      <c r="S326" s="1650"/>
      <c r="T326" s="1651">
        <f ca="1">IFERROR(IF(COUNTIF(INDIRECT("'"&amp;$H$3&amp;"'!T240"),"Public Transport*")&gt;0,ROUND(INDIRECT("'"&amp;$H$3&amp;"'!T$95")*INDIRECT("'"&amp;$H$3&amp;"'!T239"),0),0),0)</f>
        <v>0</v>
      </c>
      <c r="U326" s="1650"/>
      <c r="V326" s="1650"/>
      <c r="W326" s="1651">
        <f ca="1">IFERROR(IF(COUNTIF(INDIRECT("'"&amp;$H$3&amp;"'!W240"),"Public Transport*")&gt;0,ROUND(INDIRECT("'"&amp;$H$3&amp;"'!W$95")*INDIRECT("'"&amp;$H$3&amp;"'!W239"),0),0),0)</f>
        <v>0</v>
      </c>
      <c r="X326" s="1466"/>
      <c r="Y326" s="36"/>
      <c r="Z326" s="36"/>
      <c r="AA326" s="36"/>
      <c r="AB326" s="36"/>
      <c r="AC326" s="36"/>
      <c r="AD326" s="36"/>
      <c r="AE326" s="36"/>
      <c r="AF326" s="36"/>
      <c r="AG326" s="36"/>
      <c r="AH326" s="36"/>
      <c r="AI326" s="36"/>
      <c r="AJ326" s="36"/>
      <c r="AK326" s="36"/>
      <c r="AL326" s="36"/>
      <c r="AM326" s="36"/>
      <c r="AN326" s="36"/>
    </row>
    <row r="327" spans="6:40" ht="15" customHeight="1" outlineLevel="1">
      <c r="F327" s="52"/>
      <c r="G327" s="1613" t="s">
        <v>150</v>
      </c>
      <c r="H327" s="842"/>
      <c r="I327" s="842"/>
      <c r="J327" s="842"/>
      <c r="K327" s="842"/>
      <c r="L327" s="842"/>
      <c r="M327" s="842"/>
      <c r="N327" s="842"/>
      <c r="O327" s="842"/>
      <c r="P327" s="842"/>
      <c r="Q327" s="842"/>
      <c r="R327" s="1650"/>
      <c r="S327" s="1650"/>
      <c r="T327" s="842"/>
      <c r="U327" s="1650"/>
      <c r="V327" s="1650"/>
      <c r="W327" s="842"/>
      <c r="X327" s="1470"/>
      <c r="Y327" s="36"/>
      <c r="Z327" s="36"/>
      <c r="AA327" s="36"/>
      <c r="AB327" s="36"/>
      <c r="AC327" s="36"/>
      <c r="AD327" s="36"/>
      <c r="AE327" s="36"/>
      <c r="AF327" s="36"/>
      <c r="AG327" s="36"/>
      <c r="AH327" s="36"/>
      <c r="AI327" s="36"/>
      <c r="AJ327" s="36"/>
      <c r="AK327" s="36"/>
      <c r="AL327" s="36"/>
      <c r="AM327" s="36"/>
      <c r="AN327" s="36"/>
    </row>
    <row r="328" spans="6:40" ht="15" customHeight="1" outlineLevel="1">
      <c r="F328" s="52"/>
      <c r="G328" s="51" t="s">
        <v>140</v>
      </c>
      <c r="H328" s="836"/>
      <c r="I328" s="836"/>
      <c r="J328" s="836"/>
      <c r="K328" s="836">
        <f ca="1">IFERROR(ROUND(INDIRECT("'"&amp;$H$3&amp;"'!$H$10")/(((1/60)*(INDIRECT("'"&amp;$H$3&amp;"'!K253")+INDIRECT("'"&amp;$H$3&amp;"'!$H$19")*(INDIRECT("'"&amp;$H$3&amp;"'!K254")+(INDIRECT("'"&amp;$H$3&amp;"'!K255")*('4_Outputs'!K$52/INDIRECT("'"&amp;$H$3&amp;"'!K$96")/INDIRECT("'"&amp;$H$3&amp;"'!$H$19"))))))+INDEX(INDIRECT("'"&amp;$H$3&amp;"'!$H$43:$H$78"),MATCH(INDIRECT("'"&amp;$H$3&amp;"'!K240")&amp;"Average duration (hrs) per trip",INDIRECT("'"&amp;$H$3&amp;"'!$F$43:$F$78"),0))),1),0)</f>
        <v>0</v>
      </c>
      <c r="L328" s="836"/>
      <c r="M328" s="836"/>
      <c r="N328" s="836">
        <f ca="1">IFERROR(ROUND(INDIRECT("'"&amp;$H$3&amp;"'!$H$10")/(((1/60)*(INDIRECT("'"&amp;$H$3&amp;"'!N253")+INDIRECT("'"&amp;$H$3&amp;"'!$H$19")*(INDIRECT("'"&amp;$H$3&amp;"'!N254")+(INDIRECT("'"&amp;$H$3&amp;"'!N255")*('4_Outputs'!N$52/INDIRECT("'"&amp;$H$3&amp;"'!N$96")/INDIRECT("'"&amp;$H$3&amp;"'!$H$19"))))))+INDEX(INDIRECT("'"&amp;$H$3&amp;"'!$H$43:$H$78"),MATCH(INDIRECT("'"&amp;$H$3&amp;"'!N240")&amp;"Average duration (hrs) per trip",INDIRECT("'"&amp;$H$3&amp;"'!$F$43:$F$78"),0))),1),0)</f>
        <v>0</v>
      </c>
      <c r="O328" s="836"/>
      <c r="P328" s="836"/>
      <c r="Q328" s="836">
        <f ca="1">IFERROR(ROUND(INDIRECT("'"&amp;$H$3&amp;"'!$H$10")/(((1/60)*(INDIRECT("'"&amp;$H$3&amp;"'!Q253")+INDIRECT("'"&amp;$H$3&amp;"'!$H$19")*(INDIRECT("'"&amp;$H$3&amp;"'!Q254")+(INDIRECT("'"&amp;$H$3&amp;"'!Q255")*('4_Outputs'!Q$52/INDIRECT("'"&amp;$H$3&amp;"'!Q$96")/INDIRECT("'"&amp;$H$3&amp;"'!$H$19"))))))+INDEX(INDIRECT("'"&amp;$H$3&amp;"'!$H$43:$H$78"),MATCH(INDIRECT("'"&amp;$H$3&amp;"'!Q240")&amp;"Average duration (hrs) per trip",INDIRECT("'"&amp;$H$3&amp;"'!$F$43:$F$78"),0))),1),0)</f>
        <v>0</v>
      </c>
      <c r="R328" s="836"/>
      <c r="S328" s="836"/>
      <c r="T328" s="836">
        <f ca="1">IFERROR(ROUND(INDIRECT("'"&amp;$H$3&amp;"'!$H$10")/(((1/60)*(INDIRECT("'"&amp;$H$3&amp;"'!T253")+INDIRECT("'"&amp;$H$3&amp;"'!$H$19")*(INDIRECT("'"&amp;$H$3&amp;"'!T254")+(INDIRECT("'"&amp;$H$3&amp;"'!T255")*('4_Outputs'!T$52/INDIRECT("'"&amp;$H$3&amp;"'!T$96")/INDIRECT("'"&amp;$H$3&amp;"'!$H$19"))))))+INDEX(INDIRECT("'"&amp;$H$3&amp;"'!$H$43:$H$78"),MATCH(INDIRECT("'"&amp;$H$3&amp;"'!T240")&amp;"Average duration (hrs) per trip",INDIRECT("'"&amp;$H$3&amp;"'!$F$43:$F$78"),0))),1),0)</f>
        <v>0</v>
      </c>
      <c r="U328" s="836"/>
      <c r="V328" s="836"/>
      <c r="W328" s="836">
        <f ca="1">IFERROR(ROUND(INDIRECT("'"&amp;$H$3&amp;"'!$H$10")/(((1/60)*(INDIRECT("'"&amp;$H$3&amp;"'!W253")+INDIRECT("'"&amp;$H$3&amp;"'!$H$19")*(INDIRECT("'"&amp;$H$3&amp;"'!W254")+(INDIRECT("'"&amp;$H$3&amp;"'!W255")*('4_Outputs'!W$52/INDIRECT("'"&amp;$H$3&amp;"'!W$96")/INDIRECT("'"&amp;$H$3&amp;"'!$H$19"))))))+INDEX(INDIRECT("'"&amp;$H$3&amp;"'!$H$43:$H$78"),MATCH(INDIRECT("'"&amp;$H$3&amp;"'!W240")&amp;"Average duration (hrs) per trip",INDIRECT("'"&amp;$H$3&amp;"'!$F$43:$F$78"),0))),1),0)</f>
        <v>0</v>
      </c>
      <c r="X328" s="1469"/>
      <c r="Y328" s="36"/>
      <c r="Z328" s="36"/>
      <c r="AA328" s="36"/>
      <c r="AB328" s="36"/>
      <c r="AC328" s="36"/>
      <c r="AD328" s="36"/>
      <c r="AE328" s="36"/>
      <c r="AF328" s="36"/>
      <c r="AG328" s="36"/>
      <c r="AH328" s="36"/>
      <c r="AI328" s="36"/>
      <c r="AJ328" s="36"/>
      <c r="AK328" s="36"/>
      <c r="AL328" s="36"/>
      <c r="AM328" s="36"/>
      <c r="AN328" s="36"/>
    </row>
    <row r="329" spans="6:40" ht="15" customHeight="1" outlineLevel="1">
      <c r="F329" s="52"/>
      <c r="G329" s="51" t="s">
        <v>141</v>
      </c>
      <c r="H329" s="836"/>
      <c r="I329" s="836"/>
      <c r="J329" s="836"/>
      <c r="K329" s="836">
        <f ca="1">IFERROR(ROUND(K328*INDIRECT("'"&amp;$H$3&amp;"'!K249"),0),0)</f>
        <v>0</v>
      </c>
      <c r="L329" s="836"/>
      <c r="M329" s="836"/>
      <c r="N329" s="836">
        <f ca="1">IFERROR(ROUND(N328*INDIRECT("'"&amp;$H$3&amp;"'!N249"),0),0)</f>
        <v>0</v>
      </c>
      <c r="O329" s="836"/>
      <c r="P329" s="836"/>
      <c r="Q329" s="836">
        <f ca="1">IFERROR(ROUND(Q328*INDIRECT("'"&amp;$H$3&amp;"'!Q249"),0),0)</f>
        <v>0</v>
      </c>
      <c r="R329" s="836"/>
      <c r="S329" s="836"/>
      <c r="T329" s="836">
        <f ca="1">IFERROR(ROUND(T328*INDIRECT("'"&amp;$H$3&amp;"'!T249"),0),0)</f>
        <v>0</v>
      </c>
      <c r="U329" s="836"/>
      <c r="V329" s="836"/>
      <c r="W329" s="836">
        <f ca="1">IFERROR(ROUND(W328*INDIRECT("'"&amp;$H$3&amp;"'!W249"),0),0)</f>
        <v>0</v>
      </c>
      <c r="X329" s="1469"/>
      <c r="Y329" s="36"/>
      <c r="Z329" s="36"/>
      <c r="AA329" s="36"/>
      <c r="AB329" s="36"/>
      <c r="AC329" s="36"/>
      <c r="AD329" s="36"/>
      <c r="AE329" s="36"/>
      <c r="AF329" s="36"/>
      <c r="AG329" s="36"/>
      <c r="AH329" s="36"/>
      <c r="AI329" s="36"/>
      <c r="AJ329" s="36"/>
      <c r="AK329" s="36"/>
      <c r="AL329" s="36"/>
      <c r="AM329" s="36"/>
      <c r="AN329" s="36"/>
    </row>
    <row r="330" spans="6:40" ht="15" customHeight="1" outlineLevel="1">
      <c r="F330" s="52"/>
      <c r="G330" s="51" t="s">
        <v>143</v>
      </c>
      <c r="H330" s="836"/>
      <c r="I330" s="836"/>
      <c r="J330" s="836"/>
      <c r="K330" s="836">
        <f ca="1">IFERROR(K326/K329,0)</f>
        <v>0</v>
      </c>
      <c r="L330" s="836"/>
      <c r="M330" s="836"/>
      <c r="N330" s="836">
        <f ca="1">IFERROR(N326/N329,0)</f>
        <v>0</v>
      </c>
      <c r="O330" s="836"/>
      <c r="P330" s="836"/>
      <c r="Q330" s="836">
        <f ca="1">IFERROR(Q326/Q329,0)</f>
        <v>0</v>
      </c>
      <c r="R330" s="836"/>
      <c r="S330" s="836"/>
      <c r="T330" s="836">
        <f ca="1">IFERROR(T326/T329,0)</f>
        <v>0</v>
      </c>
      <c r="U330" s="836"/>
      <c r="V330" s="836"/>
      <c r="W330" s="836">
        <f ca="1">IFERROR(W326/W329,0)</f>
        <v>0</v>
      </c>
      <c r="X330" s="1469"/>
      <c r="Y330" s="36"/>
      <c r="Z330" s="36"/>
      <c r="AA330" s="36"/>
      <c r="AB330" s="36"/>
      <c r="AC330" s="36"/>
      <c r="AD330" s="36"/>
      <c r="AE330" s="36"/>
      <c r="AF330" s="36"/>
      <c r="AG330" s="36"/>
      <c r="AH330" s="36"/>
      <c r="AI330" s="36"/>
      <c r="AJ330" s="36"/>
      <c r="AK330" s="36"/>
      <c r="AL330" s="36"/>
      <c r="AM330" s="36"/>
      <c r="AN330" s="36"/>
    </row>
    <row r="331" spans="6:40" ht="15" customHeight="1" outlineLevel="1">
      <c r="F331" s="52"/>
      <c r="G331" s="51" t="s">
        <v>144</v>
      </c>
      <c r="H331" s="836"/>
      <c r="I331" s="836"/>
      <c r="J331" s="836"/>
      <c r="K331" s="836">
        <f ca="1">IFERROR((K330*(K329+1)),0)</f>
        <v>0</v>
      </c>
      <c r="L331" s="836"/>
      <c r="M331" s="836"/>
      <c r="N331" s="836">
        <f ca="1">IFERROR((N330*(N329+1)),0)</f>
        <v>0</v>
      </c>
      <c r="O331" s="836"/>
      <c r="P331" s="836"/>
      <c r="Q331" s="836">
        <f ca="1">IFERROR((Q330*(Q329+1)),0)</f>
        <v>0</v>
      </c>
      <c r="R331" s="836"/>
      <c r="S331" s="836"/>
      <c r="T331" s="836">
        <f ca="1">IFERROR((T330*(T329+1)),0)</f>
        <v>0</v>
      </c>
      <c r="U331" s="836"/>
      <c r="V331" s="836"/>
      <c r="W331" s="836">
        <f ca="1">IFERROR((W330*(W329+1)),0)</f>
        <v>0</v>
      </c>
      <c r="X331" s="1469"/>
      <c r="Y331" s="36"/>
      <c r="Z331" s="36"/>
      <c r="AA331" s="36"/>
      <c r="AB331" s="36"/>
      <c r="AC331" s="36"/>
      <c r="AD331" s="36"/>
      <c r="AE331" s="36"/>
      <c r="AF331" s="36"/>
      <c r="AG331" s="36"/>
      <c r="AH331" s="36"/>
      <c r="AI331" s="36"/>
      <c r="AJ331" s="36"/>
      <c r="AK331" s="242"/>
      <c r="AL331" s="36"/>
      <c r="AM331" s="36"/>
      <c r="AN331" s="36"/>
    </row>
    <row r="332" spans="6:40" ht="15" customHeight="1" outlineLevel="1">
      <c r="F332" s="52"/>
      <c r="G332" s="51" t="s">
        <v>145</v>
      </c>
      <c r="H332" s="836"/>
      <c r="I332" s="836"/>
      <c r="J332" s="836"/>
      <c r="K332" s="836">
        <f ca="1">IFERROR(ROUNDUP(((K331*INDEX(INDIRECT("'"&amp;$H$3&amp;"'!$H$43:$H$78"),MATCH(INDIRECT("'"&amp;$H$3&amp;"'!K240")&amp;"Average duration (hrs) per trip",INDIRECT("'"&amp;$H$3&amp;"'!$F$43:$F$78"),0)))+(K326*((1/60)*(INDIRECT("'"&amp;$H$3&amp;"'!K253")+INDIRECT("'"&amp;$H$3&amp;"'!$H$19")*(INDIRECT("'"&amp;$H$3&amp;"'!K254")+(INDIRECT("'"&amp;$H$3&amp;"'!K255")*('4_Outputs'!K$52/INDIRECT("'"&amp;$H$3&amp;"'!K$96")/INDIRECT("'"&amp;$H$3&amp;"'!$H$19"))))))))/INDIRECT("'"&amp;$H$3&amp;"'!$H$10"),0),0)</f>
        <v>0</v>
      </c>
      <c r="L332" s="836"/>
      <c r="M332" s="836"/>
      <c r="N332" s="836">
        <f ca="1">IFERROR(ROUNDUP(((N331*INDEX(INDIRECT("'"&amp;$H$3&amp;"'!$H$43:$H$78"),MATCH(INDIRECT("'"&amp;$H$3&amp;"'!N240")&amp;"Average duration (hrs) per trip",INDIRECT("'"&amp;$H$3&amp;"'!$F$43:$F$78"),0)))+(N326*((1/60)*(INDIRECT("'"&amp;$H$3&amp;"'!N253")+INDIRECT("'"&amp;$H$3&amp;"'!$H$19")*(INDIRECT("'"&amp;$H$3&amp;"'!N254")+(INDIRECT("'"&amp;$H$3&amp;"'!N255")*('4_Outputs'!N$52/INDIRECT("'"&amp;$H$3&amp;"'!N$96")/INDIRECT("'"&amp;$H$3&amp;"'!$H$19"))))))))/INDIRECT("'"&amp;$H$3&amp;"'!$H$10"),0),0)</f>
        <v>0</v>
      </c>
      <c r="O332" s="836"/>
      <c r="P332" s="836"/>
      <c r="Q332" s="836">
        <f ca="1">IFERROR(ROUNDUP(((Q331*INDEX(INDIRECT("'"&amp;$H$3&amp;"'!$H$43:$H$78"),MATCH(INDIRECT("'"&amp;$H$3&amp;"'!Q240")&amp;"Average duration (hrs) per trip",INDIRECT("'"&amp;$H$3&amp;"'!$F$43:$F$78"),0)))+(Q326*((1/60)*(INDIRECT("'"&amp;$H$3&amp;"'!Q253")+INDIRECT("'"&amp;$H$3&amp;"'!$H$19")*(INDIRECT("'"&amp;$H$3&amp;"'!Q254")+(INDIRECT("'"&amp;$H$3&amp;"'!Q255")*('4_Outputs'!Q$52/INDIRECT("'"&amp;$H$3&amp;"'!Q$96")/INDIRECT("'"&amp;$H$3&amp;"'!$H$19"))))))))/INDIRECT("'"&amp;$H$3&amp;"'!$H$10"),0),0)</f>
        <v>0</v>
      </c>
      <c r="R332" s="836"/>
      <c r="S332" s="836"/>
      <c r="T332" s="836">
        <f ca="1">IFERROR(ROUNDUP(((T331*INDEX(INDIRECT("'"&amp;$H$3&amp;"'!$H$43:$H$78"),MATCH(INDIRECT("'"&amp;$H$3&amp;"'!T240")&amp;"Average duration (hrs) per trip",INDIRECT("'"&amp;$H$3&amp;"'!$F$43:$F$78"),0)))+(T326*((1/60)*(INDIRECT("'"&amp;$H$3&amp;"'!T253")+INDIRECT("'"&amp;$H$3&amp;"'!$H$19")*(INDIRECT("'"&amp;$H$3&amp;"'!T254")+(INDIRECT("'"&amp;$H$3&amp;"'!T255")*('4_Outputs'!T$52/INDIRECT("'"&amp;$H$3&amp;"'!T$96")/INDIRECT("'"&amp;$H$3&amp;"'!$H$19"))))))))/INDIRECT("'"&amp;$H$3&amp;"'!$H$10"),0),0)</f>
        <v>0</v>
      </c>
      <c r="U332" s="836"/>
      <c r="V332" s="836"/>
      <c r="W332" s="836">
        <f ca="1">IFERROR(ROUNDUP(((W331*INDEX(INDIRECT("'"&amp;$H$3&amp;"'!$H$43:$H$78"),MATCH(INDIRECT("'"&amp;$H$3&amp;"'!W240")&amp;"Average duration (hrs) per trip",INDIRECT("'"&amp;$H$3&amp;"'!$F$43:$F$78"),0)))+(W326*((1/60)*(INDIRECT("'"&amp;$H$3&amp;"'!W253")+INDIRECT("'"&amp;$H$3&amp;"'!$H$19")*(INDIRECT("'"&amp;$H$3&amp;"'!W254")+(INDIRECT("'"&amp;$H$3&amp;"'!W255")*('4_Outputs'!W$52/INDIRECT("'"&amp;$H$3&amp;"'!W$96")/INDIRECT("'"&amp;$H$3&amp;"'!$H$19"))))))))/INDIRECT("'"&amp;$H$3&amp;"'!$H$10"),0),0)</f>
        <v>0</v>
      </c>
      <c r="X332" s="1469"/>
      <c r="Y332" s="36"/>
      <c r="Z332" s="36"/>
      <c r="AA332" s="36"/>
      <c r="AB332" s="36"/>
      <c r="AC332" s="36"/>
      <c r="AD332" s="36"/>
      <c r="AE332" s="36"/>
      <c r="AF332" s="36"/>
      <c r="AG332" s="36"/>
      <c r="AH332" s="36"/>
      <c r="AI332" s="36"/>
      <c r="AJ332" s="36"/>
      <c r="AK332" s="242"/>
      <c r="AL332" s="36"/>
      <c r="AM332" s="36"/>
      <c r="AN332" s="36"/>
    </row>
    <row r="333" spans="6:40" ht="15" customHeight="1" outlineLevel="1">
      <c r="F333" s="52"/>
      <c r="G333" s="1613" t="s">
        <v>841</v>
      </c>
      <c r="H333" s="842"/>
      <c r="I333" s="842"/>
      <c r="J333" s="842"/>
      <c r="K333" s="842"/>
      <c r="L333" s="842"/>
      <c r="M333" s="842"/>
      <c r="N333" s="842"/>
      <c r="O333" s="842"/>
      <c r="P333" s="842"/>
      <c r="Q333" s="842"/>
      <c r="R333" s="1650"/>
      <c r="S333" s="1650"/>
      <c r="T333" s="842"/>
      <c r="U333" s="1650"/>
      <c r="V333" s="1650"/>
      <c r="W333" s="842"/>
      <c r="X333" s="1470"/>
      <c r="Y333" s="36"/>
      <c r="Z333" s="36"/>
      <c r="AA333" s="36"/>
      <c r="AB333" s="36"/>
      <c r="AC333" s="36"/>
      <c r="AD333" s="36"/>
      <c r="AE333" s="36"/>
      <c r="AF333" s="36"/>
      <c r="AG333" s="36"/>
      <c r="AH333" s="36"/>
      <c r="AI333" s="36"/>
      <c r="AJ333" s="36"/>
      <c r="AK333" s="242"/>
      <c r="AL333" s="36"/>
      <c r="AM333" s="36"/>
      <c r="AN333" s="36"/>
    </row>
    <row r="334" spans="6:40" ht="15" customHeight="1" outlineLevel="1">
      <c r="F334" s="52"/>
      <c r="G334" s="51" t="s">
        <v>144</v>
      </c>
      <c r="H334" s="836"/>
      <c r="I334" s="836"/>
      <c r="J334" s="836"/>
      <c r="K334" s="836">
        <f ca="1">IFERROR(K326*2,0)</f>
        <v>0</v>
      </c>
      <c r="L334" s="836"/>
      <c r="M334" s="836"/>
      <c r="N334" s="836">
        <f ca="1">IFERROR(N326*2,0)</f>
        <v>0</v>
      </c>
      <c r="O334" s="836"/>
      <c r="P334" s="836"/>
      <c r="Q334" s="836">
        <f ca="1">IFERROR(Q326*2,0)</f>
        <v>0</v>
      </c>
      <c r="R334" s="836"/>
      <c r="S334" s="836"/>
      <c r="T334" s="836">
        <f ca="1">IFERROR(T326*2,0)</f>
        <v>0</v>
      </c>
      <c r="U334" s="836"/>
      <c r="V334" s="836"/>
      <c r="W334" s="836">
        <f ca="1">IFERROR(W326*2,0)</f>
        <v>0</v>
      </c>
      <c r="X334" s="1469"/>
      <c r="Y334" s="36"/>
      <c r="Z334" s="36"/>
      <c r="AA334" s="36"/>
      <c r="AB334" s="36"/>
      <c r="AC334" s="36"/>
      <c r="AD334" s="36"/>
      <c r="AE334" s="36"/>
      <c r="AF334" s="36"/>
      <c r="AG334" s="36"/>
      <c r="AH334" s="36"/>
      <c r="AI334" s="36"/>
      <c r="AJ334" s="36"/>
      <c r="AK334" s="36"/>
      <c r="AL334" s="36"/>
      <c r="AM334" s="36"/>
      <c r="AN334" s="36"/>
    </row>
    <row r="335" spans="6:40" ht="15" customHeight="1" outlineLevel="1">
      <c r="F335" s="52"/>
      <c r="G335" s="51" t="s">
        <v>145</v>
      </c>
      <c r="H335" s="837"/>
      <c r="I335" s="837"/>
      <c r="J335" s="837"/>
      <c r="K335" s="837">
        <f ca="1">IFERROR(MAX(K326,ROUNDUP(((K334*INDEX(INDIRECT("'"&amp;$H$3&amp;"'!$H$43:$H$78"),MATCH(INDIRECT("'"&amp;$H$3&amp;"'!K240")&amp;"Average duration (hrs) per trip",INDIRECT("'"&amp;$H$3&amp;"'!$F$43:$F$78"),0)))+(K326*((1/60)*(INDIRECT("'"&amp;$H$3&amp;"'!K253")+INDIRECT("'"&amp;$H$3&amp;"'!$H$19")*(INDIRECT("'"&amp;$H$3&amp;"'!K254")+(INDIRECT("'"&amp;$H$3&amp;"'!K255")*('4_Outputs'!K$52/INDIRECT("'"&amp;$H$3&amp;"'!K$96")/INDIRECT("'"&amp;$H$3&amp;"'!$H$19"))))))))/INDIRECT("'"&amp;$H$3&amp;"'!$H$10"),0)),0)</f>
        <v>0</v>
      </c>
      <c r="L335" s="837"/>
      <c r="M335" s="837"/>
      <c r="N335" s="837">
        <f ca="1">IFERROR(MAX(N326,ROUNDUP(((N334*INDEX(INDIRECT("'"&amp;$H$3&amp;"'!$H$43:$H$78"),MATCH(INDIRECT("'"&amp;$H$3&amp;"'!N240")&amp;"Average duration (hrs) per trip",INDIRECT("'"&amp;$H$3&amp;"'!$F$43:$F$78"),0)))+(N326*((1/60)*(INDIRECT("'"&amp;$H$3&amp;"'!N253")+INDIRECT("'"&amp;$H$3&amp;"'!$H$19")*(INDIRECT("'"&amp;$H$3&amp;"'!N254")+(INDIRECT("'"&amp;$H$3&amp;"'!N255")*('4_Outputs'!N$52/INDIRECT("'"&amp;$H$3&amp;"'!N$96")/INDIRECT("'"&amp;$H$3&amp;"'!$H$19"))))))))/INDIRECT("'"&amp;$H$3&amp;"'!$H$10"),0)),0)</f>
        <v>0</v>
      </c>
      <c r="O335" s="837"/>
      <c r="P335" s="837"/>
      <c r="Q335" s="837">
        <f ca="1">IFERROR(MAX(Q326,ROUNDUP(((Q334*INDEX(INDIRECT("'"&amp;$H$3&amp;"'!$H$43:$H$78"),MATCH(INDIRECT("'"&amp;$H$3&amp;"'!Q240")&amp;"Average duration (hrs) per trip",INDIRECT("'"&amp;$H$3&amp;"'!$F$43:$F$78"),0)))+(Q326*((1/60)*(INDIRECT("'"&amp;$H$3&amp;"'!Q253")+INDIRECT("'"&amp;$H$3&amp;"'!$H$19")*(INDIRECT("'"&amp;$H$3&amp;"'!Q254")+(INDIRECT("'"&amp;$H$3&amp;"'!Q255")*('4_Outputs'!Q$52/INDIRECT("'"&amp;$H$3&amp;"'!Q$96")/INDIRECT("'"&amp;$H$3&amp;"'!$H$19"))))))))/INDIRECT("'"&amp;$H$3&amp;"'!$H$10"),0)),0)</f>
        <v>0</v>
      </c>
      <c r="R335" s="837"/>
      <c r="S335" s="837"/>
      <c r="T335" s="837">
        <f ca="1">IFERROR(MAX(T326,ROUNDUP(((T334*INDEX(INDIRECT("'"&amp;$H$3&amp;"'!$H$43:$H$78"),MATCH(INDIRECT("'"&amp;$H$3&amp;"'!T240")&amp;"Average duration (hrs) per trip",INDIRECT("'"&amp;$H$3&amp;"'!$F$43:$F$78"),0)))+(T326*((1/60)*(INDIRECT("'"&amp;$H$3&amp;"'!T253")+INDIRECT("'"&amp;$H$3&amp;"'!$H$19")*(INDIRECT("'"&amp;$H$3&amp;"'!T254")+(INDIRECT("'"&amp;$H$3&amp;"'!T255")*('4_Outputs'!T$52/INDIRECT("'"&amp;$H$3&amp;"'!T$96")/INDIRECT("'"&amp;$H$3&amp;"'!$H$19"))))))))/INDIRECT("'"&amp;$H$3&amp;"'!$H$10"),0)),0)</f>
        <v>0</v>
      </c>
      <c r="U335" s="837"/>
      <c r="V335" s="837"/>
      <c r="W335" s="837">
        <f ca="1">IFERROR(MAX(W326,ROUNDUP(((W334*INDEX(INDIRECT("'"&amp;$H$3&amp;"'!$H$43:$H$78"),MATCH(INDIRECT("'"&amp;$H$3&amp;"'!W240")&amp;"Average duration (hrs) per trip",INDIRECT("'"&amp;$H$3&amp;"'!$F$43:$F$78"),0)))+(W326*((1/60)*(INDIRECT("'"&amp;$H$3&amp;"'!W253")+INDIRECT("'"&amp;$H$3&amp;"'!$H$19")*(INDIRECT("'"&amp;$H$3&amp;"'!W254")+(INDIRECT("'"&amp;$H$3&amp;"'!W255")*('4_Outputs'!W$52/INDIRECT("'"&amp;$H$3&amp;"'!W$96")/INDIRECT("'"&amp;$H$3&amp;"'!$H$19"))))))))/INDIRECT("'"&amp;$H$3&amp;"'!$H$10"),0)),0)</f>
        <v>0</v>
      </c>
      <c r="X335" s="1468"/>
      <c r="Y335" s="36"/>
      <c r="Z335" s="36"/>
      <c r="AA335" s="36"/>
      <c r="AB335" s="36"/>
      <c r="AC335" s="36"/>
      <c r="AD335" s="36"/>
      <c r="AE335" s="36"/>
      <c r="AF335" s="36"/>
      <c r="AG335" s="36"/>
      <c r="AH335" s="36"/>
      <c r="AI335" s="36"/>
      <c r="AJ335" s="36"/>
      <c r="AK335" s="36"/>
      <c r="AL335" s="36"/>
      <c r="AM335" s="36"/>
      <c r="AN335" s="36"/>
    </row>
    <row r="336" spans="6:40" ht="15" customHeight="1" outlineLevel="1">
      <c r="F336" s="1664" t="s">
        <v>148</v>
      </c>
      <c r="G336" s="1675"/>
      <c r="H336" s="1676"/>
      <c r="I336" s="1676"/>
      <c r="J336" s="1676"/>
      <c r="K336" s="1676"/>
      <c r="L336" s="1676"/>
      <c r="M336" s="1676"/>
      <c r="N336" s="1676"/>
      <c r="O336" s="1676"/>
      <c r="P336" s="1676"/>
      <c r="Q336" s="1676"/>
      <c r="R336" s="1646"/>
      <c r="S336" s="1646"/>
      <c r="T336" s="1676"/>
      <c r="U336" s="1646"/>
      <c r="V336" s="1646"/>
      <c r="W336" s="1676"/>
      <c r="X336" s="1467"/>
      <c r="Y336" s="36"/>
      <c r="Z336" s="36"/>
      <c r="AA336" s="36"/>
      <c r="AB336" s="36"/>
      <c r="AC336" s="36"/>
      <c r="AD336" s="36"/>
      <c r="AE336" s="36"/>
      <c r="AF336" s="36"/>
      <c r="AG336" s="36"/>
      <c r="AH336" s="36"/>
      <c r="AI336" s="36"/>
      <c r="AJ336" s="36"/>
      <c r="AK336" s="242"/>
      <c r="AL336" s="36"/>
      <c r="AM336" s="36"/>
      <c r="AN336" s="36"/>
    </row>
    <row r="337" spans="6:40" ht="15" customHeight="1" outlineLevel="1">
      <c r="F337" s="86"/>
      <c r="G337" s="51" t="s">
        <v>151</v>
      </c>
      <c r="H337" s="836"/>
      <c r="I337" s="836"/>
      <c r="J337" s="836"/>
      <c r="K337" s="836">
        <f ca="1">IFERROR(IF(COUNTIF(INDIRECT("'"&amp;$H$3&amp;"'!K240"),"Public Transport*")&lt;1,ROUND(INDIRECT("'"&amp;$H$3&amp;"'!K$95")*INDIRECT("'"&amp;$H$3&amp;"'!K239"),0),0),0)</f>
        <v>0</v>
      </c>
      <c r="L337" s="836"/>
      <c r="M337" s="836"/>
      <c r="N337" s="836">
        <f ca="1">IFERROR(IF(COUNTIF(INDIRECT("'"&amp;$H$3&amp;"'!N240"),"Public Transport*")&lt;1,ROUND(INDIRECT("'"&amp;$H$3&amp;"'!N$95")*INDIRECT("'"&amp;$H$3&amp;"'!N239"),0),0),0)</f>
        <v>0</v>
      </c>
      <c r="O337" s="836"/>
      <c r="P337" s="836"/>
      <c r="Q337" s="836">
        <f ca="1">IFERROR(IF(COUNTIF(INDIRECT("'"&amp;$H$3&amp;"'!Q240"),"Public Transport*")&lt;1,ROUND(INDIRECT("'"&amp;$H$3&amp;"'!Q$95")*INDIRECT("'"&amp;$H$3&amp;"'!Q239"),0),0),0)</f>
        <v>0</v>
      </c>
      <c r="R337" s="1646"/>
      <c r="S337" s="1646"/>
      <c r="T337" s="836">
        <f ca="1">IFERROR(IF(COUNTIF(INDIRECT("'"&amp;$H$3&amp;"'!T240"),"Public Transport*")&lt;1,ROUND(INDIRECT("'"&amp;$H$3&amp;"'!T$95")*INDIRECT("'"&amp;$H$3&amp;"'!T239"),0),0),0)</f>
        <v>0</v>
      </c>
      <c r="U337" s="1646"/>
      <c r="V337" s="1646"/>
      <c r="W337" s="836">
        <f ca="1">IFERROR(IF(COUNTIF(INDIRECT("'"&amp;$H$3&amp;"'!W240"),"Public Transport*")&lt;1,ROUND(INDIRECT("'"&amp;$H$3&amp;"'!W$95")*INDIRECT("'"&amp;$H$3&amp;"'!W239"),0),0),0)</f>
        <v>0</v>
      </c>
      <c r="X337" s="1469"/>
      <c r="Y337" s="36"/>
      <c r="Z337" s="36"/>
      <c r="AA337" s="36"/>
      <c r="AB337" s="36"/>
      <c r="AC337" s="36"/>
      <c r="AD337" s="36"/>
      <c r="AE337" s="36"/>
      <c r="AF337" s="36"/>
      <c r="AG337" s="36"/>
      <c r="AH337" s="36"/>
      <c r="AI337" s="36"/>
      <c r="AJ337" s="36"/>
      <c r="AK337" s="242"/>
      <c r="AL337" s="36"/>
      <c r="AM337" s="36"/>
      <c r="AN337" s="36"/>
    </row>
    <row r="338" spans="6:40" ht="15" customHeight="1" outlineLevel="1">
      <c r="F338" s="52"/>
      <c r="G338" s="51" t="s">
        <v>85</v>
      </c>
      <c r="H338" s="837"/>
      <c r="I338" s="837"/>
      <c r="J338" s="837"/>
      <c r="K338" s="837">
        <f ca="1">IFERROR(IF(INDIRECT("'"&amp;$H$3&amp;"'!K248")="Route-based",K343*K344,IF(INDIRECT("'"&amp;$H$3&amp;"'!K248")="Point-to-point",K348*K349,0)),0)</f>
        <v>0</v>
      </c>
      <c r="L338" s="837"/>
      <c r="M338" s="837"/>
      <c r="N338" s="837">
        <f ca="1">IFERROR(IF(INDIRECT("'"&amp;$H$3&amp;"'!N248")="Route-based",N343*N344,IF(INDIRECT("'"&amp;$H$3&amp;"'!N248")="Point-to-point",N348*N349,0)),0)</f>
        <v>0</v>
      </c>
      <c r="O338" s="837"/>
      <c r="P338" s="837"/>
      <c r="Q338" s="837">
        <f ca="1">IFERROR(IF(INDIRECT("'"&amp;$H$3&amp;"'!Q248")="Route-based",Q343*Q344,IF(INDIRECT("'"&amp;$H$3&amp;"'!Q248")="Point-to-point",Q348*Q349,0)),0)</f>
        <v>0</v>
      </c>
      <c r="R338" s="1650"/>
      <c r="S338" s="1650"/>
      <c r="T338" s="837">
        <f ca="1">IFERROR(IF(INDIRECT("'"&amp;$H$3&amp;"'!T248")="Route-based",T343*T344,IF(INDIRECT("'"&amp;$H$3&amp;"'!T248")="Point-to-point",T348*T349,0)),0)</f>
        <v>0</v>
      </c>
      <c r="U338" s="1650"/>
      <c r="V338" s="1650"/>
      <c r="W338" s="837">
        <f ca="1">IFERROR(IF(INDIRECT("'"&amp;$H$3&amp;"'!W248")="Route-based",W343*W344,IF(INDIRECT("'"&amp;$H$3&amp;"'!W248")="Point-to-point",W348*W349,0)),0)</f>
        <v>0</v>
      </c>
      <c r="X338" s="1468"/>
      <c r="Y338" s="36"/>
      <c r="Z338" s="36"/>
      <c r="AA338" s="36"/>
      <c r="AB338" s="36"/>
      <c r="AC338" s="36"/>
      <c r="AD338" s="36"/>
      <c r="AE338" s="36"/>
      <c r="AF338" s="36"/>
      <c r="AG338" s="36"/>
      <c r="AH338" s="36"/>
      <c r="AI338" s="36"/>
      <c r="AJ338" s="36"/>
      <c r="AK338" s="242"/>
      <c r="AL338" s="36"/>
      <c r="AM338" s="36"/>
      <c r="AN338" s="36"/>
    </row>
    <row r="339" spans="6:40" ht="15" customHeight="1" outlineLevel="1">
      <c r="F339" s="52"/>
      <c r="G339" s="51" t="s">
        <v>59</v>
      </c>
      <c r="H339" s="837"/>
      <c r="I339" s="837"/>
      <c r="J339" s="837"/>
      <c r="K339" s="837">
        <f ca="1">IFERROR(IF(INDIRECT("'"&amp;$H$3&amp;"'!K248")="Route-based",ROUND(K343*K345/INDIRECT("'"&amp;$H$3&amp;"'!$H$10"),0),IF(INDIRECT("'"&amp;$H$3&amp;"'!K248")="Point-to-point",ROUND(((K337*INDIRECT("'"&amp;$H$3&amp;"'!K$96")*((1/60)*(INDIRECT("'"&amp;$H$3&amp;"'!K253")+INDIRECT("'"&amp;$H$3&amp;"'!$H$19")*(INDIRECT("'"&amp;$H$3&amp;"'!K254")+(INDIRECT("'"&amp;$H$3&amp;"'!K255")*('4_Outputs'!K$52/INDIRECT("'"&amp;$H$3&amp;"'!K$96")/INDIRECT("'"&amp;$H$3&amp;"'!$H$19")))))))+(K338/INDIRECT("'"&amp;$H$3&amp;"'!K257")))/INDIRECT("'"&amp;$H$3&amp;"'!$H$10"),0),0)),0)</f>
        <v>0</v>
      </c>
      <c r="L339" s="837"/>
      <c r="M339" s="837"/>
      <c r="N339" s="837">
        <f ca="1">IFERROR(IF(INDIRECT("'"&amp;$H$3&amp;"'!N248")="Route-based",ROUND(N343*N345/INDIRECT("'"&amp;$H$3&amp;"'!$H$10"),0),IF(INDIRECT("'"&amp;$H$3&amp;"'!N248")="Point-to-point",ROUND(((N337*INDIRECT("'"&amp;$H$3&amp;"'!N$96")*((1/60)*(INDIRECT("'"&amp;$H$3&amp;"'!N253")+INDIRECT("'"&amp;$H$3&amp;"'!$H$19")*(INDIRECT("'"&amp;$H$3&amp;"'!N254")+(INDIRECT("'"&amp;$H$3&amp;"'!N255")*('4_Outputs'!N$52/INDIRECT("'"&amp;$H$3&amp;"'!N$96")/INDIRECT("'"&amp;$H$3&amp;"'!$H$19")))))))+(N338/INDIRECT("'"&amp;$H$3&amp;"'!N257")))/INDIRECT("'"&amp;$H$3&amp;"'!$H$10"),0),0)),0)</f>
        <v>0</v>
      </c>
      <c r="O339" s="837"/>
      <c r="P339" s="837"/>
      <c r="Q339" s="837">
        <f ca="1">IFERROR(IF(INDIRECT("'"&amp;$H$3&amp;"'!Q248")="Route-based",ROUND(Q343*Q345/INDIRECT("'"&amp;$H$3&amp;"'!$H$10"),0),IF(INDIRECT("'"&amp;$H$3&amp;"'!Q248")="Point-to-point",ROUND(((Q337*INDIRECT("'"&amp;$H$3&amp;"'!Q$96")*((1/60)*(INDIRECT("'"&amp;$H$3&amp;"'!Q253")+INDIRECT("'"&amp;$H$3&amp;"'!$H$19")*(INDIRECT("'"&amp;$H$3&amp;"'!Q254")+(INDIRECT("'"&amp;$H$3&amp;"'!Q255")*('4_Outputs'!Q$52/INDIRECT("'"&amp;$H$3&amp;"'!Q$96")/INDIRECT("'"&amp;$H$3&amp;"'!$H$19")))))))+(Q338/INDIRECT("'"&amp;$H$3&amp;"'!Q257")))/INDIRECT("'"&amp;$H$3&amp;"'!$H$10"),0),0)),0)</f>
        <v>0</v>
      </c>
      <c r="R339" s="837"/>
      <c r="S339" s="837"/>
      <c r="T339" s="837">
        <f ca="1">IFERROR(IF(INDIRECT("'"&amp;$H$3&amp;"'!T248")="Route-based",ROUND(T343*T345/INDIRECT("'"&amp;$H$3&amp;"'!$H$10"),0),IF(INDIRECT("'"&amp;$H$3&amp;"'!T248")="Point-to-point",ROUND(((T337*INDIRECT("'"&amp;$H$3&amp;"'!T$96")*((1/60)*(INDIRECT("'"&amp;$H$3&amp;"'!T253")+INDIRECT("'"&amp;$H$3&amp;"'!$H$19")*(INDIRECT("'"&amp;$H$3&amp;"'!T254")+(INDIRECT("'"&amp;$H$3&amp;"'!T255")*('4_Outputs'!T$52/INDIRECT("'"&amp;$H$3&amp;"'!T$96")/INDIRECT("'"&amp;$H$3&amp;"'!$H$19")))))))+(T338/INDIRECT("'"&amp;$H$3&amp;"'!T257")))/INDIRECT("'"&amp;$H$3&amp;"'!$H$10"),0),0)),0)</f>
        <v>0</v>
      </c>
      <c r="U339" s="837"/>
      <c r="V339" s="837"/>
      <c r="W339" s="837">
        <f ca="1">IFERROR(IF(INDIRECT("'"&amp;$H$3&amp;"'!W248")="Route-based",ROUND(W343*W345/INDIRECT("'"&amp;$H$3&amp;"'!$H$10"),0),IF(INDIRECT("'"&amp;$H$3&amp;"'!W248")="Point-to-point",ROUND(((W337*INDIRECT("'"&amp;$H$3&amp;"'!W$96")*((1/60)*(INDIRECT("'"&amp;$H$3&amp;"'!W253")+INDIRECT("'"&amp;$H$3&amp;"'!$H$19")*(INDIRECT("'"&amp;$H$3&amp;"'!W254")+(INDIRECT("'"&amp;$H$3&amp;"'!W255")*('4_Outputs'!W$52/INDIRECT("'"&amp;$H$3&amp;"'!W$96")/INDIRECT("'"&amp;$H$3&amp;"'!$H$19")))))))+(W338/INDIRECT("'"&amp;$H$3&amp;"'!W257")))/INDIRECT("'"&amp;$H$3&amp;"'!$H$10"),0),0)),0)</f>
        <v>0</v>
      </c>
      <c r="X339" s="1468"/>
      <c r="Y339" s="36"/>
      <c r="Z339" s="36"/>
      <c r="AA339" s="36"/>
      <c r="AB339" s="36"/>
      <c r="AC339" s="36"/>
      <c r="AD339" s="36"/>
      <c r="AE339" s="36"/>
      <c r="AF339" s="36"/>
      <c r="AG339" s="36"/>
      <c r="AH339" s="36"/>
      <c r="AI339" s="36"/>
      <c r="AJ339" s="36"/>
      <c r="AK339" s="242"/>
      <c r="AL339" s="36"/>
      <c r="AM339" s="36"/>
      <c r="AN339" s="36"/>
    </row>
    <row r="340" spans="6:40" ht="15" customHeight="1" outlineLevel="1">
      <c r="F340" s="52"/>
      <c r="G340" s="51" t="s">
        <v>86</v>
      </c>
      <c r="H340" s="839"/>
      <c r="I340" s="839"/>
      <c r="J340" s="839"/>
      <c r="K340" s="839">
        <f ca="1">IFERROR(IF(INDIRECT("'"&amp;$H$3&amp;"'!K248")="Route-based",IF(INDIRECT("'"&amp;$H$3&amp;"'!K245")="Yes",K249, IF(INDIRECT("'"&amp;$H$3&amp;"'!K245")="No",K339/(INDIRECT("'"&amp;$H$3&amp;"'!$H$9")*INDIRECT("'"&amp;$H$3&amp;"'!K244")))),
IF(INDIRECT("'"&amp;$H$3&amp;"'!K248")="Point-to-point",IF(INDIRECT("'"&amp;$H$3&amp;"'!K245")="Yes",K249,IF(INDIRECT("'"&amp;$H$3&amp;"'!K245")="No",K339/(INDIRECT("'"&amp;$H$3&amp;"'!$H$9")*INDIRECT("'"&amp;$H$3&amp;"'!K244")))),0)),0)</f>
        <v>0</v>
      </c>
      <c r="L340" s="839"/>
      <c r="M340" s="839"/>
      <c r="N340" s="839">
        <f ca="1">IFERROR(IF(INDIRECT("'"&amp;$H$3&amp;"'!N248")="Route-based",IF(INDIRECT("'"&amp;$H$3&amp;"'!N245")="Yes",N249, IF(INDIRECT("'"&amp;$H$3&amp;"'!N245")="No",N339/(INDIRECT("'"&amp;$H$3&amp;"'!$H$9")*INDIRECT("'"&amp;$H$3&amp;"'!N244")))),
IF(INDIRECT("'"&amp;$H$3&amp;"'!N248")="Point-to-point",IF(INDIRECT("'"&amp;$H$3&amp;"'!N245")="Yes",N249,IF(INDIRECT("'"&amp;$H$3&amp;"'!N245")="No",N339/(INDIRECT("'"&amp;$H$3&amp;"'!$H$9")*INDIRECT("'"&amp;$H$3&amp;"'!N244")))),0)),0)</f>
        <v>0</v>
      </c>
      <c r="O340" s="839"/>
      <c r="P340" s="839"/>
      <c r="Q340" s="839">
        <f ca="1">IFERROR(IF(INDIRECT("'"&amp;$H$3&amp;"'!Q248")="Route-based",IF(INDIRECT("'"&amp;$H$3&amp;"'!Q245")="Yes",Q249, IF(INDIRECT("'"&amp;$H$3&amp;"'!Q245")="No",Q339/(INDIRECT("'"&amp;$H$3&amp;"'!$H$9")*INDIRECT("'"&amp;$H$3&amp;"'!Q244")))),
IF(INDIRECT("'"&amp;$H$3&amp;"'!Q248")="Point-to-point",IF(INDIRECT("'"&amp;$H$3&amp;"'!Q245")="Yes",Q249,IF(INDIRECT("'"&amp;$H$3&amp;"'!Q245")="No",Q339/(INDIRECT("'"&amp;$H$3&amp;"'!$H$9")*INDIRECT("'"&amp;$H$3&amp;"'!Q244")))),0)),0)</f>
        <v>0</v>
      </c>
      <c r="R340" s="839"/>
      <c r="S340" s="839"/>
      <c r="T340" s="839">
        <f ca="1">IFERROR(IF(INDIRECT("'"&amp;$H$3&amp;"'!T248")="Route-based",IF(INDIRECT("'"&amp;$H$3&amp;"'!T245")="Yes",T249, IF(INDIRECT("'"&amp;$H$3&amp;"'!T245")="No",T339/(INDIRECT("'"&amp;$H$3&amp;"'!$H$9")*INDIRECT("'"&amp;$H$3&amp;"'!T244")))),
IF(INDIRECT("'"&amp;$H$3&amp;"'!T248")="Point-to-point",IF(INDIRECT("'"&amp;$H$3&amp;"'!T245")="Yes",T249,IF(INDIRECT("'"&amp;$H$3&amp;"'!T245")="No",T339/(INDIRECT("'"&amp;$H$3&amp;"'!$H$9")*INDIRECT("'"&amp;$H$3&amp;"'!T244")))),0)),0)</f>
        <v>0</v>
      </c>
      <c r="U340" s="839"/>
      <c r="V340" s="839"/>
      <c r="W340" s="839">
        <f ca="1">IFERROR(IF(INDIRECT("'"&amp;$H$3&amp;"'!W248")="Route-based",IF(INDIRECT("'"&amp;$H$3&amp;"'!W245")="Yes",W249, IF(INDIRECT("'"&amp;$H$3&amp;"'!W245")="No",W339/(INDIRECT("'"&amp;$H$3&amp;"'!$H$9")*INDIRECT("'"&amp;$H$3&amp;"'!W244")))),
IF(INDIRECT("'"&amp;$H$3&amp;"'!W248")="Point-to-point",IF(INDIRECT("'"&amp;$H$3&amp;"'!W245")="Yes",W249,IF(INDIRECT("'"&amp;$H$3&amp;"'!W245")="No",W339/(INDIRECT("'"&amp;$H$3&amp;"'!$H$9")*INDIRECT("'"&amp;$H$3&amp;"'!W244")))),0)),0)</f>
        <v>0</v>
      </c>
      <c r="X340" s="1470"/>
      <c r="Y340" s="36"/>
      <c r="Z340" s="36"/>
      <c r="AA340" s="36"/>
      <c r="AB340" s="36"/>
      <c r="AC340" s="36"/>
      <c r="AD340" s="36"/>
      <c r="AE340" s="36"/>
      <c r="AF340" s="36"/>
      <c r="AG340" s="36"/>
      <c r="AH340" s="36"/>
      <c r="AI340" s="36"/>
      <c r="AJ340" s="36"/>
      <c r="AK340" s="36" t="s">
        <v>191</v>
      </c>
      <c r="AL340" s="36"/>
      <c r="AM340" s="36"/>
      <c r="AN340" s="36"/>
    </row>
    <row r="341" spans="6:40" ht="15" customHeight="1" outlineLevel="1" collapsed="1">
      <c r="F341" s="52"/>
      <c r="G341" s="1613" t="s">
        <v>133</v>
      </c>
      <c r="H341" s="842"/>
      <c r="I341" s="842"/>
      <c r="J341" s="842"/>
      <c r="K341" s="842"/>
      <c r="L341" s="842"/>
      <c r="M341" s="842"/>
      <c r="N341" s="842"/>
      <c r="O341" s="842"/>
      <c r="P341" s="842"/>
      <c r="Q341" s="842"/>
      <c r="R341" s="1650"/>
      <c r="S341" s="1650"/>
      <c r="T341" s="842"/>
      <c r="U341" s="1650"/>
      <c r="V341" s="1650"/>
      <c r="W341" s="842"/>
      <c r="X341" s="1470"/>
      <c r="Y341" s="36"/>
      <c r="Z341" s="36"/>
      <c r="AA341" s="36"/>
      <c r="AB341" s="36"/>
      <c r="AC341" s="36"/>
      <c r="AD341" s="36"/>
      <c r="AE341" s="36"/>
      <c r="AF341" s="36"/>
      <c r="AG341" s="36"/>
      <c r="AH341" s="36"/>
      <c r="AI341" s="36"/>
      <c r="AJ341" s="36"/>
      <c r="AK341" s="36"/>
      <c r="AL341" s="36"/>
      <c r="AM341" s="36"/>
      <c r="AN341" s="36"/>
    </row>
    <row r="342" spans="6:40" ht="15" customHeight="1" outlineLevel="1">
      <c r="F342" s="52"/>
      <c r="G342" s="51" t="s">
        <v>129</v>
      </c>
      <c r="H342" s="836"/>
      <c r="I342" s="836"/>
      <c r="J342" s="836"/>
      <c r="K342" s="836">
        <f ca="1">IFERROR(((INDIRECT("'"&amp;$H$3&amp;"'!K249")*INDIRECT("'"&amp;$H$3&amp;"'!$H$10"))-(2*INDIRECT("'"&amp;$H$3&amp;"'!K$98")/INDIRECT("'"&amp;$H$3&amp;"'!K257"))+(INDIRECT("'"&amp;$H$3&amp;"'!K$99")/INDIRECT("'"&amp;$H$3&amp;"'!K256")))/(((1/60)*(INDIRECT("'"&amp;$H$3&amp;"'!K253")+INDIRECT("'"&amp;$H$3&amp;"'!$H$19")*(INDIRECT("'"&amp;$H$3&amp;"'!K254")+(INDIRECT("'"&amp;$H$3&amp;"'!K255")*('4_Outputs'!K$52/INDIRECT("'"&amp;$H$3&amp;"'!K$96")/INDIRECT("'"&amp;$H$3&amp;"'!$H$19"))))))+(INDIRECT("'"&amp;$H$3&amp;"'!K$99")/INDIRECT("'"&amp;$H$3&amp;"'!K256"))),0)</f>
        <v>0</v>
      </c>
      <c r="L342" s="836"/>
      <c r="M342" s="836"/>
      <c r="N342" s="836">
        <f ca="1">IFERROR(((INDIRECT("'"&amp;$H$3&amp;"'!N249")*INDIRECT("'"&amp;$H$3&amp;"'!$H$10"))-(2*INDIRECT("'"&amp;$H$3&amp;"'!N$98")/INDIRECT("'"&amp;$H$3&amp;"'!N257"))+(INDIRECT("'"&amp;$H$3&amp;"'!N$99")/INDIRECT("'"&amp;$H$3&amp;"'!N256")))/(((1/60)*(INDIRECT("'"&amp;$H$3&amp;"'!N253")+INDIRECT("'"&amp;$H$3&amp;"'!$H$19")*(INDIRECT("'"&amp;$H$3&amp;"'!N254")+(INDIRECT("'"&amp;$H$3&amp;"'!N255")*('4_Outputs'!N$52/INDIRECT("'"&amp;$H$3&amp;"'!N$96")/INDIRECT("'"&amp;$H$3&amp;"'!$H$19"))))))+(INDIRECT("'"&amp;$H$3&amp;"'!N$99")/INDIRECT("'"&amp;$H$3&amp;"'!N256"))),0)</f>
        <v>0</v>
      </c>
      <c r="O342" s="836"/>
      <c r="P342" s="836"/>
      <c r="Q342" s="836">
        <f ca="1">IFERROR(((INDIRECT("'"&amp;$H$3&amp;"'!Q249")*INDIRECT("'"&amp;$H$3&amp;"'!$H$10"))-(2*INDIRECT("'"&amp;$H$3&amp;"'!Q$98")/INDIRECT("'"&amp;$H$3&amp;"'!Q257"))+(INDIRECT("'"&amp;$H$3&amp;"'!Q$99")/INDIRECT("'"&amp;$H$3&amp;"'!Q256")))/(((1/60)*(INDIRECT("'"&amp;$H$3&amp;"'!Q253")+INDIRECT("'"&amp;$H$3&amp;"'!$H$19")*(INDIRECT("'"&amp;$H$3&amp;"'!Q254")+(INDIRECT("'"&amp;$H$3&amp;"'!Q255")*('4_Outputs'!Q$52/INDIRECT("'"&amp;$H$3&amp;"'!Q$96")/INDIRECT("'"&amp;$H$3&amp;"'!$H$19"))))))+(INDIRECT("'"&amp;$H$3&amp;"'!Q$99")/INDIRECT("'"&amp;$H$3&amp;"'!Q256"))),0)</f>
        <v>0</v>
      </c>
      <c r="R342" s="836"/>
      <c r="S342" s="836"/>
      <c r="T342" s="836">
        <f ca="1">IFERROR(((INDIRECT("'"&amp;$H$3&amp;"'!T249")*INDIRECT("'"&amp;$H$3&amp;"'!$H$10"))-(2*INDIRECT("'"&amp;$H$3&amp;"'!T$98")/INDIRECT("'"&amp;$H$3&amp;"'!T257"))+(INDIRECT("'"&amp;$H$3&amp;"'!T$99")/INDIRECT("'"&amp;$H$3&amp;"'!T256")))/(((1/60)*(INDIRECT("'"&amp;$H$3&amp;"'!T253")+INDIRECT("'"&amp;$H$3&amp;"'!$H$19")*(INDIRECT("'"&amp;$H$3&amp;"'!T254")+(INDIRECT("'"&amp;$H$3&amp;"'!T255")*('4_Outputs'!T$52/INDIRECT("'"&amp;$H$3&amp;"'!T$96")/INDIRECT("'"&amp;$H$3&amp;"'!$H$19"))))))+(INDIRECT("'"&amp;$H$3&amp;"'!T$99")/INDIRECT("'"&amp;$H$3&amp;"'!T256"))),0)</f>
        <v>0</v>
      </c>
      <c r="U342" s="836"/>
      <c r="V342" s="836"/>
      <c r="W342" s="836">
        <f ca="1">IFERROR(((INDIRECT("'"&amp;$H$3&amp;"'!W249")*INDIRECT("'"&amp;$H$3&amp;"'!$H$10"))-(2*INDIRECT("'"&amp;$H$3&amp;"'!W$98")/INDIRECT("'"&amp;$H$3&amp;"'!W257"))+(INDIRECT("'"&amp;$H$3&amp;"'!W$99")/INDIRECT("'"&amp;$H$3&amp;"'!W256")))/(((1/60)*(INDIRECT("'"&amp;$H$3&amp;"'!W253")+INDIRECT("'"&amp;$H$3&amp;"'!$H$19")*(INDIRECT("'"&amp;$H$3&amp;"'!W254")+(INDIRECT("'"&amp;$H$3&amp;"'!W255")*('4_Outputs'!W$52/INDIRECT("'"&amp;$H$3&amp;"'!W$96")/INDIRECT("'"&amp;$H$3&amp;"'!$H$19"))))))+(INDIRECT("'"&amp;$H$3&amp;"'!W$99")/INDIRECT("'"&amp;$H$3&amp;"'!W256"))),0)</f>
        <v>0</v>
      </c>
      <c r="X342" s="1469"/>
      <c r="Y342" s="36"/>
      <c r="Z342" s="36"/>
      <c r="AA342" s="36"/>
      <c r="AB342" s="36"/>
      <c r="AC342" s="36"/>
      <c r="AD342" s="36"/>
      <c r="AE342" s="36"/>
      <c r="AF342" s="36"/>
      <c r="AG342" s="36"/>
      <c r="AH342" s="36"/>
      <c r="AI342" s="36"/>
      <c r="AJ342" s="36"/>
      <c r="AK342" s="36"/>
      <c r="AL342" s="36"/>
      <c r="AM342" s="36"/>
      <c r="AN342" s="36"/>
    </row>
    <row r="343" spans="6:40" ht="15" customHeight="1" outlineLevel="1">
      <c r="F343" s="52"/>
      <c r="G343" s="51" t="s">
        <v>206</v>
      </c>
      <c r="H343" s="836"/>
      <c r="I343" s="836"/>
      <c r="J343" s="836"/>
      <c r="K343" s="836">
        <f ca="1">IFERROR(ROUND(K337*INDIRECT("'"&amp;$H$3&amp;"'!K$96")/K342,0),0)</f>
        <v>0</v>
      </c>
      <c r="L343" s="836"/>
      <c r="M343" s="836"/>
      <c r="N343" s="836">
        <f ca="1">IFERROR(ROUND(N337*INDIRECT("'"&amp;$H$3&amp;"'!N$96")/N342,0),0)</f>
        <v>0</v>
      </c>
      <c r="O343" s="836"/>
      <c r="P343" s="836"/>
      <c r="Q343" s="836">
        <f ca="1">IFERROR(ROUND(Q337*INDIRECT("'"&amp;$H$3&amp;"'!Q$96")/Q342,0),0)</f>
        <v>0</v>
      </c>
      <c r="R343" s="836"/>
      <c r="S343" s="836"/>
      <c r="T343" s="836">
        <f ca="1">IFERROR(ROUND(T337*INDIRECT("'"&amp;$H$3&amp;"'!T$96")/T342,0),0)</f>
        <v>0</v>
      </c>
      <c r="U343" s="836"/>
      <c r="V343" s="836"/>
      <c r="W343" s="836">
        <f ca="1">IFERROR(ROUND(W337*INDIRECT("'"&amp;$H$3&amp;"'!W$96")/W342,0),0)</f>
        <v>0</v>
      </c>
      <c r="X343" s="1469"/>
      <c r="Y343" s="36"/>
      <c r="Z343" s="36"/>
      <c r="AA343" s="36"/>
      <c r="AB343" s="36"/>
      <c r="AC343" s="36"/>
      <c r="AD343" s="36"/>
      <c r="AE343" s="36"/>
      <c r="AF343" s="36"/>
      <c r="AG343" s="36"/>
      <c r="AH343" s="36"/>
      <c r="AI343" s="36"/>
      <c r="AJ343" s="36"/>
      <c r="AK343" s="36"/>
      <c r="AL343" s="36"/>
      <c r="AM343" s="36"/>
      <c r="AN343" s="36"/>
    </row>
    <row r="344" spans="6:40" ht="15" customHeight="1" outlineLevel="1">
      <c r="F344" s="52"/>
      <c r="G344" s="51" t="s">
        <v>87</v>
      </c>
      <c r="H344" s="836"/>
      <c r="I344" s="836"/>
      <c r="J344" s="836"/>
      <c r="K344" s="836">
        <f ca="1">IFERROR(IF(K337=0,0,(2*INDIRECT("'"&amp;$H$3&amp;"'!K$98"))+((MAX(K342, 1)-1)*INDIRECT("'"&amp;$H$3&amp;"'!K$99"))),0)</f>
        <v>0</v>
      </c>
      <c r="L344" s="836"/>
      <c r="M344" s="836"/>
      <c r="N344" s="836">
        <f ca="1">IFERROR(IF(N337=0,0,(2*INDIRECT("'"&amp;$H$3&amp;"'!N$98"))+((MAX(N342, 1)-1)*INDIRECT("'"&amp;$H$3&amp;"'!N$99"))),0)</f>
        <v>0</v>
      </c>
      <c r="O344" s="836"/>
      <c r="P344" s="836"/>
      <c r="Q344" s="836">
        <f ca="1">IFERROR(IF(Q337=0,0,(2*INDIRECT("'"&amp;$H$3&amp;"'!Q$98"))+((MAX(Q342, 1)-1)*INDIRECT("'"&amp;$H$3&amp;"'!Q$99"))),0)</f>
        <v>0</v>
      </c>
      <c r="R344" s="836"/>
      <c r="S344" s="836"/>
      <c r="T344" s="836">
        <f ca="1">IFERROR(IF(T337=0,0,(2*INDIRECT("'"&amp;$H$3&amp;"'!T$98"))+((MAX(T342, 1)-1)*INDIRECT("'"&amp;$H$3&amp;"'!T$99"))),0)</f>
        <v>0</v>
      </c>
      <c r="U344" s="836"/>
      <c r="V344" s="836"/>
      <c r="W344" s="836">
        <f ca="1">IFERROR(IF(W337=0,0,(2*INDIRECT("'"&amp;$H$3&amp;"'!W$98"))+((MAX(W342, 1)-1)*INDIRECT("'"&amp;$H$3&amp;"'!W$99"))),0)</f>
        <v>0</v>
      </c>
      <c r="X344" s="1469"/>
      <c r="Y344" s="36"/>
      <c r="Z344" s="36"/>
      <c r="AA344" s="36"/>
      <c r="AB344" s="36"/>
      <c r="AC344" s="36"/>
      <c r="AD344" s="36"/>
      <c r="AE344" s="36"/>
      <c r="AF344" s="36"/>
      <c r="AG344" s="36"/>
      <c r="AH344" s="36"/>
      <c r="AI344" s="36"/>
      <c r="AJ344" s="36"/>
      <c r="AK344" s="36"/>
      <c r="AL344" s="36"/>
      <c r="AM344" s="36"/>
      <c r="AN344" s="36"/>
    </row>
    <row r="345" spans="6:40" ht="15" customHeight="1" outlineLevel="1">
      <c r="F345" s="52"/>
      <c r="G345" s="51" t="s">
        <v>203</v>
      </c>
      <c r="H345" s="836"/>
      <c r="I345" s="836"/>
      <c r="J345" s="836"/>
      <c r="K345" s="836">
        <f ca="1">IFERROR((ROUNDUP(K342,1)*((1/60)*(INDIRECT("'"&amp;$H$3&amp;"'!K253")+INDIRECT("'"&amp;$H$3&amp;"'!$H$19")*(INDIRECT("'"&amp;$H$3&amp;"'!K254")+(INDIRECT("'"&amp;$H$3&amp;"'!K255")*('4_Outputs'!K$52/INDIRECT("'"&amp;$H$3&amp;"'!K$96")/INDIRECT("'"&amp;$H$3&amp;"'!$H$19")))))))+((2*INDIRECT("'"&amp;$H$3&amp;"'!K$98"))/INDIRECT("'"&amp;$H$3&amp;"'!K257"))+(((MAX(K342,1)-1)*INDIRECT("'"&amp;$H$3&amp;"'!K$99"))/INDIRECT("'"&amp;$H$3&amp;"'!K256")),0)</f>
        <v>0</v>
      </c>
      <c r="L345" s="836"/>
      <c r="M345" s="836"/>
      <c r="N345" s="836">
        <f ca="1">IFERROR((ROUNDUP(N342,1)*((1/60)*(INDIRECT("'"&amp;$H$3&amp;"'!N253")+INDIRECT("'"&amp;$H$3&amp;"'!$H$19")*(INDIRECT("'"&amp;$H$3&amp;"'!N254")+(INDIRECT("'"&amp;$H$3&amp;"'!N255")*('4_Outputs'!N$52/INDIRECT("'"&amp;$H$3&amp;"'!N$96")/INDIRECT("'"&amp;$H$3&amp;"'!$H$19")))))))+((2*INDIRECT("'"&amp;$H$3&amp;"'!N$98"))/INDIRECT("'"&amp;$H$3&amp;"'!N257"))+(((MAX(N342,1)-1)*INDIRECT("'"&amp;$H$3&amp;"'!N$99"))/INDIRECT("'"&amp;$H$3&amp;"'!N256")),0)</f>
        <v>0</v>
      </c>
      <c r="O345" s="836"/>
      <c r="P345" s="836"/>
      <c r="Q345" s="836">
        <f ca="1">IFERROR((ROUNDUP(Q342,1)*((1/60)*(INDIRECT("'"&amp;$H$3&amp;"'!Q253")+INDIRECT("'"&amp;$H$3&amp;"'!$H$19")*(INDIRECT("'"&amp;$H$3&amp;"'!Q254")+(INDIRECT("'"&amp;$H$3&amp;"'!Q255")*('4_Outputs'!Q$52/INDIRECT("'"&amp;$H$3&amp;"'!Q$96")/INDIRECT("'"&amp;$H$3&amp;"'!$H$19")))))))+((2*INDIRECT("'"&amp;$H$3&amp;"'!Q$98"))/INDIRECT("'"&amp;$H$3&amp;"'!Q257"))+(((MAX(Q342,1)-1)*INDIRECT("'"&amp;$H$3&amp;"'!Q$99"))/INDIRECT("'"&amp;$H$3&amp;"'!Q256")),0)</f>
        <v>0</v>
      </c>
      <c r="R345" s="836"/>
      <c r="S345" s="836"/>
      <c r="T345" s="836">
        <f ca="1">IFERROR((ROUNDUP(T342,1)*((1/60)*(INDIRECT("'"&amp;$H$3&amp;"'!T253")+INDIRECT("'"&amp;$H$3&amp;"'!$H$19")*(INDIRECT("'"&amp;$H$3&amp;"'!T254")+(INDIRECT("'"&amp;$H$3&amp;"'!T255")*('4_Outputs'!T$52/INDIRECT("'"&amp;$H$3&amp;"'!T$96")/INDIRECT("'"&amp;$H$3&amp;"'!$H$19")))))))+((2*INDIRECT("'"&amp;$H$3&amp;"'!T$98"))/INDIRECT("'"&amp;$H$3&amp;"'!T257"))+(((MAX(T342,1)-1)*INDIRECT("'"&amp;$H$3&amp;"'!T$99"))/INDIRECT("'"&amp;$H$3&amp;"'!T256")),0)</f>
        <v>0</v>
      </c>
      <c r="U345" s="836"/>
      <c r="V345" s="836"/>
      <c r="W345" s="836">
        <f ca="1">IFERROR((ROUNDUP(W342,1)*((1/60)*(INDIRECT("'"&amp;$H$3&amp;"'!W253")+INDIRECT("'"&amp;$H$3&amp;"'!$H$19")*(INDIRECT("'"&amp;$H$3&amp;"'!W254")+(INDIRECT("'"&amp;$H$3&amp;"'!W255")*('4_Outputs'!W$52/INDIRECT("'"&amp;$H$3&amp;"'!W$96")/INDIRECT("'"&amp;$H$3&amp;"'!$H$19")))))))+((2*INDIRECT("'"&amp;$H$3&amp;"'!W$98"))/INDIRECT("'"&amp;$H$3&amp;"'!W257"))+(((MAX(W342,1)-1)*INDIRECT("'"&amp;$H$3&amp;"'!W$99"))/INDIRECT("'"&amp;$H$3&amp;"'!W256")),0)</f>
        <v>0</v>
      </c>
      <c r="X345" s="1465"/>
      <c r="Y345" s="36"/>
      <c r="Z345" s="36"/>
      <c r="AA345" s="36"/>
      <c r="AB345" s="36"/>
      <c r="AC345" s="36"/>
      <c r="AD345" s="36"/>
      <c r="AE345" s="36"/>
      <c r="AF345" s="36"/>
      <c r="AG345" s="36"/>
      <c r="AH345" s="36"/>
      <c r="AI345" s="36"/>
      <c r="AJ345" s="36"/>
      <c r="AK345" s="36"/>
      <c r="AL345" s="36"/>
      <c r="AM345" s="36"/>
      <c r="AN345" s="36"/>
    </row>
    <row r="346" spans="6:40" ht="15" customHeight="1" outlineLevel="1">
      <c r="F346" s="52"/>
      <c r="G346" s="51" t="s">
        <v>204</v>
      </c>
      <c r="H346" s="836"/>
      <c r="I346" s="836"/>
      <c r="J346" s="836"/>
      <c r="K346" s="836">
        <f ca="1">IFERROR((INDIRECT("'"&amp;$H$3&amp;"'!$H$10")*INDIRECT("'"&amp;$H$3&amp;"'!$H$9")*INDIRECT("'"&amp;$H$3&amp;"'!K244"))/K345,0)</f>
        <v>0</v>
      </c>
      <c r="L346" s="836"/>
      <c r="M346" s="836"/>
      <c r="N346" s="836">
        <f ca="1">IFERROR((INDIRECT("'"&amp;$H$3&amp;"'!$H$10")*INDIRECT("'"&amp;$H$3&amp;"'!$H$9")*INDIRECT("'"&amp;$H$3&amp;"'!N244"))/N345,0)</f>
        <v>0</v>
      </c>
      <c r="O346" s="836"/>
      <c r="P346" s="836"/>
      <c r="Q346" s="836">
        <f ca="1">IFERROR((INDIRECT("'"&amp;$H$3&amp;"'!$H$10")*INDIRECT("'"&amp;$H$3&amp;"'!$H$9")*INDIRECT("'"&amp;$H$3&amp;"'!Q244"))/Q345,0)</f>
        <v>0</v>
      </c>
      <c r="R346" s="836"/>
      <c r="S346" s="836"/>
      <c r="T346" s="836">
        <f ca="1">IFERROR((INDIRECT("'"&amp;$H$3&amp;"'!$H$10")*INDIRECT("'"&amp;$H$3&amp;"'!$H$9")*INDIRECT("'"&amp;$H$3&amp;"'!T244"))/T345,0)</f>
        <v>0</v>
      </c>
      <c r="U346" s="836"/>
      <c r="V346" s="836"/>
      <c r="W346" s="836">
        <f ca="1">IFERROR((INDIRECT("'"&amp;$H$3&amp;"'!$H$10")*INDIRECT("'"&amp;$H$3&amp;"'!$H$9")*INDIRECT("'"&amp;$H$3&amp;"'!W244"))/W345,0)</f>
        <v>0</v>
      </c>
      <c r="X346" s="1465"/>
      <c r="Y346" s="36"/>
      <c r="Z346" s="36"/>
      <c r="AA346" s="36"/>
      <c r="AB346" s="36"/>
      <c r="AC346" s="36"/>
      <c r="AD346" s="36"/>
      <c r="AE346" s="36"/>
      <c r="AF346" s="36"/>
      <c r="AG346" s="36"/>
      <c r="AH346" s="36"/>
      <c r="AI346" s="36"/>
      <c r="AJ346" s="36"/>
      <c r="AK346" s="242"/>
      <c r="AL346" s="36"/>
      <c r="AM346" s="36"/>
      <c r="AN346" s="36"/>
    </row>
    <row r="347" spans="6:40" ht="15" customHeight="1" outlineLevel="1">
      <c r="F347" s="52"/>
      <c r="G347" s="1613" t="s">
        <v>134</v>
      </c>
      <c r="H347" s="842"/>
      <c r="I347" s="842"/>
      <c r="J347" s="842"/>
      <c r="K347" s="842"/>
      <c r="L347" s="842"/>
      <c r="M347" s="842"/>
      <c r="N347" s="842"/>
      <c r="O347" s="842"/>
      <c r="P347" s="842"/>
      <c r="Q347" s="842"/>
      <c r="R347" s="1650"/>
      <c r="S347" s="1650"/>
      <c r="T347" s="842"/>
      <c r="U347" s="1650"/>
      <c r="V347" s="1650"/>
      <c r="W347" s="842"/>
      <c r="X347" s="1470"/>
      <c r="Y347" s="36"/>
      <c r="Z347" s="36"/>
      <c r="AA347" s="36"/>
      <c r="AB347" s="36"/>
      <c r="AC347" s="36"/>
      <c r="AD347" s="36"/>
      <c r="AE347" s="36"/>
      <c r="AF347" s="36"/>
      <c r="AG347" s="36"/>
      <c r="AH347" s="36"/>
      <c r="AI347" s="36"/>
      <c r="AJ347" s="36"/>
      <c r="AK347" s="242"/>
      <c r="AL347" s="36"/>
      <c r="AM347" s="36"/>
      <c r="AN347" s="36"/>
    </row>
    <row r="348" spans="6:40" ht="15" customHeight="1" outlineLevel="1">
      <c r="F348" s="52"/>
      <c r="G348" s="51" t="s">
        <v>206</v>
      </c>
      <c r="H348" s="836"/>
      <c r="I348" s="836"/>
      <c r="J348" s="836"/>
      <c r="K348" s="836">
        <f ca="1">IFERROR(K337*INDIRECT("'"&amp;$H$3&amp;"'!K$96"),0)</f>
        <v>0</v>
      </c>
      <c r="L348" s="836"/>
      <c r="M348" s="836"/>
      <c r="N348" s="836">
        <f ca="1">IFERROR(N337*INDIRECT("'"&amp;$H$3&amp;"'!N$96"),0)</f>
        <v>0</v>
      </c>
      <c r="O348" s="836"/>
      <c r="P348" s="836"/>
      <c r="Q348" s="836">
        <f ca="1">IFERROR(Q337*INDIRECT("'"&amp;$H$3&amp;"'!Q$96"),0)</f>
        <v>0</v>
      </c>
      <c r="R348" s="836"/>
      <c r="S348" s="836"/>
      <c r="T348" s="836">
        <f ca="1">IFERROR(T337*INDIRECT("'"&amp;$H$3&amp;"'!T$96"),0)</f>
        <v>0</v>
      </c>
      <c r="U348" s="836"/>
      <c r="V348" s="836"/>
      <c r="W348" s="836">
        <f ca="1">IFERROR(W337*INDIRECT("'"&amp;$H$3&amp;"'!W$96"),0)</f>
        <v>0</v>
      </c>
      <c r="X348" s="1469"/>
      <c r="Y348" s="36"/>
      <c r="Z348" s="36"/>
      <c r="AA348" s="36"/>
      <c r="AB348" s="36" t="s">
        <v>192</v>
      </c>
      <c r="AC348" s="36"/>
      <c r="AD348" s="36" t="s">
        <v>193</v>
      </c>
      <c r="AE348" s="36"/>
      <c r="AF348" s="36"/>
      <c r="AG348" s="36"/>
      <c r="AH348" s="36"/>
      <c r="AI348" s="36"/>
      <c r="AJ348" s="36"/>
      <c r="AK348" s="36"/>
      <c r="AL348" s="36"/>
      <c r="AM348" s="36"/>
      <c r="AN348" s="36"/>
    </row>
    <row r="349" spans="6:40" ht="15" customHeight="1" outlineLevel="1">
      <c r="F349" s="52"/>
      <c r="G349" s="51" t="s">
        <v>87</v>
      </c>
      <c r="H349" s="836"/>
      <c r="I349" s="836"/>
      <c r="J349" s="836"/>
      <c r="K349" s="836">
        <f ca="1">IFERROR(IF(K337=0,0,2*INDIRECT("'"&amp;$H$3&amp;"'!K$98")),0)</f>
        <v>0</v>
      </c>
      <c r="L349" s="836"/>
      <c r="M349" s="836"/>
      <c r="N349" s="836">
        <f ca="1">IFERROR(IF(N337=0,0,2*INDIRECT("'"&amp;$H$3&amp;"'!N$98")),0)</f>
        <v>0</v>
      </c>
      <c r="O349" s="836"/>
      <c r="P349" s="836"/>
      <c r="Q349" s="836">
        <f ca="1">IFERROR(IF(Q337=0,0,2*INDIRECT("'"&amp;$H$3&amp;"'!Q$98")),0)</f>
        <v>0</v>
      </c>
      <c r="R349" s="836"/>
      <c r="S349" s="836"/>
      <c r="T349" s="836">
        <f ca="1">IFERROR(IF(T337=0,0,2*INDIRECT("'"&amp;$H$3&amp;"'!T$98")),0)</f>
        <v>0</v>
      </c>
      <c r="U349" s="836"/>
      <c r="V349" s="836"/>
      <c r="W349" s="836">
        <f ca="1">IFERROR(IF(W337=0,0,2*INDIRECT("'"&amp;$H$3&amp;"'!W$98")),0)</f>
        <v>0</v>
      </c>
      <c r="X349" s="1469"/>
      <c r="Y349" s="36"/>
      <c r="Z349" s="36"/>
      <c r="AA349" s="36"/>
      <c r="AB349" s="36" t="s">
        <v>194</v>
      </c>
      <c r="AC349" s="36"/>
      <c r="AD349" s="36" t="s">
        <v>195</v>
      </c>
      <c r="AE349" s="36"/>
      <c r="AF349" s="36"/>
      <c r="AG349" s="36"/>
      <c r="AH349" s="36"/>
      <c r="AI349" s="36"/>
      <c r="AJ349" s="36"/>
      <c r="AK349" s="36"/>
      <c r="AL349" s="36"/>
      <c r="AM349" s="36"/>
      <c r="AN349" s="36"/>
    </row>
    <row r="350" spans="6:40" ht="15" customHeight="1" outlineLevel="1">
      <c r="F350" s="52"/>
      <c r="G350" s="51" t="s">
        <v>204</v>
      </c>
      <c r="H350" s="837"/>
      <c r="I350" s="837"/>
      <c r="J350" s="837"/>
      <c r="K350" s="837">
        <f ca="1">IFERROR((INDIRECT("'"&amp;$H$3&amp;"'!$H$10")*INDIRECT("'"&amp;$H$3&amp;"'!$H$9")*INDIRECT("'"&amp;$H$3&amp;"'!K244"))/((K349/INDIRECT("'"&amp;$H$3&amp;"'!K257"))+((1/60)*(INDIRECT("'"&amp;$H$3&amp;"'!K253")+INDIRECT("'"&amp;$H$3&amp;"'!$H$19")*(INDIRECT("'"&amp;$H$3&amp;"'!K254")+(INDIRECT("'"&amp;$H$3&amp;"'!K255")*('4_Outputs'!K$52/INDIRECT("'"&amp;$H$3&amp;"'!K$96")/INDIRECT("'"&amp;$H$3&amp;"'!$H$19"))))))),0)</f>
        <v>0</v>
      </c>
      <c r="L350" s="837"/>
      <c r="M350" s="837"/>
      <c r="N350" s="837">
        <f ca="1">IFERROR((INDIRECT("'"&amp;$H$3&amp;"'!$H$10")*INDIRECT("'"&amp;$H$3&amp;"'!$H$9")*INDIRECT("'"&amp;$H$3&amp;"'!N244"))/((N349/INDIRECT("'"&amp;$H$3&amp;"'!N257"))+((1/60)*(INDIRECT("'"&amp;$H$3&amp;"'!N253")+INDIRECT("'"&amp;$H$3&amp;"'!$H$19")*(INDIRECT("'"&amp;$H$3&amp;"'!N254")+(INDIRECT("'"&amp;$H$3&amp;"'!N255")*('4_Outputs'!N$52/INDIRECT("'"&amp;$H$3&amp;"'!N$96")/INDIRECT("'"&amp;$H$3&amp;"'!$H$19"))))))),0)</f>
        <v>0</v>
      </c>
      <c r="O350" s="837"/>
      <c r="P350" s="837"/>
      <c r="Q350" s="837">
        <f ca="1">IFERROR((INDIRECT("'"&amp;$H$3&amp;"'!$H$10")*INDIRECT("'"&amp;$H$3&amp;"'!$H$9")*INDIRECT("'"&amp;$H$3&amp;"'!Q244"))/((Q349/INDIRECT("'"&amp;$H$3&amp;"'!Q257"))+((1/60)*(INDIRECT("'"&amp;$H$3&amp;"'!Q253")+INDIRECT("'"&amp;$H$3&amp;"'!$H$19")*(INDIRECT("'"&amp;$H$3&amp;"'!Q254")+(INDIRECT("'"&amp;$H$3&amp;"'!Q255")*('4_Outputs'!Q$52/INDIRECT("'"&amp;$H$3&amp;"'!Q$96")/INDIRECT("'"&amp;$H$3&amp;"'!$H$19"))))))),0)</f>
        <v>0</v>
      </c>
      <c r="R350" s="837"/>
      <c r="S350" s="837"/>
      <c r="T350" s="837">
        <f ca="1">IFERROR((INDIRECT("'"&amp;$H$3&amp;"'!$H$10")*INDIRECT("'"&amp;$H$3&amp;"'!$H$9")*INDIRECT("'"&amp;$H$3&amp;"'!T244"))/((T349/INDIRECT("'"&amp;$H$3&amp;"'!T257"))+((1/60)*(INDIRECT("'"&amp;$H$3&amp;"'!T253")+INDIRECT("'"&amp;$H$3&amp;"'!$H$19")*(INDIRECT("'"&amp;$H$3&amp;"'!T254")+(INDIRECT("'"&amp;$H$3&amp;"'!T255")*('4_Outputs'!T$52/INDIRECT("'"&amp;$H$3&amp;"'!T$96")/INDIRECT("'"&amp;$H$3&amp;"'!$H$19"))))))),0)</f>
        <v>0</v>
      </c>
      <c r="U350" s="837"/>
      <c r="V350" s="837"/>
      <c r="W350" s="837">
        <f ca="1">IFERROR((INDIRECT("'"&amp;$H$3&amp;"'!$H$10")*INDIRECT("'"&amp;$H$3&amp;"'!$H$9")*INDIRECT("'"&amp;$H$3&amp;"'!W244"))/((W349/INDIRECT("'"&amp;$H$3&amp;"'!W257"))+((1/60)*(INDIRECT("'"&amp;$H$3&amp;"'!W253")+INDIRECT("'"&amp;$H$3&amp;"'!$H$19")*(INDIRECT("'"&amp;$H$3&amp;"'!W254")+(INDIRECT("'"&amp;$H$3&amp;"'!W255")*('4_Outputs'!W$52/INDIRECT("'"&amp;$H$3&amp;"'!W$96")/INDIRECT("'"&amp;$H$3&amp;"'!$H$19"))))))),0)</f>
        <v>0</v>
      </c>
      <c r="X350" s="1468"/>
      <c r="Y350" s="36"/>
      <c r="Z350" s="36"/>
      <c r="AA350" s="36"/>
      <c r="AB350" s="36" t="s">
        <v>196</v>
      </c>
      <c r="AC350" s="36"/>
      <c r="AD350" s="36" t="s">
        <v>197</v>
      </c>
      <c r="AE350" s="36"/>
      <c r="AF350" s="36"/>
      <c r="AG350" s="36"/>
      <c r="AH350" s="36"/>
      <c r="AI350" s="36"/>
      <c r="AJ350" s="36"/>
      <c r="AK350" s="36"/>
      <c r="AL350" s="36"/>
      <c r="AM350" s="36"/>
      <c r="AN350" s="36"/>
    </row>
    <row r="351" spans="6:40" ht="15" customHeight="1">
      <c r="F351" s="52"/>
      <c r="G351" s="52"/>
      <c r="H351" s="1660"/>
      <c r="I351" s="1660"/>
      <c r="J351" s="1660"/>
      <c r="K351" s="1660"/>
      <c r="L351" s="1660"/>
      <c r="M351" s="1660"/>
      <c r="N351" s="1660"/>
      <c r="O351" s="1660"/>
      <c r="P351" s="1660"/>
      <c r="Q351" s="1660"/>
      <c r="R351" s="1677"/>
      <c r="S351" s="1677"/>
      <c r="T351" s="1677"/>
      <c r="U351" s="1677"/>
      <c r="V351" s="1677"/>
      <c r="W351" s="1677"/>
      <c r="X351" s="1484"/>
      <c r="Y351" s="36"/>
      <c r="Z351" s="36"/>
      <c r="AA351" s="36"/>
      <c r="AB351" s="36"/>
      <c r="AC351" s="36"/>
      <c r="AD351" s="36"/>
      <c r="AE351" s="36"/>
      <c r="AF351" s="36"/>
      <c r="AG351" s="36"/>
      <c r="AH351" s="36"/>
      <c r="AI351" s="36"/>
      <c r="AJ351" s="36"/>
      <c r="AK351" s="36"/>
      <c r="AL351" s="36"/>
      <c r="AM351" s="36"/>
      <c r="AN351" s="36"/>
    </row>
    <row r="352" spans="6:40" ht="15" customHeight="1">
      <c r="F352" s="52"/>
      <c r="G352" s="52"/>
      <c r="H352" s="1660"/>
      <c r="I352" s="1660"/>
      <c r="J352" s="1660"/>
      <c r="K352" s="1660"/>
      <c r="L352" s="1660"/>
      <c r="M352" s="1660"/>
      <c r="N352" s="1660"/>
      <c r="O352" s="1660"/>
      <c r="P352" s="1660"/>
      <c r="Q352" s="1660"/>
      <c r="R352" s="1641"/>
      <c r="S352" s="1641"/>
      <c r="T352" s="1641"/>
      <c r="U352" s="1641"/>
      <c r="V352" s="1641"/>
      <c r="W352" s="1641"/>
      <c r="X352" s="1397"/>
      <c r="Y352" s="36"/>
      <c r="Z352" s="36"/>
      <c r="AA352" s="36"/>
      <c r="AB352" s="36"/>
      <c r="AC352" s="36"/>
      <c r="AD352" s="36"/>
      <c r="AE352" s="36"/>
      <c r="AF352" s="36"/>
      <c r="AG352" s="36"/>
      <c r="AH352" s="36"/>
      <c r="AI352" s="36"/>
      <c r="AJ352" s="36"/>
      <c r="AK352" s="36"/>
      <c r="AL352" s="36"/>
      <c r="AM352" s="36"/>
      <c r="AN352" s="36"/>
    </row>
    <row r="353" spans="6:40" ht="48" customHeight="1">
      <c r="F353" s="1678" t="s">
        <v>156</v>
      </c>
      <c r="G353" s="1679"/>
      <c r="H353" s="1680"/>
      <c r="I353" s="1680"/>
      <c r="J353" s="1680"/>
      <c r="K353" s="1513" t="str">
        <f ca="1">IF($H$9&gt;=2,INDIRECT("'"&amp;$H$3&amp;"'!J$130"),"")</f>
        <v>CMS  to  Regional WH</v>
      </c>
      <c r="L353" s="1513" t="str">
        <f t="shared" ref="L353:V353" ca="1" si="21">IF($H$9&gt;=1,"Tier 1","")</f>
        <v>Tier 1</v>
      </c>
      <c r="M353" s="1513" t="str">
        <f t="shared" ca="1" si="21"/>
        <v>Tier 1</v>
      </c>
      <c r="N353" s="1513" t="str">
        <f ca="1">IF($H$9&gt;=3,INDIRECT("'"&amp;$H$3&amp;"'!M$130"),"")</f>
        <v>Regional WH  to  Health Facility</v>
      </c>
      <c r="O353" s="1513" t="str">
        <f t="shared" ca="1" si="21"/>
        <v>Tier 1</v>
      </c>
      <c r="P353" s="1513" t="str">
        <f t="shared" ca="1" si="21"/>
        <v>Tier 1</v>
      </c>
      <c r="Q353" s="1514" t="str">
        <f ca="1">IF($H$9&gt;=4,INDIRECT("'"&amp;$H$3&amp;"'!P$130"),"")</f>
        <v/>
      </c>
      <c r="R353" s="1515" t="str">
        <f t="shared" ca="1" si="21"/>
        <v>Tier 1</v>
      </c>
      <c r="S353" s="1515" t="str">
        <f t="shared" ca="1" si="21"/>
        <v>Tier 1</v>
      </c>
      <c r="T353" s="1514" t="str">
        <f ca="1">IF($H$9&gt;=5,INDIRECT("'"&amp;$H$3&amp;"'!S$130"),"")</f>
        <v/>
      </c>
      <c r="U353" s="1515" t="str">
        <f t="shared" ca="1" si="21"/>
        <v>Tier 1</v>
      </c>
      <c r="V353" s="1515" t="str">
        <f t="shared" ca="1" si="21"/>
        <v>Tier 1</v>
      </c>
      <c r="W353" s="1514" t="str">
        <f ca="1">IF($H$9&gt;=6,INDIRECT("'"&amp;$H$3&amp;"'!V$130"),"")</f>
        <v/>
      </c>
      <c r="X353" s="1464"/>
      <c r="Y353" s="36"/>
      <c r="Z353" s="36"/>
      <c r="AA353" s="36"/>
      <c r="AB353" s="36"/>
      <c r="AC353" s="36"/>
      <c r="AD353" s="36"/>
      <c r="AE353" s="36"/>
      <c r="AF353" s="36"/>
      <c r="AG353" s="36"/>
      <c r="AH353" s="36"/>
      <c r="AI353" s="36"/>
      <c r="AJ353" s="36"/>
      <c r="AK353" s="242"/>
      <c r="AL353" s="36"/>
      <c r="AM353" s="36"/>
      <c r="AN353" s="36"/>
    </row>
    <row r="354" spans="6:40" ht="15" customHeight="1" outlineLevel="1">
      <c r="F354" s="1681" t="s">
        <v>149</v>
      </c>
      <c r="G354" s="1681"/>
      <c r="H354" s="78"/>
      <c r="I354" s="78"/>
      <c r="J354" s="78"/>
      <c r="K354" s="78"/>
      <c r="L354" s="78"/>
      <c r="M354" s="78"/>
      <c r="N354" s="78"/>
      <c r="O354" s="1681"/>
      <c r="P354" s="1681"/>
      <c r="Q354" s="1682"/>
      <c r="R354" s="1641"/>
      <c r="S354" s="1641"/>
      <c r="T354" s="1682"/>
      <c r="U354" s="1641"/>
      <c r="V354" s="1641"/>
      <c r="W354" s="1682"/>
      <c r="Y354" s="36"/>
      <c r="Z354" s="36"/>
      <c r="AA354" s="36"/>
      <c r="AB354" s="36"/>
      <c r="AC354" s="36"/>
      <c r="AD354" s="36"/>
      <c r="AE354" s="36"/>
      <c r="AF354" s="36"/>
      <c r="AG354" s="36"/>
      <c r="AH354" s="36"/>
      <c r="AI354" s="36"/>
      <c r="AJ354" s="36"/>
      <c r="AK354" s="242"/>
      <c r="AL354" s="36"/>
      <c r="AM354" s="36"/>
      <c r="AN354" s="36"/>
    </row>
    <row r="355" spans="6:40" ht="15" customHeight="1" outlineLevel="1">
      <c r="F355" s="52"/>
      <c r="G355" s="51" t="s">
        <v>146</v>
      </c>
      <c r="H355" s="837"/>
      <c r="I355" s="837"/>
      <c r="J355" s="837"/>
      <c r="K355" s="837">
        <f ca="1">IFERROR(IF(COUNTIF(INDIRECT("'"&amp;$H$3&amp;"'!K264"),"Public Transport*")=1,IF(INDIRECT("'"&amp;$H$3&amp;"'!K272")="Route-based",K362*INDIRECT("'"&amp;$H$3&amp;"'!K$261"),IF(INDIRECT("'"&amp;$H$3&amp;"'!K272")="Point-to-point",K365*INDIRECT("'"&amp;$H$3&amp;"'!K$261"),0)),0),0)</f>
        <v>0</v>
      </c>
      <c r="L355" s="837"/>
      <c r="M355" s="837"/>
      <c r="N355" s="837">
        <f ca="1">IFERROR(IF(COUNTIF(INDIRECT("'"&amp;$H$3&amp;"'!N264"),"Public Transport*")=1,IF(INDIRECT("'"&amp;$H$3&amp;"'!N272")="Route-based",N362*INDIRECT("'"&amp;$H$3&amp;"'!N$261"),IF(INDIRECT("'"&amp;$H$3&amp;"'!N272")="Point-to-point",N365*INDIRECT("'"&amp;$H$3&amp;"'!N$261"),0)),0),0)</f>
        <v>0</v>
      </c>
      <c r="O355" s="837"/>
      <c r="P355" s="837"/>
      <c r="Q355" s="837">
        <f ca="1">IFERROR(IF(COUNTIF(INDIRECT("'"&amp;$H$3&amp;"'!Q264"),"Public Transport*")=1,IF(INDIRECT("'"&amp;$H$3&amp;"'!Q272")="Route-based",Q362*INDIRECT("'"&amp;$H$3&amp;"'!Q$261"),IF(INDIRECT("'"&amp;$H$3&amp;"'!Q272")="Point-to-point",Q365*INDIRECT("'"&amp;$H$3&amp;"'!Q$261"),0)),0),0)</f>
        <v>0</v>
      </c>
      <c r="R355" s="1650"/>
      <c r="S355" s="1650"/>
      <c r="T355" s="837">
        <f ca="1">IFERROR(IF(COUNTIF(INDIRECT("'"&amp;$H$3&amp;"'!T264"),"Public Transport*")=1,IF(INDIRECT("'"&amp;$H$3&amp;"'!T272")="Route-based",T362*INDIRECT("'"&amp;$H$3&amp;"'!T$261"),IF(INDIRECT("'"&amp;$H$3&amp;"'!T272")="Point-to-point",T365*INDIRECT("'"&amp;$H$3&amp;"'!T$261"),0)),0),0)</f>
        <v>0</v>
      </c>
      <c r="U355" s="1650"/>
      <c r="V355" s="1650"/>
      <c r="W355" s="837">
        <f ca="1">IFERROR(IF(COUNTIF(INDIRECT("'"&amp;$H$3&amp;"'!W264"),"Public Transport*")=1,IF(INDIRECT("'"&amp;$H$3&amp;"'!W272")="Route-based",W362*INDIRECT("'"&amp;$H$3&amp;"'!W$261"),IF(INDIRECT("'"&amp;$H$3&amp;"'!W272")="Point-to-point",W365*INDIRECT("'"&amp;$H$3&amp;"'!W$261"),0)),0),0)</f>
        <v>0</v>
      </c>
      <c r="X355" s="1468"/>
      <c r="Y355" s="36"/>
      <c r="Z355" s="36"/>
      <c r="AA355" s="36"/>
      <c r="AB355" s="36"/>
      <c r="AC355" s="36"/>
      <c r="AD355" s="36"/>
      <c r="AE355" s="36"/>
      <c r="AF355" s="36"/>
      <c r="AG355" s="36"/>
      <c r="AH355" s="36"/>
      <c r="AI355" s="36"/>
      <c r="AJ355" s="36"/>
      <c r="AK355" s="242"/>
      <c r="AL355" s="36"/>
      <c r="AM355" s="36"/>
      <c r="AN355" s="36"/>
    </row>
    <row r="356" spans="6:40" ht="15" customHeight="1" outlineLevel="1">
      <c r="F356" s="52"/>
      <c r="G356" s="51" t="s">
        <v>147</v>
      </c>
      <c r="H356" s="837"/>
      <c r="I356" s="837"/>
      <c r="J356" s="837"/>
      <c r="K356" s="837">
        <f ca="1">IFERROR(IF(INDIRECT("'"&amp;$H$3&amp;"'!K272")="Route-based",K363*INDIRECT("'"&amp;$H$3&amp;"'!K$261"),IF(INDIRECT("'"&amp;$H$3&amp;"'!K272")="Point-to-point",K366*INDIRECT("'"&amp;$H$3&amp;"'!K$261"),0)),0)</f>
        <v>0</v>
      </c>
      <c r="L356" s="837"/>
      <c r="M356" s="837"/>
      <c r="N356" s="837">
        <f ca="1">IFERROR(IF(INDIRECT("'"&amp;$H$3&amp;"'!N272")="Route-based",N363*INDIRECT("'"&amp;$H$3&amp;"'!N$261"),IF(INDIRECT("'"&amp;$H$3&amp;"'!N272")="Point-to-point",N366*INDIRECT("'"&amp;$H$3&amp;"'!N$261"),0)),0)</f>
        <v>0</v>
      </c>
      <c r="O356" s="837"/>
      <c r="P356" s="837"/>
      <c r="Q356" s="837">
        <f ca="1">IFERROR(IF(INDIRECT("'"&amp;$H$3&amp;"'!Q272")="Route-based",Q363*INDIRECT("'"&amp;$H$3&amp;"'!Q$261"),IF(INDIRECT("'"&amp;$H$3&amp;"'!Q272")="Point-to-point",Q366*INDIRECT("'"&amp;$H$3&amp;"'!Q$261"),0)),0)</f>
        <v>0</v>
      </c>
      <c r="R356" s="1650"/>
      <c r="S356" s="1650"/>
      <c r="T356" s="837">
        <f ca="1">IFERROR(IF(INDIRECT("'"&amp;$H$3&amp;"'!T272")="Route-based",T363*INDIRECT("'"&amp;$H$3&amp;"'!T$261"),IF(INDIRECT("'"&amp;$H$3&amp;"'!T272")="Point-to-point",T366*INDIRECT("'"&amp;$H$3&amp;"'!T$261"),0)),0)</f>
        <v>0</v>
      </c>
      <c r="U356" s="1650"/>
      <c r="V356" s="1650"/>
      <c r="W356" s="837">
        <f ca="1">IFERROR(IF(INDIRECT("'"&amp;$H$3&amp;"'!W272")="Route-based",W363*INDIRECT("'"&amp;$H$3&amp;"'!W$261"),IF(INDIRECT("'"&amp;$H$3&amp;"'!W272")="Point-to-point",W366*INDIRECT("'"&amp;$H$3&amp;"'!W$261"),0)),0)</f>
        <v>0</v>
      </c>
      <c r="X356" s="1468"/>
      <c r="Y356" s="36"/>
      <c r="Z356" s="36"/>
      <c r="AA356" s="36"/>
      <c r="AB356" s="36"/>
      <c r="AC356" s="36"/>
      <c r="AD356" s="36"/>
      <c r="AE356" s="36"/>
      <c r="AF356" s="36"/>
      <c r="AG356" s="36"/>
      <c r="AH356" s="36"/>
      <c r="AI356" s="36"/>
      <c r="AJ356" s="36"/>
      <c r="AK356" s="36"/>
      <c r="AL356" s="36"/>
      <c r="AM356" s="36"/>
      <c r="AN356" s="36"/>
    </row>
    <row r="357" spans="6:40" ht="15" customHeight="1" outlineLevel="1">
      <c r="F357" s="52"/>
      <c r="G357" s="51" t="s">
        <v>142</v>
      </c>
      <c r="H357" s="1651"/>
      <c r="I357" s="1651"/>
      <c r="J357" s="1651"/>
      <c r="K357" s="1651">
        <f ca="1">IFERROR(IF(COUNTIF(INDIRECT("'"&amp;$H$3&amp;"'!K264"),"Public Transport*")&gt;0,ROUND(INDIRECT("'"&amp;$H$3&amp;"'!K$95")*INDIRECT("'"&amp;$H$3&amp;"'!K263"),0),0),0)</f>
        <v>0</v>
      </c>
      <c r="L357" s="1651"/>
      <c r="M357" s="1651"/>
      <c r="N357" s="1651">
        <f ca="1">IFERROR(IF(COUNTIF(INDIRECT("'"&amp;$H$3&amp;"'!N264"),"Public Transport*")&gt;0,ROUND(INDIRECT("'"&amp;$H$3&amp;"'!N$95")*INDIRECT("'"&amp;$H$3&amp;"'!N263"),0),0),0)</f>
        <v>0</v>
      </c>
      <c r="O357" s="1651"/>
      <c r="P357" s="1651"/>
      <c r="Q357" s="1651">
        <f ca="1">IFERROR(IF(COUNTIF(INDIRECT("'"&amp;$H$3&amp;"'!Q264"),"Public Transport*")&gt;0,ROUND(INDIRECT("'"&amp;$H$3&amp;"'!Q$95")*INDIRECT("'"&amp;$H$3&amp;"'!Q263"),0),0),0)</f>
        <v>0</v>
      </c>
      <c r="R357" s="1650"/>
      <c r="S357" s="1650"/>
      <c r="T357" s="1651">
        <f ca="1">IFERROR(IF(COUNTIF(INDIRECT("'"&amp;$H$3&amp;"'!T264"),"Public Transport*")&gt;0,ROUND(INDIRECT("'"&amp;$H$3&amp;"'!T$95")*INDIRECT("'"&amp;$H$3&amp;"'!T263"),0),0),0)</f>
        <v>0</v>
      </c>
      <c r="U357" s="1650"/>
      <c r="V357" s="1650"/>
      <c r="W357" s="1651">
        <f ca="1">IFERROR(IF(COUNTIF(INDIRECT("'"&amp;$H$3&amp;"'!W264"),"Public Transport*")&gt;0,ROUND(INDIRECT("'"&amp;$H$3&amp;"'!W$95")*INDIRECT("'"&amp;$H$3&amp;"'!W263"),0),0),0)</f>
        <v>0</v>
      </c>
      <c r="X357" s="1466"/>
      <c r="Y357" s="36"/>
      <c r="Z357" s="36"/>
      <c r="AA357" s="36"/>
      <c r="AB357" s="36"/>
      <c r="AC357" s="36"/>
      <c r="AD357" s="36"/>
      <c r="AE357" s="36"/>
      <c r="AF357" s="36"/>
      <c r="AG357" s="36"/>
      <c r="AH357" s="36"/>
      <c r="AI357" s="36"/>
      <c r="AJ357" s="36"/>
      <c r="AK357" s="36"/>
      <c r="AL357" s="36"/>
      <c r="AM357" s="36"/>
      <c r="AN357" s="36"/>
    </row>
    <row r="358" spans="6:40" ht="15" customHeight="1" outlineLevel="1">
      <c r="F358" s="52"/>
      <c r="G358" s="1613" t="s">
        <v>150</v>
      </c>
      <c r="H358" s="842"/>
      <c r="I358" s="842"/>
      <c r="J358" s="842"/>
      <c r="K358" s="842"/>
      <c r="L358" s="842"/>
      <c r="M358" s="842"/>
      <c r="N358" s="842"/>
      <c r="O358" s="842"/>
      <c r="P358" s="842"/>
      <c r="Q358" s="842"/>
      <c r="R358" s="1650"/>
      <c r="S358" s="1650"/>
      <c r="T358" s="842"/>
      <c r="U358" s="1650"/>
      <c r="V358" s="1650"/>
      <c r="W358" s="842"/>
      <c r="X358" s="1470"/>
      <c r="Y358" s="36"/>
      <c r="Z358" s="36"/>
      <c r="AA358" s="36"/>
      <c r="AB358" s="36"/>
      <c r="AC358" s="36"/>
      <c r="AD358" s="36"/>
      <c r="AE358" s="36"/>
      <c r="AF358" s="36"/>
      <c r="AG358" s="36"/>
      <c r="AH358" s="36"/>
      <c r="AI358" s="36"/>
      <c r="AJ358" s="36"/>
      <c r="AK358" s="36"/>
      <c r="AL358" s="36"/>
      <c r="AM358" s="36"/>
      <c r="AN358" s="36"/>
    </row>
    <row r="359" spans="6:40" ht="15" customHeight="1" outlineLevel="1">
      <c r="F359" s="52"/>
      <c r="G359" s="51" t="s">
        <v>140</v>
      </c>
      <c r="H359" s="836"/>
      <c r="I359" s="836"/>
      <c r="J359" s="836"/>
      <c r="K359" s="836">
        <f ca="1">IFERROR(ROUND(INDIRECT("'"&amp;$H$3&amp;"'!$H$10")/(((1/60)*(INDIRECT("'"&amp;$H$3&amp;"'!K277")+INDIRECT("'"&amp;$H$3&amp;"'!$H$19")*(INDIRECT("'"&amp;$H$3&amp;"'!K278")+(INDIRECT("'"&amp;$H$3&amp;"'!K279")*('4_Outputs'!K$52/INDIRECT("'"&amp;$H$3&amp;"'!K$96")/INDIRECT("'"&amp;$H$3&amp;"'!$H$19"))))))+INDEX(INDIRECT("'"&amp;$H$3&amp;"'!$H$43:$H$78"),MATCH(INDIRECT("'"&amp;$H$3&amp;"'!K264")&amp;"Average duration (hrs) per trip",INDIRECT("'"&amp;$H$3&amp;"'!$F$43:$F$78"),0))),1),0)</f>
        <v>0</v>
      </c>
      <c r="L359" s="836"/>
      <c r="M359" s="836"/>
      <c r="N359" s="836">
        <f ca="1">IFERROR(ROUND(INDIRECT("'"&amp;$H$3&amp;"'!$H$10")/(((1/60)*(INDIRECT("'"&amp;$H$3&amp;"'!N277")+INDIRECT("'"&amp;$H$3&amp;"'!$H$19")*(INDIRECT("'"&amp;$H$3&amp;"'!N278")+(INDIRECT("'"&amp;$H$3&amp;"'!N279")*('4_Outputs'!N$52/INDIRECT("'"&amp;$H$3&amp;"'!N$261")/INDIRECT("'"&amp;$H$3&amp;"'!$H$19"))))))+INDEX(INDIRECT("'"&amp;$H$3&amp;"'!$H$43:$H$78"),MATCH(INDIRECT("'"&amp;$H$3&amp;"'!N264")&amp;"Average duration (hrs) per trip",INDIRECT("'"&amp;$H$3&amp;"'!$F$43:$F$78"),0))),1),0)</f>
        <v>0</v>
      </c>
      <c r="O359" s="836"/>
      <c r="P359" s="836"/>
      <c r="Q359" s="836">
        <f ca="1">IFERROR(ROUND(INDIRECT("'"&amp;$H$3&amp;"'!$H$10")/(((1/60)*(INDIRECT("'"&amp;$H$3&amp;"'!Q277")+INDIRECT("'"&amp;$H$3&amp;"'!$H$19")*(INDIRECT("'"&amp;$H$3&amp;"'!Q278")+(INDIRECT("'"&amp;$H$3&amp;"'!Q279")*('4_Outputs'!Q$52/INDIRECT("'"&amp;$H$3&amp;"'!Q$261")/INDIRECT("'"&amp;$H$3&amp;"'!$H$19"))))))+INDEX(INDIRECT("'"&amp;$H$3&amp;"'!$H$43:$H$78"),MATCH(INDIRECT("'"&amp;$H$3&amp;"'!Q264")&amp;"Average duration (hrs) per trip",INDIRECT("'"&amp;$H$3&amp;"'!$F$43:$F$78"),0))),1),0)</f>
        <v>0</v>
      </c>
      <c r="R359" s="836"/>
      <c r="S359" s="836"/>
      <c r="T359" s="836">
        <f ca="1">IFERROR(ROUND(INDIRECT("'"&amp;$H$3&amp;"'!$H$10")/(((1/60)*(INDIRECT("'"&amp;$H$3&amp;"'!T277")+INDIRECT("'"&amp;$H$3&amp;"'!$H$19")*(INDIRECT("'"&amp;$H$3&amp;"'!T278")+(INDIRECT("'"&amp;$H$3&amp;"'!T279")*('4_Outputs'!T$52/INDIRECT("'"&amp;$H$3&amp;"'!T$261")/INDIRECT("'"&amp;$H$3&amp;"'!$H$19"))))))+INDEX(INDIRECT("'"&amp;$H$3&amp;"'!$H$43:$H$78"),MATCH(INDIRECT("'"&amp;$H$3&amp;"'!T264")&amp;"Average duration (hrs) per trip",INDIRECT("'"&amp;$H$3&amp;"'!$F$43:$F$78"),0))),1),0)</f>
        <v>0</v>
      </c>
      <c r="U359" s="836"/>
      <c r="V359" s="836"/>
      <c r="W359" s="836">
        <f ca="1">IFERROR(ROUND(INDIRECT("'"&amp;$H$3&amp;"'!$H$10")/(((1/60)*(INDIRECT("'"&amp;$H$3&amp;"'!W277")+INDIRECT("'"&amp;$H$3&amp;"'!$H$19")*(INDIRECT("'"&amp;$H$3&amp;"'!W278")+(INDIRECT("'"&amp;$H$3&amp;"'!W279")*('4_Outputs'!W$52/INDIRECT("'"&amp;$H$3&amp;"'!W$261")/INDIRECT("'"&amp;$H$3&amp;"'!$H$19"))))))+INDEX(INDIRECT("'"&amp;$H$3&amp;"'!$H$43:$H$78"),MATCH(INDIRECT("'"&amp;$H$3&amp;"'!W264")&amp;"Average duration (hrs) per trip",INDIRECT("'"&amp;$H$3&amp;"'!$F$43:$F$78"),0))),1),0)</f>
        <v>0</v>
      </c>
      <c r="X359" s="1469"/>
      <c r="Y359" s="36"/>
      <c r="Z359" s="36"/>
      <c r="AA359" s="36"/>
      <c r="AB359" s="36"/>
      <c r="AC359" s="36"/>
      <c r="AD359" s="36"/>
      <c r="AE359" s="36"/>
      <c r="AF359" s="36"/>
      <c r="AG359" s="36"/>
      <c r="AH359" s="36"/>
      <c r="AI359" s="36"/>
      <c r="AJ359" s="36"/>
      <c r="AK359" s="36"/>
      <c r="AL359" s="36"/>
      <c r="AM359" s="36"/>
      <c r="AN359" s="36"/>
    </row>
    <row r="360" spans="6:40" ht="15" customHeight="1" outlineLevel="1">
      <c r="F360" s="52"/>
      <c r="G360" s="51" t="s">
        <v>141</v>
      </c>
      <c r="H360" s="836"/>
      <c r="I360" s="836"/>
      <c r="J360" s="836"/>
      <c r="K360" s="836">
        <f ca="1">IFERROR(ROUND(K359*INDIRECT("'"&amp;$H$3&amp;"'!K273"),0),0)</f>
        <v>0</v>
      </c>
      <c r="L360" s="836"/>
      <c r="M360" s="836"/>
      <c r="N360" s="836">
        <f ca="1">IFERROR(ROUND(N359*INDIRECT("'"&amp;$H$3&amp;"'!N273"),0),0)</f>
        <v>0</v>
      </c>
      <c r="O360" s="836"/>
      <c r="P360" s="836"/>
      <c r="Q360" s="836">
        <f ca="1">IFERROR(ROUND(Q359*INDIRECT("'"&amp;$H$3&amp;"'!Q273"),0),0)</f>
        <v>0</v>
      </c>
      <c r="R360" s="836"/>
      <c r="S360" s="836"/>
      <c r="T360" s="836">
        <f ca="1">IFERROR(ROUND(T359*INDIRECT("'"&amp;$H$3&amp;"'!T273"),0),0)</f>
        <v>0</v>
      </c>
      <c r="U360" s="836"/>
      <c r="V360" s="836"/>
      <c r="W360" s="836">
        <f ca="1">IFERROR(ROUND(W359*INDIRECT("'"&amp;$H$3&amp;"'!W273"),0),0)</f>
        <v>0</v>
      </c>
      <c r="X360" s="1469"/>
      <c r="Y360" s="36"/>
      <c r="Z360" s="36"/>
      <c r="AA360" s="36"/>
      <c r="AB360" s="36"/>
      <c r="AC360" s="36"/>
      <c r="AD360" s="36"/>
      <c r="AE360" s="36"/>
      <c r="AF360" s="36"/>
      <c r="AG360" s="36"/>
      <c r="AH360" s="36"/>
      <c r="AI360" s="36"/>
      <c r="AJ360" s="36"/>
      <c r="AK360" s="36"/>
      <c r="AL360" s="36"/>
      <c r="AM360" s="36"/>
      <c r="AN360" s="36"/>
    </row>
    <row r="361" spans="6:40" ht="15" customHeight="1" outlineLevel="1">
      <c r="F361" s="52"/>
      <c r="G361" s="51" t="s">
        <v>143</v>
      </c>
      <c r="H361" s="836"/>
      <c r="I361" s="836"/>
      <c r="J361" s="836"/>
      <c r="K361" s="836">
        <f ca="1">IFERROR(ROUNDUP(K357/K360,0),0)</f>
        <v>0</v>
      </c>
      <c r="L361" s="836"/>
      <c r="M361" s="836"/>
      <c r="N361" s="836">
        <f ca="1">IFERROR(ROUNDUP(N357/N360,0),0)</f>
        <v>0</v>
      </c>
      <c r="O361" s="836"/>
      <c r="P361" s="836"/>
      <c r="Q361" s="836">
        <f ca="1">IFERROR(ROUNDUP(Q357/Q360,0),0)</f>
        <v>0</v>
      </c>
      <c r="R361" s="836"/>
      <c r="S361" s="836"/>
      <c r="T361" s="836">
        <f ca="1">IFERROR(ROUNDUP(T357/T360,0),0)</f>
        <v>0</v>
      </c>
      <c r="U361" s="836"/>
      <c r="V361" s="836"/>
      <c r="W361" s="836">
        <f ca="1">IFERROR(ROUNDUP(W357/W360,0),0)</f>
        <v>0</v>
      </c>
      <c r="X361" s="1469"/>
      <c r="Y361" s="36"/>
      <c r="Z361" s="36"/>
      <c r="AA361" s="36"/>
      <c r="AB361" s="36"/>
      <c r="AC361" s="36"/>
      <c r="AD361" s="36"/>
      <c r="AE361" s="36"/>
      <c r="AF361" s="36"/>
      <c r="AG361" s="36"/>
      <c r="AH361" s="36"/>
      <c r="AI361" s="36"/>
      <c r="AJ361" s="36"/>
      <c r="AK361" s="242"/>
      <c r="AL361" s="36"/>
      <c r="AM361" s="36"/>
      <c r="AN361" s="36"/>
    </row>
    <row r="362" spans="6:40" ht="15" customHeight="1" outlineLevel="1">
      <c r="F362" s="52"/>
      <c r="G362" s="51" t="s">
        <v>144</v>
      </c>
      <c r="H362" s="836"/>
      <c r="I362" s="836"/>
      <c r="J362" s="836"/>
      <c r="K362" s="836">
        <f ca="1">IFERROR((K361*(K360+1)),0)</f>
        <v>0</v>
      </c>
      <c r="L362" s="836"/>
      <c r="M362" s="836"/>
      <c r="N362" s="836">
        <f ca="1">IFERROR((N361*(N360+1)),0)</f>
        <v>0</v>
      </c>
      <c r="O362" s="836"/>
      <c r="P362" s="836"/>
      <c r="Q362" s="836">
        <f ca="1">IFERROR((Q361*(Q360+1)),0)</f>
        <v>0</v>
      </c>
      <c r="R362" s="836"/>
      <c r="S362" s="836"/>
      <c r="T362" s="836">
        <f ca="1">IFERROR((T361*(T360+1)),0)</f>
        <v>0</v>
      </c>
      <c r="U362" s="836"/>
      <c r="V362" s="836"/>
      <c r="W362" s="836">
        <f ca="1">IFERROR((W361*(W360+1)),0)</f>
        <v>0</v>
      </c>
      <c r="X362" s="1469"/>
      <c r="Y362" s="36"/>
      <c r="Z362" s="36"/>
      <c r="AA362" s="36"/>
      <c r="AB362" s="36"/>
      <c r="AC362" s="36"/>
      <c r="AD362" s="36"/>
      <c r="AE362" s="36"/>
      <c r="AF362" s="36"/>
      <c r="AG362" s="36"/>
      <c r="AH362" s="36"/>
      <c r="AI362" s="36"/>
      <c r="AJ362" s="36"/>
      <c r="AK362" s="242"/>
      <c r="AL362" s="36"/>
      <c r="AM362" s="36"/>
      <c r="AN362" s="36"/>
    </row>
    <row r="363" spans="6:40" ht="15" customHeight="1" outlineLevel="1">
      <c r="F363" s="52"/>
      <c r="G363" s="51" t="s">
        <v>145</v>
      </c>
      <c r="H363" s="836"/>
      <c r="I363" s="836"/>
      <c r="J363" s="836"/>
      <c r="K363" s="836">
        <f ca="1">IFERROR(ROUNDUP(((K362*INDEX(INDIRECT("'"&amp;$H$3&amp;"'!$H$43:$H$78"),MATCH(INDIRECT("'"&amp;$H$3&amp;"'!K264")&amp;"Average duration (hrs) per trip",INDIRECT("'"&amp;$H$3&amp;"'!$F$43:$F$78"),0)))+(K357*((1/60)*(INDIRECT("'"&amp;$H$3&amp;"'!K277")+INDIRECT("'"&amp;$H$3&amp;"'!$H$19")*(INDIRECT("'"&amp;$H$3&amp;"'!K278")+(INDIRECT("'"&amp;$H$3&amp;"'!K279")*('4_Outputs'!K$52/INDIRECT("'"&amp;$H$3&amp;"'!K$261")/INDIRECT("'"&amp;$H$3&amp;"'!$H$19"))))))))/INDIRECT("'"&amp;$H$3&amp;"'!$H$10"),0),0)</f>
        <v>0</v>
      </c>
      <c r="L363" s="836"/>
      <c r="M363" s="836"/>
      <c r="N363" s="836">
        <f ca="1">IFERROR(ROUNDUP(((N362*INDEX(INDIRECT("'"&amp;$H$3&amp;"'!$H$43:$H$78"),MATCH(INDIRECT("'"&amp;$H$3&amp;"'!N264")&amp;"Average duration (hrs) per trip",INDIRECT("'"&amp;$H$3&amp;"'!$F$43:$F$78"),0)))+(N357*((1/60)*(INDIRECT("'"&amp;$H$3&amp;"'!N277")+INDIRECT("'"&amp;$H$3&amp;"'!$H$19")*(INDIRECT("'"&amp;$H$3&amp;"'!N278")+(INDIRECT("'"&amp;$H$3&amp;"'!N279")*('4_Outputs'!N$52/INDIRECT("'"&amp;$H$3&amp;"'!N$261")/INDIRECT("'"&amp;$H$3&amp;"'!$H$19"))))))))/INDIRECT("'"&amp;$H$3&amp;"'!$H$10"),0),0)</f>
        <v>0</v>
      </c>
      <c r="O363" s="836"/>
      <c r="P363" s="836"/>
      <c r="Q363" s="836">
        <f ca="1">IFERROR(ROUNDUP(((Q362*INDEX(INDIRECT("'"&amp;$H$3&amp;"'!$H$43:$H$78"),MATCH(INDIRECT("'"&amp;$H$3&amp;"'!Q264")&amp;"Average duration (hrs) per trip",INDIRECT("'"&amp;$H$3&amp;"'!$F$43:$F$78"),0)))+(Q357*((1/60)*(INDIRECT("'"&amp;$H$3&amp;"'!Q277")+INDIRECT("'"&amp;$H$3&amp;"'!$H$19")*(INDIRECT("'"&amp;$H$3&amp;"'!Q278")+(INDIRECT("'"&amp;$H$3&amp;"'!Q279")*('4_Outputs'!Q$52/INDIRECT("'"&amp;$H$3&amp;"'!Q$261")/INDIRECT("'"&amp;$H$3&amp;"'!$H$19"))))))))/INDIRECT("'"&amp;$H$3&amp;"'!$H$10"),0),0)</f>
        <v>0</v>
      </c>
      <c r="R363" s="836"/>
      <c r="S363" s="836"/>
      <c r="T363" s="836">
        <f ca="1">IFERROR(ROUNDUP(((T362*INDEX(INDIRECT("'"&amp;$H$3&amp;"'!$H$43:$H$78"),MATCH(INDIRECT("'"&amp;$H$3&amp;"'!T264")&amp;"Average duration (hrs) per trip",INDIRECT("'"&amp;$H$3&amp;"'!$F$43:$F$78"),0)))+(T357*((1/60)*(INDIRECT("'"&amp;$H$3&amp;"'!T277")+INDIRECT("'"&amp;$H$3&amp;"'!$H$19")*(INDIRECT("'"&amp;$H$3&amp;"'!T278")+(INDIRECT("'"&amp;$H$3&amp;"'!T279")*('4_Outputs'!T$52/INDIRECT("'"&amp;$H$3&amp;"'!T$261")/INDIRECT("'"&amp;$H$3&amp;"'!$H$19"))))))))/INDIRECT("'"&amp;$H$3&amp;"'!$H$10"),0),0)</f>
        <v>0</v>
      </c>
      <c r="U363" s="836"/>
      <c r="V363" s="836"/>
      <c r="W363" s="836">
        <f ca="1">IFERROR(ROUNDUP(((W362*INDEX(INDIRECT("'"&amp;$H$3&amp;"'!$H$43:$H$78"),MATCH(INDIRECT("'"&amp;$H$3&amp;"'!W264")&amp;"Average duration (hrs) per trip",INDIRECT("'"&amp;$H$3&amp;"'!$F$43:$F$78"),0)))+(W357*((1/60)*(INDIRECT("'"&amp;$H$3&amp;"'!W277")+INDIRECT("'"&amp;$H$3&amp;"'!$H$19")*(INDIRECT("'"&amp;$H$3&amp;"'!W278")+(INDIRECT("'"&amp;$H$3&amp;"'!W279")*('4_Outputs'!W$52/INDIRECT("'"&amp;$H$3&amp;"'!W$261")/INDIRECT("'"&amp;$H$3&amp;"'!$H$19"))))))))/INDIRECT("'"&amp;$H$3&amp;"'!$H$10"),0),0)</f>
        <v>0</v>
      </c>
      <c r="X363" s="1469"/>
      <c r="Y363" s="36"/>
      <c r="Z363" s="36"/>
      <c r="AA363" s="36"/>
      <c r="AB363" s="36"/>
      <c r="AC363" s="36"/>
      <c r="AD363" s="36"/>
      <c r="AE363" s="36"/>
      <c r="AF363" s="36"/>
      <c r="AG363" s="36"/>
      <c r="AH363" s="36"/>
      <c r="AI363" s="36"/>
      <c r="AJ363" s="36"/>
      <c r="AK363" s="242"/>
      <c r="AL363" s="36"/>
      <c r="AM363" s="36"/>
      <c r="AN363" s="36"/>
    </row>
    <row r="364" spans="6:40" ht="15" customHeight="1" outlineLevel="1">
      <c r="F364" s="52"/>
      <c r="G364" s="1613" t="s">
        <v>841</v>
      </c>
      <c r="H364" s="842"/>
      <c r="I364" s="842"/>
      <c r="J364" s="842"/>
      <c r="K364" s="842"/>
      <c r="L364" s="842"/>
      <c r="M364" s="842"/>
      <c r="N364" s="842"/>
      <c r="O364" s="842"/>
      <c r="P364" s="842"/>
      <c r="Q364" s="842"/>
      <c r="R364" s="1650"/>
      <c r="S364" s="1650"/>
      <c r="T364" s="842"/>
      <c r="U364" s="1650"/>
      <c r="V364" s="1650"/>
      <c r="W364" s="842"/>
      <c r="X364" s="1470"/>
      <c r="Y364" s="36"/>
      <c r="Z364" s="36"/>
      <c r="AA364" s="36"/>
      <c r="AB364" s="36"/>
      <c r="AC364" s="36"/>
      <c r="AD364" s="36"/>
      <c r="AE364" s="36"/>
      <c r="AF364" s="36"/>
      <c r="AG364" s="36"/>
      <c r="AH364" s="36"/>
      <c r="AI364" s="36"/>
      <c r="AJ364" s="36"/>
      <c r="AK364" s="36"/>
      <c r="AL364" s="36"/>
      <c r="AM364" s="36"/>
      <c r="AN364" s="36"/>
    </row>
    <row r="365" spans="6:40" ht="15" customHeight="1" outlineLevel="1">
      <c r="F365" s="52"/>
      <c r="G365" s="51" t="s">
        <v>144</v>
      </c>
      <c r="H365" s="836"/>
      <c r="I365" s="836"/>
      <c r="J365" s="836"/>
      <c r="K365" s="836">
        <f ca="1">IFERROR(K357*2,0)</f>
        <v>0</v>
      </c>
      <c r="L365" s="836"/>
      <c r="M365" s="836"/>
      <c r="N365" s="836">
        <f ca="1">IFERROR(N357*2,0)</f>
        <v>0</v>
      </c>
      <c r="O365" s="836"/>
      <c r="P365" s="836"/>
      <c r="Q365" s="836">
        <f ca="1">IFERROR(Q357*2,0)</f>
        <v>0</v>
      </c>
      <c r="R365" s="836"/>
      <c r="S365" s="836"/>
      <c r="T365" s="836">
        <f ca="1">IFERROR(T357*2,0)</f>
        <v>0</v>
      </c>
      <c r="U365" s="836"/>
      <c r="V365" s="836"/>
      <c r="W365" s="836">
        <f ca="1">IFERROR(W357*2,0)</f>
        <v>0</v>
      </c>
      <c r="X365" s="1469"/>
      <c r="Y365" s="36"/>
      <c r="Z365" s="36"/>
      <c r="AA365" s="36"/>
      <c r="AB365" s="36"/>
      <c r="AC365" s="36"/>
      <c r="AD365" s="36"/>
      <c r="AE365" s="36"/>
      <c r="AF365" s="36"/>
      <c r="AG365" s="36"/>
      <c r="AH365" s="36"/>
      <c r="AI365" s="36"/>
      <c r="AJ365" s="36"/>
      <c r="AK365" s="36"/>
      <c r="AL365" s="36"/>
      <c r="AM365" s="36"/>
      <c r="AN365" s="36"/>
    </row>
    <row r="366" spans="6:40" ht="15" customHeight="1" outlineLevel="1">
      <c r="F366" s="52"/>
      <c r="G366" s="51" t="s">
        <v>145</v>
      </c>
      <c r="H366" s="837"/>
      <c r="I366" s="837"/>
      <c r="J366" s="837"/>
      <c r="K366" s="837">
        <f ca="1">IFERROR(MAX(K357,ROUNDUP(((K365*INDEX(INDIRECT("'"&amp;$H$3&amp;"'!$H$43:$H$78"),MATCH(INDIRECT("'"&amp;$H$3&amp;"'!K264")&amp;"Average duration (hrs) per trip",INDIRECT("'"&amp;$H$3&amp;"'!$F$43:$F$78"),0)))+(K357*((1/60)*(INDIRECT("'"&amp;$H$3&amp;"'!K277")+INDIRECT("'"&amp;$H$3&amp;"'!$H$19")*(INDIRECT("'"&amp;$H$3&amp;"'!K278")+(INDIRECT("'"&amp;$H$3&amp;"'!K279")*('4_Outputs'!K$52/INDIRECT("'"&amp;$H$3&amp;"'!K$261")/INDIRECT("'"&amp;$H$3&amp;"'!$H$19"))))))))/INDIRECT("'"&amp;$H$3&amp;"'!$H$10"),0)),0)</f>
        <v>0</v>
      </c>
      <c r="L366" s="837"/>
      <c r="M366" s="837"/>
      <c r="N366" s="837">
        <f ca="1">IFERROR(MAX(N357,ROUNDUP(((N365*INDEX(INDIRECT("'"&amp;$H$3&amp;"'!$H$43:$H$78"),MATCH(INDIRECT("'"&amp;$H$3&amp;"'!N264")&amp;"Average duration (hrs) per trip",INDIRECT("'"&amp;$H$3&amp;"'!$F$43:$F$78"),0)))+(N357*((1/60)*(INDIRECT("'"&amp;$H$3&amp;"'!N277")+INDIRECT("'"&amp;$H$3&amp;"'!$H$19")*(INDIRECT("'"&amp;$H$3&amp;"'!N278")+(INDIRECT("'"&amp;$H$3&amp;"'!N279")*('4_Outputs'!N$52/INDIRECT("'"&amp;$H$3&amp;"'!N$261")/INDIRECT("'"&amp;$H$3&amp;"'!$H$19"))))))))/INDIRECT("'"&amp;$H$3&amp;"'!$H$10"),0)),0)</f>
        <v>0</v>
      </c>
      <c r="O366" s="837"/>
      <c r="P366" s="837"/>
      <c r="Q366" s="837">
        <f ca="1">IFERROR(MAX(Q357,ROUNDUP(((Q365*INDEX(INDIRECT("'"&amp;$H$3&amp;"'!$H$43:$H$78"),MATCH(INDIRECT("'"&amp;$H$3&amp;"'!Q264")&amp;"Average duration (hrs) per trip",INDIRECT("'"&amp;$H$3&amp;"'!$F$43:$F$78"),0)))+(Q357*((1/60)*(INDIRECT("'"&amp;$H$3&amp;"'!Q277")+INDIRECT("'"&amp;$H$3&amp;"'!$H$19")*(INDIRECT("'"&amp;$H$3&amp;"'!Q278")+(INDIRECT("'"&amp;$H$3&amp;"'!Q279")*('4_Outputs'!Q$52/INDIRECT("'"&amp;$H$3&amp;"'!Q$261")/INDIRECT("'"&amp;$H$3&amp;"'!$H$19"))))))))/INDIRECT("'"&amp;$H$3&amp;"'!$H$10"),0)),0)</f>
        <v>0</v>
      </c>
      <c r="R366" s="837"/>
      <c r="S366" s="837"/>
      <c r="T366" s="837">
        <f ca="1">IFERROR(MAX(T357,ROUNDUP(((T365*INDEX(INDIRECT("'"&amp;$H$3&amp;"'!$H$43:$H$78"),MATCH(INDIRECT("'"&amp;$H$3&amp;"'!T264")&amp;"Average duration (hrs) per trip",INDIRECT("'"&amp;$H$3&amp;"'!$F$43:$F$78"),0)))+(T357*((1/60)*(INDIRECT("'"&amp;$H$3&amp;"'!T277")+INDIRECT("'"&amp;$H$3&amp;"'!$H$19")*(INDIRECT("'"&amp;$H$3&amp;"'!T278")+(INDIRECT("'"&amp;$H$3&amp;"'!T279")*('4_Outputs'!T$52/INDIRECT("'"&amp;$H$3&amp;"'!T$261")/INDIRECT("'"&amp;$H$3&amp;"'!$H$19"))))))))/INDIRECT("'"&amp;$H$3&amp;"'!$H$10"),0)),0)</f>
        <v>0</v>
      </c>
      <c r="U366" s="837"/>
      <c r="V366" s="837"/>
      <c r="W366" s="837">
        <f ca="1">IFERROR(MAX(W357,ROUNDUP(((W365*INDEX(INDIRECT("'"&amp;$H$3&amp;"'!$H$43:$H$78"),MATCH(INDIRECT("'"&amp;$H$3&amp;"'!W264")&amp;"Average duration (hrs) per trip",INDIRECT("'"&amp;$H$3&amp;"'!$F$43:$F$78"),0)))+(W357*((1/60)*(INDIRECT("'"&amp;$H$3&amp;"'!W277")+INDIRECT("'"&amp;$H$3&amp;"'!$H$19")*(INDIRECT("'"&amp;$H$3&amp;"'!W278")+(INDIRECT("'"&amp;$H$3&amp;"'!W279")*('4_Outputs'!W$52/INDIRECT("'"&amp;$H$3&amp;"'!W$261")/INDIRECT("'"&amp;$H$3&amp;"'!$H$19"))))))))/INDIRECT("'"&amp;$H$3&amp;"'!$H$10"),0)),0)</f>
        <v>0</v>
      </c>
      <c r="X366" s="1468"/>
      <c r="Y366" s="36"/>
      <c r="Z366" s="36"/>
      <c r="AA366" s="36"/>
      <c r="AB366" s="36"/>
      <c r="AC366" s="36"/>
      <c r="AD366" s="36"/>
      <c r="AE366" s="36"/>
      <c r="AF366" s="36"/>
      <c r="AG366" s="36"/>
      <c r="AH366" s="36"/>
      <c r="AI366" s="36"/>
      <c r="AJ366" s="36"/>
      <c r="AK366" s="36"/>
      <c r="AL366" s="36"/>
      <c r="AM366" s="36"/>
      <c r="AN366" s="36"/>
    </row>
    <row r="367" spans="6:40" ht="15" customHeight="1" outlineLevel="1">
      <c r="F367" s="1681" t="s">
        <v>148</v>
      </c>
      <c r="G367" s="1683"/>
      <c r="H367" s="851"/>
      <c r="I367" s="851"/>
      <c r="J367" s="851"/>
      <c r="K367" s="851"/>
      <c r="L367" s="851"/>
      <c r="M367" s="851"/>
      <c r="N367" s="851"/>
      <c r="O367" s="851"/>
      <c r="P367" s="851"/>
      <c r="Q367" s="851"/>
      <c r="R367" s="1646"/>
      <c r="S367" s="1646"/>
      <c r="T367" s="851"/>
      <c r="U367" s="1646"/>
      <c r="V367" s="1646"/>
      <c r="W367" s="851"/>
      <c r="X367" s="1471"/>
      <c r="Y367" s="36"/>
      <c r="Z367" s="36"/>
      <c r="AA367" s="36"/>
      <c r="AB367" s="36"/>
      <c r="AC367" s="36"/>
      <c r="AD367" s="36"/>
      <c r="AE367" s="36"/>
      <c r="AF367" s="36"/>
      <c r="AG367" s="36"/>
      <c r="AH367" s="36"/>
      <c r="AI367" s="36"/>
      <c r="AJ367" s="36"/>
      <c r="AK367" s="242"/>
      <c r="AL367" s="36"/>
      <c r="AM367" s="36"/>
      <c r="AN367" s="36"/>
    </row>
    <row r="368" spans="6:40" ht="15" customHeight="1" outlineLevel="1">
      <c r="F368" s="86"/>
      <c r="G368" s="51" t="s">
        <v>151</v>
      </c>
      <c r="H368" s="836"/>
      <c r="I368" s="836"/>
      <c r="J368" s="836"/>
      <c r="K368" s="836">
        <f ca="1">IFERROR(IF(COUNTIF(INDIRECT("'"&amp;$H$3&amp;"'!K264"),"Public Transport*")&lt;1,ROUND(INDIRECT("'"&amp;$H$3&amp;"'!K$95")*INDIRECT("'"&amp;$H$3&amp;"'!K263"),0),0),0)</f>
        <v>0</v>
      </c>
      <c r="L368" s="836"/>
      <c r="M368" s="836"/>
      <c r="N368" s="836">
        <f ca="1">IFERROR(IF(COUNTIF(INDIRECT("'"&amp;$H$3&amp;"'!N264"),"Public Transport*")&lt;1,ROUND(INDIRECT("'"&amp;$H$3&amp;"'!N$95")*INDIRECT("'"&amp;$H$3&amp;"'!N263"),0),0),0)</f>
        <v>0</v>
      </c>
      <c r="O368" s="836"/>
      <c r="P368" s="836"/>
      <c r="Q368" s="836">
        <f ca="1">IFERROR(IF(COUNTIF(INDIRECT("'"&amp;$H$3&amp;"'!Q264"),"Public Transport*")&lt;1,ROUND(INDIRECT("'"&amp;$H$3&amp;"'!Q$95")*INDIRECT("'"&amp;$H$3&amp;"'!Q263"),0),0),0)</f>
        <v>0</v>
      </c>
      <c r="R368" s="1646"/>
      <c r="S368" s="1646"/>
      <c r="T368" s="836">
        <f ca="1">IFERROR(IF(COUNTIF(INDIRECT("'"&amp;$H$3&amp;"'!T264"),"Public Transport*")&lt;1,ROUND(INDIRECT("'"&amp;$H$3&amp;"'!T$95")*INDIRECT("'"&amp;$H$3&amp;"'!T263"),0),0),0)</f>
        <v>0</v>
      </c>
      <c r="U368" s="1646"/>
      <c r="V368" s="1646"/>
      <c r="W368" s="836">
        <f ca="1">IFERROR(IF(COUNTIF(INDIRECT("'"&amp;$H$3&amp;"'!W264"),"Public Transport*")&lt;1,ROUND(INDIRECT("'"&amp;$H$3&amp;"'!W$95")*INDIRECT("'"&amp;$H$3&amp;"'!W263"),0),0),0)</f>
        <v>0</v>
      </c>
      <c r="X368" s="1469"/>
      <c r="Y368" s="36"/>
      <c r="Z368" s="36"/>
      <c r="AA368" s="36"/>
      <c r="AB368" s="36"/>
      <c r="AC368" s="36"/>
      <c r="AD368" s="36"/>
      <c r="AE368" s="36"/>
      <c r="AF368" s="36"/>
      <c r="AG368" s="36"/>
      <c r="AH368" s="36"/>
      <c r="AI368" s="36"/>
      <c r="AJ368" s="36"/>
      <c r="AK368" s="242"/>
      <c r="AL368" s="36"/>
      <c r="AM368" s="36"/>
      <c r="AN368" s="36"/>
    </row>
    <row r="369" spans="6:40" ht="15" customHeight="1" outlineLevel="1">
      <c r="F369" s="52"/>
      <c r="G369" s="51" t="s">
        <v>85</v>
      </c>
      <c r="H369" s="837"/>
      <c r="I369" s="837"/>
      <c r="J369" s="837"/>
      <c r="K369" s="837">
        <f ca="1">IFERROR(IF(INDIRECT("'"&amp;$H$3&amp;"'!K272")="Route-based",K374*K375,IF(INDIRECT("'"&amp;$H$3&amp;"'!K272")="Point-to-point",K379*K380,0)),0)</f>
        <v>0</v>
      </c>
      <c r="L369" s="837"/>
      <c r="M369" s="837"/>
      <c r="N369" s="837">
        <f ca="1">IFERROR(IF(INDIRECT("'"&amp;$H$3&amp;"'!N272")="Route-based",N374*N375,IF(INDIRECT("'"&amp;$H$3&amp;"'!N272")="Point-to-point",N379*N380,0)),0)</f>
        <v>0</v>
      </c>
      <c r="O369" s="837"/>
      <c r="P369" s="837"/>
      <c r="Q369" s="837">
        <f ca="1">IFERROR(IF(INDIRECT("'"&amp;$H$3&amp;"'!Q272")="Route-based",Q374*Q375,IF(INDIRECT("'"&amp;$H$3&amp;"'!Q272")="Point-to-point",Q379*Q380,0)),0)</f>
        <v>0</v>
      </c>
      <c r="R369" s="1650"/>
      <c r="S369" s="1650"/>
      <c r="T369" s="837">
        <f ca="1">IFERROR(IF(INDIRECT("'"&amp;$H$3&amp;"'!T272")="Route-based",T374*T375,IF(INDIRECT("'"&amp;$H$3&amp;"'!T272")="Point-to-point",T379*T380,0)),0)</f>
        <v>0</v>
      </c>
      <c r="U369" s="1650"/>
      <c r="V369" s="1650"/>
      <c r="W369" s="837">
        <f ca="1">IFERROR(IF(INDIRECT("'"&amp;$H$3&amp;"'!W272")="Route-based",W374*W375,IF(INDIRECT("'"&amp;$H$3&amp;"'!W272")="Point-to-point",W379*W380,0)),0)</f>
        <v>0</v>
      </c>
      <c r="X369" s="1468"/>
      <c r="Y369" s="36"/>
      <c r="Z369" s="36"/>
      <c r="AA369" s="36"/>
      <c r="AB369" s="36"/>
      <c r="AC369" s="36"/>
      <c r="AD369" s="36"/>
      <c r="AE369" s="36"/>
      <c r="AF369" s="36"/>
      <c r="AG369" s="36"/>
      <c r="AH369" s="36"/>
      <c r="AI369" s="36"/>
      <c r="AJ369" s="36"/>
      <c r="AK369" s="242"/>
      <c r="AL369" s="36"/>
      <c r="AM369" s="36"/>
      <c r="AN369" s="36"/>
    </row>
    <row r="370" spans="6:40" ht="15" customHeight="1" outlineLevel="1">
      <c r="F370" s="52"/>
      <c r="G370" s="51" t="s">
        <v>59</v>
      </c>
      <c r="H370" s="837"/>
      <c r="I370" s="837"/>
      <c r="J370" s="837"/>
      <c r="K370" s="837">
        <f ca="1">IFERROR(IF(INDIRECT("'"&amp;$H$3&amp;"'!K272")="Route-based",ROUND(K374*K376/INDIRECT("'"&amp;$H$3&amp;"'!$H$10"),0),IF(INDIRECT("'"&amp;$H$3&amp;"'!K272")="Point-to-point",ROUND(((K368*INDIRECT("'"&amp;$H$3&amp;"'!K$261")*((1/60)*(INDIRECT("'"&amp;$H$3&amp;"'!K277")+INDIRECT("'"&amp;$H$3&amp;"'!$H$19")*(INDIRECT("'"&amp;$H$3&amp;"'!K278")+(INDIRECT("'"&amp;$H$3&amp;"'!K279")*('4_Outputs'!K$52/INDIRECT("'"&amp;$H$3&amp;"'!K$261")/INDIRECT("'"&amp;$H$3&amp;"'!$H$19")))))))+(K369/INDIRECT("'"&amp;$H$3&amp;"'!K281")))/INDIRECT("'"&amp;$H$3&amp;"'!$H$10"),0),0)),0)</f>
        <v>0</v>
      </c>
      <c r="L370" s="837"/>
      <c r="M370" s="837"/>
      <c r="N370" s="837">
        <f ca="1">IFERROR(IF(INDIRECT("'"&amp;$H$3&amp;"'!N272")="Route-based",ROUND(N374*N376/INDIRECT("'"&amp;$H$3&amp;"'!$H$10"),0),IF(INDIRECT("'"&amp;$H$3&amp;"'!N272")="Point-to-point",ROUND(((N368*INDIRECT("'"&amp;$H$3&amp;"'!N$261")*((1/60)*(INDIRECT("'"&amp;$H$3&amp;"'!N277")+INDIRECT("'"&amp;$H$3&amp;"'!$H$19")*(INDIRECT("'"&amp;$H$3&amp;"'!N278")+(INDIRECT("'"&amp;$H$3&amp;"'!N279")*('4_Outputs'!N$52/INDIRECT("'"&amp;$H$3&amp;"'!N$261")/INDIRECT("'"&amp;$H$3&amp;"'!$H$19")))))))+(N369/INDIRECT("'"&amp;$H$3&amp;"'!N281")))/INDIRECT("'"&amp;$H$3&amp;"'!$H$10"),0),0)),0)</f>
        <v>0</v>
      </c>
      <c r="O370" s="837"/>
      <c r="P370" s="837"/>
      <c r="Q370" s="837">
        <f ca="1">IFERROR(IF(INDIRECT("'"&amp;$H$3&amp;"'!Q272")="Route-based",ROUND(Q374*Q376/INDIRECT("'"&amp;$H$3&amp;"'!$H$10"),0),IF(INDIRECT("'"&amp;$H$3&amp;"'!Q272")="Point-to-point",ROUND(((Q368*INDIRECT("'"&amp;$H$3&amp;"'!Q$261")*((1/60)*(INDIRECT("'"&amp;$H$3&amp;"'!Q277")+INDIRECT("'"&amp;$H$3&amp;"'!$H$19")*(INDIRECT("'"&amp;$H$3&amp;"'!Q278")+(INDIRECT("'"&amp;$H$3&amp;"'!Q279")*('4_Outputs'!Q$52/INDIRECT("'"&amp;$H$3&amp;"'!Q$261")/INDIRECT("'"&amp;$H$3&amp;"'!$H$19")))))))+(Q369/INDIRECT("'"&amp;$H$3&amp;"'!Q281")))/INDIRECT("'"&amp;$H$3&amp;"'!$H$10"),0),0)),0)</f>
        <v>0</v>
      </c>
      <c r="R370" s="837"/>
      <c r="S370" s="837"/>
      <c r="T370" s="837">
        <f ca="1">IFERROR(IF(INDIRECT("'"&amp;$H$3&amp;"'!T272")="Route-based",ROUND(T374*T376/INDIRECT("'"&amp;$H$3&amp;"'!$H$10"),0),IF(INDIRECT("'"&amp;$H$3&amp;"'!T272")="Point-to-point",ROUND(((T368*INDIRECT("'"&amp;$H$3&amp;"'!T$261")*((1/60)*(INDIRECT("'"&amp;$H$3&amp;"'!T277")+INDIRECT("'"&amp;$H$3&amp;"'!$H$19")*(INDIRECT("'"&amp;$H$3&amp;"'!T278")+(INDIRECT("'"&amp;$H$3&amp;"'!T279")*('4_Outputs'!T$52/INDIRECT("'"&amp;$H$3&amp;"'!T$261")/INDIRECT("'"&amp;$H$3&amp;"'!$H$19")))))))+(T369/INDIRECT("'"&amp;$H$3&amp;"'!T281")))/INDIRECT("'"&amp;$H$3&amp;"'!$H$10"),0),0)),0)</f>
        <v>0</v>
      </c>
      <c r="U370" s="837"/>
      <c r="V370" s="837"/>
      <c r="W370" s="837">
        <f ca="1">IFERROR(IF(INDIRECT("'"&amp;$H$3&amp;"'!W272")="Route-based",ROUND(W374*W376/INDIRECT("'"&amp;$H$3&amp;"'!$H$10"),0),IF(INDIRECT("'"&amp;$H$3&amp;"'!W272")="Point-to-point",ROUND(((W368*INDIRECT("'"&amp;$H$3&amp;"'!W$261")*((1/60)*(INDIRECT("'"&amp;$H$3&amp;"'!W277")+INDIRECT("'"&amp;$H$3&amp;"'!$H$19")*(INDIRECT("'"&amp;$H$3&amp;"'!W278")+(INDIRECT("'"&amp;$H$3&amp;"'!W279")*('4_Outputs'!W$52/INDIRECT("'"&amp;$H$3&amp;"'!W$261")/INDIRECT("'"&amp;$H$3&amp;"'!$H$19")))))))+(W369/INDIRECT("'"&amp;$H$3&amp;"'!W281")))/INDIRECT("'"&amp;$H$3&amp;"'!$H$10"),0),0)),0)</f>
        <v>0</v>
      </c>
      <c r="X370" s="1468"/>
      <c r="Y370" s="36"/>
      <c r="Z370" s="36"/>
      <c r="AA370" s="36"/>
      <c r="AB370" s="36"/>
      <c r="AC370" s="36"/>
      <c r="AD370" s="36"/>
      <c r="AE370" s="36"/>
      <c r="AF370" s="36"/>
      <c r="AG370" s="36"/>
      <c r="AH370" s="36"/>
      <c r="AI370" s="36"/>
      <c r="AJ370" s="36"/>
      <c r="AK370" s="242"/>
      <c r="AL370" s="36"/>
      <c r="AM370" s="36"/>
      <c r="AN370" s="36"/>
    </row>
    <row r="371" spans="6:40" ht="15" customHeight="1" outlineLevel="1">
      <c r="F371" s="52"/>
      <c r="G371" s="51" t="s">
        <v>86</v>
      </c>
      <c r="H371" s="839"/>
      <c r="I371" s="839"/>
      <c r="J371" s="839"/>
      <c r="K371" s="839">
        <f ca="1">IFERROR(IF(INDIRECT("'"&amp;$H$3&amp;"'!K272")="Route-based",IF(INDIRECT("'"&amp;$H$3&amp;"'!K269")="Yes",K173, IF(INDIRECT("'"&amp;$H$3&amp;"'!K269")="No",K370/(INDIRECT("'"&amp;$H$3&amp;"'!$H$9")*INDIRECT("'"&amp;$H$3&amp;"'!K268")))),
IF(INDIRECT("'"&amp;$H$3&amp;"'!K272")="Point-to-point",IF(INDIRECT("'"&amp;$H$3&amp;"'!K269")="Yes",K173,IF(INDIRECT("'"&amp;$H$3&amp;"'!K269")="No",K370/(INDIRECT("'"&amp;$H$3&amp;"'!$H$9")*INDIRECT("'"&amp;$H$3&amp;"'!K268")))),0)),0)</f>
        <v>0</v>
      </c>
      <c r="L371" s="839"/>
      <c r="M371" s="839"/>
      <c r="N371" s="839">
        <f ca="1">IFERROR(IF(INDIRECT("'"&amp;$H$3&amp;"'!N272")="Route-based",IF(INDIRECT("'"&amp;$H$3&amp;"'!N269")="Yes",N173, IF(INDIRECT("'"&amp;$H$3&amp;"'!N269")="No",N370/(INDIRECT("'"&amp;$H$3&amp;"'!$H$9")*INDIRECT("'"&amp;$H$3&amp;"'!N268")))),
IF(INDIRECT("'"&amp;$H$3&amp;"'!N272")="Point-to-point",IF(INDIRECT("'"&amp;$H$3&amp;"'!N269")="Yes",N173,IF(INDIRECT("'"&amp;$H$3&amp;"'!N269")="No",N370/(INDIRECT("'"&amp;$H$3&amp;"'!$H$9")*INDIRECT("'"&amp;$H$3&amp;"'!N268")))),0)),0)</f>
        <v>0</v>
      </c>
      <c r="O371" s="839"/>
      <c r="P371" s="839"/>
      <c r="Q371" s="839">
        <f ca="1">IFERROR(IF(INDIRECT("'"&amp;$H$3&amp;"'!Q272")="Route-based",IF(INDIRECT("'"&amp;$H$3&amp;"'!Q269")="Yes",Q173, IF(INDIRECT("'"&amp;$H$3&amp;"'!Q269")="No",Q370/(INDIRECT("'"&amp;$H$3&amp;"'!$H$9")*INDIRECT("'"&amp;$H$3&amp;"'!Q268")))),
IF(INDIRECT("'"&amp;$H$3&amp;"'!Q272")="Point-to-point",IF(INDIRECT("'"&amp;$H$3&amp;"'!Q269")="Yes",Q173,IF(INDIRECT("'"&amp;$H$3&amp;"'!Q269")="No",Q370/(INDIRECT("'"&amp;$H$3&amp;"'!$H$9")*INDIRECT("'"&amp;$H$3&amp;"'!Q268")))),0)),0)</f>
        <v>0</v>
      </c>
      <c r="R371" s="839"/>
      <c r="S371" s="839"/>
      <c r="T371" s="839">
        <f ca="1">IFERROR(IF(INDIRECT("'"&amp;$H$3&amp;"'!T272")="Route-based",IF(INDIRECT("'"&amp;$H$3&amp;"'!T269")="Yes",T173, IF(INDIRECT("'"&amp;$H$3&amp;"'!T269")="No",T370/(INDIRECT("'"&amp;$H$3&amp;"'!$H$9")*INDIRECT("'"&amp;$H$3&amp;"'!T268")))),
IF(INDIRECT("'"&amp;$H$3&amp;"'!T272")="Point-to-point",IF(INDIRECT("'"&amp;$H$3&amp;"'!T269")="Yes",T173,IF(INDIRECT("'"&amp;$H$3&amp;"'!T269")="No",T370/(INDIRECT("'"&amp;$H$3&amp;"'!$H$9")*INDIRECT("'"&amp;$H$3&amp;"'!T268")))),0)),0)</f>
        <v>0</v>
      </c>
      <c r="U371" s="839"/>
      <c r="V371" s="839"/>
      <c r="W371" s="839">
        <f ca="1">IFERROR(IF(INDIRECT("'"&amp;$H$3&amp;"'!W272")="Route-based",IF(INDIRECT("'"&amp;$H$3&amp;"'!W269")="Yes",W173, IF(INDIRECT("'"&amp;$H$3&amp;"'!W269")="No",W370/(INDIRECT("'"&amp;$H$3&amp;"'!$H$9")*INDIRECT("'"&amp;$H$3&amp;"'!W268")))),
IF(INDIRECT("'"&amp;$H$3&amp;"'!W272")="Point-to-point",IF(INDIRECT("'"&amp;$H$3&amp;"'!W269")="Yes",W173,IF(INDIRECT("'"&amp;$H$3&amp;"'!W269")="No",W370/(INDIRECT("'"&amp;$H$3&amp;"'!$H$9")*INDIRECT("'"&amp;$H$3&amp;"'!W268")))),0)),0)</f>
        <v>0</v>
      </c>
      <c r="X371" s="1470"/>
      <c r="Y371" s="36"/>
      <c r="Z371" s="36"/>
      <c r="AA371" s="36"/>
      <c r="AB371" s="36"/>
      <c r="AC371" s="36"/>
      <c r="AD371" s="36"/>
      <c r="AE371" s="36"/>
      <c r="AF371" s="36"/>
      <c r="AG371" s="36"/>
      <c r="AH371" s="36"/>
      <c r="AI371" s="36"/>
      <c r="AJ371" s="36"/>
      <c r="AK371" s="36" t="s">
        <v>191</v>
      </c>
      <c r="AL371" s="36"/>
      <c r="AM371" s="36"/>
      <c r="AN371" s="36"/>
    </row>
    <row r="372" spans="6:40" ht="15" customHeight="1" outlineLevel="1" collapsed="1">
      <c r="F372" s="52"/>
      <c r="G372" s="1613" t="s">
        <v>133</v>
      </c>
      <c r="H372" s="842"/>
      <c r="I372" s="842"/>
      <c r="J372" s="842"/>
      <c r="K372" s="842"/>
      <c r="L372" s="842"/>
      <c r="M372" s="842"/>
      <c r="N372" s="842"/>
      <c r="O372" s="842"/>
      <c r="P372" s="842"/>
      <c r="Q372" s="842"/>
      <c r="R372" s="1650"/>
      <c r="S372" s="1650"/>
      <c r="T372" s="842"/>
      <c r="U372" s="1650"/>
      <c r="V372" s="1650"/>
      <c r="W372" s="842"/>
      <c r="X372" s="1470"/>
      <c r="Y372" s="36"/>
      <c r="Z372" s="36"/>
      <c r="AA372" s="36"/>
      <c r="AB372" s="36"/>
      <c r="AC372" s="36"/>
      <c r="AD372" s="36"/>
      <c r="AE372" s="36"/>
      <c r="AF372" s="36"/>
      <c r="AG372" s="36"/>
      <c r="AH372" s="36"/>
      <c r="AI372" s="36"/>
      <c r="AJ372" s="36"/>
      <c r="AK372" s="36"/>
      <c r="AL372" s="36"/>
      <c r="AM372" s="36"/>
      <c r="AN372" s="36"/>
    </row>
    <row r="373" spans="6:40" ht="15" customHeight="1" outlineLevel="1">
      <c r="F373" s="52"/>
      <c r="G373" s="51" t="s">
        <v>129</v>
      </c>
      <c r="H373" s="836"/>
      <c r="I373" s="836"/>
      <c r="J373" s="836"/>
      <c r="K373" s="836">
        <f ca="1">IFERROR(((INDIRECT("'"&amp;$H$3&amp;"'!K273")*INDIRECT("'"&amp;$H$3&amp;"'!$H$10"))-(2*INDIRECT("'"&amp;$H$3&amp;"'!K$98")/INDIRECT("'"&amp;$H$3&amp;"'!K281"))+(INDIRECT("'"&amp;$H$3&amp;"'!K$99")/INDIRECT("'"&amp;$H$3&amp;"'!K280")))/(((1/60)*(INDIRECT("'"&amp;$H$3&amp;"'!K277")+INDIRECT("'"&amp;$H$3&amp;"'!$H$19")*(INDIRECT("'"&amp;$H$3&amp;"'!K278")+(INDIRECT("'"&amp;$H$3&amp;"'!K279")*('4_Outputs'!K$52/INDIRECT("'"&amp;$H$3&amp;"'!K$261")/INDIRECT("'"&amp;$H$3&amp;"'!$H$19"))))))+(INDIRECT("'"&amp;$H$3&amp;"'!K$99")/INDIRECT("'"&amp;$H$3&amp;"'!K280"))),0)</f>
        <v>0</v>
      </c>
      <c r="L373" s="836"/>
      <c r="M373" s="836"/>
      <c r="N373" s="836">
        <f ca="1">IFERROR(((INDIRECT("'"&amp;$H$3&amp;"'!N273")*INDIRECT("'"&amp;$H$3&amp;"'!$H$10"))-(2*INDIRECT("'"&amp;$H$3&amp;"'!N$98")/INDIRECT("'"&amp;$H$3&amp;"'!N281"))+(INDIRECT("'"&amp;$H$3&amp;"'!N$99")/INDIRECT("'"&amp;$H$3&amp;"'!N280")))/(((1/60)*(INDIRECT("'"&amp;$H$3&amp;"'!N277")+INDIRECT("'"&amp;$H$3&amp;"'!$H$19")*(INDIRECT("'"&amp;$H$3&amp;"'!N278")+(INDIRECT("'"&amp;$H$3&amp;"'!N279")*('4_Outputs'!N$52/INDIRECT("'"&amp;$H$3&amp;"'!N$261")/INDIRECT("'"&amp;$H$3&amp;"'!$H$19"))))))+(INDIRECT("'"&amp;$H$3&amp;"'!N$99")/INDIRECT("'"&amp;$H$3&amp;"'!N280"))),0)</f>
        <v>0</v>
      </c>
      <c r="O373" s="836"/>
      <c r="P373" s="836"/>
      <c r="Q373" s="836">
        <f ca="1">IFERROR(((INDIRECT("'"&amp;$H$3&amp;"'!Q273")*INDIRECT("'"&amp;$H$3&amp;"'!$H$10"))-(2*INDIRECT("'"&amp;$H$3&amp;"'!Q$98")/INDIRECT("'"&amp;$H$3&amp;"'!Q281"))+(INDIRECT("'"&amp;$H$3&amp;"'!Q$99")/INDIRECT("'"&amp;$H$3&amp;"'!Q280")))/(((1/60)*(INDIRECT("'"&amp;$H$3&amp;"'!Q277")+INDIRECT("'"&amp;$H$3&amp;"'!$H$19")*(INDIRECT("'"&amp;$H$3&amp;"'!Q278")+(INDIRECT("'"&amp;$H$3&amp;"'!Q279")*('4_Outputs'!Q$52/INDIRECT("'"&amp;$H$3&amp;"'!Q$261")/INDIRECT("'"&amp;$H$3&amp;"'!$H$19"))))))+(INDIRECT("'"&amp;$H$3&amp;"'!Q$99")/INDIRECT("'"&amp;$H$3&amp;"'!Q280"))),0)</f>
        <v>0</v>
      </c>
      <c r="R373" s="836"/>
      <c r="S373" s="836"/>
      <c r="T373" s="836">
        <f ca="1">IFERROR(((INDIRECT("'"&amp;$H$3&amp;"'!T273")*INDIRECT("'"&amp;$H$3&amp;"'!$H$10"))-(2*INDIRECT("'"&amp;$H$3&amp;"'!T$98")/INDIRECT("'"&amp;$H$3&amp;"'!T281"))+(INDIRECT("'"&amp;$H$3&amp;"'!T$99")/INDIRECT("'"&amp;$H$3&amp;"'!T280")))/(((1/60)*(INDIRECT("'"&amp;$H$3&amp;"'!T277")+INDIRECT("'"&amp;$H$3&amp;"'!$H$19")*(INDIRECT("'"&amp;$H$3&amp;"'!T278")+(INDIRECT("'"&amp;$H$3&amp;"'!T279")*('4_Outputs'!T$52/INDIRECT("'"&amp;$H$3&amp;"'!T$261")/INDIRECT("'"&amp;$H$3&amp;"'!$H$19"))))))+(INDIRECT("'"&amp;$H$3&amp;"'!T$99")/INDIRECT("'"&amp;$H$3&amp;"'!T280"))),0)</f>
        <v>0</v>
      </c>
      <c r="U373" s="836"/>
      <c r="V373" s="836"/>
      <c r="W373" s="836">
        <f ca="1">IFERROR(((INDIRECT("'"&amp;$H$3&amp;"'!W273")*INDIRECT("'"&amp;$H$3&amp;"'!$H$10"))-(2*INDIRECT("'"&amp;$H$3&amp;"'!W$98")/INDIRECT("'"&amp;$H$3&amp;"'!W281"))+(INDIRECT("'"&amp;$H$3&amp;"'!W$99")/INDIRECT("'"&amp;$H$3&amp;"'!W280")))/(((1/60)*(INDIRECT("'"&amp;$H$3&amp;"'!W277")+INDIRECT("'"&amp;$H$3&amp;"'!$H$19")*(INDIRECT("'"&amp;$H$3&amp;"'!W278")+(INDIRECT("'"&amp;$H$3&amp;"'!W279")*('4_Outputs'!W$52/INDIRECT("'"&amp;$H$3&amp;"'!W$261")/INDIRECT("'"&amp;$H$3&amp;"'!$H$19"))))))+(INDIRECT("'"&amp;$H$3&amp;"'!W$99")/INDIRECT("'"&amp;$H$3&amp;"'!W280"))),0)</f>
        <v>0</v>
      </c>
      <c r="X373" s="1469"/>
      <c r="Y373" s="36"/>
      <c r="Z373" s="36"/>
      <c r="AA373" s="36"/>
      <c r="AB373" s="36"/>
      <c r="AC373" s="36"/>
      <c r="AD373" s="36"/>
      <c r="AE373" s="36"/>
      <c r="AF373" s="36"/>
      <c r="AG373" s="36"/>
      <c r="AH373" s="36"/>
      <c r="AI373" s="36"/>
      <c r="AJ373" s="36"/>
      <c r="AK373" s="36"/>
      <c r="AL373" s="36"/>
      <c r="AM373" s="36"/>
      <c r="AN373" s="36"/>
    </row>
    <row r="374" spans="6:40" ht="15" customHeight="1" outlineLevel="1">
      <c r="F374" s="52"/>
      <c r="G374" s="51" t="s">
        <v>206</v>
      </c>
      <c r="H374" s="836"/>
      <c r="I374" s="836"/>
      <c r="J374" s="836"/>
      <c r="K374" s="836">
        <f ca="1">IFERROR(ROUND(K368*INDIRECT("'"&amp;$H$3&amp;"'!K$261")/K373,0),0)</f>
        <v>0</v>
      </c>
      <c r="L374" s="836"/>
      <c r="M374" s="836"/>
      <c r="N374" s="836">
        <f ca="1">IFERROR(ROUND(N368*INDIRECT("'"&amp;$H$3&amp;"'!N$261")/N373,0),0)</f>
        <v>0</v>
      </c>
      <c r="O374" s="836"/>
      <c r="P374" s="836"/>
      <c r="Q374" s="836">
        <f ca="1">IFERROR(ROUND(Q368*INDIRECT("'"&amp;$H$3&amp;"'!Q$261")/Q373,0),0)</f>
        <v>0</v>
      </c>
      <c r="R374" s="836"/>
      <c r="S374" s="836"/>
      <c r="T374" s="836">
        <f ca="1">IFERROR(ROUND(T368*INDIRECT("'"&amp;$H$3&amp;"'!T$261")/T373,0),0)</f>
        <v>0</v>
      </c>
      <c r="U374" s="836"/>
      <c r="V374" s="836"/>
      <c r="W374" s="836">
        <f ca="1">IFERROR(ROUND(W368*INDIRECT("'"&amp;$H$3&amp;"'!W$261")/W373,0),0)</f>
        <v>0</v>
      </c>
      <c r="X374" s="1469"/>
      <c r="Y374" s="36"/>
      <c r="Z374" s="36"/>
      <c r="AA374" s="36"/>
      <c r="AB374" s="36"/>
      <c r="AC374" s="36"/>
      <c r="AD374" s="36"/>
      <c r="AE374" s="36"/>
      <c r="AF374" s="36"/>
      <c r="AG374" s="36"/>
      <c r="AH374" s="36"/>
      <c r="AI374" s="36"/>
      <c r="AJ374" s="36"/>
      <c r="AK374" s="36"/>
      <c r="AL374" s="36"/>
      <c r="AM374" s="36"/>
      <c r="AN374" s="36"/>
    </row>
    <row r="375" spans="6:40" ht="15" customHeight="1" outlineLevel="1">
      <c r="F375" s="52"/>
      <c r="G375" s="51" t="s">
        <v>87</v>
      </c>
      <c r="H375" s="836"/>
      <c r="I375" s="836"/>
      <c r="J375" s="836"/>
      <c r="K375" s="836">
        <f ca="1">IFERROR(IF(K368=0,0,(2*INDIRECT("'"&amp;$H$3&amp;"'!K$98"))+((MAX(K373, 1)-1)*INDIRECT("'"&amp;$H$3&amp;"'!K$99"))),0)</f>
        <v>0</v>
      </c>
      <c r="L375" s="836"/>
      <c r="M375" s="836"/>
      <c r="N375" s="836">
        <f ca="1">IFERROR(IF(N368=0,0,(2*INDIRECT("'"&amp;$H$3&amp;"'!N$98"))+((MAX(N373, 1)-1)*INDIRECT("'"&amp;$H$3&amp;"'!N$99"))),0)</f>
        <v>0</v>
      </c>
      <c r="O375" s="836"/>
      <c r="P375" s="836"/>
      <c r="Q375" s="836">
        <f ca="1">IFERROR(IF(Q368=0,0,(2*INDIRECT("'"&amp;$H$3&amp;"'!Q$98"))+((MAX(Q373, 1)-1)*INDIRECT("'"&amp;$H$3&amp;"'!Q$99"))),0)</f>
        <v>0</v>
      </c>
      <c r="R375" s="836"/>
      <c r="S375" s="836"/>
      <c r="T375" s="836">
        <f ca="1">IFERROR(IF(T368=0,0,(2*INDIRECT("'"&amp;$H$3&amp;"'!T$98"))+((MAX(T373, 1)-1)*INDIRECT("'"&amp;$H$3&amp;"'!T$99"))),0)</f>
        <v>0</v>
      </c>
      <c r="U375" s="836"/>
      <c r="V375" s="836"/>
      <c r="W375" s="836">
        <f ca="1">IFERROR(IF(W368=0,0,(2*INDIRECT("'"&amp;$H$3&amp;"'!W$98"))+((MAX(W373, 1)-1)*INDIRECT("'"&amp;$H$3&amp;"'!W$99"))),0)</f>
        <v>0</v>
      </c>
      <c r="X375" s="1469"/>
      <c r="Y375" s="36"/>
      <c r="Z375" s="36"/>
      <c r="AA375" s="36"/>
      <c r="AB375" s="36"/>
      <c r="AC375" s="36"/>
      <c r="AD375" s="36"/>
      <c r="AE375" s="36"/>
      <c r="AF375" s="36"/>
      <c r="AG375" s="36"/>
      <c r="AH375" s="36"/>
      <c r="AI375" s="36"/>
      <c r="AJ375" s="36"/>
      <c r="AK375" s="36"/>
      <c r="AL375" s="36"/>
      <c r="AM375" s="36"/>
      <c r="AN375" s="36"/>
    </row>
    <row r="376" spans="6:40" ht="15" customHeight="1" outlineLevel="1">
      <c r="F376" s="52"/>
      <c r="G376" s="51" t="s">
        <v>203</v>
      </c>
      <c r="H376" s="836"/>
      <c r="I376" s="836"/>
      <c r="J376" s="836"/>
      <c r="K376" s="836">
        <f ca="1">IFERROR((ROUNDUP(K373,1)*((1/60)*(INDIRECT("'"&amp;$H$3&amp;"'!K277")+INDIRECT("'"&amp;$H$3&amp;"'!$H$19")*(INDIRECT("'"&amp;$H$3&amp;"'!K278")+(INDIRECT("'"&amp;$H$3&amp;"'!K279")*('4_Outputs'!K$52/INDIRECT("'"&amp;$H$3&amp;"'!K$261")/INDIRECT("'"&amp;$H$3&amp;"'!$H$19")))))))+((2*INDIRECT("'"&amp;$H$3&amp;"'!K$98"))/INDIRECT("'"&amp;$H$3&amp;"'!K281"))+(((MAX(K373,1)-1)*INDIRECT("'"&amp;$H$3&amp;"'!K$99"))/INDIRECT("'"&amp;$H$3&amp;"'!K280")),0)</f>
        <v>0</v>
      </c>
      <c r="L376" s="836"/>
      <c r="M376" s="836"/>
      <c r="N376" s="836">
        <f ca="1">IFERROR((ROUNDUP(N373,1)*((1/60)*(INDIRECT("'"&amp;$H$3&amp;"'!N277")+INDIRECT("'"&amp;$H$3&amp;"'!$H$19")*(INDIRECT("'"&amp;$H$3&amp;"'!N278")+(INDIRECT("'"&amp;$H$3&amp;"'!N279")*('4_Outputs'!N$52/INDIRECT("'"&amp;$H$3&amp;"'!N$261")/INDIRECT("'"&amp;$H$3&amp;"'!$H$19")))))))+((2*INDIRECT("'"&amp;$H$3&amp;"'!N$98"))/INDIRECT("'"&amp;$H$3&amp;"'!N281"))+(((MAX(N373,1)-1)*INDIRECT("'"&amp;$H$3&amp;"'!N$99"))/INDIRECT("'"&amp;$H$3&amp;"'!N280")),0)</f>
        <v>0</v>
      </c>
      <c r="O376" s="836"/>
      <c r="P376" s="836"/>
      <c r="Q376" s="836">
        <f ca="1">IFERROR((ROUNDUP(Q373,1)*((1/60)*(INDIRECT("'"&amp;$H$3&amp;"'!Q277")+INDIRECT("'"&amp;$H$3&amp;"'!$H$19")*(INDIRECT("'"&amp;$H$3&amp;"'!Q278")+(INDIRECT("'"&amp;$H$3&amp;"'!Q279")*('4_Outputs'!Q$52/INDIRECT("'"&amp;$H$3&amp;"'!Q$261")/INDIRECT("'"&amp;$H$3&amp;"'!$H$19")))))))+((2*INDIRECT("'"&amp;$H$3&amp;"'!Q$98"))/INDIRECT("'"&amp;$H$3&amp;"'!Q281"))+(((MAX(Q373,1)-1)*INDIRECT("'"&amp;$H$3&amp;"'!Q$99"))/INDIRECT("'"&amp;$H$3&amp;"'!Q280")),0)</f>
        <v>0</v>
      </c>
      <c r="R376" s="836"/>
      <c r="S376" s="836"/>
      <c r="T376" s="836">
        <f ca="1">IFERROR((ROUNDUP(T373,1)*((1/60)*(INDIRECT("'"&amp;$H$3&amp;"'!T277")+INDIRECT("'"&amp;$H$3&amp;"'!$H$19")*(INDIRECT("'"&amp;$H$3&amp;"'!T278")+(INDIRECT("'"&amp;$H$3&amp;"'!T279")*('4_Outputs'!T$52/INDIRECT("'"&amp;$H$3&amp;"'!T$261")/INDIRECT("'"&amp;$H$3&amp;"'!$H$19")))))))+((2*INDIRECT("'"&amp;$H$3&amp;"'!T$98"))/INDIRECT("'"&amp;$H$3&amp;"'!T281"))+(((MAX(T373,1)-1)*INDIRECT("'"&amp;$H$3&amp;"'!T$99"))/INDIRECT("'"&amp;$H$3&amp;"'!T280")),0)</f>
        <v>0</v>
      </c>
      <c r="U376" s="836"/>
      <c r="V376" s="836"/>
      <c r="W376" s="836">
        <f ca="1">IFERROR((ROUNDUP(W373,1)*((1/60)*(INDIRECT("'"&amp;$H$3&amp;"'!W277")+INDIRECT("'"&amp;$H$3&amp;"'!$H$19")*(INDIRECT("'"&amp;$H$3&amp;"'!W278")+(INDIRECT("'"&amp;$H$3&amp;"'!W279")*('4_Outputs'!W$52/INDIRECT("'"&amp;$H$3&amp;"'!W$261")/INDIRECT("'"&amp;$H$3&amp;"'!$H$19")))))))+((2*INDIRECT("'"&amp;$H$3&amp;"'!W$98"))/INDIRECT("'"&amp;$H$3&amp;"'!W281"))+(((MAX(W373,1)-1)*INDIRECT("'"&amp;$H$3&amp;"'!W$99"))/INDIRECT("'"&amp;$H$3&amp;"'!W280")),0)</f>
        <v>0</v>
      </c>
      <c r="X376" s="1465"/>
      <c r="Y376" s="36"/>
      <c r="Z376" s="36"/>
      <c r="AA376" s="36"/>
      <c r="AB376" s="36"/>
      <c r="AC376" s="36"/>
      <c r="AD376" s="36"/>
      <c r="AE376" s="36"/>
      <c r="AF376" s="36"/>
      <c r="AG376" s="36"/>
      <c r="AH376" s="36"/>
      <c r="AI376" s="36"/>
      <c r="AJ376" s="36"/>
      <c r="AK376" s="36"/>
      <c r="AL376" s="36"/>
      <c r="AM376" s="36"/>
      <c r="AN376" s="36"/>
    </row>
    <row r="377" spans="6:40" ht="15" customHeight="1" outlineLevel="1">
      <c r="F377" s="52"/>
      <c r="G377" s="51" t="s">
        <v>204</v>
      </c>
      <c r="H377" s="836"/>
      <c r="I377" s="836"/>
      <c r="J377" s="836"/>
      <c r="K377" s="836">
        <f ca="1">IFERROR((INDIRECT("'"&amp;$H$3&amp;"'!$H$10")*INDIRECT("'"&amp;$H$3&amp;"'!$H$9")*INDIRECT("'"&amp;$H$3&amp;"'!K268"))/K376,0)</f>
        <v>0</v>
      </c>
      <c r="L377" s="836"/>
      <c r="M377" s="836"/>
      <c r="N377" s="836">
        <f ca="1">IFERROR((INDIRECT("'"&amp;$H$3&amp;"'!$H$10")*INDIRECT("'"&amp;$H$3&amp;"'!$H$9")*INDIRECT("'"&amp;$H$3&amp;"'!N268"))/N376,0)</f>
        <v>0</v>
      </c>
      <c r="O377" s="836"/>
      <c r="P377" s="836"/>
      <c r="Q377" s="836">
        <f ca="1">IFERROR((INDIRECT("'"&amp;$H$3&amp;"'!$H$10")*INDIRECT("'"&amp;$H$3&amp;"'!$H$9")*INDIRECT("'"&amp;$H$3&amp;"'!Q268"))/Q376,0)</f>
        <v>0</v>
      </c>
      <c r="R377" s="836"/>
      <c r="S377" s="836"/>
      <c r="T377" s="836">
        <f ca="1">IFERROR((INDIRECT("'"&amp;$H$3&amp;"'!$H$10")*INDIRECT("'"&amp;$H$3&amp;"'!$H$9")*INDIRECT("'"&amp;$H$3&amp;"'!T268"))/T376,0)</f>
        <v>0</v>
      </c>
      <c r="U377" s="836"/>
      <c r="V377" s="836"/>
      <c r="W377" s="836">
        <f ca="1">IFERROR((INDIRECT("'"&amp;$H$3&amp;"'!$H$10")*INDIRECT("'"&amp;$H$3&amp;"'!$H$9")*INDIRECT("'"&amp;$H$3&amp;"'!W268"))/W376,0)</f>
        <v>0</v>
      </c>
      <c r="X377" s="1465"/>
      <c r="Y377" s="36"/>
      <c r="Z377" s="36"/>
      <c r="AA377" s="36"/>
      <c r="AB377" s="36"/>
      <c r="AC377" s="36"/>
      <c r="AD377" s="36"/>
      <c r="AE377" s="36"/>
      <c r="AF377" s="36"/>
      <c r="AG377" s="36"/>
      <c r="AH377" s="36"/>
      <c r="AI377" s="36"/>
      <c r="AJ377" s="36"/>
      <c r="AK377" s="242"/>
      <c r="AL377" s="36"/>
      <c r="AM377" s="36"/>
      <c r="AN377" s="36"/>
    </row>
    <row r="378" spans="6:40" ht="15" customHeight="1" outlineLevel="1">
      <c r="F378" s="52"/>
      <c r="G378" s="1613" t="s">
        <v>134</v>
      </c>
      <c r="H378" s="842"/>
      <c r="I378" s="842"/>
      <c r="J378" s="842"/>
      <c r="K378" s="842"/>
      <c r="L378" s="842"/>
      <c r="M378" s="842"/>
      <c r="N378" s="842"/>
      <c r="O378" s="842"/>
      <c r="P378" s="842"/>
      <c r="Q378" s="842"/>
      <c r="R378" s="1650"/>
      <c r="S378" s="1650"/>
      <c r="T378" s="842"/>
      <c r="U378" s="1650"/>
      <c r="V378" s="1650"/>
      <c r="W378" s="842"/>
      <c r="X378" s="1470"/>
      <c r="Y378" s="36"/>
      <c r="Z378" s="36"/>
      <c r="AA378" s="36"/>
      <c r="AB378" s="36"/>
      <c r="AC378" s="36"/>
      <c r="AD378" s="36"/>
      <c r="AE378" s="36"/>
      <c r="AF378" s="36"/>
      <c r="AG378" s="36"/>
      <c r="AH378" s="36"/>
      <c r="AI378" s="36"/>
      <c r="AJ378" s="36"/>
      <c r="AK378" s="242"/>
      <c r="AL378" s="36"/>
      <c r="AM378" s="36"/>
      <c r="AN378" s="36"/>
    </row>
    <row r="379" spans="6:40" ht="15" customHeight="1" outlineLevel="1">
      <c r="F379" s="52"/>
      <c r="G379" s="51" t="s">
        <v>206</v>
      </c>
      <c r="H379" s="836"/>
      <c r="I379" s="836"/>
      <c r="J379" s="836"/>
      <c r="K379" s="836">
        <f ca="1">IFERROR(K368*INDIRECT("'"&amp;$H$3&amp;"'!K$261"),0)</f>
        <v>0</v>
      </c>
      <c r="L379" s="836"/>
      <c r="M379" s="836"/>
      <c r="N379" s="836">
        <f ca="1">IFERROR(N368*INDIRECT("'"&amp;$H$3&amp;"'!N$261"),0)</f>
        <v>0</v>
      </c>
      <c r="O379" s="836"/>
      <c r="P379" s="836"/>
      <c r="Q379" s="836">
        <f ca="1">IFERROR(Q368*INDIRECT("'"&amp;$H$3&amp;"'!Q$261"),0)</f>
        <v>0</v>
      </c>
      <c r="R379" s="836"/>
      <c r="S379" s="836"/>
      <c r="T379" s="836">
        <f ca="1">IFERROR(T368*INDIRECT("'"&amp;$H$3&amp;"'!T$261"),0)</f>
        <v>0</v>
      </c>
      <c r="U379" s="836"/>
      <c r="V379" s="836"/>
      <c r="W379" s="836">
        <f ca="1">IFERROR(W368*INDIRECT("'"&amp;$H$3&amp;"'!W$261"),0)</f>
        <v>0</v>
      </c>
      <c r="X379" s="1469"/>
      <c r="Y379" s="36"/>
      <c r="Z379" s="36"/>
      <c r="AA379" s="36"/>
      <c r="AB379" s="36" t="s">
        <v>192</v>
      </c>
      <c r="AC379" s="36"/>
      <c r="AD379" s="36" t="s">
        <v>193</v>
      </c>
      <c r="AE379" s="36"/>
      <c r="AF379" s="36"/>
      <c r="AG379" s="36"/>
      <c r="AH379" s="36"/>
      <c r="AI379" s="36"/>
      <c r="AJ379" s="36"/>
      <c r="AK379" s="36"/>
      <c r="AL379" s="36"/>
      <c r="AM379" s="36"/>
      <c r="AN379" s="36"/>
    </row>
    <row r="380" spans="6:40" ht="15" customHeight="1" outlineLevel="1">
      <c r="F380" s="52"/>
      <c r="G380" s="51" t="s">
        <v>87</v>
      </c>
      <c r="H380" s="836"/>
      <c r="I380" s="836"/>
      <c r="J380" s="836"/>
      <c r="K380" s="836">
        <f ca="1">IFERROR(IF(K368=0,0,2*INDIRECT("'"&amp;$H$3&amp;"'!K$98")),0)</f>
        <v>0</v>
      </c>
      <c r="L380" s="836"/>
      <c r="M380" s="836"/>
      <c r="N380" s="836">
        <f ca="1">IFERROR(IF(N368=0,0,2*INDIRECT("'"&amp;$H$3&amp;"'!N$98")),0)</f>
        <v>0</v>
      </c>
      <c r="O380" s="836"/>
      <c r="P380" s="836"/>
      <c r="Q380" s="836">
        <f ca="1">IFERROR(IF(Q368=0,0,2*INDIRECT("'"&amp;$H$3&amp;"'!Q$98")),0)</f>
        <v>0</v>
      </c>
      <c r="R380" s="836"/>
      <c r="S380" s="836"/>
      <c r="T380" s="836">
        <f ca="1">IFERROR(IF(T368=0,0,2*INDIRECT("'"&amp;$H$3&amp;"'!T$98")),0)</f>
        <v>0</v>
      </c>
      <c r="U380" s="836"/>
      <c r="V380" s="836"/>
      <c r="W380" s="836">
        <f ca="1">IFERROR(IF(W368=0,0,2*INDIRECT("'"&amp;$H$3&amp;"'!W$98")),0)</f>
        <v>0</v>
      </c>
      <c r="X380" s="1469"/>
      <c r="Y380" s="36"/>
      <c r="Z380" s="36"/>
      <c r="AA380" s="36"/>
      <c r="AB380" s="36" t="s">
        <v>194</v>
      </c>
      <c r="AC380" s="36"/>
      <c r="AD380" s="36" t="s">
        <v>195</v>
      </c>
      <c r="AE380" s="36"/>
      <c r="AF380" s="36"/>
      <c r="AG380" s="36"/>
      <c r="AH380" s="36"/>
      <c r="AI380" s="36"/>
      <c r="AJ380" s="36"/>
      <c r="AK380" s="36"/>
      <c r="AL380" s="36"/>
      <c r="AM380" s="36"/>
      <c r="AN380" s="36"/>
    </row>
    <row r="381" spans="6:40" ht="15" customHeight="1" outlineLevel="1">
      <c r="F381" s="52"/>
      <c r="G381" s="51" t="s">
        <v>204</v>
      </c>
      <c r="H381" s="837"/>
      <c r="I381" s="837"/>
      <c r="J381" s="837"/>
      <c r="K381" s="837">
        <f ca="1">IFERROR((INDIRECT("'"&amp;$H$3&amp;"'!$H$10")*INDIRECT("'"&amp;$H$3&amp;"'!$H$9")*INDIRECT("'"&amp;$H$3&amp;"'!K268"))/((K380/INDIRECT("'"&amp;$H$3&amp;"'!K281"))+((1/60)*(INDIRECT("'"&amp;$H$3&amp;"'!K277")+INDIRECT("'"&amp;$H$3&amp;"'!$H$19")*(INDIRECT("'"&amp;$H$3&amp;"'!K278")+(INDIRECT("'"&amp;$H$3&amp;"'!K279")*('4_Outputs'!K$52/INDIRECT("'"&amp;$H$3&amp;"'!K$261")/INDIRECT("'"&amp;$H$3&amp;"'!$H$19"))))))),0)</f>
        <v>0</v>
      </c>
      <c r="L381" s="837"/>
      <c r="M381" s="837"/>
      <c r="N381" s="837">
        <f ca="1">IFERROR((INDIRECT("'"&amp;$H$3&amp;"'!$H$10")*INDIRECT("'"&amp;$H$3&amp;"'!$H$9")*INDIRECT("'"&amp;$H$3&amp;"'!N268"))/((N380/INDIRECT("'"&amp;$H$3&amp;"'!N281"))+((1/60)*(INDIRECT("'"&amp;$H$3&amp;"'!N277")+INDIRECT("'"&amp;$H$3&amp;"'!$H$19")*(INDIRECT("'"&amp;$H$3&amp;"'!N278")+(INDIRECT("'"&amp;$H$3&amp;"'!N279")*('4_Outputs'!N$52/INDIRECT("'"&amp;$H$3&amp;"'!N$261")/INDIRECT("'"&amp;$H$3&amp;"'!$H$19"))))))),0)</f>
        <v>0</v>
      </c>
      <c r="O381" s="837"/>
      <c r="P381" s="837"/>
      <c r="Q381" s="837">
        <f ca="1">IFERROR((INDIRECT("'"&amp;$H$3&amp;"'!$H$10")*INDIRECT("'"&amp;$H$3&amp;"'!$H$9")*INDIRECT("'"&amp;$H$3&amp;"'!Q268"))/((Q380/INDIRECT("'"&amp;$H$3&amp;"'!Q281"))+((1/60)*(INDIRECT("'"&amp;$H$3&amp;"'!Q277")+INDIRECT("'"&amp;$H$3&amp;"'!$H$19")*(INDIRECT("'"&amp;$H$3&amp;"'!Q278")+(INDIRECT("'"&amp;$H$3&amp;"'!Q279")*('4_Outputs'!Q$52/INDIRECT("'"&amp;$H$3&amp;"'!Q$261")/INDIRECT("'"&amp;$H$3&amp;"'!$H$19"))))))),0)</f>
        <v>0</v>
      </c>
      <c r="R381" s="837"/>
      <c r="S381" s="837"/>
      <c r="T381" s="837">
        <f ca="1">IFERROR((INDIRECT("'"&amp;$H$3&amp;"'!$H$10")*INDIRECT("'"&amp;$H$3&amp;"'!$H$9")*INDIRECT("'"&amp;$H$3&amp;"'!T268"))/((T380/INDIRECT("'"&amp;$H$3&amp;"'!T281"))+((1/60)*(INDIRECT("'"&amp;$H$3&amp;"'!T277")+INDIRECT("'"&amp;$H$3&amp;"'!$H$19")*(INDIRECT("'"&amp;$H$3&amp;"'!T278")+(INDIRECT("'"&amp;$H$3&amp;"'!T279")*('4_Outputs'!T$52/INDIRECT("'"&amp;$H$3&amp;"'!T$261")/INDIRECT("'"&amp;$H$3&amp;"'!$H$19"))))))),0)</f>
        <v>0</v>
      </c>
      <c r="U381" s="837"/>
      <c r="V381" s="837"/>
      <c r="W381" s="837">
        <f ca="1">IFERROR((INDIRECT("'"&amp;$H$3&amp;"'!$H$10")*INDIRECT("'"&amp;$H$3&amp;"'!$H$9")*INDIRECT("'"&amp;$H$3&amp;"'!W268"))/((W380/INDIRECT("'"&amp;$H$3&amp;"'!W281"))+((1/60)*(INDIRECT("'"&amp;$H$3&amp;"'!W277")+INDIRECT("'"&amp;$H$3&amp;"'!$H$19")*(INDIRECT("'"&amp;$H$3&amp;"'!W278")+(INDIRECT("'"&amp;$H$3&amp;"'!W279")*('4_Outputs'!W$52/INDIRECT("'"&amp;$H$3&amp;"'!W$261")/INDIRECT("'"&amp;$H$3&amp;"'!$H$19"))))))),0)</f>
        <v>0</v>
      </c>
      <c r="X381" s="1468"/>
      <c r="Y381" s="36"/>
      <c r="Z381" s="36"/>
      <c r="AA381" s="36"/>
      <c r="AB381" s="36" t="s">
        <v>196</v>
      </c>
      <c r="AC381" s="36"/>
      <c r="AD381" s="36" t="s">
        <v>197</v>
      </c>
      <c r="AE381" s="36"/>
      <c r="AF381" s="36"/>
      <c r="AG381" s="36"/>
      <c r="AH381" s="36"/>
      <c r="AI381" s="36"/>
      <c r="AJ381" s="36"/>
      <c r="AK381" s="36"/>
      <c r="AL381" s="36"/>
      <c r="AM381" s="36"/>
      <c r="AN381" s="36"/>
    </row>
    <row r="382" spans="6:40" ht="48" customHeight="1">
      <c r="F382" s="1678" t="s">
        <v>157</v>
      </c>
      <c r="G382" s="1679"/>
      <c r="H382" s="1684"/>
      <c r="I382" s="1684"/>
      <c r="J382" s="1684"/>
      <c r="K382" s="1509" t="str">
        <f ca="1">IF($H$9&gt;=2,INDIRECT("'"&amp;$H$3&amp;"'!J$130"),"")</f>
        <v>CMS  to  Regional WH</v>
      </c>
      <c r="L382" s="1509" t="str">
        <f t="shared" ref="L382:V382" ca="1" si="22">IF($H$9&gt;=1,"Tier 1","")</f>
        <v>Tier 1</v>
      </c>
      <c r="M382" s="1509" t="str">
        <f t="shared" ca="1" si="22"/>
        <v>Tier 1</v>
      </c>
      <c r="N382" s="1509" t="str">
        <f ca="1">IF($H$9&gt;=3,INDIRECT("'"&amp;$H$3&amp;"'!M$130"),"")</f>
        <v>Regional WH  to  Health Facility</v>
      </c>
      <c r="O382" s="1509" t="str">
        <f t="shared" ca="1" si="22"/>
        <v>Tier 1</v>
      </c>
      <c r="P382" s="1509" t="str">
        <f t="shared" ca="1" si="22"/>
        <v>Tier 1</v>
      </c>
      <c r="Q382" s="1510" t="str">
        <f ca="1">IF($H$9&gt;=4,INDIRECT("'"&amp;$H$3&amp;"'!P$130"),"")</f>
        <v/>
      </c>
      <c r="R382" s="1511" t="str">
        <f t="shared" ca="1" si="22"/>
        <v>Tier 1</v>
      </c>
      <c r="S382" s="1511" t="str">
        <f t="shared" ca="1" si="22"/>
        <v>Tier 1</v>
      </c>
      <c r="T382" s="1510" t="str">
        <f ca="1">IF($H$9&gt;=5,INDIRECT("'"&amp;$H$3&amp;"'!S$130"),"")</f>
        <v/>
      </c>
      <c r="U382" s="1512" t="str">
        <f t="shared" ca="1" si="22"/>
        <v>Tier 1</v>
      </c>
      <c r="V382" s="1512" t="str">
        <f t="shared" ca="1" si="22"/>
        <v>Tier 1</v>
      </c>
      <c r="W382" s="1510" t="str">
        <f ca="1">IF($H$9&gt;=6,INDIRECT("'"&amp;$H$3&amp;"'!V$130"),"")</f>
        <v/>
      </c>
      <c r="X382" s="1474"/>
      <c r="Y382" s="36"/>
      <c r="Z382" s="36"/>
      <c r="AA382" s="36"/>
      <c r="AB382" s="36"/>
      <c r="AC382" s="36"/>
      <c r="AD382" s="36"/>
      <c r="AE382" s="36"/>
      <c r="AF382" s="36"/>
      <c r="AG382" s="36"/>
      <c r="AH382" s="36"/>
      <c r="AI382" s="36"/>
      <c r="AJ382" s="36"/>
      <c r="AK382" s="36"/>
      <c r="AL382" s="36"/>
      <c r="AM382" s="36"/>
      <c r="AN382" s="36"/>
    </row>
    <row r="383" spans="6:40" ht="15" customHeight="1" outlineLevel="1">
      <c r="F383" s="1681" t="s">
        <v>149</v>
      </c>
      <c r="G383" s="1681"/>
      <c r="H383" s="877"/>
      <c r="I383" s="877"/>
      <c r="J383" s="877"/>
      <c r="K383" s="877"/>
      <c r="L383" s="877"/>
      <c r="M383" s="877"/>
      <c r="N383" s="877"/>
      <c r="O383" s="1685"/>
      <c r="P383" s="1685"/>
      <c r="Q383" s="1686"/>
      <c r="R383" s="1672"/>
      <c r="S383" s="1672"/>
      <c r="T383" s="1686"/>
      <c r="U383" s="1672"/>
      <c r="V383" s="1672"/>
      <c r="W383" s="1686"/>
      <c r="X383" s="1479"/>
      <c r="Y383" s="36"/>
      <c r="Z383" s="36"/>
      <c r="AA383" s="36"/>
      <c r="AB383" s="36"/>
      <c r="AC383" s="36"/>
      <c r="AD383" s="36"/>
      <c r="AE383" s="36"/>
      <c r="AF383" s="36"/>
      <c r="AG383" s="36"/>
      <c r="AH383" s="36"/>
      <c r="AI383" s="36"/>
      <c r="AJ383" s="36"/>
      <c r="AK383" s="242"/>
      <c r="AL383" s="36"/>
      <c r="AM383" s="36"/>
      <c r="AN383" s="36"/>
    </row>
    <row r="384" spans="6:40" ht="15" customHeight="1" outlineLevel="1">
      <c r="F384" s="52"/>
      <c r="G384" s="51" t="s">
        <v>146</v>
      </c>
      <c r="H384" s="837"/>
      <c r="I384" s="837"/>
      <c r="J384" s="837"/>
      <c r="K384" s="837">
        <f ca="1">IFERROR(IF(COUNTIF(INDIRECT("'"&amp;$H$3&amp;"'!K284"),"Public Transport*")=1,IF(INDIRECT("'"&amp;$H$3&amp;"'!K292")="Route-based",K391*INDIRECT("'"&amp;$H$3&amp;"'!K$261"),IF(INDIRECT("'"&amp;$H$3&amp;"'!K292")="Point-to-point",K394*INDIRECT("'"&amp;$H$3&amp;"'!K$261"),0)),0),0)</f>
        <v>0</v>
      </c>
      <c r="L384" s="837"/>
      <c r="M384" s="837"/>
      <c r="N384" s="837">
        <f ca="1">IFERROR(IF(COUNTIF(INDIRECT("'"&amp;$H$3&amp;"'!N284"),"Public Transport*")=1,IF(INDIRECT("'"&amp;$H$3&amp;"'!N292")="Route-based",N391*INDIRECT("'"&amp;$H$3&amp;"'!N$261"),IF(INDIRECT("'"&amp;$H$3&amp;"'!N292")="Point-to-point",N394*INDIRECT("'"&amp;$H$3&amp;"'!N$261"),0)),0),0)</f>
        <v>0</v>
      </c>
      <c r="O384" s="837"/>
      <c r="P384" s="837"/>
      <c r="Q384" s="837">
        <f ca="1">IFERROR(IF(COUNTIF(INDIRECT("'"&amp;$H$3&amp;"'!Q284"),"Public Transport*")=1,IF(INDIRECT("'"&amp;$H$3&amp;"'!Q292")="Route-based",Q391*INDIRECT("'"&amp;$H$3&amp;"'!Q$261"),IF(INDIRECT("'"&amp;$H$3&amp;"'!Q292")="Point-to-point",Q394*INDIRECT("'"&amp;$H$3&amp;"'!Q$261"),0)),0),0)</f>
        <v>0</v>
      </c>
      <c r="R384" s="1650"/>
      <c r="S384" s="1650"/>
      <c r="T384" s="837">
        <f ca="1">IFERROR(IF(COUNTIF(INDIRECT("'"&amp;$H$3&amp;"'!T284"),"Public Transport*")=1,IF(INDIRECT("'"&amp;$H$3&amp;"'!T292")="Route-based",T391*INDIRECT("'"&amp;$H$3&amp;"'!T$261"),IF(INDIRECT("'"&amp;$H$3&amp;"'!T292")="Point-to-point",T394*INDIRECT("'"&amp;$H$3&amp;"'!T$261"),0)),0),0)</f>
        <v>0</v>
      </c>
      <c r="U384" s="1650"/>
      <c r="V384" s="1650"/>
      <c r="W384" s="837">
        <f ca="1">IFERROR(IF(COUNTIF(INDIRECT("'"&amp;$H$3&amp;"'!W284"),"Public Transport*")=1,IF(INDIRECT("'"&amp;$H$3&amp;"'!W292")="Route-based",W391*INDIRECT("'"&amp;$H$3&amp;"'!W$261"),IF(INDIRECT("'"&amp;$H$3&amp;"'!W292")="Point-to-point",W394*INDIRECT("'"&amp;$H$3&amp;"'!W$261"),0)),0),0)</f>
        <v>0</v>
      </c>
      <c r="X384" s="1468"/>
      <c r="Y384" s="36"/>
      <c r="Z384" s="36"/>
      <c r="AA384" s="36"/>
      <c r="AB384" s="36"/>
      <c r="AC384" s="36"/>
      <c r="AD384" s="36"/>
      <c r="AE384" s="36"/>
      <c r="AF384" s="36"/>
      <c r="AG384" s="36"/>
      <c r="AH384" s="36"/>
      <c r="AI384" s="36"/>
      <c r="AJ384" s="36"/>
      <c r="AK384" s="242"/>
      <c r="AL384" s="36"/>
      <c r="AM384" s="36"/>
      <c r="AN384" s="36"/>
    </row>
    <row r="385" spans="6:40" ht="15" customHeight="1" outlineLevel="1">
      <c r="F385" s="52"/>
      <c r="G385" s="51" t="s">
        <v>147</v>
      </c>
      <c r="H385" s="837"/>
      <c r="I385" s="837"/>
      <c r="J385" s="837"/>
      <c r="K385" s="837">
        <f ca="1">IFERROR(IF(INDIRECT("'"&amp;$H$3&amp;"'!K292")="Route-based",K392*INDIRECT("'"&amp;$H$3&amp;"'!K$261"),IF(INDIRECT("'"&amp;$H$3&amp;"'!K292")="Point-to-point",K395*INDIRECT("'"&amp;$H$3&amp;"'!K$261"),0)),0)</f>
        <v>0</v>
      </c>
      <c r="L385" s="837"/>
      <c r="M385" s="837"/>
      <c r="N385" s="837">
        <f ca="1">IFERROR(IF(INDIRECT("'"&amp;$H$3&amp;"'!N292")="Route-based",N392*INDIRECT("'"&amp;$H$3&amp;"'!N$261"),IF(INDIRECT("'"&amp;$H$3&amp;"'!N292")="Point-to-point",N395*INDIRECT("'"&amp;$H$3&amp;"'!N$261"),0)),0)</f>
        <v>0</v>
      </c>
      <c r="O385" s="837"/>
      <c r="P385" s="837"/>
      <c r="Q385" s="837">
        <f ca="1">IFERROR(IF(INDIRECT("'"&amp;$H$3&amp;"'!Q292")="Route-based",Q392*INDIRECT("'"&amp;$H$3&amp;"'!Q$261"),IF(INDIRECT("'"&amp;$H$3&amp;"'!Q292")="Point-to-point",Q395*INDIRECT("'"&amp;$H$3&amp;"'!Q$261"),0)),0)</f>
        <v>0</v>
      </c>
      <c r="R385" s="1650"/>
      <c r="S385" s="1650"/>
      <c r="T385" s="837">
        <f ca="1">IFERROR(IF(INDIRECT("'"&amp;$H$3&amp;"'!T292")="Route-based",T392*INDIRECT("'"&amp;$H$3&amp;"'!T$261"),IF(INDIRECT("'"&amp;$H$3&amp;"'!T292")="Point-to-point",T395*INDIRECT("'"&amp;$H$3&amp;"'!T$261"),0)),0)</f>
        <v>0</v>
      </c>
      <c r="U385" s="1650"/>
      <c r="V385" s="1650"/>
      <c r="W385" s="837">
        <f ca="1">IFERROR(IF(INDIRECT("'"&amp;$H$3&amp;"'!W292")="Route-based",W392*INDIRECT("'"&amp;$H$3&amp;"'!W$261"),IF(INDIRECT("'"&amp;$H$3&amp;"'!W292")="Point-to-point",W395*INDIRECT("'"&amp;$H$3&amp;"'!W$261"),0)),0)</f>
        <v>0</v>
      </c>
      <c r="X385" s="1468"/>
      <c r="Y385" s="36"/>
      <c r="Z385" s="36"/>
      <c r="AA385" s="36"/>
      <c r="AB385" s="36"/>
      <c r="AC385" s="36"/>
      <c r="AD385" s="36"/>
      <c r="AE385" s="36"/>
      <c r="AF385" s="36"/>
      <c r="AG385" s="36"/>
      <c r="AH385" s="36"/>
      <c r="AI385" s="36"/>
      <c r="AJ385" s="36"/>
      <c r="AK385" s="242"/>
      <c r="AL385" s="36"/>
      <c r="AM385" s="36"/>
      <c r="AN385" s="36"/>
    </row>
    <row r="386" spans="6:40" ht="15" customHeight="1" outlineLevel="1">
      <c r="F386" s="52"/>
      <c r="G386" s="51" t="s">
        <v>142</v>
      </c>
      <c r="H386" s="1651"/>
      <c r="I386" s="1651"/>
      <c r="J386" s="1651"/>
      <c r="K386" s="1651">
        <f ca="1">IFERROR(IF(COUNTIF(INDIRECT("'"&amp;$H$3&amp;"'!K284"),"Public Transport*")&gt;0,ROUND(INDIRECT("'"&amp;$H$3&amp;"'!K$95")*INDIRECT("'"&amp;$H$3&amp;"'!K283"),0),0),0)</f>
        <v>0</v>
      </c>
      <c r="L386" s="1651"/>
      <c r="M386" s="1651"/>
      <c r="N386" s="1651">
        <f ca="1">IFERROR(IF(COUNTIF(INDIRECT("'"&amp;$H$3&amp;"'!N284"),"Public Transport*")&gt;0,ROUND(INDIRECT("'"&amp;$H$3&amp;"'!N$95")*INDIRECT("'"&amp;$H$3&amp;"'!N283"),0),0),0)</f>
        <v>0</v>
      </c>
      <c r="O386" s="1651"/>
      <c r="P386" s="1651"/>
      <c r="Q386" s="1651">
        <f ca="1">IFERROR(IF(COUNTIF(INDIRECT("'"&amp;$H$3&amp;"'!Q284"),"Public Transport*")&gt;0,ROUND(INDIRECT("'"&amp;$H$3&amp;"'!Q$95")*INDIRECT("'"&amp;$H$3&amp;"'!Q283"),0),0),0)</f>
        <v>0</v>
      </c>
      <c r="R386" s="1650"/>
      <c r="S386" s="1650"/>
      <c r="T386" s="1651">
        <f ca="1">IFERROR(IF(COUNTIF(INDIRECT("'"&amp;$H$3&amp;"'!T284"),"Public Transport*")&gt;0,ROUND(INDIRECT("'"&amp;$H$3&amp;"'!T$95")*INDIRECT("'"&amp;$H$3&amp;"'!T283"),0),0),0)</f>
        <v>0</v>
      </c>
      <c r="U386" s="1650"/>
      <c r="V386" s="1650"/>
      <c r="W386" s="1651">
        <f ca="1">IFERROR(IF(COUNTIF(INDIRECT("'"&amp;$H$3&amp;"'!W284"),"Public Transport*")&gt;0,ROUND(INDIRECT("'"&amp;$H$3&amp;"'!W$95")*INDIRECT("'"&amp;$H$3&amp;"'!W283"),0),0),0)</f>
        <v>0</v>
      </c>
      <c r="X386" s="1466"/>
      <c r="Y386" s="36"/>
      <c r="Z386" s="36"/>
      <c r="AA386" s="36"/>
      <c r="AB386" s="36"/>
      <c r="AC386" s="36"/>
      <c r="AD386" s="36"/>
      <c r="AE386" s="36"/>
      <c r="AF386" s="36"/>
      <c r="AG386" s="36"/>
      <c r="AH386" s="36"/>
      <c r="AI386" s="36"/>
      <c r="AJ386" s="36"/>
      <c r="AK386" s="36"/>
      <c r="AL386" s="36"/>
      <c r="AM386" s="36"/>
      <c r="AN386" s="36"/>
    </row>
    <row r="387" spans="6:40" ht="15" customHeight="1" outlineLevel="1">
      <c r="F387" s="52"/>
      <c r="G387" s="1613" t="s">
        <v>150</v>
      </c>
      <c r="H387" s="842"/>
      <c r="I387" s="842"/>
      <c r="J387" s="842"/>
      <c r="K387" s="842"/>
      <c r="L387" s="842"/>
      <c r="M387" s="842"/>
      <c r="N387" s="842"/>
      <c r="O387" s="842"/>
      <c r="P387" s="842"/>
      <c r="Q387" s="842"/>
      <c r="R387" s="1650"/>
      <c r="S387" s="1650"/>
      <c r="T387" s="842"/>
      <c r="U387" s="1650"/>
      <c r="V387" s="1650"/>
      <c r="W387" s="842"/>
      <c r="X387" s="1470"/>
      <c r="Y387" s="36"/>
      <c r="Z387" s="36"/>
      <c r="AA387" s="36"/>
      <c r="AB387" s="36"/>
      <c r="AC387" s="36"/>
      <c r="AD387" s="36"/>
      <c r="AE387" s="36"/>
      <c r="AF387" s="36"/>
      <c r="AG387" s="36"/>
      <c r="AH387" s="36"/>
      <c r="AI387" s="36"/>
      <c r="AJ387" s="36"/>
      <c r="AK387" s="36"/>
      <c r="AL387" s="36"/>
      <c r="AM387" s="36"/>
      <c r="AN387" s="36"/>
    </row>
    <row r="388" spans="6:40" ht="15" customHeight="1" outlineLevel="1">
      <c r="F388" s="52"/>
      <c r="G388" s="51" t="s">
        <v>140</v>
      </c>
      <c r="H388" s="836"/>
      <c r="I388" s="836"/>
      <c r="J388" s="836"/>
      <c r="K388" s="836">
        <f ca="1">IFERROR(ROUND(INDIRECT("'"&amp;$H$3&amp;"'!$H$10")/(((1/60)*(INDIRECT("'"&amp;$H$3&amp;"'!K297")+INDIRECT("'"&amp;$H$3&amp;"'!$H$19")*(INDIRECT("'"&amp;$H$3&amp;"'!K298")+(INDIRECT("'"&amp;$H$3&amp;"'!K299")*('4_Outputs'!K$52/INDIRECT("'"&amp;$H$3&amp;"'!K$261")/INDIRECT("'"&amp;$H$3&amp;"'!$H$19"))))))+INDEX(INDIRECT("'"&amp;$H$3&amp;"'!$H$43:$H$78"),MATCH(INDIRECT("'"&amp;$H$3&amp;"'!K284")&amp;"Average duration (hrs) per trip",INDIRECT("'"&amp;$H$3&amp;"'!$F$43:$F$78"),0))),1),0)</f>
        <v>0</v>
      </c>
      <c r="L388" s="836"/>
      <c r="M388" s="836"/>
      <c r="N388" s="836">
        <f ca="1">IFERROR(ROUND(INDIRECT("'"&amp;$H$3&amp;"'!$H$10")/(((1/60)*(INDIRECT("'"&amp;$H$3&amp;"'!N297")+INDIRECT("'"&amp;$H$3&amp;"'!$H$19")*(INDIRECT("'"&amp;$H$3&amp;"'!N298")+(INDIRECT("'"&amp;$H$3&amp;"'!N299")*('4_Outputs'!N$52/INDIRECT("'"&amp;$H$3&amp;"'!N$261")/INDIRECT("'"&amp;$H$3&amp;"'!$H$19"))))))+INDEX(INDIRECT("'"&amp;$H$3&amp;"'!$H$43:$H$78"),MATCH(INDIRECT("'"&amp;$H$3&amp;"'!N284")&amp;"Average duration (hrs) per trip",INDIRECT("'"&amp;$H$3&amp;"'!$F$43:$F$78"),0))),1),0)</f>
        <v>0</v>
      </c>
      <c r="O388" s="836"/>
      <c r="P388" s="836"/>
      <c r="Q388" s="836">
        <f ca="1">IFERROR(ROUND(INDIRECT("'"&amp;$H$3&amp;"'!$H$10")/(((1/60)*(INDIRECT("'"&amp;$H$3&amp;"'!Q297")+INDIRECT("'"&amp;$H$3&amp;"'!$H$19")*(INDIRECT("'"&amp;$H$3&amp;"'!Q298")+(INDIRECT("'"&amp;$H$3&amp;"'!Q299")*('4_Outputs'!Q$52/INDIRECT("'"&amp;$H$3&amp;"'!Q$261")/INDIRECT("'"&amp;$H$3&amp;"'!$H$19"))))))+INDEX(INDIRECT("'"&amp;$H$3&amp;"'!$H$43:$H$78"),MATCH(INDIRECT("'"&amp;$H$3&amp;"'!Q284")&amp;"Average duration (hrs) per trip",INDIRECT("'"&amp;$H$3&amp;"'!$F$43:$F$78"),0))),1),0)</f>
        <v>0</v>
      </c>
      <c r="R388" s="836"/>
      <c r="S388" s="836"/>
      <c r="T388" s="836">
        <f ca="1">IFERROR(ROUND(INDIRECT("'"&amp;$H$3&amp;"'!$H$10")/(((1/60)*(INDIRECT("'"&amp;$H$3&amp;"'!T297")+INDIRECT("'"&amp;$H$3&amp;"'!$H$19")*(INDIRECT("'"&amp;$H$3&amp;"'!T298")+(INDIRECT("'"&amp;$H$3&amp;"'!T299")*('4_Outputs'!T$52/INDIRECT("'"&amp;$H$3&amp;"'!T$261")/INDIRECT("'"&amp;$H$3&amp;"'!$H$19"))))))+INDEX(INDIRECT("'"&amp;$H$3&amp;"'!$H$43:$H$78"),MATCH(INDIRECT("'"&amp;$H$3&amp;"'!T284")&amp;"Average duration (hrs) per trip",INDIRECT("'"&amp;$H$3&amp;"'!$F$43:$F$78"),0))),1),0)</f>
        <v>0</v>
      </c>
      <c r="U388" s="836"/>
      <c r="V388" s="836"/>
      <c r="W388" s="836">
        <f ca="1">IFERROR(ROUND(INDIRECT("'"&amp;$H$3&amp;"'!$H$10")/(((1/60)*(INDIRECT("'"&amp;$H$3&amp;"'!W297")+INDIRECT("'"&amp;$H$3&amp;"'!$H$19")*(INDIRECT("'"&amp;$H$3&amp;"'!W298")+(INDIRECT("'"&amp;$H$3&amp;"'!W299")*('4_Outputs'!W$52/INDIRECT("'"&amp;$H$3&amp;"'!W$261")/INDIRECT("'"&amp;$H$3&amp;"'!$H$19"))))))+INDEX(INDIRECT("'"&amp;$H$3&amp;"'!$H$43:$H$78"),MATCH(INDIRECT("'"&amp;$H$3&amp;"'!W284")&amp;"Average duration (hrs) per trip",INDIRECT("'"&amp;$H$3&amp;"'!$F$43:$F$78"),0))),1),0)</f>
        <v>0</v>
      </c>
      <c r="X388" s="1469"/>
      <c r="Y388" s="36"/>
      <c r="Z388" s="36"/>
      <c r="AA388" s="36"/>
      <c r="AB388" s="36"/>
      <c r="AC388" s="36"/>
      <c r="AD388" s="36"/>
      <c r="AE388" s="36"/>
      <c r="AF388" s="36"/>
      <c r="AG388" s="36"/>
      <c r="AH388" s="36"/>
      <c r="AI388" s="36"/>
      <c r="AJ388" s="36"/>
      <c r="AK388" s="36"/>
      <c r="AL388" s="36"/>
      <c r="AM388" s="36"/>
      <c r="AN388" s="36"/>
    </row>
    <row r="389" spans="6:40" ht="15" customHeight="1" outlineLevel="1">
      <c r="F389" s="52"/>
      <c r="G389" s="51" t="s">
        <v>141</v>
      </c>
      <c r="H389" s="836"/>
      <c r="I389" s="836"/>
      <c r="J389" s="836"/>
      <c r="K389" s="836">
        <f ca="1">IFERROR(ROUND(K388*INDIRECT("'"&amp;$H$3&amp;"'!K293"),0),0)</f>
        <v>0</v>
      </c>
      <c r="L389" s="836"/>
      <c r="M389" s="836"/>
      <c r="N389" s="836">
        <f ca="1">IFERROR(ROUND(N388*INDIRECT("'"&amp;$H$3&amp;"'!N293"),0),0)</f>
        <v>0</v>
      </c>
      <c r="O389" s="836"/>
      <c r="P389" s="836"/>
      <c r="Q389" s="836">
        <f ca="1">IFERROR(ROUND(Q388*INDIRECT("'"&amp;$H$3&amp;"'!Q293"),0),0)</f>
        <v>0</v>
      </c>
      <c r="R389" s="836"/>
      <c r="S389" s="836"/>
      <c r="T389" s="836">
        <f ca="1">IFERROR(ROUND(T388*INDIRECT("'"&amp;$H$3&amp;"'!T293"),0),0)</f>
        <v>0</v>
      </c>
      <c r="U389" s="836"/>
      <c r="V389" s="836"/>
      <c r="W389" s="836">
        <f ca="1">IFERROR(ROUND(W388*INDIRECT("'"&amp;$H$3&amp;"'!W293"),0),0)</f>
        <v>0</v>
      </c>
      <c r="X389" s="1469"/>
      <c r="Y389" s="36"/>
      <c r="Z389" s="36"/>
      <c r="AA389" s="36"/>
      <c r="AB389" s="36"/>
      <c r="AC389" s="36"/>
      <c r="AD389" s="36"/>
      <c r="AE389" s="36"/>
      <c r="AF389" s="36"/>
      <c r="AG389" s="36"/>
      <c r="AH389" s="36"/>
      <c r="AI389" s="36"/>
      <c r="AJ389" s="36"/>
      <c r="AK389" s="36"/>
      <c r="AL389" s="36"/>
      <c r="AM389" s="36"/>
      <c r="AN389" s="36"/>
    </row>
    <row r="390" spans="6:40" ht="15" customHeight="1" outlineLevel="1">
      <c r="F390" s="52"/>
      <c r="G390" s="51" t="s">
        <v>143</v>
      </c>
      <c r="H390" s="836"/>
      <c r="I390" s="836"/>
      <c r="J390" s="836"/>
      <c r="K390" s="836">
        <f ca="1">IFERROR(ROUNDUP(K386/K389,0),0)</f>
        <v>0</v>
      </c>
      <c r="L390" s="836"/>
      <c r="M390" s="836"/>
      <c r="N390" s="836">
        <f ca="1">IFERROR(ROUNDUP(N386/N389,0),0)</f>
        <v>0</v>
      </c>
      <c r="O390" s="836"/>
      <c r="P390" s="836"/>
      <c r="Q390" s="836">
        <f ca="1">IFERROR(ROUNDUP(Q386/Q389,0),0)</f>
        <v>0</v>
      </c>
      <c r="R390" s="836"/>
      <c r="S390" s="836"/>
      <c r="T390" s="836">
        <f ca="1">IFERROR(ROUNDUP(T386/T389,0),0)</f>
        <v>0</v>
      </c>
      <c r="U390" s="836"/>
      <c r="V390" s="836"/>
      <c r="W390" s="836">
        <f ca="1">IFERROR(ROUNDUP(W386/W389,0),0)</f>
        <v>0</v>
      </c>
      <c r="X390" s="1469"/>
      <c r="Y390" s="36"/>
      <c r="Z390" s="36"/>
      <c r="AA390" s="36"/>
      <c r="AB390" s="36"/>
      <c r="AC390" s="36"/>
      <c r="AD390" s="36"/>
      <c r="AE390" s="36"/>
      <c r="AF390" s="36"/>
      <c r="AG390" s="36"/>
      <c r="AH390" s="36"/>
      <c r="AI390" s="36"/>
      <c r="AJ390" s="36"/>
      <c r="AK390" s="36"/>
      <c r="AL390" s="36"/>
      <c r="AM390" s="36"/>
      <c r="AN390" s="36"/>
    </row>
    <row r="391" spans="6:40" ht="15" customHeight="1" outlineLevel="1">
      <c r="F391" s="52"/>
      <c r="G391" s="51" t="s">
        <v>144</v>
      </c>
      <c r="H391" s="836"/>
      <c r="I391" s="836"/>
      <c r="J391" s="836"/>
      <c r="K391" s="836">
        <f ca="1">IFERROR((K390*(K389+1)),0)</f>
        <v>0</v>
      </c>
      <c r="L391" s="836"/>
      <c r="M391" s="836"/>
      <c r="N391" s="836">
        <f ca="1">IFERROR((N390*(N389+1)),0)</f>
        <v>0</v>
      </c>
      <c r="O391" s="836"/>
      <c r="P391" s="836"/>
      <c r="Q391" s="836">
        <f ca="1">IFERROR((Q390*(Q389+1)),0)</f>
        <v>0</v>
      </c>
      <c r="R391" s="836"/>
      <c r="S391" s="836"/>
      <c r="T391" s="836">
        <f ca="1">IFERROR((T390*(T389+1)),0)</f>
        <v>0</v>
      </c>
      <c r="U391" s="836"/>
      <c r="V391" s="836"/>
      <c r="W391" s="836">
        <f ca="1">IFERROR((W390*(W389+1)),0)</f>
        <v>0</v>
      </c>
      <c r="X391" s="1469"/>
      <c r="Y391" s="36"/>
      <c r="Z391" s="36"/>
      <c r="AA391" s="36"/>
      <c r="AB391" s="36"/>
      <c r="AC391" s="36"/>
      <c r="AD391" s="36"/>
      <c r="AE391" s="36"/>
      <c r="AF391" s="36"/>
      <c r="AG391" s="36"/>
      <c r="AH391" s="36"/>
      <c r="AI391" s="36"/>
      <c r="AJ391" s="36"/>
      <c r="AK391" s="242"/>
      <c r="AL391" s="36"/>
      <c r="AM391" s="36"/>
      <c r="AN391" s="36"/>
    </row>
    <row r="392" spans="6:40" ht="15" customHeight="1" outlineLevel="1">
      <c r="F392" s="52"/>
      <c r="G392" s="51" t="s">
        <v>145</v>
      </c>
      <c r="H392" s="836"/>
      <c r="I392" s="836"/>
      <c r="J392" s="836"/>
      <c r="K392" s="836">
        <f ca="1">IFERROR(ROUNDUP(((K391*INDEX(INDIRECT("'"&amp;$H$3&amp;"'!$H$43:$H$78"),MATCH(INDIRECT("'"&amp;$H$3&amp;"'!K284")&amp;"Average duration (hrs) per trip",INDIRECT("'"&amp;$H$3&amp;"'!$F$43:$F$78"),0)))+(K386*((1/60)*(INDIRECT("'"&amp;$H$3&amp;"'!K297")+INDIRECT("'"&amp;$H$3&amp;"'!$H$19")*(INDIRECT("'"&amp;$H$3&amp;"'!K298")+(INDIRECT("'"&amp;$H$3&amp;"'!K299")*('4_Outputs'!K$52/INDIRECT("'"&amp;$H$3&amp;"'!K$261")/INDIRECT("'"&amp;$H$3&amp;"'!$H$19"))))))))/INDIRECT("'"&amp;$H$3&amp;"'!$H$10"),0),0)</f>
        <v>0</v>
      </c>
      <c r="L392" s="836"/>
      <c r="M392" s="836"/>
      <c r="N392" s="836">
        <f ca="1">IFERROR(ROUNDUP(((N391*INDEX(INDIRECT("'"&amp;$H$3&amp;"'!$H$43:$H$78"),MATCH(INDIRECT("'"&amp;$H$3&amp;"'!N284")&amp;"Average duration (hrs) per trip",INDIRECT("'"&amp;$H$3&amp;"'!$F$43:$F$78"),0)))+(N386*((1/60)*(INDIRECT("'"&amp;$H$3&amp;"'!N297")+INDIRECT("'"&amp;$H$3&amp;"'!$H$19")*(INDIRECT("'"&amp;$H$3&amp;"'!N298")+(INDIRECT("'"&amp;$H$3&amp;"'!N299")*('4_Outputs'!N$52/INDIRECT("'"&amp;$H$3&amp;"'!N$261")/INDIRECT("'"&amp;$H$3&amp;"'!$H$19"))))))))/INDIRECT("'"&amp;$H$3&amp;"'!$H$10"),0),0)</f>
        <v>0</v>
      </c>
      <c r="O392" s="836"/>
      <c r="P392" s="836"/>
      <c r="Q392" s="836">
        <f ca="1">IFERROR(ROUNDUP(((Q391*INDEX(INDIRECT("'"&amp;$H$3&amp;"'!$H$43:$H$78"),MATCH(INDIRECT("'"&amp;$H$3&amp;"'!Q284")&amp;"Average duration (hrs) per trip",INDIRECT("'"&amp;$H$3&amp;"'!$F$43:$F$78"),0)))+(Q386*((1/60)*(INDIRECT("'"&amp;$H$3&amp;"'!Q297")+INDIRECT("'"&amp;$H$3&amp;"'!$H$19")*(INDIRECT("'"&amp;$H$3&amp;"'!Q298")+(INDIRECT("'"&amp;$H$3&amp;"'!Q299")*('4_Outputs'!Q$52/INDIRECT("'"&amp;$H$3&amp;"'!Q$261")/INDIRECT("'"&amp;$H$3&amp;"'!$H$19"))))))))/INDIRECT("'"&amp;$H$3&amp;"'!$H$10"),0),0)</f>
        <v>0</v>
      </c>
      <c r="R392" s="836"/>
      <c r="S392" s="836"/>
      <c r="T392" s="836">
        <f ca="1">IFERROR(ROUNDUP(((T391*INDEX(INDIRECT("'"&amp;$H$3&amp;"'!$H$43:$H$78"),MATCH(INDIRECT("'"&amp;$H$3&amp;"'!T284")&amp;"Average duration (hrs) per trip",INDIRECT("'"&amp;$H$3&amp;"'!$F$43:$F$78"),0)))+(T386*((1/60)*(INDIRECT("'"&amp;$H$3&amp;"'!T297")+INDIRECT("'"&amp;$H$3&amp;"'!$H$19")*(INDIRECT("'"&amp;$H$3&amp;"'!T298")+(INDIRECT("'"&amp;$H$3&amp;"'!T299")*('4_Outputs'!T$52/INDIRECT("'"&amp;$H$3&amp;"'!T$261")/INDIRECT("'"&amp;$H$3&amp;"'!$H$19"))))))))/INDIRECT("'"&amp;$H$3&amp;"'!$H$10"),0),0)</f>
        <v>0</v>
      </c>
      <c r="U392" s="836"/>
      <c r="V392" s="836"/>
      <c r="W392" s="836">
        <f ca="1">IFERROR(ROUNDUP(((W391*INDEX(INDIRECT("'"&amp;$H$3&amp;"'!$H$43:$H$78"),MATCH(INDIRECT("'"&amp;$H$3&amp;"'!W284")&amp;"Average duration (hrs) per trip",INDIRECT("'"&amp;$H$3&amp;"'!$F$43:$F$78"),0)))+(W386*((1/60)*(INDIRECT("'"&amp;$H$3&amp;"'!W297")+INDIRECT("'"&amp;$H$3&amp;"'!$H$19")*(INDIRECT("'"&amp;$H$3&amp;"'!W298")+(INDIRECT("'"&amp;$H$3&amp;"'!W299")*('4_Outputs'!W$52/INDIRECT("'"&amp;$H$3&amp;"'!W$261")/INDIRECT("'"&amp;$H$3&amp;"'!$H$19"))))))))/INDIRECT("'"&amp;$H$3&amp;"'!$H$10"),0),0)</f>
        <v>0</v>
      </c>
      <c r="X392" s="1469"/>
      <c r="Y392" s="36"/>
      <c r="Z392" s="36"/>
      <c r="AA392" s="36"/>
      <c r="AB392" s="36"/>
      <c r="AC392" s="36"/>
      <c r="AD392" s="36"/>
      <c r="AE392" s="36"/>
      <c r="AF392" s="36"/>
      <c r="AG392" s="36"/>
      <c r="AH392" s="36"/>
      <c r="AI392" s="36"/>
      <c r="AJ392" s="36"/>
      <c r="AK392" s="242"/>
      <c r="AL392" s="36"/>
      <c r="AM392" s="36"/>
      <c r="AN392" s="36"/>
    </row>
    <row r="393" spans="6:40" ht="15" customHeight="1" outlineLevel="1">
      <c r="F393" s="52"/>
      <c r="G393" s="1613" t="s">
        <v>841</v>
      </c>
      <c r="H393" s="842"/>
      <c r="I393" s="842"/>
      <c r="J393" s="842"/>
      <c r="K393" s="842"/>
      <c r="L393" s="842"/>
      <c r="M393" s="842"/>
      <c r="N393" s="842"/>
      <c r="O393" s="842"/>
      <c r="P393" s="842"/>
      <c r="Q393" s="842"/>
      <c r="R393" s="1650"/>
      <c r="S393" s="1650"/>
      <c r="T393" s="842"/>
      <c r="U393" s="1650"/>
      <c r="V393" s="1650"/>
      <c r="W393" s="842"/>
      <c r="X393" s="1470"/>
      <c r="Y393" s="36"/>
      <c r="Z393" s="36"/>
      <c r="AA393" s="36"/>
      <c r="AB393" s="36"/>
      <c r="AC393" s="36"/>
      <c r="AD393" s="36"/>
      <c r="AE393" s="36"/>
      <c r="AF393" s="36"/>
      <c r="AG393" s="36"/>
      <c r="AH393" s="36"/>
      <c r="AI393" s="36"/>
      <c r="AJ393" s="36"/>
      <c r="AK393" s="242"/>
      <c r="AL393" s="36"/>
      <c r="AM393" s="36"/>
      <c r="AN393" s="36"/>
    </row>
    <row r="394" spans="6:40" ht="15" customHeight="1" outlineLevel="1">
      <c r="F394" s="52"/>
      <c r="G394" s="51" t="s">
        <v>144</v>
      </c>
      <c r="H394" s="836"/>
      <c r="I394" s="836"/>
      <c r="J394" s="836"/>
      <c r="K394" s="836">
        <f ca="1">IFERROR(K386*2,0)</f>
        <v>0</v>
      </c>
      <c r="L394" s="836"/>
      <c r="M394" s="836"/>
      <c r="N394" s="836">
        <f ca="1">IFERROR(N386*2,0)</f>
        <v>0</v>
      </c>
      <c r="O394" s="836"/>
      <c r="P394" s="836"/>
      <c r="Q394" s="836">
        <f ca="1">IFERROR(Q386*2,0)</f>
        <v>0</v>
      </c>
      <c r="R394" s="836"/>
      <c r="S394" s="836"/>
      <c r="T394" s="836">
        <f ca="1">IFERROR(T386*2,0)</f>
        <v>0</v>
      </c>
      <c r="U394" s="836"/>
      <c r="V394" s="836"/>
      <c r="W394" s="836">
        <f ca="1">IFERROR(W386*2,0)</f>
        <v>0</v>
      </c>
      <c r="X394" s="1469"/>
      <c r="Y394" s="36"/>
      <c r="Z394" s="36"/>
      <c r="AA394" s="36"/>
      <c r="AB394" s="36"/>
      <c r="AC394" s="36"/>
      <c r="AD394" s="36"/>
      <c r="AE394" s="36"/>
      <c r="AF394" s="36"/>
      <c r="AG394" s="36"/>
      <c r="AH394" s="36"/>
      <c r="AI394" s="36"/>
      <c r="AJ394" s="36"/>
      <c r="AK394" s="36"/>
      <c r="AL394" s="36"/>
      <c r="AM394" s="36"/>
      <c r="AN394" s="36"/>
    </row>
    <row r="395" spans="6:40" ht="15" customHeight="1" outlineLevel="1">
      <c r="F395" s="52"/>
      <c r="G395" s="51" t="s">
        <v>145</v>
      </c>
      <c r="H395" s="837"/>
      <c r="I395" s="837"/>
      <c r="J395" s="837"/>
      <c r="K395" s="837">
        <f ca="1">IFERROR(MAX(K386,ROUNDUP(((K394*INDEX(INDIRECT("'"&amp;$H$3&amp;"'!$H$43:$H$78"),MATCH(INDIRECT("'"&amp;$H$3&amp;"'!K284")&amp;"Average duration (hrs) per trip",INDIRECT("'"&amp;$H$3&amp;"'!$F$43:$F$78"),0)))+(K386*((1/60)*(INDIRECT("'"&amp;$H$3&amp;"'!K297")+INDIRECT("'"&amp;$H$3&amp;"'!$H$19")*(INDIRECT("'"&amp;$H$3&amp;"'!K298")+(INDIRECT("'"&amp;$H$3&amp;"'!K299")*('4_Outputs'!K$52/INDIRECT("'"&amp;$H$3&amp;"'!K$261")/INDIRECT("'"&amp;$H$3&amp;"'!$H$19"))))))))/INDIRECT("'"&amp;$H$3&amp;"'!$H$10"),0)),0)</f>
        <v>0</v>
      </c>
      <c r="L395" s="837"/>
      <c r="M395" s="837"/>
      <c r="N395" s="837">
        <f ca="1">IFERROR(MAX(N386,ROUNDUP(((N394*INDEX(INDIRECT("'"&amp;$H$3&amp;"'!$H$43:$H$78"),MATCH(INDIRECT("'"&amp;$H$3&amp;"'!N284")&amp;"Average duration (hrs) per trip",INDIRECT("'"&amp;$H$3&amp;"'!$F$43:$F$78"),0)))+(N386*((1/60)*(INDIRECT("'"&amp;$H$3&amp;"'!N297")+INDIRECT("'"&amp;$H$3&amp;"'!$H$19")*(INDIRECT("'"&amp;$H$3&amp;"'!N298")+(INDIRECT("'"&amp;$H$3&amp;"'!N299")*('4_Outputs'!N$52/INDIRECT("'"&amp;$H$3&amp;"'!N$261")/INDIRECT("'"&amp;$H$3&amp;"'!$H$19"))))))))/INDIRECT("'"&amp;$H$3&amp;"'!$H$10"),0)),0)</f>
        <v>0</v>
      </c>
      <c r="O395" s="837"/>
      <c r="P395" s="837"/>
      <c r="Q395" s="837">
        <f ca="1">IFERROR(MAX(Q386,ROUNDUP(((Q394*INDEX(INDIRECT("'"&amp;$H$3&amp;"'!$H$43:$H$78"),MATCH(INDIRECT("'"&amp;$H$3&amp;"'!Q284")&amp;"Average duration (hrs) per trip",INDIRECT("'"&amp;$H$3&amp;"'!$F$43:$F$78"),0)))+(Q386*((1/60)*(INDIRECT("'"&amp;$H$3&amp;"'!Q297")+INDIRECT("'"&amp;$H$3&amp;"'!$H$19")*(INDIRECT("'"&amp;$H$3&amp;"'!Q298")+(INDIRECT("'"&amp;$H$3&amp;"'!Q299")*('4_Outputs'!Q$52/INDIRECT("'"&amp;$H$3&amp;"'!Q$261")/INDIRECT("'"&amp;$H$3&amp;"'!$H$19"))))))))/INDIRECT("'"&amp;$H$3&amp;"'!$H$10"),0)),0)</f>
        <v>0</v>
      </c>
      <c r="R395" s="837"/>
      <c r="S395" s="837"/>
      <c r="T395" s="837">
        <f ca="1">IFERROR(MAX(T386,ROUNDUP(((T394*INDEX(INDIRECT("'"&amp;$H$3&amp;"'!$H$43:$H$78"),MATCH(INDIRECT("'"&amp;$H$3&amp;"'!T284")&amp;"Average duration (hrs) per trip",INDIRECT("'"&amp;$H$3&amp;"'!$F$43:$F$78"),0)))+(T386*((1/60)*(INDIRECT("'"&amp;$H$3&amp;"'!T297")+INDIRECT("'"&amp;$H$3&amp;"'!$H$19")*(INDIRECT("'"&amp;$H$3&amp;"'!T298")+(INDIRECT("'"&amp;$H$3&amp;"'!T299")*('4_Outputs'!T$52/INDIRECT("'"&amp;$H$3&amp;"'!T$261")/INDIRECT("'"&amp;$H$3&amp;"'!$H$19"))))))))/INDIRECT("'"&amp;$H$3&amp;"'!$H$10"),0)),0)</f>
        <v>0</v>
      </c>
      <c r="U395" s="837"/>
      <c r="V395" s="837"/>
      <c r="W395" s="837">
        <f ca="1">IFERROR(MAX(W386,ROUNDUP(((W394*INDEX(INDIRECT("'"&amp;$H$3&amp;"'!$H$43:$H$78"),MATCH(INDIRECT("'"&amp;$H$3&amp;"'!W284")&amp;"Average duration (hrs) per trip",INDIRECT("'"&amp;$H$3&amp;"'!$F$43:$F$78"),0)))+(W386*((1/60)*(INDIRECT("'"&amp;$H$3&amp;"'!W297")+INDIRECT("'"&amp;$H$3&amp;"'!$H$19")*(INDIRECT("'"&amp;$H$3&amp;"'!W298")+(INDIRECT("'"&amp;$H$3&amp;"'!W299")*('4_Outputs'!W$52/INDIRECT("'"&amp;$H$3&amp;"'!W$261")/INDIRECT("'"&amp;$H$3&amp;"'!$H$19"))))))))/INDIRECT("'"&amp;$H$3&amp;"'!$H$10"),0)),0)</f>
        <v>0</v>
      </c>
      <c r="X395" s="1468"/>
      <c r="Y395" s="36"/>
      <c r="Z395" s="36"/>
      <c r="AA395" s="36"/>
      <c r="AB395" s="36"/>
      <c r="AC395" s="36"/>
      <c r="AD395" s="36"/>
      <c r="AE395" s="36"/>
      <c r="AF395" s="36"/>
      <c r="AG395" s="36"/>
      <c r="AH395" s="36"/>
      <c r="AI395" s="36"/>
      <c r="AJ395" s="36"/>
      <c r="AK395" s="36"/>
      <c r="AL395" s="36"/>
      <c r="AM395" s="36"/>
      <c r="AN395" s="36"/>
    </row>
    <row r="396" spans="6:40" ht="15" customHeight="1" outlineLevel="1">
      <c r="F396" s="1681" t="s">
        <v>148</v>
      </c>
      <c r="G396" s="1683"/>
      <c r="H396" s="851"/>
      <c r="I396" s="851"/>
      <c r="J396" s="851"/>
      <c r="K396" s="851"/>
      <c r="L396" s="851"/>
      <c r="M396" s="851"/>
      <c r="N396" s="851"/>
      <c r="O396" s="851"/>
      <c r="P396" s="851"/>
      <c r="Q396" s="851"/>
      <c r="R396" s="1646"/>
      <c r="S396" s="1646"/>
      <c r="T396" s="851"/>
      <c r="U396" s="1646"/>
      <c r="V396" s="1646"/>
      <c r="W396" s="851"/>
      <c r="X396" s="1471"/>
      <c r="Y396" s="36"/>
      <c r="Z396" s="36"/>
      <c r="AA396" s="36"/>
      <c r="AB396" s="36"/>
      <c r="AC396" s="36"/>
      <c r="AD396" s="36"/>
      <c r="AE396" s="36"/>
      <c r="AF396" s="36"/>
      <c r="AG396" s="36"/>
      <c r="AH396" s="36"/>
      <c r="AI396" s="36"/>
      <c r="AJ396" s="36"/>
      <c r="AK396" s="242"/>
      <c r="AL396" s="36"/>
      <c r="AM396" s="36"/>
      <c r="AN396" s="36"/>
    </row>
    <row r="397" spans="6:40" ht="15" customHeight="1" outlineLevel="1">
      <c r="F397" s="86"/>
      <c r="G397" s="51" t="s">
        <v>151</v>
      </c>
      <c r="H397" s="836"/>
      <c r="I397" s="836"/>
      <c r="J397" s="836"/>
      <c r="K397" s="836">
        <f ca="1">IFERROR(IF(COUNTIF(INDIRECT("'"&amp;$H$3&amp;"'!K284"),"Public Transport*")&lt;1,ROUND(INDIRECT("'"&amp;$H$3&amp;"'!K$95")*INDIRECT("'"&amp;$H$3&amp;"'!K283"),0),0),0)</f>
        <v>0</v>
      </c>
      <c r="L397" s="836"/>
      <c r="M397" s="836"/>
      <c r="N397" s="836">
        <f ca="1">IFERROR(IF(COUNTIF(INDIRECT("'"&amp;$H$3&amp;"'!N284"),"Public Transport*")&lt;1,ROUND(INDIRECT("'"&amp;$H$3&amp;"'!N$95")*INDIRECT("'"&amp;$H$3&amp;"'!N283"),0),0),0)</f>
        <v>0</v>
      </c>
      <c r="O397" s="836"/>
      <c r="P397" s="836"/>
      <c r="Q397" s="836">
        <f ca="1">IFERROR(IF(COUNTIF(INDIRECT("'"&amp;$H$3&amp;"'!Q284"),"Public Transport*")&lt;1,ROUND(INDIRECT("'"&amp;$H$3&amp;"'!Q$95")*INDIRECT("'"&amp;$H$3&amp;"'!Q283"),0),0),0)</f>
        <v>0</v>
      </c>
      <c r="R397" s="836"/>
      <c r="S397" s="836"/>
      <c r="T397" s="836">
        <f ca="1">IFERROR(IF(COUNTIF(INDIRECT("'"&amp;$H$3&amp;"'!T284"),"Public Transport*")&lt;1,ROUND(INDIRECT("'"&amp;$H$3&amp;"'!T$95")*INDIRECT("'"&amp;$H$3&amp;"'!T283"),0),0),0)</f>
        <v>0</v>
      </c>
      <c r="U397" s="836"/>
      <c r="V397" s="836"/>
      <c r="W397" s="836">
        <f ca="1">IFERROR(IF(COUNTIF(INDIRECT("'"&amp;$H$3&amp;"'!W284"),"Public Transport*")&lt;1,ROUND(INDIRECT("'"&amp;$H$3&amp;"'!W$95")*INDIRECT("'"&amp;$H$3&amp;"'!W283"),0),0),0)</f>
        <v>0</v>
      </c>
      <c r="X397" s="1469"/>
      <c r="Y397" s="36"/>
      <c r="Z397" s="36"/>
      <c r="AA397" s="36"/>
      <c r="AB397" s="36"/>
      <c r="AC397" s="36"/>
      <c r="AD397" s="36"/>
      <c r="AE397" s="36"/>
      <c r="AF397" s="36"/>
      <c r="AG397" s="36"/>
      <c r="AH397" s="36"/>
      <c r="AI397" s="36"/>
      <c r="AJ397" s="36"/>
      <c r="AK397" s="242"/>
      <c r="AL397" s="36"/>
      <c r="AM397" s="36"/>
      <c r="AN397" s="36"/>
    </row>
    <row r="398" spans="6:40" ht="15" customHeight="1" outlineLevel="1">
      <c r="F398" s="52"/>
      <c r="G398" s="51" t="s">
        <v>85</v>
      </c>
      <c r="H398" s="837"/>
      <c r="I398" s="837"/>
      <c r="J398" s="837"/>
      <c r="K398" s="837">
        <f ca="1">IFERROR(IF(INDIRECT("'"&amp;$H$3&amp;"'!K292")="Route-based",K403*K404,IF(INDIRECT("'"&amp;$H$3&amp;"'!K292")="Point-to-point",K408*K409,0)),0)</f>
        <v>0</v>
      </c>
      <c r="L398" s="837"/>
      <c r="M398" s="837"/>
      <c r="N398" s="837">
        <f ca="1">IFERROR(IF(INDIRECT("'"&amp;$H$3&amp;"'!N292")="Route-based",N403*N404,IF(INDIRECT("'"&amp;$H$3&amp;"'!N292")="Point-to-point",N408*N409,0)),0)</f>
        <v>0</v>
      </c>
      <c r="O398" s="837"/>
      <c r="P398" s="837"/>
      <c r="Q398" s="837">
        <f ca="1">IFERROR(IF(INDIRECT("'"&amp;$H$3&amp;"'!Q292")="Route-based",Q403*Q404,IF(INDIRECT("'"&amp;$H$3&amp;"'!Q292")="Point-to-point",Q408*Q409,0)),0)</f>
        <v>0</v>
      </c>
      <c r="R398" s="837"/>
      <c r="S398" s="837"/>
      <c r="T398" s="837">
        <f ca="1">IFERROR(IF(INDIRECT("'"&amp;$H$3&amp;"'!T292")="Route-based",T403*T404,IF(INDIRECT("'"&amp;$H$3&amp;"'!T292")="Point-to-point",T408*T409,0)),0)</f>
        <v>0</v>
      </c>
      <c r="U398" s="837"/>
      <c r="V398" s="837"/>
      <c r="W398" s="837">
        <f ca="1">IFERROR(IF(INDIRECT("'"&amp;$H$3&amp;"'!W292")="Route-based",W403*W404,IF(INDIRECT("'"&amp;$H$3&amp;"'!W292")="Point-to-point",W408*W409,0)),0)</f>
        <v>0</v>
      </c>
      <c r="X398" s="1468"/>
      <c r="Y398" s="36"/>
      <c r="Z398" s="36"/>
      <c r="AA398" s="36"/>
      <c r="AB398" s="36"/>
      <c r="AC398" s="36"/>
      <c r="AD398" s="36"/>
      <c r="AE398" s="36"/>
      <c r="AF398" s="36"/>
      <c r="AG398" s="36"/>
      <c r="AH398" s="36"/>
      <c r="AI398" s="36"/>
      <c r="AJ398" s="36"/>
      <c r="AK398" s="242"/>
      <c r="AL398" s="36"/>
      <c r="AM398" s="36"/>
      <c r="AN398" s="36"/>
    </row>
    <row r="399" spans="6:40" ht="15" customHeight="1" outlineLevel="1">
      <c r="F399" s="52"/>
      <c r="G399" s="51" t="s">
        <v>59</v>
      </c>
      <c r="H399" s="837"/>
      <c r="I399" s="837"/>
      <c r="J399" s="837"/>
      <c r="K399" s="837">
        <f ca="1">IFERROR(IF(INDIRECT("'"&amp;$H$3&amp;"'!K292")="Route-based",ROUND(K403*K405/INDIRECT("'"&amp;$H$3&amp;"'!$H$10"),0),IF(INDIRECT("'"&amp;$H$3&amp;"'!K292")="Point-to-point",ROUND(((K397*INDIRECT("'"&amp;$H$3&amp;"'!K$261")*((1/60)*(INDIRECT("'"&amp;$H$3&amp;"'!K297")+INDIRECT("'"&amp;$H$3&amp;"'!$H$19")*(INDIRECT("'"&amp;$H$3&amp;"'!K298")+(INDIRECT("'"&amp;$H$3&amp;"'!K299")*('4_Outputs'!K$52/INDIRECT("'"&amp;$H$3&amp;"'!K$261")/INDIRECT("'"&amp;$H$3&amp;"'!$H$19")))))))+(K398/INDIRECT("'"&amp;$H$3&amp;"'!K301")))/INDIRECT("'"&amp;$H$3&amp;"'!$H$10"),0),0)),0)</f>
        <v>0</v>
      </c>
      <c r="L399" s="837"/>
      <c r="M399" s="837"/>
      <c r="N399" s="837">
        <f ca="1">IFERROR(IF(INDIRECT("'"&amp;$H$3&amp;"'!N292")="Route-based",ROUND(N403*N405/INDIRECT("'"&amp;$H$3&amp;"'!$H$10"),0),IF(INDIRECT("'"&amp;$H$3&amp;"'!N292")="Point-to-point",ROUND(((N397*INDIRECT("'"&amp;$H$3&amp;"'!N$261")*((1/60)*(INDIRECT("'"&amp;$H$3&amp;"'!N297")+INDIRECT("'"&amp;$H$3&amp;"'!$H$19")*(INDIRECT("'"&amp;$H$3&amp;"'!N298")+(INDIRECT("'"&amp;$H$3&amp;"'!N299")*('4_Outputs'!N$52/INDIRECT("'"&amp;$H$3&amp;"'!N$261")/INDIRECT("'"&amp;$H$3&amp;"'!$H$19")))))))+(N398/INDIRECT("'"&amp;$H$3&amp;"'!N301")))/INDIRECT("'"&amp;$H$3&amp;"'!$H$10"),0),0)),0)</f>
        <v>0</v>
      </c>
      <c r="O399" s="837"/>
      <c r="P399" s="837"/>
      <c r="Q399" s="837">
        <f ca="1">IFERROR(IF(INDIRECT("'"&amp;$H$3&amp;"'!Q292")="Route-based",ROUND(Q403*Q405/INDIRECT("'"&amp;$H$3&amp;"'!$H$10"),0),IF(INDIRECT("'"&amp;$H$3&amp;"'!Q292")="Point-to-point",ROUND(((Q397*INDIRECT("'"&amp;$H$3&amp;"'!Q$261")*((1/60)*(INDIRECT("'"&amp;$H$3&amp;"'!Q297")+INDIRECT("'"&amp;$H$3&amp;"'!$H$19")*(INDIRECT("'"&amp;$H$3&amp;"'!Q298")+(INDIRECT("'"&amp;$H$3&amp;"'!Q299")*('4_Outputs'!Q$52/INDIRECT("'"&amp;$H$3&amp;"'!Q$261")/INDIRECT("'"&amp;$H$3&amp;"'!$H$19")))))))+(Q398/INDIRECT("'"&amp;$H$3&amp;"'!Q301")))/INDIRECT("'"&amp;$H$3&amp;"'!$H$10"),0),0)),0)</f>
        <v>0</v>
      </c>
      <c r="R399" s="837"/>
      <c r="S399" s="837"/>
      <c r="T399" s="837">
        <f ca="1">IFERROR(IF(INDIRECT("'"&amp;$H$3&amp;"'!T292")="Route-based",ROUND(T403*T405/INDIRECT("'"&amp;$H$3&amp;"'!$H$10"),0),IF(INDIRECT("'"&amp;$H$3&amp;"'!T292")="Point-to-point",ROUND(((T397*INDIRECT("'"&amp;$H$3&amp;"'!T$261")*((1/60)*(INDIRECT("'"&amp;$H$3&amp;"'!T297")+INDIRECT("'"&amp;$H$3&amp;"'!$H$19")*(INDIRECT("'"&amp;$H$3&amp;"'!T298")+(INDIRECT("'"&amp;$H$3&amp;"'!T299")*('4_Outputs'!T$52/INDIRECT("'"&amp;$H$3&amp;"'!T$261")/INDIRECT("'"&amp;$H$3&amp;"'!$H$19")))))))+(T398/INDIRECT("'"&amp;$H$3&amp;"'!T301")))/INDIRECT("'"&amp;$H$3&amp;"'!$H$10"),0),0)),0)</f>
        <v>0</v>
      </c>
      <c r="U399" s="837"/>
      <c r="V399" s="837"/>
      <c r="W399" s="837">
        <f ca="1">IFERROR(IF(INDIRECT("'"&amp;$H$3&amp;"'!W292")="Route-based",ROUND(W403*W405/INDIRECT("'"&amp;$H$3&amp;"'!$H$10"),0),IF(INDIRECT("'"&amp;$H$3&amp;"'!W292")="Point-to-point",ROUND(((W397*INDIRECT("'"&amp;$H$3&amp;"'!W$261")*((1/60)*(INDIRECT("'"&amp;$H$3&amp;"'!W297")+INDIRECT("'"&amp;$H$3&amp;"'!$H$19")*(INDIRECT("'"&amp;$H$3&amp;"'!W298")+(INDIRECT("'"&amp;$H$3&amp;"'!W299")*('4_Outputs'!W$52/INDIRECT("'"&amp;$H$3&amp;"'!W$261")/INDIRECT("'"&amp;$H$3&amp;"'!$H$19")))))))+(W398/INDIRECT("'"&amp;$H$3&amp;"'!W301")))/INDIRECT("'"&amp;$H$3&amp;"'!$H$10"),0),0)),0)</f>
        <v>0</v>
      </c>
      <c r="X399" s="1468"/>
      <c r="Y399" s="36"/>
      <c r="Z399" s="36"/>
      <c r="AA399" s="36"/>
      <c r="AB399" s="36"/>
      <c r="AC399" s="36"/>
      <c r="AD399" s="36"/>
      <c r="AE399" s="36"/>
      <c r="AF399" s="36"/>
      <c r="AG399" s="36"/>
      <c r="AH399" s="36"/>
      <c r="AI399" s="36"/>
      <c r="AJ399" s="36"/>
      <c r="AK399" s="242"/>
      <c r="AL399" s="36"/>
      <c r="AM399" s="36"/>
      <c r="AN399" s="36"/>
    </row>
    <row r="400" spans="6:40" ht="15" customHeight="1" outlineLevel="1">
      <c r="F400" s="52"/>
      <c r="G400" s="51" t="s">
        <v>86</v>
      </c>
      <c r="H400" s="839"/>
      <c r="I400" s="839"/>
      <c r="J400" s="839"/>
      <c r="K400" s="839">
        <f ca="1">IFERROR(IF(INDIRECT("'"&amp;$H$3&amp;"'!K292")="Route-based",IF(INDIRECT("'"&amp;$H$3&amp;"'!K289")="Yes",K211, IF(INDIRECT("'"&amp;$H$3&amp;"'!K289")="No",K399/(INDIRECT("'"&amp;$H$3&amp;"'!$H$9")*INDIRECT("'"&amp;$H$3&amp;"'!K288")))),
IF(INDIRECT("'"&amp;$H$3&amp;"'!K292")="Point-to-point",IF(INDIRECT("'"&amp;$H$3&amp;"'!K289")="Yes",K211,IF(INDIRECT("'"&amp;$H$3&amp;"'!K289")="No",K399/(INDIRECT("'"&amp;$H$3&amp;"'!$H$9")*INDIRECT("'"&amp;$H$3&amp;"'!K288")))),0)),0)</f>
        <v>0</v>
      </c>
      <c r="L400" s="839"/>
      <c r="M400" s="839"/>
      <c r="N400" s="839">
        <f ca="1">IFERROR(IF(INDIRECT("'"&amp;$H$3&amp;"'!N292")="Route-based",IF(INDIRECT("'"&amp;$H$3&amp;"'!N289")="Yes",N211, IF(INDIRECT("'"&amp;$H$3&amp;"'!N289")="No",N399/(INDIRECT("'"&amp;$H$3&amp;"'!$H$9")*INDIRECT("'"&amp;$H$3&amp;"'!N288")))),
IF(INDIRECT("'"&amp;$H$3&amp;"'!N292")="Point-to-point",IF(INDIRECT("'"&amp;$H$3&amp;"'!N289")="Yes",N211,IF(INDIRECT("'"&amp;$H$3&amp;"'!N289")="No",N399/(INDIRECT("'"&amp;$H$3&amp;"'!$H$9")*INDIRECT("'"&amp;$H$3&amp;"'!N288")))),0)),0)</f>
        <v>0</v>
      </c>
      <c r="O400" s="839"/>
      <c r="P400" s="839"/>
      <c r="Q400" s="839">
        <f ca="1">IFERROR(IF(INDIRECT("'"&amp;$H$3&amp;"'!Q292")="Route-based",IF(INDIRECT("'"&amp;$H$3&amp;"'!Q289")="Yes",Q211, IF(INDIRECT("'"&amp;$H$3&amp;"'!Q289")="No",Q399/(INDIRECT("'"&amp;$H$3&amp;"'!$H$9")*INDIRECT("'"&amp;$H$3&amp;"'!Q288")))),
IF(INDIRECT("'"&amp;$H$3&amp;"'!Q292")="Point-to-point",IF(INDIRECT("'"&amp;$H$3&amp;"'!Q289")="Yes",Q211,IF(INDIRECT("'"&amp;$H$3&amp;"'!Q289")="No",Q399/(INDIRECT("'"&amp;$H$3&amp;"'!$H$9")*INDIRECT("'"&amp;$H$3&amp;"'!Q288")))),0)),0)</f>
        <v>0</v>
      </c>
      <c r="R400" s="839"/>
      <c r="S400" s="839"/>
      <c r="T400" s="839">
        <f ca="1">IFERROR(IF(INDIRECT("'"&amp;$H$3&amp;"'!T292")="Route-based",IF(INDIRECT("'"&amp;$H$3&amp;"'!T289")="Yes",T211, IF(INDIRECT("'"&amp;$H$3&amp;"'!T289")="No",T399/(INDIRECT("'"&amp;$H$3&amp;"'!$H$9")*INDIRECT("'"&amp;$H$3&amp;"'!T288")))),
IF(INDIRECT("'"&amp;$H$3&amp;"'!T292")="Point-to-point",IF(INDIRECT("'"&amp;$H$3&amp;"'!T289")="Yes",T211,IF(INDIRECT("'"&amp;$H$3&amp;"'!T289")="No",T399/(INDIRECT("'"&amp;$H$3&amp;"'!$H$9")*INDIRECT("'"&amp;$H$3&amp;"'!T288")))),0)),0)</f>
        <v>0</v>
      </c>
      <c r="U400" s="839"/>
      <c r="V400" s="839"/>
      <c r="W400" s="839">
        <f ca="1">IFERROR(IF(INDIRECT("'"&amp;$H$3&amp;"'!W292")="Route-based",IF(INDIRECT("'"&amp;$H$3&amp;"'!W289")="Yes",W211, IF(INDIRECT("'"&amp;$H$3&amp;"'!W289")="No",W399/(INDIRECT("'"&amp;$H$3&amp;"'!$H$9")*INDIRECT("'"&amp;$H$3&amp;"'!W288")))),
IF(INDIRECT("'"&amp;$H$3&amp;"'!W292")="Point-to-point",IF(INDIRECT("'"&amp;$H$3&amp;"'!W289")="Yes",W211,IF(INDIRECT("'"&amp;$H$3&amp;"'!W289")="No",W399/(INDIRECT("'"&amp;$H$3&amp;"'!$H$9")*INDIRECT("'"&amp;$H$3&amp;"'!W288")))),0)),0)</f>
        <v>0</v>
      </c>
      <c r="X400" s="1470"/>
      <c r="Y400" s="36"/>
      <c r="Z400" s="36"/>
      <c r="AA400" s="36"/>
      <c r="AB400" s="36"/>
      <c r="AC400" s="36"/>
      <c r="AD400" s="36"/>
      <c r="AE400" s="36"/>
      <c r="AF400" s="36"/>
      <c r="AG400" s="36"/>
      <c r="AH400" s="36"/>
      <c r="AI400" s="36"/>
      <c r="AJ400" s="36"/>
      <c r="AK400" s="36" t="s">
        <v>191</v>
      </c>
      <c r="AL400" s="36"/>
      <c r="AM400" s="36"/>
      <c r="AN400" s="36"/>
    </row>
    <row r="401" spans="6:40" ht="15" customHeight="1" outlineLevel="1" collapsed="1">
      <c r="F401" s="52"/>
      <c r="G401" s="1613" t="s">
        <v>133</v>
      </c>
      <c r="H401" s="842"/>
      <c r="I401" s="842"/>
      <c r="J401" s="842"/>
      <c r="K401" s="842"/>
      <c r="L401" s="842"/>
      <c r="M401" s="842"/>
      <c r="N401" s="842"/>
      <c r="O401" s="842"/>
      <c r="P401" s="842"/>
      <c r="Q401" s="842"/>
      <c r="R401" s="1650"/>
      <c r="S401" s="1650"/>
      <c r="T401" s="842"/>
      <c r="U401" s="1650"/>
      <c r="V401" s="1650"/>
      <c r="W401" s="842"/>
      <c r="X401" s="1470"/>
      <c r="Y401" s="36"/>
      <c r="Z401" s="36"/>
      <c r="AA401" s="36"/>
      <c r="AB401" s="36"/>
      <c r="AC401" s="36"/>
      <c r="AD401" s="36"/>
      <c r="AE401" s="36"/>
      <c r="AF401" s="36"/>
      <c r="AG401" s="36"/>
      <c r="AH401" s="36"/>
      <c r="AI401" s="36"/>
      <c r="AJ401" s="36"/>
      <c r="AK401" s="36"/>
      <c r="AL401" s="36"/>
      <c r="AM401" s="36"/>
      <c r="AN401" s="36"/>
    </row>
    <row r="402" spans="6:40" ht="15" customHeight="1" outlineLevel="1">
      <c r="F402" s="52"/>
      <c r="G402" s="51" t="s">
        <v>129</v>
      </c>
      <c r="H402" s="836"/>
      <c r="I402" s="836"/>
      <c r="J402" s="836"/>
      <c r="K402" s="836">
        <f ca="1">IFERROR(((INDIRECT("'"&amp;$H$3&amp;"'!K293")*INDIRECT("'"&amp;$H$3&amp;"'!$H$10"))-(2*INDIRECT("'"&amp;$H$3&amp;"'!K$98")/INDIRECT("'"&amp;$H$3&amp;"'!K301"))+(INDIRECT("'"&amp;$H$3&amp;"'!K$99")/INDIRECT("'"&amp;$H$3&amp;"'!K300")))/(((1/60)*(INDIRECT("'"&amp;$H$3&amp;"'!K297")+INDIRECT("'"&amp;$H$3&amp;"'!$H$19")*(INDIRECT("'"&amp;$H$3&amp;"'!K298")+(INDIRECT("'"&amp;$H$3&amp;"'!K299")*('4_Outputs'!K$52/INDIRECT("'"&amp;$H$3&amp;"'!K$261")/INDIRECT("'"&amp;$H$3&amp;"'!$H$19"))))))+(INDIRECT("'"&amp;$H$3&amp;"'!K$99")/INDIRECT("'"&amp;$H$3&amp;"'!K300"))),0)</f>
        <v>0</v>
      </c>
      <c r="L402" s="836"/>
      <c r="M402" s="836"/>
      <c r="N402" s="836">
        <f ca="1">IFERROR(((INDIRECT("'"&amp;$H$3&amp;"'!N293")*INDIRECT("'"&amp;$H$3&amp;"'!$H$10"))-(2*INDIRECT("'"&amp;$H$3&amp;"'!N$98")/INDIRECT("'"&amp;$H$3&amp;"'!N301"))+(INDIRECT("'"&amp;$H$3&amp;"'!N$99")/INDIRECT("'"&amp;$H$3&amp;"'!N300")))/(((1/60)*(INDIRECT("'"&amp;$H$3&amp;"'!N297")+INDIRECT("'"&amp;$H$3&amp;"'!$H$19")*(INDIRECT("'"&amp;$H$3&amp;"'!N298")+(INDIRECT("'"&amp;$H$3&amp;"'!N299")*('4_Outputs'!N$52/INDIRECT("'"&amp;$H$3&amp;"'!N$261")/INDIRECT("'"&amp;$H$3&amp;"'!$H$19"))))))+(INDIRECT("'"&amp;$H$3&amp;"'!N$99")/INDIRECT("'"&amp;$H$3&amp;"'!N300"))),0)</f>
        <v>0</v>
      </c>
      <c r="O402" s="836"/>
      <c r="P402" s="836"/>
      <c r="Q402" s="836">
        <f ca="1">IFERROR(((INDIRECT("'"&amp;$H$3&amp;"'!Q293")*INDIRECT("'"&amp;$H$3&amp;"'!$H$10"))-(2*INDIRECT("'"&amp;$H$3&amp;"'!Q$98")/INDIRECT("'"&amp;$H$3&amp;"'!Q301"))+(INDIRECT("'"&amp;$H$3&amp;"'!Q$99")/INDIRECT("'"&amp;$H$3&amp;"'!Q300")))/(((1/60)*(INDIRECT("'"&amp;$H$3&amp;"'!Q297")+INDIRECT("'"&amp;$H$3&amp;"'!$H$19")*(INDIRECT("'"&amp;$H$3&amp;"'!Q298")+(INDIRECT("'"&amp;$H$3&amp;"'!Q299")*('4_Outputs'!Q$52/INDIRECT("'"&amp;$H$3&amp;"'!Q$261")/INDIRECT("'"&amp;$H$3&amp;"'!$H$19"))))))+(INDIRECT("'"&amp;$H$3&amp;"'!Q$99")/INDIRECT("'"&amp;$H$3&amp;"'!Q300"))),0)</f>
        <v>0</v>
      </c>
      <c r="R402" s="836"/>
      <c r="S402" s="836"/>
      <c r="T402" s="836">
        <f ca="1">IFERROR(((INDIRECT("'"&amp;$H$3&amp;"'!T293")*INDIRECT("'"&amp;$H$3&amp;"'!$H$10"))-(2*INDIRECT("'"&amp;$H$3&amp;"'!T$98")/INDIRECT("'"&amp;$H$3&amp;"'!T301"))+(INDIRECT("'"&amp;$H$3&amp;"'!T$99")/INDIRECT("'"&amp;$H$3&amp;"'!T300")))/(((1/60)*(INDIRECT("'"&amp;$H$3&amp;"'!T297")+INDIRECT("'"&amp;$H$3&amp;"'!$H$19")*(INDIRECT("'"&amp;$H$3&amp;"'!T298")+(INDIRECT("'"&amp;$H$3&amp;"'!T299")*('4_Outputs'!T$52/INDIRECT("'"&amp;$H$3&amp;"'!T$261")/INDIRECT("'"&amp;$H$3&amp;"'!$H$19"))))))+(INDIRECT("'"&amp;$H$3&amp;"'!T$99")/INDIRECT("'"&amp;$H$3&amp;"'!T300"))),0)</f>
        <v>0</v>
      </c>
      <c r="U402" s="836"/>
      <c r="V402" s="836"/>
      <c r="W402" s="836">
        <f ca="1">IFERROR(((INDIRECT("'"&amp;$H$3&amp;"'!W293")*INDIRECT("'"&amp;$H$3&amp;"'!$H$10"))-(2*INDIRECT("'"&amp;$H$3&amp;"'!W$98")/INDIRECT("'"&amp;$H$3&amp;"'!W301"))+(INDIRECT("'"&amp;$H$3&amp;"'!W$99")/INDIRECT("'"&amp;$H$3&amp;"'!W300")))/(((1/60)*(INDIRECT("'"&amp;$H$3&amp;"'!W297")+INDIRECT("'"&amp;$H$3&amp;"'!$H$19")*(INDIRECT("'"&amp;$H$3&amp;"'!W298")+(INDIRECT("'"&amp;$H$3&amp;"'!W299")*('4_Outputs'!W$52/INDIRECT("'"&amp;$H$3&amp;"'!W$261")/INDIRECT("'"&amp;$H$3&amp;"'!$H$19"))))))+(INDIRECT("'"&amp;$H$3&amp;"'!W$99")/INDIRECT("'"&amp;$H$3&amp;"'!W300"))),0)</f>
        <v>0</v>
      </c>
      <c r="X402" s="1469"/>
      <c r="Y402" s="36"/>
      <c r="Z402" s="36"/>
      <c r="AA402" s="36"/>
      <c r="AB402" s="36"/>
      <c r="AC402" s="36"/>
      <c r="AD402" s="36"/>
      <c r="AE402" s="36"/>
      <c r="AF402" s="36"/>
      <c r="AG402" s="36"/>
      <c r="AH402" s="36"/>
      <c r="AI402" s="36"/>
      <c r="AJ402" s="36"/>
      <c r="AK402" s="36"/>
      <c r="AL402" s="36"/>
      <c r="AM402" s="36"/>
      <c r="AN402" s="36"/>
    </row>
    <row r="403" spans="6:40" ht="15" customHeight="1" outlineLevel="1">
      <c r="F403" s="52"/>
      <c r="G403" s="51" t="s">
        <v>206</v>
      </c>
      <c r="H403" s="836"/>
      <c r="I403" s="836"/>
      <c r="J403" s="836"/>
      <c r="K403" s="836">
        <f ca="1">IFERROR(ROUND(K397*INDIRECT("'"&amp;$H$3&amp;"'!K$261")/K402,0),0)</f>
        <v>0</v>
      </c>
      <c r="L403" s="836"/>
      <c r="M403" s="836"/>
      <c r="N403" s="836">
        <f ca="1">IFERROR(ROUND(N397*INDIRECT("'"&amp;$H$3&amp;"'!N$261")/N402,0),0)</f>
        <v>0</v>
      </c>
      <c r="O403" s="836"/>
      <c r="P403" s="836"/>
      <c r="Q403" s="836">
        <f ca="1">IFERROR(ROUND(Q397*INDIRECT("'"&amp;$H$3&amp;"'!Q$261")/Q402,0),0)</f>
        <v>0</v>
      </c>
      <c r="R403" s="836"/>
      <c r="S403" s="836"/>
      <c r="T403" s="836">
        <f ca="1">IFERROR(ROUND(T397*INDIRECT("'"&amp;$H$3&amp;"'!T$261")/T402,0),0)</f>
        <v>0</v>
      </c>
      <c r="U403" s="836"/>
      <c r="V403" s="836"/>
      <c r="W403" s="836">
        <f ca="1">IFERROR(ROUND(W397*INDIRECT("'"&amp;$H$3&amp;"'!W$261")/W402,0),0)</f>
        <v>0</v>
      </c>
      <c r="X403" s="1469"/>
      <c r="Y403" s="36"/>
      <c r="Z403" s="36"/>
      <c r="AA403" s="36"/>
      <c r="AB403" s="36"/>
      <c r="AC403" s="36"/>
      <c r="AD403" s="36"/>
      <c r="AE403" s="36"/>
      <c r="AF403" s="36"/>
      <c r="AG403" s="36"/>
      <c r="AH403" s="36"/>
      <c r="AI403" s="36"/>
      <c r="AJ403" s="36"/>
      <c r="AK403" s="36"/>
      <c r="AL403" s="36"/>
      <c r="AM403" s="36"/>
      <c r="AN403" s="36"/>
    </row>
    <row r="404" spans="6:40" ht="15" customHeight="1" outlineLevel="1">
      <c r="F404" s="52"/>
      <c r="G404" s="51" t="s">
        <v>87</v>
      </c>
      <c r="H404" s="836"/>
      <c r="I404" s="836"/>
      <c r="J404" s="836"/>
      <c r="K404" s="836">
        <f ca="1">IFERROR(IF(K397=0,0,(2*INDIRECT("'"&amp;$H$3&amp;"'!K$98"))+((MAX(K402, 1)-1)*INDIRECT("'"&amp;$H$3&amp;"'!K$99"))),0)</f>
        <v>0</v>
      </c>
      <c r="L404" s="836"/>
      <c r="M404" s="836"/>
      <c r="N404" s="836">
        <f ca="1">IFERROR(IF(N397=0,0,(2*INDIRECT("'"&amp;$H$3&amp;"'!N$98"))+((MAX(N402, 1)-1)*INDIRECT("'"&amp;$H$3&amp;"'!N$99"))),0)</f>
        <v>0</v>
      </c>
      <c r="O404" s="836"/>
      <c r="P404" s="836"/>
      <c r="Q404" s="836">
        <f ca="1">IFERROR(IF(Q397=0,0,(2*INDIRECT("'"&amp;$H$3&amp;"'!Q$98"))+((MAX(Q402, 1)-1)*INDIRECT("'"&amp;$H$3&amp;"'!Q$99"))),0)</f>
        <v>0</v>
      </c>
      <c r="R404" s="836"/>
      <c r="S404" s="836"/>
      <c r="T404" s="836">
        <f ca="1">IFERROR(IF(T397=0,0,(2*INDIRECT("'"&amp;$H$3&amp;"'!T$98"))+((MAX(T402, 1)-1)*INDIRECT("'"&amp;$H$3&amp;"'!T$99"))),0)</f>
        <v>0</v>
      </c>
      <c r="U404" s="836"/>
      <c r="V404" s="836"/>
      <c r="W404" s="836">
        <f ca="1">IFERROR(IF(W397=0,0,(2*INDIRECT("'"&amp;$H$3&amp;"'!W$98"))+((MAX(W402, 1)-1)*INDIRECT("'"&amp;$H$3&amp;"'!W$99"))),0)</f>
        <v>0</v>
      </c>
      <c r="X404" s="1469"/>
      <c r="Y404" s="36"/>
      <c r="Z404" s="36"/>
      <c r="AA404" s="36"/>
      <c r="AB404" s="36"/>
      <c r="AC404" s="36"/>
      <c r="AD404" s="36"/>
      <c r="AE404" s="36"/>
      <c r="AF404" s="36"/>
      <c r="AG404" s="36"/>
      <c r="AH404" s="36"/>
      <c r="AI404" s="36"/>
      <c r="AJ404" s="36"/>
      <c r="AK404" s="36"/>
      <c r="AL404" s="36"/>
      <c r="AM404" s="36"/>
      <c r="AN404" s="36"/>
    </row>
    <row r="405" spans="6:40" ht="15" customHeight="1" outlineLevel="1">
      <c r="F405" s="52"/>
      <c r="G405" s="51" t="s">
        <v>203</v>
      </c>
      <c r="H405" s="836"/>
      <c r="I405" s="836"/>
      <c r="J405" s="836"/>
      <c r="K405" s="836">
        <f ca="1">IFERROR((ROUNDUP(K402,1)*((1/60)*(INDIRECT("'"&amp;$H$3&amp;"'!K297")+INDIRECT("'"&amp;$H$3&amp;"'!$H$19")*(INDIRECT("'"&amp;$H$3&amp;"'!K298")+(INDIRECT("'"&amp;$H$3&amp;"'!K299")*('4_Outputs'!K$52/INDIRECT("'"&amp;$H$3&amp;"'!K$261")/INDIRECT("'"&amp;$H$3&amp;"'!$H$19")))))))+((2*INDIRECT("'"&amp;$H$3&amp;"'!K$98"))/INDIRECT("'"&amp;$H$3&amp;"'!K301"))+(((MAX(K402,1)-1)*INDIRECT("'"&amp;$H$3&amp;"'!K$99"))/INDIRECT("'"&amp;$H$3&amp;"'!K300")),0)</f>
        <v>0</v>
      </c>
      <c r="L405" s="836"/>
      <c r="M405" s="836"/>
      <c r="N405" s="836">
        <f ca="1">IFERROR((ROUNDUP(N402,1)*((1/60)*(INDIRECT("'"&amp;$H$3&amp;"'!N297")+INDIRECT("'"&amp;$H$3&amp;"'!$H$19")*(INDIRECT("'"&amp;$H$3&amp;"'!N298")+(INDIRECT("'"&amp;$H$3&amp;"'!N299")*('4_Outputs'!N$52/INDIRECT("'"&amp;$H$3&amp;"'!N$261")/INDIRECT("'"&amp;$H$3&amp;"'!$H$19")))))))+((2*INDIRECT("'"&amp;$H$3&amp;"'!N$98"))/INDIRECT("'"&amp;$H$3&amp;"'!N301"))+(((MAX(N402,1)-1)*INDIRECT("'"&amp;$H$3&amp;"'!N$99"))/INDIRECT("'"&amp;$H$3&amp;"'!N300")),0)</f>
        <v>0</v>
      </c>
      <c r="O405" s="836"/>
      <c r="P405" s="836"/>
      <c r="Q405" s="836">
        <f ca="1">IFERROR((ROUNDUP(Q402,1)*((1/60)*(INDIRECT("'"&amp;$H$3&amp;"'!Q297")+INDIRECT("'"&amp;$H$3&amp;"'!$H$19")*(INDIRECT("'"&amp;$H$3&amp;"'!Q298")+(INDIRECT("'"&amp;$H$3&amp;"'!Q299")*('4_Outputs'!Q$52/INDIRECT("'"&amp;$H$3&amp;"'!Q$261")/INDIRECT("'"&amp;$H$3&amp;"'!$H$19")))))))+((2*INDIRECT("'"&amp;$H$3&amp;"'!Q$98"))/INDIRECT("'"&amp;$H$3&amp;"'!Q301"))+(((MAX(Q402,1)-1)*INDIRECT("'"&amp;$H$3&amp;"'!Q$99"))/INDIRECT("'"&amp;$H$3&amp;"'!Q300")),0)</f>
        <v>0</v>
      </c>
      <c r="R405" s="836"/>
      <c r="S405" s="836"/>
      <c r="T405" s="836">
        <f ca="1">IFERROR((ROUNDUP(T402,1)*((1/60)*(INDIRECT("'"&amp;$H$3&amp;"'!T297")+INDIRECT("'"&amp;$H$3&amp;"'!$H$19")*(INDIRECT("'"&amp;$H$3&amp;"'!T298")+(INDIRECT("'"&amp;$H$3&amp;"'!T299")*('4_Outputs'!T$52/INDIRECT("'"&amp;$H$3&amp;"'!T$261")/INDIRECT("'"&amp;$H$3&amp;"'!$H$19")))))))+((2*INDIRECT("'"&amp;$H$3&amp;"'!T$98"))/INDIRECT("'"&amp;$H$3&amp;"'!T301"))+(((MAX(T402,1)-1)*INDIRECT("'"&amp;$H$3&amp;"'!T$99"))/INDIRECT("'"&amp;$H$3&amp;"'!T300")),0)</f>
        <v>0</v>
      </c>
      <c r="U405" s="836"/>
      <c r="V405" s="836"/>
      <c r="W405" s="836">
        <f ca="1">IFERROR((ROUNDUP(W402,1)*((1/60)*(INDIRECT("'"&amp;$H$3&amp;"'!W297")+INDIRECT("'"&amp;$H$3&amp;"'!$H$19")*(INDIRECT("'"&amp;$H$3&amp;"'!W298")+(INDIRECT("'"&amp;$H$3&amp;"'!W299")*('4_Outputs'!W$52/INDIRECT("'"&amp;$H$3&amp;"'!W$261")/INDIRECT("'"&amp;$H$3&amp;"'!$H$19")))))))+((2*INDIRECT("'"&amp;$H$3&amp;"'!W$98"))/INDIRECT("'"&amp;$H$3&amp;"'!W301"))+(((MAX(W402,1)-1)*INDIRECT("'"&amp;$H$3&amp;"'!W$99"))/INDIRECT("'"&amp;$H$3&amp;"'!W300")),0)</f>
        <v>0</v>
      </c>
      <c r="X405" s="1465"/>
      <c r="Y405" s="36"/>
      <c r="Z405" s="36"/>
      <c r="AA405" s="36"/>
      <c r="AB405" s="36"/>
      <c r="AC405" s="36"/>
      <c r="AD405" s="36"/>
      <c r="AE405" s="36"/>
      <c r="AF405" s="36"/>
      <c r="AG405" s="36"/>
      <c r="AH405" s="36"/>
      <c r="AI405" s="36"/>
      <c r="AJ405" s="36"/>
      <c r="AK405" s="36"/>
      <c r="AL405" s="36"/>
      <c r="AM405" s="36"/>
      <c r="AN405" s="36"/>
    </row>
    <row r="406" spans="6:40" ht="15" customHeight="1" outlineLevel="1">
      <c r="F406" s="52"/>
      <c r="G406" s="51" t="s">
        <v>204</v>
      </c>
      <c r="H406" s="836"/>
      <c r="I406" s="836"/>
      <c r="J406" s="836"/>
      <c r="K406" s="836">
        <f ca="1">IFERROR((INDIRECT("'"&amp;$H$3&amp;"'!$H$10")*INDIRECT("'"&amp;$H$3&amp;"'!$H$9")*INDIRECT("'"&amp;$H$3&amp;"'!K288"))/K405,0)</f>
        <v>0</v>
      </c>
      <c r="L406" s="836"/>
      <c r="M406" s="836"/>
      <c r="N406" s="836">
        <f ca="1">IFERROR((INDIRECT("'"&amp;$H$3&amp;"'!$H$10")*INDIRECT("'"&amp;$H$3&amp;"'!$H$9")*INDIRECT("'"&amp;$H$3&amp;"'!N288"))/N405,0)</f>
        <v>0</v>
      </c>
      <c r="O406" s="836"/>
      <c r="P406" s="836"/>
      <c r="Q406" s="836">
        <f ca="1">IFERROR((INDIRECT("'"&amp;$H$3&amp;"'!$H$10")*INDIRECT("'"&amp;$H$3&amp;"'!$H$9")*INDIRECT("'"&amp;$H$3&amp;"'!Q288"))/Q405,0)</f>
        <v>0</v>
      </c>
      <c r="R406" s="836"/>
      <c r="S406" s="836"/>
      <c r="T406" s="836">
        <f ca="1">IFERROR((INDIRECT("'"&amp;$H$3&amp;"'!$H$10")*INDIRECT("'"&amp;$H$3&amp;"'!$H$9")*INDIRECT("'"&amp;$H$3&amp;"'!T288"))/T405,0)</f>
        <v>0</v>
      </c>
      <c r="U406" s="836"/>
      <c r="V406" s="836"/>
      <c r="W406" s="836">
        <f ca="1">IFERROR((INDIRECT("'"&amp;$H$3&amp;"'!$H$10")*INDIRECT("'"&amp;$H$3&amp;"'!$H$9")*INDIRECT("'"&amp;$H$3&amp;"'!W288"))/W405,0)</f>
        <v>0</v>
      </c>
      <c r="X406" s="1465"/>
      <c r="Y406" s="36"/>
      <c r="Z406" s="36"/>
      <c r="AA406" s="36"/>
      <c r="AB406" s="36"/>
      <c r="AC406" s="36"/>
      <c r="AD406" s="36"/>
      <c r="AE406" s="36"/>
      <c r="AF406" s="36"/>
      <c r="AG406" s="36"/>
      <c r="AH406" s="36"/>
      <c r="AI406" s="36"/>
      <c r="AJ406" s="36"/>
      <c r="AK406" s="242"/>
      <c r="AL406" s="36"/>
      <c r="AM406" s="36"/>
      <c r="AN406" s="36"/>
    </row>
    <row r="407" spans="6:40" ht="15" customHeight="1" outlineLevel="1">
      <c r="F407" s="52"/>
      <c r="G407" s="1613" t="s">
        <v>134</v>
      </c>
      <c r="H407" s="842"/>
      <c r="I407" s="842"/>
      <c r="J407" s="842"/>
      <c r="K407" s="842"/>
      <c r="L407" s="842"/>
      <c r="M407" s="842"/>
      <c r="N407" s="842"/>
      <c r="O407" s="842"/>
      <c r="P407" s="842"/>
      <c r="Q407" s="842"/>
      <c r="R407" s="1650"/>
      <c r="S407" s="1650"/>
      <c r="T407" s="842"/>
      <c r="U407" s="1650"/>
      <c r="V407" s="1650"/>
      <c r="W407" s="842"/>
      <c r="X407" s="1470"/>
      <c r="Y407" s="36"/>
      <c r="Z407" s="36"/>
      <c r="AA407" s="36"/>
      <c r="AB407" s="36"/>
      <c r="AC407" s="36"/>
      <c r="AD407" s="36"/>
      <c r="AE407" s="36"/>
      <c r="AF407" s="36"/>
      <c r="AG407" s="36"/>
      <c r="AH407" s="36"/>
      <c r="AI407" s="36"/>
      <c r="AJ407" s="36"/>
      <c r="AK407" s="242"/>
      <c r="AL407" s="36"/>
      <c r="AM407" s="36"/>
      <c r="AN407" s="36"/>
    </row>
    <row r="408" spans="6:40" ht="15" customHeight="1" outlineLevel="1">
      <c r="F408" s="52"/>
      <c r="G408" s="51" t="s">
        <v>206</v>
      </c>
      <c r="H408" s="836"/>
      <c r="I408" s="836"/>
      <c r="J408" s="836"/>
      <c r="K408" s="836">
        <f ca="1">IFERROR(K397*INDIRECT("'"&amp;$H$3&amp;"'!K$261"),0)</f>
        <v>0</v>
      </c>
      <c r="L408" s="836"/>
      <c r="M408" s="836"/>
      <c r="N408" s="836">
        <f ca="1">IFERROR(N397*INDIRECT("'"&amp;$H$3&amp;"'!N$261"),0)</f>
        <v>0</v>
      </c>
      <c r="O408" s="836"/>
      <c r="P408" s="836"/>
      <c r="Q408" s="836">
        <f ca="1">IFERROR(Q397*INDIRECT("'"&amp;$H$3&amp;"'!Q$261"),0)</f>
        <v>0</v>
      </c>
      <c r="R408" s="836"/>
      <c r="S408" s="836"/>
      <c r="T408" s="836">
        <f ca="1">IFERROR(T397*INDIRECT("'"&amp;$H$3&amp;"'!T$261"),0)</f>
        <v>0</v>
      </c>
      <c r="U408" s="836"/>
      <c r="V408" s="836"/>
      <c r="W408" s="836">
        <f ca="1">IFERROR(W397*INDIRECT("'"&amp;$H$3&amp;"'!W$261"),0)</f>
        <v>0</v>
      </c>
      <c r="X408" s="1469"/>
      <c r="Y408" s="36"/>
      <c r="Z408" s="36"/>
      <c r="AA408" s="36"/>
      <c r="AB408" s="36" t="s">
        <v>192</v>
      </c>
      <c r="AC408" s="36"/>
      <c r="AD408" s="36" t="s">
        <v>193</v>
      </c>
      <c r="AE408" s="36"/>
      <c r="AF408" s="36"/>
      <c r="AG408" s="36"/>
      <c r="AH408" s="36"/>
      <c r="AI408" s="36"/>
      <c r="AJ408" s="36"/>
      <c r="AK408" s="36"/>
      <c r="AL408" s="36"/>
      <c r="AM408" s="36"/>
      <c r="AN408" s="36"/>
    </row>
    <row r="409" spans="6:40" ht="15" customHeight="1" outlineLevel="1">
      <c r="F409" s="52"/>
      <c r="G409" s="51" t="s">
        <v>87</v>
      </c>
      <c r="H409" s="836"/>
      <c r="I409" s="836"/>
      <c r="J409" s="836"/>
      <c r="K409" s="836">
        <f ca="1">IFERROR(IF(K397=0,0,2*INDIRECT("'"&amp;$H$3&amp;"'!K$98")),0)</f>
        <v>0</v>
      </c>
      <c r="L409" s="836"/>
      <c r="M409" s="836"/>
      <c r="N409" s="836">
        <f ca="1">IFERROR(IF(N397=0,0,2*INDIRECT("'"&amp;$H$3&amp;"'!N$98")),0)</f>
        <v>0</v>
      </c>
      <c r="O409" s="836"/>
      <c r="P409" s="836"/>
      <c r="Q409" s="836">
        <f ca="1">IFERROR(IF(Q397=0,0,2*INDIRECT("'"&amp;$H$3&amp;"'!Q$98")),0)</f>
        <v>0</v>
      </c>
      <c r="R409" s="836"/>
      <c r="S409" s="836"/>
      <c r="T409" s="836">
        <f ca="1">IFERROR(IF(T397=0,0,2*INDIRECT("'"&amp;$H$3&amp;"'!T$98")),0)</f>
        <v>0</v>
      </c>
      <c r="U409" s="836"/>
      <c r="V409" s="836"/>
      <c r="W409" s="836">
        <f ca="1">IFERROR(IF(W397=0,0,2*INDIRECT("'"&amp;$H$3&amp;"'!W$98")),0)</f>
        <v>0</v>
      </c>
      <c r="X409" s="1469"/>
      <c r="Y409" s="36"/>
      <c r="Z409" s="36"/>
      <c r="AA409" s="36"/>
      <c r="AB409" s="36" t="s">
        <v>194</v>
      </c>
      <c r="AC409" s="36"/>
      <c r="AD409" s="36" t="s">
        <v>195</v>
      </c>
      <c r="AE409" s="36"/>
      <c r="AF409" s="36"/>
      <c r="AG409" s="36"/>
      <c r="AH409" s="36"/>
      <c r="AI409" s="36"/>
      <c r="AJ409" s="36"/>
      <c r="AK409" s="36"/>
      <c r="AL409" s="36"/>
      <c r="AM409" s="36"/>
      <c r="AN409" s="36"/>
    </row>
    <row r="410" spans="6:40" ht="15" customHeight="1" outlineLevel="1">
      <c r="F410" s="52"/>
      <c r="G410" s="51" t="s">
        <v>204</v>
      </c>
      <c r="H410" s="837"/>
      <c r="I410" s="837"/>
      <c r="J410" s="837"/>
      <c r="K410" s="837">
        <f ca="1">IFERROR((INDIRECT("'"&amp;$H$3&amp;"'!$H$10")*INDIRECT("'"&amp;$H$3&amp;"'!$H$9")*INDIRECT("'"&amp;$H$3&amp;"'!K288"))/((K409/INDIRECT("'"&amp;$H$3&amp;"'!K301"))+((1/60)*(INDIRECT("'"&amp;$H$3&amp;"'!K297")+INDIRECT("'"&amp;$H$3&amp;"'!$H$19")*(INDIRECT("'"&amp;$H$3&amp;"'!K298")+(INDIRECT("'"&amp;$H$3&amp;"'!K299")*('4_Outputs'!K$52/INDIRECT("'"&amp;$H$3&amp;"'!K$261")/INDIRECT("'"&amp;$H$3&amp;"'!$H$19"))))))),0)</f>
        <v>0</v>
      </c>
      <c r="L410" s="837"/>
      <c r="M410" s="837"/>
      <c r="N410" s="837">
        <f ca="1">IFERROR((INDIRECT("'"&amp;$H$3&amp;"'!$H$10")*INDIRECT("'"&amp;$H$3&amp;"'!$H$9")*INDIRECT("'"&amp;$H$3&amp;"'!N288"))/((N409/INDIRECT("'"&amp;$H$3&amp;"'!N301"))+((1/60)*(INDIRECT("'"&amp;$H$3&amp;"'!N297")+INDIRECT("'"&amp;$H$3&amp;"'!$H$19")*(INDIRECT("'"&amp;$H$3&amp;"'!N298")+(INDIRECT("'"&amp;$H$3&amp;"'!N299")*('4_Outputs'!N$52/INDIRECT("'"&amp;$H$3&amp;"'!N$261")/INDIRECT("'"&amp;$H$3&amp;"'!$H$19"))))))),0)</f>
        <v>0</v>
      </c>
      <c r="O410" s="837"/>
      <c r="P410" s="837"/>
      <c r="Q410" s="837">
        <f ca="1">IFERROR((INDIRECT("'"&amp;$H$3&amp;"'!$H$10")*INDIRECT("'"&amp;$H$3&amp;"'!$H$9")*INDIRECT("'"&amp;$H$3&amp;"'!Q288"))/((Q409/INDIRECT("'"&amp;$H$3&amp;"'!Q301"))+((1/60)*(INDIRECT("'"&amp;$H$3&amp;"'!Q297")+INDIRECT("'"&amp;$H$3&amp;"'!$H$19")*(INDIRECT("'"&amp;$H$3&amp;"'!Q298")+(INDIRECT("'"&amp;$H$3&amp;"'!Q299")*('4_Outputs'!Q$52/INDIRECT("'"&amp;$H$3&amp;"'!Q$261")/INDIRECT("'"&amp;$H$3&amp;"'!$H$19"))))))),0)</f>
        <v>0</v>
      </c>
      <c r="R410" s="837"/>
      <c r="S410" s="837"/>
      <c r="T410" s="837">
        <f ca="1">IFERROR((INDIRECT("'"&amp;$H$3&amp;"'!$H$10")*INDIRECT("'"&amp;$H$3&amp;"'!$H$9")*INDIRECT("'"&amp;$H$3&amp;"'!T288"))/((T409/INDIRECT("'"&amp;$H$3&amp;"'!T301"))+((1/60)*(INDIRECT("'"&amp;$H$3&amp;"'!T297")+INDIRECT("'"&amp;$H$3&amp;"'!$H$19")*(INDIRECT("'"&amp;$H$3&amp;"'!T298")+(INDIRECT("'"&amp;$H$3&amp;"'!T299")*('4_Outputs'!T$52/INDIRECT("'"&amp;$H$3&amp;"'!T$261")/INDIRECT("'"&amp;$H$3&amp;"'!$H$19"))))))),0)</f>
        <v>0</v>
      </c>
      <c r="U410" s="837"/>
      <c r="V410" s="837"/>
      <c r="W410" s="837">
        <f ca="1">IFERROR((INDIRECT("'"&amp;$H$3&amp;"'!$H$10")*INDIRECT("'"&amp;$H$3&amp;"'!$H$9")*INDIRECT("'"&amp;$H$3&amp;"'!W288"))/((W409/INDIRECT("'"&amp;$H$3&amp;"'!W301"))+((1/60)*(INDIRECT("'"&amp;$H$3&amp;"'!W297")+INDIRECT("'"&amp;$H$3&amp;"'!$H$19")*(INDIRECT("'"&amp;$H$3&amp;"'!W298")+(INDIRECT("'"&amp;$H$3&amp;"'!W299")*('4_Outputs'!W$52/INDIRECT("'"&amp;$H$3&amp;"'!W$261")/INDIRECT("'"&amp;$H$3&amp;"'!$H$19"))))))),0)</f>
        <v>0</v>
      </c>
      <c r="X410" s="1468"/>
      <c r="Y410" s="36"/>
      <c r="Z410" s="36"/>
      <c r="AA410" s="36"/>
      <c r="AB410" s="36" t="s">
        <v>196</v>
      </c>
      <c r="AC410" s="36"/>
      <c r="AD410" s="36" t="s">
        <v>197</v>
      </c>
      <c r="AE410" s="36"/>
      <c r="AF410" s="36"/>
      <c r="AG410" s="36"/>
      <c r="AH410" s="36"/>
      <c r="AI410" s="36"/>
      <c r="AJ410" s="36"/>
      <c r="AK410" s="36"/>
      <c r="AL410" s="36"/>
      <c r="AM410" s="36"/>
      <c r="AN410" s="36"/>
    </row>
    <row r="411" spans="6:40" ht="48" customHeight="1">
      <c r="F411" s="1678" t="s">
        <v>214</v>
      </c>
      <c r="G411" s="1679"/>
      <c r="H411" s="1684"/>
      <c r="I411" s="1684"/>
      <c r="J411" s="1684"/>
      <c r="K411" s="1509" t="str">
        <f ca="1">IF($H$9&gt;=2,INDIRECT("'"&amp;$H$3&amp;"'!J$130"),"")</f>
        <v>CMS  to  Regional WH</v>
      </c>
      <c r="L411" s="1509" t="str">
        <f t="shared" ref="L411:V411" ca="1" si="23">IF($H$9&gt;=1,"Tier 1","")</f>
        <v>Tier 1</v>
      </c>
      <c r="M411" s="1509" t="str">
        <f t="shared" ca="1" si="23"/>
        <v>Tier 1</v>
      </c>
      <c r="N411" s="1509" t="str">
        <f ca="1">IF($H$9&gt;=3,INDIRECT("'"&amp;$H$3&amp;"'!M$130"),"")</f>
        <v>Regional WH  to  Health Facility</v>
      </c>
      <c r="O411" s="1509" t="str">
        <f t="shared" ca="1" si="23"/>
        <v>Tier 1</v>
      </c>
      <c r="P411" s="1509" t="str">
        <f t="shared" ca="1" si="23"/>
        <v>Tier 1</v>
      </c>
      <c r="Q411" s="1510" t="str">
        <f ca="1">IF($H$9&gt;=4,INDIRECT("'"&amp;$H$3&amp;"'!P$130"),"")</f>
        <v/>
      </c>
      <c r="R411" s="1511" t="str">
        <f t="shared" ca="1" si="23"/>
        <v>Tier 1</v>
      </c>
      <c r="S411" s="1511" t="str">
        <f t="shared" ca="1" si="23"/>
        <v>Tier 1</v>
      </c>
      <c r="T411" s="1510" t="str">
        <f ca="1">IF($H$9&gt;=5,INDIRECT("'"&amp;$H$3&amp;"'!S$130"),"")</f>
        <v/>
      </c>
      <c r="U411" s="1512" t="str">
        <f t="shared" ca="1" si="23"/>
        <v>Tier 1</v>
      </c>
      <c r="V411" s="1512" t="str">
        <f t="shared" ca="1" si="23"/>
        <v>Tier 1</v>
      </c>
      <c r="W411" s="1510" t="str">
        <f ca="1">IF($H$9&gt;=6,INDIRECT("'"&amp;$H$3&amp;"'!V$130"),"")</f>
        <v/>
      </c>
      <c r="X411" s="1474"/>
      <c r="Y411" s="36"/>
      <c r="Z411" s="36"/>
      <c r="AA411" s="36"/>
      <c r="AB411" s="36"/>
      <c r="AC411" s="36"/>
      <c r="AD411" s="36"/>
      <c r="AE411" s="36"/>
      <c r="AF411" s="36"/>
      <c r="AG411" s="36"/>
      <c r="AH411" s="36"/>
      <c r="AI411" s="36"/>
      <c r="AJ411" s="36"/>
      <c r="AK411" s="36"/>
      <c r="AL411" s="36"/>
      <c r="AM411" s="36"/>
      <c r="AN411" s="36"/>
    </row>
    <row r="412" spans="6:40" ht="15" customHeight="1" outlineLevel="1">
      <c r="F412" s="77" t="s">
        <v>149</v>
      </c>
      <c r="G412" s="77"/>
      <c r="H412" s="877"/>
      <c r="I412" s="877"/>
      <c r="J412" s="877"/>
      <c r="K412" s="877"/>
      <c r="L412" s="877"/>
      <c r="M412" s="877"/>
      <c r="N412" s="877"/>
      <c r="O412" s="878"/>
      <c r="P412" s="878"/>
      <c r="Q412" s="879"/>
      <c r="R412" s="835"/>
      <c r="S412" s="835"/>
      <c r="T412" s="879"/>
      <c r="U412" s="835"/>
      <c r="V412" s="835"/>
      <c r="W412" s="879"/>
      <c r="X412" s="1479"/>
      <c r="Y412" s="36"/>
      <c r="Z412" s="36"/>
      <c r="AA412" s="36"/>
      <c r="AB412" s="36"/>
      <c r="AC412" s="36"/>
      <c r="AD412" s="36"/>
      <c r="AE412" s="36"/>
      <c r="AF412" s="36"/>
      <c r="AG412" s="36"/>
      <c r="AH412" s="36"/>
      <c r="AI412" s="36"/>
      <c r="AJ412" s="36"/>
      <c r="AK412" s="242"/>
      <c r="AL412" s="36"/>
      <c r="AM412" s="36"/>
      <c r="AN412" s="36"/>
    </row>
    <row r="413" spans="6:40" ht="15" customHeight="1" outlineLevel="1">
      <c r="G413" s="6" t="s">
        <v>146</v>
      </c>
      <c r="H413" s="837"/>
      <c r="I413" s="837"/>
      <c r="J413" s="837"/>
      <c r="K413" s="837">
        <f ca="1">IFERROR(IF(COUNTIF(INDIRECT("'"&amp;$H$3&amp;"'!K304"),"Public Transport*")=1,IF(INDIRECT("'"&amp;$H$3&amp;"'!K312")="Route-based",K420*INDIRECT("'"&amp;$H$3&amp;"'!K$261"),IF(INDIRECT("'"&amp;$H$3&amp;"'!K312")="Point-to-point",K423*INDIRECT("'"&amp;$H$3&amp;"'!K$261"),0)),0),0)</f>
        <v>0</v>
      </c>
      <c r="L413" s="837"/>
      <c r="M413" s="837"/>
      <c r="N413" s="837">
        <f ca="1">IFERROR(IF(COUNTIF(INDIRECT("'"&amp;$H$3&amp;"'!N304"),"Public Transport*")=1,IF(INDIRECT("'"&amp;$H$3&amp;"'!N312")="Route-based",N420*INDIRECT("'"&amp;$H$3&amp;"'!N$261"),IF(INDIRECT("'"&amp;$H$3&amp;"'!N312")="Point-to-point",N423*INDIRECT("'"&amp;$H$3&amp;"'!N$261"),0)),0),0)</f>
        <v>0</v>
      </c>
      <c r="O413" s="837"/>
      <c r="P413" s="837"/>
      <c r="Q413" s="837">
        <f ca="1">IFERROR(IF(COUNTIF(INDIRECT("'"&amp;$H$3&amp;"'!Q304"),"Public Transport*")=1,IF(INDIRECT("'"&amp;$H$3&amp;"'!Q312")="Route-based",Q420*INDIRECT("'"&amp;$H$3&amp;"'!Q$261"),IF(INDIRECT("'"&amp;$H$3&amp;"'!Q312")="Point-to-point",Q423*INDIRECT("'"&amp;$H$3&amp;"'!Q$261"),0)),0),0)</f>
        <v>0</v>
      </c>
      <c r="R413" s="837"/>
      <c r="S413" s="837"/>
      <c r="T413" s="837">
        <f ca="1">IFERROR(IF(COUNTIF(INDIRECT("'"&amp;$H$3&amp;"'!T304"),"Public Transport*")=1,IF(INDIRECT("'"&amp;$H$3&amp;"'!T312")="Route-based",T420*INDIRECT("'"&amp;$H$3&amp;"'!T$261"),IF(INDIRECT("'"&amp;$H$3&amp;"'!T312")="Point-to-point",T423*INDIRECT("'"&amp;$H$3&amp;"'!T$261"),0)),0),0)</f>
        <v>0</v>
      </c>
      <c r="U413" s="837"/>
      <c r="V413" s="837"/>
      <c r="W413" s="837">
        <f ca="1">IFERROR(IF(COUNTIF(INDIRECT("'"&amp;$H$3&amp;"'!W304"),"Public Transport*")=1,IF(INDIRECT("'"&amp;$H$3&amp;"'!W312")="Route-based",W420*INDIRECT("'"&amp;$H$3&amp;"'!W$261"),IF(INDIRECT("'"&amp;$H$3&amp;"'!W312")="Point-to-point",W423*INDIRECT("'"&amp;$H$3&amp;"'!W$261"),0)),0),0)</f>
        <v>0</v>
      </c>
      <c r="X413" s="1468"/>
      <c r="Y413" s="36"/>
      <c r="Z413" s="36"/>
      <c r="AA413" s="36"/>
      <c r="AB413" s="36"/>
      <c r="AC413" s="36"/>
      <c r="AD413" s="36"/>
      <c r="AE413" s="36"/>
      <c r="AF413" s="36"/>
      <c r="AG413" s="36"/>
      <c r="AH413" s="36"/>
      <c r="AI413" s="36"/>
      <c r="AJ413" s="36"/>
      <c r="AK413" s="242"/>
      <c r="AL413" s="36"/>
      <c r="AM413" s="36"/>
      <c r="AN413" s="36"/>
    </row>
    <row r="414" spans="6:40" ht="15" customHeight="1" outlineLevel="1">
      <c r="G414" s="6" t="s">
        <v>147</v>
      </c>
      <c r="H414" s="837"/>
      <c r="I414" s="837"/>
      <c r="J414" s="837"/>
      <c r="K414" s="837">
        <f ca="1">IFERROR(IF(INDIRECT("'"&amp;$H$3&amp;"'!K312")="Route-based",K421*INDIRECT("'"&amp;$H$3&amp;"'!K$261"),IF(INDIRECT("'"&amp;$H$3&amp;"'!K312")="Point-to-point",K424*INDIRECT("'"&amp;$H$3&amp;"'!K$261"),0)),0)</f>
        <v>0</v>
      </c>
      <c r="L414" s="837"/>
      <c r="M414" s="837"/>
      <c r="N414" s="837">
        <f ca="1">IFERROR(IF(INDIRECT("'"&amp;$H$3&amp;"'!N312")="Route-based",N421*INDIRECT("'"&amp;$H$3&amp;"'!N$261"),IF(INDIRECT("'"&amp;$H$3&amp;"'!N312")="Point-to-point",N424*INDIRECT("'"&amp;$H$3&amp;"'!N$261"),0)),0)</f>
        <v>0</v>
      </c>
      <c r="O414" s="837"/>
      <c r="P414" s="837"/>
      <c r="Q414" s="837">
        <f ca="1">IFERROR(IF(INDIRECT("'"&amp;$H$3&amp;"'!Q312")="Route-based",Q421*INDIRECT("'"&amp;$H$3&amp;"'!Q$261"),IF(INDIRECT("'"&amp;$H$3&amp;"'!Q312")="Point-to-point",Q424*INDIRECT("'"&amp;$H$3&amp;"'!Q$261"),0)),0)</f>
        <v>0</v>
      </c>
      <c r="R414" s="837"/>
      <c r="S414" s="837"/>
      <c r="T414" s="837">
        <f ca="1">IFERROR(IF(INDIRECT("'"&amp;$H$3&amp;"'!T312")="Route-based",T421*INDIRECT("'"&amp;$H$3&amp;"'!T$261"),IF(INDIRECT("'"&amp;$H$3&amp;"'!T312")="Point-to-point",T424*INDIRECT("'"&amp;$H$3&amp;"'!T$261"),0)),0)</f>
        <v>0</v>
      </c>
      <c r="U414" s="837"/>
      <c r="V414" s="837"/>
      <c r="W414" s="837">
        <f ca="1">IFERROR(IF(INDIRECT("'"&amp;$H$3&amp;"'!W312")="Route-based",W421*INDIRECT("'"&amp;$H$3&amp;"'!W$261"),IF(INDIRECT("'"&amp;$H$3&amp;"'!W312")="Point-to-point",W424*INDIRECT("'"&amp;$H$3&amp;"'!W$261"),0)),0)</f>
        <v>0</v>
      </c>
      <c r="X414" s="1468"/>
      <c r="Y414" s="36"/>
      <c r="Z414" s="36"/>
      <c r="AA414" s="36"/>
      <c r="AB414" s="36"/>
      <c r="AC414" s="36"/>
      <c r="AD414" s="36"/>
      <c r="AE414" s="36"/>
      <c r="AF414" s="36"/>
      <c r="AG414" s="36"/>
      <c r="AH414" s="36"/>
      <c r="AI414" s="36"/>
      <c r="AJ414" s="36"/>
      <c r="AK414" s="242"/>
      <c r="AL414" s="36"/>
      <c r="AM414" s="36"/>
      <c r="AN414" s="36"/>
    </row>
    <row r="415" spans="6:40" ht="15" customHeight="1" outlineLevel="1">
      <c r="G415" s="6" t="s">
        <v>142</v>
      </c>
      <c r="H415" s="841"/>
      <c r="I415" s="841"/>
      <c r="J415" s="841"/>
      <c r="K415" s="841">
        <f ca="1">IFERROR(IF(COUNTIF(INDIRECT("'"&amp;$H$3&amp;"'!K304"),"Public Transport*")&gt;0,ROUND(INDIRECT("'"&amp;$H$3&amp;"'!K$95")*INDIRECT("'"&amp;$H$3&amp;"'!K303"),0),0),0)</f>
        <v>0</v>
      </c>
      <c r="L415" s="841"/>
      <c r="M415" s="841"/>
      <c r="N415" s="841">
        <f ca="1">IFERROR(IF(COUNTIF(INDIRECT("'"&amp;$H$3&amp;"'!N304"),"Public Transport*")&gt;0,ROUND(INDIRECT("'"&amp;$H$3&amp;"'!N$95")*INDIRECT("'"&amp;$H$3&amp;"'!N303"),0),0),0)</f>
        <v>0</v>
      </c>
      <c r="O415" s="841"/>
      <c r="P415" s="841"/>
      <c r="Q415" s="841">
        <f ca="1">IFERROR(IF(COUNTIF(INDIRECT("'"&amp;$H$3&amp;"'!Q304"),"Public Transport*")&gt;0,ROUND(INDIRECT("'"&amp;$H$3&amp;"'!Q$95")*INDIRECT("'"&amp;$H$3&amp;"'!Q303"),0),0),0)</f>
        <v>0</v>
      </c>
      <c r="R415" s="841"/>
      <c r="S415" s="841"/>
      <c r="T415" s="841">
        <f ca="1">IFERROR(IF(COUNTIF(INDIRECT("'"&amp;$H$3&amp;"'!T304"),"Public Transport*")&gt;0,ROUND(INDIRECT("'"&amp;$H$3&amp;"'!T$95")*INDIRECT("'"&amp;$H$3&amp;"'!T303"),0),0),0)</f>
        <v>0</v>
      </c>
      <c r="U415" s="841"/>
      <c r="V415" s="841"/>
      <c r="W415" s="841">
        <f ca="1">IFERROR(IF(COUNTIF(INDIRECT("'"&amp;$H$3&amp;"'!W304"),"Public Transport*")&gt;0,ROUND(INDIRECT("'"&amp;$H$3&amp;"'!W$95")*INDIRECT("'"&amp;$H$3&amp;"'!W303"),0),0),0)</f>
        <v>0</v>
      </c>
      <c r="X415" s="1466"/>
      <c r="Y415" s="36"/>
      <c r="Z415" s="36"/>
      <c r="AA415" s="36"/>
      <c r="AB415" s="36"/>
      <c r="AC415" s="36"/>
      <c r="AD415" s="36"/>
      <c r="AE415" s="36"/>
      <c r="AF415" s="36"/>
      <c r="AG415" s="36"/>
      <c r="AH415" s="36"/>
      <c r="AI415" s="36"/>
      <c r="AJ415" s="36"/>
      <c r="AK415" s="36"/>
      <c r="AL415" s="36"/>
      <c r="AM415" s="36"/>
      <c r="AN415" s="36"/>
    </row>
    <row r="416" spans="6:40" ht="15" customHeight="1" outlineLevel="1">
      <c r="G416" s="241" t="s">
        <v>150</v>
      </c>
      <c r="H416" s="842"/>
      <c r="I416" s="842"/>
      <c r="J416" s="842"/>
      <c r="K416" s="842"/>
      <c r="L416" s="842"/>
      <c r="M416" s="842"/>
      <c r="N416" s="842"/>
      <c r="O416" s="842"/>
      <c r="P416" s="842"/>
      <c r="Q416" s="842"/>
      <c r="R416" s="853"/>
      <c r="S416" s="853"/>
      <c r="T416" s="842"/>
      <c r="U416" s="853"/>
      <c r="V416" s="853"/>
      <c r="W416" s="842"/>
      <c r="X416" s="1470"/>
      <c r="Y416" s="36"/>
      <c r="Z416" s="36"/>
      <c r="AA416" s="36"/>
      <c r="AB416" s="36"/>
      <c r="AC416" s="36"/>
      <c r="AD416" s="36"/>
      <c r="AE416" s="36"/>
      <c r="AF416" s="36"/>
      <c r="AG416" s="36"/>
      <c r="AH416" s="36"/>
      <c r="AI416" s="36"/>
      <c r="AJ416" s="36"/>
      <c r="AK416" s="36"/>
      <c r="AL416" s="36"/>
      <c r="AM416" s="36"/>
      <c r="AN416" s="36"/>
    </row>
    <row r="417" spans="6:40" ht="15" customHeight="1" outlineLevel="1">
      <c r="G417" s="6" t="s">
        <v>140</v>
      </c>
      <c r="H417" s="836"/>
      <c r="I417" s="836"/>
      <c r="J417" s="836"/>
      <c r="K417" s="836">
        <f ca="1">IFERROR(ROUND(INDIRECT("'"&amp;$H$3&amp;"'!$H$10")/(((1/60)*(INDIRECT("'"&amp;$H$3&amp;"'!K317")+INDIRECT("'"&amp;$H$3&amp;"'!$H$19")*(INDIRECT("'"&amp;$H$3&amp;"'!K318")+(INDIRECT("'"&amp;$H$3&amp;"'!K319")*('4_Outputs'!K$52/INDIRECT("'"&amp;$H$3&amp;"'!K$261")/INDIRECT("'"&amp;$H$3&amp;"'!$H$19"))))))+INDEX(INDIRECT("'"&amp;$H$3&amp;"'!$H$43:$H$78"),MATCH(INDIRECT("'"&amp;$H$3&amp;"'!K304")&amp;"Average duration (hrs) per trip",INDIRECT("'"&amp;$H$3&amp;"'!$F$43:$F$78"),0))),1),0)</f>
        <v>0</v>
      </c>
      <c r="L417" s="836"/>
      <c r="M417" s="836"/>
      <c r="N417" s="836">
        <f ca="1">IFERROR(ROUND(INDIRECT("'"&amp;$H$3&amp;"'!$H$10")/(((1/60)*(INDIRECT("'"&amp;$H$3&amp;"'!N317")+INDIRECT("'"&amp;$H$3&amp;"'!$H$19")*(INDIRECT("'"&amp;$H$3&amp;"'!N318")+(INDIRECT("'"&amp;$H$3&amp;"'!N319")*('4_Outputs'!N$52/INDIRECT("'"&amp;$H$3&amp;"'!N$261")/INDIRECT("'"&amp;$H$3&amp;"'!$H$19"))))))+INDEX(INDIRECT("'"&amp;$H$3&amp;"'!$H$43:$H$78"),MATCH(INDIRECT("'"&amp;$H$3&amp;"'!N304")&amp;"Average duration (hrs) per trip",INDIRECT("'"&amp;$H$3&amp;"'!$F$43:$F$78"),0))),1),0)</f>
        <v>0</v>
      </c>
      <c r="O417" s="836"/>
      <c r="P417" s="836"/>
      <c r="Q417" s="836">
        <f ca="1">IFERROR(ROUND(INDIRECT("'"&amp;$H$3&amp;"'!$H$10")/(((1/60)*(INDIRECT("'"&amp;$H$3&amp;"'!Q317")+INDIRECT("'"&amp;$H$3&amp;"'!$H$19")*(INDIRECT("'"&amp;$H$3&amp;"'!Q318")+(INDIRECT("'"&amp;$H$3&amp;"'!Q319")*('4_Outputs'!Q$52/INDIRECT("'"&amp;$H$3&amp;"'!Q$261")/INDIRECT("'"&amp;$H$3&amp;"'!$H$19"))))))+INDEX(INDIRECT("'"&amp;$H$3&amp;"'!$H$43:$H$78"),MATCH(INDIRECT("'"&amp;$H$3&amp;"'!Q304")&amp;"Average duration (hrs) per trip",INDIRECT("'"&amp;$H$3&amp;"'!$F$43:$F$78"),0))),1),0)</f>
        <v>0</v>
      </c>
      <c r="R417" s="836"/>
      <c r="S417" s="836"/>
      <c r="T417" s="836">
        <f ca="1">IFERROR(ROUND(INDIRECT("'"&amp;$H$3&amp;"'!$H$10")/(((1/60)*(INDIRECT("'"&amp;$H$3&amp;"'!T317")+INDIRECT("'"&amp;$H$3&amp;"'!$H$19")*(INDIRECT("'"&amp;$H$3&amp;"'!T318")+(INDIRECT("'"&amp;$H$3&amp;"'!T319")*('4_Outputs'!T$52/INDIRECT("'"&amp;$H$3&amp;"'!T$261")/INDIRECT("'"&amp;$H$3&amp;"'!$H$19"))))))+INDEX(INDIRECT("'"&amp;$H$3&amp;"'!$H$43:$H$78"),MATCH(INDIRECT("'"&amp;$H$3&amp;"'!T304")&amp;"Average duration (hrs) per trip",INDIRECT("'"&amp;$H$3&amp;"'!$F$43:$F$78"),0))),1),0)</f>
        <v>0</v>
      </c>
      <c r="U417" s="836"/>
      <c r="V417" s="836"/>
      <c r="W417" s="836">
        <f ca="1">IFERROR(ROUND(INDIRECT("'"&amp;$H$3&amp;"'!$H$10")/(((1/60)*(INDIRECT("'"&amp;$H$3&amp;"'!W317")+INDIRECT("'"&amp;$H$3&amp;"'!$H$19")*(INDIRECT("'"&amp;$H$3&amp;"'!W318")+(INDIRECT("'"&amp;$H$3&amp;"'!W319")*('4_Outputs'!W$52/INDIRECT("'"&amp;$H$3&amp;"'!W$261")/INDIRECT("'"&amp;$H$3&amp;"'!$H$19"))))))+INDEX(INDIRECT("'"&amp;$H$3&amp;"'!$H$43:$H$78"),MATCH(INDIRECT("'"&amp;$H$3&amp;"'!W304")&amp;"Average duration (hrs) per trip",INDIRECT("'"&amp;$H$3&amp;"'!$F$43:$F$78"),0))),1),0)</f>
        <v>0</v>
      </c>
      <c r="X417" s="1469"/>
      <c r="Y417" s="36"/>
      <c r="Z417" s="36"/>
      <c r="AA417" s="36"/>
      <c r="AB417" s="36"/>
      <c r="AC417" s="36"/>
      <c r="AD417" s="36"/>
      <c r="AE417" s="36"/>
      <c r="AF417" s="36"/>
      <c r="AG417" s="36"/>
      <c r="AH417" s="36"/>
      <c r="AI417" s="36"/>
      <c r="AJ417" s="36"/>
      <c r="AK417" s="36"/>
      <c r="AL417" s="36"/>
      <c r="AM417" s="36"/>
      <c r="AN417" s="36"/>
    </row>
    <row r="418" spans="6:40" ht="15" customHeight="1" outlineLevel="1">
      <c r="G418" s="6" t="s">
        <v>141</v>
      </c>
      <c r="H418" s="836"/>
      <c r="I418" s="836"/>
      <c r="J418" s="836"/>
      <c r="K418" s="836">
        <f ca="1">IFERROR(ROUND(K417*INDIRECT("'"&amp;$H$3&amp;"'!K313"),0),0)</f>
        <v>0</v>
      </c>
      <c r="L418" s="836"/>
      <c r="M418" s="836"/>
      <c r="N418" s="836">
        <f ca="1">IFERROR(ROUND(N417*INDIRECT("'"&amp;$H$3&amp;"'!N313"),0),0)</f>
        <v>0</v>
      </c>
      <c r="O418" s="836"/>
      <c r="P418" s="836"/>
      <c r="Q418" s="836">
        <f ca="1">IFERROR(ROUND(Q417*INDIRECT("'"&amp;$H$3&amp;"'!Q313"),0),0)</f>
        <v>0</v>
      </c>
      <c r="R418" s="836"/>
      <c r="S418" s="836"/>
      <c r="T418" s="836">
        <f ca="1">IFERROR(ROUND(T417*INDIRECT("'"&amp;$H$3&amp;"'!T313"),0),0)</f>
        <v>0</v>
      </c>
      <c r="U418" s="836"/>
      <c r="V418" s="836"/>
      <c r="W418" s="836">
        <f ca="1">IFERROR(ROUND(W417*INDIRECT("'"&amp;$H$3&amp;"'!W313"),0),0)</f>
        <v>0</v>
      </c>
      <c r="X418" s="1469"/>
      <c r="Y418" s="36"/>
      <c r="Z418" s="36"/>
      <c r="AA418" s="36"/>
      <c r="AB418" s="36"/>
      <c r="AC418" s="36"/>
      <c r="AD418" s="36"/>
      <c r="AE418" s="36"/>
      <c r="AF418" s="36"/>
      <c r="AG418" s="36"/>
      <c r="AH418" s="36"/>
      <c r="AI418" s="36"/>
      <c r="AJ418" s="36"/>
      <c r="AK418" s="36"/>
      <c r="AL418" s="36"/>
      <c r="AM418" s="36"/>
      <c r="AN418" s="36"/>
    </row>
    <row r="419" spans="6:40" ht="15" customHeight="1" outlineLevel="1">
      <c r="G419" s="6" t="s">
        <v>143</v>
      </c>
      <c r="H419" s="836"/>
      <c r="I419" s="836"/>
      <c r="J419" s="836"/>
      <c r="K419" s="836">
        <f ca="1">IFERROR(ROUNDUP(K415/K418,0),0)</f>
        <v>0</v>
      </c>
      <c r="L419" s="836"/>
      <c r="M419" s="836"/>
      <c r="N419" s="836">
        <f ca="1">IFERROR(ROUNDUP(N415/N418,0),0)</f>
        <v>0</v>
      </c>
      <c r="O419" s="836"/>
      <c r="P419" s="836"/>
      <c r="Q419" s="836">
        <f ca="1">IFERROR(ROUNDUP(Q415/Q418,0),0)</f>
        <v>0</v>
      </c>
      <c r="R419" s="836"/>
      <c r="S419" s="836"/>
      <c r="T419" s="836">
        <f ca="1">IFERROR(ROUNDUP(T415/T418,0),0)</f>
        <v>0</v>
      </c>
      <c r="U419" s="836"/>
      <c r="V419" s="836"/>
      <c r="W419" s="836">
        <f ca="1">IFERROR(ROUNDUP(W415/W418,0),0)</f>
        <v>0</v>
      </c>
      <c r="X419" s="1469"/>
      <c r="Y419" s="36"/>
      <c r="Z419" s="36"/>
      <c r="AA419" s="36"/>
      <c r="AB419" s="36"/>
      <c r="AC419" s="36"/>
      <c r="AD419" s="36"/>
      <c r="AE419" s="36"/>
      <c r="AF419" s="36"/>
      <c r="AG419" s="36"/>
      <c r="AH419" s="36"/>
      <c r="AI419" s="36"/>
      <c r="AJ419" s="36"/>
      <c r="AK419" s="36"/>
      <c r="AL419" s="36"/>
      <c r="AM419" s="36"/>
      <c r="AN419" s="36"/>
    </row>
    <row r="420" spans="6:40" ht="15" customHeight="1" outlineLevel="1">
      <c r="G420" s="6" t="s">
        <v>144</v>
      </c>
      <c r="H420" s="836"/>
      <c r="I420" s="836"/>
      <c r="J420" s="836"/>
      <c r="K420" s="836">
        <f ca="1">IFERROR((K419*(K418+1)),0)</f>
        <v>0</v>
      </c>
      <c r="L420" s="836"/>
      <c r="M420" s="836"/>
      <c r="N420" s="836">
        <f ca="1">IFERROR((N419*(N418+1)),0)</f>
        <v>0</v>
      </c>
      <c r="O420" s="836"/>
      <c r="P420" s="836"/>
      <c r="Q420" s="836">
        <f ca="1">IFERROR((Q419*(Q418+1)),0)</f>
        <v>0</v>
      </c>
      <c r="R420" s="836"/>
      <c r="S420" s="836"/>
      <c r="T420" s="836">
        <f ca="1">IFERROR((T419*(T418+1)),0)</f>
        <v>0</v>
      </c>
      <c r="U420" s="836"/>
      <c r="V420" s="836"/>
      <c r="W420" s="836">
        <f ca="1">IFERROR((W419*(W418+1)),0)</f>
        <v>0</v>
      </c>
      <c r="X420" s="1469"/>
      <c r="Y420" s="36"/>
      <c r="Z420" s="36"/>
      <c r="AA420" s="36"/>
      <c r="AB420" s="36"/>
      <c r="AC420" s="36"/>
      <c r="AD420" s="36"/>
      <c r="AE420" s="36"/>
      <c r="AF420" s="36"/>
      <c r="AG420" s="36"/>
      <c r="AH420" s="36"/>
      <c r="AI420" s="36"/>
      <c r="AJ420" s="36"/>
      <c r="AK420" s="242"/>
      <c r="AL420" s="36"/>
      <c r="AM420" s="36"/>
      <c r="AN420" s="36"/>
    </row>
    <row r="421" spans="6:40" ht="15" customHeight="1" outlineLevel="1">
      <c r="G421" s="6" t="s">
        <v>145</v>
      </c>
      <c r="H421" s="836"/>
      <c r="I421" s="836"/>
      <c r="J421" s="836"/>
      <c r="K421" s="836">
        <f ca="1">IFERROR(ROUNDUP(((K420*INDEX(INDIRECT("'"&amp;$H$3&amp;"'!$H$43:$H$78"),MATCH(INDIRECT("'"&amp;$H$3&amp;"'!K304")&amp;"Average duration (hrs) per trip",INDIRECT("'"&amp;$H$3&amp;"'!$F$43:$F$78"),0)))+(K415*((1/60)*(INDIRECT("'"&amp;$H$3&amp;"'!K317")+INDIRECT("'"&amp;$H$3&amp;"'!$H$19")*(INDIRECT("'"&amp;$H$3&amp;"'!K318")+(INDIRECT("'"&amp;$H$3&amp;"'!K319")*('4_Outputs'!K$52/INDIRECT("'"&amp;$H$3&amp;"'!K$261")/INDIRECT("'"&amp;$H$3&amp;"'!$H$19"))))))))/INDIRECT("'"&amp;$H$3&amp;"'!$H$10"),0),0)</f>
        <v>0</v>
      </c>
      <c r="L421" s="836"/>
      <c r="M421" s="836"/>
      <c r="N421" s="836">
        <f ca="1">IFERROR(ROUNDUP(((N420*INDEX(INDIRECT("'"&amp;$H$3&amp;"'!$H$43:$H$78"),MATCH(INDIRECT("'"&amp;$H$3&amp;"'!N304")&amp;"Average duration (hrs) per trip",INDIRECT("'"&amp;$H$3&amp;"'!$F$43:$F$78"),0)))+(N415*((1/60)*(INDIRECT("'"&amp;$H$3&amp;"'!N317")+INDIRECT("'"&amp;$H$3&amp;"'!$H$19")*(INDIRECT("'"&amp;$H$3&amp;"'!N318")+(INDIRECT("'"&amp;$H$3&amp;"'!N319")*('4_Outputs'!N$52/INDIRECT("'"&amp;$H$3&amp;"'!N$261")/INDIRECT("'"&amp;$H$3&amp;"'!$H$19"))))))))/INDIRECT("'"&amp;$H$3&amp;"'!$H$10"),0),0)</f>
        <v>0</v>
      </c>
      <c r="O421" s="836"/>
      <c r="P421" s="836"/>
      <c r="Q421" s="836">
        <f ca="1">IFERROR(ROUNDUP(((Q420*INDEX(INDIRECT("'"&amp;$H$3&amp;"'!$H$43:$H$78"),MATCH(INDIRECT("'"&amp;$H$3&amp;"'!Q304")&amp;"Average duration (hrs) per trip",INDIRECT("'"&amp;$H$3&amp;"'!$F$43:$F$78"),0)))+(Q415*((1/60)*(INDIRECT("'"&amp;$H$3&amp;"'!Q317")+INDIRECT("'"&amp;$H$3&amp;"'!$H$19")*(INDIRECT("'"&amp;$H$3&amp;"'!Q318")+(INDIRECT("'"&amp;$H$3&amp;"'!Q319")*('4_Outputs'!Q$52/INDIRECT("'"&amp;$H$3&amp;"'!Q$261")/INDIRECT("'"&amp;$H$3&amp;"'!$H$19"))))))))/INDIRECT("'"&amp;$H$3&amp;"'!$H$10"),0),0)</f>
        <v>0</v>
      </c>
      <c r="R421" s="836"/>
      <c r="S421" s="836"/>
      <c r="T421" s="836">
        <f ca="1">IFERROR(ROUNDUP(((T420*INDEX(INDIRECT("'"&amp;$H$3&amp;"'!$H$43:$H$78"),MATCH(INDIRECT("'"&amp;$H$3&amp;"'!T304")&amp;"Average duration (hrs) per trip",INDIRECT("'"&amp;$H$3&amp;"'!$F$43:$F$78"),0)))+(T415*((1/60)*(INDIRECT("'"&amp;$H$3&amp;"'!T317")+INDIRECT("'"&amp;$H$3&amp;"'!$H$19")*(INDIRECT("'"&amp;$H$3&amp;"'!T318")+(INDIRECT("'"&amp;$H$3&amp;"'!T319")*('4_Outputs'!T$52/INDIRECT("'"&amp;$H$3&amp;"'!T$261")/INDIRECT("'"&amp;$H$3&amp;"'!$H$19"))))))))/INDIRECT("'"&amp;$H$3&amp;"'!$H$10"),0),0)</f>
        <v>0</v>
      </c>
      <c r="U421" s="836"/>
      <c r="V421" s="836"/>
      <c r="W421" s="836">
        <f ca="1">IFERROR(ROUNDUP(((W420*INDEX(INDIRECT("'"&amp;$H$3&amp;"'!$H$43:$H$78"),MATCH(INDIRECT("'"&amp;$H$3&amp;"'!W304")&amp;"Average duration (hrs) per trip",INDIRECT("'"&amp;$H$3&amp;"'!$F$43:$F$78"),0)))+(W415*((1/60)*(INDIRECT("'"&amp;$H$3&amp;"'!W317")+INDIRECT("'"&amp;$H$3&amp;"'!$H$19")*(INDIRECT("'"&amp;$H$3&amp;"'!W318")+(INDIRECT("'"&amp;$H$3&amp;"'!W319")*('4_Outputs'!W$52/INDIRECT("'"&amp;$H$3&amp;"'!W$261")/INDIRECT("'"&amp;$H$3&amp;"'!$H$19"))))))))/INDIRECT("'"&amp;$H$3&amp;"'!$H$10"),0),0)</f>
        <v>0</v>
      </c>
      <c r="X421" s="1469"/>
      <c r="Y421" s="36"/>
      <c r="Z421" s="36"/>
      <c r="AA421" s="36"/>
      <c r="AB421" s="36"/>
      <c r="AC421" s="36"/>
      <c r="AD421" s="36"/>
      <c r="AE421" s="36"/>
      <c r="AF421" s="36"/>
      <c r="AG421" s="36"/>
      <c r="AH421" s="36"/>
      <c r="AI421" s="36"/>
      <c r="AJ421" s="36"/>
      <c r="AK421" s="242"/>
      <c r="AL421" s="36"/>
      <c r="AM421" s="36"/>
      <c r="AN421" s="36"/>
    </row>
    <row r="422" spans="6:40" ht="15" customHeight="1" outlineLevel="1">
      <c r="G422" s="241" t="s">
        <v>841</v>
      </c>
      <c r="H422" s="842"/>
      <c r="I422" s="842"/>
      <c r="J422" s="842"/>
      <c r="K422" s="842"/>
      <c r="L422" s="842"/>
      <c r="M422" s="842"/>
      <c r="N422" s="842"/>
      <c r="O422" s="842"/>
      <c r="P422" s="842"/>
      <c r="Q422" s="842"/>
      <c r="R422" s="853"/>
      <c r="S422" s="853"/>
      <c r="T422" s="842"/>
      <c r="U422" s="853"/>
      <c r="V422" s="853"/>
      <c r="W422" s="842"/>
      <c r="X422" s="1470"/>
      <c r="Y422" s="36"/>
      <c r="Z422" s="36"/>
      <c r="AA422" s="36"/>
      <c r="AB422" s="36"/>
      <c r="AC422" s="36"/>
      <c r="AD422" s="36"/>
      <c r="AE422" s="36"/>
      <c r="AF422" s="36"/>
      <c r="AG422" s="36"/>
      <c r="AH422" s="36"/>
      <c r="AI422" s="36"/>
      <c r="AJ422" s="36"/>
      <c r="AK422" s="242"/>
      <c r="AL422" s="36"/>
      <c r="AM422" s="36"/>
      <c r="AN422" s="36"/>
    </row>
    <row r="423" spans="6:40" ht="15" customHeight="1" outlineLevel="1">
      <c r="G423" s="6" t="s">
        <v>144</v>
      </c>
      <c r="H423" s="836"/>
      <c r="I423" s="836"/>
      <c r="J423" s="836"/>
      <c r="K423" s="836">
        <f ca="1">IFERROR(K415*2,0)</f>
        <v>0</v>
      </c>
      <c r="L423" s="836"/>
      <c r="M423" s="836"/>
      <c r="N423" s="836">
        <f ca="1">IFERROR(N415*2,0)</f>
        <v>0</v>
      </c>
      <c r="O423" s="836"/>
      <c r="P423" s="836"/>
      <c r="Q423" s="836">
        <f ca="1">IFERROR(Q415*2,0)</f>
        <v>0</v>
      </c>
      <c r="R423" s="836"/>
      <c r="S423" s="836"/>
      <c r="T423" s="836">
        <f ca="1">IFERROR(T415*2,0)</f>
        <v>0</v>
      </c>
      <c r="U423" s="836"/>
      <c r="V423" s="836"/>
      <c r="W423" s="836">
        <f ca="1">IFERROR(W415*2,0)</f>
        <v>0</v>
      </c>
      <c r="X423" s="1469"/>
      <c r="Y423" s="36"/>
      <c r="Z423" s="36"/>
      <c r="AA423" s="36"/>
      <c r="AB423" s="36"/>
      <c r="AC423" s="36"/>
      <c r="AD423" s="36"/>
      <c r="AE423" s="36"/>
      <c r="AF423" s="36"/>
      <c r="AG423" s="36"/>
      <c r="AH423" s="36"/>
      <c r="AI423" s="36"/>
      <c r="AJ423" s="36"/>
      <c r="AK423" s="36"/>
      <c r="AL423" s="36"/>
      <c r="AM423" s="36"/>
      <c r="AN423" s="36"/>
    </row>
    <row r="424" spans="6:40" ht="15" customHeight="1" outlineLevel="1">
      <c r="G424" s="6" t="s">
        <v>145</v>
      </c>
      <c r="H424" s="837"/>
      <c r="I424" s="837"/>
      <c r="J424" s="837"/>
      <c r="K424" s="837">
        <f ca="1">IFERROR(MAX(K415,ROUNDUP(((K423*INDEX(INDIRECT("'"&amp;$H$3&amp;"'!$H$43:$H$78"),MATCH(INDIRECT("'"&amp;$H$3&amp;"'!K304")&amp;"Average duration (hrs) per trip",INDIRECT("'"&amp;$H$3&amp;"'!$F$43:$F$78"),0)))+(K415*((1/60)*(INDIRECT("'"&amp;$H$3&amp;"'!K317")+INDIRECT("'"&amp;$H$3&amp;"'!$H$19")*(INDIRECT("'"&amp;$H$3&amp;"'!K318")+(INDIRECT("'"&amp;$H$3&amp;"'!K319")*('4_Outputs'!K$52/INDIRECT("'"&amp;$H$3&amp;"'!K$261")/INDIRECT("'"&amp;$H$3&amp;"'!$H$19"))))))))/INDIRECT("'"&amp;$H$3&amp;"'!$H$10"),0)),0)</f>
        <v>0</v>
      </c>
      <c r="L424" s="837"/>
      <c r="M424" s="837"/>
      <c r="N424" s="837">
        <f ca="1">IFERROR(MAX(N415,ROUNDUP(((N423*INDEX(INDIRECT("'"&amp;$H$3&amp;"'!$H$43:$H$78"),MATCH(INDIRECT("'"&amp;$H$3&amp;"'!N304")&amp;"Average duration (hrs) per trip",INDIRECT("'"&amp;$H$3&amp;"'!$F$43:$F$78"),0)))+(N415*((1/60)*(INDIRECT("'"&amp;$H$3&amp;"'!N317")+INDIRECT("'"&amp;$H$3&amp;"'!$H$19")*(INDIRECT("'"&amp;$H$3&amp;"'!N318")+(INDIRECT("'"&amp;$H$3&amp;"'!N319")*('4_Outputs'!N$52/INDIRECT("'"&amp;$H$3&amp;"'!N$261")/INDIRECT("'"&amp;$H$3&amp;"'!$H$19"))))))))/INDIRECT("'"&amp;$H$3&amp;"'!$H$10"),0)),0)</f>
        <v>0</v>
      </c>
      <c r="O424" s="837"/>
      <c r="P424" s="837"/>
      <c r="Q424" s="837">
        <f ca="1">IFERROR(MAX(Q415,ROUNDUP(((Q423*INDEX(INDIRECT("'"&amp;$H$3&amp;"'!$H$43:$H$78"),MATCH(INDIRECT("'"&amp;$H$3&amp;"'!Q304")&amp;"Average duration (hrs) per trip",INDIRECT("'"&amp;$H$3&amp;"'!$F$43:$F$78"),0)))+(Q415*((1/60)*(INDIRECT("'"&amp;$H$3&amp;"'!Q317")+INDIRECT("'"&amp;$H$3&amp;"'!$H$19")*(INDIRECT("'"&amp;$H$3&amp;"'!Q318")+(INDIRECT("'"&amp;$H$3&amp;"'!Q319")*('4_Outputs'!Q$52/INDIRECT("'"&amp;$H$3&amp;"'!Q$261")/INDIRECT("'"&amp;$H$3&amp;"'!$H$19"))))))))/INDIRECT("'"&amp;$H$3&amp;"'!$H$10"),0)),0)</f>
        <v>0</v>
      </c>
      <c r="R424" s="837"/>
      <c r="S424" s="837"/>
      <c r="T424" s="837">
        <f ca="1">IFERROR(MAX(T415,ROUNDUP(((T423*INDEX(INDIRECT("'"&amp;$H$3&amp;"'!$H$43:$H$78"),MATCH(INDIRECT("'"&amp;$H$3&amp;"'!T304")&amp;"Average duration (hrs) per trip",INDIRECT("'"&amp;$H$3&amp;"'!$F$43:$F$78"),0)))+(T415*((1/60)*(INDIRECT("'"&amp;$H$3&amp;"'!T317")+INDIRECT("'"&amp;$H$3&amp;"'!$H$19")*(INDIRECT("'"&amp;$H$3&amp;"'!T318")+(INDIRECT("'"&amp;$H$3&amp;"'!T319")*('4_Outputs'!T$52/INDIRECT("'"&amp;$H$3&amp;"'!T$261")/INDIRECT("'"&amp;$H$3&amp;"'!$H$19"))))))))/INDIRECT("'"&amp;$H$3&amp;"'!$H$10"),0)),0)</f>
        <v>0</v>
      </c>
      <c r="U424" s="837"/>
      <c r="V424" s="837"/>
      <c r="W424" s="837">
        <f ca="1">IFERROR(MAX(W415,ROUNDUP(((W423*INDEX(INDIRECT("'"&amp;$H$3&amp;"'!$H$43:$H$78"),MATCH(INDIRECT("'"&amp;$H$3&amp;"'!W304")&amp;"Average duration (hrs) per trip",INDIRECT("'"&amp;$H$3&amp;"'!$F$43:$F$78"),0)))+(W415*((1/60)*(INDIRECT("'"&amp;$H$3&amp;"'!W317")+INDIRECT("'"&amp;$H$3&amp;"'!$H$19")*(INDIRECT("'"&amp;$H$3&amp;"'!W318")+(INDIRECT("'"&amp;$H$3&amp;"'!W319")*('4_Outputs'!W$52/INDIRECT("'"&amp;$H$3&amp;"'!W$261")/INDIRECT("'"&amp;$H$3&amp;"'!$H$19"))))))))/INDIRECT("'"&amp;$H$3&amp;"'!$H$10"),0)),0)</f>
        <v>0</v>
      </c>
      <c r="X424" s="1468"/>
      <c r="Y424" s="36"/>
      <c r="Z424" s="36"/>
      <c r="AA424" s="36"/>
      <c r="AB424" s="36"/>
      <c r="AC424" s="36"/>
      <c r="AD424" s="36"/>
      <c r="AE424" s="36"/>
      <c r="AF424" s="36"/>
      <c r="AG424" s="36"/>
      <c r="AH424" s="36"/>
      <c r="AI424" s="36"/>
      <c r="AJ424" s="36"/>
      <c r="AK424" s="36"/>
      <c r="AL424" s="36"/>
      <c r="AM424" s="36"/>
      <c r="AN424" s="36"/>
    </row>
    <row r="425" spans="6:40" ht="15" customHeight="1" outlineLevel="1">
      <c r="F425" s="77" t="s">
        <v>148</v>
      </c>
      <c r="G425" s="845"/>
      <c r="H425" s="851"/>
      <c r="I425" s="851"/>
      <c r="J425" s="851"/>
      <c r="K425" s="851"/>
      <c r="L425" s="851"/>
      <c r="M425" s="851"/>
      <c r="N425" s="851"/>
      <c r="O425" s="851"/>
      <c r="P425" s="851"/>
      <c r="Q425" s="851"/>
      <c r="R425" s="846"/>
      <c r="S425" s="846"/>
      <c r="T425" s="851"/>
      <c r="U425" s="846"/>
      <c r="V425" s="846"/>
      <c r="W425" s="851"/>
      <c r="X425" s="1471"/>
      <c r="Y425" s="36"/>
      <c r="Z425" s="36"/>
      <c r="AA425" s="36"/>
      <c r="AB425" s="36"/>
      <c r="AC425" s="36"/>
      <c r="AD425" s="36"/>
      <c r="AE425" s="36"/>
      <c r="AF425" s="36"/>
      <c r="AG425" s="36"/>
      <c r="AH425" s="36"/>
      <c r="AI425" s="36"/>
      <c r="AJ425" s="36"/>
      <c r="AK425" s="242"/>
      <c r="AL425" s="36"/>
      <c r="AM425" s="36"/>
      <c r="AN425" s="36"/>
    </row>
    <row r="426" spans="6:40" ht="15" customHeight="1" outlineLevel="1">
      <c r="F426" s="1"/>
      <c r="G426" s="6" t="s">
        <v>151</v>
      </c>
      <c r="H426" s="836"/>
      <c r="I426" s="836"/>
      <c r="J426" s="836"/>
      <c r="K426" s="836">
        <f ca="1">IFERROR(IF(COUNTIF(INDIRECT("'"&amp;$H$3&amp;"'!K304"),"Public Transport*")&lt;1,ROUND(INDIRECT("'"&amp;$H$3&amp;"'!K$95")*INDIRECT("'"&amp;$H$3&amp;"'!K303"),0),0),0)</f>
        <v>0</v>
      </c>
      <c r="L426" s="836"/>
      <c r="M426" s="836"/>
      <c r="N426" s="836">
        <f ca="1">IFERROR(IF(COUNTIF(INDIRECT("'"&amp;$H$3&amp;"'!N304"),"Public Transport*")&lt;1,ROUND(INDIRECT("'"&amp;$H$3&amp;"'!N$95")*INDIRECT("'"&amp;$H$3&amp;"'!N303"),0),0),0)</f>
        <v>0</v>
      </c>
      <c r="O426" s="836"/>
      <c r="P426" s="836"/>
      <c r="Q426" s="836">
        <f ca="1">IFERROR(IF(COUNTIF(INDIRECT("'"&amp;$H$3&amp;"'!Q304"),"Public Transport*")&lt;1,ROUND(INDIRECT("'"&amp;$H$3&amp;"'!Q$95")*INDIRECT("'"&amp;$H$3&amp;"'!Q303"),0),0),0)</f>
        <v>0</v>
      </c>
      <c r="R426" s="836"/>
      <c r="S426" s="836"/>
      <c r="T426" s="836">
        <f ca="1">IFERROR(IF(COUNTIF(INDIRECT("'"&amp;$H$3&amp;"'!T304"),"Public Transport*")&lt;1,ROUND(INDIRECT("'"&amp;$H$3&amp;"'!T$95")*INDIRECT("'"&amp;$H$3&amp;"'!T303"),0),0),0)</f>
        <v>0</v>
      </c>
      <c r="U426" s="836"/>
      <c r="V426" s="836"/>
      <c r="W426" s="836">
        <f ca="1">IFERROR(IF(COUNTIF(INDIRECT("'"&amp;$H$3&amp;"'!W304"),"Public Transport*")&lt;1,ROUND(INDIRECT("'"&amp;$H$3&amp;"'!W$95")*INDIRECT("'"&amp;$H$3&amp;"'!W303"),0),0),0)</f>
        <v>0</v>
      </c>
      <c r="X426" s="1469"/>
      <c r="Y426" s="36"/>
      <c r="Z426" s="36"/>
      <c r="AA426" s="36"/>
      <c r="AB426" s="36"/>
      <c r="AC426" s="36"/>
      <c r="AD426" s="36"/>
      <c r="AE426" s="36"/>
      <c r="AF426" s="36"/>
      <c r="AG426" s="36"/>
      <c r="AH426" s="36"/>
      <c r="AI426" s="36"/>
      <c r="AJ426" s="36"/>
      <c r="AK426" s="242"/>
      <c r="AL426" s="36"/>
      <c r="AM426" s="36"/>
      <c r="AN426" s="36"/>
    </row>
    <row r="427" spans="6:40" ht="15" customHeight="1" outlineLevel="1">
      <c r="G427" s="6" t="s">
        <v>85</v>
      </c>
      <c r="H427" s="837"/>
      <c r="I427" s="837"/>
      <c r="J427" s="837"/>
      <c r="K427" s="837">
        <f ca="1">IFERROR(IF(INDIRECT("'"&amp;$H$3&amp;"'!K312")="Route-based",K432*K433,IF(INDIRECT("'"&amp;$H$3&amp;"'!K312")="Point-to-point",K437*K438,0)),0)</f>
        <v>0</v>
      </c>
      <c r="L427" s="837"/>
      <c r="M427" s="837"/>
      <c r="N427" s="837">
        <f ca="1">IFERROR(IF(INDIRECT("'"&amp;$H$3&amp;"'!N312")="Route-based",N432*N433,IF(INDIRECT("'"&amp;$H$3&amp;"'!N312")="Point-to-point",N437*N438,0)),0)</f>
        <v>0</v>
      </c>
      <c r="O427" s="837"/>
      <c r="P427" s="837"/>
      <c r="Q427" s="837">
        <f ca="1">IFERROR(IF(INDIRECT("'"&amp;$H$3&amp;"'!Q312")="Route-based",Q432*Q433,IF(INDIRECT("'"&amp;$H$3&amp;"'!Q312")="Point-to-point",Q437*Q438,0)),0)</f>
        <v>0</v>
      </c>
      <c r="R427" s="837"/>
      <c r="S427" s="837"/>
      <c r="T427" s="837">
        <f ca="1">IFERROR(IF(INDIRECT("'"&amp;$H$3&amp;"'!T312")="Route-based",T432*T433,IF(INDIRECT("'"&amp;$H$3&amp;"'!T312")="Point-to-point",T437*T438,0)),0)</f>
        <v>0</v>
      </c>
      <c r="U427" s="837"/>
      <c r="V427" s="837"/>
      <c r="W427" s="837">
        <f ca="1">IFERROR(IF(INDIRECT("'"&amp;$H$3&amp;"'!W312")="Route-based",W432*W433,IF(INDIRECT("'"&amp;$H$3&amp;"'!W312")="Point-to-point",W437*W438,0)),0)</f>
        <v>0</v>
      </c>
      <c r="X427" s="1468"/>
      <c r="Y427" s="36"/>
      <c r="Z427" s="36"/>
      <c r="AA427" s="36"/>
      <c r="AB427" s="36"/>
      <c r="AC427" s="36"/>
      <c r="AD427" s="36"/>
      <c r="AE427" s="36"/>
      <c r="AF427" s="36"/>
      <c r="AG427" s="36"/>
      <c r="AH427" s="36"/>
      <c r="AI427" s="36"/>
      <c r="AJ427" s="36"/>
      <c r="AK427" s="242"/>
      <c r="AL427" s="36"/>
      <c r="AM427" s="36"/>
      <c r="AN427" s="36"/>
    </row>
    <row r="428" spans="6:40" ht="15" customHeight="1" outlineLevel="1">
      <c r="G428" s="6" t="s">
        <v>59</v>
      </c>
      <c r="H428" s="837"/>
      <c r="I428" s="837"/>
      <c r="J428" s="837"/>
      <c r="K428" s="837">
        <f ca="1">IFERROR(IF(INDIRECT("'"&amp;$H$3&amp;"'!K312")="Route-based",ROUND(K432*K434/INDIRECT("'"&amp;$H$3&amp;"'!$H$10"),0),IF(INDIRECT("'"&amp;$H$3&amp;"'!K312")="Point-to-point",ROUND(((K426*INDIRECT("'"&amp;$H$3&amp;"'!K$261")*((1/60)*(INDIRECT("'"&amp;$H$3&amp;"'!K317")+INDIRECT("'"&amp;$H$3&amp;"'!$H$19")*(INDIRECT("'"&amp;$H$3&amp;"'!K318")+(INDIRECT("'"&amp;$H$3&amp;"'!K319")*('4_Outputs'!K$52/INDIRECT("'"&amp;$H$3&amp;"'!K$261")/INDIRECT("'"&amp;$H$3&amp;"'!$H$19")))))))+(K427/INDIRECT("'"&amp;$H$3&amp;"'!K321")))/INDIRECT("'"&amp;$H$3&amp;"'!$H$10"),0),0)),0)</f>
        <v>0</v>
      </c>
      <c r="L428" s="837"/>
      <c r="M428" s="837"/>
      <c r="N428" s="837">
        <f ca="1">IFERROR(IF(INDIRECT("'"&amp;$H$3&amp;"'!N312")="Route-based",ROUND(N432*N434/INDIRECT("'"&amp;$H$3&amp;"'!$H$10"),0),IF(INDIRECT("'"&amp;$H$3&amp;"'!N312")="Point-to-point",ROUND(((N426*INDIRECT("'"&amp;$H$3&amp;"'!N$261")*((1/60)*(INDIRECT("'"&amp;$H$3&amp;"'!N317")+INDIRECT("'"&amp;$H$3&amp;"'!$H$19")*(INDIRECT("'"&amp;$H$3&amp;"'!N318")+(INDIRECT("'"&amp;$H$3&amp;"'!N319")*('4_Outputs'!N$52/INDIRECT("'"&amp;$H$3&amp;"'!N$261")/INDIRECT("'"&amp;$H$3&amp;"'!$H$19")))))))+(N427/INDIRECT("'"&amp;$H$3&amp;"'!N321")))/INDIRECT("'"&amp;$H$3&amp;"'!$H$10"),0),0)),0)</f>
        <v>0</v>
      </c>
      <c r="O428" s="837"/>
      <c r="P428" s="837"/>
      <c r="Q428" s="837">
        <f ca="1">IFERROR(IF(INDIRECT("'"&amp;$H$3&amp;"'!Q312")="Route-based",ROUND(Q432*Q434/INDIRECT("'"&amp;$H$3&amp;"'!$H$10"),0),IF(INDIRECT("'"&amp;$H$3&amp;"'!Q312")="Point-to-point",ROUND(((Q426*INDIRECT("'"&amp;$H$3&amp;"'!Q$261")*((1/60)*(INDIRECT("'"&amp;$H$3&amp;"'!Q317")+INDIRECT("'"&amp;$H$3&amp;"'!$H$19")*(INDIRECT("'"&amp;$H$3&amp;"'!Q318")+(INDIRECT("'"&amp;$H$3&amp;"'!Q319")*('4_Outputs'!Q$52/INDIRECT("'"&amp;$H$3&amp;"'!Q$261")/INDIRECT("'"&amp;$H$3&amp;"'!$H$19")))))))+(Q427/INDIRECT("'"&amp;$H$3&amp;"'!Q321")))/INDIRECT("'"&amp;$H$3&amp;"'!$H$10"),0),0)),0)</f>
        <v>0</v>
      </c>
      <c r="R428" s="837"/>
      <c r="S428" s="837"/>
      <c r="T428" s="837">
        <f ca="1">IFERROR(IF(INDIRECT("'"&amp;$H$3&amp;"'!T312")="Route-based",ROUND(T432*T434/INDIRECT("'"&amp;$H$3&amp;"'!$H$10"),0),IF(INDIRECT("'"&amp;$H$3&amp;"'!T312")="Point-to-point",ROUND(((T426*INDIRECT("'"&amp;$H$3&amp;"'!T$261")*((1/60)*(INDIRECT("'"&amp;$H$3&amp;"'!T317")+INDIRECT("'"&amp;$H$3&amp;"'!$H$19")*(INDIRECT("'"&amp;$H$3&amp;"'!T318")+(INDIRECT("'"&amp;$H$3&amp;"'!T319")*('4_Outputs'!T$52/INDIRECT("'"&amp;$H$3&amp;"'!T$261")/INDIRECT("'"&amp;$H$3&amp;"'!$H$19")))))))+(T427/INDIRECT("'"&amp;$H$3&amp;"'!T321")))/INDIRECT("'"&amp;$H$3&amp;"'!$H$10"),0),0)),0)</f>
        <v>0</v>
      </c>
      <c r="U428" s="837"/>
      <c r="V428" s="837"/>
      <c r="W428" s="837">
        <f ca="1">IFERROR(IF(INDIRECT("'"&amp;$H$3&amp;"'!W312")="Route-based",ROUND(W432*W434/INDIRECT("'"&amp;$H$3&amp;"'!$H$10"),0),IF(INDIRECT("'"&amp;$H$3&amp;"'!W312")="Point-to-point",ROUND(((W426*INDIRECT("'"&amp;$H$3&amp;"'!W$261")*((1/60)*(INDIRECT("'"&amp;$H$3&amp;"'!W317")+INDIRECT("'"&amp;$H$3&amp;"'!$H$19")*(INDIRECT("'"&amp;$H$3&amp;"'!W318")+(INDIRECT("'"&amp;$H$3&amp;"'!W319")*('4_Outputs'!W$52/INDIRECT("'"&amp;$H$3&amp;"'!W$261")/INDIRECT("'"&amp;$H$3&amp;"'!$H$19")))))))+(W427/INDIRECT("'"&amp;$H$3&amp;"'!W321")))/INDIRECT("'"&amp;$H$3&amp;"'!$H$10"),0),0)),0)</f>
        <v>0</v>
      </c>
      <c r="X428" s="1468"/>
      <c r="Y428" s="36"/>
      <c r="Z428" s="36"/>
      <c r="AA428" s="36"/>
      <c r="AB428" s="36"/>
      <c r="AC428" s="36"/>
      <c r="AD428" s="36"/>
      <c r="AE428" s="36"/>
      <c r="AF428" s="36"/>
      <c r="AG428" s="36"/>
      <c r="AH428" s="36"/>
      <c r="AI428" s="36"/>
      <c r="AJ428" s="36"/>
      <c r="AK428" s="242"/>
      <c r="AL428" s="36"/>
      <c r="AM428" s="36"/>
      <c r="AN428" s="36"/>
    </row>
    <row r="429" spans="6:40" ht="15" customHeight="1" outlineLevel="1">
      <c r="G429" s="6" t="s">
        <v>86</v>
      </c>
      <c r="H429" s="839"/>
      <c r="I429" s="839"/>
      <c r="J429" s="839"/>
      <c r="K429" s="839">
        <f ca="1">IFERROR(IF(INDIRECT("'"&amp;$H$3&amp;"'!K312")="Route-based",IF(INDIRECT("'"&amp;$H$3&amp;"'!K309")="Yes",K249, IF(INDIRECT("'"&amp;$H$3&amp;"'!K309")="No",K428/(INDIRECT("'"&amp;$H$3&amp;"'!$H$9")*INDIRECT("'"&amp;$H$3&amp;"'!K308")))),
IF(INDIRECT("'"&amp;$H$3&amp;"'!K312")="Point-to-point",IF(INDIRECT("'"&amp;$H$3&amp;"'!K309")="Yes",K249,IF(INDIRECT("'"&amp;$H$3&amp;"'!K309")="No",K428/(INDIRECT("'"&amp;$H$3&amp;"'!$H$9")*INDIRECT("'"&amp;$H$3&amp;"'!K308")))),0)),0)</f>
        <v>0</v>
      </c>
      <c r="L429" s="839"/>
      <c r="M429" s="839"/>
      <c r="N429" s="839">
        <f ca="1">IFERROR(IF(INDIRECT("'"&amp;$H$3&amp;"'!N312")="Route-based",IF(INDIRECT("'"&amp;$H$3&amp;"'!N309")="Yes",N249, IF(INDIRECT("'"&amp;$H$3&amp;"'!N309")="No",N428/(INDIRECT("'"&amp;$H$3&amp;"'!$H$9")*INDIRECT("'"&amp;$H$3&amp;"'!N308")))),
IF(INDIRECT("'"&amp;$H$3&amp;"'!N312")="Point-to-point",IF(INDIRECT("'"&amp;$H$3&amp;"'!N309")="Yes",N249,IF(INDIRECT("'"&amp;$H$3&amp;"'!N309")="No",N428/(INDIRECT("'"&amp;$H$3&amp;"'!$H$9")*INDIRECT("'"&amp;$H$3&amp;"'!N308")))),0)),0)</f>
        <v>0</v>
      </c>
      <c r="O429" s="839"/>
      <c r="P429" s="839"/>
      <c r="Q429" s="839">
        <f ca="1">IFERROR(IF(INDIRECT("'"&amp;$H$3&amp;"'!Q312")="Route-based",IF(INDIRECT("'"&amp;$H$3&amp;"'!Q309")="Yes",Q249, IF(INDIRECT("'"&amp;$H$3&amp;"'!Q309")="No",Q428/(INDIRECT("'"&amp;$H$3&amp;"'!$H$9")*INDIRECT("'"&amp;$H$3&amp;"'!Q308")))),
IF(INDIRECT("'"&amp;$H$3&amp;"'!Q312")="Point-to-point",IF(INDIRECT("'"&amp;$H$3&amp;"'!Q309")="Yes",Q249,IF(INDIRECT("'"&amp;$H$3&amp;"'!Q309")="No",Q428/(INDIRECT("'"&amp;$H$3&amp;"'!$H$9")*INDIRECT("'"&amp;$H$3&amp;"'!Q308")))),0)),0)</f>
        <v>0</v>
      </c>
      <c r="R429" s="839"/>
      <c r="S429" s="839"/>
      <c r="T429" s="839">
        <f ca="1">IFERROR(IF(INDIRECT("'"&amp;$H$3&amp;"'!T312")="Route-based",IF(INDIRECT("'"&amp;$H$3&amp;"'!T309")="Yes",T249, IF(INDIRECT("'"&amp;$H$3&amp;"'!T309")="No",T428/(INDIRECT("'"&amp;$H$3&amp;"'!$H$9")*INDIRECT("'"&amp;$H$3&amp;"'!T308")))),
IF(INDIRECT("'"&amp;$H$3&amp;"'!T312")="Point-to-point",IF(INDIRECT("'"&amp;$H$3&amp;"'!T309")="Yes",T249,IF(INDIRECT("'"&amp;$H$3&amp;"'!T309")="No",T428/(INDIRECT("'"&amp;$H$3&amp;"'!$H$9")*INDIRECT("'"&amp;$H$3&amp;"'!T308")))),0)),0)</f>
        <v>0</v>
      </c>
      <c r="U429" s="839"/>
      <c r="V429" s="839"/>
      <c r="W429" s="839">
        <f ca="1">IFERROR(IF(INDIRECT("'"&amp;$H$3&amp;"'!W312")="Route-based",IF(INDIRECT("'"&amp;$H$3&amp;"'!W309")="Yes",W249, IF(INDIRECT("'"&amp;$H$3&amp;"'!W309")="No",W428/(INDIRECT("'"&amp;$H$3&amp;"'!$H$9")*INDIRECT("'"&amp;$H$3&amp;"'!W308")))),
IF(INDIRECT("'"&amp;$H$3&amp;"'!W312")="Point-to-point",IF(INDIRECT("'"&amp;$H$3&amp;"'!W309")="Yes",W249,IF(INDIRECT("'"&amp;$H$3&amp;"'!W309")="No",W428/(INDIRECT("'"&amp;$H$3&amp;"'!$H$9")*INDIRECT("'"&amp;$H$3&amp;"'!W308")))),0)),0)</f>
        <v>0</v>
      </c>
      <c r="X429" s="1470"/>
      <c r="Y429" s="36"/>
      <c r="Z429" s="36"/>
      <c r="AA429" s="36"/>
      <c r="AB429" s="36"/>
      <c r="AC429" s="36"/>
      <c r="AD429" s="36"/>
      <c r="AE429" s="36"/>
      <c r="AF429" s="36"/>
      <c r="AG429" s="36"/>
      <c r="AH429" s="36"/>
      <c r="AI429" s="36"/>
      <c r="AJ429" s="36"/>
      <c r="AK429" s="36" t="s">
        <v>191</v>
      </c>
      <c r="AL429" s="36"/>
      <c r="AM429" s="36"/>
      <c r="AN429" s="36"/>
    </row>
    <row r="430" spans="6:40" ht="15" customHeight="1" outlineLevel="1" collapsed="1">
      <c r="G430" s="241" t="s">
        <v>133</v>
      </c>
      <c r="H430" s="842"/>
      <c r="I430" s="842"/>
      <c r="J430" s="842"/>
      <c r="K430" s="842"/>
      <c r="L430" s="842"/>
      <c r="M430" s="842"/>
      <c r="N430" s="842"/>
      <c r="O430" s="842"/>
      <c r="P430" s="842"/>
      <c r="Q430" s="842"/>
      <c r="R430" s="853"/>
      <c r="S430" s="853"/>
      <c r="T430" s="842"/>
      <c r="U430" s="853"/>
      <c r="V430" s="853"/>
      <c r="W430" s="842"/>
      <c r="X430" s="1470"/>
      <c r="Y430" s="36"/>
      <c r="Z430" s="36"/>
      <c r="AA430" s="36"/>
      <c r="AB430" s="36"/>
      <c r="AC430" s="36"/>
      <c r="AD430" s="36"/>
      <c r="AE430" s="36"/>
      <c r="AF430" s="36"/>
      <c r="AG430" s="36"/>
      <c r="AH430" s="36"/>
      <c r="AI430" s="36"/>
      <c r="AJ430" s="36"/>
      <c r="AK430" s="36"/>
      <c r="AL430" s="36"/>
      <c r="AM430" s="36"/>
      <c r="AN430" s="36"/>
    </row>
    <row r="431" spans="6:40" outlineLevel="1">
      <c r="G431" s="6" t="s">
        <v>129</v>
      </c>
      <c r="H431" s="836"/>
      <c r="I431" s="836"/>
      <c r="J431" s="836"/>
      <c r="K431" s="836">
        <f ca="1">IFERROR(((INDIRECT("'"&amp;$H$3&amp;"'!K313")*INDIRECT("'"&amp;$H$3&amp;"'!$H$10"))-(2*INDIRECT("'"&amp;$H$3&amp;"'!K$98")/INDIRECT("'"&amp;$H$3&amp;"'!K321"))+(INDIRECT("'"&amp;$H$3&amp;"'!K$99")/INDIRECT("'"&amp;$H$3&amp;"'!K320")))/(((1/60)*(INDIRECT("'"&amp;$H$3&amp;"'!K317")+INDIRECT("'"&amp;$H$3&amp;"'!$H$19")*(INDIRECT("'"&amp;$H$3&amp;"'!K318")+(INDIRECT("'"&amp;$H$3&amp;"'!K319")*('4_Outputs'!K$52/INDIRECT("'"&amp;$H$3&amp;"'!K$261")/INDIRECT("'"&amp;$H$3&amp;"'!$H$19"))))))+(INDIRECT("'"&amp;$H$3&amp;"'!K$99")/INDIRECT("'"&amp;$H$3&amp;"'!K320"))),0)</f>
        <v>0</v>
      </c>
      <c r="L431" s="836"/>
      <c r="M431" s="836"/>
      <c r="N431" s="836">
        <f ca="1">IFERROR(((INDIRECT("'"&amp;$H$3&amp;"'!N313")*INDIRECT("'"&amp;$H$3&amp;"'!$H$10"))-(2*INDIRECT("'"&amp;$H$3&amp;"'!N$98")/INDIRECT("'"&amp;$H$3&amp;"'!N321"))+(INDIRECT("'"&amp;$H$3&amp;"'!N$99")/INDIRECT("'"&amp;$H$3&amp;"'!N320")))/(((1/60)*(INDIRECT("'"&amp;$H$3&amp;"'!N317")+INDIRECT("'"&amp;$H$3&amp;"'!$H$19")*(INDIRECT("'"&amp;$H$3&amp;"'!N318")+(INDIRECT("'"&amp;$H$3&amp;"'!N319")*('4_Outputs'!N$52/INDIRECT("'"&amp;$H$3&amp;"'!N$261")/INDIRECT("'"&amp;$H$3&amp;"'!$H$19"))))))+(INDIRECT("'"&amp;$H$3&amp;"'!N$99")/INDIRECT("'"&amp;$H$3&amp;"'!N320"))),0)</f>
        <v>0</v>
      </c>
      <c r="O431" s="836"/>
      <c r="P431" s="836"/>
      <c r="Q431" s="836">
        <f ca="1">IFERROR(((INDIRECT("'"&amp;$H$3&amp;"'!Q313")*INDIRECT("'"&amp;$H$3&amp;"'!$H$10"))-(2*INDIRECT("'"&amp;$H$3&amp;"'!Q$98")/INDIRECT("'"&amp;$H$3&amp;"'!Q321"))+(INDIRECT("'"&amp;$H$3&amp;"'!Q$99")/INDIRECT("'"&amp;$H$3&amp;"'!Q320")))/(((1/60)*(INDIRECT("'"&amp;$H$3&amp;"'!Q317")+INDIRECT("'"&amp;$H$3&amp;"'!$H$19")*(INDIRECT("'"&amp;$H$3&amp;"'!Q318")+(INDIRECT("'"&amp;$H$3&amp;"'!Q319")*('4_Outputs'!Q$52/INDIRECT("'"&amp;$H$3&amp;"'!Q$261")/INDIRECT("'"&amp;$H$3&amp;"'!$H$19"))))))+(INDIRECT("'"&amp;$H$3&amp;"'!Q$99")/INDIRECT("'"&amp;$H$3&amp;"'!Q320"))),0)</f>
        <v>0</v>
      </c>
      <c r="R431" s="836"/>
      <c r="S431" s="836"/>
      <c r="T431" s="836">
        <f ca="1">IFERROR(((INDIRECT("'"&amp;$H$3&amp;"'!T313")*INDIRECT("'"&amp;$H$3&amp;"'!$H$10"))-(2*INDIRECT("'"&amp;$H$3&amp;"'!T$98")/INDIRECT("'"&amp;$H$3&amp;"'!T321"))+(INDIRECT("'"&amp;$H$3&amp;"'!T$99")/INDIRECT("'"&amp;$H$3&amp;"'!T320")))/(((1/60)*(INDIRECT("'"&amp;$H$3&amp;"'!T317")+INDIRECT("'"&amp;$H$3&amp;"'!$H$19")*(INDIRECT("'"&amp;$H$3&amp;"'!T318")+(INDIRECT("'"&amp;$H$3&amp;"'!T319")*('4_Outputs'!T$52/INDIRECT("'"&amp;$H$3&amp;"'!T$261")/INDIRECT("'"&amp;$H$3&amp;"'!$H$19"))))))+(INDIRECT("'"&amp;$H$3&amp;"'!T$99")/INDIRECT("'"&amp;$H$3&amp;"'!T320"))),0)</f>
        <v>0</v>
      </c>
      <c r="U431" s="836"/>
      <c r="V431" s="836"/>
      <c r="W431" s="836">
        <f ca="1">IFERROR(((INDIRECT("'"&amp;$H$3&amp;"'!W313")*INDIRECT("'"&amp;$H$3&amp;"'!$H$10"))-(2*INDIRECT("'"&amp;$H$3&amp;"'!W$98")/INDIRECT("'"&amp;$H$3&amp;"'!W321"))+(INDIRECT("'"&amp;$H$3&amp;"'!W$99")/INDIRECT("'"&amp;$H$3&amp;"'!W320")))/(((1/60)*(INDIRECT("'"&amp;$H$3&amp;"'!W317")+INDIRECT("'"&amp;$H$3&amp;"'!$H$19")*(INDIRECT("'"&amp;$H$3&amp;"'!W318")+(INDIRECT("'"&amp;$H$3&amp;"'!W319")*('4_Outputs'!W$52/INDIRECT("'"&amp;$H$3&amp;"'!W$261")/INDIRECT("'"&amp;$H$3&amp;"'!$H$19"))))))+(INDIRECT("'"&amp;$H$3&amp;"'!W$99")/INDIRECT("'"&amp;$H$3&amp;"'!W320"))),0)</f>
        <v>0</v>
      </c>
      <c r="X431" s="1469"/>
      <c r="Y431" s="36"/>
      <c r="Z431" s="36"/>
      <c r="AA431" s="36"/>
      <c r="AB431" s="36"/>
      <c r="AC431" s="36"/>
      <c r="AD431" s="36"/>
      <c r="AE431" s="36"/>
      <c r="AF431" s="36"/>
      <c r="AG431" s="36"/>
      <c r="AH431" s="36"/>
      <c r="AI431" s="36"/>
      <c r="AJ431" s="36"/>
      <c r="AK431" s="36"/>
      <c r="AL431" s="36"/>
      <c r="AM431" s="36"/>
      <c r="AN431" s="36"/>
    </row>
    <row r="432" spans="6:40" outlineLevel="1">
      <c r="G432" s="6" t="s">
        <v>206</v>
      </c>
      <c r="H432" s="836"/>
      <c r="I432" s="836"/>
      <c r="J432" s="836"/>
      <c r="K432" s="836">
        <f ca="1">IFERROR(ROUND(K426*INDIRECT("'"&amp;$H$3&amp;"'!K$261")/K431,0),0)</f>
        <v>0</v>
      </c>
      <c r="L432" s="836"/>
      <c r="M432" s="836"/>
      <c r="N432" s="836">
        <f ca="1">IFERROR(ROUND(N426*INDIRECT("'"&amp;$H$3&amp;"'!N$261")/N431,0),0)</f>
        <v>0</v>
      </c>
      <c r="O432" s="836"/>
      <c r="P432" s="836"/>
      <c r="Q432" s="836">
        <f ca="1">IFERROR(ROUND(Q426*INDIRECT("'"&amp;$H$3&amp;"'!Q$261")/Q431,0),0)</f>
        <v>0</v>
      </c>
      <c r="R432" s="836"/>
      <c r="S432" s="836"/>
      <c r="T432" s="836">
        <f ca="1">IFERROR(ROUND(T426*INDIRECT("'"&amp;$H$3&amp;"'!T$261")/T431,0),0)</f>
        <v>0</v>
      </c>
      <c r="U432" s="836"/>
      <c r="V432" s="836"/>
      <c r="W432" s="836">
        <f ca="1">IFERROR(ROUND(W426*INDIRECT("'"&amp;$H$3&amp;"'!W$261")/W431,0),0)</f>
        <v>0</v>
      </c>
      <c r="X432" s="1469"/>
      <c r="Y432" s="36"/>
      <c r="Z432" s="36"/>
      <c r="AA432" s="36"/>
      <c r="AB432" s="36"/>
      <c r="AC432" s="36"/>
      <c r="AD432" s="36"/>
      <c r="AE432" s="36"/>
      <c r="AF432" s="36"/>
      <c r="AG432" s="36"/>
      <c r="AH432" s="36"/>
      <c r="AI432" s="36"/>
      <c r="AJ432" s="36"/>
      <c r="AK432" s="36"/>
      <c r="AL432" s="36"/>
      <c r="AM432" s="36"/>
      <c r="AN432" s="36"/>
    </row>
    <row r="433" spans="7:40" outlineLevel="1">
      <c r="G433" s="6" t="s">
        <v>87</v>
      </c>
      <c r="H433" s="836"/>
      <c r="I433" s="836"/>
      <c r="J433" s="836"/>
      <c r="K433" s="836">
        <f ca="1">IFERROR(IF(K426=0,0,(2*INDIRECT("'"&amp;$H$3&amp;"'!K$98"))+((MAX(K431, 1)-1)*INDIRECT("'"&amp;$H$3&amp;"'!K$99"))),0)</f>
        <v>0</v>
      </c>
      <c r="L433" s="836"/>
      <c r="M433" s="836"/>
      <c r="N433" s="836">
        <f ca="1">IFERROR(IF(N426=0,0,(2*INDIRECT("'"&amp;$H$3&amp;"'!N$98"))+((MAX(N431, 1)-1)*INDIRECT("'"&amp;$H$3&amp;"'!N$99"))),0)</f>
        <v>0</v>
      </c>
      <c r="O433" s="836"/>
      <c r="P433" s="836"/>
      <c r="Q433" s="836">
        <f ca="1">IFERROR(IF(Q426=0,0,(2*INDIRECT("'"&amp;$H$3&amp;"'!Q$98"))+((MAX(Q431, 1)-1)*INDIRECT("'"&amp;$H$3&amp;"'!Q$99"))),0)</f>
        <v>0</v>
      </c>
      <c r="R433" s="836"/>
      <c r="S433" s="836"/>
      <c r="T433" s="836">
        <f ca="1">IFERROR(IF(T426=0,0,(2*INDIRECT("'"&amp;$H$3&amp;"'!T$98"))+((MAX(T431, 1)-1)*INDIRECT("'"&amp;$H$3&amp;"'!T$99"))),0)</f>
        <v>0</v>
      </c>
      <c r="U433" s="836"/>
      <c r="V433" s="836"/>
      <c r="W433" s="836">
        <f ca="1">IFERROR(IF(W426=0,0,(2*INDIRECT("'"&amp;$H$3&amp;"'!W$98"))+((MAX(W431, 1)-1)*INDIRECT("'"&amp;$H$3&amp;"'!W$99"))),0)</f>
        <v>0</v>
      </c>
      <c r="X433" s="1469"/>
      <c r="Y433" s="36"/>
      <c r="Z433" s="36"/>
      <c r="AA433" s="36"/>
      <c r="AB433" s="36"/>
      <c r="AC433" s="36"/>
      <c r="AD433" s="36"/>
      <c r="AE433" s="36"/>
      <c r="AF433" s="36"/>
      <c r="AG433" s="36"/>
      <c r="AH433" s="36"/>
      <c r="AI433" s="36"/>
      <c r="AJ433" s="36"/>
      <c r="AK433" s="36"/>
      <c r="AL433" s="36"/>
      <c r="AM433" s="36"/>
      <c r="AN433" s="36"/>
    </row>
    <row r="434" spans="7:40" outlineLevel="1">
      <c r="G434" s="6" t="s">
        <v>203</v>
      </c>
      <c r="H434" s="838"/>
      <c r="I434" s="838"/>
      <c r="J434" s="838"/>
      <c r="K434" s="838">
        <f ca="1">IFERROR((ROUNDUP(K431,1)*((1/60)*(INDIRECT("'"&amp;$H$3&amp;"'!K317")+INDIRECT("'"&amp;$H$3&amp;"'!$H$19")*(INDIRECT("'"&amp;$H$3&amp;"'!K318")+(INDIRECT("'"&amp;$H$3&amp;"'!K319")*('4_Outputs'!K$52/INDIRECT("'"&amp;$H$3&amp;"'!K$261")/INDIRECT("'"&amp;$H$3&amp;"'!$H$19")))))))+((2*INDIRECT("'"&amp;$H$3&amp;"'!K$98"))/INDIRECT("'"&amp;$H$3&amp;"'!K321"))+(((MAX(K431,1)-1)*INDIRECT("'"&amp;$H$3&amp;"'!K$99"))/INDIRECT("'"&amp;$H$3&amp;"'!K320")),0)</f>
        <v>0</v>
      </c>
      <c r="L434" s="838"/>
      <c r="M434" s="838"/>
      <c r="N434" s="838">
        <f ca="1">IFERROR((ROUNDUP(N431,1)*((1/60)*(INDIRECT("'"&amp;$H$3&amp;"'!N317")+INDIRECT("'"&amp;$H$3&amp;"'!$H$19")*(INDIRECT("'"&amp;$H$3&amp;"'!N318")+(INDIRECT("'"&amp;$H$3&amp;"'!N319")*('4_Outputs'!N$52/INDIRECT("'"&amp;$H$3&amp;"'!N$261")/INDIRECT("'"&amp;$H$3&amp;"'!$H$19")))))))+((2*INDIRECT("'"&amp;$H$3&amp;"'!N$98"))/INDIRECT("'"&amp;$H$3&amp;"'!N321"))+(((MAX(N431,1)-1)*INDIRECT("'"&amp;$H$3&amp;"'!N$99"))/INDIRECT("'"&amp;$H$3&amp;"'!N320")),0)</f>
        <v>0</v>
      </c>
      <c r="O434" s="838"/>
      <c r="P434" s="838"/>
      <c r="Q434" s="838">
        <f ca="1">IFERROR((ROUNDUP(Q431,1)*((1/60)*(INDIRECT("'"&amp;$H$3&amp;"'!Q317")+INDIRECT("'"&amp;$H$3&amp;"'!$H$19")*(INDIRECT("'"&amp;$H$3&amp;"'!Q318")+(INDIRECT("'"&amp;$H$3&amp;"'!Q319")*('4_Outputs'!Q$52/INDIRECT("'"&amp;$H$3&amp;"'!Q$261")/INDIRECT("'"&amp;$H$3&amp;"'!$H$19")))))))+((2*INDIRECT("'"&amp;$H$3&amp;"'!Q$98"))/INDIRECT("'"&amp;$H$3&amp;"'!Q321"))+(((MAX(Q431,1)-1)*INDIRECT("'"&amp;$H$3&amp;"'!Q$99"))/INDIRECT("'"&amp;$H$3&amp;"'!Q320")),0)</f>
        <v>0</v>
      </c>
      <c r="R434" s="838"/>
      <c r="S434" s="838"/>
      <c r="T434" s="838">
        <f ca="1">IFERROR((ROUNDUP(T431,1)*((1/60)*(INDIRECT("'"&amp;$H$3&amp;"'!T317")+INDIRECT("'"&amp;$H$3&amp;"'!$H$19")*(INDIRECT("'"&amp;$H$3&amp;"'!T318")+(INDIRECT("'"&amp;$H$3&amp;"'!T319")*('4_Outputs'!T$52/INDIRECT("'"&amp;$H$3&amp;"'!T$261")/INDIRECT("'"&amp;$H$3&amp;"'!$H$19")))))))+((2*INDIRECT("'"&amp;$H$3&amp;"'!T$98"))/INDIRECT("'"&amp;$H$3&amp;"'!T321"))+(((MAX(T431,1)-1)*INDIRECT("'"&amp;$H$3&amp;"'!T$99"))/INDIRECT("'"&amp;$H$3&amp;"'!T320")),0)</f>
        <v>0</v>
      </c>
      <c r="U434" s="838"/>
      <c r="V434" s="838"/>
      <c r="W434" s="838">
        <f ca="1">IFERROR((ROUNDUP(W431,1)*((1/60)*(INDIRECT("'"&amp;$H$3&amp;"'!W317")+INDIRECT("'"&amp;$H$3&amp;"'!$H$19")*(INDIRECT("'"&amp;$H$3&amp;"'!W318")+(INDIRECT("'"&amp;$H$3&amp;"'!W319")*('4_Outputs'!W$52/INDIRECT("'"&amp;$H$3&amp;"'!W$261")/INDIRECT("'"&amp;$H$3&amp;"'!$H$19")))))))+((2*INDIRECT("'"&amp;$H$3&amp;"'!W$98"))/INDIRECT("'"&amp;$H$3&amp;"'!W321"))+(((MAX(W431,1)-1)*INDIRECT("'"&amp;$H$3&amp;"'!W$99"))/INDIRECT("'"&amp;$H$3&amp;"'!W320")),0)</f>
        <v>0</v>
      </c>
      <c r="X434" s="1465"/>
      <c r="Y434" s="36"/>
      <c r="Z434" s="36"/>
      <c r="AA434" s="36"/>
      <c r="AB434" s="36"/>
      <c r="AC434" s="36"/>
      <c r="AD434" s="36"/>
      <c r="AE434" s="36"/>
      <c r="AF434" s="36"/>
      <c r="AG434" s="36"/>
      <c r="AH434" s="36"/>
      <c r="AI434" s="36"/>
      <c r="AJ434" s="36"/>
      <c r="AK434" s="36"/>
      <c r="AL434" s="36"/>
      <c r="AM434" s="36"/>
      <c r="AN434" s="36"/>
    </row>
    <row r="435" spans="7:40" outlineLevel="1">
      <c r="G435" s="6" t="s">
        <v>204</v>
      </c>
      <c r="H435" s="838"/>
      <c r="I435" s="838"/>
      <c r="J435" s="838"/>
      <c r="K435" s="838">
        <f ca="1">IFERROR((INDIRECT("'"&amp;$H$3&amp;"'!$H$10")*INDIRECT("'"&amp;$H$3&amp;"'!$H$9")*INDIRECT("'"&amp;$H$3&amp;"'!K308"))/K434,0)</f>
        <v>0</v>
      </c>
      <c r="L435" s="838"/>
      <c r="M435" s="838"/>
      <c r="N435" s="838">
        <f ca="1">IFERROR((INDIRECT("'"&amp;$H$3&amp;"'!$H$10")*INDIRECT("'"&amp;$H$3&amp;"'!$H$9")*INDIRECT("'"&amp;$H$3&amp;"'!N308"))/N434,0)</f>
        <v>0</v>
      </c>
      <c r="O435" s="838"/>
      <c r="P435" s="838"/>
      <c r="Q435" s="838">
        <f ca="1">IFERROR((INDIRECT("'"&amp;$H$3&amp;"'!$H$10")*INDIRECT("'"&amp;$H$3&amp;"'!$H$9")*INDIRECT("'"&amp;$H$3&amp;"'!Q308"))/Q434,0)</f>
        <v>0</v>
      </c>
      <c r="R435" s="838"/>
      <c r="S435" s="838"/>
      <c r="T435" s="838">
        <f ca="1">IFERROR((INDIRECT("'"&amp;$H$3&amp;"'!$H$10")*INDIRECT("'"&amp;$H$3&amp;"'!$H$9")*INDIRECT("'"&amp;$H$3&amp;"'!T308"))/T434,0)</f>
        <v>0</v>
      </c>
      <c r="U435" s="838"/>
      <c r="V435" s="838"/>
      <c r="W435" s="838">
        <f ca="1">IFERROR((INDIRECT("'"&amp;$H$3&amp;"'!$H$10")*INDIRECT("'"&amp;$H$3&amp;"'!$H$9")*INDIRECT("'"&amp;$H$3&amp;"'!W308"))/W434,0)</f>
        <v>0</v>
      </c>
      <c r="X435" s="1465"/>
      <c r="Y435" s="36"/>
      <c r="Z435" s="36"/>
      <c r="AA435" s="36"/>
      <c r="AB435" s="36"/>
      <c r="AC435" s="36"/>
      <c r="AD435" s="36"/>
      <c r="AE435" s="36"/>
      <c r="AF435" s="36"/>
      <c r="AG435" s="36"/>
      <c r="AH435" s="36"/>
      <c r="AI435" s="36"/>
      <c r="AJ435" s="36"/>
      <c r="AK435" s="242"/>
      <c r="AL435" s="36"/>
      <c r="AM435" s="36"/>
      <c r="AN435" s="36"/>
    </row>
    <row r="436" spans="7:40" outlineLevel="1">
      <c r="G436" s="241" t="s">
        <v>134</v>
      </c>
      <c r="H436" s="842"/>
      <c r="I436" s="842"/>
      <c r="J436" s="842"/>
      <c r="K436" s="842"/>
      <c r="L436" s="842"/>
      <c r="M436" s="842"/>
      <c r="N436" s="842"/>
      <c r="O436" s="842"/>
      <c r="P436" s="842"/>
      <c r="Q436" s="842"/>
      <c r="R436" s="853"/>
      <c r="S436" s="853"/>
      <c r="T436" s="842"/>
      <c r="U436" s="853"/>
      <c r="V436" s="853"/>
      <c r="W436" s="842"/>
      <c r="X436" s="1470"/>
      <c r="Y436" s="36"/>
      <c r="Z436" s="36"/>
      <c r="AA436" s="36"/>
      <c r="AB436" s="36"/>
      <c r="AC436" s="36"/>
      <c r="AD436" s="36"/>
      <c r="AE436" s="36"/>
      <c r="AF436" s="36"/>
      <c r="AG436" s="36"/>
      <c r="AH436" s="36"/>
      <c r="AI436" s="36"/>
      <c r="AJ436" s="36"/>
      <c r="AK436" s="242"/>
      <c r="AL436" s="36"/>
      <c r="AM436" s="36"/>
      <c r="AN436" s="36"/>
    </row>
    <row r="437" spans="7:40" outlineLevel="1">
      <c r="G437" s="6" t="s">
        <v>206</v>
      </c>
      <c r="H437" s="836"/>
      <c r="I437" s="836"/>
      <c r="J437" s="836"/>
      <c r="K437" s="836">
        <f ca="1">IFERROR(K426*INDIRECT("'"&amp;$H$3&amp;"'!K$261"),0)</f>
        <v>0</v>
      </c>
      <c r="L437" s="836"/>
      <c r="M437" s="836"/>
      <c r="N437" s="836">
        <f ca="1">IFERROR(N426*INDIRECT("'"&amp;$H$3&amp;"'!N$261"),0)</f>
        <v>0</v>
      </c>
      <c r="O437" s="836"/>
      <c r="P437" s="836"/>
      <c r="Q437" s="836">
        <f ca="1">IFERROR(Q426*INDIRECT("'"&amp;$H$3&amp;"'!Q$261"),0)</f>
        <v>0</v>
      </c>
      <c r="R437" s="836"/>
      <c r="S437" s="836"/>
      <c r="T437" s="836">
        <f ca="1">IFERROR(T426*INDIRECT("'"&amp;$H$3&amp;"'!T$261"),0)</f>
        <v>0</v>
      </c>
      <c r="U437" s="836"/>
      <c r="V437" s="836"/>
      <c r="W437" s="836">
        <f ca="1">IFERROR(W426*INDIRECT("'"&amp;$H$3&amp;"'!W$261"),0)</f>
        <v>0</v>
      </c>
      <c r="X437" s="1469"/>
      <c r="Y437" s="36"/>
      <c r="Z437" s="36"/>
      <c r="AA437" s="36"/>
      <c r="AB437" s="36" t="s">
        <v>192</v>
      </c>
      <c r="AC437" s="36"/>
      <c r="AD437" s="36" t="s">
        <v>193</v>
      </c>
      <c r="AE437" s="36"/>
      <c r="AF437" s="36"/>
      <c r="AG437" s="36"/>
      <c r="AH437" s="36"/>
      <c r="AI437" s="36"/>
      <c r="AJ437" s="36"/>
      <c r="AK437" s="36"/>
      <c r="AL437" s="36"/>
      <c r="AM437" s="36"/>
      <c r="AN437" s="36"/>
    </row>
    <row r="438" spans="7:40" outlineLevel="1">
      <c r="G438" s="6" t="s">
        <v>87</v>
      </c>
      <c r="H438" s="836"/>
      <c r="I438" s="836"/>
      <c r="J438" s="836"/>
      <c r="K438" s="836">
        <f ca="1">IFERROR(IF(K426=0,0,2*INDIRECT("'"&amp;$H$3&amp;"'!K$98")),0)</f>
        <v>0</v>
      </c>
      <c r="L438" s="836"/>
      <c r="M438" s="836"/>
      <c r="N438" s="836">
        <f ca="1">IFERROR(IF(N426=0,0,2*INDIRECT("'"&amp;$H$3&amp;"'!N$98")),0)</f>
        <v>0</v>
      </c>
      <c r="O438" s="836"/>
      <c r="P438" s="836"/>
      <c r="Q438" s="836">
        <f ca="1">IFERROR(IF(Q426=0,0,2*INDIRECT("'"&amp;$H$3&amp;"'!Q$98")),0)</f>
        <v>0</v>
      </c>
      <c r="R438" s="836"/>
      <c r="S438" s="836"/>
      <c r="T438" s="836">
        <f ca="1">IFERROR(IF(T426=0,0,2*INDIRECT("'"&amp;$H$3&amp;"'!T$98")),0)</f>
        <v>0</v>
      </c>
      <c r="U438" s="836"/>
      <c r="V438" s="836"/>
      <c r="W438" s="836">
        <f ca="1">IFERROR(IF(W426=0,0,2*INDIRECT("'"&amp;$H$3&amp;"'!W$98")),0)</f>
        <v>0</v>
      </c>
      <c r="X438" s="1469"/>
      <c r="Y438" s="36"/>
      <c r="Z438" s="36"/>
      <c r="AA438" s="36"/>
      <c r="AB438" s="36" t="s">
        <v>194</v>
      </c>
      <c r="AC438" s="36"/>
      <c r="AD438" s="36" t="s">
        <v>195</v>
      </c>
      <c r="AE438" s="36"/>
      <c r="AF438" s="36"/>
      <c r="AG438" s="36"/>
      <c r="AH438" s="36"/>
      <c r="AI438" s="36"/>
      <c r="AJ438" s="36"/>
      <c r="AK438" s="36"/>
      <c r="AL438" s="36"/>
      <c r="AM438" s="36"/>
      <c r="AN438" s="36"/>
    </row>
    <row r="439" spans="7:40" outlineLevel="1">
      <c r="G439" s="6" t="s">
        <v>204</v>
      </c>
      <c r="H439" s="837"/>
      <c r="I439" s="837"/>
      <c r="J439" s="837"/>
      <c r="K439" s="837">
        <f ca="1">IFERROR((INDIRECT("'"&amp;$H$3&amp;"'!$H$10")*INDIRECT("'"&amp;$H$3&amp;"'!$H$9")*INDIRECT("'"&amp;$H$3&amp;"'!K308"))/((K438/INDIRECT("'"&amp;$H$3&amp;"'!K321"))+((1/60)*(INDIRECT("'"&amp;$H$3&amp;"'!K317")+INDIRECT("'"&amp;$H$3&amp;"'!$H$19")*(INDIRECT("'"&amp;$H$3&amp;"'!K318")+(INDIRECT("'"&amp;$H$3&amp;"'!K319")*('4_Outputs'!K$52/INDIRECT("'"&amp;$H$3&amp;"'!K$261")/INDIRECT("'"&amp;$H$3&amp;"'!$H$19"))))))),0)</f>
        <v>0</v>
      </c>
      <c r="L439" s="837"/>
      <c r="M439" s="837"/>
      <c r="N439" s="837">
        <f ca="1">IFERROR((INDIRECT("'"&amp;$H$3&amp;"'!$H$10")*INDIRECT("'"&amp;$H$3&amp;"'!$H$9")*INDIRECT("'"&amp;$H$3&amp;"'!N308"))/((N438/INDIRECT("'"&amp;$H$3&amp;"'!N321"))+((1/60)*(INDIRECT("'"&amp;$H$3&amp;"'!N317")+INDIRECT("'"&amp;$H$3&amp;"'!$H$19")*(INDIRECT("'"&amp;$H$3&amp;"'!N318")+(INDIRECT("'"&amp;$H$3&amp;"'!N319")*('4_Outputs'!N$52/INDIRECT("'"&amp;$H$3&amp;"'!N$261")/INDIRECT("'"&amp;$H$3&amp;"'!$H$19"))))))),0)</f>
        <v>0</v>
      </c>
      <c r="O439" s="837"/>
      <c r="P439" s="837"/>
      <c r="Q439" s="837">
        <f ca="1">IFERROR((INDIRECT("'"&amp;$H$3&amp;"'!$H$10")*INDIRECT("'"&amp;$H$3&amp;"'!$H$9")*INDIRECT("'"&amp;$H$3&amp;"'!Q308"))/((Q438/INDIRECT("'"&amp;$H$3&amp;"'!Q321"))+((1/60)*(INDIRECT("'"&amp;$H$3&amp;"'!Q317")+INDIRECT("'"&amp;$H$3&amp;"'!$H$19")*(INDIRECT("'"&amp;$H$3&amp;"'!Q318")+(INDIRECT("'"&amp;$H$3&amp;"'!Q319")*('4_Outputs'!Q$52/INDIRECT("'"&amp;$H$3&amp;"'!Q$261")/INDIRECT("'"&amp;$H$3&amp;"'!$H$19"))))))),0)</f>
        <v>0</v>
      </c>
      <c r="R439" s="837"/>
      <c r="S439" s="837"/>
      <c r="T439" s="837">
        <f ca="1">IFERROR((INDIRECT("'"&amp;$H$3&amp;"'!$H$10")*INDIRECT("'"&amp;$H$3&amp;"'!$H$9")*INDIRECT("'"&amp;$H$3&amp;"'!T308"))/((T438/INDIRECT("'"&amp;$H$3&amp;"'!T321"))+((1/60)*(INDIRECT("'"&amp;$H$3&amp;"'!T317")+INDIRECT("'"&amp;$H$3&amp;"'!$H$19")*(INDIRECT("'"&amp;$H$3&amp;"'!T318")+(INDIRECT("'"&amp;$H$3&amp;"'!T319")*('4_Outputs'!T$52/INDIRECT("'"&amp;$H$3&amp;"'!T$261")/INDIRECT("'"&amp;$H$3&amp;"'!$H$19"))))))),0)</f>
        <v>0</v>
      </c>
      <c r="U439" s="837"/>
      <c r="V439" s="837"/>
      <c r="W439" s="837">
        <f ca="1">IFERROR((INDIRECT("'"&amp;$H$3&amp;"'!$H$10")*INDIRECT("'"&amp;$H$3&amp;"'!$H$9")*INDIRECT("'"&amp;$H$3&amp;"'!W308"))/((W438/INDIRECT("'"&amp;$H$3&amp;"'!W321"))+((1/60)*(INDIRECT("'"&amp;$H$3&amp;"'!W317")+INDIRECT("'"&amp;$H$3&amp;"'!$H$19")*(INDIRECT("'"&amp;$H$3&amp;"'!W318")+(INDIRECT("'"&amp;$H$3&amp;"'!W319")*('4_Outputs'!W$52/INDIRECT("'"&amp;$H$3&amp;"'!W$261")/INDIRECT("'"&amp;$H$3&amp;"'!$H$19"))))))),0)</f>
        <v>0</v>
      </c>
      <c r="X439" s="1468"/>
      <c r="Y439" s="36"/>
      <c r="Z439" s="36"/>
      <c r="AA439" s="36"/>
      <c r="AB439" s="36" t="s">
        <v>196</v>
      </c>
      <c r="AC439" s="36"/>
      <c r="AD439" s="36" t="s">
        <v>197</v>
      </c>
      <c r="AE439" s="36"/>
      <c r="AF439" s="36"/>
      <c r="AG439" s="36"/>
      <c r="AH439" s="36"/>
      <c r="AI439" s="36"/>
      <c r="AJ439" s="36"/>
      <c r="AK439" s="36"/>
      <c r="AL439" s="36"/>
      <c r="AM439" s="36"/>
      <c r="AN439" s="36"/>
    </row>
    <row r="440" spans="7:40" outlineLevel="1">
      <c r="R440" s="36"/>
      <c r="S440" s="36"/>
      <c r="T440" s="36"/>
      <c r="U440" s="36"/>
      <c r="V440" s="36"/>
      <c r="W440" s="36"/>
      <c r="X440" s="1397"/>
      <c r="Y440" s="36"/>
      <c r="Z440" s="36"/>
      <c r="AA440" s="36"/>
      <c r="AB440" s="36"/>
      <c r="AC440" s="36"/>
      <c r="AD440" s="36"/>
      <c r="AE440" s="36"/>
      <c r="AF440" s="36"/>
      <c r="AG440" s="36"/>
      <c r="AH440" s="36"/>
      <c r="AI440" s="36"/>
      <c r="AJ440" s="36"/>
      <c r="AK440" s="36"/>
      <c r="AL440" s="36"/>
      <c r="AM440" s="36"/>
      <c r="AN440" s="36"/>
    </row>
    <row r="441" spans="7:40" outlineLevel="1">
      <c r="R441" s="36"/>
      <c r="S441" s="36"/>
      <c r="T441" s="36"/>
      <c r="U441" s="36"/>
      <c r="V441" s="36"/>
      <c r="W441" s="36"/>
      <c r="X441" s="1397"/>
      <c r="Y441" s="36"/>
      <c r="Z441" s="36"/>
      <c r="AA441" s="36"/>
      <c r="AB441" s="36"/>
      <c r="AC441" s="36"/>
      <c r="AD441" s="36"/>
      <c r="AE441" s="36"/>
      <c r="AF441" s="36"/>
      <c r="AG441" s="36"/>
      <c r="AH441" s="36"/>
      <c r="AI441" s="36"/>
      <c r="AJ441" s="36"/>
      <c r="AK441" s="36"/>
      <c r="AL441" s="36"/>
      <c r="AM441" s="36"/>
      <c r="AN441" s="36"/>
    </row>
    <row r="442" spans="7:40">
      <c r="H442" s="67"/>
      <c r="I442" s="67"/>
      <c r="J442" s="67"/>
      <c r="K442" s="67"/>
      <c r="L442" s="67"/>
      <c r="M442" s="67"/>
      <c r="N442" s="67"/>
      <c r="O442" s="67"/>
      <c r="P442" s="67"/>
      <c r="R442" s="243"/>
      <c r="S442" s="243"/>
      <c r="T442" s="243"/>
      <c r="U442" s="243"/>
      <c r="V442" s="243"/>
      <c r="W442" s="243"/>
      <c r="X442" s="1457"/>
      <c r="Y442" s="36"/>
      <c r="Z442" s="36"/>
      <c r="AA442" s="36"/>
      <c r="AB442" s="36"/>
      <c r="AC442" s="36"/>
      <c r="AD442" s="36"/>
      <c r="AE442" s="36"/>
      <c r="AF442" s="36"/>
      <c r="AG442" s="36"/>
      <c r="AH442" s="36"/>
      <c r="AI442" s="36"/>
      <c r="AJ442" s="36"/>
      <c r="AK442" s="36"/>
      <c r="AL442" s="36"/>
      <c r="AM442" s="36"/>
      <c r="AN442" s="36"/>
    </row>
    <row r="443" spans="7:40">
      <c r="H443" s="67"/>
      <c r="I443" s="67"/>
      <c r="J443" s="67"/>
      <c r="K443" s="67"/>
      <c r="L443" s="67"/>
      <c r="M443" s="67"/>
      <c r="N443" s="67"/>
      <c r="O443" s="67"/>
      <c r="P443" s="67"/>
      <c r="R443" s="243"/>
      <c r="S443" s="243"/>
      <c r="T443" s="243"/>
      <c r="U443" s="243"/>
      <c r="V443" s="243"/>
      <c r="W443" s="243"/>
      <c r="X443" s="1457"/>
      <c r="Y443" s="36"/>
      <c r="Z443" s="36"/>
      <c r="AA443" s="36"/>
      <c r="AB443" s="36"/>
      <c r="AC443" s="36"/>
      <c r="AD443" s="36"/>
      <c r="AE443" s="36"/>
      <c r="AF443" s="36"/>
      <c r="AG443" s="36"/>
      <c r="AH443" s="36"/>
      <c r="AI443" s="36"/>
      <c r="AJ443" s="36"/>
      <c r="AK443" s="242"/>
      <c r="AL443" s="36"/>
      <c r="AM443" s="36"/>
      <c r="AN443" s="36"/>
    </row>
    <row r="444" spans="7:40">
      <c r="R444" s="243"/>
      <c r="S444" s="243"/>
      <c r="T444" s="243"/>
      <c r="U444" s="243"/>
      <c r="V444" s="243"/>
      <c r="W444" s="243"/>
      <c r="X444" s="1457"/>
      <c r="Y444" s="36"/>
      <c r="Z444" s="36"/>
      <c r="AA444" s="36"/>
      <c r="AB444" s="36"/>
      <c r="AC444" s="36"/>
      <c r="AD444" s="36"/>
      <c r="AE444" s="36"/>
      <c r="AF444" s="36"/>
      <c r="AG444" s="36"/>
      <c r="AH444" s="36"/>
      <c r="AI444" s="36"/>
      <c r="AJ444" s="36"/>
      <c r="AK444" s="36"/>
      <c r="AL444" s="36"/>
      <c r="AM444" s="36"/>
      <c r="AN444" s="36"/>
    </row>
    <row r="445" spans="7:40">
      <c r="R445" s="243"/>
      <c r="S445" s="243"/>
      <c r="T445" s="243"/>
      <c r="U445" s="243"/>
      <c r="V445" s="243"/>
      <c r="W445" s="243"/>
      <c r="X445" s="1457"/>
      <c r="Y445" s="36"/>
      <c r="Z445" s="36"/>
      <c r="AA445" s="36"/>
      <c r="AB445" s="36"/>
      <c r="AC445" s="36"/>
      <c r="AD445" s="36"/>
      <c r="AE445" s="36"/>
      <c r="AF445" s="36"/>
      <c r="AG445" s="36"/>
      <c r="AH445" s="36"/>
      <c r="AI445" s="36"/>
      <c r="AJ445" s="36"/>
      <c r="AK445" s="36"/>
      <c r="AL445" s="36"/>
      <c r="AM445" s="36"/>
      <c r="AN445" s="36"/>
    </row>
    <row r="446" spans="7:40">
      <c r="R446" s="243"/>
      <c r="S446" s="243"/>
      <c r="T446" s="243"/>
      <c r="U446" s="243"/>
      <c r="V446" s="243"/>
      <c r="W446" s="243"/>
      <c r="X446" s="1457"/>
      <c r="Y446" s="36"/>
      <c r="Z446" s="36"/>
      <c r="AA446" s="36"/>
      <c r="AB446" s="36"/>
      <c r="AC446" s="36"/>
      <c r="AD446" s="36"/>
      <c r="AE446" s="36"/>
      <c r="AF446" s="36"/>
      <c r="AG446" s="36"/>
      <c r="AH446" s="36"/>
      <c r="AI446" s="36"/>
      <c r="AJ446" s="36"/>
      <c r="AK446" s="36"/>
      <c r="AL446" s="36"/>
      <c r="AM446" s="36"/>
      <c r="AN446" s="36"/>
    </row>
    <row r="447" spans="7:40">
      <c r="R447" s="243"/>
      <c r="S447" s="243"/>
      <c r="T447" s="243"/>
      <c r="U447" s="243"/>
      <c r="V447" s="243"/>
      <c r="W447" s="243"/>
      <c r="X447" s="1457"/>
      <c r="Y447" s="36"/>
      <c r="Z447" s="36"/>
      <c r="AA447" s="36"/>
      <c r="AB447" s="36"/>
      <c r="AC447" s="36"/>
      <c r="AD447" s="36"/>
      <c r="AE447" s="36"/>
      <c r="AF447" s="36"/>
      <c r="AG447" s="36"/>
      <c r="AH447" s="36"/>
      <c r="AI447" s="36"/>
      <c r="AJ447" s="36"/>
      <c r="AK447" s="36"/>
      <c r="AL447" s="36"/>
      <c r="AM447" s="36"/>
      <c r="AN447" s="36"/>
    </row>
  </sheetData>
  <sheetProtection algorithmName="SHA-512" hashValue="3WKYutqY/n6T+hWEXuc1IflQ+wgU4v/QjgUMqzBlHxkCO2Y7Bd5rjWoL2CoqFqFIKguD8kTa0JVnARMliCl4Qg==" saltValue="J9bB7Et5kfztfF9AGLJHDQ==" spinCount="100000" sheet="1" formatColumns="0" formatRows="0"/>
  <protectedRanges>
    <protectedRange sqref="H3:K3" name="Range1"/>
  </protectedRanges>
  <mergeCells count="33">
    <mergeCell ref="H16:K16"/>
    <mergeCell ref="A1:T1"/>
    <mergeCell ref="H3:K3"/>
    <mergeCell ref="H4:K4"/>
    <mergeCell ref="H9:K9"/>
    <mergeCell ref="H10:K10"/>
    <mergeCell ref="H11:K11"/>
    <mergeCell ref="H12:K12"/>
    <mergeCell ref="H13:K13"/>
    <mergeCell ref="F14:G14"/>
    <mergeCell ref="H14:K14"/>
    <mergeCell ref="H15:K15"/>
    <mergeCell ref="H18:K18"/>
    <mergeCell ref="F31:F33"/>
    <mergeCell ref="Y31:Y33"/>
    <mergeCell ref="Z31:Z33"/>
    <mergeCell ref="F34:F37"/>
    <mergeCell ref="Y34:Y37"/>
    <mergeCell ref="Z34:Z37"/>
    <mergeCell ref="F38:F41"/>
    <mergeCell ref="Y38:Y41"/>
    <mergeCell ref="Z38:Z41"/>
    <mergeCell ref="F42:F45"/>
    <mergeCell ref="Y42:Y45"/>
    <mergeCell ref="Z42:Z45"/>
    <mergeCell ref="F146:G146"/>
    <mergeCell ref="AP48:AU48"/>
    <mergeCell ref="AP50:AS51"/>
    <mergeCell ref="AT50:AT51"/>
    <mergeCell ref="AU50:AU51"/>
    <mergeCell ref="AP52:AS53"/>
    <mergeCell ref="AT52:AT53"/>
    <mergeCell ref="AU52:AU53"/>
  </mergeCells>
  <conditionalFormatting sqref="H265:N265 H293:J294 I279:J292 I266:J277 H382:J383 L266:P277 L279:P292 I355:J367 O355:P367 H191:J191 R157:X157 R171:X173 R165:X166 R159:X163 R175:X181 R183:X185 H351:N352 H148:J186 H262:N263 O149:X149 O154:Q185 H353:J354">
    <cfRule type="expression" dxfId="213" priority="106">
      <formula>ISERROR(H148)</formula>
    </cfRule>
  </conditionalFormatting>
  <conditionalFormatting sqref="I368:J381 O368:P381">
    <cfRule type="expression" dxfId="212" priority="105">
      <formula>ISERROR(I368)</formula>
    </cfRule>
  </conditionalFormatting>
  <conditionalFormatting sqref="H224:J224 H229:N229">
    <cfRule type="expression" dxfId="211" priority="104">
      <formula>ISERROR(H224)</formula>
    </cfRule>
  </conditionalFormatting>
  <conditionalFormatting sqref="H323:N323 H322:J322">
    <cfRule type="expression" dxfId="210" priority="103">
      <formula>ISERROR(H322)</formula>
    </cfRule>
  </conditionalFormatting>
  <conditionalFormatting sqref="H412:N412 H411:J411">
    <cfRule type="expression" dxfId="209" priority="102">
      <formula>ISERROR(H411)</formula>
    </cfRule>
  </conditionalFormatting>
  <conditionalFormatting sqref="Q279:Q292 Q266:Q277">
    <cfRule type="expression" dxfId="208" priority="101">
      <formula>ISERROR(Q266)</formula>
    </cfRule>
  </conditionalFormatting>
  <conditionalFormatting sqref="K266:K277 K279:K292">
    <cfRule type="expression" dxfId="207" priority="100">
      <formula>ISERROR(K266)</formula>
    </cfRule>
  </conditionalFormatting>
  <conditionalFormatting sqref="H266:H277 H279:H292 I281:X282 I284:X288 I291:X291">
    <cfRule type="expression" dxfId="206" priority="99">
      <formula>ISERROR(H266)</formula>
    </cfRule>
  </conditionalFormatting>
  <conditionalFormatting sqref="I308:J321 I295:J306 O295:P306 O308:P321">
    <cfRule type="expression" dxfId="205" priority="98">
      <formula>ISERROR(I295)</formula>
    </cfRule>
  </conditionalFormatting>
  <conditionalFormatting sqref="Q308:Q321 Q295:Q306">
    <cfRule type="expression" dxfId="204" priority="97">
      <formula>ISERROR(Q295)</formula>
    </cfRule>
  </conditionalFormatting>
  <conditionalFormatting sqref="H295:H306 H308:H321 I310:J311 I305:J306 I299:J303 I313:J317 I319:J321 O319:X321 O313:X317 O299:X303 O305:X306 O310:X311">
    <cfRule type="expression" dxfId="203" priority="96">
      <formula>ISERROR(H295)</formula>
    </cfRule>
  </conditionalFormatting>
  <conditionalFormatting sqref="I337:J350 I324:J335 L324:P335 L337:P350">
    <cfRule type="expression" dxfId="202" priority="95">
      <formula>ISERROR(I324)</formula>
    </cfRule>
  </conditionalFormatting>
  <conditionalFormatting sqref="Q337:Q350 Q324:Q335">
    <cfRule type="expression" dxfId="201" priority="94">
      <formula>ISERROR(Q324)</formula>
    </cfRule>
  </conditionalFormatting>
  <conditionalFormatting sqref="K324:K335 K337:K350">
    <cfRule type="expression" dxfId="200" priority="93">
      <formula>ISERROR(K324)</formula>
    </cfRule>
  </conditionalFormatting>
  <conditionalFormatting sqref="H324:H335 H337:H350 I339:X340 I334:X335 I328:X332 I342:X346 I348:X350">
    <cfRule type="expression" dxfId="199" priority="92">
      <formula>ISERROR(H324)</formula>
    </cfRule>
  </conditionalFormatting>
  <conditionalFormatting sqref="H192:J207 H209:J223 R195:X195 R209:X211 R203:X204 R197:X201 R213:X219 R221:X223 O209:Q223 O192:Q207">
    <cfRule type="expression" dxfId="198" priority="91">
      <formula>ISERROR(H192)</formula>
    </cfRule>
  </conditionalFormatting>
  <conditionalFormatting sqref="H230:Q245 H247:Q261 R233:X233 R247:X249 R241:X242 R235:X239 R251:X257 R259:X261">
    <cfRule type="expression" dxfId="197" priority="90">
      <formula>ISERROR(H230)</formula>
    </cfRule>
  </conditionalFormatting>
  <conditionalFormatting sqref="H355:H367 I365:J366 I359:J363 O359:X363 O365:X366">
    <cfRule type="expression" dxfId="196" priority="89">
      <formula>ISERROR(H355)</formula>
    </cfRule>
  </conditionalFormatting>
  <conditionalFormatting sqref="H368:H381 I370:J371 I373:J377 I379:J381 O379:X381 O373:X377 O370:X371">
    <cfRule type="expression" dxfId="195" priority="88">
      <formula>ISERROR(H368)</formula>
    </cfRule>
  </conditionalFormatting>
  <conditionalFormatting sqref="Q355:Q367">
    <cfRule type="expression" dxfId="194" priority="87">
      <formula>ISERROR(Q355)</formula>
    </cfRule>
  </conditionalFormatting>
  <conditionalFormatting sqref="Q368:Q381">
    <cfRule type="expression" dxfId="193" priority="86">
      <formula>ISERROR(Q368)</formula>
    </cfRule>
  </conditionalFormatting>
  <conditionalFormatting sqref="I384:J396 O384:P396">
    <cfRule type="expression" dxfId="192" priority="85">
      <formula>ISERROR(I384)</formula>
    </cfRule>
  </conditionalFormatting>
  <conditionalFormatting sqref="I397:J410 O397:P410">
    <cfRule type="expression" dxfId="191" priority="84">
      <formula>ISERROR(I397)</formula>
    </cfRule>
  </conditionalFormatting>
  <conditionalFormatting sqref="H384:H396 I394:J395 I388:J392 O388:X392 O394:X395">
    <cfRule type="expression" dxfId="190" priority="83">
      <formula>ISERROR(H384)</formula>
    </cfRule>
  </conditionalFormatting>
  <conditionalFormatting sqref="H397:H410 I397:J400 I402:J406 I408:J410 O408:X410 O402:X406 O397:X400">
    <cfRule type="expression" dxfId="189" priority="82">
      <formula>ISERROR(H397)</formula>
    </cfRule>
  </conditionalFormatting>
  <conditionalFormatting sqref="Q384:Q396">
    <cfRule type="expression" dxfId="188" priority="81">
      <formula>ISERROR(Q384)</formula>
    </cfRule>
  </conditionalFormatting>
  <conditionalFormatting sqref="Q397:Q410">
    <cfRule type="expression" dxfId="187" priority="80">
      <formula>ISERROR(Q397)</formula>
    </cfRule>
  </conditionalFormatting>
  <conditionalFormatting sqref="I413:J425 L413:P425">
    <cfRule type="expression" dxfId="186" priority="79">
      <formula>ISERROR(I413)</formula>
    </cfRule>
  </conditionalFormatting>
  <conditionalFormatting sqref="I426:J439 L426:P439">
    <cfRule type="expression" dxfId="185" priority="78">
      <formula>ISERROR(I426)</formula>
    </cfRule>
  </conditionalFormatting>
  <conditionalFormatting sqref="K413:K425">
    <cfRule type="expression" dxfId="184" priority="77">
      <formula>ISERROR(K413)</formula>
    </cfRule>
  </conditionalFormatting>
  <conditionalFormatting sqref="K426:K439">
    <cfRule type="expression" dxfId="183" priority="76">
      <formula>ISERROR(K426)</formula>
    </cfRule>
  </conditionalFormatting>
  <conditionalFormatting sqref="H413:H425 I423:X424 I417:X421 I413:X415">
    <cfRule type="expression" dxfId="182" priority="75">
      <formula>ISERROR(H413)</formula>
    </cfRule>
  </conditionalFormatting>
  <conditionalFormatting sqref="H426:H439 I426:X429 I431:X435 I437:X439">
    <cfRule type="expression" dxfId="181" priority="74">
      <formula>ISERROR(H426)</formula>
    </cfRule>
  </conditionalFormatting>
  <conditionalFormatting sqref="Q413:Q425">
    <cfRule type="expression" dxfId="180" priority="73">
      <formula>ISERROR(Q413)</formula>
    </cfRule>
  </conditionalFormatting>
  <conditionalFormatting sqref="Q426:Q439">
    <cfRule type="expression" dxfId="179" priority="72">
      <formula>ISERROR(Q426)</formula>
    </cfRule>
  </conditionalFormatting>
  <conditionalFormatting sqref="H208:J208 O208:Q208">
    <cfRule type="expression" dxfId="178" priority="71">
      <formula>ISERROR(H208)</formula>
    </cfRule>
  </conditionalFormatting>
  <conditionalFormatting sqref="H246:Q246">
    <cfRule type="expression" dxfId="177" priority="70">
      <formula>ISERROR(H246)</formula>
    </cfRule>
  </conditionalFormatting>
  <conditionalFormatting sqref="Q152">
    <cfRule type="expression" dxfId="176" priority="69">
      <formula>ISERROR(Q152)</formula>
    </cfRule>
  </conditionalFormatting>
  <conditionalFormatting sqref="H189:J190 O189:Q190">
    <cfRule type="expression" dxfId="175" priority="68">
      <formula>ISERROR(H189)</formula>
    </cfRule>
  </conditionalFormatting>
  <conditionalFormatting sqref="Q189:Q190">
    <cfRule type="expression" dxfId="174" priority="67">
      <formula>ISERROR(Q189)</formula>
    </cfRule>
  </conditionalFormatting>
  <conditionalFormatting sqref="I227:Q228">
    <cfRule type="expression" dxfId="173" priority="66">
      <formula>ISERROR(I227)</formula>
    </cfRule>
  </conditionalFormatting>
  <conditionalFormatting sqref="H227:Q228">
    <cfRule type="expression" dxfId="172" priority="65">
      <formula>ISERROR(H227)</formula>
    </cfRule>
  </conditionalFormatting>
  <conditionalFormatting sqref="Q151">
    <cfRule type="expression" dxfId="171" priority="64">
      <formula>ISERROR(Q151)</formula>
    </cfRule>
  </conditionalFormatting>
  <conditionalFormatting sqref="T279:T292 T266:T277">
    <cfRule type="expression" dxfId="170" priority="63">
      <formula>ISERROR(T266)</formula>
    </cfRule>
  </conditionalFormatting>
  <conditionalFormatting sqref="T282">
    <cfRule type="expression" dxfId="169" priority="62">
      <formula>ISERROR(T282)</formula>
    </cfRule>
  </conditionalFormatting>
  <conditionalFormatting sqref="T308:T321 T295:T306">
    <cfRule type="expression" dxfId="168" priority="61">
      <formula>ISERROR(T295)</formula>
    </cfRule>
  </conditionalFormatting>
  <conditionalFormatting sqref="T311">
    <cfRule type="expression" dxfId="167" priority="60">
      <formula>ISERROR(T311)</formula>
    </cfRule>
  </conditionalFormatting>
  <conditionalFormatting sqref="T337:T350 T324:T335">
    <cfRule type="expression" dxfId="166" priority="59">
      <formula>ISERROR(T324)</formula>
    </cfRule>
  </conditionalFormatting>
  <conditionalFormatting sqref="T340">
    <cfRule type="expression" dxfId="165" priority="58">
      <formula>ISERROR(T340)</formula>
    </cfRule>
  </conditionalFormatting>
  <conditionalFormatting sqref="W279:X292 W266:X277">
    <cfRule type="expression" dxfId="164" priority="57">
      <formula>ISERROR(W266)</formula>
    </cfRule>
  </conditionalFormatting>
  <conditionalFormatting sqref="W282:X282">
    <cfRule type="expression" dxfId="163" priority="56">
      <formula>ISERROR(W282)</formula>
    </cfRule>
  </conditionalFormatting>
  <conditionalFormatting sqref="W308:X321 W295:X306">
    <cfRule type="expression" dxfId="162" priority="55">
      <formula>ISERROR(W295)</formula>
    </cfRule>
  </conditionalFormatting>
  <conditionalFormatting sqref="W311:X311">
    <cfRule type="expression" dxfId="161" priority="54">
      <formula>ISERROR(W311)</formula>
    </cfRule>
  </conditionalFormatting>
  <conditionalFormatting sqref="W337:X350 W324:X335">
    <cfRule type="expression" dxfId="160" priority="53">
      <formula>ISERROR(W324)</formula>
    </cfRule>
  </conditionalFormatting>
  <conditionalFormatting sqref="W340:X340">
    <cfRule type="expression" dxfId="159" priority="52">
      <formula>ISERROR(W340)</formula>
    </cfRule>
  </conditionalFormatting>
  <conditionalFormatting sqref="T154:T185">
    <cfRule type="expression" dxfId="158" priority="51">
      <formula>ISERROR(T154)</formula>
    </cfRule>
  </conditionalFormatting>
  <conditionalFormatting sqref="T192:T207 T209:T223">
    <cfRule type="expression" dxfId="157" priority="50">
      <formula>ISERROR(T192)</formula>
    </cfRule>
  </conditionalFormatting>
  <conditionalFormatting sqref="T230:T245 T247:T261">
    <cfRule type="expression" dxfId="156" priority="49">
      <formula>ISERROR(T230)</formula>
    </cfRule>
  </conditionalFormatting>
  <conditionalFormatting sqref="T208">
    <cfRule type="expression" dxfId="155" priority="48">
      <formula>ISERROR(T208)</formula>
    </cfRule>
  </conditionalFormatting>
  <conditionalFormatting sqref="T246">
    <cfRule type="expression" dxfId="154" priority="47">
      <formula>ISERROR(T246)</formula>
    </cfRule>
  </conditionalFormatting>
  <conditionalFormatting sqref="T152">
    <cfRule type="expression" dxfId="153" priority="46">
      <formula>ISERROR(T152)</formula>
    </cfRule>
  </conditionalFormatting>
  <conditionalFormatting sqref="T189:T190">
    <cfRule type="expression" dxfId="152" priority="45">
      <formula>ISERROR(T189)</formula>
    </cfRule>
  </conditionalFormatting>
  <conditionalFormatting sqref="T189:T190">
    <cfRule type="expression" dxfId="151" priority="44">
      <formula>ISERROR(T189)</formula>
    </cfRule>
  </conditionalFormatting>
  <conditionalFormatting sqref="T227:T228">
    <cfRule type="expression" dxfId="150" priority="43">
      <formula>ISERROR(T227)</formula>
    </cfRule>
  </conditionalFormatting>
  <conditionalFormatting sqref="T227:T228">
    <cfRule type="expression" dxfId="149" priority="42">
      <formula>ISERROR(T227)</formula>
    </cfRule>
  </conditionalFormatting>
  <conditionalFormatting sqref="T151">
    <cfRule type="expression" dxfId="148" priority="41">
      <formula>ISERROR(T151)</formula>
    </cfRule>
  </conditionalFormatting>
  <conditionalFormatting sqref="W154:X185">
    <cfRule type="expression" dxfId="147" priority="40">
      <formula>ISERROR(W154)</formula>
    </cfRule>
  </conditionalFormatting>
  <conditionalFormatting sqref="W192:X207 W209:X223">
    <cfRule type="expression" dxfId="146" priority="39">
      <formula>ISERROR(W192)</formula>
    </cfRule>
  </conditionalFormatting>
  <conditionalFormatting sqref="W230:X245 W247:X261">
    <cfRule type="expression" dxfId="145" priority="38">
      <formula>ISERROR(W230)</formula>
    </cfRule>
  </conditionalFormatting>
  <conditionalFormatting sqref="W208:X208">
    <cfRule type="expression" dxfId="144" priority="37">
      <formula>ISERROR(W208)</formula>
    </cfRule>
  </conditionalFormatting>
  <conditionalFormatting sqref="W246:X246">
    <cfRule type="expression" dxfId="143" priority="36">
      <formula>ISERROR(W246)</formula>
    </cfRule>
  </conditionalFormatting>
  <conditionalFormatting sqref="W152:X152">
    <cfRule type="expression" dxfId="142" priority="35">
      <formula>ISERROR(W152)</formula>
    </cfRule>
  </conditionalFormatting>
  <conditionalFormatting sqref="W189:X190">
    <cfRule type="expression" dxfId="141" priority="34">
      <formula>ISERROR(W189)</formula>
    </cfRule>
  </conditionalFormatting>
  <conditionalFormatting sqref="W189:X190">
    <cfRule type="expression" dxfId="140" priority="33">
      <formula>ISERROR(W189)</formula>
    </cfRule>
  </conditionalFormatting>
  <conditionalFormatting sqref="W227:X228">
    <cfRule type="expression" dxfId="139" priority="32">
      <formula>ISERROR(W227)</formula>
    </cfRule>
  </conditionalFormatting>
  <conditionalFormatting sqref="W227:X228">
    <cfRule type="expression" dxfId="138" priority="31">
      <formula>ISERROR(W227)</formula>
    </cfRule>
  </conditionalFormatting>
  <conditionalFormatting sqref="W151:X151">
    <cfRule type="expression" dxfId="137" priority="30">
      <formula>ISERROR(W151)</formula>
    </cfRule>
  </conditionalFormatting>
  <conditionalFormatting sqref="T371">
    <cfRule type="expression" dxfId="136" priority="29">
      <formula>ISERROR(T371)</formula>
    </cfRule>
  </conditionalFormatting>
  <conditionalFormatting sqref="T355:T367">
    <cfRule type="expression" dxfId="135" priority="28">
      <formula>ISERROR(T355)</formula>
    </cfRule>
  </conditionalFormatting>
  <conditionalFormatting sqref="T368:T381">
    <cfRule type="expression" dxfId="134" priority="27">
      <formula>ISERROR(T368)</formula>
    </cfRule>
  </conditionalFormatting>
  <conditionalFormatting sqref="T400">
    <cfRule type="expression" dxfId="133" priority="26">
      <formula>ISERROR(T400)</formula>
    </cfRule>
  </conditionalFormatting>
  <conditionalFormatting sqref="T384:T396">
    <cfRule type="expression" dxfId="132" priority="25">
      <formula>ISERROR(T384)</formula>
    </cfRule>
  </conditionalFormatting>
  <conditionalFormatting sqref="T397:T410">
    <cfRule type="expression" dxfId="131" priority="24">
      <formula>ISERROR(T397)</formula>
    </cfRule>
  </conditionalFormatting>
  <conditionalFormatting sqref="T429">
    <cfRule type="expression" dxfId="130" priority="23">
      <formula>ISERROR(T429)</formula>
    </cfRule>
  </conditionalFormatting>
  <conditionalFormatting sqref="T413:T425">
    <cfRule type="expression" dxfId="129" priority="22">
      <formula>ISERROR(T413)</formula>
    </cfRule>
  </conditionalFormatting>
  <conditionalFormatting sqref="T426:T439">
    <cfRule type="expression" dxfId="128" priority="21">
      <formula>ISERROR(T426)</formula>
    </cfRule>
  </conditionalFormatting>
  <conditionalFormatting sqref="W371:X371">
    <cfRule type="expression" dxfId="127" priority="20">
      <formula>ISERROR(W371)</formula>
    </cfRule>
  </conditionalFormatting>
  <conditionalFormatting sqref="W355:X367">
    <cfRule type="expression" dxfId="126" priority="19">
      <formula>ISERROR(W355)</formula>
    </cfRule>
  </conditionalFormatting>
  <conditionalFormatting sqref="W368:X381">
    <cfRule type="expression" dxfId="125" priority="18">
      <formula>ISERROR(W368)</formula>
    </cfRule>
  </conditionalFormatting>
  <conditionalFormatting sqref="W400:X400">
    <cfRule type="expression" dxfId="124" priority="17">
      <formula>ISERROR(W400)</formula>
    </cfRule>
  </conditionalFormatting>
  <conditionalFormatting sqref="W384:X396">
    <cfRule type="expression" dxfId="123" priority="16">
      <formula>ISERROR(W384)</formula>
    </cfRule>
  </conditionalFormatting>
  <conditionalFormatting sqref="W397:X410">
    <cfRule type="expression" dxfId="122" priority="15">
      <formula>ISERROR(W397)</formula>
    </cfRule>
  </conditionalFormatting>
  <conditionalFormatting sqref="W429:X429">
    <cfRule type="expression" dxfId="121" priority="14">
      <formula>ISERROR(W429)</formula>
    </cfRule>
  </conditionalFormatting>
  <conditionalFormatting sqref="W413:X425">
    <cfRule type="expression" dxfId="120" priority="13">
      <formula>ISERROR(W413)</formula>
    </cfRule>
  </conditionalFormatting>
  <conditionalFormatting sqref="W426:X439">
    <cfRule type="expression" dxfId="119" priority="12">
      <formula>ISERROR(W426)</formula>
    </cfRule>
  </conditionalFormatting>
  <conditionalFormatting sqref="H187:J187 O187:X187">
    <cfRule type="expression" dxfId="118" priority="11">
      <formula>ISERROR(H187)</formula>
    </cfRule>
  </conditionalFormatting>
  <conditionalFormatting sqref="H188:J188">
    <cfRule type="expression" dxfId="117" priority="10">
      <formula>ISERROR(H188)</formula>
    </cfRule>
  </conditionalFormatting>
  <conditionalFormatting sqref="H225:X225">
    <cfRule type="expression" dxfId="116" priority="9">
      <formula>ISERROR(H225)</formula>
    </cfRule>
  </conditionalFormatting>
  <conditionalFormatting sqref="H226:N226">
    <cfRule type="expression" dxfId="115" priority="8">
      <formula>ISERROR(H226)</formula>
    </cfRule>
  </conditionalFormatting>
  <conditionalFormatting sqref="AP52">
    <cfRule type="expression" dxfId="114" priority="7">
      <formula>$A10&gt;$B$4</formula>
    </cfRule>
  </conditionalFormatting>
  <conditionalFormatting sqref="Z31:Z46">
    <cfRule type="expression" dxfId="113" priority="6">
      <formula>Z31&gt;0</formula>
    </cfRule>
  </conditionalFormatting>
  <conditionalFormatting sqref="H62:X62 H69:X69 H71:X71 H54:X54 W53:X53 T53 Q53 N53 K53 H53">
    <cfRule type="expression" dxfId="112" priority="107">
      <formula>OR(H53=0,H53="",H53="N/A for this mode",H53="-")</formula>
    </cfRule>
    <cfRule type="expression" dxfId="111" priority="108">
      <formula>H53&gt;$AT$50</formula>
    </cfRule>
    <cfRule type="expression" dxfId="110" priority="109">
      <formula>H53&lt;$AT$52</formula>
    </cfRule>
  </conditionalFormatting>
  <conditionalFormatting sqref="H31:Y45 H46:X46">
    <cfRule type="expression" dxfId="109" priority="110">
      <formula>OR(H31=0,H31="",H31="N/A for this mode")</formula>
    </cfRule>
    <cfRule type="expression" dxfId="108" priority="111">
      <formula>H31&gt;$AU$50</formula>
    </cfRule>
    <cfRule type="expression" dxfId="107" priority="112">
      <formula>H31&lt;=$AU$52</formula>
    </cfRule>
  </conditionalFormatting>
  <conditionalFormatting sqref="K23:K147 K225:K292 K323:K352 K412:K439">
    <cfRule type="expression" dxfId="106" priority="5">
      <formula>$H$9&lt;2</formula>
    </cfRule>
  </conditionalFormatting>
  <conditionalFormatting sqref="N23:N147 N225:N292 N323:N352 N412:N439">
    <cfRule type="expression" dxfId="105" priority="4">
      <formula>$H$9&lt;3</formula>
    </cfRule>
  </conditionalFormatting>
  <conditionalFormatting sqref="Q23:Q439">
    <cfRule type="expression" dxfId="104" priority="3">
      <formula>$H$9&lt;4</formula>
    </cfRule>
  </conditionalFormatting>
  <conditionalFormatting sqref="T23:T439">
    <cfRule type="expression" dxfId="103" priority="2">
      <formula>$H$9&lt;5</formula>
    </cfRule>
  </conditionalFormatting>
  <conditionalFormatting sqref="W23:W439">
    <cfRule type="expression" dxfId="102" priority="1">
      <formula>$H$9&lt;6</formula>
    </cfRule>
  </conditionalFormatting>
  <dataValidations count="2">
    <dataValidation type="decimal" allowBlank="1" showInputMessage="1" showErrorMessage="1" sqref="AT50:AU50" xr:uid="{5D1A4130-8033-4D2F-A25A-7881113093C8}">
      <formula1>0</formula1>
      <formula2>1</formula2>
    </dataValidation>
    <dataValidation type="decimal" allowBlank="1" showInputMessage="1" showErrorMessage="1" sqref="AT52:AU52" xr:uid="{FE1DD78A-05FF-41B0-B11F-B32D211F7DFF}">
      <formula1>0</formula1>
      <formula2>AT50</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7FEF103-E64E-415B-A185-87403F161AF7}">
          <x14:formula1>
            <xm:f>'Scenario Manager'!$C$7:$C$12</xm:f>
          </x14:formula1>
          <xm:sqref>H3:K3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1">
    <tabColor theme="0" tint="-0.14999847407452621"/>
  </sheetPr>
  <dimension ref="A1:CK308"/>
  <sheetViews>
    <sheetView showGridLines="0" tabSelected="1" topLeftCell="A6" zoomScale="80" zoomScaleNormal="80" workbookViewId="0">
      <pane xSplit="7" topLeftCell="H1" activePane="topRight" state="frozen"/>
      <selection activeCell="S9" sqref="S9"/>
      <selection pane="topRight" activeCell="F12" sqref="F12"/>
    </sheetView>
  </sheetViews>
  <sheetFormatPr defaultRowHeight="14.6"/>
  <cols>
    <col min="3" max="3" width="5.15234375" customWidth="1"/>
    <col min="4" max="4" width="31.4609375" customWidth="1"/>
    <col min="5" max="5" width="31" customWidth="1"/>
    <col min="6" max="6" width="14.53515625" customWidth="1"/>
    <col min="7" max="7" width="16.23046875" customWidth="1"/>
    <col min="8" max="8" width="17" customWidth="1"/>
    <col min="9" max="9" width="17.53515625" customWidth="1"/>
    <col min="10" max="10" width="19.3828125" customWidth="1"/>
    <col min="11" max="11" width="1.3046875" customWidth="1"/>
    <col min="12" max="12" width="19.15234375" customWidth="1"/>
    <col min="13" max="13" width="18.15234375" customWidth="1"/>
    <col min="14" max="14" width="18" customWidth="1"/>
    <col min="15" max="15" width="18.84375" customWidth="1"/>
    <col min="16" max="16" width="1.15234375" customWidth="1"/>
    <col min="17" max="17" width="19.3828125" customWidth="1"/>
    <col min="18" max="18" width="20" customWidth="1"/>
    <col min="19" max="19" width="21.84375" customWidth="1"/>
    <col min="20" max="20" width="1" customWidth="1"/>
    <col min="21" max="23" width="17.3046875" customWidth="1"/>
    <col min="24" max="24" width="17.69140625" customWidth="1"/>
    <col min="25" max="25" width="14.69140625" customWidth="1"/>
    <col min="26" max="26" width="9.53515625" customWidth="1"/>
    <col min="27" max="27" width="1.3046875" customWidth="1"/>
    <col min="28" max="28" width="22.3046875" customWidth="1"/>
    <col min="29" max="29" width="29" customWidth="1"/>
    <col min="30" max="30" width="1.3828125" customWidth="1"/>
    <col min="31" max="33" width="19.3828125" customWidth="1"/>
    <col min="34" max="36" width="15.3828125" customWidth="1"/>
    <col min="38" max="38" width="39.3046875" customWidth="1"/>
    <col min="39" max="39" width="21.15234375" customWidth="1"/>
    <col min="40" max="40" width="18.3046875" customWidth="1"/>
    <col min="41" max="41" width="15.84375" customWidth="1"/>
    <col min="42" max="46" width="13.69140625" customWidth="1"/>
    <col min="48" max="48" width="32.53515625" customWidth="1"/>
    <col min="49" max="49" width="27.69140625" customWidth="1"/>
    <col min="50" max="50" width="26.69140625" customWidth="1"/>
    <col min="51" max="51" width="24.3046875" customWidth="1"/>
    <col min="53" max="53" width="62.53515625" customWidth="1"/>
    <col min="54" max="54" width="20.15234375" bestFit="1" customWidth="1"/>
    <col min="55" max="55" width="24.15234375" customWidth="1"/>
    <col min="56" max="56" width="16.3046875" customWidth="1"/>
    <col min="57" max="57" width="39.69140625" customWidth="1"/>
    <col min="58" max="58" width="59.3828125" customWidth="1"/>
    <col min="59" max="59" width="14.53515625" bestFit="1" customWidth="1"/>
    <col min="60" max="60" width="36.15234375" customWidth="1"/>
    <col min="61" max="62" width="25.15234375" style="8" customWidth="1"/>
    <col min="63" max="63" width="34.3046875" style="8" customWidth="1"/>
    <col min="64" max="64" width="26.84375" customWidth="1"/>
    <col min="65" max="65" width="19.84375" customWidth="1"/>
    <col min="66" max="66" width="64.15234375" customWidth="1"/>
    <col min="67" max="67" width="29.3828125" style="1000" bestFit="1" customWidth="1"/>
    <col min="68" max="68" width="114.15234375" customWidth="1"/>
    <col min="76" max="77" width="16.3046875" customWidth="1"/>
    <col min="78" max="78" width="32.3046875" bestFit="1" customWidth="1"/>
    <col min="79" max="79" width="22.69140625" customWidth="1"/>
    <col min="80" max="80" width="16.3046875" customWidth="1"/>
    <col min="82" max="82" width="29.3828125" customWidth="1"/>
    <col min="83" max="83" width="9" customWidth="1"/>
    <col min="84" max="84" width="43.3828125" customWidth="1"/>
    <col min="85" max="85" width="17.3828125" customWidth="1"/>
  </cols>
  <sheetData>
    <row r="1" spans="1:89" ht="29.25" customHeight="1">
      <c r="A1" s="2016" t="s">
        <v>5798</v>
      </c>
      <c r="AV1" s="461" t="s">
        <v>1518</v>
      </c>
      <c r="BA1" s="461" t="s">
        <v>1517</v>
      </c>
      <c r="BX1" s="461" t="s">
        <v>2114</v>
      </c>
    </row>
    <row r="2" spans="1:89">
      <c r="BX2" t="s">
        <v>2115</v>
      </c>
    </row>
    <row r="3" spans="1:89" ht="18.45">
      <c r="AV3" s="1001" t="s">
        <v>1513</v>
      </c>
      <c r="AW3" s="1001" t="s">
        <v>1514</v>
      </c>
      <c r="AX3" s="1001" t="s">
        <v>1516</v>
      </c>
      <c r="AY3" s="1001" t="s">
        <v>1515</v>
      </c>
      <c r="BA3" s="38" t="s">
        <v>1512</v>
      </c>
    </row>
    <row r="4" spans="1:89" ht="20.6">
      <c r="C4" s="1038" t="s">
        <v>1537</v>
      </c>
      <c r="D4" s="1038"/>
      <c r="E4" s="1038"/>
      <c r="F4" s="149"/>
      <c r="G4" s="1038"/>
      <c r="H4" s="1038"/>
      <c r="I4" s="149"/>
      <c r="J4" s="149"/>
      <c r="BA4" s="1266" t="s">
        <v>848</v>
      </c>
      <c r="BB4" s="1266" t="s">
        <v>849</v>
      </c>
      <c r="BC4" s="1266" t="s">
        <v>850</v>
      </c>
      <c r="BD4" s="1266" t="s">
        <v>851</v>
      </c>
      <c r="BE4" s="1266" t="s">
        <v>852</v>
      </c>
      <c r="BF4" s="1266" t="s">
        <v>853</v>
      </c>
      <c r="BG4" s="1266" t="s">
        <v>854</v>
      </c>
      <c r="BH4" s="1266" t="s">
        <v>1511</v>
      </c>
      <c r="BI4" s="1267" t="s">
        <v>855</v>
      </c>
      <c r="BJ4" s="1267" t="s">
        <v>856</v>
      </c>
      <c r="BK4" s="1267" t="s">
        <v>857</v>
      </c>
      <c r="BL4" s="1266" t="s">
        <v>858</v>
      </c>
      <c r="BM4" s="1266" t="s">
        <v>859</v>
      </c>
      <c r="BN4" s="1266" t="s">
        <v>860</v>
      </c>
      <c r="BO4" s="1268" t="s">
        <v>861</v>
      </c>
      <c r="BP4" s="1266" t="s">
        <v>862</v>
      </c>
      <c r="BX4" s="1266" t="s">
        <v>2105</v>
      </c>
      <c r="BY4" s="1266" t="s">
        <v>2104</v>
      </c>
      <c r="BZ4" s="1266" t="s">
        <v>2106</v>
      </c>
      <c r="CA4" s="1266" t="s">
        <v>2107</v>
      </c>
      <c r="CD4" s="1306" t="s">
        <v>2153</v>
      </c>
      <c r="CE4" s="1306" t="s">
        <v>2151</v>
      </c>
      <c r="CF4" s="1306" t="s">
        <v>2106</v>
      </c>
      <c r="CG4" s="1306" t="s">
        <v>2140</v>
      </c>
    </row>
    <row r="5" spans="1:89" ht="21" customHeight="1">
      <c r="C5" s="149"/>
      <c r="D5" s="1038"/>
      <c r="E5" s="1039"/>
      <c r="F5" s="1038"/>
      <c r="G5" s="1038"/>
      <c r="H5" s="1038"/>
      <c r="I5" s="149"/>
      <c r="J5" s="149"/>
      <c r="AU5">
        <v>1</v>
      </c>
      <c r="AV5" s="1269" t="str">
        <f t="array" ref="AV5">IFERROR(INDEX($BB$5:$BB$308, MATCH(0,COUNTIF($AV$3:AV3, $BB$5:$BB$308), 0)),"")</f>
        <v>BCG</v>
      </c>
      <c r="AW5" s="1270">
        <f t="array" ref="AW5">IFERROR(INDEX($BI$5:$BI$308, MATCH(1,(COUNTIF($AW$3:AW3, $BI$5:$BI$308)=0)*(($BI$5:$BI$308="PFS")+($BI$5:$BI$308="Uniject")+ISNUMBER($BI$5:$BI$308)), 0)),"")</f>
        <v>10</v>
      </c>
      <c r="AX5" s="1270">
        <f t="array" ref="AX5">IFERROR(SMALL($AW$5:$AW$19,AU5),IFERROR(INDEX($AW$5:$AW$19, MATCH(0,COUNTIF($AX$3:AX3, $AW$5:$AW$19),0)),""))</f>
        <v>1</v>
      </c>
      <c r="AY5" s="1271" t="str">
        <f t="array" ref="AY5">IFERROR(INDEX($BD$5:$BD$308, MATCH(0,COUNTIF($AY$3:AY3, $BD$5:$BD$308), 0)),"")</f>
        <v>ID</v>
      </c>
      <c r="BA5" s="1269" t="s">
        <v>863</v>
      </c>
      <c r="BB5" s="1269" t="s">
        <v>835</v>
      </c>
      <c r="BC5" s="1269" t="s">
        <v>864</v>
      </c>
      <c r="BD5" s="1269" t="s">
        <v>865</v>
      </c>
      <c r="BE5" s="1269" t="s">
        <v>866</v>
      </c>
      <c r="BF5" s="1269" t="s">
        <v>867</v>
      </c>
      <c r="BG5" s="1269" t="s">
        <v>868</v>
      </c>
      <c r="BH5" s="1269"/>
      <c r="BI5" s="1270" t="s">
        <v>869</v>
      </c>
      <c r="BJ5" s="1270"/>
      <c r="BK5" s="1270"/>
      <c r="BL5" s="1269" t="s">
        <v>870</v>
      </c>
      <c r="BM5" s="1269"/>
      <c r="BN5" s="1269" t="s">
        <v>871</v>
      </c>
      <c r="BO5" s="1272">
        <v>31778</v>
      </c>
      <c r="BP5" s="1269"/>
      <c r="BX5" s="1298" t="s">
        <v>835</v>
      </c>
      <c r="BY5" s="1299">
        <v>20</v>
      </c>
      <c r="BZ5" s="1298" t="s">
        <v>2108</v>
      </c>
      <c r="CA5" s="1300">
        <v>0.09</v>
      </c>
      <c r="CD5" t="s">
        <v>2144</v>
      </c>
      <c r="CE5" t="s">
        <v>2152</v>
      </c>
      <c r="CF5" t="s">
        <v>2145</v>
      </c>
      <c r="CG5">
        <v>3.3799999999999997E-2</v>
      </c>
    </row>
    <row r="6" spans="1:89" ht="30" customHeight="1">
      <c r="C6" s="149"/>
      <c r="D6" s="2778" t="s">
        <v>1519</v>
      </c>
      <c r="E6" s="2778"/>
      <c r="F6" s="2778"/>
      <c r="G6" s="1273"/>
      <c r="H6" s="1274"/>
      <c r="I6" s="149"/>
      <c r="J6" s="149"/>
      <c r="AU6">
        <v>2</v>
      </c>
      <c r="AV6" s="1269" t="str">
        <f t="array" ref="AV6">IFERROR(INDEX($BB$5:$BB$308, MATCH(0,COUNTIF($AV$3:AV5, $BB$5:$BB$308), 0)),"")</f>
        <v>OCV</v>
      </c>
      <c r="AW6" s="1270">
        <f t="array" ref="AW6">IFERROR(INDEX($BI$5:$BI$308, MATCH(1,(COUNTIF($AW$3:AW5, $BI$5:$BI$308)=0)*(($BI$5:$BI$308="PFS")+($BI$5:$BI$308="Uniject")+ISNUMBER($BI$5:$BI$308)), 0)),"")</f>
        <v>20</v>
      </c>
      <c r="AX6" s="1270">
        <f t="array" ref="AX6">IFERROR(SMALL($AW$5:$AW$19,AU6),IFERROR(INDEX($AW$5:$AW$19, MATCH(0,COUNTIF($AX$3:AX5, $AW$5:$AW$19),0)),""))</f>
        <v>2</v>
      </c>
      <c r="AY6" s="1271" t="str">
        <f t="array" ref="AY6">IFERROR(INDEX($BD$5:$BD$308, MATCH(0,COUNTIF($AY$3:AY5, $BD$5:$BD$308), 0)),"")</f>
        <v>Oral</v>
      </c>
      <c r="BA6" s="1269" t="s">
        <v>863</v>
      </c>
      <c r="BB6" s="1269" t="s">
        <v>835</v>
      </c>
      <c r="BC6" s="1269" t="s">
        <v>864</v>
      </c>
      <c r="BD6" s="1269" t="s">
        <v>865</v>
      </c>
      <c r="BE6" s="1269" t="s">
        <v>872</v>
      </c>
      <c r="BF6" s="1269" t="s">
        <v>873</v>
      </c>
      <c r="BG6" s="1269" t="s">
        <v>868</v>
      </c>
      <c r="BH6" s="1269"/>
      <c r="BI6" s="1270">
        <v>10</v>
      </c>
      <c r="BJ6" s="1270">
        <v>2.25</v>
      </c>
      <c r="BK6" s="1270">
        <v>2.25</v>
      </c>
      <c r="BL6" s="1269" t="s">
        <v>870</v>
      </c>
      <c r="BM6" s="1269" t="s">
        <v>5</v>
      </c>
      <c r="BN6" s="1269" t="s">
        <v>874</v>
      </c>
      <c r="BO6" s="1272">
        <v>33270</v>
      </c>
      <c r="BP6" s="1269" t="s">
        <v>875</v>
      </c>
      <c r="BX6" s="1298" t="s">
        <v>835</v>
      </c>
      <c r="BY6" s="1299">
        <v>20</v>
      </c>
      <c r="BZ6" s="1298" t="s">
        <v>2109</v>
      </c>
      <c r="CA6" s="1300">
        <v>9.1999999999999998E-2</v>
      </c>
      <c r="CD6" t="s">
        <v>2144</v>
      </c>
      <c r="CE6" t="s">
        <v>2152</v>
      </c>
      <c r="CF6" t="s">
        <v>2146</v>
      </c>
      <c r="CG6">
        <v>3.1699999999999999E-2</v>
      </c>
      <c r="CK6">
        <f>0.0364*1.25</f>
        <v>4.5499999999999999E-2</v>
      </c>
    </row>
    <row r="7" spans="1:89" ht="82.5" customHeight="1">
      <c r="C7" s="149"/>
      <c r="D7" s="2093" t="s">
        <v>1520</v>
      </c>
      <c r="E7" s="2093"/>
      <c r="F7" s="2093"/>
      <c r="G7" s="1275" t="s">
        <v>1521</v>
      </c>
      <c r="H7" s="1276"/>
      <c r="I7" s="149"/>
      <c r="J7" s="149"/>
      <c r="AU7">
        <v>3</v>
      </c>
      <c r="AV7" s="1269" t="str">
        <f t="array" ref="AV7">IFERROR(INDEX($BB$5:$BB$308, MATCH(0,COUNTIF($AV$3:AV6, $BB$5:$BB$308), 0)),"")</f>
        <v>DT</v>
      </c>
      <c r="AW7" s="1270">
        <f t="array" ref="AW7">IFERROR(INDEX($BI$5:$BI$308, MATCH(1,(COUNTIF($AW$3:AW6, $BI$5:$BI$308)=0)*(($BI$5:$BI$308="PFS")+($BI$5:$BI$308="Uniject")+ISNUMBER($BI$5:$BI$308)), 0)),"")</f>
        <v>1</v>
      </c>
      <c r="AX7" s="1270">
        <f t="array" ref="AX7">IFERROR(SMALL($AW$5:$AW$19,AU7),IFERROR(INDEX($AW$5:$AW$19, MATCH(0,COUNTIF($AX$3:AX6, $AW$5:$AW$19),0)),""))</f>
        <v>4</v>
      </c>
      <c r="AY7" s="1271" t="str">
        <f t="array" ref="AY7">IFERROR(INDEX($BD$5:$BD$308, MATCH(0,COUNTIF($AY$3:AY6, $BD$5:$BD$308), 0)),"")</f>
        <v>IM</v>
      </c>
      <c r="BA7" s="1269" t="s">
        <v>863</v>
      </c>
      <c r="BB7" s="1269" t="s">
        <v>835</v>
      </c>
      <c r="BC7" s="1269" t="s">
        <v>864</v>
      </c>
      <c r="BD7" s="1269" t="s">
        <v>865</v>
      </c>
      <c r="BE7" s="1269" t="s">
        <v>872</v>
      </c>
      <c r="BF7" s="1269" t="s">
        <v>876</v>
      </c>
      <c r="BG7" s="1269" t="s">
        <v>868</v>
      </c>
      <c r="BH7" s="1269"/>
      <c r="BI7" s="1270">
        <v>20</v>
      </c>
      <c r="BJ7" s="1270">
        <v>1.125</v>
      </c>
      <c r="BK7" s="1270">
        <v>1.125</v>
      </c>
      <c r="BL7" s="1269" t="s">
        <v>870</v>
      </c>
      <c r="BM7" s="1269" t="s">
        <v>5</v>
      </c>
      <c r="BN7" s="1269" t="s">
        <v>874</v>
      </c>
      <c r="BO7" s="1272">
        <v>33270</v>
      </c>
      <c r="BP7" s="1269" t="s">
        <v>877</v>
      </c>
      <c r="BX7" s="1298" t="s">
        <v>835</v>
      </c>
      <c r="BY7" s="1299">
        <v>20</v>
      </c>
      <c r="BZ7" s="1298" t="s">
        <v>871</v>
      </c>
      <c r="CA7" s="1300">
        <v>0.17</v>
      </c>
      <c r="CD7" t="s">
        <v>2144</v>
      </c>
      <c r="CE7" t="s">
        <v>2152</v>
      </c>
      <c r="CF7" t="s">
        <v>2147</v>
      </c>
      <c r="CG7">
        <v>4.0300000000000002E-2</v>
      </c>
    </row>
    <row r="8" spans="1:89" ht="63" customHeight="1">
      <c r="C8" s="149"/>
      <c r="D8" s="2093" t="s">
        <v>2060</v>
      </c>
      <c r="E8" s="2093"/>
      <c r="F8" s="2093"/>
      <c r="G8" s="1275" t="s">
        <v>1521</v>
      </c>
      <c r="H8" s="149"/>
      <c r="I8" s="149"/>
      <c r="J8" s="149"/>
      <c r="AU8">
        <v>4</v>
      </c>
      <c r="AV8" s="1269" t="str">
        <f t="array" ref="AV8">IFERROR(INDEX($BB$5:$BB$308, MATCH(0,COUNTIF($AV$3:AV7, $BB$5:$BB$308), 0)),"")</f>
        <v>DTP</v>
      </c>
      <c r="AW8" s="1270" t="str">
        <f t="array" ref="AW8">IFERROR(INDEX($BI$5:$BI$308, MATCH(1,(COUNTIF($AW$3:AW7, $BI$5:$BI$308)=0)*(($BI$5:$BI$308="PFS")+($BI$5:$BI$308="Uniject")+ISNUMBER($BI$5:$BI$308)), 0)),"")</f>
        <v>PFS</v>
      </c>
      <c r="AX8" s="1270">
        <f t="array" ref="AX8">IFERROR(SMALL($AW$5:$AW$19,AU8),IFERROR(INDEX($AW$5:$AW$19, MATCH(0,COUNTIF($AX$3:AX7, $AW$5:$AW$19),0)),""))</f>
        <v>5</v>
      </c>
      <c r="AY8" s="1271">
        <f t="array" ref="AY8">IFERROR(INDEX($BD$5:$BD$308, MATCH(0,COUNTIF($AY$3:AY7, $BD$5:$BD$308), 0)),"")</f>
        <v>0</v>
      </c>
      <c r="BA8" s="1269" t="s">
        <v>863</v>
      </c>
      <c r="BB8" s="1269" t="s">
        <v>835</v>
      </c>
      <c r="BC8" s="1269" t="s">
        <v>864</v>
      </c>
      <c r="BD8" s="1269" t="s">
        <v>865</v>
      </c>
      <c r="BE8" s="1269" t="s">
        <v>878</v>
      </c>
      <c r="BF8" s="1269" t="s">
        <v>879</v>
      </c>
      <c r="BG8" s="1269" t="s">
        <v>868</v>
      </c>
      <c r="BH8" s="1269"/>
      <c r="BI8" s="1270">
        <v>20</v>
      </c>
      <c r="BJ8" s="1270">
        <v>1.3056000000000001</v>
      </c>
      <c r="BK8" s="1270">
        <v>1.552</v>
      </c>
      <c r="BL8" s="1269" t="s">
        <v>870</v>
      </c>
      <c r="BM8" s="1269" t="s">
        <v>5</v>
      </c>
      <c r="BN8" s="1269" t="s">
        <v>880</v>
      </c>
      <c r="BO8" s="1272">
        <v>37770</v>
      </c>
      <c r="BP8" s="1269" t="s">
        <v>881</v>
      </c>
      <c r="BX8" s="1298" t="s">
        <v>835</v>
      </c>
      <c r="BY8" s="1299">
        <v>20</v>
      </c>
      <c r="BZ8" s="1298" t="s">
        <v>2110</v>
      </c>
      <c r="CA8" s="1300">
        <v>0.105</v>
      </c>
      <c r="CD8" t="s">
        <v>2144</v>
      </c>
      <c r="CE8" t="s">
        <v>2152</v>
      </c>
      <c r="CF8" t="s">
        <v>2148</v>
      </c>
      <c r="CG8">
        <v>2.9899999999999999E-2</v>
      </c>
    </row>
    <row r="9" spans="1:89" ht="40.5" customHeight="1">
      <c r="C9" s="149"/>
      <c r="D9" s="149"/>
      <c r="E9" s="149"/>
      <c r="F9" s="2779" t="s">
        <v>1544</v>
      </c>
      <c r="G9" s="2779"/>
      <c r="H9" s="2780" t="s">
        <v>1545</v>
      </c>
      <c r="I9" s="2780"/>
      <c r="J9" s="149"/>
      <c r="AU9">
        <v>5</v>
      </c>
      <c r="AV9" s="1269" t="str">
        <f t="array" ref="AV9">IFERROR(INDEX($BB$5:$BB$308, MATCH(0,COUNTIF($AV$3:AV8, $BB$5:$BB$308), 0)),"")</f>
        <v>DTaP</v>
      </c>
      <c r="AW9" s="1270">
        <f t="array" ref="AW9">IFERROR(INDEX($BI$5:$BI$308, MATCH(1,(COUNTIF($AW$3:AW8, $BI$5:$BI$308)=0)*(($BI$5:$BI$308="PFS")+($BI$5:$BI$308="Uniject")+ISNUMBER($BI$5:$BI$308)), 0)),"")</f>
        <v>2</v>
      </c>
      <c r="AX9" s="1270">
        <f t="array" ref="AX9">IFERROR(SMALL($AW$5:$AW$19,AU9),IFERROR(INDEX($AW$5:$AW$19, MATCH(0,COUNTIF($AX$3:AX8, $AW$5:$AW$19),0)),""))</f>
        <v>6</v>
      </c>
      <c r="AY9" s="1271" t="str">
        <f t="array" ref="AY9">IFERROR(INDEX($BD$5:$BD$308, MATCH(0,COUNTIF($AY$3:AY8, $BD$5:$BD$308), 0)),"")</f>
        <v>Nasal</v>
      </c>
      <c r="BA9" s="1269" t="s">
        <v>863</v>
      </c>
      <c r="BB9" s="1269" t="s">
        <v>835</v>
      </c>
      <c r="BC9" s="1269" t="s">
        <v>864</v>
      </c>
      <c r="BD9" s="1269" t="s">
        <v>865</v>
      </c>
      <c r="BE9" s="1269" t="s">
        <v>882</v>
      </c>
      <c r="BF9" s="1269" t="s">
        <v>883</v>
      </c>
      <c r="BG9" s="1269" t="s">
        <v>868</v>
      </c>
      <c r="BH9" s="1269"/>
      <c r="BI9" s="1270">
        <v>10</v>
      </c>
      <c r="BJ9" s="1270">
        <v>1.33</v>
      </c>
      <c r="BK9" s="1270">
        <v>1.33</v>
      </c>
      <c r="BL9" s="1269" t="s">
        <v>884</v>
      </c>
      <c r="BM9" s="1269" t="s">
        <v>5</v>
      </c>
      <c r="BN9" s="1269" t="s">
        <v>885</v>
      </c>
      <c r="BO9" s="1272">
        <v>31778</v>
      </c>
      <c r="BP9" s="1269" t="s">
        <v>886</v>
      </c>
      <c r="BX9" s="1298" t="s">
        <v>906</v>
      </c>
      <c r="BY9" s="1299">
        <v>10</v>
      </c>
      <c r="BZ9" s="1298" t="s">
        <v>2109</v>
      </c>
      <c r="CA9" s="1300">
        <v>0.16700000000000001</v>
      </c>
      <c r="CD9" t="s">
        <v>2144</v>
      </c>
      <c r="CE9" t="s">
        <v>2152</v>
      </c>
      <c r="CF9" t="s">
        <v>2149</v>
      </c>
      <c r="CG9">
        <v>3.5999999999999997E-2</v>
      </c>
    </row>
    <row r="10" spans="1:89" ht="36.75" customHeight="1">
      <c r="C10" s="149"/>
      <c r="D10" s="149"/>
      <c r="E10" s="149"/>
      <c r="F10" s="1277" t="s">
        <v>1524</v>
      </c>
      <c r="G10" s="1278" t="s">
        <v>1525</v>
      </c>
      <c r="H10" s="1277" t="s">
        <v>1524</v>
      </c>
      <c r="I10" s="1278" t="s">
        <v>1525</v>
      </c>
      <c r="J10" s="149"/>
      <c r="N10" s="1339"/>
      <c r="AU10">
        <v>6</v>
      </c>
      <c r="AV10" s="1269" t="str">
        <f t="array" ref="AV10">IFERROR(INDEX($BB$5:$BB$308, MATCH(0,COUNTIF($AV$3:AV9, $BB$5:$BB$308), 0)),"")</f>
        <v>DT-IPV</v>
      </c>
      <c r="AW10" s="1270">
        <f t="array" ref="AW10">IFERROR(INDEX($BI$5:$BI$308, MATCH(1,(COUNTIF($AW$3:AW9, $BI$5:$BI$308)=0)*(($BI$5:$BI$308="PFS")+($BI$5:$BI$308="Uniject")+ISNUMBER($BI$5:$BI$308)), 0)),"")</f>
        <v>5</v>
      </c>
      <c r="AX10" s="1270">
        <f t="array" ref="AX10">IFERROR(SMALL($AW$5:$AW$19,AU10),IFERROR(INDEX($AW$5:$AW$19, MATCH(0,COUNTIF($AX$3:AX9, $AW$5:$AW$19),0)),""))</f>
        <v>10</v>
      </c>
      <c r="AY10" s="1271" t="str">
        <f t="array" ref="AY10">IFERROR(INDEX($BD$5:$BD$308, MATCH(0,COUNTIF($AY$3:AY9, $BD$5:$BD$308), 0)),"")</f>
        <v>SC</v>
      </c>
      <c r="BA10" s="1269" t="s">
        <v>887</v>
      </c>
      <c r="BB10" s="1269" t="s">
        <v>888</v>
      </c>
      <c r="BC10" s="1269" t="s">
        <v>889</v>
      </c>
      <c r="BD10" s="1269" t="s">
        <v>890</v>
      </c>
      <c r="BE10" s="1269" t="s">
        <v>891</v>
      </c>
      <c r="BF10" s="1269" t="s">
        <v>892</v>
      </c>
      <c r="BG10" s="1269" t="s">
        <v>893</v>
      </c>
      <c r="BH10" s="1269"/>
      <c r="BI10" s="1270" t="s">
        <v>894</v>
      </c>
      <c r="BJ10" s="1270">
        <v>271</v>
      </c>
      <c r="BK10" s="1270"/>
      <c r="BL10" s="1269" t="s">
        <v>895</v>
      </c>
      <c r="BM10" s="1269"/>
      <c r="BN10" s="1269" t="s">
        <v>896</v>
      </c>
      <c r="BO10" s="1272">
        <v>37189</v>
      </c>
      <c r="BP10" s="1269" t="s">
        <v>897</v>
      </c>
      <c r="BX10" s="1298" t="s">
        <v>906</v>
      </c>
      <c r="BY10" s="1299">
        <v>11</v>
      </c>
      <c r="BZ10" s="1269" t="s">
        <v>2111</v>
      </c>
      <c r="CA10" s="1300">
        <v>0.16</v>
      </c>
      <c r="CD10" t="s">
        <v>2144</v>
      </c>
      <c r="CE10" t="s">
        <v>2152</v>
      </c>
      <c r="CF10" t="s">
        <v>2150</v>
      </c>
      <c r="CG10">
        <v>3.4090000000000002E-2</v>
      </c>
    </row>
    <row r="11" spans="1:89" ht="18.75" customHeight="1">
      <c r="C11" s="149"/>
      <c r="D11" s="2765" t="s">
        <v>1546</v>
      </c>
      <c r="E11" s="2766"/>
      <c r="F11" s="1032"/>
      <c r="G11" s="1033">
        <f>IF(F11&lt;&gt;"",F11,0.102*1000000/1800)</f>
        <v>56.666666666666664</v>
      </c>
      <c r="H11" s="1032"/>
      <c r="I11" s="1307">
        <f t="array" ref="I11">IF(H11&lt;&gt;"",H11,
IF($G$8="Minimum",MIN(IF($CD$5:$CD$25="AD Syringe",$CG$5:$CG$25)),
IF($G$8="Average",AVERAGE(IF($CD$5:$CD$25="AD Syringe",$CG$5:$CG$25)),
IF($G$8="Maximum",MAX(IF($CD$5:$CD$25="AD Syringe",$CG$5:$CG$25))))))</f>
        <v>3.643769230769231E-2</v>
      </c>
      <c r="J11" s="149"/>
      <c r="N11" s="1339"/>
      <c r="AU11">
        <v>7</v>
      </c>
      <c r="AV11" s="1269" t="str">
        <f t="array" ref="AV11">IFERROR(INDEX($BB$5:$BB$308, MATCH(0,COUNTIF($AV$3:AV10, $BB$5:$BB$308), 0)),"")</f>
        <v>DTP+HepB</v>
      </c>
      <c r="AW11" s="1270" t="str">
        <f t="array" ref="AW11">IFERROR(INDEX($BI$5:$BI$308, MATCH(1,(COUNTIF($AW$3:AW10, $BI$5:$BI$308)=0)*(($BI$5:$BI$308="PFS")+($BI$5:$BI$308="Uniject")+ISNUMBER($BI$5:$BI$308)), 0)),"")</f>
        <v>Uniject</v>
      </c>
      <c r="AX11" s="1270">
        <f t="array" ref="AX11">IFERROR(SMALL($AW$5:$AW$19,AU11),IFERROR(INDEX($AW$5:$AW$19, MATCH(0,COUNTIF($AX$3:AX10, $AW$5:$AW$19),0)),""))</f>
        <v>17</v>
      </c>
      <c r="AY11" s="1271" t="str">
        <f t="array" ref="AY11">IFERROR(INDEX($BD$5:$BD$308, MATCH(0,COUNTIF($AY$3:AY10, $BD$5:$BD$308), 0)),"")</f>
        <v/>
      </c>
      <c r="BA11" s="1269" t="s">
        <v>887</v>
      </c>
      <c r="BB11" s="1269" t="s">
        <v>888</v>
      </c>
      <c r="BC11" s="1269" t="s">
        <v>889</v>
      </c>
      <c r="BD11" s="1269" t="s">
        <v>890</v>
      </c>
      <c r="BE11" s="1269" t="s">
        <v>891</v>
      </c>
      <c r="BF11" s="1269" t="s">
        <v>898</v>
      </c>
      <c r="BG11" s="1269" t="s">
        <v>893</v>
      </c>
      <c r="BH11" s="1269"/>
      <c r="BI11" s="1270" t="s">
        <v>894</v>
      </c>
      <c r="BJ11" s="1270">
        <v>136</v>
      </c>
      <c r="BK11" s="1270"/>
      <c r="BL11" s="1269" t="s">
        <v>895</v>
      </c>
      <c r="BM11" s="1269"/>
      <c r="BN11" s="1269" t="s">
        <v>896</v>
      </c>
      <c r="BO11" s="1272">
        <v>37189</v>
      </c>
      <c r="BP11" s="1269" t="s">
        <v>897</v>
      </c>
      <c r="BX11" s="1298" t="s">
        <v>925</v>
      </c>
      <c r="BY11" s="1299">
        <v>10</v>
      </c>
      <c r="BZ11" s="1298" t="s">
        <v>2111</v>
      </c>
      <c r="CA11" s="1300">
        <v>0.24</v>
      </c>
      <c r="CD11" t="s">
        <v>2144</v>
      </c>
      <c r="CE11" t="s">
        <v>2154</v>
      </c>
      <c r="CF11" t="s">
        <v>2146</v>
      </c>
      <c r="CG11">
        <v>3.5499999999999997E-2</v>
      </c>
    </row>
    <row r="12" spans="1:89" ht="18.75" customHeight="1">
      <c r="C12" s="149"/>
      <c r="D12" s="2768" t="s">
        <v>1547</v>
      </c>
      <c r="E12" s="2769"/>
      <c r="F12" s="1034"/>
      <c r="G12" s="1035">
        <f>IF(F12&lt;&gt;"",F12,0.106/1600*1000*1000)</f>
        <v>66.25</v>
      </c>
      <c r="H12" s="1034"/>
      <c r="I12" s="1308">
        <f>IF(H12&lt;&gt;"",H12,I11)</f>
        <v>3.643769230769231E-2</v>
      </c>
      <c r="J12" s="149" t="s">
        <v>2162</v>
      </c>
      <c r="N12" s="1339"/>
      <c r="AU12">
        <v>8</v>
      </c>
      <c r="AV12" s="1269" t="str">
        <f t="array" ref="AV12">IFERROR(INDEX($BB$5:$BB$308, MATCH(0,COUNTIF($AV$3:AV11, $BB$5:$BB$308), 0)),"")</f>
        <v>DTP+Hib</v>
      </c>
      <c r="AW12" s="1270">
        <f t="array" ref="AW12">IFERROR(INDEX($BI$5:$BI$308, MATCH(1,(COUNTIF($AW$3:AW11, $BI$5:$BI$308)=0)*(($BI$5:$BI$308="PFS")+($BI$5:$BI$308="Uniject")+ISNUMBER($BI$5:$BI$308)), 0)),"")</f>
        <v>17</v>
      </c>
      <c r="AX12" s="1270">
        <f t="array" ref="AX12">IFERROR(SMALL($AW$5:$AW$19,AU12),IFERROR(INDEX($AW$5:$AW$19, MATCH(0,COUNTIF($AX$3:AX11, $AW$5:$AW$19),0)),""))</f>
        <v>20</v>
      </c>
      <c r="BA12" s="1269" t="s">
        <v>887</v>
      </c>
      <c r="BB12" s="1269" t="s">
        <v>888</v>
      </c>
      <c r="BC12" s="1269" t="s">
        <v>889</v>
      </c>
      <c r="BD12" s="1269" t="s">
        <v>890</v>
      </c>
      <c r="BE12" s="1269" t="s">
        <v>891</v>
      </c>
      <c r="BF12" s="1269" t="s">
        <v>899</v>
      </c>
      <c r="BG12" s="1269" t="s">
        <v>893</v>
      </c>
      <c r="BH12" s="1269"/>
      <c r="BI12" s="1270">
        <v>1</v>
      </c>
      <c r="BJ12" s="1270">
        <v>44</v>
      </c>
      <c r="BK12" s="1270"/>
      <c r="BL12" s="1269" t="s">
        <v>895</v>
      </c>
      <c r="BM12" s="1269"/>
      <c r="BN12" s="1269" t="s">
        <v>896</v>
      </c>
      <c r="BO12" s="1272">
        <v>37189</v>
      </c>
      <c r="BP12" s="1269" t="s">
        <v>897</v>
      </c>
      <c r="BX12" s="1298" t="s">
        <v>925</v>
      </c>
      <c r="BY12" s="1299">
        <v>10</v>
      </c>
      <c r="BZ12" s="1298" t="s">
        <v>2110</v>
      </c>
      <c r="CA12" s="1300">
        <v>0.2</v>
      </c>
      <c r="CD12" t="s">
        <v>2144</v>
      </c>
      <c r="CE12" t="s">
        <v>2154</v>
      </c>
      <c r="CF12" t="s">
        <v>2147</v>
      </c>
      <c r="CG12">
        <v>3.9899999999999998E-2</v>
      </c>
    </row>
    <row r="13" spans="1:89" ht="19.5" customHeight="1">
      <c r="C13" s="149"/>
      <c r="D13" s="2770" t="s">
        <v>1548</v>
      </c>
      <c r="E13" s="2771"/>
      <c r="F13" s="1036"/>
      <c r="G13" s="1037">
        <f>IF(F13&lt;&gt;"",F13,60*25.7*0.45)</f>
        <v>693.9</v>
      </c>
      <c r="H13" s="1036"/>
      <c r="I13" s="1305">
        <f t="array" ref="I13">IF(H13&lt;&gt;"",H13,
IF($G$8="Minimum",MIN(IF($CD$5:$CD$25="Safety Box",$CG$5:$CG$25)),
IF($G$8="Average",AVERAGE(IF($CD$5:$CD$25="Safety Box",$CG$5:$CG$25)),
IF($G$8="Maximum",MAX(IF($CD$5:$CD$25="Safety Box",$CG$5:$CG$25))))))</f>
        <v>0.43716333333333335</v>
      </c>
      <c r="J13" s="149"/>
      <c r="N13" s="1339"/>
      <c r="AU13">
        <v>9</v>
      </c>
      <c r="AV13" s="1269" t="str">
        <f t="array" ref="AV13">IFERROR(INDEX($BB$5:$BB$308, MATCH(0,COUNTIF($AV$3:AV12, $BB$5:$BB$308), 0)),"")</f>
        <v>DTP-HepB</v>
      </c>
      <c r="AW13" s="1270">
        <f t="array" ref="AW13">IFERROR(INDEX($BI$5:$BI$308, MATCH(1,(COUNTIF($AW$3:AW12, $BI$5:$BI$308)=0)*(($BI$5:$BI$308="PFS")+($BI$5:$BI$308="Uniject")+ISNUMBER($BI$5:$BI$308)), 0)),"")</f>
        <v>6</v>
      </c>
      <c r="AX13" s="1270">
        <f t="array" ref="AX13">IFERROR(SMALL($AW$5:$AW$19,AU13),IFERROR(INDEX($AW$5:$AW$19, MATCH(0,COUNTIF($AX$3:AX12, $AW$5:$AW$19),0)),""))</f>
        <v>50</v>
      </c>
      <c r="BA13" s="1269" t="s">
        <v>887</v>
      </c>
      <c r="BB13" s="1269" t="s">
        <v>888</v>
      </c>
      <c r="BC13" s="1269" t="s">
        <v>889</v>
      </c>
      <c r="BD13" s="1269" t="s">
        <v>890</v>
      </c>
      <c r="BE13" s="1269" t="s">
        <v>891</v>
      </c>
      <c r="BF13" s="1269" t="s">
        <v>900</v>
      </c>
      <c r="BG13" s="1269" t="s">
        <v>868</v>
      </c>
      <c r="BH13" s="1269"/>
      <c r="BI13" s="1270">
        <v>1</v>
      </c>
      <c r="BJ13" s="1270">
        <v>24.4</v>
      </c>
      <c r="BK13" s="1270"/>
      <c r="BL13" s="1269" t="s">
        <v>895</v>
      </c>
      <c r="BM13" s="1269"/>
      <c r="BN13" s="1269" t="s">
        <v>896</v>
      </c>
      <c r="BO13" s="1272">
        <v>37189</v>
      </c>
      <c r="BP13" s="1269" t="s">
        <v>897</v>
      </c>
      <c r="BX13" s="1298" t="s">
        <v>1015</v>
      </c>
      <c r="BY13" s="1299">
        <v>1</v>
      </c>
      <c r="BZ13" s="1269" t="s">
        <v>2112</v>
      </c>
      <c r="CA13" s="1300">
        <v>1.1499999999999999</v>
      </c>
      <c r="CD13" t="s">
        <v>2144</v>
      </c>
      <c r="CE13" t="s">
        <v>2154</v>
      </c>
      <c r="CF13" t="s">
        <v>2148</v>
      </c>
      <c r="CG13">
        <v>3.7999999999999999E-2</v>
      </c>
    </row>
    <row r="14" spans="1:89" ht="18.75" customHeight="1">
      <c r="C14" s="149"/>
      <c r="D14" s="1255"/>
      <c r="E14" s="1255"/>
      <c r="F14" s="1279"/>
      <c r="G14" s="1280"/>
      <c r="H14" s="1281"/>
      <c r="I14" s="1282"/>
      <c r="J14" s="149"/>
      <c r="N14" s="1339"/>
      <c r="AU14">
        <v>10</v>
      </c>
      <c r="AV14" s="1269">
        <f t="array" ref="AV14">IFERROR(INDEX($BB$5:$BB$308, MATCH(0,COUNTIF($AV$3:AV13, $BB$5:$BB$308), 0)),"")</f>
        <v>0</v>
      </c>
      <c r="AW14" s="1270">
        <f t="array" ref="AW14">IFERROR(INDEX($BI$5:$BI$308, MATCH(1,(COUNTIF($AW$3:AW13, $BI$5:$BI$308)=0)*(($BI$5:$BI$308="PFS")+($BI$5:$BI$308="Uniject")+ISNUMBER($BI$5:$BI$308)), 0)),"")</f>
        <v>4</v>
      </c>
      <c r="AX14" s="1270" t="str">
        <f t="array" ref="AX14">IFERROR(SMALL($AW$5:$AW$19,AU14),IFERROR(INDEX($AW$5:$AW$19, MATCH(0,COUNTIF($AX$3:AX13, $AW$5:$AW$19),0)),""))</f>
        <v>PFS</v>
      </c>
      <c r="BA14" s="1269" t="s">
        <v>887</v>
      </c>
      <c r="BB14" s="1269" t="s">
        <v>888</v>
      </c>
      <c r="BC14" s="1269" t="s">
        <v>889</v>
      </c>
      <c r="BD14" s="1269" t="s">
        <v>890</v>
      </c>
      <c r="BE14" s="1269" t="s">
        <v>901</v>
      </c>
      <c r="BF14" s="1269" t="s">
        <v>902</v>
      </c>
      <c r="BG14" s="1269"/>
      <c r="BH14" s="1269"/>
      <c r="BI14" s="1270">
        <v>1</v>
      </c>
      <c r="BJ14" s="1270">
        <v>16.8</v>
      </c>
      <c r="BK14" s="1270"/>
      <c r="BL14" s="1269" t="s">
        <v>884</v>
      </c>
      <c r="BM14" s="1269"/>
      <c r="BN14" s="1269" t="s">
        <v>903</v>
      </c>
      <c r="BO14" s="1272">
        <v>40815</v>
      </c>
      <c r="BP14" s="1269" t="s">
        <v>904</v>
      </c>
      <c r="BX14" s="1298" t="s">
        <v>1015</v>
      </c>
      <c r="BY14" s="1299">
        <v>1</v>
      </c>
      <c r="BZ14" s="1298" t="s">
        <v>2110</v>
      </c>
      <c r="CA14" s="1300">
        <v>1.1000000000000001</v>
      </c>
      <c r="CD14" t="s">
        <v>2144</v>
      </c>
      <c r="CE14" t="s">
        <v>2154</v>
      </c>
      <c r="CF14" t="s">
        <v>2150</v>
      </c>
      <c r="CG14">
        <v>3.8300000000000001E-2</v>
      </c>
    </row>
    <row r="15" spans="1:89" ht="43" customHeight="1">
      <c r="C15" s="149"/>
      <c r="D15" s="2772" t="s">
        <v>2061</v>
      </c>
      <c r="E15" s="2773"/>
      <c r="F15" s="1283"/>
      <c r="G15" s="1284">
        <f>IF(F15&lt;&gt;"",F15,0.11)</f>
        <v>0.11</v>
      </c>
      <c r="H15" s="1281"/>
      <c r="I15" s="1282"/>
      <c r="J15" s="149"/>
      <c r="N15" s="1339"/>
      <c r="AU15">
        <v>11</v>
      </c>
      <c r="AV15" s="1269" t="str">
        <f t="array" ref="AV15">IFERROR(INDEX($BB$5:$BB$308, MATCH(0,COUNTIF($AV$3:AV14, $BB$5:$BB$308), 0)),"")</f>
        <v>DTP-HepB-Hib-lyo</v>
      </c>
      <c r="AW15" s="1270">
        <f t="array" ref="AW15">IFERROR(INDEX($BI$5:$BI$308, MATCH(1,(COUNTIF($AW$3:AW14, $BI$5:$BI$308)=0)*(($BI$5:$BI$308="PFS")+($BI$5:$BI$308="Uniject")+ISNUMBER($BI$5:$BI$308)), 0)),"")</f>
        <v>50</v>
      </c>
      <c r="AX15" s="1270" t="str">
        <f t="array" ref="AX15">IFERROR(SMALL($AW$5:$AW$19,AU15),IFERROR(INDEX($AW$5:$AW$19, MATCH(0,COUNTIF($AX$3:AX14, $AW$5:$AW$19),0)),""))</f>
        <v>Uniject</v>
      </c>
      <c r="BA15" s="1269" t="s">
        <v>905</v>
      </c>
      <c r="BB15" s="1269" t="s">
        <v>906</v>
      </c>
      <c r="BC15" s="1269" t="s">
        <v>889</v>
      </c>
      <c r="BD15" s="1269" t="s">
        <v>907</v>
      </c>
      <c r="BE15" s="1269"/>
      <c r="BF15" s="1269" t="s">
        <v>908</v>
      </c>
      <c r="BG15" s="1269"/>
      <c r="BH15" s="1269"/>
      <c r="BI15" s="1270">
        <v>20</v>
      </c>
      <c r="BJ15" s="1270">
        <v>2.4329999999999998</v>
      </c>
      <c r="BK15" s="1270"/>
      <c r="BL15" s="1269" t="s">
        <v>870</v>
      </c>
      <c r="BM15" s="1269" t="s">
        <v>834</v>
      </c>
      <c r="BN15" s="1269" t="s">
        <v>880</v>
      </c>
      <c r="BO15" s="1272">
        <v>34793</v>
      </c>
      <c r="BP15" s="1269" t="s">
        <v>909</v>
      </c>
      <c r="BX15" s="1298" t="s">
        <v>1015</v>
      </c>
      <c r="BY15" s="1299">
        <v>1</v>
      </c>
      <c r="BZ15" s="1269" t="s">
        <v>1133</v>
      </c>
      <c r="CA15" s="1300">
        <v>0.98</v>
      </c>
      <c r="CD15" t="s">
        <v>2144</v>
      </c>
      <c r="CE15" t="s">
        <v>2155</v>
      </c>
      <c r="CF15" t="s">
        <v>2147</v>
      </c>
      <c r="CG15">
        <v>3.9899999999999998E-2</v>
      </c>
    </row>
    <row r="16" spans="1:89" ht="22.4" customHeight="1">
      <c r="C16" s="149"/>
      <c r="D16" s="149"/>
      <c r="E16" s="149"/>
      <c r="F16" s="149"/>
      <c r="G16" s="149"/>
      <c r="H16" s="149"/>
      <c r="I16" s="149"/>
      <c r="J16" s="1285"/>
      <c r="N16" s="1339"/>
      <c r="AU16">
        <v>12</v>
      </c>
      <c r="AV16" s="1269" t="str">
        <f t="array" ref="AV16">IFERROR(INDEX($BB$5:$BB$308, MATCH(0,COUNTIF($AV$3:AV15, $BB$5:$BB$308), 0)),"")</f>
        <v>DTP-HepB-Hib</v>
      </c>
      <c r="AW16" s="1270" t="str">
        <f t="array" ref="AW16">IFERROR(INDEX($BI$5:$BI$308, MATCH(1,(COUNTIF($AW$3:AW15, $BI$5:$BI$308)=0)*(($BI$5:$BI$308="PFS")+($BI$5:$BI$308="Uniject")+ISNUMBER($BI$5:$BI$308)), 0)),"")</f>
        <v/>
      </c>
      <c r="AX16" s="1270" t="str">
        <f t="array" ref="AX16">IFERROR(SMALL($AW$5:$AW$19,AU16),IFERROR(INDEX($AW$5:$AW$19, MATCH(0,COUNTIF($AX$3:AX15, $AW$5:$AW$19),0)),""))</f>
        <v/>
      </c>
      <c r="BA16" s="1269" t="s">
        <v>905</v>
      </c>
      <c r="BB16" s="1269" t="s">
        <v>906</v>
      </c>
      <c r="BC16" s="1269" t="s">
        <v>889</v>
      </c>
      <c r="BD16" s="1269" t="s">
        <v>907</v>
      </c>
      <c r="BE16" s="1269"/>
      <c r="BF16" s="1269" t="s">
        <v>910</v>
      </c>
      <c r="BG16" s="1269"/>
      <c r="BH16" s="1269"/>
      <c r="BI16" s="1270">
        <v>10</v>
      </c>
      <c r="BJ16" s="1270">
        <v>2.6110000000000002</v>
      </c>
      <c r="BK16" s="1270"/>
      <c r="BL16" s="1269" t="s">
        <v>870</v>
      </c>
      <c r="BM16" s="1269" t="s">
        <v>834</v>
      </c>
      <c r="BN16" s="1269" t="s">
        <v>880</v>
      </c>
      <c r="BO16" s="1272">
        <v>34793</v>
      </c>
      <c r="BP16" s="1269" t="s">
        <v>911</v>
      </c>
      <c r="BX16" s="1298" t="s">
        <v>1015</v>
      </c>
      <c r="BY16" s="1299">
        <v>10</v>
      </c>
      <c r="BZ16" s="1269" t="s">
        <v>2112</v>
      </c>
      <c r="CA16" s="1300">
        <v>0.72499999999999998</v>
      </c>
      <c r="CD16" t="s">
        <v>2144</v>
      </c>
      <c r="CE16" t="s">
        <v>2155</v>
      </c>
      <c r="CF16" t="s">
        <v>2148</v>
      </c>
      <c r="CG16">
        <v>3.7999999999999999E-2</v>
      </c>
    </row>
    <row r="17" spans="3:86" ht="18" customHeight="1">
      <c r="N17" s="1339"/>
      <c r="AU17">
        <v>13</v>
      </c>
      <c r="AV17" s="1269" t="str">
        <f t="array" ref="AV17">IFERROR(INDEX($BB$5:$BB$308, MATCH(0,COUNTIF($AV$3:AV16, $BB$5:$BB$308), 0)),"")</f>
        <v>DTP-Hib</v>
      </c>
      <c r="AW17" s="1270" t="str">
        <f t="array" ref="AW17">IFERROR(INDEX($BI$5:$BI$308, MATCH(1,(COUNTIF($AW$3:AW16, $BI$5:$BI$308)=0)*(($BI$5:$BI$308="PFS")+($BI$5:$BI$308="Uniject")+ISNUMBER($BI$5:$BI$308)), 0)),"")</f>
        <v/>
      </c>
      <c r="AX17" s="1270" t="str">
        <f t="array" ref="AX17">IFERROR(SMALL($AW$5:$AW$19,AU17),IFERROR(INDEX($AW$5:$AW$19, MATCH(0,COUNTIF($AX$3:AX16, $AW$5:$AW$19),0)),""))</f>
        <v/>
      </c>
      <c r="BA17" s="1269" t="s">
        <v>905</v>
      </c>
      <c r="BB17" s="1269" t="s">
        <v>906</v>
      </c>
      <c r="BC17" s="1269" t="s">
        <v>889</v>
      </c>
      <c r="BD17" s="1269" t="s">
        <v>907</v>
      </c>
      <c r="BE17" s="1269"/>
      <c r="BF17" s="1269" t="s">
        <v>912</v>
      </c>
      <c r="BG17" s="1269"/>
      <c r="BH17" s="1269"/>
      <c r="BI17" s="1270">
        <v>1</v>
      </c>
      <c r="BJ17" s="1270">
        <v>15.715</v>
      </c>
      <c r="BK17" s="1270"/>
      <c r="BL17" s="1269" t="s">
        <v>895</v>
      </c>
      <c r="BM17" s="1269"/>
      <c r="BN17" s="1269" t="s">
        <v>880</v>
      </c>
      <c r="BO17" s="1272">
        <v>34793</v>
      </c>
      <c r="BP17" s="1269" t="s">
        <v>913</v>
      </c>
      <c r="BX17" s="1298" t="s">
        <v>1015</v>
      </c>
      <c r="BY17" s="1299">
        <v>10</v>
      </c>
      <c r="BZ17" s="1269" t="s">
        <v>1133</v>
      </c>
      <c r="CA17" s="1300">
        <v>0.65</v>
      </c>
      <c r="CD17" t="s">
        <v>2144</v>
      </c>
      <c r="CE17" t="s">
        <v>2155</v>
      </c>
      <c r="CF17" t="s">
        <v>2150</v>
      </c>
      <c r="CG17">
        <v>3.8300000000000001E-2</v>
      </c>
    </row>
    <row r="18" spans="3:86" ht="33.75" customHeight="1">
      <c r="N18" s="1339"/>
      <c r="AU18">
        <v>14</v>
      </c>
      <c r="AV18" s="1269" t="str">
        <f t="array" ref="AV18">IFERROR(INDEX($BB$5:$BB$308, MATCH(0,COUNTIF($AV$3:AV17, $BB$5:$BB$308), 0)),"")</f>
        <v>DaTP-HepB-Hib-IPV</v>
      </c>
      <c r="AW18" s="1270" t="str">
        <f t="array" ref="AW18">IFERROR(INDEX($BI$5:$BI$308, MATCH(1,(COUNTIF($AW$3:AW17, $BI$5:$BI$308)=0)*(($BI$5:$BI$308="PFS")+($BI$5:$BI$308="Uniject")+ISNUMBER($BI$5:$BI$308)), 0)),"")</f>
        <v/>
      </c>
      <c r="AX18" s="1270" t="str">
        <f t="array" ref="AX18">IFERROR(SMALL($AW$5:$AW$19,AU18),IFERROR(INDEX($AW$5:$AW$19, MATCH(0,COUNTIF($AX$3:AX17, $AW$5:$AW$19),0)),""))</f>
        <v/>
      </c>
      <c r="BA18" s="1269" t="s">
        <v>905</v>
      </c>
      <c r="BB18" s="1269" t="s">
        <v>906</v>
      </c>
      <c r="BC18" s="1269" t="s">
        <v>889</v>
      </c>
      <c r="BD18" s="1269" t="s">
        <v>907</v>
      </c>
      <c r="BE18" s="1269"/>
      <c r="BF18" s="1269"/>
      <c r="BG18" s="1269"/>
      <c r="BH18" s="1269"/>
      <c r="BI18" s="1270" t="s">
        <v>869</v>
      </c>
      <c r="BJ18" s="1270"/>
      <c r="BK18" s="1270"/>
      <c r="BL18" s="1269" t="s">
        <v>895</v>
      </c>
      <c r="BM18" s="1269"/>
      <c r="BN18" s="1269" t="s">
        <v>914</v>
      </c>
      <c r="BO18" s="1272">
        <v>35633</v>
      </c>
      <c r="BP18" s="1269" t="s">
        <v>915</v>
      </c>
      <c r="BX18" s="1298" t="s">
        <v>1015</v>
      </c>
      <c r="BY18" s="1299">
        <v>10</v>
      </c>
      <c r="BZ18" s="1269" t="s">
        <v>2113</v>
      </c>
      <c r="CA18" s="1300">
        <v>0.85</v>
      </c>
      <c r="CD18" t="s">
        <v>2156</v>
      </c>
      <c r="CE18" t="s">
        <v>2157</v>
      </c>
      <c r="CF18" t="s">
        <v>2149</v>
      </c>
      <c r="CG18">
        <v>0.44800000000000001</v>
      </c>
    </row>
    <row r="19" spans="3:86" ht="25.4" customHeight="1">
      <c r="N19" s="1339"/>
      <c r="AU19">
        <v>15</v>
      </c>
      <c r="AV19" s="1269" t="str">
        <f t="array" ref="AV19">IFERROR(INDEX($BB$5:$BB$308, MATCH(0,COUNTIF($AV$3:AV18, $BB$5:$BB$308), 0)),"")</f>
        <v>DTP-IPV+Hib</v>
      </c>
      <c r="AW19" s="1270" t="str">
        <f t="array" ref="AW19">IFERROR(INDEX($BI$5:$BI$308, MATCH(1,(COUNTIF($AW$3:AW18, $BI$5:$BI$308)=0)*(($BI$5:$BI$308="PFS")+($BI$5:$BI$308="Uniject")+ISNUMBER($BI$5:$BI$308)), 0)),"")</f>
        <v/>
      </c>
      <c r="AX19" s="1270" t="str">
        <f t="array" ref="AX19">IFERROR(SMALL($AW$5:$AW$19,AU19),IFERROR(INDEX($AW$5:$AW$19, MATCH(0,COUNTIF($AX$3:AX18, $AW$5:$AW$19),0)),""))</f>
        <v/>
      </c>
      <c r="BA19" s="1269" t="s">
        <v>905</v>
      </c>
      <c r="BB19" s="1269" t="s">
        <v>906</v>
      </c>
      <c r="BC19" s="1269" t="s">
        <v>889</v>
      </c>
      <c r="BD19" s="1269" t="s">
        <v>907</v>
      </c>
      <c r="BE19" s="1269"/>
      <c r="BF19" s="1269" t="s">
        <v>916</v>
      </c>
      <c r="BG19" s="1269"/>
      <c r="BH19" s="1269"/>
      <c r="BI19" s="1270">
        <v>10</v>
      </c>
      <c r="BJ19" s="1270">
        <v>2.46</v>
      </c>
      <c r="BK19" s="1270"/>
      <c r="BL19" s="1269" t="s">
        <v>895</v>
      </c>
      <c r="BM19" s="1269" t="s">
        <v>834</v>
      </c>
      <c r="BN19" s="1269" t="s">
        <v>914</v>
      </c>
      <c r="BO19" s="1272">
        <v>35633</v>
      </c>
      <c r="BP19" s="1269" t="s">
        <v>917</v>
      </c>
      <c r="BX19" s="1298" t="s">
        <v>1015</v>
      </c>
      <c r="BY19" s="1299">
        <v>10</v>
      </c>
      <c r="BZ19" s="1269" t="s">
        <v>2110</v>
      </c>
      <c r="CA19" s="1300">
        <v>0.69</v>
      </c>
      <c r="CD19" t="s">
        <v>2156</v>
      </c>
      <c r="CE19" t="s">
        <v>2157</v>
      </c>
      <c r="CF19" t="s">
        <v>2150</v>
      </c>
      <c r="CG19">
        <v>0.45</v>
      </c>
    </row>
    <row r="20" spans="3:86" ht="32.25" customHeight="1">
      <c r="C20" s="1038" t="s">
        <v>5820</v>
      </c>
      <c r="D20" s="1038"/>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U20">
        <v>16</v>
      </c>
      <c r="AV20" s="1269" t="str">
        <f t="array" ref="AV20">IFERROR(INDEX($BB$5:$BB$308, MATCH(0,COUNTIF($AV$3:AV19, $BB$5:$BB$308), 0)),"")</f>
        <v>H1N1</v>
      </c>
      <c r="BA20" s="1269" t="s">
        <v>905</v>
      </c>
      <c r="BB20" s="1269" t="s">
        <v>906</v>
      </c>
      <c r="BC20" s="1269" t="s">
        <v>889</v>
      </c>
      <c r="BD20" s="1269" t="s">
        <v>907</v>
      </c>
      <c r="BE20" s="1269" t="s">
        <v>918</v>
      </c>
      <c r="BF20" s="1269" t="s">
        <v>916</v>
      </c>
      <c r="BG20" s="1269"/>
      <c r="BH20" s="1269"/>
      <c r="BI20" s="1270">
        <v>10</v>
      </c>
      <c r="BJ20" s="1270">
        <v>2.1</v>
      </c>
      <c r="BK20" s="1270"/>
      <c r="BL20" s="1269" t="s">
        <v>870</v>
      </c>
      <c r="BM20" s="1269" t="s">
        <v>834</v>
      </c>
      <c r="BN20" s="1269" t="s">
        <v>919</v>
      </c>
      <c r="BO20" s="1272">
        <v>36230</v>
      </c>
      <c r="BP20" s="1269" t="s">
        <v>920</v>
      </c>
      <c r="BX20" s="1298" t="s">
        <v>1106</v>
      </c>
      <c r="BY20" s="1299">
        <v>1</v>
      </c>
      <c r="BZ20" s="1269" t="s">
        <v>1133</v>
      </c>
      <c r="CA20" s="1300">
        <v>0.42</v>
      </c>
      <c r="CD20" t="s">
        <v>2156</v>
      </c>
      <c r="CE20" t="s">
        <v>2157</v>
      </c>
      <c r="CF20" t="s">
        <v>2158</v>
      </c>
      <c r="CG20">
        <f>0.358*1.155</f>
        <v>0.41348999999999997</v>
      </c>
    </row>
    <row r="21" spans="3:86" ht="20.7" customHeight="1">
      <c r="C21" s="149"/>
      <c r="D21" s="2774" t="s">
        <v>847</v>
      </c>
      <c r="E21" s="2774"/>
      <c r="F21" s="2774"/>
      <c r="G21" s="2774"/>
      <c r="H21" s="2774"/>
      <c r="I21" s="2774"/>
      <c r="J21" s="2774"/>
      <c r="K21" s="149"/>
      <c r="L21" s="2737" t="str">
        <f>G7&amp;" packed volume per dose (cm³)"</f>
        <v>Average packed volume per dose (cm³)</v>
      </c>
      <c r="M21" s="2738"/>
      <c r="N21" s="2738"/>
      <c r="O21" s="2739"/>
      <c r="P21" s="149"/>
      <c r="Q21" s="2737" t="s">
        <v>1530</v>
      </c>
      <c r="R21" s="2738"/>
      <c r="S21" s="2739"/>
      <c r="T21" s="149"/>
      <c r="U21" s="2737" t="s">
        <v>1535</v>
      </c>
      <c r="V21" s="2738"/>
      <c r="W21" s="2738"/>
      <c r="X21" s="2738"/>
      <c r="Y21" s="2738"/>
      <c r="Z21" s="2739"/>
      <c r="AA21" s="149"/>
      <c r="AB21" s="2737" t="s">
        <v>2164</v>
      </c>
      <c r="AC21" s="2739"/>
      <c r="AD21" s="149"/>
      <c r="AE21" s="2737" t="s">
        <v>2165</v>
      </c>
      <c r="AF21" s="2738"/>
      <c r="AG21" s="2738"/>
      <c r="AH21" s="2738"/>
      <c r="AI21" s="2738"/>
      <c r="AJ21" s="2739"/>
      <c r="AK21" s="149"/>
      <c r="AU21">
        <v>17</v>
      </c>
      <c r="AV21" s="1269" t="str">
        <f t="array" ref="AV21">IFERROR(INDEX($BB$5:$BB$308, MATCH(0,COUNTIF($AV$3:AV20, $BB$5:$BB$308), 0)),"")</f>
        <v>HepA</v>
      </c>
      <c r="BA21" s="1269" t="s">
        <v>905</v>
      </c>
      <c r="BB21" s="1269" t="s">
        <v>906</v>
      </c>
      <c r="BC21" s="1269" t="s">
        <v>889</v>
      </c>
      <c r="BD21" s="1269" t="s">
        <v>907</v>
      </c>
      <c r="BE21" s="1269" t="s">
        <v>921</v>
      </c>
      <c r="BF21" s="1269" t="s">
        <v>916</v>
      </c>
      <c r="BG21" s="1269"/>
      <c r="BH21" s="1269"/>
      <c r="BI21" s="1270">
        <v>10</v>
      </c>
      <c r="BJ21" s="1270">
        <v>4.1100000000000003</v>
      </c>
      <c r="BK21" s="1270"/>
      <c r="BL21" s="1269" t="s">
        <v>884</v>
      </c>
      <c r="BM21" s="1269" t="s">
        <v>834</v>
      </c>
      <c r="BN21" s="1269" t="s">
        <v>874</v>
      </c>
      <c r="BO21" s="1272">
        <v>38846</v>
      </c>
      <c r="BP21" s="1269" t="s">
        <v>922</v>
      </c>
      <c r="BX21" s="1298" t="s">
        <v>1106</v>
      </c>
      <c r="BY21" s="1299">
        <v>1</v>
      </c>
      <c r="BZ21" s="1269" t="s">
        <v>2110</v>
      </c>
      <c r="CA21" s="1300">
        <v>0.2</v>
      </c>
      <c r="CD21" s="4" t="s">
        <v>2159</v>
      </c>
      <c r="CE21" s="4" t="s">
        <v>2160</v>
      </c>
      <c r="CF21" s="4"/>
      <c r="CG21" s="4">
        <v>0.05</v>
      </c>
      <c r="CH21" t="s">
        <v>2161</v>
      </c>
    </row>
    <row r="22" spans="3:86" ht="33.450000000000003" customHeight="1">
      <c r="C22" s="149"/>
      <c r="D22" s="2745" t="s">
        <v>833</v>
      </c>
      <c r="E22" s="2745" t="s">
        <v>1536</v>
      </c>
      <c r="F22" s="2745" t="s">
        <v>1522</v>
      </c>
      <c r="G22" s="2745" t="s">
        <v>1542</v>
      </c>
      <c r="H22" s="2745" t="s">
        <v>1523</v>
      </c>
      <c r="I22" s="2745" t="s">
        <v>1538</v>
      </c>
      <c r="J22" s="2745" t="s">
        <v>1539</v>
      </c>
      <c r="K22" s="149"/>
      <c r="L22" s="2761" t="s">
        <v>1524</v>
      </c>
      <c r="M22" s="2763"/>
      <c r="N22" s="2734" t="s">
        <v>1528</v>
      </c>
      <c r="O22" s="2736"/>
      <c r="P22" s="149"/>
      <c r="Q22" s="1287" t="s">
        <v>1529</v>
      </c>
      <c r="R22" s="2734" t="s">
        <v>1532</v>
      </c>
      <c r="S22" s="2736"/>
      <c r="T22" s="149"/>
      <c r="U22" s="2761" t="s">
        <v>1524</v>
      </c>
      <c r="V22" s="2762"/>
      <c r="W22" s="2763"/>
      <c r="X22" s="2745" t="s">
        <v>1541</v>
      </c>
      <c r="Y22" s="2745"/>
      <c r="Z22" s="2745"/>
      <c r="AA22" s="149"/>
      <c r="AB22" s="1287" t="s">
        <v>1529</v>
      </c>
      <c r="AC22" s="1286" t="s">
        <v>2141</v>
      </c>
      <c r="AD22" s="149"/>
      <c r="AE22" s="2761" t="s">
        <v>1524</v>
      </c>
      <c r="AF22" s="2762"/>
      <c r="AG22" s="2763"/>
      <c r="AH22" s="2745" t="s">
        <v>1541</v>
      </c>
      <c r="AI22" s="2745"/>
      <c r="AJ22" s="2745"/>
      <c r="AK22" s="149"/>
      <c r="AU22">
        <v>18</v>
      </c>
      <c r="AV22" s="1269" t="str">
        <f t="array" ref="AV22">IFERROR(INDEX($BB$5:$BB$308, MATCH(0,COUNTIF($AV$3:AV21, $BB$5:$BB$308), 0)),"")</f>
        <v>HepB</v>
      </c>
      <c r="BA22" s="1269" t="s">
        <v>905</v>
      </c>
      <c r="BB22" s="1269" t="s">
        <v>906</v>
      </c>
      <c r="BC22" s="1269" t="s">
        <v>889</v>
      </c>
      <c r="BD22" s="1269" t="s">
        <v>907</v>
      </c>
      <c r="BE22" s="1269" t="s">
        <v>921</v>
      </c>
      <c r="BF22" s="1269" t="s">
        <v>916</v>
      </c>
      <c r="BG22" s="1269"/>
      <c r="BH22" s="1269"/>
      <c r="BI22" s="1270">
        <v>20</v>
      </c>
      <c r="BJ22" s="1270">
        <v>2.0499999999999998</v>
      </c>
      <c r="BK22" s="1270"/>
      <c r="BL22" s="1269" t="s">
        <v>884</v>
      </c>
      <c r="BM22" s="1269" t="s">
        <v>834</v>
      </c>
      <c r="BN22" s="1269" t="s">
        <v>874</v>
      </c>
      <c r="BO22" s="1272">
        <v>38846</v>
      </c>
      <c r="BP22" s="1269" t="s">
        <v>923</v>
      </c>
      <c r="BX22" s="1298" t="s">
        <v>1106</v>
      </c>
      <c r="BY22" s="1299">
        <v>10</v>
      </c>
      <c r="BZ22" s="1269" t="s">
        <v>1133</v>
      </c>
      <c r="CA22" s="1300">
        <v>0.17499999999999999</v>
      </c>
    </row>
    <row r="23" spans="3:86" ht="47.25" customHeight="1">
      <c r="C23" s="149"/>
      <c r="D23" s="2745"/>
      <c r="E23" s="2745"/>
      <c r="F23" s="2745"/>
      <c r="G23" s="2745"/>
      <c r="H23" s="2745"/>
      <c r="I23" s="2745"/>
      <c r="J23" s="2745"/>
      <c r="K23" s="149"/>
      <c r="L23" s="1288" t="s">
        <v>1526</v>
      </c>
      <c r="M23" s="1288" t="s">
        <v>1527</v>
      </c>
      <c r="N23" s="1288" t="s">
        <v>1526</v>
      </c>
      <c r="O23" s="1288" t="s">
        <v>1527</v>
      </c>
      <c r="P23" s="149"/>
      <c r="Q23" s="1288" t="s">
        <v>1530</v>
      </c>
      <c r="R23" s="1288" t="s">
        <v>1531</v>
      </c>
      <c r="S23" s="1288" t="s">
        <v>1543</v>
      </c>
      <c r="T23" s="149"/>
      <c r="U23" s="1288" t="s">
        <v>1533</v>
      </c>
      <c r="V23" s="1288" t="s">
        <v>1534</v>
      </c>
      <c r="W23" s="1288" t="s">
        <v>1540</v>
      </c>
      <c r="X23" s="1288" t="s">
        <v>1533</v>
      </c>
      <c r="Y23" s="1288" t="s">
        <v>1534</v>
      </c>
      <c r="Z23" s="1288" t="s">
        <v>1540</v>
      </c>
      <c r="AA23" s="149"/>
      <c r="AB23" s="1288" t="s">
        <v>2142</v>
      </c>
      <c r="AC23" s="1288" t="s">
        <v>2142</v>
      </c>
      <c r="AD23" s="149"/>
      <c r="AE23" s="1288" t="s">
        <v>1533</v>
      </c>
      <c r="AF23" s="1288" t="s">
        <v>1534</v>
      </c>
      <c r="AG23" s="1288" t="s">
        <v>1540</v>
      </c>
      <c r="AH23" s="1288" t="s">
        <v>1533</v>
      </c>
      <c r="AI23" s="1288" t="s">
        <v>1534</v>
      </c>
      <c r="AJ23" s="1288" t="s">
        <v>1540</v>
      </c>
      <c r="AK23" s="149"/>
      <c r="AU23">
        <v>19</v>
      </c>
      <c r="AV23" s="1269" t="str">
        <f t="array" ref="AV23">IFERROR(INDEX($BB$5:$BB$308, MATCH(0,COUNTIF($AV$3:AV22, $BB$5:$BB$308), 0)),"")</f>
        <v>Hib_liq</v>
      </c>
      <c r="BA23" s="1269" t="s">
        <v>924</v>
      </c>
      <c r="BB23" s="1269" t="s">
        <v>925</v>
      </c>
      <c r="BC23" s="1269" t="s">
        <v>889</v>
      </c>
      <c r="BD23" s="1269" t="s">
        <v>907</v>
      </c>
      <c r="BE23" s="1269"/>
      <c r="BF23" s="1269" t="s">
        <v>908</v>
      </c>
      <c r="BG23" s="1269"/>
      <c r="BH23" s="1269"/>
      <c r="BI23" s="1270">
        <v>20</v>
      </c>
      <c r="BJ23" s="1270">
        <v>2.4329999999999998</v>
      </c>
      <c r="BK23" s="1270"/>
      <c r="BL23" s="1269" t="s">
        <v>884</v>
      </c>
      <c r="BM23" s="1269" t="s">
        <v>834</v>
      </c>
      <c r="BN23" s="1269" t="s">
        <v>880</v>
      </c>
      <c r="BO23" s="1272">
        <v>34793</v>
      </c>
      <c r="BP23" s="1269" t="s">
        <v>926</v>
      </c>
      <c r="BX23" s="1298" t="s">
        <v>1106</v>
      </c>
      <c r="BY23" s="1299">
        <v>10</v>
      </c>
      <c r="BZ23" s="1269" t="s">
        <v>2110</v>
      </c>
      <c r="CA23" s="1300">
        <v>0.2</v>
      </c>
    </row>
    <row r="24" spans="3:86" ht="19" customHeight="1">
      <c r="C24" s="1289">
        <v>1</v>
      </c>
      <c r="D24" s="1002" t="s">
        <v>925</v>
      </c>
      <c r="E24" s="1003"/>
      <c r="F24" s="1002"/>
      <c r="G24" s="1030"/>
      <c r="H24" s="1004" t="e">
        <f t="array" ref="H24">IF(D24="","",INDEX($BD$5:$BD$308,MATCH(D24&amp;F24,$BB$5:$BB$308&amp;$BI$5:$BI$308,0)))</f>
        <v>#N/A</v>
      </c>
      <c r="I24" s="1004" t="e">
        <f t="array" ref="I24">IF(D24="","",INDEX($BC$5:$BC$308,MATCH(D24&amp;F24&amp;H24,$BB$5:$BB$308&amp;$BI$5:$BI$308&amp;$BD$5:$BD$308,0)))</f>
        <v>#N/A</v>
      </c>
      <c r="J24" s="1005" t="e">
        <f t="array" ref="J24">IF(D24="","",INDEX($BM$5:$BM$308,MATCH(D24&amp;F24&amp;H24,$BB$5:$BB$308&amp;$BI$5:$BI$308&amp;$BD$5:$BD$308,0)))</f>
        <v>#N/A</v>
      </c>
      <c r="K24" s="149"/>
      <c r="L24" s="1015"/>
      <c r="M24" s="1015"/>
      <c r="N24" s="1025" t="e">
        <f t="array" ref="N24">IF(D24="","",IF(L24&lt;&gt;"",L24,
IF($G$7="Minimum",MIN(IF($BB$5:$BB$308=$D24,IF($BI$5:$BI$308=$F24, IF($BD$5:$BD$308=$H24,$BJ$5:$BJ$308)))),
IF($G$7="Maximum",MAX(IF($BB$5:$BB$308=$D24,IF($BI$5:$BI$308=$F24, IF($BD$5:$BD$308=$H24,$BJ$5:$BJ$308)))),
IF($G$7="Average",AVERAGE(IF($BB$5:$BB$308=$D24,IF($BI$5:$BI$308=$F24, IF($BD$5:$BD$308=$H24,$BJ$5:$BJ$308)))))))))</f>
        <v>#DIV/0!</v>
      </c>
      <c r="O24" s="1025" t="e">
        <f t="array" ref="O24">IF(D24="","",IF(M24&lt;&gt;"",M24,
IF($G$7="Minimum",MIN(IF($BB$5:$BB$308=$D24,IF($BI$5:$BI$308=$F24, IF($BD$5:$BD$308=$H24,$BK$5:$BK$308)))),
IF($G$7="Maximum",MAX(IF($BB$5:$BB$308=$D24,IF($BI$5:$BI$308=$F24, IF($BD$5:$BD$308=$H24,$BK$5:$BK$308)))),
IF($G$7="Average",AVERAGE(IF($BB$5:$BB$308=$D24,IF($BI$5:$BI$308=$F24, IF($BD$5:$BD$308=$H24,$BK$5:$BK$308)))))))))</f>
        <v>#DIV/0!</v>
      </c>
      <c r="P24" s="149"/>
      <c r="Q24" s="1003"/>
      <c r="R24" s="1018" t="e">
        <f t="shared" ref="R24:R43" si="0">IF(D24="","",IF(Q24&lt;&gt;"",Q24,
IF(OR(ISTEXT(F24),F24=1),0.05,
IF(J24="No",IF(F24&gt;=20,0.5,IF(F24&gt;=10,0.4,IF(F24&gt;=5,0.3,0.15))),
IF(F24&gt;=10,0.25,IF(F24&gt;=5,0.15,0.1))))))</f>
        <v>#N/A</v>
      </c>
      <c r="S24" s="1019" t="e">
        <f t="shared" ref="S24:S43" si="1">IF(D24="","",(1/(1-R24)))</f>
        <v>#N/A</v>
      </c>
      <c r="T24" s="149"/>
      <c r="U24" s="1015"/>
      <c r="V24" s="1015"/>
      <c r="W24" s="1015"/>
      <c r="X24" s="1004" t="e">
        <f>IF(OR(D24="",H24="Oral",H24="Nasal"),"",IF(U24&lt;&gt;"",U24,IF(ISTEXT(F24),0,$G$11*(1+$G$15))))</f>
        <v>#N/A</v>
      </c>
      <c r="Y24" s="1025" t="e">
        <f>IF(OR(D24="",I24="liquid",H24="Oral",H24="Nasal",ISTEXT(F24)),"",IF(V24&lt;&gt;"",V24,$G$12*S24/F24))</f>
        <v>#N/A</v>
      </c>
      <c r="Z24" s="1027" t="e">
        <f>IF(D24="",0,IF(W24&lt;&gt;"",W24,(COUNT($X24:$X24)+COUNT($Y24:$Y24)/IF(ISTEXT($F24),1,$F24))*$G$13/100))</f>
        <v>#DIV/0!</v>
      </c>
      <c r="AA24" s="149"/>
      <c r="AB24" s="1003"/>
      <c r="AC24" s="1302" t="e">
        <f t="array" ref="AC24">IF(D24="","",IF(AB24&lt;&gt;"",AB24,
IF($G$7="Minimum",MIN(IF($BX$5:$BX$138=$D24,IF($BY$5:$BY$138=$F24, $CA$5:$CA$138))),
IF($G$7="Maximum",MAX(IF($BX$5:$BX$138=$D24,IF($BY$5:$BY$138=$F24, $CA$5:$CA$138))),
IF($G$7="Average",AVERAGE(IF($BX$5:$BX$138=$D24,IF($BY$5:$BY$138=$F24, $CA$5:$CA$138))))))))</f>
        <v>#DIV/0!</v>
      </c>
      <c r="AD24" s="149"/>
      <c r="AE24" s="1015"/>
      <c r="AF24" s="1015"/>
      <c r="AG24" s="1015"/>
      <c r="AH24" s="1302" t="e">
        <f>IF(OR(D24="",H24="Oral",H24="Nasal"),"",IF(U24&lt;&gt;"",U24,IF(ISTEXT(F24),0,$I$11*(1+$G$15))))</f>
        <v>#N/A</v>
      </c>
      <c r="AI24" s="1309" t="e">
        <f>IF(OR(D24="",I24="liquid",H24="Oral",H24="Nasal",ISTEXT(F24)),"",IF(AF24&lt;&gt;"",AF24,$I$12*S24/F24))</f>
        <v>#N/A</v>
      </c>
      <c r="AJ24" s="1302" t="e">
        <f>IF(D24="","",IF(AG24&lt;&gt;"",AG24,(COUNT($AH24)+COUNT($AI24)/IF(ISTEXT($F24),1,$F24))*$I$13/100))</f>
        <v>#DIV/0!</v>
      </c>
      <c r="AK24" s="149"/>
      <c r="AU24">
        <v>20</v>
      </c>
      <c r="AV24" s="1269" t="str">
        <f t="array" ref="AV24">IFERROR(INDEX($BB$5:$BB$308, MATCH(0,COUNTIF($AV$3:AV23, $BB$5:$BB$308), 0)),"")</f>
        <v>Hib_lyo</v>
      </c>
      <c r="BA24" s="1269" t="s">
        <v>924</v>
      </c>
      <c r="BB24" s="1269" t="s">
        <v>925</v>
      </c>
      <c r="BC24" s="1269" t="s">
        <v>889</v>
      </c>
      <c r="BD24" s="1269" t="s">
        <v>907</v>
      </c>
      <c r="BE24" s="1269"/>
      <c r="BF24" s="1269" t="s">
        <v>910</v>
      </c>
      <c r="BG24" s="1269"/>
      <c r="BH24" s="1269"/>
      <c r="BI24" s="1270">
        <v>10</v>
      </c>
      <c r="BJ24" s="1270">
        <v>2.6110000000000002</v>
      </c>
      <c r="BK24" s="1270"/>
      <c r="BL24" s="1269" t="s">
        <v>884</v>
      </c>
      <c r="BM24" s="1269" t="s">
        <v>834</v>
      </c>
      <c r="BN24" s="1269" t="s">
        <v>880</v>
      </c>
      <c r="BO24" s="1272">
        <v>34793</v>
      </c>
      <c r="BP24" s="1269" t="s">
        <v>927</v>
      </c>
      <c r="BX24" s="1298" t="s">
        <v>1106</v>
      </c>
      <c r="BY24" s="1299">
        <v>1</v>
      </c>
      <c r="BZ24" s="1269" t="s">
        <v>2110</v>
      </c>
      <c r="CA24" s="1300">
        <v>0.3</v>
      </c>
    </row>
    <row r="25" spans="3:86" ht="19" customHeight="1">
      <c r="C25" s="1289">
        <v>2</v>
      </c>
      <c r="D25" s="1006"/>
      <c r="E25" s="1007"/>
      <c r="F25" s="1006"/>
      <c r="G25" s="1031"/>
      <c r="H25" s="1008" t="str">
        <f t="array" ref="H25">IF(D25="","",INDEX($BD$5:$BD$308,MATCH(D25&amp;F25,$BB$5:$BB$308&amp;$BI$5:$BI$308,0)))</f>
        <v/>
      </c>
      <c r="I25" s="1008" t="str">
        <f t="array" ref="I25">IF(D25="","",INDEX($BC$5:$BC$308,MATCH(D25&amp;F25&amp;H25,$BB$5:$BB$308&amp;$BI$5:$BI$308&amp;$BD$5:$BD$308,0)))</f>
        <v/>
      </c>
      <c r="J25" s="1009" t="str">
        <f t="array" ref="J25">IF(D25="","",INDEX($BM$5:$BM$308,MATCH(D25&amp;F25&amp;H25,$BB$5:$BB$308&amp;$BI$5:$BI$308&amp;$BD$5:$BD$308,0)))</f>
        <v/>
      </c>
      <c r="K25" s="149"/>
      <c r="L25" s="1016"/>
      <c r="M25" s="1016"/>
      <c r="N25" s="294" t="str">
        <f t="array" ref="N25">IF(D25="","",IF(L25&lt;&gt;"",L25,
IF($G$7="Minimum",MIN(IF($BB$5:$BB$308=$D25,IF($BI$5:$BI$308=$F25, IF($BD$5:$BD$308=$H25,$BJ$5:$BJ$308)))),
IF($G$7="Maximum",MAX(IF($BB$5:$BB$308=$D25,IF($BI$5:$BI$308=$F25, IF($BD$5:$BD$308=$H25,$BJ$5:$BJ$308)))),
IF($G$7="Average",AVERAGE(IF($BB$5:$BB$308=$D25,IF($BI$5:$BI$308=$F25, IF($BD$5:$BD$308=$H25,$BJ$5:$BJ$308)))))))))</f>
        <v/>
      </c>
      <c r="O25" s="294" t="str">
        <f t="array" ref="O25">IF(D25="","",IF(M25&lt;&gt;"",M25,
IF($G$7="Minimum",MIN(IF($BB$5:$BB$308=$D25,IF($BI$5:$BI$308=$F25, IF($BD$5:$BD$308=$H25,$BK$5:$BK$308)))),
IF($G$7="Maximum",MAX(IF($BB$5:$BB$308=$D25,IF($BI$5:$BI$308=$F25, IF($BD$5:$BD$308=$H25,$BK$5:$BK$308)))),
IF($G$7="Average",AVERAGE(IF($BB$5:$BB$308=$D25,IF($BI$5:$BI$308=$F25, IF($BD$5:$BD$308=$H25,$BK$5:$BK$308)))))))))</f>
        <v/>
      </c>
      <c r="P25" s="149"/>
      <c r="Q25" s="1007"/>
      <c r="R25" s="1020" t="str">
        <f t="shared" si="0"/>
        <v/>
      </c>
      <c r="S25" s="1021" t="str">
        <f t="shared" si="1"/>
        <v/>
      </c>
      <c r="T25" s="149"/>
      <c r="U25" s="1016"/>
      <c r="V25" s="1016"/>
      <c r="W25" s="1016"/>
      <c r="X25" s="1008" t="str">
        <f t="shared" ref="X25:X43" si="2">IF(OR(D25="",H25="Oral",H25="Nasal"),"",IF(U25&lt;&gt;"",U25,IF(ISTEXT(F25),0,$G$11*(1+$G$15))))</f>
        <v/>
      </c>
      <c r="Y25" s="294" t="str">
        <f t="shared" ref="Y25:Y43" si="3">IF(OR(D25="",I25="liquid",H25="Oral",H25="Nasal",ISTEXT(F25)),"",IF(V25&lt;&gt;"",V25,$G$12*S25/F25))</f>
        <v/>
      </c>
      <c r="Z25" s="1028">
        <f t="shared" ref="Z25:Z43" si="4">IF(D25="",0,IF(W25&lt;&gt;"",W25,(COUNT($X25:$X25)+COUNT($Y25:$Y25)/IF(ISTEXT($F25),1,$F25))*$G$13/100))</f>
        <v>0</v>
      </c>
      <c r="AA25" s="149"/>
      <c r="AB25" s="1007"/>
      <c r="AC25" s="1303" t="str">
        <f t="array" ref="AC25">IF(D25="","",IF(AB25&lt;&gt;"",AB25,
IF($G$7="Minimum",MIN(IF($BX$5:$BX$138=$D25,IF($BY$5:$BY$138=$F25, $CA$5:$CA$138))),
IF($G$7="Maximum",MAX(IF($BX$5:$BX$138=$D25,IF($BY$5:$BY$138=$F25, $CA$5:$CA$138))),
IF($G$7="Average",AVERAGE(IF($BX$5:$BX$138=$D25,IF($BY$5:$BY$138=$F25, $CA$5:$CA$138))))))))</f>
        <v/>
      </c>
      <c r="AD25" s="149"/>
      <c r="AE25" s="1016"/>
      <c r="AF25" s="1016"/>
      <c r="AG25" s="1016"/>
      <c r="AH25" s="1303" t="str">
        <f t="shared" ref="AH25:AH43" si="5">IF(OR(D25="",H25="Oral",H25="Nasal"),"",IF(U25&lt;&gt;"",U25,IF(ISTEXT(F25),0,$I$11*(1+$G$15))))</f>
        <v/>
      </c>
      <c r="AI25" s="1310" t="str">
        <f t="shared" ref="AI25:AI43" si="6">IF(OR(D25="",I25="liquid",H25="Oral",H25="Nasal",ISTEXT(F25)),"",IF(AF25&lt;&gt;"",AF25,$I$12*S25/F25))</f>
        <v/>
      </c>
      <c r="AJ25" s="1303" t="str">
        <f t="shared" ref="AJ25:AJ43" si="7">IF(D25="","",IF(AG25&lt;&gt;"",AG25,(COUNT($AH25)+COUNT($AI25)/IF(ISTEXT($F25),1,$F25))*$I$13/100))</f>
        <v/>
      </c>
      <c r="AK25" s="149"/>
      <c r="AU25">
        <v>21</v>
      </c>
      <c r="AV25" s="1269" t="str">
        <f t="array" ref="AV25">IFERROR(INDEX($BB$5:$BB$308, MATCH(0,COUNTIF($AV$3:AV24, $BB$5:$BB$308), 0)),"")</f>
        <v>HPV</v>
      </c>
      <c r="BA25" s="1269" t="s">
        <v>924</v>
      </c>
      <c r="BB25" s="1269" t="s">
        <v>925</v>
      </c>
      <c r="BC25" s="1269" t="s">
        <v>889</v>
      </c>
      <c r="BD25" s="1269" t="s">
        <v>907</v>
      </c>
      <c r="BE25" s="1269"/>
      <c r="BF25" s="1269" t="s">
        <v>912</v>
      </c>
      <c r="BG25" s="1269"/>
      <c r="BH25" s="1269"/>
      <c r="BI25" s="1270">
        <v>1</v>
      </c>
      <c r="BJ25" s="1270">
        <v>15.715</v>
      </c>
      <c r="BK25" s="1270"/>
      <c r="BL25" s="1269" t="s">
        <v>895</v>
      </c>
      <c r="BM25" s="1269"/>
      <c r="BN25" s="1269" t="s">
        <v>880</v>
      </c>
      <c r="BO25" s="1272">
        <v>34793</v>
      </c>
      <c r="BP25" s="1269" t="s">
        <v>928</v>
      </c>
      <c r="BX25" s="1298" t="s">
        <v>1106</v>
      </c>
      <c r="BY25" s="1299">
        <v>10</v>
      </c>
      <c r="BZ25" s="1269" t="s">
        <v>2110</v>
      </c>
      <c r="CA25" s="1300">
        <v>0.3</v>
      </c>
    </row>
    <row r="26" spans="3:86" ht="19" customHeight="1">
      <c r="C26" s="1289">
        <v>3</v>
      </c>
      <c r="D26" s="1006"/>
      <c r="E26" s="1007"/>
      <c r="F26" s="1006"/>
      <c r="G26" s="1031"/>
      <c r="H26" s="1008" t="str">
        <f t="array" ref="H26">IF(D26="","",INDEX($BD$5:$BD$308,MATCH(D26&amp;F26,$BB$5:$BB$308&amp;$BI$5:$BI$308,0)))</f>
        <v/>
      </c>
      <c r="I26" s="1008" t="str">
        <f t="array" ref="I26">IF(D26="","",INDEX($BC$5:$BC$308,MATCH(D26&amp;F26&amp;H26,$BB$5:$BB$308&amp;$BI$5:$BI$308&amp;$BD$5:$BD$308,0)))</f>
        <v/>
      </c>
      <c r="J26" s="1009" t="str">
        <f t="array" ref="J26">IF(D26="","",INDEX($BM$5:$BM$308,MATCH(D26&amp;F26&amp;H26,$BB$5:$BB$308&amp;$BI$5:$BI$308&amp;$BD$5:$BD$308,0)))</f>
        <v/>
      </c>
      <c r="K26" s="149"/>
      <c r="L26" s="1016"/>
      <c r="M26" s="1016"/>
      <c r="N26" s="294" t="str">
        <f t="array" ref="N26">IF(D26="","",IF(L26&lt;&gt;"",L26,
IF($G$7="Minimum",MIN(IF($BB$5:$BB$308=$D26,IF($BI$5:$BI$308=$F26, IF($BD$5:$BD$308=$H26,$BJ$5:$BJ$308)))),
IF($G$7="Maximum",MAX(IF($BB$5:$BB$308=$D26,IF($BI$5:$BI$308=$F26, IF($BD$5:$BD$308=$H26,$BJ$5:$BJ$308)))),
IF($G$7="Average",AVERAGE(IF($BB$5:$BB$308=$D26,IF($BI$5:$BI$308=$F26, IF($BD$5:$BD$308=$H26,$BJ$5:$BJ$308)))))))))</f>
        <v/>
      </c>
      <c r="O26" s="294" t="str">
        <f t="array" ref="O26">IF(D26="","",IF(M26&lt;&gt;"",M26,
IF($G$7="Minimum",MIN(IF($BB$5:$BB$308=$D26,IF($BI$5:$BI$308=$F26, IF($BD$5:$BD$308=$H26,$BK$5:$BK$308)))),
IF($G$7="Maximum",MAX(IF($BB$5:$BB$308=$D26,IF($BI$5:$BI$308=$F26, IF($BD$5:$BD$308=$H26,$BK$5:$BK$308)))),
IF($G$7="Average",AVERAGE(IF($BB$5:$BB$308=$D26,IF($BI$5:$BI$308=$F26, IF($BD$5:$BD$308=$H26,$BK$5:$BK$308)))))))))</f>
        <v/>
      </c>
      <c r="P26" s="149"/>
      <c r="Q26" s="1007"/>
      <c r="R26" s="1020" t="str">
        <f t="shared" si="0"/>
        <v/>
      </c>
      <c r="S26" s="1021" t="str">
        <f t="shared" si="1"/>
        <v/>
      </c>
      <c r="T26" s="149"/>
      <c r="U26" s="1016"/>
      <c r="V26" s="1016"/>
      <c r="W26" s="1016"/>
      <c r="X26" s="1008" t="str">
        <f t="shared" si="2"/>
        <v/>
      </c>
      <c r="Y26" s="294" t="str">
        <f t="shared" si="3"/>
        <v/>
      </c>
      <c r="Z26" s="1028">
        <f t="shared" si="4"/>
        <v>0</v>
      </c>
      <c r="AA26" s="149"/>
      <c r="AB26" s="1007"/>
      <c r="AC26" s="1303" t="str">
        <f t="array" ref="AC26">IF(D26="","",IF(AB26&lt;&gt;"",AB26,
IF($G$7="Minimum",MIN(IF($BX$5:$BX$138=$D26,IF($BY$5:$BY$138=$F26, $CA$5:$CA$138))),
IF($G$7="Maximum",MAX(IF($BX$5:$BX$138=$D26,IF($BY$5:$BY$138=$F26, $CA$5:$CA$138))),
IF($G$7="Average",AVERAGE(IF($BX$5:$BX$138=$D26,IF($BY$5:$BY$138=$F26, $CA$5:$CA$138))))))))</f>
        <v/>
      </c>
      <c r="AD26" s="149"/>
      <c r="AE26" s="1016"/>
      <c r="AF26" s="1016"/>
      <c r="AG26" s="1016"/>
      <c r="AH26" s="1303" t="str">
        <f t="shared" si="5"/>
        <v/>
      </c>
      <c r="AI26" s="1310" t="str">
        <f t="shared" si="6"/>
        <v/>
      </c>
      <c r="AJ26" s="1303" t="str">
        <f t="shared" si="7"/>
        <v/>
      </c>
      <c r="AK26" s="149"/>
      <c r="AU26">
        <v>22</v>
      </c>
      <c r="AV26" s="1269" t="str">
        <f t="array" ref="AV26">IFERROR(INDEX($BB$5:$BB$308, MATCH(0,COUNTIF($AV$3:AV25, $BB$5:$BB$308), 0)),"")</f>
        <v>IPV</v>
      </c>
      <c r="BA26" s="1269" t="s">
        <v>924</v>
      </c>
      <c r="BB26" s="1269" t="s">
        <v>925</v>
      </c>
      <c r="BC26" s="1269" t="s">
        <v>889</v>
      </c>
      <c r="BD26" s="1269" t="s">
        <v>907</v>
      </c>
      <c r="BE26" s="1269" t="s">
        <v>929</v>
      </c>
      <c r="BF26" s="1269"/>
      <c r="BG26" s="1269"/>
      <c r="BH26" s="1269"/>
      <c r="BI26" s="1270" t="s">
        <v>869</v>
      </c>
      <c r="BJ26" s="1270"/>
      <c r="BK26" s="1270"/>
      <c r="BL26" s="1269"/>
      <c r="BM26" s="1269"/>
      <c r="BN26" s="1269" t="s">
        <v>914</v>
      </c>
      <c r="BO26" s="1272">
        <v>37748</v>
      </c>
      <c r="BP26" s="1269" t="s">
        <v>930</v>
      </c>
      <c r="BX26" s="1298" t="s">
        <v>1195</v>
      </c>
      <c r="BY26" s="1299">
        <v>2</v>
      </c>
      <c r="BZ26" s="1269" t="s">
        <v>2116</v>
      </c>
      <c r="CA26" s="1300">
        <v>4.5999999999999996</v>
      </c>
    </row>
    <row r="27" spans="3:86" ht="19" customHeight="1">
      <c r="C27" s="1289">
        <v>4</v>
      </c>
      <c r="D27" s="1006"/>
      <c r="E27" s="1007"/>
      <c r="F27" s="1006"/>
      <c r="G27" s="1031"/>
      <c r="H27" s="1008" t="str">
        <f t="array" ref="H27">IF(D27="","",INDEX($BD$5:$BD$308,MATCH(D27&amp;F27,$BB$5:$BB$308&amp;$BI$5:$BI$308,0)))</f>
        <v/>
      </c>
      <c r="I27" s="1008" t="str">
        <f t="array" ref="I27">IF(D27="","",INDEX($BC$5:$BC$308,MATCH(D27&amp;F27&amp;H27,$BB$5:$BB$308&amp;$BI$5:$BI$308&amp;$BD$5:$BD$308,0)))</f>
        <v/>
      </c>
      <c r="J27" s="1009" t="str">
        <f t="array" ref="J27">IF(D27="","",INDEX($BM$5:$BM$308,MATCH(D27&amp;F27&amp;H27,$BB$5:$BB$308&amp;$BI$5:$BI$308&amp;$BD$5:$BD$308,0)))</f>
        <v/>
      </c>
      <c r="K27" s="149"/>
      <c r="L27" s="1016"/>
      <c r="M27" s="1016"/>
      <c r="N27" s="294" t="str">
        <f t="array" ref="N27">IF(D27="","",IF(L27&lt;&gt;"",L27,
IF($G$7="Minimum",MIN(IF($BB$5:$BB$308=$D27,IF($BI$5:$BI$308=$F27, IF($BD$5:$BD$308=$H27,$BJ$5:$BJ$308)))),
IF($G$7="Maximum",MAX(IF($BB$5:$BB$308=$D27,IF($BI$5:$BI$308=$F27, IF($BD$5:$BD$308=$H27,$BJ$5:$BJ$308)))),
IF($G$7="Average",AVERAGE(IF($BB$5:$BB$308=$D27,IF($BI$5:$BI$308=$F27, IF($BD$5:$BD$308=$H27,$BJ$5:$BJ$308)))))))))</f>
        <v/>
      </c>
      <c r="O27" s="294" t="str">
        <f t="array" ref="O27">IF(D27="","",IF(M27&lt;&gt;"",M27,
IF($G$7="Minimum",MIN(IF($BB$5:$BB$308=$D27,IF($BI$5:$BI$308=$F27, IF($BD$5:$BD$308=$H27,$BK$5:$BK$308)))),
IF($G$7="Maximum",MAX(IF($BB$5:$BB$308=$D27,IF($BI$5:$BI$308=$F27, IF($BD$5:$BD$308=$H27,$BK$5:$BK$308)))),
IF($G$7="Average",AVERAGE(IF($BB$5:$BB$308=$D27,IF($BI$5:$BI$308=$F27, IF($BD$5:$BD$308=$H27,$BK$5:$BK$308)))))))))</f>
        <v/>
      </c>
      <c r="P27" s="149"/>
      <c r="Q27" s="1007"/>
      <c r="R27" s="1020" t="str">
        <f t="shared" si="0"/>
        <v/>
      </c>
      <c r="S27" s="1021" t="str">
        <f t="shared" si="1"/>
        <v/>
      </c>
      <c r="T27" s="149"/>
      <c r="U27" s="1016"/>
      <c r="V27" s="1016"/>
      <c r="W27" s="1016"/>
      <c r="X27" s="1008" t="str">
        <f t="shared" si="2"/>
        <v/>
      </c>
      <c r="Y27" s="294" t="str">
        <f t="shared" si="3"/>
        <v/>
      </c>
      <c r="Z27" s="1028">
        <f t="shared" si="4"/>
        <v>0</v>
      </c>
      <c r="AA27" s="149"/>
      <c r="AB27" s="1007"/>
      <c r="AC27" s="1303" t="str">
        <f t="array" ref="AC27">IF(D27="","",IF(AB27&lt;&gt;"",AB27,
IF($G$7="Minimum",MIN(IF($BX$5:$BX$138=$D27,IF($BY$5:$BY$138=$F27, $CA$5:$CA$138))),
IF($G$7="Maximum",MAX(IF($BX$5:$BX$138=$D27,IF($BY$5:$BY$138=$F27, $CA$5:$CA$138))),
IF($G$7="Average",AVERAGE(IF($BX$5:$BX$138=$D27,IF($BY$5:$BY$138=$F27, $CA$5:$CA$138))))))))</f>
        <v/>
      </c>
      <c r="AD27" s="149"/>
      <c r="AE27" s="1016"/>
      <c r="AF27" s="1016"/>
      <c r="AG27" s="1016"/>
      <c r="AH27" s="1303" t="str">
        <f t="shared" si="5"/>
        <v/>
      </c>
      <c r="AI27" s="1310" t="str">
        <f t="shared" si="6"/>
        <v/>
      </c>
      <c r="AJ27" s="1303" t="str">
        <f t="shared" si="7"/>
        <v/>
      </c>
      <c r="AK27" s="149"/>
      <c r="AU27">
        <v>23</v>
      </c>
      <c r="AV27" s="1269" t="str">
        <f t="array" ref="AV27">IFERROR(INDEX($BB$5:$BB$308, MATCH(0,COUNTIF($AV$3:AV26, $BB$5:$BB$308), 0)),"")</f>
        <v>JE_liq</v>
      </c>
      <c r="BA27" s="1269" t="s">
        <v>924</v>
      </c>
      <c r="BB27" s="1269" t="s">
        <v>925</v>
      </c>
      <c r="BC27" s="1269" t="s">
        <v>889</v>
      </c>
      <c r="BD27" s="1269" t="s">
        <v>907</v>
      </c>
      <c r="BE27" s="1269" t="s">
        <v>929</v>
      </c>
      <c r="BF27" s="1269" t="s">
        <v>916</v>
      </c>
      <c r="BG27" s="1269"/>
      <c r="BH27" s="1269"/>
      <c r="BI27" s="1270">
        <v>10</v>
      </c>
      <c r="BJ27" s="1270">
        <v>2.46</v>
      </c>
      <c r="BK27" s="1270"/>
      <c r="BL27" s="1269" t="s">
        <v>895</v>
      </c>
      <c r="BM27" s="1269" t="s">
        <v>834</v>
      </c>
      <c r="BN27" s="1269" t="s">
        <v>914</v>
      </c>
      <c r="BO27" s="1272">
        <v>37748</v>
      </c>
      <c r="BP27" s="1269" t="s">
        <v>931</v>
      </c>
      <c r="BX27" s="1298" t="s">
        <v>1195</v>
      </c>
      <c r="BY27" s="1299">
        <v>1</v>
      </c>
      <c r="BZ27" s="1269" t="s">
        <v>2117</v>
      </c>
      <c r="CA27" s="1300">
        <v>4.5</v>
      </c>
    </row>
    <row r="28" spans="3:86" ht="19" customHeight="1">
      <c r="C28" s="1289">
        <v>5</v>
      </c>
      <c r="D28" s="1006"/>
      <c r="E28" s="1007"/>
      <c r="F28" s="1006"/>
      <c r="G28" s="1031"/>
      <c r="H28" s="1008" t="str">
        <f t="array" ref="H28">IF(D28="","",INDEX($BD$5:$BD$308,MATCH(D28&amp;F28,$BB$5:$BB$308&amp;$BI$5:$BI$308,0)))</f>
        <v/>
      </c>
      <c r="I28" s="1008" t="str">
        <f t="array" ref="I28">IF(D28="","",INDEX($BC$5:$BC$308,MATCH(D28&amp;F28&amp;H28,$BB$5:$BB$308&amp;$BI$5:$BI$308&amp;$BD$5:$BD$308,0)))</f>
        <v/>
      </c>
      <c r="J28" s="1009" t="str">
        <f t="array" ref="J28">IF(D28="","",INDEX($BM$5:$BM$308,MATCH(D28&amp;F28&amp;H28,$BB$5:$BB$308&amp;$BI$5:$BI$308&amp;$BD$5:$BD$308,0)))</f>
        <v/>
      </c>
      <c r="K28" s="149"/>
      <c r="L28" s="1016"/>
      <c r="M28" s="1016"/>
      <c r="N28" s="294" t="str">
        <f t="array" ref="N28">IF(D28="","",IF(L28&lt;&gt;"",L28,
IF($G$7="Minimum",MIN(IF($BB$5:$BB$308=$D28,IF($BI$5:$BI$308=$F28, IF($BD$5:$BD$308=$H28,$BJ$5:$BJ$308)))),
IF($G$7="Maximum",MAX(IF($BB$5:$BB$308=$D28,IF($BI$5:$BI$308=$F28, IF($BD$5:$BD$308=$H28,$BJ$5:$BJ$308)))),
IF($G$7="Average",AVERAGE(IF($BB$5:$BB$308=$D28,IF($BI$5:$BI$308=$F28, IF($BD$5:$BD$308=$H28,$BJ$5:$BJ$308)))))))))</f>
        <v/>
      </c>
      <c r="O28" s="294" t="str">
        <f t="array" ref="O28">IF(D28="","",IF(M28&lt;&gt;"",M28,
IF($G$7="Minimum",MIN(IF($BB$5:$BB$308=$D28,IF($BI$5:$BI$308=$F28, IF($BD$5:$BD$308=$H28,$BK$5:$BK$308)))),
IF($G$7="Maximum",MAX(IF($BB$5:$BB$308=$D28,IF($BI$5:$BI$308=$F28, IF($BD$5:$BD$308=$H28,$BK$5:$BK$308)))),
IF($G$7="Average",AVERAGE(IF($BB$5:$BB$308=$D28,IF($BI$5:$BI$308=$F28, IF($BD$5:$BD$308=$H28,$BK$5:$BK$308)))))))))</f>
        <v/>
      </c>
      <c r="P28" s="149"/>
      <c r="Q28" s="1007"/>
      <c r="R28" s="1020" t="str">
        <f t="shared" si="0"/>
        <v/>
      </c>
      <c r="S28" s="1021" t="str">
        <f t="shared" si="1"/>
        <v/>
      </c>
      <c r="T28" s="149"/>
      <c r="U28" s="1016"/>
      <c r="V28" s="1016"/>
      <c r="W28" s="1016"/>
      <c r="X28" s="1008" t="str">
        <f t="shared" si="2"/>
        <v/>
      </c>
      <c r="Y28" s="294" t="str">
        <f t="shared" si="3"/>
        <v/>
      </c>
      <c r="Z28" s="1028">
        <f t="shared" si="4"/>
        <v>0</v>
      </c>
      <c r="AA28" s="149"/>
      <c r="AB28" s="1007"/>
      <c r="AC28" s="1303" t="str">
        <f t="array" ref="AC28">IF(D28="","",IF(AB28&lt;&gt;"",AB28,
IF($G$7="Minimum",MIN(IF($BX$5:$BX$138=$D28,IF($BY$5:$BY$138=$F28, $CA$5:$CA$138))),
IF($G$7="Maximum",MAX(IF($BX$5:$BX$138=$D28,IF($BY$5:$BY$138=$F28, $CA$5:$CA$138))),
IF($G$7="Average",AVERAGE(IF($BX$5:$BX$138=$D28,IF($BY$5:$BY$138=$F28, $CA$5:$CA$138))))))))</f>
        <v/>
      </c>
      <c r="AD28" s="149"/>
      <c r="AE28" s="1016"/>
      <c r="AF28" s="1016"/>
      <c r="AG28" s="1016"/>
      <c r="AH28" s="1303" t="str">
        <f t="shared" si="5"/>
        <v/>
      </c>
      <c r="AI28" s="1310" t="str">
        <f t="shared" si="6"/>
        <v/>
      </c>
      <c r="AJ28" s="1303" t="str">
        <f t="shared" si="7"/>
        <v/>
      </c>
      <c r="AK28" s="149"/>
      <c r="AU28">
        <v>24</v>
      </c>
      <c r="AV28" s="1269" t="str">
        <f t="array" ref="AV28">IFERROR(INDEX($BB$5:$BB$308, MATCH(0,COUNTIF($AV$3:AV27, $BB$5:$BB$308), 0)),"")</f>
        <v>JE_lyo</v>
      </c>
      <c r="BA28" s="1269" t="s">
        <v>924</v>
      </c>
      <c r="BB28" s="1269" t="s">
        <v>925</v>
      </c>
      <c r="BC28" s="1269" t="s">
        <v>889</v>
      </c>
      <c r="BD28" s="1269" t="s">
        <v>907</v>
      </c>
      <c r="BE28" s="1269" t="s">
        <v>929</v>
      </c>
      <c r="BF28" s="1269" t="s">
        <v>932</v>
      </c>
      <c r="BG28" s="1269"/>
      <c r="BH28" s="1269"/>
      <c r="BI28" s="1270">
        <v>1</v>
      </c>
      <c r="BJ28" s="1270">
        <v>20.5</v>
      </c>
      <c r="BK28" s="1270"/>
      <c r="BL28" s="1269" t="s">
        <v>895</v>
      </c>
      <c r="BM28" s="1269"/>
      <c r="BN28" s="1269" t="s">
        <v>914</v>
      </c>
      <c r="BO28" s="1272">
        <v>37748</v>
      </c>
      <c r="BP28" s="1269" t="s">
        <v>933</v>
      </c>
      <c r="BX28" s="1298" t="s">
        <v>1209</v>
      </c>
      <c r="BY28" s="1299">
        <v>1</v>
      </c>
      <c r="BZ28" s="1269" t="s">
        <v>2118</v>
      </c>
      <c r="CA28" s="1300">
        <v>2.8</v>
      </c>
    </row>
    <row r="29" spans="3:86" ht="19" customHeight="1">
      <c r="C29" s="1289">
        <v>6</v>
      </c>
      <c r="D29" s="1006"/>
      <c r="E29" s="1007"/>
      <c r="F29" s="1006"/>
      <c r="G29" s="1031"/>
      <c r="H29" s="1008" t="str">
        <f t="array" ref="H29">IF(D29="","",INDEX($BD$5:$BD$308,MATCH(D29&amp;F29,$BB$5:$BB$308&amp;$BI$5:$BI$308,0)))</f>
        <v/>
      </c>
      <c r="I29" s="1008" t="str">
        <f t="array" ref="I29">IF(D29="","",INDEX($BC$5:$BC$308,MATCH(D29&amp;F29&amp;H29,$BB$5:$BB$308&amp;$BI$5:$BI$308&amp;$BD$5:$BD$308,0)))</f>
        <v/>
      </c>
      <c r="J29" s="1009" t="str">
        <f t="array" ref="J29">IF(D29="","",INDEX($BM$5:$BM$308,MATCH(D29&amp;F29&amp;H29,$BB$5:$BB$308&amp;$BI$5:$BI$308&amp;$BD$5:$BD$308,0)))</f>
        <v/>
      </c>
      <c r="K29" s="149"/>
      <c r="L29" s="1016"/>
      <c r="M29" s="1016"/>
      <c r="N29" s="294" t="str">
        <f t="array" ref="N29">IF(D29="","",IF(L29&lt;&gt;"",L29,
IF($G$7="Minimum",MIN(IF($BB$5:$BB$308=$D29,IF($BI$5:$BI$308=$F29, IF($BD$5:$BD$308=$H29,$BJ$5:$BJ$308)))),
IF($G$7="Maximum",MAX(IF($BB$5:$BB$308=$D29,IF($BI$5:$BI$308=$F29, IF($BD$5:$BD$308=$H29,$BJ$5:$BJ$308)))),
IF($G$7="Average",AVERAGE(IF($BB$5:$BB$308=$D29,IF($BI$5:$BI$308=$F29, IF($BD$5:$BD$308=$H29,$BJ$5:$BJ$308)))))))))</f>
        <v/>
      </c>
      <c r="O29" s="294" t="str">
        <f t="array" ref="O29">IF(D29="","",IF(M29&lt;&gt;"",M29,
IF($G$7="Minimum",MIN(IF($BB$5:$BB$308=$D29,IF($BI$5:$BI$308=$F29, IF($BD$5:$BD$308=$H29,$BK$5:$BK$308)))),
IF($G$7="Maximum",MAX(IF($BB$5:$BB$308=$D29,IF($BI$5:$BI$308=$F29, IF($BD$5:$BD$308=$H29,$BK$5:$BK$308)))),
IF($G$7="Average",AVERAGE(IF($BB$5:$BB$308=$D29,IF($BI$5:$BI$308=$F29, IF($BD$5:$BD$308=$H29,$BK$5:$BK$308)))))))))</f>
        <v/>
      </c>
      <c r="P29" s="149"/>
      <c r="Q29" s="1007"/>
      <c r="R29" s="1020" t="str">
        <f t="shared" si="0"/>
        <v/>
      </c>
      <c r="S29" s="1021" t="str">
        <f t="shared" si="1"/>
        <v/>
      </c>
      <c r="T29" s="149"/>
      <c r="U29" s="1016"/>
      <c r="V29" s="1016"/>
      <c r="W29" s="1016"/>
      <c r="X29" s="1008" t="str">
        <f t="shared" si="2"/>
        <v/>
      </c>
      <c r="Y29" s="294" t="str">
        <f t="shared" si="3"/>
        <v/>
      </c>
      <c r="Z29" s="1028">
        <f t="shared" si="4"/>
        <v>0</v>
      </c>
      <c r="AA29" s="149"/>
      <c r="AB29" s="1007"/>
      <c r="AC29" s="1303" t="str">
        <f t="array" ref="AC29">IF(D29="","",IF(AB29&lt;&gt;"",AB29,
IF($G$7="Minimum",MIN(IF($BX$5:$BX$138=$D29,IF($BY$5:$BY$138=$F29, $CA$5:$CA$138))),
IF($G$7="Maximum",MAX(IF($BX$5:$BX$138=$D29,IF($BY$5:$BY$138=$F29, $CA$5:$CA$138))),
IF($G$7="Average",AVERAGE(IF($BX$5:$BX$138=$D29,IF($BY$5:$BY$138=$F29, $CA$5:$CA$138))))))))</f>
        <v/>
      </c>
      <c r="AD29" s="149"/>
      <c r="AE29" s="1016"/>
      <c r="AF29" s="1016"/>
      <c r="AG29" s="1016"/>
      <c r="AH29" s="1303" t="str">
        <f t="shared" si="5"/>
        <v/>
      </c>
      <c r="AI29" s="1310" t="str">
        <f t="shared" si="6"/>
        <v/>
      </c>
      <c r="AJ29" s="1303" t="str">
        <f t="shared" si="7"/>
        <v/>
      </c>
      <c r="AK29" s="149"/>
      <c r="AU29">
        <v>25</v>
      </c>
      <c r="AV29" s="1269" t="str">
        <f t="array" ref="AV29">IFERROR(INDEX($BB$5:$BB$308, MATCH(0,COUNTIF($AV$3:AV28, $BB$5:$BB$308), 0)),"")</f>
        <v>Measles</v>
      </c>
      <c r="BA29" s="1269" t="s">
        <v>924</v>
      </c>
      <c r="BB29" s="1269" t="s">
        <v>925</v>
      </c>
      <c r="BC29" s="1269" t="s">
        <v>889</v>
      </c>
      <c r="BD29" s="1269" t="s">
        <v>907</v>
      </c>
      <c r="BE29" s="1269"/>
      <c r="BF29" s="1269" t="s">
        <v>916</v>
      </c>
      <c r="BG29" s="1269"/>
      <c r="BH29" s="1269"/>
      <c r="BI29" s="1270">
        <v>10</v>
      </c>
      <c r="BJ29" s="1270">
        <v>2.08</v>
      </c>
      <c r="BK29" s="1270"/>
      <c r="BL29" s="1269" t="s">
        <v>884</v>
      </c>
      <c r="BM29" s="1269" t="s">
        <v>834</v>
      </c>
      <c r="BN29" s="1269" t="s">
        <v>919</v>
      </c>
      <c r="BO29" s="1272">
        <v>36987</v>
      </c>
      <c r="BP29" s="1269" t="s">
        <v>934</v>
      </c>
      <c r="BX29" s="1298" t="s">
        <v>1209</v>
      </c>
      <c r="BY29" s="1299">
        <v>5</v>
      </c>
      <c r="BZ29" s="1269" t="s">
        <v>2119</v>
      </c>
      <c r="CA29" s="1300">
        <v>1.9</v>
      </c>
    </row>
    <row r="30" spans="3:86" ht="19" customHeight="1">
      <c r="C30" s="1289">
        <v>7</v>
      </c>
      <c r="D30" s="1006"/>
      <c r="E30" s="1007"/>
      <c r="F30" s="1006"/>
      <c r="G30" s="1031"/>
      <c r="H30" s="1008" t="str">
        <f t="array" ref="H30">IF(D30="","",INDEX($BD$5:$BD$308,MATCH(D30&amp;F30,$BB$5:$BB$308&amp;$BI$5:$BI$308,0)))</f>
        <v/>
      </c>
      <c r="I30" s="1008" t="str">
        <f t="array" ref="I30">IF(D30="","",INDEX($BC$5:$BC$308,MATCH(D30&amp;F30&amp;H30,$BB$5:$BB$308&amp;$BI$5:$BI$308&amp;$BD$5:$BD$308,0)))</f>
        <v/>
      </c>
      <c r="J30" s="1009" t="str">
        <f t="array" ref="J30">IF(D30="","",INDEX($BM$5:$BM$308,MATCH(D30&amp;F30&amp;H30,$BB$5:$BB$308&amp;$BI$5:$BI$308&amp;$BD$5:$BD$308,0)))</f>
        <v/>
      </c>
      <c r="K30" s="149"/>
      <c r="L30" s="1016"/>
      <c r="M30" s="1016"/>
      <c r="N30" s="294" t="str">
        <f t="array" ref="N30">IF(D30="","",IF(L30&lt;&gt;"",L30,
IF($G$7="Minimum",MIN(IF($BB$5:$BB$308=$D30,IF($BI$5:$BI$308=$F30, IF($BD$5:$BD$308=$H30,$BJ$5:$BJ$308)))),
IF($G$7="Maximum",MAX(IF($BB$5:$BB$308=$D30,IF($BI$5:$BI$308=$F30, IF($BD$5:$BD$308=$H30,$BJ$5:$BJ$308)))),
IF($G$7="Average",AVERAGE(IF($BB$5:$BB$308=$D30,IF($BI$5:$BI$308=$F30, IF($BD$5:$BD$308=$H30,$BJ$5:$BJ$308)))))))))</f>
        <v/>
      </c>
      <c r="O30" s="294" t="str">
        <f t="array" ref="O30">IF(D30="","",IF(M30&lt;&gt;"",M30,
IF($G$7="Minimum",MIN(IF($BB$5:$BB$308=$D30,IF($BI$5:$BI$308=$F30, IF($BD$5:$BD$308=$H30,$BK$5:$BK$308)))),
IF($G$7="Maximum",MAX(IF($BB$5:$BB$308=$D30,IF($BI$5:$BI$308=$F30, IF($BD$5:$BD$308=$H30,$BK$5:$BK$308)))),
IF($G$7="Average",AVERAGE(IF($BB$5:$BB$308=$D30,IF($BI$5:$BI$308=$F30, IF($BD$5:$BD$308=$H30,$BK$5:$BK$308)))))))))</f>
        <v/>
      </c>
      <c r="P30" s="149"/>
      <c r="Q30" s="1007"/>
      <c r="R30" s="1020" t="str">
        <f t="shared" si="0"/>
        <v/>
      </c>
      <c r="S30" s="1021" t="str">
        <f t="shared" si="1"/>
        <v/>
      </c>
      <c r="T30" s="149"/>
      <c r="U30" s="1016"/>
      <c r="V30" s="1016"/>
      <c r="W30" s="1016"/>
      <c r="X30" s="1008" t="str">
        <f t="shared" si="2"/>
        <v/>
      </c>
      <c r="Y30" s="294" t="str">
        <f t="shared" si="3"/>
        <v/>
      </c>
      <c r="Z30" s="1028">
        <f t="shared" si="4"/>
        <v>0</v>
      </c>
      <c r="AA30" s="149"/>
      <c r="AB30" s="1007"/>
      <c r="AC30" s="1303" t="str">
        <f t="array" ref="AC30">IF(D30="","",IF(AB30&lt;&gt;"",AB30,
IF($G$7="Minimum",MIN(IF($BX$5:$BX$138=$D30,IF($BY$5:$BY$138=$F30, $CA$5:$CA$138))),
IF($G$7="Maximum",MAX(IF($BX$5:$BX$138=$D30,IF($BY$5:$BY$138=$F30, $CA$5:$CA$138))),
IF($G$7="Average",AVERAGE(IF($BX$5:$BX$138=$D30,IF($BY$5:$BY$138=$F30, $CA$5:$CA$138))))))))</f>
        <v/>
      </c>
      <c r="AD30" s="149"/>
      <c r="AE30" s="1016"/>
      <c r="AF30" s="1016"/>
      <c r="AG30" s="1016"/>
      <c r="AH30" s="1303" t="str">
        <f t="shared" si="5"/>
        <v/>
      </c>
      <c r="AI30" s="1310" t="str">
        <f t="shared" si="6"/>
        <v/>
      </c>
      <c r="AJ30" s="1303" t="str">
        <f t="shared" si="7"/>
        <v/>
      </c>
      <c r="AK30" s="149"/>
      <c r="AU30">
        <v>26</v>
      </c>
      <c r="AV30" s="1269" t="str">
        <f t="array" ref="AV30">IFERROR(INDEX($BB$5:$BB$308, MATCH(0,COUNTIF($AV$3:AV29, $BB$5:$BB$308), 0)),"")</f>
        <v>Men A</v>
      </c>
      <c r="BA30" s="1269" t="s">
        <v>935</v>
      </c>
      <c r="BB30" s="1269" t="s">
        <v>936</v>
      </c>
      <c r="BC30" s="1269" t="s">
        <v>889</v>
      </c>
      <c r="BD30" s="1269" t="s">
        <v>907</v>
      </c>
      <c r="BE30" s="1269" t="s">
        <v>937</v>
      </c>
      <c r="BF30" s="1269" t="s">
        <v>938</v>
      </c>
      <c r="BG30" s="1269"/>
      <c r="BH30" s="1269"/>
      <c r="BI30" s="1270">
        <v>1</v>
      </c>
      <c r="BJ30" s="1270">
        <v>9.6999999999999993</v>
      </c>
      <c r="BK30" s="1270"/>
      <c r="BL30" s="1269" t="s">
        <v>870</v>
      </c>
      <c r="BM30" s="1269"/>
      <c r="BN30" s="1269" t="s">
        <v>939</v>
      </c>
      <c r="BO30" s="1272">
        <v>41464</v>
      </c>
      <c r="BP30" s="1269" t="s">
        <v>940</v>
      </c>
      <c r="BX30" s="1298" t="s">
        <v>1209</v>
      </c>
      <c r="BY30" s="1299">
        <v>5</v>
      </c>
      <c r="BZ30" s="1269" t="s">
        <v>2120</v>
      </c>
      <c r="CA30" s="1301">
        <f>0.96*1.155</f>
        <v>1.1088</v>
      </c>
      <c r="CB30" t="s">
        <v>2121</v>
      </c>
    </row>
    <row r="31" spans="3:86" ht="19" customHeight="1">
      <c r="C31" s="1289">
        <v>8</v>
      </c>
      <c r="D31" s="1006"/>
      <c r="E31" s="1007"/>
      <c r="F31" s="1006"/>
      <c r="G31" s="1031"/>
      <c r="H31" s="1008" t="str">
        <f t="array" ref="H31">IF(D31="","",INDEX($BD$5:$BD$308,MATCH(D31&amp;F31,$BB$5:$BB$308&amp;$BI$5:$BI$308,0)))</f>
        <v/>
      </c>
      <c r="I31" s="1008" t="str">
        <f t="array" ref="I31">IF(D31="","",INDEX($BC$5:$BC$308,MATCH(D31&amp;F31&amp;H31,$BB$5:$BB$308&amp;$BI$5:$BI$308&amp;$BD$5:$BD$308,0)))</f>
        <v/>
      </c>
      <c r="J31" s="1009" t="str">
        <f t="array" ref="J31">IF(D31="","",INDEX($BM$5:$BM$308,MATCH(D31&amp;F31&amp;H31,$BB$5:$BB$308&amp;$BI$5:$BI$308&amp;$BD$5:$BD$308,0)))</f>
        <v/>
      </c>
      <c r="K31" s="149"/>
      <c r="L31" s="1016"/>
      <c r="M31" s="1016"/>
      <c r="N31" s="294" t="str">
        <f t="array" ref="N31">IF(D31="","",IF(L31&lt;&gt;"",L31,
IF($G$7="Minimum",MIN(IF($BB$5:$BB$308=$D31,IF($BI$5:$BI$308=$F31, IF($BD$5:$BD$308=$H31,$BJ$5:$BJ$308)))),
IF($G$7="Maximum",MAX(IF($BB$5:$BB$308=$D31,IF($BI$5:$BI$308=$F31, IF($BD$5:$BD$308=$H31,$BJ$5:$BJ$308)))),
IF($G$7="Average",AVERAGE(IF($BB$5:$BB$308=$D31,IF($BI$5:$BI$308=$F31, IF($BD$5:$BD$308=$H31,$BJ$5:$BJ$308)))))))))</f>
        <v/>
      </c>
      <c r="O31" s="294" t="str">
        <f t="array" ref="O31">IF(D31="","",IF(M31&lt;&gt;"",M31,
IF($G$7="Minimum",MIN(IF($BB$5:$BB$308=$D31,IF($BI$5:$BI$308=$F31, IF($BD$5:$BD$308=$H31,$BK$5:$BK$308)))),
IF($G$7="Maximum",MAX(IF($BB$5:$BB$308=$D31,IF($BI$5:$BI$308=$F31, IF($BD$5:$BD$308=$H31,$BK$5:$BK$308)))),
IF($G$7="Average",AVERAGE(IF($BB$5:$BB$308=$D31,IF($BI$5:$BI$308=$F31, IF($BD$5:$BD$308=$H31,$BK$5:$BK$308)))))))))</f>
        <v/>
      </c>
      <c r="P31" s="149"/>
      <c r="Q31" s="1007"/>
      <c r="R31" s="1020" t="str">
        <f t="shared" si="0"/>
        <v/>
      </c>
      <c r="S31" s="1021" t="str">
        <f t="shared" si="1"/>
        <v/>
      </c>
      <c r="T31" s="149"/>
      <c r="U31" s="1016"/>
      <c r="V31" s="1016"/>
      <c r="W31" s="1016"/>
      <c r="X31" s="1008" t="str">
        <f t="shared" si="2"/>
        <v/>
      </c>
      <c r="Y31" s="294" t="str">
        <f t="shared" si="3"/>
        <v/>
      </c>
      <c r="Z31" s="1028">
        <f t="shared" si="4"/>
        <v>0</v>
      </c>
      <c r="AA31" s="149"/>
      <c r="AB31" s="1007"/>
      <c r="AC31" s="1303" t="str">
        <f t="array" ref="AC31">IF(D31="","",IF(AB31&lt;&gt;"",AB31,
IF($G$7="Minimum",MIN(IF($BX$5:$BX$138=$D31,IF($BY$5:$BY$138=$F31, $CA$5:$CA$138))),
IF($G$7="Maximum",MAX(IF($BX$5:$BX$138=$D31,IF($BY$5:$BY$138=$F31, $CA$5:$CA$138))),
IF($G$7="Average",AVERAGE(IF($BX$5:$BX$138=$D31,IF($BY$5:$BY$138=$F31, $CA$5:$CA$138))))))))</f>
        <v/>
      </c>
      <c r="AD31" s="149"/>
      <c r="AE31" s="1016"/>
      <c r="AF31" s="1016"/>
      <c r="AG31" s="1016"/>
      <c r="AH31" s="1303" t="str">
        <f t="shared" si="5"/>
        <v/>
      </c>
      <c r="AI31" s="1310" t="str">
        <f t="shared" si="6"/>
        <v/>
      </c>
      <c r="AJ31" s="1303" t="str">
        <f t="shared" si="7"/>
        <v/>
      </c>
      <c r="AK31" s="149"/>
      <c r="AU31">
        <v>27</v>
      </c>
      <c r="AV31" s="1269" t="str">
        <f t="array" ref="AV31">IFERROR(INDEX($BB$5:$BB$308, MATCH(0,COUNTIF($AV$3:AV30, $BB$5:$BB$308), 0)),"")</f>
        <v>MMR</v>
      </c>
      <c r="BA31" s="1269" t="s">
        <v>941</v>
      </c>
      <c r="BB31" s="1269" t="s">
        <v>942</v>
      </c>
      <c r="BC31" s="1269" t="s">
        <v>889</v>
      </c>
      <c r="BD31" s="1269" t="s">
        <v>907</v>
      </c>
      <c r="BE31" s="1269" t="s">
        <v>943</v>
      </c>
      <c r="BF31" s="1269" t="s">
        <v>944</v>
      </c>
      <c r="BG31" s="1269"/>
      <c r="BH31" s="1269" t="s">
        <v>945</v>
      </c>
      <c r="BI31" s="1270" t="s">
        <v>946</v>
      </c>
      <c r="BJ31" s="1270">
        <v>78.277199999999993</v>
      </c>
      <c r="BK31" s="1270"/>
      <c r="BL31" s="1269" t="s">
        <v>895</v>
      </c>
      <c r="BM31" s="1269"/>
      <c r="BN31" s="1269" t="s">
        <v>914</v>
      </c>
      <c r="BO31" s="1272"/>
      <c r="BP31" s="1269" t="s">
        <v>947</v>
      </c>
      <c r="BX31" s="1298" t="s">
        <v>1209</v>
      </c>
      <c r="BY31" s="1299">
        <v>10</v>
      </c>
      <c r="BZ31" s="1269" t="s">
        <v>2123</v>
      </c>
      <c r="CA31" s="1301">
        <f>0.75*1.155</f>
        <v>0.86624999999999996</v>
      </c>
      <c r="CB31" t="s">
        <v>2121</v>
      </c>
    </row>
    <row r="32" spans="3:86" ht="19" customHeight="1">
      <c r="C32" s="1289">
        <v>9</v>
      </c>
      <c r="D32" s="1006"/>
      <c r="E32" s="1007"/>
      <c r="F32" s="1006"/>
      <c r="G32" s="1340"/>
      <c r="H32" s="1008" t="str">
        <f t="array" ref="H32">IF(D32="","",INDEX($BD$5:$BD$308,MATCH(D32&amp;F32,$BB$5:$BB$308&amp;$BI$5:$BI$308,0)))</f>
        <v/>
      </c>
      <c r="I32" s="1008" t="str">
        <f t="array" ref="I32">IF(D32="","",INDEX($BC$5:$BC$308,MATCH(D32&amp;F32&amp;H32,$BB$5:$BB$308&amp;$BI$5:$BI$308&amp;$BD$5:$BD$308,0)))</f>
        <v/>
      </c>
      <c r="J32" s="1009" t="str">
        <f t="array" ref="J32">IF(D32="","",INDEX($BM$5:$BM$308,MATCH(D32&amp;F32&amp;H32,$BB$5:$BB$308&amp;$BI$5:$BI$308&amp;$BD$5:$BD$308,0)))</f>
        <v/>
      </c>
      <c r="K32" s="149"/>
      <c r="L32" s="1016"/>
      <c r="M32" s="1016"/>
      <c r="N32" s="294" t="str">
        <f t="array" ref="N32">IF(D32="","",IF(L32&lt;&gt;"",L32,
IF($G$7="Minimum",MIN(IF($BB$5:$BB$308=$D32,IF($BI$5:$BI$308=$F32, IF($BD$5:$BD$308=$H32,$BJ$5:$BJ$308)))),
IF($G$7="Maximum",MAX(IF($BB$5:$BB$308=$D32,IF($BI$5:$BI$308=$F32, IF($BD$5:$BD$308=$H32,$BJ$5:$BJ$308)))),
IF($G$7="Average",AVERAGE(IF($BB$5:$BB$308=$D32,IF($BI$5:$BI$308=$F32, IF($BD$5:$BD$308=$H32,$BJ$5:$BJ$308)))))))))</f>
        <v/>
      </c>
      <c r="O32" s="294" t="str">
        <f t="array" ref="O32">IF(D32="","",IF(M32&lt;&gt;"",M32,
IF($G$7="Minimum",MIN(IF($BB$5:$BB$308=$D32,IF($BI$5:$BI$308=$F32, IF($BD$5:$BD$308=$H32,$BK$5:$BK$308)))),
IF($G$7="Maximum",MAX(IF($BB$5:$BB$308=$D32,IF($BI$5:$BI$308=$F32, IF($BD$5:$BD$308=$H32,$BK$5:$BK$308)))),
IF($G$7="Average",AVERAGE(IF($BB$5:$BB$308=$D32,IF($BI$5:$BI$308=$F32, IF($BD$5:$BD$308=$H32,$BK$5:$BK$308)))))))))</f>
        <v/>
      </c>
      <c r="P32" s="149"/>
      <c r="Q32" s="1007"/>
      <c r="R32" s="1020" t="str">
        <f t="shared" si="0"/>
        <v/>
      </c>
      <c r="S32" s="1021" t="str">
        <f t="shared" si="1"/>
        <v/>
      </c>
      <c r="T32" s="149"/>
      <c r="U32" s="1016"/>
      <c r="V32" s="1016"/>
      <c r="W32" s="1016"/>
      <c r="X32" s="1008" t="str">
        <f t="shared" si="2"/>
        <v/>
      </c>
      <c r="Y32" s="294" t="str">
        <f t="shared" si="3"/>
        <v/>
      </c>
      <c r="Z32" s="1028">
        <f t="shared" si="4"/>
        <v>0</v>
      </c>
      <c r="AA32" s="149"/>
      <c r="AB32" s="1007"/>
      <c r="AC32" s="1303" t="str">
        <f t="array" ref="AC32">IF(D32="","",IF(AB32&lt;&gt;"",AB32,
IF($G$7="Minimum",MIN(IF($BX$5:$BX$138=$D32,IF($BY$5:$BY$138=$F32, $CA$5:$CA$138))),
IF($G$7="Maximum",MAX(IF($BX$5:$BX$138=$D32,IF($BY$5:$BY$138=$F32, $CA$5:$CA$138))),
IF($G$7="Average",AVERAGE(IF($BX$5:$BX$138=$D32,IF($BY$5:$BY$138=$F32, $CA$5:$CA$138))))))))</f>
        <v/>
      </c>
      <c r="AD32" s="149"/>
      <c r="AE32" s="1016"/>
      <c r="AF32" s="1016"/>
      <c r="AG32" s="1016"/>
      <c r="AH32" s="1303" t="str">
        <f t="shared" si="5"/>
        <v/>
      </c>
      <c r="AI32" s="1310" t="str">
        <f t="shared" si="6"/>
        <v/>
      </c>
      <c r="AJ32" s="1303" t="str">
        <f t="shared" si="7"/>
        <v/>
      </c>
      <c r="AK32" s="149"/>
      <c r="AU32">
        <v>28</v>
      </c>
      <c r="AV32" s="1269" t="str">
        <f t="array" ref="AV32">IFERROR(INDEX($BB$5:$BB$308, MATCH(0,COUNTIF($AV$3:AV31, $BB$5:$BB$308), 0)),"")</f>
        <v>mOPV1</v>
      </c>
      <c r="BA32" s="1269" t="s">
        <v>948</v>
      </c>
      <c r="BB32" s="1269" t="s">
        <v>949</v>
      </c>
      <c r="BC32" s="1269" t="s">
        <v>889</v>
      </c>
      <c r="BD32" s="1269" t="s">
        <v>907</v>
      </c>
      <c r="BE32" s="1269"/>
      <c r="BF32" s="1269" t="s">
        <v>950</v>
      </c>
      <c r="BG32" s="1269"/>
      <c r="BH32" s="1269" t="s">
        <v>951</v>
      </c>
      <c r="BI32" s="1270">
        <v>2</v>
      </c>
      <c r="BJ32" s="1270">
        <v>41.2</v>
      </c>
      <c r="BK32" s="1270"/>
      <c r="BL32" s="1269"/>
      <c r="BM32" s="1269" t="s">
        <v>5</v>
      </c>
      <c r="BN32" s="1269" t="s">
        <v>952</v>
      </c>
      <c r="BO32" s="1272"/>
      <c r="BP32" s="1269"/>
      <c r="BX32" s="1298" t="s">
        <v>1209</v>
      </c>
      <c r="BY32" s="1299">
        <v>10</v>
      </c>
      <c r="BZ32" s="1269" t="s">
        <v>2122</v>
      </c>
      <c r="CA32" s="1301">
        <f>1.49*1.155</f>
        <v>1.72095</v>
      </c>
      <c r="CB32" t="s">
        <v>2121</v>
      </c>
    </row>
    <row r="33" spans="3:80" ht="19" customHeight="1">
      <c r="C33" s="1289">
        <v>10</v>
      </c>
      <c r="D33" s="1006"/>
      <c r="E33" s="1010"/>
      <c r="F33" s="1006"/>
      <c r="G33" s="1010"/>
      <c r="H33" s="1008" t="str">
        <f t="array" ref="H33">IF(D33="","",INDEX($BD$5:$BD$308,MATCH(D33&amp;F33,$BB$5:$BB$308&amp;$BI$5:$BI$308,0)))</f>
        <v/>
      </c>
      <c r="I33" s="1008" t="str">
        <f t="array" ref="I33">IF(D33="","",INDEX($BC$5:$BC$308,MATCH(D33&amp;F33&amp;H33,$BB$5:$BB$308&amp;$BI$5:$BI$308&amp;$BD$5:$BD$308,0)))</f>
        <v/>
      </c>
      <c r="J33" s="1009" t="str">
        <f t="array" ref="J33">IF(D33="","",INDEX($BM$5:$BM$308,MATCH(D33&amp;F33&amp;H33,$BB$5:$BB$308&amp;$BI$5:$BI$308&amp;$BD$5:$BD$308,0)))</f>
        <v/>
      </c>
      <c r="K33" s="149"/>
      <c r="L33" s="1016"/>
      <c r="M33" s="1016"/>
      <c r="N33" s="294" t="str">
        <f t="array" ref="N33">IF(D33="","",IF(L33&lt;&gt;"",L33,
IF($G$7="Minimum",MIN(IF($BB$5:$BB$308=$D33,IF($BI$5:$BI$308=$F33, IF($BD$5:$BD$308=$H33,$BJ$5:$BJ$308)))),
IF($G$7="Maximum",MAX(IF($BB$5:$BB$308=$D33,IF($BI$5:$BI$308=$F33, IF($BD$5:$BD$308=$H33,$BJ$5:$BJ$308)))),
IF($G$7="Average",AVERAGE(IF($BB$5:$BB$308=$D33,IF($BI$5:$BI$308=$F33, IF($BD$5:$BD$308=$H33,$BJ$5:$BJ$308)))))))))</f>
        <v/>
      </c>
      <c r="O33" s="294" t="str">
        <f t="array" ref="O33">IF(D33="","",IF(M33&lt;&gt;"",M33,
IF($G$7="Minimum",MIN(IF($BB$5:$BB$308=$D33,IF($BI$5:$BI$308=$F33, IF($BD$5:$BD$308=$H33,$BK$5:$BK$308)))),
IF($G$7="Maximum",MAX(IF($BB$5:$BB$308=$D33,IF($BI$5:$BI$308=$F33, IF($BD$5:$BD$308=$H33,$BK$5:$BK$308)))),
IF($G$7="Average",AVERAGE(IF($BB$5:$BB$308=$D33,IF($BI$5:$BI$308=$F33, IF($BD$5:$BD$308=$H33,$BK$5:$BK$308)))))))))</f>
        <v/>
      </c>
      <c r="P33" s="149"/>
      <c r="Q33" s="1007"/>
      <c r="R33" s="1020" t="str">
        <f t="shared" si="0"/>
        <v/>
      </c>
      <c r="S33" s="1021" t="str">
        <f t="shared" si="1"/>
        <v/>
      </c>
      <c r="T33" s="149"/>
      <c r="U33" s="1016"/>
      <c r="V33" s="1016"/>
      <c r="W33" s="1016"/>
      <c r="X33" s="1008" t="str">
        <f t="shared" si="2"/>
        <v/>
      </c>
      <c r="Y33" s="294" t="str">
        <f t="shared" si="3"/>
        <v/>
      </c>
      <c r="Z33" s="1028">
        <f t="shared" si="4"/>
        <v>0</v>
      </c>
      <c r="AA33" s="149"/>
      <c r="AB33" s="1007"/>
      <c r="AC33" s="1303" t="str">
        <f t="array" ref="AC33">IF(D33="","",IF(AB33&lt;&gt;"",AB33,
IF($G$7="Minimum",MIN(IF($BX$5:$BX$138=$D33,IF($BY$5:$BY$138=$F33, $CA$5:$CA$138))),
IF($G$7="Maximum",MAX(IF($BX$5:$BX$138=$D33,IF($BY$5:$BY$138=$F33, $CA$5:$CA$138))),
IF($G$7="Average",AVERAGE(IF($BX$5:$BX$138=$D33,IF($BY$5:$BY$138=$F33, $CA$5:$CA$138))))))))</f>
        <v/>
      </c>
      <c r="AD33" s="149"/>
      <c r="AE33" s="1016"/>
      <c r="AF33" s="1016"/>
      <c r="AG33" s="1016"/>
      <c r="AH33" s="1303" t="str">
        <f t="shared" si="5"/>
        <v/>
      </c>
      <c r="AI33" s="1310" t="str">
        <f t="shared" si="6"/>
        <v/>
      </c>
      <c r="AJ33" s="1303" t="str">
        <f t="shared" si="7"/>
        <v/>
      </c>
      <c r="AK33" s="149"/>
      <c r="AU33">
        <v>29</v>
      </c>
      <c r="AV33" s="1269" t="str">
        <f t="array" ref="AV33">IFERROR(INDEX($BB$5:$BB$308, MATCH(0,COUNTIF($AV$3:AV32, $BB$5:$BB$308), 0)),"")</f>
        <v>mOPV3</v>
      </c>
      <c r="BA33" s="1269" t="s">
        <v>953</v>
      </c>
      <c r="BB33" s="1269" t="s">
        <v>949</v>
      </c>
      <c r="BC33" s="1269" t="s">
        <v>889</v>
      </c>
      <c r="BD33" s="1269" t="s">
        <v>907</v>
      </c>
      <c r="BE33" s="1269"/>
      <c r="BF33" s="1269" t="s">
        <v>954</v>
      </c>
      <c r="BG33" s="1269"/>
      <c r="BH33" s="1269"/>
      <c r="BI33" s="1270">
        <v>10</v>
      </c>
      <c r="BJ33" s="1270">
        <v>8.1999999999999993</v>
      </c>
      <c r="BK33" s="1270"/>
      <c r="BL33" s="1269"/>
      <c r="BM33" s="1269" t="s">
        <v>5</v>
      </c>
      <c r="BN33" s="1269" t="s">
        <v>952</v>
      </c>
      <c r="BO33" s="1272"/>
      <c r="BP33" s="1269"/>
      <c r="BX33" s="1298" t="s">
        <v>1209</v>
      </c>
      <c r="BY33" s="1299">
        <v>10</v>
      </c>
      <c r="BZ33" s="1269" t="s">
        <v>2124</v>
      </c>
      <c r="CA33" s="1301">
        <f>1.93*1.155</f>
        <v>2.2291500000000002</v>
      </c>
      <c r="CB33" t="s">
        <v>2121</v>
      </c>
    </row>
    <row r="34" spans="3:80" ht="19" customHeight="1">
      <c r="C34" s="1289">
        <v>11</v>
      </c>
      <c r="D34" s="1006"/>
      <c r="E34" s="1010"/>
      <c r="F34" s="1006"/>
      <c r="G34" s="1010"/>
      <c r="H34" s="1008" t="str">
        <f t="array" ref="H34">IF(D34="","",INDEX($BD$5:$BD$308,MATCH(D34&amp;F34,$BB$5:$BB$308&amp;$BI$5:$BI$308,0)))</f>
        <v/>
      </c>
      <c r="I34" s="1008" t="str">
        <f t="array" ref="I34">IF(D34="","",INDEX($BC$5:$BC$308,MATCH(D34&amp;F34&amp;H34,$BB$5:$BB$308&amp;$BI$5:$BI$308&amp;$BD$5:$BD$308,0)))</f>
        <v/>
      </c>
      <c r="J34" s="1009" t="str">
        <f t="array" ref="J34">IF(D34="","",INDEX($BM$5:$BM$308,MATCH(D34&amp;F34&amp;H34,$BB$5:$BB$308&amp;$BI$5:$BI$308&amp;$BD$5:$BD$308,0)))</f>
        <v/>
      </c>
      <c r="K34" s="149"/>
      <c r="L34" s="1016"/>
      <c r="M34" s="1016"/>
      <c r="N34" s="294" t="str">
        <f t="array" ref="N34">IF(D34="","",IF(L34&lt;&gt;"",L34,
IF($G$7="Minimum",MIN(IF($BB$5:$BB$308=$D34,IF($BI$5:$BI$308=$F34, IF($BD$5:$BD$308=$H34,$BJ$5:$BJ$308)))),
IF($G$7="Maximum",MAX(IF($BB$5:$BB$308=$D34,IF($BI$5:$BI$308=$F34, IF($BD$5:$BD$308=$H34,$BJ$5:$BJ$308)))),
IF($G$7="Average",AVERAGE(IF($BB$5:$BB$308=$D34,IF($BI$5:$BI$308=$F34, IF($BD$5:$BD$308=$H34,$BJ$5:$BJ$308)))))))))</f>
        <v/>
      </c>
      <c r="O34" s="294" t="str">
        <f t="array" ref="O34">IF(D34="","",IF(M34&lt;&gt;"",M34,
IF($G$7="Minimum",MIN(IF($BB$5:$BB$308=$D34,IF($BI$5:$BI$308=$F34, IF($BD$5:$BD$308=$H34,$BK$5:$BK$308)))),
IF($G$7="Maximum",MAX(IF($BB$5:$BB$308=$D34,IF($BI$5:$BI$308=$F34, IF($BD$5:$BD$308=$H34,$BK$5:$BK$308)))),
IF($G$7="Average",AVERAGE(IF($BB$5:$BB$308=$D34,IF($BI$5:$BI$308=$F34, IF($BD$5:$BD$308=$H34,$BK$5:$BK$308)))))))))</f>
        <v/>
      </c>
      <c r="P34" s="149"/>
      <c r="Q34" s="1007"/>
      <c r="R34" s="1020" t="str">
        <f t="shared" si="0"/>
        <v/>
      </c>
      <c r="S34" s="1021" t="str">
        <f t="shared" si="1"/>
        <v/>
      </c>
      <c r="T34" s="149"/>
      <c r="U34" s="1016"/>
      <c r="V34" s="1016"/>
      <c r="W34" s="1016"/>
      <c r="X34" s="1008" t="str">
        <f t="shared" si="2"/>
        <v/>
      </c>
      <c r="Y34" s="294" t="str">
        <f t="shared" si="3"/>
        <v/>
      </c>
      <c r="Z34" s="1028">
        <f t="shared" si="4"/>
        <v>0</v>
      </c>
      <c r="AA34" s="149"/>
      <c r="AB34" s="1007"/>
      <c r="AC34" s="1303" t="str">
        <f t="array" ref="AC34">IF(D34="","",IF(AB34&lt;&gt;"",AB34,
IF($G$7="Minimum",MIN(IF($BX$5:$BX$138=$D34,IF($BY$5:$BY$138=$F34, $CA$5:$CA$138))),
IF($G$7="Maximum",MAX(IF($BX$5:$BX$138=$D34,IF($BY$5:$BY$138=$F34, $CA$5:$CA$138))),
IF($G$7="Average",AVERAGE(IF($BX$5:$BX$138=$D34,IF($BY$5:$BY$138=$F34, $CA$5:$CA$138))))))))</f>
        <v/>
      </c>
      <c r="AD34" s="149"/>
      <c r="AE34" s="1016"/>
      <c r="AF34" s="1016"/>
      <c r="AG34" s="1016"/>
      <c r="AH34" s="1303" t="str">
        <f t="shared" si="5"/>
        <v/>
      </c>
      <c r="AI34" s="1310" t="str">
        <f t="shared" si="6"/>
        <v/>
      </c>
      <c r="AJ34" s="1303" t="str">
        <f t="shared" si="7"/>
        <v/>
      </c>
      <c r="AK34" s="149"/>
      <c r="AU34">
        <v>30</v>
      </c>
      <c r="AV34" s="1269" t="str">
        <f t="array" ref="AV34">IFERROR(INDEX($BB$5:$BB$308, MATCH(0,COUNTIF($AV$3:AV33, $BB$5:$BB$308), 0)),"")</f>
        <v>bOPV</v>
      </c>
      <c r="BA34" s="1269" t="s">
        <v>955</v>
      </c>
      <c r="BB34" s="1269" t="s">
        <v>956</v>
      </c>
      <c r="BC34" s="1269" t="s">
        <v>957</v>
      </c>
      <c r="BD34" s="1269" t="s">
        <v>907</v>
      </c>
      <c r="BE34" s="1269"/>
      <c r="BF34" s="1269" t="s">
        <v>958</v>
      </c>
      <c r="BG34" s="1269"/>
      <c r="BH34" s="1269" t="s">
        <v>959</v>
      </c>
      <c r="BI34" s="1270" t="s">
        <v>894</v>
      </c>
      <c r="BJ34" s="1270">
        <v>154</v>
      </c>
      <c r="BK34" s="1270"/>
      <c r="BL34" s="1269"/>
      <c r="BM34" s="1269"/>
      <c r="BN34" s="1269" t="s">
        <v>960</v>
      </c>
      <c r="BO34" s="1272"/>
      <c r="BP34" s="1269"/>
      <c r="BX34" s="1298" t="s">
        <v>1209</v>
      </c>
      <c r="BY34" s="1299">
        <v>10</v>
      </c>
      <c r="BZ34" s="1269" t="s">
        <v>2125</v>
      </c>
      <c r="CA34" s="1301">
        <f>2.4*1.155</f>
        <v>2.7719999999999998</v>
      </c>
      <c r="CB34" t="s">
        <v>2121</v>
      </c>
    </row>
    <row r="35" spans="3:80" ht="19" customHeight="1">
      <c r="C35" s="1289">
        <v>12</v>
      </c>
      <c r="D35" s="1006"/>
      <c r="E35" s="1010"/>
      <c r="F35" s="1006"/>
      <c r="G35" s="1010"/>
      <c r="H35" s="1008" t="str">
        <f t="array" ref="H35">IF(D35="","",INDEX($BD$5:$BD$308,MATCH(D35&amp;F35,$BB$5:$BB$308&amp;$BI$5:$BI$308,0)))</f>
        <v/>
      </c>
      <c r="I35" s="1008" t="str">
        <f t="array" ref="I35">IF(D35="","",INDEX($BC$5:$BC$308,MATCH(D35&amp;F35&amp;H35,$BB$5:$BB$308&amp;$BI$5:$BI$308&amp;$BD$5:$BD$308,0)))</f>
        <v/>
      </c>
      <c r="J35" s="1009" t="str">
        <f t="array" ref="J35">IF(D35="","",INDEX($BM$5:$BM$308,MATCH(D35&amp;F35&amp;H35,$BB$5:$BB$308&amp;$BI$5:$BI$308&amp;$BD$5:$BD$308,0)))</f>
        <v/>
      </c>
      <c r="K35" s="149"/>
      <c r="L35" s="1016"/>
      <c r="M35" s="1016"/>
      <c r="N35" s="294" t="str">
        <f t="array" ref="N35">IF(D35="","",IF(L35&lt;&gt;"",L35,
IF($G$7="Minimum",MIN(IF($BB$5:$BB$308=$D35,IF($BI$5:$BI$308=$F35, IF($BD$5:$BD$308=$H35,$BJ$5:$BJ$308)))),
IF($G$7="Maximum",MAX(IF($BB$5:$BB$308=$D35,IF($BI$5:$BI$308=$F35, IF($BD$5:$BD$308=$H35,$BJ$5:$BJ$308)))),
IF($G$7="Average",AVERAGE(IF($BB$5:$BB$308=$D35,IF($BI$5:$BI$308=$F35, IF($BD$5:$BD$308=$H35,$BJ$5:$BJ$308)))))))))</f>
        <v/>
      </c>
      <c r="O35" s="294" t="str">
        <f t="array" ref="O35">IF(D35="","",IF(M35&lt;&gt;"",M35,
IF($G$7="Minimum",MIN(IF($BB$5:$BB$308=$D35,IF($BI$5:$BI$308=$F35, IF($BD$5:$BD$308=$H35,$BK$5:$BK$308)))),
IF($G$7="Maximum",MAX(IF($BB$5:$BB$308=$D35,IF($BI$5:$BI$308=$F35, IF($BD$5:$BD$308=$H35,$BK$5:$BK$308)))),
IF($G$7="Average",AVERAGE(IF($BB$5:$BB$308=$D35,IF($BI$5:$BI$308=$F35, IF($BD$5:$BD$308=$H35,$BK$5:$BK$308)))))))))</f>
        <v/>
      </c>
      <c r="P35" s="149"/>
      <c r="Q35" s="1007"/>
      <c r="R35" s="1020" t="str">
        <f t="shared" si="0"/>
        <v/>
      </c>
      <c r="S35" s="1021" t="str">
        <f t="shared" si="1"/>
        <v/>
      </c>
      <c r="T35" s="149"/>
      <c r="U35" s="1016"/>
      <c r="V35" s="1016"/>
      <c r="W35" s="1016"/>
      <c r="X35" s="1008" t="str">
        <f t="shared" si="2"/>
        <v/>
      </c>
      <c r="Y35" s="294" t="str">
        <f t="shared" si="3"/>
        <v/>
      </c>
      <c r="Z35" s="1028">
        <f t="shared" si="4"/>
        <v>0</v>
      </c>
      <c r="AA35" s="149"/>
      <c r="AB35" s="1007"/>
      <c r="AC35" s="1303" t="str">
        <f t="array" ref="AC35">IF(D35="","",IF(AB35&lt;&gt;"",AB35,
IF($G$7="Minimum",MIN(IF($BX$5:$BX$138=$D35,IF($BY$5:$BY$138=$F35, $CA$5:$CA$138))),
IF($G$7="Maximum",MAX(IF($BX$5:$BX$138=$D35,IF($BY$5:$BY$138=$F35, $CA$5:$CA$138))),
IF($G$7="Average",AVERAGE(IF($BX$5:$BX$138=$D35,IF($BY$5:$BY$138=$F35, $CA$5:$CA$138))))))))</f>
        <v/>
      </c>
      <c r="AD35" s="149"/>
      <c r="AE35" s="1016"/>
      <c r="AF35" s="1016"/>
      <c r="AG35" s="1016"/>
      <c r="AH35" s="1303" t="str">
        <f t="shared" si="5"/>
        <v/>
      </c>
      <c r="AI35" s="1310" t="str">
        <f t="shared" si="6"/>
        <v/>
      </c>
      <c r="AJ35" s="1303" t="str">
        <f t="shared" si="7"/>
        <v/>
      </c>
      <c r="AK35" s="149"/>
      <c r="AU35">
        <v>31</v>
      </c>
      <c r="AV35" s="1269" t="str">
        <f t="array" ref="AV35">IFERROR(INDEX($BB$5:$BB$308, MATCH(0,COUNTIF($AV$3:AV34, $BB$5:$BB$308), 0)),"")</f>
        <v>MR</v>
      </c>
      <c r="BA35" s="1269" t="s">
        <v>961</v>
      </c>
      <c r="BB35" s="1269" t="s">
        <v>956</v>
      </c>
      <c r="BC35" s="1269" t="s">
        <v>957</v>
      </c>
      <c r="BD35" s="1269" t="s">
        <v>907</v>
      </c>
      <c r="BE35" s="1269"/>
      <c r="BF35" s="1269" t="s">
        <v>962</v>
      </c>
      <c r="BG35" s="1269"/>
      <c r="BH35" s="1269"/>
      <c r="BI35" s="1270">
        <v>1</v>
      </c>
      <c r="BJ35" s="1270">
        <v>39.200000000000003</v>
      </c>
      <c r="BK35" s="1270"/>
      <c r="BL35" s="1269" t="s">
        <v>963</v>
      </c>
      <c r="BM35" s="1269"/>
      <c r="BN35" s="1269" t="s">
        <v>880</v>
      </c>
      <c r="BO35" s="1272">
        <v>40352</v>
      </c>
      <c r="BP35" s="1269" t="s">
        <v>964</v>
      </c>
      <c r="BX35" s="1298" t="s">
        <v>1240</v>
      </c>
      <c r="BY35" s="1299">
        <v>5</v>
      </c>
      <c r="BZ35" s="1269" t="s">
        <v>2126</v>
      </c>
      <c r="CA35" s="1301">
        <v>0.41</v>
      </c>
    </row>
    <row r="36" spans="3:80" ht="19" customHeight="1">
      <c r="C36" s="1289">
        <v>13</v>
      </c>
      <c r="D36" s="1006"/>
      <c r="E36" s="1010"/>
      <c r="F36" s="1006"/>
      <c r="G36" s="1010"/>
      <c r="H36" s="1008" t="str">
        <f t="array" ref="H36">IF(D36="","",INDEX($BD$5:$BD$308,MATCH(D36&amp;F36,$BB$5:$BB$308&amp;$BI$5:$BI$308,0)))</f>
        <v/>
      </c>
      <c r="I36" s="1008" t="str">
        <f t="array" ref="I36">IF(D36="","",INDEX($BC$5:$BC$308,MATCH(D36&amp;F36&amp;H36,$BB$5:$BB$308&amp;$BI$5:$BI$308&amp;$BD$5:$BD$308,0)))</f>
        <v/>
      </c>
      <c r="J36" s="1009" t="str">
        <f t="array" ref="J36">IF(D36="","",INDEX($BM$5:$BM$308,MATCH(D36&amp;F36&amp;H36,$BB$5:$BB$308&amp;$BI$5:$BI$308&amp;$BD$5:$BD$308,0)))</f>
        <v/>
      </c>
      <c r="K36" s="149"/>
      <c r="L36" s="1016"/>
      <c r="M36" s="1016"/>
      <c r="N36" s="294" t="str">
        <f t="array" ref="N36">IF(D36="","",IF(L36&lt;&gt;"",L36,
IF($G$7="Minimum",MIN(IF($BB$5:$BB$308=$D36,IF($BI$5:$BI$308=$F36, IF($BD$5:$BD$308=$H36,$BJ$5:$BJ$308)))),
IF($G$7="Maximum",MAX(IF($BB$5:$BB$308=$D36,IF($BI$5:$BI$308=$F36, IF($BD$5:$BD$308=$H36,$BJ$5:$BJ$308)))),
IF($G$7="Average",AVERAGE(IF($BB$5:$BB$308=$D36,IF($BI$5:$BI$308=$F36, IF($BD$5:$BD$308=$H36,$BJ$5:$BJ$308)))))))))</f>
        <v/>
      </c>
      <c r="O36" s="294" t="str">
        <f t="array" ref="O36">IF(D36="","",IF(M36&lt;&gt;"",M36,
IF($G$7="Minimum",MIN(IF($BB$5:$BB$308=$D36,IF($BI$5:$BI$308=$F36, IF($BD$5:$BD$308=$H36,$BK$5:$BK$308)))),
IF($G$7="Maximum",MAX(IF($BB$5:$BB$308=$D36,IF($BI$5:$BI$308=$F36, IF($BD$5:$BD$308=$H36,$BK$5:$BK$308)))),
IF($G$7="Average",AVERAGE(IF($BB$5:$BB$308=$D36,IF($BI$5:$BI$308=$F36, IF($BD$5:$BD$308=$H36,$BK$5:$BK$308)))))))))</f>
        <v/>
      </c>
      <c r="P36" s="149"/>
      <c r="Q36" s="1007"/>
      <c r="R36" s="1020" t="str">
        <f t="shared" si="0"/>
        <v/>
      </c>
      <c r="S36" s="1021" t="str">
        <f t="shared" si="1"/>
        <v/>
      </c>
      <c r="T36" s="149"/>
      <c r="U36" s="1016"/>
      <c r="V36" s="1016"/>
      <c r="W36" s="1016"/>
      <c r="X36" s="1008" t="str">
        <f t="shared" si="2"/>
        <v/>
      </c>
      <c r="Y36" s="294" t="str">
        <f t="shared" si="3"/>
        <v/>
      </c>
      <c r="Z36" s="1028">
        <f t="shared" si="4"/>
        <v>0</v>
      </c>
      <c r="AA36" s="149"/>
      <c r="AB36" s="1007"/>
      <c r="AC36" s="1303" t="str">
        <f t="array" ref="AC36">IF(D36="","",IF(AB36&lt;&gt;"",AB36,
IF($G$7="Minimum",MIN(IF($BX$5:$BX$138=$D36,IF($BY$5:$BY$138=$F36, $CA$5:$CA$138))),
IF($G$7="Maximum",MAX(IF($BX$5:$BX$138=$D36,IF($BY$5:$BY$138=$F36, $CA$5:$CA$138))),
IF($G$7="Average",AVERAGE(IF($BX$5:$BX$138=$D36,IF($BY$5:$BY$138=$F36, $CA$5:$CA$138))))))))</f>
        <v/>
      </c>
      <c r="AD36" s="149"/>
      <c r="AE36" s="1016"/>
      <c r="AF36" s="1016"/>
      <c r="AG36" s="1016"/>
      <c r="AH36" s="1303" t="str">
        <f t="shared" si="5"/>
        <v/>
      </c>
      <c r="AI36" s="1310" t="str">
        <f t="shared" si="6"/>
        <v/>
      </c>
      <c r="AJ36" s="1303" t="str">
        <f t="shared" si="7"/>
        <v/>
      </c>
      <c r="AK36" s="149"/>
      <c r="AU36">
        <v>32</v>
      </c>
      <c r="AV36" s="1269" t="str">
        <f t="array" ref="AV36">IFERROR(INDEX($BB$5:$BB$308, MATCH(0,COUNTIF($AV$3:AV35, $BB$5:$BB$308), 0)),"")</f>
        <v>MV A&amp;C</v>
      </c>
      <c r="BA36" s="1269" t="s">
        <v>961</v>
      </c>
      <c r="BB36" s="1269" t="s">
        <v>956</v>
      </c>
      <c r="BC36" s="1269" t="s">
        <v>965</v>
      </c>
      <c r="BD36" s="1269" t="s">
        <v>907</v>
      </c>
      <c r="BE36" s="1269" t="s">
        <v>966</v>
      </c>
      <c r="BF36" s="1269" t="s">
        <v>967</v>
      </c>
      <c r="BG36" s="1269"/>
      <c r="BH36" s="1269"/>
      <c r="BI36" s="1270">
        <v>10</v>
      </c>
      <c r="BJ36" s="1270">
        <v>12.39</v>
      </c>
      <c r="BK36" s="1270"/>
      <c r="BL36" s="1269" t="s">
        <v>895</v>
      </c>
      <c r="BM36" s="1269" t="s">
        <v>5</v>
      </c>
      <c r="BN36" s="1269" t="s">
        <v>968</v>
      </c>
      <c r="BO36" s="1272">
        <v>37748</v>
      </c>
      <c r="BP36" s="1269" t="s">
        <v>969</v>
      </c>
      <c r="BX36" s="1298" t="s">
        <v>1250</v>
      </c>
      <c r="BY36" s="1299">
        <v>10</v>
      </c>
      <c r="BZ36" s="1269" t="s">
        <v>2111</v>
      </c>
      <c r="CA36" s="1301">
        <v>0.23699999999999999</v>
      </c>
    </row>
    <row r="37" spans="3:80" ht="19" customHeight="1">
      <c r="C37" s="1289">
        <v>14</v>
      </c>
      <c r="D37" s="1006"/>
      <c r="E37" s="1010"/>
      <c r="F37" s="1006"/>
      <c r="G37" s="1010"/>
      <c r="H37" s="1008" t="str">
        <f t="array" ref="H37">IF(D37="","",INDEX($BD$5:$BD$308,MATCH(D37&amp;F37,$BB$5:$BB$308&amp;$BI$5:$BI$308,0)))</f>
        <v/>
      </c>
      <c r="I37" s="1008" t="str">
        <f t="array" ref="I37">IF(D37="","",INDEX($BC$5:$BC$308,MATCH(D37&amp;F37&amp;H37,$BB$5:$BB$308&amp;$BI$5:$BI$308&amp;$BD$5:$BD$308,0)))</f>
        <v/>
      </c>
      <c r="J37" s="1009" t="str">
        <f t="array" ref="J37">IF(D37="","",INDEX($BM$5:$BM$308,MATCH(D37&amp;F37&amp;H37,$BB$5:$BB$308&amp;$BI$5:$BI$308&amp;$BD$5:$BD$308,0)))</f>
        <v/>
      </c>
      <c r="K37" s="149"/>
      <c r="L37" s="1016"/>
      <c r="M37" s="1016"/>
      <c r="N37" s="294" t="str">
        <f t="array" ref="N37">IF(D37="","",IF(L37&lt;&gt;"",L37,
IF($G$7="Minimum",MIN(IF($BB$5:$BB$308=$D37,IF($BI$5:$BI$308=$F37, IF($BD$5:$BD$308=$H37,$BJ$5:$BJ$308)))),
IF($G$7="Maximum",MAX(IF($BB$5:$BB$308=$D37,IF($BI$5:$BI$308=$F37, IF($BD$5:$BD$308=$H37,$BJ$5:$BJ$308)))),
IF($G$7="Average",AVERAGE(IF($BB$5:$BB$308=$D37,IF($BI$5:$BI$308=$F37, IF($BD$5:$BD$308=$H37,$BJ$5:$BJ$308)))))))))</f>
        <v/>
      </c>
      <c r="O37" s="294" t="str">
        <f t="array" ref="O37">IF(D37="","",IF(M37&lt;&gt;"",M37,
IF($G$7="Minimum",MIN(IF($BB$5:$BB$308=$D37,IF($BI$5:$BI$308=$F37, IF($BD$5:$BD$308=$H37,$BK$5:$BK$308)))),
IF($G$7="Maximum",MAX(IF($BB$5:$BB$308=$D37,IF($BI$5:$BI$308=$F37, IF($BD$5:$BD$308=$H37,$BK$5:$BK$308)))),
IF($G$7="Average",AVERAGE(IF($BB$5:$BB$308=$D37,IF($BI$5:$BI$308=$F37, IF($BD$5:$BD$308=$H37,$BK$5:$BK$308)))))))))</f>
        <v/>
      </c>
      <c r="P37" s="149"/>
      <c r="Q37" s="1007"/>
      <c r="R37" s="1020" t="str">
        <f t="shared" si="0"/>
        <v/>
      </c>
      <c r="S37" s="1021" t="str">
        <f t="shared" si="1"/>
        <v/>
      </c>
      <c r="T37" s="149"/>
      <c r="U37" s="1016"/>
      <c r="V37" s="1016"/>
      <c r="W37" s="1016"/>
      <c r="X37" s="1008" t="str">
        <f t="shared" si="2"/>
        <v/>
      </c>
      <c r="Y37" s="294" t="str">
        <f t="shared" si="3"/>
        <v/>
      </c>
      <c r="Z37" s="1028">
        <f t="shared" si="4"/>
        <v>0</v>
      </c>
      <c r="AA37" s="149"/>
      <c r="AB37" s="1007"/>
      <c r="AC37" s="1303" t="str">
        <f t="array" ref="AC37">IF(D37="","",IF(AB37&lt;&gt;"",AB37,
IF($G$7="Minimum",MIN(IF($BX$5:$BX$138=$D37,IF($BY$5:$BY$138=$F37, $CA$5:$CA$138))),
IF($G$7="Maximum",MAX(IF($BX$5:$BX$138=$D37,IF($BY$5:$BY$138=$F37, $CA$5:$CA$138))),
IF($G$7="Average",AVERAGE(IF($BX$5:$BX$138=$D37,IF($BY$5:$BY$138=$F37, $CA$5:$CA$138))))))))</f>
        <v/>
      </c>
      <c r="AD37" s="149"/>
      <c r="AE37" s="1016"/>
      <c r="AF37" s="1016"/>
      <c r="AG37" s="1016"/>
      <c r="AH37" s="1303" t="str">
        <f t="shared" si="5"/>
        <v/>
      </c>
      <c r="AI37" s="1310" t="str">
        <f t="shared" si="6"/>
        <v/>
      </c>
      <c r="AJ37" s="1303" t="str">
        <f t="shared" si="7"/>
        <v/>
      </c>
      <c r="AK37" s="149"/>
      <c r="AU37">
        <v>33</v>
      </c>
      <c r="AV37" s="1269" t="str">
        <f t="array" ref="AV37">IFERROR(INDEX($BB$5:$BB$308, MATCH(0,COUNTIF($AV$3:AV36, $BB$5:$BB$308), 0)),"")</f>
        <v>MV ACWY</v>
      </c>
      <c r="BA37" s="1269" t="s">
        <v>961</v>
      </c>
      <c r="BB37" s="1269" t="s">
        <v>956</v>
      </c>
      <c r="BC37" s="1269" t="s">
        <v>965</v>
      </c>
      <c r="BD37" s="1269" t="s">
        <v>907</v>
      </c>
      <c r="BE37" s="1269" t="s">
        <v>966</v>
      </c>
      <c r="BF37" s="1269" t="s">
        <v>970</v>
      </c>
      <c r="BG37" s="1269"/>
      <c r="BH37" s="1269"/>
      <c r="BI37" s="1270">
        <v>1</v>
      </c>
      <c r="BJ37" s="1270">
        <v>44.72</v>
      </c>
      <c r="BK37" s="1270"/>
      <c r="BL37" s="1269" t="s">
        <v>895</v>
      </c>
      <c r="BM37" s="1269"/>
      <c r="BN37" s="1269" t="s">
        <v>968</v>
      </c>
      <c r="BO37" s="1272">
        <v>37748</v>
      </c>
      <c r="BP37" s="1269" t="s">
        <v>971</v>
      </c>
      <c r="BX37" s="1298" t="s">
        <v>1250</v>
      </c>
      <c r="BY37" s="1299">
        <v>10</v>
      </c>
      <c r="BZ37" s="1269" t="s">
        <v>2110</v>
      </c>
      <c r="CA37" s="1301">
        <v>0.313</v>
      </c>
    </row>
    <row r="38" spans="3:80" ht="19" customHeight="1">
      <c r="C38" s="1289">
        <v>15</v>
      </c>
      <c r="D38" s="1006"/>
      <c r="E38" s="1010"/>
      <c r="F38" s="1006"/>
      <c r="G38" s="1010"/>
      <c r="H38" s="1008" t="str">
        <f t="array" ref="H38">IF(D38="","",INDEX($BD$5:$BD$308,MATCH(D38&amp;F38,$BB$5:$BB$308&amp;$BI$5:$BI$308,0)))</f>
        <v/>
      </c>
      <c r="I38" s="1008" t="str">
        <f t="array" ref="I38">IF(D38="","",INDEX($BC$5:$BC$308,MATCH(D38&amp;F38&amp;H38,$BB$5:$BB$308&amp;$BI$5:$BI$308&amp;$BD$5:$BD$308,0)))</f>
        <v/>
      </c>
      <c r="J38" s="1009" t="str">
        <f t="array" ref="J38">IF(D38="","",INDEX($BM$5:$BM$308,MATCH(D38&amp;F38&amp;H38,$BB$5:$BB$308&amp;$BI$5:$BI$308&amp;$BD$5:$BD$308,0)))</f>
        <v/>
      </c>
      <c r="K38" s="149"/>
      <c r="L38" s="1016"/>
      <c r="M38" s="1016"/>
      <c r="N38" s="294" t="str">
        <f t="array" ref="N38">IF(D38="","",IF(L38&lt;&gt;"",L38,
IF($G$7="Minimum",MIN(IF($BB$5:$BB$308=$D38,IF($BI$5:$BI$308=$F38, IF($BD$5:$BD$308=$H38,$BJ$5:$BJ$308)))),
IF($G$7="Maximum",MAX(IF($BB$5:$BB$308=$D38,IF($BI$5:$BI$308=$F38, IF($BD$5:$BD$308=$H38,$BJ$5:$BJ$308)))),
IF($G$7="Average",AVERAGE(IF($BB$5:$BB$308=$D38,IF($BI$5:$BI$308=$F38, IF($BD$5:$BD$308=$H38,$BJ$5:$BJ$308)))))))))</f>
        <v/>
      </c>
      <c r="O38" s="294" t="str">
        <f t="array" ref="O38">IF(D38="","",IF(M38&lt;&gt;"",M38,
IF($G$7="Minimum",MIN(IF($BB$5:$BB$308=$D38,IF($BI$5:$BI$308=$F38, IF($BD$5:$BD$308=$H38,$BK$5:$BK$308)))),
IF($G$7="Maximum",MAX(IF($BB$5:$BB$308=$D38,IF($BI$5:$BI$308=$F38, IF($BD$5:$BD$308=$H38,$BK$5:$BK$308)))),
IF($G$7="Average",AVERAGE(IF($BB$5:$BB$308=$D38,IF($BI$5:$BI$308=$F38, IF($BD$5:$BD$308=$H38,$BK$5:$BK$308)))))))))</f>
        <v/>
      </c>
      <c r="P38" s="149"/>
      <c r="Q38" s="1007"/>
      <c r="R38" s="1020" t="str">
        <f t="shared" si="0"/>
        <v/>
      </c>
      <c r="S38" s="1021" t="str">
        <f t="shared" si="1"/>
        <v/>
      </c>
      <c r="T38" s="149"/>
      <c r="U38" s="1016"/>
      <c r="V38" s="1016"/>
      <c r="W38" s="1016"/>
      <c r="X38" s="1008" t="str">
        <f t="shared" si="2"/>
        <v/>
      </c>
      <c r="Y38" s="294" t="str">
        <f t="shared" si="3"/>
        <v/>
      </c>
      <c r="Z38" s="1028">
        <f t="shared" si="4"/>
        <v>0</v>
      </c>
      <c r="AA38" s="149"/>
      <c r="AB38" s="1007"/>
      <c r="AC38" s="1303" t="str">
        <f t="array" ref="AC38">IF(D38="","",IF(AB38&lt;&gt;"",AB38,
IF($G$7="Minimum",MIN(IF($BX$5:$BX$138=$D38,IF($BY$5:$BY$138=$F38, $CA$5:$CA$138))),
IF($G$7="Maximum",MAX(IF($BX$5:$BX$138=$D38,IF($BY$5:$BY$138=$F38, $CA$5:$CA$138))),
IF($G$7="Average",AVERAGE(IF($BX$5:$BX$138=$D38,IF($BY$5:$BY$138=$F38, $CA$5:$CA$138))))))))</f>
        <v/>
      </c>
      <c r="AD38" s="149"/>
      <c r="AE38" s="1016"/>
      <c r="AF38" s="1016"/>
      <c r="AG38" s="1016"/>
      <c r="AH38" s="1303" t="str">
        <f t="shared" si="5"/>
        <v/>
      </c>
      <c r="AI38" s="1310" t="str">
        <f t="shared" si="6"/>
        <v/>
      </c>
      <c r="AJ38" s="1303" t="str">
        <f t="shared" si="7"/>
        <v/>
      </c>
      <c r="AK38" s="149"/>
      <c r="AU38">
        <v>34</v>
      </c>
      <c r="AV38" s="1269" t="str">
        <f t="array" ref="AV38">IFERROR(INDEX($BB$5:$BB$308, MATCH(0,COUNTIF($AV$3:AV37, $BB$5:$BB$308), 0)),"")</f>
        <v>MV ACYW-135</v>
      </c>
      <c r="BA38" s="1269" t="s">
        <v>972</v>
      </c>
      <c r="BB38" s="1269" t="s">
        <v>973</v>
      </c>
      <c r="BC38" s="1269" t="s">
        <v>889</v>
      </c>
      <c r="BD38" s="1269" t="s">
        <v>907</v>
      </c>
      <c r="BE38" s="1269"/>
      <c r="BF38" s="1269" t="s">
        <v>974</v>
      </c>
      <c r="BG38" s="1269"/>
      <c r="BH38" s="1269" t="s">
        <v>951</v>
      </c>
      <c r="BI38" s="1270" t="s">
        <v>946</v>
      </c>
      <c r="BJ38" s="1270">
        <v>99</v>
      </c>
      <c r="BK38" s="1270"/>
      <c r="BL38" s="1269"/>
      <c r="BM38" s="1269"/>
      <c r="BN38" s="1269" t="s">
        <v>939</v>
      </c>
      <c r="BO38" s="1272"/>
      <c r="BP38" s="1269"/>
      <c r="BX38" s="1298" t="s">
        <v>1250</v>
      </c>
      <c r="BY38" s="1299">
        <v>5</v>
      </c>
      <c r="BZ38" s="1269" t="s">
        <v>2110</v>
      </c>
      <c r="CA38" s="1301">
        <v>0.39600000000000002</v>
      </c>
    </row>
    <row r="39" spans="3:80" ht="19" customHeight="1">
      <c r="C39" s="1289">
        <v>16</v>
      </c>
      <c r="D39" s="1006"/>
      <c r="E39" s="1010"/>
      <c r="F39" s="1006"/>
      <c r="G39" s="1010"/>
      <c r="H39" s="1008" t="str">
        <f t="array" ref="H39">IF(D39="","",INDEX($BD$5:$BD$308,MATCH(D39&amp;F39,$BB$5:$BB$308&amp;$BI$5:$BI$308,0)))</f>
        <v/>
      </c>
      <c r="I39" s="1008" t="str">
        <f t="array" ref="I39">IF(D39="","",INDEX($BC$5:$BC$308,MATCH(D39&amp;F39&amp;H39,$BB$5:$BB$308&amp;$BI$5:$BI$308&amp;$BD$5:$BD$308,0)))</f>
        <v/>
      </c>
      <c r="J39" s="1009" t="str">
        <f t="array" ref="J39">IF(D39="","",INDEX($BM$5:$BM$308,MATCH(D39&amp;F39&amp;H39,$BB$5:$BB$308&amp;$BI$5:$BI$308&amp;$BD$5:$BD$308,0)))</f>
        <v/>
      </c>
      <c r="K39" s="149"/>
      <c r="L39" s="1016"/>
      <c r="M39" s="1016"/>
      <c r="N39" s="294" t="str">
        <f t="array" ref="N39">IF(D39="","",IF(L39&lt;&gt;"",L39,
IF($G$7="Minimum",MIN(IF($BB$5:$BB$308=$D39,IF($BI$5:$BI$308=$F39, IF($BD$5:$BD$308=$H39,$BJ$5:$BJ$308)))),
IF($G$7="Maximum",MAX(IF($BB$5:$BB$308=$D39,IF($BI$5:$BI$308=$F39, IF($BD$5:$BD$308=$H39,$BJ$5:$BJ$308)))),
IF($G$7="Average",AVERAGE(IF($BB$5:$BB$308=$D39,IF($BI$5:$BI$308=$F39, IF($BD$5:$BD$308=$H39,$BJ$5:$BJ$308)))))))))</f>
        <v/>
      </c>
      <c r="O39" s="294" t="str">
        <f t="array" ref="O39">IF(D39="","",IF(M39&lt;&gt;"",M39,
IF($G$7="Minimum",MIN(IF($BB$5:$BB$308=$D39,IF($BI$5:$BI$308=$F39, IF($BD$5:$BD$308=$H39,$BK$5:$BK$308)))),
IF($G$7="Maximum",MAX(IF($BB$5:$BB$308=$D39,IF($BI$5:$BI$308=$F39, IF($BD$5:$BD$308=$H39,$BK$5:$BK$308)))),
IF($G$7="Average",AVERAGE(IF($BB$5:$BB$308=$D39,IF($BI$5:$BI$308=$F39, IF($BD$5:$BD$308=$H39,$BK$5:$BK$308)))))))))</f>
        <v/>
      </c>
      <c r="P39" s="149"/>
      <c r="Q39" s="1007"/>
      <c r="R39" s="1020" t="str">
        <f t="shared" si="0"/>
        <v/>
      </c>
      <c r="S39" s="1021" t="str">
        <f t="shared" si="1"/>
        <v/>
      </c>
      <c r="T39" s="149"/>
      <c r="U39" s="1016"/>
      <c r="V39" s="1016"/>
      <c r="W39" s="1016"/>
      <c r="X39" s="1008" t="str">
        <f t="shared" si="2"/>
        <v/>
      </c>
      <c r="Y39" s="294" t="str">
        <f t="shared" si="3"/>
        <v/>
      </c>
      <c r="Z39" s="1028">
        <f t="shared" si="4"/>
        <v>0</v>
      </c>
      <c r="AA39" s="149"/>
      <c r="AB39" s="1007"/>
      <c r="AC39" s="1303" t="str">
        <f t="array" ref="AC39">IF(D39="","",IF(AB39&lt;&gt;"",AB39,
IF($G$7="Minimum",MIN(IF($BX$5:$BX$138=$D39,IF($BY$5:$BY$138=$F39, $CA$5:$CA$138))),
IF($G$7="Maximum",MAX(IF($BX$5:$BX$138=$D39,IF($BY$5:$BY$138=$F39, $CA$5:$CA$138))),
IF($G$7="Average",AVERAGE(IF($BX$5:$BX$138=$D39,IF($BY$5:$BY$138=$F39, $CA$5:$CA$138))))))))</f>
        <v/>
      </c>
      <c r="AD39" s="149"/>
      <c r="AE39" s="1016"/>
      <c r="AF39" s="1016"/>
      <c r="AG39" s="1016"/>
      <c r="AH39" s="1303" t="str">
        <f t="shared" si="5"/>
        <v/>
      </c>
      <c r="AI39" s="1310" t="str">
        <f t="shared" si="6"/>
        <v/>
      </c>
      <c r="AJ39" s="1303" t="str">
        <f t="shared" si="7"/>
        <v/>
      </c>
      <c r="AK39" s="149"/>
      <c r="AU39">
        <v>35</v>
      </c>
      <c r="AV39" s="1269" t="str">
        <f t="array" ref="AV39">IFERROR(INDEX($BB$5:$BB$308, MATCH(0,COUNTIF($AV$3:AV38, $BB$5:$BB$308), 0)),"")</f>
        <v>PCV-7</v>
      </c>
      <c r="BA39" s="1269" t="s">
        <v>975</v>
      </c>
      <c r="BB39" s="1269" t="s">
        <v>973</v>
      </c>
      <c r="BC39" s="1269" t="s">
        <v>976</v>
      </c>
      <c r="BD39" s="1269" t="s">
        <v>907</v>
      </c>
      <c r="BE39" s="1269" t="s">
        <v>977</v>
      </c>
      <c r="BF39" s="1269" t="s">
        <v>978</v>
      </c>
      <c r="BG39" s="1269"/>
      <c r="BH39" s="1269"/>
      <c r="BI39" s="1270">
        <v>5</v>
      </c>
      <c r="BJ39" s="1270">
        <v>4.2</v>
      </c>
      <c r="BK39" s="1270"/>
      <c r="BL39" s="1269" t="s">
        <v>884</v>
      </c>
      <c r="BM39" s="1269" t="s">
        <v>834</v>
      </c>
      <c r="BN39" s="1269" t="s">
        <v>919</v>
      </c>
      <c r="BO39" s="1272">
        <v>38267</v>
      </c>
      <c r="BP39" s="1269" t="s">
        <v>979</v>
      </c>
      <c r="BX39" s="1298" t="s">
        <v>1271</v>
      </c>
      <c r="BY39" s="1299">
        <v>10</v>
      </c>
      <c r="BZ39" s="1269" t="s">
        <v>2110</v>
      </c>
      <c r="CA39" s="1301">
        <v>0.68799999999999994</v>
      </c>
    </row>
    <row r="40" spans="3:80" ht="19" customHeight="1">
      <c r="C40" s="1289">
        <v>17</v>
      </c>
      <c r="D40" s="1006"/>
      <c r="E40" s="1010"/>
      <c r="F40" s="1006"/>
      <c r="G40" s="1010"/>
      <c r="H40" s="1008" t="str">
        <f t="array" ref="H40">IF(D40="","",INDEX($BD$5:$BD$308,MATCH(D40&amp;F40,$BB$5:$BB$308&amp;$BI$5:$BI$308,0)))</f>
        <v/>
      </c>
      <c r="I40" s="1008" t="str">
        <f t="array" ref="I40">IF(D40="","",INDEX($BC$5:$BC$308,MATCH(D40&amp;F40&amp;H40,$BB$5:$BB$308&amp;$BI$5:$BI$308&amp;$BD$5:$BD$308,0)))</f>
        <v/>
      </c>
      <c r="J40" s="1009" t="str">
        <f t="array" ref="J40">IF(D40="","",INDEX($BM$5:$BM$308,MATCH(D40&amp;F40&amp;H40,$BB$5:$BB$308&amp;$BI$5:$BI$308&amp;$BD$5:$BD$308,0)))</f>
        <v/>
      </c>
      <c r="K40" s="149"/>
      <c r="L40" s="1016"/>
      <c r="M40" s="1016"/>
      <c r="N40" s="294" t="str">
        <f t="array" ref="N40">IF(D40="","",IF(L40&lt;&gt;"",L40,
IF($G$7="Minimum",MIN(IF($BB$5:$BB$308=$D40,IF($BI$5:$BI$308=$F40, IF($BD$5:$BD$308=$H40,$BJ$5:$BJ$308)))),
IF($G$7="Maximum",MAX(IF($BB$5:$BB$308=$D40,IF($BI$5:$BI$308=$F40, IF($BD$5:$BD$308=$H40,$BJ$5:$BJ$308)))),
IF($G$7="Average",AVERAGE(IF($BB$5:$BB$308=$D40,IF($BI$5:$BI$308=$F40, IF($BD$5:$BD$308=$H40,$BJ$5:$BJ$308)))))))))</f>
        <v/>
      </c>
      <c r="O40" s="294" t="str">
        <f t="array" ref="O40">IF(D40="","",IF(M40&lt;&gt;"",M40,
IF($G$7="Minimum",MIN(IF($BB$5:$BB$308=$D40,IF($BI$5:$BI$308=$F40, IF($BD$5:$BD$308=$H40,$BK$5:$BK$308)))),
IF($G$7="Maximum",MAX(IF($BB$5:$BB$308=$D40,IF($BI$5:$BI$308=$F40, IF($BD$5:$BD$308=$H40,$BK$5:$BK$308)))),
IF($G$7="Average",AVERAGE(IF($BB$5:$BB$308=$D40,IF($BI$5:$BI$308=$F40, IF($BD$5:$BD$308=$H40,$BK$5:$BK$308)))))))))</f>
        <v/>
      </c>
      <c r="P40" s="149"/>
      <c r="Q40" s="1007"/>
      <c r="R40" s="1020" t="str">
        <f t="shared" si="0"/>
        <v/>
      </c>
      <c r="S40" s="1021" t="str">
        <f t="shared" si="1"/>
        <v/>
      </c>
      <c r="T40" s="149"/>
      <c r="U40" s="1016"/>
      <c r="V40" s="1016"/>
      <c r="W40" s="1016"/>
      <c r="X40" s="1008" t="str">
        <f t="shared" si="2"/>
        <v/>
      </c>
      <c r="Y40" s="294" t="str">
        <f t="shared" si="3"/>
        <v/>
      </c>
      <c r="Z40" s="1028">
        <f t="shared" si="4"/>
        <v>0</v>
      </c>
      <c r="AA40" s="149"/>
      <c r="AB40" s="1007"/>
      <c r="AC40" s="1303" t="str">
        <f t="array" ref="AC40">IF(D40="","",IF(AB40&lt;&gt;"",AB40,
IF($G$7="Minimum",MIN(IF($BX$5:$BX$138=$D40,IF($BY$5:$BY$138=$F40, $CA$5:$CA$138))),
IF($G$7="Maximum",MAX(IF($BX$5:$BX$138=$D40,IF($BY$5:$BY$138=$F40, $CA$5:$CA$138))),
IF($G$7="Average",AVERAGE(IF($BX$5:$BX$138=$D40,IF($BY$5:$BY$138=$F40, $CA$5:$CA$138))))))))</f>
        <v/>
      </c>
      <c r="AD40" s="149"/>
      <c r="AE40" s="1016"/>
      <c r="AF40" s="1016"/>
      <c r="AG40" s="1016"/>
      <c r="AH40" s="1303" t="str">
        <f t="shared" si="5"/>
        <v/>
      </c>
      <c r="AI40" s="1310" t="str">
        <f t="shared" si="6"/>
        <v/>
      </c>
      <c r="AJ40" s="1303" t="str">
        <f t="shared" si="7"/>
        <v/>
      </c>
      <c r="AK40" s="149"/>
      <c r="AU40">
        <v>36</v>
      </c>
      <c r="AV40" s="1269" t="str">
        <f t="array" ref="AV40">IFERROR(INDEX($BB$5:$BB$308, MATCH(0,COUNTIF($AV$3:AV39, $BB$5:$BB$308), 0)),"")</f>
        <v>PCV-13</v>
      </c>
      <c r="BA40" s="1269" t="s">
        <v>975</v>
      </c>
      <c r="BB40" s="1269" t="s">
        <v>973</v>
      </c>
      <c r="BC40" s="1269" t="s">
        <v>976</v>
      </c>
      <c r="BD40" s="1269" t="s">
        <v>907</v>
      </c>
      <c r="BE40" s="1269" t="s">
        <v>980</v>
      </c>
      <c r="BF40" s="1269" t="s">
        <v>981</v>
      </c>
      <c r="BG40" s="1269"/>
      <c r="BH40" s="1269"/>
      <c r="BI40" s="1270">
        <v>10</v>
      </c>
      <c r="BJ40" s="1270">
        <v>2.1</v>
      </c>
      <c r="BK40" s="1270"/>
      <c r="BL40" s="1269" t="s">
        <v>884</v>
      </c>
      <c r="BM40" s="1269" t="s">
        <v>834</v>
      </c>
      <c r="BN40" s="1269" t="s">
        <v>919</v>
      </c>
      <c r="BO40" s="1272">
        <v>38267</v>
      </c>
      <c r="BP40" s="1269" t="s">
        <v>982</v>
      </c>
      <c r="BX40" s="1298" t="s">
        <v>1271</v>
      </c>
      <c r="BY40" s="1299">
        <v>10</v>
      </c>
      <c r="BZ40" s="1269" t="s">
        <v>2110</v>
      </c>
      <c r="CA40" s="1301">
        <v>0.52400000000000002</v>
      </c>
    </row>
    <row r="41" spans="3:80" ht="19" customHeight="1">
      <c r="C41" s="1289">
        <v>18</v>
      </c>
      <c r="D41" s="1006"/>
      <c r="E41" s="1010"/>
      <c r="F41" s="1006"/>
      <c r="G41" s="1010"/>
      <c r="H41" s="1008" t="str">
        <f t="array" ref="H41">IF(D41="","",INDEX($BD$5:$BD$308,MATCH(D41&amp;F41,$BB$5:$BB$308&amp;$BI$5:$BI$308,0)))</f>
        <v/>
      </c>
      <c r="I41" s="1008" t="str">
        <f t="array" ref="I41">IF(D41="","",INDEX($BC$5:$BC$308,MATCH(D41&amp;F41&amp;H41,$BB$5:$BB$308&amp;$BI$5:$BI$308&amp;$BD$5:$BD$308,0)))</f>
        <v/>
      </c>
      <c r="J41" s="1009" t="str">
        <f t="array" ref="J41">IF(D41="","",INDEX($BM$5:$BM$308,MATCH(D41&amp;F41&amp;H41,$BB$5:$BB$308&amp;$BI$5:$BI$308&amp;$BD$5:$BD$308,0)))</f>
        <v/>
      </c>
      <c r="K41" s="149"/>
      <c r="L41" s="1016"/>
      <c r="M41" s="1016"/>
      <c r="N41" s="294" t="str">
        <f t="array" ref="N41">IF(D41="","",IF(L41&lt;&gt;"",L41,
IF($G$7="Minimum",MIN(IF($BB$5:$BB$308=$D41,IF($BI$5:$BI$308=$F41, IF($BD$5:$BD$308=$H41,$BJ$5:$BJ$308)))),
IF($G$7="Maximum",MAX(IF($BB$5:$BB$308=$D41,IF($BI$5:$BI$308=$F41, IF($BD$5:$BD$308=$H41,$BJ$5:$BJ$308)))),
IF($G$7="Average",AVERAGE(IF($BB$5:$BB$308=$D41,IF($BI$5:$BI$308=$F41, IF($BD$5:$BD$308=$H41,$BJ$5:$BJ$308)))))))))</f>
        <v/>
      </c>
      <c r="O41" s="294" t="str">
        <f t="array" ref="O41">IF(D41="","",IF(M41&lt;&gt;"",M41,
IF($G$7="Minimum",MIN(IF($BB$5:$BB$308=$D41,IF($BI$5:$BI$308=$F41, IF($BD$5:$BD$308=$H41,$BK$5:$BK$308)))),
IF($G$7="Maximum",MAX(IF($BB$5:$BB$308=$D41,IF($BI$5:$BI$308=$F41, IF($BD$5:$BD$308=$H41,$BK$5:$BK$308)))),
IF($G$7="Average",AVERAGE(IF($BB$5:$BB$308=$D41,IF($BI$5:$BI$308=$F41, IF($BD$5:$BD$308=$H41,$BK$5:$BK$308)))))))))</f>
        <v/>
      </c>
      <c r="P41" s="149"/>
      <c r="Q41" s="1007"/>
      <c r="R41" s="1020" t="str">
        <f t="shared" si="0"/>
        <v/>
      </c>
      <c r="S41" s="1021" t="str">
        <f t="shared" si="1"/>
        <v/>
      </c>
      <c r="T41" s="149"/>
      <c r="U41" s="1016"/>
      <c r="V41" s="1016"/>
      <c r="W41" s="1016"/>
      <c r="X41" s="1008" t="str">
        <f t="shared" si="2"/>
        <v/>
      </c>
      <c r="Y41" s="294" t="str">
        <f t="shared" si="3"/>
        <v/>
      </c>
      <c r="Z41" s="1028">
        <f t="shared" si="4"/>
        <v>0</v>
      </c>
      <c r="AA41" s="149"/>
      <c r="AB41" s="1007"/>
      <c r="AC41" s="1303" t="str">
        <f t="array" ref="AC41">IF(D41="","",IF(AB41&lt;&gt;"",AB41,
IF($G$7="Minimum",MIN(IF($BX$5:$BX$138=$D41,IF($BY$5:$BY$138=$F41, $CA$5:$CA$138))),
IF($G$7="Maximum",MAX(IF($BX$5:$BX$138=$D41,IF($BY$5:$BY$138=$F41, $CA$5:$CA$138))),
IF($G$7="Average",AVERAGE(IF($BX$5:$BX$138=$D41,IF($BY$5:$BY$138=$F41, $CA$5:$CA$138))))))))</f>
        <v/>
      </c>
      <c r="AD41" s="149"/>
      <c r="AE41" s="1016"/>
      <c r="AF41" s="1016"/>
      <c r="AG41" s="1016"/>
      <c r="AH41" s="1303" t="str">
        <f t="shared" si="5"/>
        <v/>
      </c>
      <c r="AI41" s="1310" t="str">
        <f t="shared" si="6"/>
        <v/>
      </c>
      <c r="AJ41" s="1303" t="str">
        <f t="shared" si="7"/>
        <v/>
      </c>
      <c r="AK41" s="149"/>
      <c r="AU41">
        <v>37</v>
      </c>
      <c r="AV41" s="1269" t="str">
        <f t="array" ref="AV41">IFERROR(INDEX($BB$5:$BB$308, MATCH(0,COUNTIF($AV$3:AV40, $BB$5:$BB$308), 0)),"")</f>
        <v>PCV-10</v>
      </c>
      <c r="BA41" s="1269" t="s">
        <v>983</v>
      </c>
      <c r="BB41" s="1269" t="s">
        <v>973</v>
      </c>
      <c r="BC41" s="1269" t="s">
        <v>976</v>
      </c>
      <c r="BD41" s="1269" t="s">
        <v>907</v>
      </c>
      <c r="BE41" s="1269" t="s">
        <v>984</v>
      </c>
      <c r="BF41" s="1269" t="s">
        <v>985</v>
      </c>
      <c r="BG41" s="1269"/>
      <c r="BH41" s="1269"/>
      <c r="BI41" s="1270" t="s">
        <v>894</v>
      </c>
      <c r="BJ41" s="1270"/>
      <c r="BK41" s="1270"/>
      <c r="BL41" s="1269" t="s">
        <v>884</v>
      </c>
      <c r="BM41" s="1269"/>
      <c r="BN41" s="1269" t="s">
        <v>939</v>
      </c>
      <c r="BO41" s="1272" t="s">
        <v>986</v>
      </c>
      <c r="BP41" s="1269" t="s">
        <v>987</v>
      </c>
      <c r="BX41" s="1298" t="s">
        <v>1332</v>
      </c>
      <c r="BY41" s="1299">
        <v>10</v>
      </c>
      <c r="BZ41" s="1269" t="s">
        <v>2127</v>
      </c>
      <c r="CA41" s="1301">
        <f>2.5*1.155</f>
        <v>2.8875000000000002</v>
      </c>
      <c r="CB41" t="s">
        <v>2121</v>
      </c>
    </row>
    <row r="42" spans="3:80" ht="19" customHeight="1">
      <c r="C42" s="1289">
        <v>19</v>
      </c>
      <c r="D42" s="1006"/>
      <c r="E42" s="1010"/>
      <c r="F42" s="1006"/>
      <c r="G42" s="1010"/>
      <c r="H42" s="1008" t="str">
        <f t="array" ref="H42">IF(D42="","",INDEX($BD$5:$BD$308,MATCH(D42&amp;F42,$BB$5:$BB$308&amp;$BI$5:$BI$308,0)))</f>
        <v/>
      </c>
      <c r="I42" s="1008" t="str">
        <f t="array" ref="I42">IF(D42="","",INDEX($BC$5:$BC$308,MATCH(D42&amp;F42&amp;H42,$BB$5:$BB$308&amp;$BI$5:$BI$308&amp;$BD$5:$BD$308,0)))</f>
        <v/>
      </c>
      <c r="J42" s="1009" t="str">
        <f t="array" ref="J42">IF(D42="","",INDEX($BM$5:$BM$308,MATCH(D42&amp;F42&amp;H42,$BB$5:$BB$308&amp;$BI$5:$BI$308&amp;$BD$5:$BD$308,0)))</f>
        <v/>
      </c>
      <c r="K42" s="149"/>
      <c r="L42" s="1016"/>
      <c r="M42" s="1016"/>
      <c r="N42" s="294" t="str">
        <f t="array" ref="N42">IF(D42="","",IF(L42&lt;&gt;"",L42,
IF($G$7="Minimum",MIN(IF($BB$5:$BB$308=$D42,IF($BI$5:$BI$308=$F42, IF($BD$5:$BD$308=$H42,$BJ$5:$BJ$308)))),
IF($G$7="Maximum",MAX(IF($BB$5:$BB$308=$D42,IF($BI$5:$BI$308=$F42, IF($BD$5:$BD$308=$H42,$BJ$5:$BJ$308)))),
IF($G$7="Average",AVERAGE(IF($BB$5:$BB$308=$D42,IF($BI$5:$BI$308=$F42, IF($BD$5:$BD$308=$H42,$BJ$5:$BJ$308)))))))))</f>
        <v/>
      </c>
      <c r="O42" s="294" t="str">
        <f t="array" ref="O42">IF(D42="","",IF(M42&lt;&gt;"",M42,
IF($G$7="Minimum",MIN(IF($BB$5:$BB$308=$D42,IF($BI$5:$BI$308=$F42, IF($BD$5:$BD$308=$H42,$BK$5:$BK$308)))),
IF($G$7="Maximum",MAX(IF($BB$5:$BB$308=$D42,IF($BI$5:$BI$308=$F42, IF($BD$5:$BD$308=$H42,$BK$5:$BK$308)))),
IF($G$7="Average",AVERAGE(IF($BB$5:$BB$308=$D42,IF($BI$5:$BI$308=$F42, IF($BD$5:$BD$308=$H42,$BK$5:$BK$308)))))))))</f>
        <v/>
      </c>
      <c r="P42" s="149"/>
      <c r="Q42" s="1007"/>
      <c r="R42" s="1020" t="str">
        <f t="shared" si="0"/>
        <v/>
      </c>
      <c r="S42" s="1021" t="str">
        <f t="shared" si="1"/>
        <v/>
      </c>
      <c r="T42" s="149"/>
      <c r="U42" s="1016"/>
      <c r="V42" s="1016"/>
      <c r="W42" s="1016"/>
      <c r="X42" s="1008" t="str">
        <f t="shared" si="2"/>
        <v/>
      </c>
      <c r="Y42" s="294" t="str">
        <f t="shared" si="3"/>
        <v/>
      </c>
      <c r="Z42" s="1028">
        <f t="shared" si="4"/>
        <v>0</v>
      </c>
      <c r="AA42" s="149"/>
      <c r="AB42" s="1007"/>
      <c r="AC42" s="1303" t="str">
        <f t="array" ref="AC42">IF(D42="","",IF(AB42&lt;&gt;"",AB42,
IF($G$7="Minimum",MIN(IF($BX$5:$BX$138=$D42,IF($BY$5:$BY$138=$F42, $CA$5:$CA$138))),
IF($G$7="Maximum",MAX(IF($BX$5:$BX$138=$D42,IF($BY$5:$BY$138=$F42, $CA$5:$CA$138))),
IF($G$7="Average",AVERAGE(IF($BX$5:$BX$138=$D42,IF($BY$5:$BY$138=$F42, $CA$5:$CA$138))))))))</f>
        <v/>
      </c>
      <c r="AD42" s="149"/>
      <c r="AE42" s="1016"/>
      <c r="AF42" s="1016"/>
      <c r="AG42" s="1016"/>
      <c r="AH42" s="1303" t="str">
        <f t="shared" si="5"/>
        <v/>
      </c>
      <c r="AI42" s="1310" t="str">
        <f t="shared" si="6"/>
        <v/>
      </c>
      <c r="AJ42" s="1303" t="str">
        <f t="shared" si="7"/>
        <v/>
      </c>
      <c r="AK42" s="149"/>
      <c r="AU42">
        <v>38</v>
      </c>
      <c r="AV42" s="1269" t="str">
        <f t="array" ref="AV42">IFERROR(INDEX($BB$5:$BB$308, MATCH(0,COUNTIF($AV$3:AV41, $BB$5:$BB$308), 0)),"")</f>
        <v>PCV-xxx</v>
      </c>
      <c r="BA42" s="1269" t="s">
        <v>983</v>
      </c>
      <c r="BB42" s="1269" t="s">
        <v>973</v>
      </c>
      <c r="BC42" s="1269" t="s">
        <v>976</v>
      </c>
      <c r="BD42" s="1269" t="s">
        <v>907</v>
      </c>
      <c r="BE42" s="1269" t="s">
        <v>984</v>
      </c>
      <c r="BF42" s="1269" t="s">
        <v>985</v>
      </c>
      <c r="BG42" s="1269"/>
      <c r="BH42" s="1269"/>
      <c r="BI42" s="1270" t="s">
        <v>988</v>
      </c>
      <c r="BJ42" s="1270"/>
      <c r="BK42" s="1270"/>
      <c r="BL42" s="1269" t="s">
        <v>884</v>
      </c>
      <c r="BM42" s="1269"/>
      <c r="BN42" s="1269" t="s">
        <v>939</v>
      </c>
      <c r="BO42" s="1272" t="s">
        <v>986</v>
      </c>
      <c r="BP42" s="1269" t="s">
        <v>989</v>
      </c>
      <c r="BX42" s="1298" t="s">
        <v>1278</v>
      </c>
      <c r="BY42" s="1299">
        <v>1</v>
      </c>
      <c r="BZ42" s="1269" t="s">
        <v>2110</v>
      </c>
      <c r="CA42" s="1301">
        <v>2.85</v>
      </c>
    </row>
    <row r="43" spans="3:80" ht="19" customHeight="1">
      <c r="C43" s="1289">
        <v>20</v>
      </c>
      <c r="D43" s="1011"/>
      <c r="E43" s="1012"/>
      <c r="F43" s="1011"/>
      <c r="G43" s="1012"/>
      <c r="H43" s="1013" t="str">
        <f t="array" ref="H43">IF(D43="","",INDEX($BD$5:$BD$308,MATCH(D43&amp;F43,$BB$5:$BB$308&amp;$BI$5:$BI$308,0)))</f>
        <v/>
      </c>
      <c r="I43" s="1013" t="str">
        <f t="array" ref="I43">IF(D43="","",INDEX($BC$5:$BC$308,MATCH(D43&amp;F43&amp;H43,$BB$5:$BB$308&amp;$BI$5:$BI$308&amp;$BD$5:$BD$308,0)))</f>
        <v/>
      </c>
      <c r="J43" s="1014" t="str">
        <f t="array" ref="J43">IF(D43="","",INDEX($BM$5:$BM$308,MATCH(D43&amp;F43&amp;H43,$BB$5:$BB$308&amp;$BI$5:$BI$308&amp;$BD$5:$BD$308,0)))</f>
        <v/>
      </c>
      <c r="K43" s="149"/>
      <c r="L43" s="1017"/>
      <c r="M43" s="1017"/>
      <c r="N43" s="1026" t="str">
        <f t="array" ref="N43">IF(D43="","",IF(L43&lt;&gt;"",L43,
IF($G$7="Minimum",MIN(IF($BB$5:$BB$308=$D43,IF($BI$5:$BI$308=$F43, IF($BD$5:$BD$308=$H43,$BJ$5:$BJ$308)))),
IF($G$7="Maximum",MAX(IF($BB$5:$BB$308=$D43,IF($BI$5:$BI$308=$F43, IF($BD$5:$BD$308=$H43,$BJ$5:$BJ$308)))),
IF($G$7="Average",AVERAGE(IF($BB$5:$BB$308=$D43,IF($BI$5:$BI$308=$F43, IF($BD$5:$BD$308=$H43,$BJ$5:$BJ$308)))))))))</f>
        <v/>
      </c>
      <c r="O43" s="1026" t="str">
        <f t="array" ref="O43">IF(D43="","",IF(M43&lt;&gt;"",M43,
IF($G$7="Minimum",MIN(IF($BB$5:$BB$308=$D43,IF($BI$5:$BI$308=$F43, IF($BD$5:$BD$308=$H43,$BK$5:$BK$308)))),
IF($G$7="Maximum",MAX(IF($BB$5:$BB$308=$D43,IF($BI$5:$BI$308=$F43, IF($BD$5:$BD$308=$H43,$BK$5:$BK$308)))),
IF($G$7="Average",AVERAGE(IF($BB$5:$BB$308=$D43,IF($BI$5:$BI$308=$F43, IF($BD$5:$BD$308=$H43,$BK$5:$BK$308)))))))))</f>
        <v/>
      </c>
      <c r="P43" s="149"/>
      <c r="Q43" s="1022"/>
      <c r="R43" s="1023" t="str">
        <f t="shared" si="0"/>
        <v/>
      </c>
      <c r="S43" s="1024" t="str">
        <f t="shared" si="1"/>
        <v/>
      </c>
      <c r="T43" s="149"/>
      <c r="U43" s="1017"/>
      <c r="V43" s="1017"/>
      <c r="W43" s="1017"/>
      <c r="X43" s="1013" t="str">
        <f t="shared" si="2"/>
        <v/>
      </c>
      <c r="Y43" s="1026" t="str">
        <f t="shared" si="3"/>
        <v/>
      </c>
      <c r="Z43" s="1029">
        <f t="shared" si="4"/>
        <v>0</v>
      </c>
      <c r="AA43" s="149"/>
      <c r="AB43" s="1022"/>
      <c r="AC43" s="1304" t="str">
        <f t="array" ref="AC43">IF(D43="","",IF(AB43&lt;&gt;"",AB43,
IF($G$7="Minimum",MIN(IF($BX$5:$BX$138=$D43,IF($BY$5:$BY$138=$F43, $CA$5:$CA$138))),
IF($G$7="Maximum",MAX(IF($BX$5:$BX$138=$D43,IF($BY$5:$BY$138=$F43, $CA$5:$CA$138))),
IF($G$7="Average",AVERAGE(IF($BX$5:$BX$138=$D43,IF($BY$5:$BY$138=$F43, $CA$5:$CA$138))))))))</f>
        <v/>
      </c>
      <c r="AD43" s="149"/>
      <c r="AE43" s="1017"/>
      <c r="AF43" s="1017"/>
      <c r="AG43" s="1017"/>
      <c r="AH43" s="1304" t="str">
        <f t="shared" si="5"/>
        <v/>
      </c>
      <c r="AI43" s="1311" t="str">
        <f t="shared" si="6"/>
        <v/>
      </c>
      <c r="AJ43" s="1304" t="str">
        <f t="shared" si="7"/>
        <v/>
      </c>
      <c r="AK43" s="149"/>
      <c r="AU43">
        <v>39</v>
      </c>
      <c r="AV43" s="1269" t="str">
        <f t="array" ref="AV43">IFERROR(INDEX($BB$5:$BB$308, MATCH(0,COUNTIF($AV$3:AV42, $BB$5:$BB$308), 0)),"")</f>
        <v>Rabies</v>
      </c>
      <c r="BA43" s="1269" t="s">
        <v>983</v>
      </c>
      <c r="BB43" s="1269" t="s">
        <v>973</v>
      </c>
      <c r="BC43" s="1269" t="s">
        <v>976</v>
      </c>
      <c r="BD43" s="1269" t="s">
        <v>907</v>
      </c>
      <c r="BE43" s="1269" t="s">
        <v>984</v>
      </c>
      <c r="BF43" s="1269" t="s">
        <v>985</v>
      </c>
      <c r="BG43" s="1269"/>
      <c r="BH43" s="1269"/>
      <c r="BI43" s="1270" t="s">
        <v>990</v>
      </c>
      <c r="BJ43" s="1270"/>
      <c r="BK43" s="1270"/>
      <c r="BL43" s="1269" t="s">
        <v>884</v>
      </c>
      <c r="BM43" s="1269"/>
      <c r="BN43" s="1269" t="s">
        <v>939</v>
      </c>
      <c r="BO43" s="1272" t="s">
        <v>986</v>
      </c>
      <c r="BP43" s="1269" t="s">
        <v>991</v>
      </c>
      <c r="BX43" s="1298" t="s">
        <v>1278</v>
      </c>
      <c r="BY43" s="1299">
        <v>2</v>
      </c>
      <c r="BZ43" s="1269" t="s">
        <v>2128</v>
      </c>
      <c r="CA43" s="1301">
        <v>4.47</v>
      </c>
    </row>
    <row r="44" spans="3:80" ht="26.15" customHeight="1">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U44">
        <v>40</v>
      </c>
      <c r="AV44" s="1269" t="str">
        <f t="array" ref="AV44">IFERROR(INDEX($BB$5:$BB$308, MATCH(0,COUNTIF($AV$3:AV43, $BB$5:$BB$308), 0)),"")</f>
        <v>Rota_liq</v>
      </c>
      <c r="BA44" s="1269" t="s">
        <v>983</v>
      </c>
      <c r="BB44" s="1269" t="s">
        <v>973</v>
      </c>
      <c r="BC44" s="1269" t="s">
        <v>976</v>
      </c>
      <c r="BD44" s="1269" t="s">
        <v>907</v>
      </c>
      <c r="BE44" s="1269"/>
      <c r="BF44" s="1269" t="s">
        <v>992</v>
      </c>
      <c r="BG44" s="1269"/>
      <c r="BH44" s="1269"/>
      <c r="BI44" s="1270">
        <v>1</v>
      </c>
      <c r="BJ44" s="1270">
        <v>15.715</v>
      </c>
      <c r="BK44" s="1270"/>
      <c r="BL44" s="1269" t="s">
        <v>963</v>
      </c>
      <c r="BM44" s="1269"/>
      <c r="BN44" s="1269" t="s">
        <v>880</v>
      </c>
      <c r="BO44" s="1272">
        <v>38919</v>
      </c>
      <c r="BP44" s="1269" t="s">
        <v>993</v>
      </c>
      <c r="BX44" s="1298" t="s">
        <v>1278</v>
      </c>
      <c r="BY44" s="1299">
        <v>5</v>
      </c>
      <c r="BZ44" s="1269" t="s">
        <v>2110</v>
      </c>
      <c r="CA44" s="1301">
        <v>1.45</v>
      </c>
    </row>
    <row r="45" spans="3:80" ht="28.5" customHeight="1">
      <c r="AU45">
        <v>41</v>
      </c>
      <c r="AV45" s="1269" t="str">
        <f t="array" ref="AV45">IFERROR(INDEX($BB$5:$BB$308, MATCH(0,COUNTIF($AV$3:AV44, $BB$5:$BB$308), 0)),"")</f>
        <v>Rota_lyo</v>
      </c>
      <c r="BA45" s="1269" t="s">
        <v>983</v>
      </c>
      <c r="BB45" s="1269" t="s">
        <v>973</v>
      </c>
      <c r="BC45" s="1269" t="s">
        <v>976</v>
      </c>
      <c r="BD45" s="1269" t="s">
        <v>907</v>
      </c>
      <c r="BE45" s="1269"/>
      <c r="BF45" s="1269" t="s">
        <v>994</v>
      </c>
      <c r="BG45" s="1269"/>
      <c r="BH45" s="1269"/>
      <c r="BI45" s="1270">
        <v>10</v>
      </c>
      <c r="BJ45" s="1270">
        <v>2.6110000000000002</v>
      </c>
      <c r="BK45" s="1270"/>
      <c r="BL45" s="1269" t="s">
        <v>963</v>
      </c>
      <c r="BM45" s="1269" t="s">
        <v>834</v>
      </c>
      <c r="BN45" s="1269" t="s">
        <v>880</v>
      </c>
      <c r="BO45" s="1272">
        <v>38919</v>
      </c>
      <c r="BP45" s="1269" t="s">
        <v>995</v>
      </c>
      <c r="BX45" s="1298" t="s">
        <v>1278</v>
      </c>
      <c r="BY45" s="1299">
        <v>10</v>
      </c>
      <c r="BZ45" s="1269" t="s">
        <v>2110</v>
      </c>
      <c r="CA45" s="1301">
        <v>1.2629999999999999</v>
      </c>
    </row>
    <row r="46" spans="3:80" ht="28.5" customHeight="1">
      <c r="AV46" s="1269"/>
      <c r="BA46" s="1269"/>
      <c r="BB46" s="1269"/>
      <c r="BC46" s="1269"/>
      <c r="BD46" s="1269"/>
      <c r="BE46" s="1269"/>
      <c r="BF46" s="1269"/>
      <c r="BG46" s="1269"/>
      <c r="BH46" s="1269"/>
      <c r="BI46" s="1270"/>
      <c r="BJ46" s="1270"/>
      <c r="BK46" s="1270"/>
      <c r="BL46" s="1269"/>
      <c r="BM46" s="1269"/>
      <c r="BN46" s="1269"/>
      <c r="BO46" s="1272"/>
      <c r="BP46" s="1269"/>
      <c r="BX46" s="1298"/>
      <c r="BY46" s="1299"/>
      <c r="BZ46" s="1269"/>
      <c r="CA46" s="1301"/>
    </row>
    <row r="47" spans="3:80" ht="28.5" customHeight="1">
      <c r="AV47" s="1269"/>
      <c r="BA47" s="1269"/>
      <c r="BB47" s="1269"/>
      <c r="BC47" s="1269"/>
      <c r="BD47" s="1269"/>
      <c r="BE47" s="1269"/>
      <c r="BF47" s="1269"/>
      <c r="BG47" s="1269"/>
      <c r="BH47" s="1269"/>
      <c r="BI47" s="1270"/>
      <c r="BJ47" s="1270"/>
      <c r="BK47" s="1270"/>
      <c r="BL47" s="1269"/>
      <c r="BM47" s="1269"/>
      <c r="BN47" s="1269"/>
      <c r="BO47" s="1272"/>
      <c r="BP47" s="1269"/>
      <c r="BX47" s="1298"/>
      <c r="BY47" s="1299"/>
      <c r="BZ47" s="1269"/>
      <c r="CA47" s="1301"/>
    </row>
    <row r="48" spans="3:80" ht="28.5" customHeight="1">
      <c r="C48" s="1038" t="s">
        <v>5821</v>
      </c>
      <c r="D48" s="1038"/>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09"/>
      <c r="AV48" s="1269"/>
      <c r="BA48" s="1269"/>
      <c r="BB48" s="1269"/>
      <c r="BC48" s="1269"/>
      <c r="BD48" s="1269"/>
      <c r="BE48" s="1269"/>
      <c r="BF48" s="1269"/>
      <c r="BG48" s="1269"/>
      <c r="BH48" s="1269"/>
      <c r="BI48" s="1270"/>
      <c r="BJ48" s="1270"/>
      <c r="BK48" s="1270"/>
      <c r="BL48" s="1269"/>
      <c r="BM48" s="1269"/>
      <c r="BN48" s="1269"/>
      <c r="BO48" s="1272"/>
      <c r="BP48" s="1269"/>
      <c r="BX48" s="1298"/>
      <c r="BY48" s="1299"/>
      <c r="BZ48" s="1269"/>
      <c r="CA48" s="1301"/>
    </row>
    <row r="49" spans="3:79" ht="28.5" customHeight="1">
      <c r="C49" s="149"/>
      <c r="D49" s="2774" t="s">
        <v>847</v>
      </c>
      <c r="E49" s="2774"/>
      <c r="F49" s="2774"/>
      <c r="G49" s="2774"/>
      <c r="H49" s="2774"/>
      <c r="I49" s="2774"/>
      <c r="J49" s="2774"/>
      <c r="K49" s="149"/>
      <c r="L49" s="2737" t="str">
        <f>G7&amp;" packed volume per dose (cm³)"</f>
        <v>Average packed volume per dose (cm³)</v>
      </c>
      <c r="M49" s="2738"/>
      <c r="N49" s="2738"/>
      <c r="O49" s="2739"/>
      <c r="P49" s="149"/>
      <c r="Q49" s="2737" t="s">
        <v>1535</v>
      </c>
      <c r="R49" s="2738"/>
      <c r="S49" s="2738"/>
      <c r="T49" s="2738"/>
      <c r="U49" s="2738"/>
      <c r="V49" s="2738"/>
      <c r="W49" s="2739"/>
      <c r="X49" s="2737" t="s">
        <v>2164</v>
      </c>
      <c r="Y49" s="2738"/>
      <c r="Z49" s="2739"/>
      <c r="AA49" s="149"/>
      <c r="AB49" s="2737" t="s">
        <v>2165</v>
      </c>
      <c r="AC49" s="2738"/>
      <c r="AD49" s="2738"/>
      <c r="AE49" s="2738"/>
      <c r="AF49" s="2738"/>
      <c r="AG49" s="2738"/>
      <c r="AH49" s="2739"/>
      <c r="AI49" s="149"/>
      <c r="AJ49" s="109"/>
      <c r="AV49" s="1269"/>
      <c r="BA49" s="1269"/>
      <c r="BB49" s="1269"/>
      <c r="BC49" s="1269"/>
      <c r="BD49" s="1269"/>
      <c r="BE49" s="1269"/>
      <c r="BF49" s="1269"/>
      <c r="BG49" s="1269"/>
      <c r="BH49" s="1269"/>
      <c r="BI49" s="1270"/>
      <c r="BJ49" s="1270"/>
      <c r="BK49" s="1270"/>
      <c r="BL49" s="1269"/>
      <c r="BM49" s="1269"/>
      <c r="BN49" s="1269"/>
      <c r="BO49" s="1272"/>
      <c r="BP49" s="1269"/>
      <c r="BX49" s="1298"/>
      <c r="BY49" s="1299"/>
      <c r="BZ49" s="1269"/>
      <c r="CA49" s="1301"/>
    </row>
    <row r="50" spans="3:79" ht="28.5" customHeight="1">
      <c r="C50" s="149"/>
      <c r="D50" s="2745" t="s">
        <v>833</v>
      </c>
      <c r="E50" s="2745" t="s">
        <v>5822</v>
      </c>
      <c r="F50" s="2755" t="s">
        <v>1522</v>
      </c>
      <c r="G50" s="2756"/>
      <c r="H50" s="2745" t="s">
        <v>1523</v>
      </c>
      <c r="I50" s="2745" t="s">
        <v>1538</v>
      </c>
      <c r="J50" s="2745" t="s">
        <v>1539</v>
      </c>
      <c r="K50" s="149"/>
      <c r="L50" s="2761" t="s">
        <v>1524</v>
      </c>
      <c r="M50" s="2763"/>
      <c r="N50" s="2734" t="s">
        <v>1528</v>
      </c>
      <c r="O50" s="2736"/>
      <c r="P50" s="149"/>
      <c r="Q50" s="2761" t="s">
        <v>1524</v>
      </c>
      <c r="R50" s="2762"/>
      <c r="S50" s="2763"/>
      <c r="T50" s="2745" t="s">
        <v>1541</v>
      </c>
      <c r="U50" s="2745"/>
      <c r="V50" s="2745"/>
      <c r="W50" s="2745"/>
      <c r="X50" s="1287" t="s">
        <v>1529</v>
      </c>
      <c r="Y50" s="2745" t="s">
        <v>2141</v>
      </c>
      <c r="Z50" s="2745"/>
      <c r="AA50" s="149"/>
      <c r="AB50" s="2740" t="s">
        <v>1524</v>
      </c>
      <c r="AC50" s="2741"/>
      <c r="AD50" s="2741"/>
      <c r="AE50" s="2742"/>
      <c r="AF50" s="2734" t="s">
        <v>1541</v>
      </c>
      <c r="AG50" s="2735"/>
      <c r="AH50" s="2736"/>
      <c r="AI50" s="149"/>
      <c r="AJ50" s="109"/>
      <c r="AV50" s="1269"/>
      <c r="BA50" s="1269"/>
      <c r="BB50" s="1269"/>
      <c r="BC50" s="1269"/>
      <c r="BD50" s="1269"/>
      <c r="BE50" s="1269"/>
      <c r="BF50" s="1269"/>
      <c r="BG50" s="1269"/>
      <c r="BH50" s="1269"/>
      <c r="BI50" s="1270"/>
      <c r="BJ50" s="1270"/>
      <c r="BK50" s="1270"/>
      <c r="BL50" s="1269"/>
      <c r="BM50" s="1269"/>
      <c r="BN50" s="1269"/>
      <c r="BO50" s="1272"/>
      <c r="BP50" s="1269"/>
      <c r="BX50" s="1298"/>
      <c r="BY50" s="1299"/>
      <c r="BZ50" s="1269"/>
      <c r="CA50" s="1301"/>
    </row>
    <row r="51" spans="3:79" ht="28.5" customHeight="1">
      <c r="C51" s="149"/>
      <c r="D51" s="2745"/>
      <c r="E51" s="2745"/>
      <c r="F51" s="2757"/>
      <c r="G51" s="2758"/>
      <c r="H51" s="2745"/>
      <c r="I51" s="2745"/>
      <c r="J51" s="2745"/>
      <c r="K51" s="149"/>
      <c r="L51" s="1288" t="s">
        <v>1526</v>
      </c>
      <c r="M51" s="1288" t="s">
        <v>1527</v>
      </c>
      <c r="N51" s="1288" t="s">
        <v>1526</v>
      </c>
      <c r="O51" s="1288" t="s">
        <v>1527</v>
      </c>
      <c r="P51" s="149"/>
      <c r="Q51" s="1288" t="s">
        <v>1533</v>
      </c>
      <c r="R51" s="1288" t="s">
        <v>1534</v>
      </c>
      <c r="S51" s="1288" t="s">
        <v>1540</v>
      </c>
      <c r="T51" s="2746" t="s">
        <v>1533</v>
      </c>
      <c r="U51" s="2746"/>
      <c r="V51" s="1288" t="s">
        <v>1534</v>
      </c>
      <c r="W51" s="1288" t="s">
        <v>1540</v>
      </c>
      <c r="X51" s="1288" t="s">
        <v>2142</v>
      </c>
      <c r="Y51" s="2746" t="s">
        <v>2142</v>
      </c>
      <c r="Z51" s="2746"/>
      <c r="AA51" s="149"/>
      <c r="AB51" s="1288" t="s">
        <v>1533</v>
      </c>
      <c r="AC51" s="1288" t="s">
        <v>1534</v>
      </c>
      <c r="AD51" s="2743" t="s">
        <v>1540</v>
      </c>
      <c r="AE51" s="2744"/>
      <c r="AF51" s="1288" t="s">
        <v>1533</v>
      </c>
      <c r="AG51" s="1288" t="s">
        <v>1534</v>
      </c>
      <c r="AH51" s="1288" t="s">
        <v>1540</v>
      </c>
      <c r="AI51" s="149"/>
      <c r="AJ51" s="109"/>
      <c r="AV51" s="1269"/>
      <c r="BA51" s="1269"/>
      <c r="BB51" s="1269"/>
      <c r="BC51" s="1269"/>
      <c r="BD51" s="1269"/>
      <c r="BE51" s="1269"/>
      <c r="BF51" s="1269"/>
      <c r="BG51" s="1269"/>
      <c r="BH51" s="1269"/>
      <c r="BI51" s="1270"/>
      <c r="BJ51" s="1270"/>
      <c r="BK51" s="1270"/>
      <c r="BL51" s="1269"/>
      <c r="BM51" s="1269"/>
      <c r="BN51" s="1269"/>
      <c r="BO51" s="1272"/>
      <c r="BP51" s="1269"/>
      <c r="BX51" s="1298"/>
      <c r="BY51" s="1299"/>
      <c r="BZ51" s="1269"/>
      <c r="CA51" s="1301"/>
    </row>
    <row r="52" spans="3:79" ht="18" customHeight="1">
      <c r="C52" s="149"/>
      <c r="D52" s="1002"/>
      <c r="E52" s="2071"/>
      <c r="F52" s="2759"/>
      <c r="G52" s="2760"/>
      <c r="H52" s="1004" t="str">
        <f t="array" ref="H52">IF(D52="","",INDEX($BD$5:$BD$308,MATCH(D52&amp;F52,$BB$5:$BB$308&amp;$BI$5:$BI$308,0)))</f>
        <v/>
      </c>
      <c r="I52" s="1004" t="str">
        <f t="array" ref="I52">IF(D52="","",INDEX($BC$5:$BC$308,MATCH(D52&amp;F52&amp;H52,$BB$5:$BB$308&amp;$BI$5:$BI$308&amp;$BD$5:$BD$308,0)))</f>
        <v/>
      </c>
      <c r="J52" s="1005" t="str">
        <f t="array" ref="J52">IF(D52="","",INDEX($BM$5:$BM$308,MATCH(D52&amp;F52&amp;H52,$BB$5:$BB$308&amp;$BI$5:$BI$308&amp;$BD$5:$BD$308,0)))</f>
        <v/>
      </c>
      <c r="K52" s="149"/>
      <c r="L52" s="1015"/>
      <c r="M52" s="1015"/>
      <c r="N52" s="1025" t="str">
        <f t="array" ref="N52">IF(D52="","",IF(L52&lt;&gt;"",L52,
IF($G$7="Minimum",MIN(IF($BB$5:$BB$308=$D52,IF($BI$5:$BI$308=$F52, IF($BD$5:$BD$308=$H52,$BJ$5:$BJ$308)))),
IF($G$7="Maximum",MAX(IF($BB$5:$BB$308=$D52,IF($BI$5:$BI$308=$F52, IF($BD$5:$BD$308=$H52,$BJ$5:$BJ$308)))),
IF($G$7="Average",AVERAGE(IF($BB$5:$BB$308=$D52,IF($BI$5:$BI$308=$F52, IF($BD$5:$BD$308=$H52,$BJ$5:$BJ$308)))))))))</f>
        <v/>
      </c>
      <c r="O52" s="1025" t="str">
        <f t="array" ref="O52">IF(D52="","",IF(M52&lt;&gt;"",M52,
IF($G$7="Minimum",MIN(IF($BB$5:$BB$308=$D52,IF($BI$5:$BI$308=$F52, IF($BD$5:$BD$308=$H52,$BK$5:$BK$308)))),
IF($G$7="Maximum",MAX(IF($BB$5:$BB$308=$D52,IF($BI$5:$BI$308=$F52, IF($BD$5:$BD$308=$H52,$BK$5:$BK$308)))),
IF($G$7="Average",AVERAGE(IF($BB$5:$BB$308=$D52,IF($BI$5:$BI$308=$F52, IF($BD$5:$BD$308=$H52,$BK$5:$BK$308)))))))))</f>
        <v/>
      </c>
      <c r="P52" s="149"/>
      <c r="Q52" s="1015"/>
      <c r="R52" s="1015"/>
      <c r="S52" s="1015"/>
      <c r="T52" s="2749" t="str">
        <f t="shared" ref="T52:T61" si="8">IF(OR(D52="",H52="Oral",H52="Nasal"),"",IF(Q52&lt;&gt;"",Q52,IF(ISTEXT(F52),0,$G$11*(1+$G$15))))</f>
        <v/>
      </c>
      <c r="U52" s="2750"/>
      <c r="V52" s="2073" t="str">
        <f>IF(OR(D52="",I52="liquid",H52="Oral",H52="Nasal",ISTEXT(F52)),"",IF(R52&lt;&gt;"",R52,$G$12/F52))</f>
        <v/>
      </c>
      <c r="W52" s="2074">
        <f t="shared" ref="W52:W61" si="9">IF(D52="",0,IF(S52&lt;&gt;"",S52,(COUNT($T52:$T52)+COUNT($V52:$V52)/IF(ISTEXT($F52),1,$F52))*$G$13/100))</f>
        <v>0</v>
      </c>
      <c r="X52" s="1003"/>
      <c r="Y52" s="2747" t="str">
        <f t="array" ref="Y52">IF(D52="","",IF(X52&lt;&gt;"",X52,
IF($G$7="Minimum",MIN(IF($BX$5:$BX$138=$D52,IF($BY$5:$BY$138=$F52, $CA$5:$CA$138))),
IF($G$7="Maximum",MAX(IF($BX$5:$BX$138=$D52,IF($BY$5:$BY$138=$F52, $CA$5:$CA$138))),
IF($G$7="Average",AVERAGE(IF($BX$5:$BX$138=$D52,IF($BY$5:$BY$138=$F52, $CA$5:$CA$138))))))))</f>
        <v/>
      </c>
      <c r="Z52" s="2748"/>
      <c r="AA52" s="149"/>
      <c r="AB52" s="1015"/>
      <c r="AC52" s="1015"/>
      <c r="AD52" s="2545"/>
      <c r="AE52" s="2546"/>
      <c r="AF52" s="1302" t="str">
        <f t="shared" ref="AF52:AF61" si="10">IF(OR(D52="",H52="Oral",H52="Nasal"),"",IF(Q52&lt;&gt;"",Q52,IF(ISTEXT(F52),0,$I$11*(1+$G$15))))</f>
        <v/>
      </c>
      <c r="AG52" s="1309" t="str">
        <f>IF(OR(D52="",I52="liquid",H52="Oral",H52="Nasal",ISTEXT(F52)),"",IF(AC52&lt;&gt;"",AC52,$I$12/F52))</f>
        <v/>
      </c>
      <c r="AH52" s="1302" t="str">
        <f t="shared" ref="AH52:AH61" si="11">IF(D52="","",IF(AD52&lt;&gt;"",AD52,(COUNT($AF52)+COUNT($AG52)/IF(ISTEXT($F52),1,$F52))*$I$13/100))</f>
        <v/>
      </c>
      <c r="AI52" s="149"/>
      <c r="AJ52" s="109"/>
      <c r="AV52" s="1269"/>
      <c r="BA52" s="1269"/>
      <c r="BB52" s="1269"/>
      <c r="BC52" s="1269"/>
      <c r="BD52" s="1269"/>
      <c r="BE52" s="1269"/>
      <c r="BF52" s="1269"/>
      <c r="BG52" s="1269"/>
      <c r="BH52" s="1269"/>
      <c r="BI52" s="1270"/>
      <c r="BJ52" s="1270"/>
      <c r="BK52" s="1270"/>
      <c r="BL52" s="1269"/>
      <c r="BM52" s="1269"/>
      <c r="BN52" s="1269"/>
      <c r="BO52" s="1272"/>
      <c r="BP52" s="1269"/>
      <c r="BX52" s="1298"/>
      <c r="BY52" s="1299"/>
      <c r="BZ52" s="1269"/>
      <c r="CA52" s="1301"/>
    </row>
    <row r="53" spans="3:79" ht="18" customHeight="1">
      <c r="C53" s="149"/>
      <c r="D53" s="1006"/>
      <c r="E53" s="2072"/>
      <c r="F53" s="2525"/>
      <c r="G53" s="2526"/>
      <c r="H53" s="1008" t="str">
        <f t="array" ref="H53">IF(D53="","",INDEX($BD$5:$BD$308,MATCH(D53&amp;F53,$BB$5:$BB$308&amp;$BI$5:$BI$308,0)))</f>
        <v/>
      </c>
      <c r="I53" s="1008" t="str">
        <f t="array" ref="I53">IF(D53="","",INDEX($BC$5:$BC$308,MATCH(D53&amp;F53&amp;H53,$BB$5:$BB$308&amp;$BI$5:$BI$308&amp;$BD$5:$BD$308,0)))</f>
        <v/>
      </c>
      <c r="J53" s="1009" t="str">
        <f t="array" ref="J53">IF(D53="","",INDEX($BM$5:$BM$308,MATCH(D53&amp;F53&amp;H53,$BB$5:$BB$308&amp;$BI$5:$BI$308&amp;$BD$5:$BD$308,0)))</f>
        <v/>
      </c>
      <c r="K53" s="149"/>
      <c r="L53" s="1016"/>
      <c r="M53" s="1016"/>
      <c r="N53" s="294" t="str">
        <f t="array" ref="N53">IF(D53="","",IF(L53&lt;&gt;"",L53,
IF($G$7="Minimum",MIN(IF($BB$5:$BB$308=$D53,IF($BI$5:$BI$308=$F53, IF($BD$5:$BD$308=$H53,$BJ$5:$BJ$308)))),
IF($G$7="Maximum",MAX(IF($BB$5:$BB$308=$D53,IF($BI$5:$BI$308=$F53, IF($BD$5:$BD$308=$H53,$BJ$5:$BJ$308)))),
IF($G$7="Average",AVERAGE(IF($BB$5:$BB$308=$D53,IF($BI$5:$BI$308=$F53, IF($BD$5:$BD$308=$H53,$BJ$5:$BJ$308)))))))))</f>
        <v/>
      </c>
      <c r="O53" s="294" t="str">
        <f t="array" ref="O53">IF(D53="","",IF(M53&lt;&gt;"",M53,
IF($G$7="Minimum",MIN(IF($BB$5:$BB$308=$D53,IF($BI$5:$BI$308=$F53, IF($BD$5:$BD$308=$H53,$BK$5:$BK$308)))),
IF($G$7="Maximum",MAX(IF($BB$5:$BB$308=$D53,IF($BI$5:$BI$308=$F53, IF($BD$5:$BD$308=$H53,$BK$5:$BK$308)))),
IF($G$7="Average",AVERAGE(IF($BB$5:$BB$308=$D53,IF($BI$5:$BI$308=$F53, IF($BD$5:$BD$308=$H53,$BK$5:$BK$308)))))))))</f>
        <v/>
      </c>
      <c r="P53" s="149"/>
      <c r="Q53" s="1016"/>
      <c r="R53" s="1016"/>
      <c r="S53" s="1016"/>
      <c r="T53" s="2751" t="str">
        <f t="shared" si="8"/>
        <v/>
      </c>
      <c r="U53" s="2752"/>
      <c r="V53" s="294" t="str">
        <f t="shared" ref="V53:V61" si="12">IF(OR(D53="",I53="liquid",H53="Oral",H53="Nasal",ISTEXT(F53)),"",IF(R53&lt;&gt;"",R53,$G$12/F53))</f>
        <v/>
      </c>
      <c r="W53" s="1028">
        <f t="shared" si="9"/>
        <v>0</v>
      </c>
      <c r="X53" s="1007"/>
      <c r="Y53" s="2730" t="str">
        <f t="array" ref="Y53">IF(D53="","",IF(X53&lt;&gt;"",X53,
IF($G$7="Minimum",MIN(IF($BX$5:$BX$138=$D53,IF($BY$5:$BY$138=$F53, $CA$5:$CA$138))),
IF($G$7="Maximum",MAX(IF($BX$5:$BX$138=$D53,IF($BY$5:$BY$138=$F53, $CA$5:$CA$138))),
IF($G$7="Average",AVERAGE(IF($BX$5:$BX$138=$D53,IF($BY$5:$BY$138=$F53, $CA$5:$CA$138))))))))</f>
        <v/>
      </c>
      <c r="Z53" s="2731"/>
      <c r="AA53" s="149"/>
      <c r="AB53" s="1016"/>
      <c r="AC53" s="1016"/>
      <c r="AD53" s="2525"/>
      <c r="AE53" s="2526"/>
      <c r="AF53" s="1303" t="str">
        <f t="shared" si="10"/>
        <v/>
      </c>
      <c r="AG53" s="1310" t="str">
        <f t="shared" ref="AG53:AG61" si="13">IF(OR(D53="",I53="liquid",H53="Oral",H53="Nasal",ISTEXT(F53)),"",IF(AC53&lt;&gt;"",AC53,$I$12/F53))</f>
        <v/>
      </c>
      <c r="AH53" s="1303" t="str">
        <f t="shared" si="11"/>
        <v/>
      </c>
      <c r="AI53" s="149"/>
      <c r="AJ53" s="109"/>
      <c r="AV53" s="1269"/>
      <c r="BA53" s="1269"/>
      <c r="BB53" s="1269"/>
      <c r="BC53" s="1269"/>
      <c r="BD53" s="1269"/>
      <c r="BE53" s="1269"/>
      <c r="BF53" s="1269"/>
      <c r="BG53" s="1269"/>
      <c r="BH53" s="1269"/>
      <c r="BI53" s="1270"/>
      <c r="BJ53" s="1270"/>
      <c r="BK53" s="1270"/>
      <c r="BL53" s="1269"/>
      <c r="BM53" s="1269"/>
      <c r="BN53" s="1269"/>
      <c r="BO53" s="1272"/>
      <c r="BP53" s="1269"/>
      <c r="BX53" s="1298"/>
      <c r="BY53" s="1299"/>
      <c r="BZ53" s="1269"/>
      <c r="CA53" s="1301"/>
    </row>
    <row r="54" spans="3:79" ht="18" customHeight="1">
      <c r="C54" s="149"/>
      <c r="D54" s="1006"/>
      <c r="E54" s="2072"/>
      <c r="F54" s="2525"/>
      <c r="G54" s="2526"/>
      <c r="H54" s="1008" t="str">
        <f t="array" ref="H54">IF(D54="","",INDEX($BD$5:$BD$308,MATCH(D54&amp;F54,$BB$5:$BB$308&amp;$BI$5:$BI$308,0)))</f>
        <v/>
      </c>
      <c r="I54" s="1008" t="str">
        <f t="array" ref="I54">IF(D54="","",INDEX($BC$5:$BC$308,MATCH(D54&amp;F54&amp;H54,$BB$5:$BB$308&amp;$BI$5:$BI$308&amp;$BD$5:$BD$308,0)))</f>
        <v/>
      </c>
      <c r="J54" s="1009" t="str">
        <f t="array" ref="J54">IF(D54="","",INDEX($BM$5:$BM$308,MATCH(D54&amp;F54&amp;H54,$BB$5:$BB$308&amp;$BI$5:$BI$308&amp;$BD$5:$BD$308,0)))</f>
        <v/>
      </c>
      <c r="K54" s="149"/>
      <c r="L54" s="1016"/>
      <c r="M54" s="1016"/>
      <c r="N54" s="294" t="str">
        <f t="array" ref="N54">IF(D54="","",IF(L54&lt;&gt;"",L54,
IF($G$7="Minimum",MIN(IF($BB$5:$BB$308=$D54,IF($BI$5:$BI$308=$F54, IF($BD$5:$BD$308=$H54,$BJ$5:$BJ$308)))),
IF($G$7="Maximum",MAX(IF($BB$5:$BB$308=$D54,IF($BI$5:$BI$308=$F54, IF($BD$5:$BD$308=$H54,$BJ$5:$BJ$308)))),
IF($G$7="Average",AVERAGE(IF($BB$5:$BB$308=$D54,IF($BI$5:$BI$308=$F54, IF($BD$5:$BD$308=$H54,$BJ$5:$BJ$308)))))))))</f>
        <v/>
      </c>
      <c r="O54" s="294" t="str">
        <f t="array" ref="O54">IF(D54="","",IF(M54&lt;&gt;"",M54,
IF($G$7="Minimum",MIN(IF($BB$5:$BB$308=$D54,IF($BI$5:$BI$308=$F54, IF($BD$5:$BD$308=$H54,$BK$5:$BK$308)))),
IF($G$7="Maximum",MAX(IF($BB$5:$BB$308=$D54,IF($BI$5:$BI$308=$F54, IF($BD$5:$BD$308=$H54,$BK$5:$BK$308)))),
IF($G$7="Average",AVERAGE(IF($BB$5:$BB$308=$D54,IF($BI$5:$BI$308=$F54, IF($BD$5:$BD$308=$H54,$BK$5:$BK$308)))))))))</f>
        <v/>
      </c>
      <c r="P54" s="149"/>
      <c r="Q54" s="1016"/>
      <c r="R54" s="1016"/>
      <c r="S54" s="1016"/>
      <c r="T54" s="2751" t="str">
        <f t="shared" si="8"/>
        <v/>
      </c>
      <c r="U54" s="2752"/>
      <c r="V54" s="294" t="str">
        <f t="shared" si="12"/>
        <v/>
      </c>
      <c r="W54" s="1028">
        <f t="shared" si="9"/>
        <v>0</v>
      </c>
      <c r="X54" s="1007"/>
      <c r="Y54" s="2730" t="str">
        <f t="array" ref="Y54">IF(D54="","",IF(X54&lt;&gt;"",X54,
IF($G$7="Minimum",MIN(IF($BX$5:$BX$138=$D54,IF($BY$5:$BY$138=$F54, $CA$5:$CA$138))),
IF($G$7="Maximum",MAX(IF($BX$5:$BX$138=$D54,IF($BY$5:$BY$138=$F54, $CA$5:$CA$138))),
IF($G$7="Average",AVERAGE(IF($BX$5:$BX$138=$D54,IF($BY$5:$BY$138=$F54, $CA$5:$CA$138))))))))</f>
        <v/>
      </c>
      <c r="Z54" s="2731"/>
      <c r="AA54" s="149"/>
      <c r="AB54" s="1016"/>
      <c r="AC54" s="1016"/>
      <c r="AD54" s="2525"/>
      <c r="AE54" s="2526"/>
      <c r="AF54" s="1303" t="str">
        <f t="shared" si="10"/>
        <v/>
      </c>
      <c r="AG54" s="1310" t="str">
        <f t="shared" si="13"/>
        <v/>
      </c>
      <c r="AH54" s="1303" t="str">
        <f t="shared" si="11"/>
        <v/>
      </c>
      <c r="AI54" s="149"/>
      <c r="AJ54" s="109"/>
      <c r="AV54" s="1269"/>
      <c r="BA54" s="1269"/>
      <c r="BB54" s="1269"/>
      <c r="BC54" s="1269"/>
      <c r="BD54" s="1269"/>
      <c r="BE54" s="1269"/>
      <c r="BF54" s="1269"/>
      <c r="BG54" s="1269"/>
      <c r="BH54" s="1269"/>
      <c r="BI54" s="1270"/>
      <c r="BJ54" s="1270"/>
      <c r="BK54" s="1270"/>
      <c r="BL54" s="1269"/>
      <c r="BM54" s="1269"/>
      <c r="BN54" s="1269"/>
      <c r="BO54" s="1272"/>
      <c r="BP54" s="1269"/>
      <c r="BX54" s="1298"/>
      <c r="BY54" s="1299"/>
      <c r="BZ54" s="1269"/>
      <c r="CA54" s="1301"/>
    </row>
    <row r="55" spans="3:79" ht="18" customHeight="1">
      <c r="C55" s="149"/>
      <c r="D55" s="1006"/>
      <c r="E55" s="2072"/>
      <c r="F55" s="2525"/>
      <c r="G55" s="2526"/>
      <c r="H55" s="1008" t="str">
        <f t="array" ref="H55">IF(D55="","",INDEX($BD$5:$BD$308,MATCH(D55&amp;F55,$BB$5:$BB$308&amp;$BI$5:$BI$308,0)))</f>
        <v/>
      </c>
      <c r="I55" s="1008" t="str">
        <f t="array" ref="I55">IF(D55="","",INDEX($BC$5:$BC$308,MATCH(D55&amp;F55&amp;H55,$BB$5:$BB$308&amp;$BI$5:$BI$308&amp;$BD$5:$BD$308,0)))</f>
        <v/>
      </c>
      <c r="J55" s="1009" t="str">
        <f t="array" ref="J55">IF(D55="","",INDEX($BM$5:$BM$308,MATCH(D55&amp;F55&amp;H55,$BB$5:$BB$308&amp;$BI$5:$BI$308&amp;$BD$5:$BD$308,0)))</f>
        <v/>
      </c>
      <c r="K55" s="149"/>
      <c r="L55" s="1016"/>
      <c r="M55" s="1016"/>
      <c r="N55" s="294" t="str">
        <f t="array" ref="N55">IF(D55="","",IF(L55&lt;&gt;"",L55,
IF($G$7="Minimum",MIN(IF($BB$5:$BB$308=$D55,IF($BI$5:$BI$308=$F55, IF($BD$5:$BD$308=$H55,$BJ$5:$BJ$308)))),
IF($G$7="Maximum",MAX(IF($BB$5:$BB$308=$D55,IF($BI$5:$BI$308=$F55, IF($BD$5:$BD$308=$H55,$BJ$5:$BJ$308)))),
IF($G$7="Average",AVERAGE(IF($BB$5:$BB$308=$D55,IF($BI$5:$BI$308=$F55, IF($BD$5:$BD$308=$H55,$BJ$5:$BJ$308)))))))))</f>
        <v/>
      </c>
      <c r="O55" s="294" t="str">
        <f t="array" ref="O55">IF(D55="","",IF(M55&lt;&gt;"",M55,
IF($G$7="Minimum",MIN(IF($BB$5:$BB$308=$D55,IF($BI$5:$BI$308=$F55, IF($BD$5:$BD$308=$H55,$BK$5:$BK$308)))),
IF($G$7="Maximum",MAX(IF($BB$5:$BB$308=$D55,IF($BI$5:$BI$308=$F55, IF($BD$5:$BD$308=$H55,$BK$5:$BK$308)))),
IF($G$7="Average",AVERAGE(IF($BB$5:$BB$308=$D55,IF($BI$5:$BI$308=$F55, IF($BD$5:$BD$308=$H55,$BK$5:$BK$308)))))))))</f>
        <v/>
      </c>
      <c r="P55" s="149"/>
      <c r="Q55" s="1016"/>
      <c r="R55" s="1016"/>
      <c r="S55" s="1016"/>
      <c r="T55" s="2751" t="str">
        <f t="shared" si="8"/>
        <v/>
      </c>
      <c r="U55" s="2752"/>
      <c r="V55" s="294" t="str">
        <f t="shared" si="12"/>
        <v/>
      </c>
      <c r="W55" s="1028">
        <f t="shared" si="9"/>
        <v>0</v>
      </c>
      <c r="X55" s="1007"/>
      <c r="Y55" s="2730" t="str">
        <f t="array" ref="Y55">IF(D55="","",IF(X55&lt;&gt;"",X55,
IF($G$7="Minimum",MIN(IF($BX$5:$BX$138=$D55,IF($BY$5:$BY$138=$F55, $CA$5:$CA$138))),
IF($G$7="Maximum",MAX(IF($BX$5:$BX$138=$D55,IF($BY$5:$BY$138=$F55, $CA$5:$CA$138))),
IF($G$7="Average",AVERAGE(IF($BX$5:$BX$138=$D55,IF($BY$5:$BY$138=$F55, $CA$5:$CA$138))))))))</f>
        <v/>
      </c>
      <c r="Z55" s="2731"/>
      <c r="AA55" s="149"/>
      <c r="AB55" s="1016"/>
      <c r="AC55" s="1016"/>
      <c r="AD55" s="2525"/>
      <c r="AE55" s="2526"/>
      <c r="AF55" s="1303" t="str">
        <f t="shared" si="10"/>
        <v/>
      </c>
      <c r="AG55" s="1310" t="str">
        <f t="shared" si="13"/>
        <v/>
      </c>
      <c r="AH55" s="1303" t="str">
        <f t="shared" si="11"/>
        <v/>
      </c>
      <c r="AI55" s="149"/>
      <c r="AJ55" s="109"/>
      <c r="AV55" s="1269"/>
      <c r="BA55" s="1269"/>
      <c r="BB55" s="1269"/>
      <c r="BC55" s="1269"/>
      <c r="BD55" s="1269"/>
      <c r="BE55" s="1269"/>
      <c r="BF55" s="1269"/>
      <c r="BG55" s="1269"/>
      <c r="BH55" s="1269"/>
      <c r="BI55" s="1270"/>
      <c r="BJ55" s="1270"/>
      <c r="BK55" s="1270"/>
      <c r="BL55" s="1269"/>
      <c r="BM55" s="1269"/>
      <c r="BN55" s="1269"/>
      <c r="BO55" s="1272"/>
      <c r="BP55" s="1269"/>
      <c r="BX55" s="1298"/>
      <c r="BY55" s="1299"/>
      <c r="BZ55" s="1269"/>
      <c r="CA55" s="1301"/>
    </row>
    <row r="56" spans="3:79" ht="18" customHeight="1">
      <c r="C56" s="149"/>
      <c r="D56" s="1006"/>
      <c r="E56" s="2072"/>
      <c r="F56" s="2525"/>
      <c r="G56" s="2526"/>
      <c r="H56" s="1008" t="str">
        <f t="array" ref="H56">IF(D56="","",INDEX($BD$5:$BD$308,MATCH(D56&amp;F56,$BB$5:$BB$308&amp;$BI$5:$BI$308,0)))</f>
        <v/>
      </c>
      <c r="I56" s="1008" t="str">
        <f t="array" ref="I56">IF(D56="","",INDEX($BC$5:$BC$308,MATCH(D56&amp;F56&amp;H56,$BB$5:$BB$308&amp;$BI$5:$BI$308&amp;$BD$5:$BD$308,0)))</f>
        <v/>
      </c>
      <c r="J56" s="1009" t="str">
        <f t="array" ref="J56">IF(D56="","",INDEX($BM$5:$BM$308,MATCH(D56&amp;F56&amp;H56,$BB$5:$BB$308&amp;$BI$5:$BI$308&amp;$BD$5:$BD$308,0)))</f>
        <v/>
      </c>
      <c r="K56" s="149"/>
      <c r="L56" s="1016"/>
      <c r="M56" s="1016"/>
      <c r="N56" s="294" t="str">
        <f t="array" ref="N56">IF(D56="","",IF(L56&lt;&gt;"",L56,
IF($G$7="Minimum",MIN(IF($BB$5:$BB$308=$D56,IF($BI$5:$BI$308=$F56, IF($BD$5:$BD$308=$H56,$BJ$5:$BJ$308)))),
IF($G$7="Maximum",MAX(IF($BB$5:$BB$308=$D56,IF($BI$5:$BI$308=$F56, IF($BD$5:$BD$308=$H56,$BJ$5:$BJ$308)))),
IF($G$7="Average",AVERAGE(IF($BB$5:$BB$308=$D56,IF($BI$5:$BI$308=$F56, IF($BD$5:$BD$308=$H56,$BJ$5:$BJ$308)))))))))</f>
        <v/>
      </c>
      <c r="O56" s="294" t="str">
        <f t="array" ref="O56">IF(D56="","",IF(M56&lt;&gt;"",M56,
IF($G$7="Minimum",MIN(IF($BB$5:$BB$308=$D56,IF($BI$5:$BI$308=$F56, IF($BD$5:$BD$308=$H56,$BK$5:$BK$308)))),
IF($G$7="Maximum",MAX(IF($BB$5:$BB$308=$D56,IF($BI$5:$BI$308=$F56, IF($BD$5:$BD$308=$H56,$BK$5:$BK$308)))),
IF($G$7="Average",AVERAGE(IF($BB$5:$BB$308=$D56,IF($BI$5:$BI$308=$F56, IF($BD$5:$BD$308=$H56,$BK$5:$BK$308)))))))))</f>
        <v/>
      </c>
      <c r="P56" s="149"/>
      <c r="Q56" s="1016"/>
      <c r="R56" s="1016"/>
      <c r="S56" s="1016"/>
      <c r="T56" s="2751" t="str">
        <f t="shared" si="8"/>
        <v/>
      </c>
      <c r="U56" s="2752"/>
      <c r="V56" s="294" t="str">
        <f t="shared" si="12"/>
        <v/>
      </c>
      <c r="W56" s="1028">
        <f t="shared" si="9"/>
        <v>0</v>
      </c>
      <c r="X56" s="1007"/>
      <c r="Y56" s="2730" t="str">
        <f t="array" ref="Y56">IF(D56="","",IF(X56&lt;&gt;"",X56,
IF($G$7="Minimum",MIN(IF($BX$5:$BX$138=$D56,IF($BY$5:$BY$138=$F56, $CA$5:$CA$138))),
IF($G$7="Maximum",MAX(IF($BX$5:$BX$138=$D56,IF($BY$5:$BY$138=$F56, $CA$5:$CA$138))),
IF($G$7="Average",AVERAGE(IF($BX$5:$BX$138=$D56,IF($BY$5:$BY$138=$F56, $CA$5:$CA$138))))))))</f>
        <v/>
      </c>
      <c r="Z56" s="2731"/>
      <c r="AA56" s="149"/>
      <c r="AB56" s="1016"/>
      <c r="AC56" s="1016"/>
      <c r="AD56" s="2525"/>
      <c r="AE56" s="2526"/>
      <c r="AF56" s="1303" t="str">
        <f t="shared" si="10"/>
        <v/>
      </c>
      <c r="AG56" s="1310" t="str">
        <f t="shared" si="13"/>
        <v/>
      </c>
      <c r="AH56" s="1303" t="str">
        <f t="shared" si="11"/>
        <v/>
      </c>
      <c r="AI56" s="149"/>
      <c r="AJ56" s="109"/>
      <c r="AV56" s="1269"/>
      <c r="BA56" s="1269"/>
      <c r="BB56" s="1269"/>
      <c r="BC56" s="1269"/>
      <c r="BD56" s="1269"/>
      <c r="BE56" s="1269"/>
      <c r="BF56" s="1269"/>
      <c r="BG56" s="1269"/>
      <c r="BH56" s="1269"/>
      <c r="BI56" s="1270"/>
      <c r="BJ56" s="1270"/>
      <c r="BK56" s="1270"/>
      <c r="BL56" s="1269"/>
      <c r="BM56" s="1269"/>
      <c r="BN56" s="1269"/>
      <c r="BO56" s="1272"/>
      <c r="BP56" s="1269"/>
      <c r="BX56" s="1298"/>
      <c r="BY56" s="1299"/>
      <c r="BZ56" s="1269"/>
      <c r="CA56" s="1301"/>
    </row>
    <row r="57" spans="3:79" ht="18" customHeight="1">
      <c r="C57" s="149"/>
      <c r="D57" s="1006"/>
      <c r="E57" s="2072"/>
      <c r="F57" s="2525"/>
      <c r="G57" s="2526"/>
      <c r="H57" s="1008" t="str">
        <f t="array" ref="H57">IF(D57="","",INDEX($BD$5:$BD$308,MATCH(D57&amp;F57,$BB$5:$BB$308&amp;$BI$5:$BI$308,0)))</f>
        <v/>
      </c>
      <c r="I57" s="1008" t="str">
        <f t="array" ref="I57">IF(D57="","",INDEX($BC$5:$BC$308,MATCH(D57&amp;F57&amp;H57,$BB$5:$BB$308&amp;$BI$5:$BI$308&amp;$BD$5:$BD$308,0)))</f>
        <v/>
      </c>
      <c r="J57" s="1009" t="str">
        <f t="array" ref="J57">IF(D57="","",INDEX($BM$5:$BM$308,MATCH(D57&amp;F57&amp;H57,$BB$5:$BB$308&amp;$BI$5:$BI$308&amp;$BD$5:$BD$308,0)))</f>
        <v/>
      </c>
      <c r="K57" s="149"/>
      <c r="L57" s="1016"/>
      <c r="M57" s="1016"/>
      <c r="N57" s="294" t="str">
        <f t="array" ref="N57">IF(D57="","",IF(L57&lt;&gt;"",L57,
IF($G$7="Minimum",MIN(IF($BB$5:$BB$308=$D57,IF($BI$5:$BI$308=$F57, IF($BD$5:$BD$308=$H57,$BJ$5:$BJ$308)))),
IF($G$7="Maximum",MAX(IF($BB$5:$BB$308=$D57,IF($BI$5:$BI$308=$F57, IF($BD$5:$BD$308=$H57,$BJ$5:$BJ$308)))),
IF($G$7="Average",AVERAGE(IF($BB$5:$BB$308=$D57,IF($BI$5:$BI$308=$F57, IF($BD$5:$BD$308=$H57,$BJ$5:$BJ$308)))))))))</f>
        <v/>
      </c>
      <c r="O57" s="294" t="str">
        <f t="array" ref="O57">IF(D57="","",IF(M57&lt;&gt;"",M57,
IF($G$7="Minimum",MIN(IF($BB$5:$BB$308=$D57,IF($BI$5:$BI$308=$F57, IF($BD$5:$BD$308=$H57,$BK$5:$BK$308)))),
IF($G$7="Maximum",MAX(IF($BB$5:$BB$308=$D57,IF($BI$5:$BI$308=$F57, IF($BD$5:$BD$308=$H57,$BK$5:$BK$308)))),
IF($G$7="Average",AVERAGE(IF($BB$5:$BB$308=$D57,IF($BI$5:$BI$308=$F57, IF($BD$5:$BD$308=$H57,$BK$5:$BK$308)))))))))</f>
        <v/>
      </c>
      <c r="P57" s="149"/>
      <c r="Q57" s="1016"/>
      <c r="R57" s="1016"/>
      <c r="S57" s="1016"/>
      <c r="T57" s="2751" t="str">
        <f t="shared" si="8"/>
        <v/>
      </c>
      <c r="U57" s="2752"/>
      <c r="V57" s="294" t="str">
        <f t="shared" si="12"/>
        <v/>
      </c>
      <c r="W57" s="1028">
        <f t="shared" si="9"/>
        <v>0</v>
      </c>
      <c r="X57" s="1007"/>
      <c r="Y57" s="2730" t="str">
        <f t="array" ref="Y57">IF(D57="","",IF(X57&lt;&gt;"",X57,
IF($G$7="Minimum",MIN(IF($BX$5:$BX$138=$D57,IF($BY$5:$BY$138=$F57, $CA$5:$CA$138))),
IF($G$7="Maximum",MAX(IF($BX$5:$BX$138=$D57,IF($BY$5:$BY$138=$F57, $CA$5:$CA$138))),
IF($G$7="Average",AVERAGE(IF($BX$5:$BX$138=$D57,IF($BY$5:$BY$138=$F57, $CA$5:$CA$138))))))))</f>
        <v/>
      </c>
      <c r="Z57" s="2731"/>
      <c r="AA57" s="149"/>
      <c r="AB57" s="1016"/>
      <c r="AC57" s="1016"/>
      <c r="AD57" s="2525"/>
      <c r="AE57" s="2526"/>
      <c r="AF57" s="1303" t="str">
        <f t="shared" si="10"/>
        <v/>
      </c>
      <c r="AG57" s="1310" t="str">
        <f t="shared" si="13"/>
        <v/>
      </c>
      <c r="AH57" s="1303" t="str">
        <f t="shared" si="11"/>
        <v/>
      </c>
      <c r="AI57" s="149"/>
      <c r="AJ57" s="109"/>
      <c r="AV57" s="1269"/>
      <c r="BA57" s="1269"/>
      <c r="BB57" s="1269"/>
      <c r="BC57" s="1269"/>
      <c r="BD57" s="1269"/>
      <c r="BE57" s="1269"/>
      <c r="BF57" s="1269"/>
      <c r="BG57" s="1269"/>
      <c r="BH57" s="1269"/>
      <c r="BI57" s="1270"/>
      <c r="BJ57" s="1270"/>
      <c r="BK57" s="1270"/>
      <c r="BL57" s="1269"/>
      <c r="BM57" s="1269"/>
      <c r="BN57" s="1269"/>
      <c r="BO57" s="1272"/>
      <c r="BP57" s="1269"/>
      <c r="BX57" s="1298"/>
      <c r="BY57" s="1299"/>
      <c r="BZ57" s="1269"/>
      <c r="CA57" s="1301"/>
    </row>
    <row r="58" spans="3:79" ht="18" customHeight="1">
      <c r="C58" s="149"/>
      <c r="D58" s="1006"/>
      <c r="E58" s="2072"/>
      <c r="F58" s="2525"/>
      <c r="G58" s="2526"/>
      <c r="H58" s="1008" t="str">
        <f t="array" ref="H58">IF(D58="","",INDEX($BD$5:$BD$308,MATCH(D58&amp;F58,$BB$5:$BB$308&amp;$BI$5:$BI$308,0)))</f>
        <v/>
      </c>
      <c r="I58" s="1008" t="str">
        <f t="array" ref="I58">IF(D58="","",INDEX($BC$5:$BC$308,MATCH(D58&amp;F58&amp;H58,$BB$5:$BB$308&amp;$BI$5:$BI$308&amp;$BD$5:$BD$308,0)))</f>
        <v/>
      </c>
      <c r="J58" s="1009" t="str">
        <f t="array" ref="J58">IF(D58="","",INDEX($BM$5:$BM$308,MATCH(D58&amp;F58&amp;H58,$BB$5:$BB$308&amp;$BI$5:$BI$308&amp;$BD$5:$BD$308,0)))</f>
        <v/>
      </c>
      <c r="K58" s="149"/>
      <c r="L58" s="1016"/>
      <c r="M58" s="1016"/>
      <c r="N58" s="294" t="str">
        <f t="array" ref="N58">IF(D58="","",IF(L58&lt;&gt;"",L58,
IF($G$7="Minimum",MIN(IF($BB$5:$BB$308=$D58,IF($BI$5:$BI$308=$F58, IF($BD$5:$BD$308=$H58,$BJ$5:$BJ$308)))),
IF($G$7="Maximum",MAX(IF($BB$5:$BB$308=$D58,IF($BI$5:$BI$308=$F58, IF($BD$5:$BD$308=$H58,$BJ$5:$BJ$308)))),
IF($G$7="Average",AVERAGE(IF($BB$5:$BB$308=$D58,IF($BI$5:$BI$308=$F58, IF($BD$5:$BD$308=$H58,$BJ$5:$BJ$308)))))))))</f>
        <v/>
      </c>
      <c r="O58" s="294" t="str">
        <f t="array" ref="O58">IF(D58="","",IF(M58&lt;&gt;"",M58,
IF($G$7="Minimum",MIN(IF($BB$5:$BB$308=$D58,IF($BI$5:$BI$308=$F58, IF($BD$5:$BD$308=$H58,$BK$5:$BK$308)))),
IF($G$7="Maximum",MAX(IF($BB$5:$BB$308=$D58,IF($BI$5:$BI$308=$F58, IF($BD$5:$BD$308=$H58,$BK$5:$BK$308)))),
IF($G$7="Average",AVERAGE(IF($BB$5:$BB$308=$D58,IF($BI$5:$BI$308=$F58, IF($BD$5:$BD$308=$H58,$BK$5:$BK$308)))))))))</f>
        <v/>
      </c>
      <c r="P58" s="149"/>
      <c r="Q58" s="1016"/>
      <c r="R58" s="1016"/>
      <c r="S58" s="1016"/>
      <c r="T58" s="2751" t="str">
        <f t="shared" si="8"/>
        <v/>
      </c>
      <c r="U58" s="2752"/>
      <c r="V58" s="294" t="str">
        <f t="shared" si="12"/>
        <v/>
      </c>
      <c r="W58" s="1028">
        <f t="shared" si="9"/>
        <v>0</v>
      </c>
      <c r="X58" s="1007"/>
      <c r="Y58" s="2730" t="str">
        <f t="array" ref="Y58">IF(D58="","",IF(X58&lt;&gt;"",X58,
IF($G$7="Minimum",MIN(IF($BX$5:$BX$138=$D58,IF($BY$5:$BY$138=$F58, $CA$5:$CA$138))),
IF($G$7="Maximum",MAX(IF($BX$5:$BX$138=$D58,IF($BY$5:$BY$138=$F58, $CA$5:$CA$138))),
IF($G$7="Average",AVERAGE(IF($BX$5:$BX$138=$D58,IF($BY$5:$BY$138=$F58, $CA$5:$CA$138))))))))</f>
        <v/>
      </c>
      <c r="Z58" s="2731"/>
      <c r="AA58" s="149"/>
      <c r="AB58" s="1016"/>
      <c r="AC58" s="1016"/>
      <c r="AD58" s="2525"/>
      <c r="AE58" s="2526"/>
      <c r="AF58" s="1303" t="str">
        <f t="shared" si="10"/>
        <v/>
      </c>
      <c r="AG58" s="1310" t="str">
        <f t="shared" si="13"/>
        <v/>
      </c>
      <c r="AH58" s="1303" t="str">
        <f t="shared" si="11"/>
        <v/>
      </c>
      <c r="AI58" s="149"/>
      <c r="AJ58" s="109"/>
      <c r="AV58" s="1269"/>
      <c r="BA58" s="1269"/>
      <c r="BB58" s="1269"/>
      <c r="BC58" s="1269"/>
      <c r="BD58" s="1269"/>
      <c r="BE58" s="1269"/>
      <c r="BF58" s="1269"/>
      <c r="BG58" s="1269"/>
      <c r="BH58" s="1269"/>
      <c r="BI58" s="1270"/>
      <c r="BJ58" s="1270"/>
      <c r="BK58" s="1270"/>
      <c r="BL58" s="1269"/>
      <c r="BM58" s="1269"/>
      <c r="BN58" s="1269"/>
      <c r="BO58" s="1272"/>
      <c r="BP58" s="1269"/>
      <c r="BX58" s="1298"/>
      <c r="BY58" s="1299"/>
      <c r="BZ58" s="1269"/>
      <c r="CA58" s="1301"/>
    </row>
    <row r="59" spans="3:79" ht="18" customHeight="1">
      <c r="C59" s="149"/>
      <c r="D59" s="1006"/>
      <c r="E59" s="2072"/>
      <c r="F59" s="2525"/>
      <c r="G59" s="2526"/>
      <c r="H59" s="1008" t="str">
        <f t="array" ref="H59">IF(D59="","",INDEX($BD$5:$BD$308,MATCH(D59&amp;F59,$BB$5:$BB$308&amp;$BI$5:$BI$308,0)))</f>
        <v/>
      </c>
      <c r="I59" s="1008" t="str">
        <f t="array" ref="I59">IF(D59="","",INDEX($BC$5:$BC$308,MATCH(D59&amp;F59&amp;H59,$BB$5:$BB$308&amp;$BI$5:$BI$308&amp;$BD$5:$BD$308,0)))</f>
        <v/>
      </c>
      <c r="J59" s="1009" t="str">
        <f t="array" ref="J59">IF(D59="","",INDEX($BM$5:$BM$308,MATCH(D59&amp;F59&amp;H59,$BB$5:$BB$308&amp;$BI$5:$BI$308&amp;$BD$5:$BD$308,0)))</f>
        <v/>
      </c>
      <c r="K59" s="149"/>
      <c r="L59" s="1016"/>
      <c r="M59" s="1016"/>
      <c r="N59" s="294" t="str">
        <f t="array" ref="N59">IF(D59="","",IF(L59&lt;&gt;"",L59,
IF($G$7="Minimum",MIN(IF($BB$5:$BB$308=$D59,IF($BI$5:$BI$308=$F59, IF($BD$5:$BD$308=$H59,$BJ$5:$BJ$308)))),
IF($G$7="Maximum",MAX(IF($BB$5:$BB$308=$D59,IF($BI$5:$BI$308=$F59, IF($BD$5:$BD$308=$H59,$BJ$5:$BJ$308)))),
IF($G$7="Average",AVERAGE(IF($BB$5:$BB$308=$D59,IF($BI$5:$BI$308=$F59, IF($BD$5:$BD$308=$H59,$BJ$5:$BJ$308)))))))))</f>
        <v/>
      </c>
      <c r="O59" s="294" t="str">
        <f t="array" ref="O59">IF(D59="","",IF(M59&lt;&gt;"",M59,
IF($G$7="Minimum",MIN(IF($BB$5:$BB$308=$D59,IF($BI$5:$BI$308=$F59, IF($BD$5:$BD$308=$H59,$BK$5:$BK$308)))),
IF($G$7="Maximum",MAX(IF($BB$5:$BB$308=$D59,IF($BI$5:$BI$308=$F59, IF($BD$5:$BD$308=$H59,$BK$5:$BK$308)))),
IF($G$7="Average",AVERAGE(IF($BB$5:$BB$308=$D59,IF($BI$5:$BI$308=$F59, IF($BD$5:$BD$308=$H59,$BK$5:$BK$308)))))))))</f>
        <v/>
      </c>
      <c r="P59" s="149"/>
      <c r="Q59" s="1016"/>
      <c r="R59" s="1016"/>
      <c r="S59" s="1016"/>
      <c r="T59" s="2751" t="str">
        <f t="shared" si="8"/>
        <v/>
      </c>
      <c r="U59" s="2752"/>
      <c r="V59" s="294" t="str">
        <f t="shared" si="12"/>
        <v/>
      </c>
      <c r="W59" s="1028">
        <f t="shared" si="9"/>
        <v>0</v>
      </c>
      <c r="X59" s="1007"/>
      <c r="Y59" s="2730" t="str">
        <f t="array" ref="Y59">IF(D59="","",IF(X59&lt;&gt;"",X59,
IF($G$7="Minimum",MIN(IF($BX$5:$BX$138=$D59,IF($BY$5:$BY$138=$F59, $CA$5:$CA$138))),
IF($G$7="Maximum",MAX(IF($BX$5:$BX$138=$D59,IF($BY$5:$BY$138=$F59, $CA$5:$CA$138))),
IF($G$7="Average",AVERAGE(IF($BX$5:$BX$138=$D59,IF($BY$5:$BY$138=$F59, $CA$5:$CA$138))))))))</f>
        <v/>
      </c>
      <c r="Z59" s="2731"/>
      <c r="AA59" s="149"/>
      <c r="AB59" s="1016"/>
      <c r="AC59" s="1016"/>
      <c r="AD59" s="2525"/>
      <c r="AE59" s="2526"/>
      <c r="AF59" s="1303" t="str">
        <f t="shared" si="10"/>
        <v/>
      </c>
      <c r="AG59" s="1310" t="str">
        <f t="shared" si="13"/>
        <v/>
      </c>
      <c r="AH59" s="1303" t="str">
        <f t="shared" si="11"/>
        <v/>
      </c>
      <c r="AI59" s="149"/>
      <c r="AJ59" s="109"/>
      <c r="AV59" s="1269"/>
      <c r="BA59" s="1269"/>
      <c r="BB59" s="1269"/>
      <c r="BC59" s="1269"/>
      <c r="BD59" s="1269"/>
      <c r="BE59" s="1269"/>
      <c r="BF59" s="1269"/>
      <c r="BG59" s="1269"/>
      <c r="BH59" s="1269"/>
      <c r="BI59" s="1270"/>
      <c r="BJ59" s="1270"/>
      <c r="BK59" s="1270"/>
      <c r="BL59" s="1269"/>
      <c r="BM59" s="1269"/>
      <c r="BN59" s="1269"/>
      <c r="BO59" s="1272"/>
      <c r="BP59" s="1269"/>
      <c r="BX59" s="1298"/>
      <c r="BY59" s="1299"/>
      <c r="BZ59" s="1269"/>
      <c r="CA59" s="1301"/>
    </row>
    <row r="60" spans="3:79" ht="18" customHeight="1">
      <c r="C60" s="149"/>
      <c r="D60" s="1006"/>
      <c r="E60" s="2072"/>
      <c r="F60" s="2525"/>
      <c r="G60" s="2526"/>
      <c r="H60" s="1008" t="str">
        <f t="array" ref="H60">IF(D60="","",INDEX($BD$5:$BD$308,MATCH(D60&amp;F60,$BB$5:$BB$308&amp;$BI$5:$BI$308,0)))</f>
        <v/>
      </c>
      <c r="I60" s="1008" t="str">
        <f t="array" ref="I60">IF(D60="","",INDEX($BC$5:$BC$308,MATCH(D60&amp;F60&amp;H60,$BB$5:$BB$308&amp;$BI$5:$BI$308&amp;$BD$5:$BD$308,0)))</f>
        <v/>
      </c>
      <c r="J60" s="1009" t="str">
        <f t="array" ref="J60">IF(D60="","",INDEX($BM$5:$BM$308,MATCH(D60&amp;F60&amp;H60,$BB$5:$BB$308&amp;$BI$5:$BI$308&amp;$BD$5:$BD$308,0)))</f>
        <v/>
      </c>
      <c r="K60" s="149"/>
      <c r="L60" s="1016"/>
      <c r="M60" s="1016"/>
      <c r="N60" s="294" t="str">
        <f t="array" ref="N60">IF(D60="","",IF(L60&lt;&gt;"",L60,
IF($G$7="Minimum",MIN(IF($BB$5:$BB$308=$D60,IF($BI$5:$BI$308=$F60, IF($BD$5:$BD$308=$H60,$BJ$5:$BJ$308)))),
IF($G$7="Maximum",MAX(IF($BB$5:$BB$308=$D60,IF($BI$5:$BI$308=$F60, IF($BD$5:$BD$308=$H60,$BJ$5:$BJ$308)))),
IF($G$7="Average",AVERAGE(IF($BB$5:$BB$308=$D60,IF($BI$5:$BI$308=$F60, IF($BD$5:$BD$308=$H60,$BJ$5:$BJ$308)))))))))</f>
        <v/>
      </c>
      <c r="O60" s="294" t="str">
        <f t="array" ref="O60">IF(D60="","",IF(M60&lt;&gt;"",M60,
IF($G$7="Minimum",MIN(IF($BB$5:$BB$308=$D60,IF($BI$5:$BI$308=$F60, IF($BD$5:$BD$308=$H60,$BK$5:$BK$308)))),
IF($G$7="Maximum",MAX(IF($BB$5:$BB$308=$D60,IF($BI$5:$BI$308=$F60, IF($BD$5:$BD$308=$H60,$BK$5:$BK$308)))),
IF($G$7="Average",AVERAGE(IF($BB$5:$BB$308=$D60,IF($BI$5:$BI$308=$F60, IF($BD$5:$BD$308=$H60,$BK$5:$BK$308)))))))))</f>
        <v/>
      </c>
      <c r="P60" s="149"/>
      <c r="Q60" s="1016"/>
      <c r="R60" s="1016"/>
      <c r="S60" s="1016"/>
      <c r="T60" s="2751" t="str">
        <f t="shared" si="8"/>
        <v/>
      </c>
      <c r="U60" s="2752"/>
      <c r="V60" s="294" t="str">
        <f t="shared" si="12"/>
        <v/>
      </c>
      <c r="W60" s="1028">
        <f t="shared" si="9"/>
        <v>0</v>
      </c>
      <c r="X60" s="1007"/>
      <c r="Y60" s="2730" t="str">
        <f t="array" ref="Y60">IF(D60="","",IF(X60&lt;&gt;"",X60,
IF($G$7="Minimum",MIN(IF($BX$5:$BX$138=$D60,IF($BY$5:$BY$138=$F60, $CA$5:$CA$138))),
IF($G$7="Maximum",MAX(IF($BX$5:$BX$138=$D60,IF($BY$5:$BY$138=$F60, $CA$5:$CA$138))),
IF($G$7="Average",AVERAGE(IF($BX$5:$BX$138=$D60,IF($BY$5:$BY$138=$F60, $CA$5:$CA$138))))))))</f>
        <v/>
      </c>
      <c r="Z60" s="2731"/>
      <c r="AA60" s="149"/>
      <c r="AB60" s="1016"/>
      <c r="AC60" s="1016"/>
      <c r="AD60" s="2525"/>
      <c r="AE60" s="2526"/>
      <c r="AF60" s="1303" t="str">
        <f t="shared" si="10"/>
        <v/>
      </c>
      <c r="AG60" s="1310" t="str">
        <f t="shared" si="13"/>
        <v/>
      </c>
      <c r="AH60" s="1303" t="str">
        <f t="shared" si="11"/>
        <v/>
      </c>
      <c r="AI60" s="149"/>
      <c r="AJ60" s="109"/>
      <c r="AV60" s="1269"/>
      <c r="BA60" s="1269"/>
      <c r="BB60" s="1269"/>
      <c r="BC60" s="1269"/>
      <c r="BD60" s="1269"/>
      <c r="BE60" s="1269"/>
      <c r="BF60" s="1269"/>
      <c r="BG60" s="1269"/>
      <c r="BH60" s="1269"/>
      <c r="BI60" s="1270"/>
      <c r="BJ60" s="1270"/>
      <c r="BK60" s="1270"/>
      <c r="BL60" s="1269"/>
      <c r="BM60" s="1269"/>
      <c r="BN60" s="1269"/>
      <c r="BO60" s="1272"/>
      <c r="BP60" s="1269"/>
      <c r="BX60" s="1298"/>
      <c r="BY60" s="1299"/>
      <c r="BZ60" s="1269"/>
      <c r="CA60" s="1301"/>
    </row>
    <row r="61" spans="3:79" ht="18" customHeight="1">
      <c r="C61" s="149"/>
      <c r="D61" s="1011"/>
      <c r="E61" s="2081"/>
      <c r="F61" s="2550"/>
      <c r="G61" s="2551"/>
      <c r="H61" s="1013" t="str">
        <f t="array" ref="H61">IF(D61="","",INDEX($BD$5:$BD$308,MATCH(D61&amp;F61,$BB$5:$BB$308&amp;$BI$5:$BI$308,0)))</f>
        <v/>
      </c>
      <c r="I61" s="1013" t="str">
        <f t="array" ref="I61">IF(D61="","",INDEX($BC$5:$BC$308,MATCH(D61&amp;F61&amp;H61,$BB$5:$BB$308&amp;$BI$5:$BI$308&amp;$BD$5:$BD$308,0)))</f>
        <v/>
      </c>
      <c r="J61" s="1014" t="str">
        <f t="array" ref="J61">IF(D61="","",INDEX($BM$5:$BM$308,MATCH(D61&amp;F61&amp;H61,$BB$5:$BB$308&amp;$BI$5:$BI$308&amp;$BD$5:$BD$308,0)))</f>
        <v/>
      </c>
      <c r="K61" s="149"/>
      <c r="L61" s="1017"/>
      <c r="M61" s="1017"/>
      <c r="N61" s="1026" t="str">
        <f t="array" ref="N61">IF(D61="","",IF(L61&lt;&gt;"",L61,
IF($G$7="Minimum",MIN(IF($BB$5:$BB$308=$D61,IF($BI$5:$BI$308=$F61, IF($BD$5:$BD$308=$H61,$BJ$5:$BJ$308)))),
IF($G$7="Maximum",MAX(IF($BB$5:$BB$308=$D61,IF($BI$5:$BI$308=$F61, IF($BD$5:$BD$308=$H61,$BJ$5:$BJ$308)))),
IF($G$7="Average",AVERAGE(IF($BB$5:$BB$308=$D61,IF($BI$5:$BI$308=$F61, IF($BD$5:$BD$308=$H61,$BJ$5:$BJ$308)))))))))</f>
        <v/>
      </c>
      <c r="O61" s="1026" t="str">
        <f t="array" ref="O61">IF(D61="","",IF(M61&lt;&gt;"",M61,
IF($G$7="Minimum",MIN(IF($BB$5:$BB$308=$D61,IF($BI$5:$BI$308=$F61, IF($BD$5:$BD$308=$H61,$BK$5:$BK$308)))),
IF($G$7="Maximum",MAX(IF($BB$5:$BB$308=$D61,IF($BI$5:$BI$308=$F61, IF($BD$5:$BD$308=$H61,$BK$5:$BK$308)))),
IF($G$7="Average",AVERAGE(IF($BB$5:$BB$308=$D61,IF($BI$5:$BI$308=$F61, IF($BD$5:$BD$308=$H61,$BK$5:$BK$308)))))))))</f>
        <v/>
      </c>
      <c r="P61" s="149"/>
      <c r="Q61" s="1017"/>
      <c r="R61" s="1017"/>
      <c r="S61" s="1017"/>
      <c r="T61" s="2753" t="str">
        <f t="shared" si="8"/>
        <v/>
      </c>
      <c r="U61" s="2754"/>
      <c r="V61" s="1026" t="str">
        <f t="shared" si="12"/>
        <v/>
      </c>
      <c r="W61" s="1029">
        <f t="shared" si="9"/>
        <v>0</v>
      </c>
      <c r="X61" s="1022"/>
      <c r="Y61" s="2732" t="str">
        <f t="array" ref="Y61">IF(D61="","",IF(X61&lt;&gt;"",X61,
IF($G$7="Minimum",MIN(IF($BX$5:$BX$138=$D61,IF($BY$5:$BY$138=$F61, $CA$5:$CA$138))),
IF($G$7="Maximum",MAX(IF($BX$5:$BX$138=$D61,IF($BY$5:$BY$138=$F61, $CA$5:$CA$138))),
IF($G$7="Average",AVERAGE(IF($BX$5:$BX$138=$D61,IF($BY$5:$BY$138=$F61, $CA$5:$CA$138))))))))</f>
        <v/>
      </c>
      <c r="Z61" s="2733"/>
      <c r="AA61" s="149"/>
      <c r="AB61" s="1017"/>
      <c r="AC61" s="1017"/>
      <c r="AD61" s="2550"/>
      <c r="AE61" s="2551"/>
      <c r="AF61" s="1304" t="str">
        <f t="shared" si="10"/>
        <v/>
      </c>
      <c r="AG61" s="1311" t="str">
        <f t="shared" si="13"/>
        <v/>
      </c>
      <c r="AH61" s="1304" t="str">
        <f t="shared" si="11"/>
        <v/>
      </c>
      <c r="AI61" s="149"/>
      <c r="AJ61" s="109"/>
      <c r="AV61" s="1269"/>
      <c r="BA61" s="1269"/>
      <c r="BB61" s="1269"/>
      <c r="BC61" s="1269"/>
      <c r="BD61" s="1269"/>
      <c r="BE61" s="1269"/>
      <c r="BF61" s="1269"/>
      <c r="BG61" s="1269"/>
      <c r="BH61" s="1269"/>
      <c r="BI61" s="1270"/>
      <c r="BJ61" s="1270"/>
      <c r="BK61" s="1270"/>
      <c r="BL61" s="1269"/>
      <c r="BM61" s="1269"/>
      <c r="BN61" s="1269"/>
      <c r="BO61" s="1272"/>
      <c r="BP61" s="1269"/>
      <c r="BX61" s="1298"/>
      <c r="BY61" s="1299"/>
      <c r="BZ61" s="1269"/>
      <c r="CA61" s="1301"/>
    </row>
    <row r="62" spans="3:79" ht="24.45" customHeight="1">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09"/>
      <c r="AU62">
        <v>42</v>
      </c>
      <c r="AV62" s="1269" t="str">
        <f t="array" ref="AV62">IFERROR(INDEX($BB$5:$BB$308, MATCH(0,COUNTIF($AV$3:AV45, $BB$5:$BB$308), 0)),"")</f>
        <v>TT</v>
      </c>
      <c r="BA62" s="1269" t="s">
        <v>983</v>
      </c>
      <c r="BB62" s="1269" t="s">
        <v>973</v>
      </c>
      <c r="BC62" s="1269" t="s">
        <v>976</v>
      </c>
      <c r="BD62" s="1269" t="s">
        <v>907</v>
      </c>
      <c r="BE62" s="1269"/>
      <c r="BF62" s="1269" t="s">
        <v>996</v>
      </c>
      <c r="BG62" s="1269"/>
      <c r="BH62" s="1269"/>
      <c r="BI62" s="1270">
        <v>20</v>
      </c>
      <c r="BJ62" s="1270">
        <v>2.4329999999999998</v>
      </c>
      <c r="BK62" s="1270"/>
      <c r="BL62" s="1269" t="s">
        <v>963</v>
      </c>
      <c r="BM62" s="1269" t="s">
        <v>834</v>
      </c>
      <c r="BN62" s="1269" t="s">
        <v>880</v>
      </c>
      <c r="BO62" s="1272">
        <v>38919</v>
      </c>
      <c r="BP62" s="1269" t="s">
        <v>997</v>
      </c>
      <c r="BX62" s="1298" t="s">
        <v>1303</v>
      </c>
      <c r="BY62" s="1299">
        <v>10</v>
      </c>
      <c r="BZ62" s="1269" t="s">
        <v>2110</v>
      </c>
      <c r="CA62" s="1301">
        <v>0.64100000000000001</v>
      </c>
    </row>
    <row r="63" spans="3:79" ht="34.75" customHeight="1">
      <c r="AV63" s="1269"/>
      <c r="BA63" s="1269"/>
      <c r="BB63" s="1269"/>
      <c r="BC63" s="1269"/>
      <c r="BD63" s="1269"/>
      <c r="BE63" s="1269"/>
      <c r="BF63" s="1269"/>
      <c r="BG63" s="1269"/>
      <c r="BH63" s="1269"/>
      <c r="BI63" s="1270"/>
      <c r="BJ63" s="1270"/>
      <c r="BK63" s="1270"/>
      <c r="BL63" s="1269"/>
      <c r="BM63" s="1269"/>
      <c r="BN63" s="1269"/>
      <c r="BO63" s="1272"/>
      <c r="BP63" s="1269"/>
      <c r="BX63" s="1298"/>
      <c r="BY63" s="1299"/>
      <c r="BZ63" s="1269"/>
      <c r="CA63" s="1301"/>
    </row>
    <row r="64" spans="3:79" ht="34.75" customHeight="1">
      <c r="AV64" s="1269"/>
      <c r="BA64" s="1269"/>
      <c r="BB64" s="1269"/>
      <c r="BC64" s="1269"/>
      <c r="BD64" s="1269"/>
      <c r="BE64" s="1269"/>
      <c r="BF64" s="1269"/>
      <c r="BG64" s="1269"/>
      <c r="BH64" s="1269"/>
      <c r="BI64" s="1270"/>
      <c r="BJ64" s="1270"/>
      <c r="BK64" s="1270"/>
      <c r="BL64" s="1269"/>
      <c r="BM64" s="1269"/>
      <c r="BN64" s="1269"/>
      <c r="BO64" s="1272"/>
      <c r="BP64" s="1269"/>
      <c r="BX64" s="1298"/>
      <c r="BY64" s="1299"/>
      <c r="BZ64" s="1269"/>
      <c r="CA64" s="1301"/>
    </row>
    <row r="65" spans="3:79" ht="32.15" customHeight="1">
      <c r="C65" s="1038" t="s">
        <v>5813</v>
      </c>
      <c r="D65" s="1038"/>
      <c r="E65" s="149"/>
      <c r="F65" s="149"/>
      <c r="G65" s="149"/>
      <c r="H65" s="149"/>
      <c r="AU65">
        <v>43</v>
      </c>
      <c r="AV65" s="1269" t="str">
        <f t="array" ref="AV65">IFERROR(INDEX($BB$5:$BB$308, MATCH(0,COUNTIF($AV$3:AV62, $BB$5:$BB$308), 0)),"")</f>
        <v>Typhim</v>
      </c>
      <c r="BA65" s="1269" t="s">
        <v>998</v>
      </c>
      <c r="BB65" s="1269" t="s">
        <v>2143</v>
      </c>
      <c r="BC65" s="1269" t="s">
        <v>957</v>
      </c>
      <c r="BD65" s="1269" t="s">
        <v>907</v>
      </c>
      <c r="BE65" s="1269" t="s">
        <v>999</v>
      </c>
      <c r="BF65" s="1269" t="s">
        <v>1000</v>
      </c>
      <c r="BG65" s="1269"/>
      <c r="BH65" s="1269"/>
      <c r="BI65" s="1270" t="s">
        <v>894</v>
      </c>
      <c r="BJ65" s="1270"/>
      <c r="BK65" s="1270"/>
      <c r="BL65" s="1269" t="s">
        <v>884</v>
      </c>
      <c r="BM65" s="1269"/>
      <c r="BN65" s="1269" t="s">
        <v>939</v>
      </c>
      <c r="BO65" s="1272">
        <v>38853</v>
      </c>
      <c r="BP65" s="1269" t="s">
        <v>1001</v>
      </c>
      <c r="BX65" s="1298" t="s">
        <v>1303</v>
      </c>
      <c r="BY65" s="1299">
        <v>5</v>
      </c>
      <c r="BZ65" s="1269" t="s">
        <v>2110</v>
      </c>
      <c r="CA65" s="1301">
        <v>0.82</v>
      </c>
    </row>
    <row r="66" spans="3:79" ht="21" customHeight="1">
      <c r="C66" s="149"/>
      <c r="D66" s="2776" t="s">
        <v>2166</v>
      </c>
      <c r="E66" s="2776"/>
      <c r="F66" s="2776"/>
      <c r="G66" s="1033" t="e">
        <f>SUMPRODUCT($G$24:$G$43,$N$24:$N$43,$S$24:$S$43)</f>
        <v>#DIV/0!</v>
      </c>
      <c r="H66" s="149"/>
      <c r="AU66">
        <v>44</v>
      </c>
      <c r="AV66" s="1269" t="str">
        <f t="array" ref="AV66">IFERROR(INDEX($BB$5:$BB$308, MATCH(0,COUNTIF($AV$3:AV65, $BB$5:$BB$308), 0)),"")</f>
        <v>YF</v>
      </c>
      <c r="BA66" s="1269" t="s">
        <v>998</v>
      </c>
      <c r="BB66" s="1269" t="s">
        <v>2143</v>
      </c>
      <c r="BC66" s="1269" t="s">
        <v>957</v>
      </c>
      <c r="BD66" s="1269" t="s">
        <v>907</v>
      </c>
      <c r="BE66" s="1269" t="s">
        <v>1002</v>
      </c>
      <c r="BF66" s="1269" t="s">
        <v>1000</v>
      </c>
      <c r="BG66" s="1269"/>
      <c r="BH66" s="1269"/>
      <c r="BI66" s="1270" t="s">
        <v>988</v>
      </c>
      <c r="BJ66" s="1270"/>
      <c r="BK66" s="1270"/>
      <c r="BL66" s="1269" t="s">
        <v>884</v>
      </c>
      <c r="BM66" s="1269"/>
      <c r="BN66" s="1269" t="s">
        <v>939</v>
      </c>
      <c r="BO66" s="1272">
        <v>38853</v>
      </c>
      <c r="BP66" s="1269" t="s">
        <v>1003</v>
      </c>
      <c r="BX66" s="1298" t="s">
        <v>888</v>
      </c>
      <c r="BY66" s="1299">
        <v>1</v>
      </c>
      <c r="BZ66" s="1269" t="s">
        <v>2129</v>
      </c>
      <c r="CA66" s="1301">
        <v>1.7</v>
      </c>
    </row>
    <row r="67" spans="3:79" ht="21" customHeight="1">
      <c r="C67" s="149"/>
      <c r="D67" s="2775" t="s">
        <v>2167</v>
      </c>
      <c r="E67" s="2775"/>
      <c r="F67" s="2775"/>
      <c r="G67" s="1035" t="e">
        <f>SUMPRODUCT($G$24:$G$43,$O$24:$O$43,$S$24:$S$43)</f>
        <v>#DIV/0!</v>
      </c>
      <c r="H67" s="149"/>
      <c r="AU67">
        <v>45</v>
      </c>
      <c r="AV67" s="1269" t="str">
        <f t="array" ref="AV67">IFERROR(INDEX($BB$5:$BB$308, MATCH(0,COUNTIF($AV$3:AV66, $BB$5:$BB$308), 0)),"")</f>
        <v>Rubella</v>
      </c>
      <c r="BA67" s="1269" t="s">
        <v>998</v>
      </c>
      <c r="BB67" s="1269" t="s">
        <v>2143</v>
      </c>
      <c r="BC67" s="1269" t="s">
        <v>957</v>
      </c>
      <c r="BD67" s="1269" t="s">
        <v>907</v>
      </c>
      <c r="BE67" s="1269"/>
      <c r="BF67" s="1269" t="s">
        <v>1004</v>
      </c>
      <c r="BG67" s="1269"/>
      <c r="BH67" s="1269"/>
      <c r="BI67" s="1270">
        <v>10</v>
      </c>
      <c r="BJ67" s="1270">
        <v>7.8</v>
      </c>
      <c r="BK67" s="1270"/>
      <c r="BL67" s="1269" t="s">
        <v>884</v>
      </c>
      <c r="BM67" s="1269" t="s">
        <v>5</v>
      </c>
      <c r="BN67" s="1269" t="s">
        <v>1005</v>
      </c>
      <c r="BO67" s="1272">
        <v>40786</v>
      </c>
      <c r="BP67" s="1269" t="s">
        <v>1006</v>
      </c>
      <c r="BX67" s="1298" t="s">
        <v>888</v>
      </c>
      <c r="BY67" s="1299">
        <v>1</v>
      </c>
      <c r="BZ67" s="1269" t="s">
        <v>2129</v>
      </c>
      <c r="CA67" s="1301">
        <v>1.25</v>
      </c>
    </row>
    <row r="68" spans="3:79" ht="21" customHeight="1">
      <c r="C68" s="149"/>
      <c r="D68" s="2775" t="s">
        <v>2168</v>
      </c>
      <c r="E68" s="2775"/>
      <c r="F68" s="2775"/>
      <c r="G68" s="1035" t="e">
        <f>SUMPRODUCT($G$24:$G$43,$X$24:$X$43)</f>
        <v>#N/A</v>
      </c>
      <c r="H68" s="149"/>
      <c r="AU68">
        <v>46</v>
      </c>
      <c r="AV68" s="1269" t="str">
        <f t="array" ref="AV68">IFERROR(INDEX($BB$5:$BB$308, MATCH(0,COUNTIF($AV$3:AV67, $BB$5:$BB$308), 0)),"")</f>
        <v>mOPV2</v>
      </c>
      <c r="BA68" s="1269" t="s">
        <v>998</v>
      </c>
      <c r="BB68" s="1269" t="s">
        <v>2143</v>
      </c>
      <c r="BC68" s="1269" t="s">
        <v>957</v>
      </c>
      <c r="BD68" s="1269" t="s">
        <v>907</v>
      </c>
      <c r="BE68" s="1269"/>
      <c r="BF68" s="1269" t="s">
        <v>1007</v>
      </c>
      <c r="BG68" s="1269"/>
      <c r="BH68" s="1269"/>
      <c r="BI68" s="1270">
        <v>1</v>
      </c>
      <c r="BJ68" s="1270">
        <v>58.7</v>
      </c>
      <c r="BK68" s="1270"/>
      <c r="BL68" s="1269" t="s">
        <v>884</v>
      </c>
      <c r="BM68" s="1269"/>
      <c r="BN68" s="1269" t="s">
        <v>1005</v>
      </c>
      <c r="BO68" s="1272">
        <v>40786</v>
      </c>
      <c r="BP68" s="1269" t="s">
        <v>1008</v>
      </c>
      <c r="BX68" s="1298" t="s">
        <v>888</v>
      </c>
      <c r="BY68" s="1299">
        <v>1</v>
      </c>
      <c r="BZ68" s="1269" t="s">
        <v>2120</v>
      </c>
      <c r="CA68" s="1301">
        <v>1.85</v>
      </c>
    </row>
    <row r="69" spans="3:79" ht="21" customHeight="1">
      <c r="C69" s="149"/>
      <c r="D69" s="2775" t="s">
        <v>2169</v>
      </c>
      <c r="E69" s="2775"/>
      <c r="F69" s="2775"/>
      <c r="G69" s="1035" t="e">
        <f>SUMPRODUCT($G$24:$G$43,$Y$24:$Y$43)</f>
        <v>#N/A</v>
      </c>
      <c r="H69" s="149"/>
      <c r="AU69">
        <v>47</v>
      </c>
      <c r="AV69" s="1269" t="str">
        <f t="array" ref="AV69">IFERROR(INDEX($BB$5:$BB$308, MATCH(0,COUNTIF($AV$3:AV68, $BB$5:$BB$308), 0)),"")</f>
        <v>tOPV</v>
      </c>
      <c r="BA69" s="1269" t="s">
        <v>998</v>
      </c>
      <c r="BB69" s="1269" t="s">
        <v>2143</v>
      </c>
      <c r="BC69" s="1269" t="s">
        <v>957</v>
      </c>
      <c r="BD69" s="1269" t="s">
        <v>907</v>
      </c>
      <c r="BE69" s="1269"/>
      <c r="BF69" s="1269" t="s">
        <v>1009</v>
      </c>
      <c r="BG69" s="1269"/>
      <c r="BH69" s="1269"/>
      <c r="BI69" s="1270">
        <v>10</v>
      </c>
      <c r="BJ69" s="1270">
        <v>5.0999999999999996</v>
      </c>
      <c r="BK69" s="1270"/>
      <c r="BL69" s="1269" t="s">
        <v>963</v>
      </c>
      <c r="BM69" s="1269" t="s">
        <v>5</v>
      </c>
      <c r="BN69" s="1269" t="s">
        <v>880</v>
      </c>
      <c r="BO69" s="1272">
        <v>40324</v>
      </c>
      <c r="BP69" s="1269" t="s">
        <v>1010</v>
      </c>
      <c r="BX69" s="1298" t="s">
        <v>1292</v>
      </c>
      <c r="BY69" s="1299">
        <v>10</v>
      </c>
      <c r="BZ69" s="1269" t="s">
        <v>2130</v>
      </c>
      <c r="CA69" s="1301">
        <v>0.17899999999999999</v>
      </c>
    </row>
    <row r="70" spans="3:79" ht="21" customHeight="1">
      <c r="C70" s="149"/>
      <c r="D70" s="2784" t="s">
        <v>2170</v>
      </c>
      <c r="E70" s="2784"/>
      <c r="F70" s="2784"/>
      <c r="G70" s="1037" t="e">
        <f>SUMPRODUCT($G$24:$G$43,$Z$24:$Z$43)</f>
        <v>#DIV/0!</v>
      </c>
      <c r="H70" s="149"/>
      <c r="AU70">
        <v>48</v>
      </c>
      <c r="AV70" s="1269" t="str">
        <f t="array" ref="AV70">IFERROR(INDEX($BB$5:$BB$308, MATCH(0,COUNTIF($AV$3:AV69, $BB$5:$BB$308), 0)),"")</f>
        <v>Td</v>
      </c>
      <c r="BA70" s="1269" t="s">
        <v>998</v>
      </c>
      <c r="BB70" s="1269" t="s">
        <v>2143</v>
      </c>
      <c r="BC70" s="1269" t="s">
        <v>957</v>
      </c>
      <c r="BD70" s="1269" t="s">
        <v>907</v>
      </c>
      <c r="BE70" s="1269"/>
      <c r="BF70" s="1269" t="s">
        <v>1011</v>
      </c>
      <c r="BG70" s="1269"/>
      <c r="BH70" s="1269"/>
      <c r="BI70" s="1270">
        <v>2</v>
      </c>
      <c r="BJ70" s="1270">
        <v>19.600000000000001</v>
      </c>
      <c r="BK70" s="1270"/>
      <c r="BL70" s="1269" t="s">
        <v>963</v>
      </c>
      <c r="BM70" s="1269" t="s">
        <v>5</v>
      </c>
      <c r="BN70" s="1269" t="s">
        <v>880</v>
      </c>
      <c r="BO70" s="1272">
        <v>40324</v>
      </c>
      <c r="BP70" s="1269" t="s">
        <v>1012</v>
      </c>
      <c r="BX70" s="1298" t="s">
        <v>1292</v>
      </c>
      <c r="BY70" s="1299">
        <v>10</v>
      </c>
      <c r="BZ70" s="1269" t="s">
        <v>2111</v>
      </c>
      <c r="CA70" s="1301">
        <v>0.14000000000000001</v>
      </c>
    </row>
    <row r="71" spans="3:79" ht="36.450000000000003" customHeight="1">
      <c r="C71" s="149"/>
      <c r="D71" s="2785" t="s">
        <v>5818</v>
      </c>
      <c r="E71" s="2785"/>
      <c r="F71" s="2785"/>
      <c r="G71" s="1290" t="e">
        <f>G66+G67</f>
        <v>#DIV/0!</v>
      </c>
      <c r="H71" s="149"/>
      <c r="AU71">
        <v>49</v>
      </c>
      <c r="AV71" s="1269" t="str">
        <f t="array" ref="AV71">IFERROR(INDEX($BB$5:$BB$308, MATCH(0,COUNTIF($AV$3:AV70, $BB$5:$BB$308), 0)),"")</f>
        <v>Varicella</v>
      </c>
      <c r="BA71" s="1269" t="s">
        <v>998</v>
      </c>
      <c r="BB71" s="1269" t="s">
        <v>2143</v>
      </c>
      <c r="BC71" s="1269" t="s">
        <v>957</v>
      </c>
      <c r="BD71" s="1269" t="s">
        <v>907</v>
      </c>
      <c r="BE71" s="1269"/>
      <c r="BF71" s="1269" t="s">
        <v>1011</v>
      </c>
      <c r="BG71" s="1269"/>
      <c r="BH71" s="1269"/>
      <c r="BI71" s="1270">
        <v>1</v>
      </c>
      <c r="BJ71" s="1270">
        <v>39.200000000000003</v>
      </c>
      <c r="BK71" s="1270"/>
      <c r="BL71" s="1269" t="s">
        <v>963</v>
      </c>
      <c r="BM71" s="1269"/>
      <c r="BN71" s="1269" t="s">
        <v>880</v>
      </c>
      <c r="BO71" s="1272">
        <v>40324</v>
      </c>
      <c r="BP71" s="1269" t="s">
        <v>1013</v>
      </c>
      <c r="BX71" s="1298" t="s">
        <v>1292</v>
      </c>
      <c r="BY71" s="1299">
        <v>10</v>
      </c>
      <c r="BZ71" s="1269" t="s">
        <v>2116</v>
      </c>
      <c r="CA71" s="1301">
        <v>0.18</v>
      </c>
    </row>
    <row r="72" spans="3:79" ht="39.9" customHeight="1">
      <c r="C72" s="149"/>
      <c r="D72" s="2786" t="s">
        <v>5819</v>
      </c>
      <c r="E72" s="2786"/>
      <c r="F72" s="2786"/>
      <c r="G72" s="1291" t="e">
        <f>SUM(G68:G70)</f>
        <v>#N/A</v>
      </c>
      <c r="H72" s="149"/>
      <c r="AU72">
        <v>50</v>
      </c>
      <c r="AV72" s="1269" t="str">
        <f t="array" ref="AV72">IFERROR(INDEX($BB$5:$BB$308, MATCH(0,COUNTIF($AV$3:AV71, $BB$5:$BB$308), 0)),"")</f>
        <v/>
      </c>
      <c r="BA72" s="1269" t="s">
        <v>1014</v>
      </c>
      <c r="BB72" s="1269" t="s">
        <v>1015</v>
      </c>
      <c r="BC72" s="1269" t="s">
        <v>889</v>
      </c>
      <c r="BD72" s="1269" t="s">
        <v>907</v>
      </c>
      <c r="BE72" s="1269" t="s">
        <v>1016</v>
      </c>
      <c r="BF72" s="1269" t="s">
        <v>992</v>
      </c>
      <c r="BG72" s="1269"/>
      <c r="BH72" s="1269"/>
      <c r="BI72" s="1270">
        <v>1</v>
      </c>
      <c r="BJ72" s="1270">
        <v>13.137599999999999</v>
      </c>
      <c r="BK72" s="1270"/>
      <c r="BL72" s="1269" t="s">
        <v>884</v>
      </c>
      <c r="BM72" s="1269"/>
      <c r="BN72" s="1269" t="s">
        <v>1017</v>
      </c>
      <c r="BO72" s="1272">
        <v>38986</v>
      </c>
      <c r="BP72" s="1269" t="s">
        <v>1018</v>
      </c>
      <c r="BX72" s="1298" t="s">
        <v>1282</v>
      </c>
      <c r="BY72" s="1299">
        <v>20</v>
      </c>
      <c r="BZ72" s="1269" t="s">
        <v>2111</v>
      </c>
      <c r="CA72" s="1301">
        <v>0.11749999999999999</v>
      </c>
    </row>
    <row r="73" spans="3:79" ht="21" customHeight="1">
      <c r="C73" s="149"/>
      <c r="D73" s="2767" t="s">
        <v>5814</v>
      </c>
      <c r="E73" s="2767"/>
      <c r="F73" s="2767"/>
      <c r="G73" s="2079" t="e">
        <f>SUMPRODUCT($G$24:$G$43,$AC$24:$AC$43,$S$24:$S$43)</f>
        <v>#DIV/0!</v>
      </c>
      <c r="H73" s="149"/>
      <c r="AU73">
        <v>51</v>
      </c>
      <c r="AV73" s="1269" t="str">
        <f t="array" ref="AV73">IFERROR(INDEX($BB$5:$BB$308, MATCH(0,COUNTIF($AV$3:AV72, $BB$5:$BB$308), 0)),"")</f>
        <v/>
      </c>
      <c r="BA73" s="1269" t="s">
        <v>1014</v>
      </c>
      <c r="BB73" s="1269" t="s">
        <v>1015</v>
      </c>
      <c r="BC73" s="1269" t="s">
        <v>889</v>
      </c>
      <c r="BD73" s="1269" t="s">
        <v>907</v>
      </c>
      <c r="BE73" s="1269" t="s">
        <v>1016</v>
      </c>
      <c r="BF73" s="1269" t="s">
        <v>992</v>
      </c>
      <c r="BG73" s="1269"/>
      <c r="BH73" s="1269"/>
      <c r="BI73" s="1270">
        <v>1</v>
      </c>
      <c r="BJ73" s="1270">
        <v>10.281600000000001</v>
      </c>
      <c r="BK73" s="1270"/>
      <c r="BL73" s="1269" t="s">
        <v>884</v>
      </c>
      <c r="BM73" s="1269"/>
      <c r="BN73" s="1269" t="s">
        <v>1017</v>
      </c>
      <c r="BO73" s="1272">
        <v>40878</v>
      </c>
      <c r="BP73" s="1269" t="s">
        <v>1018</v>
      </c>
      <c r="BX73" s="1298" t="s">
        <v>1292</v>
      </c>
      <c r="BY73" s="1299">
        <v>20</v>
      </c>
      <c r="BZ73" s="1269" t="s">
        <v>2131</v>
      </c>
      <c r="CA73" s="1301">
        <v>9.5200000000000007E-2</v>
      </c>
    </row>
    <row r="74" spans="3:79" ht="21" customHeight="1">
      <c r="C74" s="149"/>
      <c r="D74" s="2764" t="s">
        <v>5815</v>
      </c>
      <c r="E74" s="2764"/>
      <c r="F74" s="2764"/>
      <c r="G74" s="2080" t="e">
        <f>SUMPRODUCT($G$24:$G$43,$AH$24:$AH$43)+SUMPRODUCT($G$24:$G$43,$AI$24:$AI$43)+SUMPRODUCT($G$24:$G$43,$AJ$24:$AJ$43)</f>
        <v>#N/A</v>
      </c>
      <c r="H74" s="149"/>
      <c r="AU74">
        <v>52</v>
      </c>
      <c r="AV74" s="1269" t="str">
        <f t="array" ref="AV74">IFERROR(INDEX($BB$5:$BB$308, MATCH(0,COUNTIF($AV$3:AV73, $BB$5:$BB$308), 0)),"")</f>
        <v/>
      </c>
      <c r="BA74" s="1269" t="s">
        <v>1014</v>
      </c>
      <c r="BB74" s="1269" t="s">
        <v>1015</v>
      </c>
      <c r="BC74" s="1269" t="s">
        <v>889</v>
      </c>
      <c r="BD74" s="1269" t="s">
        <v>907</v>
      </c>
      <c r="BE74" s="1269" t="s">
        <v>1016</v>
      </c>
      <c r="BF74" s="1269" t="s">
        <v>1019</v>
      </c>
      <c r="BG74" s="1269"/>
      <c r="BH74" s="1269"/>
      <c r="BI74" s="1270" t="s">
        <v>1020</v>
      </c>
      <c r="BJ74" s="1270">
        <v>14.055299999999997</v>
      </c>
      <c r="BK74" s="1270"/>
      <c r="BL74" s="1269" t="s">
        <v>963</v>
      </c>
      <c r="BM74" s="1269"/>
      <c r="BN74" s="1269" t="s">
        <v>1021</v>
      </c>
      <c r="BO74" s="1272">
        <v>41997</v>
      </c>
      <c r="BP74" s="1269" t="s">
        <v>1022</v>
      </c>
      <c r="BX74" s="1298" t="s">
        <v>1292</v>
      </c>
      <c r="BY74" s="1299">
        <v>20</v>
      </c>
      <c r="BZ74" s="1269" t="s">
        <v>2130</v>
      </c>
      <c r="CA74" s="1301">
        <v>0.115</v>
      </c>
    </row>
    <row r="75" spans="3:79" ht="21" customHeight="1">
      <c r="C75" s="149"/>
      <c r="D75" s="1040"/>
      <c r="E75" s="1040"/>
      <c r="F75" s="1040"/>
      <c r="G75" s="1040"/>
      <c r="H75" s="149"/>
      <c r="AU75">
        <v>53</v>
      </c>
      <c r="AV75" s="1269" t="str">
        <f t="array" ref="AV75">IFERROR(INDEX($BB$5:$BB$308, MATCH(0,COUNTIF($AV$3:AV74, $BB$5:$BB$308), 0)),"")</f>
        <v/>
      </c>
      <c r="BA75" s="1269" t="s">
        <v>1014</v>
      </c>
      <c r="BB75" s="1269" t="s">
        <v>1015</v>
      </c>
      <c r="BC75" s="1269" t="s">
        <v>889</v>
      </c>
      <c r="BD75" s="1269" t="s">
        <v>907</v>
      </c>
      <c r="BE75" s="1269" t="s">
        <v>1016</v>
      </c>
      <c r="BF75" s="1269" t="s">
        <v>1023</v>
      </c>
      <c r="BG75" s="1269"/>
      <c r="BH75" s="1269"/>
      <c r="BI75" s="1270" t="s">
        <v>1020</v>
      </c>
      <c r="BJ75" s="1270">
        <v>15.183999999999999</v>
      </c>
      <c r="BK75" s="1270"/>
      <c r="BL75" s="1269" t="s">
        <v>963</v>
      </c>
      <c r="BM75" s="1269"/>
      <c r="BN75" s="1269" t="s">
        <v>1021</v>
      </c>
      <c r="BO75" s="1272">
        <v>41997</v>
      </c>
      <c r="BP75" s="1269" t="s">
        <v>1022</v>
      </c>
      <c r="BX75" s="1298" t="s">
        <v>1292</v>
      </c>
      <c r="BY75" s="1299">
        <v>20</v>
      </c>
      <c r="BZ75" s="1269" t="s">
        <v>2128</v>
      </c>
      <c r="CA75" s="1301">
        <v>0.13500000000000001</v>
      </c>
    </row>
    <row r="76" spans="3:79" ht="21" customHeight="1">
      <c r="C76" s="149"/>
      <c r="D76" s="2781" t="s">
        <v>5823</v>
      </c>
      <c r="E76" s="2781"/>
      <c r="F76" s="2781"/>
      <c r="G76" s="2078">
        <f>(1/1000000)*(SUMPRODUCT($E$52:$E$61,$N$52:$N$61)+SUMPRODUCT($E$52:$E$61,$O$52:$O$61))</f>
        <v>0</v>
      </c>
      <c r="H76" s="149"/>
      <c r="X76" s="37"/>
      <c r="AV76" s="1269"/>
      <c r="BA76" s="1269"/>
      <c r="BB76" s="1269"/>
      <c r="BC76" s="1269"/>
      <c r="BD76" s="1269"/>
      <c r="BE76" s="1269"/>
      <c r="BF76" s="1269"/>
      <c r="BG76" s="1269"/>
      <c r="BH76" s="1269"/>
      <c r="BI76" s="1270"/>
      <c r="BJ76" s="1270"/>
      <c r="BK76" s="1270"/>
      <c r="BL76" s="1269"/>
      <c r="BM76" s="1269"/>
      <c r="BN76" s="1269"/>
      <c r="BO76" s="1272"/>
      <c r="BP76" s="1269"/>
      <c r="BX76" s="1298"/>
      <c r="BY76" s="1299"/>
      <c r="BZ76" s="1269"/>
      <c r="CA76" s="1301"/>
    </row>
    <row r="77" spans="3:79" ht="21" customHeight="1">
      <c r="C77" s="149"/>
      <c r="D77" s="2782" t="s">
        <v>5824</v>
      </c>
      <c r="E77" s="2782"/>
      <c r="F77" s="2782"/>
      <c r="G77" s="2075">
        <f>(1/1000000)*(SUMPRODUCT($E$52:$E$61,$T$52:$T$61)+SUMPRODUCT($E$52:$E$61,$W$52:$W$61)+SUMPRODUCT($E$52:$E$61,$V$52:$V$61))</f>
        <v>0</v>
      </c>
      <c r="H77" s="149"/>
      <c r="X77" s="37"/>
      <c r="AV77" s="1269"/>
      <c r="BA77" s="1269"/>
      <c r="BB77" s="1269"/>
      <c r="BC77" s="1269"/>
      <c r="BD77" s="1269"/>
      <c r="BE77" s="1269"/>
      <c r="BF77" s="1269"/>
      <c r="BG77" s="1269"/>
      <c r="BH77" s="1269"/>
      <c r="BI77" s="1270"/>
      <c r="BJ77" s="1270"/>
      <c r="BK77" s="1270"/>
      <c r="BL77" s="1269"/>
      <c r="BM77" s="1269"/>
      <c r="BN77" s="1269"/>
      <c r="BO77" s="1272"/>
      <c r="BP77" s="1269"/>
      <c r="BX77" s="1298"/>
      <c r="BY77" s="1299"/>
      <c r="BZ77" s="1269"/>
      <c r="CA77" s="1301"/>
    </row>
    <row r="78" spans="3:79" ht="21" customHeight="1">
      <c r="C78" s="149"/>
      <c r="D78" s="2782" t="s">
        <v>5816</v>
      </c>
      <c r="E78" s="2782"/>
      <c r="F78" s="2782"/>
      <c r="G78" s="2076">
        <f>SUMPRODUCT($E$52:$E$61,$Y$52:$Y$61)</f>
        <v>0</v>
      </c>
      <c r="H78" s="149"/>
      <c r="X78" s="37"/>
      <c r="AV78" s="1269"/>
      <c r="BA78" s="1269"/>
      <c r="BB78" s="1269"/>
      <c r="BC78" s="1269"/>
      <c r="BD78" s="1269"/>
      <c r="BE78" s="1269"/>
      <c r="BF78" s="1269"/>
      <c r="BG78" s="1269"/>
      <c r="BH78" s="1269"/>
      <c r="BI78" s="1270"/>
      <c r="BJ78" s="1270"/>
      <c r="BK78" s="1270"/>
      <c r="BL78" s="1269"/>
      <c r="BM78" s="1269"/>
      <c r="BN78" s="1269"/>
      <c r="BO78" s="1272"/>
      <c r="BP78" s="1269"/>
      <c r="BX78" s="1298"/>
      <c r="BY78" s="1299"/>
      <c r="BZ78" s="1269"/>
      <c r="CA78" s="1301"/>
    </row>
    <row r="79" spans="3:79" ht="21" customHeight="1">
      <c r="C79" s="149"/>
      <c r="D79" s="2783" t="s">
        <v>5817</v>
      </c>
      <c r="E79" s="2783"/>
      <c r="F79" s="2783"/>
      <c r="G79" s="2077">
        <f>SUMPRODUCT($E$52:$E$61,$AH$52:$AH$61)+SUMPRODUCT($E$52:$E$61,$AG$52:$AG$61)+SUMPRODUCT($E$52:$E$61,$AF$52:$AF$61)</f>
        <v>0</v>
      </c>
      <c r="H79" s="149"/>
      <c r="X79" s="37"/>
      <c r="AV79" s="1269"/>
      <c r="BA79" s="1269"/>
      <c r="BB79" s="1269"/>
      <c r="BC79" s="1269"/>
      <c r="BD79" s="1269"/>
      <c r="BE79" s="1269"/>
      <c r="BF79" s="1269"/>
      <c r="BG79" s="1269"/>
      <c r="BH79" s="1269"/>
      <c r="BI79" s="1270"/>
      <c r="BJ79" s="1270"/>
      <c r="BK79" s="1270"/>
      <c r="BL79" s="1269"/>
      <c r="BM79" s="1269"/>
      <c r="BN79" s="1269"/>
      <c r="BO79" s="1272"/>
      <c r="BP79" s="1269"/>
      <c r="BX79" s="1298"/>
      <c r="BY79" s="1299"/>
      <c r="BZ79" s="1269"/>
      <c r="CA79" s="1301"/>
    </row>
    <row r="80" spans="3:79" ht="21" customHeight="1">
      <c r="C80" s="149"/>
      <c r="D80" s="1040"/>
      <c r="E80" s="1040"/>
      <c r="F80" s="1040"/>
      <c r="G80" s="1040"/>
      <c r="H80" s="149"/>
      <c r="X80" s="37"/>
      <c r="AV80" s="1269"/>
      <c r="BA80" s="1269"/>
      <c r="BB80" s="1269"/>
      <c r="BC80" s="1269"/>
      <c r="BD80" s="1269"/>
      <c r="BE80" s="1269"/>
      <c r="BF80" s="1269"/>
      <c r="BG80" s="1269"/>
      <c r="BH80" s="1269"/>
      <c r="BI80" s="1270"/>
      <c r="BJ80" s="1270"/>
      <c r="BK80" s="1270"/>
      <c r="BL80" s="1269"/>
      <c r="BM80" s="1269"/>
      <c r="BN80" s="1269"/>
      <c r="BO80" s="1272"/>
      <c r="BP80" s="1269"/>
      <c r="BX80" s="1298"/>
      <c r="BY80" s="1299"/>
      <c r="BZ80" s="1269"/>
      <c r="CA80" s="1301"/>
    </row>
    <row r="81" spans="3:80" ht="21" customHeight="1">
      <c r="C81" s="149"/>
      <c r="D81" s="2767" t="s">
        <v>2063</v>
      </c>
      <c r="E81" s="2767"/>
      <c r="F81" s="2767"/>
      <c r="G81" s="1041" t="e">
        <f>($G$6*((SUMPRODUCT($E$24:$E$43,$G$24:$G$43,$N$24:$N$43,$S$24:$S$43)+SUMPRODUCT($E$24:$E$43,$G$24:$G$43,$O$24:$O$43,$S$24:$S$43))/1000000))+$G$76</f>
        <v>#DIV/0!</v>
      </c>
      <c r="H81" s="149"/>
      <c r="X81" s="37"/>
      <c r="AU81">
        <v>54</v>
      </c>
      <c r="AV81" s="1269" t="str">
        <f t="array" ref="AV81">IFERROR(INDEX($BB$5:$BB$308, MATCH(0,COUNTIF($AV$3:AV75, $BB$5:$BB$308), 0)),"")</f>
        <v/>
      </c>
      <c r="BA81" s="1269" t="s">
        <v>998</v>
      </c>
      <c r="BB81" s="1269" t="s">
        <v>1015</v>
      </c>
      <c r="BC81" s="1269" t="s">
        <v>889</v>
      </c>
      <c r="BD81" s="1269" t="s">
        <v>907</v>
      </c>
      <c r="BE81" s="1269" t="s">
        <v>1002</v>
      </c>
      <c r="BF81" s="1269"/>
      <c r="BG81" s="1269"/>
      <c r="BH81" s="1269"/>
      <c r="BI81" s="1270" t="s">
        <v>894</v>
      </c>
      <c r="BJ81" s="1270"/>
      <c r="BK81" s="1270"/>
      <c r="BL81" s="1269" t="s">
        <v>870</v>
      </c>
      <c r="BM81" s="1269"/>
      <c r="BN81" s="1269" t="s">
        <v>939</v>
      </c>
      <c r="BO81" s="1272">
        <v>38853</v>
      </c>
      <c r="BP81" s="1269"/>
      <c r="BX81" s="1298" t="s">
        <v>1292</v>
      </c>
      <c r="BY81" s="1299">
        <v>20</v>
      </c>
      <c r="BZ81" s="1269" t="s">
        <v>2132</v>
      </c>
      <c r="CA81" s="1301">
        <v>0.11</v>
      </c>
    </row>
    <row r="82" spans="3:80" ht="21" customHeight="1">
      <c r="C82" s="149"/>
      <c r="D82" s="2777" t="s">
        <v>2064</v>
      </c>
      <c r="E82" s="2777"/>
      <c r="F82" s="2777"/>
      <c r="G82" s="1042" t="e">
        <f>($G$6*((SUMPRODUCT($E$24:$E$43,$G$24:$G$43,$X$24:$X$43)+SUMPRODUCT($E$24:$E$43,$G$24:$G$43,$Y$24:$Y$43)+SUMPRODUCT($E$24:$E$43,$G$24:$G$43,$Z$24:$Z$43))/1000000))+G77</f>
        <v>#N/A</v>
      </c>
      <c r="H82" s="149"/>
      <c r="AU82">
        <v>55</v>
      </c>
      <c r="AV82" s="1269" t="str">
        <f t="array" ref="AV82">IFERROR(INDEX($BB$5:$BB$308, MATCH(0,COUNTIF($AV$3:AV81, $BB$5:$BB$308), 0)),"")</f>
        <v/>
      </c>
      <c r="BA82" s="1269" t="s">
        <v>998</v>
      </c>
      <c r="BB82" s="1269" t="s">
        <v>1015</v>
      </c>
      <c r="BC82" s="1269" t="s">
        <v>889</v>
      </c>
      <c r="BD82" s="1269" t="s">
        <v>907</v>
      </c>
      <c r="BE82" s="1269" t="s">
        <v>1024</v>
      </c>
      <c r="BF82" s="1269"/>
      <c r="BG82" s="1269"/>
      <c r="BH82" s="1269"/>
      <c r="BI82" s="1270" t="s">
        <v>894</v>
      </c>
      <c r="BJ82" s="1270"/>
      <c r="BK82" s="1270"/>
      <c r="BL82" s="1269" t="s">
        <v>870</v>
      </c>
      <c r="BM82" s="1269"/>
      <c r="BN82" s="1269" t="s">
        <v>939</v>
      </c>
      <c r="BO82" s="1272">
        <v>38853</v>
      </c>
      <c r="BP82" s="1269"/>
      <c r="BX82" s="1298" t="s">
        <v>1292</v>
      </c>
      <c r="BY82" s="1299">
        <v>20</v>
      </c>
      <c r="BZ82" s="1269" t="s">
        <v>2111</v>
      </c>
      <c r="CA82" s="1301">
        <v>0.12</v>
      </c>
    </row>
    <row r="83" spans="3:80" ht="21" customHeight="1">
      <c r="C83" s="149"/>
      <c r="D83" s="2777" t="s">
        <v>1549</v>
      </c>
      <c r="E83" s="2777"/>
      <c r="F83" s="2777"/>
      <c r="G83" s="1043">
        <f>COUNTA(D24:D43)</f>
        <v>1</v>
      </c>
      <c r="H83" s="149"/>
      <c r="AU83">
        <v>56</v>
      </c>
      <c r="AV83" s="1269" t="str">
        <f t="array" ref="AV83">IFERROR(INDEX($BB$5:$BB$308, MATCH(0,COUNTIF($AV$3:AV82, $BB$5:$BB$308), 0)),"")</f>
        <v/>
      </c>
      <c r="BA83" s="1269" t="s">
        <v>998</v>
      </c>
      <c r="BB83" s="1269" t="s">
        <v>1015</v>
      </c>
      <c r="BC83" s="1269" t="s">
        <v>889</v>
      </c>
      <c r="BD83" s="1269" t="s">
        <v>907</v>
      </c>
      <c r="BE83" s="1269" t="s">
        <v>1025</v>
      </c>
      <c r="BF83" s="1269" t="s">
        <v>992</v>
      </c>
      <c r="BG83" s="1269"/>
      <c r="BH83" s="1269"/>
      <c r="BI83" s="1270">
        <v>1</v>
      </c>
      <c r="BJ83" s="1270">
        <v>19.2</v>
      </c>
      <c r="BK83" s="1270"/>
      <c r="BL83" s="1269" t="s">
        <v>884</v>
      </c>
      <c r="BM83" s="1269"/>
      <c r="BN83" s="1269" t="s">
        <v>1026</v>
      </c>
      <c r="BO83" s="1272">
        <v>39636</v>
      </c>
      <c r="BP83" s="1269" t="s">
        <v>1027</v>
      </c>
      <c r="BX83" s="1298" t="s">
        <v>1292</v>
      </c>
      <c r="BY83" s="1299">
        <v>20</v>
      </c>
      <c r="BZ83" s="1269" t="s">
        <v>968</v>
      </c>
      <c r="CA83" s="1301">
        <v>0.17499999999999999</v>
      </c>
    </row>
    <row r="84" spans="3:80" ht="21" customHeight="1">
      <c r="C84" s="149"/>
      <c r="D84" s="2777" t="s">
        <v>1550</v>
      </c>
      <c r="E84" s="2777"/>
      <c r="F84" s="2777"/>
      <c r="G84" s="1043">
        <f>IF(COUNTA(D24:D43)=0,0,(1 + _xlfn.IFNA(IF(MATCH("BCG",$D$24:$D$43,0)&gt;0,4,2),2) + COUNTIF($O$24:$O$43,"&gt;0")))</f>
        <v>3</v>
      </c>
      <c r="H84" s="149"/>
      <c r="AU84">
        <v>57</v>
      </c>
      <c r="AV84" s="1269" t="str">
        <f t="array" ref="AV84">IFERROR(INDEX($BB$5:$BB$308, MATCH(0,COUNTIF($AV$3:AV83, $BB$5:$BB$308), 0)),"")</f>
        <v/>
      </c>
      <c r="BA84" s="1269" t="s">
        <v>998</v>
      </c>
      <c r="BB84" s="1269" t="s">
        <v>1015</v>
      </c>
      <c r="BC84" s="1269" t="s">
        <v>889</v>
      </c>
      <c r="BD84" s="1269" t="s">
        <v>907</v>
      </c>
      <c r="BE84" s="1269"/>
      <c r="BF84" s="1269" t="s">
        <v>910</v>
      </c>
      <c r="BG84" s="1269"/>
      <c r="BH84" s="1269"/>
      <c r="BI84" s="1270">
        <v>1</v>
      </c>
      <c r="BJ84" s="1270">
        <v>26.1</v>
      </c>
      <c r="BK84" s="1270"/>
      <c r="BL84" s="1269" t="s">
        <v>963</v>
      </c>
      <c r="BM84" s="1269"/>
      <c r="BN84" s="1269" t="s">
        <v>880</v>
      </c>
      <c r="BO84" s="1272">
        <v>40443</v>
      </c>
      <c r="BP84" s="1269" t="s">
        <v>1028</v>
      </c>
      <c r="BX84" s="1298" t="s">
        <v>1292</v>
      </c>
      <c r="BY84" s="1299">
        <v>20</v>
      </c>
      <c r="BZ84" s="1269" t="s">
        <v>2110</v>
      </c>
      <c r="CA84" s="1301">
        <v>0.13</v>
      </c>
    </row>
    <row r="85" spans="3:80" ht="21" customHeight="1">
      <c r="C85" s="149"/>
      <c r="D85" s="2764" t="s">
        <v>2163</v>
      </c>
      <c r="E85" s="2764"/>
      <c r="F85" s="2764"/>
      <c r="G85" s="1312" t="e">
        <f>$G$6*(SUMPRODUCT($E$24:$E$43,$G$24:$G$43,$AC$24:$AC$43,$S$24:$S$43))
+$G$6*(SUMPRODUCT($E$24:$E$43,$G$24:$G$43,$AH$24:$AH$43)+SUMPRODUCT($E$24:$E$43,$G$24:$G$43,$AI$24:$AI$43)+SUMPRODUCT($E$24:$E$43,$G$24:$G$43,$AJ$24:$AJ$43))
+(G78+G79)</f>
        <v>#DIV/0!</v>
      </c>
      <c r="H85" s="149"/>
      <c r="AU85">
        <v>58</v>
      </c>
      <c r="AV85" s="1269" t="str">
        <f t="array" ref="AV85">IFERROR(INDEX($BB$5:$BB$308, MATCH(0,COUNTIF($AV$3:AV84, $BB$5:$BB$308), 0)),"")</f>
        <v/>
      </c>
      <c r="BA85" s="1269" t="s">
        <v>998</v>
      </c>
      <c r="BB85" s="1269" t="s">
        <v>1015</v>
      </c>
      <c r="BC85" s="1269" t="s">
        <v>889</v>
      </c>
      <c r="BD85" s="1269" t="s">
        <v>907</v>
      </c>
      <c r="BE85" s="1269"/>
      <c r="BF85" s="1269" t="s">
        <v>910</v>
      </c>
      <c r="BG85" s="1269"/>
      <c r="BH85" s="1269"/>
      <c r="BI85" s="1270">
        <v>2</v>
      </c>
      <c r="BJ85" s="1270">
        <v>13.1</v>
      </c>
      <c r="BK85" s="1270"/>
      <c r="BL85" s="1269" t="s">
        <v>963</v>
      </c>
      <c r="BM85" s="1269" t="s">
        <v>834</v>
      </c>
      <c r="BN85" s="1269" t="s">
        <v>880</v>
      </c>
      <c r="BO85" s="1272">
        <v>40443</v>
      </c>
      <c r="BP85" s="1269" t="s">
        <v>1029</v>
      </c>
      <c r="BX85" s="1298" t="s">
        <v>1352</v>
      </c>
      <c r="BY85" s="1299">
        <v>1</v>
      </c>
      <c r="BZ85" s="1269" t="s">
        <v>2133</v>
      </c>
      <c r="CA85" s="1301">
        <v>3.3</v>
      </c>
    </row>
    <row r="86" spans="3:80">
      <c r="C86" s="149"/>
      <c r="D86" s="149"/>
      <c r="E86" s="149"/>
      <c r="F86" s="149"/>
      <c r="G86" s="149"/>
      <c r="H86" s="149"/>
      <c r="BA86" s="1269" t="s">
        <v>998</v>
      </c>
      <c r="BB86" s="1269" t="s">
        <v>1015</v>
      </c>
      <c r="BC86" s="1269" t="s">
        <v>889</v>
      </c>
      <c r="BD86" s="1269" t="s">
        <v>907</v>
      </c>
      <c r="BE86" s="1269"/>
      <c r="BF86" s="1269" t="s">
        <v>910</v>
      </c>
      <c r="BG86" s="1269"/>
      <c r="BH86" s="1269"/>
      <c r="BI86" s="1270">
        <v>10</v>
      </c>
      <c r="BJ86" s="1270">
        <v>2.6</v>
      </c>
      <c r="BK86" s="1270"/>
      <c r="BL86" s="1269" t="s">
        <v>963</v>
      </c>
      <c r="BM86" s="1269" t="s">
        <v>834</v>
      </c>
      <c r="BN86" s="1269" t="s">
        <v>880</v>
      </c>
      <c r="BO86" s="1272">
        <v>40443</v>
      </c>
      <c r="BP86" s="1269" t="s">
        <v>1030</v>
      </c>
      <c r="BX86" s="1298" t="s">
        <v>1352</v>
      </c>
      <c r="BY86" s="1299">
        <v>4</v>
      </c>
      <c r="BZ86" s="1269" t="s">
        <v>2133</v>
      </c>
      <c r="CA86" s="1301">
        <v>2.95</v>
      </c>
    </row>
    <row r="87" spans="3:80">
      <c r="BA87" s="1269" t="s">
        <v>1031</v>
      </c>
      <c r="BB87" s="1269" t="s">
        <v>1032</v>
      </c>
      <c r="BC87" s="1269" t="s">
        <v>889</v>
      </c>
      <c r="BD87" s="1269" t="s">
        <v>907</v>
      </c>
      <c r="BE87" s="1269"/>
      <c r="BF87" s="1269"/>
      <c r="BG87" s="1269"/>
      <c r="BH87" s="1269"/>
      <c r="BI87" s="1270" t="s">
        <v>894</v>
      </c>
      <c r="BJ87" s="1270">
        <v>32.299999999999997</v>
      </c>
      <c r="BK87" s="1270"/>
      <c r="BL87" s="1269"/>
      <c r="BM87" s="1269"/>
      <c r="BN87" s="1269" t="s">
        <v>1033</v>
      </c>
      <c r="BO87" s="1272"/>
      <c r="BP87" s="1269"/>
      <c r="BX87" s="1298" t="s">
        <v>1359</v>
      </c>
      <c r="BY87" s="1299">
        <v>2</v>
      </c>
      <c r="BZ87" s="1269" t="s">
        <v>2128</v>
      </c>
      <c r="CA87" s="1301">
        <v>3.05</v>
      </c>
    </row>
    <row r="88" spans="3:80">
      <c r="BA88" s="1269" t="s">
        <v>1034</v>
      </c>
      <c r="BB88" s="1269" t="s">
        <v>1032</v>
      </c>
      <c r="BC88" s="1269" t="s">
        <v>889</v>
      </c>
      <c r="BD88" s="1269" t="s">
        <v>907</v>
      </c>
      <c r="BE88" s="1269"/>
      <c r="BF88" s="1269"/>
      <c r="BG88" s="1269"/>
      <c r="BH88" s="1269"/>
      <c r="BI88" s="1270">
        <v>10</v>
      </c>
      <c r="BJ88" s="1270">
        <v>13.8</v>
      </c>
      <c r="BK88" s="1270"/>
      <c r="BL88" s="1269"/>
      <c r="BM88" s="1269" t="s">
        <v>834</v>
      </c>
      <c r="BN88" s="1269" t="s">
        <v>1033</v>
      </c>
      <c r="BO88" s="1272"/>
      <c r="BP88" s="1269"/>
      <c r="BX88" s="1298" t="s">
        <v>1359</v>
      </c>
      <c r="BY88" s="1299">
        <v>4</v>
      </c>
      <c r="BZ88" s="1269" t="s">
        <v>2128</v>
      </c>
      <c r="CA88" s="1301">
        <v>3.05</v>
      </c>
    </row>
    <row r="89" spans="3:80">
      <c r="BA89" s="1269" t="s">
        <v>1035</v>
      </c>
      <c r="BB89" s="1269" t="s">
        <v>1032</v>
      </c>
      <c r="BC89" s="1269" t="s">
        <v>889</v>
      </c>
      <c r="BD89" s="1269" t="s">
        <v>907</v>
      </c>
      <c r="BE89" s="1269" t="s">
        <v>1036</v>
      </c>
      <c r="BF89" s="1269" t="s">
        <v>1037</v>
      </c>
      <c r="BG89" s="1269"/>
      <c r="BH89" s="1269"/>
      <c r="BI89" s="1270" t="s">
        <v>894</v>
      </c>
      <c r="BJ89" s="1270"/>
      <c r="BK89" s="1270"/>
      <c r="BL89" s="1269" t="s">
        <v>884</v>
      </c>
      <c r="BM89" s="1269"/>
      <c r="BN89" s="1269" t="s">
        <v>1038</v>
      </c>
      <c r="BO89" s="1272">
        <v>37439</v>
      </c>
      <c r="BP89" s="1269"/>
      <c r="BX89" s="1298" t="s">
        <v>1373</v>
      </c>
      <c r="BY89" s="1299">
        <v>1</v>
      </c>
      <c r="BZ89" s="1269" t="s">
        <v>2110</v>
      </c>
      <c r="CA89" s="1301">
        <v>8</v>
      </c>
      <c r="CB89" t="s">
        <v>2134</v>
      </c>
    </row>
    <row r="90" spans="3:80">
      <c r="BA90" s="1269" t="s">
        <v>1035</v>
      </c>
      <c r="BB90" s="1269" t="s">
        <v>1032</v>
      </c>
      <c r="BC90" s="1269" t="s">
        <v>889</v>
      </c>
      <c r="BD90" s="1269" t="s">
        <v>907</v>
      </c>
      <c r="BE90" s="1269" t="s">
        <v>1036</v>
      </c>
      <c r="BF90" s="1269" t="s">
        <v>1039</v>
      </c>
      <c r="BG90" s="1269"/>
      <c r="BH90" s="1269"/>
      <c r="BI90" s="1270">
        <v>10</v>
      </c>
      <c r="BJ90" s="1270">
        <v>2.4</v>
      </c>
      <c r="BK90" s="1270"/>
      <c r="BL90" s="1269" t="s">
        <v>884</v>
      </c>
      <c r="BM90" s="1269" t="s">
        <v>834</v>
      </c>
      <c r="BN90" s="1269" t="s">
        <v>1038</v>
      </c>
      <c r="BO90" s="1272">
        <v>37439</v>
      </c>
      <c r="BP90" s="1269" t="s">
        <v>1040</v>
      </c>
      <c r="BX90" s="1298" t="s">
        <v>1389</v>
      </c>
      <c r="BY90" s="1299">
        <v>1</v>
      </c>
      <c r="BZ90" s="1269" t="s">
        <v>2116</v>
      </c>
      <c r="CA90" s="1269">
        <f>1.88*1.155</f>
        <v>2.1713999999999998</v>
      </c>
    </row>
    <row r="91" spans="3:80">
      <c r="BA91" s="1269" t="s">
        <v>1035</v>
      </c>
      <c r="BB91" s="1269" t="s">
        <v>1032</v>
      </c>
      <c r="BC91" s="1269" t="s">
        <v>889</v>
      </c>
      <c r="BD91" s="1269" t="s">
        <v>907</v>
      </c>
      <c r="BE91" s="1269" t="s">
        <v>1041</v>
      </c>
      <c r="BF91" s="1269" t="s">
        <v>1042</v>
      </c>
      <c r="BG91" s="1269"/>
      <c r="BH91" s="1269"/>
      <c r="BI91" s="1270">
        <v>1</v>
      </c>
      <c r="BJ91" s="1270">
        <v>19.2</v>
      </c>
      <c r="BK91" s="1270"/>
      <c r="BL91" s="1269" t="s">
        <v>963</v>
      </c>
      <c r="BM91" s="1269"/>
      <c r="BN91" s="1269" t="s">
        <v>1026</v>
      </c>
      <c r="BO91" s="1272">
        <v>39435</v>
      </c>
      <c r="BP91" s="1269" t="s">
        <v>1043</v>
      </c>
      <c r="BX91" s="1298" t="s">
        <v>1389</v>
      </c>
      <c r="BY91" s="1299">
        <v>5</v>
      </c>
      <c r="BZ91" s="1269" t="s">
        <v>2130</v>
      </c>
      <c r="CA91" s="1301">
        <v>0.95</v>
      </c>
    </row>
    <row r="92" spans="3:80">
      <c r="BA92" s="1269" t="s">
        <v>1044</v>
      </c>
      <c r="BB92" s="1269" t="s">
        <v>1044</v>
      </c>
      <c r="BC92" s="1269" t="s">
        <v>889</v>
      </c>
      <c r="BD92" s="1269" t="s">
        <v>907</v>
      </c>
      <c r="BE92" s="1269" t="s">
        <v>1045</v>
      </c>
      <c r="BF92" s="1269" t="s">
        <v>1046</v>
      </c>
      <c r="BG92" s="1269"/>
      <c r="BH92" s="1269"/>
      <c r="BI92" s="1270">
        <v>1</v>
      </c>
      <c r="BJ92" s="1270">
        <v>11.318999999999999</v>
      </c>
      <c r="BK92" s="1270"/>
      <c r="BL92" s="1269" t="s">
        <v>963</v>
      </c>
      <c r="BM92" s="1269"/>
      <c r="BN92" s="1269" t="s">
        <v>914</v>
      </c>
      <c r="BO92" s="1272">
        <v>41992</v>
      </c>
      <c r="BP92" s="1269" t="s">
        <v>1047</v>
      </c>
      <c r="BX92" s="1298" t="s">
        <v>1389</v>
      </c>
      <c r="BY92" s="1299">
        <v>1</v>
      </c>
      <c r="BZ92" s="1269" t="s">
        <v>2135</v>
      </c>
      <c r="CA92" s="1301">
        <v>3.2</v>
      </c>
    </row>
    <row r="93" spans="3:80">
      <c r="BA93" s="1269" t="s">
        <v>1048</v>
      </c>
      <c r="BB93" s="1269" t="s">
        <v>1049</v>
      </c>
      <c r="BC93" s="1269" t="s">
        <v>957</v>
      </c>
      <c r="BD93" s="1269" t="s">
        <v>907</v>
      </c>
      <c r="BE93" s="1269" t="s">
        <v>1050</v>
      </c>
      <c r="BF93" s="1269" t="s">
        <v>1051</v>
      </c>
      <c r="BG93" s="1269"/>
      <c r="BH93" s="1269" t="s">
        <v>945</v>
      </c>
      <c r="BI93" s="1270" t="s">
        <v>946</v>
      </c>
      <c r="BJ93" s="1270">
        <v>107.40599999999999</v>
      </c>
      <c r="BK93" s="1270"/>
      <c r="BL93" s="1269"/>
      <c r="BM93" s="1269"/>
      <c r="BN93" s="1269" t="s">
        <v>914</v>
      </c>
      <c r="BO93" s="1272"/>
      <c r="BP93" s="1269" t="s">
        <v>1052</v>
      </c>
      <c r="BX93" s="1298" t="s">
        <v>1404</v>
      </c>
      <c r="BY93" s="1270">
        <v>2</v>
      </c>
      <c r="BZ93" s="1269" t="s">
        <v>2110</v>
      </c>
      <c r="CA93" s="1269">
        <v>0.95</v>
      </c>
      <c r="CB93" t="s">
        <v>2136</v>
      </c>
    </row>
    <row r="94" spans="3:80">
      <c r="BA94" s="1269" t="s">
        <v>1053</v>
      </c>
      <c r="BB94" s="1269" t="s">
        <v>1054</v>
      </c>
      <c r="BC94" s="1269" t="s">
        <v>889</v>
      </c>
      <c r="BD94" s="1269" t="s">
        <v>907</v>
      </c>
      <c r="BE94" s="1269" t="s">
        <v>1055</v>
      </c>
      <c r="BF94" s="1269" t="s">
        <v>1056</v>
      </c>
      <c r="BG94" s="1269"/>
      <c r="BH94" s="1269"/>
      <c r="BI94" s="1270">
        <v>10</v>
      </c>
      <c r="BJ94" s="1270">
        <v>3.0577800000000006</v>
      </c>
      <c r="BK94" s="1270"/>
      <c r="BL94" s="1269" t="s">
        <v>895</v>
      </c>
      <c r="BM94" s="1269" t="s">
        <v>5</v>
      </c>
      <c r="BN94" s="1269" t="s">
        <v>914</v>
      </c>
      <c r="BO94" s="1272">
        <v>40200</v>
      </c>
      <c r="BP94" s="1269" t="s">
        <v>1057</v>
      </c>
      <c r="BX94" s="1298" t="s">
        <v>1502</v>
      </c>
      <c r="BY94" s="1270">
        <v>10</v>
      </c>
      <c r="BZ94" s="1269" t="s">
        <v>2111</v>
      </c>
      <c r="CA94" s="1301">
        <v>0.115</v>
      </c>
    </row>
    <row r="95" spans="3:80">
      <c r="BA95" s="1269" t="s">
        <v>1053</v>
      </c>
      <c r="BB95" s="1269" t="s">
        <v>1054</v>
      </c>
      <c r="BC95" s="1269" t="s">
        <v>889</v>
      </c>
      <c r="BD95" s="1269" t="s">
        <v>907</v>
      </c>
      <c r="BE95" s="1269" t="s">
        <v>1058</v>
      </c>
      <c r="BF95" s="1269" t="s">
        <v>1059</v>
      </c>
      <c r="BG95" s="1269"/>
      <c r="BH95" s="1269"/>
      <c r="BI95" s="1270">
        <v>10</v>
      </c>
      <c r="BJ95" s="1270">
        <v>5.8</v>
      </c>
      <c r="BK95" s="1270"/>
      <c r="BL95" s="1269" t="s">
        <v>895</v>
      </c>
      <c r="BM95" s="1269" t="s">
        <v>5</v>
      </c>
      <c r="BN95" s="1269" t="s">
        <v>914</v>
      </c>
      <c r="BO95" s="1272">
        <v>40205</v>
      </c>
      <c r="BP95" s="1269" t="s">
        <v>1060</v>
      </c>
      <c r="BX95" s="1298" t="s">
        <v>1502</v>
      </c>
      <c r="BY95" s="1270">
        <v>10</v>
      </c>
      <c r="BZ95" s="1269" t="s">
        <v>2109</v>
      </c>
      <c r="CA95" s="1301">
        <v>0.129</v>
      </c>
    </row>
    <row r="96" spans="3:80">
      <c r="BA96" s="1269" t="s">
        <v>1053</v>
      </c>
      <c r="BB96" s="1269" t="s">
        <v>1054</v>
      </c>
      <c r="BC96" s="1269" t="s">
        <v>889</v>
      </c>
      <c r="BD96" s="1269" t="s">
        <v>907</v>
      </c>
      <c r="BE96" s="1269" t="s">
        <v>1058</v>
      </c>
      <c r="BF96" s="1269" t="s">
        <v>1061</v>
      </c>
      <c r="BG96" s="1269"/>
      <c r="BH96" s="1269"/>
      <c r="BI96" s="1270">
        <v>1</v>
      </c>
      <c r="BJ96" s="1270">
        <v>18.3</v>
      </c>
      <c r="BK96" s="1270"/>
      <c r="BL96" s="1269" t="s">
        <v>895</v>
      </c>
      <c r="BM96" s="1269"/>
      <c r="BN96" s="1269" t="s">
        <v>914</v>
      </c>
      <c r="BO96" s="1272">
        <v>40205</v>
      </c>
      <c r="BP96" s="1269" t="s">
        <v>1062</v>
      </c>
      <c r="BX96" s="1298" t="s">
        <v>1502</v>
      </c>
      <c r="BY96" s="1270">
        <v>10</v>
      </c>
      <c r="BZ96" s="1269" t="s">
        <v>2110</v>
      </c>
      <c r="CA96" s="1301">
        <v>0.129</v>
      </c>
    </row>
    <row r="97" spans="53:79">
      <c r="BA97" s="1269" t="s">
        <v>1053</v>
      </c>
      <c r="BB97" s="1269" t="s">
        <v>1054</v>
      </c>
      <c r="BC97" s="1269" t="s">
        <v>1063</v>
      </c>
      <c r="BD97" s="1269" t="s">
        <v>907</v>
      </c>
      <c r="BE97" s="1269" t="s">
        <v>1055</v>
      </c>
      <c r="BF97" s="1269" t="s">
        <v>1064</v>
      </c>
      <c r="BG97" s="1269"/>
      <c r="BH97" s="1269"/>
      <c r="BI97" s="1270">
        <v>10</v>
      </c>
      <c r="BJ97" s="1270">
        <v>61.155600000000014</v>
      </c>
      <c r="BK97" s="1270"/>
      <c r="BL97" s="1269" t="s">
        <v>895</v>
      </c>
      <c r="BM97" s="1269" t="s">
        <v>5</v>
      </c>
      <c r="BN97" s="1269" t="s">
        <v>914</v>
      </c>
      <c r="BO97" s="1272">
        <v>40364</v>
      </c>
      <c r="BP97" s="1269" t="s">
        <v>1065</v>
      </c>
      <c r="BX97" s="1298" t="s">
        <v>1502</v>
      </c>
      <c r="BY97" s="1270">
        <v>10</v>
      </c>
      <c r="BZ97" s="1269" t="s">
        <v>2137</v>
      </c>
      <c r="CA97" s="1301">
        <v>9.9000000000000005E-2</v>
      </c>
    </row>
    <row r="98" spans="53:79">
      <c r="BA98" s="1269" t="s">
        <v>1053</v>
      </c>
      <c r="BB98" s="1269" t="s">
        <v>1054</v>
      </c>
      <c r="BC98" s="1269" t="s">
        <v>889</v>
      </c>
      <c r="BD98" s="1269" t="s">
        <v>907</v>
      </c>
      <c r="BE98" s="1269" t="s">
        <v>1066</v>
      </c>
      <c r="BF98" s="1269" t="s">
        <v>1067</v>
      </c>
      <c r="BG98" s="1269"/>
      <c r="BH98" s="1269"/>
      <c r="BI98" s="1270">
        <v>1</v>
      </c>
      <c r="BJ98" s="1270">
        <v>22</v>
      </c>
      <c r="BK98" s="1270"/>
      <c r="BL98" s="1269"/>
      <c r="BM98" s="1269"/>
      <c r="BN98" s="1269" t="s">
        <v>1068</v>
      </c>
      <c r="BO98" s="1272"/>
      <c r="BP98" s="1269" t="s">
        <v>1069</v>
      </c>
      <c r="BX98" s="1298" t="s">
        <v>1413</v>
      </c>
      <c r="BY98" s="1270">
        <v>10</v>
      </c>
      <c r="BZ98" s="1269" t="s">
        <v>2137</v>
      </c>
      <c r="CA98" s="1301">
        <v>7.9200000000000007E-2</v>
      </c>
    </row>
    <row r="99" spans="53:79">
      <c r="BA99" s="1269" t="s">
        <v>1053</v>
      </c>
      <c r="BB99" s="1269" t="s">
        <v>1054</v>
      </c>
      <c r="BC99" s="1269" t="s">
        <v>889</v>
      </c>
      <c r="BD99" s="1269" t="s">
        <v>907</v>
      </c>
      <c r="BE99" s="1269" t="s">
        <v>1070</v>
      </c>
      <c r="BF99" s="1269" t="s">
        <v>1071</v>
      </c>
      <c r="BG99" s="1269"/>
      <c r="BH99" s="1269"/>
      <c r="BI99" s="1270" t="s">
        <v>990</v>
      </c>
      <c r="BJ99" s="1270">
        <v>9.4039000000000001</v>
      </c>
      <c r="BK99" s="1270"/>
      <c r="BL99" s="1269"/>
      <c r="BM99" s="1269"/>
      <c r="BN99" s="1269" t="s">
        <v>1072</v>
      </c>
      <c r="BO99" s="1272"/>
      <c r="BP99" s="1269" t="s">
        <v>1073</v>
      </c>
      <c r="BX99" s="1298" t="s">
        <v>1413</v>
      </c>
      <c r="BY99" s="1270">
        <v>10</v>
      </c>
      <c r="BZ99" s="1269" t="s">
        <v>2109</v>
      </c>
      <c r="CA99" s="1301">
        <v>0.115</v>
      </c>
    </row>
    <row r="100" spans="53:79">
      <c r="BA100" s="1269" t="s">
        <v>1053</v>
      </c>
      <c r="BB100" s="1269" t="s">
        <v>1054</v>
      </c>
      <c r="BC100" s="1269" t="s">
        <v>1063</v>
      </c>
      <c r="BD100" s="1269" t="s">
        <v>907</v>
      </c>
      <c r="BE100" s="1269" t="s">
        <v>1074</v>
      </c>
      <c r="BF100" s="1269" t="s">
        <v>1075</v>
      </c>
      <c r="BG100" s="1269" t="s">
        <v>1076</v>
      </c>
      <c r="BH100" s="1269"/>
      <c r="BI100" s="1270">
        <v>10</v>
      </c>
      <c r="BJ100" s="1270">
        <v>5.6997200000000001</v>
      </c>
      <c r="BK100" s="1270"/>
      <c r="BL100" s="1269"/>
      <c r="BM100" s="1269" t="s">
        <v>5</v>
      </c>
      <c r="BN100" s="1269" t="s">
        <v>939</v>
      </c>
      <c r="BO100" s="1272">
        <v>40168</v>
      </c>
      <c r="BP100" s="1269" t="s">
        <v>1077</v>
      </c>
      <c r="BX100" s="1298" t="s">
        <v>1413</v>
      </c>
      <c r="BY100" s="1270">
        <v>10</v>
      </c>
      <c r="BZ100" s="1269" t="s">
        <v>2111</v>
      </c>
      <c r="CA100" s="1301">
        <v>0.11</v>
      </c>
    </row>
    <row r="101" spans="53:79">
      <c r="BA101" s="1269" t="s">
        <v>1053</v>
      </c>
      <c r="BB101" s="1269" t="s">
        <v>1054</v>
      </c>
      <c r="BC101" s="1269" t="s">
        <v>889</v>
      </c>
      <c r="BD101" s="1269" t="s">
        <v>907</v>
      </c>
      <c r="BE101" s="1269" t="s">
        <v>1078</v>
      </c>
      <c r="BF101" s="1269" t="s">
        <v>1079</v>
      </c>
      <c r="BG101" s="1269"/>
      <c r="BH101" s="1269"/>
      <c r="BI101" s="1270">
        <v>10</v>
      </c>
      <c r="BJ101" s="1270">
        <v>3.3566400000000001</v>
      </c>
      <c r="BK101" s="1270"/>
      <c r="BL101" s="1269"/>
      <c r="BM101" s="1269" t="s">
        <v>5</v>
      </c>
      <c r="BN101" s="1269" t="s">
        <v>1080</v>
      </c>
      <c r="BO101" s="1272">
        <v>40148</v>
      </c>
      <c r="BP101" s="1269" t="s">
        <v>1081</v>
      </c>
      <c r="BX101" s="1298" t="s">
        <v>1413</v>
      </c>
      <c r="BY101" s="1270">
        <v>10</v>
      </c>
      <c r="BZ101" s="1269" t="s">
        <v>2110</v>
      </c>
      <c r="CA101" s="1301">
        <v>0.129</v>
      </c>
    </row>
    <row r="102" spans="53:79">
      <c r="BA102" s="1269" t="s">
        <v>1053</v>
      </c>
      <c r="BB102" s="1269" t="s">
        <v>1054</v>
      </c>
      <c r="BC102" s="1269" t="s">
        <v>889</v>
      </c>
      <c r="BD102" s="1269" t="s">
        <v>907</v>
      </c>
      <c r="BE102" s="1269" t="s">
        <v>1082</v>
      </c>
      <c r="BF102" s="1269" t="s">
        <v>1083</v>
      </c>
      <c r="BG102" s="1269"/>
      <c r="BH102" s="1269"/>
      <c r="BI102" s="1270">
        <v>10</v>
      </c>
      <c r="BJ102" s="1270">
        <v>2.46421</v>
      </c>
      <c r="BK102" s="1270"/>
      <c r="BL102" s="1269" t="s">
        <v>895</v>
      </c>
      <c r="BM102" s="1269" t="s">
        <v>5</v>
      </c>
      <c r="BN102" s="1269" t="s">
        <v>1038</v>
      </c>
      <c r="BO102" s="1272">
        <v>40163</v>
      </c>
      <c r="BP102" s="1269" t="s">
        <v>1084</v>
      </c>
      <c r="BX102" s="1298" t="s">
        <v>1413</v>
      </c>
      <c r="BY102" s="1270">
        <v>10</v>
      </c>
      <c r="BZ102" s="1269" t="s">
        <v>2120</v>
      </c>
      <c r="CA102" s="1301">
        <v>0.106</v>
      </c>
    </row>
    <row r="103" spans="53:79">
      <c r="BA103" s="1269" t="s">
        <v>1053</v>
      </c>
      <c r="BB103" s="1269" t="s">
        <v>1054</v>
      </c>
      <c r="BC103" s="1269" t="s">
        <v>889</v>
      </c>
      <c r="BD103" s="1269" t="s">
        <v>907</v>
      </c>
      <c r="BE103" s="1269" t="s">
        <v>1085</v>
      </c>
      <c r="BF103" s="1269" t="s">
        <v>1086</v>
      </c>
      <c r="BG103" s="1269"/>
      <c r="BH103" s="1269"/>
      <c r="BI103" s="1270">
        <v>10</v>
      </c>
      <c r="BJ103" s="1270">
        <v>5.9888888888888889</v>
      </c>
      <c r="BK103" s="1270"/>
      <c r="BL103" s="1269" t="s">
        <v>895</v>
      </c>
      <c r="BM103" s="1269" t="s">
        <v>5</v>
      </c>
      <c r="BN103" s="1269" t="s">
        <v>1038</v>
      </c>
      <c r="BO103" s="1272">
        <v>40156</v>
      </c>
      <c r="BP103" s="1269" t="s">
        <v>1087</v>
      </c>
      <c r="BX103" s="1298" t="s">
        <v>1413</v>
      </c>
      <c r="BY103" s="1270">
        <v>20</v>
      </c>
      <c r="BZ103" s="1269" t="s">
        <v>2137</v>
      </c>
      <c r="CA103" s="1301">
        <v>5.3100000000000001E-2</v>
      </c>
    </row>
    <row r="104" spans="53:79">
      <c r="BA104" s="1269" t="s">
        <v>1053</v>
      </c>
      <c r="BB104" s="1269" t="s">
        <v>1054</v>
      </c>
      <c r="BC104" s="1269" t="s">
        <v>889</v>
      </c>
      <c r="BD104" s="1269" t="s">
        <v>907</v>
      </c>
      <c r="BE104" s="1269" t="s">
        <v>1088</v>
      </c>
      <c r="BF104" s="1269" t="s">
        <v>1089</v>
      </c>
      <c r="BG104" s="1269"/>
      <c r="BH104" s="1269"/>
      <c r="BI104" s="1270">
        <v>17</v>
      </c>
      <c r="BJ104" s="1270">
        <v>1.7238420588235293</v>
      </c>
      <c r="BK104" s="1270"/>
      <c r="BL104" s="1269" t="s">
        <v>895</v>
      </c>
      <c r="BM104" s="1269" t="s">
        <v>5</v>
      </c>
      <c r="BN104" s="1269" t="s">
        <v>1038</v>
      </c>
      <c r="BO104" s="1272">
        <v>40164</v>
      </c>
      <c r="BP104" s="1269" t="s">
        <v>1090</v>
      </c>
      <c r="BX104" s="1298" t="s">
        <v>1413</v>
      </c>
      <c r="BY104" s="1270">
        <v>20</v>
      </c>
      <c r="BZ104" s="1269" t="s">
        <v>2109</v>
      </c>
      <c r="CA104" s="1301">
        <v>6.6000000000000003E-2</v>
      </c>
    </row>
    <row r="105" spans="53:79">
      <c r="BA105" s="1269" t="s">
        <v>1053</v>
      </c>
      <c r="BB105" s="1269" t="s">
        <v>1054</v>
      </c>
      <c r="BC105" s="1269" t="s">
        <v>889</v>
      </c>
      <c r="BD105" s="1269" t="s">
        <v>1091</v>
      </c>
      <c r="BE105" s="1269" t="s">
        <v>1092</v>
      </c>
      <c r="BF105" s="1269" t="s">
        <v>1093</v>
      </c>
      <c r="BG105" s="1269"/>
      <c r="BH105" s="1269" t="s">
        <v>1094</v>
      </c>
      <c r="BI105" s="1270" t="s">
        <v>946</v>
      </c>
      <c r="BJ105" s="1270">
        <v>79.579679550000009</v>
      </c>
      <c r="BK105" s="1270"/>
      <c r="BL105" s="1269" t="s">
        <v>895</v>
      </c>
      <c r="BM105" s="1269"/>
      <c r="BN105" s="1269" t="s">
        <v>1095</v>
      </c>
      <c r="BO105" s="1272">
        <v>40234</v>
      </c>
      <c r="BP105" s="1269" t="s">
        <v>1096</v>
      </c>
      <c r="BX105" s="1298" t="s">
        <v>1413</v>
      </c>
      <c r="BY105" s="1270">
        <v>20</v>
      </c>
      <c r="BZ105" s="1269" t="s">
        <v>2110</v>
      </c>
      <c r="CA105" s="1301">
        <v>8.5000000000000006E-2</v>
      </c>
    </row>
    <row r="106" spans="53:79">
      <c r="BA106" s="1269" t="s">
        <v>1097</v>
      </c>
      <c r="BB106" s="1269" t="s">
        <v>1098</v>
      </c>
      <c r="BC106" s="1269" t="s">
        <v>889</v>
      </c>
      <c r="BD106" s="1269" t="s">
        <v>907</v>
      </c>
      <c r="BE106" s="1269" t="s">
        <v>1099</v>
      </c>
      <c r="BF106" s="1269" t="s">
        <v>1051</v>
      </c>
      <c r="BG106" s="1269"/>
      <c r="BH106" s="1269" t="s">
        <v>945</v>
      </c>
      <c r="BI106" s="1270" t="s">
        <v>946</v>
      </c>
      <c r="BJ106" s="1270">
        <v>138.096</v>
      </c>
      <c r="BK106" s="1270"/>
      <c r="BL106" s="1269" t="s">
        <v>120</v>
      </c>
      <c r="BM106" s="1269"/>
      <c r="BN106" s="1269" t="s">
        <v>1100</v>
      </c>
      <c r="BO106" s="1272"/>
      <c r="BP106" s="1269" t="s">
        <v>947</v>
      </c>
      <c r="BX106" s="1298" t="s">
        <v>1422</v>
      </c>
      <c r="BY106" s="1270">
        <v>5</v>
      </c>
      <c r="BZ106" s="1269" t="s">
        <v>2138</v>
      </c>
      <c r="CA106" s="1301">
        <v>0.97</v>
      </c>
    </row>
    <row r="107" spans="53:79">
      <c r="BA107" s="1269" t="s">
        <v>1097</v>
      </c>
      <c r="BB107" s="1269" t="s">
        <v>1098</v>
      </c>
      <c r="BC107" s="1269" t="s">
        <v>889</v>
      </c>
      <c r="BD107" s="1269" t="s">
        <v>907</v>
      </c>
      <c r="BE107" s="1269" t="s">
        <v>1101</v>
      </c>
      <c r="BF107" s="1269" t="s">
        <v>938</v>
      </c>
      <c r="BG107" s="1269"/>
      <c r="BH107" s="1269"/>
      <c r="BI107" s="1270">
        <v>1</v>
      </c>
      <c r="BJ107" s="1270">
        <v>9.6</v>
      </c>
      <c r="BK107" s="1270"/>
      <c r="BL107" s="1269" t="s">
        <v>884</v>
      </c>
      <c r="BM107" s="1269"/>
      <c r="BN107" s="1269" t="s">
        <v>939</v>
      </c>
      <c r="BO107" s="1272">
        <v>41474</v>
      </c>
      <c r="BP107" s="1269" t="s">
        <v>1102</v>
      </c>
      <c r="BX107" s="1298" t="s">
        <v>1422</v>
      </c>
      <c r="BY107" s="1270">
        <v>10</v>
      </c>
      <c r="BZ107" s="1269" t="s">
        <v>2138</v>
      </c>
      <c r="CA107" s="1301">
        <v>0.97</v>
      </c>
    </row>
    <row r="108" spans="53:79">
      <c r="BA108" s="1269" t="s">
        <v>1097</v>
      </c>
      <c r="BB108" s="1269" t="s">
        <v>1098</v>
      </c>
      <c r="BC108" s="1269" t="s">
        <v>889</v>
      </c>
      <c r="BD108" s="1269" t="s">
        <v>907</v>
      </c>
      <c r="BE108" s="1269" t="s">
        <v>1101</v>
      </c>
      <c r="BF108" s="1269" t="s">
        <v>908</v>
      </c>
      <c r="BG108" s="1269"/>
      <c r="BH108" s="1269"/>
      <c r="BI108" s="1270">
        <v>1</v>
      </c>
      <c r="BJ108" s="1270">
        <v>11.3</v>
      </c>
      <c r="BK108" s="1270"/>
      <c r="BL108" s="1269" t="s">
        <v>884</v>
      </c>
      <c r="BM108" s="1269"/>
      <c r="BN108" s="1269" t="s">
        <v>939</v>
      </c>
      <c r="BO108" s="1272">
        <v>41474</v>
      </c>
      <c r="BP108" s="1269" t="s">
        <v>1102</v>
      </c>
      <c r="BX108" s="1298" t="s">
        <v>1422</v>
      </c>
      <c r="BY108" s="1270">
        <v>10</v>
      </c>
      <c r="BZ108" s="1269" t="s">
        <v>2139</v>
      </c>
      <c r="CA108" s="1301">
        <v>1.248</v>
      </c>
    </row>
    <row r="109" spans="53:79">
      <c r="BA109" s="1269" t="s">
        <v>1097</v>
      </c>
      <c r="BB109" s="1269" t="s">
        <v>1098</v>
      </c>
      <c r="BC109" s="1269" t="s">
        <v>889</v>
      </c>
      <c r="BD109" s="1269" t="s">
        <v>907</v>
      </c>
      <c r="BE109" s="1269" t="s">
        <v>1101</v>
      </c>
      <c r="BF109" s="1269" t="s">
        <v>916</v>
      </c>
      <c r="BG109" s="1269"/>
      <c r="BH109" s="1269"/>
      <c r="BI109" s="1270">
        <v>1</v>
      </c>
      <c r="BJ109" s="1270">
        <v>11.5</v>
      </c>
      <c r="BK109" s="1270"/>
      <c r="BL109" s="1269" t="s">
        <v>884</v>
      </c>
      <c r="BM109" s="1269"/>
      <c r="BN109" s="1269" t="s">
        <v>939</v>
      </c>
      <c r="BO109" s="1272">
        <v>41474</v>
      </c>
      <c r="BP109" s="1269" t="s">
        <v>1102</v>
      </c>
      <c r="BX109" s="1298"/>
      <c r="BY109" s="1270"/>
      <c r="BZ109" s="1269"/>
      <c r="CA109" s="1269"/>
    </row>
    <row r="110" spans="53:79">
      <c r="BA110" s="1269" t="s">
        <v>1097</v>
      </c>
      <c r="BB110" s="1269" t="s">
        <v>1098</v>
      </c>
      <c r="BC110" s="1269" t="s">
        <v>889</v>
      </c>
      <c r="BD110" s="1269" t="s">
        <v>907</v>
      </c>
      <c r="BE110" s="1269" t="s">
        <v>1103</v>
      </c>
      <c r="BF110" s="1269" t="s">
        <v>938</v>
      </c>
      <c r="BG110" s="1269"/>
      <c r="BH110" s="1269"/>
      <c r="BI110" s="1270">
        <v>1</v>
      </c>
      <c r="BJ110" s="1270">
        <v>9.6</v>
      </c>
      <c r="BK110" s="1270"/>
      <c r="BL110" s="1269" t="s">
        <v>884</v>
      </c>
      <c r="BM110" s="1269"/>
      <c r="BN110" s="1269" t="s">
        <v>939</v>
      </c>
      <c r="BO110" s="1272">
        <v>41474</v>
      </c>
      <c r="BP110" s="1269" t="s">
        <v>1104</v>
      </c>
      <c r="BX110" s="1298"/>
      <c r="BY110" s="1269"/>
      <c r="BZ110" s="1269"/>
      <c r="CA110" s="1269"/>
    </row>
    <row r="111" spans="53:79">
      <c r="BA111" s="1269" t="s">
        <v>1097</v>
      </c>
      <c r="BB111" s="1269" t="s">
        <v>1098</v>
      </c>
      <c r="BC111" s="1269" t="s">
        <v>889</v>
      </c>
      <c r="BD111" s="1269" t="s">
        <v>907</v>
      </c>
      <c r="BE111" s="1269" t="s">
        <v>1103</v>
      </c>
      <c r="BF111" s="1269" t="s">
        <v>908</v>
      </c>
      <c r="BG111" s="1269"/>
      <c r="BH111" s="1269"/>
      <c r="BI111" s="1270">
        <v>1</v>
      </c>
      <c r="BJ111" s="1270">
        <v>11.3</v>
      </c>
      <c r="BK111" s="1270"/>
      <c r="BL111" s="1269" t="s">
        <v>884</v>
      </c>
      <c r="BM111" s="1269"/>
      <c r="BN111" s="1269" t="s">
        <v>939</v>
      </c>
      <c r="BO111" s="1272">
        <v>41474</v>
      </c>
      <c r="BP111" s="1269" t="s">
        <v>1104</v>
      </c>
      <c r="BX111" s="1298"/>
      <c r="BY111" s="1269"/>
      <c r="BZ111" s="1269"/>
      <c r="CA111" s="1269"/>
    </row>
    <row r="112" spans="53:79">
      <c r="BA112" s="1269" t="s">
        <v>1097</v>
      </c>
      <c r="BB112" s="1269" t="s">
        <v>1098</v>
      </c>
      <c r="BC112" s="1269" t="s">
        <v>889</v>
      </c>
      <c r="BD112" s="1269" t="s">
        <v>907</v>
      </c>
      <c r="BE112" s="1269" t="s">
        <v>1103</v>
      </c>
      <c r="BF112" s="1269" t="s">
        <v>916</v>
      </c>
      <c r="BG112" s="1269"/>
      <c r="BH112" s="1269"/>
      <c r="BI112" s="1270">
        <v>1</v>
      </c>
      <c r="BJ112" s="1270">
        <v>11.5</v>
      </c>
      <c r="BK112" s="1270"/>
      <c r="BL112" s="1269" t="s">
        <v>884</v>
      </c>
      <c r="BM112" s="1269"/>
      <c r="BN112" s="1269" t="s">
        <v>939</v>
      </c>
      <c r="BO112" s="1272">
        <v>41474</v>
      </c>
      <c r="BP112" s="1269" t="s">
        <v>1104</v>
      </c>
      <c r="BX112" s="1298"/>
      <c r="BY112" s="1269"/>
      <c r="BZ112" s="1269"/>
      <c r="CA112" s="1269"/>
    </row>
    <row r="113" spans="53:79">
      <c r="BA113" s="1269" t="s">
        <v>1105</v>
      </c>
      <c r="BB113" s="1269" t="s">
        <v>1106</v>
      </c>
      <c r="BC113" s="1269" t="s">
        <v>889</v>
      </c>
      <c r="BD113" s="1269" t="s">
        <v>907</v>
      </c>
      <c r="BE113" s="1269" t="s">
        <v>1107</v>
      </c>
      <c r="BF113" s="1269" t="s">
        <v>1108</v>
      </c>
      <c r="BG113" s="1269"/>
      <c r="BH113" s="1269"/>
      <c r="BI113" s="1270">
        <v>1</v>
      </c>
      <c r="BJ113" s="1270">
        <v>13.3</v>
      </c>
      <c r="BK113" s="1270"/>
      <c r="BL113" s="1269" t="s">
        <v>870</v>
      </c>
      <c r="BM113" s="1269"/>
      <c r="BN113" s="1269" t="s">
        <v>1017</v>
      </c>
      <c r="BO113" s="1272">
        <v>38069</v>
      </c>
      <c r="BP113" s="1269" t="s">
        <v>1109</v>
      </c>
      <c r="BX113" s="1298"/>
      <c r="BY113" s="1269"/>
      <c r="BZ113" s="1269"/>
      <c r="CA113" s="1269"/>
    </row>
    <row r="114" spans="53:79">
      <c r="BA114" s="1269" t="s">
        <v>1105</v>
      </c>
      <c r="BB114" s="1269" t="s">
        <v>1106</v>
      </c>
      <c r="BC114" s="1269" t="s">
        <v>889</v>
      </c>
      <c r="BD114" s="1269" t="s">
        <v>907</v>
      </c>
      <c r="BE114" s="1269" t="s">
        <v>1107</v>
      </c>
      <c r="BF114" s="1269" t="s">
        <v>1110</v>
      </c>
      <c r="BG114" s="1269"/>
      <c r="BH114" s="1269"/>
      <c r="BI114" s="1270">
        <v>2</v>
      </c>
      <c r="BJ114" s="1270">
        <v>6.69</v>
      </c>
      <c r="BK114" s="1270"/>
      <c r="BL114" s="1269" t="s">
        <v>870</v>
      </c>
      <c r="BM114" s="1269" t="s">
        <v>834</v>
      </c>
      <c r="BN114" s="1269" t="s">
        <v>1017</v>
      </c>
      <c r="BO114" s="1272">
        <v>38069</v>
      </c>
      <c r="BP114" s="1269" t="s">
        <v>1111</v>
      </c>
      <c r="BX114" s="1298"/>
      <c r="BY114" s="1269"/>
      <c r="BZ114" s="1269"/>
      <c r="CA114" s="1269"/>
    </row>
    <row r="115" spans="53:79">
      <c r="BA115" s="1269" t="s">
        <v>1105</v>
      </c>
      <c r="BB115" s="1269" t="s">
        <v>1106</v>
      </c>
      <c r="BC115" s="1269" t="s">
        <v>889</v>
      </c>
      <c r="BD115" s="1269" t="s">
        <v>907</v>
      </c>
      <c r="BE115" s="1269" t="s">
        <v>1107</v>
      </c>
      <c r="BF115" s="1269" t="s">
        <v>1112</v>
      </c>
      <c r="BG115" s="1269"/>
      <c r="BH115" s="1269"/>
      <c r="BI115" s="1270">
        <v>10</v>
      </c>
      <c r="BJ115" s="1270">
        <v>3.34</v>
      </c>
      <c r="BK115" s="1270"/>
      <c r="BL115" s="1269" t="s">
        <v>870</v>
      </c>
      <c r="BM115" s="1269" t="s">
        <v>834</v>
      </c>
      <c r="BN115" s="1269" t="s">
        <v>1017</v>
      </c>
      <c r="BO115" s="1272">
        <v>38069</v>
      </c>
      <c r="BP115" s="1269" t="s">
        <v>1113</v>
      </c>
      <c r="BX115" s="1298"/>
      <c r="BY115" s="1269"/>
      <c r="BZ115" s="1269"/>
      <c r="CA115" s="1269"/>
    </row>
    <row r="116" spans="53:79">
      <c r="BA116" s="1269" t="s">
        <v>1105</v>
      </c>
      <c r="BB116" s="1269" t="s">
        <v>1106</v>
      </c>
      <c r="BC116" s="1269" t="s">
        <v>889</v>
      </c>
      <c r="BD116" s="1269" t="s">
        <v>907</v>
      </c>
      <c r="BE116" s="1269" t="s">
        <v>1114</v>
      </c>
      <c r="BF116" s="1269" t="s">
        <v>1115</v>
      </c>
      <c r="BG116" s="1269"/>
      <c r="BH116" s="1269"/>
      <c r="BI116" s="1270" t="s">
        <v>1020</v>
      </c>
      <c r="BJ116" s="1270">
        <v>12</v>
      </c>
      <c r="BK116" s="1270"/>
      <c r="BL116" s="1269" t="s">
        <v>870</v>
      </c>
      <c r="BM116" s="1269"/>
      <c r="BN116" s="1269" t="s">
        <v>919</v>
      </c>
      <c r="BO116" s="1272">
        <v>38120</v>
      </c>
      <c r="BP116" s="1269" t="s">
        <v>1116</v>
      </c>
      <c r="BX116" s="1298"/>
      <c r="BY116" s="1269"/>
      <c r="BZ116" s="1269"/>
      <c r="CA116" s="1269"/>
    </row>
    <row r="117" spans="53:79">
      <c r="BA117" s="1269" t="s">
        <v>1105</v>
      </c>
      <c r="BB117" s="1269" t="s">
        <v>1106</v>
      </c>
      <c r="BC117" s="1269" t="s">
        <v>889</v>
      </c>
      <c r="BD117" s="1269" t="s">
        <v>907</v>
      </c>
      <c r="BE117" s="1269" t="s">
        <v>1117</v>
      </c>
      <c r="BF117" s="1269" t="s">
        <v>1118</v>
      </c>
      <c r="BG117" s="1269"/>
      <c r="BH117" s="1269"/>
      <c r="BI117" s="1270">
        <v>1</v>
      </c>
      <c r="BJ117" s="1270">
        <v>2.76</v>
      </c>
      <c r="BK117" s="1270"/>
      <c r="BL117" s="1269" t="s">
        <v>870</v>
      </c>
      <c r="BM117" s="1269"/>
      <c r="BN117" s="1269" t="s">
        <v>1119</v>
      </c>
      <c r="BO117" s="1272">
        <v>37236</v>
      </c>
      <c r="BP117" s="1269" t="s">
        <v>1120</v>
      </c>
      <c r="BX117" s="1298"/>
      <c r="BY117" s="1269"/>
      <c r="BZ117" s="1269"/>
      <c r="CA117" s="1269"/>
    </row>
    <row r="118" spans="53:79">
      <c r="BA118" s="1269" t="s">
        <v>1105</v>
      </c>
      <c r="BB118" s="1269" t="s">
        <v>1106</v>
      </c>
      <c r="BC118" s="1269" t="s">
        <v>889</v>
      </c>
      <c r="BD118" s="1269" t="s">
        <v>907</v>
      </c>
      <c r="BE118" s="1269" t="s">
        <v>1117</v>
      </c>
      <c r="BF118" s="1269" t="s">
        <v>985</v>
      </c>
      <c r="BG118" s="1269"/>
      <c r="BH118" s="1269"/>
      <c r="BI118" s="1270">
        <v>10</v>
      </c>
      <c r="BJ118" s="1270">
        <v>2.76</v>
      </c>
      <c r="BK118" s="1270"/>
      <c r="BL118" s="1269" t="s">
        <v>870</v>
      </c>
      <c r="BM118" s="1269" t="s">
        <v>834</v>
      </c>
      <c r="BN118" s="1269" t="s">
        <v>1119</v>
      </c>
      <c r="BO118" s="1272">
        <v>37236</v>
      </c>
      <c r="BP118" s="1269" t="s">
        <v>1121</v>
      </c>
      <c r="BX118" s="1298"/>
      <c r="BY118" s="1269"/>
      <c r="BZ118" s="1269"/>
      <c r="CA118" s="1269"/>
    </row>
    <row r="119" spans="53:79">
      <c r="BA119" s="1269" t="s">
        <v>1105</v>
      </c>
      <c r="BB119" s="1269" t="s">
        <v>1106</v>
      </c>
      <c r="BC119" s="1269" t="s">
        <v>889</v>
      </c>
      <c r="BD119" s="1269" t="s">
        <v>907</v>
      </c>
      <c r="BE119" s="1269" t="s">
        <v>1122</v>
      </c>
      <c r="BF119" s="1269" t="s">
        <v>1108</v>
      </c>
      <c r="BG119" s="1269"/>
      <c r="BH119" s="1269"/>
      <c r="BI119" s="1270">
        <v>1</v>
      </c>
      <c r="BJ119" s="1270">
        <v>26.1</v>
      </c>
      <c r="BK119" s="1270"/>
      <c r="BL119" s="1269" t="s">
        <v>870</v>
      </c>
      <c r="BM119" s="1269"/>
      <c r="BN119" s="1269" t="s">
        <v>880</v>
      </c>
      <c r="BO119" s="1272">
        <v>38303</v>
      </c>
      <c r="BP119" s="1269" t="s">
        <v>1123</v>
      </c>
      <c r="BX119" s="1298"/>
      <c r="BY119" s="1269"/>
      <c r="BZ119" s="1269"/>
      <c r="CA119" s="1269"/>
    </row>
    <row r="120" spans="53:79">
      <c r="BA120" s="1269" t="s">
        <v>1105</v>
      </c>
      <c r="BB120" s="1269" t="s">
        <v>1106</v>
      </c>
      <c r="BC120" s="1269" t="s">
        <v>889</v>
      </c>
      <c r="BD120" s="1269" t="s">
        <v>907</v>
      </c>
      <c r="BE120" s="1269" t="s">
        <v>1122</v>
      </c>
      <c r="BF120" s="1269" t="s">
        <v>1124</v>
      </c>
      <c r="BG120" s="1269"/>
      <c r="BH120" s="1269"/>
      <c r="BI120" s="1270">
        <v>1</v>
      </c>
      <c r="BJ120" s="1270">
        <v>15.715</v>
      </c>
      <c r="BK120" s="1270"/>
      <c r="BL120" s="1269" t="s">
        <v>870</v>
      </c>
      <c r="BM120" s="1269"/>
      <c r="BN120" s="1269" t="s">
        <v>880</v>
      </c>
      <c r="BO120" s="1272">
        <v>38303</v>
      </c>
      <c r="BP120" s="1269" t="s">
        <v>1123</v>
      </c>
      <c r="BX120" s="1298"/>
      <c r="BY120" s="1269"/>
      <c r="BZ120" s="1269"/>
      <c r="CA120" s="1269"/>
    </row>
    <row r="121" spans="53:79">
      <c r="BA121" s="1269" t="s">
        <v>1105</v>
      </c>
      <c r="BB121" s="1269" t="s">
        <v>1106</v>
      </c>
      <c r="BC121" s="1269" t="s">
        <v>889</v>
      </c>
      <c r="BD121" s="1269" t="s">
        <v>907</v>
      </c>
      <c r="BE121" s="1269" t="s">
        <v>1122</v>
      </c>
      <c r="BF121" s="1269" t="s">
        <v>1125</v>
      </c>
      <c r="BG121" s="1269"/>
      <c r="BH121" s="1269"/>
      <c r="BI121" s="1270">
        <v>10</v>
      </c>
      <c r="BJ121" s="1270">
        <v>2.6110000000000002</v>
      </c>
      <c r="BK121" s="1270"/>
      <c r="BL121" s="1269" t="s">
        <v>870</v>
      </c>
      <c r="BM121" s="1269" t="s">
        <v>834</v>
      </c>
      <c r="BN121" s="1269" t="s">
        <v>880</v>
      </c>
      <c r="BO121" s="1272">
        <v>38303</v>
      </c>
      <c r="BP121" s="1269" t="s">
        <v>1126</v>
      </c>
      <c r="BX121" s="1298"/>
      <c r="BY121" s="1269"/>
      <c r="BZ121" s="1269"/>
      <c r="CA121" s="1269"/>
    </row>
    <row r="122" spans="53:79">
      <c r="BA122" s="1269" t="s">
        <v>1105</v>
      </c>
      <c r="BB122" s="1269" t="s">
        <v>1106</v>
      </c>
      <c r="BC122" s="1269" t="s">
        <v>889</v>
      </c>
      <c r="BD122" s="1269" t="s">
        <v>907</v>
      </c>
      <c r="BE122" s="1269" t="s">
        <v>1127</v>
      </c>
      <c r="BF122" s="1269"/>
      <c r="BG122" s="1269"/>
      <c r="BH122" s="1269"/>
      <c r="BI122" s="1270" t="s">
        <v>894</v>
      </c>
      <c r="BJ122" s="1270"/>
      <c r="BK122" s="1270"/>
      <c r="BL122" s="1269" t="s">
        <v>895</v>
      </c>
      <c r="BM122" s="1269"/>
      <c r="BN122" s="1269" t="s">
        <v>939</v>
      </c>
      <c r="BO122" s="1272">
        <v>31778</v>
      </c>
      <c r="BP122" s="1269" t="s">
        <v>1128</v>
      </c>
      <c r="BX122" s="1298"/>
      <c r="BY122" s="1269"/>
      <c r="BZ122" s="1269"/>
      <c r="CA122" s="1269"/>
    </row>
    <row r="123" spans="53:79">
      <c r="BA123" s="1269" t="s">
        <v>1105</v>
      </c>
      <c r="BB123" s="1269" t="s">
        <v>1106</v>
      </c>
      <c r="BC123" s="1269" t="s">
        <v>889</v>
      </c>
      <c r="BD123" s="1269" t="s">
        <v>907</v>
      </c>
      <c r="BE123" s="1269" t="s">
        <v>1127</v>
      </c>
      <c r="BF123" s="1269"/>
      <c r="BG123" s="1269"/>
      <c r="BH123" s="1269"/>
      <c r="BI123" s="1270" t="s">
        <v>990</v>
      </c>
      <c r="BJ123" s="1270"/>
      <c r="BK123" s="1270"/>
      <c r="BL123" s="1269" t="s">
        <v>895</v>
      </c>
      <c r="BM123" s="1269"/>
      <c r="BN123" s="1269" t="s">
        <v>939</v>
      </c>
      <c r="BO123" s="1272">
        <v>31778</v>
      </c>
      <c r="BP123" s="1269" t="s">
        <v>1129</v>
      </c>
      <c r="BX123" s="1298"/>
      <c r="BY123" s="1269"/>
      <c r="BZ123" s="1269"/>
      <c r="CA123" s="1269"/>
    </row>
    <row r="124" spans="53:79">
      <c r="BA124" s="1269" t="s">
        <v>1105</v>
      </c>
      <c r="BB124" s="1269" t="s">
        <v>1106</v>
      </c>
      <c r="BC124" s="1269" t="s">
        <v>889</v>
      </c>
      <c r="BD124" s="1269" t="s">
        <v>907</v>
      </c>
      <c r="BE124" s="1269" t="s">
        <v>1127</v>
      </c>
      <c r="BF124" s="1269"/>
      <c r="BG124" s="1269"/>
      <c r="BH124" s="1269"/>
      <c r="BI124" s="1270" t="s">
        <v>869</v>
      </c>
      <c r="BJ124" s="1270"/>
      <c r="BK124" s="1270"/>
      <c r="BL124" s="1269" t="s">
        <v>895</v>
      </c>
      <c r="BM124" s="1269"/>
      <c r="BN124" s="1269" t="s">
        <v>939</v>
      </c>
      <c r="BO124" s="1272">
        <v>31778</v>
      </c>
      <c r="BP124" s="1269" t="s">
        <v>1130</v>
      </c>
      <c r="BX124" s="1298"/>
      <c r="BY124" s="1269"/>
      <c r="BZ124" s="1269"/>
      <c r="CA124" s="1269"/>
    </row>
    <row r="125" spans="53:79">
      <c r="BA125" s="1269" t="s">
        <v>1105</v>
      </c>
      <c r="BB125" s="1269" t="s">
        <v>1106</v>
      </c>
      <c r="BC125" s="1269" t="s">
        <v>889</v>
      </c>
      <c r="BD125" s="1269" t="s">
        <v>907</v>
      </c>
      <c r="BE125" s="1269" t="s">
        <v>1131</v>
      </c>
      <c r="BF125" s="1269" t="s">
        <v>1132</v>
      </c>
      <c r="BG125" s="1269"/>
      <c r="BH125" s="1269"/>
      <c r="BI125" s="1270">
        <v>1</v>
      </c>
      <c r="BJ125" s="1270">
        <v>14.4</v>
      </c>
      <c r="BK125" s="1270"/>
      <c r="BL125" s="1269" t="s">
        <v>870</v>
      </c>
      <c r="BM125" s="1269"/>
      <c r="BN125" s="1269" t="s">
        <v>1133</v>
      </c>
      <c r="BO125" s="1272">
        <v>35391</v>
      </c>
      <c r="BP125" s="1269" t="s">
        <v>1134</v>
      </c>
      <c r="BX125" s="1298"/>
      <c r="BY125" s="1269"/>
      <c r="BZ125" s="1269"/>
      <c r="CA125" s="1269"/>
    </row>
    <row r="126" spans="53:79">
      <c r="BA126" s="1269" t="s">
        <v>1105</v>
      </c>
      <c r="BB126" s="1269" t="s">
        <v>1106</v>
      </c>
      <c r="BC126" s="1269" t="s">
        <v>889</v>
      </c>
      <c r="BD126" s="1269" t="s">
        <v>907</v>
      </c>
      <c r="BE126" s="1269" t="s">
        <v>1131</v>
      </c>
      <c r="BF126" s="1269" t="s">
        <v>1132</v>
      </c>
      <c r="BG126" s="1269"/>
      <c r="BH126" s="1269"/>
      <c r="BI126" s="1270">
        <v>2</v>
      </c>
      <c r="BJ126" s="1270">
        <v>7.2</v>
      </c>
      <c r="BK126" s="1270"/>
      <c r="BL126" s="1269" t="s">
        <v>870</v>
      </c>
      <c r="BM126" s="1269" t="s">
        <v>834</v>
      </c>
      <c r="BN126" s="1269" t="s">
        <v>1133</v>
      </c>
      <c r="BO126" s="1272">
        <v>35391</v>
      </c>
      <c r="BP126" s="1269" t="s">
        <v>1135</v>
      </c>
      <c r="BX126" s="1298"/>
      <c r="BY126" s="1269"/>
      <c r="BZ126" s="1269"/>
      <c r="CA126" s="1269"/>
    </row>
    <row r="127" spans="53:79">
      <c r="BA127" s="1269" t="s">
        <v>1105</v>
      </c>
      <c r="BB127" s="1269" t="s">
        <v>1106</v>
      </c>
      <c r="BC127" s="1269" t="s">
        <v>889</v>
      </c>
      <c r="BD127" s="1269" t="s">
        <v>907</v>
      </c>
      <c r="BE127" s="1269" t="s">
        <v>1131</v>
      </c>
      <c r="BF127" s="1269" t="s">
        <v>1132</v>
      </c>
      <c r="BG127" s="1269"/>
      <c r="BH127" s="1269"/>
      <c r="BI127" s="1270">
        <v>6</v>
      </c>
      <c r="BJ127" s="1270">
        <v>4.66</v>
      </c>
      <c r="BK127" s="1270"/>
      <c r="BL127" s="1269" t="s">
        <v>870</v>
      </c>
      <c r="BM127" s="1269" t="s">
        <v>834</v>
      </c>
      <c r="BN127" s="1269" t="s">
        <v>1133</v>
      </c>
      <c r="BO127" s="1272">
        <v>35391</v>
      </c>
      <c r="BP127" s="1269" t="s">
        <v>1136</v>
      </c>
      <c r="BX127" s="1298"/>
      <c r="BY127" s="1269"/>
      <c r="BZ127" s="1269"/>
      <c r="CA127" s="1269"/>
    </row>
    <row r="128" spans="53:79">
      <c r="BA128" s="1269" t="s">
        <v>1105</v>
      </c>
      <c r="BB128" s="1269" t="s">
        <v>1106</v>
      </c>
      <c r="BC128" s="1269" t="s">
        <v>889</v>
      </c>
      <c r="BD128" s="1269" t="s">
        <v>907</v>
      </c>
      <c r="BE128" s="1269" t="s">
        <v>1131</v>
      </c>
      <c r="BF128" s="1269" t="s">
        <v>1132</v>
      </c>
      <c r="BG128" s="1269"/>
      <c r="BH128" s="1269"/>
      <c r="BI128" s="1270">
        <v>10</v>
      </c>
      <c r="BJ128" s="1270">
        <v>2.8</v>
      </c>
      <c r="BK128" s="1270"/>
      <c r="BL128" s="1269" t="s">
        <v>870</v>
      </c>
      <c r="BM128" s="1269" t="s">
        <v>834</v>
      </c>
      <c r="BN128" s="1269" t="s">
        <v>1133</v>
      </c>
      <c r="BO128" s="1272">
        <v>35391</v>
      </c>
      <c r="BP128" s="1269" t="s">
        <v>1137</v>
      </c>
      <c r="BX128" s="1298"/>
      <c r="BY128" s="1269"/>
      <c r="BZ128" s="1269"/>
      <c r="CA128" s="1269"/>
    </row>
    <row r="129" spans="53:79">
      <c r="BA129" s="1269" t="s">
        <v>1105</v>
      </c>
      <c r="BB129" s="1269" t="s">
        <v>1106</v>
      </c>
      <c r="BC129" s="1269" t="s">
        <v>889</v>
      </c>
      <c r="BD129" s="1269" t="s">
        <v>907</v>
      </c>
      <c r="BE129" s="1269" t="s">
        <v>1131</v>
      </c>
      <c r="BF129" s="1269" t="s">
        <v>1125</v>
      </c>
      <c r="BG129" s="1269"/>
      <c r="BH129" s="1269"/>
      <c r="BI129" s="1270">
        <v>10</v>
      </c>
      <c r="BJ129" s="1270">
        <v>3.22</v>
      </c>
      <c r="BK129" s="1270"/>
      <c r="BL129" s="1269" t="s">
        <v>870</v>
      </c>
      <c r="BM129" s="1269" t="s">
        <v>834</v>
      </c>
      <c r="BN129" s="1269" t="s">
        <v>1133</v>
      </c>
      <c r="BO129" s="1272">
        <v>35391</v>
      </c>
      <c r="BP129" s="1269" t="s">
        <v>1137</v>
      </c>
      <c r="BX129" s="1298"/>
      <c r="BY129" s="1269"/>
      <c r="BZ129" s="1269"/>
      <c r="CA129" s="1269"/>
    </row>
    <row r="130" spans="53:79">
      <c r="BA130" s="1269" t="s">
        <v>1105</v>
      </c>
      <c r="BB130" s="1269" t="s">
        <v>1106</v>
      </c>
      <c r="BC130" s="1269" t="s">
        <v>889</v>
      </c>
      <c r="BD130" s="1269" t="s">
        <v>907</v>
      </c>
      <c r="BE130" s="1269" t="s">
        <v>1138</v>
      </c>
      <c r="BF130" s="1269" t="s">
        <v>1139</v>
      </c>
      <c r="BG130" s="1269"/>
      <c r="BH130" s="1269"/>
      <c r="BI130" s="1270">
        <v>1</v>
      </c>
      <c r="BJ130" s="1270">
        <v>19.2</v>
      </c>
      <c r="BK130" s="1270"/>
      <c r="BL130" s="1269" t="s">
        <v>870</v>
      </c>
      <c r="BM130" s="1269"/>
      <c r="BN130" s="1269" t="s">
        <v>1026</v>
      </c>
      <c r="BO130" s="1272">
        <v>38918</v>
      </c>
      <c r="BP130" s="1269" t="s">
        <v>1140</v>
      </c>
      <c r="BX130" s="1298"/>
      <c r="BY130" s="1269"/>
      <c r="BZ130" s="1269"/>
      <c r="CA130" s="1269"/>
    </row>
    <row r="131" spans="53:79">
      <c r="BA131" s="1269" t="s">
        <v>1105</v>
      </c>
      <c r="BB131" s="1269" t="s">
        <v>1106</v>
      </c>
      <c r="BC131" s="1269" t="s">
        <v>889</v>
      </c>
      <c r="BD131" s="1269" t="s">
        <v>907</v>
      </c>
      <c r="BE131" s="1269" t="s">
        <v>1138</v>
      </c>
      <c r="BF131" s="1269" t="s">
        <v>1139</v>
      </c>
      <c r="BG131" s="1269"/>
      <c r="BH131" s="1269"/>
      <c r="BI131" s="1270">
        <v>1</v>
      </c>
      <c r="BJ131" s="1270">
        <v>19.2</v>
      </c>
      <c r="BK131" s="1270"/>
      <c r="BL131" s="1269" t="s">
        <v>870</v>
      </c>
      <c r="BM131" s="1269"/>
      <c r="BN131" s="1269" t="s">
        <v>1026</v>
      </c>
      <c r="BO131" s="1272">
        <v>38918</v>
      </c>
      <c r="BP131" s="1269" t="s">
        <v>1141</v>
      </c>
      <c r="BX131" s="1298"/>
      <c r="BY131" s="1269"/>
      <c r="BZ131" s="1269"/>
      <c r="CA131" s="1269"/>
    </row>
    <row r="132" spans="53:79">
      <c r="BA132" s="1269" t="s">
        <v>1105</v>
      </c>
      <c r="BB132" s="1269" t="s">
        <v>1106</v>
      </c>
      <c r="BC132" s="1269" t="s">
        <v>889</v>
      </c>
      <c r="BD132" s="1269" t="s">
        <v>907</v>
      </c>
      <c r="BE132" s="1269" t="s">
        <v>1138</v>
      </c>
      <c r="BF132" s="1269" t="s">
        <v>1142</v>
      </c>
      <c r="BG132" s="1269"/>
      <c r="BH132" s="1269"/>
      <c r="BI132" s="1270">
        <v>10</v>
      </c>
      <c r="BJ132" s="1270">
        <v>4.1399999999999997</v>
      </c>
      <c r="BK132" s="1270"/>
      <c r="BL132" s="1269" t="s">
        <v>870</v>
      </c>
      <c r="BM132" s="1269" t="s">
        <v>834</v>
      </c>
      <c r="BN132" s="1269" t="s">
        <v>1026</v>
      </c>
      <c r="BO132" s="1272">
        <v>38918</v>
      </c>
      <c r="BP132" s="1269" t="s">
        <v>1143</v>
      </c>
      <c r="BX132" s="1298"/>
      <c r="BY132" s="1269"/>
      <c r="BZ132" s="1269"/>
      <c r="CA132" s="1269"/>
    </row>
    <row r="133" spans="53:79">
      <c r="BA133" s="1269" t="s">
        <v>1105</v>
      </c>
      <c r="BB133" s="1269" t="s">
        <v>1106</v>
      </c>
      <c r="BC133" s="1269" t="s">
        <v>889</v>
      </c>
      <c r="BD133" s="1269" t="s">
        <v>907</v>
      </c>
      <c r="BE133" s="1269" t="s">
        <v>1138</v>
      </c>
      <c r="BF133" s="1269" t="s">
        <v>1142</v>
      </c>
      <c r="BG133" s="1269"/>
      <c r="BH133" s="1269"/>
      <c r="BI133" s="1270">
        <v>10</v>
      </c>
      <c r="BJ133" s="1270">
        <v>4.43</v>
      </c>
      <c r="BK133" s="1270"/>
      <c r="BL133" s="1269" t="s">
        <v>870</v>
      </c>
      <c r="BM133" s="1269" t="s">
        <v>834</v>
      </c>
      <c r="BN133" s="1269" t="s">
        <v>1026</v>
      </c>
      <c r="BO133" s="1272">
        <v>38918</v>
      </c>
      <c r="BP133" s="1269" t="s">
        <v>1144</v>
      </c>
      <c r="BX133" s="1298"/>
      <c r="BY133" s="1269"/>
      <c r="BZ133" s="1269"/>
      <c r="CA133" s="1269"/>
    </row>
    <row r="134" spans="53:79">
      <c r="BA134" s="1269" t="s">
        <v>1105</v>
      </c>
      <c r="BB134" s="1269" t="s">
        <v>1106</v>
      </c>
      <c r="BC134" s="1269" t="s">
        <v>889</v>
      </c>
      <c r="BD134" s="1269" t="s">
        <v>907</v>
      </c>
      <c r="BE134" s="1269" t="s">
        <v>1145</v>
      </c>
      <c r="BF134" s="1269" t="s">
        <v>1146</v>
      </c>
      <c r="BG134" s="1269"/>
      <c r="BH134" s="1269"/>
      <c r="BI134" s="1270">
        <v>1</v>
      </c>
      <c r="BJ134" s="1270">
        <v>16.8</v>
      </c>
      <c r="BK134" s="1270"/>
      <c r="BL134" s="1269" t="s">
        <v>870</v>
      </c>
      <c r="BM134" s="1269"/>
      <c r="BN134" s="1269" t="s">
        <v>903</v>
      </c>
      <c r="BO134" s="1272">
        <v>37417</v>
      </c>
      <c r="BP134" s="1269" t="s">
        <v>1147</v>
      </c>
      <c r="BX134" s="1298"/>
      <c r="BY134" s="1269"/>
      <c r="BZ134" s="1269"/>
      <c r="CA134" s="1269"/>
    </row>
    <row r="135" spans="53:79">
      <c r="BA135" s="1269" t="s">
        <v>1105</v>
      </c>
      <c r="BB135" s="1269" t="s">
        <v>1106</v>
      </c>
      <c r="BC135" s="1269" t="s">
        <v>889</v>
      </c>
      <c r="BD135" s="1269" t="s">
        <v>907</v>
      </c>
      <c r="BE135" s="1269" t="s">
        <v>1145</v>
      </c>
      <c r="BF135" s="1269" t="s">
        <v>1148</v>
      </c>
      <c r="BG135" s="1269"/>
      <c r="BH135" s="1269"/>
      <c r="BI135" s="1270">
        <v>2</v>
      </c>
      <c r="BJ135" s="1270">
        <v>8.0500000000000007</v>
      </c>
      <c r="BK135" s="1270"/>
      <c r="BL135" s="1269" t="s">
        <v>870</v>
      </c>
      <c r="BM135" s="1269" t="s">
        <v>834</v>
      </c>
      <c r="BN135" s="1269" t="s">
        <v>903</v>
      </c>
      <c r="BO135" s="1272">
        <v>37417</v>
      </c>
      <c r="BP135" s="1269" t="s">
        <v>1149</v>
      </c>
      <c r="BX135" s="1298"/>
      <c r="BY135" s="1269"/>
      <c r="BZ135" s="1269"/>
      <c r="CA135" s="1269"/>
    </row>
    <row r="136" spans="53:79">
      <c r="BA136" s="1269" t="s">
        <v>1105</v>
      </c>
      <c r="BB136" s="1269" t="s">
        <v>1106</v>
      </c>
      <c r="BC136" s="1269" t="s">
        <v>889</v>
      </c>
      <c r="BD136" s="1269" t="s">
        <v>907</v>
      </c>
      <c r="BE136" s="1269" t="s">
        <v>1145</v>
      </c>
      <c r="BF136" s="1269" t="s">
        <v>1150</v>
      </c>
      <c r="BG136" s="1269"/>
      <c r="BH136" s="1269"/>
      <c r="BI136" s="1270">
        <v>6</v>
      </c>
      <c r="BJ136" s="1270">
        <v>3.69</v>
      </c>
      <c r="BK136" s="1270"/>
      <c r="BL136" s="1269" t="s">
        <v>870</v>
      </c>
      <c r="BM136" s="1269" t="s">
        <v>834</v>
      </c>
      <c r="BN136" s="1269" t="s">
        <v>903</v>
      </c>
      <c r="BO136" s="1272">
        <v>37811</v>
      </c>
      <c r="BP136" s="1269" t="s">
        <v>1151</v>
      </c>
      <c r="BX136" s="1298"/>
      <c r="BY136" s="1269"/>
      <c r="BZ136" s="1269"/>
      <c r="CA136" s="1269"/>
    </row>
    <row r="137" spans="53:79">
      <c r="BA137" s="1269" t="s">
        <v>1105</v>
      </c>
      <c r="BB137" s="1269" t="s">
        <v>1106</v>
      </c>
      <c r="BC137" s="1269" t="s">
        <v>889</v>
      </c>
      <c r="BD137" s="1269" t="s">
        <v>907</v>
      </c>
      <c r="BE137" s="1269" t="s">
        <v>1145</v>
      </c>
      <c r="BF137" s="1269" t="s">
        <v>1152</v>
      </c>
      <c r="BG137" s="1269"/>
      <c r="BH137" s="1269"/>
      <c r="BI137" s="1270">
        <v>10</v>
      </c>
      <c r="BJ137" s="1270">
        <v>4.3600000000000003</v>
      </c>
      <c r="BK137" s="1270"/>
      <c r="BL137" s="1269" t="s">
        <v>870</v>
      </c>
      <c r="BM137" s="1269" t="s">
        <v>834</v>
      </c>
      <c r="BN137" s="1269" t="s">
        <v>903</v>
      </c>
      <c r="BO137" s="1272">
        <v>37417</v>
      </c>
      <c r="BP137" s="1269" t="s">
        <v>1153</v>
      </c>
      <c r="BX137" s="1298"/>
      <c r="BY137" s="1269"/>
      <c r="BZ137" s="1269"/>
      <c r="CA137" s="1269"/>
    </row>
    <row r="138" spans="53:79">
      <c r="BA138" s="1269" t="s">
        <v>1105</v>
      </c>
      <c r="BB138" s="1269" t="s">
        <v>1106</v>
      </c>
      <c r="BC138" s="1269" t="s">
        <v>889</v>
      </c>
      <c r="BD138" s="1269" t="s">
        <v>907</v>
      </c>
      <c r="BE138" s="1269" t="s">
        <v>1145</v>
      </c>
      <c r="BF138" s="1269" t="s">
        <v>1154</v>
      </c>
      <c r="BG138" s="1269"/>
      <c r="BH138" s="1269"/>
      <c r="BI138" s="1270">
        <v>20</v>
      </c>
      <c r="BJ138" s="1270">
        <v>2.57</v>
      </c>
      <c r="BK138" s="1270"/>
      <c r="BL138" s="1269" t="s">
        <v>870</v>
      </c>
      <c r="BM138" s="1269" t="s">
        <v>834</v>
      </c>
      <c r="BN138" s="1269" t="s">
        <v>903</v>
      </c>
      <c r="BO138" s="1272">
        <v>37417</v>
      </c>
      <c r="BP138" s="1269" t="s">
        <v>1155</v>
      </c>
      <c r="BX138" s="1298"/>
      <c r="BY138" s="1269"/>
      <c r="BZ138" s="1269"/>
      <c r="CA138" s="1269"/>
    </row>
    <row r="139" spans="53:79">
      <c r="BA139" s="1269" t="s">
        <v>1105</v>
      </c>
      <c r="BB139" s="1269" t="s">
        <v>1106</v>
      </c>
      <c r="BC139" s="1269" t="s">
        <v>889</v>
      </c>
      <c r="BD139" s="1269" t="s">
        <v>907</v>
      </c>
      <c r="BE139" s="1269" t="s">
        <v>1156</v>
      </c>
      <c r="BF139" s="1269" t="s">
        <v>1157</v>
      </c>
      <c r="BG139" s="1269"/>
      <c r="BH139" s="1269"/>
      <c r="BI139" s="1270">
        <v>1</v>
      </c>
      <c r="BJ139" s="1270">
        <v>14.5</v>
      </c>
      <c r="BK139" s="1270"/>
      <c r="BL139" s="1269" t="s">
        <v>870</v>
      </c>
      <c r="BM139" s="1269"/>
      <c r="BN139" s="1269" t="s">
        <v>1158</v>
      </c>
      <c r="BO139" s="1272">
        <v>39786</v>
      </c>
      <c r="BP139" s="1269" t="s">
        <v>1159</v>
      </c>
    </row>
    <row r="140" spans="53:79">
      <c r="BA140" s="1269" t="s">
        <v>1105</v>
      </c>
      <c r="BB140" s="1269" t="s">
        <v>1106</v>
      </c>
      <c r="BC140" s="1269" t="s">
        <v>889</v>
      </c>
      <c r="BD140" s="1269" t="s">
        <v>907</v>
      </c>
      <c r="BE140" s="1269" t="s">
        <v>1156</v>
      </c>
      <c r="BF140" s="1269" t="s">
        <v>1160</v>
      </c>
      <c r="BG140" s="1269"/>
      <c r="BH140" s="1269"/>
      <c r="BI140" s="1270">
        <v>2</v>
      </c>
      <c r="BJ140" s="1270">
        <v>7.2</v>
      </c>
      <c r="BK140" s="1270"/>
      <c r="BL140" s="1269" t="s">
        <v>870</v>
      </c>
      <c r="BM140" s="1269" t="s">
        <v>834</v>
      </c>
      <c r="BN140" s="1269" t="s">
        <v>1158</v>
      </c>
      <c r="BO140" s="1272">
        <v>39786</v>
      </c>
      <c r="BP140" s="1269" t="s">
        <v>1161</v>
      </c>
    </row>
    <row r="141" spans="53:79">
      <c r="BA141" s="1269" t="s">
        <v>1105</v>
      </c>
      <c r="BB141" s="1269" t="s">
        <v>1106</v>
      </c>
      <c r="BC141" s="1269" t="s">
        <v>889</v>
      </c>
      <c r="BD141" s="1269" t="s">
        <v>907</v>
      </c>
      <c r="BE141" s="1269" t="s">
        <v>1156</v>
      </c>
      <c r="BF141" s="1269" t="s">
        <v>1162</v>
      </c>
      <c r="BG141" s="1269"/>
      <c r="BH141" s="1269"/>
      <c r="BI141" s="1270">
        <v>6</v>
      </c>
      <c r="BJ141" s="1270">
        <v>5.3</v>
      </c>
      <c r="BK141" s="1270"/>
      <c r="BL141" s="1269" t="s">
        <v>870</v>
      </c>
      <c r="BM141" s="1269" t="s">
        <v>834</v>
      </c>
      <c r="BN141" s="1269" t="s">
        <v>1158</v>
      </c>
      <c r="BO141" s="1272">
        <v>39786</v>
      </c>
      <c r="BP141" s="1269" t="s">
        <v>1163</v>
      </c>
    </row>
    <row r="142" spans="53:79">
      <c r="BA142" s="1269" t="s">
        <v>1105</v>
      </c>
      <c r="BB142" s="1269" t="s">
        <v>1106</v>
      </c>
      <c r="BC142" s="1269" t="s">
        <v>889</v>
      </c>
      <c r="BD142" s="1269" t="s">
        <v>907</v>
      </c>
      <c r="BE142" s="1269" t="s">
        <v>1156</v>
      </c>
      <c r="BF142" s="1269" t="s">
        <v>1164</v>
      </c>
      <c r="BG142" s="1269"/>
      <c r="BH142" s="1269"/>
      <c r="BI142" s="1270">
        <v>10</v>
      </c>
      <c r="BJ142" s="1270">
        <v>3.2</v>
      </c>
      <c r="BK142" s="1270"/>
      <c r="BL142" s="1269" t="s">
        <v>870</v>
      </c>
      <c r="BM142" s="1269" t="s">
        <v>834</v>
      </c>
      <c r="BN142" s="1269" t="s">
        <v>1158</v>
      </c>
      <c r="BO142" s="1272">
        <v>39786</v>
      </c>
      <c r="BP142" s="1269" t="s">
        <v>1165</v>
      </c>
    </row>
    <row r="143" spans="53:79">
      <c r="BA143" s="1269" t="s">
        <v>1105</v>
      </c>
      <c r="BB143" s="1269" t="s">
        <v>1106</v>
      </c>
      <c r="BC143" s="1269" t="s">
        <v>889</v>
      </c>
      <c r="BD143" s="1269" t="s">
        <v>907</v>
      </c>
      <c r="BE143" s="1269" t="s">
        <v>1156</v>
      </c>
      <c r="BF143" s="1269" t="s">
        <v>1166</v>
      </c>
      <c r="BG143" s="1269"/>
      <c r="BH143" s="1269"/>
      <c r="BI143" s="1270">
        <v>20</v>
      </c>
      <c r="BJ143" s="1270">
        <v>2</v>
      </c>
      <c r="BK143" s="1270"/>
      <c r="BL143" s="1269" t="s">
        <v>870</v>
      </c>
      <c r="BM143" s="1269" t="s">
        <v>834</v>
      </c>
      <c r="BN143" s="1269" t="s">
        <v>1158</v>
      </c>
      <c r="BO143" s="1272">
        <v>39786</v>
      </c>
      <c r="BP143" s="1269" t="s">
        <v>1167</v>
      </c>
    </row>
    <row r="144" spans="53:79">
      <c r="BA144" s="1269" t="s">
        <v>1168</v>
      </c>
      <c r="BB144" s="1269" t="s">
        <v>1169</v>
      </c>
      <c r="BC144" s="1269" t="s">
        <v>889</v>
      </c>
      <c r="BD144" s="1269" t="s">
        <v>907</v>
      </c>
      <c r="BE144" s="1269" t="s">
        <v>1170</v>
      </c>
      <c r="BF144" s="1269" t="s">
        <v>1171</v>
      </c>
      <c r="BG144" s="1269"/>
      <c r="BH144" s="1269"/>
      <c r="BI144" s="1270">
        <v>1</v>
      </c>
      <c r="BJ144" s="1270">
        <v>5</v>
      </c>
      <c r="BK144" s="1270"/>
      <c r="BL144" s="1269" t="s">
        <v>1172</v>
      </c>
      <c r="BM144" s="1269"/>
      <c r="BN144" s="1269" t="s">
        <v>1119</v>
      </c>
      <c r="BO144" s="1272">
        <v>40293</v>
      </c>
      <c r="BP144" s="1269" t="s">
        <v>1173</v>
      </c>
    </row>
    <row r="145" spans="53:68">
      <c r="BA145" s="1269" t="s">
        <v>1168</v>
      </c>
      <c r="BB145" s="1269" t="s">
        <v>1169</v>
      </c>
      <c r="BC145" s="1269" t="s">
        <v>889</v>
      </c>
      <c r="BD145" s="1269" t="s">
        <v>907</v>
      </c>
      <c r="BE145" s="1269" t="s">
        <v>1174</v>
      </c>
      <c r="BF145" s="1269" t="s">
        <v>1046</v>
      </c>
      <c r="BG145" s="1269"/>
      <c r="BH145" s="1269"/>
      <c r="BI145" s="1270">
        <v>1</v>
      </c>
      <c r="BJ145" s="1270">
        <v>13.4</v>
      </c>
      <c r="BK145" s="1270"/>
      <c r="BL145" s="1269" t="s">
        <v>1175</v>
      </c>
      <c r="BM145" s="1269"/>
      <c r="BN145" s="1269" t="s">
        <v>1176</v>
      </c>
      <c r="BO145" s="1272">
        <v>35538</v>
      </c>
      <c r="BP145" s="1269" t="s">
        <v>1177</v>
      </c>
    </row>
    <row r="146" spans="53:68">
      <c r="BA146" s="1269" t="s">
        <v>1168</v>
      </c>
      <c r="BB146" s="1269" t="s">
        <v>1169</v>
      </c>
      <c r="BC146" s="1269" t="s">
        <v>889</v>
      </c>
      <c r="BD146" s="1269" t="s">
        <v>907</v>
      </c>
      <c r="BE146" s="1269" t="s">
        <v>1174</v>
      </c>
      <c r="BF146" s="1269" t="s">
        <v>1046</v>
      </c>
      <c r="BG146" s="1269"/>
      <c r="BH146" s="1269"/>
      <c r="BI146" s="1270" t="s">
        <v>894</v>
      </c>
      <c r="BJ146" s="1270"/>
      <c r="BK146" s="1270"/>
      <c r="BL146" s="1269" t="s">
        <v>1175</v>
      </c>
      <c r="BM146" s="1269"/>
      <c r="BN146" s="1269" t="s">
        <v>1176</v>
      </c>
      <c r="BO146" s="1272">
        <v>35538</v>
      </c>
      <c r="BP146" s="1269" t="s">
        <v>1178</v>
      </c>
    </row>
    <row r="147" spans="53:68">
      <c r="BA147" s="1269" t="s">
        <v>1168</v>
      </c>
      <c r="BB147" s="1269" t="s">
        <v>1169</v>
      </c>
      <c r="BC147" s="1269" t="s">
        <v>889</v>
      </c>
      <c r="BD147" s="1269" t="s">
        <v>907</v>
      </c>
      <c r="BE147" s="1269" t="s">
        <v>1179</v>
      </c>
      <c r="BF147" s="1269" t="s">
        <v>985</v>
      </c>
      <c r="BG147" s="1269"/>
      <c r="BH147" s="1269"/>
      <c r="BI147" s="1270" t="s">
        <v>990</v>
      </c>
      <c r="BJ147" s="1270"/>
      <c r="BK147" s="1270"/>
      <c r="BL147" s="1269" t="s">
        <v>895</v>
      </c>
      <c r="BM147" s="1269"/>
      <c r="BN147" s="1269" t="s">
        <v>1180</v>
      </c>
      <c r="BO147" s="1272">
        <v>37670</v>
      </c>
      <c r="BP147" s="1269" t="s">
        <v>1181</v>
      </c>
    </row>
    <row r="148" spans="53:68">
      <c r="BA148" s="1269" t="s">
        <v>1182</v>
      </c>
      <c r="BB148" s="1269" t="s">
        <v>1169</v>
      </c>
      <c r="BC148" s="1269" t="s">
        <v>889</v>
      </c>
      <c r="BD148" s="1269" t="s">
        <v>907</v>
      </c>
      <c r="BE148" s="1269"/>
      <c r="BF148" s="1269" t="s">
        <v>1183</v>
      </c>
      <c r="BG148" s="1269"/>
      <c r="BH148" s="1269"/>
      <c r="BI148" s="1270">
        <v>1</v>
      </c>
      <c r="BJ148" s="1270">
        <v>32.299999999999997</v>
      </c>
      <c r="BK148" s="1270"/>
      <c r="BL148" s="1269"/>
      <c r="BM148" s="1269"/>
      <c r="BN148" s="1269" t="s">
        <v>1033</v>
      </c>
      <c r="BO148" s="1272"/>
      <c r="BP148" s="1269"/>
    </row>
    <row r="149" spans="53:68">
      <c r="BA149" s="1269" t="s">
        <v>1168</v>
      </c>
      <c r="BB149" s="1269" t="s">
        <v>1169</v>
      </c>
      <c r="BC149" s="1269" t="s">
        <v>889</v>
      </c>
      <c r="BD149" s="1269" t="s">
        <v>907</v>
      </c>
      <c r="BE149" s="1269"/>
      <c r="BF149" s="1269" t="s">
        <v>1183</v>
      </c>
      <c r="BG149" s="1269"/>
      <c r="BH149" s="1269"/>
      <c r="BI149" s="1270">
        <v>10</v>
      </c>
      <c r="BJ149" s="1270">
        <v>13.8</v>
      </c>
      <c r="BK149" s="1270"/>
      <c r="BL149" s="1269"/>
      <c r="BM149" s="1269" t="s">
        <v>834</v>
      </c>
      <c r="BN149" s="1269" t="s">
        <v>1033</v>
      </c>
      <c r="BO149" s="1272"/>
      <c r="BP149" s="1269"/>
    </row>
    <row r="150" spans="53:68">
      <c r="BA150" s="1269" t="s">
        <v>1168</v>
      </c>
      <c r="BB150" s="1269" t="s">
        <v>1169</v>
      </c>
      <c r="BC150" s="1269" t="s">
        <v>889</v>
      </c>
      <c r="BD150" s="1269" t="s">
        <v>907</v>
      </c>
      <c r="BE150" s="1269"/>
      <c r="BF150" s="1269" t="s">
        <v>1183</v>
      </c>
      <c r="BG150" s="1269"/>
      <c r="BH150" s="1269"/>
      <c r="BI150" s="1270">
        <v>10</v>
      </c>
      <c r="BJ150" s="1270">
        <v>9.5</v>
      </c>
      <c r="BK150" s="1270"/>
      <c r="BL150" s="1269"/>
      <c r="BM150" s="1269" t="s">
        <v>834</v>
      </c>
      <c r="BN150" s="1269" t="s">
        <v>1184</v>
      </c>
      <c r="BO150" s="1272"/>
      <c r="BP150" s="1269"/>
    </row>
    <row r="151" spans="53:68">
      <c r="BA151" s="1269" t="s">
        <v>1185</v>
      </c>
      <c r="BB151" s="1269" t="s">
        <v>1186</v>
      </c>
      <c r="BC151" s="1269" t="s">
        <v>864</v>
      </c>
      <c r="BD151" s="1269" t="s">
        <v>907</v>
      </c>
      <c r="BE151" s="1269"/>
      <c r="BF151" s="1269" t="s">
        <v>1187</v>
      </c>
      <c r="BG151" s="1269" t="s">
        <v>868</v>
      </c>
      <c r="BH151" s="1269"/>
      <c r="BI151" s="1270">
        <v>1</v>
      </c>
      <c r="BJ151" s="1270">
        <v>12.66</v>
      </c>
      <c r="BK151" s="1270"/>
      <c r="BL151" s="1269" t="s">
        <v>895</v>
      </c>
      <c r="BM151" s="1269"/>
      <c r="BN151" s="1269" t="s">
        <v>914</v>
      </c>
      <c r="BO151" s="1272" t="s">
        <v>1188</v>
      </c>
      <c r="BP151" s="1269" t="s">
        <v>1189</v>
      </c>
    </row>
    <row r="152" spans="53:68">
      <c r="BA152" s="1269" t="s">
        <v>1185</v>
      </c>
      <c r="BB152" s="1269" t="s">
        <v>1186</v>
      </c>
      <c r="BC152" s="1269" t="s">
        <v>864</v>
      </c>
      <c r="BD152" s="1269" t="s">
        <v>907</v>
      </c>
      <c r="BE152" s="1269"/>
      <c r="BF152" s="1269" t="s">
        <v>985</v>
      </c>
      <c r="BG152" s="1269" t="s">
        <v>868</v>
      </c>
      <c r="BH152" s="1269"/>
      <c r="BI152" s="1270" t="s">
        <v>990</v>
      </c>
      <c r="BJ152" s="1270"/>
      <c r="BK152" s="1270"/>
      <c r="BL152" s="1269" t="s">
        <v>1175</v>
      </c>
      <c r="BM152" s="1269"/>
      <c r="BN152" s="1269" t="s">
        <v>1190</v>
      </c>
      <c r="BO152" s="1272">
        <v>36077</v>
      </c>
      <c r="BP152" s="1269" t="s">
        <v>1191</v>
      </c>
    </row>
    <row r="153" spans="53:68">
      <c r="BA153" s="1269" t="s">
        <v>1185</v>
      </c>
      <c r="BB153" s="1269" t="s">
        <v>1186</v>
      </c>
      <c r="BC153" s="1269" t="s">
        <v>864</v>
      </c>
      <c r="BD153" s="1269" t="s">
        <v>907</v>
      </c>
      <c r="BE153" s="1269"/>
      <c r="BF153" s="1269" t="s">
        <v>985</v>
      </c>
      <c r="BG153" s="1269" t="s">
        <v>868</v>
      </c>
      <c r="BH153" s="1269"/>
      <c r="BI153" s="1270" t="s">
        <v>894</v>
      </c>
      <c r="BJ153" s="1270"/>
      <c r="BK153" s="1270"/>
      <c r="BL153" s="1269" t="s">
        <v>1175</v>
      </c>
      <c r="BM153" s="1269"/>
      <c r="BN153" s="1269" t="s">
        <v>1190</v>
      </c>
      <c r="BO153" s="1272">
        <v>36077</v>
      </c>
      <c r="BP153" s="1269" t="s">
        <v>1192</v>
      </c>
    </row>
    <row r="154" spans="53:68">
      <c r="BA154" s="1269" t="s">
        <v>1185</v>
      </c>
      <c r="BB154" s="1269" t="s">
        <v>1186</v>
      </c>
      <c r="BC154" s="1269" t="s">
        <v>864</v>
      </c>
      <c r="BD154" s="1269" t="s">
        <v>907</v>
      </c>
      <c r="BE154" s="1269"/>
      <c r="BF154" s="1269" t="s">
        <v>985</v>
      </c>
      <c r="BG154" s="1269" t="s">
        <v>868</v>
      </c>
      <c r="BH154" s="1269"/>
      <c r="BI154" s="1270" t="s">
        <v>988</v>
      </c>
      <c r="BJ154" s="1270"/>
      <c r="BK154" s="1270"/>
      <c r="BL154" s="1269" t="s">
        <v>1175</v>
      </c>
      <c r="BM154" s="1269"/>
      <c r="BN154" s="1269" t="s">
        <v>1190</v>
      </c>
      <c r="BO154" s="1272">
        <v>36077</v>
      </c>
      <c r="BP154" s="1269" t="s">
        <v>1193</v>
      </c>
    </row>
    <row r="155" spans="53:68">
      <c r="BA155" s="1269" t="s">
        <v>1194</v>
      </c>
      <c r="BB155" s="1269" t="s">
        <v>1195</v>
      </c>
      <c r="BC155" s="1269" t="s">
        <v>889</v>
      </c>
      <c r="BD155" s="1269" t="s">
        <v>907</v>
      </c>
      <c r="BE155" s="1269" t="s">
        <v>1196</v>
      </c>
      <c r="BF155" s="1269" t="s">
        <v>1197</v>
      </c>
      <c r="BG155" s="1269"/>
      <c r="BH155" s="1269"/>
      <c r="BI155" s="1270" t="s">
        <v>894</v>
      </c>
      <c r="BJ155" s="1270">
        <v>75</v>
      </c>
      <c r="BK155" s="1270"/>
      <c r="BL155" s="1269" t="s">
        <v>870</v>
      </c>
      <c r="BM155" s="1269"/>
      <c r="BN155" s="1269" t="s">
        <v>1180</v>
      </c>
      <c r="BO155" s="1272">
        <v>39953</v>
      </c>
      <c r="BP155" s="1269" t="s">
        <v>1198</v>
      </c>
    </row>
    <row r="156" spans="53:68">
      <c r="BA156" s="1269" t="s">
        <v>1194</v>
      </c>
      <c r="BB156" s="1269" t="s">
        <v>1195</v>
      </c>
      <c r="BC156" s="1269" t="s">
        <v>889</v>
      </c>
      <c r="BD156" s="1269" t="s">
        <v>907</v>
      </c>
      <c r="BE156" s="1269" t="s">
        <v>1196</v>
      </c>
      <c r="BF156" s="1269" t="s">
        <v>1199</v>
      </c>
      <c r="BG156" s="1269"/>
      <c r="BH156" s="1269"/>
      <c r="BI156" s="1270">
        <v>1</v>
      </c>
      <c r="BJ156" s="1270">
        <v>15</v>
      </c>
      <c r="BK156" s="1270"/>
      <c r="BL156" s="1269" t="s">
        <v>870</v>
      </c>
      <c r="BM156" s="1269"/>
      <c r="BN156" s="1269" t="s">
        <v>1180</v>
      </c>
      <c r="BO156" s="1272">
        <v>39953</v>
      </c>
      <c r="BP156" s="1269" t="s">
        <v>1198</v>
      </c>
    </row>
    <row r="157" spans="53:68">
      <c r="BA157" s="1269" t="s">
        <v>1194</v>
      </c>
      <c r="BB157" s="1269" t="s">
        <v>1195</v>
      </c>
      <c r="BC157" s="1269" t="s">
        <v>889</v>
      </c>
      <c r="BD157" s="1269" t="s">
        <v>907</v>
      </c>
      <c r="BE157" s="1269" t="s">
        <v>1200</v>
      </c>
      <c r="BF157" s="1269" t="s">
        <v>1201</v>
      </c>
      <c r="BG157" s="1269"/>
      <c r="BH157" s="1269"/>
      <c r="BI157" s="1270" t="s">
        <v>894</v>
      </c>
      <c r="BJ157" s="1270">
        <v>57.7</v>
      </c>
      <c r="BK157" s="1270"/>
      <c r="BL157" s="1269" t="s">
        <v>884</v>
      </c>
      <c r="BM157" s="1269"/>
      <c r="BN157" s="1269" t="s">
        <v>1190</v>
      </c>
      <c r="BO157" s="1272">
        <v>40002</v>
      </c>
      <c r="BP157" s="1269" t="s">
        <v>1202</v>
      </c>
    </row>
    <row r="158" spans="53:68">
      <c r="BA158" s="1269" t="s">
        <v>1194</v>
      </c>
      <c r="BB158" s="1269" t="s">
        <v>1195</v>
      </c>
      <c r="BC158" s="1269" t="s">
        <v>889</v>
      </c>
      <c r="BD158" s="1269" t="s">
        <v>907</v>
      </c>
      <c r="BE158" s="1269" t="s">
        <v>1200</v>
      </c>
      <c r="BF158" s="1269" t="s">
        <v>1199</v>
      </c>
      <c r="BG158" s="1269"/>
      <c r="BH158" s="1269"/>
      <c r="BI158" s="1270">
        <v>1</v>
      </c>
      <c r="BJ158" s="1270">
        <v>11.5</v>
      </c>
      <c r="BK158" s="1270"/>
      <c r="BL158" s="1269" t="s">
        <v>884</v>
      </c>
      <c r="BM158" s="1269"/>
      <c r="BN158" s="1269" t="s">
        <v>1190</v>
      </c>
      <c r="BO158" s="1272">
        <v>40002</v>
      </c>
      <c r="BP158" s="1269" t="s">
        <v>1202</v>
      </c>
    </row>
    <row r="159" spans="53:68">
      <c r="BA159" s="1269" t="s">
        <v>1194</v>
      </c>
      <c r="BB159" s="1269" t="s">
        <v>1195</v>
      </c>
      <c r="BC159" s="1269" t="s">
        <v>889</v>
      </c>
      <c r="BD159" s="1269" t="s">
        <v>907</v>
      </c>
      <c r="BE159" s="1269" t="s">
        <v>1200</v>
      </c>
      <c r="BF159" s="1269" t="s">
        <v>1203</v>
      </c>
      <c r="BG159" s="1269"/>
      <c r="BH159" s="1269"/>
      <c r="BI159" s="1270">
        <v>1</v>
      </c>
      <c r="BJ159" s="1270">
        <v>9.6999999999999993</v>
      </c>
      <c r="BK159" s="1270"/>
      <c r="BL159" s="1269" t="s">
        <v>884</v>
      </c>
      <c r="BM159" s="1269"/>
      <c r="BN159" s="1269" t="s">
        <v>1190</v>
      </c>
      <c r="BO159" s="1272">
        <v>40002</v>
      </c>
      <c r="BP159" s="1269" t="s">
        <v>1202</v>
      </c>
    </row>
    <row r="160" spans="53:68">
      <c r="BA160" s="1269" t="s">
        <v>1194</v>
      </c>
      <c r="BB160" s="1269" t="s">
        <v>1195</v>
      </c>
      <c r="BC160" s="1269" t="s">
        <v>889</v>
      </c>
      <c r="BD160" s="1269" t="s">
        <v>907</v>
      </c>
      <c r="BE160" s="1269" t="s">
        <v>1200</v>
      </c>
      <c r="BF160" s="1269" t="s">
        <v>1204</v>
      </c>
      <c r="BG160" s="1269"/>
      <c r="BH160" s="1269"/>
      <c r="BI160" s="1270" t="s">
        <v>988</v>
      </c>
      <c r="BJ160" s="1270">
        <v>28.8</v>
      </c>
      <c r="BK160" s="1270"/>
      <c r="BL160" s="1269" t="s">
        <v>884</v>
      </c>
      <c r="BM160" s="1269"/>
      <c r="BN160" s="1269" t="s">
        <v>1190</v>
      </c>
      <c r="BO160" s="1272">
        <v>40002</v>
      </c>
      <c r="BP160" s="1269" t="s">
        <v>1205</v>
      </c>
    </row>
    <row r="161" spans="53:68">
      <c r="BA161" s="1269" t="s">
        <v>1194</v>
      </c>
      <c r="BB161" s="1269" t="s">
        <v>1195</v>
      </c>
      <c r="BC161" s="1269" t="s">
        <v>889</v>
      </c>
      <c r="BD161" s="1269" t="s">
        <v>907</v>
      </c>
      <c r="BE161" s="1269" t="s">
        <v>1200</v>
      </c>
      <c r="BF161" s="1269" t="s">
        <v>1206</v>
      </c>
      <c r="BG161" s="1269"/>
      <c r="BH161" s="1269"/>
      <c r="BI161" s="1270">
        <v>2</v>
      </c>
      <c r="BJ161" s="1270">
        <v>5.7</v>
      </c>
      <c r="BK161" s="1270"/>
      <c r="BL161" s="1269" t="s">
        <v>884</v>
      </c>
      <c r="BM161" s="1269" t="s">
        <v>5</v>
      </c>
      <c r="BN161" s="1269" t="s">
        <v>1190</v>
      </c>
      <c r="BO161" s="1272">
        <v>40002</v>
      </c>
      <c r="BP161" s="1269" t="s">
        <v>1205</v>
      </c>
    </row>
    <row r="162" spans="53:68">
      <c r="BA162" s="1269" t="s">
        <v>1194</v>
      </c>
      <c r="BB162" s="1269" t="s">
        <v>1195</v>
      </c>
      <c r="BC162" s="1269" t="s">
        <v>889</v>
      </c>
      <c r="BD162" s="1269" t="s">
        <v>907</v>
      </c>
      <c r="BE162" s="1269" t="s">
        <v>1200</v>
      </c>
      <c r="BF162" s="1269" t="s">
        <v>1207</v>
      </c>
      <c r="BG162" s="1269"/>
      <c r="BH162" s="1269"/>
      <c r="BI162" s="1270">
        <v>2</v>
      </c>
      <c r="BJ162" s="1270">
        <v>4.8</v>
      </c>
      <c r="BK162" s="1270"/>
      <c r="BL162" s="1269" t="s">
        <v>884</v>
      </c>
      <c r="BM162" s="1269" t="s">
        <v>5</v>
      </c>
      <c r="BN162" s="1269" t="s">
        <v>1190</v>
      </c>
      <c r="BO162" s="1272">
        <v>40002</v>
      </c>
      <c r="BP162" s="1269" t="s">
        <v>1205</v>
      </c>
    </row>
    <row r="163" spans="53:68">
      <c r="BA163" s="1269" t="s">
        <v>1208</v>
      </c>
      <c r="BB163" s="1269" t="s">
        <v>1209</v>
      </c>
      <c r="BC163" s="1269" t="s">
        <v>889</v>
      </c>
      <c r="BD163" s="1269" t="s">
        <v>907</v>
      </c>
      <c r="BE163" s="1269" t="s">
        <v>1210</v>
      </c>
      <c r="BF163" s="1269" t="s">
        <v>1211</v>
      </c>
      <c r="BG163" s="1269"/>
      <c r="BH163" s="1269" t="s">
        <v>945</v>
      </c>
      <c r="BI163" s="1270" t="s">
        <v>946</v>
      </c>
      <c r="BJ163" s="1270">
        <v>107.40599999999999</v>
      </c>
      <c r="BK163" s="1270"/>
      <c r="BL163" s="1269" t="s">
        <v>895</v>
      </c>
      <c r="BM163" s="1269"/>
      <c r="BN163" s="1269" t="s">
        <v>914</v>
      </c>
      <c r="BO163" s="1272"/>
      <c r="BP163" s="1269" t="s">
        <v>1212</v>
      </c>
    </row>
    <row r="164" spans="53:68">
      <c r="BA164" s="1269" t="s">
        <v>1208</v>
      </c>
      <c r="BB164" s="1269" t="s">
        <v>1209</v>
      </c>
      <c r="BC164" s="1269" t="s">
        <v>889</v>
      </c>
      <c r="BD164" s="1269" t="s">
        <v>907</v>
      </c>
      <c r="BE164" s="1269" t="s">
        <v>1210</v>
      </c>
      <c r="BF164" s="1269" t="s">
        <v>1132</v>
      </c>
      <c r="BG164" s="1269"/>
      <c r="BH164" s="1269"/>
      <c r="BI164" s="1270">
        <v>10</v>
      </c>
      <c r="BJ164" s="1270">
        <v>2.46</v>
      </c>
      <c r="BK164" s="1270"/>
      <c r="BL164" s="1269" t="s">
        <v>895</v>
      </c>
      <c r="BM164" s="1269" t="s">
        <v>5</v>
      </c>
      <c r="BN164" s="1269" t="s">
        <v>914</v>
      </c>
      <c r="BO164" s="1272">
        <v>38695</v>
      </c>
      <c r="BP164" s="1269" t="s">
        <v>1213</v>
      </c>
    </row>
    <row r="165" spans="53:68">
      <c r="BA165" s="1269" t="s">
        <v>1208</v>
      </c>
      <c r="BB165" s="1269" t="s">
        <v>1209</v>
      </c>
      <c r="BC165" s="1269" t="s">
        <v>889</v>
      </c>
      <c r="BD165" s="1269" t="s">
        <v>907</v>
      </c>
      <c r="BE165" s="1269" t="s">
        <v>1214</v>
      </c>
      <c r="BF165" s="1269" t="s">
        <v>1215</v>
      </c>
      <c r="BG165" s="1269"/>
      <c r="BH165" s="1269"/>
      <c r="BI165" s="1270">
        <v>1</v>
      </c>
      <c r="BJ165" s="1270">
        <v>15.7</v>
      </c>
      <c r="BK165" s="1270"/>
      <c r="BL165" s="1269" t="s">
        <v>963</v>
      </c>
      <c r="BM165" s="1269"/>
      <c r="BN165" s="1269" t="s">
        <v>1216</v>
      </c>
      <c r="BO165" s="1272">
        <v>40518</v>
      </c>
      <c r="BP165" s="1269" t="s">
        <v>1217</v>
      </c>
    </row>
    <row r="166" spans="53:68">
      <c r="BA166" s="1269" t="s">
        <v>1208</v>
      </c>
      <c r="BB166" s="1269" t="s">
        <v>1209</v>
      </c>
      <c r="BC166" s="1269" t="s">
        <v>889</v>
      </c>
      <c r="BD166" s="1269" t="s">
        <v>907</v>
      </c>
      <c r="BE166" s="1269" t="s">
        <v>1218</v>
      </c>
      <c r="BF166" s="1269" t="s">
        <v>1219</v>
      </c>
      <c r="BG166" s="1269"/>
      <c r="BH166" s="1269"/>
      <c r="BI166" s="1270">
        <v>1</v>
      </c>
      <c r="BJ166" s="1270">
        <v>9.6</v>
      </c>
      <c r="BK166" s="1270"/>
      <c r="BL166" s="1269" t="s">
        <v>1172</v>
      </c>
      <c r="BM166" s="1269"/>
      <c r="BN166" s="1269" t="s">
        <v>1190</v>
      </c>
      <c r="BO166" s="1272">
        <v>40395</v>
      </c>
      <c r="BP166" s="1269" t="s">
        <v>1220</v>
      </c>
    </row>
    <row r="167" spans="53:68">
      <c r="BA167" s="1269" t="s">
        <v>1208</v>
      </c>
      <c r="BB167" s="1269" t="s">
        <v>1209</v>
      </c>
      <c r="BC167" s="1269" t="s">
        <v>889</v>
      </c>
      <c r="BD167" s="1269" t="s">
        <v>907</v>
      </c>
      <c r="BE167" s="1269" t="s">
        <v>1218</v>
      </c>
      <c r="BF167" s="1269" t="s">
        <v>1219</v>
      </c>
      <c r="BG167" s="1269"/>
      <c r="BH167" s="1269"/>
      <c r="BI167" s="1270">
        <v>2</v>
      </c>
      <c r="BJ167" s="1270">
        <v>4.4000000000000004</v>
      </c>
      <c r="BK167" s="1270"/>
      <c r="BL167" s="1269" t="s">
        <v>1172</v>
      </c>
      <c r="BM167" s="1269" t="s">
        <v>5</v>
      </c>
      <c r="BN167" s="1269" t="s">
        <v>1190</v>
      </c>
      <c r="BO167" s="1272">
        <v>40395</v>
      </c>
      <c r="BP167" s="1269" t="s">
        <v>1221</v>
      </c>
    </row>
    <row r="168" spans="53:68">
      <c r="BA168" s="1269" t="s">
        <v>1208</v>
      </c>
      <c r="BB168" s="1269" t="s">
        <v>1209</v>
      </c>
      <c r="BC168" s="1269" t="s">
        <v>889</v>
      </c>
      <c r="BD168" s="1269" t="s">
        <v>907</v>
      </c>
      <c r="BE168" s="1269" t="s">
        <v>1222</v>
      </c>
      <c r="BF168" s="1269" t="s">
        <v>1223</v>
      </c>
      <c r="BG168" s="1269"/>
      <c r="BH168" s="1269"/>
      <c r="BI168" s="1270" t="s">
        <v>894</v>
      </c>
      <c r="BJ168" s="1270">
        <v>101.4</v>
      </c>
      <c r="BK168" s="1270"/>
      <c r="BL168" s="1269" t="s">
        <v>963</v>
      </c>
      <c r="BM168" s="1269"/>
      <c r="BN168" s="1269" t="s">
        <v>885</v>
      </c>
      <c r="BO168" s="1272">
        <v>40535</v>
      </c>
      <c r="BP168" s="1269" t="s">
        <v>1224</v>
      </c>
    </row>
    <row r="169" spans="53:68">
      <c r="BA169" s="1269" t="s">
        <v>1208</v>
      </c>
      <c r="BB169" s="1269" t="s">
        <v>1209</v>
      </c>
      <c r="BC169" s="1269" t="s">
        <v>889</v>
      </c>
      <c r="BD169" s="1269" t="s">
        <v>907</v>
      </c>
      <c r="BE169" s="1269" t="s">
        <v>1222</v>
      </c>
      <c r="BF169" s="1269" t="s">
        <v>916</v>
      </c>
      <c r="BG169" s="1269"/>
      <c r="BH169" s="1269"/>
      <c r="BI169" s="1270" t="s">
        <v>894</v>
      </c>
      <c r="BJ169" s="1270">
        <v>26.8</v>
      </c>
      <c r="BK169" s="1270"/>
      <c r="BL169" s="1269" t="s">
        <v>963</v>
      </c>
      <c r="BM169" s="1269"/>
      <c r="BN169" s="1269" t="s">
        <v>885</v>
      </c>
      <c r="BO169" s="1272">
        <v>40535</v>
      </c>
      <c r="BP169" s="1269" t="s">
        <v>1224</v>
      </c>
    </row>
    <row r="170" spans="53:68">
      <c r="BA170" s="1269" t="s">
        <v>1208</v>
      </c>
      <c r="BB170" s="1269" t="s">
        <v>1209</v>
      </c>
      <c r="BC170" s="1269" t="s">
        <v>889</v>
      </c>
      <c r="BD170" s="1269" t="s">
        <v>907</v>
      </c>
      <c r="BE170" s="1269" t="s">
        <v>1222</v>
      </c>
      <c r="BF170" s="1269" t="s">
        <v>1225</v>
      </c>
      <c r="BG170" s="1269"/>
      <c r="BH170" s="1269"/>
      <c r="BI170" s="1270">
        <v>1</v>
      </c>
      <c r="BJ170" s="1270">
        <v>12.9</v>
      </c>
      <c r="BK170" s="1270"/>
      <c r="BL170" s="1269" t="s">
        <v>963</v>
      </c>
      <c r="BM170" s="1269"/>
      <c r="BN170" s="1269" t="s">
        <v>885</v>
      </c>
      <c r="BO170" s="1272">
        <v>40535</v>
      </c>
      <c r="BP170" s="1269" t="s">
        <v>1224</v>
      </c>
    </row>
    <row r="171" spans="53:68">
      <c r="BA171" s="1269" t="s">
        <v>1208</v>
      </c>
      <c r="BB171" s="1269" t="s">
        <v>1209</v>
      </c>
      <c r="BC171" s="1269" t="s">
        <v>889</v>
      </c>
      <c r="BD171" s="1269" t="s">
        <v>907</v>
      </c>
      <c r="BE171" s="1269" t="s">
        <v>1214</v>
      </c>
      <c r="BF171" s="1269" t="s">
        <v>1226</v>
      </c>
      <c r="BG171" s="1269"/>
      <c r="BH171" s="1269"/>
      <c r="BI171" s="1270">
        <v>5</v>
      </c>
      <c r="BJ171" s="1270">
        <v>4</v>
      </c>
      <c r="BK171" s="1270"/>
      <c r="BL171" s="1269" t="s">
        <v>963</v>
      </c>
      <c r="BM171" s="1269" t="s">
        <v>5</v>
      </c>
      <c r="BN171" s="1269" t="s">
        <v>1227</v>
      </c>
      <c r="BO171" s="1272">
        <v>41971</v>
      </c>
      <c r="BP171" s="1269" t="s">
        <v>1228</v>
      </c>
    </row>
    <row r="172" spans="53:68">
      <c r="BA172" s="1269" t="s">
        <v>1208</v>
      </c>
      <c r="BB172" s="1269" t="s">
        <v>1209</v>
      </c>
      <c r="BC172" s="1269" t="s">
        <v>889</v>
      </c>
      <c r="BD172" s="1269" t="s">
        <v>907</v>
      </c>
      <c r="BE172" s="1269" t="s">
        <v>1214</v>
      </c>
      <c r="BF172" s="1269" t="s">
        <v>1226</v>
      </c>
      <c r="BG172" s="1269"/>
      <c r="BH172" s="1269"/>
      <c r="BI172" s="1270" t="s">
        <v>1229</v>
      </c>
      <c r="BJ172" s="1270">
        <v>14.673214285714286</v>
      </c>
      <c r="BK172" s="1270"/>
      <c r="BL172" s="1269" t="s">
        <v>963</v>
      </c>
      <c r="BM172" s="1269" t="s">
        <v>5</v>
      </c>
      <c r="BN172" s="1269" t="s">
        <v>1227</v>
      </c>
      <c r="BO172" s="1272">
        <v>41971</v>
      </c>
      <c r="BP172" s="1269" t="s">
        <v>1228</v>
      </c>
    </row>
    <row r="173" spans="53:68">
      <c r="BA173" s="1269" t="s">
        <v>1230</v>
      </c>
      <c r="BB173" s="1269" t="s">
        <v>1231</v>
      </c>
      <c r="BC173" s="1269" t="s">
        <v>889</v>
      </c>
      <c r="BD173" s="1269" t="s">
        <v>1232</v>
      </c>
      <c r="BE173" s="1269" t="s">
        <v>1233</v>
      </c>
      <c r="BF173" s="1269" t="s">
        <v>1234</v>
      </c>
      <c r="BG173" s="1269"/>
      <c r="BH173" s="1269"/>
      <c r="BI173" s="1270" t="s">
        <v>894</v>
      </c>
      <c r="BJ173" s="1270">
        <v>34.375</v>
      </c>
      <c r="BK173" s="1270"/>
      <c r="BL173" s="1269" t="s">
        <v>120</v>
      </c>
      <c r="BM173" s="1269"/>
      <c r="BN173" s="1269" t="s">
        <v>952</v>
      </c>
      <c r="BO173" s="1272"/>
      <c r="BP173" s="1269" t="s">
        <v>947</v>
      </c>
    </row>
    <row r="174" spans="53:68">
      <c r="BA174" s="1269" t="s">
        <v>1230</v>
      </c>
      <c r="BB174" s="1269" t="s">
        <v>1231</v>
      </c>
      <c r="BC174" s="1269" t="s">
        <v>889</v>
      </c>
      <c r="BD174" s="1269" t="s">
        <v>1232</v>
      </c>
      <c r="BE174" s="1269" t="s">
        <v>1233</v>
      </c>
      <c r="BF174" s="1269" t="s">
        <v>1235</v>
      </c>
      <c r="BG174" s="1269"/>
      <c r="BH174" s="1269"/>
      <c r="BI174" s="1270">
        <v>5</v>
      </c>
      <c r="BJ174" s="1270">
        <v>6.875</v>
      </c>
      <c r="BK174" s="1270"/>
      <c r="BL174" s="1269" t="s">
        <v>120</v>
      </c>
      <c r="BM174" s="1269" t="s">
        <v>834</v>
      </c>
      <c r="BN174" s="1269" t="s">
        <v>952</v>
      </c>
      <c r="BO174" s="1272"/>
      <c r="BP174" s="1269" t="s">
        <v>947</v>
      </c>
    </row>
    <row r="175" spans="53:68">
      <c r="BA175" s="1269" t="s">
        <v>1230</v>
      </c>
      <c r="BB175" s="1269" t="s">
        <v>1231</v>
      </c>
      <c r="BC175" s="1269" t="s">
        <v>889</v>
      </c>
      <c r="BD175" s="1269" t="s">
        <v>1232</v>
      </c>
      <c r="BE175" s="1269" t="s">
        <v>1233</v>
      </c>
      <c r="BF175" s="1269" t="s">
        <v>1236</v>
      </c>
      <c r="BG175" s="1269"/>
      <c r="BH175" s="1269"/>
      <c r="BI175" s="1270">
        <v>10</v>
      </c>
      <c r="BJ175" s="1270">
        <v>3.4375</v>
      </c>
      <c r="BK175" s="1270"/>
      <c r="BL175" s="1269" t="s">
        <v>120</v>
      </c>
      <c r="BM175" s="1269" t="s">
        <v>834</v>
      </c>
      <c r="BN175" s="1269" t="s">
        <v>952</v>
      </c>
      <c r="BO175" s="1272"/>
      <c r="BP175" s="1269" t="s">
        <v>947</v>
      </c>
    </row>
    <row r="176" spans="53:68">
      <c r="BA176" s="1269" t="s">
        <v>1230</v>
      </c>
      <c r="BB176" s="1269" t="s">
        <v>1231</v>
      </c>
      <c r="BC176" s="1269" t="s">
        <v>889</v>
      </c>
      <c r="BD176" s="1269" t="s">
        <v>1232</v>
      </c>
      <c r="BE176" s="1269" t="s">
        <v>1237</v>
      </c>
      <c r="BF176" s="1269" t="s">
        <v>1238</v>
      </c>
      <c r="BG176" s="1269"/>
      <c r="BH176" s="1269"/>
      <c r="BI176" s="1270">
        <v>1</v>
      </c>
      <c r="BJ176" s="1270">
        <v>14.7</v>
      </c>
      <c r="BK176" s="1270"/>
      <c r="BL176" s="1269" t="s">
        <v>963</v>
      </c>
      <c r="BM176" s="1269"/>
      <c r="BN176" s="1269" t="s">
        <v>1005</v>
      </c>
      <c r="BO176" s="1272">
        <v>41467</v>
      </c>
      <c r="BP176" s="1269" t="s">
        <v>1239</v>
      </c>
    </row>
    <row r="177" spans="53:68">
      <c r="BA177" s="1269" t="s">
        <v>1230</v>
      </c>
      <c r="BB177" s="1269" t="s">
        <v>1240</v>
      </c>
      <c r="BC177" s="1269" t="s">
        <v>864</v>
      </c>
      <c r="BD177" s="1269" t="s">
        <v>1232</v>
      </c>
      <c r="BE177" s="1269"/>
      <c r="BF177" s="1269" t="s">
        <v>1241</v>
      </c>
      <c r="BG177" s="1269" t="s">
        <v>868</v>
      </c>
      <c r="BH177" s="1269"/>
      <c r="BI177" s="1270">
        <v>10</v>
      </c>
      <c r="BJ177" s="1270">
        <v>8.1</v>
      </c>
      <c r="BK177" s="1270">
        <v>8.1</v>
      </c>
      <c r="BL177" s="1269"/>
      <c r="BM177" s="1269" t="s">
        <v>5</v>
      </c>
      <c r="BN177" s="1269" t="s">
        <v>1242</v>
      </c>
      <c r="BO177" s="1272"/>
      <c r="BP177" s="1269"/>
    </row>
    <row r="178" spans="53:68">
      <c r="BA178" s="1269" t="s">
        <v>1230</v>
      </c>
      <c r="BB178" s="1269" t="s">
        <v>1240</v>
      </c>
      <c r="BC178" s="1269" t="s">
        <v>864</v>
      </c>
      <c r="BD178" s="1269" t="s">
        <v>1232</v>
      </c>
      <c r="BE178" s="1269" t="s">
        <v>1243</v>
      </c>
      <c r="BF178" s="1269" t="s">
        <v>1244</v>
      </c>
      <c r="BG178" s="1269" t="s">
        <v>868</v>
      </c>
      <c r="BH178" s="1269"/>
      <c r="BI178" s="1270">
        <v>1</v>
      </c>
      <c r="BJ178" s="1270">
        <v>21.239849999999997</v>
      </c>
      <c r="BK178" s="1270">
        <v>15.939</v>
      </c>
      <c r="BL178" s="1269" t="s">
        <v>1172</v>
      </c>
      <c r="BM178" s="1269"/>
      <c r="BN178" s="1269" t="s">
        <v>1245</v>
      </c>
      <c r="BO178" s="1272">
        <v>41556</v>
      </c>
      <c r="BP178" s="1269" t="s">
        <v>1246</v>
      </c>
    </row>
    <row r="179" spans="53:68">
      <c r="BA179" s="1269" t="s">
        <v>1230</v>
      </c>
      <c r="BB179" s="1269" t="s">
        <v>1240</v>
      </c>
      <c r="BC179" s="1269" t="s">
        <v>864</v>
      </c>
      <c r="BD179" s="1269" t="s">
        <v>1232</v>
      </c>
      <c r="BE179" s="1269" t="s">
        <v>1243</v>
      </c>
      <c r="BF179" s="1269" t="s">
        <v>1247</v>
      </c>
      <c r="BG179" s="1269" t="s">
        <v>868</v>
      </c>
      <c r="BH179" s="1269"/>
      <c r="BI179" s="1270">
        <v>5</v>
      </c>
      <c r="BJ179" s="1270">
        <v>4.2479699999999996</v>
      </c>
      <c r="BK179" s="1270">
        <v>4.2479699999999996</v>
      </c>
      <c r="BL179" s="1269" t="s">
        <v>1172</v>
      </c>
      <c r="BM179" s="1269" t="s">
        <v>5</v>
      </c>
      <c r="BN179" s="1269" t="s">
        <v>1245</v>
      </c>
      <c r="BO179" s="1272">
        <v>41556</v>
      </c>
      <c r="BP179" s="1269" t="s">
        <v>1248</v>
      </c>
    </row>
    <row r="180" spans="53:68">
      <c r="BA180" s="1269" t="s">
        <v>1249</v>
      </c>
      <c r="BB180" s="1269" t="s">
        <v>1250</v>
      </c>
      <c r="BC180" s="1269" t="s">
        <v>864</v>
      </c>
      <c r="BD180" s="1269" t="s">
        <v>1232</v>
      </c>
      <c r="BE180" s="1269"/>
      <c r="BF180" s="1269" t="s">
        <v>1241</v>
      </c>
      <c r="BG180" s="1269" t="s">
        <v>868</v>
      </c>
      <c r="BH180" s="1269"/>
      <c r="BI180" s="1270">
        <v>1</v>
      </c>
      <c r="BJ180" s="1270">
        <v>9.3000000000000007</v>
      </c>
      <c r="BK180" s="1270"/>
      <c r="BL180" s="1269"/>
      <c r="BM180" s="1269"/>
      <c r="BN180" s="1269" t="s">
        <v>960</v>
      </c>
      <c r="BO180" s="1272"/>
      <c r="BP180" s="1269"/>
    </row>
    <row r="181" spans="53:68">
      <c r="BA181" s="1269" t="s">
        <v>1249</v>
      </c>
      <c r="BB181" s="1269" t="s">
        <v>1250</v>
      </c>
      <c r="BC181" s="1269" t="s">
        <v>864</v>
      </c>
      <c r="BD181" s="1269" t="s">
        <v>1232</v>
      </c>
      <c r="BE181" s="1269" t="s">
        <v>1251</v>
      </c>
      <c r="BF181" s="1269" t="s">
        <v>1252</v>
      </c>
      <c r="BG181" s="1269" t="s">
        <v>1253</v>
      </c>
      <c r="BH181" s="1269"/>
      <c r="BI181" s="1270">
        <v>1</v>
      </c>
      <c r="BJ181" s="1270">
        <v>26.11</v>
      </c>
      <c r="BK181" s="1270">
        <v>26.1</v>
      </c>
      <c r="BL181" s="1269" t="s">
        <v>884</v>
      </c>
      <c r="BM181" s="1269"/>
      <c r="BN181" s="1269" t="s">
        <v>880</v>
      </c>
      <c r="BO181" s="1272">
        <v>34015</v>
      </c>
      <c r="BP181" s="1269" t="s">
        <v>1254</v>
      </c>
    </row>
    <row r="182" spans="53:68">
      <c r="BA182" s="1269" t="s">
        <v>1249</v>
      </c>
      <c r="BB182" s="1269" t="s">
        <v>1250</v>
      </c>
      <c r="BC182" s="1269" t="s">
        <v>864</v>
      </c>
      <c r="BD182" s="1269" t="s">
        <v>1232</v>
      </c>
      <c r="BE182" s="1269" t="s">
        <v>1251</v>
      </c>
      <c r="BF182" s="1269" t="s">
        <v>1252</v>
      </c>
      <c r="BG182" s="1269" t="s">
        <v>868</v>
      </c>
      <c r="BH182" s="1269"/>
      <c r="BI182" s="1270">
        <v>2</v>
      </c>
      <c r="BJ182" s="1270">
        <v>13.1</v>
      </c>
      <c r="BK182" s="1270">
        <v>13.1</v>
      </c>
      <c r="BL182" s="1269" t="s">
        <v>884</v>
      </c>
      <c r="BM182" s="1269" t="s">
        <v>5</v>
      </c>
      <c r="BN182" s="1269" t="s">
        <v>880</v>
      </c>
      <c r="BO182" s="1272">
        <v>34015</v>
      </c>
      <c r="BP182" s="1269" t="s">
        <v>1255</v>
      </c>
    </row>
    <row r="183" spans="53:68">
      <c r="BA183" s="1269" t="s">
        <v>1249</v>
      </c>
      <c r="BB183" s="1269" t="s">
        <v>1250</v>
      </c>
      <c r="BC183" s="1269" t="s">
        <v>864</v>
      </c>
      <c r="BD183" s="1269" t="s">
        <v>1232</v>
      </c>
      <c r="BE183" s="1269" t="s">
        <v>1251</v>
      </c>
      <c r="BF183" s="1269" t="s">
        <v>1252</v>
      </c>
      <c r="BG183" s="1269" t="s">
        <v>868</v>
      </c>
      <c r="BH183" s="1269"/>
      <c r="BI183" s="1270">
        <v>5</v>
      </c>
      <c r="BJ183" s="1270">
        <v>5.22</v>
      </c>
      <c r="BK183" s="1270">
        <v>7</v>
      </c>
      <c r="BL183" s="1269" t="s">
        <v>884</v>
      </c>
      <c r="BM183" s="1269" t="s">
        <v>5</v>
      </c>
      <c r="BN183" s="1269" t="s">
        <v>880</v>
      </c>
      <c r="BO183" s="1272">
        <v>34015</v>
      </c>
      <c r="BP183" s="1269" t="s">
        <v>1256</v>
      </c>
    </row>
    <row r="184" spans="53:68">
      <c r="BA184" s="1269" t="s">
        <v>1249</v>
      </c>
      <c r="BB184" s="1269" t="s">
        <v>1250</v>
      </c>
      <c r="BC184" s="1269" t="s">
        <v>864</v>
      </c>
      <c r="BD184" s="1269" t="s">
        <v>1232</v>
      </c>
      <c r="BE184" s="1269" t="s">
        <v>1251</v>
      </c>
      <c r="BF184" s="1269" t="s">
        <v>1252</v>
      </c>
      <c r="BG184" s="1269" t="s">
        <v>868</v>
      </c>
      <c r="BH184" s="1269"/>
      <c r="BI184" s="1270">
        <v>10</v>
      </c>
      <c r="BJ184" s="1270">
        <v>2.6110000000000002</v>
      </c>
      <c r="BK184" s="1270">
        <v>4</v>
      </c>
      <c r="BL184" s="1269" t="s">
        <v>884</v>
      </c>
      <c r="BM184" s="1269" t="s">
        <v>5</v>
      </c>
      <c r="BN184" s="1269" t="s">
        <v>880</v>
      </c>
      <c r="BO184" s="1272">
        <v>34015</v>
      </c>
      <c r="BP184" s="1269" t="s">
        <v>1257</v>
      </c>
    </row>
    <row r="185" spans="53:68">
      <c r="BA185" s="1269" t="s">
        <v>1249</v>
      </c>
      <c r="BB185" s="1269" t="s">
        <v>1250</v>
      </c>
      <c r="BC185" s="1269" t="s">
        <v>864</v>
      </c>
      <c r="BD185" s="1269" t="s">
        <v>1232</v>
      </c>
      <c r="BE185" s="1269" t="s">
        <v>1258</v>
      </c>
      <c r="BF185" s="1269" t="s">
        <v>1259</v>
      </c>
      <c r="BG185" s="1269" t="s">
        <v>868</v>
      </c>
      <c r="BH185" s="1269"/>
      <c r="BI185" s="1270">
        <v>10</v>
      </c>
      <c r="BJ185" s="1270">
        <v>2.46</v>
      </c>
      <c r="BK185" s="1270">
        <v>4</v>
      </c>
      <c r="BL185" s="1269" t="s">
        <v>884</v>
      </c>
      <c r="BM185" s="1269" t="s">
        <v>5</v>
      </c>
      <c r="BN185" s="1269" t="s">
        <v>914</v>
      </c>
      <c r="BO185" s="1272">
        <v>37385</v>
      </c>
      <c r="BP185" s="1269" t="s">
        <v>1260</v>
      </c>
    </row>
    <row r="186" spans="53:68">
      <c r="BA186" s="1269" t="s">
        <v>1249</v>
      </c>
      <c r="BB186" s="1269" t="s">
        <v>1250</v>
      </c>
      <c r="BC186" s="1269" t="s">
        <v>864</v>
      </c>
      <c r="BD186" s="1269" t="s">
        <v>1232</v>
      </c>
      <c r="BE186" s="1269"/>
      <c r="BF186" s="1269" t="s">
        <v>1259</v>
      </c>
      <c r="BG186" s="1269" t="s">
        <v>868</v>
      </c>
      <c r="BH186" s="1269"/>
      <c r="BI186" s="1270">
        <v>10</v>
      </c>
      <c r="BJ186" s="1270">
        <v>2.13</v>
      </c>
      <c r="BK186" s="1270">
        <v>4</v>
      </c>
      <c r="BL186" s="1269" t="s">
        <v>884</v>
      </c>
      <c r="BM186" s="1269" t="s">
        <v>5</v>
      </c>
      <c r="BN186" s="1269" t="s">
        <v>1261</v>
      </c>
      <c r="BO186" s="1272">
        <v>40427</v>
      </c>
      <c r="BP186" s="1269" t="s">
        <v>1262</v>
      </c>
    </row>
    <row r="187" spans="53:68">
      <c r="BA187" s="1269" t="s">
        <v>1249</v>
      </c>
      <c r="BB187" s="1269" t="s">
        <v>1250</v>
      </c>
      <c r="BC187" s="1269" t="s">
        <v>864</v>
      </c>
      <c r="BD187" s="1269" t="s">
        <v>1232</v>
      </c>
      <c r="BE187" s="1269" t="s">
        <v>1263</v>
      </c>
      <c r="BF187" s="1269" t="s">
        <v>1264</v>
      </c>
      <c r="BG187" s="1269" t="s">
        <v>1265</v>
      </c>
      <c r="BH187" s="1269"/>
      <c r="BI187" s="1270" t="s">
        <v>990</v>
      </c>
      <c r="BJ187" s="1270"/>
      <c r="BK187" s="1270"/>
      <c r="BL187" s="1269" t="s">
        <v>963</v>
      </c>
      <c r="BM187" s="1269"/>
      <c r="BN187" s="1269" t="s">
        <v>939</v>
      </c>
      <c r="BO187" s="1272" t="s">
        <v>1266</v>
      </c>
      <c r="BP187" s="1269"/>
    </row>
    <row r="188" spans="53:68">
      <c r="BA188" s="1269" t="s">
        <v>1249</v>
      </c>
      <c r="BB188" s="1269" t="s">
        <v>1250</v>
      </c>
      <c r="BC188" s="1269" t="s">
        <v>864</v>
      </c>
      <c r="BD188" s="1269" t="s">
        <v>1232</v>
      </c>
      <c r="BE188" s="1269"/>
      <c r="BF188" s="1269" t="s">
        <v>1259</v>
      </c>
      <c r="BG188" s="1269" t="s">
        <v>868</v>
      </c>
      <c r="BH188" s="1269"/>
      <c r="BI188" s="1270">
        <v>10</v>
      </c>
      <c r="BJ188" s="1270">
        <v>1.3</v>
      </c>
      <c r="BK188" s="1270"/>
      <c r="BL188" s="1269" t="s">
        <v>884</v>
      </c>
      <c r="BM188" s="1269" t="s">
        <v>5</v>
      </c>
      <c r="BN188" s="1269" t="s">
        <v>919</v>
      </c>
      <c r="BO188" s="1272">
        <v>35529</v>
      </c>
      <c r="BP188" s="1269" t="s">
        <v>1267</v>
      </c>
    </row>
    <row r="189" spans="53:68">
      <c r="BA189" s="1269" t="s">
        <v>1249</v>
      </c>
      <c r="BB189" s="1269" t="s">
        <v>1250</v>
      </c>
      <c r="BC189" s="1269" t="s">
        <v>864</v>
      </c>
      <c r="BD189" s="1269" t="s">
        <v>1232</v>
      </c>
      <c r="BE189" s="1269"/>
      <c r="BF189" s="1269" t="s">
        <v>1268</v>
      </c>
      <c r="BG189" s="1269" t="s">
        <v>868</v>
      </c>
      <c r="BH189" s="1269"/>
      <c r="BI189" s="1270">
        <v>20</v>
      </c>
      <c r="BJ189" s="1270">
        <v>0.75</v>
      </c>
      <c r="BK189" s="1270"/>
      <c r="BL189" s="1269" t="s">
        <v>884</v>
      </c>
      <c r="BM189" s="1269" t="s">
        <v>5</v>
      </c>
      <c r="BN189" s="1269" t="s">
        <v>919</v>
      </c>
      <c r="BO189" s="1272">
        <v>38964</v>
      </c>
      <c r="BP189" s="1269" t="s">
        <v>1269</v>
      </c>
    </row>
    <row r="190" spans="53:68">
      <c r="BA190" s="1269" t="s">
        <v>1270</v>
      </c>
      <c r="BB190" s="1269" t="s">
        <v>1271</v>
      </c>
      <c r="BC190" s="1269" t="s">
        <v>864</v>
      </c>
      <c r="BD190" s="1269" t="s">
        <v>907</v>
      </c>
      <c r="BE190" s="1269" t="s">
        <v>1272</v>
      </c>
      <c r="BF190" s="1269" t="s">
        <v>1273</v>
      </c>
      <c r="BG190" s="1269" t="s">
        <v>868</v>
      </c>
      <c r="BH190" s="1269"/>
      <c r="BI190" s="1270">
        <v>10</v>
      </c>
      <c r="BJ190" s="1270">
        <v>2.6</v>
      </c>
      <c r="BK190" s="1270">
        <v>4</v>
      </c>
      <c r="BL190" s="1269" t="s">
        <v>870</v>
      </c>
      <c r="BM190" s="1269" t="s">
        <v>5</v>
      </c>
      <c r="BN190" s="1269" t="s">
        <v>880</v>
      </c>
      <c r="BO190" s="1272">
        <v>40352</v>
      </c>
      <c r="BP190" s="1269" t="s">
        <v>1274</v>
      </c>
    </row>
    <row r="191" spans="53:68">
      <c r="BA191" s="1269" t="s">
        <v>1275</v>
      </c>
      <c r="BB191" s="1269" t="s">
        <v>1271</v>
      </c>
      <c r="BC191" s="1269" t="s">
        <v>864</v>
      </c>
      <c r="BD191" s="1269" t="s">
        <v>907</v>
      </c>
      <c r="BE191" s="1269" t="s">
        <v>1272</v>
      </c>
      <c r="BF191" s="1269" t="s">
        <v>1273</v>
      </c>
      <c r="BG191" s="1269" t="s">
        <v>868</v>
      </c>
      <c r="BH191" s="1269"/>
      <c r="BI191" s="1270">
        <v>10</v>
      </c>
      <c r="BJ191" s="1270">
        <v>2.6</v>
      </c>
      <c r="BK191" s="1270">
        <v>4</v>
      </c>
      <c r="BL191" s="1269" t="s">
        <v>870</v>
      </c>
      <c r="BM191" s="1269" t="s">
        <v>5</v>
      </c>
      <c r="BN191" s="1269" t="s">
        <v>880</v>
      </c>
      <c r="BO191" s="1272">
        <v>42003</v>
      </c>
      <c r="BP191" s="1269" t="s">
        <v>1276</v>
      </c>
    </row>
    <row r="192" spans="53:68">
      <c r="BA192" s="1269" t="s">
        <v>1277</v>
      </c>
      <c r="BB192" s="1269" t="s">
        <v>1278</v>
      </c>
      <c r="BC192" s="1269" t="s">
        <v>864</v>
      </c>
      <c r="BD192" s="1269" t="s">
        <v>1232</v>
      </c>
      <c r="BE192" s="1269" t="s">
        <v>1279</v>
      </c>
      <c r="BF192" s="1269" t="s">
        <v>1280</v>
      </c>
      <c r="BG192" s="1269" t="s">
        <v>1253</v>
      </c>
      <c r="BH192" s="1269" t="s">
        <v>945</v>
      </c>
      <c r="BI192" s="1270" t="s">
        <v>946</v>
      </c>
      <c r="BJ192" s="1270">
        <v>138.006</v>
      </c>
      <c r="BK192" s="1270"/>
      <c r="BL192" s="1269" t="s">
        <v>120</v>
      </c>
      <c r="BM192" s="1269"/>
      <c r="BN192" s="1269" t="s">
        <v>939</v>
      </c>
      <c r="BO192" s="1272"/>
      <c r="BP192" s="1269" t="s">
        <v>947</v>
      </c>
    </row>
    <row r="193" spans="53:68">
      <c r="BA193" s="1269" t="s">
        <v>1281</v>
      </c>
      <c r="BB193" s="1269" t="s">
        <v>1282</v>
      </c>
      <c r="BC193" s="1269" t="s">
        <v>889</v>
      </c>
      <c r="BD193" s="1269" t="s">
        <v>890</v>
      </c>
      <c r="BE193" s="1269"/>
      <c r="BF193" s="1269" t="s">
        <v>1283</v>
      </c>
      <c r="BG193" s="1269"/>
      <c r="BH193" s="1269"/>
      <c r="BI193" s="1270">
        <v>20</v>
      </c>
      <c r="BJ193" s="1270">
        <v>0.7</v>
      </c>
      <c r="BK193" s="1270"/>
      <c r="BL193" s="1269" t="s">
        <v>1284</v>
      </c>
      <c r="BM193" s="1269" t="s">
        <v>834</v>
      </c>
      <c r="BN193" s="1269" t="s">
        <v>1038</v>
      </c>
      <c r="BO193" s="1272">
        <v>40120</v>
      </c>
      <c r="BP193" s="1269" t="s">
        <v>1285</v>
      </c>
    </row>
    <row r="194" spans="53:68">
      <c r="BA194" s="1269" t="s">
        <v>1281</v>
      </c>
      <c r="BB194" s="1269" t="s">
        <v>1282</v>
      </c>
      <c r="BC194" s="1269" t="s">
        <v>889</v>
      </c>
      <c r="BD194" s="1269" t="s">
        <v>890</v>
      </c>
      <c r="BE194" s="1269"/>
      <c r="BF194" s="1269" t="s">
        <v>1286</v>
      </c>
      <c r="BG194" s="1269"/>
      <c r="BH194" s="1269"/>
      <c r="BI194" s="1270">
        <v>20</v>
      </c>
      <c r="BJ194" s="1270">
        <v>0.48</v>
      </c>
      <c r="BK194" s="1270"/>
      <c r="BL194" s="1269" t="s">
        <v>1284</v>
      </c>
      <c r="BM194" s="1269" t="s">
        <v>834</v>
      </c>
      <c r="BN194" s="1269" t="s">
        <v>968</v>
      </c>
      <c r="BO194" s="1272">
        <v>39576</v>
      </c>
      <c r="BP194" s="1269" t="s">
        <v>1287</v>
      </c>
    </row>
    <row r="195" spans="53:68">
      <c r="BA195" s="1269" t="s">
        <v>1288</v>
      </c>
      <c r="BB195" s="1269" t="s">
        <v>1289</v>
      </c>
      <c r="BC195" s="1269" t="s">
        <v>889</v>
      </c>
      <c r="BD195" s="1269" t="s">
        <v>890</v>
      </c>
      <c r="BE195" s="1269"/>
      <c r="BF195" s="1269" t="s">
        <v>1283</v>
      </c>
      <c r="BG195" s="1269"/>
      <c r="BH195" s="1269"/>
      <c r="BI195" s="1270">
        <v>20</v>
      </c>
      <c r="BJ195" s="1270">
        <v>0.7</v>
      </c>
      <c r="BK195" s="1270"/>
      <c r="BL195" s="1269" t="s">
        <v>1284</v>
      </c>
      <c r="BM195" s="1269" t="s">
        <v>834</v>
      </c>
      <c r="BN195" s="1269" t="s">
        <v>1038</v>
      </c>
      <c r="BO195" s="1272">
        <v>40456</v>
      </c>
      <c r="BP195" s="1269" t="s">
        <v>1290</v>
      </c>
    </row>
    <row r="196" spans="53:68">
      <c r="BA196" s="1269" t="s">
        <v>1291</v>
      </c>
      <c r="BB196" s="1269" t="s">
        <v>1292</v>
      </c>
      <c r="BC196" s="1269" t="s">
        <v>889</v>
      </c>
      <c r="BD196" s="1269" t="s">
        <v>890</v>
      </c>
      <c r="BE196" s="1269"/>
      <c r="BF196" s="1269" t="s">
        <v>1283</v>
      </c>
      <c r="BG196" s="1269"/>
      <c r="BH196" s="1269"/>
      <c r="BI196" s="1270">
        <v>20</v>
      </c>
      <c r="BJ196" s="1270">
        <v>1</v>
      </c>
      <c r="BK196" s="1270"/>
      <c r="BL196" s="1269" t="s">
        <v>1284</v>
      </c>
      <c r="BM196" s="1269" t="s">
        <v>834</v>
      </c>
      <c r="BN196" s="1269" t="s">
        <v>1293</v>
      </c>
      <c r="BO196" s="1272">
        <v>39436</v>
      </c>
      <c r="BP196" s="1269"/>
    </row>
    <row r="197" spans="53:68">
      <c r="BA197" s="1269" t="s">
        <v>1291</v>
      </c>
      <c r="BB197" s="1269" t="s">
        <v>1292</v>
      </c>
      <c r="BC197" s="1269" t="s">
        <v>889</v>
      </c>
      <c r="BD197" s="1269" t="s">
        <v>890</v>
      </c>
      <c r="BE197" s="1269"/>
      <c r="BF197" s="1269" t="s">
        <v>910</v>
      </c>
      <c r="BG197" s="1269"/>
      <c r="BH197" s="1269"/>
      <c r="BI197" s="1270">
        <v>20</v>
      </c>
      <c r="BJ197" s="1270">
        <v>0.55000000000000004</v>
      </c>
      <c r="BK197" s="1270"/>
      <c r="BL197" s="1269" t="s">
        <v>1284</v>
      </c>
      <c r="BM197" s="1269" t="s">
        <v>834</v>
      </c>
      <c r="BN197" s="1269" t="s">
        <v>919</v>
      </c>
      <c r="BO197" s="1272">
        <v>40324</v>
      </c>
      <c r="BP197" s="1269" t="s">
        <v>1294</v>
      </c>
    </row>
    <row r="198" spans="53:68">
      <c r="BA198" s="1269" t="s">
        <v>1291</v>
      </c>
      <c r="BB198" s="1269" t="s">
        <v>1292</v>
      </c>
      <c r="BC198" s="1269" t="s">
        <v>889</v>
      </c>
      <c r="BD198" s="1269" t="s">
        <v>890</v>
      </c>
      <c r="BE198" s="1269"/>
      <c r="BF198" s="1269" t="s">
        <v>1295</v>
      </c>
      <c r="BG198" s="1269"/>
      <c r="BH198" s="1269"/>
      <c r="BI198" s="1270">
        <v>10</v>
      </c>
      <c r="BJ198" s="1270">
        <v>0.97</v>
      </c>
      <c r="BK198" s="1270"/>
      <c r="BL198" s="1269" t="s">
        <v>1284</v>
      </c>
      <c r="BM198" s="1269" t="s">
        <v>834</v>
      </c>
      <c r="BN198" s="1269" t="s">
        <v>939</v>
      </c>
      <c r="BO198" s="1272">
        <v>40115</v>
      </c>
      <c r="BP198" s="1269" t="s">
        <v>1296</v>
      </c>
    </row>
    <row r="199" spans="53:68">
      <c r="BA199" s="1269" t="s">
        <v>1291</v>
      </c>
      <c r="BB199" s="1269" t="s">
        <v>1292</v>
      </c>
      <c r="BC199" s="1269" t="s">
        <v>889</v>
      </c>
      <c r="BD199" s="1269" t="s">
        <v>890</v>
      </c>
      <c r="BE199" s="1269"/>
      <c r="BF199" s="1269" t="s">
        <v>1297</v>
      </c>
      <c r="BG199" s="1269"/>
      <c r="BH199" s="1269"/>
      <c r="BI199" s="1270">
        <v>20</v>
      </c>
      <c r="BJ199" s="1270">
        <v>0.48</v>
      </c>
      <c r="BK199" s="1270"/>
      <c r="BL199" s="1269" t="s">
        <v>1284</v>
      </c>
      <c r="BM199" s="1269" t="s">
        <v>834</v>
      </c>
      <c r="BN199" s="1269" t="s">
        <v>939</v>
      </c>
      <c r="BO199" s="1272">
        <v>40115</v>
      </c>
      <c r="BP199" s="1269" t="s">
        <v>1298</v>
      </c>
    </row>
    <row r="200" spans="53:68">
      <c r="BA200" s="1269" t="s">
        <v>1291</v>
      </c>
      <c r="BB200" s="1269" t="s">
        <v>1292</v>
      </c>
      <c r="BC200" s="1269" t="s">
        <v>889</v>
      </c>
      <c r="BD200" s="1269" t="s">
        <v>890</v>
      </c>
      <c r="BE200" s="1269"/>
      <c r="BF200" s="1269" t="s">
        <v>910</v>
      </c>
      <c r="BG200" s="1269"/>
      <c r="BH200" s="1269"/>
      <c r="BI200" s="1270">
        <v>20</v>
      </c>
      <c r="BJ200" s="1270">
        <v>1</v>
      </c>
      <c r="BK200" s="1270"/>
      <c r="BL200" s="1269" t="s">
        <v>1284</v>
      </c>
      <c r="BM200" s="1269" t="s">
        <v>834</v>
      </c>
      <c r="BN200" s="1269" t="s">
        <v>1299</v>
      </c>
      <c r="BO200" s="1272">
        <v>40256</v>
      </c>
      <c r="BP200" s="1269" t="s">
        <v>1300</v>
      </c>
    </row>
    <row r="201" spans="53:68">
      <c r="BA201" s="1269" t="s">
        <v>1291</v>
      </c>
      <c r="BB201" s="1269" t="s">
        <v>1292</v>
      </c>
      <c r="BC201" s="1269" t="s">
        <v>889</v>
      </c>
      <c r="BD201" s="1269" t="s">
        <v>890</v>
      </c>
      <c r="BE201" s="1269"/>
      <c r="BF201" s="1269" t="s">
        <v>908</v>
      </c>
      <c r="BG201" s="1269"/>
      <c r="BH201" s="1269"/>
      <c r="BI201" s="1270">
        <v>20</v>
      </c>
      <c r="BJ201" s="1270">
        <v>1.1299999999999999</v>
      </c>
      <c r="BK201" s="1270"/>
      <c r="BL201" s="1269" t="s">
        <v>1284</v>
      </c>
      <c r="BM201" s="1269" t="s">
        <v>834</v>
      </c>
      <c r="BN201" s="1269" t="s">
        <v>1026</v>
      </c>
      <c r="BO201" s="1272">
        <v>40157</v>
      </c>
      <c r="BP201" s="1269" t="s">
        <v>1301</v>
      </c>
    </row>
    <row r="202" spans="53:68">
      <c r="BA202" s="1269" t="s">
        <v>1302</v>
      </c>
      <c r="BB202" s="1269" t="s">
        <v>1303</v>
      </c>
      <c r="BC202" s="1269" t="s">
        <v>864</v>
      </c>
      <c r="BD202" s="1269" t="s">
        <v>1232</v>
      </c>
      <c r="BE202" s="1269"/>
      <c r="BF202" s="1269" t="s">
        <v>1304</v>
      </c>
      <c r="BG202" s="1269" t="s">
        <v>868</v>
      </c>
      <c r="BH202" s="1269"/>
      <c r="BI202" s="1270">
        <v>1</v>
      </c>
      <c r="BJ202" s="1270">
        <v>26.11</v>
      </c>
      <c r="BK202" s="1270">
        <v>26.11</v>
      </c>
      <c r="BL202" s="1269" t="s">
        <v>884</v>
      </c>
      <c r="BM202" s="1269"/>
      <c r="BN202" s="1269" t="s">
        <v>880</v>
      </c>
      <c r="BO202" s="1272">
        <v>36725</v>
      </c>
      <c r="BP202" s="1269" t="s">
        <v>1305</v>
      </c>
    </row>
    <row r="203" spans="53:68">
      <c r="BA203" s="1269" t="s">
        <v>1302</v>
      </c>
      <c r="BB203" s="1269" t="s">
        <v>1303</v>
      </c>
      <c r="BC203" s="1269" t="s">
        <v>864</v>
      </c>
      <c r="BD203" s="1269" t="s">
        <v>1232</v>
      </c>
      <c r="BE203" s="1269"/>
      <c r="BF203" s="1269" t="s">
        <v>1304</v>
      </c>
      <c r="BG203" s="1269" t="s">
        <v>868</v>
      </c>
      <c r="BH203" s="1269"/>
      <c r="BI203" s="1270">
        <v>2</v>
      </c>
      <c r="BJ203" s="1270">
        <v>13.1</v>
      </c>
      <c r="BK203" s="1270">
        <v>13.1</v>
      </c>
      <c r="BL203" s="1269" t="s">
        <v>884</v>
      </c>
      <c r="BM203" s="1269" t="s">
        <v>5</v>
      </c>
      <c r="BN203" s="1269" t="s">
        <v>880</v>
      </c>
      <c r="BO203" s="1272">
        <v>36725</v>
      </c>
      <c r="BP203" s="1269" t="s">
        <v>1306</v>
      </c>
    </row>
    <row r="204" spans="53:68">
      <c r="BA204" s="1269" t="s">
        <v>1302</v>
      </c>
      <c r="BB204" s="1269" t="s">
        <v>1303</v>
      </c>
      <c r="BC204" s="1269" t="s">
        <v>864</v>
      </c>
      <c r="BD204" s="1269" t="s">
        <v>1232</v>
      </c>
      <c r="BE204" s="1269"/>
      <c r="BF204" s="1269" t="s">
        <v>1304</v>
      </c>
      <c r="BG204" s="1269" t="s">
        <v>868</v>
      </c>
      <c r="BH204" s="1269"/>
      <c r="BI204" s="1270">
        <v>5</v>
      </c>
      <c r="BJ204" s="1270">
        <v>5.22</v>
      </c>
      <c r="BK204" s="1270">
        <v>5.22</v>
      </c>
      <c r="BL204" s="1269" t="s">
        <v>884</v>
      </c>
      <c r="BM204" s="1269" t="s">
        <v>5</v>
      </c>
      <c r="BN204" s="1269" t="s">
        <v>880</v>
      </c>
      <c r="BO204" s="1272">
        <v>36725</v>
      </c>
      <c r="BP204" s="1269" t="s">
        <v>1307</v>
      </c>
    </row>
    <row r="205" spans="53:68">
      <c r="BA205" s="1269" t="s">
        <v>1302</v>
      </c>
      <c r="BB205" s="1269" t="s">
        <v>1303</v>
      </c>
      <c r="BC205" s="1269" t="s">
        <v>864</v>
      </c>
      <c r="BD205" s="1269" t="s">
        <v>1232</v>
      </c>
      <c r="BE205" s="1269"/>
      <c r="BF205" s="1269" t="s">
        <v>1304</v>
      </c>
      <c r="BG205" s="1269" t="s">
        <v>868</v>
      </c>
      <c r="BH205" s="1269"/>
      <c r="BI205" s="1270">
        <v>10</v>
      </c>
      <c r="BJ205" s="1270">
        <v>2.6110000000000002</v>
      </c>
      <c r="BK205" s="1270">
        <v>2.6110000000000002</v>
      </c>
      <c r="BL205" s="1269" t="s">
        <v>884</v>
      </c>
      <c r="BM205" s="1269" t="s">
        <v>5</v>
      </c>
      <c r="BN205" s="1269" t="s">
        <v>880</v>
      </c>
      <c r="BO205" s="1272">
        <v>36725</v>
      </c>
      <c r="BP205" s="1269" t="s">
        <v>1308</v>
      </c>
    </row>
    <row r="206" spans="53:68">
      <c r="BA206" s="1269" t="s">
        <v>1302</v>
      </c>
      <c r="BB206" s="1269" t="s">
        <v>1303</v>
      </c>
      <c r="BC206" s="1269" t="s">
        <v>864</v>
      </c>
      <c r="BD206" s="1269" t="s">
        <v>1232</v>
      </c>
      <c r="BE206" s="1269" t="s">
        <v>1309</v>
      </c>
      <c r="BF206" s="1269" t="s">
        <v>1304</v>
      </c>
      <c r="BG206" s="1269" t="s">
        <v>868</v>
      </c>
      <c r="BH206" s="1269"/>
      <c r="BI206" s="1270" t="s">
        <v>990</v>
      </c>
      <c r="BJ206" s="1270"/>
      <c r="BK206" s="1270"/>
      <c r="BL206" s="1269" t="s">
        <v>884</v>
      </c>
      <c r="BM206" s="1269"/>
      <c r="BN206" s="1269" t="s">
        <v>1310</v>
      </c>
      <c r="BO206" s="1272">
        <v>38105</v>
      </c>
      <c r="BP206" s="1269" t="s">
        <v>1311</v>
      </c>
    </row>
    <row r="207" spans="53:68">
      <c r="BA207" s="1269" t="s">
        <v>1277</v>
      </c>
      <c r="BB207" s="1269" t="s">
        <v>1278</v>
      </c>
      <c r="BC207" s="1269" t="s">
        <v>864</v>
      </c>
      <c r="BD207" s="1269" t="s">
        <v>1232</v>
      </c>
      <c r="BE207" s="1269" t="s">
        <v>1279</v>
      </c>
      <c r="BF207" s="1269"/>
      <c r="BG207" s="1269"/>
      <c r="BH207" s="1269"/>
      <c r="BI207" s="1270" t="s">
        <v>894</v>
      </c>
      <c r="BJ207" s="1270"/>
      <c r="BK207" s="1270"/>
      <c r="BL207" s="1269"/>
      <c r="BM207" s="1269"/>
      <c r="BN207" s="1269" t="s">
        <v>939</v>
      </c>
      <c r="BO207" s="1272">
        <v>36959</v>
      </c>
      <c r="BP207" s="1269" t="s">
        <v>1312</v>
      </c>
    </row>
    <row r="208" spans="53:68">
      <c r="BA208" s="1269" t="s">
        <v>1277</v>
      </c>
      <c r="BB208" s="1269" t="s">
        <v>1278</v>
      </c>
      <c r="BC208" s="1269" t="s">
        <v>864</v>
      </c>
      <c r="BD208" s="1269" t="s">
        <v>907</v>
      </c>
      <c r="BE208" s="1269" t="s">
        <v>1313</v>
      </c>
      <c r="BF208" s="1269" t="s">
        <v>916</v>
      </c>
      <c r="BG208" s="1269" t="s">
        <v>868</v>
      </c>
      <c r="BH208" s="1269"/>
      <c r="BI208" s="1270">
        <v>1</v>
      </c>
      <c r="BJ208" s="1270">
        <v>15</v>
      </c>
      <c r="BK208" s="1270">
        <v>15</v>
      </c>
      <c r="BL208" s="1269" t="s">
        <v>963</v>
      </c>
      <c r="BM208" s="1269"/>
      <c r="BN208" s="1269" t="s">
        <v>1180</v>
      </c>
      <c r="BO208" s="1272">
        <v>39819</v>
      </c>
      <c r="BP208" s="1269" t="s">
        <v>1314</v>
      </c>
    </row>
    <row r="209" spans="53:68">
      <c r="BA209" s="1269" t="s">
        <v>1277</v>
      </c>
      <c r="BB209" s="1269" t="s">
        <v>1278</v>
      </c>
      <c r="BC209" s="1269" t="s">
        <v>864</v>
      </c>
      <c r="BD209" s="1269" t="s">
        <v>907</v>
      </c>
      <c r="BE209" s="1269" t="s">
        <v>1315</v>
      </c>
      <c r="BF209" s="1269" t="s">
        <v>1316</v>
      </c>
      <c r="BG209" s="1269" t="s">
        <v>868</v>
      </c>
      <c r="BH209" s="1269"/>
      <c r="BI209" s="1270">
        <v>1</v>
      </c>
      <c r="BJ209" s="1270">
        <v>12.66</v>
      </c>
      <c r="BK209" s="1270">
        <v>12.66</v>
      </c>
      <c r="BL209" s="1269" t="s">
        <v>895</v>
      </c>
      <c r="BM209" s="1269"/>
      <c r="BN209" s="1269" t="s">
        <v>914</v>
      </c>
      <c r="BO209" s="1272">
        <v>37364</v>
      </c>
      <c r="BP209" s="1269" t="s">
        <v>1317</v>
      </c>
    </row>
    <row r="210" spans="53:68">
      <c r="BA210" s="1269" t="s">
        <v>1277</v>
      </c>
      <c r="BB210" s="1269" t="s">
        <v>1278</v>
      </c>
      <c r="BC210" s="1269" t="s">
        <v>864</v>
      </c>
      <c r="BD210" s="1269" t="s">
        <v>907</v>
      </c>
      <c r="BE210" s="1269" t="s">
        <v>1315</v>
      </c>
      <c r="BF210" s="1269" t="s">
        <v>1318</v>
      </c>
      <c r="BG210" s="1269" t="s">
        <v>868</v>
      </c>
      <c r="BH210" s="1269"/>
      <c r="BI210" s="1270">
        <v>10</v>
      </c>
      <c r="BJ210" s="1270">
        <v>2.46</v>
      </c>
      <c r="BK210" s="1270">
        <v>2.46</v>
      </c>
      <c r="BL210" s="1269" t="s">
        <v>895</v>
      </c>
      <c r="BM210" s="1269" t="s">
        <v>5</v>
      </c>
      <c r="BN210" s="1269" t="s">
        <v>914</v>
      </c>
      <c r="BO210" s="1272">
        <v>37364</v>
      </c>
      <c r="BP210" s="1269" t="s">
        <v>1319</v>
      </c>
    </row>
    <row r="211" spans="53:68">
      <c r="BA211" s="1269" t="s">
        <v>1277</v>
      </c>
      <c r="BB211" s="1269" t="s">
        <v>1278</v>
      </c>
      <c r="BC211" s="1269" t="s">
        <v>864</v>
      </c>
      <c r="BD211" s="1269" t="s">
        <v>1232</v>
      </c>
      <c r="BE211" s="1269"/>
      <c r="BF211" s="1269" t="s">
        <v>1320</v>
      </c>
      <c r="BG211" s="1269" t="s">
        <v>868</v>
      </c>
      <c r="BH211" s="1269"/>
      <c r="BI211" s="1270">
        <v>10</v>
      </c>
      <c r="BJ211" s="1270">
        <v>2.6110000000000002</v>
      </c>
      <c r="BK211" s="1270">
        <v>2.6110000000000002</v>
      </c>
      <c r="BL211" s="1269" t="s">
        <v>884</v>
      </c>
      <c r="BM211" s="1269" t="s">
        <v>5</v>
      </c>
      <c r="BN211" s="1269" t="s">
        <v>880</v>
      </c>
      <c r="BO211" s="1272">
        <v>37841</v>
      </c>
      <c r="BP211" s="1269" t="s">
        <v>1321</v>
      </c>
    </row>
    <row r="212" spans="53:68">
      <c r="BA212" s="1269" t="s">
        <v>1277</v>
      </c>
      <c r="BB212" s="1269" t="s">
        <v>1278</v>
      </c>
      <c r="BC212" s="1269" t="s">
        <v>864</v>
      </c>
      <c r="BD212" s="1269" t="s">
        <v>1232</v>
      </c>
      <c r="BE212" s="1269"/>
      <c r="BF212" s="1269" t="s">
        <v>1320</v>
      </c>
      <c r="BG212" s="1269" t="s">
        <v>868</v>
      </c>
      <c r="BH212" s="1269"/>
      <c r="BI212" s="1270">
        <v>2</v>
      </c>
      <c r="BJ212" s="1270">
        <v>13.1</v>
      </c>
      <c r="BK212" s="1270">
        <v>13.1</v>
      </c>
      <c r="BL212" s="1269" t="s">
        <v>884</v>
      </c>
      <c r="BM212" s="1269" t="s">
        <v>5</v>
      </c>
      <c r="BN212" s="1269" t="s">
        <v>880</v>
      </c>
      <c r="BO212" s="1272">
        <v>37841</v>
      </c>
      <c r="BP212" s="1269" t="s">
        <v>1322</v>
      </c>
    </row>
    <row r="213" spans="53:68">
      <c r="BA213" s="1269" t="s">
        <v>1277</v>
      </c>
      <c r="BB213" s="1269" t="s">
        <v>1278</v>
      </c>
      <c r="BC213" s="1269" t="s">
        <v>864</v>
      </c>
      <c r="BD213" s="1269" t="s">
        <v>1232</v>
      </c>
      <c r="BE213" s="1269"/>
      <c r="BF213" s="1269" t="s">
        <v>1320</v>
      </c>
      <c r="BG213" s="1269" t="s">
        <v>868</v>
      </c>
      <c r="BH213" s="1269"/>
      <c r="BI213" s="1270">
        <v>5</v>
      </c>
      <c r="BJ213" s="1270">
        <v>5.22</v>
      </c>
      <c r="BK213" s="1270">
        <v>5.22</v>
      </c>
      <c r="BL213" s="1269" t="s">
        <v>884</v>
      </c>
      <c r="BM213" s="1269" t="s">
        <v>5</v>
      </c>
      <c r="BN213" s="1269" t="s">
        <v>880</v>
      </c>
      <c r="BO213" s="1272">
        <v>37841</v>
      </c>
      <c r="BP213" s="1269" t="s">
        <v>1323</v>
      </c>
    </row>
    <row r="214" spans="53:68">
      <c r="BA214" s="1269" t="s">
        <v>1277</v>
      </c>
      <c r="BB214" s="1269" t="s">
        <v>1278</v>
      </c>
      <c r="BC214" s="1269" t="s">
        <v>864</v>
      </c>
      <c r="BD214" s="1269" t="s">
        <v>1232</v>
      </c>
      <c r="BE214" s="1269"/>
      <c r="BF214" s="1269" t="s">
        <v>1320</v>
      </c>
      <c r="BG214" s="1269" t="s">
        <v>868</v>
      </c>
      <c r="BH214" s="1269"/>
      <c r="BI214" s="1270">
        <v>1</v>
      </c>
      <c r="BJ214" s="1270">
        <v>26.11</v>
      </c>
      <c r="BK214" s="1270">
        <v>26.11</v>
      </c>
      <c r="BL214" s="1269" t="s">
        <v>884</v>
      </c>
      <c r="BM214" s="1269"/>
      <c r="BN214" s="1269" t="s">
        <v>880</v>
      </c>
      <c r="BO214" s="1272">
        <v>37841</v>
      </c>
      <c r="BP214" s="1269" t="s">
        <v>1324</v>
      </c>
    </row>
    <row r="215" spans="53:68">
      <c r="BA215" s="1269" t="s">
        <v>1325</v>
      </c>
      <c r="BB215" s="1269" t="s">
        <v>1326</v>
      </c>
      <c r="BC215" s="1269" t="s">
        <v>864</v>
      </c>
      <c r="BD215" s="1269" t="s">
        <v>1232</v>
      </c>
      <c r="BE215" s="1269" t="s">
        <v>1327</v>
      </c>
      <c r="BF215" s="1269" t="s">
        <v>916</v>
      </c>
      <c r="BG215" s="1269" t="s">
        <v>868</v>
      </c>
      <c r="BH215" s="1269"/>
      <c r="BI215" s="1270">
        <v>10</v>
      </c>
      <c r="BJ215" s="1270">
        <v>2.96</v>
      </c>
      <c r="BK215" s="1270">
        <v>2.96</v>
      </c>
      <c r="BL215" s="1269" t="s">
        <v>884</v>
      </c>
      <c r="BM215" s="1269" t="s">
        <v>5</v>
      </c>
      <c r="BN215" s="1269" t="s">
        <v>1328</v>
      </c>
      <c r="BO215" s="1272">
        <v>39435</v>
      </c>
      <c r="BP215" s="1269" t="s">
        <v>1329</v>
      </c>
    </row>
    <row r="216" spans="53:68">
      <c r="BA216" s="1269" t="s">
        <v>1325</v>
      </c>
      <c r="BB216" s="1269" t="s">
        <v>1326</v>
      </c>
      <c r="BC216" s="1269" t="s">
        <v>864</v>
      </c>
      <c r="BD216" s="1269" t="s">
        <v>907</v>
      </c>
      <c r="BE216" s="1269" t="s">
        <v>1327</v>
      </c>
      <c r="BF216" s="1269" t="s">
        <v>916</v>
      </c>
      <c r="BG216" s="1269" t="s">
        <v>868</v>
      </c>
      <c r="BH216" s="1269"/>
      <c r="BI216" s="1270">
        <v>10</v>
      </c>
      <c r="BJ216" s="1270">
        <v>2.46</v>
      </c>
      <c r="BK216" s="1270">
        <v>2.46</v>
      </c>
      <c r="BL216" s="1269" t="s">
        <v>895</v>
      </c>
      <c r="BM216" s="1269" t="s">
        <v>5</v>
      </c>
      <c r="BN216" s="1269" t="s">
        <v>914</v>
      </c>
      <c r="BO216" s="1272">
        <v>35633</v>
      </c>
      <c r="BP216" s="1269" t="s">
        <v>1330</v>
      </c>
    </row>
    <row r="217" spans="53:68">
      <c r="BA217" s="1269" t="s">
        <v>1331</v>
      </c>
      <c r="BB217" s="1269" t="s">
        <v>1332</v>
      </c>
      <c r="BC217" s="1269" t="s">
        <v>864</v>
      </c>
      <c r="BD217" s="1269" t="s">
        <v>1232</v>
      </c>
      <c r="BE217" s="1269"/>
      <c r="BF217" s="1269" t="s">
        <v>1241</v>
      </c>
      <c r="BG217" s="1269" t="s">
        <v>1253</v>
      </c>
      <c r="BH217" s="1269" t="s">
        <v>951</v>
      </c>
      <c r="BI217" s="1270" t="s">
        <v>946</v>
      </c>
      <c r="BJ217" s="1270">
        <v>272.16000000000003</v>
      </c>
      <c r="BK217" s="1270"/>
      <c r="BL217" s="1269" t="s">
        <v>120</v>
      </c>
      <c r="BM217" s="1269"/>
      <c r="BN217" s="1269" t="s">
        <v>939</v>
      </c>
      <c r="BO217" s="1272"/>
      <c r="BP217" s="1269"/>
    </row>
    <row r="218" spans="53:68">
      <c r="BA218" s="1269" t="s">
        <v>1331</v>
      </c>
      <c r="BB218" s="1269" t="s">
        <v>1333</v>
      </c>
      <c r="BC218" s="1269" t="s">
        <v>976</v>
      </c>
      <c r="BD218" s="1269" t="s">
        <v>1232</v>
      </c>
      <c r="BE218" s="1269" t="s">
        <v>1334</v>
      </c>
      <c r="BF218" s="1269" t="s">
        <v>1335</v>
      </c>
      <c r="BG218" s="1269"/>
      <c r="BH218" s="1269"/>
      <c r="BI218" s="1270">
        <v>1</v>
      </c>
      <c r="BJ218" s="1270">
        <v>20.4811376</v>
      </c>
      <c r="BK218" s="1270"/>
      <c r="BL218" s="1269" t="s">
        <v>963</v>
      </c>
      <c r="BM218" s="1269"/>
      <c r="BN218" s="1269" t="s">
        <v>914</v>
      </c>
      <c r="BO218" s="1272">
        <v>41719</v>
      </c>
      <c r="BP218" s="1269" t="s">
        <v>1336</v>
      </c>
    </row>
    <row r="219" spans="53:68">
      <c r="BA219" s="1269" t="s">
        <v>1331</v>
      </c>
      <c r="BB219" s="1269" t="s">
        <v>1333</v>
      </c>
      <c r="BC219" s="1269" t="s">
        <v>976</v>
      </c>
      <c r="BD219" s="1269" t="s">
        <v>1232</v>
      </c>
      <c r="BE219" s="1269" t="s">
        <v>1334</v>
      </c>
      <c r="BF219" s="1269" t="s">
        <v>1337</v>
      </c>
      <c r="BG219" s="1269"/>
      <c r="BH219" s="1269"/>
      <c r="BI219" s="1270" t="s">
        <v>894</v>
      </c>
      <c r="BJ219" s="1270">
        <v>54.996012</v>
      </c>
      <c r="BK219" s="1270"/>
      <c r="BL219" s="1269" t="s">
        <v>963</v>
      </c>
      <c r="BM219" s="1269"/>
      <c r="BN219" s="1269" t="s">
        <v>914</v>
      </c>
      <c r="BO219" s="1272">
        <v>41719</v>
      </c>
      <c r="BP219" s="1269" t="s">
        <v>1336</v>
      </c>
    </row>
    <row r="220" spans="53:68">
      <c r="BA220" s="1269" t="s">
        <v>1331</v>
      </c>
      <c r="BB220" s="1269" t="s">
        <v>1333</v>
      </c>
      <c r="BC220" s="1269" t="s">
        <v>864</v>
      </c>
      <c r="BD220" s="1269" t="s">
        <v>1232</v>
      </c>
      <c r="BE220" s="1269" t="s">
        <v>1338</v>
      </c>
      <c r="BF220" s="1269" t="s">
        <v>1339</v>
      </c>
      <c r="BG220" s="1269" t="s">
        <v>1253</v>
      </c>
      <c r="BH220" s="1269"/>
      <c r="BI220" s="1270" t="s">
        <v>990</v>
      </c>
      <c r="BJ220" s="1270">
        <v>11.128351936799998</v>
      </c>
      <c r="BK220" s="1270"/>
      <c r="BL220" s="1269" t="s">
        <v>870</v>
      </c>
      <c r="BM220" s="1269" t="s">
        <v>834</v>
      </c>
      <c r="BN220" s="1269" t="s">
        <v>914</v>
      </c>
      <c r="BO220" s="1272">
        <v>41416</v>
      </c>
      <c r="BP220" s="1269" t="s">
        <v>1340</v>
      </c>
    </row>
    <row r="221" spans="53:68">
      <c r="BA221" s="1269" t="s">
        <v>1331</v>
      </c>
      <c r="BB221" s="1269" t="s">
        <v>1333</v>
      </c>
      <c r="BC221" s="1269" t="s">
        <v>864</v>
      </c>
      <c r="BD221" s="1269" t="s">
        <v>1232</v>
      </c>
      <c r="BE221" s="1269" t="s">
        <v>1338</v>
      </c>
      <c r="BF221" s="1269" t="s">
        <v>1341</v>
      </c>
      <c r="BG221" s="1269" t="s">
        <v>1253</v>
      </c>
      <c r="BH221" s="1269"/>
      <c r="BI221" s="1270">
        <v>10</v>
      </c>
      <c r="BJ221" s="1270">
        <v>12.2568837523125</v>
      </c>
      <c r="BK221" s="1270"/>
      <c r="BL221" s="1269" t="s">
        <v>870</v>
      </c>
      <c r="BM221" s="1269" t="s">
        <v>834</v>
      </c>
      <c r="BN221" s="1269" t="s">
        <v>914</v>
      </c>
      <c r="BO221" s="1272">
        <v>41416</v>
      </c>
      <c r="BP221" s="1269" t="s">
        <v>1340</v>
      </c>
    </row>
    <row r="222" spans="53:68">
      <c r="BA222" s="1269" t="s">
        <v>1342</v>
      </c>
      <c r="BB222" s="1269" t="s">
        <v>1343</v>
      </c>
      <c r="BC222" s="1269" t="s">
        <v>889</v>
      </c>
      <c r="BD222" s="1269" t="s">
        <v>907</v>
      </c>
      <c r="BE222" s="1269" t="s">
        <v>1344</v>
      </c>
      <c r="BF222" s="1269" t="s">
        <v>1345</v>
      </c>
      <c r="BG222" s="1269"/>
      <c r="BH222" s="1269" t="s">
        <v>945</v>
      </c>
      <c r="BI222" s="1270" t="s">
        <v>946</v>
      </c>
      <c r="BJ222" s="1270">
        <v>55.948799999999991</v>
      </c>
      <c r="BK222" s="1270"/>
      <c r="BL222" s="1269"/>
      <c r="BM222" s="1269"/>
      <c r="BN222" s="1269" t="s">
        <v>1184</v>
      </c>
      <c r="BO222" s="1272"/>
      <c r="BP222" s="1269" t="s">
        <v>1346</v>
      </c>
    </row>
    <row r="223" spans="53:68">
      <c r="BA223" s="1269" t="s">
        <v>1342</v>
      </c>
      <c r="BB223" s="1269" t="s">
        <v>1343</v>
      </c>
      <c r="BC223" s="1269" t="s">
        <v>889</v>
      </c>
      <c r="BD223" s="1269" t="s">
        <v>907</v>
      </c>
      <c r="BE223" s="1269" t="s">
        <v>1347</v>
      </c>
      <c r="BF223" s="1269" t="s">
        <v>1348</v>
      </c>
      <c r="BG223" s="1269"/>
      <c r="BH223" s="1269"/>
      <c r="BI223" s="1270">
        <v>1</v>
      </c>
      <c r="BJ223" s="1270">
        <v>21</v>
      </c>
      <c r="BK223" s="1270"/>
      <c r="BL223" s="1269" t="s">
        <v>870</v>
      </c>
      <c r="BM223" s="1269"/>
      <c r="BN223" s="1269" t="s">
        <v>1349</v>
      </c>
      <c r="BO223" s="1272">
        <v>40175</v>
      </c>
      <c r="BP223" s="1269" t="s">
        <v>1350</v>
      </c>
    </row>
    <row r="224" spans="53:68">
      <c r="BA224" s="1269" t="s">
        <v>1351</v>
      </c>
      <c r="BB224" s="1269" t="s">
        <v>1352</v>
      </c>
      <c r="BC224" s="1269" t="s">
        <v>889</v>
      </c>
      <c r="BD224" s="1269" t="s">
        <v>907</v>
      </c>
      <c r="BE224" s="1269" t="s">
        <v>1353</v>
      </c>
      <c r="BF224" s="1269" t="s">
        <v>1354</v>
      </c>
      <c r="BG224" s="1269"/>
      <c r="BH224" s="1269"/>
      <c r="BI224" s="1270">
        <v>1</v>
      </c>
      <c r="BJ224" s="1270">
        <v>15.7</v>
      </c>
      <c r="BK224" s="1270"/>
      <c r="BL224" s="1269" t="s">
        <v>870</v>
      </c>
      <c r="BM224" s="1269"/>
      <c r="BN224" s="1269" t="s">
        <v>1349</v>
      </c>
      <c r="BO224" s="1272">
        <v>40410</v>
      </c>
      <c r="BP224" s="1269" t="s">
        <v>1355</v>
      </c>
    </row>
    <row r="225" spans="53:68">
      <c r="BA225" s="1269" t="s">
        <v>1351</v>
      </c>
      <c r="BB225" s="1269" t="s">
        <v>1352</v>
      </c>
      <c r="BC225" s="1269" t="s">
        <v>889</v>
      </c>
      <c r="BD225" s="1269" t="s">
        <v>907</v>
      </c>
      <c r="BE225" s="1269" t="s">
        <v>1353</v>
      </c>
      <c r="BF225" s="1269" t="s">
        <v>1356</v>
      </c>
      <c r="BG225" s="1269"/>
      <c r="BH225" s="1269"/>
      <c r="BI225" s="1270">
        <v>1</v>
      </c>
      <c r="BJ225" s="1270">
        <v>11.950493999999999</v>
      </c>
      <c r="BK225" s="1270"/>
      <c r="BL225" s="1269" t="s">
        <v>870</v>
      </c>
      <c r="BM225" s="1269"/>
      <c r="BN225" s="1269" t="s">
        <v>1349</v>
      </c>
      <c r="BO225" s="1272">
        <v>40410</v>
      </c>
      <c r="BP225" s="1269" t="s">
        <v>1355</v>
      </c>
    </row>
    <row r="226" spans="53:68">
      <c r="BA226" s="1269" t="s">
        <v>1351</v>
      </c>
      <c r="BB226" s="1269" t="s">
        <v>1352</v>
      </c>
      <c r="BC226" s="1269" t="s">
        <v>889</v>
      </c>
      <c r="BD226" s="1269" t="s">
        <v>907</v>
      </c>
      <c r="BE226" s="1269" t="s">
        <v>1353</v>
      </c>
      <c r="BF226" s="1269" t="s">
        <v>1356</v>
      </c>
      <c r="BG226" s="1269"/>
      <c r="BH226" s="1269"/>
      <c r="BI226" s="1270">
        <v>4</v>
      </c>
      <c r="BJ226" s="1270">
        <v>3</v>
      </c>
      <c r="BK226" s="1270"/>
      <c r="BL226" s="1269" t="s">
        <v>870</v>
      </c>
      <c r="BM226" s="1269" t="s">
        <v>5</v>
      </c>
      <c r="BN226" s="1269" t="s">
        <v>1349</v>
      </c>
      <c r="BO226" s="1272" t="s">
        <v>1357</v>
      </c>
      <c r="BP226" s="1269" t="s">
        <v>1355</v>
      </c>
    </row>
    <row r="227" spans="53:68">
      <c r="BA227" s="1269" t="s">
        <v>1351</v>
      </c>
      <c r="BB227" s="1269" t="s">
        <v>1352</v>
      </c>
      <c r="BC227" s="1269" t="s">
        <v>889</v>
      </c>
      <c r="BD227" s="1269" t="s">
        <v>907</v>
      </c>
      <c r="BE227" s="1269" t="s">
        <v>1353</v>
      </c>
      <c r="BF227" s="1269" t="s">
        <v>1356</v>
      </c>
      <c r="BG227" s="1269"/>
      <c r="BH227" s="1269"/>
      <c r="BI227" s="1270" t="s">
        <v>946</v>
      </c>
      <c r="BJ227" s="1270">
        <v>107</v>
      </c>
      <c r="BK227" s="1270"/>
      <c r="BL227" s="1269"/>
      <c r="BM227" s="1269"/>
      <c r="BN227" s="1269" t="s">
        <v>1349</v>
      </c>
      <c r="BO227" s="1272">
        <v>40410</v>
      </c>
      <c r="BP227" s="1269" t="s">
        <v>1355</v>
      </c>
    </row>
    <row r="228" spans="53:68">
      <c r="BA228" s="1269" t="s">
        <v>1358</v>
      </c>
      <c r="BB228" s="1269" t="s">
        <v>1359</v>
      </c>
      <c r="BC228" s="1269" t="s">
        <v>889</v>
      </c>
      <c r="BD228" s="1269" t="s">
        <v>907</v>
      </c>
      <c r="BE228" s="1269" t="s">
        <v>1360</v>
      </c>
      <c r="BF228" s="1269" t="s">
        <v>1223</v>
      </c>
      <c r="BG228" s="1269"/>
      <c r="BH228" s="1269"/>
      <c r="BI228" s="1270" t="s">
        <v>894</v>
      </c>
      <c r="BJ228" s="1270">
        <v>58</v>
      </c>
      <c r="BK228" s="1270"/>
      <c r="BL228" s="1269" t="s">
        <v>870</v>
      </c>
      <c r="BM228" s="1269"/>
      <c r="BN228" s="1269" t="s">
        <v>939</v>
      </c>
      <c r="BO228" s="1272">
        <v>40116</v>
      </c>
      <c r="BP228" s="1269" t="s">
        <v>1361</v>
      </c>
    </row>
    <row r="229" spans="53:68">
      <c r="BA229" s="1269" t="s">
        <v>1358</v>
      </c>
      <c r="BB229" s="1269" t="s">
        <v>1359</v>
      </c>
      <c r="BC229" s="1269" t="s">
        <v>889</v>
      </c>
      <c r="BD229" s="1269" t="s">
        <v>907</v>
      </c>
      <c r="BE229" s="1269" t="s">
        <v>1360</v>
      </c>
      <c r="BF229" s="1269" t="s">
        <v>916</v>
      </c>
      <c r="BG229" s="1269"/>
      <c r="BH229" s="1269"/>
      <c r="BI229" s="1270">
        <v>1</v>
      </c>
      <c r="BJ229" s="1270">
        <v>11.5</v>
      </c>
      <c r="BK229" s="1270"/>
      <c r="BL229" s="1269" t="s">
        <v>870</v>
      </c>
      <c r="BM229" s="1269"/>
      <c r="BN229" s="1269" t="s">
        <v>939</v>
      </c>
      <c r="BO229" s="1272">
        <v>40116</v>
      </c>
      <c r="BP229" s="1269" t="s">
        <v>1361</v>
      </c>
    </row>
    <row r="230" spans="53:68">
      <c r="BA230" s="1269" t="s">
        <v>1358</v>
      </c>
      <c r="BB230" s="1269" t="s">
        <v>1359</v>
      </c>
      <c r="BC230" s="1269" t="s">
        <v>889</v>
      </c>
      <c r="BD230" s="1269" t="s">
        <v>907</v>
      </c>
      <c r="BE230" s="1269" t="s">
        <v>1360</v>
      </c>
      <c r="BF230" s="1269" t="s">
        <v>938</v>
      </c>
      <c r="BG230" s="1269"/>
      <c r="BH230" s="1269"/>
      <c r="BI230" s="1270">
        <v>1</v>
      </c>
      <c r="BJ230" s="1270">
        <v>10</v>
      </c>
      <c r="BK230" s="1270"/>
      <c r="BL230" s="1269" t="s">
        <v>870</v>
      </c>
      <c r="BM230" s="1269"/>
      <c r="BN230" s="1269" t="s">
        <v>939</v>
      </c>
      <c r="BO230" s="1272">
        <v>40116</v>
      </c>
      <c r="BP230" s="1269" t="s">
        <v>1361</v>
      </c>
    </row>
    <row r="231" spans="53:68">
      <c r="BA231" s="1269" t="s">
        <v>1358</v>
      </c>
      <c r="BB231" s="1269" t="s">
        <v>1359</v>
      </c>
      <c r="BC231" s="1269" t="s">
        <v>889</v>
      </c>
      <c r="BD231" s="1269" t="s">
        <v>907</v>
      </c>
      <c r="BE231" s="1269" t="s">
        <v>1360</v>
      </c>
      <c r="BF231" s="1269" t="s">
        <v>938</v>
      </c>
      <c r="BG231" s="1269"/>
      <c r="BH231" s="1269"/>
      <c r="BI231" s="1270">
        <v>2</v>
      </c>
      <c r="BJ231" s="1270">
        <v>4.8</v>
      </c>
      <c r="BK231" s="1270"/>
      <c r="BL231" s="1269" t="s">
        <v>870</v>
      </c>
      <c r="BM231" s="1269" t="s">
        <v>5</v>
      </c>
      <c r="BN231" s="1269" t="s">
        <v>939</v>
      </c>
      <c r="BO231" s="1272">
        <v>40256</v>
      </c>
      <c r="BP231" s="1269" t="s">
        <v>1362</v>
      </c>
    </row>
    <row r="232" spans="53:68">
      <c r="BA232" s="1269" t="s">
        <v>1358</v>
      </c>
      <c r="BB232" s="1269" t="s">
        <v>1359</v>
      </c>
      <c r="BC232" s="1269" t="s">
        <v>889</v>
      </c>
      <c r="BD232" s="1269" t="s">
        <v>907</v>
      </c>
      <c r="BE232" s="1269" t="s">
        <v>1360</v>
      </c>
      <c r="BF232" s="1269" t="s">
        <v>938</v>
      </c>
      <c r="BG232" s="1269"/>
      <c r="BH232" s="1269"/>
      <c r="BI232" s="1270">
        <v>4</v>
      </c>
      <c r="BJ232" s="1270">
        <v>2.4</v>
      </c>
      <c r="BK232" s="1270"/>
      <c r="BL232" s="1269" t="s">
        <v>870</v>
      </c>
      <c r="BM232" s="1269" t="s">
        <v>5</v>
      </c>
      <c r="BN232" s="1269" t="s">
        <v>939</v>
      </c>
      <c r="BO232" s="1272" t="s">
        <v>1357</v>
      </c>
      <c r="BP232" s="1269" t="s">
        <v>1362</v>
      </c>
    </row>
    <row r="233" spans="53:68">
      <c r="BA233" s="1269" t="s">
        <v>1363</v>
      </c>
      <c r="BB233" s="1269" t="s">
        <v>1364</v>
      </c>
      <c r="BC233" s="1269" t="s">
        <v>889</v>
      </c>
      <c r="BD233" s="1269" t="s">
        <v>907</v>
      </c>
      <c r="BE233" s="1269"/>
      <c r="BF233" s="1269" t="s">
        <v>1365</v>
      </c>
      <c r="BG233" s="1269"/>
      <c r="BH233" s="1269" t="s">
        <v>1366</v>
      </c>
      <c r="BI233" s="1270" t="s">
        <v>1020</v>
      </c>
      <c r="BJ233" s="1270">
        <v>11</v>
      </c>
      <c r="BK233" s="1270"/>
      <c r="BL233" s="1269"/>
      <c r="BM233" s="1269"/>
      <c r="BN233" s="1269" t="s">
        <v>1367</v>
      </c>
      <c r="BO233" s="1272"/>
      <c r="BP233" s="1269" t="s">
        <v>1368</v>
      </c>
    </row>
    <row r="234" spans="53:68">
      <c r="BA234" s="1269" t="s">
        <v>1363</v>
      </c>
      <c r="BB234" s="1269" t="s">
        <v>1364</v>
      </c>
      <c r="BC234" s="1269" t="s">
        <v>889</v>
      </c>
      <c r="BD234" s="1269" t="s">
        <v>907</v>
      </c>
      <c r="BE234" s="1269"/>
      <c r="BF234" s="1269" t="s">
        <v>1365</v>
      </c>
      <c r="BG234" s="1269"/>
      <c r="BH234" s="1269"/>
      <c r="BI234" s="1270">
        <v>1</v>
      </c>
      <c r="BJ234" s="1270">
        <v>12.862080000000001</v>
      </c>
      <c r="BK234" s="1270"/>
      <c r="BL234" s="1269"/>
      <c r="BM234" s="1269"/>
      <c r="BN234" s="1269" t="s">
        <v>1367</v>
      </c>
      <c r="BO234" s="1272"/>
      <c r="BP234" s="1269" t="s">
        <v>1369</v>
      </c>
    </row>
    <row r="235" spans="53:68">
      <c r="BA235" s="1269" t="s">
        <v>1363</v>
      </c>
      <c r="BB235" s="1269" t="s">
        <v>1364</v>
      </c>
      <c r="BC235" s="1269" t="s">
        <v>889</v>
      </c>
      <c r="BD235" s="1269" t="s">
        <v>907</v>
      </c>
      <c r="BE235" s="1269"/>
      <c r="BF235" s="1269" t="s">
        <v>1365</v>
      </c>
      <c r="BG235" s="1269"/>
      <c r="BH235" s="1269"/>
      <c r="BI235" s="1270">
        <v>2</v>
      </c>
      <c r="BJ235" s="1270">
        <v>4.8</v>
      </c>
      <c r="BK235" s="1270"/>
      <c r="BL235" s="1269"/>
      <c r="BM235" s="1269" t="s">
        <v>5</v>
      </c>
      <c r="BN235" s="1269" t="s">
        <v>1370</v>
      </c>
      <c r="BO235" s="1272"/>
      <c r="BP235" s="1269" t="s">
        <v>1371</v>
      </c>
    </row>
    <row r="236" spans="53:68">
      <c r="BA236" s="1269" t="s">
        <v>1372</v>
      </c>
      <c r="BB236" s="1269" t="s">
        <v>1373</v>
      </c>
      <c r="BC236" s="1269" t="s">
        <v>864</v>
      </c>
      <c r="BD236" s="1269" t="s">
        <v>907</v>
      </c>
      <c r="BE236" s="1269" t="s">
        <v>1374</v>
      </c>
      <c r="BF236" s="1269" t="s">
        <v>1375</v>
      </c>
      <c r="BG236" s="1269" t="s">
        <v>1253</v>
      </c>
      <c r="BH236" s="1269"/>
      <c r="BI236" s="1270">
        <v>1</v>
      </c>
      <c r="BJ236" s="1270">
        <v>171</v>
      </c>
      <c r="BK236" s="1270"/>
      <c r="BL236" s="1269" t="s">
        <v>895</v>
      </c>
      <c r="BM236" s="1269"/>
      <c r="BN236" s="1269" t="s">
        <v>1376</v>
      </c>
      <c r="BO236" s="1272">
        <v>37328</v>
      </c>
      <c r="BP236" s="1269" t="s">
        <v>1377</v>
      </c>
    </row>
    <row r="237" spans="53:68">
      <c r="BA237" s="1269" t="s">
        <v>1372</v>
      </c>
      <c r="BB237" s="1269" t="s">
        <v>1373</v>
      </c>
      <c r="BC237" s="1269" t="s">
        <v>864</v>
      </c>
      <c r="BD237" s="1269" t="s">
        <v>907</v>
      </c>
      <c r="BE237" s="1269" t="s">
        <v>1374</v>
      </c>
      <c r="BF237" s="1269" t="s">
        <v>1378</v>
      </c>
      <c r="BG237" s="1269" t="s">
        <v>1253</v>
      </c>
      <c r="BH237" s="1269"/>
      <c r="BI237" s="1270">
        <v>1</v>
      </c>
      <c r="BJ237" s="1270">
        <v>174</v>
      </c>
      <c r="BK237" s="1270"/>
      <c r="BL237" s="1269" t="s">
        <v>895</v>
      </c>
      <c r="BM237" s="1269"/>
      <c r="BN237" s="1269" t="s">
        <v>1379</v>
      </c>
      <c r="BO237" s="1272">
        <v>37461</v>
      </c>
      <c r="BP237" s="1269" t="s">
        <v>1380</v>
      </c>
    </row>
    <row r="238" spans="53:68">
      <c r="BA238" s="1269" t="s">
        <v>1372</v>
      </c>
      <c r="BB238" s="1269" t="s">
        <v>1373</v>
      </c>
      <c r="BC238" s="1269" t="s">
        <v>864</v>
      </c>
      <c r="BD238" s="1269" t="s">
        <v>907</v>
      </c>
      <c r="BE238" s="1269" t="s">
        <v>1381</v>
      </c>
      <c r="BF238" s="1269" t="s">
        <v>1382</v>
      </c>
      <c r="BG238" s="1269" t="s">
        <v>1253</v>
      </c>
      <c r="BH238" s="1269"/>
      <c r="BI238" s="1270">
        <v>1</v>
      </c>
      <c r="BJ238" s="1270">
        <v>53.6</v>
      </c>
      <c r="BK238" s="1270"/>
      <c r="BL238" s="1269" t="s">
        <v>895</v>
      </c>
      <c r="BM238" s="1269"/>
      <c r="BN238" s="1269" t="s">
        <v>968</v>
      </c>
      <c r="BO238" s="1272">
        <v>38525</v>
      </c>
      <c r="BP238" s="1269" t="s">
        <v>1383</v>
      </c>
    </row>
    <row r="239" spans="53:68">
      <c r="BA239" s="1269" t="s">
        <v>1372</v>
      </c>
      <c r="BB239" s="1269" t="s">
        <v>1373</v>
      </c>
      <c r="BC239" s="1269" t="s">
        <v>864</v>
      </c>
      <c r="BD239" s="1269" t="s">
        <v>907</v>
      </c>
      <c r="BE239" s="1269" t="s">
        <v>1384</v>
      </c>
      <c r="BF239" s="1269" t="s">
        <v>1385</v>
      </c>
      <c r="BG239" s="1269" t="s">
        <v>868</v>
      </c>
      <c r="BH239" s="1269"/>
      <c r="BI239" s="1270">
        <v>1</v>
      </c>
      <c r="BJ239" s="1270">
        <v>20.09</v>
      </c>
      <c r="BK239" s="1270">
        <v>20.100000000000001</v>
      </c>
      <c r="BL239" s="1269" t="s">
        <v>870</v>
      </c>
      <c r="BM239" s="1269"/>
      <c r="BN239" s="1269" t="s">
        <v>1386</v>
      </c>
      <c r="BO239" s="1272">
        <v>39728</v>
      </c>
      <c r="BP239" s="1269" t="s">
        <v>1387</v>
      </c>
    </row>
    <row r="240" spans="53:68">
      <c r="BA240" s="1269" t="s">
        <v>1388</v>
      </c>
      <c r="BB240" s="1269" t="s">
        <v>1389</v>
      </c>
      <c r="BC240" s="1269" t="s">
        <v>889</v>
      </c>
      <c r="BD240" s="1269" t="s">
        <v>890</v>
      </c>
      <c r="BE240" s="1269" t="s">
        <v>1390</v>
      </c>
      <c r="BF240" s="1269" t="s">
        <v>1391</v>
      </c>
      <c r="BG240" s="1269"/>
      <c r="BH240" s="1269"/>
      <c r="BI240" s="1270">
        <v>1</v>
      </c>
      <c r="BJ240" s="1270">
        <v>17.125799999999998</v>
      </c>
      <c r="BK240" s="1270"/>
      <c r="BL240" s="1269" t="s">
        <v>884</v>
      </c>
      <c r="BM240" s="1269"/>
      <c r="BN240" s="1269" t="s">
        <v>939</v>
      </c>
      <c r="BO240" s="1272">
        <v>39884</v>
      </c>
      <c r="BP240" s="1269" t="s">
        <v>1392</v>
      </c>
    </row>
    <row r="241" spans="53:68">
      <c r="BA241" s="1269" t="s">
        <v>1388</v>
      </c>
      <c r="BB241" s="1269" t="s">
        <v>1389</v>
      </c>
      <c r="BC241" s="1269" t="s">
        <v>889</v>
      </c>
      <c r="BD241" s="1269" t="s">
        <v>890</v>
      </c>
      <c r="BE241" s="1269" t="s">
        <v>1390</v>
      </c>
      <c r="BF241" s="1269" t="s">
        <v>1393</v>
      </c>
      <c r="BG241" s="1269"/>
      <c r="BH241" s="1269"/>
      <c r="BI241" s="1270" t="s">
        <v>894</v>
      </c>
      <c r="BJ241" s="1270">
        <v>43.276800000000009</v>
      </c>
      <c r="BK241" s="1270"/>
      <c r="BL241" s="1269" t="s">
        <v>884</v>
      </c>
      <c r="BM241" s="1269"/>
      <c r="BN241" s="1269" t="s">
        <v>939</v>
      </c>
      <c r="BO241" s="1272">
        <v>39884</v>
      </c>
      <c r="BP241" s="1269" t="s">
        <v>1392</v>
      </c>
    </row>
    <row r="242" spans="53:68">
      <c r="BA242" s="1269" t="s">
        <v>1388</v>
      </c>
      <c r="BB242" s="1269" t="s">
        <v>1389</v>
      </c>
      <c r="BC242" s="1269" t="s">
        <v>889</v>
      </c>
      <c r="BD242" s="1269" t="s">
        <v>890</v>
      </c>
      <c r="BE242" s="1269" t="s">
        <v>1390</v>
      </c>
      <c r="BF242" s="1269" t="s">
        <v>1394</v>
      </c>
      <c r="BG242" s="1269"/>
      <c r="BH242" s="1269"/>
      <c r="BI242" s="1270" t="s">
        <v>894</v>
      </c>
      <c r="BJ242" s="1270">
        <v>115.27499999999998</v>
      </c>
      <c r="BK242" s="1270"/>
      <c r="BL242" s="1269" t="s">
        <v>884</v>
      </c>
      <c r="BM242" s="1269"/>
      <c r="BN242" s="1269" t="s">
        <v>939</v>
      </c>
      <c r="BO242" s="1272">
        <v>39884</v>
      </c>
      <c r="BP242" s="1269" t="s">
        <v>1392</v>
      </c>
    </row>
    <row r="243" spans="53:68">
      <c r="BA243" s="1269" t="s">
        <v>1388</v>
      </c>
      <c r="BB243" s="1269" t="s">
        <v>1389</v>
      </c>
      <c r="BC243" s="1269" t="s">
        <v>889</v>
      </c>
      <c r="BD243" s="1269" t="s">
        <v>890</v>
      </c>
      <c r="BE243" s="1269" t="s">
        <v>1390</v>
      </c>
      <c r="BF243" s="1269" t="s">
        <v>1395</v>
      </c>
      <c r="BG243" s="1269"/>
      <c r="BH243" s="1269"/>
      <c r="BI243" s="1270" t="s">
        <v>894</v>
      </c>
      <c r="BJ243" s="1270">
        <v>134.06400000000002</v>
      </c>
      <c r="BK243" s="1270"/>
      <c r="BL243" s="1269" t="s">
        <v>884</v>
      </c>
      <c r="BM243" s="1269"/>
      <c r="BN243" s="1269" t="s">
        <v>939</v>
      </c>
      <c r="BO243" s="1272">
        <v>39884</v>
      </c>
      <c r="BP243" s="1269" t="s">
        <v>1396</v>
      </c>
    </row>
    <row r="244" spans="53:68">
      <c r="BA244" s="1269" t="s">
        <v>1388</v>
      </c>
      <c r="BB244" s="1269" t="s">
        <v>1389</v>
      </c>
      <c r="BC244" s="1269" t="s">
        <v>889</v>
      </c>
      <c r="BD244" s="1269" t="s">
        <v>890</v>
      </c>
      <c r="BE244" s="1269" t="s">
        <v>1390</v>
      </c>
      <c r="BF244" s="1269" t="s">
        <v>1397</v>
      </c>
      <c r="BG244" s="1269"/>
      <c r="BH244" s="1269"/>
      <c r="BI244" s="1270">
        <v>1</v>
      </c>
      <c r="BJ244" s="1270">
        <v>85.28</v>
      </c>
      <c r="BK244" s="1270"/>
      <c r="BL244" s="1269" t="s">
        <v>884</v>
      </c>
      <c r="BM244" s="1269"/>
      <c r="BN244" s="1269" t="s">
        <v>939</v>
      </c>
      <c r="BO244" s="1272">
        <v>39884</v>
      </c>
      <c r="BP244" s="1269" t="s">
        <v>1396</v>
      </c>
    </row>
    <row r="245" spans="53:68">
      <c r="BA245" s="1269" t="s">
        <v>1388</v>
      </c>
      <c r="BB245" s="1269" t="s">
        <v>1389</v>
      </c>
      <c r="BC245" s="1269" t="s">
        <v>889</v>
      </c>
      <c r="BD245" s="1269" t="s">
        <v>890</v>
      </c>
      <c r="BE245" s="1269" t="s">
        <v>1398</v>
      </c>
      <c r="BF245" s="1269" t="s">
        <v>1399</v>
      </c>
      <c r="BG245" s="1269"/>
      <c r="BH245" s="1269"/>
      <c r="BI245" s="1270" t="s">
        <v>894</v>
      </c>
      <c r="BJ245" s="1270">
        <v>146</v>
      </c>
      <c r="BK245" s="1270"/>
      <c r="BL245" s="1269" t="s">
        <v>120</v>
      </c>
      <c r="BM245" s="1269"/>
      <c r="BN245" s="1269" t="s">
        <v>1400</v>
      </c>
      <c r="BO245" s="1272"/>
      <c r="BP245" s="1269" t="s">
        <v>1401</v>
      </c>
    </row>
    <row r="246" spans="53:68">
      <c r="BA246" s="1269" t="s">
        <v>1388</v>
      </c>
      <c r="BB246" s="1269" t="s">
        <v>1389</v>
      </c>
      <c r="BC246" s="1269" t="s">
        <v>889</v>
      </c>
      <c r="BD246" s="1269" t="s">
        <v>890</v>
      </c>
      <c r="BE246" s="1269" t="s">
        <v>1398</v>
      </c>
      <c r="BF246" s="1269" t="s">
        <v>1199</v>
      </c>
      <c r="BG246" s="1269"/>
      <c r="BH246" s="1269"/>
      <c r="BI246" s="1270" t="s">
        <v>894</v>
      </c>
      <c r="BJ246" s="1270">
        <v>75.3</v>
      </c>
      <c r="BK246" s="1270"/>
      <c r="BL246" s="1269" t="s">
        <v>895</v>
      </c>
      <c r="BM246" s="1269"/>
      <c r="BN246" s="1269" t="s">
        <v>1180</v>
      </c>
      <c r="BO246" s="1272"/>
      <c r="BP246" s="1269" t="s">
        <v>1402</v>
      </c>
    </row>
    <row r="247" spans="53:68">
      <c r="BA247" s="1269" t="s">
        <v>1388</v>
      </c>
      <c r="BB247" s="1269" t="s">
        <v>1389</v>
      </c>
      <c r="BC247" s="1269" t="s">
        <v>889</v>
      </c>
      <c r="BD247" s="1269" t="s">
        <v>890</v>
      </c>
      <c r="BE247" s="1269" t="s">
        <v>1398</v>
      </c>
      <c r="BF247" s="1269" t="s">
        <v>1403</v>
      </c>
      <c r="BG247" s="1269"/>
      <c r="BH247" s="1269"/>
      <c r="BI247" s="1270" t="s">
        <v>894</v>
      </c>
      <c r="BJ247" s="1270">
        <v>46.3</v>
      </c>
      <c r="BK247" s="1270"/>
      <c r="BL247" s="1269" t="s">
        <v>895</v>
      </c>
      <c r="BM247" s="1269"/>
      <c r="BN247" s="1269" t="s">
        <v>1180</v>
      </c>
      <c r="BO247" s="1272"/>
      <c r="BP247" s="1269" t="s">
        <v>1402</v>
      </c>
    </row>
    <row r="248" spans="53:68">
      <c r="BA248" s="1269" t="s">
        <v>1388</v>
      </c>
      <c r="BB248" s="1269" t="s">
        <v>1404</v>
      </c>
      <c r="BC248" s="1269" t="s">
        <v>864</v>
      </c>
      <c r="BD248" s="1269" t="s">
        <v>890</v>
      </c>
      <c r="BE248" s="1269" t="s">
        <v>1390</v>
      </c>
      <c r="BF248" s="1269" t="s">
        <v>1405</v>
      </c>
      <c r="BG248" s="1269" t="s">
        <v>1253</v>
      </c>
      <c r="BH248" s="1269"/>
      <c r="BI248" s="1270" t="s">
        <v>894</v>
      </c>
      <c r="BJ248" s="1270">
        <v>256.02500000000003</v>
      </c>
      <c r="BK248" s="1270"/>
      <c r="BL248" s="1269" t="s">
        <v>884</v>
      </c>
      <c r="BM248" s="1269"/>
      <c r="BN248" s="1269" t="s">
        <v>1406</v>
      </c>
      <c r="BO248" s="1272">
        <v>39112</v>
      </c>
      <c r="BP248" s="1269" t="s">
        <v>1407</v>
      </c>
    </row>
    <row r="249" spans="53:68">
      <c r="BA249" s="1269" t="s">
        <v>1388</v>
      </c>
      <c r="BB249" s="1269" t="s">
        <v>1404</v>
      </c>
      <c r="BC249" s="1269" t="s">
        <v>864</v>
      </c>
      <c r="BD249" s="1269" t="s">
        <v>890</v>
      </c>
      <c r="BE249" s="1269" t="s">
        <v>1390</v>
      </c>
      <c r="BF249" s="1269" t="s">
        <v>1408</v>
      </c>
      <c r="BG249" s="1269" t="s">
        <v>1253</v>
      </c>
      <c r="BH249" s="1269"/>
      <c r="BI249" s="1270">
        <v>1</v>
      </c>
      <c r="BJ249" s="1270">
        <v>156</v>
      </c>
      <c r="BK249" s="1270"/>
      <c r="BL249" s="1269" t="s">
        <v>884</v>
      </c>
      <c r="BM249" s="1269"/>
      <c r="BN249" s="1269" t="s">
        <v>1406</v>
      </c>
      <c r="BO249" s="1272">
        <v>39112</v>
      </c>
      <c r="BP249" s="1269" t="s">
        <v>1407</v>
      </c>
    </row>
    <row r="250" spans="53:68">
      <c r="BA250" s="1269" t="s">
        <v>1388</v>
      </c>
      <c r="BB250" s="1269" t="s">
        <v>1404</v>
      </c>
      <c r="BC250" s="1269" t="s">
        <v>864</v>
      </c>
      <c r="BD250" s="1269" t="s">
        <v>890</v>
      </c>
      <c r="BE250" s="1269" t="s">
        <v>1390</v>
      </c>
      <c r="BF250" s="1269" t="s">
        <v>1409</v>
      </c>
      <c r="BG250" s="1269" t="s">
        <v>1253</v>
      </c>
      <c r="BH250" s="1269"/>
      <c r="BI250" s="1270" t="s">
        <v>894</v>
      </c>
      <c r="BJ250" s="1270">
        <v>110.59200000000001</v>
      </c>
      <c r="BK250" s="1270"/>
      <c r="BL250" s="1269" t="s">
        <v>120</v>
      </c>
      <c r="BM250" s="1269"/>
      <c r="BN250" s="1269" t="s">
        <v>939</v>
      </c>
      <c r="BO250" s="1272"/>
      <c r="BP250" s="1269" t="s">
        <v>1410</v>
      </c>
    </row>
    <row r="251" spans="53:68">
      <c r="BA251" s="1269" t="s">
        <v>1388</v>
      </c>
      <c r="BB251" s="1269" t="s">
        <v>1404</v>
      </c>
      <c r="BC251" s="1269" t="s">
        <v>864</v>
      </c>
      <c r="BD251" s="1269" t="s">
        <v>890</v>
      </c>
      <c r="BE251" s="1269" t="s">
        <v>1390</v>
      </c>
      <c r="BF251" s="1269" t="s">
        <v>1411</v>
      </c>
      <c r="BG251" s="1269" t="s">
        <v>868</v>
      </c>
      <c r="BH251" s="1269"/>
      <c r="BI251" s="1270" t="s">
        <v>894</v>
      </c>
      <c r="BJ251" s="1270">
        <v>10.533600000000002</v>
      </c>
      <c r="BK251" s="1270">
        <v>88.473600000000005</v>
      </c>
      <c r="BL251" s="1269" t="s">
        <v>120</v>
      </c>
      <c r="BM251" s="1269"/>
      <c r="BN251" s="1269" t="s">
        <v>939</v>
      </c>
      <c r="BO251" s="1272"/>
      <c r="BP251" s="1269" t="s">
        <v>1410</v>
      </c>
    </row>
    <row r="252" spans="53:68">
      <c r="BA252" s="1269" t="s">
        <v>1412</v>
      </c>
      <c r="BB252" s="1269" t="s">
        <v>1413</v>
      </c>
      <c r="BC252" s="1269" t="s">
        <v>889</v>
      </c>
      <c r="BD252" s="1269" t="s">
        <v>907</v>
      </c>
      <c r="BE252" s="1269" t="s">
        <v>1414</v>
      </c>
      <c r="BF252" s="1269" t="s">
        <v>1415</v>
      </c>
      <c r="BG252" s="1269"/>
      <c r="BH252" s="1269" t="s">
        <v>1020</v>
      </c>
      <c r="BI252" s="1270" t="s">
        <v>1020</v>
      </c>
      <c r="BJ252" s="1270">
        <v>12</v>
      </c>
      <c r="BK252" s="1270"/>
      <c r="BL252" s="1269" t="s">
        <v>870</v>
      </c>
      <c r="BM252" s="1269"/>
      <c r="BN252" s="1269" t="s">
        <v>919</v>
      </c>
      <c r="BO252" s="1272">
        <v>37923</v>
      </c>
      <c r="BP252" s="1269" t="s">
        <v>1416</v>
      </c>
    </row>
    <row r="253" spans="53:68">
      <c r="BA253" s="1269" t="s">
        <v>1417</v>
      </c>
      <c r="BB253" s="1269" t="s">
        <v>1418</v>
      </c>
      <c r="BC253" s="1269" t="s">
        <v>889</v>
      </c>
      <c r="BD253" s="1269" t="s">
        <v>907</v>
      </c>
      <c r="BE253" s="1269" t="s">
        <v>1419</v>
      </c>
      <c r="BF253" s="1269"/>
      <c r="BG253" s="1269"/>
      <c r="BH253" s="1269"/>
      <c r="BI253" s="1270">
        <v>20</v>
      </c>
      <c r="BJ253" s="1270">
        <v>1.58</v>
      </c>
      <c r="BK253" s="1270"/>
      <c r="BL253" s="1269" t="s">
        <v>870</v>
      </c>
      <c r="BM253" s="1269" t="s">
        <v>5</v>
      </c>
      <c r="BN253" s="1269" t="s">
        <v>914</v>
      </c>
      <c r="BO253" s="1272">
        <v>40695</v>
      </c>
      <c r="BP253" s="1269" t="s">
        <v>1420</v>
      </c>
    </row>
    <row r="254" spans="53:68">
      <c r="BA254" s="1269" t="s">
        <v>1417</v>
      </c>
      <c r="BB254" s="1269" t="s">
        <v>1418</v>
      </c>
      <c r="BC254" s="1269" t="s">
        <v>889</v>
      </c>
      <c r="BD254" s="1269" t="s">
        <v>907</v>
      </c>
      <c r="BE254" s="1269" t="s">
        <v>1419</v>
      </c>
      <c r="BF254" s="1269" t="s">
        <v>1421</v>
      </c>
      <c r="BG254" s="1269"/>
      <c r="BH254" s="1269" t="s">
        <v>945</v>
      </c>
      <c r="BI254" s="1270" t="s">
        <v>946</v>
      </c>
      <c r="BJ254" s="1270">
        <v>91.52000000000001</v>
      </c>
      <c r="BK254" s="1270"/>
      <c r="BL254" s="1269" t="s">
        <v>120</v>
      </c>
      <c r="BM254" s="1269"/>
      <c r="BN254" s="1269" t="s">
        <v>914</v>
      </c>
      <c r="BO254" s="1272"/>
      <c r="BP254" s="1269" t="s">
        <v>947</v>
      </c>
    </row>
    <row r="255" spans="53:68">
      <c r="BA255" s="1269" t="s">
        <v>837</v>
      </c>
      <c r="BB255" s="1269" t="s">
        <v>1422</v>
      </c>
      <c r="BC255" s="1269" t="s">
        <v>864</v>
      </c>
      <c r="BD255" s="1269" t="s">
        <v>1232</v>
      </c>
      <c r="BE255" s="1269" t="s">
        <v>1423</v>
      </c>
      <c r="BF255" s="1269" t="s">
        <v>1424</v>
      </c>
      <c r="BG255" s="1269" t="s">
        <v>868</v>
      </c>
      <c r="BH255" s="1269"/>
      <c r="BI255" s="1270">
        <v>10</v>
      </c>
      <c r="BJ255" s="1270">
        <v>2.46</v>
      </c>
      <c r="BK255" s="1270">
        <v>2.85</v>
      </c>
      <c r="BL255" s="1269" t="s">
        <v>884</v>
      </c>
      <c r="BM255" s="1269" t="s">
        <v>5</v>
      </c>
      <c r="BN255" s="1269" t="s">
        <v>914</v>
      </c>
      <c r="BO255" s="1272">
        <v>31778</v>
      </c>
      <c r="BP255" s="1269" t="s">
        <v>1425</v>
      </c>
    </row>
    <row r="256" spans="53:68">
      <c r="BA256" s="1269" t="s">
        <v>837</v>
      </c>
      <c r="BB256" s="1269" t="s">
        <v>1422</v>
      </c>
      <c r="BC256" s="1269" t="s">
        <v>864</v>
      </c>
      <c r="BD256" s="1269" t="s">
        <v>1232</v>
      </c>
      <c r="BE256" s="1269" t="s">
        <v>1423</v>
      </c>
      <c r="BF256" s="1269" t="s">
        <v>1421</v>
      </c>
      <c r="BG256" s="1269" t="s">
        <v>1253</v>
      </c>
      <c r="BH256" s="1269" t="s">
        <v>945</v>
      </c>
      <c r="BI256" s="1270" t="s">
        <v>946</v>
      </c>
      <c r="BJ256" s="1270">
        <v>72</v>
      </c>
      <c r="BK256" s="1270"/>
      <c r="BL256" s="1269" t="s">
        <v>120</v>
      </c>
      <c r="BM256" s="1269"/>
      <c r="BN256" s="1269" t="s">
        <v>914</v>
      </c>
      <c r="BO256" s="1272"/>
      <c r="BP256" s="1269" t="s">
        <v>947</v>
      </c>
    </row>
    <row r="257" spans="53:68">
      <c r="BA257" s="1269" t="s">
        <v>837</v>
      </c>
      <c r="BB257" s="1269" t="s">
        <v>1422</v>
      </c>
      <c r="BC257" s="1269" t="s">
        <v>864</v>
      </c>
      <c r="BD257" s="1269" t="s">
        <v>1232</v>
      </c>
      <c r="BE257" s="1269" t="s">
        <v>837</v>
      </c>
      <c r="BF257" s="1269" t="s">
        <v>1426</v>
      </c>
      <c r="BG257" s="1269" t="s">
        <v>868</v>
      </c>
      <c r="BH257" s="1269"/>
      <c r="BI257" s="1270">
        <v>5</v>
      </c>
      <c r="BJ257" s="1270">
        <v>6.31</v>
      </c>
      <c r="BK257" s="1270">
        <v>7</v>
      </c>
      <c r="BL257" s="1269" t="s">
        <v>884</v>
      </c>
      <c r="BM257" s="1269" t="s">
        <v>5</v>
      </c>
      <c r="BN257" s="1269" t="s">
        <v>1328</v>
      </c>
      <c r="BO257" s="1272">
        <v>37181</v>
      </c>
      <c r="BP257" s="1269" t="s">
        <v>1427</v>
      </c>
    </row>
    <row r="258" spans="53:68">
      <c r="BA258" s="1269" t="s">
        <v>837</v>
      </c>
      <c r="BB258" s="1269" t="s">
        <v>1422</v>
      </c>
      <c r="BC258" s="1269" t="s">
        <v>864</v>
      </c>
      <c r="BD258" s="1269" t="s">
        <v>1232</v>
      </c>
      <c r="BE258" s="1269" t="s">
        <v>837</v>
      </c>
      <c r="BF258" s="1269" t="s">
        <v>1428</v>
      </c>
      <c r="BG258" s="1269" t="s">
        <v>868</v>
      </c>
      <c r="BH258" s="1269"/>
      <c r="BI258" s="1270">
        <v>10</v>
      </c>
      <c r="BJ258" s="1270">
        <v>2.96</v>
      </c>
      <c r="BK258" s="1270">
        <v>6</v>
      </c>
      <c r="BL258" s="1269" t="s">
        <v>884</v>
      </c>
      <c r="BM258" s="1269" t="s">
        <v>5</v>
      </c>
      <c r="BN258" s="1269" t="s">
        <v>1328</v>
      </c>
      <c r="BO258" s="1272">
        <v>39426</v>
      </c>
      <c r="BP258" s="1269" t="s">
        <v>1429</v>
      </c>
    </row>
    <row r="259" spans="53:68">
      <c r="BA259" s="1269" t="s">
        <v>837</v>
      </c>
      <c r="BB259" s="1269" t="s">
        <v>1422</v>
      </c>
      <c r="BC259" s="1269" t="s">
        <v>864</v>
      </c>
      <c r="BD259" s="1269" t="s">
        <v>1232</v>
      </c>
      <c r="BE259" s="1269" t="s">
        <v>837</v>
      </c>
      <c r="BF259" s="1269" t="s">
        <v>1430</v>
      </c>
      <c r="BG259" s="1269" t="s">
        <v>868</v>
      </c>
      <c r="BH259" s="1269"/>
      <c r="BI259" s="1270">
        <v>50</v>
      </c>
      <c r="BJ259" s="1270">
        <v>0.63</v>
      </c>
      <c r="BK259" s="1270">
        <v>3</v>
      </c>
      <c r="BL259" s="1269" t="s">
        <v>884</v>
      </c>
      <c r="BM259" s="1269" t="s">
        <v>5</v>
      </c>
      <c r="BN259" s="1269" t="s">
        <v>1328</v>
      </c>
      <c r="BO259" s="1272">
        <v>37181</v>
      </c>
      <c r="BP259" s="1269" t="s">
        <v>1431</v>
      </c>
    </row>
    <row r="260" spans="53:68">
      <c r="BA260" s="1269" t="s">
        <v>837</v>
      </c>
      <c r="BB260" s="1269" t="s">
        <v>1422</v>
      </c>
      <c r="BC260" s="1269" t="s">
        <v>864</v>
      </c>
      <c r="BD260" s="1269" t="s">
        <v>1232</v>
      </c>
      <c r="BE260" s="1269" t="s">
        <v>1432</v>
      </c>
      <c r="BF260" s="1269" t="s">
        <v>1433</v>
      </c>
      <c r="BG260" s="1269" t="s">
        <v>868</v>
      </c>
      <c r="BH260" s="1269"/>
      <c r="BI260" s="1270">
        <v>5</v>
      </c>
      <c r="BJ260" s="1270">
        <v>2.8</v>
      </c>
      <c r="BK260" s="1270">
        <v>7</v>
      </c>
      <c r="BL260" s="1269" t="s">
        <v>884</v>
      </c>
      <c r="BM260" s="1269" t="s">
        <v>5</v>
      </c>
      <c r="BN260" s="1269" t="s">
        <v>1434</v>
      </c>
      <c r="BO260" s="1272">
        <v>36970</v>
      </c>
      <c r="BP260" s="1269" t="s">
        <v>1435</v>
      </c>
    </row>
    <row r="261" spans="53:68">
      <c r="BA261" s="1269" t="s">
        <v>837</v>
      </c>
      <c r="BB261" s="1269" t="s">
        <v>1422</v>
      </c>
      <c r="BC261" s="1269" t="s">
        <v>864</v>
      </c>
      <c r="BD261" s="1269" t="s">
        <v>1232</v>
      </c>
      <c r="BE261" s="1269" t="s">
        <v>1432</v>
      </c>
      <c r="BF261" s="1269" t="s">
        <v>1436</v>
      </c>
      <c r="BG261" s="1269" t="s">
        <v>868</v>
      </c>
      <c r="BH261" s="1269"/>
      <c r="BI261" s="1270">
        <v>20</v>
      </c>
      <c r="BJ261" s="1270">
        <v>0.7</v>
      </c>
      <c r="BK261" s="1270">
        <v>3</v>
      </c>
      <c r="BL261" s="1269" t="s">
        <v>884</v>
      </c>
      <c r="BM261" s="1269" t="s">
        <v>5</v>
      </c>
      <c r="BN261" s="1269" t="s">
        <v>1434</v>
      </c>
      <c r="BO261" s="1272">
        <v>36970</v>
      </c>
      <c r="BP261" s="1269" t="s">
        <v>1437</v>
      </c>
    </row>
    <row r="262" spans="53:68">
      <c r="BA262" s="1269" t="s">
        <v>837</v>
      </c>
      <c r="BB262" s="1269" t="s">
        <v>1422</v>
      </c>
      <c r="BC262" s="1269" t="s">
        <v>864</v>
      </c>
      <c r="BD262" s="1269" t="s">
        <v>1232</v>
      </c>
      <c r="BE262" s="1269" t="s">
        <v>1432</v>
      </c>
      <c r="BF262" s="1269" t="s">
        <v>1438</v>
      </c>
      <c r="BG262" s="1269" t="s">
        <v>868</v>
      </c>
      <c r="BH262" s="1269"/>
      <c r="BI262" s="1270">
        <v>10</v>
      </c>
      <c r="BJ262" s="1270">
        <v>1.4</v>
      </c>
      <c r="BK262" s="1270">
        <v>6</v>
      </c>
      <c r="BL262" s="1269" t="s">
        <v>884</v>
      </c>
      <c r="BM262" s="1269" t="s">
        <v>5</v>
      </c>
      <c r="BN262" s="1269" t="s">
        <v>1434</v>
      </c>
      <c r="BO262" s="1272">
        <v>36970</v>
      </c>
      <c r="BP262" s="1269" t="s">
        <v>1439</v>
      </c>
    </row>
    <row r="263" spans="53:68">
      <c r="BA263" s="1269" t="s">
        <v>837</v>
      </c>
      <c r="BB263" s="1269" t="s">
        <v>1422</v>
      </c>
      <c r="BC263" s="1269" t="s">
        <v>864</v>
      </c>
      <c r="BD263" s="1269" t="s">
        <v>1232</v>
      </c>
      <c r="BE263" s="1269" t="s">
        <v>837</v>
      </c>
      <c r="BF263" s="1269" t="s">
        <v>1440</v>
      </c>
      <c r="BG263" s="1269" t="s">
        <v>868</v>
      </c>
      <c r="BH263" s="1269"/>
      <c r="BI263" s="1270">
        <v>2</v>
      </c>
      <c r="BJ263" s="1270">
        <v>7.2</v>
      </c>
      <c r="BK263" s="1270">
        <v>7</v>
      </c>
      <c r="BL263" s="1269" t="s">
        <v>884</v>
      </c>
      <c r="BM263" s="1269" t="s">
        <v>5</v>
      </c>
      <c r="BN263" s="1269" t="s">
        <v>1441</v>
      </c>
      <c r="BO263" s="1272">
        <v>39898</v>
      </c>
      <c r="BP263" s="1269" t="s">
        <v>1442</v>
      </c>
    </row>
    <row r="264" spans="53:68">
      <c r="BA264" s="1269" t="s">
        <v>837</v>
      </c>
      <c r="BB264" s="1269" t="s">
        <v>1422</v>
      </c>
      <c r="BC264" s="1269" t="s">
        <v>864</v>
      </c>
      <c r="BD264" s="1269" t="s">
        <v>1232</v>
      </c>
      <c r="BE264" s="1269" t="s">
        <v>837</v>
      </c>
      <c r="BF264" s="1269" t="s">
        <v>1440</v>
      </c>
      <c r="BG264" s="1269" t="s">
        <v>868</v>
      </c>
      <c r="BH264" s="1269"/>
      <c r="BI264" s="1270">
        <v>5</v>
      </c>
      <c r="BJ264" s="1270">
        <v>6</v>
      </c>
      <c r="BK264" s="1270">
        <v>6</v>
      </c>
      <c r="BL264" s="1269" t="s">
        <v>884</v>
      </c>
      <c r="BM264" s="1269" t="s">
        <v>5</v>
      </c>
      <c r="BN264" s="1269" t="s">
        <v>1441</v>
      </c>
      <c r="BO264" s="1272">
        <v>39898</v>
      </c>
      <c r="BP264" s="1269" t="s">
        <v>1443</v>
      </c>
    </row>
    <row r="265" spans="53:68">
      <c r="BA265" s="1269" t="s">
        <v>837</v>
      </c>
      <c r="BB265" s="1269" t="s">
        <v>1422</v>
      </c>
      <c r="BC265" s="1269" t="s">
        <v>864</v>
      </c>
      <c r="BD265" s="1269" t="s">
        <v>1232</v>
      </c>
      <c r="BE265" s="1269" t="s">
        <v>837</v>
      </c>
      <c r="BF265" s="1269" t="s">
        <v>1440</v>
      </c>
      <c r="BG265" s="1269" t="s">
        <v>868</v>
      </c>
      <c r="BH265" s="1269"/>
      <c r="BI265" s="1270">
        <v>10</v>
      </c>
      <c r="BJ265" s="1270">
        <v>3.6</v>
      </c>
      <c r="BK265" s="1270">
        <v>3.6</v>
      </c>
      <c r="BL265" s="1269" t="s">
        <v>884</v>
      </c>
      <c r="BM265" s="1269" t="s">
        <v>5</v>
      </c>
      <c r="BN265" s="1269" t="s">
        <v>1441</v>
      </c>
      <c r="BO265" s="1272">
        <v>39898</v>
      </c>
      <c r="BP265" s="1269" t="s">
        <v>1444</v>
      </c>
    </row>
    <row r="266" spans="53:68">
      <c r="BA266" s="1269" t="s">
        <v>1445</v>
      </c>
      <c r="BB266" s="1269" t="s">
        <v>1446</v>
      </c>
      <c r="BC266" s="1269" t="s">
        <v>864</v>
      </c>
      <c r="BD266" s="1269" t="s">
        <v>1232</v>
      </c>
      <c r="BE266" s="1269"/>
      <c r="BF266" s="1269" t="s">
        <v>1320</v>
      </c>
      <c r="BG266" s="1269" t="s">
        <v>868</v>
      </c>
      <c r="BH266" s="1269"/>
      <c r="BI266" s="1270">
        <v>1</v>
      </c>
      <c r="BJ266" s="1270">
        <v>26.11</v>
      </c>
      <c r="BK266" s="1270">
        <v>26.11</v>
      </c>
      <c r="BL266" s="1269" t="s">
        <v>884</v>
      </c>
      <c r="BM266" s="1269"/>
      <c r="BN266" s="1269" t="s">
        <v>880</v>
      </c>
      <c r="BO266" s="1272">
        <v>38961</v>
      </c>
      <c r="BP266" s="1269" t="s">
        <v>1447</v>
      </c>
    </row>
    <row r="267" spans="53:68">
      <c r="BA267" s="1269" t="s">
        <v>1445</v>
      </c>
      <c r="BB267" s="1269" t="s">
        <v>1446</v>
      </c>
      <c r="BC267" s="1269" t="s">
        <v>864</v>
      </c>
      <c r="BD267" s="1269" t="s">
        <v>1232</v>
      </c>
      <c r="BE267" s="1269"/>
      <c r="BF267" s="1269" t="s">
        <v>1320</v>
      </c>
      <c r="BG267" s="1269" t="s">
        <v>868</v>
      </c>
      <c r="BH267" s="1269"/>
      <c r="BI267" s="1270">
        <v>2</v>
      </c>
      <c r="BJ267" s="1270">
        <v>13.1</v>
      </c>
      <c r="BK267" s="1270">
        <v>13.1</v>
      </c>
      <c r="BL267" s="1269" t="s">
        <v>884</v>
      </c>
      <c r="BM267" s="1269" t="s">
        <v>5</v>
      </c>
      <c r="BN267" s="1269" t="s">
        <v>880</v>
      </c>
      <c r="BO267" s="1272">
        <v>38961</v>
      </c>
      <c r="BP267" s="1269" t="s">
        <v>1448</v>
      </c>
    </row>
    <row r="268" spans="53:68">
      <c r="BA268" s="1269" t="s">
        <v>1445</v>
      </c>
      <c r="BB268" s="1269" t="s">
        <v>1446</v>
      </c>
      <c r="BC268" s="1269" t="s">
        <v>864</v>
      </c>
      <c r="BD268" s="1269" t="s">
        <v>1232</v>
      </c>
      <c r="BE268" s="1269"/>
      <c r="BF268" s="1269" t="s">
        <v>1320</v>
      </c>
      <c r="BG268" s="1269" t="s">
        <v>868</v>
      </c>
      <c r="BH268" s="1269"/>
      <c r="BI268" s="1270">
        <v>5</v>
      </c>
      <c r="BJ268" s="1270">
        <v>5.22</v>
      </c>
      <c r="BK268" s="1270">
        <v>5.22</v>
      </c>
      <c r="BL268" s="1269" t="s">
        <v>884</v>
      </c>
      <c r="BM268" s="1269" t="s">
        <v>5</v>
      </c>
      <c r="BN268" s="1269" t="s">
        <v>880</v>
      </c>
      <c r="BO268" s="1272">
        <v>38961</v>
      </c>
      <c r="BP268" s="1269" t="s">
        <v>1449</v>
      </c>
    </row>
    <row r="269" spans="53:68">
      <c r="BA269" s="1269" t="s">
        <v>1445</v>
      </c>
      <c r="BB269" s="1269" t="s">
        <v>1446</v>
      </c>
      <c r="BC269" s="1269" t="s">
        <v>864</v>
      </c>
      <c r="BD269" s="1269" t="s">
        <v>1232</v>
      </c>
      <c r="BE269" s="1269"/>
      <c r="BF269" s="1269" t="s">
        <v>1320</v>
      </c>
      <c r="BG269" s="1269" t="s">
        <v>868</v>
      </c>
      <c r="BH269" s="1269"/>
      <c r="BI269" s="1270">
        <v>10</v>
      </c>
      <c r="BJ269" s="1270">
        <v>2.6110000000000002</v>
      </c>
      <c r="BK269" s="1270">
        <v>2.6110000000000002</v>
      </c>
      <c r="BL269" s="1269" t="s">
        <v>884</v>
      </c>
      <c r="BM269" s="1269" t="s">
        <v>5</v>
      </c>
      <c r="BN269" s="1269" t="s">
        <v>880</v>
      </c>
      <c r="BO269" s="1272">
        <v>38961</v>
      </c>
      <c r="BP269" s="1269" t="s">
        <v>1450</v>
      </c>
    </row>
    <row r="270" spans="53:68">
      <c r="BA270" s="1269" t="s">
        <v>1281</v>
      </c>
      <c r="BB270" s="1269" t="s">
        <v>1282</v>
      </c>
      <c r="BC270" s="1269" t="s">
        <v>889</v>
      </c>
      <c r="BD270" s="1269" t="s">
        <v>890</v>
      </c>
      <c r="BE270" s="1269"/>
      <c r="BF270" s="1269" t="s">
        <v>1451</v>
      </c>
      <c r="BG270" s="1269"/>
      <c r="BH270" s="1269"/>
      <c r="BI270" s="1270">
        <v>20</v>
      </c>
      <c r="BJ270" s="1270">
        <v>1.1299999999999999</v>
      </c>
      <c r="BK270" s="1270"/>
      <c r="BL270" s="1269" t="s">
        <v>1284</v>
      </c>
      <c r="BM270" s="1269" t="s">
        <v>834</v>
      </c>
      <c r="BN270" s="1269" t="s">
        <v>1026</v>
      </c>
      <c r="BO270" s="1272">
        <v>40120</v>
      </c>
      <c r="BP270" s="1269" t="s">
        <v>1452</v>
      </c>
    </row>
    <row r="271" spans="53:68">
      <c r="BA271" s="1269" t="s">
        <v>1281</v>
      </c>
      <c r="BB271" s="1269" t="s">
        <v>1282</v>
      </c>
      <c r="BC271" s="1269" t="s">
        <v>889</v>
      </c>
      <c r="BD271" s="1269" t="s">
        <v>890</v>
      </c>
      <c r="BE271" s="1269"/>
      <c r="BF271" s="1269" t="s">
        <v>1453</v>
      </c>
      <c r="BG271" s="1269"/>
      <c r="BH271" s="1269"/>
      <c r="BI271" s="1270">
        <v>20</v>
      </c>
      <c r="BJ271" s="1270">
        <v>1</v>
      </c>
      <c r="BK271" s="1270"/>
      <c r="BL271" s="1269" t="s">
        <v>1284</v>
      </c>
      <c r="BM271" s="1269" t="s">
        <v>834</v>
      </c>
      <c r="BN271" s="1269" t="s">
        <v>1299</v>
      </c>
      <c r="BO271" s="1272">
        <v>40120</v>
      </c>
      <c r="BP271" s="1269" t="s">
        <v>1454</v>
      </c>
    </row>
    <row r="272" spans="53:68">
      <c r="BA272" s="1269" t="s">
        <v>1281</v>
      </c>
      <c r="BB272" s="1269" t="s">
        <v>1282</v>
      </c>
      <c r="BC272" s="1269" t="s">
        <v>889</v>
      </c>
      <c r="BD272" s="1269" t="s">
        <v>890</v>
      </c>
      <c r="BE272" s="1269"/>
      <c r="BF272" s="1269" t="s">
        <v>1283</v>
      </c>
      <c r="BG272" s="1269"/>
      <c r="BH272" s="1269"/>
      <c r="BI272" s="1270">
        <v>20</v>
      </c>
      <c r="BJ272" s="1270">
        <v>0.48</v>
      </c>
      <c r="BK272" s="1270"/>
      <c r="BL272" s="1269" t="s">
        <v>1284</v>
      </c>
      <c r="BM272" s="1269" t="s">
        <v>834</v>
      </c>
      <c r="BN272" s="1269" t="s">
        <v>939</v>
      </c>
      <c r="BO272" s="1272">
        <v>40115</v>
      </c>
      <c r="BP272" s="1269" t="s">
        <v>1455</v>
      </c>
    </row>
    <row r="273" spans="53:68">
      <c r="BA273" s="1269" t="s">
        <v>1281</v>
      </c>
      <c r="BB273" s="1269" t="s">
        <v>1282</v>
      </c>
      <c r="BC273" s="1269" t="s">
        <v>889</v>
      </c>
      <c r="BD273" s="1269" t="s">
        <v>890</v>
      </c>
      <c r="BE273" s="1269"/>
      <c r="BF273" s="1269" t="s">
        <v>1456</v>
      </c>
      <c r="BG273" s="1269"/>
      <c r="BH273" s="1269"/>
      <c r="BI273" s="1270">
        <v>10</v>
      </c>
      <c r="BJ273" s="1270">
        <v>0.97</v>
      </c>
      <c r="BK273" s="1270"/>
      <c r="BL273" s="1269" t="s">
        <v>1284</v>
      </c>
      <c r="BM273" s="1269" t="s">
        <v>834</v>
      </c>
      <c r="BN273" s="1269" t="s">
        <v>939</v>
      </c>
      <c r="BO273" s="1272">
        <v>40115</v>
      </c>
      <c r="BP273" s="1269" t="s">
        <v>1457</v>
      </c>
    </row>
    <row r="274" spans="53:68">
      <c r="BA274" s="1269" t="s">
        <v>1281</v>
      </c>
      <c r="BB274" s="1269" t="s">
        <v>1282</v>
      </c>
      <c r="BC274" s="1269" t="s">
        <v>889</v>
      </c>
      <c r="BD274" s="1269" t="s">
        <v>890</v>
      </c>
      <c r="BE274" s="1269"/>
      <c r="BF274" s="1269" t="s">
        <v>1453</v>
      </c>
      <c r="BG274" s="1269"/>
      <c r="BH274" s="1269"/>
      <c r="BI274" s="1270">
        <v>20</v>
      </c>
      <c r="BJ274" s="1270">
        <v>0.55000000000000004</v>
      </c>
      <c r="BK274" s="1270"/>
      <c r="BL274" s="1269" t="s">
        <v>1284</v>
      </c>
      <c r="BM274" s="1269" t="s">
        <v>834</v>
      </c>
      <c r="BN274" s="1269" t="s">
        <v>919</v>
      </c>
      <c r="BO274" s="1272">
        <v>40120</v>
      </c>
      <c r="BP274" s="1269" t="s">
        <v>1458</v>
      </c>
    </row>
    <row r="275" spans="53:68">
      <c r="BA275" s="1269" t="s">
        <v>1459</v>
      </c>
      <c r="BB275" s="1269" t="s">
        <v>1460</v>
      </c>
      <c r="BC275" s="1269" t="s">
        <v>889</v>
      </c>
      <c r="BD275" s="1269" t="s">
        <v>890</v>
      </c>
      <c r="BE275" s="1269"/>
      <c r="BF275" s="1269" t="s">
        <v>1283</v>
      </c>
      <c r="BG275" s="1269"/>
      <c r="BH275" s="1269"/>
      <c r="BI275" s="1270">
        <v>20</v>
      </c>
      <c r="BJ275" s="1270">
        <v>0.48</v>
      </c>
      <c r="BK275" s="1270"/>
      <c r="BL275" s="1269" t="s">
        <v>1284</v>
      </c>
      <c r="BM275" s="1269" t="s">
        <v>834</v>
      </c>
      <c r="BN275" s="1269" t="s">
        <v>939</v>
      </c>
      <c r="BO275" s="1272">
        <v>40674</v>
      </c>
      <c r="BP275" s="1269" t="s">
        <v>1461</v>
      </c>
    </row>
    <row r="276" spans="53:68">
      <c r="BA276" s="1269" t="s">
        <v>1459</v>
      </c>
      <c r="BB276" s="1269" t="s">
        <v>1460</v>
      </c>
      <c r="BC276" s="1269" t="s">
        <v>889</v>
      </c>
      <c r="BD276" s="1269" t="s">
        <v>890</v>
      </c>
      <c r="BE276" s="1269"/>
      <c r="BF276" s="1269" t="s">
        <v>1456</v>
      </c>
      <c r="BG276" s="1269"/>
      <c r="BH276" s="1269"/>
      <c r="BI276" s="1270">
        <v>10</v>
      </c>
      <c r="BJ276" s="1270">
        <v>0.97</v>
      </c>
      <c r="BK276" s="1270"/>
      <c r="BL276" s="1269" t="s">
        <v>1284</v>
      </c>
      <c r="BM276" s="1269" t="s">
        <v>834</v>
      </c>
      <c r="BN276" s="1269" t="s">
        <v>939</v>
      </c>
      <c r="BO276" s="1272">
        <v>40674</v>
      </c>
      <c r="BP276" s="1269" t="s">
        <v>1462</v>
      </c>
    </row>
    <row r="277" spans="53:68">
      <c r="BA277" s="1269" t="s">
        <v>1288</v>
      </c>
      <c r="BB277" s="1269" t="s">
        <v>1289</v>
      </c>
      <c r="BC277" s="1269" t="s">
        <v>889</v>
      </c>
      <c r="BD277" s="1269" t="s">
        <v>890</v>
      </c>
      <c r="BE277" s="1269"/>
      <c r="BF277" s="1269" t="s">
        <v>1456</v>
      </c>
      <c r="BG277" s="1269"/>
      <c r="BH277" s="1269"/>
      <c r="BI277" s="1270">
        <v>10</v>
      </c>
      <c r="BJ277" s="1270">
        <v>0.97</v>
      </c>
      <c r="BK277" s="1270"/>
      <c r="BL277" s="1269" t="s">
        <v>1284</v>
      </c>
      <c r="BM277" s="1269" t="s">
        <v>834</v>
      </c>
      <c r="BN277" s="1269" t="s">
        <v>939</v>
      </c>
      <c r="BO277" s="1272">
        <v>40456</v>
      </c>
      <c r="BP277" s="1269" t="s">
        <v>1463</v>
      </c>
    </row>
    <row r="278" spans="53:68">
      <c r="BA278" s="1269" t="s">
        <v>1288</v>
      </c>
      <c r="BB278" s="1269" t="s">
        <v>1289</v>
      </c>
      <c r="BC278" s="1269" t="s">
        <v>889</v>
      </c>
      <c r="BD278" s="1269" t="s">
        <v>890</v>
      </c>
      <c r="BE278" s="1269"/>
      <c r="BF278" s="1269" t="s">
        <v>1283</v>
      </c>
      <c r="BG278" s="1269"/>
      <c r="BH278" s="1269"/>
      <c r="BI278" s="1270">
        <v>20</v>
      </c>
      <c r="BJ278" s="1270">
        <v>0.48</v>
      </c>
      <c r="BK278" s="1270"/>
      <c r="BL278" s="1269" t="s">
        <v>1284</v>
      </c>
      <c r="BM278" s="1269" t="s">
        <v>834</v>
      </c>
      <c r="BN278" s="1269" t="s">
        <v>939</v>
      </c>
      <c r="BO278" s="1272">
        <v>40456</v>
      </c>
      <c r="BP278" s="1269" t="s">
        <v>1464</v>
      </c>
    </row>
    <row r="279" spans="53:68">
      <c r="BA279" s="1269" t="s">
        <v>1288</v>
      </c>
      <c r="BB279" s="1269" t="s">
        <v>1289</v>
      </c>
      <c r="BC279" s="1269" t="s">
        <v>889</v>
      </c>
      <c r="BD279" s="1269" t="s">
        <v>890</v>
      </c>
      <c r="BE279" s="1269"/>
      <c r="BF279" s="1269" t="s">
        <v>1451</v>
      </c>
      <c r="BG279" s="1269"/>
      <c r="BH279" s="1269"/>
      <c r="BI279" s="1270">
        <v>20</v>
      </c>
      <c r="BJ279" s="1270">
        <v>1.07</v>
      </c>
      <c r="BK279" s="1270"/>
      <c r="BL279" s="1269" t="s">
        <v>1284</v>
      </c>
      <c r="BM279" s="1269" t="s">
        <v>834</v>
      </c>
      <c r="BN279" s="1269" t="s">
        <v>1026</v>
      </c>
      <c r="BO279" s="1272">
        <v>40455</v>
      </c>
      <c r="BP279" s="1269" t="s">
        <v>1465</v>
      </c>
    </row>
    <row r="280" spans="53:68">
      <c r="BA280" s="1269" t="s">
        <v>1412</v>
      </c>
      <c r="BB280" s="1269" t="s">
        <v>1413</v>
      </c>
      <c r="BC280" s="1269" t="s">
        <v>889</v>
      </c>
      <c r="BD280" s="1269" t="s">
        <v>907</v>
      </c>
      <c r="BE280" s="1269" t="s">
        <v>1414</v>
      </c>
      <c r="BF280" s="1269" t="s">
        <v>916</v>
      </c>
      <c r="BG280" s="1269"/>
      <c r="BH280" s="1269"/>
      <c r="BI280" s="1270">
        <v>10</v>
      </c>
      <c r="BJ280" s="1270">
        <v>2.1</v>
      </c>
      <c r="BK280" s="1270"/>
      <c r="BL280" s="1269" t="s">
        <v>870</v>
      </c>
      <c r="BM280" s="1269" t="s">
        <v>834</v>
      </c>
      <c r="BN280" s="1269" t="s">
        <v>919</v>
      </c>
      <c r="BO280" s="1272">
        <v>36230</v>
      </c>
      <c r="BP280" s="1269" t="s">
        <v>1466</v>
      </c>
    </row>
    <row r="281" spans="53:68">
      <c r="BA281" s="1269" t="s">
        <v>1412</v>
      </c>
      <c r="BB281" s="1269" t="s">
        <v>1413</v>
      </c>
      <c r="BC281" s="1269" t="s">
        <v>889</v>
      </c>
      <c r="BD281" s="1269" t="s">
        <v>907</v>
      </c>
      <c r="BE281" s="1269" t="s">
        <v>1414</v>
      </c>
      <c r="BF281" s="1269" t="s">
        <v>916</v>
      </c>
      <c r="BG281" s="1269"/>
      <c r="BH281" s="1269"/>
      <c r="BI281" s="1270">
        <v>20</v>
      </c>
      <c r="BJ281" s="1270">
        <v>0.75</v>
      </c>
      <c r="BK281" s="1270"/>
      <c r="BL281" s="1269" t="s">
        <v>870</v>
      </c>
      <c r="BM281" s="1269" t="s">
        <v>834</v>
      </c>
      <c r="BN281" s="1269" t="s">
        <v>919</v>
      </c>
      <c r="BO281" s="1272">
        <v>36230</v>
      </c>
      <c r="BP281" s="1269" t="s">
        <v>1467</v>
      </c>
    </row>
    <row r="282" spans="53:68">
      <c r="BA282" s="1269" t="s">
        <v>1412</v>
      </c>
      <c r="BB282" s="1269" t="s">
        <v>1413</v>
      </c>
      <c r="BC282" s="1269" t="s">
        <v>889</v>
      </c>
      <c r="BD282" s="1269" t="s">
        <v>907</v>
      </c>
      <c r="BE282" s="1269" t="s">
        <v>1468</v>
      </c>
      <c r="BF282" s="1269" t="s">
        <v>916</v>
      </c>
      <c r="BG282" s="1269"/>
      <c r="BH282" s="1269"/>
      <c r="BI282" s="1270">
        <v>10</v>
      </c>
      <c r="BJ282" s="1270">
        <v>4.125</v>
      </c>
      <c r="BK282" s="1270"/>
      <c r="BL282" s="1269" t="s">
        <v>884</v>
      </c>
      <c r="BM282" s="1269" t="s">
        <v>834</v>
      </c>
      <c r="BN282" s="1269" t="s">
        <v>874</v>
      </c>
      <c r="BO282" s="1272">
        <v>38846</v>
      </c>
      <c r="BP282" s="1269" t="s">
        <v>1469</v>
      </c>
    </row>
    <row r="283" spans="53:68">
      <c r="BA283" s="1269" t="s">
        <v>1412</v>
      </c>
      <c r="BB283" s="1269" t="s">
        <v>1413</v>
      </c>
      <c r="BC283" s="1269" t="s">
        <v>889</v>
      </c>
      <c r="BD283" s="1269" t="s">
        <v>907</v>
      </c>
      <c r="BE283" s="1269" t="s">
        <v>1468</v>
      </c>
      <c r="BF283" s="1269" t="s">
        <v>916</v>
      </c>
      <c r="BG283" s="1269"/>
      <c r="BH283" s="1269"/>
      <c r="BI283" s="1270">
        <v>20</v>
      </c>
      <c r="BJ283" s="1270">
        <v>2.0499999999999998</v>
      </c>
      <c r="BK283" s="1270"/>
      <c r="BL283" s="1269" t="s">
        <v>884</v>
      </c>
      <c r="BM283" s="1269" t="s">
        <v>834</v>
      </c>
      <c r="BN283" s="1269" t="s">
        <v>874</v>
      </c>
      <c r="BO283" s="1272">
        <v>38846</v>
      </c>
      <c r="BP283" s="1269" t="s">
        <v>1470</v>
      </c>
    </row>
    <row r="284" spans="53:68">
      <c r="BA284" s="1269" t="s">
        <v>1412</v>
      </c>
      <c r="BB284" s="1269" t="s">
        <v>1413</v>
      </c>
      <c r="BC284" s="1269" t="s">
        <v>889</v>
      </c>
      <c r="BD284" s="1269" t="s">
        <v>907</v>
      </c>
      <c r="BE284" s="1269" t="s">
        <v>1471</v>
      </c>
      <c r="BF284" s="1269" t="s">
        <v>1472</v>
      </c>
      <c r="BG284" s="1269"/>
      <c r="BH284" s="1269"/>
      <c r="BI284" s="1270">
        <v>20</v>
      </c>
      <c r="BJ284" s="1270">
        <v>2.9</v>
      </c>
      <c r="BK284" s="1270"/>
      <c r="BL284" s="1269" t="s">
        <v>870</v>
      </c>
      <c r="BM284" s="1269" t="s">
        <v>834</v>
      </c>
      <c r="BN284" s="1269" t="s">
        <v>1005</v>
      </c>
      <c r="BO284" s="1272">
        <v>40168</v>
      </c>
      <c r="BP284" s="1269" t="s">
        <v>1473</v>
      </c>
    </row>
    <row r="285" spans="53:68">
      <c r="BA285" s="1269" t="s">
        <v>1412</v>
      </c>
      <c r="BB285" s="1269" t="s">
        <v>1413</v>
      </c>
      <c r="BC285" s="1269" t="s">
        <v>889</v>
      </c>
      <c r="BD285" s="1269" t="s">
        <v>907</v>
      </c>
      <c r="BE285" s="1269" t="s">
        <v>1474</v>
      </c>
      <c r="BF285" s="1269" t="s">
        <v>916</v>
      </c>
      <c r="BG285" s="1269"/>
      <c r="BH285" s="1269"/>
      <c r="BI285" s="1270">
        <v>10</v>
      </c>
      <c r="BJ285" s="1270">
        <v>2.46</v>
      </c>
      <c r="BK285" s="1270"/>
      <c r="BL285" s="1269" t="s">
        <v>895</v>
      </c>
      <c r="BM285" s="1269" t="s">
        <v>834</v>
      </c>
      <c r="BN285" s="1269" t="s">
        <v>968</v>
      </c>
      <c r="BO285" s="1272">
        <v>35633</v>
      </c>
      <c r="BP285" s="1269" t="s">
        <v>1475</v>
      </c>
    </row>
    <row r="286" spans="53:68">
      <c r="BA286" s="1269" t="s">
        <v>1412</v>
      </c>
      <c r="BB286" s="1269" t="s">
        <v>1413</v>
      </c>
      <c r="BC286" s="1269" t="s">
        <v>889</v>
      </c>
      <c r="BD286" s="1269" t="s">
        <v>907</v>
      </c>
      <c r="BE286" s="1269" t="s">
        <v>1471</v>
      </c>
      <c r="BF286" s="1269" t="s">
        <v>908</v>
      </c>
      <c r="BG286" s="1269"/>
      <c r="BH286" s="1269"/>
      <c r="BI286" s="1270">
        <v>20</v>
      </c>
      <c r="BJ286" s="1270">
        <v>2.4329999999999998</v>
      </c>
      <c r="BK286" s="1270"/>
      <c r="BL286" s="1269" t="s">
        <v>870</v>
      </c>
      <c r="BM286" s="1269" t="s">
        <v>834</v>
      </c>
      <c r="BN286" s="1269" t="s">
        <v>880</v>
      </c>
      <c r="BO286" s="1272">
        <v>34793</v>
      </c>
      <c r="BP286" s="1269" t="s">
        <v>1476</v>
      </c>
    </row>
    <row r="287" spans="53:68">
      <c r="BA287" s="1269" t="s">
        <v>1412</v>
      </c>
      <c r="BB287" s="1269" t="s">
        <v>1413</v>
      </c>
      <c r="BC287" s="1269" t="s">
        <v>889</v>
      </c>
      <c r="BD287" s="1269" t="s">
        <v>907</v>
      </c>
      <c r="BE287" s="1269" t="s">
        <v>1471</v>
      </c>
      <c r="BF287" s="1269" t="s">
        <v>910</v>
      </c>
      <c r="BG287" s="1269"/>
      <c r="BH287" s="1269"/>
      <c r="BI287" s="1270">
        <v>10</v>
      </c>
      <c r="BJ287" s="1270">
        <v>2.6110000000000002</v>
      </c>
      <c r="BK287" s="1270"/>
      <c r="BL287" s="1269" t="s">
        <v>870</v>
      </c>
      <c r="BM287" s="1269" t="s">
        <v>834</v>
      </c>
      <c r="BN287" s="1269" t="s">
        <v>880</v>
      </c>
      <c r="BO287" s="1272">
        <v>34793</v>
      </c>
      <c r="BP287" s="1269" t="s">
        <v>1477</v>
      </c>
    </row>
    <row r="288" spans="53:68">
      <c r="BA288" s="1269" t="s">
        <v>1412</v>
      </c>
      <c r="BB288" s="1269" t="s">
        <v>1413</v>
      </c>
      <c r="BC288" s="1269" t="s">
        <v>889</v>
      </c>
      <c r="BD288" s="1269" t="s">
        <v>907</v>
      </c>
      <c r="BE288" s="1269" t="s">
        <v>1478</v>
      </c>
      <c r="BF288" s="1269" t="s">
        <v>1479</v>
      </c>
      <c r="BG288" s="1269"/>
      <c r="BH288" s="1269"/>
      <c r="BI288" s="1270">
        <v>20</v>
      </c>
      <c r="BJ288" s="1270">
        <v>2.57</v>
      </c>
      <c r="BK288" s="1270"/>
      <c r="BL288" s="1269" t="s">
        <v>884</v>
      </c>
      <c r="BM288" s="1269" t="s">
        <v>834</v>
      </c>
      <c r="BN288" s="1269" t="s">
        <v>903</v>
      </c>
      <c r="BO288" s="1272">
        <v>39324</v>
      </c>
      <c r="BP288" s="1269" t="s">
        <v>1480</v>
      </c>
    </row>
    <row r="289" spans="53:68">
      <c r="BA289" s="1269" t="s">
        <v>1412</v>
      </c>
      <c r="BB289" s="1269" t="s">
        <v>1413</v>
      </c>
      <c r="BC289" s="1269" t="s">
        <v>889</v>
      </c>
      <c r="BD289" s="1269" t="s">
        <v>907</v>
      </c>
      <c r="BE289" s="1269" t="s">
        <v>1478</v>
      </c>
      <c r="BF289" s="1269" t="s">
        <v>1479</v>
      </c>
      <c r="BG289" s="1269"/>
      <c r="BH289" s="1269"/>
      <c r="BI289" s="1270">
        <v>10</v>
      </c>
      <c r="BJ289" s="1270">
        <v>4.3600000000000003</v>
      </c>
      <c r="BK289" s="1270"/>
      <c r="BL289" s="1269" t="s">
        <v>884</v>
      </c>
      <c r="BM289" s="1269" t="s">
        <v>834</v>
      </c>
      <c r="BN289" s="1269" t="s">
        <v>903</v>
      </c>
      <c r="BO289" s="1272">
        <v>39324</v>
      </c>
      <c r="BP289" s="1269" t="s">
        <v>1481</v>
      </c>
    </row>
    <row r="290" spans="53:68">
      <c r="BA290" s="1269" t="s">
        <v>1482</v>
      </c>
      <c r="BB290" s="1269" t="s">
        <v>1483</v>
      </c>
      <c r="BC290" s="1269" t="s">
        <v>889</v>
      </c>
      <c r="BD290" s="1269" t="s">
        <v>890</v>
      </c>
      <c r="BE290" s="1269" t="s">
        <v>1484</v>
      </c>
      <c r="BF290" s="1269" t="s">
        <v>916</v>
      </c>
      <c r="BG290" s="1269"/>
      <c r="BH290" s="1269"/>
      <c r="BI290" s="1270">
        <v>10</v>
      </c>
      <c r="BJ290" s="1270">
        <v>3.2</v>
      </c>
      <c r="BK290" s="1270"/>
      <c r="BL290" s="1269" t="s">
        <v>1284</v>
      </c>
      <c r="BM290" s="1269" t="s">
        <v>834</v>
      </c>
      <c r="BN290" s="1269" t="s">
        <v>919</v>
      </c>
      <c r="BO290" s="1272">
        <v>35529</v>
      </c>
      <c r="BP290" s="1269" t="s">
        <v>1485</v>
      </c>
    </row>
    <row r="291" spans="53:68">
      <c r="BA291" s="1269" t="s">
        <v>1482</v>
      </c>
      <c r="BB291" s="1269" t="s">
        <v>1483</v>
      </c>
      <c r="BC291" s="1269" t="s">
        <v>889</v>
      </c>
      <c r="BD291" s="1269" t="s">
        <v>890</v>
      </c>
      <c r="BE291" s="1269" t="s">
        <v>1484</v>
      </c>
      <c r="BF291" s="1269" t="s">
        <v>910</v>
      </c>
      <c r="BG291" s="1269"/>
      <c r="BH291" s="1269"/>
      <c r="BI291" s="1270">
        <v>20</v>
      </c>
      <c r="BJ291" s="1270">
        <v>0.24</v>
      </c>
      <c r="BK291" s="1270"/>
      <c r="BL291" s="1269" t="s">
        <v>1284</v>
      </c>
      <c r="BM291" s="1269" t="s">
        <v>834</v>
      </c>
      <c r="BN291" s="1269" t="s">
        <v>919</v>
      </c>
      <c r="BO291" s="1272">
        <v>35529</v>
      </c>
      <c r="BP291" s="1269" t="s">
        <v>1486</v>
      </c>
    </row>
    <row r="292" spans="53:68">
      <c r="BA292" s="1269" t="s">
        <v>1482</v>
      </c>
      <c r="BB292" s="1269" t="s">
        <v>1483</v>
      </c>
      <c r="BC292" s="1269" t="s">
        <v>889</v>
      </c>
      <c r="BD292" s="1269" t="s">
        <v>890</v>
      </c>
      <c r="BE292" s="1269" t="s">
        <v>1487</v>
      </c>
      <c r="BF292" s="1269" t="s">
        <v>938</v>
      </c>
      <c r="BG292" s="1269"/>
      <c r="BH292" s="1269"/>
      <c r="BI292" s="1270" t="s">
        <v>990</v>
      </c>
      <c r="BJ292" s="1270"/>
      <c r="BK292" s="1270"/>
      <c r="BL292" s="1269" t="s">
        <v>1284</v>
      </c>
      <c r="BM292" s="1269" t="s">
        <v>834</v>
      </c>
      <c r="BN292" s="1269" t="s">
        <v>939</v>
      </c>
      <c r="BO292" s="1272">
        <v>38075</v>
      </c>
      <c r="BP292" s="1269" t="s">
        <v>1488</v>
      </c>
    </row>
    <row r="293" spans="53:68">
      <c r="BA293" s="1269" t="s">
        <v>1482</v>
      </c>
      <c r="BB293" s="1269" t="s">
        <v>1483</v>
      </c>
      <c r="BC293" s="1269" t="s">
        <v>889</v>
      </c>
      <c r="BD293" s="1269" t="s">
        <v>890</v>
      </c>
      <c r="BE293" s="1269" t="s">
        <v>1487</v>
      </c>
      <c r="BF293" s="1269" t="s">
        <v>938</v>
      </c>
      <c r="BG293" s="1269"/>
      <c r="BH293" s="1269"/>
      <c r="BI293" s="1270" t="s">
        <v>869</v>
      </c>
      <c r="BJ293" s="1270"/>
      <c r="BK293" s="1270"/>
      <c r="BL293" s="1269" t="s">
        <v>1284</v>
      </c>
      <c r="BM293" s="1269" t="s">
        <v>834</v>
      </c>
      <c r="BN293" s="1269" t="s">
        <v>939</v>
      </c>
      <c r="BO293" s="1272">
        <v>38075</v>
      </c>
      <c r="BP293" s="1269" t="s">
        <v>1489</v>
      </c>
    </row>
    <row r="294" spans="53:68">
      <c r="BA294" s="1269" t="s">
        <v>1482</v>
      </c>
      <c r="BB294" s="1269" t="s">
        <v>1483</v>
      </c>
      <c r="BC294" s="1269" t="s">
        <v>889</v>
      </c>
      <c r="BD294" s="1269" t="s">
        <v>890</v>
      </c>
      <c r="BE294" s="1269" t="s">
        <v>1490</v>
      </c>
      <c r="BF294" s="1269" t="s">
        <v>1491</v>
      </c>
      <c r="BG294" s="1269"/>
      <c r="BH294" s="1269"/>
      <c r="BI294" s="1270" t="s">
        <v>990</v>
      </c>
      <c r="BJ294" s="1270"/>
      <c r="BK294" s="1270"/>
      <c r="BL294" s="1269" t="s">
        <v>1284</v>
      </c>
      <c r="BM294" s="1269" t="s">
        <v>834</v>
      </c>
      <c r="BN294" s="1269" t="s">
        <v>1038</v>
      </c>
      <c r="BO294" s="1272">
        <v>31778</v>
      </c>
      <c r="BP294" s="1269" t="s">
        <v>1492</v>
      </c>
    </row>
    <row r="295" spans="53:68">
      <c r="BA295" s="1269" t="s">
        <v>1482</v>
      </c>
      <c r="BB295" s="1269" t="s">
        <v>1483</v>
      </c>
      <c r="BC295" s="1269" t="s">
        <v>889</v>
      </c>
      <c r="BD295" s="1269" t="s">
        <v>890</v>
      </c>
      <c r="BE295" s="1269" t="s">
        <v>1490</v>
      </c>
      <c r="BF295" s="1269" t="s">
        <v>1491</v>
      </c>
      <c r="BG295" s="1269"/>
      <c r="BH295" s="1269"/>
      <c r="BI295" s="1270" t="s">
        <v>869</v>
      </c>
      <c r="BJ295" s="1270"/>
      <c r="BK295" s="1270"/>
      <c r="BL295" s="1269" t="s">
        <v>1284</v>
      </c>
      <c r="BM295" s="1269" t="s">
        <v>834</v>
      </c>
      <c r="BN295" s="1269" t="s">
        <v>1038</v>
      </c>
      <c r="BO295" s="1272">
        <v>31778</v>
      </c>
      <c r="BP295" s="1269" t="s">
        <v>1493</v>
      </c>
    </row>
    <row r="296" spans="53:68">
      <c r="BA296" s="1269" t="s">
        <v>1482</v>
      </c>
      <c r="BB296" s="1269" t="s">
        <v>1483</v>
      </c>
      <c r="BC296" s="1269" t="s">
        <v>889</v>
      </c>
      <c r="BD296" s="1269" t="s">
        <v>890</v>
      </c>
      <c r="BE296" s="1269" t="s">
        <v>1494</v>
      </c>
      <c r="BF296" s="1269" t="s">
        <v>1223</v>
      </c>
      <c r="BG296" s="1269"/>
      <c r="BH296" s="1269"/>
      <c r="BI296" s="1270" t="s">
        <v>990</v>
      </c>
      <c r="BJ296" s="1270">
        <v>5.6</v>
      </c>
      <c r="BK296" s="1270"/>
      <c r="BL296" s="1269" t="s">
        <v>1284</v>
      </c>
      <c r="BM296" s="1269" t="s">
        <v>834</v>
      </c>
      <c r="BN296" s="1269" t="s">
        <v>968</v>
      </c>
      <c r="BO296" s="1272">
        <v>37423</v>
      </c>
      <c r="BP296" s="1269" t="s">
        <v>1495</v>
      </c>
    </row>
    <row r="297" spans="53:68">
      <c r="BA297" s="1269" t="s">
        <v>1482</v>
      </c>
      <c r="BB297" s="1269" t="s">
        <v>1483</v>
      </c>
      <c r="BC297" s="1269" t="s">
        <v>889</v>
      </c>
      <c r="BD297" s="1269" t="s">
        <v>890</v>
      </c>
      <c r="BE297" s="1269" t="s">
        <v>1494</v>
      </c>
      <c r="BF297" s="1269" t="s">
        <v>916</v>
      </c>
      <c r="BG297" s="1269"/>
      <c r="BH297" s="1269"/>
      <c r="BI297" s="1270">
        <v>10</v>
      </c>
      <c r="BJ297" s="1270">
        <v>0.97</v>
      </c>
      <c r="BK297" s="1270"/>
      <c r="BL297" s="1269" t="s">
        <v>1284</v>
      </c>
      <c r="BM297" s="1269" t="s">
        <v>834</v>
      </c>
      <c r="BN297" s="1269" t="s">
        <v>968</v>
      </c>
      <c r="BO297" s="1272">
        <v>37423</v>
      </c>
      <c r="BP297" s="1269" t="s">
        <v>1495</v>
      </c>
    </row>
    <row r="298" spans="53:68">
      <c r="BA298" s="1269" t="s">
        <v>1482</v>
      </c>
      <c r="BB298" s="1269" t="s">
        <v>1483</v>
      </c>
      <c r="BC298" s="1269" t="s">
        <v>889</v>
      </c>
      <c r="BD298" s="1269" t="s">
        <v>890</v>
      </c>
      <c r="BE298" s="1269" t="s">
        <v>1494</v>
      </c>
      <c r="BF298" s="1269" t="s">
        <v>916</v>
      </c>
      <c r="BG298" s="1269"/>
      <c r="BH298" s="1269"/>
      <c r="BI298" s="1270">
        <v>20</v>
      </c>
      <c r="BJ298" s="1270">
        <v>0.48</v>
      </c>
      <c r="BK298" s="1270"/>
      <c r="BL298" s="1269" t="s">
        <v>1284</v>
      </c>
      <c r="BM298" s="1269" t="s">
        <v>834</v>
      </c>
      <c r="BN298" s="1269" t="s">
        <v>968</v>
      </c>
      <c r="BO298" s="1272">
        <v>37423</v>
      </c>
      <c r="BP298" s="1269" t="s">
        <v>1496</v>
      </c>
    </row>
    <row r="299" spans="53:68">
      <c r="BA299" s="1269" t="s">
        <v>1482</v>
      </c>
      <c r="BB299" s="1269" t="s">
        <v>1483</v>
      </c>
      <c r="BC299" s="1269" t="s">
        <v>889</v>
      </c>
      <c r="BD299" s="1269" t="s">
        <v>890</v>
      </c>
      <c r="BE299" s="1269" t="s">
        <v>1497</v>
      </c>
      <c r="BF299" s="1269" t="s">
        <v>910</v>
      </c>
      <c r="BG299" s="1269"/>
      <c r="BH299" s="1269"/>
      <c r="BI299" s="1270">
        <v>20</v>
      </c>
      <c r="BJ299" s="1270">
        <v>1.1100000000000001</v>
      </c>
      <c r="BK299" s="1270"/>
      <c r="BL299" s="1269" t="s">
        <v>1284</v>
      </c>
      <c r="BM299" s="1269" t="s">
        <v>834</v>
      </c>
      <c r="BN299" s="1269" t="s">
        <v>880</v>
      </c>
      <c r="BO299" s="1272">
        <v>41366</v>
      </c>
      <c r="BP299" s="1269" t="s">
        <v>1498</v>
      </c>
    </row>
    <row r="300" spans="53:68">
      <c r="BA300" s="1269" t="s">
        <v>1482</v>
      </c>
      <c r="BB300" s="1269" t="s">
        <v>1483</v>
      </c>
      <c r="BC300" s="1269" t="s">
        <v>889</v>
      </c>
      <c r="BD300" s="1269" t="s">
        <v>890</v>
      </c>
      <c r="BE300" s="1269" t="s">
        <v>1499</v>
      </c>
      <c r="BF300" s="1269" t="s">
        <v>910</v>
      </c>
      <c r="BG300" s="1269"/>
      <c r="BH300" s="1269"/>
      <c r="BI300" s="1270">
        <v>20</v>
      </c>
      <c r="BJ300" s="1270">
        <v>1</v>
      </c>
      <c r="BK300" s="1270"/>
      <c r="BL300" s="1269" t="s">
        <v>1284</v>
      </c>
      <c r="BM300" s="1269" t="s">
        <v>834</v>
      </c>
      <c r="BN300" s="1269" t="s">
        <v>1299</v>
      </c>
      <c r="BO300" s="1272">
        <v>38750</v>
      </c>
      <c r="BP300" s="1269" t="s">
        <v>1500</v>
      </c>
    </row>
    <row r="301" spans="53:68">
      <c r="BA301" s="1269" t="s">
        <v>1501</v>
      </c>
      <c r="BB301" s="1269" t="s">
        <v>1502</v>
      </c>
      <c r="BC301" s="1269" t="s">
        <v>889</v>
      </c>
      <c r="BD301" s="1269" t="s">
        <v>907</v>
      </c>
      <c r="BE301" s="1269"/>
      <c r="BF301" s="1269" t="s">
        <v>908</v>
      </c>
      <c r="BG301" s="1269"/>
      <c r="BH301" s="1269"/>
      <c r="BI301" s="1270">
        <v>20</v>
      </c>
      <c r="BJ301" s="1270">
        <v>2.4329999999999998</v>
      </c>
      <c r="BK301" s="1270"/>
      <c r="BL301" s="1269" t="s">
        <v>870</v>
      </c>
      <c r="BM301" s="1269" t="s">
        <v>834</v>
      </c>
      <c r="BN301" s="1269" t="s">
        <v>880</v>
      </c>
      <c r="BO301" s="1272">
        <v>34793</v>
      </c>
      <c r="BP301" s="1269" t="s">
        <v>1503</v>
      </c>
    </row>
    <row r="302" spans="53:68">
      <c r="BA302" s="1269" t="s">
        <v>1501</v>
      </c>
      <c r="BB302" s="1269" t="s">
        <v>1502</v>
      </c>
      <c r="BC302" s="1269" t="s">
        <v>889</v>
      </c>
      <c r="BD302" s="1269" t="s">
        <v>907</v>
      </c>
      <c r="BE302" s="1269"/>
      <c r="BF302" s="1269" t="s">
        <v>910</v>
      </c>
      <c r="BG302" s="1269"/>
      <c r="BH302" s="1269"/>
      <c r="BI302" s="1270">
        <v>10</v>
      </c>
      <c r="BJ302" s="1270">
        <v>2.6110000000000002</v>
      </c>
      <c r="BK302" s="1270"/>
      <c r="BL302" s="1269" t="s">
        <v>870</v>
      </c>
      <c r="BM302" s="1269" t="s">
        <v>834</v>
      </c>
      <c r="BN302" s="1269" t="s">
        <v>880</v>
      </c>
      <c r="BO302" s="1272">
        <v>34793</v>
      </c>
      <c r="BP302" s="1269" t="s">
        <v>1504</v>
      </c>
    </row>
    <row r="303" spans="53:68">
      <c r="BA303" s="1269" t="s">
        <v>1501</v>
      </c>
      <c r="BB303" s="1269" t="s">
        <v>1502</v>
      </c>
      <c r="BC303" s="1269" t="s">
        <v>889</v>
      </c>
      <c r="BD303" s="1269" t="s">
        <v>907</v>
      </c>
      <c r="BE303" s="1269"/>
      <c r="BF303" s="1269" t="s">
        <v>912</v>
      </c>
      <c r="BG303" s="1269"/>
      <c r="BH303" s="1269"/>
      <c r="BI303" s="1270">
        <v>1</v>
      </c>
      <c r="BJ303" s="1270">
        <v>15.715</v>
      </c>
      <c r="BK303" s="1270"/>
      <c r="BL303" s="1269" t="s">
        <v>895</v>
      </c>
      <c r="BM303" s="1269"/>
      <c r="BN303" s="1269" t="s">
        <v>880</v>
      </c>
      <c r="BO303" s="1272">
        <v>34793</v>
      </c>
      <c r="BP303" s="1269" t="s">
        <v>1505</v>
      </c>
    </row>
    <row r="304" spans="53:68">
      <c r="BA304" s="1269" t="s">
        <v>1501</v>
      </c>
      <c r="BB304" s="1269" t="s">
        <v>1502</v>
      </c>
      <c r="BC304" s="1269" t="s">
        <v>889</v>
      </c>
      <c r="BD304" s="1269" t="s">
        <v>907</v>
      </c>
      <c r="BE304" s="1269"/>
      <c r="BF304" s="1269" t="s">
        <v>916</v>
      </c>
      <c r="BG304" s="1269"/>
      <c r="BH304" s="1269"/>
      <c r="BI304" s="1270">
        <v>10</v>
      </c>
      <c r="BJ304" s="1270">
        <v>2.46</v>
      </c>
      <c r="BK304" s="1270"/>
      <c r="BL304" s="1269" t="s">
        <v>895</v>
      </c>
      <c r="BM304" s="1269" t="s">
        <v>834</v>
      </c>
      <c r="BN304" s="1269" t="s">
        <v>914</v>
      </c>
      <c r="BO304" s="1272">
        <v>35633</v>
      </c>
      <c r="BP304" s="1269" t="s">
        <v>1506</v>
      </c>
    </row>
    <row r="305" spans="53:68">
      <c r="BA305" s="1269" t="s">
        <v>1501</v>
      </c>
      <c r="BB305" s="1269" t="s">
        <v>1502</v>
      </c>
      <c r="BC305" s="1269" t="s">
        <v>889</v>
      </c>
      <c r="BD305" s="1269" t="s">
        <v>907</v>
      </c>
      <c r="BE305" s="1269" t="s">
        <v>918</v>
      </c>
      <c r="BF305" s="1269" t="s">
        <v>916</v>
      </c>
      <c r="BG305" s="1269"/>
      <c r="BH305" s="1269"/>
      <c r="BI305" s="1270">
        <v>10</v>
      </c>
      <c r="BJ305" s="1270">
        <v>2.23</v>
      </c>
      <c r="BK305" s="1270"/>
      <c r="BL305" s="1269" t="s">
        <v>870</v>
      </c>
      <c r="BM305" s="1269" t="s">
        <v>834</v>
      </c>
      <c r="BN305" s="1269" t="s">
        <v>919</v>
      </c>
      <c r="BO305" s="1272">
        <v>40730</v>
      </c>
      <c r="BP305" s="1269" t="s">
        <v>1507</v>
      </c>
    </row>
    <row r="306" spans="53:68">
      <c r="BA306" s="1269" t="s">
        <v>1501</v>
      </c>
      <c r="BB306" s="1269" t="s">
        <v>1502</v>
      </c>
      <c r="BC306" s="1269" t="s">
        <v>889</v>
      </c>
      <c r="BD306" s="1269" t="s">
        <v>907</v>
      </c>
      <c r="BE306" s="1269" t="s">
        <v>1508</v>
      </c>
      <c r="BF306" s="1269" t="s">
        <v>916</v>
      </c>
      <c r="BG306" s="1269"/>
      <c r="BH306" s="1269"/>
      <c r="BI306" s="1270">
        <v>10</v>
      </c>
      <c r="BJ306" s="1270">
        <v>4.125</v>
      </c>
      <c r="BK306" s="1270"/>
      <c r="BL306" s="1269" t="s">
        <v>884</v>
      </c>
      <c r="BM306" s="1269" t="s">
        <v>834</v>
      </c>
      <c r="BN306" s="1269" t="s">
        <v>874</v>
      </c>
      <c r="BO306" s="1272">
        <v>38846</v>
      </c>
      <c r="BP306" s="1269" t="s">
        <v>1509</v>
      </c>
    </row>
    <row r="307" spans="53:68">
      <c r="BA307" s="1269" t="s">
        <v>1501</v>
      </c>
      <c r="BB307" s="1269" t="s">
        <v>1502</v>
      </c>
      <c r="BC307" s="1269" t="s">
        <v>889</v>
      </c>
      <c r="BD307" s="1269" t="s">
        <v>907</v>
      </c>
      <c r="BE307" s="1269" t="s">
        <v>1508</v>
      </c>
      <c r="BF307" s="1269" t="s">
        <v>916</v>
      </c>
      <c r="BG307" s="1269"/>
      <c r="BH307" s="1269"/>
      <c r="BI307" s="1270">
        <v>20</v>
      </c>
      <c r="BJ307" s="1270">
        <v>2.0499999999999998</v>
      </c>
      <c r="BK307" s="1270"/>
      <c r="BL307" s="1269" t="s">
        <v>884</v>
      </c>
      <c r="BM307" s="1269" t="s">
        <v>834</v>
      </c>
      <c r="BN307" s="1269" t="s">
        <v>874</v>
      </c>
      <c r="BO307" s="1272">
        <v>38846</v>
      </c>
      <c r="BP307" s="1269" t="s">
        <v>1510</v>
      </c>
    </row>
    <row r="308" spans="53:68">
      <c r="BA308" s="1269" t="s">
        <v>836</v>
      </c>
      <c r="BB308" s="1269" t="s">
        <v>836</v>
      </c>
      <c r="BC308" s="1269" t="s">
        <v>889</v>
      </c>
      <c r="BD308" s="1269" t="s">
        <v>1232</v>
      </c>
      <c r="BE308" s="1269"/>
      <c r="BF308" s="1269" t="s">
        <v>916</v>
      </c>
      <c r="BG308" s="1269"/>
      <c r="BH308" s="1269"/>
      <c r="BI308" s="1270">
        <v>1</v>
      </c>
      <c r="BJ308" s="1270"/>
      <c r="BK308" s="1270"/>
      <c r="BL308" s="1269" t="s">
        <v>895</v>
      </c>
      <c r="BM308" s="1269"/>
      <c r="BN308" s="1269" t="s">
        <v>939</v>
      </c>
      <c r="BO308" s="1272"/>
      <c r="BP308" s="1269"/>
    </row>
  </sheetData>
  <sheetProtection formatColumns="0" formatRows="0"/>
  <protectedRanges>
    <protectedRange sqref="G6:G8 F11:F13 H11:H13 F15 D24:G43 L24:M43 Q24:Q43 U24:W43 AB24:AB43 AE24:AG43 L52:M61 D52:G61 Q52:S61 X52:X61 AB52:AD61" name="Inputs"/>
  </protectedRanges>
  <mergeCells count="108">
    <mergeCell ref="L49:O49"/>
    <mergeCell ref="D76:F76"/>
    <mergeCell ref="D77:F77"/>
    <mergeCell ref="D78:F78"/>
    <mergeCell ref="D79:F79"/>
    <mergeCell ref="D84:F84"/>
    <mergeCell ref="D69:F69"/>
    <mergeCell ref="D70:F70"/>
    <mergeCell ref="D71:F71"/>
    <mergeCell ref="D72:F72"/>
    <mergeCell ref="D81:F81"/>
    <mergeCell ref="D82:F82"/>
    <mergeCell ref="N50:O50"/>
    <mergeCell ref="F54:G54"/>
    <mergeCell ref="F55:G55"/>
    <mergeCell ref="D50:D51"/>
    <mergeCell ref="E50:E51"/>
    <mergeCell ref="H50:H51"/>
    <mergeCell ref="I50:I51"/>
    <mergeCell ref="J50:J51"/>
    <mergeCell ref="L50:M50"/>
    <mergeCell ref="D6:F6"/>
    <mergeCell ref="D7:F7"/>
    <mergeCell ref="D8:F8"/>
    <mergeCell ref="F9:G9"/>
    <mergeCell ref="H9:I9"/>
    <mergeCell ref="Q21:S21"/>
    <mergeCell ref="R22:S22"/>
    <mergeCell ref="E22:E23"/>
    <mergeCell ref="F22:F23"/>
    <mergeCell ref="G22:G23"/>
    <mergeCell ref="H22:H23"/>
    <mergeCell ref="I22:I23"/>
    <mergeCell ref="J22:J23"/>
    <mergeCell ref="L22:M22"/>
    <mergeCell ref="N22:O22"/>
    <mergeCell ref="Q50:S50"/>
    <mergeCell ref="D85:F85"/>
    <mergeCell ref="AE21:AJ21"/>
    <mergeCell ref="AE22:AG22"/>
    <mergeCell ref="AH22:AJ22"/>
    <mergeCell ref="D11:E11"/>
    <mergeCell ref="AB21:AC21"/>
    <mergeCell ref="D73:F73"/>
    <mergeCell ref="D74:F74"/>
    <mergeCell ref="D12:E12"/>
    <mergeCell ref="D13:E13"/>
    <mergeCell ref="D15:E15"/>
    <mergeCell ref="D21:J21"/>
    <mergeCell ref="L21:O21"/>
    <mergeCell ref="D68:F68"/>
    <mergeCell ref="U21:Z21"/>
    <mergeCell ref="D22:D23"/>
    <mergeCell ref="U22:W22"/>
    <mergeCell ref="X22:Z22"/>
    <mergeCell ref="D66:F66"/>
    <mergeCell ref="D67:F67"/>
    <mergeCell ref="D83:F83"/>
    <mergeCell ref="D49:J49"/>
    <mergeCell ref="F53:G53"/>
    <mergeCell ref="Y51:Z51"/>
    <mergeCell ref="Y52:Z52"/>
    <mergeCell ref="Y53:Z53"/>
    <mergeCell ref="F61:G61"/>
    <mergeCell ref="T50:W50"/>
    <mergeCell ref="Q49:W49"/>
    <mergeCell ref="T51:U51"/>
    <mergeCell ref="T52:U52"/>
    <mergeCell ref="T53:U53"/>
    <mergeCell ref="T54:U54"/>
    <mergeCell ref="T55:U55"/>
    <mergeCell ref="T56:U56"/>
    <mergeCell ref="T57:U57"/>
    <mergeCell ref="T58:U58"/>
    <mergeCell ref="T59:U59"/>
    <mergeCell ref="T60:U60"/>
    <mergeCell ref="T61:U61"/>
    <mergeCell ref="F56:G56"/>
    <mergeCell ref="F57:G57"/>
    <mergeCell ref="F58:G58"/>
    <mergeCell ref="F59:G59"/>
    <mergeCell ref="F60:G60"/>
    <mergeCell ref="F50:G51"/>
    <mergeCell ref="F52:G52"/>
    <mergeCell ref="AD61:AE61"/>
    <mergeCell ref="Y59:Z59"/>
    <mergeCell ref="Y60:Z60"/>
    <mergeCell ref="Y61:Z61"/>
    <mergeCell ref="AF50:AH50"/>
    <mergeCell ref="AB49:AH49"/>
    <mergeCell ref="AB50:AE50"/>
    <mergeCell ref="AD51:AE51"/>
    <mergeCell ref="AD52:AE52"/>
    <mergeCell ref="AD53:AE53"/>
    <mergeCell ref="AD54:AE54"/>
    <mergeCell ref="AD55:AE55"/>
    <mergeCell ref="AD56:AE56"/>
    <mergeCell ref="AD57:AE57"/>
    <mergeCell ref="AD58:AE58"/>
    <mergeCell ref="AD59:AE59"/>
    <mergeCell ref="AD60:AE60"/>
    <mergeCell ref="Y54:Z54"/>
    <mergeCell ref="Y55:Z55"/>
    <mergeCell ref="Y56:Z56"/>
    <mergeCell ref="Y57:Z57"/>
    <mergeCell ref="Y58:Z58"/>
    <mergeCell ref="X49:Z49"/>
    <mergeCell ref="Y50:Z50"/>
  </mergeCells>
  <conditionalFormatting sqref="E24:H43">
    <cfRule type="expression" dxfId="101" priority="16">
      <formula>AND($D24&lt;&gt;"",E24="")</formula>
    </cfRule>
  </conditionalFormatting>
  <conditionalFormatting sqref="H24:J43 N24:O43 R24:S43 X24:Z43 AC24:AC43 T52:T61 V52:W61">
    <cfRule type="expression" dxfId="100" priority="15">
      <formula>ISERROR(H24)</formula>
    </cfRule>
  </conditionalFormatting>
  <conditionalFormatting sqref="AH24:AJ43">
    <cfRule type="expression" dxfId="99" priority="14">
      <formula>ISERROR(AH24)</formula>
    </cfRule>
  </conditionalFormatting>
  <conditionalFormatting sqref="E52:F53 H52:H61 E54:E61">
    <cfRule type="expression" dxfId="98" priority="13">
      <formula>AND($D52&lt;&gt;"",E52="")</formula>
    </cfRule>
  </conditionalFormatting>
  <conditionalFormatting sqref="H52:J61 N52:O61 Y52">
    <cfRule type="expression" dxfId="97" priority="12">
      <formula>ISERROR(H52)</formula>
    </cfRule>
  </conditionalFormatting>
  <conditionalFormatting sqref="AF52:AH61">
    <cfRule type="expression" dxfId="96" priority="11">
      <formula>ISERROR(AF52)</formula>
    </cfRule>
  </conditionalFormatting>
  <conditionalFormatting sqref="F54:F61">
    <cfRule type="expression" dxfId="95" priority="10">
      <formula>AND($D54&lt;&gt;"",F54="")</formula>
    </cfRule>
  </conditionalFormatting>
  <conditionalFormatting sqref="Y61">
    <cfRule type="expression" dxfId="94" priority="1">
      <formula>ISERROR(Y61)</formula>
    </cfRule>
  </conditionalFormatting>
  <conditionalFormatting sqref="Y53">
    <cfRule type="expression" dxfId="93" priority="9">
      <formula>ISERROR(Y53)</formula>
    </cfRule>
  </conditionalFormatting>
  <conditionalFormatting sqref="Y54">
    <cfRule type="expression" dxfId="92" priority="8">
      <formula>ISERROR(Y54)</formula>
    </cfRule>
  </conditionalFormatting>
  <conditionalFormatting sqref="Y55">
    <cfRule type="expression" dxfId="91" priority="7">
      <formula>ISERROR(Y55)</formula>
    </cfRule>
  </conditionalFormatting>
  <conditionalFormatting sqref="Y56">
    <cfRule type="expression" dxfId="90" priority="6">
      <formula>ISERROR(Y56)</formula>
    </cfRule>
  </conditionalFormatting>
  <conditionalFormatting sqref="Y57">
    <cfRule type="expression" dxfId="89" priority="5">
      <formula>ISERROR(Y57)</formula>
    </cfRule>
  </conditionalFormatting>
  <conditionalFormatting sqref="Y58">
    <cfRule type="expression" dxfId="88" priority="4">
      <formula>ISERROR(Y58)</formula>
    </cfRule>
  </conditionalFormatting>
  <conditionalFormatting sqref="Y59">
    <cfRule type="expression" dxfId="87" priority="3">
      <formula>ISERROR(Y59)</formula>
    </cfRule>
  </conditionalFormatting>
  <conditionalFormatting sqref="Y60">
    <cfRule type="expression" dxfId="86" priority="2">
      <formula>ISERROR(Y60)</formula>
    </cfRule>
  </conditionalFormatting>
  <dataValidations count="4">
    <dataValidation type="list" allowBlank="1" showInputMessage="1" showErrorMessage="1" sqref="D24:D43 D52:D61" xr:uid="{00000000-0002-0000-0F00-000000000000}">
      <formula1>$AV$4:$AV$81</formula1>
    </dataValidation>
    <dataValidation type="list" allowBlank="1" showInputMessage="1" showErrorMessage="1" sqref="F24:F43 F52:F61" xr:uid="{00000000-0002-0000-0F00-000001000000}">
      <formula1>$AX$4:$AX$19</formula1>
    </dataValidation>
    <dataValidation type="list" allowBlank="1" showInputMessage="1" showErrorMessage="1" sqref="G7:G8" xr:uid="{00000000-0002-0000-0F00-000002000000}">
      <formula1>"Minimum,Maximum,Average"</formula1>
    </dataValidation>
    <dataValidation type="list" allowBlank="1" showInputMessage="1" showErrorMessage="1" sqref="BX13:BX138" xr:uid="{00000000-0002-0000-0F00-000003000000}">
      <formula1>$AV$4:$AV$85</formula1>
    </dataValidation>
  </dataValidation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0">
    <tabColor theme="0" tint="-0.14999847407452621"/>
  </sheetPr>
  <dimension ref="A1:EG619"/>
  <sheetViews>
    <sheetView showGridLines="0" topLeftCell="A42" zoomScale="80" zoomScaleNormal="80" workbookViewId="0">
      <selection activeCell="G6" sqref="G6:G7"/>
    </sheetView>
  </sheetViews>
  <sheetFormatPr defaultRowHeight="14.6"/>
  <cols>
    <col min="3" max="3" width="4.3046875" customWidth="1"/>
    <col min="4" max="4" width="36.69140625" customWidth="1"/>
    <col min="5" max="5" width="39.3828125" customWidth="1"/>
    <col min="6" max="6" width="30.69140625" customWidth="1"/>
    <col min="7" max="7" width="22.69140625" customWidth="1"/>
    <col min="8" max="8" width="28.15234375" customWidth="1"/>
    <col min="9" max="9" width="24.15234375" customWidth="1"/>
    <col min="10" max="10" width="27.69140625" customWidth="1"/>
    <col min="11" max="11" width="23.3828125" customWidth="1"/>
    <col min="12" max="12" width="28.3046875" customWidth="1"/>
    <col min="13" max="13" width="20.3828125" customWidth="1"/>
    <col min="14" max="14" width="32.53515625" customWidth="1"/>
    <col min="15" max="15" width="28.69140625" customWidth="1"/>
    <col min="16" max="16" width="24.15234375" customWidth="1"/>
    <col min="17" max="17" width="31.84375" customWidth="1"/>
    <col min="18" max="18" width="24.15234375" customWidth="1"/>
    <col min="19" max="19" width="32" customWidth="1"/>
    <col min="53" max="53" width="28.3828125" customWidth="1"/>
    <col min="54" max="54" width="21.84375" style="1112" customWidth="1"/>
    <col min="55" max="55" width="15.84375" style="8" customWidth="1"/>
    <col min="56" max="56" width="9.3046875" style="8"/>
    <col min="57" max="57" width="12.3046875" style="8" customWidth="1"/>
    <col min="58" max="62" width="13" style="8" customWidth="1"/>
    <col min="63" max="63" width="17.69140625" style="8" customWidth="1"/>
    <col min="66" max="66" width="18.15234375" customWidth="1"/>
    <col min="67" max="67" width="25.84375" bestFit="1" customWidth="1"/>
    <col min="68" max="68" width="7.69140625" bestFit="1" customWidth="1"/>
    <col min="69" max="69" width="10.53515625" bestFit="1" customWidth="1"/>
    <col min="70" max="70" width="18.3828125" customWidth="1"/>
    <col min="71" max="71" width="7.69140625" customWidth="1"/>
    <col min="72" max="72" width="9.3828125" customWidth="1"/>
    <col min="73" max="76" width="7.69140625" customWidth="1"/>
    <col min="77" max="77" width="18.84375" customWidth="1"/>
    <col min="88" max="88" width="11.69140625" style="8" customWidth="1"/>
    <col min="89" max="89" width="40.3828125" style="8" customWidth="1"/>
    <col min="90" max="90" width="18.15234375" style="8" customWidth="1"/>
    <col min="91" max="91" width="48.3828125" style="8" customWidth="1"/>
    <col min="92" max="92" width="25.69140625" style="80" customWidth="1"/>
    <col min="93" max="93" width="16" style="8" customWidth="1"/>
    <col min="99" max="99" width="33.15234375" customWidth="1"/>
    <col min="100" max="100" width="29.84375" customWidth="1"/>
    <col min="101" max="101" width="34.69140625" customWidth="1"/>
    <col min="102" max="102" width="24.3046875" customWidth="1"/>
    <col min="103" max="103" width="44.3828125" customWidth="1"/>
    <col min="104" max="104" width="29.84375" customWidth="1"/>
    <col min="105" max="105" width="15.15234375" customWidth="1"/>
    <col min="106" max="107" width="22.3046875" customWidth="1"/>
    <col min="112" max="112" width="27.3046875" customWidth="1"/>
    <col min="113" max="113" width="48.84375" customWidth="1"/>
    <col min="114" max="115" width="16.15234375" customWidth="1"/>
    <col min="116" max="117" width="14.69140625" customWidth="1"/>
    <col min="118" max="119" width="15.3046875" customWidth="1"/>
    <col min="120" max="121" width="16.3828125" customWidth="1"/>
    <col min="122" max="122" width="24.3046875" customWidth="1"/>
    <col min="123" max="123" width="31" customWidth="1"/>
    <col min="124" max="124" width="26.53515625" customWidth="1"/>
    <col min="125" max="125" width="20.69140625" customWidth="1"/>
    <col min="126" max="129" width="21.3828125" customWidth="1"/>
    <col min="131" max="131" width="29.53515625" customWidth="1"/>
    <col min="132" max="132" width="27" customWidth="1"/>
    <col min="133" max="133" width="26.84375" bestFit="1" customWidth="1"/>
    <col min="134" max="134" width="27.3828125" bestFit="1" customWidth="1"/>
    <col min="135" max="136" width="24.53515625" bestFit="1" customWidth="1"/>
    <col min="137" max="137" width="25" bestFit="1" customWidth="1"/>
  </cols>
  <sheetData>
    <row r="1" spans="1:137">
      <c r="A1" s="2016" t="s">
        <v>5798</v>
      </c>
      <c r="CJ1" s="1110"/>
      <c r="CK1" s="1110"/>
      <c r="CL1" s="1265"/>
      <c r="CM1" s="1110"/>
      <c r="CN1" s="1261"/>
      <c r="CO1" s="1110"/>
    </row>
    <row r="2" spans="1:137" ht="20.6">
      <c r="BA2" s="461" t="s">
        <v>1882</v>
      </c>
      <c r="BB2" s="1113"/>
      <c r="BN2" s="461" t="s">
        <v>1715</v>
      </c>
      <c r="CJ2" s="1263" t="s">
        <v>1914</v>
      </c>
      <c r="CK2" s="1110"/>
      <c r="CL2" s="1264"/>
      <c r="CM2" s="1110"/>
      <c r="CN2" s="1261"/>
      <c r="CO2" s="1110"/>
      <c r="CU2" s="1919" t="s">
        <v>1915</v>
      </c>
      <c r="CV2" s="6"/>
      <c r="CW2" s="6"/>
      <c r="CY2" s="1263" t="s">
        <v>1916</v>
      </c>
      <c r="DH2" s="1263" t="s">
        <v>1948</v>
      </c>
      <c r="EA2" s="1263" t="s">
        <v>1954</v>
      </c>
    </row>
    <row r="3" spans="1:137" ht="20.6">
      <c r="BA3" s="1117" t="s">
        <v>1692</v>
      </c>
      <c r="BB3" s="2816" t="s">
        <v>1881</v>
      </c>
      <c r="BC3" s="2818" t="s">
        <v>1880</v>
      </c>
      <c r="BD3" s="2818" t="s">
        <v>1713</v>
      </c>
      <c r="BE3" s="2818" t="s">
        <v>1711</v>
      </c>
      <c r="BF3" s="2813" t="s">
        <v>1717</v>
      </c>
      <c r="BG3" s="2814"/>
      <c r="BH3" s="2814"/>
      <c r="BI3" s="2814"/>
      <c r="BJ3" s="2814"/>
      <c r="BK3" s="2815"/>
      <c r="BN3" s="461"/>
      <c r="CJ3" s="1110"/>
      <c r="CK3" s="1110"/>
      <c r="CL3" s="1262" t="s">
        <v>1879</v>
      </c>
      <c r="CM3" s="1110"/>
      <c r="CN3" s="1261"/>
      <c r="CO3" s="1110"/>
      <c r="CU3" s="1920" t="s">
        <v>5546</v>
      </c>
      <c r="CV3" s="6"/>
      <c r="CW3" s="6"/>
      <c r="CY3" s="1260" t="s">
        <v>1910</v>
      </c>
      <c r="DH3" s="1130" t="s">
        <v>1945</v>
      </c>
    </row>
    <row r="4" spans="1:137" ht="21.75" customHeight="1">
      <c r="C4" s="1038" t="s">
        <v>2059</v>
      </c>
      <c r="D4" s="149"/>
      <c r="E4" s="149"/>
      <c r="F4" s="149"/>
      <c r="G4" s="2803" t="s">
        <v>1582</v>
      </c>
      <c r="H4" s="149"/>
      <c r="I4" s="149"/>
      <c r="BA4" s="1118"/>
      <c r="BB4" s="2817"/>
      <c r="BC4" s="2819"/>
      <c r="BD4" s="2819"/>
      <c r="BE4" s="2819"/>
      <c r="BF4" s="1108" t="s">
        <v>1695</v>
      </c>
      <c r="BG4" s="1240" t="s">
        <v>1696</v>
      </c>
      <c r="BH4" s="1240" t="s">
        <v>1697</v>
      </c>
      <c r="BI4" s="1240" t="s">
        <v>1698</v>
      </c>
      <c r="BJ4" s="1240" t="s">
        <v>1699</v>
      </c>
      <c r="BK4" s="1107" t="s">
        <v>1712</v>
      </c>
      <c r="BN4" s="1259" t="s">
        <v>1708</v>
      </c>
      <c r="BO4" s="1104" t="s">
        <v>1716</v>
      </c>
      <c r="BP4" s="1105" t="s">
        <v>1693</v>
      </c>
      <c r="BQ4" s="1105" t="s">
        <v>1694</v>
      </c>
      <c r="BR4" s="1106" t="s">
        <v>1711</v>
      </c>
      <c r="BS4" s="1105" t="s">
        <v>1695</v>
      </c>
      <c r="BT4" s="1105" t="s">
        <v>1696</v>
      </c>
      <c r="BU4" s="1105" t="s">
        <v>1697</v>
      </c>
      <c r="BV4" s="1105" t="s">
        <v>1698</v>
      </c>
      <c r="BW4" s="1105" t="s">
        <v>1699</v>
      </c>
      <c r="BX4" s="1106" t="s">
        <v>1712</v>
      </c>
      <c r="BY4" s="1138" t="s">
        <v>1711</v>
      </c>
      <c r="BZ4" s="1139" t="s">
        <v>1695</v>
      </c>
      <c r="CA4" s="1139" t="s">
        <v>1696</v>
      </c>
      <c r="CB4" s="1139" t="s">
        <v>1697</v>
      </c>
      <c r="CC4" s="1139" t="s">
        <v>1698</v>
      </c>
      <c r="CD4" s="1139" t="s">
        <v>1699</v>
      </c>
      <c r="CE4" s="1138" t="s">
        <v>1712</v>
      </c>
      <c r="CF4" s="1258" t="s">
        <v>1714</v>
      </c>
      <c r="CJ4" s="1123" t="s">
        <v>1830</v>
      </c>
      <c r="CK4" s="1124" t="s">
        <v>1831</v>
      </c>
      <c r="CL4" s="1125" t="s">
        <v>1832</v>
      </c>
      <c r="CM4" s="1126" t="s">
        <v>1877</v>
      </c>
      <c r="CN4" s="1141" t="s">
        <v>1716</v>
      </c>
      <c r="CO4" s="1142" t="s">
        <v>1878</v>
      </c>
      <c r="CU4" s="6"/>
      <c r="CV4" s="6"/>
      <c r="CW4" s="6"/>
      <c r="CY4" s="1257" t="s">
        <v>1911</v>
      </c>
      <c r="DH4" s="1131" t="s">
        <v>1912</v>
      </c>
      <c r="DI4" s="1131" t="s">
        <v>1943</v>
      </c>
      <c r="DJ4" s="1131" t="s">
        <v>1946</v>
      </c>
      <c r="DK4" s="1133" t="s">
        <v>1949</v>
      </c>
      <c r="DL4" s="1131" t="s">
        <v>1950</v>
      </c>
      <c r="DM4" s="1135" t="s">
        <v>1951</v>
      </c>
      <c r="DN4" s="1133" t="s">
        <v>1947</v>
      </c>
      <c r="DO4" s="1131" t="s">
        <v>1957</v>
      </c>
      <c r="DP4" s="1131" t="s">
        <v>1952</v>
      </c>
      <c r="DQ4" s="1135" t="s">
        <v>1956</v>
      </c>
      <c r="DR4" s="1131" t="s">
        <v>1953</v>
      </c>
      <c r="DS4" s="1366" t="s">
        <v>2329</v>
      </c>
      <c r="DT4" s="1364" t="s">
        <v>1959</v>
      </c>
      <c r="DU4" s="1364" t="s">
        <v>1958</v>
      </c>
      <c r="DV4" s="1364" t="s">
        <v>1960</v>
      </c>
      <c r="DW4" s="1364" t="s">
        <v>1961</v>
      </c>
      <c r="DX4" s="1364" t="s">
        <v>1962</v>
      </c>
      <c r="DY4" s="1364" t="s">
        <v>1963</v>
      </c>
      <c r="EA4" s="1146" t="s">
        <v>1955</v>
      </c>
      <c r="EB4" s="1147" t="s">
        <v>1964</v>
      </c>
      <c r="EC4" s="1147" t="s">
        <v>1965</v>
      </c>
      <c r="ED4" s="1147" t="s">
        <v>1966</v>
      </c>
      <c r="EE4" s="1147" t="s">
        <v>1967</v>
      </c>
      <c r="EF4" s="1147" t="s">
        <v>1968</v>
      </c>
      <c r="EG4" s="1147" t="s">
        <v>1969</v>
      </c>
    </row>
    <row r="5" spans="1:137" ht="23.7" customHeight="1">
      <c r="C5" s="1038"/>
      <c r="D5" s="149"/>
      <c r="E5" s="149"/>
      <c r="F5" s="149"/>
      <c r="G5" s="2804"/>
      <c r="H5" s="1094"/>
      <c r="I5" s="149"/>
      <c r="BA5" s="1101" t="str">
        <f t="array" ref="BA5">IFERROR(INDEX($BO$5:$BO$1001, MATCH(0,COUNTIF($BA$2:BA3, $BO$5:$BO$1001), 0)),"")</f>
        <v>Angola</v>
      </c>
      <c r="BB5" s="1114">
        <f t="shared" ref="BB5:BB36" si="0">IF(OR(BA5="",BA5=0),"",IFERROR(INDEX($CO$5:$CO$245,MATCH($BA5,$CN$5:$CN$245,0)),""))</f>
        <v>6348298</v>
      </c>
      <c r="BC5" s="1095">
        <f t="array" ref="BC5">IF(OR(BA5="",BA5=0),"",MAX(IF($BO$5:$BO$1001=$BA5,$BQ$5:$BQ$1001)))</f>
        <v>2001</v>
      </c>
      <c r="BD5" s="1102" t="str">
        <f t="shared" ref="BD5:BD36" si="1">IF(OR(BA5="",BA5=0),"",INDEX($BP$5:$BP$1001,MATCH($BA5&amp;$BC5,$CF$5:$CF$1001,0)))</f>
        <v>MICS</v>
      </c>
      <c r="BE5" s="1103">
        <f t="shared" ref="BE5:BE36" si="2">IF(OR($BA5="",$BA5=0),"",INDEX(BY$5:BY$1001,MATCH($BA5&amp;$BC5,$CF$5:$CF$1001,0)))</f>
        <v>6.2E-2</v>
      </c>
      <c r="BF5" s="1103">
        <f t="shared" ref="BF5:BF36" si="3">IF(OR($BA5="",$BA5=0),"",INDEX(BZ$5:BZ$1001,MATCH($BA5&amp;$BC5,$CF$5:$CF$1001,0)))</f>
        <v>0.373</v>
      </c>
      <c r="BG5" s="1103">
        <f t="shared" ref="BG5:BG36" si="4">IF(OR($BA5="",$BA5=0),"",INDEX(CA$5:CA$1001,MATCH($BA5&amp;$BC5,$CF$5:$CF$1001,0)))</f>
        <v>0.23699999999999999</v>
      </c>
      <c r="BH5" s="1103">
        <f t="shared" ref="BH5:BH36" si="5">IF(OR($BA5="",$BA5=0),"",INDEX(CB$5:CB$1001,MATCH($BA5&amp;$BC5,$CF$5:$CF$1001,0)))</f>
        <v>6.8000000000000005E-2</v>
      </c>
      <c r="BI5" s="1103">
        <f t="shared" ref="BI5:BI36" si="6">IF(OR($BA5="",$BA5=0),"",INDEX(CC$5:CC$1001,MATCH($BA5&amp;$BC5,$CF$5:$CF$1001,0)))</f>
        <v>5.0999999999999997E-2</v>
      </c>
      <c r="BJ5" s="1103">
        <f t="shared" ref="BJ5:BJ36" si="7">IF(OR($BA5="",$BA5=0),"",INDEX(CD$5:CD$1001,MATCH($BA5&amp;$BC5,$CF$5:$CF$1001,0)))</f>
        <v>0</v>
      </c>
      <c r="BK5" s="1103">
        <f t="shared" ref="BK5:BK36" si="8">IF(OR($BA5="",$BA5=0),"",INDEX(CE$5:CE$1001,MATCH($BA5&amp;$BC5,$CF$5:$CF$1001,0)))</f>
        <v>3.4000000000000002E-2</v>
      </c>
      <c r="BN5" t="s">
        <v>1709</v>
      </c>
      <c r="BO5" t="s">
        <v>1583</v>
      </c>
      <c r="BP5" s="8" t="s">
        <v>1700</v>
      </c>
      <c r="BQ5" s="8">
        <v>2001</v>
      </c>
      <c r="BR5" s="8">
        <v>6.2</v>
      </c>
      <c r="BS5" s="8">
        <v>37.299999999999997</v>
      </c>
      <c r="BT5" s="8">
        <v>23.7</v>
      </c>
      <c r="BU5" s="8">
        <v>6.8</v>
      </c>
      <c r="BV5" s="8">
        <v>5.0999999999999996</v>
      </c>
      <c r="BW5" s="8">
        <v>0</v>
      </c>
      <c r="BX5" s="8">
        <v>3.4</v>
      </c>
      <c r="BY5" s="1140">
        <f t="shared" ref="BY5:BY36" si="9">BR5/100</f>
        <v>6.2E-2</v>
      </c>
      <c r="BZ5" s="1140">
        <f t="shared" ref="BZ5:BZ36" si="10">BS5/100</f>
        <v>0.373</v>
      </c>
      <c r="CA5" s="1140">
        <f t="shared" ref="CA5:CA36" si="11">BT5/100</f>
        <v>0.23699999999999999</v>
      </c>
      <c r="CB5" s="1140">
        <f t="shared" ref="CB5:CB36" si="12">BU5/100</f>
        <v>6.8000000000000005E-2</v>
      </c>
      <c r="CC5" s="1140">
        <f t="shared" ref="CC5:CC36" si="13">BV5/100</f>
        <v>5.0999999999999997E-2</v>
      </c>
      <c r="CD5" s="1140">
        <f t="shared" ref="CD5:CD36" si="14">BW5/100</f>
        <v>0</v>
      </c>
      <c r="CE5" s="1140">
        <f t="shared" ref="CE5:CE36" si="15">BX5/100</f>
        <v>3.4000000000000002E-2</v>
      </c>
      <c r="CF5" s="1140" t="str">
        <f t="shared" ref="CF5:CF36" si="16">BO5&amp;BQ5</f>
        <v>Angola2001</v>
      </c>
      <c r="CJ5" s="1109">
        <v>14</v>
      </c>
      <c r="CK5" s="1110" t="s">
        <v>1833</v>
      </c>
      <c r="CL5" s="1109">
        <v>2015</v>
      </c>
      <c r="CM5" s="1111">
        <v>1865011.6580000001</v>
      </c>
      <c r="CN5" s="1143" t="s">
        <v>1728</v>
      </c>
      <c r="CO5" s="1144">
        <v>1865011658</v>
      </c>
      <c r="CU5" s="1921" t="s">
        <v>1888</v>
      </c>
      <c r="CV5" s="1922" t="s">
        <v>1889</v>
      </c>
      <c r="CW5" s="1923" t="s">
        <v>1890</v>
      </c>
      <c r="CY5" s="1119" t="s">
        <v>1888</v>
      </c>
      <c r="CZ5" s="1119" t="s">
        <v>1912</v>
      </c>
      <c r="DA5" s="1119" t="s">
        <v>1913</v>
      </c>
      <c r="DB5" s="1119" t="s">
        <v>1901</v>
      </c>
      <c r="DC5" s="1120" t="s">
        <v>1902</v>
      </c>
      <c r="DH5" t="s">
        <v>1698</v>
      </c>
      <c r="DI5" t="s">
        <v>1917</v>
      </c>
      <c r="DJ5" t="s">
        <v>1900</v>
      </c>
      <c r="DK5" s="1134">
        <v>2.85</v>
      </c>
      <c r="DL5" s="1252">
        <v>3.093</v>
      </c>
      <c r="DM5" s="1136">
        <v>3.42</v>
      </c>
      <c r="DN5" s="1137">
        <f>1/0.83</f>
        <v>1.2048192771084338</v>
      </c>
      <c r="DO5" s="1252">
        <f t="shared" ref="DO5:DO23" si="17">DK5/DN5</f>
        <v>2.3654999999999999</v>
      </c>
      <c r="DP5" s="1252">
        <f t="shared" ref="DP5:DP23" si="18">DL5/DN5</f>
        <v>2.5671899999999996</v>
      </c>
      <c r="DQ5" s="1136">
        <f t="shared" ref="DQ5:DQ23" si="19">DM5/DN5</f>
        <v>2.8385999999999996</v>
      </c>
      <c r="DR5" s="1132">
        <v>5236248</v>
      </c>
      <c r="DS5" s="1145">
        <f t="shared" ref="DS5:DS23" ca="1" si="20">DR5/SUMIF($DH$5:$DH$24,DH5,$DR$5:$DR$23)</f>
        <v>0.8600821375675316</v>
      </c>
      <c r="DT5" s="1365">
        <f t="shared" ref="DT5:DT23" si="21">DU5/2</f>
        <v>8.6666666666666492E-5</v>
      </c>
      <c r="DU5" s="1365">
        <f>$CV$12</f>
        <v>1.7333333333333298E-4</v>
      </c>
      <c r="DV5" s="1365">
        <f t="shared" ref="DV5:DV23" si="22">DU5*2</f>
        <v>3.4666666666666597E-4</v>
      </c>
      <c r="DW5" s="1365">
        <f t="shared" ref="DW5:DW23" si="23">DT5/$DN$5</f>
        <v>7.1933333333333175E-5</v>
      </c>
      <c r="DX5" s="1365">
        <f t="shared" ref="DX5:DX23" si="24">DU5/$DN$5</f>
        <v>1.4386666666666635E-4</v>
      </c>
      <c r="DY5" s="1365">
        <f t="shared" ref="DY5:DY23" si="25">DV5/$DN$5</f>
        <v>2.877333333333327E-4</v>
      </c>
      <c r="EA5" t="s">
        <v>1698</v>
      </c>
      <c r="EB5" s="1148">
        <f ca="1">SUMPRODUCT($DS$5:$DS$9,DW5:DW9)</f>
        <v>7.3190472539312593E-5</v>
      </c>
      <c r="EC5" s="1148">
        <f ca="1">SUMPRODUCT($DS$5:$DS$9,DX5:DX9)</f>
        <v>1.4638094507862519E-4</v>
      </c>
      <c r="ED5" s="1148">
        <f ca="1">SUMPRODUCT($DS$5:$DS$9,DY5:DY9)</f>
        <v>2.9276189015725037E-4</v>
      </c>
      <c r="EE5" s="1149">
        <f ca="1">SUMPRODUCT($DS$5:$DS$9,DO5:DO9)</f>
        <v>3.2916199135572977</v>
      </c>
      <c r="EF5" s="1149">
        <f ca="1">SUMPRODUCT($DS$5:$DS$9,DP5:DP9)</f>
        <v>3.5047241655257757</v>
      </c>
      <c r="EG5" s="1149">
        <f ca="1">SUMPRODUCT($DS$5:$DS$9,DQ5:DQ9)</f>
        <v>3.8114316737348508</v>
      </c>
    </row>
    <row r="6" spans="1:137" ht="23.15" customHeight="1">
      <c r="C6" s="1038"/>
      <c r="D6" s="2773" t="s">
        <v>1884</v>
      </c>
      <c r="E6" s="2773"/>
      <c r="F6" s="2773"/>
      <c r="G6" s="1250" t="s">
        <v>1624</v>
      </c>
      <c r="H6" s="1363" t="s">
        <v>2330</v>
      </c>
      <c r="I6" s="1362"/>
      <c r="BA6" s="397" t="str">
        <f t="array" ref="BA6">IFERROR(INDEX($BO$5:$BO$1001, MATCH(0,COUNTIF($BA$2:BA5, $BO$5:$BO$1001), 0)),"")</f>
        <v>Benin</v>
      </c>
      <c r="BB6" s="1114">
        <f t="shared" si="0"/>
        <v>2483261</v>
      </c>
      <c r="BC6" s="1095">
        <f t="array" ref="BC6">IF(OR(BA6="",BA6=0),"",MAX(IF($BO$5:$BO$1001=$BA6,$BQ$5:$BQ$1001)))</f>
        <v>2011</v>
      </c>
      <c r="BD6" s="1095" t="str">
        <f t="shared" si="1"/>
        <v>MICS</v>
      </c>
      <c r="BE6" s="1096">
        <f t="shared" si="2"/>
        <v>0.129</v>
      </c>
      <c r="BF6" s="1096">
        <f t="shared" si="3"/>
        <v>0.13</v>
      </c>
      <c r="BG6" s="1096">
        <f t="shared" si="4"/>
        <v>0.2</v>
      </c>
      <c r="BH6" s="1096">
        <f t="shared" si="5"/>
        <v>0.05</v>
      </c>
      <c r="BI6" s="1096">
        <f t="shared" si="6"/>
        <v>0.18</v>
      </c>
      <c r="BJ6" s="1096">
        <f t="shared" si="7"/>
        <v>0</v>
      </c>
      <c r="BK6" s="1097">
        <f t="shared" si="8"/>
        <v>0.06</v>
      </c>
      <c r="BN6" t="s">
        <v>1709</v>
      </c>
      <c r="BO6" t="s">
        <v>1584</v>
      </c>
      <c r="BP6" s="8" t="s">
        <v>1700</v>
      </c>
      <c r="BQ6" s="8">
        <v>2011</v>
      </c>
      <c r="BR6" s="8">
        <v>12.9</v>
      </c>
      <c r="BS6" s="8">
        <v>13</v>
      </c>
      <c r="BT6" s="8">
        <v>20</v>
      </c>
      <c r="BU6" s="8">
        <v>5</v>
      </c>
      <c r="BV6" s="8">
        <v>18</v>
      </c>
      <c r="BW6" s="8">
        <v>0</v>
      </c>
      <c r="BX6" s="8">
        <v>6</v>
      </c>
      <c r="BY6" s="1140">
        <f t="shared" si="9"/>
        <v>0.129</v>
      </c>
      <c r="BZ6" s="1140">
        <f t="shared" si="10"/>
        <v>0.13</v>
      </c>
      <c r="CA6" s="1140">
        <f t="shared" si="11"/>
        <v>0.2</v>
      </c>
      <c r="CB6" s="1140">
        <f t="shared" si="12"/>
        <v>0.05</v>
      </c>
      <c r="CC6" s="1140">
        <f t="shared" si="13"/>
        <v>0.18</v>
      </c>
      <c r="CD6" s="1140">
        <f t="shared" si="14"/>
        <v>0</v>
      </c>
      <c r="CE6" s="1140">
        <f t="shared" si="15"/>
        <v>0.06</v>
      </c>
      <c r="CF6" s="1140" t="str">
        <f t="shared" si="16"/>
        <v>Benin2011</v>
      </c>
      <c r="CJ6" s="1109">
        <v>28</v>
      </c>
      <c r="CK6" s="1109" t="s">
        <v>1834</v>
      </c>
      <c r="CL6" s="1109">
        <v>2015</v>
      </c>
      <c r="CM6" s="1111">
        <v>284453.43099999998</v>
      </c>
      <c r="CN6" s="1143" t="s">
        <v>1728</v>
      </c>
      <c r="CO6" s="1144">
        <v>284453431</v>
      </c>
      <c r="CU6" s="1924" t="s">
        <v>1891</v>
      </c>
      <c r="CV6" s="1925">
        <v>1.0399999999999999E-4</v>
      </c>
      <c r="CW6" s="1925">
        <f t="shared" ref="CW6:CW14" si="26">2*CV6</f>
        <v>2.0799999999999999E-4</v>
      </c>
      <c r="CY6" s="1121" t="s">
        <v>1891</v>
      </c>
      <c r="CZ6" s="1121" t="s">
        <v>1697</v>
      </c>
      <c r="DA6" s="1121"/>
      <c r="DB6" s="1254" t="s">
        <v>1903</v>
      </c>
      <c r="DC6" s="1122">
        <v>4.5999999999999996</v>
      </c>
      <c r="DH6" t="s">
        <v>1698</v>
      </c>
      <c r="DI6" t="s">
        <v>1934</v>
      </c>
      <c r="DJ6" t="s">
        <v>1900</v>
      </c>
      <c r="DK6" s="1134">
        <v>2.8889999999999998</v>
      </c>
      <c r="DL6" s="1252">
        <v>3.2789999999999999</v>
      </c>
      <c r="DM6" s="1136">
        <v>4</v>
      </c>
      <c r="DN6" s="1137">
        <f>1/0.83</f>
        <v>1.2048192771084338</v>
      </c>
      <c r="DO6" s="1252">
        <f t="shared" si="17"/>
        <v>2.3978699999999997</v>
      </c>
      <c r="DP6" s="1252">
        <f t="shared" si="18"/>
        <v>2.7215699999999998</v>
      </c>
      <c r="DQ6" s="1136">
        <f t="shared" si="19"/>
        <v>3.32</v>
      </c>
      <c r="DR6" s="1132">
        <v>745433</v>
      </c>
      <c r="DS6" s="1145">
        <f t="shared" ca="1" si="20"/>
        <v>0.12244141378585922</v>
      </c>
      <c r="DT6" s="1365">
        <f t="shared" si="21"/>
        <v>8.6666666666666492E-5</v>
      </c>
      <c r="DU6" s="1365">
        <f>$CV$12</f>
        <v>1.7333333333333298E-4</v>
      </c>
      <c r="DV6" s="1365">
        <f t="shared" si="22"/>
        <v>3.4666666666666597E-4</v>
      </c>
      <c r="DW6" s="1365">
        <f t="shared" si="23"/>
        <v>7.1933333333333175E-5</v>
      </c>
      <c r="DX6" s="1365">
        <f t="shared" si="24"/>
        <v>1.4386666666666635E-4</v>
      </c>
      <c r="DY6" s="1365">
        <f t="shared" si="25"/>
        <v>2.877333333333327E-4</v>
      </c>
      <c r="EA6" t="s">
        <v>1697</v>
      </c>
      <c r="EB6" s="8">
        <f>DW10</f>
        <v>4.3159999999999993E-5</v>
      </c>
      <c r="EC6" s="8">
        <f>DX10</f>
        <v>8.6319999999999987E-5</v>
      </c>
      <c r="ED6" s="8">
        <f>DY10</f>
        <v>1.7263999999999997E-4</v>
      </c>
      <c r="EE6" s="7">
        <f>DO10</f>
        <v>2.9499999999999998E-2</v>
      </c>
      <c r="EF6" s="7">
        <f>DP10</f>
        <v>3.04E-2</v>
      </c>
      <c r="EG6" s="7">
        <f>DQ10</f>
        <v>3.2000000000000001E-2</v>
      </c>
    </row>
    <row r="7" spans="1:137" ht="23.15" customHeight="1">
      <c r="C7" s="1038"/>
      <c r="D7" s="2773" t="s">
        <v>1883</v>
      </c>
      <c r="E7" s="2773"/>
      <c r="F7" s="2773"/>
      <c r="G7" s="1256">
        <v>1</v>
      </c>
      <c r="H7" s="1094"/>
      <c r="I7" s="149"/>
      <c r="BA7" s="397" t="str">
        <f t="array" ref="BA7">IFERROR(INDEX($BO$5:$BO$1001, MATCH(0,COUNTIF($BA$2:BA6, $BO$5:$BO$1001), 0)),"")</f>
        <v>Botswana</v>
      </c>
      <c r="BB7" s="1114">
        <f t="shared" si="0"/>
        <v>612532</v>
      </c>
      <c r="BC7" s="1095">
        <f t="array" ref="BC7">IF(OR(BA7="",BA7=0),"",MAX(IF($BO$5:$BO$1001=$BA7,$BQ$5:$BQ$1001)))</f>
        <v>2007</v>
      </c>
      <c r="BD7" s="1095" t="str">
        <f t="shared" si="1"/>
        <v>NS</v>
      </c>
      <c r="BE7" s="1096">
        <f t="shared" si="2"/>
        <v>0.52800000000000002</v>
      </c>
      <c r="BF7" s="1096">
        <f t="shared" si="3"/>
        <v>0.10099999999999999</v>
      </c>
      <c r="BG7" s="1096">
        <f t="shared" si="4"/>
        <v>0.11199999999999999</v>
      </c>
      <c r="BH7" s="1096">
        <f t="shared" si="5"/>
        <v>1.3000000000000001E-2</v>
      </c>
      <c r="BI7" s="1096">
        <f t="shared" si="6"/>
        <v>0.68799999999999994</v>
      </c>
      <c r="BJ7" s="1096">
        <f t="shared" si="7"/>
        <v>0</v>
      </c>
      <c r="BK7" s="1097">
        <f t="shared" si="8"/>
        <v>0.01</v>
      </c>
      <c r="BN7" t="s">
        <v>1709</v>
      </c>
      <c r="BO7" t="s">
        <v>1585</v>
      </c>
      <c r="BP7" s="8" t="s">
        <v>1701</v>
      </c>
      <c r="BQ7" s="8">
        <v>2007</v>
      </c>
      <c r="BR7" s="8">
        <v>52.8</v>
      </c>
      <c r="BS7" s="8">
        <v>10.1</v>
      </c>
      <c r="BT7" s="8">
        <v>11.2</v>
      </c>
      <c r="BU7" s="8">
        <v>1.3</v>
      </c>
      <c r="BV7" s="8">
        <v>68.8</v>
      </c>
      <c r="BW7" s="8">
        <v>0</v>
      </c>
      <c r="BX7" s="8">
        <v>1</v>
      </c>
      <c r="BY7" s="1140">
        <f t="shared" si="9"/>
        <v>0.52800000000000002</v>
      </c>
      <c r="BZ7" s="1140">
        <f t="shared" si="10"/>
        <v>0.10099999999999999</v>
      </c>
      <c r="CA7" s="1140">
        <f t="shared" si="11"/>
        <v>0.11199999999999999</v>
      </c>
      <c r="CB7" s="1140">
        <f t="shared" si="12"/>
        <v>1.3000000000000001E-2</v>
      </c>
      <c r="CC7" s="1140">
        <f t="shared" si="13"/>
        <v>0.68799999999999994</v>
      </c>
      <c r="CD7" s="1140">
        <f t="shared" si="14"/>
        <v>0</v>
      </c>
      <c r="CE7" s="1140">
        <f t="shared" si="15"/>
        <v>0.01</v>
      </c>
      <c r="CF7" s="1140" t="str">
        <f t="shared" si="16"/>
        <v>Botswana2007</v>
      </c>
      <c r="CJ7" s="1109">
        <v>42</v>
      </c>
      <c r="CK7" s="1109" t="s">
        <v>1835</v>
      </c>
      <c r="CL7" s="1109">
        <v>2015</v>
      </c>
      <c r="CM7" s="1111">
        <v>1580558.227</v>
      </c>
      <c r="CN7" s="1143" t="s">
        <v>1728</v>
      </c>
      <c r="CO7" s="1144">
        <v>1580558227</v>
      </c>
      <c r="CU7" s="1924" t="s">
        <v>1892</v>
      </c>
      <c r="CV7" s="1925">
        <v>2.5999999999999998E-5</v>
      </c>
      <c r="CW7" s="1925">
        <f t="shared" si="26"/>
        <v>5.1999999999999997E-5</v>
      </c>
      <c r="CY7" s="1121" t="s">
        <v>1892</v>
      </c>
      <c r="CZ7" s="1121" t="s">
        <v>1699</v>
      </c>
      <c r="DA7" s="1121"/>
      <c r="DB7" s="1254" t="s">
        <v>1904</v>
      </c>
      <c r="DC7" s="1122">
        <v>3.8</v>
      </c>
      <c r="DH7" t="s">
        <v>1698</v>
      </c>
      <c r="DI7" t="s">
        <v>1935</v>
      </c>
      <c r="DJ7" t="s">
        <v>1918</v>
      </c>
      <c r="DK7" s="1134">
        <v>0.28000000000000003</v>
      </c>
      <c r="DL7" s="1252">
        <v>0.28000000000000003</v>
      </c>
      <c r="DM7" s="1136">
        <v>0.28000000000000003</v>
      </c>
      <c r="DN7" s="1137">
        <f>1/120</f>
        <v>8.3333333333333332E-3</v>
      </c>
      <c r="DO7" s="1252">
        <f t="shared" si="17"/>
        <v>33.6</v>
      </c>
      <c r="DP7" s="1252">
        <f t="shared" si="18"/>
        <v>33.6</v>
      </c>
      <c r="DQ7" s="1136">
        <f t="shared" si="19"/>
        <v>33.6</v>
      </c>
      <c r="DR7" s="1132">
        <v>9193</v>
      </c>
      <c r="DS7" s="1145">
        <f t="shared" ca="1" si="20"/>
        <v>1.5100001166213513E-3</v>
      </c>
      <c r="DT7" s="1365">
        <f t="shared" si="21"/>
        <v>1.7333333333333298E-4</v>
      </c>
      <c r="DU7" s="1365">
        <f>$CV$13</f>
        <v>3.4666666666666597E-4</v>
      </c>
      <c r="DV7" s="1365">
        <f t="shared" si="22"/>
        <v>6.9333333333333194E-4</v>
      </c>
      <c r="DW7" s="1365">
        <f t="shared" si="23"/>
        <v>1.4386666666666635E-4</v>
      </c>
      <c r="DX7" s="1365">
        <f t="shared" si="24"/>
        <v>2.877333333333327E-4</v>
      </c>
      <c r="DY7" s="1365">
        <f t="shared" si="25"/>
        <v>5.754666666666654E-4</v>
      </c>
      <c r="EA7" t="s">
        <v>1695</v>
      </c>
      <c r="EB7" s="8">
        <f ca="1">SUMPRODUCT($DS$11:$DS$17,DW11:DW17)</f>
        <v>3.0110681962598549E-5</v>
      </c>
      <c r="EC7" s="8">
        <f ca="1">SUMPRODUCT($DS$11:$DS$17,DX11:DX17)</f>
        <v>6.0221363925197098E-5</v>
      </c>
      <c r="ED7" s="8">
        <f ca="1">SUMPRODUCT($DS$11:$DS$17,DY11:DY17)</f>
        <v>1.204427278503942E-4</v>
      </c>
      <c r="EE7" s="1149">
        <f ca="1">SUMPRODUCT($DS$11:$DS$17,DO11:DO17)</f>
        <v>4.0422022229977097</v>
      </c>
      <c r="EF7" s="1149">
        <f ca="1">SUMPRODUCT($DS$11:$DS$17,DP11:DP17)</f>
        <v>4.4115122225100789</v>
      </c>
      <c r="EG7" s="1149">
        <f ca="1">SUMPRODUCT($DS$11:$DS$17,DQ11:DQ17)</f>
        <v>4.721625914069624</v>
      </c>
    </row>
    <row r="8" spans="1:137" ht="16.75" customHeight="1">
      <c r="C8" s="1038"/>
      <c r="D8" s="1255"/>
      <c r="E8" s="1255"/>
      <c r="F8" s="1255"/>
      <c r="G8" s="1094"/>
      <c r="H8" s="1094"/>
      <c r="I8" s="149"/>
      <c r="BA8" s="397" t="str">
        <f t="array" ref="BA8">IFERROR(INDEX($BO$5:$BO$1001, MATCH(0,COUNTIF($BA$2:BA7, $BO$5:$BO$1001), 0)),"")</f>
        <v>Burkina Faso</v>
      </c>
      <c r="BB8" s="1114">
        <f t="shared" si="0"/>
        <v>4177966.0000000005</v>
      </c>
      <c r="BC8" s="1095">
        <f t="array" ref="BC8">IF(OR(BA8="",BA8=0),"",MAX(IF($BO$5:$BO$1001=$BA8,$BQ$5:$BQ$1001)))</f>
        <v>2010</v>
      </c>
      <c r="BD8" s="1095" t="str">
        <f t="shared" si="1"/>
        <v>DHS</v>
      </c>
      <c r="BE8" s="1096">
        <f t="shared" si="2"/>
        <v>0.16200000000000001</v>
      </c>
      <c r="BF8" s="1096">
        <f t="shared" si="3"/>
        <v>0.2</v>
      </c>
      <c r="BG8" s="1096">
        <f t="shared" si="4"/>
        <v>0.38799999999999996</v>
      </c>
      <c r="BH8" s="1096">
        <f t="shared" si="5"/>
        <v>1.9E-2</v>
      </c>
      <c r="BI8" s="1096">
        <f t="shared" si="6"/>
        <v>0.1</v>
      </c>
      <c r="BJ8" s="1096">
        <f t="shared" si="7"/>
        <v>0.21299999999999999</v>
      </c>
      <c r="BK8" s="1097">
        <f t="shared" si="8"/>
        <v>6.0000000000000001E-3</v>
      </c>
      <c r="BN8" t="s">
        <v>1709</v>
      </c>
      <c r="BO8" t="s">
        <v>1586</v>
      </c>
      <c r="BP8" s="8" t="s">
        <v>1702</v>
      </c>
      <c r="BQ8" s="8">
        <v>2010</v>
      </c>
      <c r="BR8" s="8">
        <v>16.2</v>
      </c>
      <c r="BS8" s="8">
        <v>20</v>
      </c>
      <c r="BT8" s="8">
        <v>38.799999999999997</v>
      </c>
      <c r="BU8" s="8">
        <v>1.9</v>
      </c>
      <c r="BV8" s="8">
        <v>10</v>
      </c>
      <c r="BW8" s="8">
        <v>21.3</v>
      </c>
      <c r="BX8" s="8">
        <v>0.6</v>
      </c>
      <c r="BY8" s="1140">
        <f t="shared" si="9"/>
        <v>0.16200000000000001</v>
      </c>
      <c r="BZ8" s="1140">
        <f t="shared" si="10"/>
        <v>0.2</v>
      </c>
      <c r="CA8" s="1140">
        <f t="shared" si="11"/>
        <v>0.38799999999999996</v>
      </c>
      <c r="CB8" s="1140">
        <f t="shared" si="12"/>
        <v>1.9E-2</v>
      </c>
      <c r="CC8" s="1140">
        <f t="shared" si="13"/>
        <v>0.1</v>
      </c>
      <c r="CD8" s="1140">
        <f t="shared" si="14"/>
        <v>0.21299999999999999</v>
      </c>
      <c r="CE8" s="1140">
        <f t="shared" si="15"/>
        <v>6.0000000000000001E-3</v>
      </c>
      <c r="CF8" s="1140" t="str">
        <f t="shared" si="16"/>
        <v>Burkina Faso2010</v>
      </c>
      <c r="CJ8" s="1109">
        <v>56</v>
      </c>
      <c r="CK8" s="1109" t="s">
        <v>1836</v>
      </c>
      <c r="CL8" s="1109">
        <v>2015</v>
      </c>
      <c r="CM8" s="1111">
        <v>235015.12400000001</v>
      </c>
      <c r="CN8" s="1143" t="s">
        <v>1728</v>
      </c>
      <c r="CO8" s="1144">
        <v>235015124</v>
      </c>
      <c r="CU8" s="1924" t="s">
        <v>1893</v>
      </c>
      <c r="CV8" s="1925">
        <v>9.7645560000000003E-5</v>
      </c>
      <c r="CW8" s="1925">
        <f t="shared" si="26"/>
        <v>1.9529112000000001E-4</v>
      </c>
      <c r="CY8" s="1121" t="s">
        <v>1893</v>
      </c>
      <c r="CZ8" s="1121" t="s">
        <v>1696</v>
      </c>
      <c r="DA8" s="1121"/>
      <c r="DB8" s="1254" t="s">
        <v>1905</v>
      </c>
      <c r="DC8" s="1122">
        <f>1/4</f>
        <v>0.25</v>
      </c>
      <c r="DH8" t="s">
        <v>1698</v>
      </c>
      <c r="DI8" t="s">
        <v>1936</v>
      </c>
      <c r="DJ8" t="s">
        <v>1918</v>
      </c>
      <c r="DK8" s="1134">
        <v>0.33</v>
      </c>
      <c r="DL8" s="1252">
        <v>0.33</v>
      </c>
      <c r="DM8" s="1136">
        <v>0.33</v>
      </c>
      <c r="DN8" s="1137">
        <f>1/120</f>
        <v>8.3333333333333332E-3</v>
      </c>
      <c r="DO8" s="1252">
        <f t="shared" si="17"/>
        <v>39.6</v>
      </c>
      <c r="DP8" s="1252">
        <f t="shared" si="18"/>
        <v>39.6</v>
      </c>
      <c r="DQ8" s="1136">
        <f t="shared" si="19"/>
        <v>39.6</v>
      </c>
      <c r="DR8" s="1132">
        <v>13497</v>
      </c>
      <c r="DS8" s="1145">
        <f t="shared" ca="1" si="20"/>
        <v>2.2169554632914586E-3</v>
      </c>
      <c r="DT8" s="1365">
        <f t="shared" si="21"/>
        <v>1.7333333333333298E-4</v>
      </c>
      <c r="DU8" s="1365">
        <f>$CV$13</f>
        <v>3.4666666666666597E-4</v>
      </c>
      <c r="DV8" s="1365">
        <f t="shared" si="22"/>
        <v>6.9333333333333194E-4</v>
      </c>
      <c r="DW8" s="1365">
        <f t="shared" si="23"/>
        <v>1.4386666666666635E-4</v>
      </c>
      <c r="DX8" s="1365">
        <f t="shared" si="24"/>
        <v>2.877333333333327E-4</v>
      </c>
      <c r="DY8" s="1365">
        <f t="shared" si="25"/>
        <v>5.754666666666654E-4</v>
      </c>
      <c r="EA8" t="s">
        <v>1944</v>
      </c>
      <c r="EB8" s="8">
        <f ca="1">SUMPRODUCT($DS$18:$DS$21,DW18:DW21)</f>
        <v>4.052290739999999E-5</v>
      </c>
      <c r="EC8" s="8">
        <f ca="1">SUMPRODUCT($DS$18:$DS$21,DX18:DX21)</f>
        <v>8.104581479999998E-5</v>
      </c>
      <c r="ED8" s="8">
        <f ca="1">SUMPRODUCT($DS$18:$DS$21,DY18:DY21)</f>
        <v>1.6209162959999996E-4</v>
      </c>
      <c r="EE8" s="1149">
        <f ca="1">SUMPRODUCT($DS$18:$DS$21,DO18:DO21)</f>
        <v>3.2558406063486989</v>
      </c>
      <c r="EF8" s="1149">
        <f ca="1">SUMPRODUCT($DS$18:$DS$21,DP18:DP21)</f>
        <v>3.2558406063486989</v>
      </c>
      <c r="EG8" s="1149">
        <f ca="1">SUMPRODUCT($DS$18:$DS$21,DQ18:DQ21)</f>
        <v>3.2558406063486989</v>
      </c>
    </row>
    <row r="9" spans="1:137" ht="17.7" customHeight="1">
      <c r="C9" s="1038"/>
      <c r="D9" s="1255"/>
      <c r="E9" s="1255"/>
      <c r="F9" s="1255"/>
      <c r="G9" s="1094"/>
      <c r="H9" s="1094"/>
      <c r="I9" s="149"/>
      <c r="BA9" s="397" t="str">
        <f t="array" ref="BA9">IFERROR(INDEX($BO$5:$BO$1001, MATCH(0,COUNTIF($BA$2:BA8, $BO$5:$BO$1001), 0)),"")</f>
        <v>Burundi</v>
      </c>
      <c r="BB9" s="1114">
        <f t="shared" si="0"/>
        <v>2408015</v>
      </c>
      <c r="BC9" s="1095">
        <f t="array" ref="BC9">IF(OR(BA9="",BA9=0),"",MAX(IF($BO$5:$BO$1001=$BA9,$BQ$5:$BQ$1001)))</f>
        <v>2010</v>
      </c>
      <c r="BD9" s="1095" t="str">
        <f t="shared" si="1"/>
        <v>DHS</v>
      </c>
      <c r="BE9" s="1096">
        <f t="shared" si="2"/>
        <v>0.21899999999999997</v>
      </c>
      <c r="BF9" s="1096">
        <f t="shared" si="3"/>
        <v>0.11</v>
      </c>
      <c r="BG9" s="1096">
        <f t="shared" si="4"/>
        <v>0.47499999999999998</v>
      </c>
      <c r="BH9" s="1096">
        <f t="shared" si="5"/>
        <v>0.12300000000000001</v>
      </c>
      <c r="BI9" s="1096">
        <f t="shared" si="6"/>
        <v>0</v>
      </c>
      <c r="BJ9" s="1096">
        <f t="shared" si="7"/>
        <v>2.7000000000000003E-2</v>
      </c>
      <c r="BK9" s="1097">
        <f t="shared" si="8"/>
        <v>4.5999999999999999E-2</v>
      </c>
      <c r="BN9" t="s">
        <v>1709</v>
      </c>
      <c r="BO9" t="s">
        <v>1587</v>
      </c>
      <c r="BP9" s="8" t="s">
        <v>1702</v>
      </c>
      <c r="BQ9" s="8">
        <v>2010</v>
      </c>
      <c r="BR9" s="8">
        <v>21.9</v>
      </c>
      <c r="BS9" s="8">
        <v>11</v>
      </c>
      <c r="BT9" s="8">
        <v>47.5</v>
      </c>
      <c r="BU9" s="8">
        <v>12.3</v>
      </c>
      <c r="BV9" s="8">
        <v>0</v>
      </c>
      <c r="BW9" s="8">
        <v>2.7</v>
      </c>
      <c r="BX9" s="8">
        <v>4.5999999999999996</v>
      </c>
      <c r="BY9" s="1140">
        <f t="shared" si="9"/>
        <v>0.21899999999999997</v>
      </c>
      <c r="BZ9" s="1140">
        <f t="shared" si="10"/>
        <v>0.11</v>
      </c>
      <c r="CA9" s="1140">
        <f t="shared" si="11"/>
        <v>0.47499999999999998</v>
      </c>
      <c r="CB9" s="1140">
        <f t="shared" si="12"/>
        <v>0.12300000000000001</v>
      </c>
      <c r="CC9" s="1140">
        <f t="shared" si="13"/>
        <v>0</v>
      </c>
      <c r="CD9" s="1140">
        <f t="shared" si="14"/>
        <v>2.7000000000000003E-2</v>
      </c>
      <c r="CE9" s="1140">
        <f t="shared" si="15"/>
        <v>4.5999999999999999E-2</v>
      </c>
      <c r="CF9" s="1140" t="str">
        <f t="shared" si="16"/>
        <v>Burundi2010</v>
      </c>
      <c r="CJ9" s="1109">
        <v>70</v>
      </c>
      <c r="CK9" s="1109" t="s">
        <v>1837</v>
      </c>
      <c r="CL9" s="1109">
        <v>2015</v>
      </c>
      <c r="CM9" s="1111">
        <v>1345543.1029999999</v>
      </c>
      <c r="CN9" s="1143" t="s">
        <v>1728</v>
      </c>
      <c r="CO9" s="1144">
        <v>1345543103</v>
      </c>
      <c r="CU9" s="1924" t="s">
        <v>1894</v>
      </c>
      <c r="CV9" s="1925">
        <v>9.7645560000000003E-5</v>
      </c>
      <c r="CW9" s="1925">
        <f t="shared" si="26"/>
        <v>1.9529112000000001E-4</v>
      </c>
      <c r="CY9" s="1121" t="s">
        <v>1894</v>
      </c>
      <c r="CZ9" s="1121" t="s">
        <v>1696</v>
      </c>
      <c r="DA9" s="1121"/>
      <c r="DB9" s="1254" t="s">
        <v>1906</v>
      </c>
      <c r="DC9" s="1122">
        <f>1/6</f>
        <v>0.16666666666666666</v>
      </c>
      <c r="DH9" t="s">
        <v>1698</v>
      </c>
      <c r="DI9" t="s">
        <v>1937</v>
      </c>
      <c r="DJ9" t="s">
        <v>1918</v>
      </c>
      <c r="DK9" s="1134">
        <v>0.5</v>
      </c>
      <c r="DL9" s="1252">
        <v>0.5</v>
      </c>
      <c r="DM9" s="1136">
        <v>0.5</v>
      </c>
      <c r="DN9" s="1137">
        <f>1/120</f>
        <v>8.3333333333333332E-3</v>
      </c>
      <c r="DO9" s="1252">
        <f t="shared" si="17"/>
        <v>60</v>
      </c>
      <c r="DP9" s="1252">
        <f t="shared" si="18"/>
        <v>60</v>
      </c>
      <c r="DQ9" s="1136">
        <f t="shared" si="19"/>
        <v>60</v>
      </c>
      <c r="DR9" s="1132">
        <v>83708</v>
      </c>
      <c r="DS9" s="1145">
        <f t="shared" ca="1" si="20"/>
        <v>1.3749493066696409E-2</v>
      </c>
      <c r="DT9" s="1365">
        <f t="shared" si="21"/>
        <v>1.7333333333333298E-4</v>
      </c>
      <c r="DU9" s="1365">
        <f>$CV$13</f>
        <v>3.4666666666666597E-4</v>
      </c>
      <c r="DV9" s="1365">
        <f t="shared" si="22"/>
        <v>6.9333333333333194E-4</v>
      </c>
      <c r="DW9" s="1365">
        <f t="shared" si="23"/>
        <v>1.4386666666666635E-4</v>
      </c>
      <c r="DX9" s="1365">
        <f t="shared" si="24"/>
        <v>2.877333333333327E-4</v>
      </c>
      <c r="DY9" s="1365">
        <f t="shared" si="25"/>
        <v>5.754666666666654E-4</v>
      </c>
      <c r="EA9" t="s">
        <v>1699</v>
      </c>
      <c r="EB9" s="8">
        <f ca="1">SUMPRODUCT($DS$22:$DS$23,DW22:DW23)</f>
        <v>1.0789999999999998E-5</v>
      </c>
      <c r="EC9" s="8">
        <f ca="1">SUMPRODUCT($DS$22:$DS$23,DX22:DX23)</f>
        <v>2.1579999999999997E-5</v>
      </c>
      <c r="ED9" s="8">
        <f ca="1">SUMPRODUCT($DS$22:$DS$23,DY22:DY23)</f>
        <v>4.3159999999999993E-5</v>
      </c>
      <c r="EE9" s="1149">
        <f ca="1">SUMPRODUCT($DS$22:$DS$23,DO22:DO23)</f>
        <v>2.4428142102317554</v>
      </c>
      <c r="EF9" s="1149">
        <f ca="1">SUMPRODUCT($DS$22:$DS$23,DP22:DP23)</f>
        <v>2.52863086724546</v>
      </c>
      <c r="EG9" s="1149">
        <f ca="1">SUMPRODUCT($DS$22:$DS$23,DQ22:DQ23)</f>
        <v>2.6144475242591652</v>
      </c>
    </row>
    <row r="10" spans="1:137" ht="22.4" customHeight="1">
      <c r="C10" s="149"/>
      <c r="D10" s="149"/>
      <c r="E10" s="149"/>
      <c r="F10" s="149"/>
      <c r="G10" s="2803" t="s">
        <v>1582</v>
      </c>
      <c r="H10" s="2803" t="s">
        <v>2058</v>
      </c>
      <c r="I10" s="149"/>
      <c r="BA10" s="397" t="str">
        <f t="array" ref="BA10">IFERROR(INDEX($BO$5:$BO$1001, MATCH(0,COUNTIF($BA$2:BA9, $BO$5:$BO$1001), 0)),"")</f>
        <v>Cameroon</v>
      </c>
      <c r="BB10" s="1114">
        <f t="shared" si="0"/>
        <v>5422036</v>
      </c>
      <c r="BC10" s="1095">
        <f t="array" ref="BC10">IF(OR(BA10="",BA10=0),"",MAX(IF($BO$5:$BO$1001=$BA10,$BQ$5:$BQ$1001)))</f>
        <v>2011</v>
      </c>
      <c r="BD10" s="1095" t="str">
        <f t="shared" si="1"/>
        <v>DHS</v>
      </c>
      <c r="BE10" s="1096">
        <f t="shared" si="2"/>
        <v>0.23399999999999999</v>
      </c>
      <c r="BF10" s="1096">
        <f t="shared" si="3"/>
        <v>8.4000000000000005E-2</v>
      </c>
      <c r="BG10" s="1096">
        <f t="shared" si="4"/>
        <v>0.13300000000000001</v>
      </c>
      <c r="BH10" s="1096">
        <f t="shared" si="5"/>
        <v>9.0000000000000011E-3</v>
      </c>
      <c r="BI10" s="1096">
        <f t="shared" si="6"/>
        <v>0.33799999999999997</v>
      </c>
      <c r="BJ10" s="1096">
        <f t="shared" si="7"/>
        <v>3.1E-2</v>
      </c>
      <c r="BK10" s="1097">
        <f t="shared" si="8"/>
        <v>4.0000000000000001E-3</v>
      </c>
      <c r="BN10" t="s">
        <v>1709</v>
      </c>
      <c r="BO10" t="s">
        <v>1588</v>
      </c>
      <c r="BP10" s="8" t="s">
        <v>1702</v>
      </c>
      <c r="BQ10" s="8">
        <v>2011</v>
      </c>
      <c r="BR10" s="8">
        <v>23.4</v>
      </c>
      <c r="BS10" s="8">
        <v>8.4</v>
      </c>
      <c r="BT10" s="8">
        <v>13.3</v>
      </c>
      <c r="BU10" s="8">
        <v>0.9</v>
      </c>
      <c r="BV10" s="8">
        <v>33.799999999999997</v>
      </c>
      <c r="BW10" s="8">
        <v>3.1</v>
      </c>
      <c r="BX10" s="8">
        <v>0.4</v>
      </c>
      <c r="BY10" s="1140">
        <f t="shared" si="9"/>
        <v>0.23399999999999999</v>
      </c>
      <c r="BZ10" s="1140">
        <f t="shared" si="10"/>
        <v>8.4000000000000005E-2</v>
      </c>
      <c r="CA10" s="1140">
        <f t="shared" si="11"/>
        <v>0.13300000000000001</v>
      </c>
      <c r="CB10" s="1140">
        <f t="shared" si="12"/>
        <v>9.0000000000000011E-3</v>
      </c>
      <c r="CC10" s="1140">
        <f t="shared" si="13"/>
        <v>0.33799999999999997</v>
      </c>
      <c r="CD10" s="1140">
        <f t="shared" si="14"/>
        <v>3.1E-2</v>
      </c>
      <c r="CE10" s="1140">
        <f t="shared" si="15"/>
        <v>4.0000000000000001E-3</v>
      </c>
      <c r="CF10" s="1140" t="str">
        <f t="shared" si="16"/>
        <v>Cameroon2011</v>
      </c>
      <c r="CJ10" s="1109">
        <v>84</v>
      </c>
      <c r="CK10" s="1109" t="s">
        <v>1838</v>
      </c>
      <c r="CL10" s="1109">
        <v>2015</v>
      </c>
      <c r="CM10" s="1111">
        <v>1208150.466</v>
      </c>
      <c r="CN10" s="1143" t="s">
        <v>1728</v>
      </c>
      <c r="CO10" s="1144">
        <v>1208150466</v>
      </c>
      <c r="CU10" s="1924" t="s">
        <v>1895</v>
      </c>
      <c r="CV10" s="1925">
        <v>7.3333333333333331E-5</v>
      </c>
      <c r="CW10" s="1925">
        <f t="shared" si="26"/>
        <v>1.4666666666666666E-4</v>
      </c>
      <c r="CY10" s="1121" t="s">
        <v>1895</v>
      </c>
      <c r="CZ10" s="1121" t="s">
        <v>1695</v>
      </c>
      <c r="DA10" s="1121"/>
      <c r="DB10" s="1254" t="s">
        <v>1907</v>
      </c>
      <c r="DC10" s="1122">
        <f>1/15</f>
        <v>6.6666666666666666E-2</v>
      </c>
      <c r="DH10" t="s">
        <v>1697</v>
      </c>
      <c r="DI10" t="s">
        <v>1938</v>
      </c>
      <c r="DJ10" t="s">
        <v>1919</v>
      </c>
      <c r="DK10" s="1134">
        <v>0.29499999999999998</v>
      </c>
      <c r="DL10" s="1252">
        <v>0.30399999999999999</v>
      </c>
      <c r="DM10" s="1136">
        <v>0.32</v>
      </c>
      <c r="DN10" s="1137">
        <f>1/0.1</f>
        <v>10</v>
      </c>
      <c r="DO10" s="1252">
        <f t="shared" si="17"/>
        <v>2.9499999999999998E-2</v>
      </c>
      <c r="DP10" s="1252">
        <f t="shared" si="18"/>
        <v>3.04E-2</v>
      </c>
      <c r="DQ10" s="1136">
        <f t="shared" si="19"/>
        <v>3.2000000000000001E-2</v>
      </c>
      <c r="DR10" s="1132">
        <v>19287140</v>
      </c>
      <c r="DS10" s="1145">
        <f t="shared" ca="1" si="20"/>
        <v>1</v>
      </c>
      <c r="DT10" s="1365">
        <f t="shared" si="21"/>
        <v>5.1999999999999997E-5</v>
      </c>
      <c r="DU10" s="1365">
        <f>$CV$6</f>
        <v>1.0399999999999999E-4</v>
      </c>
      <c r="DV10" s="1365">
        <f t="shared" si="22"/>
        <v>2.0799999999999999E-4</v>
      </c>
      <c r="DW10" s="1365">
        <f t="shared" si="23"/>
        <v>4.3159999999999993E-5</v>
      </c>
      <c r="DX10" s="1365">
        <f t="shared" si="24"/>
        <v>8.6319999999999987E-5</v>
      </c>
      <c r="DY10" s="1365">
        <f t="shared" si="25"/>
        <v>1.7263999999999997E-4</v>
      </c>
      <c r="EA10" t="s">
        <v>1970</v>
      </c>
      <c r="EB10" s="8">
        <f>SUMPRODUCT($DR$5:$DR$23,DW5:DW23)/SUM($DR$5:$DR$23)</f>
        <v>3.3725616806528013E-5</v>
      </c>
      <c r="EC10" s="8">
        <f>SUMPRODUCT($DR$5:$DR$23,DX5:DX23)/SUM($DR$5:$DR$23)</f>
        <v>6.7451233613056026E-5</v>
      </c>
      <c r="ED10" s="8">
        <f>SUMPRODUCT($DR$5:$DR$23,DY5:DY23)/SUM($DR$5:$DR$23)</f>
        <v>1.3490246722611205E-4</v>
      </c>
      <c r="EE10" s="1149">
        <f>SUMPRODUCT($DR$5:$DR$23,DO5:DO23)/SUM($DR$5:$DR$23)</f>
        <v>1.8985884325817772</v>
      </c>
      <c r="EF10" s="1149">
        <f>SUMPRODUCT($DR$5:$DR$23,DP5:DP23)/SUM($DR$5:$DR$23)</f>
        <v>1.9774189993007401</v>
      </c>
      <c r="EG10" s="1149">
        <f>SUMPRODUCT($DR$5:$DR$23,DQ5:DQ23)/SUM($DR$5:$DR$23)</f>
        <v>2.0628560747766773</v>
      </c>
    </row>
    <row r="11" spans="1:137" ht="21.45" customHeight="1">
      <c r="C11" s="149"/>
      <c r="D11" s="149"/>
      <c r="E11" s="149"/>
      <c r="F11" s="149"/>
      <c r="G11" s="2804"/>
      <c r="H11" s="2804"/>
      <c r="I11" s="149"/>
      <c r="BA11" s="397" t="str">
        <f t="array" ref="BA11">IFERROR(INDEX($BO$5:$BO$1001, MATCH(0,COUNTIF($BA$2:BA10, $BO$5:$BO$1001), 0)),"")</f>
        <v>Central African Republic</v>
      </c>
      <c r="BB11" s="1114">
        <f t="shared" si="0"/>
        <v>1050893</v>
      </c>
      <c r="BC11" s="1095">
        <f t="array" ref="BC11">IF(OR(BA11="",BA11=0),"",MAX(IF($BO$5:$BO$1001=$BA11,$BQ$5:$BQ$1001)))</f>
        <v>2010</v>
      </c>
      <c r="BD11" s="1095" t="str">
        <f t="shared" si="1"/>
        <v>MICS</v>
      </c>
      <c r="BE11" s="1096">
        <f t="shared" si="2"/>
        <v>0.152</v>
      </c>
      <c r="BF11" s="1096">
        <f t="shared" si="3"/>
        <v>0.48399999999999999</v>
      </c>
      <c r="BG11" s="1096">
        <f t="shared" si="4"/>
        <v>4.0999999999999995E-2</v>
      </c>
      <c r="BH11" s="1096">
        <f t="shared" si="5"/>
        <v>0</v>
      </c>
      <c r="BI11" s="1096">
        <f t="shared" si="6"/>
        <v>0.18899999999999997</v>
      </c>
      <c r="BJ11" s="1096">
        <f t="shared" si="7"/>
        <v>1.6E-2</v>
      </c>
      <c r="BK11" s="1097">
        <f t="shared" si="8"/>
        <v>8.0000000000000002E-3</v>
      </c>
      <c r="BN11" t="s">
        <v>1709</v>
      </c>
      <c r="BO11" t="s">
        <v>1589</v>
      </c>
      <c r="BP11" s="8" t="s">
        <v>1700</v>
      </c>
      <c r="BQ11" s="8">
        <v>2010</v>
      </c>
      <c r="BR11" s="8">
        <v>15.2</v>
      </c>
      <c r="BS11" s="8">
        <v>48.4</v>
      </c>
      <c r="BT11" s="8">
        <v>4.0999999999999996</v>
      </c>
      <c r="BU11" s="8">
        <v>0</v>
      </c>
      <c r="BV11" s="8">
        <v>18.899999999999999</v>
      </c>
      <c r="BW11" s="8">
        <v>1.6</v>
      </c>
      <c r="BX11" s="8">
        <v>0.8</v>
      </c>
      <c r="BY11" s="1140">
        <f t="shared" si="9"/>
        <v>0.152</v>
      </c>
      <c r="BZ11" s="1140">
        <f t="shared" si="10"/>
        <v>0.48399999999999999</v>
      </c>
      <c r="CA11" s="1140">
        <f t="shared" si="11"/>
        <v>4.0999999999999995E-2</v>
      </c>
      <c r="CB11" s="1140">
        <f t="shared" si="12"/>
        <v>0</v>
      </c>
      <c r="CC11" s="1140">
        <f t="shared" si="13"/>
        <v>0.18899999999999997</v>
      </c>
      <c r="CD11" s="1140">
        <f t="shared" si="14"/>
        <v>1.6E-2</v>
      </c>
      <c r="CE11" s="1140">
        <f t="shared" si="15"/>
        <v>8.0000000000000002E-3</v>
      </c>
      <c r="CF11" s="1140" t="str">
        <f t="shared" si="16"/>
        <v>Central African Republic2010</v>
      </c>
      <c r="CJ11" s="1109">
        <v>98</v>
      </c>
      <c r="CK11" s="1109" t="s">
        <v>1839</v>
      </c>
      <c r="CL11" s="1109">
        <v>2015</v>
      </c>
      <c r="CM11" s="1111">
        <v>268458.38900000002</v>
      </c>
      <c r="CN11" s="1143" t="s">
        <v>1728</v>
      </c>
      <c r="CO11" s="1144">
        <v>268458389</v>
      </c>
      <c r="CU11" s="1924" t="s">
        <v>1896</v>
      </c>
      <c r="CV11" s="1925">
        <v>7.3333333333333331E-5</v>
      </c>
      <c r="CW11" s="1925">
        <f t="shared" si="26"/>
        <v>1.4666666666666666E-4</v>
      </c>
      <c r="CY11" s="1121" t="s">
        <v>1896</v>
      </c>
      <c r="CZ11" s="1121" t="s">
        <v>1695</v>
      </c>
      <c r="DA11" s="1121"/>
      <c r="DB11" s="1254" t="s">
        <v>1907</v>
      </c>
      <c r="DC11" s="1122">
        <f>1/15</f>
        <v>6.6666666666666666E-2</v>
      </c>
      <c r="DH11" s="147" t="s">
        <v>1695</v>
      </c>
      <c r="DI11" t="s">
        <v>1921</v>
      </c>
      <c r="DJ11" t="s">
        <v>1920</v>
      </c>
      <c r="DK11" s="1134">
        <v>0.28999999999999998</v>
      </c>
      <c r="DL11" s="1252">
        <v>0.29499999999999998</v>
      </c>
      <c r="DM11" s="1136">
        <v>0.3</v>
      </c>
      <c r="DN11" s="1137">
        <f>1/15</f>
        <v>6.6666666666666666E-2</v>
      </c>
      <c r="DO11" s="1252">
        <f t="shared" si="17"/>
        <v>4.3499999999999996</v>
      </c>
      <c r="DP11" s="1252">
        <f t="shared" si="18"/>
        <v>4.4249999999999998</v>
      </c>
      <c r="DQ11" s="1136">
        <f t="shared" si="19"/>
        <v>4.5</v>
      </c>
      <c r="DR11" s="1132">
        <v>526005</v>
      </c>
      <c r="DS11" s="1145">
        <f t="shared" ca="1" si="20"/>
        <v>0.14329402592180635</v>
      </c>
      <c r="DT11" s="1365">
        <f t="shared" si="21"/>
        <v>3.6666666666666666E-5</v>
      </c>
      <c r="DU11" s="1365">
        <f>$CV$10</f>
        <v>7.3333333333333331E-5</v>
      </c>
      <c r="DV11" s="1365">
        <f t="shared" si="22"/>
        <v>1.4666666666666666E-4</v>
      </c>
      <c r="DW11" s="1365">
        <f t="shared" si="23"/>
        <v>3.0433333333333329E-5</v>
      </c>
      <c r="DX11" s="1365">
        <f t="shared" si="24"/>
        <v>6.0866666666666658E-5</v>
      </c>
      <c r="DY11" s="1365">
        <f t="shared" si="25"/>
        <v>1.2173333333333332E-4</v>
      </c>
    </row>
    <row r="12" spans="1:137" ht="25.75" customHeight="1">
      <c r="C12" s="149"/>
      <c r="D12" s="2093" t="s">
        <v>1887</v>
      </c>
      <c r="E12" s="2093"/>
      <c r="F12" s="2093"/>
      <c r="G12" s="2808"/>
      <c r="H12" s="2809">
        <f>IF(G12&lt;&gt;"",G12,IF(G7&lt;&gt;"",G7,1)*INDEX($BB$5:$BB$201,MATCH(G6,$BA$5:$BA$201,0)))</f>
        <v>3821328</v>
      </c>
      <c r="I12" s="149"/>
      <c r="BA12" s="397" t="str">
        <f t="array" ref="BA12">IFERROR(INDEX($BO$5:$BO$1001, MATCH(0,COUNTIF($BA$2:BA11, $BO$5:$BO$1001), 0)),"")</f>
        <v>Chad</v>
      </c>
      <c r="BB12" s="1114">
        <f t="shared" si="0"/>
        <v>3092733</v>
      </c>
      <c r="BC12" s="1095">
        <f t="array" ref="BC12">IF(OR(BA12="",BA12=0),"",MAX(IF($BO$5:$BO$1001=$BA12,$BQ$5:$BQ$1001)))</f>
        <v>2010</v>
      </c>
      <c r="BD12" s="1095" t="str">
        <f t="shared" si="1"/>
        <v>MICS</v>
      </c>
      <c r="BE12" s="1096">
        <f t="shared" si="2"/>
        <v>4.8000000000000001E-2</v>
      </c>
      <c r="BF12" s="1096">
        <f t="shared" si="3"/>
        <v>0.26300000000000001</v>
      </c>
      <c r="BG12" s="1096">
        <f t="shared" si="4"/>
        <v>0.47399999999999998</v>
      </c>
      <c r="BH12" s="1096">
        <f t="shared" si="5"/>
        <v>0</v>
      </c>
      <c r="BI12" s="1096">
        <f t="shared" si="6"/>
        <v>5.2999999999999999E-2</v>
      </c>
      <c r="BJ12" s="1096">
        <f t="shared" si="7"/>
        <v>0</v>
      </c>
      <c r="BK12" s="1097">
        <f t="shared" si="8"/>
        <v>0</v>
      </c>
      <c r="BN12" t="s">
        <v>1709</v>
      </c>
      <c r="BO12" t="s">
        <v>1590</v>
      </c>
      <c r="BP12" s="8" t="s">
        <v>1700</v>
      </c>
      <c r="BQ12" s="8">
        <v>2010</v>
      </c>
      <c r="BR12" s="8">
        <v>4.8</v>
      </c>
      <c r="BS12" s="8">
        <v>26.3</v>
      </c>
      <c r="BT12" s="8">
        <v>47.4</v>
      </c>
      <c r="BU12" s="8">
        <v>0</v>
      </c>
      <c r="BV12" s="8">
        <v>5.3</v>
      </c>
      <c r="BW12" s="8">
        <v>0</v>
      </c>
      <c r="BX12" s="8">
        <v>0</v>
      </c>
      <c r="BY12" s="1140">
        <f t="shared" si="9"/>
        <v>4.8000000000000001E-2</v>
      </c>
      <c r="BZ12" s="1140">
        <f t="shared" si="10"/>
        <v>0.26300000000000001</v>
      </c>
      <c r="CA12" s="1140">
        <f t="shared" si="11"/>
        <v>0.47399999999999998</v>
      </c>
      <c r="CB12" s="1140">
        <f t="shared" si="12"/>
        <v>0</v>
      </c>
      <c r="CC12" s="1140">
        <f t="shared" si="13"/>
        <v>5.2999999999999999E-2</v>
      </c>
      <c r="CD12" s="1140">
        <f t="shared" si="14"/>
        <v>0</v>
      </c>
      <c r="CE12" s="1140">
        <f t="shared" si="15"/>
        <v>0</v>
      </c>
      <c r="CF12" s="1140" t="str">
        <f t="shared" si="16"/>
        <v>Chad2010</v>
      </c>
      <c r="CJ12" s="1109">
        <v>112</v>
      </c>
      <c r="CK12" s="1109" t="s">
        <v>1840</v>
      </c>
      <c r="CL12" s="1109">
        <v>2015</v>
      </c>
      <c r="CM12" s="1111">
        <v>1444087.564</v>
      </c>
      <c r="CN12" s="1143" t="s">
        <v>1728</v>
      </c>
      <c r="CO12" s="1144">
        <v>1444087564</v>
      </c>
      <c r="CU12" s="1924" t="s">
        <v>1897</v>
      </c>
      <c r="CV12" s="1925">
        <f>0.0000173333333333333*10</f>
        <v>1.7333333333333298E-4</v>
      </c>
      <c r="CW12" s="1925">
        <f t="shared" si="26"/>
        <v>3.4666666666666597E-4</v>
      </c>
      <c r="CY12" s="1121" t="s">
        <v>1897</v>
      </c>
      <c r="CZ12" s="1121" t="s">
        <v>1698</v>
      </c>
      <c r="DA12" s="1121"/>
      <c r="DB12" s="1254" t="s">
        <v>1908</v>
      </c>
      <c r="DC12" s="1122">
        <f>1/120</f>
        <v>8.3333333333333332E-3</v>
      </c>
      <c r="DH12" t="s">
        <v>1695</v>
      </c>
      <c r="DI12" t="s">
        <v>1922</v>
      </c>
      <c r="DJ12" t="s">
        <v>1920</v>
      </c>
      <c r="DK12" s="1134">
        <v>0.41</v>
      </c>
      <c r="DL12" s="1252">
        <v>0.41</v>
      </c>
      <c r="DM12" s="1136">
        <v>0.41</v>
      </c>
      <c r="DN12" s="1137">
        <f>1/15</f>
        <v>6.6666666666666666E-2</v>
      </c>
      <c r="DO12" s="1252">
        <f t="shared" si="17"/>
        <v>6.1499999999999995</v>
      </c>
      <c r="DP12" s="1252">
        <f t="shared" si="18"/>
        <v>6.1499999999999995</v>
      </c>
      <c r="DQ12" s="1136">
        <f t="shared" si="19"/>
        <v>6.1499999999999995</v>
      </c>
      <c r="DR12" s="1132">
        <v>198758</v>
      </c>
      <c r="DS12" s="1145">
        <f t="shared" ca="1" si="20"/>
        <v>5.4145557559655104E-2</v>
      </c>
      <c r="DT12" s="1365">
        <f t="shared" si="21"/>
        <v>3.6666666666666666E-5</v>
      </c>
      <c r="DU12" s="1365">
        <f>$CV$10</f>
        <v>7.3333333333333331E-5</v>
      </c>
      <c r="DV12" s="1365">
        <f t="shared" si="22"/>
        <v>1.4666666666666666E-4</v>
      </c>
      <c r="DW12" s="1365">
        <f t="shared" si="23"/>
        <v>3.0433333333333329E-5</v>
      </c>
      <c r="DX12" s="1365">
        <f t="shared" si="24"/>
        <v>6.0866666666666658E-5</v>
      </c>
      <c r="DY12" s="1365">
        <f t="shared" si="25"/>
        <v>1.2173333333333332E-4</v>
      </c>
    </row>
    <row r="13" spans="1:137" ht="26.7" customHeight="1">
      <c r="C13" s="149"/>
      <c r="D13" s="2093"/>
      <c r="E13" s="2093"/>
      <c r="F13" s="2093"/>
      <c r="G13" s="2808"/>
      <c r="H13" s="2809"/>
      <c r="I13" s="149"/>
      <c r="BA13" s="397" t="str">
        <f t="array" ref="BA13">IFERROR(INDEX($BO$5:$BO$1001, MATCH(0,COUNTIF($BA$2:BA12, $BO$5:$BO$1001), 0)),"")</f>
        <v>Republic of the Congo</v>
      </c>
      <c r="BB13" s="1114">
        <f t="shared" si="0"/>
        <v>1176713</v>
      </c>
      <c r="BC13" s="1095">
        <f t="array" ref="BC13">IF(OR(BA13="",BA13=0),"",MAX(IF($BO$5:$BO$1001=$BA13,$BQ$5:$BQ$1001)))</f>
        <v>2011</v>
      </c>
      <c r="BD13" s="1095" t="str">
        <f t="shared" si="1"/>
        <v>DHS-P</v>
      </c>
      <c r="BE13" s="1096">
        <f t="shared" si="2"/>
        <v>0.44700000000000001</v>
      </c>
      <c r="BF13" s="1096">
        <f t="shared" si="3"/>
        <v>6.8000000000000005E-2</v>
      </c>
      <c r="BG13" s="1096">
        <f t="shared" si="4"/>
        <v>6.6000000000000003E-2</v>
      </c>
      <c r="BH13" s="1096">
        <f t="shared" si="5"/>
        <v>0</v>
      </c>
      <c r="BI13" s="1096">
        <f t="shared" si="6"/>
        <v>0.28800000000000003</v>
      </c>
      <c r="BJ13" s="1096">
        <f t="shared" si="7"/>
        <v>2E-3</v>
      </c>
      <c r="BK13" s="1097">
        <f t="shared" si="8"/>
        <v>0.04</v>
      </c>
      <c r="BN13" t="s">
        <v>1709</v>
      </c>
      <c r="BO13" t="s">
        <v>1591</v>
      </c>
      <c r="BP13" s="8" t="s">
        <v>1703</v>
      </c>
      <c r="BQ13" s="8">
        <v>2011</v>
      </c>
      <c r="BR13" s="8">
        <v>44.7</v>
      </c>
      <c r="BS13" s="8">
        <v>6.8</v>
      </c>
      <c r="BT13" s="8">
        <v>6.6</v>
      </c>
      <c r="BU13" s="8">
        <v>0</v>
      </c>
      <c r="BV13" s="8">
        <v>28.8</v>
      </c>
      <c r="BW13" s="8">
        <v>0.2</v>
      </c>
      <c r="BX13" s="8">
        <v>4</v>
      </c>
      <c r="BY13" s="1140">
        <f t="shared" si="9"/>
        <v>0.44700000000000001</v>
      </c>
      <c r="BZ13" s="1140">
        <f t="shared" si="10"/>
        <v>6.8000000000000005E-2</v>
      </c>
      <c r="CA13" s="1140">
        <f t="shared" si="11"/>
        <v>6.6000000000000003E-2</v>
      </c>
      <c r="CB13" s="1140">
        <f t="shared" si="12"/>
        <v>0</v>
      </c>
      <c r="CC13" s="1140">
        <f t="shared" si="13"/>
        <v>0.28800000000000003</v>
      </c>
      <c r="CD13" s="1140">
        <f t="shared" si="14"/>
        <v>2E-3</v>
      </c>
      <c r="CE13" s="1140">
        <f t="shared" si="15"/>
        <v>0.04</v>
      </c>
      <c r="CF13" s="1140" t="str">
        <f t="shared" si="16"/>
        <v>Republic of the Congo2011</v>
      </c>
      <c r="CJ13" s="1109">
        <v>126</v>
      </c>
      <c r="CK13" s="1109" t="s">
        <v>1841</v>
      </c>
      <c r="CL13" s="1109">
        <v>2015</v>
      </c>
      <c r="CM13" s="1111">
        <v>679731.353</v>
      </c>
      <c r="CN13" s="1143" t="s">
        <v>1728</v>
      </c>
      <c r="CO13" s="1144">
        <v>679731353</v>
      </c>
      <c r="CU13" s="1924" t="s">
        <v>1898</v>
      </c>
      <c r="CV13" s="1925">
        <f>0.0000173333333333333*20</f>
        <v>3.4666666666666597E-4</v>
      </c>
      <c r="CW13" s="1925">
        <f t="shared" si="26"/>
        <v>6.9333333333333194E-4</v>
      </c>
      <c r="CY13" s="1121" t="s">
        <v>1898</v>
      </c>
      <c r="CZ13" s="1121" t="s">
        <v>1698</v>
      </c>
      <c r="DA13" s="1121"/>
      <c r="DB13" s="1254" t="s">
        <v>1908</v>
      </c>
      <c r="DC13" s="1122">
        <f>1/120</f>
        <v>8.3333333333333332E-3</v>
      </c>
      <c r="DH13" t="s">
        <v>1695</v>
      </c>
      <c r="DI13" t="s">
        <v>1923</v>
      </c>
      <c r="DJ13" t="s">
        <v>1920</v>
      </c>
      <c r="DK13" s="1134">
        <v>0.73</v>
      </c>
      <c r="DL13" s="1252">
        <v>0.73</v>
      </c>
      <c r="DM13" s="1136">
        <v>0.73</v>
      </c>
      <c r="DN13" s="1137">
        <f>1/15</f>
        <v>6.6666666666666666E-2</v>
      </c>
      <c r="DO13" s="1252">
        <f t="shared" si="17"/>
        <v>10.95</v>
      </c>
      <c r="DP13" s="1252">
        <f t="shared" si="18"/>
        <v>10.95</v>
      </c>
      <c r="DQ13" s="1136">
        <f t="shared" si="19"/>
        <v>10.95</v>
      </c>
      <c r="DR13" s="1132">
        <v>0</v>
      </c>
      <c r="DS13" s="1145">
        <f t="shared" ca="1" si="20"/>
        <v>0</v>
      </c>
      <c r="DT13" s="1365">
        <f t="shared" si="21"/>
        <v>3.6666666666666666E-5</v>
      </c>
      <c r="DU13" s="1365">
        <f>$CV$10</f>
        <v>7.3333333333333331E-5</v>
      </c>
      <c r="DV13" s="1365">
        <f t="shared" si="22"/>
        <v>1.4666666666666666E-4</v>
      </c>
      <c r="DW13" s="1365">
        <f t="shared" si="23"/>
        <v>3.0433333333333329E-5</v>
      </c>
      <c r="DX13" s="1365">
        <f t="shared" si="24"/>
        <v>6.0866666666666658E-5</v>
      </c>
      <c r="DY13" s="1365">
        <f t="shared" si="25"/>
        <v>1.2173333333333332E-4</v>
      </c>
    </row>
    <row r="14" spans="1:137" ht="18" customHeight="1">
      <c r="C14" s="149"/>
      <c r="D14" s="2093" t="s">
        <v>1984</v>
      </c>
      <c r="E14" s="2093"/>
      <c r="F14" s="2093"/>
      <c r="G14" s="2810"/>
      <c r="H14" s="2812">
        <f>IF(G14&lt;&gt;"",G14,INDEX($BE$5:$BE$201,MATCH(G$6,$BA$5:$BA$201,0)))</f>
        <v>0.40799999999999997</v>
      </c>
      <c r="I14" s="149"/>
      <c r="BA14" s="397" t="str">
        <f t="array" ref="BA14">IFERROR(INDEX($BO$5:$BO$1001, MATCH(0,COUNTIF($BA$2:BA13, $BO$5:$BO$1001), 0)),"")</f>
        <v>Côte d'Ivoire</v>
      </c>
      <c r="BB14" s="1114">
        <f t="shared" si="0"/>
        <v>5397191</v>
      </c>
      <c r="BC14" s="1095">
        <f t="array" ref="BC14">IF(OR(BA14="",BA14=0),"",MAX(IF($BO$5:$BO$1001=$BA14,$BQ$5:$BQ$1001)))</f>
        <v>2011</v>
      </c>
      <c r="BD14" s="1095" t="str">
        <f t="shared" si="1"/>
        <v>DHS-P</v>
      </c>
      <c r="BE14" s="1096">
        <f t="shared" si="2"/>
        <v>0.182</v>
      </c>
      <c r="BF14" s="1096">
        <f t="shared" si="3"/>
        <v>0.43</v>
      </c>
      <c r="BG14" s="1096">
        <f t="shared" si="4"/>
        <v>0.14499999999999999</v>
      </c>
      <c r="BH14" s="1096">
        <f t="shared" si="5"/>
        <v>6.0000000000000001E-3</v>
      </c>
      <c r="BI14" s="1096">
        <f t="shared" si="6"/>
        <v>0.109</v>
      </c>
      <c r="BJ14" s="1096">
        <f t="shared" si="7"/>
        <v>1.2E-2</v>
      </c>
      <c r="BK14" s="1097">
        <f t="shared" si="8"/>
        <v>1.8000000000000002E-2</v>
      </c>
      <c r="BN14" t="s">
        <v>1709</v>
      </c>
      <c r="BO14" t="s">
        <v>1592</v>
      </c>
      <c r="BP14" s="8" t="s">
        <v>1703</v>
      </c>
      <c r="BQ14" s="8">
        <v>2011</v>
      </c>
      <c r="BR14" s="8">
        <v>18.2</v>
      </c>
      <c r="BS14" s="8">
        <v>43</v>
      </c>
      <c r="BT14" s="8">
        <v>14.5</v>
      </c>
      <c r="BU14" s="8">
        <v>0.6</v>
      </c>
      <c r="BV14" s="8">
        <v>10.9</v>
      </c>
      <c r="BW14" s="8">
        <v>1.2</v>
      </c>
      <c r="BX14" s="8">
        <v>1.8</v>
      </c>
      <c r="BY14" s="1140">
        <f t="shared" si="9"/>
        <v>0.182</v>
      </c>
      <c r="BZ14" s="1140">
        <f t="shared" si="10"/>
        <v>0.43</v>
      </c>
      <c r="CA14" s="1140">
        <f t="shared" si="11"/>
        <v>0.14499999999999999</v>
      </c>
      <c r="CB14" s="1140">
        <f t="shared" si="12"/>
        <v>6.0000000000000001E-3</v>
      </c>
      <c r="CC14" s="1140">
        <f t="shared" si="13"/>
        <v>0.109</v>
      </c>
      <c r="CD14" s="1140">
        <f t="shared" si="14"/>
        <v>1.2E-2</v>
      </c>
      <c r="CE14" s="1140">
        <f t="shared" si="15"/>
        <v>1.8000000000000002E-2</v>
      </c>
      <c r="CF14" s="1140" t="str">
        <f t="shared" si="16"/>
        <v>Côte d'Ivoire2011</v>
      </c>
      <c r="CJ14" s="1109">
        <v>140</v>
      </c>
      <c r="CK14" s="1109" t="s">
        <v>1842</v>
      </c>
      <c r="CL14" s="1109">
        <v>2015</v>
      </c>
      <c r="CM14" s="1111">
        <v>764356.21100000001</v>
      </c>
      <c r="CN14" s="1143" t="s">
        <v>1728</v>
      </c>
      <c r="CO14" s="1144">
        <v>764356211</v>
      </c>
      <c r="CU14" s="1924" t="s">
        <v>1899</v>
      </c>
      <c r="CV14" s="1925">
        <v>2.8888888888888888E-5</v>
      </c>
      <c r="CW14" s="1925">
        <f t="shared" si="26"/>
        <v>5.7777777777777776E-5</v>
      </c>
      <c r="CY14" s="1121" t="s">
        <v>1899</v>
      </c>
      <c r="CZ14" s="1121" t="s">
        <v>1695</v>
      </c>
      <c r="DA14" s="1121"/>
      <c r="DB14" s="1254" t="s">
        <v>1909</v>
      </c>
      <c r="DC14" s="1122">
        <f>1/20</f>
        <v>0.05</v>
      </c>
      <c r="DH14" t="s">
        <v>1695</v>
      </c>
      <c r="DI14" s="1127" t="s">
        <v>1924</v>
      </c>
      <c r="DJ14" t="s">
        <v>1920</v>
      </c>
      <c r="DK14" s="1134">
        <v>0.54</v>
      </c>
      <c r="DL14" s="1252">
        <v>0.69099999999999995</v>
      </c>
      <c r="DM14" s="1136">
        <v>0.84</v>
      </c>
      <c r="DN14" s="1137">
        <f>1/15</f>
        <v>6.6666666666666666E-2</v>
      </c>
      <c r="DO14" s="1252">
        <f t="shared" si="17"/>
        <v>8.1000000000000014</v>
      </c>
      <c r="DP14" s="1252">
        <f t="shared" si="18"/>
        <v>10.365</v>
      </c>
      <c r="DQ14" s="1136">
        <f t="shared" si="19"/>
        <v>12.6</v>
      </c>
      <c r="DR14" s="1132">
        <v>239373</v>
      </c>
      <c r="DS14" s="1145">
        <f t="shared" ca="1" si="20"/>
        <v>6.520987607908775E-2</v>
      </c>
      <c r="DT14" s="1365">
        <f t="shared" si="21"/>
        <v>3.6666666666666666E-5</v>
      </c>
      <c r="DU14" s="1365">
        <f>$CV$10</f>
        <v>7.3333333333333331E-5</v>
      </c>
      <c r="DV14" s="1365">
        <f t="shared" si="22"/>
        <v>1.4666666666666666E-4</v>
      </c>
      <c r="DW14" s="1365">
        <f t="shared" si="23"/>
        <v>3.0433333333333329E-5</v>
      </c>
      <c r="DX14" s="1365">
        <f t="shared" si="24"/>
        <v>6.0866666666666658E-5</v>
      </c>
      <c r="DY14" s="1365">
        <f t="shared" si="25"/>
        <v>1.2173333333333332E-4</v>
      </c>
    </row>
    <row r="15" spans="1:137" ht="21" customHeight="1">
      <c r="C15" s="149"/>
      <c r="D15" s="2093"/>
      <c r="E15" s="2093"/>
      <c r="F15" s="2093"/>
      <c r="G15" s="2811"/>
      <c r="H15" s="2812"/>
      <c r="I15" s="149"/>
      <c r="BA15" s="397" t="str">
        <f t="array" ref="BA15">IFERROR(INDEX($BO$5:$BO$1001, MATCH(0,COUNTIF($BA$2:BA14, $BO$5:$BO$1001), 0)),"")</f>
        <v>Democratic Republic of Congo</v>
      </c>
      <c r="BB15" s="1114">
        <f t="shared" si="0"/>
        <v>16883506</v>
      </c>
      <c r="BC15" s="1095">
        <f t="array" ref="BC15">IF(OR(BA15="",BA15=0),"",MAX(IF($BO$5:$BO$1001=$BA15,$BQ$5:$BQ$1001)))</f>
        <v>2013</v>
      </c>
      <c r="BD15" s="1095" t="str">
        <f t="shared" si="1"/>
        <v>DHS</v>
      </c>
      <c r="BE15" s="1096">
        <f t="shared" si="2"/>
        <v>0.20399999999999999</v>
      </c>
      <c r="BF15" s="1096">
        <f t="shared" si="3"/>
        <v>6.9999999999999993E-3</v>
      </c>
      <c r="BG15" s="1096">
        <f t="shared" si="4"/>
        <v>1.2E-2</v>
      </c>
      <c r="BH15" s="1096">
        <f t="shared" si="5"/>
        <v>2E-3</v>
      </c>
      <c r="BI15" s="1096">
        <f t="shared" si="6"/>
        <v>3.5000000000000003E-2</v>
      </c>
      <c r="BJ15" s="1096">
        <f t="shared" si="7"/>
        <v>6.9999999999999993E-3</v>
      </c>
      <c r="BK15" s="1097">
        <f t="shared" si="8"/>
        <v>6.9999999999999993E-3</v>
      </c>
      <c r="BN15" t="s">
        <v>1709</v>
      </c>
      <c r="BO15" t="s">
        <v>1593</v>
      </c>
      <c r="BP15" s="8" t="s">
        <v>1700</v>
      </c>
      <c r="BQ15" s="8">
        <v>2010</v>
      </c>
      <c r="BR15" s="8">
        <v>17.7</v>
      </c>
      <c r="BS15" s="8">
        <v>6.7</v>
      </c>
      <c r="BT15" s="8">
        <v>4.7</v>
      </c>
      <c r="BU15" s="8">
        <v>0.7</v>
      </c>
      <c r="BV15" s="8">
        <v>16.7</v>
      </c>
      <c r="BW15" s="8">
        <v>2</v>
      </c>
      <c r="BX15" s="8">
        <v>0.7</v>
      </c>
      <c r="BY15" s="1140">
        <f t="shared" si="9"/>
        <v>0.17699999999999999</v>
      </c>
      <c r="BZ15" s="1140">
        <f t="shared" si="10"/>
        <v>6.7000000000000004E-2</v>
      </c>
      <c r="CA15" s="1140">
        <f t="shared" si="11"/>
        <v>4.7E-2</v>
      </c>
      <c r="CB15" s="1140">
        <f t="shared" si="12"/>
        <v>6.9999999999999993E-3</v>
      </c>
      <c r="CC15" s="1140">
        <f t="shared" si="13"/>
        <v>0.16699999999999998</v>
      </c>
      <c r="CD15" s="1140">
        <f t="shared" si="14"/>
        <v>0.02</v>
      </c>
      <c r="CE15" s="1140">
        <f t="shared" si="15"/>
        <v>6.9999999999999993E-3</v>
      </c>
      <c r="CF15" s="1140" t="str">
        <f t="shared" si="16"/>
        <v>Democratic Republic of Congo2010</v>
      </c>
      <c r="CJ15" s="1109">
        <v>154</v>
      </c>
      <c r="CK15" s="1109" t="s">
        <v>1843</v>
      </c>
      <c r="CL15" s="1109">
        <v>2015</v>
      </c>
      <c r="CM15" s="1111">
        <v>151762.14199999999</v>
      </c>
      <c r="CN15" s="1143" t="s">
        <v>1728</v>
      </c>
      <c r="CO15" s="1144">
        <v>151762142</v>
      </c>
      <c r="DH15" t="s">
        <v>1695</v>
      </c>
      <c r="DI15" s="1127" t="s">
        <v>1939</v>
      </c>
      <c r="DJ15" t="s">
        <v>1920</v>
      </c>
      <c r="DK15" s="1134">
        <v>0.23</v>
      </c>
      <c r="DL15" s="1252">
        <v>0.248</v>
      </c>
      <c r="DM15" s="1136">
        <v>0.26</v>
      </c>
      <c r="DN15" s="1137">
        <f>1/15</f>
        <v>6.6666666666666666E-2</v>
      </c>
      <c r="DO15" s="1252">
        <f t="shared" si="17"/>
        <v>3.45</v>
      </c>
      <c r="DP15" s="1252">
        <f t="shared" si="18"/>
        <v>3.72</v>
      </c>
      <c r="DQ15" s="1136">
        <f t="shared" si="19"/>
        <v>3.9000000000000004</v>
      </c>
      <c r="DR15" s="1132">
        <v>2642459</v>
      </c>
      <c r="DS15" s="1145">
        <f t="shared" ca="1" si="20"/>
        <v>0.71985739383334846</v>
      </c>
      <c r="DT15" s="1365">
        <f t="shared" si="21"/>
        <v>3.6666666666666666E-5</v>
      </c>
      <c r="DU15" s="1365">
        <f>$CV$10</f>
        <v>7.3333333333333331E-5</v>
      </c>
      <c r="DV15" s="1365">
        <f t="shared" si="22"/>
        <v>1.4666666666666666E-4</v>
      </c>
      <c r="DW15" s="1365">
        <f t="shared" si="23"/>
        <v>3.0433333333333329E-5</v>
      </c>
      <c r="DX15" s="1365">
        <f t="shared" si="24"/>
        <v>6.0866666666666658E-5</v>
      </c>
      <c r="DY15" s="1365">
        <f t="shared" si="25"/>
        <v>1.2173333333333332E-4</v>
      </c>
    </row>
    <row r="16" spans="1:137" ht="19" customHeight="1">
      <c r="C16" s="149"/>
      <c r="D16" s="2093"/>
      <c r="E16" s="2093"/>
      <c r="F16" s="2093"/>
      <c r="G16" s="2811"/>
      <c r="H16" s="2812" t="e">
        <f>IF(G16&lt;&gt;"",G16,IF(G11&lt;&gt;"",G11,1)*INDEX($BB$5:$BB$201,MATCH(G10,$BA$5:$BA$201,0)))</f>
        <v>#N/A</v>
      </c>
      <c r="I16" s="149"/>
      <c r="BA16" s="397" t="str">
        <f t="array" ref="BA16">IFERROR(INDEX($BO$5:$BO$1001, MATCH(0,COUNTIF($BA$2:BA15, $BO$5:$BO$1001), 0)),"")</f>
        <v>Eritrea</v>
      </c>
      <c r="BB16" s="1114">
        <f t="shared" si="0"/>
        <v>1159625</v>
      </c>
      <c r="BC16" s="1095">
        <f t="array" ref="BC16">IF(OR(BA16="",BA16=0),"",MAX(IF($BO$5:$BO$1001=$BA16,$BQ$5:$BQ$1001)))</f>
        <v>2002</v>
      </c>
      <c r="BD16" s="1095" t="str">
        <f t="shared" si="1"/>
        <v>DHS</v>
      </c>
      <c r="BE16" s="1096">
        <f t="shared" si="2"/>
        <v>0.08</v>
      </c>
      <c r="BF16" s="1096">
        <f t="shared" si="3"/>
        <v>0.23300000000000001</v>
      </c>
      <c r="BG16" s="1096">
        <f t="shared" si="4"/>
        <v>0.433</v>
      </c>
      <c r="BH16" s="1096">
        <f t="shared" si="5"/>
        <v>6.7000000000000004E-2</v>
      </c>
      <c r="BI16" s="1096">
        <f t="shared" si="6"/>
        <v>0.1</v>
      </c>
      <c r="BJ16" s="1096">
        <f t="shared" si="7"/>
        <v>0</v>
      </c>
      <c r="BK16" s="1097">
        <f t="shared" si="8"/>
        <v>0</v>
      </c>
      <c r="BN16" t="s">
        <v>1709</v>
      </c>
      <c r="BO16" t="s">
        <v>1594</v>
      </c>
      <c r="BP16" s="8" t="s">
        <v>1702</v>
      </c>
      <c r="BQ16" s="8">
        <v>2002</v>
      </c>
      <c r="BR16" s="8">
        <v>8</v>
      </c>
      <c r="BS16" s="8">
        <v>23.3</v>
      </c>
      <c r="BT16" s="8">
        <v>43.3</v>
      </c>
      <c r="BU16" s="8">
        <v>6.7</v>
      </c>
      <c r="BV16" s="8">
        <v>10</v>
      </c>
      <c r="BW16" s="8">
        <v>0</v>
      </c>
      <c r="BX16" s="8">
        <v>0</v>
      </c>
      <c r="BY16" s="1140">
        <f t="shared" si="9"/>
        <v>0.08</v>
      </c>
      <c r="BZ16" s="1140">
        <f t="shared" si="10"/>
        <v>0.23300000000000001</v>
      </c>
      <c r="CA16" s="1140">
        <f t="shared" si="11"/>
        <v>0.433</v>
      </c>
      <c r="CB16" s="1140">
        <f t="shared" si="12"/>
        <v>6.7000000000000004E-2</v>
      </c>
      <c r="CC16" s="1140">
        <f t="shared" si="13"/>
        <v>0.1</v>
      </c>
      <c r="CD16" s="1140">
        <f t="shared" si="14"/>
        <v>0</v>
      </c>
      <c r="CE16" s="1140">
        <f t="shared" si="15"/>
        <v>0</v>
      </c>
      <c r="CF16" s="1140" t="str">
        <f t="shared" si="16"/>
        <v>Eritrea2002</v>
      </c>
      <c r="CJ16" s="1109">
        <v>168</v>
      </c>
      <c r="CK16" s="1110" t="s">
        <v>1844</v>
      </c>
      <c r="CL16" s="1109">
        <v>2015</v>
      </c>
      <c r="CM16" s="1111">
        <v>229156.27799999999</v>
      </c>
      <c r="CN16" s="1143" t="s">
        <v>1728</v>
      </c>
      <c r="CO16" s="1144">
        <v>229156278</v>
      </c>
      <c r="DH16" t="s">
        <v>1695</v>
      </c>
      <c r="DI16" t="s">
        <v>1926</v>
      </c>
      <c r="DJ16" t="s">
        <v>1925</v>
      </c>
      <c r="DK16" s="1134">
        <v>0.21</v>
      </c>
      <c r="DL16" s="1252">
        <v>0.23</v>
      </c>
      <c r="DM16" s="1136">
        <v>0.25</v>
      </c>
      <c r="DN16" s="1137">
        <f>1/20</f>
        <v>0.05</v>
      </c>
      <c r="DO16" s="1252">
        <f t="shared" si="17"/>
        <v>4.1999999999999993</v>
      </c>
      <c r="DP16" s="1252">
        <f t="shared" si="18"/>
        <v>4.5999999999999996</v>
      </c>
      <c r="DQ16" s="1136">
        <f t="shared" si="19"/>
        <v>5</v>
      </c>
      <c r="DR16" s="1132">
        <v>51388</v>
      </c>
      <c r="DS16" s="1145">
        <f t="shared" ca="1" si="20"/>
        <v>1.3999093932699849E-2</v>
      </c>
      <c r="DT16" s="1365">
        <f t="shared" si="21"/>
        <v>1.4444444444444444E-5</v>
      </c>
      <c r="DU16" s="1365">
        <f>$CV$14</f>
        <v>2.8888888888888888E-5</v>
      </c>
      <c r="DV16" s="1365">
        <f t="shared" si="22"/>
        <v>5.7777777777777776E-5</v>
      </c>
      <c r="DW16" s="1365">
        <f t="shared" si="23"/>
        <v>1.1988888888888887E-5</v>
      </c>
      <c r="DX16" s="1365">
        <f t="shared" si="24"/>
        <v>2.3977777777777775E-5</v>
      </c>
      <c r="DY16" s="1365">
        <f t="shared" si="25"/>
        <v>4.795555555555555E-5</v>
      </c>
    </row>
    <row r="17" spans="3:129" ht="18" customHeight="1">
      <c r="C17" s="149"/>
      <c r="D17" s="2093"/>
      <c r="E17" s="2093"/>
      <c r="F17" s="2093"/>
      <c r="G17" s="2811"/>
      <c r="H17" s="2812"/>
      <c r="I17" s="149"/>
      <c r="BA17" s="397" t="str">
        <f t="array" ref="BA17">IFERROR(INDEX($BO$5:$BO$1001, MATCH(0,COUNTIF($BA$2:BA16, $BO$5:$BO$1001), 0)),"")</f>
        <v>Ethiopia</v>
      </c>
      <c r="BB17" s="1114">
        <f t="shared" si="0"/>
        <v>24150141</v>
      </c>
      <c r="BC17" s="1095">
        <f t="array" ref="BC17">IF(OR(BA17="",BA17=0),"",MAX(IF($BO$5:$BO$1001=$BA17,$BQ$5:$BQ$1001)))</f>
        <v>2011</v>
      </c>
      <c r="BD17" s="1095" t="str">
        <f t="shared" si="1"/>
        <v>DHS</v>
      </c>
      <c r="BE17" s="1096">
        <f t="shared" si="2"/>
        <v>0.28600000000000003</v>
      </c>
      <c r="BF17" s="1096">
        <f t="shared" si="3"/>
        <v>7.400000000000001E-2</v>
      </c>
      <c r="BG17" s="1096">
        <f t="shared" si="4"/>
        <v>0.73</v>
      </c>
      <c r="BH17" s="1096">
        <f t="shared" si="5"/>
        <v>1.1000000000000001E-2</v>
      </c>
      <c r="BI17" s="1096">
        <f t="shared" si="6"/>
        <v>6.9999999999999993E-3</v>
      </c>
      <c r="BJ17" s="1096">
        <f t="shared" si="7"/>
        <v>0.11900000000000001</v>
      </c>
      <c r="BK17" s="1097">
        <f t="shared" si="8"/>
        <v>0</v>
      </c>
      <c r="BN17" t="s">
        <v>1709</v>
      </c>
      <c r="BO17" t="s">
        <v>1595</v>
      </c>
      <c r="BP17" s="8" t="s">
        <v>1702</v>
      </c>
      <c r="BQ17" s="8">
        <v>2011</v>
      </c>
      <c r="BR17" s="8">
        <v>28.6</v>
      </c>
      <c r="BS17" s="8">
        <v>7.4</v>
      </c>
      <c r="BT17" s="8">
        <v>73</v>
      </c>
      <c r="BU17" s="8">
        <v>1.1000000000000001</v>
      </c>
      <c r="BV17" s="8">
        <v>0.7</v>
      </c>
      <c r="BW17" s="8">
        <v>11.9</v>
      </c>
      <c r="BX17" s="8">
        <v>0</v>
      </c>
      <c r="BY17" s="1140">
        <f t="shared" si="9"/>
        <v>0.28600000000000003</v>
      </c>
      <c r="BZ17" s="1140">
        <f t="shared" si="10"/>
        <v>7.400000000000001E-2</v>
      </c>
      <c r="CA17" s="1140">
        <f t="shared" si="11"/>
        <v>0.73</v>
      </c>
      <c r="CB17" s="1140">
        <f t="shared" si="12"/>
        <v>1.1000000000000001E-2</v>
      </c>
      <c r="CC17" s="1140">
        <f t="shared" si="13"/>
        <v>6.9999999999999993E-3</v>
      </c>
      <c r="CD17" s="1140">
        <f t="shared" si="14"/>
        <v>0.11900000000000001</v>
      </c>
      <c r="CE17" s="1140">
        <f t="shared" si="15"/>
        <v>0</v>
      </c>
      <c r="CF17" s="1140" t="str">
        <f t="shared" si="16"/>
        <v>Ethiopia2011</v>
      </c>
      <c r="CJ17" s="1109">
        <v>182</v>
      </c>
      <c r="CK17" s="1110" t="s">
        <v>1845</v>
      </c>
      <c r="CL17" s="1109">
        <v>2015</v>
      </c>
      <c r="CM17" s="1111">
        <v>287262.43</v>
      </c>
      <c r="CN17" s="1143" t="s">
        <v>1728</v>
      </c>
      <c r="CO17" s="1144">
        <v>287262430</v>
      </c>
      <c r="DH17" t="s">
        <v>1695</v>
      </c>
      <c r="DI17" t="s">
        <v>1927</v>
      </c>
      <c r="DJ17" t="s">
        <v>1925</v>
      </c>
      <c r="DK17" s="1134">
        <v>0.22</v>
      </c>
      <c r="DL17" s="1252">
        <v>0.376</v>
      </c>
      <c r="DM17" s="1136">
        <v>0.64</v>
      </c>
      <c r="DN17" s="1137">
        <f>1/20</f>
        <v>0.05</v>
      </c>
      <c r="DO17" s="1252">
        <f t="shared" si="17"/>
        <v>4.3999999999999995</v>
      </c>
      <c r="DP17" s="1252">
        <f t="shared" si="18"/>
        <v>7.52</v>
      </c>
      <c r="DQ17" s="1136">
        <f t="shared" si="19"/>
        <v>12.799999999999999</v>
      </c>
      <c r="DR17" s="1132">
        <v>12826</v>
      </c>
      <c r="DS17" s="1145">
        <f t="shared" ca="1" si="20"/>
        <v>3.4940526734025114E-3</v>
      </c>
      <c r="DT17" s="1365">
        <f t="shared" si="21"/>
        <v>1.4444444444444444E-5</v>
      </c>
      <c r="DU17" s="1365">
        <f>$CV$14</f>
        <v>2.8888888888888888E-5</v>
      </c>
      <c r="DV17" s="1365">
        <f t="shared" si="22"/>
        <v>5.7777777777777776E-5</v>
      </c>
      <c r="DW17" s="1365">
        <f t="shared" si="23"/>
        <v>1.1988888888888887E-5</v>
      </c>
      <c r="DX17" s="1365">
        <f t="shared" si="24"/>
        <v>2.3977777777777775E-5</v>
      </c>
      <c r="DY17" s="1365">
        <f t="shared" si="25"/>
        <v>4.795555555555555E-5</v>
      </c>
    </row>
    <row r="18" spans="3:129" ht="21.65" customHeight="1">
      <c r="C18" s="149"/>
      <c r="D18" s="2807" t="s">
        <v>1985</v>
      </c>
      <c r="E18" s="2787" t="s">
        <v>1886</v>
      </c>
      <c r="F18" s="2788"/>
      <c r="G18" s="1927"/>
      <c r="H18" s="1253">
        <f>IF(G18&lt;&gt;"",G18,INDEX($BI$5:$BI$201,MATCH($G$6,$BA$5:$BA$201,0)))</f>
        <v>0.14000000000000001</v>
      </c>
      <c r="I18" s="149"/>
      <c r="BA18" s="397" t="str">
        <f t="array" ref="BA18">IFERROR(INDEX($BO$5:$BO$1001, MATCH(0,COUNTIF($BA$2:BA17, $BO$5:$BO$1001), 0)),"")</f>
        <v>Gabon</v>
      </c>
      <c r="BB18" s="1114">
        <f t="shared" si="0"/>
        <v>478147</v>
      </c>
      <c r="BC18" s="1095">
        <f t="array" ref="BC18">IF(OR(BA18="",BA18=0),"",MAX(IF($BO$5:$BO$1001=$BA18,$BQ$5:$BQ$1001)))</f>
        <v>2012</v>
      </c>
      <c r="BD18" s="1095" t="str">
        <f t="shared" si="1"/>
        <v>DHS-P</v>
      </c>
      <c r="BE18" s="1096">
        <f t="shared" si="2"/>
        <v>0.311</v>
      </c>
      <c r="BF18" s="1096">
        <f t="shared" si="3"/>
        <v>0.185</v>
      </c>
      <c r="BG18" s="1096">
        <f t="shared" si="4"/>
        <v>1.3000000000000001E-2</v>
      </c>
      <c r="BH18" s="1096">
        <f t="shared" si="5"/>
        <v>3.0000000000000001E-3</v>
      </c>
      <c r="BI18" s="1096">
        <f t="shared" si="6"/>
        <v>0.39</v>
      </c>
      <c r="BJ18" s="1096">
        <f t="shared" si="7"/>
        <v>0</v>
      </c>
      <c r="BK18" s="1097">
        <f t="shared" si="8"/>
        <v>1.9E-2</v>
      </c>
      <c r="BN18" t="s">
        <v>1709</v>
      </c>
      <c r="BO18" t="s">
        <v>1596</v>
      </c>
      <c r="BP18" s="8" t="s">
        <v>1703</v>
      </c>
      <c r="BQ18" s="8">
        <v>2012</v>
      </c>
      <c r="BR18" s="8">
        <v>31.1</v>
      </c>
      <c r="BS18" s="8">
        <v>18.5</v>
      </c>
      <c r="BT18" s="8">
        <v>1.3</v>
      </c>
      <c r="BU18" s="8">
        <v>0.3</v>
      </c>
      <c r="BV18" s="8">
        <v>39</v>
      </c>
      <c r="BW18" s="8">
        <v>0</v>
      </c>
      <c r="BX18" s="8">
        <v>1.9</v>
      </c>
      <c r="BY18" s="1140">
        <f t="shared" si="9"/>
        <v>0.311</v>
      </c>
      <c r="BZ18" s="1140">
        <f t="shared" si="10"/>
        <v>0.185</v>
      </c>
      <c r="CA18" s="1140">
        <f t="shared" si="11"/>
        <v>1.3000000000000001E-2</v>
      </c>
      <c r="CB18" s="1140">
        <f t="shared" si="12"/>
        <v>3.0000000000000001E-3</v>
      </c>
      <c r="CC18" s="1140">
        <f t="shared" si="13"/>
        <v>0.39</v>
      </c>
      <c r="CD18" s="1140">
        <f t="shared" si="14"/>
        <v>0</v>
      </c>
      <c r="CE18" s="1140">
        <f t="shared" si="15"/>
        <v>1.9E-2</v>
      </c>
      <c r="CF18" s="1140" t="str">
        <f t="shared" si="16"/>
        <v>Gabon2012</v>
      </c>
      <c r="CJ18" s="1109">
        <v>196</v>
      </c>
      <c r="CK18" s="1110" t="s">
        <v>1846</v>
      </c>
      <c r="CL18" s="1109">
        <v>2015</v>
      </c>
      <c r="CM18" s="1111">
        <v>95604.118000000002</v>
      </c>
      <c r="CN18" s="1143" t="s">
        <v>1728</v>
      </c>
      <c r="CO18" s="1144">
        <v>95604118</v>
      </c>
      <c r="DH18" t="s">
        <v>1944</v>
      </c>
      <c r="DI18" t="s">
        <v>1940</v>
      </c>
      <c r="DJ18" t="s">
        <v>1928</v>
      </c>
      <c r="DK18" s="1134">
        <v>0.85</v>
      </c>
      <c r="DL18" s="1252">
        <v>0.85</v>
      </c>
      <c r="DM18" s="1136">
        <v>0.85</v>
      </c>
      <c r="DN18" s="1137">
        <f>1/4</f>
        <v>0.25</v>
      </c>
      <c r="DO18" s="1252">
        <f t="shared" si="17"/>
        <v>3.4</v>
      </c>
      <c r="DP18" s="1252">
        <f t="shared" si="18"/>
        <v>3.4</v>
      </c>
      <c r="DQ18" s="1136">
        <f t="shared" si="19"/>
        <v>3.4</v>
      </c>
      <c r="DR18" s="1132">
        <v>674650</v>
      </c>
      <c r="DS18" s="1145">
        <f t="shared" ca="1" si="20"/>
        <v>0.1024917193101752</v>
      </c>
      <c r="DT18" s="1365">
        <f t="shared" si="21"/>
        <v>4.8822780000000001E-5</v>
      </c>
      <c r="DU18" s="1365">
        <f>$CV$8</f>
        <v>9.7645560000000003E-5</v>
      </c>
      <c r="DV18" s="1365">
        <f t="shared" si="22"/>
        <v>1.9529112000000001E-4</v>
      </c>
      <c r="DW18" s="1365">
        <f t="shared" si="23"/>
        <v>4.0522907399999997E-5</v>
      </c>
      <c r="DX18" s="1365">
        <f t="shared" si="24"/>
        <v>8.1045814799999994E-5</v>
      </c>
      <c r="DY18" s="1365">
        <f t="shared" si="25"/>
        <v>1.6209162959999999E-4</v>
      </c>
    </row>
    <row r="19" spans="3:129" ht="18.649999999999999" customHeight="1">
      <c r="C19" s="149"/>
      <c r="D19" s="2113"/>
      <c r="E19" s="2800" t="s">
        <v>1578</v>
      </c>
      <c r="F19" s="2800"/>
      <c r="G19" s="1927"/>
      <c r="H19" s="1253">
        <f>IF(G19&lt;&gt;"",G19,INDEX($BH$5:$BH$201,MATCH($G$6,$BA$5:$BA$201,0)))</f>
        <v>3.0000000000000001E-3</v>
      </c>
      <c r="I19" s="149"/>
      <c r="BA19" s="397" t="str">
        <f t="array" ref="BA19">IFERROR(INDEX($BO$5:$BO$1001, MATCH(0,COUNTIF($BA$2:BA18, $BO$5:$BO$1001), 0)),"")</f>
        <v>Gambia</v>
      </c>
      <c r="BB19" s="1114">
        <f t="shared" si="0"/>
        <v>470234</v>
      </c>
      <c r="BC19" s="1095">
        <f t="array" ref="BC19">IF(OR(BA19="",BA19=0),"",MAX(IF($BO$5:$BO$1001=$BA19,$BQ$5:$BQ$1001)))</f>
        <v>2001</v>
      </c>
      <c r="BD19" s="1095" t="str">
        <f t="shared" si="1"/>
        <v>NS</v>
      </c>
      <c r="BE19" s="1096">
        <f t="shared" si="2"/>
        <v>0.17499999999999999</v>
      </c>
      <c r="BF19" s="1096">
        <f t="shared" si="3"/>
        <v>0.433</v>
      </c>
      <c r="BG19" s="1096">
        <f t="shared" si="4"/>
        <v>0.23300000000000001</v>
      </c>
      <c r="BH19" s="1096">
        <f t="shared" si="5"/>
        <v>9.3000000000000013E-2</v>
      </c>
      <c r="BI19" s="1096">
        <f t="shared" si="6"/>
        <v>3.3000000000000002E-2</v>
      </c>
      <c r="BJ19" s="1096">
        <f t="shared" si="7"/>
        <v>0</v>
      </c>
      <c r="BK19" s="1097">
        <f t="shared" si="8"/>
        <v>6.9999999999999993E-3</v>
      </c>
      <c r="BN19" t="s">
        <v>1709</v>
      </c>
      <c r="BO19" t="s">
        <v>1597</v>
      </c>
      <c r="BP19" s="8" t="s">
        <v>1701</v>
      </c>
      <c r="BQ19" s="8">
        <v>2001</v>
      </c>
      <c r="BR19" s="8">
        <v>17.5</v>
      </c>
      <c r="BS19" s="8">
        <v>43.3</v>
      </c>
      <c r="BT19" s="8">
        <v>23.3</v>
      </c>
      <c r="BU19" s="8">
        <v>9.3000000000000007</v>
      </c>
      <c r="BV19" s="8">
        <v>3.3</v>
      </c>
      <c r="BW19" s="8">
        <v>0</v>
      </c>
      <c r="BX19" s="8">
        <v>0.7</v>
      </c>
      <c r="BY19" s="1140">
        <f t="shared" si="9"/>
        <v>0.17499999999999999</v>
      </c>
      <c r="BZ19" s="1140">
        <f t="shared" si="10"/>
        <v>0.433</v>
      </c>
      <c r="CA19" s="1140">
        <f t="shared" si="11"/>
        <v>0.23300000000000001</v>
      </c>
      <c r="CB19" s="1140">
        <f t="shared" si="12"/>
        <v>9.3000000000000013E-2</v>
      </c>
      <c r="CC19" s="1140">
        <f t="shared" si="13"/>
        <v>3.3000000000000002E-2</v>
      </c>
      <c r="CD19" s="1140">
        <f t="shared" si="14"/>
        <v>0</v>
      </c>
      <c r="CE19" s="1140">
        <f t="shared" si="15"/>
        <v>6.9999999999999993E-3</v>
      </c>
      <c r="CF19" s="1140" t="str">
        <f t="shared" si="16"/>
        <v>Gambia2001</v>
      </c>
      <c r="CJ19" s="1109">
        <v>210</v>
      </c>
      <c r="CK19" s="1109" t="s">
        <v>1587</v>
      </c>
      <c r="CL19" s="1109">
        <v>2015</v>
      </c>
      <c r="CM19" s="1111">
        <v>2408.0149999999999</v>
      </c>
      <c r="CN19" s="1143" t="s">
        <v>1587</v>
      </c>
      <c r="CO19" s="1144">
        <v>2408015</v>
      </c>
      <c r="DH19" t="s">
        <v>1944</v>
      </c>
      <c r="DI19" t="s">
        <v>1941</v>
      </c>
      <c r="DJ19" t="s">
        <v>1928</v>
      </c>
      <c r="DK19" s="1134">
        <v>0.75800000000000001</v>
      </c>
      <c r="DL19" s="1252">
        <v>0.75800000000000001</v>
      </c>
      <c r="DM19" s="1136">
        <v>0.75800000000000001</v>
      </c>
      <c r="DN19" s="1137">
        <f>1/4</f>
        <v>0.25</v>
      </c>
      <c r="DO19" s="1252">
        <f t="shared" si="17"/>
        <v>3.032</v>
      </c>
      <c r="DP19" s="1252">
        <f t="shared" si="18"/>
        <v>3.032</v>
      </c>
      <c r="DQ19" s="1136">
        <f t="shared" si="19"/>
        <v>3.032</v>
      </c>
      <c r="DR19" s="1132">
        <v>5640206</v>
      </c>
      <c r="DS19" s="1145">
        <f t="shared" ca="1" si="20"/>
        <v>0.85685082665614176</v>
      </c>
      <c r="DT19" s="1365">
        <f t="shared" si="21"/>
        <v>4.8822780000000001E-5</v>
      </c>
      <c r="DU19" s="1365">
        <f>$CV$8</f>
        <v>9.7645560000000003E-5</v>
      </c>
      <c r="DV19" s="1365">
        <f t="shared" si="22"/>
        <v>1.9529112000000001E-4</v>
      </c>
      <c r="DW19" s="1365">
        <f t="shared" si="23"/>
        <v>4.0522907399999997E-5</v>
      </c>
      <c r="DX19" s="1365">
        <f t="shared" si="24"/>
        <v>8.1045814799999994E-5</v>
      </c>
      <c r="DY19" s="1365">
        <f t="shared" si="25"/>
        <v>1.6209162959999999E-4</v>
      </c>
    </row>
    <row r="20" spans="3:129" ht="18.649999999999999" customHeight="1">
      <c r="C20" s="149"/>
      <c r="D20" s="2113"/>
      <c r="E20" s="2800" t="s">
        <v>1579</v>
      </c>
      <c r="F20" s="2800"/>
      <c r="G20" s="1927"/>
      <c r="H20" s="1253">
        <f>IF(G20&lt;&gt;"",G20,INDEX($BF$5:$BF$201,MATCH($G$6,$BA$5:$BA$201,0)))</f>
        <v>0.32799999999999996</v>
      </c>
      <c r="I20" s="149"/>
      <c r="BA20" s="397" t="str">
        <f t="array" ref="BA20">IFERROR(INDEX($BO$5:$BO$1001, MATCH(0,COUNTIF($BA$2:BA19, $BO$5:$BO$1001), 0)),"")</f>
        <v>Ghana</v>
      </c>
      <c r="BB20" s="1114">
        <f t="shared" si="0"/>
        <v>7003487</v>
      </c>
      <c r="BC20" s="1095">
        <f t="array" ref="BC20">IF(OR(BA20="",BA20=0),"",MAX(IF($BO$5:$BO$1001=$BA20,$BQ$5:$BQ$1001)))</f>
        <v>2008</v>
      </c>
      <c r="BD20" s="1095" t="str">
        <f t="shared" si="1"/>
        <v>DHS</v>
      </c>
      <c r="BE20" s="1096">
        <f t="shared" si="2"/>
        <v>0.23499999999999999</v>
      </c>
      <c r="BF20" s="1096">
        <f t="shared" si="3"/>
        <v>0.20899999999999999</v>
      </c>
      <c r="BG20" s="1096">
        <f t="shared" si="4"/>
        <v>0.27600000000000002</v>
      </c>
      <c r="BH20" s="1096">
        <f t="shared" si="5"/>
        <v>9.0000000000000011E-3</v>
      </c>
      <c r="BI20" s="1096">
        <f t="shared" si="6"/>
        <v>0.107</v>
      </c>
      <c r="BJ20" s="1096">
        <f t="shared" si="7"/>
        <v>0.04</v>
      </c>
      <c r="BK20" s="1097">
        <f t="shared" si="8"/>
        <v>1.8000000000000002E-2</v>
      </c>
      <c r="BN20" t="s">
        <v>1709</v>
      </c>
      <c r="BO20" t="s">
        <v>1598</v>
      </c>
      <c r="BP20" s="8" t="s">
        <v>1702</v>
      </c>
      <c r="BQ20" s="8">
        <v>2008</v>
      </c>
      <c r="BR20" s="8">
        <v>23.5</v>
      </c>
      <c r="BS20" s="8">
        <v>20.9</v>
      </c>
      <c r="BT20" s="8">
        <v>27.6</v>
      </c>
      <c r="BU20" s="8">
        <v>0.9</v>
      </c>
      <c r="BV20" s="8">
        <v>10.7</v>
      </c>
      <c r="BW20" s="8">
        <v>4</v>
      </c>
      <c r="BX20" s="8">
        <v>1.8</v>
      </c>
      <c r="BY20" s="1140">
        <f t="shared" si="9"/>
        <v>0.23499999999999999</v>
      </c>
      <c r="BZ20" s="1140">
        <f t="shared" si="10"/>
        <v>0.20899999999999999</v>
      </c>
      <c r="CA20" s="1140">
        <f t="shared" si="11"/>
        <v>0.27600000000000002</v>
      </c>
      <c r="CB20" s="1140">
        <f t="shared" si="12"/>
        <v>9.0000000000000011E-3</v>
      </c>
      <c r="CC20" s="1140">
        <f t="shared" si="13"/>
        <v>0.107</v>
      </c>
      <c r="CD20" s="1140">
        <f t="shared" si="14"/>
        <v>0.04</v>
      </c>
      <c r="CE20" s="1140">
        <f t="shared" si="15"/>
        <v>1.8000000000000002E-2</v>
      </c>
      <c r="CF20" s="1140" t="str">
        <f t="shared" si="16"/>
        <v>Ghana2008</v>
      </c>
      <c r="CJ20" s="1109">
        <v>224</v>
      </c>
      <c r="CK20" s="1109" t="s">
        <v>1735</v>
      </c>
      <c r="CL20" s="1109">
        <v>2015</v>
      </c>
      <c r="CM20" s="1111">
        <v>190.21199999999999</v>
      </c>
      <c r="CN20" s="1143" t="s">
        <v>1735</v>
      </c>
      <c r="CO20" s="1144">
        <v>190212</v>
      </c>
      <c r="DH20" t="s">
        <v>1944</v>
      </c>
      <c r="DI20" s="1127" t="s">
        <v>1929</v>
      </c>
      <c r="DJ20" t="s">
        <v>1930</v>
      </c>
      <c r="DK20" s="1134">
        <v>1.1499999999999999</v>
      </c>
      <c r="DL20" s="1252">
        <v>1.1499999999999999</v>
      </c>
      <c r="DM20" s="1136">
        <v>1.1499999999999999</v>
      </c>
      <c r="DN20" s="1137">
        <f>1/6</f>
        <v>0.16666666666666666</v>
      </c>
      <c r="DO20" s="1252">
        <f t="shared" si="17"/>
        <v>6.8999999999999995</v>
      </c>
      <c r="DP20" s="1252">
        <f t="shared" si="18"/>
        <v>6.8999999999999995</v>
      </c>
      <c r="DQ20" s="1136">
        <f t="shared" si="19"/>
        <v>6.8999999999999995</v>
      </c>
      <c r="DR20" s="1132">
        <v>221850</v>
      </c>
      <c r="DS20" s="1145">
        <f t="shared" ca="1" si="20"/>
        <v>3.3703087421570251E-2</v>
      </c>
      <c r="DT20" s="1365">
        <f t="shared" si="21"/>
        <v>4.8822780000000001E-5</v>
      </c>
      <c r="DU20" s="1365">
        <f>$CV$9</f>
        <v>9.7645560000000003E-5</v>
      </c>
      <c r="DV20" s="1365">
        <f t="shared" si="22"/>
        <v>1.9529112000000001E-4</v>
      </c>
      <c r="DW20" s="1365">
        <f t="shared" si="23"/>
        <v>4.0522907399999997E-5</v>
      </c>
      <c r="DX20" s="1365">
        <f t="shared" si="24"/>
        <v>8.1045814799999994E-5</v>
      </c>
      <c r="DY20" s="1365">
        <f t="shared" si="25"/>
        <v>1.6209162959999999E-4</v>
      </c>
    </row>
    <row r="21" spans="3:129" ht="18.649999999999999" customHeight="1">
      <c r="C21" s="149"/>
      <c r="D21" s="2113"/>
      <c r="E21" s="2800" t="s">
        <v>1580</v>
      </c>
      <c r="F21" s="2800"/>
      <c r="G21" s="1927"/>
      <c r="H21" s="1253">
        <f>IF(G21&lt;&gt;"",G21,INDEX($BG$5:$BG$201,MATCH($G$6,$BA$5:$BA$201,0)))</f>
        <v>0.254</v>
      </c>
      <c r="I21" s="149"/>
      <c r="BA21" s="397" t="str">
        <f t="array" ref="BA21">IFERROR(INDEX($BO$5:$BO$1001, MATCH(0,COUNTIF($BA$2:BA20, $BO$5:$BO$1001), 0)),"")</f>
        <v>Guinea</v>
      </c>
      <c r="BB21" s="1114">
        <f t="shared" si="0"/>
        <v>2805950</v>
      </c>
      <c r="BC21" s="1095">
        <f t="array" ref="BC21">IF(OR(BA21="",BA21=0),"",MAX(IF($BO$5:$BO$1001=$BA21,$BQ$5:$BQ$1001)))</f>
        <v>2012</v>
      </c>
      <c r="BD21" s="1095" t="str">
        <f t="shared" si="1"/>
        <v>DHS-P</v>
      </c>
      <c r="BE21" s="1096">
        <f t="shared" si="2"/>
        <v>5.5999999999999994E-2</v>
      </c>
      <c r="BF21" s="1096">
        <f t="shared" si="3"/>
        <v>0.3</v>
      </c>
      <c r="BG21" s="1096">
        <f t="shared" si="4"/>
        <v>0.32500000000000001</v>
      </c>
      <c r="BH21" s="1096">
        <f t="shared" si="5"/>
        <v>0.05</v>
      </c>
      <c r="BI21" s="1096">
        <f t="shared" si="6"/>
        <v>0.125</v>
      </c>
      <c r="BJ21" s="1096">
        <f t="shared" si="7"/>
        <v>2.5000000000000001E-2</v>
      </c>
      <c r="BK21" s="1097">
        <f t="shared" si="8"/>
        <v>0</v>
      </c>
      <c r="BN21" t="s">
        <v>1709</v>
      </c>
      <c r="BO21" t="s">
        <v>1599</v>
      </c>
      <c r="BP21" s="8" t="s">
        <v>1703</v>
      </c>
      <c r="BQ21" s="8">
        <v>2012</v>
      </c>
      <c r="BR21" s="8">
        <v>5.6</v>
      </c>
      <c r="BS21" s="8">
        <v>30</v>
      </c>
      <c r="BT21" s="8">
        <v>32.5</v>
      </c>
      <c r="BU21" s="8">
        <v>5</v>
      </c>
      <c r="BV21" s="8">
        <v>12.5</v>
      </c>
      <c r="BW21" s="8">
        <v>2.5</v>
      </c>
      <c r="BX21" s="8">
        <v>0</v>
      </c>
      <c r="BY21" s="1140">
        <f t="shared" si="9"/>
        <v>5.5999999999999994E-2</v>
      </c>
      <c r="BZ21" s="1140">
        <f t="shared" si="10"/>
        <v>0.3</v>
      </c>
      <c r="CA21" s="1140">
        <f t="shared" si="11"/>
        <v>0.32500000000000001</v>
      </c>
      <c r="CB21" s="1140">
        <f t="shared" si="12"/>
        <v>0.05</v>
      </c>
      <c r="CC21" s="1140">
        <f t="shared" si="13"/>
        <v>0.125</v>
      </c>
      <c r="CD21" s="1140">
        <f t="shared" si="14"/>
        <v>2.5000000000000001E-2</v>
      </c>
      <c r="CE21" s="1140">
        <f t="shared" si="15"/>
        <v>0</v>
      </c>
      <c r="CF21" s="1140" t="str">
        <f t="shared" si="16"/>
        <v>Guinea2012</v>
      </c>
      <c r="CJ21" s="1109">
        <v>238</v>
      </c>
      <c r="CK21" s="1109" t="s">
        <v>1739</v>
      </c>
      <c r="CL21" s="1109">
        <v>2015</v>
      </c>
      <c r="CM21" s="1111">
        <v>253.42699999999999</v>
      </c>
      <c r="CN21" s="1143" t="s">
        <v>1739</v>
      </c>
      <c r="CO21" s="1144">
        <v>253427</v>
      </c>
      <c r="DH21" t="s">
        <v>1944</v>
      </c>
      <c r="DI21" t="s">
        <v>1931</v>
      </c>
      <c r="DJ21" t="s">
        <v>1930</v>
      </c>
      <c r="DK21" s="1134">
        <v>0.85</v>
      </c>
      <c r="DL21" s="1252">
        <v>0.85</v>
      </c>
      <c r="DM21" s="1136">
        <v>0.85</v>
      </c>
      <c r="DN21" s="1137">
        <f>1/13</f>
        <v>7.6923076923076927E-2</v>
      </c>
      <c r="DO21" s="1252">
        <f t="shared" si="17"/>
        <v>11.049999999999999</v>
      </c>
      <c r="DP21" s="1252">
        <f t="shared" si="18"/>
        <v>11.049999999999999</v>
      </c>
      <c r="DQ21" s="1136">
        <f t="shared" si="19"/>
        <v>11.049999999999999</v>
      </c>
      <c r="DR21" s="1132">
        <v>45777</v>
      </c>
      <c r="DS21" s="1145">
        <f t="shared" ca="1" si="20"/>
        <v>6.954366612112785E-3</v>
      </c>
      <c r="DT21" s="1365">
        <f t="shared" si="21"/>
        <v>4.8822780000000001E-5</v>
      </c>
      <c r="DU21" s="1365">
        <f>$CV$9</f>
        <v>9.7645560000000003E-5</v>
      </c>
      <c r="DV21" s="1365">
        <f t="shared" si="22"/>
        <v>1.9529112000000001E-4</v>
      </c>
      <c r="DW21" s="1365">
        <f t="shared" si="23"/>
        <v>4.0522907399999997E-5</v>
      </c>
      <c r="DX21" s="1365">
        <f t="shared" si="24"/>
        <v>8.1045814799999994E-5</v>
      </c>
      <c r="DY21" s="1365">
        <f t="shared" si="25"/>
        <v>1.6209162959999999E-4</v>
      </c>
    </row>
    <row r="22" spans="3:129" ht="18.649999999999999" customHeight="1">
      <c r="C22" s="149"/>
      <c r="D22" s="2113"/>
      <c r="E22" s="2800" t="s">
        <v>1581</v>
      </c>
      <c r="F22" s="2800"/>
      <c r="G22" s="1927"/>
      <c r="H22" s="1253">
        <f>IF(G22&lt;&gt;"",G22,INDEX($BJ$5:$BJ$201,MATCH($G$6,$BA$5:$BA$201,0)))</f>
        <v>1.2E-2</v>
      </c>
      <c r="I22" s="149"/>
      <c r="BA22" s="397" t="str">
        <f t="array" ref="BA22">IFERROR(INDEX($BO$5:$BO$1001, MATCH(0,COUNTIF($BA$2:BA21, $BO$5:$BO$1001), 0)),"")</f>
        <v>Guinea-Bissau</v>
      </c>
      <c r="BB22" s="1114">
        <f t="shared" si="0"/>
        <v>436707</v>
      </c>
      <c r="BC22" s="1095">
        <f t="array" ref="BC22">IF(OR(BA22="",BA22=0),"",MAX(IF($BO$5:$BO$1001=$BA22,$BQ$5:$BQ$1001)))</f>
        <v>2010</v>
      </c>
      <c r="BD22" s="1095" t="str">
        <f t="shared" si="1"/>
        <v>MICS</v>
      </c>
      <c r="BE22" s="1096">
        <f t="shared" si="2"/>
        <v>0.14199999999999999</v>
      </c>
      <c r="BF22" s="1096">
        <f t="shared" si="3"/>
        <v>0.11</v>
      </c>
      <c r="BG22" s="1096">
        <f t="shared" si="4"/>
        <v>0.13800000000000001</v>
      </c>
      <c r="BH22" s="1096">
        <f t="shared" si="5"/>
        <v>0.36700000000000005</v>
      </c>
      <c r="BI22" s="1096">
        <f t="shared" si="6"/>
        <v>0.29399999999999998</v>
      </c>
      <c r="BJ22" s="1096">
        <f t="shared" si="7"/>
        <v>0</v>
      </c>
      <c r="BK22" s="1097">
        <f t="shared" si="8"/>
        <v>0</v>
      </c>
      <c r="BN22" t="s">
        <v>1709</v>
      </c>
      <c r="BO22" t="s">
        <v>1600</v>
      </c>
      <c r="BP22" s="8" t="s">
        <v>1700</v>
      </c>
      <c r="BQ22" s="8">
        <v>2010</v>
      </c>
      <c r="BR22" s="8">
        <v>14.2</v>
      </c>
      <c r="BS22" s="8">
        <v>11</v>
      </c>
      <c r="BT22" s="8">
        <v>13.8</v>
      </c>
      <c r="BU22" s="8">
        <v>36.700000000000003</v>
      </c>
      <c r="BV22" s="8">
        <v>29.4</v>
      </c>
      <c r="BW22" s="8">
        <v>0</v>
      </c>
      <c r="BX22" s="8">
        <v>0</v>
      </c>
      <c r="BY22" s="1140">
        <f t="shared" si="9"/>
        <v>0.14199999999999999</v>
      </c>
      <c r="BZ22" s="1140">
        <f t="shared" si="10"/>
        <v>0.11</v>
      </c>
      <c r="CA22" s="1140">
        <f t="shared" si="11"/>
        <v>0.13800000000000001</v>
      </c>
      <c r="CB22" s="1140">
        <f t="shared" si="12"/>
        <v>0.36700000000000005</v>
      </c>
      <c r="CC22" s="1140">
        <f t="shared" si="13"/>
        <v>0.29399999999999998</v>
      </c>
      <c r="CD22" s="1140">
        <f t="shared" si="14"/>
        <v>0</v>
      </c>
      <c r="CE22" s="1140">
        <f t="shared" si="15"/>
        <v>0</v>
      </c>
      <c r="CF22" s="1140" t="str">
        <f t="shared" si="16"/>
        <v>Guinea-Bissau2010</v>
      </c>
      <c r="CJ22" s="1109">
        <v>252</v>
      </c>
      <c r="CK22" s="1109" t="s">
        <v>1594</v>
      </c>
      <c r="CL22" s="1109">
        <v>2015</v>
      </c>
      <c r="CM22" s="1111">
        <v>1159.625</v>
      </c>
      <c r="CN22" s="1143" t="s">
        <v>1594</v>
      </c>
      <c r="CO22" s="1144">
        <v>1159625</v>
      </c>
      <c r="DH22" t="s">
        <v>1699</v>
      </c>
      <c r="DI22" t="s">
        <v>1932</v>
      </c>
      <c r="DJ22" t="s">
        <v>1919</v>
      </c>
      <c r="DK22" s="1134">
        <v>8.5</v>
      </c>
      <c r="DL22" s="1252">
        <v>8.5</v>
      </c>
      <c r="DM22" s="1136">
        <v>8.5</v>
      </c>
      <c r="DN22" s="1137">
        <f>1/0.4</f>
        <v>2.5</v>
      </c>
      <c r="DO22" s="1252">
        <f t="shared" si="17"/>
        <v>3.4</v>
      </c>
      <c r="DP22" s="1252">
        <f t="shared" si="18"/>
        <v>3.4</v>
      </c>
      <c r="DQ22" s="1136">
        <f t="shared" si="19"/>
        <v>3.4</v>
      </c>
      <c r="DR22" s="1132">
        <v>6723173</v>
      </c>
      <c r="DS22" s="1145">
        <f t="shared" ca="1" si="20"/>
        <v>0.33987186912534861</v>
      </c>
      <c r="DT22" s="1365">
        <f t="shared" si="21"/>
        <v>1.2999999999999999E-5</v>
      </c>
      <c r="DU22" s="1365">
        <f>$CV$7</f>
        <v>2.5999999999999998E-5</v>
      </c>
      <c r="DV22" s="1365">
        <f t="shared" si="22"/>
        <v>5.1999999999999997E-5</v>
      </c>
      <c r="DW22" s="1365">
        <f t="shared" si="23"/>
        <v>1.0789999999999998E-5</v>
      </c>
      <c r="DX22" s="1365">
        <f t="shared" si="24"/>
        <v>2.1579999999999997E-5</v>
      </c>
      <c r="DY22" s="1365">
        <f t="shared" si="25"/>
        <v>4.3159999999999993E-5</v>
      </c>
    </row>
    <row r="23" spans="3:129" ht="18.649999999999999" customHeight="1">
      <c r="C23" s="149"/>
      <c r="D23" s="2114"/>
      <c r="E23" s="2787" t="s">
        <v>1885</v>
      </c>
      <c r="F23" s="2788"/>
      <c r="G23" s="1927"/>
      <c r="H23" s="1253">
        <f>IF(G23&lt;&gt;"",G23,INDEX($BK$5:$BK$201,MATCH($G$6,$BA$5:$BA$201,0)))</f>
        <v>3.0000000000000001E-3</v>
      </c>
      <c r="I23" s="149"/>
      <c r="BA23" s="397" t="str">
        <f t="array" ref="BA23">IFERROR(INDEX($BO$5:$BO$1001, MATCH(0,COUNTIF($BA$2:BA22, $BO$5:$BO$1001), 0)),"")</f>
        <v>Kenya</v>
      </c>
      <c r="BB23" s="1114">
        <f t="shared" si="0"/>
        <v>11871474</v>
      </c>
      <c r="BC23" s="1095">
        <f t="array" ref="BC23">IF(OR(BA23="",BA23=0),"",MAX(IF($BO$5:$BO$1001=$BA23,$BQ$5:$BQ$1001)))</f>
        <v>2008</v>
      </c>
      <c r="BD23" s="1095" t="str">
        <f t="shared" si="1"/>
        <v>DHS</v>
      </c>
      <c r="BE23" s="1096">
        <f t="shared" si="2"/>
        <v>0.45500000000000002</v>
      </c>
      <c r="BF23" s="1096">
        <f t="shared" si="3"/>
        <v>0.16300000000000001</v>
      </c>
      <c r="BG23" s="1096">
        <f t="shared" si="4"/>
        <v>0.48799999999999999</v>
      </c>
      <c r="BH23" s="1096">
        <f t="shared" si="5"/>
        <v>3.6000000000000004E-2</v>
      </c>
      <c r="BI23" s="1096">
        <f t="shared" si="6"/>
        <v>4.0999999999999995E-2</v>
      </c>
      <c r="BJ23" s="1096">
        <f t="shared" si="7"/>
        <v>4.2999999999999997E-2</v>
      </c>
      <c r="BK23" s="1097">
        <f t="shared" si="8"/>
        <v>0</v>
      </c>
      <c r="BN23" t="s">
        <v>1709</v>
      </c>
      <c r="BO23" t="s">
        <v>1601</v>
      </c>
      <c r="BP23" s="8" t="s">
        <v>1702</v>
      </c>
      <c r="BQ23" s="8">
        <v>2008</v>
      </c>
      <c r="BR23" s="8">
        <v>45.5</v>
      </c>
      <c r="BS23" s="8">
        <v>16.3</v>
      </c>
      <c r="BT23" s="8">
        <v>48.8</v>
      </c>
      <c r="BU23" s="8">
        <v>3.6</v>
      </c>
      <c r="BV23" s="8">
        <v>4.0999999999999996</v>
      </c>
      <c r="BW23" s="8">
        <v>4.3</v>
      </c>
      <c r="BX23" s="8">
        <v>0</v>
      </c>
      <c r="BY23" s="1140">
        <f t="shared" si="9"/>
        <v>0.45500000000000002</v>
      </c>
      <c r="BZ23" s="1140">
        <f t="shared" si="10"/>
        <v>0.16300000000000001</v>
      </c>
      <c r="CA23" s="1140">
        <f t="shared" si="11"/>
        <v>0.48799999999999999</v>
      </c>
      <c r="CB23" s="1140">
        <f t="shared" si="12"/>
        <v>3.6000000000000004E-2</v>
      </c>
      <c r="CC23" s="1140">
        <f t="shared" si="13"/>
        <v>4.0999999999999995E-2</v>
      </c>
      <c r="CD23" s="1140">
        <f t="shared" si="14"/>
        <v>4.2999999999999997E-2</v>
      </c>
      <c r="CE23" s="1140">
        <f t="shared" si="15"/>
        <v>0</v>
      </c>
      <c r="CF23" s="1140" t="str">
        <f t="shared" si="16"/>
        <v>Kenya2008</v>
      </c>
      <c r="CJ23" s="1109">
        <v>266</v>
      </c>
      <c r="CK23" s="1109" t="s">
        <v>1595</v>
      </c>
      <c r="CL23" s="1109">
        <v>2015</v>
      </c>
      <c r="CM23" s="1111">
        <v>24150.141</v>
      </c>
      <c r="CN23" s="1143" t="s">
        <v>1595</v>
      </c>
      <c r="CO23" s="1144">
        <v>24150141</v>
      </c>
      <c r="DH23" t="s">
        <v>1699</v>
      </c>
      <c r="DI23" t="s">
        <v>1942</v>
      </c>
      <c r="DJ23" t="s">
        <v>1919</v>
      </c>
      <c r="DK23" s="1134">
        <v>7.5</v>
      </c>
      <c r="DL23" s="1252">
        <v>8</v>
      </c>
      <c r="DM23" s="1136">
        <v>8.5</v>
      </c>
      <c r="DN23" s="1137">
        <f>1/0.26</f>
        <v>3.8461538461538458</v>
      </c>
      <c r="DO23" s="1252">
        <f t="shared" si="17"/>
        <v>1.9500000000000002</v>
      </c>
      <c r="DP23" s="1252">
        <f t="shared" si="18"/>
        <v>2.08</v>
      </c>
      <c r="DQ23" s="1136">
        <f t="shared" si="19"/>
        <v>2.2100000000000004</v>
      </c>
      <c r="DR23" s="1132">
        <v>13058320</v>
      </c>
      <c r="DS23" s="1145">
        <f t="shared" ca="1" si="20"/>
        <v>0.66012813087465139</v>
      </c>
      <c r="DT23" s="1365">
        <f t="shared" si="21"/>
        <v>1.2999999999999999E-5</v>
      </c>
      <c r="DU23" s="1365">
        <f>$CV$7</f>
        <v>2.5999999999999998E-5</v>
      </c>
      <c r="DV23" s="1365">
        <f t="shared" si="22"/>
        <v>5.1999999999999997E-5</v>
      </c>
      <c r="DW23" s="1365">
        <f t="shared" si="23"/>
        <v>1.0789999999999998E-5</v>
      </c>
      <c r="DX23" s="1365">
        <f t="shared" si="24"/>
        <v>2.1579999999999997E-5</v>
      </c>
      <c r="DY23" s="1365">
        <f t="shared" si="25"/>
        <v>4.3159999999999993E-5</v>
      </c>
    </row>
    <row r="24" spans="3:129" ht="20.149999999999999" customHeight="1">
      <c r="C24" s="149"/>
      <c r="D24" s="149"/>
      <c r="E24" s="149"/>
      <c r="F24" s="149"/>
      <c r="G24" s="149"/>
      <c r="H24" s="149"/>
      <c r="I24" s="149"/>
      <c r="BA24" s="397" t="str">
        <f t="array" ref="BA24">IFERROR(INDEX($BO$5:$BO$1001, MATCH(0,COUNTIF($BA$2:BA23, $BO$5:$BO$1001), 0)),"")</f>
        <v>Lesotho</v>
      </c>
      <c r="BB24" s="1114">
        <f t="shared" si="0"/>
        <v>575944</v>
      </c>
      <c r="BC24" s="1095">
        <f t="array" ref="BC24">IF(OR(BA24="",BA24=0),"",MAX(IF($BO$5:$BO$1001=$BA24,$BQ$5:$BQ$1001)))</f>
        <v>2009</v>
      </c>
      <c r="BD24" s="1095" t="str">
        <f t="shared" si="1"/>
        <v>DHS</v>
      </c>
      <c r="BE24" s="1096">
        <f t="shared" si="2"/>
        <v>0.47</v>
      </c>
      <c r="BF24" s="1096">
        <f t="shared" si="3"/>
        <v>0.26899999999999996</v>
      </c>
      <c r="BG24" s="1096">
        <f t="shared" si="4"/>
        <v>0.41499999999999998</v>
      </c>
      <c r="BH24" s="1096">
        <f t="shared" si="5"/>
        <v>4.0999999999999995E-2</v>
      </c>
      <c r="BI24" s="1096">
        <f t="shared" si="6"/>
        <v>0.20199999999999999</v>
      </c>
      <c r="BJ24" s="1096">
        <f t="shared" si="7"/>
        <v>2E-3</v>
      </c>
      <c r="BK24" s="1097">
        <f t="shared" si="8"/>
        <v>2E-3</v>
      </c>
      <c r="BN24" t="s">
        <v>1709</v>
      </c>
      <c r="BO24" t="s">
        <v>1602</v>
      </c>
      <c r="BP24" s="8" t="s">
        <v>1702</v>
      </c>
      <c r="BQ24" s="8">
        <v>2009</v>
      </c>
      <c r="BR24" s="8">
        <v>47</v>
      </c>
      <c r="BS24" s="8">
        <v>26.9</v>
      </c>
      <c r="BT24" s="8">
        <v>41.5</v>
      </c>
      <c r="BU24" s="8">
        <v>4.0999999999999996</v>
      </c>
      <c r="BV24" s="8">
        <v>20.2</v>
      </c>
      <c r="BW24" s="8">
        <v>0.2</v>
      </c>
      <c r="BX24" s="8">
        <v>0.2</v>
      </c>
      <c r="BY24" s="1140">
        <f t="shared" si="9"/>
        <v>0.47</v>
      </c>
      <c r="BZ24" s="1140">
        <f t="shared" si="10"/>
        <v>0.26899999999999996</v>
      </c>
      <c r="CA24" s="1140">
        <f t="shared" si="11"/>
        <v>0.41499999999999998</v>
      </c>
      <c r="CB24" s="1140">
        <f t="shared" si="12"/>
        <v>4.0999999999999995E-2</v>
      </c>
      <c r="CC24" s="1140">
        <f t="shared" si="13"/>
        <v>0.20199999999999999</v>
      </c>
      <c r="CD24" s="1140">
        <f t="shared" si="14"/>
        <v>2E-3</v>
      </c>
      <c r="CE24" s="1140">
        <f t="shared" si="15"/>
        <v>2E-3</v>
      </c>
      <c r="CF24" s="1140" t="str">
        <f t="shared" si="16"/>
        <v>Lesotho2009</v>
      </c>
      <c r="CJ24" s="1109">
        <v>280</v>
      </c>
      <c r="CK24" s="1109" t="s">
        <v>1601</v>
      </c>
      <c r="CL24" s="1109">
        <v>2015</v>
      </c>
      <c r="CM24" s="1111">
        <v>11871.474</v>
      </c>
      <c r="CN24" s="1143" t="s">
        <v>1601</v>
      </c>
      <c r="CO24" s="1144">
        <v>11871474</v>
      </c>
      <c r="DH24" t="s">
        <v>1699</v>
      </c>
      <c r="DI24" t="s">
        <v>1933</v>
      </c>
      <c r="DJ24" t="s">
        <v>1919</v>
      </c>
      <c r="DK24" s="53"/>
      <c r="DM24" s="3"/>
      <c r="DN24" s="53"/>
      <c r="DQ24" s="3"/>
      <c r="DS24" s="4"/>
      <c r="DT24" s="4"/>
    </row>
    <row r="25" spans="3:129">
      <c r="BA25" s="397" t="str">
        <f t="array" ref="BA25">IFERROR(INDEX($BO$5:$BO$1001, MATCH(0,COUNTIF($BA$2:BA24, $BO$5:$BO$1001), 0)),"")</f>
        <v>Liberia</v>
      </c>
      <c r="BB25" s="1114">
        <f t="shared" si="0"/>
        <v>1057054</v>
      </c>
      <c r="BC25" s="1095">
        <f t="array" ref="BC25">IF(OR(BA25="",BA25=0),"",MAX(IF($BO$5:$BO$1001=$BA25,$BQ$5:$BQ$1001)))</f>
        <v>2013</v>
      </c>
      <c r="BD25" s="1095" t="str">
        <f t="shared" si="1"/>
        <v>DHS</v>
      </c>
      <c r="BE25" s="1096">
        <f t="shared" si="2"/>
        <v>0.20199999999999999</v>
      </c>
      <c r="BF25" s="1096">
        <f t="shared" si="3"/>
        <v>0.05</v>
      </c>
      <c r="BG25" s="1096">
        <f t="shared" si="4"/>
        <v>0.11199999999999999</v>
      </c>
      <c r="BH25" s="1096">
        <f t="shared" si="5"/>
        <v>0</v>
      </c>
      <c r="BI25" s="1096">
        <f t="shared" si="6"/>
        <v>4.0000000000000001E-3</v>
      </c>
      <c r="BJ25" s="1096">
        <f t="shared" si="7"/>
        <v>2.1000000000000001E-2</v>
      </c>
      <c r="BK25" s="1097">
        <f t="shared" si="8"/>
        <v>1E-3</v>
      </c>
      <c r="BN25" t="s">
        <v>1709</v>
      </c>
      <c r="BO25" t="s">
        <v>1603</v>
      </c>
      <c r="BP25" s="8" t="s">
        <v>1702</v>
      </c>
      <c r="BQ25" s="8">
        <v>2007</v>
      </c>
      <c r="BR25" s="8">
        <v>11.4</v>
      </c>
      <c r="BS25" s="8">
        <v>33</v>
      </c>
      <c r="BT25" s="8">
        <v>35.700000000000003</v>
      </c>
      <c r="BU25" s="8">
        <v>1.7</v>
      </c>
      <c r="BV25" s="8">
        <v>13.9</v>
      </c>
      <c r="BW25" s="8">
        <v>0</v>
      </c>
      <c r="BX25" s="8">
        <v>0</v>
      </c>
      <c r="BY25" s="1140">
        <f t="shared" si="9"/>
        <v>0.114</v>
      </c>
      <c r="BZ25" s="1140">
        <f t="shared" si="10"/>
        <v>0.33</v>
      </c>
      <c r="CA25" s="1140">
        <f t="shared" si="11"/>
        <v>0.35700000000000004</v>
      </c>
      <c r="CB25" s="1140">
        <f t="shared" si="12"/>
        <v>1.7000000000000001E-2</v>
      </c>
      <c r="CC25" s="1140">
        <f t="shared" si="13"/>
        <v>0.13900000000000001</v>
      </c>
      <c r="CD25" s="1140">
        <f t="shared" si="14"/>
        <v>0</v>
      </c>
      <c r="CE25" s="1140">
        <f t="shared" si="15"/>
        <v>0</v>
      </c>
      <c r="CF25" s="1140" t="str">
        <f t="shared" si="16"/>
        <v>Liberia2007</v>
      </c>
      <c r="CJ25" s="1109">
        <v>294</v>
      </c>
      <c r="CK25" s="1109" t="s">
        <v>1604</v>
      </c>
      <c r="CL25" s="1109">
        <v>2015</v>
      </c>
      <c r="CM25" s="1111">
        <v>5876.585</v>
      </c>
      <c r="CN25" s="1143" t="s">
        <v>1604</v>
      </c>
      <c r="CO25" s="1144">
        <v>5876585</v>
      </c>
      <c r="DI25" s="1128"/>
    </row>
    <row r="26" spans="3:129">
      <c r="BA26" s="397" t="str">
        <f t="array" ref="BA26">IFERROR(INDEX($BO$5:$BO$1001, MATCH(0,COUNTIF($BA$2:BA25, $BO$5:$BO$1001), 0)),"")</f>
        <v>Madagascar</v>
      </c>
      <c r="BB26" s="1114">
        <f t="shared" si="0"/>
        <v>5876585</v>
      </c>
      <c r="BC26" s="1095">
        <f t="array" ref="BC26">IF(OR(BA26="",BA26=0),"",MAX(IF($BO$5:$BO$1001=$BA26,$BQ$5:$BQ$1001)))</f>
        <v>2008</v>
      </c>
      <c r="BD26" s="1095" t="str">
        <f t="shared" si="1"/>
        <v>DHS</v>
      </c>
      <c r="BE26" s="1096">
        <f t="shared" si="2"/>
        <v>0.39899999999999997</v>
      </c>
      <c r="BF26" s="1096">
        <f t="shared" si="3"/>
        <v>0.155</v>
      </c>
      <c r="BG26" s="1096">
        <f t="shared" si="4"/>
        <v>0.46399999999999997</v>
      </c>
      <c r="BH26" s="1096">
        <f t="shared" si="5"/>
        <v>0.01</v>
      </c>
      <c r="BI26" s="1096">
        <f t="shared" si="6"/>
        <v>2.7999999999999997E-2</v>
      </c>
      <c r="BJ26" s="1096">
        <f t="shared" si="7"/>
        <v>3.9E-2</v>
      </c>
      <c r="BK26" s="1097">
        <f t="shared" si="8"/>
        <v>0</v>
      </c>
      <c r="BN26" t="s">
        <v>1709</v>
      </c>
      <c r="BO26" t="s">
        <v>1604</v>
      </c>
      <c r="BP26" s="8" t="s">
        <v>1702</v>
      </c>
      <c r="BQ26" s="8">
        <v>2008</v>
      </c>
      <c r="BR26" s="8">
        <v>39.9</v>
      </c>
      <c r="BS26" s="8">
        <v>15.5</v>
      </c>
      <c r="BT26" s="8">
        <v>46.4</v>
      </c>
      <c r="BU26" s="8">
        <v>1</v>
      </c>
      <c r="BV26" s="8">
        <v>2.8</v>
      </c>
      <c r="BW26" s="8">
        <v>3.9</v>
      </c>
      <c r="BX26" s="8">
        <v>0</v>
      </c>
      <c r="BY26" s="1140">
        <f t="shared" si="9"/>
        <v>0.39899999999999997</v>
      </c>
      <c r="BZ26" s="1140">
        <f t="shared" si="10"/>
        <v>0.155</v>
      </c>
      <c r="CA26" s="1140">
        <f t="shared" si="11"/>
        <v>0.46399999999999997</v>
      </c>
      <c r="CB26" s="1140">
        <f t="shared" si="12"/>
        <v>0.01</v>
      </c>
      <c r="CC26" s="1140">
        <f t="shared" si="13"/>
        <v>2.7999999999999997E-2</v>
      </c>
      <c r="CD26" s="1140">
        <f t="shared" si="14"/>
        <v>3.9E-2</v>
      </c>
      <c r="CE26" s="1140">
        <f t="shared" si="15"/>
        <v>0</v>
      </c>
      <c r="CF26" s="1140" t="str">
        <f t="shared" si="16"/>
        <v>Madagascar2008</v>
      </c>
      <c r="CJ26" s="1109">
        <v>308</v>
      </c>
      <c r="CK26" s="1109" t="s">
        <v>1605</v>
      </c>
      <c r="CL26" s="1109">
        <v>2015</v>
      </c>
      <c r="CM26" s="1111">
        <v>4170.0940000000001</v>
      </c>
      <c r="CN26" s="1143" t="s">
        <v>1605</v>
      </c>
      <c r="CO26" s="1144">
        <v>4170094</v>
      </c>
    </row>
    <row r="27" spans="3:129">
      <c r="BA27" s="397" t="str">
        <f t="array" ref="BA27">IFERROR(INDEX($BO$5:$BO$1001, MATCH(0,COUNTIF($BA$2:BA26, $BO$5:$BO$1001), 0)),"")</f>
        <v>Malawi</v>
      </c>
      <c r="BB27" s="1114">
        <f t="shared" si="0"/>
        <v>4170094</v>
      </c>
      <c r="BC27" s="1095">
        <f t="array" ref="BC27">IF(OR(BA27="",BA27=0),"",MAX(IF($BO$5:$BO$1001=$BA27,$BQ$5:$BQ$1001)))</f>
        <v>2010</v>
      </c>
      <c r="BD27" s="1095" t="str">
        <f t="shared" si="1"/>
        <v>DHS</v>
      </c>
      <c r="BE27" s="1096">
        <f t="shared" si="2"/>
        <v>0.46100000000000002</v>
      </c>
      <c r="BF27" s="1096">
        <f t="shared" si="3"/>
        <v>5.5999999999999994E-2</v>
      </c>
      <c r="BG27" s="1096">
        <f t="shared" si="4"/>
        <v>0.57600000000000007</v>
      </c>
      <c r="BH27" s="1096">
        <f t="shared" si="5"/>
        <v>6.9999999999999993E-3</v>
      </c>
      <c r="BI27" s="1096">
        <f t="shared" si="6"/>
        <v>5.4000000000000006E-2</v>
      </c>
      <c r="BJ27" s="1096">
        <f t="shared" si="7"/>
        <v>2.8999999999999998E-2</v>
      </c>
      <c r="BK27" s="1097">
        <f t="shared" si="8"/>
        <v>2E-3</v>
      </c>
      <c r="BN27" t="s">
        <v>1709</v>
      </c>
      <c r="BO27" t="s">
        <v>1605</v>
      </c>
      <c r="BP27" s="8" t="s">
        <v>1702</v>
      </c>
      <c r="BQ27" s="8">
        <v>2010</v>
      </c>
      <c r="BR27" s="8">
        <v>46.1</v>
      </c>
      <c r="BS27" s="8">
        <v>5.6</v>
      </c>
      <c r="BT27" s="8">
        <v>57.6</v>
      </c>
      <c r="BU27" s="8">
        <v>0.7</v>
      </c>
      <c r="BV27" s="8">
        <v>5.4</v>
      </c>
      <c r="BW27" s="8">
        <v>2.9</v>
      </c>
      <c r="BX27" s="8">
        <v>0.2</v>
      </c>
      <c r="BY27" s="1140">
        <f t="shared" si="9"/>
        <v>0.46100000000000002</v>
      </c>
      <c r="BZ27" s="1140">
        <f t="shared" si="10"/>
        <v>5.5999999999999994E-2</v>
      </c>
      <c r="CA27" s="1140">
        <f t="shared" si="11"/>
        <v>0.57600000000000007</v>
      </c>
      <c r="CB27" s="1140">
        <f t="shared" si="12"/>
        <v>6.9999999999999993E-3</v>
      </c>
      <c r="CC27" s="1140">
        <f t="shared" si="13"/>
        <v>5.4000000000000006E-2</v>
      </c>
      <c r="CD27" s="1140">
        <f t="shared" si="14"/>
        <v>2.8999999999999998E-2</v>
      </c>
      <c r="CE27" s="1140">
        <f t="shared" si="15"/>
        <v>2E-3</v>
      </c>
      <c r="CF27" s="1140" t="str">
        <f t="shared" si="16"/>
        <v>Malawi2010</v>
      </c>
      <c r="CJ27" s="1109">
        <v>322</v>
      </c>
      <c r="CK27" s="1109" t="s">
        <v>1608</v>
      </c>
      <c r="CL27" s="1109">
        <v>2015</v>
      </c>
      <c r="CM27" s="1111">
        <v>320.34500000000003</v>
      </c>
      <c r="CN27" s="1143" t="s">
        <v>1608</v>
      </c>
      <c r="CO27" s="1144">
        <v>320345</v>
      </c>
    </row>
    <row r="28" spans="3:129">
      <c r="BA28" s="397" t="str">
        <f t="array" ref="BA28">IFERROR(INDEX($BO$5:$BO$1001, MATCH(0,COUNTIF($BA$2:BA27, $BO$5:$BO$1001), 0)),"")</f>
        <v>Mali</v>
      </c>
      <c r="BB28" s="1114">
        <f t="shared" si="0"/>
        <v>3846637</v>
      </c>
      <c r="BC28" s="1095">
        <f t="array" ref="BC28">IF(OR(BA28="",BA28=0),"",MAX(IF($BO$5:$BO$1001=$BA28,$BQ$5:$BQ$1001)))</f>
        <v>2006</v>
      </c>
      <c r="BD28" s="1095" t="str">
        <f t="shared" si="1"/>
        <v>DHS</v>
      </c>
      <c r="BE28" s="1096">
        <f t="shared" si="2"/>
        <v>8.199999999999999E-2</v>
      </c>
      <c r="BF28" s="1096">
        <f t="shared" si="3"/>
        <v>0.40799999999999997</v>
      </c>
      <c r="BG28" s="1096">
        <f t="shared" si="4"/>
        <v>0.35200000000000004</v>
      </c>
      <c r="BH28" s="1096">
        <f t="shared" si="5"/>
        <v>1.3999999999999999E-2</v>
      </c>
      <c r="BI28" s="1096">
        <f t="shared" si="6"/>
        <v>5.5999999999999994E-2</v>
      </c>
      <c r="BJ28" s="1096">
        <f t="shared" si="7"/>
        <v>1.3999999999999999E-2</v>
      </c>
      <c r="BK28" s="1097">
        <f t="shared" si="8"/>
        <v>0</v>
      </c>
      <c r="BN28" t="s">
        <v>1709</v>
      </c>
      <c r="BO28" t="s">
        <v>1606</v>
      </c>
      <c r="BP28" s="8" t="s">
        <v>1702</v>
      </c>
      <c r="BQ28" s="8">
        <v>2006</v>
      </c>
      <c r="BR28" s="8">
        <v>8.1999999999999993</v>
      </c>
      <c r="BS28" s="8">
        <v>40.799999999999997</v>
      </c>
      <c r="BT28" s="8">
        <v>35.200000000000003</v>
      </c>
      <c r="BU28" s="8">
        <v>1.4</v>
      </c>
      <c r="BV28" s="8">
        <v>5.6</v>
      </c>
      <c r="BW28" s="8">
        <v>1.4</v>
      </c>
      <c r="BX28" s="8">
        <v>0</v>
      </c>
      <c r="BY28" s="1140">
        <f t="shared" si="9"/>
        <v>8.199999999999999E-2</v>
      </c>
      <c r="BZ28" s="1140">
        <f t="shared" si="10"/>
        <v>0.40799999999999997</v>
      </c>
      <c r="CA28" s="1140">
        <f t="shared" si="11"/>
        <v>0.35200000000000004</v>
      </c>
      <c r="CB28" s="1140">
        <f t="shared" si="12"/>
        <v>1.3999999999999999E-2</v>
      </c>
      <c r="CC28" s="1140">
        <f t="shared" si="13"/>
        <v>5.5999999999999994E-2</v>
      </c>
      <c r="CD28" s="1140">
        <f t="shared" si="14"/>
        <v>1.3999999999999999E-2</v>
      </c>
      <c r="CE28" s="1140">
        <f t="shared" si="15"/>
        <v>0</v>
      </c>
      <c r="CF28" s="1140" t="str">
        <f t="shared" si="16"/>
        <v>Mali2006</v>
      </c>
      <c r="CJ28" s="1109">
        <v>336</v>
      </c>
      <c r="CK28" s="1109" t="s">
        <v>1767</v>
      </c>
      <c r="CL28" s="1109">
        <v>2015</v>
      </c>
      <c r="CM28" s="1111">
        <v>59.537999999999997</v>
      </c>
      <c r="CN28" s="1143" t="s">
        <v>1767</v>
      </c>
      <c r="CO28" s="1144">
        <v>59538</v>
      </c>
    </row>
    <row r="29" spans="3:129">
      <c r="BA29" s="397" t="str">
        <f t="array" ref="BA29">IFERROR(INDEX($BO$5:$BO$1001, MATCH(0,COUNTIF($BA$2:BA28, $BO$5:$BO$1001), 0)),"")</f>
        <v>Mauritania</v>
      </c>
      <c r="BB29" s="1114">
        <f t="shared" si="0"/>
        <v>1013192</v>
      </c>
      <c r="BC29" s="1095">
        <f t="array" ref="BC29">IF(OR(BA29="",BA29=0),"",MAX(IF($BO$5:$BO$1001=$BA29,$BQ$5:$BQ$1001)))</f>
        <v>2007</v>
      </c>
      <c r="BD29" s="1095" t="str">
        <f t="shared" si="1"/>
        <v>MICS</v>
      </c>
      <c r="BE29" s="1096">
        <f t="shared" si="2"/>
        <v>9.3000000000000013E-2</v>
      </c>
      <c r="BF29" s="1096">
        <f t="shared" si="3"/>
        <v>0.62</v>
      </c>
      <c r="BG29" s="1096">
        <f t="shared" si="4"/>
        <v>0.109</v>
      </c>
      <c r="BH29" s="1096">
        <f t="shared" si="5"/>
        <v>3.3000000000000002E-2</v>
      </c>
      <c r="BI29" s="1096">
        <f t="shared" si="6"/>
        <v>4.2999999999999997E-2</v>
      </c>
      <c r="BJ29" s="1096">
        <f t="shared" si="7"/>
        <v>0</v>
      </c>
      <c r="BK29" s="1097">
        <f t="shared" si="8"/>
        <v>5.4000000000000006E-2</v>
      </c>
      <c r="BN29" t="s">
        <v>1709</v>
      </c>
      <c r="BO29" t="s">
        <v>1607</v>
      </c>
      <c r="BP29" s="8" t="s">
        <v>1700</v>
      </c>
      <c r="BQ29" s="8">
        <v>2007</v>
      </c>
      <c r="BR29" s="8">
        <v>9.3000000000000007</v>
      </c>
      <c r="BS29" s="8">
        <v>62</v>
      </c>
      <c r="BT29" s="8">
        <v>10.9</v>
      </c>
      <c r="BU29" s="8">
        <v>3.3</v>
      </c>
      <c r="BV29" s="8">
        <v>4.3</v>
      </c>
      <c r="BW29" s="8">
        <v>0</v>
      </c>
      <c r="BX29" s="8">
        <v>5.4</v>
      </c>
      <c r="BY29" s="1140">
        <f t="shared" si="9"/>
        <v>9.3000000000000013E-2</v>
      </c>
      <c r="BZ29" s="1140">
        <f t="shared" si="10"/>
        <v>0.62</v>
      </c>
      <c r="CA29" s="1140">
        <f t="shared" si="11"/>
        <v>0.109</v>
      </c>
      <c r="CB29" s="1140">
        <f t="shared" si="12"/>
        <v>3.3000000000000002E-2</v>
      </c>
      <c r="CC29" s="1140">
        <f t="shared" si="13"/>
        <v>4.2999999999999997E-2</v>
      </c>
      <c r="CD29" s="1140">
        <f t="shared" si="14"/>
        <v>0</v>
      </c>
      <c r="CE29" s="1140">
        <f t="shared" si="15"/>
        <v>5.4000000000000006E-2</v>
      </c>
      <c r="CF29" s="1140" t="str">
        <f t="shared" si="16"/>
        <v>Mauritania2007</v>
      </c>
      <c r="CJ29" s="1109">
        <v>350</v>
      </c>
      <c r="CK29" s="1109" t="s">
        <v>1609</v>
      </c>
      <c r="CL29" s="1109">
        <v>2015</v>
      </c>
      <c r="CM29" s="1111">
        <v>6558.5230000000001</v>
      </c>
      <c r="CN29" s="1143" t="s">
        <v>1609</v>
      </c>
      <c r="CO29" s="1144">
        <v>6558523</v>
      </c>
    </row>
    <row r="30" spans="3:129">
      <c r="BA30" s="397" t="str">
        <f t="array" ref="BA30">IFERROR(INDEX($BO$5:$BO$1001, MATCH(0,COUNTIF($BA$2:BA29, $BO$5:$BO$1001), 0)),"")</f>
        <v>Mauritius</v>
      </c>
      <c r="BB30" s="1114">
        <f t="shared" si="0"/>
        <v>320345</v>
      </c>
      <c r="BC30" s="1095">
        <f t="array" ref="BC30">IF(OR(BA30="",BA30=0),"",MAX(IF($BO$5:$BO$1001=$BA30,$BQ$5:$BQ$1001)))</f>
        <v>2002</v>
      </c>
      <c r="BD30" s="1095" t="str">
        <f t="shared" si="1"/>
        <v>NS</v>
      </c>
      <c r="BE30" s="1096">
        <f t="shared" si="2"/>
        <v>0.75800000000000001</v>
      </c>
      <c r="BF30" s="1096">
        <f t="shared" si="3"/>
        <v>0.21100000000000002</v>
      </c>
      <c r="BG30" s="1096">
        <f t="shared" si="4"/>
        <v>4.9000000000000002E-2</v>
      </c>
      <c r="BH30" s="1096">
        <f t="shared" si="5"/>
        <v>1.8000000000000002E-2</v>
      </c>
      <c r="BI30" s="1096">
        <f t="shared" si="6"/>
        <v>0.11699999999999999</v>
      </c>
      <c r="BJ30" s="1096">
        <f t="shared" si="7"/>
        <v>1E-3</v>
      </c>
      <c r="BK30" s="1097">
        <f t="shared" si="8"/>
        <v>3.0000000000000001E-3</v>
      </c>
      <c r="BN30" t="s">
        <v>1709</v>
      </c>
      <c r="BO30" t="s">
        <v>1608</v>
      </c>
      <c r="BP30" s="8" t="s">
        <v>1701</v>
      </c>
      <c r="BQ30" s="8">
        <v>2002</v>
      </c>
      <c r="BR30" s="8">
        <v>75.8</v>
      </c>
      <c r="BS30" s="8">
        <v>21.1</v>
      </c>
      <c r="BT30" s="8">
        <v>4.9000000000000004</v>
      </c>
      <c r="BU30" s="8">
        <v>1.8</v>
      </c>
      <c r="BV30" s="8">
        <v>11.7</v>
      </c>
      <c r="BW30" s="8">
        <v>0.1</v>
      </c>
      <c r="BX30" s="8">
        <v>0.3</v>
      </c>
      <c r="BY30" s="1140">
        <f t="shared" si="9"/>
        <v>0.75800000000000001</v>
      </c>
      <c r="BZ30" s="1140">
        <f t="shared" si="10"/>
        <v>0.21100000000000002</v>
      </c>
      <c r="CA30" s="1140">
        <f t="shared" si="11"/>
        <v>4.9000000000000002E-2</v>
      </c>
      <c r="CB30" s="1140">
        <f t="shared" si="12"/>
        <v>1.8000000000000002E-2</v>
      </c>
      <c r="CC30" s="1140">
        <f t="shared" si="13"/>
        <v>0.11699999999999999</v>
      </c>
      <c r="CD30" s="1140">
        <f t="shared" si="14"/>
        <v>1E-3</v>
      </c>
      <c r="CE30" s="1140">
        <f t="shared" si="15"/>
        <v>3.0000000000000001E-3</v>
      </c>
      <c r="CF30" s="1140" t="str">
        <f t="shared" si="16"/>
        <v>Mauritius2002</v>
      </c>
      <c r="CJ30" s="1109">
        <v>364</v>
      </c>
      <c r="CK30" s="1109" t="s">
        <v>1819</v>
      </c>
      <c r="CL30" s="1109">
        <v>2015</v>
      </c>
      <c r="CM30" s="1111">
        <v>212.21299999999999</v>
      </c>
      <c r="CN30" s="1143" t="s">
        <v>1781</v>
      </c>
      <c r="CO30" s="1144">
        <v>212213</v>
      </c>
    </row>
    <row r="31" spans="3:129">
      <c r="BA31" s="397" t="str">
        <f t="array" ref="BA31">IFERROR(INDEX($BO$5:$BO$1001, MATCH(0,COUNTIF($BA$2:BA30, $BO$5:$BO$1001), 0)),"")</f>
        <v>Mozambique</v>
      </c>
      <c r="BB31" s="1114">
        <f t="shared" si="0"/>
        <v>6558523</v>
      </c>
      <c r="BC31" s="1095">
        <f t="array" ref="BC31">IF(OR(BA31="",BA31=0),"",MAX(IF($BO$5:$BO$1001=$BA31,$BQ$5:$BQ$1001)))</f>
        <v>2011</v>
      </c>
      <c r="BD31" s="1095" t="str">
        <f t="shared" si="1"/>
        <v>DHS-P</v>
      </c>
      <c r="BE31" s="1096">
        <f t="shared" si="2"/>
        <v>0.114</v>
      </c>
      <c r="BF31" s="1096">
        <f t="shared" si="3"/>
        <v>0.39799999999999996</v>
      </c>
      <c r="BG31" s="1096">
        <f t="shared" si="4"/>
        <v>0.45100000000000001</v>
      </c>
      <c r="BH31" s="1096">
        <f t="shared" si="5"/>
        <v>9.0000000000000011E-3</v>
      </c>
      <c r="BI31" s="1096">
        <f t="shared" si="6"/>
        <v>9.6999999999999989E-2</v>
      </c>
      <c r="BJ31" s="1096">
        <f t="shared" si="7"/>
        <v>0</v>
      </c>
      <c r="BK31" s="1097">
        <f t="shared" si="8"/>
        <v>9.0000000000000011E-3</v>
      </c>
      <c r="BN31" t="s">
        <v>1709</v>
      </c>
      <c r="BO31" t="s">
        <v>1609</v>
      </c>
      <c r="BP31" s="8" t="s">
        <v>1703</v>
      </c>
      <c r="BQ31" s="8">
        <v>2011</v>
      </c>
      <c r="BR31" s="8">
        <v>11.4</v>
      </c>
      <c r="BS31" s="8">
        <v>39.799999999999997</v>
      </c>
      <c r="BT31" s="8">
        <v>45.1</v>
      </c>
      <c r="BU31" s="8">
        <v>0.9</v>
      </c>
      <c r="BV31" s="8">
        <v>9.6999999999999993</v>
      </c>
      <c r="BW31" s="8">
        <v>0</v>
      </c>
      <c r="BX31" s="8">
        <v>0.9</v>
      </c>
      <c r="BY31" s="1140">
        <f t="shared" si="9"/>
        <v>0.114</v>
      </c>
      <c r="BZ31" s="1140">
        <f t="shared" si="10"/>
        <v>0.39799999999999996</v>
      </c>
      <c r="CA31" s="1140">
        <f t="shared" si="11"/>
        <v>0.45100000000000001</v>
      </c>
      <c r="CB31" s="1140">
        <f t="shared" si="12"/>
        <v>9.0000000000000011E-3</v>
      </c>
      <c r="CC31" s="1140">
        <f t="shared" si="13"/>
        <v>9.6999999999999989E-2</v>
      </c>
      <c r="CD31" s="1140">
        <f t="shared" si="14"/>
        <v>0</v>
      </c>
      <c r="CE31" s="1140">
        <f t="shared" si="15"/>
        <v>9.0000000000000011E-3</v>
      </c>
      <c r="CF31" s="1140" t="str">
        <f t="shared" si="16"/>
        <v>Mozambique2011</v>
      </c>
      <c r="CJ31" s="1109">
        <v>378</v>
      </c>
      <c r="CK31" s="1109" t="s">
        <v>1613</v>
      </c>
      <c r="CL31" s="1109">
        <v>2015</v>
      </c>
      <c r="CM31" s="1111">
        <v>2913.6660000000002</v>
      </c>
      <c r="CN31" s="1143" t="s">
        <v>1613</v>
      </c>
      <c r="CO31" s="1144">
        <v>2913666</v>
      </c>
    </row>
    <row r="32" spans="3:129" ht="20.6">
      <c r="D32" s="1038" t="s">
        <v>2057</v>
      </c>
      <c r="E32" s="149"/>
      <c r="F32" s="149"/>
      <c r="G32" s="2803"/>
      <c r="H32" s="149"/>
      <c r="I32" s="149"/>
      <c r="J32" s="149"/>
      <c r="K32" s="149"/>
      <c r="L32" s="149"/>
      <c r="M32" s="149"/>
      <c r="BA32" s="397" t="str">
        <f t="array" ref="BA32">IFERROR(INDEX($BO$5:$BO$1001, MATCH(0,COUNTIF($BA$2:BA31, $BO$5:$BO$1001), 0)),"")</f>
        <v>Namibia</v>
      </c>
      <c r="BB32" s="1114">
        <f t="shared" si="0"/>
        <v>645493</v>
      </c>
      <c r="BC32" s="1095">
        <f t="array" ref="BC32">IF(OR(BA32="",BA32=0),"",MAX(IF($BO$5:$BO$1001=$BA32,$BQ$5:$BQ$1001)))</f>
        <v>2006</v>
      </c>
      <c r="BD32" s="1095" t="str">
        <f t="shared" si="1"/>
        <v>DHS</v>
      </c>
      <c r="BE32" s="1096">
        <f t="shared" si="2"/>
        <v>0.55100000000000005</v>
      </c>
      <c r="BF32" s="1096">
        <f t="shared" si="3"/>
        <v>0.159</v>
      </c>
      <c r="BG32" s="1096">
        <f t="shared" si="4"/>
        <v>0.40200000000000002</v>
      </c>
      <c r="BH32" s="1096">
        <f t="shared" si="5"/>
        <v>2.6000000000000002E-2</v>
      </c>
      <c r="BI32" s="1096">
        <f t="shared" si="6"/>
        <v>0.19600000000000001</v>
      </c>
      <c r="BJ32" s="1096">
        <f t="shared" si="7"/>
        <v>4.0000000000000001E-3</v>
      </c>
      <c r="BK32" s="1097">
        <f t="shared" si="8"/>
        <v>4.0000000000000001E-3</v>
      </c>
      <c r="BN32" t="s">
        <v>1709</v>
      </c>
      <c r="BO32" t="s">
        <v>1610</v>
      </c>
      <c r="BP32" s="8" t="s">
        <v>1702</v>
      </c>
      <c r="BQ32" s="8">
        <v>2006</v>
      </c>
      <c r="BR32" s="8">
        <v>55.1</v>
      </c>
      <c r="BS32" s="8">
        <v>15.9</v>
      </c>
      <c r="BT32" s="8">
        <v>40.200000000000003</v>
      </c>
      <c r="BU32" s="8">
        <v>2.6</v>
      </c>
      <c r="BV32" s="8">
        <v>19.600000000000001</v>
      </c>
      <c r="BW32" s="8">
        <v>0.4</v>
      </c>
      <c r="BX32" s="8">
        <v>0.4</v>
      </c>
      <c r="BY32" s="1140">
        <f t="shared" si="9"/>
        <v>0.55100000000000005</v>
      </c>
      <c r="BZ32" s="1140">
        <f t="shared" si="10"/>
        <v>0.159</v>
      </c>
      <c r="CA32" s="1140">
        <f t="shared" si="11"/>
        <v>0.40200000000000002</v>
      </c>
      <c r="CB32" s="1140">
        <f t="shared" si="12"/>
        <v>2.6000000000000002E-2</v>
      </c>
      <c r="CC32" s="1140">
        <f t="shared" si="13"/>
        <v>0.19600000000000001</v>
      </c>
      <c r="CD32" s="1140">
        <f t="shared" si="14"/>
        <v>4.0000000000000001E-3</v>
      </c>
      <c r="CE32" s="1140">
        <f t="shared" si="15"/>
        <v>4.0000000000000001E-3</v>
      </c>
      <c r="CF32" s="1140" t="str">
        <f t="shared" si="16"/>
        <v>Namibia2006</v>
      </c>
      <c r="CJ32" s="1109">
        <v>392</v>
      </c>
      <c r="CK32" s="1109" t="s">
        <v>1787</v>
      </c>
      <c r="CL32" s="1109">
        <v>2015</v>
      </c>
      <c r="CM32" s="1111">
        <v>24.466000000000001</v>
      </c>
      <c r="CN32" s="1143" t="s">
        <v>1787</v>
      </c>
      <c r="CO32" s="1144">
        <v>24466</v>
      </c>
    </row>
    <row r="33" spans="4:113" ht="20.6">
      <c r="D33" s="1038"/>
      <c r="E33" s="149"/>
      <c r="F33" s="149"/>
      <c r="G33" s="2804"/>
      <c r="H33" s="149"/>
      <c r="I33" s="149"/>
      <c r="J33" s="149"/>
      <c r="K33" s="149"/>
      <c r="L33" s="149"/>
      <c r="M33" s="149"/>
      <c r="BA33" s="397" t="str">
        <f t="array" ref="BA33">IFERROR(INDEX($BO$5:$BO$1001, MATCH(0,COUNTIF($BA$2:BA32, $BO$5:$BO$1001), 0)),"")</f>
        <v>Niger</v>
      </c>
      <c r="BB33" s="1114">
        <f t="shared" si="0"/>
        <v>4167756.0000000005</v>
      </c>
      <c r="BC33" s="1095">
        <f t="array" ref="BC33">IF(OR(BA33="",BA33=0),"",MAX(IF($BO$5:$BO$1001=$BA33,$BQ$5:$BQ$1001)))</f>
        <v>2012</v>
      </c>
      <c r="BD33" s="1095" t="str">
        <f t="shared" si="1"/>
        <v>DHS-P</v>
      </c>
      <c r="BE33" s="1096">
        <f t="shared" si="2"/>
        <v>0.13900000000000001</v>
      </c>
      <c r="BF33" s="1096">
        <f t="shared" si="3"/>
        <v>0.67500000000000004</v>
      </c>
      <c r="BG33" s="1096">
        <f t="shared" si="4"/>
        <v>0.253</v>
      </c>
      <c r="BH33" s="1096">
        <f t="shared" si="5"/>
        <v>1.2E-2</v>
      </c>
      <c r="BI33" s="1096">
        <f t="shared" si="6"/>
        <v>0</v>
      </c>
      <c r="BJ33" s="1096">
        <f t="shared" si="7"/>
        <v>3.6000000000000004E-2</v>
      </c>
      <c r="BK33" s="1097">
        <f t="shared" si="8"/>
        <v>0</v>
      </c>
      <c r="BN33" t="s">
        <v>1709</v>
      </c>
      <c r="BO33" t="s">
        <v>1611</v>
      </c>
      <c r="BP33" s="8" t="s">
        <v>1703</v>
      </c>
      <c r="BQ33" s="8">
        <v>2012</v>
      </c>
      <c r="BR33" s="8">
        <v>13.9</v>
      </c>
      <c r="BS33" s="8">
        <v>67.5</v>
      </c>
      <c r="BT33" s="8">
        <v>25.3</v>
      </c>
      <c r="BU33" s="8">
        <v>1.2</v>
      </c>
      <c r="BV33" s="8">
        <v>0</v>
      </c>
      <c r="BW33" s="8">
        <v>3.6</v>
      </c>
      <c r="BX33" s="8">
        <v>0</v>
      </c>
      <c r="BY33" s="1140">
        <f t="shared" si="9"/>
        <v>0.13900000000000001</v>
      </c>
      <c r="BZ33" s="1140">
        <f t="shared" si="10"/>
        <v>0.67500000000000004</v>
      </c>
      <c r="CA33" s="1140">
        <f t="shared" si="11"/>
        <v>0.253</v>
      </c>
      <c r="CB33" s="1140">
        <f t="shared" si="12"/>
        <v>1.2E-2</v>
      </c>
      <c r="CC33" s="1140">
        <f t="shared" si="13"/>
        <v>0</v>
      </c>
      <c r="CD33" s="1140">
        <f t="shared" si="14"/>
        <v>3.6000000000000004E-2</v>
      </c>
      <c r="CE33" s="1140">
        <f t="shared" si="15"/>
        <v>0</v>
      </c>
      <c r="CF33" s="1140" t="str">
        <f t="shared" si="16"/>
        <v>Niger2012</v>
      </c>
      <c r="CJ33" s="1109">
        <v>406</v>
      </c>
      <c r="CK33" s="1109" t="s">
        <v>1616</v>
      </c>
      <c r="CL33" s="1109">
        <v>2015</v>
      </c>
      <c r="CM33" s="1111">
        <v>3125.4279999999999</v>
      </c>
      <c r="CN33" s="1143" t="s">
        <v>1616</v>
      </c>
      <c r="CO33" s="1144">
        <v>3125428</v>
      </c>
    </row>
    <row r="34" spans="4:113" ht="22" customHeight="1">
      <c r="D34" s="1038"/>
      <c r="E34" s="2805" t="s">
        <v>1974</v>
      </c>
      <c r="F34" s="2806"/>
      <c r="G34" s="1250" t="s">
        <v>1521</v>
      </c>
      <c r="H34" s="149"/>
      <c r="I34" s="149"/>
      <c r="J34" s="149"/>
      <c r="K34" s="149"/>
      <c r="L34" s="149"/>
      <c r="M34" s="149"/>
      <c r="BA34" s="397" t="str">
        <f t="array" ref="BA34">IFERROR(INDEX($BO$5:$BO$1001, MATCH(0,COUNTIF($BA$2:BA33, $BO$5:$BO$1001), 0)),"")</f>
        <v>Nigeria</v>
      </c>
      <c r="BB34" s="1114">
        <f t="shared" si="0"/>
        <v>41362596</v>
      </c>
      <c r="BC34" s="1095">
        <f t="array" ref="BC34">IF(OR(BA34="",BA34=0),"",MAX(IF($BO$5:$BO$1001=$BA34,$BQ$5:$BQ$1001)))</f>
        <v>2013</v>
      </c>
      <c r="BD34" s="1095" t="str">
        <f t="shared" si="1"/>
        <v>DHS</v>
      </c>
      <c r="BE34" s="1096">
        <f t="shared" si="2"/>
        <v>0.151</v>
      </c>
      <c r="BF34" s="1096">
        <f t="shared" si="3"/>
        <v>1.8000000000000002E-2</v>
      </c>
      <c r="BG34" s="1096">
        <f t="shared" si="4"/>
        <v>3.2000000000000001E-2</v>
      </c>
      <c r="BH34" s="1096">
        <f t="shared" si="5"/>
        <v>1.1000000000000001E-2</v>
      </c>
      <c r="BI34" s="1096">
        <f t="shared" si="6"/>
        <v>2.1000000000000001E-2</v>
      </c>
      <c r="BJ34" s="1096">
        <f t="shared" si="7"/>
        <v>4.0000000000000001E-3</v>
      </c>
      <c r="BK34" s="1097">
        <f t="shared" si="8"/>
        <v>4.0000000000000001E-3</v>
      </c>
      <c r="BN34" t="s">
        <v>1709</v>
      </c>
      <c r="BO34" t="s">
        <v>1612</v>
      </c>
      <c r="BP34" s="8" t="s">
        <v>1703</v>
      </c>
      <c r="BQ34" s="8">
        <v>2012</v>
      </c>
      <c r="BR34" s="8">
        <v>14.1</v>
      </c>
      <c r="BS34" s="8">
        <v>16.899999999999999</v>
      </c>
      <c r="BT34" s="8">
        <v>28.2</v>
      </c>
      <c r="BU34" s="8">
        <v>5.6</v>
      </c>
      <c r="BV34" s="8">
        <v>14.5</v>
      </c>
      <c r="BW34" s="8">
        <v>1.6</v>
      </c>
      <c r="BX34" s="8">
        <v>0.8</v>
      </c>
      <c r="BY34" s="1140">
        <f t="shared" si="9"/>
        <v>0.14099999999999999</v>
      </c>
      <c r="BZ34" s="1140">
        <f t="shared" si="10"/>
        <v>0.16899999999999998</v>
      </c>
      <c r="CA34" s="1140">
        <f t="shared" si="11"/>
        <v>0.28199999999999997</v>
      </c>
      <c r="CB34" s="1140">
        <f t="shared" si="12"/>
        <v>5.5999999999999994E-2</v>
      </c>
      <c r="CC34" s="1140">
        <f t="shared" si="13"/>
        <v>0.14499999999999999</v>
      </c>
      <c r="CD34" s="1140">
        <f t="shared" si="14"/>
        <v>1.6E-2</v>
      </c>
      <c r="CE34" s="1140">
        <f t="shared" si="15"/>
        <v>8.0000000000000002E-3</v>
      </c>
      <c r="CF34" s="1140" t="str">
        <f t="shared" si="16"/>
        <v>Nigeria2012</v>
      </c>
      <c r="CJ34" s="1109">
        <v>420</v>
      </c>
      <c r="CK34" s="1109" t="s">
        <v>1618</v>
      </c>
      <c r="CL34" s="1109">
        <v>2015</v>
      </c>
      <c r="CM34" s="1111">
        <v>2825.0010000000002</v>
      </c>
      <c r="CN34" s="1143" t="s">
        <v>1618</v>
      </c>
      <c r="CO34" s="1144">
        <v>2825001</v>
      </c>
    </row>
    <row r="35" spans="4:113" ht="22" customHeight="1">
      <c r="D35" s="1038"/>
      <c r="E35" s="2805" t="s">
        <v>1973</v>
      </c>
      <c r="F35" s="2806"/>
      <c r="G35" s="1250" t="s">
        <v>1521</v>
      </c>
      <c r="H35" s="149"/>
      <c r="I35" s="149"/>
      <c r="J35" s="149"/>
      <c r="K35" s="149"/>
      <c r="L35" s="149"/>
      <c r="M35" s="149"/>
      <c r="BA35" s="397" t="str">
        <f t="array" ref="BA35">IFERROR(INDEX($BO$5:$BO$1001, MATCH(0,COUNTIF($BA$2:BA34, $BO$5:$BO$1001), 0)),"")</f>
        <v>Rwanda</v>
      </c>
      <c r="BB35" s="1114">
        <f t="shared" si="0"/>
        <v>2913666</v>
      </c>
      <c r="BC35" s="1095">
        <f t="array" ref="BC35">IF(OR(BA35="",BA35=0),"",MAX(IF($BO$5:$BO$1001=$BA35,$BQ$5:$BQ$1001)))</f>
        <v>2010</v>
      </c>
      <c r="BD35" s="1095" t="str">
        <f t="shared" si="1"/>
        <v>DHS</v>
      </c>
      <c r="BE35" s="1096">
        <f t="shared" si="2"/>
        <v>0.51600000000000001</v>
      </c>
      <c r="BF35" s="1096">
        <f t="shared" si="3"/>
        <v>0.13900000000000001</v>
      </c>
      <c r="BG35" s="1096">
        <f t="shared" si="4"/>
        <v>0.51600000000000001</v>
      </c>
      <c r="BH35" s="1096">
        <f t="shared" si="5"/>
        <v>0.01</v>
      </c>
      <c r="BI35" s="1096">
        <f t="shared" si="6"/>
        <v>5.7000000000000002E-2</v>
      </c>
      <c r="BJ35" s="1096">
        <f t="shared" si="7"/>
        <v>0.124</v>
      </c>
      <c r="BK35" s="1097">
        <f t="shared" si="8"/>
        <v>2E-3</v>
      </c>
      <c r="BN35" t="s">
        <v>1709</v>
      </c>
      <c r="BO35" t="s">
        <v>1613</v>
      </c>
      <c r="BP35" s="8" t="s">
        <v>1702</v>
      </c>
      <c r="BQ35" s="8">
        <v>2010</v>
      </c>
      <c r="BR35" s="8">
        <v>51.6</v>
      </c>
      <c r="BS35" s="8">
        <v>13.9</v>
      </c>
      <c r="BT35" s="8">
        <v>51.6</v>
      </c>
      <c r="BU35" s="8">
        <v>1</v>
      </c>
      <c r="BV35" s="8">
        <v>5.7</v>
      </c>
      <c r="BW35" s="8">
        <v>12.4</v>
      </c>
      <c r="BX35" s="8">
        <v>0.2</v>
      </c>
      <c r="BY35" s="1140">
        <f t="shared" si="9"/>
        <v>0.51600000000000001</v>
      </c>
      <c r="BZ35" s="1140">
        <f t="shared" si="10"/>
        <v>0.13900000000000001</v>
      </c>
      <c r="CA35" s="1140">
        <f t="shared" si="11"/>
        <v>0.51600000000000001</v>
      </c>
      <c r="CB35" s="1140">
        <f t="shared" si="12"/>
        <v>0.01</v>
      </c>
      <c r="CC35" s="1140">
        <f t="shared" si="13"/>
        <v>5.7000000000000002E-2</v>
      </c>
      <c r="CD35" s="1140">
        <f t="shared" si="14"/>
        <v>0.124</v>
      </c>
      <c r="CE35" s="1140">
        <f t="shared" si="15"/>
        <v>2E-3</v>
      </c>
      <c r="CF35" s="1140" t="str">
        <f t="shared" si="16"/>
        <v>Rwanda2010</v>
      </c>
      <c r="CJ35" s="1109">
        <v>434</v>
      </c>
      <c r="CK35" s="1109" t="s">
        <v>1623</v>
      </c>
      <c r="CL35" s="1109">
        <v>2015</v>
      </c>
      <c r="CM35" s="1111">
        <v>9059.232</v>
      </c>
      <c r="CN35" s="1143" t="s">
        <v>1623</v>
      </c>
      <c r="CO35" s="1144">
        <v>9059232</v>
      </c>
    </row>
    <row r="36" spans="4:113">
      <c r="D36" s="149"/>
      <c r="E36" s="149"/>
      <c r="F36" s="149"/>
      <c r="G36" s="149"/>
      <c r="H36" s="149"/>
      <c r="I36" s="149"/>
      <c r="J36" s="149"/>
      <c r="K36" s="149"/>
      <c r="L36" s="149"/>
      <c r="M36" s="149"/>
      <c r="BA36" s="397" t="str">
        <f t="array" ref="BA36">IFERROR(INDEX($BO$5:$BO$1001, MATCH(0,COUNTIF($BA$2:BA35, $BO$5:$BO$1001), 0)),"")</f>
        <v>Senegal</v>
      </c>
      <c r="BB36" s="1114">
        <f t="shared" si="0"/>
        <v>3651545</v>
      </c>
      <c r="BC36" s="1095">
        <f t="array" ref="BC36">IF(OR(BA36="",BA36=0),"",MAX(IF($BO$5:$BO$1001=$BA36,$BQ$5:$BQ$1001)))</f>
        <v>2011</v>
      </c>
      <c r="BD36" s="1095" t="str">
        <f t="shared" si="1"/>
        <v>DHS</v>
      </c>
      <c r="BE36" s="1096">
        <f t="shared" si="2"/>
        <v>0.13100000000000001</v>
      </c>
      <c r="BF36" s="1096">
        <f t="shared" si="3"/>
        <v>0.33299999999999996</v>
      </c>
      <c r="BG36" s="1096">
        <f t="shared" si="4"/>
        <v>0.42299999999999999</v>
      </c>
      <c r="BH36" s="1096">
        <f t="shared" si="5"/>
        <v>4.9000000000000002E-2</v>
      </c>
      <c r="BI36" s="1096">
        <f t="shared" si="6"/>
        <v>4.9000000000000002E-2</v>
      </c>
      <c r="BJ36" s="1096">
        <f t="shared" si="7"/>
        <v>8.900000000000001E-2</v>
      </c>
      <c r="BK36" s="1097">
        <f t="shared" si="8"/>
        <v>0</v>
      </c>
      <c r="BN36" t="s">
        <v>1709</v>
      </c>
      <c r="BO36" t="s">
        <v>1614</v>
      </c>
      <c r="BP36" s="8" t="s">
        <v>1702</v>
      </c>
      <c r="BQ36" s="8">
        <v>2011</v>
      </c>
      <c r="BR36" s="8">
        <v>13.1</v>
      </c>
      <c r="BS36" s="8">
        <v>33.299999999999997</v>
      </c>
      <c r="BT36" s="8">
        <v>42.3</v>
      </c>
      <c r="BU36" s="8">
        <v>4.9000000000000004</v>
      </c>
      <c r="BV36" s="8">
        <v>4.9000000000000004</v>
      </c>
      <c r="BW36" s="8">
        <v>8.9</v>
      </c>
      <c r="BX36" s="8">
        <v>0</v>
      </c>
      <c r="BY36" s="1140">
        <f t="shared" si="9"/>
        <v>0.13100000000000001</v>
      </c>
      <c r="BZ36" s="1140">
        <f t="shared" si="10"/>
        <v>0.33299999999999996</v>
      </c>
      <c r="CA36" s="1140">
        <f t="shared" si="11"/>
        <v>0.42299999999999999</v>
      </c>
      <c r="CB36" s="1140">
        <f t="shared" si="12"/>
        <v>4.9000000000000002E-2</v>
      </c>
      <c r="CC36" s="1140">
        <f t="shared" si="13"/>
        <v>4.9000000000000002E-2</v>
      </c>
      <c r="CD36" s="1140">
        <f t="shared" si="14"/>
        <v>8.900000000000001E-2</v>
      </c>
      <c r="CE36" s="1140">
        <f t="shared" si="15"/>
        <v>0</v>
      </c>
      <c r="CF36" s="1140" t="str">
        <f t="shared" si="16"/>
        <v>Senegal2011</v>
      </c>
      <c r="CJ36" s="1109">
        <v>448</v>
      </c>
      <c r="CK36" s="1109" t="s">
        <v>1825</v>
      </c>
      <c r="CL36" s="1109">
        <v>2015</v>
      </c>
      <c r="CM36" s="1111">
        <v>12505.739</v>
      </c>
      <c r="CN36" s="1143" t="s">
        <v>1621</v>
      </c>
      <c r="CO36" s="1144">
        <v>12505739</v>
      </c>
    </row>
    <row r="37" spans="4:113">
      <c r="D37" s="149"/>
      <c r="E37" s="149"/>
      <c r="F37" s="149"/>
      <c r="G37" s="149"/>
      <c r="H37" s="149"/>
      <c r="I37" s="149"/>
      <c r="J37" s="149"/>
      <c r="K37" s="149"/>
      <c r="L37" s="149"/>
      <c r="M37" s="149"/>
      <c r="BA37" s="397" t="str">
        <f t="array" ref="BA37">IFERROR(INDEX($BO$5:$BO$1001, MATCH(0,COUNTIF($BA$2:BA36, $BO$5:$BO$1001), 0)),"")</f>
        <v>Sierra Leone</v>
      </c>
      <c r="BB37" s="1114">
        <f t="shared" ref="BB37:BB68" si="27">IF(OR(BA37="",BA37=0),"",IFERROR(INDEX($CO$5:$CO$245,MATCH($BA37,$CN$5:$CN$245,0)),""))</f>
        <v>1770495</v>
      </c>
      <c r="BC37" s="1095">
        <f t="array" ref="BC37">IF(OR(BA37="",BA37=0),"",MAX(IF($BO$5:$BO$1001=$BA37,$BQ$5:$BQ$1001)))</f>
        <v>2013</v>
      </c>
      <c r="BD37" s="1095" t="str">
        <f t="shared" ref="BD37:BD68" si="28">IF(OR(BA37="",BA37=0),"",INDEX($BP$5:$BP$1001,MATCH($BA37&amp;$BC37,$CF$5:$CF$1001,0)))</f>
        <v>DHS</v>
      </c>
      <c r="BE37" s="1096">
        <f t="shared" ref="BE37:BE68" si="29">IF(OR($BA37="",$BA37=0),"",INDEX(BY$5:BY$1001,MATCH($BA37&amp;$BC37,$CF$5:$CF$1001,0)))</f>
        <v>0.16600000000000001</v>
      </c>
      <c r="BF37" s="1096">
        <f t="shared" ref="BF37:BF68" si="30">IF(OR($BA37="",$BA37=0),"",INDEX(BZ$5:BZ$1001,MATCH($BA37&amp;$BC37,$CF$5:$CF$1001,0)))</f>
        <v>3.9E-2</v>
      </c>
      <c r="BG37" s="1096">
        <f t="shared" ref="BG37:BG68" si="31">IF(OR($BA37="",$BA37=0),"",INDEX(CA$5:CA$1001,MATCH($BA37&amp;$BC37,$CF$5:$CF$1001,0)))</f>
        <v>7.4999999999999997E-2</v>
      </c>
      <c r="BH37" s="1096">
        <f t="shared" ref="BH37:BH68" si="32">IF(OR($BA37="",$BA37=0),"",INDEX(CB$5:CB$1001,MATCH($BA37&amp;$BC37,$CF$5:$CF$1001,0)))</f>
        <v>1E-3</v>
      </c>
      <c r="BI37" s="1096">
        <f t="shared" ref="BI37:BI68" si="33">IF(OR($BA37="",$BA37=0),"",INDEX(CC$5:CC$1001,MATCH($BA37&amp;$BC37,$CF$5:$CF$1001,0)))</f>
        <v>2E-3</v>
      </c>
      <c r="BJ37" s="1096">
        <f t="shared" ref="BJ37:BJ68" si="34">IF(OR($BA37="",$BA37=0),"",INDEX(CD$5:CD$1001,MATCH($BA37&amp;$BC37,$CF$5:$CF$1001,0)))</f>
        <v>2.4E-2</v>
      </c>
      <c r="BK37" s="1097">
        <f t="shared" ref="BK37:BK68" si="35">IF(OR($BA37="",$BA37=0),"",INDEX(CE$5:CE$1001,MATCH($BA37&amp;$BC37,$CF$5:$CF$1001,0)))</f>
        <v>0</v>
      </c>
      <c r="BN37" t="s">
        <v>1709</v>
      </c>
      <c r="BO37" t="s">
        <v>1615</v>
      </c>
      <c r="BP37" s="8" t="s">
        <v>1700</v>
      </c>
      <c r="BQ37" s="8">
        <v>2010</v>
      </c>
      <c r="BR37" s="8">
        <v>11</v>
      </c>
      <c r="BS37" s="8">
        <v>43</v>
      </c>
      <c r="BT37" s="8">
        <v>49.5</v>
      </c>
      <c r="BU37" s="8">
        <v>0</v>
      </c>
      <c r="BV37" s="8">
        <v>1.1000000000000001</v>
      </c>
      <c r="BW37" s="8">
        <v>6.5</v>
      </c>
      <c r="BX37" s="8">
        <v>0</v>
      </c>
      <c r="BY37" s="1140">
        <f t="shared" ref="BY37:BY68" si="36">BR37/100</f>
        <v>0.11</v>
      </c>
      <c r="BZ37" s="1140">
        <f t="shared" ref="BZ37:BZ68" si="37">BS37/100</f>
        <v>0.43</v>
      </c>
      <c r="CA37" s="1140">
        <f t="shared" ref="CA37:CA68" si="38">BT37/100</f>
        <v>0.495</v>
      </c>
      <c r="CB37" s="1140">
        <f t="shared" ref="CB37:CB68" si="39">BU37/100</f>
        <v>0</v>
      </c>
      <c r="CC37" s="1140">
        <f t="shared" ref="CC37:CC68" si="40">BV37/100</f>
        <v>1.1000000000000001E-2</v>
      </c>
      <c r="CD37" s="1140">
        <f t="shared" ref="CD37:CD68" si="41">BW37/100</f>
        <v>6.5000000000000002E-2</v>
      </c>
      <c r="CE37" s="1140">
        <f t="shared" ref="CE37:CE68" si="42">BX37/100</f>
        <v>0</v>
      </c>
      <c r="CF37" s="1140" t="str">
        <f t="shared" ref="CF37:CF68" si="43">BO37&amp;BQ37</f>
        <v>Sierra Leone2010</v>
      </c>
      <c r="CJ37" s="1109">
        <v>462</v>
      </c>
      <c r="CK37" s="1109" t="s">
        <v>1624</v>
      </c>
      <c r="CL37" s="1109">
        <v>2015</v>
      </c>
      <c r="CM37" s="1111">
        <v>3821.328</v>
      </c>
      <c r="CN37" s="1143" t="s">
        <v>1624</v>
      </c>
      <c r="CO37" s="1144">
        <v>3821328</v>
      </c>
    </row>
    <row r="38" spans="4:113">
      <c r="D38" s="149"/>
      <c r="E38" s="149"/>
      <c r="F38" s="149"/>
      <c r="G38" s="2791" t="s">
        <v>1971</v>
      </c>
      <c r="H38" s="2792"/>
      <c r="I38" s="2791" t="s">
        <v>1972</v>
      </c>
      <c r="J38" s="2792"/>
      <c r="K38" s="2791" t="s">
        <v>2506</v>
      </c>
      <c r="L38" s="2792"/>
      <c r="M38" s="149"/>
      <c r="BA38" s="397" t="str">
        <f t="array" ref="BA38">IFERROR(INDEX($BO$5:$BO$1001, MATCH(0,COUNTIF($BA$2:BA37, $BO$5:$BO$1001), 0)),"")</f>
        <v>Somalia</v>
      </c>
      <c r="BB38" s="1114">
        <f t="shared" si="27"/>
        <v>3125428</v>
      </c>
      <c r="BC38" s="1095">
        <f t="array" ref="BC38">IF(OR(BA38="",BA38=0),"",MAX(IF($BO$5:$BO$1001=$BA38,$BQ$5:$BQ$1001)))</f>
        <v>2005</v>
      </c>
      <c r="BD38" s="1095" t="str">
        <f t="shared" si="28"/>
        <v>MICS</v>
      </c>
      <c r="BE38" s="1096">
        <f t="shared" si="29"/>
        <v>0.14599999999999999</v>
      </c>
      <c r="BF38" s="1096">
        <f t="shared" si="30"/>
        <v>0.44400000000000001</v>
      </c>
      <c r="BG38" s="1096">
        <f t="shared" si="31"/>
        <v>0.111</v>
      </c>
      <c r="BH38" s="1096">
        <f t="shared" si="32"/>
        <v>5.5999999999999994E-2</v>
      </c>
      <c r="BI38" s="1096">
        <f t="shared" si="33"/>
        <v>0</v>
      </c>
      <c r="BJ38" s="1096">
        <f t="shared" si="34"/>
        <v>0</v>
      </c>
      <c r="BK38" s="1097">
        <f t="shared" si="35"/>
        <v>0</v>
      </c>
      <c r="BN38" t="s">
        <v>1709</v>
      </c>
      <c r="BO38" t="s">
        <v>1616</v>
      </c>
      <c r="BP38" s="8" t="s">
        <v>1700</v>
      </c>
      <c r="BQ38" s="8">
        <v>2005</v>
      </c>
      <c r="BR38" s="8">
        <v>14.6</v>
      </c>
      <c r="BS38" s="8">
        <v>44.4</v>
      </c>
      <c r="BT38" s="8">
        <v>11.1</v>
      </c>
      <c r="BU38" s="8">
        <v>5.6</v>
      </c>
      <c r="BV38" s="8">
        <v>0</v>
      </c>
      <c r="BW38" s="8">
        <v>0</v>
      </c>
      <c r="BX38" s="8">
        <v>0</v>
      </c>
      <c r="BY38" s="1140">
        <f t="shared" si="36"/>
        <v>0.14599999999999999</v>
      </c>
      <c r="BZ38" s="1140">
        <f t="shared" si="37"/>
        <v>0.44400000000000001</v>
      </c>
      <c r="CA38" s="1140">
        <f t="shared" si="38"/>
        <v>0.111</v>
      </c>
      <c r="CB38" s="1140">
        <f t="shared" si="39"/>
        <v>5.5999999999999994E-2</v>
      </c>
      <c r="CC38" s="1140">
        <f t="shared" si="40"/>
        <v>0</v>
      </c>
      <c r="CD38" s="1140">
        <f t="shared" si="41"/>
        <v>0</v>
      </c>
      <c r="CE38" s="1140">
        <f t="shared" si="42"/>
        <v>0</v>
      </c>
      <c r="CF38" s="1140" t="str">
        <f t="shared" si="43"/>
        <v>Somalia2005</v>
      </c>
      <c r="CJ38" s="1109">
        <v>476</v>
      </c>
      <c r="CK38" s="1109" t="s">
        <v>1625</v>
      </c>
      <c r="CL38" s="1109">
        <v>2015</v>
      </c>
      <c r="CM38" s="1111">
        <v>4099.0659999999998</v>
      </c>
      <c r="CN38" s="1143" t="s">
        <v>1625</v>
      </c>
      <c r="CO38" s="1144">
        <v>4099066</v>
      </c>
      <c r="DI38" s="1127"/>
    </row>
    <row r="39" spans="4:113" ht="33" customHeight="1">
      <c r="D39" s="149"/>
      <c r="E39" s="149"/>
      <c r="F39" s="149"/>
      <c r="G39" s="2793" t="s">
        <v>1582</v>
      </c>
      <c r="H39" s="2801" t="s">
        <v>2056</v>
      </c>
      <c r="I39" s="2793" t="s">
        <v>1582</v>
      </c>
      <c r="J39" s="2801" t="s">
        <v>2056</v>
      </c>
      <c r="K39" s="2793" t="s">
        <v>1582</v>
      </c>
      <c r="L39" s="2795" t="s">
        <v>5545</v>
      </c>
      <c r="M39" s="149"/>
      <c r="BA39" s="397" t="str">
        <f t="array" ref="BA39">IFERROR(INDEX($BO$5:$BO$1001, MATCH(0,COUNTIF($BA$2:BA38, $BO$5:$BO$1001), 0)),"")</f>
        <v>South Africa</v>
      </c>
      <c r="BB39" s="1114">
        <f t="shared" si="27"/>
        <v>15022803</v>
      </c>
      <c r="BC39" s="1095">
        <f t="array" ref="BC39">IF(OR(BA39="",BA39=0),"",MAX(IF($BO$5:$BO$1001=$BA39,$BQ$5:$BQ$1001)))</f>
        <v>2003</v>
      </c>
      <c r="BD39" s="1095" t="str">
        <f t="shared" si="28"/>
        <v>DHS</v>
      </c>
      <c r="BE39" s="1096">
        <f t="shared" si="29"/>
        <v>0.59899999999999998</v>
      </c>
      <c r="BF39" s="1096">
        <f t="shared" si="30"/>
        <v>0.182</v>
      </c>
      <c r="BG39" s="1096">
        <f t="shared" si="31"/>
        <v>0.47399999999999998</v>
      </c>
      <c r="BH39" s="1096">
        <f t="shared" si="32"/>
        <v>1.7000000000000001E-2</v>
      </c>
      <c r="BI39" s="1096">
        <f t="shared" si="33"/>
        <v>7.6999999999999999E-2</v>
      </c>
      <c r="BJ39" s="1096">
        <f t="shared" si="34"/>
        <v>0</v>
      </c>
      <c r="BK39" s="1097">
        <f t="shared" si="35"/>
        <v>0</v>
      </c>
      <c r="BN39" t="s">
        <v>1709</v>
      </c>
      <c r="BO39" t="s">
        <v>1617</v>
      </c>
      <c r="BP39" s="8" t="s">
        <v>1702</v>
      </c>
      <c r="BQ39" s="8">
        <v>2003</v>
      </c>
      <c r="BR39" s="8">
        <v>59.9</v>
      </c>
      <c r="BS39" s="8">
        <v>18.2</v>
      </c>
      <c r="BT39" s="8">
        <v>47.4</v>
      </c>
      <c r="BU39" s="8">
        <v>1.7</v>
      </c>
      <c r="BV39" s="8">
        <v>7.7</v>
      </c>
      <c r="BW39" s="8">
        <v>0</v>
      </c>
      <c r="BX39" s="8">
        <v>0</v>
      </c>
      <c r="BY39" s="1140">
        <f t="shared" si="36"/>
        <v>0.59899999999999998</v>
      </c>
      <c r="BZ39" s="1140">
        <f t="shared" si="37"/>
        <v>0.182</v>
      </c>
      <c r="CA39" s="1140">
        <f t="shared" si="38"/>
        <v>0.47399999999999998</v>
      </c>
      <c r="CB39" s="1140">
        <f t="shared" si="39"/>
        <v>1.7000000000000001E-2</v>
      </c>
      <c r="CC39" s="1140">
        <f t="shared" si="40"/>
        <v>7.6999999999999999E-2</v>
      </c>
      <c r="CD39" s="1140">
        <f t="shared" si="41"/>
        <v>0</v>
      </c>
      <c r="CE39" s="1140">
        <f t="shared" si="42"/>
        <v>0</v>
      </c>
      <c r="CF39" s="1140" t="str">
        <f t="shared" si="43"/>
        <v>South Africa2003</v>
      </c>
      <c r="CJ39" s="1109">
        <v>490</v>
      </c>
      <c r="CK39" s="1110" t="s">
        <v>1847</v>
      </c>
      <c r="CL39" s="1109">
        <v>2015</v>
      </c>
      <c r="CM39" s="1111">
        <v>34756.627</v>
      </c>
      <c r="CN39" s="1143" t="s">
        <v>1728</v>
      </c>
      <c r="CO39" s="1144">
        <v>34756627</v>
      </c>
      <c r="DI39" s="1127"/>
    </row>
    <row r="40" spans="4:113">
      <c r="D40" s="149"/>
      <c r="E40" s="2779" t="s">
        <v>1955</v>
      </c>
      <c r="F40" s="2779"/>
      <c r="G40" s="2794"/>
      <c r="H40" s="2802"/>
      <c r="I40" s="2794"/>
      <c r="J40" s="2802"/>
      <c r="K40" s="2794"/>
      <c r="L40" s="2796"/>
      <c r="M40" s="149"/>
      <c r="BA40" s="397" t="str">
        <f t="array" ref="BA40">IFERROR(INDEX($BO$5:$BO$1001, MATCH(0,COUNTIF($BA$2:BA39, $BO$5:$BO$1001), 0)),"")</f>
        <v>South Sudan</v>
      </c>
      <c r="BB40" s="1114">
        <f t="shared" si="27"/>
        <v>2825001</v>
      </c>
      <c r="BC40" s="1095">
        <f t="array" ref="BC40">IF(OR(BA40="",BA40=0),"",MAX(IF($BO$5:$BO$1001=$BA40,$BQ$5:$BQ$1001)))</f>
        <v>2006</v>
      </c>
      <c r="BD40" s="1095" t="str">
        <f t="shared" si="28"/>
        <v>NS</v>
      </c>
      <c r="BE40" s="1096">
        <f t="shared" si="29"/>
        <v>3.5000000000000003E-2</v>
      </c>
      <c r="BF40" s="1096">
        <f t="shared" si="30"/>
        <v>0.14599999999999999</v>
      </c>
      <c r="BG40" s="1096">
        <f t="shared" si="31"/>
        <v>0</v>
      </c>
      <c r="BH40" s="1096">
        <f t="shared" si="32"/>
        <v>0</v>
      </c>
      <c r="BI40" s="1096">
        <f t="shared" si="33"/>
        <v>0.73499999999999999</v>
      </c>
      <c r="BJ40" s="1096">
        <f t="shared" si="34"/>
        <v>0</v>
      </c>
      <c r="BK40" s="1097">
        <f t="shared" si="35"/>
        <v>6.8000000000000005E-2</v>
      </c>
      <c r="BN40" t="s">
        <v>1709</v>
      </c>
      <c r="BO40" t="s">
        <v>1618</v>
      </c>
      <c r="BP40" s="8" t="s">
        <v>1701</v>
      </c>
      <c r="BQ40" s="8">
        <v>2006</v>
      </c>
      <c r="BR40" s="8">
        <v>3.5</v>
      </c>
      <c r="BS40" s="8">
        <v>14.6</v>
      </c>
      <c r="BT40" s="8">
        <v>0</v>
      </c>
      <c r="BU40" s="8">
        <v>0</v>
      </c>
      <c r="BV40" s="8">
        <v>73.5</v>
      </c>
      <c r="BW40" s="8">
        <v>0</v>
      </c>
      <c r="BX40" s="8">
        <v>6.8</v>
      </c>
      <c r="BY40" s="1140">
        <f t="shared" si="36"/>
        <v>3.5000000000000003E-2</v>
      </c>
      <c r="BZ40" s="1140">
        <f t="shared" si="37"/>
        <v>0.14599999999999999</v>
      </c>
      <c r="CA40" s="1140">
        <f t="shared" si="38"/>
        <v>0</v>
      </c>
      <c r="CB40" s="1140">
        <f t="shared" si="39"/>
        <v>0</v>
      </c>
      <c r="CC40" s="1140">
        <f t="shared" si="40"/>
        <v>0.73499999999999999</v>
      </c>
      <c r="CD40" s="1140">
        <f t="shared" si="41"/>
        <v>0</v>
      </c>
      <c r="CE40" s="1140">
        <f t="shared" si="42"/>
        <v>6.8000000000000005E-2</v>
      </c>
      <c r="CF40" s="1140" t="str">
        <f t="shared" si="43"/>
        <v>South Sudan2006</v>
      </c>
      <c r="CJ40" s="1109">
        <v>504</v>
      </c>
      <c r="CK40" s="1109" t="s">
        <v>1583</v>
      </c>
      <c r="CL40" s="1109">
        <v>2015</v>
      </c>
      <c r="CM40" s="1111">
        <v>6348.2979999999998</v>
      </c>
      <c r="CN40" s="1143" t="s">
        <v>1583</v>
      </c>
      <c r="CO40" s="1144">
        <v>6348298</v>
      </c>
    </row>
    <row r="41" spans="4:113">
      <c r="D41" s="149"/>
      <c r="E41" s="2787" t="s">
        <v>1886</v>
      </c>
      <c r="F41" s="2788"/>
      <c r="G41" s="1116"/>
      <c r="H41" s="1249">
        <f t="shared" ref="H41:H46" ca="1" si="44">1000000*IF(G41&lt;&gt;"",G41,IF($G$34="Minimum",EB5,IF($G$34="Average",EC5,IF($G$34="Maximum",ED5,""))))</f>
        <v>146.38094507862519</v>
      </c>
      <c r="I41" s="1116"/>
      <c r="J41" s="1150">
        <f t="shared" ref="J41:J46" ca="1" si="45">IF(I41&lt;&gt;"",I41,IF($G$35="Minimum",EE5,IF($G$35="Average",EF5,IF($G$35="Maximum",EG5,""))))</f>
        <v>3.5047241655257757</v>
      </c>
      <c r="K41" s="1116"/>
      <c r="L41" s="1248">
        <f>IF(K41&lt;&gt;"",K41,2)</f>
        <v>2</v>
      </c>
      <c r="M41" s="149"/>
      <c r="BA41" s="397" t="str">
        <f t="array" ref="BA41">IFERROR(INDEX($BO$5:$BO$1001, MATCH(0,COUNTIF($BA$2:BA40, $BO$5:$BO$1001), 0)),"")</f>
        <v>Sudan</v>
      </c>
      <c r="BB41" s="1114">
        <f t="shared" si="27"/>
        <v>9255776</v>
      </c>
      <c r="BC41" s="1095">
        <f t="array" ref="BC41">IF(OR(BA41="",BA41=0),"",MAX(IF($BO$5:$BO$1001=$BA41,$BQ$5:$BQ$1001)))</f>
        <v>2006</v>
      </c>
      <c r="BD41" s="1095" t="str">
        <f t="shared" si="28"/>
        <v>NS</v>
      </c>
      <c r="BE41" s="1096">
        <f t="shared" si="29"/>
        <v>9.5000000000000001E-2</v>
      </c>
      <c r="BF41" s="1096">
        <f t="shared" si="30"/>
        <v>0.75599999999999989</v>
      </c>
      <c r="BG41" s="1096">
        <f t="shared" si="31"/>
        <v>0.08</v>
      </c>
      <c r="BH41" s="1096">
        <f t="shared" si="32"/>
        <v>5.2999999999999999E-2</v>
      </c>
      <c r="BI41" s="1096">
        <f t="shared" si="33"/>
        <v>2E-3</v>
      </c>
      <c r="BJ41" s="1096">
        <f t="shared" si="34"/>
        <v>0</v>
      </c>
      <c r="BK41" s="1097">
        <f t="shared" si="35"/>
        <v>0</v>
      </c>
      <c r="BN41" t="s">
        <v>1709</v>
      </c>
      <c r="BO41" t="s">
        <v>1619</v>
      </c>
      <c r="BP41" s="8" t="s">
        <v>1701</v>
      </c>
      <c r="BQ41" s="8">
        <v>2006</v>
      </c>
      <c r="BR41" s="8">
        <v>9.5</v>
      </c>
      <c r="BS41" s="8">
        <v>75.599999999999994</v>
      </c>
      <c r="BT41" s="8">
        <v>8</v>
      </c>
      <c r="BU41" s="8">
        <v>5.3</v>
      </c>
      <c r="BV41" s="8">
        <v>0.2</v>
      </c>
      <c r="BW41" s="8">
        <v>0</v>
      </c>
      <c r="BX41" s="8">
        <v>0</v>
      </c>
      <c r="BY41" s="1140">
        <f t="shared" si="36"/>
        <v>9.5000000000000001E-2</v>
      </c>
      <c r="BZ41" s="1140">
        <f t="shared" si="37"/>
        <v>0.75599999999999989</v>
      </c>
      <c r="CA41" s="1140">
        <f t="shared" si="38"/>
        <v>0.08</v>
      </c>
      <c r="CB41" s="1140">
        <f t="shared" si="39"/>
        <v>5.2999999999999999E-2</v>
      </c>
      <c r="CC41" s="1140">
        <f t="shared" si="40"/>
        <v>2E-3</v>
      </c>
      <c r="CD41" s="1140">
        <f t="shared" si="41"/>
        <v>0</v>
      </c>
      <c r="CE41" s="1140">
        <f t="shared" si="42"/>
        <v>0</v>
      </c>
      <c r="CF41" s="1140" t="str">
        <f t="shared" si="43"/>
        <v>Sudan2006</v>
      </c>
      <c r="CJ41" s="1109">
        <v>518</v>
      </c>
      <c r="CK41" s="1109" t="s">
        <v>1588</v>
      </c>
      <c r="CL41" s="1109">
        <v>2015</v>
      </c>
      <c r="CM41" s="1111">
        <v>5422.0360000000001</v>
      </c>
      <c r="CN41" s="1143" t="s">
        <v>1588</v>
      </c>
      <c r="CO41" s="1144">
        <v>5422036</v>
      </c>
    </row>
    <row r="42" spans="4:113">
      <c r="D42" s="149"/>
      <c r="E42" s="2800" t="s">
        <v>1578</v>
      </c>
      <c r="F42" s="2800"/>
      <c r="G42" s="1116"/>
      <c r="H42" s="1249">
        <f t="shared" si="44"/>
        <v>86.32</v>
      </c>
      <c r="I42" s="1116"/>
      <c r="J42" s="1150">
        <f t="shared" si="45"/>
        <v>3.04E-2</v>
      </c>
      <c r="K42" s="1116"/>
      <c r="L42" s="1248">
        <f>IF(K42&lt;&gt;"",K42,1)</f>
        <v>1</v>
      </c>
      <c r="M42" s="149"/>
      <c r="BA42" s="397" t="str">
        <f t="array" ref="BA42">IFERROR(INDEX($BO$5:$BO$1001, MATCH(0,COUNTIF($BA$2:BA41, $BO$5:$BO$1001), 0)),"")</f>
        <v>Swaziland</v>
      </c>
      <c r="BB42" s="1114">
        <f t="shared" si="27"/>
        <v>357900</v>
      </c>
      <c r="BC42" s="1095">
        <f t="array" ref="BC42">IF(OR(BA42="",BA42=0),"",MAX(IF($BO$5:$BO$1001=$BA42,$BQ$5:$BQ$1001)))</f>
        <v>2010</v>
      </c>
      <c r="BD42" s="1095" t="str">
        <f t="shared" si="28"/>
        <v>MICS</v>
      </c>
      <c r="BE42" s="1096">
        <f t="shared" si="29"/>
        <v>0.65200000000000002</v>
      </c>
      <c r="BF42" s="1096">
        <f t="shared" si="30"/>
        <v>0.16600000000000001</v>
      </c>
      <c r="BG42" s="1096">
        <f t="shared" si="31"/>
        <v>0.33100000000000002</v>
      </c>
      <c r="BH42" s="1096">
        <f t="shared" si="32"/>
        <v>1.7000000000000001E-2</v>
      </c>
      <c r="BI42" s="1096">
        <f t="shared" si="33"/>
        <v>0.34799999999999998</v>
      </c>
      <c r="BJ42" s="1096">
        <f t="shared" si="34"/>
        <v>2.7999999999999997E-2</v>
      </c>
      <c r="BK42" s="1097">
        <f t="shared" si="35"/>
        <v>3.0000000000000001E-3</v>
      </c>
      <c r="BN42" t="s">
        <v>1709</v>
      </c>
      <c r="BO42" t="s">
        <v>1620</v>
      </c>
      <c r="BP42" s="8" t="s">
        <v>1700</v>
      </c>
      <c r="BQ42" s="8">
        <v>2010</v>
      </c>
      <c r="BR42" s="8">
        <v>65.2</v>
      </c>
      <c r="BS42" s="8">
        <v>16.600000000000001</v>
      </c>
      <c r="BT42" s="8">
        <v>33.1</v>
      </c>
      <c r="BU42" s="8">
        <v>1.7</v>
      </c>
      <c r="BV42" s="8">
        <v>34.799999999999997</v>
      </c>
      <c r="BW42" s="8">
        <v>2.8</v>
      </c>
      <c r="BX42" s="8">
        <v>0.3</v>
      </c>
      <c r="BY42" s="1140">
        <f t="shared" si="36"/>
        <v>0.65200000000000002</v>
      </c>
      <c r="BZ42" s="1140">
        <f t="shared" si="37"/>
        <v>0.16600000000000001</v>
      </c>
      <c r="CA42" s="1140">
        <f t="shared" si="38"/>
        <v>0.33100000000000002</v>
      </c>
      <c r="CB42" s="1140">
        <f t="shared" si="39"/>
        <v>1.7000000000000001E-2</v>
      </c>
      <c r="CC42" s="1140">
        <f t="shared" si="40"/>
        <v>0.34799999999999998</v>
      </c>
      <c r="CD42" s="1140">
        <f t="shared" si="41"/>
        <v>2.7999999999999997E-2</v>
      </c>
      <c r="CE42" s="1140">
        <f t="shared" si="42"/>
        <v>3.0000000000000001E-3</v>
      </c>
      <c r="CF42" s="1140" t="str">
        <f t="shared" si="43"/>
        <v>Swaziland2010</v>
      </c>
      <c r="CJ42" s="1109">
        <v>532</v>
      </c>
      <c r="CK42" s="1109" t="s">
        <v>1589</v>
      </c>
      <c r="CL42" s="1109">
        <v>2015</v>
      </c>
      <c r="CM42" s="1111">
        <v>1050.893</v>
      </c>
      <c r="CN42" s="1143" t="s">
        <v>1589</v>
      </c>
      <c r="CO42" s="1144">
        <v>1050893</v>
      </c>
    </row>
    <row r="43" spans="4:113">
      <c r="D43" s="149"/>
      <c r="E43" s="2800" t="s">
        <v>1579</v>
      </c>
      <c r="F43" s="2800"/>
      <c r="G43" s="1116"/>
      <c r="H43" s="1249">
        <f t="shared" ca="1" si="44"/>
        <v>60.221363925197096</v>
      </c>
      <c r="I43" s="1116"/>
      <c r="J43" s="1150">
        <f t="shared" ca="1" si="45"/>
        <v>4.4115122225100789</v>
      </c>
      <c r="K43" s="1116"/>
      <c r="L43" s="1248">
        <f>IF(K43&lt;&gt;"",K43,2)</f>
        <v>2</v>
      </c>
      <c r="M43" s="149"/>
      <c r="BA43" s="397" t="str">
        <f t="array" ref="BA43">IFERROR(INDEX($BO$5:$BO$1001, MATCH(0,COUNTIF($BA$2:BA42, $BO$5:$BO$1001), 0)),"")</f>
        <v>Tanzania</v>
      </c>
      <c r="BB43" s="1114">
        <f t="shared" si="27"/>
        <v>12505739</v>
      </c>
      <c r="BC43" s="1095">
        <f t="array" ref="BC43">IF(OR(BA43="",BA43=0),"",MAX(IF($BO$5:$BO$1001=$BA43,$BQ$5:$BQ$1001)))</f>
        <v>2010</v>
      </c>
      <c r="BD43" s="1095" t="str">
        <f t="shared" si="28"/>
        <v>DHS</v>
      </c>
      <c r="BE43" s="1096">
        <f t="shared" si="29"/>
        <v>0.34399999999999997</v>
      </c>
      <c r="BF43" s="1096">
        <f t="shared" si="30"/>
        <v>0.20899999999999999</v>
      </c>
      <c r="BG43" s="1096">
        <f t="shared" si="31"/>
        <v>0.33100000000000002</v>
      </c>
      <c r="BH43" s="1096">
        <f t="shared" si="32"/>
        <v>1.9E-2</v>
      </c>
      <c r="BI43" s="1096">
        <f t="shared" si="33"/>
        <v>7.2000000000000008E-2</v>
      </c>
      <c r="BJ43" s="1096">
        <f t="shared" si="34"/>
        <v>7.2000000000000008E-2</v>
      </c>
      <c r="BK43" s="1097">
        <f t="shared" si="35"/>
        <v>0</v>
      </c>
      <c r="BN43" t="s">
        <v>1709</v>
      </c>
      <c r="BO43" t="s">
        <v>1621</v>
      </c>
      <c r="BP43" s="8" t="s">
        <v>1702</v>
      </c>
      <c r="BQ43" s="8">
        <v>2010</v>
      </c>
      <c r="BR43" s="8">
        <v>34.4</v>
      </c>
      <c r="BS43" s="8">
        <v>20.9</v>
      </c>
      <c r="BT43" s="8">
        <v>33.1</v>
      </c>
      <c r="BU43" s="8">
        <v>1.9</v>
      </c>
      <c r="BV43" s="8">
        <v>7.2</v>
      </c>
      <c r="BW43" s="8">
        <v>7.2</v>
      </c>
      <c r="BX43" s="8">
        <v>0</v>
      </c>
      <c r="BY43" s="1140">
        <f t="shared" si="36"/>
        <v>0.34399999999999997</v>
      </c>
      <c r="BZ43" s="1140">
        <f t="shared" si="37"/>
        <v>0.20899999999999999</v>
      </c>
      <c r="CA43" s="1140">
        <f t="shared" si="38"/>
        <v>0.33100000000000002</v>
      </c>
      <c r="CB43" s="1140">
        <f t="shared" si="39"/>
        <v>1.9E-2</v>
      </c>
      <c r="CC43" s="1140">
        <f t="shared" si="40"/>
        <v>7.2000000000000008E-2</v>
      </c>
      <c r="CD43" s="1140">
        <f t="shared" si="41"/>
        <v>7.2000000000000008E-2</v>
      </c>
      <c r="CE43" s="1140">
        <f t="shared" si="42"/>
        <v>0</v>
      </c>
      <c r="CF43" s="1140" t="str">
        <f t="shared" si="43"/>
        <v>Tanzania2010</v>
      </c>
      <c r="CJ43" s="1109">
        <v>546</v>
      </c>
      <c r="CK43" s="1109" t="s">
        <v>1590</v>
      </c>
      <c r="CL43" s="1109">
        <v>2015</v>
      </c>
      <c r="CM43" s="1111">
        <v>3092.7330000000002</v>
      </c>
      <c r="CN43" s="1143" t="s">
        <v>1590</v>
      </c>
      <c r="CO43" s="1144">
        <v>3092733</v>
      </c>
      <c r="DI43" s="1127"/>
    </row>
    <row r="44" spans="4:113">
      <c r="D44" s="149"/>
      <c r="E44" s="2800" t="s">
        <v>1580</v>
      </c>
      <c r="F44" s="2800"/>
      <c r="G44" s="1116"/>
      <c r="H44" s="1249">
        <f t="shared" ca="1" si="44"/>
        <v>81.045814799999974</v>
      </c>
      <c r="I44" s="1116"/>
      <c r="J44" s="1150">
        <f t="shared" ca="1" si="45"/>
        <v>3.2558406063486989</v>
      </c>
      <c r="K44" s="1116"/>
      <c r="L44" s="1248">
        <f>IF(K44&lt;&gt;"",K44,2)</f>
        <v>2</v>
      </c>
      <c r="M44" s="149"/>
      <c r="BA44" s="397" t="str">
        <f t="array" ref="BA44">IFERROR(INDEX($BO$5:$BO$1001, MATCH(0,COUNTIF($BA$2:BA43, $BO$5:$BO$1001), 0)),"")</f>
        <v>Togo</v>
      </c>
      <c r="BB44" s="1114">
        <f t="shared" si="27"/>
        <v>1793022</v>
      </c>
      <c r="BC44" s="1095">
        <f t="array" ref="BC44">IF(OR(BA44="",BA44=0),"",MAX(IF($BO$5:$BO$1001=$BA44,$BQ$5:$BQ$1001)))</f>
        <v>2006</v>
      </c>
      <c r="BD44" s="1095" t="str">
        <f t="shared" si="28"/>
        <v>MICS</v>
      </c>
      <c r="BE44" s="1096">
        <f t="shared" si="29"/>
        <v>0.16800000000000001</v>
      </c>
      <c r="BF44" s="1096">
        <f t="shared" si="30"/>
        <v>0.12300000000000001</v>
      </c>
      <c r="BG44" s="1096">
        <f t="shared" si="31"/>
        <v>0.20399999999999999</v>
      </c>
      <c r="BH44" s="1096">
        <f t="shared" si="32"/>
        <v>2.5000000000000001E-2</v>
      </c>
      <c r="BI44" s="1096">
        <f t="shared" si="33"/>
        <v>0.23399999999999999</v>
      </c>
      <c r="BJ44" s="1096">
        <f t="shared" si="34"/>
        <v>6.2E-2</v>
      </c>
      <c r="BK44" s="1097">
        <f t="shared" si="35"/>
        <v>1.2E-2</v>
      </c>
      <c r="BN44" t="s">
        <v>1709</v>
      </c>
      <c r="BO44" t="s">
        <v>1622</v>
      </c>
      <c r="BP44" s="8" t="s">
        <v>1700</v>
      </c>
      <c r="BQ44" s="8">
        <v>2006</v>
      </c>
      <c r="BR44" s="8">
        <v>16.8</v>
      </c>
      <c r="BS44" s="8">
        <v>12.3</v>
      </c>
      <c r="BT44" s="8">
        <v>20.399999999999999</v>
      </c>
      <c r="BU44" s="8">
        <v>2.5</v>
      </c>
      <c r="BV44" s="8">
        <v>23.4</v>
      </c>
      <c r="BW44" s="8">
        <v>6.2</v>
      </c>
      <c r="BX44" s="8">
        <v>1.2</v>
      </c>
      <c r="BY44" s="1140">
        <f t="shared" si="36"/>
        <v>0.16800000000000001</v>
      </c>
      <c r="BZ44" s="1140">
        <f t="shared" si="37"/>
        <v>0.12300000000000001</v>
      </c>
      <c r="CA44" s="1140">
        <f t="shared" si="38"/>
        <v>0.20399999999999999</v>
      </c>
      <c r="CB44" s="1140">
        <f t="shared" si="39"/>
        <v>2.5000000000000001E-2</v>
      </c>
      <c r="CC44" s="1140">
        <f t="shared" si="40"/>
        <v>0.23399999999999999</v>
      </c>
      <c r="CD44" s="1140">
        <f t="shared" si="41"/>
        <v>6.2E-2</v>
      </c>
      <c r="CE44" s="1140">
        <f t="shared" si="42"/>
        <v>1.2E-2</v>
      </c>
      <c r="CF44" s="1140" t="str">
        <f t="shared" si="43"/>
        <v>Togo2006</v>
      </c>
      <c r="CJ44" s="1109">
        <v>560</v>
      </c>
      <c r="CK44" s="1109" t="s">
        <v>1809</v>
      </c>
      <c r="CL44" s="1109">
        <v>2015</v>
      </c>
      <c r="CM44" s="1111">
        <v>1176.713</v>
      </c>
      <c r="CN44" s="1143" t="s">
        <v>1591</v>
      </c>
      <c r="CO44" s="1144">
        <v>1176713</v>
      </c>
    </row>
    <row r="45" spans="4:113">
      <c r="D45" s="149"/>
      <c r="E45" s="2800" t="s">
        <v>1581</v>
      </c>
      <c r="F45" s="2800"/>
      <c r="G45" s="1116"/>
      <c r="H45" s="1249">
        <f t="shared" ca="1" si="44"/>
        <v>21.58</v>
      </c>
      <c r="I45" s="1116"/>
      <c r="J45" s="1150">
        <f t="shared" ca="1" si="45"/>
        <v>2.52863086724546</v>
      </c>
      <c r="K45" s="1116"/>
      <c r="L45" s="1248">
        <f>IF(K45&lt;&gt;"",K45,2)</f>
        <v>2</v>
      </c>
      <c r="M45" s="149"/>
      <c r="BA45" s="397" t="str">
        <f t="array" ref="BA45">IFERROR(INDEX($BO$5:$BO$1001, MATCH(0,COUNTIF($BA$2:BA44, $BO$5:$BO$1001), 0)),"")</f>
        <v>Uganda</v>
      </c>
      <c r="BB45" s="1114">
        <f t="shared" si="27"/>
        <v>9059232</v>
      </c>
      <c r="BC45" s="1095">
        <f t="array" ref="BC45">IF(OR(BA45="",BA45=0),"",MAX(IF($BO$5:$BO$1001=$BA45,$BQ$5:$BQ$1001)))</f>
        <v>2011</v>
      </c>
      <c r="BD45" s="1095" t="str">
        <f t="shared" si="28"/>
        <v>DHS</v>
      </c>
      <c r="BE45" s="1096">
        <f t="shared" si="29"/>
        <v>0.3</v>
      </c>
      <c r="BF45" s="1096">
        <f t="shared" si="30"/>
        <v>9.9000000000000005E-2</v>
      </c>
      <c r="BG45" s="1096">
        <f t="shared" si="31"/>
        <v>0.48</v>
      </c>
      <c r="BH45" s="1096">
        <f t="shared" si="32"/>
        <v>1.7000000000000001E-2</v>
      </c>
      <c r="BI45" s="1096">
        <f t="shared" si="33"/>
        <v>9.1999999999999998E-2</v>
      </c>
      <c r="BJ45" s="1096">
        <f t="shared" si="34"/>
        <v>9.1999999999999998E-2</v>
      </c>
      <c r="BK45" s="1097">
        <f t="shared" si="35"/>
        <v>0</v>
      </c>
      <c r="BN45" t="s">
        <v>1709</v>
      </c>
      <c r="BO45" t="s">
        <v>1623</v>
      </c>
      <c r="BP45" s="8" t="s">
        <v>1702</v>
      </c>
      <c r="BQ45" s="8">
        <v>2011</v>
      </c>
      <c r="BR45" s="8">
        <v>30</v>
      </c>
      <c r="BS45" s="8">
        <v>9.9</v>
      </c>
      <c r="BT45" s="8">
        <v>48</v>
      </c>
      <c r="BU45" s="8">
        <v>1.7</v>
      </c>
      <c r="BV45" s="8">
        <v>9.1999999999999993</v>
      </c>
      <c r="BW45" s="8">
        <v>9.1999999999999993</v>
      </c>
      <c r="BX45" s="8">
        <v>0</v>
      </c>
      <c r="BY45" s="1140">
        <f t="shared" si="36"/>
        <v>0.3</v>
      </c>
      <c r="BZ45" s="1140">
        <f t="shared" si="37"/>
        <v>9.9000000000000005E-2</v>
      </c>
      <c r="CA45" s="1140">
        <f t="shared" si="38"/>
        <v>0.48</v>
      </c>
      <c r="CB45" s="1140">
        <f t="shared" si="39"/>
        <v>1.7000000000000001E-2</v>
      </c>
      <c r="CC45" s="1140">
        <f t="shared" si="40"/>
        <v>9.1999999999999998E-2</v>
      </c>
      <c r="CD45" s="1140">
        <f t="shared" si="41"/>
        <v>9.1999999999999998E-2</v>
      </c>
      <c r="CE45" s="1140">
        <f t="shared" si="42"/>
        <v>0</v>
      </c>
      <c r="CF45" s="1140" t="str">
        <f t="shared" si="43"/>
        <v>Uganda2011</v>
      </c>
      <c r="CJ45" s="1109">
        <v>574</v>
      </c>
      <c r="CK45" s="1109" t="s">
        <v>1811</v>
      </c>
      <c r="CL45" s="1109">
        <v>2015</v>
      </c>
      <c r="CM45" s="1111">
        <v>16883.506000000001</v>
      </c>
      <c r="CN45" s="1143" t="s">
        <v>1593</v>
      </c>
      <c r="CO45" s="1144">
        <v>16883506</v>
      </c>
    </row>
    <row r="46" spans="4:113" ht="30.45" customHeight="1">
      <c r="D46" s="149"/>
      <c r="E46" s="2789" t="s">
        <v>1975</v>
      </c>
      <c r="F46" s="2790"/>
      <c r="G46" s="1162"/>
      <c r="H46" s="1247">
        <f t="shared" si="44"/>
        <v>67.451233613056033</v>
      </c>
      <c r="I46" s="1162"/>
      <c r="J46" s="1163">
        <f t="shared" si="45"/>
        <v>1.9774189993007401</v>
      </c>
      <c r="K46" s="1162"/>
      <c r="L46" s="1246">
        <f>IF(K46&lt;&gt;"",K46,1)</f>
        <v>1</v>
      </c>
      <c r="M46" s="149"/>
      <c r="BA46" s="397" t="str">
        <f t="array" ref="BA46">IFERROR(INDEX($BO$5:$BO$1001, MATCH(0,COUNTIF($BA$2:BA45, $BO$5:$BO$1001), 0)),"")</f>
        <v>Zambia</v>
      </c>
      <c r="BB46" s="1114">
        <f t="shared" si="27"/>
        <v>3821328</v>
      </c>
      <c r="BC46" s="1095">
        <f t="array" ref="BC46">IF(OR(BA46="",BA46=0),"",MAX(IF($BO$5:$BO$1001=$BA46,$BQ$5:$BQ$1001)))</f>
        <v>2007</v>
      </c>
      <c r="BD46" s="1095" t="str">
        <f t="shared" si="28"/>
        <v>DHS</v>
      </c>
      <c r="BE46" s="1096">
        <f t="shared" si="29"/>
        <v>0.40799999999999997</v>
      </c>
      <c r="BF46" s="1096">
        <f t="shared" si="30"/>
        <v>0.32799999999999996</v>
      </c>
      <c r="BG46" s="1096">
        <f t="shared" si="31"/>
        <v>0.254</v>
      </c>
      <c r="BH46" s="1096">
        <f t="shared" si="32"/>
        <v>3.0000000000000001E-3</v>
      </c>
      <c r="BI46" s="1096">
        <f t="shared" si="33"/>
        <v>0.14000000000000001</v>
      </c>
      <c r="BJ46" s="1096">
        <f t="shared" si="34"/>
        <v>1.2E-2</v>
      </c>
      <c r="BK46" s="1097">
        <f t="shared" si="35"/>
        <v>3.0000000000000001E-3</v>
      </c>
      <c r="BN46" t="s">
        <v>1709</v>
      </c>
      <c r="BO46" t="s">
        <v>1624</v>
      </c>
      <c r="BP46" s="8" t="s">
        <v>1702</v>
      </c>
      <c r="BQ46" s="8">
        <v>2007</v>
      </c>
      <c r="BR46" s="8">
        <v>40.799999999999997</v>
      </c>
      <c r="BS46" s="8">
        <v>32.799999999999997</v>
      </c>
      <c r="BT46" s="8">
        <v>25.4</v>
      </c>
      <c r="BU46" s="8">
        <v>0.3</v>
      </c>
      <c r="BV46" s="8">
        <v>14</v>
      </c>
      <c r="BW46" s="8">
        <v>1.2</v>
      </c>
      <c r="BX46" s="8">
        <v>0.3</v>
      </c>
      <c r="BY46" s="1140">
        <f t="shared" si="36"/>
        <v>0.40799999999999997</v>
      </c>
      <c r="BZ46" s="1140">
        <f t="shared" si="37"/>
        <v>0.32799999999999996</v>
      </c>
      <c r="CA46" s="1140">
        <f t="shared" si="38"/>
        <v>0.254</v>
      </c>
      <c r="CB46" s="1140">
        <f t="shared" si="39"/>
        <v>3.0000000000000001E-3</v>
      </c>
      <c r="CC46" s="1140">
        <f t="shared" si="40"/>
        <v>0.14000000000000001</v>
      </c>
      <c r="CD46" s="1140">
        <f t="shared" si="41"/>
        <v>1.2E-2</v>
      </c>
      <c r="CE46" s="1140">
        <f t="shared" si="42"/>
        <v>3.0000000000000001E-3</v>
      </c>
      <c r="CF46" s="1140" t="str">
        <f t="shared" si="43"/>
        <v>Zambia2007</v>
      </c>
      <c r="CJ46" s="1109">
        <v>588</v>
      </c>
      <c r="CK46" s="1109" t="s">
        <v>1740</v>
      </c>
      <c r="CL46" s="1109">
        <v>2015</v>
      </c>
      <c r="CM46" s="1111">
        <v>258.113</v>
      </c>
      <c r="CN46" s="1143" t="s">
        <v>1740</v>
      </c>
      <c r="CO46" s="1144">
        <v>258113</v>
      </c>
    </row>
    <row r="47" spans="4:113">
      <c r="D47" s="149"/>
      <c r="E47" s="149"/>
      <c r="F47" s="149"/>
      <c r="G47" s="149"/>
      <c r="H47" s="149"/>
      <c r="I47" s="149"/>
      <c r="J47" s="149"/>
      <c r="K47" s="1155" t="s">
        <v>1980</v>
      </c>
      <c r="L47" s="1245">
        <f>SUM(L41:L46)</f>
        <v>10</v>
      </c>
      <c r="M47" s="149"/>
      <c r="BA47" s="397" t="str">
        <f t="array" ref="BA47">IFERROR(INDEX($BO$5:$BO$1001, MATCH(0,COUNTIF($BA$2:BA46, $BO$5:$BO$1001), 0)),"")</f>
        <v>Zimbabwe</v>
      </c>
      <c r="BB47" s="1114">
        <f t="shared" si="27"/>
        <v>4099066</v>
      </c>
      <c r="BC47" s="1095">
        <f t="array" ref="BC47">IF(OR(BA47="",BA47=0),"",MAX(IF($BO$5:$BO$1001=$BA47,$BQ$5:$BQ$1001)))</f>
        <v>2010</v>
      </c>
      <c r="BD47" s="1095" t="str">
        <f t="shared" si="28"/>
        <v>DHS</v>
      </c>
      <c r="BE47" s="1096">
        <f t="shared" si="29"/>
        <v>0.58499999999999996</v>
      </c>
      <c r="BF47" s="1096">
        <f t="shared" si="30"/>
        <v>0.71099999999999997</v>
      </c>
      <c r="BG47" s="1096">
        <f t="shared" si="31"/>
        <v>0.14300000000000002</v>
      </c>
      <c r="BH47" s="1096">
        <f t="shared" si="32"/>
        <v>3.0000000000000001E-3</v>
      </c>
      <c r="BI47" s="1096">
        <f t="shared" si="33"/>
        <v>5.2999999999999999E-2</v>
      </c>
      <c r="BJ47" s="1096">
        <f t="shared" si="34"/>
        <v>4.5999999999999999E-2</v>
      </c>
      <c r="BK47" s="1097">
        <f t="shared" si="35"/>
        <v>5.0000000000000001E-3</v>
      </c>
      <c r="BN47" t="s">
        <v>1709</v>
      </c>
      <c r="BO47" t="s">
        <v>1625</v>
      </c>
      <c r="BP47" s="8" t="s">
        <v>1702</v>
      </c>
      <c r="BQ47" s="8">
        <v>2010</v>
      </c>
      <c r="BR47" s="8">
        <v>58.5</v>
      </c>
      <c r="BS47" s="8">
        <v>71.099999999999994</v>
      </c>
      <c r="BT47" s="8">
        <v>14.3</v>
      </c>
      <c r="BU47" s="8">
        <v>0.3</v>
      </c>
      <c r="BV47" s="8">
        <v>5.3</v>
      </c>
      <c r="BW47" s="8">
        <v>4.5999999999999996</v>
      </c>
      <c r="BX47" s="8">
        <v>0.5</v>
      </c>
      <c r="BY47" s="1140">
        <f t="shared" si="36"/>
        <v>0.58499999999999996</v>
      </c>
      <c r="BZ47" s="1140">
        <f t="shared" si="37"/>
        <v>0.71099999999999997</v>
      </c>
      <c r="CA47" s="1140">
        <f t="shared" si="38"/>
        <v>0.14300000000000002</v>
      </c>
      <c r="CB47" s="1140">
        <f t="shared" si="39"/>
        <v>3.0000000000000001E-3</v>
      </c>
      <c r="CC47" s="1140">
        <f t="shared" si="40"/>
        <v>5.2999999999999999E-2</v>
      </c>
      <c r="CD47" s="1140">
        <f t="shared" si="41"/>
        <v>4.5999999999999999E-2</v>
      </c>
      <c r="CE47" s="1140">
        <f t="shared" si="42"/>
        <v>5.0000000000000001E-3</v>
      </c>
      <c r="CF47" s="1140" t="str">
        <f t="shared" si="43"/>
        <v>Zimbabwe2010</v>
      </c>
      <c r="CJ47" s="1109">
        <v>602</v>
      </c>
      <c r="CK47" s="1109" t="s">
        <v>1596</v>
      </c>
      <c r="CL47" s="1109">
        <v>2015</v>
      </c>
      <c r="CM47" s="1111">
        <v>478.14699999999999</v>
      </c>
      <c r="CN47" s="1143" t="s">
        <v>1596</v>
      </c>
      <c r="CO47" s="1144">
        <v>478147</v>
      </c>
    </row>
    <row r="48" spans="4:113">
      <c r="D48" s="149"/>
      <c r="E48" s="149"/>
      <c r="F48" s="149"/>
      <c r="G48" s="149"/>
      <c r="H48" s="149"/>
      <c r="I48" s="149"/>
      <c r="J48" s="149"/>
      <c r="K48" s="149"/>
      <c r="L48" s="149"/>
      <c r="M48" s="149"/>
      <c r="BA48" s="397" t="str">
        <f t="array" ref="BA48">IFERROR(INDEX($BO$5:$BO$1001, MATCH(0,COUNTIF($BA$2:BA47, $BO$5:$BO$1001), 0)),"")</f>
        <v>Algeria</v>
      </c>
      <c r="BB48" s="1114">
        <f t="shared" si="27"/>
        <v>10730620</v>
      </c>
      <c r="BC48" s="1095">
        <f t="array" ref="BC48">IF(OR(BA48="",BA48=0),"",MAX(IF($BO$5:$BO$1001=$BA48,$BQ$5:$BQ$1001)))</f>
        <v>2006</v>
      </c>
      <c r="BD48" s="1095" t="str">
        <f t="shared" si="28"/>
        <v>MICS</v>
      </c>
      <c r="BE48" s="1096">
        <f t="shared" si="29"/>
        <v>0.61399999999999999</v>
      </c>
      <c r="BF48" s="1096">
        <f t="shared" si="30"/>
        <v>0.77400000000000002</v>
      </c>
      <c r="BG48" s="1096">
        <f t="shared" si="31"/>
        <v>0</v>
      </c>
      <c r="BH48" s="1096">
        <f t="shared" si="32"/>
        <v>3.9E-2</v>
      </c>
      <c r="BI48" s="1096">
        <f t="shared" si="33"/>
        <v>3.9E-2</v>
      </c>
      <c r="BJ48" s="1096">
        <f t="shared" si="34"/>
        <v>0</v>
      </c>
      <c r="BK48" s="1097">
        <f t="shared" si="35"/>
        <v>5.0000000000000001E-3</v>
      </c>
      <c r="BN48" t="s">
        <v>1709</v>
      </c>
      <c r="BO48" t="s">
        <v>1626</v>
      </c>
      <c r="BP48" s="8" t="s">
        <v>1700</v>
      </c>
      <c r="BQ48" s="8">
        <v>2006</v>
      </c>
      <c r="BR48" s="8">
        <v>61.4</v>
      </c>
      <c r="BS48" s="8">
        <v>77.400000000000006</v>
      </c>
      <c r="BT48" s="8">
        <v>0</v>
      </c>
      <c r="BU48" s="8">
        <v>3.9</v>
      </c>
      <c r="BV48" s="8">
        <v>3.9</v>
      </c>
      <c r="BW48" s="8">
        <v>0</v>
      </c>
      <c r="BX48" s="8">
        <v>0.5</v>
      </c>
      <c r="BY48" s="1140">
        <f t="shared" si="36"/>
        <v>0.61399999999999999</v>
      </c>
      <c r="BZ48" s="1140">
        <f t="shared" si="37"/>
        <v>0.77400000000000002</v>
      </c>
      <c r="CA48" s="1140">
        <f t="shared" si="38"/>
        <v>0</v>
      </c>
      <c r="CB48" s="1140">
        <f t="shared" si="39"/>
        <v>3.9E-2</v>
      </c>
      <c r="CC48" s="1140">
        <f t="shared" si="40"/>
        <v>3.9E-2</v>
      </c>
      <c r="CD48" s="1140">
        <f t="shared" si="41"/>
        <v>0</v>
      </c>
      <c r="CE48" s="1140">
        <f t="shared" si="42"/>
        <v>5.0000000000000001E-3</v>
      </c>
      <c r="CF48" s="1140" t="str">
        <f t="shared" si="43"/>
        <v>Algeria2006</v>
      </c>
      <c r="CJ48" s="1109">
        <v>616</v>
      </c>
      <c r="CK48" s="1109" t="s">
        <v>1785</v>
      </c>
      <c r="CL48" s="1109">
        <v>2015</v>
      </c>
      <c r="CM48" s="1111">
        <v>46.188000000000002</v>
      </c>
      <c r="CN48" s="1143" t="s">
        <v>1785</v>
      </c>
      <c r="CO48" s="1144">
        <v>46188</v>
      </c>
    </row>
    <row r="49" spans="4:113">
      <c r="BA49" s="397" t="str">
        <f t="array" ref="BA49">IFERROR(INDEX($BO$5:$BO$1001, MATCH(0,COUNTIF($BA$2:BA48, $BO$5:$BO$1001), 0)),"")</f>
        <v>Egypt Arab Rep</v>
      </c>
      <c r="BB49" s="1114">
        <f t="shared" si="27"/>
        <v>23787262</v>
      </c>
      <c r="BC49" s="1095">
        <f t="array" ref="BC49">IF(OR(BA49="",BA49=0),"",MAX(IF($BO$5:$BO$1001=$BA49,$BQ$5:$BQ$1001)))</f>
        <v>2008</v>
      </c>
      <c r="BD49" s="1095" t="str">
        <f t="shared" si="28"/>
        <v>DHS</v>
      </c>
      <c r="BE49" s="1096">
        <f t="shared" si="29"/>
        <v>0.60299999999999998</v>
      </c>
      <c r="BF49" s="1096">
        <f t="shared" si="30"/>
        <v>0.20399999999999999</v>
      </c>
      <c r="BG49" s="1096">
        <f t="shared" si="31"/>
        <v>0.127</v>
      </c>
      <c r="BH49" s="1096">
        <f t="shared" si="32"/>
        <v>0.62</v>
      </c>
      <c r="BI49" s="1096">
        <f t="shared" si="33"/>
        <v>1.2E-2</v>
      </c>
      <c r="BJ49" s="1096">
        <f t="shared" si="34"/>
        <v>9.0000000000000011E-3</v>
      </c>
      <c r="BK49" s="1097">
        <f t="shared" si="35"/>
        <v>0</v>
      </c>
      <c r="BN49" t="s">
        <v>1709</v>
      </c>
      <c r="BO49" t="s">
        <v>1627</v>
      </c>
      <c r="BP49" s="8" t="s">
        <v>1702</v>
      </c>
      <c r="BQ49" s="8">
        <v>2008</v>
      </c>
      <c r="BR49" s="8">
        <v>60.3</v>
      </c>
      <c r="BS49" s="8">
        <v>20.399999999999999</v>
      </c>
      <c r="BT49" s="8">
        <v>12.7</v>
      </c>
      <c r="BU49" s="8">
        <v>62</v>
      </c>
      <c r="BV49" s="8">
        <v>1.2</v>
      </c>
      <c r="BW49" s="8">
        <v>0.9</v>
      </c>
      <c r="BX49" s="8">
        <v>0</v>
      </c>
      <c r="BY49" s="1140">
        <f t="shared" si="36"/>
        <v>0.60299999999999998</v>
      </c>
      <c r="BZ49" s="1140">
        <f t="shared" si="37"/>
        <v>0.20399999999999999</v>
      </c>
      <c r="CA49" s="1140">
        <f t="shared" si="38"/>
        <v>0.127</v>
      </c>
      <c r="CB49" s="1140">
        <f t="shared" si="39"/>
        <v>0.62</v>
      </c>
      <c r="CC49" s="1140">
        <f t="shared" si="40"/>
        <v>1.2E-2</v>
      </c>
      <c r="CD49" s="1140">
        <f t="shared" si="41"/>
        <v>9.0000000000000011E-3</v>
      </c>
      <c r="CE49" s="1140">
        <f t="shared" si="42"/>
        <v>0</v>
      </c>
      <c r="CF49" s="1140" t="str">
        <f t="shared" si="43"/>
        <v>Egypt Arab Rep2008</v>
      </c>
      <c r="CJ49" s="1109">
        <v>630</v>
      </c>
      <c r="CK49" s="1110" t="s">
        <v>1848</v>
      </c>
      <c r="CL49" s="1109">
        <v>2015</v>
      </c>
      <c r="CM49" s="1111">
        <v>58106.152000000002</v>
      </c>
      <c r="CN49" s="1143" t="s">
        <v>1728</v>
      </c>
      <c r="CO49" s="1144">
        <v>58106152</v>
      </c>
    </row>
    <row r="50" spans="4:113">
      <c r="BA50" s="397" t="str">
        <f t="array" ref="BA50">IFERROR(INDEX($BO$5:$BO$1001, MATCH(0,COUNTIF($BA$2:BA49, $BO$5:$BO$1001), 0)),"")</f>
        <v>Iran</v>
      </c>
      <c r="BB50" s="1114">
        <f t="shared" si="27"/>
        <v>23593747</v>
      </c>
      <c r="BC50" s="1095">
        <f t="array" ref="BC50">IF(OR(BA50="",BA50=0),"",MAX(IF($BO$5:$BO$1001=$BA50,$BQ$5:$BQ$1001)))</f>
        <v>2002</v>
      </c>
      <c r="BD50" s="1095" t="str">
        <f t="shared" si="28"/>
        <v>NS</v>
      </c>
      <c r="BE50" s="1096">
        <f t="shared" si="29"/>
        <v>0.73299999999999998</v>
      </c>
      <c r="BF50" s="1096">
        <f t="shared" si="30"/>
        <v>0.34899999999999998</v>
      </c>
      <c r="BG50" s="1096">
        <f t="shared" si="31"/>
        <v>3.2000000000000001E-2</v>
      </c>
      <c r="BH50" s="1096">
        <f t="shared" si="32"/>
        <v>0.106</v>
      </c>
      <c r="BI50" s="1096">
        <f t="shared" si="33"/>
        <v>8.3000000000000004E-2</v>
      </c>
      <c r="BJ50" s="1096">
        <f t="shared" si="34"/>
        <v>6.0000000000000001E-3</v>
      </c>
      <c r="BK50" s="1097">
        <f t="shared" si="35"/>
        <v>0</v>
      </c>
      <c r="BN50" t="s">
        <v>1709</v>
      </c>
      <c r="BO50" t="s">
        <v>1628</v>
      </c>
      <c r="BP50" s="8" t="s">
        <v>1701</v>
      </c>
      <c r="BQ50" s="8">
        <v>2002</v>
      </c>
      <c r="BR50" s="8">
        <v>73.3</v>
      </c>
      <c r="BS50" s="8">
        <v>34.9</v>
      </c>
      <c r="BT50" s="8">
        <v>3.2</v>
      </c>
      <c r="BU50" s="8">
        <v>10.6</v>
      </c>
      <c r="BV50" s="8">
        <v>8.3000000000000007</v>
      </c>
      <c r="BW50" s="8">
        <v>0.6</v>
      </c>
      <c r="BX50" s="8">
        <v>0</v>
      </c>
      <c r="BY50" s="1140">
        <f t="shared" si="36"/>
        <v>0.73299999999999998</v>
      </c>
      <c r="BZ50" s="1140">
        <f t="shared" si="37"/>
        <v>0.34899999999999998</v>
      </c>
      <c r="CA50" s="1140">
        <f t="shared" si="38"/>
        <v>3.2000000000000001E-2</v>
      </c>
      <c r="CB50" s="1140">
        <f t="shared" si="39"/>
        <v>0.106</v>
      </c>
      <c r="CC50" s="1140">
        <f t="shared" si="40"/>
        <v>8.3000000000000004E-2</v>
      </c>
      <c r="CD50" s="1140">
        <f t="shared" si="41"/>
        <v>6.0000000000000001E-3</v>
      </c>
      <c r="CE50" s="1140">
        <f t="shared" si="42"/>
        <v>0</v>
      </c>
      <c r="CF50" s="1140" t="str">
        <f t="shared" si="43"/>
        <v>Iran2002</v>
      </c>
      <c r="CJ50" s="1109">
        <v>644</v>
      </c>
      <c r="CK50" s="1109" t="s">
        <v>1626</v>
      </c>
      <c r="CL50" s="1109">
        <v>2015</v>
      </c>
      <c r="CM50" s="1111">
        <v>10730.62</v>
      </c>
      <c r="CN50" s="1143" t="s">
        <v>1626</v>
      </c>
      <c r="CO50" s="1144">
        <v>10730620</v>
      </c>
    </row>
    <row r="51" spans="4:113">
      <c r="BA51" s="397" t="str">
        <f t="array" ref="BA51">IFERROR(INDEX($BO$5:$BO$1001, MATCH(0,COUNTIF($BA$2:BA50, $BO$5:$BO$1001), 0)),"")</f>
        <v>Iraq</v>
      </c>
      <c r="BB51" s="1114">
        <f t="shared" si="27"/>
        <v>8817725</v>
      </c>
      <c r="BC51" s="1095">
        <f t="array" ref="BC51">IF(OR(BA51="",BA51=0),"",MAX(IF($BO$5:$BO$1001=$BA51,$BQ$5:$BQ$1001)))</f>
        <v>2011</v>
      </c>
      <c r="BD51" s="1095" t="str">
        <f t="shared" si="28"/>
        <v>MICS</v>
      </c>
      <c r="BE51" s="1096">
        <f t="shared" si="29"/>
        <v>0.51200000000000001</v>
      </c>
      <c r="BF51" s="1096">
        <f t="shared" si="30"/>
        <v>0.313</v>
      </c>
      <c r="BG51" s="1096">
        <f t="shared" si="31"/>
        <v>6.5000000000000002E-2</v>
      </c>
      <c r="BH51" s="1096">
        <f t="shared" si="32"/>
        <v>0.19399999999999998</v>
      </c>
      <c r="BI51" s="1096">
        <f t="shared" si="33"/>
        <v>3.7000000000000005E-2</v>
      </c>
      <c r="BJ51" s="1096">
        <f t="shared" si="34"/>
        <v>2E-3</v>
      </c>
      <c r="BK51" s="1097">
        <f t="shared" si="35"/>
        <v>1.2E-2</v>
      </c>
      <c r="BN51" t="s">
        <v>1709</v>
      </c>
      <c r="BO51" t="s">
        <v>1629</v>
      </c>
      <c r="BP51" s="8" t="s">
        <v>1700</v>
      </c>
      <c r="BQ51" s="8">
        <v>2011</v>
      </c>
      <c r="BR51" s="8">
        <v>51.2</v>
      </c>
      <c r="BS51" s="8">
        <v>31.3</v>
      </c>
      <c r="BT51" s="8">
        <v>6.5</v>
      </c>
      <c r="BU51" s="8">
        <v>19.399999999999999</v>
      </c>
      <c r="BV51" s="8">
        <v>3.7</v>
      </c>
      <c r="BW51" s="8">
        <v>0.2</v>
      </c>
      <c r="BX51" s="8">
        <v>1.2</v>
      </c>
      <c r="BY51" s="1140">
        <f t="shared" si="36"/>
        <v>0.51200000000000001</v>
      </c>
      <c r="BZ51" s="1140">
        <f t="shared" si="37"/>
        <v>0.313</v>
      </c>
      <c r="CA51" s="1140">
        <f t="shared" si="38"/>
        <v>6.5000000000000002E-2</v>
      </c>
      <c r="CB51" s="1140">
        <f t="shared" si="39"/>
        <v>0.19399999999999998</v>
      </c>
      <c r="CC51" s="1140">
        <f t="shared" si="40"/>
        <v>3.7000000000000005E-2</v>
      </c>
      <c r="CD51" s="1140">
        <f t="shared" si="41"/>
        <v>2E-3</v>
      </c>
      <c r="CE51" s="1140">
        <f t="shared" si="42"/>
        <v>1.2E-2</v>
      </c>
      <c r="CF51" s="1140" t="str">
        <f t="shared" si="43"/>
        <v>Iraq2011</v>
      </c>
      <c r="CJ51" s="1109">
        <v>658</v>
      </c>
      <c r="CK51" s="1109" t="s">
        <v>1812</v>
      </c>
      <c r="CL51" s="1109">
        <v>2015</v>
      </c>
      <c r="CM51" s="1111">
        <v>23787.261999999999</v>
      </c>
      <c r="CN51" s="1143" t="s">
        <v>1627</v>
      </c>
      <c r="CO51" s="1144">
        <v>23787262</v>
      </c>
    </row>
    <row r="52" spans="4:113">
      <c r="BA52" s="397" t="str">
        <f t="array" ref="BA52">IFERROR(INDEX($BO$5:$BO$1001, MATCH(0,COUNTIF($BA$2:BA51, $BO$5:$BO$1001), 0)),"")</f>
        <v>Jordan</v>
      </c>
      <c r="BB52" s="1114">
        <f t="shared" si="27"/>
        <v>2352593</v>
      </c>
      <c r="BC52" s="1095">
        <f t="array" ref="BC52">IF(OR(BA52="",BA52=0),"",MAX(IF($BO$5:$BO$1001=$BA52,$BQ$5:$BQ$1001)))</f>
        <v>2012</v>
      </c>
      <c r="BD52" s="1095" t="str">
        <f t="shared" si="28"/>
        <v>DHS-P</v>
      </c>
      <c r="BE52" s="1096">
        <f t="shared" si="29"/>
        <v>0.61199999999999999</v>
      </c>
      <c r="BF52" s="1096">
        <f t="shared" si="30"/>
        <v>0.13800000000000001</v>
      </c>
      <c r="BG52" s="1096">
        <f t="shared" si="31"/>
        <v>1.4999999999999999E-2</v>
      </c>
      <c r="BH52" s="1096">
        <f t="shared" si="32"/>
        <v>0.36299999999999999</v>
      </c>
      <c r="BI52" s="1096">
        <f t="shared" si="33"/>
        <v>0.13500000000000001</v>
      </c>
      <c r="BJ52" s="1096">
        <f t="shared" si="34"/>
        <v>5.0000000000000001E-3</v>
      </c>
      <c r="BK52" s="1097">
        <f t="shared" si="35"/>
        <v>3.0000000000000001E-3</v>
      </c>
      <c r="BN52" t="s">
        <v>1709</v>
      </c>
      <c r="BO52" t="s">
        <v>1630</v>
      </c>
      <c r="BP52" s="8" t="s">
        <v>1703</v>
      </c>
      <c r="BQ52" s="8">
        <v>2012</v>
      </c>
      <c r="BR52" s="8">
        <v>61.2</v>
      </c>
      <c r="BS52" s="8">
        <v>13.8</v>
      </c>
      <c r="BT52" s="8">
        <v>1.5</v>
      </c>
      <c r="BU52" s="8">
        <v>36.299999999999997</v>
      </c>
      <c r="BV52" s="8">
        <v>13.5</v>
      </c>
      <c r="BW52" s="8">
        <v>0.5</v>
      </c>
      <c r="BX52" s="8">
        <v>0.3</v>
      </c>
      <c r="BY52" s="1140">
        <f t="shared" si="36"/>
        <v>0.61199999999999999</v>
      </c>
      <c r="BZ52" s="1140">
        <f t="shared" si="37"/>
        <v>0.13800000000000001</v>
      </c>
      <c r="CA52" s="1140">
        <f t="shared" si="38"/>
        <v>1.4999999999999999E-2</v>
      </c>
      <c r="CB52" s="1140">
        <f t="shared" si="39"/>
        <v>0.36299999999999999</v>
      </c>
      <c r="CC52" s="1140">
        <f t="shared" si="40"/>
        <v>0.13500000000000001</v>
      </c>
      <c r="CD52" s="1140">
        <f t="shared" si="41"/>
        <v>5.0000000000000001E-3</v>
      </c>
      <c r="CE52" s="1140">
        <f t="shared" si="42"/>
        <v>3.0000000000000001E-3</v>
      </c>
      <c r="CF52" s="1140" t="str">
        <f t="shared" si="43"/>
        <v>Jordan2012</v>
      </c>
      <c r="CJ52" s="1109">
        <v>672</v>
      </c>
      <c r="CK52" s="1109" t="s">
        <v>1761</v>
      </c>
      <c r="CL52" s="1109">
        <v>2015</v>
      </c>
      <c r="CM52" s="1111">
        <v>1789.98</v>
      </c>
      <c r="CN52" s="1143" t="s">
        <v>1761</v>
      </c>
      <c r="CO52" s="1144">
        <v>1789980</v>
      </c>
    </row>
    <row r="53" spans="4:113">
      <c r="BA53" s="397" t="str">
        <f t="array" ref="BA53">IFERROR(INDEX($BO$5:$BO$1001, MATCH(0,COUNTIF($BA$2:BA52, $BO$5:$BO$1001), 0)),"")</f>
        <v>Lebanon</v>
      </c>
      <c r="BB53" s="1114">
        <f t="shared" si="27"/>
        <v>1629974</v>
      </c>
      <c r="BC53" s="1095">
        <f t="array" ref="BC53">IF(OR(BA53="",BA53=0),"",MAX(IF($BO$5:$BO$1001=$BA53,$BQ$5:$BQ$1001)))</f>
        <v>2006</v>
      </c>
      <c r="BD53" s="1095" t="str">
        <f t="shared" si="28"/>
        <v>PAPFAM</v>
      </c>
      <c r="BE53" s="1096">
        <f t="shared" si="29"/>
        <v>0.57999999999999996</v>
      </c>
      <c r="BF53" s="1096">
        <f t="shared" si="30"/>
        <v>0.375</v>
      </c>
      <c r="BG53" s="1096">
        <f t="shared" si="31"/>
        <v>0</v>
      </c>
      <c r="BH53" s="1096">
        <f t="shared" si="32"/>
        <v>0.40700000000000003</v>
      </c>
      <c r="BI53" s="1096">
        <f t="shared" si="33"/>
        <v>0.127</v>
      </c>
      <c r="BJ53" s="1096">
        <f t="shared" si="34"/>
        <v>0</v>
      </c>
      <c r="BK53" s="1097">
        <f t="shared" si="35"/>
        <v>0</v>
      </c>
      <c r="BN53" t="s">
        <v>1709</v>
      </c>
      <c r="BO53" t="s">
        <v>1631</v>
      </c>
      <c r="BP53" s="8" t="s">
        <v>1704</v>
      </c>
      <c r="BQ53" s="8">
        <v>2006</v>
      </c>
      <c r="BR53" s="8">
        <v>58</v>
      </c>
      <c r="BS53" s="8">
        <v>37.5</v>
      </c>
      <c r="BT53" s="8">
        <v>0</v>
      </c>
      <c r="BU53" s="8">
        <v>40.700000000000003</v>
      </c>
      <c r="BV53" s="8">
        <v>12.7</v>
      </c>
      <c r="BW53" s="8">
        <v>0</v>
      </c>
      <c r="BX53" s="8">
        <v>0</v>
      </c>
      <c r="BY53" s="1140">
        <f t="shared" si="36"/>
        <v>0.57999999999999996</v>
      </c>
      <c r="BZ53" s="1140">
        <f t="shared" si="37"/>
        <v>0.375</v>
      </c>
      <c r="CA53" s="1140">
        <f t="shared" si="38"/>
        <v>0</v>
      </c>
      <c r="CB53" s="1140">
        <f t="shared" si="39"/>
        <v>0.40700000000000003</v>
      </c>
      <c r="CC53" s="1140">
        <f t="shared" si="40"/>
        <v>0.127</v>
      </c>
      <c r="CD53" s="1140">
        <f t="shared" si="41"/>
        <v>0</v>
      </c>
      <c r="CE53" s="1140">
        <f t="shared" si="42"/>
        <v>0</v>
      </c>
      <c r="CF53" s="1140" t="str">
        <f t="shared" si="43"/>
        <v>Lebanon2006</v>
      </c>
      <c r="CJ53" s="1109">
        <v>686</v>
      </c>
      <c r="CK53" s="1109" t="s">
        <v>1632</v>
      </c>
      <c r="CL53" s="1109">
        <v>2015</v>
      </c>
      <c r="CM53" s="1111">
        <v>9326.223</v>
      </c>
      <c r="CN53" s="1143" t="s">
        <v>1632</v>
      </c>
      <c r="CO53" s="1144">
        <v>9326223</v>
      </c>
    </row>
    <row r="54" spans="4:113" ht="20.6">
      <c r="D54" s="1038" t="s">
        <v>1978</v>
      </c>
      <c r="E54" s="149"/>
      <c r="F54" s="149"/>
      <c r="G54" s="149"/>
      <c r="H54" s="149"/>
      <c r="I54" s="149"/>
      <c r="J54" s="149"/>
      <c r="K54" s="149"/>
      <c r="L54" s="149"/>
      <c r="BA54" s="397" t="str">
        <f t="array" ref="BA54">IFERROR(INDEX($BO$5:$BO$1001, MATCH(0,COUNTIF($BA$2:BA53, $BO$5:$BO$1001), 0)),"")</f>
        <v>Morocco</v>
      </c>
      <c r="BB54" s="1114">
        <f t="shared" si="27"/>
        <v>9326223</v>
      </c>
      <c r="BC54" s="1095">
        <f t="array" ref="BC54">IF(OR(BA54="",BA54=0),"",MAX(IF($BO$5:$BO$1001=$BA54,$BQ$5:$BQ$1001)))</f>
        <v>2003</v>
      </c>
      <c r="BD54" s="1095" t="str">
        <f t="shared" si="28"/>
        <v>DHS</v>
      </c>
      <c r="BE54" s="1096">
        <f t="shared" si="29"/>
        <v>0.63</v>
      </c>
      <c r="BF54" s="1096">
        <f t="shared" si="30"/>
        <v>0.66700000000000004</v>
      </c>
      <c r="BG54" s="1096">
        <f t="shared" si="31"/>
        <v>3.5000000000000003E-2</v>
      </c>
      <c r="BH54" s="1096">
        <f t="shared" si="32"/>
        <v>0.09</v>
      </c>
      <c r="BI54" s="1096">
        <f t="shared" si="33"/>
        <v>2.5000000000000001E-2</v>
      </c>
      <c r="BJ54" s="1096">
        <f t="shared" si="34"/>
        <v>0</v>
      </c>
      <c r="BK54" s="1097">
        <f t="shared" si="35"/>
        <v>2E-3</v>
      </c>
      <c r="BN54" t="s">
        <v>1709</v>
      </c>
      <c r="BO54" t="s">
        <v>1632</v>
      </c>
      <c r="BP54" s="8" t="s">
        <v>1702</v>
      </c>
      <c r="BQ54" s="8">
        <v>2003</v>
      </c>
      <c r="BR54" s="8">
        <v>63</v>
      </c>
      <c r="BS54" s="8">
        <v>66.7</v>
      </c>
      <c r="BT54" s="8">
        <v>3.5</v>
      </c>
      <c r="BU54" s="8">
        <v>9</v>
      </c>
      <c r="BV54" s="8">
        <v>2.5</v>
      </c>
      <c r="BW54" s="8">
        <v>0</v>
      </c>
      <c r="BX54" s="8">
        <v>0.2</v>
      </c>
      <c r="BY54" s="1140">
        <f t="shared" si="36"/>
        <v>0.63</v>
      </c>
      <c r="BZ54" s="1140">
        <f t="shared" si="37"/>
        <v>0.66700000000000004</v>
      </c>
      <c r="CA54" s="1140">
        <f t="shared" si="38"/>
        <v>3.5000000000000003E-2</v>
      </c>
      <c r="CB54" s="1140">
        <f t="shared" si="39"/>
        <v>0.09</v>
      </c>
      <c r="CC54" s="1140">
        <f t="shared" si="40"/>
        <v>2.5000000000000001E-2</v>
      </c>
      <c r="CD54" s="1140">
        <f t="shared" si="41"/>
        <v>0</v>
      </c>
      <c r="CE54" s="1140">
        <f t="shared" si="42"/>
        <v>2E-3</v>
      </c>
      <c r="CF54" s="1140" t="str">
        <f t="shared" si="43"/>
        <v>Morocco2003</v>
      </c>
      <c r="CJ54" s="1109">
        <v>700</v>
      </c>
      <c r="CK54" s="1109" t="s">
        <v>1619</v>
      </c>
      <c r="CL54" s="1109">
        <v>2015</v>
      </c>
      <c r="CM54" s="1111">
        <v>9255.7759999999998</v>
      </c>
      <c r="CN54" s="1143" t="s">
        <v>1619</v>
      </c>
      <c r="CO54" s="1144">
        <v>9255776</v>
      </c>
    </row>
    <row r="55" spans="4:113">
      <c r="D55" s="149"/>
      <c r="E55" s="149"/>
      <c r="F55" s="149"/>
      <c r="G55" s="149"/>
      <c r="H55" s="149"/>
      <c r="I55" s="149"/>
      <c r="J55" s="149"/>
      <c r="K55" s="149"/>
      <c r="L55" s="149"/>
      <c r="BA55" s="397" t="str">
        <f t="array" ref="BA55">IFERROR(INDEX($BO$5:$BO$1001, MATCH(0,COUNTIF($BA$2:BA54, $BO$5:$BO$1001), 0)),"")</f>
        <v>Syria</v>
      </c>
      <c r="BB55" s="1114">
        <f t="shared" si="27"/>
        <v>4498027</v>
      </c>
      <c r="BC55" s="1095">
        <f t="array" ref="BC55">IF(OR(BA55="",BA55=0),"",MAX(IF($BO$5:$BO$1001=$BA55,$BQ$5:$BQ$1001)))</f>
        <v>2006</v>
      </c>
      <c r="BD55" s="1095" t="str">
        <f t="shared" si="28"/>
        <v>MICS</v>
      </c>
      <c r="BE55" s="1096">
        <f t="shared" si="29"/>
        <v>0.58299999999999996</v>
      </c>
      <c r="BF55" s="1096">
        <f t="shared" si="30"/>
        <v>0.24199999999999999</v>
      </c>
      <c r="BG55" s="1096">
        <f t="shared" si="31"/>
        <v>1.7000000000000001E-2</v>
      </c>
      <c r="BH55" s="1096">
        <f t="shared" si="32"/>
        <v>0.48100000000000004</v>
      </c>
      <c r="BI55" s="1096">
        <f t="shared" si="33"/>
        <v>0.03</v>
      </c>
      <c r="BJ55" s="1096">
        <f t="shared" si="34"/>
        <v>0</v>
      </c>
      <c r="BK55" s="1097">
        <f t="shared" si="35"/>
        <v>4.0000000000000001E-3</v>
      </c>
      <c r="BN55" t="s">
        <v>1709</v>
      </c>
      <c r="BO55" t="s">
        <v>1633</v>
      </c>
      <c r="BP55" s="8" t="s">
        <v>1700</v>
      </c>
      <c r="BQ55" s="8">
        <v>2006</v>
      </c>
      <c r="BR55" s="8">
        <v>58.3</v>
      </c>
      <c r="BS55" s="8">
        <v>24.2</v>
      </c>
      <c r="BT55" s="8">
        <v>1.7</v>
      </c>
      <c r="BU55" s="8">
        <v>48.1</v>
      </c>
      <c r="BV55" s="8">
        <v>3</v>
      </c>
      <c r="BW55" s="8">
        <v>0</v>
      </c>
      <c r="BX55" s="8">
        <v>0.4</v>
      </c>
      <c r="BY55" s="1140">
        <f t="shared" si="36"/>
        <v>0.58299999999999996</v>
      </c>
      <c r="BZ55" s="1140">
        <f t="shared" si="37"/>
        <v>0.24199999999999999</v>
      </c>
      <c r="CA55" s="1140">
        <f t="shared" si="38"/>
        <v>1.7000000000000001E-2</v>
      </c>
      <c r="CB55" s="1140">
        <f t="shared" si="39"/>
        <v>0.48100000000000004</v>
      </c>
      <c r="CC55" s="1140">
        <f t="shared" si="40"/>
        <v>0.03</v>
      </c>
      <c r="CD55" s="1140">
        <f t="shared" si="41"/>
        <v>0</v>
      </c>
      <c r="CE55" s="1140">
        <f t="shared" si="42"/>
        <v>4.0000000000000001E-3</v>
      </c>
      <c r="CF55" s="1140" t="str">
        <f t="shared" si="43"/>
        <v>Syria2006</v>
      </c>
      <c r="CJ55" s="1109">
        <v>714</v>
      </c>
      <c r="CK55" s="1109" t="s">
        <v>1634</v>
      </c>
      <c r="CL55" s="1109">
        <v>2015</v>
      </c>
      <c r="CM55" s="1111">
        <v>3070.7730000000001</v>
      </c>
      <c r="CN55" s="1143" t="s">
        <v>1634</v>
      </c>
      <c r="CO55" s="1144">
        <v>3070773</v>
      </c>
    </row>
    <row r="56" spans="4:113" ht="14.7" customHeight="1">
      <c r="D56" s="149"/>
      <c r="E56" s="2797" t="s">
        <v>1981</v>
      </c>
      <c r="F56" s="2797"/>
      <c r="G56" s="2798">
        <v>0.2</v>
      </c>
      <c r="H56" s="149"/>
      <c r="I56" s="149"/>
      <c r="J56" s="149"/>
      <c r="K56" s="149"/>
      <c r="L56" s="149"/>
      <c r="BA56" s="397" t="str">
        <f t="array" ref="BA56">IFERROR(INDEX($BO$5:$BO$1001, MATCH(0,COUNTIF($BA$2:BA55, $BO$5:$BO$1001), 0)),"")</f>
        <v>Tunisia</v>
      </c>
      <c r="BB56" s="1114">
        <f t="shared" si="27"/>
        <v>3070773</v>
      </c>
      <c r="BC56" s="1095">
        <f t="array" ref="BC56">IF(OR(BA56="",BA56=0),"",MAX(IF($BO$5:$BO$1001=$BA56,$BQ$5:$BQ$1001)))</f>
        <v>2006</v>
      </c>
      <c r="BD56" s="1095" t="str">
        <f t="shared" si="28"/>
        <v>MICS</v>
      </c>
      <c r="BE56" s="1096">
        <f t="shared" si="29"/>
        <v>0.60199999999999998</v>
      </c>
      <c r="BF56" s="1096">
        <f t="shared" si="30"/>
        <v>0.24100000000000002</v>
      </c>
      <c r="BG56" s="1096">
        <f t="shared" si="31"/>
        <v>2.3E-2</v>
      </c>
      <c r="BH56" s="1096">
        <f t="shared" si="32"/>
        <v>0.46299999999999997</v>
      </c>
      <c r="BI56" s="1096">
        <f t="shared" si="33"/>
        <v>2.2000000000000002E-2</v>
      </c>
      <c r="BJ56" s="1096">
        <f t="shared" si="34"/>
        <v>5.0000000000000001E-3</v>
      </c>
      <c r="BK56" s="1097">
        <f t="shared" si="35"/>
        <v>0.01</v>
      </c>
      <c r="BN56" t="s">
        <v>1709</v>
      </c>
      <c r="BO56" t="s">
        <v>1634</v>
      </c>
      <c r="BP56" s="8" t="s">
        <v>1700</v>
      </c>
      <c r="BQ56" s="8">
        <v>2006</v>
      </c>
      <c r="BR56" s="8">
        <v>60.2</v>
      </c>
      <c r="BS56" s="8">
        <v>24.1</v>
      </c>
      <c r="BT56" s="8">
        <v>2.2999999999999998</v>
      </c>
      <c r="BU56" s="8">
        <v>46.3</v>
      </c>
      <c r="BV56" s="8">
        <v>2.2000000000000002</v>
      </c>
      <c r="BW56" s="8">
        <v>0.5</v>
      </c>
      <c r="BX56" s="8">
        <v>1</v>
      </c>
      <c r="BY56" s="1140">
        <f t="shared" si="36"/>
        <v>0.60199999999999998</v>
      </c>
      <c r="BZ56" s="1140">
        <f t="shared" si="37"/>
        <v>0.24100000000000002</v>
      </c>
      <c r="CA56" s="1140">
        <f t="shared" si="38"/>
        <v>2.3E-2</v>
      </c>
      <c r="CB56" s="1140">
        <f t="shared" si="39"/>
        <v>0.46299999999999997</v>
      </c>
      <c r="CC56" s="1140">
        <f t="shared" si="40"/>
        <v>2.2000000000000002E-2</v>
      </c>
      <c r="CD56" s="1140">
        <f t="shared" si="41"/>
        <v>5.0000000000000001E-3</v>
      </c>
      <c r="CE56" s="1140">
        <f t="shared" si="42"/>
        <v>0.01</v>
      </c>
      <c r="CF56" s="1140" t="str">
        <f t="shared" si="43"/>
        <v>Tunisia2006</v>
      </c>
      <c r="CJ56" s="1109">
        <v>728</v>
      </c>
      <c r="CK56" s="1109" t="s">
        <v>1805</v>
      </c>
      <c r="CL56" s="1109">
        <v>2015</v>
      </c>
      <c r="CM56" s="1111">
        <v>145.518</v>
      </c>
      <c r="CN56" s="1143" t="s">
        <v>1805</v>
      </c>
      <c r="CO56" s="1144">
        <v>145518</v>
      </c>
    </row>
    <row r="57" spans="4:113">
      <c r="D57" s="149"/>
      <c r="E57" s="2797"/>
      <c r="F57" s="2797"/>
      <c r="G57" s="2799"/>
      <c r="H57" s="149"/>
      <c r="I57" s="149"/>
      <c r="J57" s="149"/>
      <c r="K57" s="149"/>
      <c r="L57" s="149"/>
      <c r="BA57" s="397" t="str">
        <f t="array" ref="BA57">IFERROR(INDEX($BO$5:$BO$1001, MATCH(0,COUNTIF($BA$2:BA56, $BO$5:$BO$1001), 0)),"")</f>
        <v>Yemen Rep</v>
      </c>
      <c r="BB57" s="1114">
        <f t="shared" si="27"/>
        <v>6673836</v>
      </c>
      <c r="BC57" s="1095">
        <f t="array" ref="BC57">IF(OR(BA57="",BA57=0),"",MAX(IF($BO$5:$BO$1001=$BA57,$BQ$5:$BQ$1001)))</f>
        <v>2006</v>
      </c>
      <c r="BD57" s="1095" t="str">
        <f t="shared" si="28"/>
        <v>MICS</v>
      </c>
      <c r="BE57" s="1096">
        <f t="shared" si="29"/>
        <v>0.27699999999999997</v>
      </c>
      <c r="BF57" s="1096">
        <f t="shared" si="30"/>
        <v>0.433</v>
      </c>
      <c r="BG57" s="1096">
        <f t="shared" si="31"/>
        <v>0.16800000000000001</v>
      </c>
      <c r="BH57" s="1096">
        <f t="shared" si="32"/>
        <v>0.192</v>
      </c>
      <c r="BI57" s="1096">
        <f t="shared" si="33"/>
        <v>1.9E-2</v>
      </c>
      <c r="BJ57" s="1096">
        <f t="shared" si="34"/>
        <v>0</v>
      </c>
      <c r="BK57" s="1097">
        <f t="shared" si="35"/>
        <v>0</v>
      </c>
      <c r="BN57" t="s">
        <v>1709</v>
      </c>
      <c r="BO57" t="s">
        <v>1635</v>
      </c>
      <c r="BP57" s="8" t="s">
        <v>1700</v>
      </c>
      <c r="BQ57" s="8">
        <v>2006</v>
      </c>
      <c r="BR57" s="8">
        <v>27.7</v>
      </c>
      <c r="BS57" s="8">
        <v>43.3</v>
      </c>
      <c r="BT57" s="8">
        <v>16.8</v>
      </c>
      <c r="BU57" s="8">
        <v>19.2</v>
      </c>
      <c r="BV57" s="8">
        <v>1.9</v>
      </c>
      <c r="BW57" s="8">
        <v>0</v>
      </c>
      <c r="BX57" s="8">
        <v>0</v>
      </c>
      <c r="BY57" s="1140">
        <f t="shared" si="36"/>
        <v>0.27699999999999997</v>
      </c>
      <c r="BZ57" s="1140">
        <f t="shared" si="37"/>
        <v>0.433</v>
      </c>
      <c r="CA57" s="1140">
        <f t="shared" si="38"/>
        <v>0.16800000000000001</v>
      </c>
      <c r="CB57" s="1140">
        <f t="shared" si="39"/>
        <v>0.192</v>
      </c>
      <c r="CC57" s="1140">
        <f t="shared" si="40"/>
        <v>1.9E-2</v>
      </c>
      <c r="CD57" s="1140">
        <f t="shared" si="41"/>
        <v>0</v>
      </c>
      <c r="CE57" s="1140">
        <f t="shared" si="42"/>
        <v>0</v>
      </c>
      <c r="CF57" s="1140" t="str">
        <f t="shared" si="43"/>
        <v>Yemen Rep2006</v>
      </c>
      <c r="CJ57" s="1109">
        <v>742</v>
      </c>
      <c r="CK57" s="1110" t="s">
        <v>1849</v>
      </c>
      <c r="CL57" s="1109">
        <v>2015</v>
      </c>
      <c r="CM57" s="1111">
        <v>17214.671999999999</v>
      </c>
      <c r="CN57" s="1143" t="s">
        <v>1728</v>
      </c>
      <c r="CO57" s="1144">
        <v>17214672</v>
      </c>
    </row>
    <row r="58" spans="4:113">
      <c r="D58" s="149"/>
      <c r="E58" s="149"/>
      <c r="F58" s="149"/>
      <c r="G58" s="149"/>
      <c r="H58" s="149"/>
      <c r="I58" s="149"/>
      <c r="J58" s="149"/>
      <c r="K58" s="149"/>
      <c r="L58" s="149"/>
      <c r="BA58" s="397" t="str">
        <f t="array" ref="BA58">IFERROR(INDEX($BO$5:$BO$1001, MATCH(0,COUNTIF($BA$2:BA57, $BO$5:$BO$1001), 0)),"")</f>
        <v>Argentina</v>
      </c>
      <c r="BB58" s="1114">
        <f t="shared" si="27"/>
        <v>10804259</v>
      </c>
      <c r="BC58" s="1095">
        <f t="array" ref="BC58">IF(OR(BA58="",BA58=0),"",MAX(IF($BO$5:$BO$1001=$BA58,$BQ$5:$BQ$1001)))</f>
        <v>2004</v>
      </c>
      <c r="BD58" s="1095" t="str">
        <f t="shared" si="28"/>
        <v>NS</v>
      </c>
      <c r="BE58" s="1096">
        <f t="shared" si="29"/>
        <v>0.78900000000000003</v>
      </c>
      <c r="BF58" s="1096">
        <f t="shared" si="30"/>
        <v>0.25800000000000001</v>
      </c>
      <c r="BG58" s="1096">
        <f t="shared" si="31"/>
        <v>0.03</v>
      </c>
      <c r="BH58" s="1096">
        <f t="shared" si="32"/>
        <v>0.107</v>
      </c>
      <c r="BI58" s="1096">
        <f t="shared" si="33"/>
        <v>0.41700000000000004</v>
      </c>
      <c r="BJ58" s="1096">
        <f t="shared" si="34"/>
        <v>0</v>
      </c>
      <c r="BK58" s="1097">
        <f t="shared" si="35"/>
        <v>0.01</v>
      </c>
      <c r="BN58" t="s">
        <v>1709</v>
      </c>
      <c r="BO58" t="s">
        <v>1636</v>
      </c>
      <c r="BP58" s="8" t="s">
        <v>1701</v>
      </c>
      <c r="BQ58" s="8">
        <v>2004</v>
      </c>
      <c r="BR58" s="8">
        <v>78.900000000000006</v>
      </c>
      <c r="BS58" s="8">
        <v>25.8</v>
      </c>
      <c r="BT58" s="8">
        <v>3</v>
      </c>
      <c r="BU58" s="8">
        <v>10.7</v>
      </c>
      <c r="BV58" s="8">
        <v>41.7</v>
      </c>
      <c r="BW58" s="8">
        <v>0</v>
      </c>
      <c r="BX58" s="8">
        <v>1</v>
      </c>
      <c r="BY58" s="1140">
        <f t="shared" si="36"/>
        <v>0.78900000000000003</v>
      </c>
      <c r="BZ58" s="1140">
        <f t="shared" si="37"/>
        <v>0.25800000000000001</v>
      </c>
      <c r="CA58" s="1140">
        <f t="shared" si="38"/>
        <v>0.03</v>
      </c>
      <c r="CB58" s="1140">
        <f t="shared" si="39"/>
        <v>0.107</v>
      </c>
      <c r="CC58" s="1140">
        <f t="shared" si="40"/>
        <v>0.41700000000000004</v>
      </c>
      <c r="CD58" s="1140">
        <f t="shared" si="41"/>
        <v>0</v>
      </c>
      <c r="CE58" s="1140">
        <f t="shared" si="42"/>
        <v>0.01</v>
      </c>
      <c r="CF58" s="1140" t="str">
        <f t="shared" si="43"/>
        <v>Argentina2004</v>
      </c>
      <c r="CJ58" s="1109">
        <v>756</v>
      </c>
      <c r="CK58" s="1109" t="s">
        <v>1585</v>
      </c>
      <c r="CL58" s="1109">
        <v>2015</v>
      </c>
      <c r="CM58" s="1111">
        <v>612.53200000000004</v>
      </c>
      <c r="CN58" s="1143" t="s">
        <v>1585</v>
      </c>
      <c r="CO58" s="1144">
        <v>612532</v>
      </c>
      <c r="DI58" s="1127"/>
    </row>
    <row r="59" spans="4:113">
      <c r="D59" s="149"/>
      <c r="E59" s="149"/>
      <c r="F59" s="149"/>
      <c r="G59" s="149"/>
      <c r="H59" s="149"/>
      <c r="I59" s="149"/>
      <c r="J59" s="149"/>
      <c r="K59" s="149"/>
      <c r="L59" s="149"/>
      <c r="BA59" s="397" t="str">
        <f t="array" ref="BA59">IFERROR(INDEX($BO$5:$BO$1001, MATCH(0,COUNTIF($BA$2:BA58, $BO$5:$BO$1001), 0)),"")</f>
        <v>Bolivia</v>
      </c>
      <c r="BB59" s="1114">
        <f t="shared" si="27"/>
        <v>2747530</v>
      </c>
      <c r="BC59" s="1095">
        <f t="array" ref="BC59">IF(OR(BA59="",BA59=0),"",MAX(IF($BO$5:$BO$1001=$BA59,$BQ$5:$BQ$1001)))</f>
        <v>2008</v>
      </c>
      <c r="BD59" s="1095" t="str">
        <f t="shared" si="28"/>
        <v>DHS</v>
      </c>
      <c r="BE59" s="1096">
        <f t="shared" si="29"/>
        <v>0.60499999999999998</v>
      </c>
      <c r="BF59" s="1096">
        <f t="shared" si="30"/>
        <v>5.5999999999999994E-2</v>
      </c>
      <c r="BG59" s="1096">
        <f t="shared" si="31"/>
        <v>0.19</v>
      </c>
      <c r="BH59" s="1096">
        <f t="shared" si="32"/>
        <v>0.14099999999999999</v>
      </c>
      <c r="BI59" s="1096">
        <f t="shared" si="33"/>
        <v>6.7000000000000004E-2</v>
      </c>
      <c r="BJ59" s="1096">
        <f t="shared" si="34"/>
        <v>0</v>
      </c>
      <c r="BK59" s="1097">
        <f t="shared" si="35"/>
        <v>2E-3</v>
      </c>
      <c r="BN59" t="s">
        <v>1709</v>
      </c>
      <c r="BO59" t="s">
        <v>1637</v>
      </c>
      <c r="BP59" s="8" t="s">
        <v>1702</v>
      </c>
      <c r="BQ59" s="8">
        <v>2008</v>
      </c>
      <c r="BR59" s="8">
        <v>60.5</v>
      </c>
      <c r="BS59" s="8">
        <v>5.6</v>
      </c>
      <c r="BT59" s="8">
        <v>19</v>
      </c>
      <c r="BU59" s="8">
        <v>14.1</v>
      </c>
      <c r="BV59" s="8">
        <v>6.7</v>
      </c>
      <c r="BW59" s="8">
        <v>0</v>
      </c>
      <c r="BX59" s="8">
        <v>0.2</v>
      </c>
      <c r="BY59" s="1140">
        <f t="shared" si="36"/>
        <v>0.60499999999999998</v>
      </c>
      <c r="BZ59" s="1140">
        <f t="shared" si="37"/>
        <v>5.5999999999999994E-2</v>
      </c>
      <c r="CA59" s="1140">
        <f t="shared" si="38"/>
        <v>0.19</v>
      </c>
      <c r="CB59" s="1140">
        <f t="shared" si="39"/>
        <v>0.14099999999999999</v>
      </c>
      <c r="CC59" s="1140">
        <f t="shared" si="40"/>
        <v>6.7000000000000004E-2</v>
      </c>
      <c r="CD59" s="1140">
        <f t="shared" si="41"/>
        <v>0</v>
      </c>
      <c r="CE59" s="1140">
        <f t="shared" si="42"/>
        <v>2E-3</v>
      </c>
      <c r="CF59" s="1140" t="str">
        <f t="shared" si="43"/>
        <v>Bolivia2008</v>
      </c>
      <c r="CJ59" s="1109">
        <v>770</v>
      </c>
      <c r="CK59" s="1109" t="s">
        <v>1602</v>
      </c>
      <c r="CL59" s="1109">
        <v>2015</v>
      </c>
      <c r="CM59" s="1111">
        <v>575.94399999999996</v>
      </c>
      <c r="CN59" s="1143" t="s">
        <v>1602</v>
      </c>
      <c r="CO59" s="1144">
        <v>575944</v>
      </c>
      <c r="DI59" s="1127"/>
    </row>
    <row r="60" spans="4:113" ht="28" customHeight="1">
      <c r="D60" s="149"/>
      <c r="E60" s="2779" t="s">
        <v>1955</v>
      </c>
      <c r="F60" s="2779"/>
      <c r="G60" s="1244" t="s">
        <v>1976</v>
      </c>
      <c r="H60" s="1244" t="s">
        <v>1977</v>
      </c>
      <c r="I60" s="1094" t="s">
        <v>1982</v>
      </c>
      <c r="J60" s="1094" t="s">
        <v>1983</v>
      </c>
      <c r="K60" s="1094" t="s">
        <v>1979</v>
      </c>
      <c r="L60" s="149"/>
      <c r="BA60" s="397" t="str">
        <f t="array" ref="BA60">IFERROR(INDEX($BO$5:$BO$1001, MATCH(0,COUNTIF($BA$2:BA59, $BO$5:$BO$1001), 0)),"")</f>
        <v>Brazil</v>
      </c>
      <c r="BB60" s="1114">
        <f t="shared" si="27"/>
        <v>56769913</v>
      </c>
      <c r="BC60" s="1095">
        <f t="array" ref="BC60">IF(OR(BA60="",BA60=0),"",MAX(IF($BO$5:$BO$1001=$BA60,$BQ$5:$BQ$1001)))</f>
        <v>2006</v>
      </c>
      <c r="BD60" s="1095" t="str">
        <f t="shared" si="28"/>
        <v>NS</v>
      </c>
      <c r="BE60" s="1096">
        <f t="shared" si="29"/>
        <v>0.80299999999999994</v>
      </c>
      <c r="BF60" s="1096">
        <f t="shared" si="30"/>
        <v>0.308</v>
      </c>
      <c r="BG60" s="1096">
        <f t="shared" si="31"/>
        <v>0.05</v>
      </c>
      <c r="BH60" s="1096">
        <f t="shared" si="32"/>
        <v>2.4E-2</v>
      </c>
      <c r="BI60" s="1096">
        <f t="shared" si="33"/>
        <v>0.152</v>
      </c>
      <c r="BJ60" s="1096">
        <f t="shared" si="34"/>
        <v>1E-3</v>
      </c>
      <c r="BK60" s="1097">
        <f t="shared" si="35"/>
        <v>0</v>
      </c>
      <c r="BN60" t="s">
        <v>1709</v>
      </c>
      <c r="BO60" t="s">
        <v>1638</v>
      </c>
      <c r="BP60" s="8" t="s">
        <v>1701</v>
      </c>
      <c r="BQ60" s="8">
        <v>2006</v>
      </c>
      <c r="BR60" s="8">
        <v>80.3</v>
      </c>
      <c r="BS60" s="8">
        <v>30.8</v>
      </c>
      <c r="BT60" s="8">
        <v>5</v>
      </c>
      <c r="BU60" s="8">
        <v>2.4</v>
      </c>
      <c r="BV60" s="8">
        <v>15.2</v>
      </c>
      <c r="BW60" s="8">
        <v>0.1</v>
      </c>
      <c r="BX60" s="8">
        <v>0</v>
      </c>
      <c r="BY60" s="1140">
        <f t="shared" si="36"/>
        <v>0.80299999999999994</v>
      </c>
      <c r="BZ60" s="1140">
        <f t="shared" si="37"/>
        <v>0.308</v>
      </c>
      <c r="CA60" s="1140">
        <f t="shared" si="38"/>
        <v>0.05</v>
      </c>
      <c r="CB60" s="1140">
        <f t="shared" si="39"/>
        <v>2.4E-2</v>
      </c>
      <c r="CC60" s="1140">
        <f t="shared" si="40"/>
        <v>0.152</v>
      </c>
      <c r="CD60" s="1140">
        <f t="shared" si="41"/>
        <v>1E-3</v>
      </c>
      <c r="CE60" s="1140">
        <f t="shared" si="42"/>
        <v>0</v>
      </c>
      <c r="CF60" s="1140" t="str">
        <f t="shared" si="43"/>
        <v>Brazil2006</v>
      </c>
      <c r="CJ60" s="1109">
        <v>784</v>
      </c>
      <c r="CK60" s="1109" t="s">
        <v>1610</v>
      </c>
      <c r="CL60" s="1109">
        <v>2015</v>
      </c>
      <c r="CM60" s="1111">
        <v>645.49300000000005</v>
      </c>
      <c r="CN60" s="1143" t="s">
        <v>1610</v>
      </c>
      <c r="CO60" s="1144">
        <v>645493</v>
      </c>
    </row>
    <row r="61" spans="4:113">
      <c r="D61" s="149"/>
      <c r="E61" s="2787" t="s">
        <v>1886</v>
      </c>
      <c r="F61" s="2788"/>
      <c r="G61" s="1153">
        <f t="shared" ref="G61:G66" si="46">$H$12*$H$14*H18</f>
        <v>218274.25535999998</v>
      </c>
      <c r="H61" s="1154">
        <f t="shared" ref="H61:H66" si="47">G61</f>
        <v>218274.25535999998</v>
      </c>
      <c r="I61" s="1154">
        <f t="shared" ref="I61:I66" si="48">H61/(1-$G$56)</f>
        <v>272842.81919999997</v>
      </c>
      <c r="J61" s="1151">
        <f t="shared" ref="J61:J66" ca="1" si="49">I61*H41/1000000</f>
        <v>39.938989732412459</v>
      </c>
      <c r="K61" s="1152">
        <f t="shared" ref="K61:K66" ca="1" si="50">I61*J41</f>
        <v>956238.82184042002</v>
      </c>
      <c r="L61" s="149"/>
      <c r="BA61" s="397" t="str">
        <f t="array" ref="BA61">IFERROR(INDEX($BO$5:$BO$1001, MATCH(0,COUNTIF($BA$2:BA60, $BO$5:$BO$1001), 0)),"")</f>
        <v>Chile</v>
      </c>
      <c r="BB61" s="1114">
        <f t="shared" si="27"/>
        <v>4558232</v>
      </c>
      <c r="BC61" s="1095">
        <f t="array" ref="BC61">IF(OR(BA61="",BA61=0),"",MAX(IF($BO$5:$BO$1001=$BA61,$BQ$5:$BQ$1001)))</f>
        <v>2006</v>
      </c>
      <c r="BD61" s="1095" t="str">
        <f t="shared" si="28"/>
        <v>NS</v>
      </c>
      <c r="BE61" s="1096">
        <f t="shared" si="29"/>
        <v>0.64200000000000002</v>
      </c>
      <c r="BF61" s="1096">
        <f t="shared" si="30"/>
        <v>0.45299999999999996</v>
      </c>
      <c r="BG61" s="1096">
        <f t="shared" si="31"/>
        <v>0</v>
      </c>
      <c r="BH61" s="1096">
        <f t="shared" si="32"/>
        <v>0.29399999999999998</v>
      </c>
      <c r="BI61" s="1096">
        <f t="shared" si="33"/>
        <v>0.14199999999999999</v>
      </c>
      <c r="BJ61" s="1096">
        <f t="shared" si="34"/>
        <v>0</v>
      </c>
      <c r="BK61" s="1097">
        <f t="shared" si="35"/>
        <v>0</v>
      </c>
      <c r="BN61" t="s">
        <v>1709</v>
      </c>
      <c r="BO61" t="s">
        <v>1639</v>
      </c>
      <c r="BP61" s="8" t="s">
        <v>1701</v>
      </c>
      <c r="BQ61" s="8">
        <v>2006</v>
      </c>
      <c r="BR61" s="8">
        <v>64.2</v>
      </c>
      <c r="BS61" s="8">
        <v>45.3</v>
      </c>
      <c r="BT61" s="8">
        <v>0</v>
      </c>
      <c r="BU61" s="8">
        <v>29.4</v>
      </c>
      <c r="BV61" s="8">
        <v>14.2</v>
      </c>
      <c r="BW61" s="8">
        <v>0</v>
      </c>
      <c r="BX61" s="8">
        <v>0</v>
      </c>
      <c r="BY61" s="1140">
        <f t="shared" si="36"/>
        <v>0.64200000000000002</v>
      </c>
      <c r="BZ61" s="1140">
        <f t="shared" si="37"/>
        <v>0.45299999999999996</v>
      </c>
      <c r="CA61" s="1140">
        <f t="shared" si="38"/>
        <v>0</v>
      </c>
      <c r="CB61" s="1140">
        <f t="shared" si="39"/>
        <v>0.29399999999999998</v>
      </c>
      <c r="CC61" s="1140">
        <f t="shared" si="40"/>
        <v>0.14199999999999999</v>
      </c>
      <c r="CD61" s="1140">
        <f t="shared" si="41"/>
        <v>0</v>
      </c>
      <c r="CE61" s="1140">
        <f t="shared" si="42"/>
        <v>0</v>
      </c>
      <c r="CF61" s="1140" t="str">
        <f t="shared" si="43"/>
        <v>Chile2006</v>
      </c>
      <c r="CJ61" s="1109">
        <v>798</v>
      </c>
      <c r="CK61" s="1109" t="s">
        <v>1617</v>
      </c>
      <c r="CL61" s="1109">
        <v>2015</v>
      </c>
      <c r="CM61" s="1111">
        <v>15022.803</v>
      </c>
      <c r="CN61" s="1143" t="s">
        <v>1617</v>
      </c>
      <c r="CO61" s="1144">
        <v>15022803</v>
      </c>
    </row>
    <row r="62" spans="4:113">
      <c r="D62" s="149"/>
      <c r="E62" s="2787" t="s">
        <v>1578</v>
      </c>
      <c r="F62" s="2788"/>
      <c r="G62" s="1153">
        <f t="shared" si="46"/>
        <v>4677.3054719999991</v>
      </c>
      <c r="H62" s="1154">
        <f t="shared" si="47"/>
        <v>4677.3054719999991</v>
      </c>
      <c r="I62" s="1154">
        <f t="shared" si="48"/>
        <v>5846.6318399999982</v>
      </c>
      <c r="J62" s="1151">
        <f t="shared" si="49"/>
        <v>0.50468126042879979</v>
      </c>
      <c r="K62" s="1152">
        <f t="shared" si="50"/>
        <v>177.73760793599993</v>
      </c>
      <c r="L62" s="149"/>
      <c r="BA62" s="397" t="str">
        <f t="array" ref="BA62">IFERROR(INDEX($BO$5:$BO$1001, MATCH(0,COUNTIF($BA$2:BA61, $BO$5:$BO$1001), 0)),"")</f>
        <v>Colombia</v>
      </c>
      <c r="BB62" s="1114">
        <f t="shared" si="27"/>
        <v>13203530</v>
      </c>
      <c r="BC62" s="1095">
        <f t="array" ref="BC62">IF(OR(BA62="",BA62=0),"",MAX(IF($BO$5:$BO$1001=$BA62,$BQ$5:$BQ$1001)))</f>
        <v>2010</v>
      </c>
      <c r="BD62" s="1095" t="str">
        <f t="shared" si="28"/>
        <v>DHS</v>
      </c>
      <c r="BE62" s="1096">
        <f t="shared" si="29"/>
        <v>0.79099999999999993</v>
      </c>
      <c r="BF62" s="1096">
        <f t="shared" si="30"/>
        <v>9.6999999999999989E-2</v>
      </c>
      <c r="BG62" s="1096">
        <f t="shared" si="31"/>
        <v>0.11699999999999999</v>
      </c>
      <c r="BH62" s="1096">
        <f t="shared" si="32"/>
        <v>9.5000000000000001E-2</v>
      </c>
      <c r="BI62" s="1096">
        <f t="shared" si="33"/>
        <v>8.900000000000001E-2</v>
      </c>
      <c r="BJ62" s="1096">
        <f t="shared" si="34"/>
        <v>3.9E-2</v>
      </c>
      <c r="BK62" s="1097">
        <f t="shared" si="35"/>
        <v>1E-3</v>
      </c>
      <c r="BN62" t="s">
        <v>1709</v>
      </c>
      <c r="BO62" t="s">
        <v>1640</v>
      </c>
      <c r="BP62" s="8" t="s">
        <v>1702</v>
      </c>
      <c r="BQ62" s="8">
        <v>2010</v>
      </c>
      <c r="BR62" s="8">
        <v>79.099999999999994</v>
      </c>
      <c r="BS62" s="8">
        <v>9.6999999999999993</v>
      </c>
      <c r="BT62" s="8">
        <v>11.7</v>
      </c>
      <c r="BU62" s="8">
        <v>9.5</v>
      </c>
      <c r="BV62" s="8">
        <v>8.9</v>
      </c>
      <c r="BW62" s="8">
        <v>3.9</v>
      </c>
      <c r="BX62" s="8">
        <v>0.1</v>
      </c>
      <c r="BY62" s="1140">
        <f t="shared" si="36"/>
        <v>0.79099999999999993</v>
      </c>
      <c r="BZ62" s="1140">
        <f t="shared" si="37"/>
        <v>9.6999999999999989E-2</v>
      </c>
      <c r="CA62" s="1140">
        <f t="shared" si="38"/>
        <v>0.11699999999999999</v>
      </c>
      <c r="CB62" s="1140">
        <f t="shared" si="39"/>
        <v>9.5000000000000001E-2</v>
      </c>
      <c r="CC62" s="1140">
        <f t="shared" si="40"/>
        <v>8.900000000000001E-2</v>
      </c>
      <c r="CD62" s="1140">
        <f t="shared" si="41"/>
        <v>3.9E-2</v>
      </c>
      <c r="CE62" s="1140">
        <f t="shared" si="42"/>
        <v>1E-3</v>
      </c>
      <c r="CF62" s="1140" t="str">
        <f t="shared" si="43"/>
        <v>Colombia2010</v>
      </c>
      <c r="CJ62" s="1109">
        <v>812</v>
      </c>
      <c r="CK62" s="1109" t="s">
        <v>1620</v>
      </c>
      <c r="CL62" s="1109">
        <v>2015</v>
      </c>
      <c r="CM62" s="1111">
        <v>357.9</v>
      </c>
      <c r="CN62" s="1143" t="s">
        <v>1620</v>
      </c>
      <c r="CO62" s="1144">
        <v>357900</v>
      </c>
    </row>
    <row r="63" spans="4:113" ht="14.7" customHeight="1">
      <c r="D63" s="149"/>
      <c r="E63" s="2787" t="s">
        <v>1579</v>
      </c>
      <c r="F63" s="2788"/>
      <c r="G63" s="1153">
        <f t="shared" si="46"/>
        <v>511385.39827199985</v>
      </c>
      <c r="H63" s="1154">
        <f t="shared" si="47"/>
        <v>511385.39827199985</v>
      </c>
      <c r="I63" s="1154">
        <f t="shared" si="48"/>
        <v>639231.74783999973</v>
      </c>
      <c r="J63" s="1151">
        <f t="shared" ca="1" si="49"/>
        <v>38.495407719212452</v>
      </c>
      <c r="K63" s="1152">
        <f t="shared" ca="1" si="50"/>
        <v>2819978.6686126394</v>
      </c>
      <c r="L63" s="149"/>
      <c r="BA63" s="397" t="str">
        <f t="array" ref="BA63">IFERROR(INDEX($BO$5:$BO$1001, MATCH(0,COUNTIF($BA$2:BA62, $BO$5:$BO$1001), 0)),"")</f>
        <v>Costa Rica</v>
      </c>
      <c r="BB63" s="1114">
        <f t="shared" si="27"/>
        <v>1278544</v>
      </c>
      <c r="BC63" s="1095">
        <f t="array" ref="BC63">IF(OR(BA63="",BA63=0),"",MAX(IF($BO$5:$BO$1001=$BA63,$BQ$5:$BQ$1001)))</f>
        <v>2010</v>
      </c>
      <c r="BD63" s="1095" t="str">
        <f t="shared" si="28"/>
        <v>NS</v>
      </c>
      <c r="BE63" s="1096">
        <f t="shared" si="29"/>
        <v>0.82200000000000006</v>
      </c>
      <c r="BF63" s="1096">
        <f t="shared" si="30"/>
        <v>0.25600000000000001</v>
      </c>
      <c r="BG63" s="1096">
        <f t="shared" si="31"/>
        <v>0.114</v>
      </c>
      <c r="BH63" s="1096">
        <f t="shared" si="32"/>
        <v>4.0999999999999995E-2</v>
      </c>
      <c r="BI63" s="1096">
        <f t="shared" si="33"/>
        <v>0.10800000000000001</v>
      </c>
      <c r="BJ63" s="1096">
        <f t="shared" si="34"/>
        <v>4.0000000000000001E-3</v>
      </c>
      <c r="BK63" s="1097">
        <f t="shared" si="35"/>
        <v>6.0000000000000001E-3</v>
      </c>
      <c r="BN63" t="s">
        <v>1709</v>
      </c>
      <c r="BO63" t="s">
        <v>1641</v>
      </c>
      <c r="BP63" s="8" t="s">
        <v>1701</v>
      </c>
      <c r="BQ63" s="8">
        <v>2010</v>
      </c>
      <c r="BR63" s="8">
        <v>82.2</v>
      </c>
      <c r="BS63" s="8">
        <v>25.6</v>
      </c>
      <c r="BT63" s="8">
        <v>11.4</v>
      </c>
      <c r="BU63" s="8">
        <v>4.0999999999999996</v>
      </c>
      <c r="BV63" s="8">
        <v>10.8</v>
      </c>
      <c r="BW63" s="8">
        <v>0.4</v>
      </c>
      <c r="BX63" s="8">
        <v>0.6</v>
      </c>
      <c r="BY63" s="1140">
        <f t="shared" si="36"/>
        <v>0.82200000000000006</v>
      </c>
      <c r="BZ63" s="1140">
        <f t="shared" si="37"/>
        <v>0.25600000000000001</v>
      </c>
      <c r="CA63" s="1140">
        <f t="shared" si="38"/>
        <v>0.114</v>
      </c>
      <c r="CB63" s="1140">
        <f t="shared" si="39"/>
        <v>4.0999999999999995E-2</v>
      </c>
      <c r="CC63" s="1140">
        <f t="shared" si="40"/>
        <v>0.10800000000000001</v>
      </c>
      <c r="CD63" s="1140">
        <f t="shared" si="41"/>
        <v>4.0000000000000001E-3</v>
      </c>
      <c r="CE63" s="1140">
        <f t="shared" si="42"/>
        <v>6.0000000000000001E-3</v>
      </c>
      <c r="CF63" s="1140" t="str">
        <f t="shared" si="43"/>
        <v>Costa Rica2010</v>
      </c>
      <c r="CJ63" s="1109">
        <v>826</v>
      </c>
      <c r="CK63" s="1110" t="s">
        <v>1850</v>
      </c>
      <c r="CL63" s="1109">
        <v>2015</v>
      </c>
      <c r="CM63" s="1111">
        <v>81580.861000000004</v>
      </c>
      <c r="CN63" s="1143" t="s">
        <v>1728</v>
      </c>
      <c r="CO63" s="1144">
        <v>81580861</v>
      </c>
      <c r="DI63" s="1127"/>
    </row>
    <row r="64" spans="4:113">
      <c r="D64" s="149"/>
      <c r="E64" s="2787" t="s">
        <v>1580</v>
      </c>
      <c r="F64" s="2788"/>
      <c r="G64" s="1153">
        <f t="shared" si="46"/>
        <v>396011.86329599994</v>
      </c>
      <c r="H64" s="1154">
        <f t="shared" si="47"/>
        <v>396011.86329599994</v>
      </c>
      <c r="I64" s="1154">
        <f t="shared" si="48"/>
        <v>495014.82911999989</v>
      </c>
      <c r="J64" s="1151">
        <f t="shared" ca="1" si="49"/>
        <v>40.11888016411315</v>
      </c>
      <c r="K64" s="1152">
        <f t="shared" ca="1" si="50"/>
        <v>1611689.381393658</v>
      </c>
      <c r="L64" s="149"/>
      <c r="BA64" s="397" t="str">
        <f t="array" ref="BA64">IFERROR(INDEX($BO$5:$BO$1001, MATCH(0,COUNTIF($BA$2:BA63, $BO$5:$BO$1001), 0)),"")</f>
        <v>Cuba</v>
      </c>
      <c r="BB64" s="1114">
        <f t="shared" si="27"/>
        <v>2800646</v>
      </c>
      <c r="BC64" s="1095">
        <f t="array" ref="BC64">IF(OR(BA64="",BA64=0),"",MAX(IF($BO$5:$BO$1001=$BA64,$BQ$5:$BQ$1001)))</f>
        <v>2010</v>
      </c>
      <c r="BD64" s="1095" t="str">
        <f t="shared" si="28"/>
        <v>MICS</v>
      </c>
      <c r="BE64" s="1096">
        <f t="shared" si="29"/>
        <v>0.74299999999999999</v>
      </c>
      <c r="BF64" s="1096">
        <f t="shared" si="30"/>
        <v>7.0000000000000007E-2</v>
      </c>
      <c r="BG64" s="1096">
        <f t="shared" si="31"/>
        <v>1.9E-2</v>
      </c>
      <c r="BH64" s="1096">
        <f t="shared" si="32"/>
        <v>0.33600000000000002</v>
      </c>
      <c r="BI64" s="1096">
        <f t="shared" si="33"/>
        <v>0.23199999999999998</v>
      </c>
      <c r="BJ64" s="1096">
        <f t="shared" si="34"/>
        <v>1E-3</v>
      </c>
      <c r="BK64" s="1097">
        <f t="shared" si="35"/>
        <v>5.0000000000000001E-3</v>
      </c>
      <c r="BN64" t="s">
        <v>1709</v>
      </c>
      <c r="BO64" t="s">
        <v>1642</v>
      </c>
      <c r="BP64" s="8" t="s">
        <v>1700</v>
      </c>
      <c r="BQ64" s="8">
        <v>2010</v>
      </c>
      <c r="BR64" s="8">
        <v>74.3</v>
      </c>
      <c r="BS64" s="8">
        <v>7</v>
      </c>
      <c r="BT64" s="8">
        <v>1.9</v>
      </c>
      <c r="BU64" s="8">
        <v>33.6</v>
      </c>
      <c r="BV64" s="8">
        <v>23.2</v>
      </c>
      <c r="BW64" s="8">
        <v>0.1</v>
      </c>
      <c r="BX64" s="8">
        <v>0.5</v>
      </c>
      <c r="BY64" s="1140">
        <f t="shared" si="36"/>
        <v>0.74299999999999999</v>
      </c>
      <c r="BZ64" s="1140">
        <f t="shared" si="37"/>
        <v>7.0000000000000007E-2</v>
      </c>
      <c r="CA64" s="1140">
        <f t="shared" si="38"/>
        <v>1.9E-2</v>
      </c>
      <c r="CB64" s="1140">
        <f t="shared" si="39"/>
        <v>0.33600000000000002</v>
      </c>
      <c r="CC64" s="1140">
        <f t="shared" si="40"/>
        <v>0.23199999999999998</v>
      </c>
      <c r="CD64" s="1140">
        <f t="shared" si="41"/>
        <v>1E-3</v>
      </c>
      <c r="CE64" s="1140">
        <f t="shared" si="42"/>
        <v>5.0000000000000001E-3</v>
      </c>
      <c r="CF64" s="1140" t="str">
        <f t="shared" si="43"/>
        <v>Cuba2010</v>
      </c>
      <c r="CJ64" s="1109">
        <v>840</v>
      </c>
      <c r="CK64" s="1109" t="s">
        <v>1584</v>
      </c>
      <c r="CL64" s="1109">
        <v>2015</v>
      </c>
      <c r="CM64" s="1111">
        <v>2483.261</v>
      </c>
      <c r="CN64" s="1143" t="s">
        <v>1584</v>
      </c>
      <c r="CO64" s="1144">
        <v>2483261</v>
      </c>
    </row>
    <row r="65" spans="4:113">
      <c r="D65" s="149"/>
      <c r="E65" s="2787" t="s">
        <v>1581</v>
      </c>
      <c r="F65" s="2788"/>
      <c r="G65" s="1153">
        <f t="shared" si="46"/>
        <v>18709.221887999996</v>
      </c>
      <c r="H65" s="1154">
        <f t="shared" si="47"/>
        <v>18709.221887999996</v>
      </c>
      <c r="I65" s="1154">
        <f t="shared" si="48"/>
        <v>23386.527359999993</v>
      </c>
      <c r="J65" s="1151">
        <f t="shared" ca="1" si="49"/>
        <v>0.50468126042879979</v>
      </c>
      <c r="K65" s="1152">
        <f t="shared" ca="1" si="50"/>
        <v>59135.894960176462</v>
      </c>
      <c r="L65" s="149"/>
      <c r="BA65" s="397" t="str">
        <f t="array" ref="BA65">IFERROR(INDEX($BO$5:$BO$1001, MATCH(0,COUNTIF($BA$2:BA64, $BO$5:$BO$1001), 0)),"")</f>
        <v>Dominican Republic</v>
      </c>
      <c r="BB65" s="1114">
        <f t="shared" si="27"/>
        <v>2737993</v>
      </c>
      <c r="BC65" s="1095">
        <f t="array" ref="BC65">IF(OR(BA65="",BA65=0),"",MAX(IF($BO$5:$BO$1001=$BA65,$BQ$5:$BQ$1001)))</f>
        <v>2013</v>
      </c>
      <c r="BD65" s="1095" t="str">
        <f t="shared" si="28"/>
        <v>DHS</v>
      </c>
      <c r="BE65" s="1096">
        <f t="shared" si="29"/>
        <v>0.71900000000000008</v>
      </c>
      <c r="BF65" s="1096">
        <f t="shared" si="30"/>
        <v>0.16600000000000001</v>
      </c>
      <c r="BG65" s="1096">
        <f t="shared" si="31"/>
        <v>5.7000000000000002E-2</v>
      </c>
      <c r="BH65" s="1096">
        <f t="shared" si="32"/>
        <v>1.7000000000000001E-2</v>
      </c>
      <c r="BI65" s="1096">
        <f t="shared" si="33"/>
        <v>2.6000000000000002E-2</v>
      </c>
      <c r="BJ65" s="1096">
        <f t="shared" si="34"/>
        <v>5.0000000000000001E-3</v>
      </c>
      <c r="BK65" s="1097">
        <f t="shared" si="35"/>
        <v>2E-3</v>
      </c>
      <c r="BN65" t="s">
        <v>1709</v>
      </c>
      <c r="BO65" t="s">
        <v>1643</v>
      </c>
      <c r="BP65" s="8" t="s">
        <v>1702</v>
      </c>
      <c r="BQ65" s="8">
        <v>2007</v>
      </c>
      <c r="BR65" s="8">
        <v>72.900000000000006</v>
      </c>
      <c r="BS65" s="8">
        <v>18.5</v>
      </c>
      <c r="BT65" s="8">
        <v>5.8</v>
      </c>
      <c r="BU65" s="8">
        <v>2.9</v>
      </c>
      <c r="BV65" s="8">
        <v>2.6</v>
      </c>
      <c r="BW65" s="8">
        <v>0.8</v>
      </c>
      <c r="BX65" s="8">
        <v>0</v>
      </c>
      <c r="BY65" s="1140">
        <f t="shared" si="36"/>
        <v>0.72900000000000009</v>
      </c>
      <c r="BZ65" s="1140">
        <f t="shared" si="37"/>
        <v>0.185</v>
      </c>
      <c r="CA65" s="1140">
        <f t="shared" si="38"/>
        <v>5.7999999999999996E-2</v>
      </c>
      <c r="CB65" s="1140">
        <f t="shared" si="39"/>
        <v>2.8999999999999998E-2</v>
      </c>
      <c r="CC65" s="1140">
        <f t="shared" si="40"/>
        <v>2.6000000000000002E-2</v>
      </c>
      <c r="CD65" s="1140">
        <f t="shared" si="41"/>
        <v>8.0000000000000002E-3</v>
      </c>
      <c r="CE65" s="1140">
        <f t="shared" si="42"/>
        <v>0</v>
      </c>
      <c r="CF65" s="1140" t="str">
        <f t="shared" si="43"/>
        <v>Dominican Republic2007</v>
      </c>
      <c r="CJ65" s="1109">
        <v>854</v>
      </c>
      <c r="CK65" s="1109" t="s">
        <v>1586</v>
      </c>
      <c r="CL65" s="1109">
        <v>2015</v>
      </c>
      <c r="CM65" s="1111">
        <v>4177.9660000000003</v>
      </c>
      <c r="CN65" s="1143" t="s">
        <v>1586</v>
      </c>
      <c r="CO65" s="1144">
        <v>4177966.0000000005</v>
      </c>
    </row>
    <row r="66" spans="4:113" ht="26.15" customHeight="1">
      <c r="D66" s="149"/>
      <c r="E66" s="2789" t="s">
        <v>1975</v>
      </c>
      <c r="F66" s="2790"/>
      <c r="G66" s="1158">
        <f t="shared" si="46"/>
        <v>4677.3054719999991</v>
      </c>
      <c r="H66" s="1159">
        <f t="shared" si="47"/>
        <v>4677.3054719999991</v>
      </c>
      <c r="I66" s="1159">
        <f t="shared" si="48"/>
        <v>5846.6318399999982</v>
      </c>
      <c r="J66" s="1160">
        <f t="shared" si="49"/>
        <v>0.39436253008937155</v>
      </c>
      <c r="K66" s="1161">
        <f t="shared" si="50"/>
        <v>11561.24088233264</v>
      </c>
      <c r="L66" s="149"/>
      <c r="BA66" s="397" t="str">
        <f t="array" ref="BA66">IFERROR(INDEX($BO$5:$BO$1001, MATCH(0,COUNTIF($BA$2:BA65, $BO$5:$BO$1001), 0)),"")</f>
        <v>Ecuador</v>
      </c>
      <c r="BB66" s="1114">
        <f t="shared" si="27"/>
        <v>4227686</v>
      </c>
      <c r="BC66" s="1095">
        <f t="array" ref="BC66">IF(OR(BA66="",BA66=0),"",MAX(IF($BO$5:$BO$1001=$BA66,$BQ$5:$BQ$1001)))</f>
        <v>2004</v>
      </c>
      <c r="BD66" s="1095" t="str">
        <f t="shared" si="28"/>
        <v>RHS</v>
      </c>
      <c r="BE66" s="1096">
        <f t="shared" si="29"/>
        <v>0.72699999999999998</v>
      </c>
      <c r="BF66" s="1096">
        <f t="shared" si="30"/>
        <v>0.185</v>
      </c>
      <c r="BG66" s="1096">
        <f t="shared" si="31"/>
        <v>8.199999999999999E-2</v>
      </c>
      <c r="BH66" s="1096">
        <f t="shared" si="32"/>
        <v>0.14000000000000001</v>
      </c>
      <c r="BI66" s="1096">
        <f t="shared" si="33"/>
        <v>0.06</v>
      </c>
      <c r="BJ66" s="1096">
        <f t="shared" si="34"/>
        <v>0</v>
      </c>
      <c r="BK66" s="1097">
        <f t="shared" si="35"/>
        <v>1.3000000000000001E-2</v>
      </c>
      <c r="BN66" t="s">
        <v>1709</v>
      </c>
      <c r="BO66" t="s">
        <v>1644</v>
      </c>
      <c r="BP66" s="8" t="s">
        <v>1705</v>
      </c>
      <c r="BQ66" s="8">
        <v>2004</v>
      </c>
      <c r="BR66" s="8">
        <v>72.7</v>
      </c>
      <c r="BS66" s="8">
        <v>18.5</v>
      </c>
      <c r="BT66" s="8">
        <v>8.1999999999999993</v>
      </c>
      <c r="BU66" s="8">
        <v>14</v>
      </c>
      <c r="BV66" s="8">
        <v>6</v>
      </c>
      <c r="BW66" s="8">
        <v>0</v>
      </c>
      <c r="BX66" s="8">
        <v>1.3</v>
      </c>
      <c r="BY66" s="1140">
        <f t="shared" si="36"/>
        <v>0.72699999999999998</v>
      </c>
      <c r="BZ66" s="1140">
        <f t="shared" si="37"/>
        <v>0.185</v>
      </c>
      <c r="CA66" s="1140">
        <f t="shared" si="38"/>
        <v>8.199999999999999E-2</v>
      </c>
      <c r="CB66" s="1140">
        <f t="shared" si="39"/>
        <v>0.14000000000000001</v>
      </c>
      <c r="CC66" s="1140">
        <f t="shared" si="40"/>
        <v>0.06</v>
      </c>
      <c r="CD66" s="1140">
        <f t="shared" si="41"/>
        <v>0</v>
      </c>
      <c r="CE66" s="1140">
        <f t="shared" si="42"/>
        <v>1.3000000000000001E-2</v>
      </c>
      <c r="CF66" s="1140" t="str">
        <f t="shared" si="43"/>
        <v>Ecuador2004</v>
      </c>
      <c r="CJ66" s="1109">
        <v>868</v>
      </c>
      <c r="CK66" s="1109" t="s">
        <v>1732</v>
      </c>
      <c r="CL66" s="1109">
        <v>2015</v>
      </c>
      <c r="CM66" s="1111">
        <v>142.779</v>
      </c>
      <c r="CN66" s="1143" t="s">
        <v>1728</v>
      </c>
      <c r="CO66" s="1144">
        <v>142779</v>
      </c>
    </row>
    <row r="67" spans="4:113">
      <c r="D67" s="149"/>
      <c r="E67" s="149"/>
      <c r="F67" s="149"/>
      <c r="G67" s="149"/>
      <c r="H67" s="1155"/>
      <c r="I67" s="1155" t="s">
        <v>1980</v>
      </c>
      <c r="J67" s="1156">
        <f ca="1">SUM(J61:J66)</f>
        <v>119.95700266668503</v>
      </c>
      <c r="K67" s="1157">
        <f ca="1">SUM(K61:K66)</f>
        <v>5458781.7452971619</v>
      </c>
      <c r="L67" s="149"/>
      <c r="BA67" s="397" t="str">
        <f t="array" ref="BA67">IFERROR(INDEX($BO$5:$BO$1001, MATCH(0,COUNTIF($BA$2:BA66, $BO$5:$BO$1001), 0)),"")</f>
        <v>El Salvador</v>
      </c>
      <c r="BB67" s="1114">
        <f t="shared" si="27"/>
        <v>1771039</v>
      </c>
      <c r="BC67" s="1095">
        <f t="array" ref="BC67">IF(OR(BA67="",BA67=0),"",MAX(IF($BO$5:$BO$1001=$BA67,$BQ$5:$BQ$1001)))</f>
        <v>2008</v>
      </c>
      <c r="BD67" s="1095" t="str">
        <f t="shared" si="28"/>
        <v>RHS</v>
      </c>
      <c r="BE67" s="1096">
        <f t="shared" si="29"/>
        <v>0.72499999999999998</v>
      </c>
      <c r="BF67" s="1096">
        <f t="shared" si="30"/>
        <v>7.5999999999999998E-2</v>
      </c>
      <c r="BG67" s="1096">
        <f t="shared" si="31"/>
        <v>0.312</v>
      </c>
      <c r="BH67" s="1096">
        <f t="shared" si="32"/>
        <v>1.1000000000000001E-2</v>
      </c>
      <c r="BI67" s="1096">
        <f t="shared" si="33"/>
        <v>6.4000000000000001E-2</v>
      </c>
      <c r="BJ67" s="1096">
        <f t="shared" si="34"/>
        <v>1E-3</v>
      </c>
      <c r="BK67" s="1097">
        <f t="shared" si="35"/>
        <v>0</v>
      </c>
      <c r="BN67" t="s">
        <v>1709</v>
      </c>
      <c r="BO67" t="s">
        <v>1645</v>
      </c>
      <c r="BP67" s="8" t="s">
        <v>1705</v>
      </c>
      <c r="BQ67" s="8">
        <v>2008</v>
      </c>
      <c r="BR67" s="8">
        <v>72.5</v>
      </c>
      <c r="BS67" s="8">
        <v>7.6</v>
      </c>
      <c r="BT67" s="8">
        <v>31.2</v>
      </c>
      <c r="BU67" s="8">
        <v>1.1000000000000001</v>
      </c>
      <c r="BV67" s="8">
        <v>6.4</v>
      </c>
      <c r="BW67" s="8">
        <v>0.1</v>
      </c>
      <c r="BX67" s="8">
        <v>0</v>
      </c>
      <c r="BY67" s="1140">
        <f t="shared" si="36"/>
        <v>0.72499999999999998</v>
      </c>
      <c r="BZ67" s="1140">
        <f t="shared" si="37"/>
        <v>7.5999999999999998E-2</v>
      </c>
      <c r="CA67" s="1140">
        <f t="shared" si="38"/>
        <v>0.312</v>
      </c>
      <c r="CB67" s="1140">
        <f t="shared" si="39"/>
        <v>1.1000000000000001E-2</v>
      </c>
      <c r="CC67" s="1140">
        <f t="shared" si="40"/>
        <v>6.4000000000000001E-2</v>
      </c>
      <c r="CD67" s="1140">
        <f t="shared" si="41"/>
        <v>1E-3</v>
      </c>
      <c r="CE67" s="1140">
        <f t="shared" si="42"/>
        <v>0</v>
      </c>
      <c r="CF67" s="1140" t="str">
        <f t="shared" si="43"/>
        <v>El Salvador2008</v>
      </c>
      <c r="CJ67" s="1109">
        <v>882</v>
      </c>
      <c r="CK67" s="1109" t="s">
        <v>1592</v>
      </c>
      <c r="CL67" s="1109">
        <v>2015</v>
      </c>
      <c r="CM67" s="1111">
        <v>5397.1909999999998</v>
      </c>
      <c r="CN67" s="1143" t="s">
        <v>1592</v>
      </c>
      <c r="CO67" s="1144">
        <v>5397191</v>
      </c>
    </row>
    <row r="68" spans="4:113">
      <c r="D68" s="149"/>
      <c r="E68" s="149"/>
      <c r="F68" s="149"/>
      <c r="G68" s="149"/>
      <c r="H68" s="149"/>
      <c r="I68" s="149"/>
      <c r="J68" s="149"/>
      <c r="K68" s="149"/>
      <c r="L68" s="149"/>
      <c r="BA68" s="397" t="str">
        <f t="array" ref="BA68">IFERROR(INDEX($BO$5:$BO$1001, MATCH(0,COUNTIF($BA$2:BA67, $BO$5:$BO$1001), 0)),"")</f>
        <v>Guatemala</v>
      </c>
      <c r="BB68" s="1114">
        <f t="shared" si="27"/>
        <v>4285562</v>
      </c>
      <c r="BC68" s="1095">
        <f t="array" ref="BC68">IF(OR(BA68="",BA68=0),"",MAX(IF($BO$5:$BO$1001=$BA68,$BQ$5:$BQ$1001)))</f>
        <v>2008</v>
      </c>
      <c r="BD68" s="1095" t="str">
        <f t="shared" si="28"/>
        <v>RHS</v>
      </c>
      <c r="BE68" s="1096">
        <f t="shared" si="29"/>
        <v>0.54100000000000004</v>
      </c>
      <c r="BF68" s="1096">
        <f t="shared" si="30"/>
        <v>6.7000000000000004E-2</v>
      </c>
      <c r="BG68" s="1096">
        <f t="shared" si="31"/>
        <v>0.27200000000000002</v>
      </c>
      <c r="BH68" s="1096">
        <f t="shared" si="32"/>
        <v>2.4E-2</v>
      </c>
      <c r="BI68" s="1096">
        <f t="shared" si="33"/>
        <v>6.7000000000000004E-2</v>
      </c>
      <c r="BJ68" s="1096">
        <f t="shared" si="34"/>
        <v>0</v>
      </c>
      <c r="BK68" s="1097">
        <f t="shared" si="35"/>
        <v>0.02</v>
      </c>
      <c r="BN68" t="s">
        <v>1709</v>
      </c>
      <c r="BO68" t="s">
        <v>1646</v>
      </c>
      <c r="BP68" s="8" t="s">
        <v>1705</v>
      </c>
      <c r="BQ68" s="8">
        <v>2008</v>
      </c>
      <c r="BR68" s="8">
        <v>54.1</v>
      </c>
      <c r="BS68" s="8">
        <v>6.7</v>
      </c>
      <c r="BT68" s="8">
        <v>27.2</v>
      </c>
      <c r="BU68" s="8">
        <v>2.4</v>
      </c>
      <c r="BV68" s="8">
        <v>6.7</v>
      </c>
      <c r="BW68" s="8">
        <v>0</v>
      </c>
      <c r="BX68" s="8">
        <v>2</v>
      </c>
      <c r="BY68" s="1140">
        <f t="shared" si="36"/>
        <v>0.54100000000000004</v>
      </c>
      <c r="BZ68" s="1140">
        <f t="shared" si="37"/>
        <v>6.7000000000000004E-2</v>
      </c>
      <c r="CA68" s="1140">
        <f t="shared" si="38"/>
        <v>0.27200000000000002</v>
      </c>
      <c r="CB68" s="1140">
        <f t="shared" si="39"/>
        <v>2.4E-2</v>
      </c>
      <c r="CC68" s="1140">
        <f t="shared" si="40"/>
        <v>6.7000000000000004E-2</v>
      </c>
      <c r="CD68" s="1140">
        <f t="shared" si="41"/>
        <v>0</v>
      </c>
      <c r="CE68" s="1140">
        <f t="shared" si="42"/>
        <v>0.02</v>
      </c>
      <c r="CF68" s="1140" t="str">
        <f t="shared" si="43"/>
        <v>Guatemala2008</v>
      </c>
      <c r="CJ68" s="1109">
        <v>896</v>
      </c>
      <c r="CK68" s="1109" t="s">
        <v>1597</v>
      </c>
      <c r="CL68" s="1109">
        <v>2015</v>
      </c>
      <c r="CM68" s="1111">
        <v>470.23399999999998</v>
      </c>
      <c r="CN68" s="1143" t="s">
        <v>1597</v>
      </c>
      <c r="CO68" s="1144">
        <v>470234</v>
      </c>
    </row>
    <row r="69" spans="4:113">
      <c r="BA69" s="397" t="str">
        <f t="array" ref="BA69">IFERROR(INDEX($BO$5:$BO$1001, MATCH(0,COUNTIF($BA$2:BA68, $BO$5:$BO$1001), 0)),"")</f>
        <v>Haiti</v>
      </c>
      <c r="BB69" s="1114">
        <f t="shared" ref="BB69:BB100" si="51">IF(OR(BA69="",BA69=0),"",IFERROR(INDEX($CO$5:$CO$245,MATCH($BA69,$CN$5:$CN$245,0)),""))</f>
        <v>2852824</v>
      </c>
      <c r="BC69" s="1095">
        <f t="array" ref="BC69">IF(OR(BA69="",BA69=0),"",MAX(IF($BO$5:$BO$1001=$BA69,$BQ$5:$BQ$1001)))</f>
        <v>2012</v>
      </c>
      <c r="BD69" s="1095" t="str">
        <f t="shared" ref="BD69:BD100" si="52">IF(OR(BA69="",BA69=0),"",INDEX($BP$5:$BP$1001,MATCH($BA69&amp;$BC69,$CF$5:$CF$1001,0)))</f>
        <v>DHS-P</v>
      </c>
      <c r="BE69" s="1096">
        <f t="shared" ref="BE69:BE100" si="53">IF(OR($BA69="",$BA69=0),"",INDEX(BY$5:BY$1001,MATCH($BA69&amp;$BC69,$CF$5:$CF$1001,0)))</f>
        <v>0.34499999999999997</v>
      </c>
      <c r="BF69" s="1096">
        <f t="shared" ref="BF69:BF100" si="54">IF(OR($BA69="",$BA69=0),"",INDEX(BZ$5:BZ$1001,MATCH($BA69&amp;$BC69,$CF$5:$CF$1001,0)))</f>
        <v>9.8000000000000004E-2</v>
      </c>
      <c r="BG69" s="1096">
        <f t="shared" ref="BG69:BG100" si="55">IF(OR($BA69="",$BA69=0),"",INDEX(CA$5:CA$1001,MATCH($BA69&amp;$BC69,$CF$5:$CF$1001,0)))</f>
        <v>0.67799999999999994</v>
      </c>
      <c r="BH69" s="1096">
        <f t="shared" ref="BH69:BH100" si="56">IF(OR($BA69="",$BA69=0),"",INDEX(CB$5:CB$1001,MATCH($BA69&amp;$BC69,$CF$5:$CF$1001,0)))</f>
        <v>3.0000000000000001E-3</v>
      </c>
      <c r="BI69" s="1096">
        <f t="shared" ref="BI69:BI100" si="57">IF(OR($BA69="",$BA69=0),"",INDEX(CC$5:CC$1001,MATCH($BA69&amp;$BC69,$CF$5:$CF$1001,0)))</f>
        <v>0</v>
      </c>
      <c r="BJ69" s="1096">
        <f t="shared" ref="BJ69:BJ100" si="58">IF(OR($BA69="",$BA69=0),"",INDEX(CD$5:CD$1001,MATCH($BA69&amp;$BC69,$CF$5:$CF$1001,0)))</f>
        <v>6.6000000000000003E-2</v>
      </c>
      <c r="BK69" s="1097">
        <f t="shared" ref="BK69:BK100" si="59">IF(OR($BA69="",$BA69=0),"",INDEX(CE$5:CE$1001,MATCH($BA69&amp;$BC69,$CF$5:$CF$1001,0)))</f>
        <v>3.0000000000000001E-3</v>
      </c>
      <c r="BN69" t="s">
        <v>1709</v>
      </c>
      <c r="BO69" t="s">
        <v>1647</v>
      </c>
      <c r="BP69" s="8" t="s">
        <v>1703</v>
      </c>
      <c r="BQ69" s="8">
        <v>2012</v>
      </c>
      <c r="BR69" s="8">
        <v>34.5</v>
      </c>
      <c r="BS69" s="8">
        <v>9.8000000000000007</v>
      </c>
      <c r="BT69" s="8">
        <v>67.8</v>
      </c>
      <c r="BU69" s="8">
        <v>0.3</v>
      </c>
      <c r="BV69" s="8">
        <v>0</v>
      </c>
      <c r="BW69" s="8">
        <v>6.6</v>
      </c>
      <c r="BX69" s="8">
        <v>0.3</v>
      </c>
      <c r="BY69" s="1140">
        <f t="shared" ref="BY69:BY100" si="60">BR69/100</f>
        <v>0.34499999999999997</v>
      </c>
      <c r="BZ69" s="1140">
        <f t="shared" ref="BZ69:BZ100" si="61">BS69/100</f>
        <v>9.8000000000000004E-2</v>
      </c>
      <c r="CA69" s="1140">
        <f t="shared" ref="CA69:CA100" si="62">BT69/100</f>
        <v>0.67799999999999994</v>
      </c>
      <c r="CB69" s="1140">
        <f t="shared" ref="CB69:CB100" si="63">BU69/100</f>
        <v>3.0000000000000001E-3</v>
      </c>
      <c r="CC69" s="1140">
        <f t="shared" ref="CC69:CC100" si="64">BV69/100</f>
        <v>0</v>
      </c>
      <c r="CD69" s="1140">
        <f t="shared" ref="CD69:CD100" si="65">BW69/100</f>
        <v>6.6000000000000003E-2</v>
      </c>
      <c r="CE69" s="1140">
        <f t="shared" ref="CE69:CE100" si="66">BX69/100</f>
        <v>3.0000000000000001E-3</v>
      </c>
      <c r="CF69" s="1140" t="str">
        <f t="shared" ref="CF69:CF100" si="67">BO69&amp;BQ69</f>
        <v>Haiti2012</v>
      </c>
      <c r="CJ69" s="1109">
        <v>910</v>
      </c>
      <c r="CK69" s="1109" t="s">
        <v>1598</v>
      </c>
      <c r="CL69" s="1109">
        <v>2015</v>
      </c>
      <c r="CM69" s="1111">
        <v>7003.4870000000001</v>
      </c>
      <c r="CN69" s="1143" t="s">
        <v>1598</v>
      </c>
      <c r="CO69" s="1144">
        <v>7003487</v>
      </c>
    </row>
    <row r="70" spans="4:113">
      <c r="BA70" s="397" t="str">
        <f t="array" ref="BA70">IFERROR(INDEX($BO$5:$BO$1001, MATCH(0,COUNTIF($BA$2:BA69, $BO$5:$BO$1001), 0)),"")</f>
        <v>Honduras</v>
      </c>
      <c r="BB70" s="1114">
        <f t="shared" si="51"/>
        <v>2428538</v>
      </c>
      <c r="BC70" s="1095">
        <f t="array" ref="BC70">IF(OR(BA70="",BA70=0),"",MAX(IF($BO$5:$BO$1001=$BA70,$BQ$5:$BQ$1001)))</f>
        <v>2005</v>
      </c>
      <c r="BD70" s="1095" t="str">
        <f t="shared" si="52"/>
        <v>DHS</v>
      </c>
      <c r="BE70" s="1096">
        <f t="shared" si="53"/>
        <v>0.65200000000000002</v>
      </c>
      <c r="BF70" s="1096">
        <f t="shared" si="54"/>
        <v>0.17399999999999999</v>
      </c>
      <c r="BG70" s="1096">
        <f t="shared" si="55"/>
        <v>0.21199999999999999</v>
      </c>
      <c r="BH70" s="1096">
        <f t="shared" si="56"/>
        <v>0.10199999999999999</v>
      </c>
      <c r="BI70" s="1096">
        <f t="shared" si="57"/>
        <v>4.4999999999999998E-2</v>
      </c>
      <c r="BJ70" s="1096">
        <f t="shared" si="58"/>
        <v>0</v>
      </c>
      <c r="BK70" s="1097">
        <f t="shared" si="59"/>
        <v>0</v>
      </c>
      <c r="BN70" t="s">
        <v>1709</v>
      </c>
      <c r="BO70" t="s">
        <v>1648</v>
      </c>
      <c r="BP70" s="8" t="s">
        <v>1702</v>
      </c>
      <c r="BQ70" s="8">
        <v>2005</v>
      </c>
      <c r="BR70" s="8">
        <v>65.2</v>
      </c>
      <c r="BS70" s="8">
        <v>17.399999999999999</v>
      </c>
      <c r="BT70" s="8">
        <v>21.2</v>
      </c>
      <c r="BU70" s="8">
        <v>10.199999999999999</v>
      </c>
      <c r="BV70" s="8">
        <v>4.5</v>
      </c>
      <c r="BW70" s="8">
        <v>0</v>
      </c>
      <c r="BX70" s="8">
        <v>0</v>
      </c>
      <c r="BY70" s="1140">
        <f t="shared" si="60"/>
        <v>0.65200000000000002</v>
      </c>
      <c r="BZ70" s="1140">
        <f t="shared" si="61"/>
        <v>0.17399999999999999</v>
      </c>
      <c r="CA70" s="1140">
        <f t="shared" si="62"/>
        <v>0.21199999999999999</v>
      </c>
      <c r="CB70" s="1140">
        <f t="shared" si="63"/>
        <v>0.10199999999999999</v>
      </c>
      <c r="CC70" s="1140">
        <f t="shared" si="64"/>
        <v>4.4999999999999998E-2</v>
      </c>
      <c r="CD70" s="1140">
        <f t="shared" si="65"/>
        <v>0</v>
      </c>
      <c r="CE70" s="1140">
        <f t="shared" si="66"/>
        <v>0</v>
      </c>
      <c r="CF70" s="1140" t="str">
        <f t="shared" si="67"/>
        <v>Honduras2005</v>
      </c>
      <c r="CJ70" s="1109">
        <v>924</v>
      </c>
      <c r="CK70" s="1109" t="s">
        <v>1599</v>
      </c>
      <c r="CL70" s="1109">
        <v>2015</v>
      </c>
      <c r="CM70" s="1111">
        <v>2805.95</v>
      </c>
      <c r="CN70" s="1143" t="s">
        <v>1599</v>
      </c>
      <c r="CO70" s="1144">
        <v>2805950</v>
      </c>
    </row>
    <row r="71" spans="4:113">
      <c r="BA71" s="397" t="str">
        <f t="array" ref="BA71">IFERROR(INDEX($BO$5:$BO$1001, MATCH(0,COUNTIF($BA$2:BA70, $BO$5:$BO$1001), 0)),"")</f>
        <v>Jamaica</v>
      </c>
      <c r="BB71" s="1114">
        <f t="shared" si="51"/>
        <v>772196</v>
      </c>
      <c r="BC71" s="1095">
        <f t="array" ref="BC71">IF(OR(BA71="",BA71=0),"",MAX(IF($BO$5:$BO$1001=$BA71,$BQ$5:$BQ$1001)))</f>
        <v>2008</v>
      </c>
      <c r="BD71" s="1095" t="str">
        <f t="shared" si="52"/>
        <v>RHS</v>
      </c>
      <c r="BE71" s="1096">
        <f t="shared" si="53"/>
        <v>0.72499999999999998</v>
      </c>
      <c r="BF71" s="1096">
        <f t="shared" si="54"/>
        <v>0.23899999999999999</v>
      </c>
      <c r="BG71" s="1096">
        <f t="shared" si="55"/>
        <v>0.19</v>
      </c>
      <c r="BH71" s="1096">
        <f t="shared" si="56"/>
        <v>1.3999999999999999E-2</v>
      </c>
      <c r="BI71" s="1096">
        <f t="shared" si="57"/>
        <v>0.34899999999999998</v>
      </c>
      <c r="BJ71" s="1096">
        <f t="shared" si="58"/>
        <v>0.01</v>
      </c>
      <c r="BK71" s="1097">
        <f t="shared" si="59"/>
        <v>4.0000000000000001E-3</v>
      </c>
      <c r="BN71" t="s">
        <v>1709</v>
      </c>
      <c r="BO71" t="s">
        <v>1649</v>
      </c>
      <c r="BP71" s="8" t="s">
        <v>1705</v>
      </c>
      <c r="BQ71" s="8">
        <v>2008</v>
      </c>
      <c r="BR71" s="8">
        <v>72.5</v>
      </c>
      <c r="BS71" s="8">
        <v>23.9</v>
      </c>
      <c r="BT71" s="8">
        <v>19</v>
      </c>
      <c r="BU71" s="8">
        <v>1.4</v>
      </c>
      <c r="BV71" s="8">
        <v>34.9</v>
      </c>
      <c r="BW71" s="8">
        <v>1</v>
      </c>
      <c r="BX71" s="8">
        <v>0.4</v>
      </c>
      <c r="BY71" s="1140">
        <f t="shared" si="60"/>
        <v>0.72499999999999998</v>
      </c>
      <c r="BZ71" s="1140">
        <f t="shared" si="61"/>
        <v>0.23899999999999999</v>
      </c>
      <c r="CA71" s="1140">
        <f t="shared" si="62"/>
        <v>0.19</v>
      </c>
      <c r="CB71" s="1140">
        <f t="shared" si="63"/>
        <v>1.3999999999999999E-2</v>
      </c>
      <c r="CC71" s="1140">
        <f t="shared" si="64"/>
        <v>0.34899999999999998</v>
      </c>
      <c r="CD71" s="1140">
        <f t="shared" si="65"/>
        <v>0.01</v>
      </c>
      <c r="CE71" s="1140">
        <f t="shared" si="66"/>
        <v>4.0000000000000001E-3</v>
      </c>
      <c r="CF71" s="1140" t="str">
        <f t="shared" si="67"/>
        <v>Jamaica2008</v>
      </c>
      <c r="CJ71" s="1109">
        <v>938</v>
      </c>
      <c r="CK71" s="1109" t="s">
        <v>1600</v>
      </c>
      <c r="CL71" s="1109">
        <v>2015</v>
      </c>
      <c r="CM71" s="1111">
        <v>436.70699999999999</v>
      </c>
      <c r="CN71" s="1143" t="s">
        <v>1600</v>
      </c>
      <c r="CO71" s="1144">
        <v>436707</v>
      </c>
    </row>
    <row r="72" spans="4:113">
      <c r="BA72" s="397" t="str">
        <f t="array" ref="BA72">IFERROR(INDEX($BO$5:$BO$1001, MATCH(0,COUNTIF($BA$2:BA71, $BO$5:$BO$1001), 0)),"")</f>
        <v>Mexico</v>
      </c>
      <c r="BB72" s="1114">
        <f t="shared" si="51"/>
        <v>34397664</v>
      </c>
      <c r="BC72" s="1095">
        <f t="array" ref="BC72">IF(OR(BA72="",BA72=0),"",MAX(IF($BO$5:$BO$1001=$BA72,$BQ$5:$BQ$1001)))</f>
        <v>2006</v>
      </c>
      <c r="BD72" s="1095" t="str">
        <f t="shared" si="52"/>
        <v>NS</v>
      </c>
      <c r="BE72" s="1096">
        <f t="shared" si="53"/>
        <v>0.70900000000000007</v>
      </c>
      <c r="BF72" s="1096">
        <f t="shared" si="54"/>
        <v>7.0999999999999994E-2</v>
      </c>
      <c r="BG72" s="1096">
        <f t="shared" si="55"/>
        <v>7.4999999999999997E-2</v>
      </c>
      <c r="BH72" s="1096">
        <f t="shared" si="56"/>
        <v>0.17399999999999999</v>
      </c>
      <c r="BI72" s="1096">
        <f t="shared" si="57"/>
        <v>9.6000000000000002E-2</v>
      </c>
      <c r="BJ72" s="1096">
        <f t="shared" si="58"/>
        <v>0</v>
      </c>
      <c r="BK72" s="1097">
        <f t="shared" si="59"/>
        <v>0</v>
      </c>
      <c r="BN72" t="s">
        <v>1709</v>
      </c>
      <c r="BO72" t="s">
        <v>1650</v>
      </c>
      <c r="BP72" s="8" t="s">
        <v>1701</v>
      </c>
      <c r="BQ72" s="8">
        <v>2006</v>
      </c>
      <c r="BR72" s="8">
        <v>70.900000000000006</v>
      </c>
      <c r="BS72" s="8">
        <v>7.1</v>
      </c>
      <c r="BT72" s="8">
        <v>7.5</v>
      </c>
      <c r="BU72" s="8">
        <v>17.399999999999999</v>
      </c>
      <c r="BV72" s="8">
        <v>9.6</v>
      </c>
      <c r="BW72" s="8">
        <v>0</v>
      </c>
      <c r="BX72" s="8">
        <v>0</v>
      </c>
      <c r="BY72" s="1140">
        <f t="shared" si="60"/>
        <v>0.70900000000000007</v>
      </c>
      <c r="BZ72" s="1140">
        <f t="shared" si="61"/>
        <v>7.0999999999999994E-2</v>
      </c>
      <c r="CA72" s="1140">
        <f t="shared" si="62"/>
        <v>7.4999999999999997E-2</v>
      </c>
      <c r="CB72" s="1140">
        <f t="shared" si="63"/>
        <v>0.17399999999999999</v>
      </c>
      <c r="CC72" s="1140">
        <f t="shared" si="64"/>
        <v>9.6000000000000002E-2</v>
      </c>
      <c r="CD72" s="1140">
        <f t="shared" si="65"/>
        <v>0</v>
      </c>
      <c r="CE72" s="1140">
        <f t="shared" si="66"/>
        <v>0</v>
      </c>
      <c r="CF72" s="1140" t="str">
        <f t="shared" si="67"/>
        <v>Mexico2006</v>
      </c>
      <c r="CJ72" s="1109">
        <v>952</v>
      </c>
      <c r="CK72" s="1109" t="s">
        <v>1603</v>
      </c>
      <c r="CL72" s="1109">
        <v>2015</v>
      </c>
      <c r="CM72" s="1111">
        <v>1057.0540000000001</v>
      </c>
      <c r="CN72" s="1143" t="s">
        <v>1603</v>
      </c>
      <c r="CO72" s="1144">
        <v>1057054</v>
      </c>
    </row>
    <row r="73" spans="4:113">
      <c r="BA73" s="397" t="str">
        <f t="array" ref="BA73">IFERROR(INDEX($BO$5:$BO$1001, MATCH(0,COUNTIF($BA$2:BA72, $BO$5:$BO$1001), 0)),"")</f>
        <v>Nicaragua</v>
      </c>
      <c r="BB73" s="1114">
        <f t="shared" si="51"/>
        <v>1686903</v>
      </c>
      <c r="BC73" s="1095">
        <f t="array" ref="BC73">IF(OR(BA73="",BA73=0),"",MAX(IF($BO$5:$BO$1001=$BA73,$BQ$5:$BQ$1001)))</f>
        <v>2006</v>
      </c>
      <c r="BD73" s="1095" t="str">
        <f t="shared" si="52"/>
        <v>RHS</v>
      </c>
      <c r="BE73" s="1096">
        <f t="shared" si="53"/>
        <v>0.72400000000000009</v>
      </c>
      <c r="BF73" s="1096">
        <f t="shared" si="54"/>
        <v>0.18899999999999997</v>
      </c>
      <c r="BG73" s="1096">
        <f t="shared" si="55"/>
        <v>0.32700000000000001</v>
      </c>
      <c r="BH73" s="1096">
        <f t="shared" si="56"/>
        <v>4.8000000000000001E-2</v>
      </c>
      <c r="BI73" s="1096">
        <f t="shared" si="57"/>
        <v>5.2999999999999999E-2</v>
      </c>
      <c r="BJ73" s="1096">
        <f t="shared" si="58"/>
        <v>0</v>
      </c>
      <c r="BK73" s="1097">
        <f t="shared" si="59"/>
        <v>0</v>
      </c>
      <c r="BN73" t="s">
        <v>1709</v>
      </c>
      <c r="BO73" t="s">
        <v>1651</v>
      </c>
      <c r="BP73" s="8" t="s">
        <v>1705</v>
      </c>
      <c r="BQ73" s="8">
        <v>2006</v>
      </c>
      <c r="BR73" s="8">
        <v>72.400000000000006</v>
      </c>
      <c r="BS73" s="8">
        <v>18.899999999999999</v>
      </c>
      <c r="BT73" s="8">
        <v>32.700000000000003</v>
      </c>
      <c r="BU73" s="8">
        <v>4.8</v>
      </c>
      <c r="BV73" s="8">
        <v>5.3</v>
      </c>
      <c r="BW73" s="8">
        <v>0</v>
      </c>
      <c r="BX73" s="8">
        <v>0</v>
      </c>
      <c r="BY73" s="1140">
        <f t="shared" si="60"/>
        <v>0.72400000000000009</v>
      </c>
      <c r="BZ73" s="1140">
        <f t="shared" si="61"/>
        <v>0.18899999999999997</v>
      </c>
      <c r="CA73" s="1140">
        <f t="shared" si="62"/>
        <v>0.32700000000000001</v>
      </c>
      <c r="CB73" s="1140">
        <f t="shared" si="63"/>
        <v>4.8000000000000001E-2</v>
      </c>
      <c r="CC73" s="1140">
        <f t="shared" si="64"/>
        <v>5.2999999999999999E-2</v>
      </c>
      <c r="CD73" s="1140">
        <f t="shared" si="65"/>
        <v>0</v>
      </c>
      <c r="CE73" s="1140">
        <f t="shared" si="66"/>
        <v>0</v>
      </c>
      <c r="CF73" s="1140" t="str">
        <f t="shared" si="67"/>
        <v>Nicaragua2006</v>
      </c>
      <c r="CJ73" s="1109">
        <v>966</v>
      </c>
      <c r="CK73" s="1109" t="s">
        <v>1606</v>
      </c>
      <c r="CL73" s="1109">
        <v>2015</v>
      </c>
      <c r="CM73" s="1111">
        <v>3846.6370000000002</v>
      </c>
      <c r="CN73" s="1143" t="s">
        <v>1606</v>
      </c>
      <c r="CO73" s="1144">
        <v>3846637</v>
      </c>
    </row>
    <row r="74" spans="4:113">
      <c r="BA74" s="397" t="str">
        <f t="array" ref="BA74">IFERROR(INDEX($BO$5:$BO$1001, MATCH(0,COUNTIF($BA$2:BA73, $BO$5:$BO$1001), 0)),"")</f>
        <v>Panama</v>
      </c>
      <c r="BB74" s="1114">
        <f t="shared" si="51"/>
        <v>1023576</v>
      </c>
      <c r="BC74" s="1095">
        <f t="array" ref="BC74">IF(OR(BA74="",BA74=0),"",MAX(IF($BO$5:$BO$1001=$BA74,$BQ$5:$BQ$1001)))</f>
        <v>2009</v>
      </c>
      <c r="BD74" s="1095" t="str">
        <f t="shared" si="52"/>
        <v>NS</v>
      </c>
      <c r="BE74" s="1096">
        <f t="shared" si="53"/>
        <v>0.52200000000000002</v>
      </c>
      <c r="BF74" s="1096">
        <f t="shared" si="54"/>
        <v>0.223</v>
      </c>
      <c r="BG74" s="1096">
        <f t="shared" si="55"/>
        <v>0.27</v>
      </c>
      <c r="BH74" s="1096">
        <f t="shared" si="56"/>
        <v>9.6999999999999989E-2</v>
      </c>
      <c r="BI74" s="1096">
        <f t="shared" si="57"/>
        <v>6.4000000000000001E-2</v>
      </c>
      <c r="BJ74" s="1096">
        <f t="shared" si="58"/>
        <v>0</v>
      </c>
      <c r="BK74" s="1097">
        <f t="shared" si="59"/>
        <v>0</v>
      </c>
      <c r="BN74" t="s">
        <v>1709</v>
      </c>
      <c r="BO74" t="s">
        <v>1652</v>
      </c>
      <c r="BP74" s="8" t="s">
        <v>1701</v>
      </c>
      <c r="BQ74" s="8">
        <v>2009</v>
      </c>
      <c r="BR74" s="8">
        <v>52.2</v>
      </c>
      <c r="BS74" s="8">
        <v>22.3</v>
      </c>
      <c r="BT74" s="8">
        <v>27</v>
      </c>
      <c r="BU74" s="8">
        <v>9.6999999999999993</v>
      </c>
      <c r="BV74" s="8">
        <v>6.4</v>
      </c>
      <c r="BW74" s="8">
        <v>0</v>
      </c>
      <c r="BX74" s="8">
        <v>0</v>
      </c>
      <c r="BY74" s="1140">
        <f t="shared" si="60"/>
        <v>0.52200000000000002</v>
      </c>
      <c r="BZ74" s="1140">
        <f t="shared" si="61"/>
        <v>0.223</v>
      </c>
      <c r="CA74" s="1140">
        <f t="shared" si="62"/>
        <v>0.27</v>
      </c>
      <c r="CB74" s="1140">
        <f t="shared" si="63"/>
        <v>9.6999999999999989E-2</v>
      </c>
      <c r="CC74" s="1140">
        <f t="shared" si="64"/>
        <v>6.4000000000000001E-2</v>
      </c>
      <c r="CD74" s="1140">
        <f t="shared" si="65"/>
        <v>0</v>
      </c>
      <c r="CE74" s="1140">
        <f t="shared" si="66"/>
        <v>0</v>
      </c>
      <c r="CF74" s="1140" t="str">
        <f t="shared" si="67"/>
        <v>Panama2009</v>
      </c>
      <c r="CJ74" s="1109">
        <v>980</v>
      </c>
      <c r="CK74" s="1109" t="s">
        <v>1607</v>
      </c>
      <c r="CL74" s="1109">
        <v>2015</v>
      </c>
      <c r="CM74" s="1111">
        <v>1013.192</v>
      </c>
      <c r="CN74" s="1143" t="s">
        <v>1607</v>
      </c>
      <c r="CO74" s="1144">
        <v>1013192</v>
      </c>
    </row>
    <row r="75" spans="4:113">
      <c r="BA75" s="397" t="str">
        <f t="array" ref="BA75">IFERROR(INDEX($BO$5:$BO$1001, MATCH(0,COUNTIF($BA$2:BA74, $BO$5:$BO$1001), 0)),"")</f>
        <v>Paraguay</v>
      </c>
      <c r="BB75" s="1114">
        <f t="shared" si="51"/>
        <v>1734424</v>
      </c>
      <c r="BC75" s="1095">
        <f t="array" ref="BC75">IF(OR(BA75="",BA75=0),"",MAX(IF($BO$5:$BO$1001=$BA75,$BQ$5:$BQ$1001)))</f>
        <v>2008</v>
      </c>
      <c r="BD75" s="1095" t="str">
        <f t="shared" si="52"/>
        <v>RHS</v>
      </c>
      <c r="BE75" s="1096">
        <f t="shared" si="53"/>
        <v>0.79400000000000004</v>
      </c>
      <c r="BF75" s="1096">
        <f t="shared" si="54"/>
        <v>0.22800000000000001</v>
      </c>
      <c r="BG75" s="1096">
        <f t="shared" si="55"/>
        <v>0.20899999999999999</v>
      </c>
      <c r="BH75" s="1096">
        <f t="shared" si="56"/>
        <v>0.156</v>
      </c>
      <c r="BI75" s="1096">
        <f t="shared" si="57"/>
        <v>0.16699999999999998</v>
      </c>
      <c r="BJ75" s="1096">
        <f t="shared" si="58"/>
        <v>0</v>
      </c>
      <c r="BK75" s="1097">
        <f t="shared" si="59"/>
        <v>1E-3</v>
      </c>
      <c r="BN75" t="s">
        <v>1709</v>
      </c>
      <c r="BO75" t="s">
        <v>1653</v>
      </c>
      <c r="BP75" s="8" t="s">
        <v>1705</v>
      </c>
      <c r="BQ75" s="8">
        <v>2008</v>
      </c>
      <c r="BR75" s="8">
        <v>79.400000000000006</v>
      </c>
      <c r="BS75" s="8">
        <v>22.8</v>
      </c>
      <c r="BT75" s="8">
        <v>20.9</v>
      </c>
      <c r="BU75" s="8">
        <v>15.6</v>
      </c>
      <c r="BV75" s="8">
        <v>16.7</v>
      </c>
      <c r="BW75" s="8">
        <v>0</v>
      </c>
      <c r="BX75" s="8">
        <v>0.1</v>
      </c>
      <c r="BY75" s="1140">
        <f t="shared" si="60"/>
        <v>0.79400000000000004</v>
      </c>
      <c r="BZ75" s="1140">
        <f t="shared" si="61"/>
        <v>0.22800000000000001</v>
      </c>
      <c r="CA75" s="1140">
        <f t="shared" si="62"/>
        <v>0.20899999999999999</v>
      </c>
      <c r="CB75" s="1140">
        <f t="shared" si="63"/>
        <v>0.156</v>
      </c>
      <c r="CC75" s="1140">
        <f t="shared" si="64"/>
        <v>0.16699999999999998</v>
      </c>
      <c r="CD75" s="1140">
        <f t="shared" si="65"/>
        <v>0</v>
      </c>
      <c r="CE75" s="1140">
        <f t="shared" si="66"/>
        <v>1E-3</v>
      </c>
      <c r="CF75" s="1140" t="str">
        <f t="shared" si="67"/>
        <v>Paraguay2008</v>
      </c>
      <c r="CJ75" s="1109">
        <v>994</v>
      </c>
      <c r="CK75" s="1109" t="s">
        <v>1611</v>
      </c>
      <c r="CL75" s="1109">
        <v>2015</v>
      </c>
      <c r="CM75" s="1111">
        <v>4167.7560000000003</v>
      </c>
      <c r="CN75" s="1143" t="s">
        <v>1611</v>
      </c>
      <c r="CO75" s="1144">
        <v>4167756.0000000005</v>
      </c>
    </row>
    <row r="76" spans="4:113">
      <c r="BA76" s="397" t="str">
        <f t="array" ref="BA76">IFERROR(INDEX($BO$5:$BO$1001, MATCH(0,COUNTIF($BA$2:BA75, $BO$5:$BO$1001), 0)),"")</f>
        <v>Peru</v>
      </c>
      <c r="BB76" s="1114">
        <f t="shared" si="51"/>
        <v>8310366</v>
      </c>
      <c r="BC76" s="1095">
        <f t="array" ref="BC76">IF(OR(BA76="",BA76=0),"",MAX(IF($BO$5:$BO$1001=$BA76,$BQ$5:$BQ$1001)))</f>
        <v>2011</v>
      </c>
      <c r="BD76" s="1095" t="str">
        <f t="shared" si="52"/>
        <v>DHS</v>
      </c>
      <c r="BE76" s="1096">
        <f t="shared" si="53"/>
        <v>0.754</v>
      </c>
      <c r="BF76" s="1096">
        <f t="shared" si="54"/>
        <v>0.11199999999999999</v>
      </c>
      <c r="BG76" s="1096">
        <f t="shared" si="55"/>
        <v>0.24199999999999999</v>
      </c>
      <c r="BH76" s="1096">
        <f t="shared" si="56"/>
        <v>3.5000000000000003E-2</v>
      </c>
      <c r="BI76" s="1096">
        <f t="shared" si="57"/>
        <v>0.16200000000000001</v>
      </c>
      <c r="BJ76" s="1096">
        <f t="shared" si="58"/>
        <v>1E-3</v>
      </c>
      <c r="BK76" s="1097">
        <f t="shared" si="59"/>
        <v>4.0000000000000001E-3</v>
      </c>
      <c r="BN76" t="s">
        <v>1709</v>
      </c>
      <c r="BO76" t="s">
        <v>1654</v>
      </c>
      <c r="BP76" s="8" t="s">
        <v>1702</v>
      </c>
      <c r="BQ76" s="8">
        <v>2011</v>
      </c>
      <c r="BR76" s="8">
        <v>75.400000000000006</v>
      </c>
      <c r="BS76" s="8">
        <v>11.2</v>
      </c>
      <c r="BT76" s="8">
        <v>24.2</v>
      </c>
      <c r="BU76" s="8">
        <v>3.5</v>
      </c>
      <c r="BV76" s="8">
        <v>16.2</v>
      </c>
      <c r="BW76" s="8">
        <v>0.1</v>
      </c>
      <c r="BX76" s="8">
        <v>0.4</v>
      </c>
      <c r="BY76" s="1140">
        <f t="shared" si="60"/>
        <v>0.754</v>
      </c>
      <c r="BZ76" s="1140">
        <f t="shared" si="61"/>
        <v>0.11199999999999999</v>
      </c>
      <c r="CA76" s="1140">
        <f t="shared" si="62"/>
        <v>0.24199999999999999</v>
      </c>
      <c r="CB76" s="1140">
        <f t="shared" si="63"/>
        <v>3.5000000000000003E-2</v>
      </c>
      <c r="CC76" s="1140">
        <f t="shared" si="64"/>
        <v>0.16200000000000001</v>
      </c>
      <c r="CD76" s="1140">
        <f t="shared" si="65"/>
        <v>1E-3</v>
      </c>
      <c r="CE76" s="1140">
        <f t="shared" si="66"/>
        <v>4.0000000000000001E-3</v>
      </c>
      <c r="CF76" s="1140" t="str">
        <f t="shared" si="67"/>
        <v>Peru2011</v>
      </c>
      <c r="CJ76" s="1109">
        <v>1008</v>
      </c>
      <c r="CK76" s="1109" t="s">
        <v>1612</v>
      </c>
      <c r="CL76" s="1109">
        <v>2015</v>
      </c>
      <c r="CM76" s="1111">
        <v>41362.595999999998</v>
      </c>
      <c r="CN76" s="1143" t="s">
        <v>1612</v>
      </c>
      <c r="CO76" s="1144">
        <v>41362596</v>
      </c>
    </row>
    <row r="77" spans="4:113">
      <c r="BA77" s="397" t="str">
        <f t="array" ref="BA77">IFERROR(INDEX($BO$5:$BO$1001, MATCH(0,COUNTIF($BA$2:BA76, $BO$5:$BO$1001), 0)),"")</f>
        <v>Uruguay</v>
      </c>
      <c r="BB77" s="1114">
        <f t="shared" si="51"/>
        <v>823220</v>
      </c>
      <c r="BC77" s="1095">
        <f t="array" ref="BC77">IF(OR(BA77="",BA77=0),"",MAX(IF($BO$5:$BO$1001=$BA77,$BQ$5:$BQ$1001)))</f>
        <v>2004</v>
      </c>
      <c r="BD77" s="1095" t="str">
        <f t="shared" si="52"/>
        <v>NS</v>
      </c>
      <c r="BE77" s="1096">
        <f t="shared" si="53"/>
        <v>0.77</v>
      </c>
      <c r="BF77" s="1096">
        <f t="shared" si="54"/>
        <v>0.31</v>
      </c>
      <c r="BG77" s="1096">
        <f t="shared" si="55"/>
        <v>0</v>
      </c>
      <c r="BH77" s="1096">
        <f t="shared" si="56"/>
        <v>0.16</v>
      </c>
      <c r="BI77" s="1096">
        <f t="shared" si="57"/>
        <v>0.4</v>
      </c>
      <c r="BJ77" s="1096">
        <f t="shared" si="58"/>
        <v>0</v>
      </c>
      <c r="BK77" s="1097">
        <f t="shared" si="59"/>
        <v>2.1000000000000001E-2</v>
      </c>
      <c r="BN77" t="s">
        <v>1709</v>
      </c>
      <c r="BO77" t="s">
        <v>1655</v>
      </c>
      <c r="BP77" s="8" t="s">
        <v>1701</v>
      </c>
      <c r="BQ77" s="8">
        <v>2004</v>
      </c>
      <c r="BR77" s="8">
        <v>77</v>
      </c>
      <c r="BS77" s="8">
        <v>31</v>
      </c>
      <c r="BT77" s="8">
        <v>0</v>
      </c>
      <c r="BU77" s="8">
        <v>16</v>
      </c>
      <c r="BV77" s="8">
        <v>40</v>
      </c>
      <c r="BW77" s="8">
        <v>0</v>
      </c>
      <c r="BX77" s="8">
        <v>2.1</v>
      </c>
      <c r="BY77" s="1140">
        <f t="shared" si="60"/>
        <v>0.77</v>
      </c>
      <c r="BZ77" s="1140">
        <f t="shared" si="61"/>
        <v>0.31</v>
      </c>
      <c r="CA77" s="1140">
        <f t="shared" si="62"/>
        <v>0</v>
      </c>
      <c r="CB77" s="1140">
        <f t="shared" si="63"/>
        <v>0.16</v>
      </c>
      <c r="CC77" s="1140">
        <f t="shared" si="64"/>
        <v>0.4</v>
      </c>
      <c r="CD77" s="1140">
        <f t="shared" si="65"/>
        <v>0</v>
      </c>
      <c r="CE77" s="1140">
        <f t="shared" si="66"/>
        <v>2.1000000000000001E-2</v>
      </c>
      <c r="CF77" s="1140" t="str">
        <f t="shared" si="67"/>
        <v>Uruguay2004</v>
      </c>
      <c r="CJ77" s="1109">
        <v>1022</v>
      </c>
      <c r="CK77" s="1109" t="s">
        <v>1614</v>
      </c>
      <c r="CL77" s="1109">
        <v>2015</v>
      </c>
      <c r="CM77" s="1111">
        <v>3651.5450000000001</v>
      </c>
      <c r="CN77" s="1143" t="s">
        <v>1614</v>
      </c>
      <c r="CO77" s="1144">
        <v>3651545</v>
      </c>
    </row>
    <row r="78" spans="4:113">
      <c r="BA78" s="397" t="str">
        <f t="array" ref="BA78">IFERROR(INDEX($BO$5:$BO$1001, MATCH(0,COUNTIF($BA$2:BA77, $BO$5:$BO$1001), 0)),"")</f>
        <v>Afghanistan</v>
      </c>
      <c r="BB78" s="1114">
        <f t="shared" si="51"/>
        <v>7586627</v>
      </c>
      <c r="BC78" s="1095">
        <f t="array" ref="BC78">IF(OR(BA78="",BA78=0),"",MAX(IF($BO$5:$BO$1001=$BA78,$BQ$5:$BQ$1001)))</f>
        <v>2011</v>
      </c>
      <c r="BD78" s="1095" t="str">
        <f t="shared" si="52"/>
        <v>DHS-M</v>
      </c>
      <c r="BE78" s="1096">
        <f t="shared" si="53"/>
        <v>0.218</v>
      </c>
      <c r="BF78" s="1096">
        <f t="shared" si="54"/>
        <v>0.29100000000000004</v>
      </c>
      <c r="BG78" s="1096">
        <f t="shared" si="55"/>
        <v>0.35</v>
      </c>
      <c r="BH78" s="1096">
        <f t="shared" si="56"/>
        <v>6.8000000000000005E-2</v>
      </c>
      <c r="BI78" s="1096">
        <f t="shared" si="57"/>
        <v>9.6999999999999989E-2</v>
      </c>
      <c r="BJ78" s="1096">
        <f t="shared" si="58"/>
        <v>0</v>
      </c>
      <c r="BK78" s="1097">
        <f t="shared" si="59"/>
        <v>0</v>
      </c>
      <c r="BN78" t="s">
        <v>1709</v>
      </c>
      <c r="BO78" t="s">
        <v>1656</v>
      </c>
      <c r="BP78" s="8" t="s">
        <v>1706</v>
      </c>
      <c r="BQ78" s="8">
        <v>2011</v>
      </c>
      <c r="BR78" s="8">
        <v>21.8</v>
      </c>
      <c r="BS78" s="8">
        <v>29.1</v>
      </c>
      <c r="BT78" s="8">
        <v>35</v>
      </c>
      <c r="BU78" s="8">
        <v>6.8</v>
      </c>
      <c r="BV78" s="8">
        <v>9.6999999999999993</v>
      </c>
      <c r="BW78" s="8">
        <v>0</v>
      </c>
      <c r="BX78" s="8">
        <v>0</v>
      </c>
      <c r="BY78" s="1140">
        <f t="shared" si="60"/>
        <v>0.218</v>
      </c>
      <c r="BZ78" s="1140">
        <f t="shared" si="61"/>
        <v>0.29100000000000004</v>
      </c>
      <c r="CA78" s="1140">
        <f t="shared" si="62"/>
        <v>0.35</v>
      </c>
      <c r="CB78" s="1140">
        <f t="shared" si="63"/>
        <v>6.8000000000000005E-2</v>
      </c>
      <c r="CC78" s="1140">
        <f t="shared" si="64"/>
        <v>9.6999999999999989E-2</v>
      </c>
      <c r="CD78" s="1140">
        <f t="shared" si="65"/>
        <v>0</v>
      </c>
      <c r="CE78" s="1140">
        <f t="shared" si="66"/>
        <v>0</v>
      </c>
      <c r="CF78" s="1140" t="str">
        <f t="shared" si="67"/>
        <v>Afghanistan2011</v>
      </c>
      <c r="CJ78" s="1109">
        <v>1036</v>
      </c>
      <c r="CK78" s="1109" t="s">
        <v>1615</v>
      </c>
      <c r="CL78" s="1109">
        <v>2015</v>
      </c>
      <c r="CM78" s="1111">
        <v>1770.4949999999999</v>
      </c>
      <c r="CN78" s="1143" t="s">
        <v>1615</v>
      </c>
      <c r="CO78" s="1144">
        <v>1770495</v>
      </c>
    </row>
    <row r="79" spans="4:113">
      <c r="BA79" s="397" t="str">
        <f t="array" ref="BA79">IFERROR(INDEX($BO$5:$BO$1001, MATCH(0,COUNTIF($BA$2:BA78, $BO$5:$BO$1001), 0)),"")</f>
        <v>Bangladesh</v>
      </c>
      <c r="BB79" s="1114">
        <f t="shared" si="51"/>
        <v>44998720</v>
      </c>
      <c r="BC79" s="1095">
        <f t="array" ref="BC79">IF(OR(BA79="",BA79=0),"",MAX(IF($BO$5:$BO$1001=$BA79,$BQ$5:$BQ$1001)))</f>
        <v>2011</v>
      </c>
      <c r="BD79" s="1095" t="str">
        <f t="shared" si="52"/>
        <v>DHS</v>
      </c>
      <c r="BE79" s="1096">
        <f t="shared" si="53"/>
        <v>0.61199999999999999</v>
      </c>
      <c r="BF79" s="1096">
        <f t="shared" si="54"/>
        <v>0.44799999999999995</v>
      </c>
      <c r="BG79" s="1096">
        <f t="shared" si="55"/>
        <v>0.185</v>
      </c>
      <c r="BH79" s="1096">
        <f t="shared" si="56"/>
        <v>1.2E-2</v>
      </c>
      <c r="BI79" s="1096">
        <f t="shared" si="57"/>
        <v>9.0999999999999998E-2</v>
      </c>
      <c r="BJ79" s="1096">
        <f t="shared" si="58"/>
        <v>1.8000000000000002E-2</v>
      </c>
      <c r="BK79" s="1097">
        <f t="shared" si="59"/>
        <v>0</v>
      </c>
      <c r="BN79" t="s">
        <v>1709</v>
      </c>
      <c r="BO79" t="s">
        <v>1657</v>
      </c>
      <c r="BP79" s="8" t="s">
        <v>1702</v>
      </c>
      <c r="BQ79" s="8">
        <v>2011</v>
      </c>
      <c r="BR79" s="8">
        <v>61.2</v>
      </c>
      <c r="BS79" s="8">
        <v>44.8</v>
      </c>
      <c r="BT79" s="8">
        <v>18.5</v>
      </c>
      <c r="BU79" s="8">
        <v>1.2</v>
      </c>
      <c r="BV79" s="8">
        <v>9.1</v>
      </c>
      <c r="BW79" s="8">
        <v>1.8</v>
      </c>
      <c r="BX79" s="8">
        <v>0</v>
      </c>
      <c r="BY79" s="1140">
        <f t="shared" si="60"/>
        <v>0.61199999999999999</v>
      </c>
      <c r="BZ79" s="1140">
        <f t="shared" si="61"/>
        <v>0.44799999999999995</v>
      </c>
      <c r="CA79" s="1140">
        <f t="shared" si="62"/>
        <v>0.185</v>
      </c>
      <c r="CB79" s="1140">
        <f t="shared" si="63"/>
        <v>1.2E-2</v>
      </c>
      <c r="CC79" s="1140">
        <f t="shared" si="64"/>
        <v>9.0999999999999998E-2</v>
      </c>
      <c r="CD79" s="1140">
        <f t="shared" si="65"/>
        <v>1.8000000000000002E-2</v>
      </c>
      <c r="CE79" s="1140">
        <f t="shared" si="66"/>
        <v>0</v>
      </c>
      <c r="CF79" s="1140" t="str">
        <f t="shared" si="67"/>
        <v>Bangladesh2011</v>
      </c>
      <c r="CJ79" s="1109">
        <v>1050</v>
      </c>
      <c r="CK79" s="1109" t="s">
        <v>1622</v>
      </c>
      <c r="CL79" s="1109">
        <v>2015</v>
      </c>
      <c r="CM79" s="1111">
        <v>1793.0219999999999</v>
      </c>
      <c r="CN79" s="1143" t="s">
        <v>1622</v>
      </c>
      <c r="CO79" s="1144">
        <v>1793022</v>
      </c>
      <c r="DI79" s="1127"/>
    </row>
    <row r="80" spans="4:113">
      <c r="BA80" s="397" t="str">
        <f t="array" ref="BA80">IFERROR(INDEX($BO$5:$BO$1001, MATCH(0,COUNTIF($BA$2:BA79, $BO$5:$BO$1001), 0)),"")</f>
        <v>Cambodia</v>
      </c>
      <c r="BB80" s="1114">
        <f t="shared" si="51"/>
        <v>4252559</v>
      </c>
      <c r="BC80" s="1095">
        <f t="array" ref="BC80">IF(OR(BA80="",BA80=0),"",MAX(IF($BO$5:$BO$1001=$BA80,$BQ$5:$BQ$1001)))</f>
        <v>2010</v>
      </c>
      <c r="BD80" s="1095" t="str">
        <f t="shared" si="52"/>
        <v>DHS</v>
      </c>
      <c r="BE80" s="1096">
        <f t="shared" si="53"/>
        <v>0.505</v>
      </c>
      <c r="BF80" s="1096">
        <f t="shared" si="54"/>
        <v>0.313</v>
      </c>
      <c r="BG80" s="1096">
        <f t="shared" si="55"/>
        <v>0.20600000000000002</v>
      </c>
      <c r="BH80" s="1096">
        <f t="shared" si="56"/>
        <v>6.2E-2</v>
      </c>
      <c r="BI80" s="1096">
        <f t="shared" si="57"/>
        <v>5.4000000000000006E-2</v>
      </c>
      <c r="BJ80" s="1096">
        <f t="shared" si="58"/>
        <v>8.0000000000000002E-3</v>
      </c>
      <c r="BK80" s="1097">
        <f t="shared" si="59"/>
        <v>0</v>
      </c>
      <c r="BN80" t="s">
        <v>1709</v>
      </c>
      <c r="BO80" t="s">
        <v>1658</v>
      </c>
      <c r="BP80" s="8" t="s">
        <v>1702</v>
      </c>
      <c r="BQ80" s="8">
        <v>2010</v>
      </c>
      <c r="BR80" s="8">
        <v>50.5</v>
      </c>
      <c r="BS80" s="8">
        <v>31.3</v>
      </c>
      <c r="BT80" s="8">
        <v>20.6</v>
      </c>
      <c r="BU80" s="8">
        <v>6.2</v>
      </c>
      <c r="BV80" s="8">
        <v>5.4</v>
      </c>
      <c r="BW80" s="8">
        <v>0.8</v>
      </c>
      <c r="BX80" s="8">
        <v>0</v>
      </c>
      <c r="BY80" s="1140">
        <f t="shared" si="60"/>
        <v>0.505</v>
      </c>
      <c r="BZ80" s="1140">
        <f t="shared" si="61"/>
        <v>0.313</v>
      </c>
      <c r="CA80" s="1140">
        <f t="shared" si="62"/>
        <v>0.20600000000000002</v>
      </c>
      <c r="CB80" s="1140">
        <f t="shared" si="63"/>
        <v>6.2E-2</v>
      </c>
      <c r="CC80" s="1140">
        <f t="shared" si="64"/>
        <v>5.4000000000000006E-2</v>
      </c>
      <c r="CD80" s="1140">
        <f t="shared" si="65"/>
        <v>8.0000000000000002E-3</v>
      </c>
      <c r="CE80" s="1140">
        <f t="shared" si="66"/>
        <v>0</v>
      </c>
      <c r="CF80" s="1140" t="str">
        <f t="shared" si="67"/>
        <v>Cambodia2010</v>
      </c>
      <c r="CJ80" s="1109">
        <v>1064</v>
      </c>
      <c r="CK80" s="1110" t="s">
        <v>1851</v>
      </c>
      <c r="CL80" s="1109">
        <v>2015</v>
      </c>
      <c r="CM80" s="1111">
        <v>1146932.399</v>
      </c>
      <c r="CN80" s="1143" t="s">
        <v>1728</v>
      </c>
      <c r="CO80" s="1144">
        <v>1146932399</v>
      </c>
      <c r="DI80" s="1127"/>
    </row>
    <row r="81" spans="53:113">
      <c r="BA81" s="397" t="str">
        <f t="array" ref="BA81">IFERROR(INDEX($BO$5:$BO$1001, MATCH(0,COUNTIF($BA$2:BA80, $BO$5:$BO$1001), 0)),"")</f>
        <v>China</v>
      </c>
      <c r="BB81" s="1114">
        <f t="shared" si="51"/>
        <v>364135471</v>
      </c>
      <c r="BC81" s="1095">
        <f t="array" ref="BC81">IF(OR(BA81="",BA81=0),"",MAX(IF($BO$5:$BO$1001=$BA81,$BQ$5:$BQ$1001)))</f>
        <v>2006</v>
      </c>
      <c r="BD81" s="1095" t="str">
        <f t="shared" si="52"/>
        <v>NS</v>
      </c>
      <c r="BE81" s="1096">
        <f t="shared" si="53"/>
        <v>0.84599999999999997</v>
      </c>
      <c r="BF81" s="1096">
        <f t="shared" si="54"/>
        <v>1.3999999999999999E-2</v>
      </c>
      <c r="BG81" s="1096">
        <f t="shared" si="55"/>
        <v>0</v>
      </c>
      <c r="BH81" s="1096">
        <f t="shared" si="56"/>
        <v>0.48</v>
      </c>
      <c r="BI81" s="1096">
        <f t="shared" si="57"/>
        <v>0.1</v>
      </c>
      <c r="BJ81" s="1096">
        <f t="shared" si="58"/>
        <v>4.0000000000000001E-3</v>
      </c>
      <c r="BK81" s="1097">
        <f t="shared" si="59"/>
        <v>2E-3</v>
      </c>
      <c r="BN81" t="s">
        <v>1709</v>
      </c>
      <c r="BO81" t="s">
        <v>1659</v>
      </c>
      <c r="BP81" s="8" t="s">
        <v>1701</v>
      </c>
      <c r="BQ81" s="8">
        <v>2006</v>
      </c>
      <c r="BR81" s="8">
        <v>84.6</v>
      </c>
      <c r="BS81" s="8">
        <v>1.4</v>
      </c>
      <c r="BT81" s="8">
        <v>0</v>
      </c>
      <c r="BU81" s="8">
        <v>48</v>
      </c>
      <c r="BV81" s="8">
        <v>10</v>
      </c>
      <c r="BW81" s="8">
        <v>0.4</v>
      </c>
      <c r="BX81" s="8">
        <v>0.2</v>
      </c>
      <c r="BY81" s="1140">
        <f t="shared" si="60"/>
        <v>0.84599999999999997</v>
      </c>
      <c r="BZ81" s="1140">
        <f t="shared" si="61"/>
        <v>1.3999999999999999E-2</v>
      </c>
      <c r="CA81" s="1140">
        <f t="shared" si="62"/>
        <v>0</v>
      </c>
      <c r="CB81" s="1140">
        <f t="shared" si="63"/>
        <v>0.48</v>
      </c>
      <c r="CC81" s="1140">
        <f t="shared" si="64"/>
        <v>0.1</v>
      </c>
      <c r="CD81" s="1140">
        <f t="shared" si="65"/>
        <v>4.0000000000000001E-3</v>
      </c>
      <c r="CE81" s="1140">
        <f t="shared" si="66"/>
        <v>2E-3</v>
      </c>
      <c r="CF81" s="1140" t="str">
        <f t="shared" si="67"/>
        <v>China2006</v>
      </c>
      <c r="CJ81" s="1109">
        <v>1078</v>
      </c>
      <c r="CK81" s="1110" t="s">
        <v>1852</v>
      </c>
      <c r="CL81" s="1109">
        <v>2015</v>
      </c>
      <c r="CM81" s="1111">
        <v>418912.09600000002</v>
      </c>
      <c r="CN81" s="1143" t="s">
        <v>1728</v>
      </c>
      <c r="CO81" s="1144">
        <v>418912096</v>
      </c>
    </row>
    <row r="82" spans="53:113">
      <c r="BA82" s="397" t="str">
        <f t="array" ref="BA82">IFERROR(INDEX($BO$5:$BO$1001, MATCH(0,COUNTIF($BA$2:BA81, $BO$5:$BO$1001), 0)),"")</f>
        <v>India</v>
      </c>
      <c r="BB82" s="1114">
        <f t="shared" si="51"/>
        <v>336721939</v>
      </c>
      <c r="BC82" s="1095">
        <f t="array" ref="BC82">IF(OR(BA82="",BA82=0),"",MAX(IF($BO$5:$BO$1001=$BA82,$BQ$5:$BQ$1001)))</f>
        <v>2007</v>
      </c>
      <c r="BD82" s="1095" t="str">
        <f t="shared" si="52"/>
        <v>NS</v>
      </c>
      <c r="BE82" s="1096">
        <f t="shared" si="53"/>
        <v>0.54799999999999993</v>
      </c>
      <c r="BF82" s="1096">
        <f t="shared" si="54"/>
        <v>6.6000000000000003E-2</v>
      </c>
      <c r="BG82" s="1096">
        <f t="shared" si="55"/>
        <v>0</v>
      </c>
      <c r="BH82" s="1096">
        <f t="shared" si="56"/>
        <v>3.3000000000000002E-2</v>
      </c>
      <c r="BI82" s="1096">
        <f t="shared" si="57"/>
        <v>0.10099999999999999</v>
      </c>
      <c r="BJ82" s="1096">
        <f t="shared" si="58"/>
        <v>0</v>
      </c>
      <c r="BK82" s="1097">
        <f t="shared" si="59"/>
        <v>6.0000000000000001E-3</v>
      </c>
      <c r="BN82" t="s">
        <v>1709</v>
      </c>
      <c r="BO82" t="s">
        <v>1660</v>
      </c>
      <c r="BP82" s="8" t="s">
        <v>1701</v>
      </c>
      <c r="BQ82" s="8">
        <v>2007</v>
      </c>
      <c r="BR82" s="8">
        <v>54.8</v>
      </c>
      <c r="BS82" s="8">
        <v>6.6</v>
      </c>
      <c r="BT82" s="8">
        <v>0</v>
      </c>
      <c r="BU82" s="8">
        <v>3.3</v>
      </c>
      <c r="BV82" s="8">
        <v>10.1</v>
      </c>
      <c r="BW82" s="8">
        <v>0</v>
      </c>
      <c r="BX82" s="8">
        <v>0.6</v>
      </c>
      <c r="BY82" s="1140">
        <f t="shared" si="60"/>
        <v>0.54799999999999993</v>
      </c>
      <c r="BZ82" s="1140">
        <f t="shared" si="61"/>
        <v>6.6000000000000003E-2</v>
      </c>
      <c r="CA82" s="1140">
        <f t="shared" si="62"/>
        <v>0</v>
      </c>
      <c r="CB82" s="1140">
        <f t="shared" si="63"/>
        <v>3.3000000000000002E-2</v>
      </c>
      <c r="CC82" s="1140">
        <f t="shared" si="64"/>
        <v>0.10099999999999999</v>
      </c>
      <c r="CD82" s="1140">
        <f t="shared" si="65"/>
        <v>0</v>
      </c>
      <c r="CE82" s="1140">
        <f t="shared" si="66"/>
        <v>6.0000000000000001E-3</v>
      </c>
      <c r="CF82" s="1140" t="str">
        <f t="shared" si="67"/>
        <v>India2007</v>
      </c>
      <c r="CJ82" s="1109">
        <v>1092</v>
      </c>
      <c r="CK82" s="1109" t="s">
        <v>1659</v>
      </c>
      <c r="CL82" s="1109">
        <v>2015</v>
      </c>
      <c r="CM82" s="1111">
        <v>364135.47100000002</v>
      </c>
      <c r="CN82" s="1143" t="s">
        <v>1659</v>
      </c>
      <c r="CO82" s="1144">
        <v>364135471</v>
      </c>
    </row>
    <row r="83" spans="53:113">
      <c r="BA83" s="397" t="str">
        <f t="array" ref="BA83">IFERROR(INDEX($BO$5:$BO$1001, MATCH(0,COUNTIF($BA$2:BA82, $BO$5:$BO$1001), 0)),"")</f>
        <v>Indonesia</v>
      </c>
      <c r="BB83" s="1114">
        <f t="shared" si="51"/>
        <v>69561707</v>
      </c>
      <c r="BC83" s="1095">
        <f t="array" ref="BC83">IF(OR(BA83="",BA83=0),"",MAX(IF($BO$5:$BO$1001=$BA83,$BQ$5:$BQ$1001)))</f>
        <v>2012</v>
      </c>
      <c r="BD83" s="1095" t="str">
        <f t="shared" si="52"/>
        <v>DHS-P</v>
      </c>
      <c r="BE83" s="1096">
        <f t="shared" si="53"/>
        <v>0.61899999999999999</v>
      </c>
      <c r="BF83" s="1096">
        <f t="shared" si="54"/>
        <v>0.221</v>
      </c>
      <c r="BG83" s="1096">
        <f t="shared" si="55"/>
        <v>0.51900000000000002</v>
      </c>
      <c r="BH83" s="1096">
        <f t="shared" si="56"/>
        <v>6.3E-2</v>
      </c>
      <c r="BI83" s="1096">
        <f t="shared" si="57"/>
        <v>2.8999999999999998E-2</v>
      </c>
      <c r="BJ83" s="1096">
        <f t="shared" si="58"/>
        <v>5.4000000000000006E-2</v>
      </c>
      <c r="BK83" s="1097">
        <f t="shared" si="59"/>
        <v>0</v>
      </c>
      <c r="BN83" t="s">
        <v>1709</v>
      </c>
      <c r="BO83" t="s">
        <v>1661</v>
      </c>
      <c r="BP83" s="8" t="s">
        <v>1703</v>
      </c>
      <c r="BQ83" s="8">
        <v>2012</v>
      </c>
      <c r="BR83" s="8">
        <v>61.9</v>
      </c>
      <c r="BS83" s="8">
        <v>22.1</v>
      </c>
      <c r="BT83" s="8">
        <v>51.9</v>
      </c>
      <c r="BU83" s="8">
        <v>6.3</v>
      </c>
      <c r="BV83" s="8">
        <v>2.9</v>
      </c>
      <c r="BW83" s="8">
        <v>5.4</v>
      </c>
      <c r="BX83" s="8">
        <v>0</v>
      </c>
      <c r="BY83" s="1140">
        <f t="shared" si="60"/>
        <v>0.61899999999999999</v>
      </c>
      <c r="BZ83" s="1140">
        <f t="shared" si="61"/>
        <v>0.221</v>
      </c>
      <c r="CA83" s="1140">
        <f t="shared" si="62"/>
        <v>0.51900000000000002</v>
      </c>
      <c r="CB83" s="1140">
        <f t="shared" si="63"/>
        <v>6.3E-2</v>
      </c>
      <c r="CC83" s="1140">
        <f t="shared" si="64"/>
        <v>2.8999999999999998E-2</v>
      </c>
      <c r="CD83" s="1140">
        <f t="shared" si="65"/>
        <v>5.4000000000000006E-2</v>
      </c>
      <c r="CE83" s="1140">
        <f t="shared" si="66"/>
        <v>0</v>
      </c>
      <c r="CF83" s="1140" t="str">
        <f t="shared" si="67"/>
        <v>Indonesia2012</v>
      </c>
      <c r="CJ83" s="1109">
        <v>1106</v>
      </c>
      <c r="CK83" s="1109" t="s">
        <v>1807</v>
      </c>
      <c r="CL83" s="1109">
        <v>2015</v>
      </c>
      <c r="CM83" s="1111">
        <v>2017.057</v>
      </c>
      <c r="CN83" s="1143" t="s">
        <v>1733</v>
      </c>
      <c r="CO83" s="1144">
        <v>2017057</v>
      </c>
    </row>
    <row r="84" spans="53:113">
      <c r="BA84" s="397" t="str">
        <f t="array" ref="BA84">IFERROR(INDEX($BO$5:$BO$1001, MATCH(0,COUNTIF($BA$2:BA83, $BO$5:$BO$1001), 0)),"")</f>
        <v>Lao PDR</v>
      </c>
      <c r="BB84" s="1114">
        <f t="shared" si="51"/>
        <v>1795097</v>
      </c>
      <c r="BC84" s="1095">
        <f t="array" ref="BC84">IF(OR(BA84="",BA84=0),"",MAX(IF($BO$5:$BO$1001=$BA84,$BQ$5:$BQ$1001)))</f>
        <v>2005</v>
      </c>
      <c r="BD84" s="1095" t="str">
        <f t="shared" si="52"/>
        <v>NS</v>
      </c>
      <c r="BE84" s="1096">
        <f t="shared" si="53"/>
        <v>0.38400000000000001</v>
      </c>
      <c r="BF84" s="1096">
        <f t="shared" si="54"/>
        <v>0.42100000000000004</v>
      </c>
      <c r="BG84" s="1096">
        <f t="shared" si="55"/>
        <v>0.28000000000000003</v>
      </c>
      <c r="BH84" s="1096">
        <f t="shared" si="56"/>
        <v>7.6999999999999999E-2</v>
      </c>
      <c r="BI84" s="1096">
        <f t="shared" si="57"/>
        <v>2.1000000000000001E-2</v>
      </c>
      <c r="BJ84" s="1096">
        <f t="shared" si="58"/>
        <v>0</v>
      </c>
      <c r="BK84" s="1097">
        <f t="shared" si="59"/>
        <v>0</v>
      </c>
      <c r="BN84" t="s">
        <v>1709</v>
      </c>
      <c r="BO84" t="s">
        <v>1662</v>
      </c>
      <c r="BP84" s="8" t="s">
        <v>1701</v>
      </c>
      <c r="BQ84" s="8">
        <v>2005</v>
      </c>
      <c r="BR84" s="8">
        <v>38.4</v>
      </c>
      <c r="BS84" s="8">
        <v>42.1</v>
      </c>
      <c r="BT84" s="8">
        <v>28</v>
      </c>
      <c r="BU84" s="8">
        <v>7.7</v>
      </c>
      <c r="BV84" s="8">
        <v>2.1</v>
      </c>
      <c r="BW84" s="8">
        <v>0</v>
      </c>
      <c r="BX84" s="8">
        <v>0</v>
      </c>
      <c r="BY84" s="1140">
        <f t="shared" si="60"/>
        <v>0.38400000000000001</v>
      </c>
      <c r="BZ84" s="1140">
        <f t="shared" si="61"/>
        <v>0.42100000000000004</v>
      </c>
      <c r="CA84" s="1140">
        <f t="shared" si="62"/>
        <v>0.28000000000000003</v>
      </c>
      <c r="CB84" s="1140">
        <f t="shared" si="63"/>
        <v>7.6999999999999999E-2</v>
      </c>
      <c r="CC84" s="1140">
        <f t="shared" si="64"/>
        <v>2.1000000000000001E-2</v>
      </c>
      <c r="CD84" s="1140">
        <f t="shared" si="65"/>
        <v>0</v>
      </c>
      <c r="CE84" s="1140">
        <f t="shared" si="66"/>
        <v>0</v>
      </c>
      <c r="CF84" s="1140" t="str">
        <f t="shared" si="67"/>
        <v>Lao PDR2005</v>
      </c>
      <c r="CJ84" s="1109">
        <v>1120</v>
      </c>
      <c r="CK84" s="1109" t="s">
        <v>1808</v>
      </c>
      <c r="CL84" s="1109">
        <v>2015</v>
      </c>
      <c r="CM84" s="1111">
        <v>180.631</v>
      </c>
      <c r="CN84" s="1143" t="s">
        <v>1734</v>
      </c>
      <c r="CO84" s="1144">
        <v>180631</v>
      </c>
    </row>
    <row r="85" spans="53:113">
      <c r="BA85" s="397" t="str">
        <f t="array" ref="BA85">IFERROR(INDEX($BO$5:$BO$1001, MATCH(0,COUNTIF($BA$2:BA84, $BO$5:$BO$1001), 0)),"")</f>
        <v>Malaysia</v>
      </c>
      <c r="BB85" s="1114">
        <f t="shared" si="51"/>
        <v>8350824.0000000009</v>
      </c>
      <c r="BC85" s="1095">
        <f t="array" ref="BC85">IF(OR(BA85="",BA85=0),"",MAX(IF($BO$5:$BO$1001=$BA85,$BQ$5:$BQ$1001)))</f>
        <v>2004</v>
      </c>
      <c r="BD85" s="1095" t="str">
        <f t="shared" si="52"/>
        <v>NS</v>
      </c>
      <c r="BE85" s="1096">
        <f t="shared" si="53"/>
        <v>0.49</v>
      </c>
      <c r="BF85" s="1096">
        <f t="shared" si="54"/>
        <v>0.29299999999999998</v>
      </c>
      <c r="BG85" s="1096">
        <f t="shared" si="55"/>
        <v>0</v>
      </c>
      <c r="BH85" s="1096">
        <f t="shared" si="56"/>
        <v>9.3000000000000013E-2</v>
      </c>
      <c r="BI85" s="1096">
        <f t="shared" si="57"/>
        <v>0.158</v>
      </c>
      <c r="BJ85" s="1096">
        <f t="shared" si="58"/>
        <v>0</v>
      </c>
      <c r="BK85" s="1097">
        <f t="shared" si="59"/>
        <v>0.17300000000000001</v>
      </c>
      <c r="BN85" t="s">
        <v>1709</v>
      </c>
      <c r="BO85" t="s">
        <v>1663</v>
      </c>
      <c r="BP85" s="8" t="s">
        <v>1701</v>
      </c>
      <c r="BQ85" s="8">
        <v>2004</v>
      </c>
      <c r="BR85" s="8">
        <v>49</v>
      </c>
      <c r="BS85" s="8">
        <v>29.3</v>
      </c>
      <c r="BT85" s="8">
        <v>0</v>
      </c>
      <c r="BU85" s="8">
        <v>9.3000000000000007</v>
      </c>
      <c r="BV85" s="8">
        <v>15.8</v>
      </c>
      <c r="BW85" s="8">
        <v>0</v>
      </c>
      <c r="BX85" s="8">
        <v>17.3</v>
      </c>
      <c r="BY85" s="1140">
        <f t="shared" si="60"/>
        <v>0.49</v>
      </c>
      <c r="BZ85" s="1140">
        <f t="shared" si="61"/>
        <v>0.29299999999999998</v>
      </c>
      <c r="CA85" s="1140">
        <f t="shared" si="62"/>
        <v>0</v>
      </c>
      <c r="CB85" s="1140">
        <f t="shared" si="63"/>
        <v>9.3000000000000013E-2</v>
      </c>
      <c r="CC85" s="1140">
        <f t="shared" si="64"/>
        <v>0.158</v>
      </c>
      <c r="CD85" s="1140">
        <f t="shared" si="65"/>
        <v>0</v>
      </c>
      <c r="CE85" s="1140">
        <f t="shared" si="66"/>
        <v>0.17300000000000001</v>
      </c>
      <c r="CF85" s="1140" t="str">
        <f t="shared" si="67"/>
        <v>Malaysia2004</v>
      </c>
      <c r="CJ85" s="1109">
        <v>1134</v>
      </c>
      <c r="CK85" s="1109" t="s">
        <v>1853</v>
      </c>
      <c r="CL85" s="1109">
        <v>2015</v>
      </c>
      <c r="CM85" s="1111">
        <v>6074.6019999999999</v>
      </c>
      <c r="CN85" s="1143" t="s">
        <v>1728</v>
      </c>
      <c r="CO85" s="1144">
        <v>6074602</v>
      </c>
      <c r="DI85" s="1127"/>
    </row>
    <row r="86" spans="53:113">
      <c r="BA86" s="397" t="str">
        <f t="array" ref="BA86">IFERROR(INDEX($BO$5:$BO$1001, MATCH(0,COUNTIF($BA$2:BA85, $BO$5:$BO$1001), 0)),"")</f>
        <v>Mongolia</v>
      </c>
      <c r="BB86" s="1114">
        <f t="shared" si="51"/>
        <v>833798</v>
      </c>
      <c r="BC86" s="1095">
        <f t="array" ref="BC86">IF(OR(BA86="",BA86=0),"",MAX(IF($BO$5:$BO$1001=$BA86,$BQ$5:$BQ$1001)))</f>
        <v>2005</v>
      </c>
      <c r="BD86" s="1095" t="str">
        <f t="shared" si="52"/>
        <v>MICS</v>
      </c>
      <c r="BE86" s="1096">
        <f t="shared" si="53"/>
        <v>0.66</v>
      </c>
      <c r="BF86" s="1096">
        <f t="shared" si="54"/>
        <v>0.17600000000000002</v>
      </c>
      <c r="BG86" s="1096">
        <f t="shared" si="55"/>
        <v>0.17</v>
      </c>
      <c r="BH86" s="1096">
        <f t="shared" si="56"/>
        <v>0.442</v>
      </c>
      <c r="BI86" s="1096">
        <f t="shared" si="57"/>
        <v>8.1000000000000003E-2</v>
      </c>
      <c r="BJ86" s="1096">
        <f t="shared" si="58"/>
        <v>1.2E-2</v>
      </c>
      <c r="BK86" s="1097">
        <f t="shared" si="59"/>
        <v>8.0000000000000002E-3</v>
      </c>
      <c r="BN86" t="s">
        <v>1709</v>
      </c>
      <c r="BO86" t="s">
        <v>1664</v>
      </c>
      <c r="BP86" s="8" t="s">
        <v>1700</v>
      </c>
      <c r="BQ86" s="8">
        <v>2005</v>
      </c>
      <c r="BR86" s="8">
        <v>66</v>
      </c>
      <c r="BS86" s="8">
        <v>17.600000000000001</v>
      </c>
      <c r="BT86" s="8">
        <v>17</v>
      </c>
      <c r="BU86" s="8">
        <v>44.2</v>
      </c>
      <c r="BV86" s="8">
        <v>8.1</v>
      </c>
      <c r="BW86" s="8">
        <v>1.2</v>
      </c>
      <c r="BX86" s="8">
        <v>0.8</v>
      </c>
      <c r="BY86" s="1140">
        <f t="shared" si="60"/>
        <v>0.66</v>
      </c>
      <c r="BZ86" s="1140">
        <f t="shared" si="61"/>
        <v>0.17600000000000002</v>
      </c>
      <c r="CA86" s="1140">
        <f t="shared" si="62"/>
        <v>0.17</v>
      </c>
      <c r="CB86" s="1140">
        <f t="shared" si="63"/>
        <v>0.442</v>
      </c>
      <c r="CC86" s="1140">
        <f t="shared" si="64"/>
        <v>8.1000000000000003E-2</v>
      </c>
      <c r="CD86" s="1140">
        <f t="shared" si="65"/>
        <v>1.2E-2</v>
      </c>
      <c r="CE86" s="1140">
        <f t="shared" si="66"/>
        <v>8.0000000000000002E-3</v>
      </c>
      <c r="CF86" s="1140" t="str">
        <f t="shared" si="67"/>
        <v>Mongolia2005</v>
      </c>
      <c r="CJ86" s="1109">
        <v>1148</v>
      </c>
      <c r="CK86" s="1109" t="s">
        <v>1810</v>
      </c>
      <c r="CL86" s="1109">
        <v>2015</v>
      </c>
      <c r="CM86" s="1111">
        <v>6711.21</v>
      </c>
      <c r="CN86" s="1143" t="s">
        <v>1667</v>
      </c>
      <c r="CO86" s="1144">
        <v>6711210</v>
      </c>
    </row>
    <row r="87" spans="53:113">
      <c r="BA87" s="397" t="str">
        <f t="array" ref="BA87">IFERROR(INDEX($BO$5:$BO$1001, MATCH(0,COUNTIF($BA$2:BA86, $BO$5:$BO$1001), 0)),"")</f>
        <v>Myanmar</v>
      </c>
      <c r="BB87" s="1114">
        <f t="shared" si="51"/>
        <v>14296030</v>
      </c>
      <c r="BC87" s="1095">
        <f t="array" ref="BC87">IF(OR(BA87="",BA87=0),"",MAX(IF($BO$5:$BO$1001=$BA87,$BQ$5:$BQ$1001)))</f>
        <v>2009</v>
      </c>
      <c r="BD87" s="1095" t="str">
        <f t="shared" si="52"/>
        <v>MICS</v>
      </c>
      <c r="BE87" s="1096">
        <f t="shared" si="53"/>
        <v>0.46</v>
      </c>
      <c r="BF87" s="1096">
        <f t="shared" si="54"/>
        <v>0.252</v>
      </c>
      <c r="BG87" s="1096">
        <f t="shared" si="55"/>
        <v>0.60199999999999998</v>
      </c>
      <c r="BH87" s="1096">
        <f t="shared" si="56"/>
        <v>4.5999999999999999E-2</v>
      </c>
      <c r="BI87" s="1096">
        <f t="shared" si="57"/>
        <v>9.0000000000000011E-3</v>
      </c>
      <c r="BJ87" s="1096">
        <f t="shared" si="58"/>
        <v>2E-3</v>
      </c>
      <c r="BK87" s="1097">
        <f t="shared" si="59"/>
        <v>0</v>
      </c>
      <c r="BN87" t="s">
        <v>1709</v>
      </c>
      <c r="BO87" t="s">
        <v>1665</v>
      </c>
      <c r="BP87" s="8" t="s">
        <v>1700</v>
      </c>
      <c r="BQ87" s="8">
        <v>2009</v>
      </c>
      <c r="BR87" s="8">
        <v>46</v>
      </c>
      <c r="BS87" s="8">
        <v>25.2</v>
      </c>
      <c r="BT87" s="8">
        <v>60.2</v>
      </c>
      <c r="BU87" s="8">
        <v>4.5999999999999996</v>
      </c>
      <c r="BV87" s="8">
        <v>0.9</v>
      </c>
      <c r="BW87" s="8">
        <v>0.2</v>
      </c>
      <c r="BX87" s="8">
        <v>0</v>
      </c>
      <c r="BY87" s="1140">
        <f t="shared" si="60"/>
        <v>0.46</v>
      </c>
      <c r="BZ87" s="1140">
        <f t="shared" si="61"/>
        <v>0.252</v>
      </c>
      <c r="CA87" s="1140">
        <f t="shared" si="62"/>
        <v>0.60199999999999998</v>
      </c>
      <c r="CB87" s="1140">
        <f t="shared" si="63"/>
        <v>4.5999999999999999E-2</v>
      </c>
      <c r="CC87" s="1140">
        <f t="shared" si="64"/>
        <v>9.0000000000000011E-3</v>
      </c>
      <c r="CD87" s="1140">
        <f t="shared" si="65"/>
        <v>2E-3</v>
      </c>
      <c r="CE87" s="1140">
        <f t="shared" si="66"/>
        <v>0</v>
      </c>
      <c r="CF87" s="1140" t="str">
        <f t="shared" si="67"/>
        <v>Myanmar2009</v>
      </c>
      <c r="CJ87" s="1109">
        <v>1162</v>
      </c>
      <c r="CK87" s="1109" t="s">
        <v>1757</v>
      </c>
      <c r="CL87" s="1109">
        <v>2015</v>
      </c>
      <c r="CM87" s="1111">
        <v>26316.171999999999</v>
      </c>
      <c r="CN87" s="1143" t="s">
        <v>1757</v>
      </c>
      <c r="CO87" s="1144">
        <v>26316172</v>
      </c>
    </row>
    <row r="88" spans="53:113">
      <c r="BA88" s="397" t="str">
        <f t="array" ref="BA88">IFERROR(INDEX($BO$5:$BO$1001, MATCH(0,COUNTIF($BA$2:BA87, $BO$5:$BO$1001), 0)),"")</f>
        <v>Nepal</v>
      </c>
      <c r="BB88" s="1114">
        <f t="shared" si="51"/>
        <v>7882395</v>
      </c>
      <c r="BC88" s="1095">
        <f t="array" ref="BC88">IF(OR(BA88="",BA88=0),"",MAX(IF($BO$5:$BO$1001=$BA88,$BQ$5:$BQ$1001)))</f>
        <v>2011</v>
      </c>
      <c r="BD88" s="1095" t="str">
        <f t="shared" si="52"/>
        <v>DHS</v>
      </c>
      <c r="BE88" s="1096">
        <f t="shared" si="53"/>
        <v>0.49700000000000005</v>
      </c>
      <c r="BF88" s="1096">
        <f t="shared" si="54"/>
        <v>8.3000000000000004E-2</v>
      </c>
      <c r="BG88" s="1096">
        <f t="shared" si="55"/>
        <v>0.185</v>
      </c>
      <c r="BH88" s="1096">
        <f t="shared" si="56"/>
        <v>2.6000000000000002E-2</v>
      </c>
      <c r="BI88" s="1096">
        <f t="shared" si="57"/>
        <v>8.6999999999999994E-2</v>
      </c>
      <c r="BJ88" s="1096">
        <f t="shared" si="58"/>
        <v>2.4E-2</v>
      </c>
      <c r="BK88" s="1097">
        <f t="shared" si="59"/>
        <v>0</v>
      </c>
      <c r="BN88" t="s">
        <v>1709</v>
      </c>
      <c r="BO88" t="s">
        <v>1666</v>
      </c>
      <c r="BP88" s="8" t="s">
        <v>1702</v>
      </c>
      <c r="BQ88" s="8">
        <v>2011</v>
      </c>
      <c r="BR88" s="8">
        <v>49.7</v>
      </c>
      <c r="BS88" s="8">
        <v>8.3000000000000007</v>
      </c>
      <c r="BT88" s="8">
        <v>18.5</v>
      </c>
      <c r="BU88" s="8">
        <v>2.6</v>
      </c>
      <c r="BV88" s="8">
        <v>8.6999999999999993</v>
      </c>
      <c r="BW88" s="8">
        <v>2.4</v>
      </c>
      <c r="BX88" s="8">
        <v>0</v>
      </c>
      <c r="BY88" s="1140">
        <f t="shared" si="60"/>
        <v>0.49700000000000005</v>
      </c>
      <c r="BZ88" s="1140">
        <f t="shared" si="61"/>
        <v>8.3000000000000004E-2</v>
      </c>
      <c r="CA88" s="1140">
        <f t="shared" si="62"/>
        <v>0.185</v>
      </c>
      <c r="CB88" s="1140">
        <f t="shared" si="63"/>
        <v>2.6000000000000002E-2</v>
      </c>
      <c r="CC88" s="1140">
        <f t="shared" si="64"/>
        <v>8.6999999999999994E-2</v>
      </c>
      <c r="CD88" s="1140">
        <f t="shared" si="65"/>
        <v>2.4E-2</v>
      </c>
      <c r="CE88" s="1140">
        <f t="shared" si="66"/>
        <v>0</v>
      </c>
      <c r="CF88" s="1140" t="str">
        <f t="shared" si="67"/>
        <v>Nepal2011</v>
      </c>
      <c r="CJ88" s="1109">
        <v>1176</v>
      </c>
      <c r="CK88" s="1109" t="s">
        <v>1664</v>
      </c>
      <c r="CL88" s="1109">
        <v>2015</v>
      </c>
      <c r="CM88" s="1111">
        <v>833.798</v>
      </c>
      <c r="CN88" s="1143" t="s">
        <v>1664</v>
      </c>
      <c r="CO88" s="1144">
        <v>833798</v>
      </c>
    </row>
    <row r="89" spans="53:113">
      <c r="BA89" s="397" t="str">
        <f t="array" ref="BA89">IFERROR(INDEX($BO$5:$BO$1001, MATCH(0,COUNTIF($BA$2:BA88, $BO$5:$BO$1001), 0)),"")</f>
        <v>DPR Korea</v>
      </c>
      <c r="BB89" s="1114">
        <f t="shared" si="51"/>
        <v>6711210</v>
      </c>
      <c r="BC89" s="1095">
        <f t="array" ref="BC89">IF(OR(BA89="",BA89=0),"",MAX(IF($BO$5:$BO$1001=$BA89,$BQ$5:$BQ$1001)))</f>
        <v>2002</v>
      </c>
      <c r="BD89" s="1095" t="str">
        <f t="shared" si="52"/>
        <v>NS</v>
      </c>
      <c r="BE89" s="1096">
        <f t="shared" si="53"/>
        <v>0.68599999999999994</v>
      </c>
      <c r="BF89" s="1096">
        <f t="shared" si="54"/>
        <v>6.4000000000000001E-2</v>
      </c>
      <c r="BG89" s="1096">
        <f t="shared" si="55"/>
        <v>0</v>
      </c>
      <c r="BH89" s="1096">
        <f t="shared" si="56"/>
        <v>0.73499999999999999</v>
      </c>
      <c r="BI89" s="1096">
        <f t="shared" si="57"/>
        <v>0.1</v>
      </c>
      <c r="BJ89" s="1096">
        <f t="shared" si="58"/>
        <v>0</v>
      </c>
      <c r="BK89" s="1097">
        <f t="shared" si="59"/>
        <v>1.2E-2</v>
      </c>
      <c r="BN89" t="s">
        <v>1709</v>
      </c>
      <c r="BO89" t="s">
        <v>1667</v>
      </c>
      <c r="BP89" s="8" t="s">
        <v>1701</v>
      </c>
      <c r="BQ89" s="8">
        <v>2002</v>
      </c>
      <c r="BR89" s="8">
        <v>68.599999999999994</v>
      </c>
      <c r="BS89" s="8">
        <v>6.4</v>
      </c>
      <c r="BT89" s="8">
        <v>0</v>
      </c>
      <c r="BU89" s="8">
        <v>73.5</v>
      </c>
      <c r="BV89" s="8">
        <v>10</v>
      </c>
      <c r="BW89" s="8">
        <v>0</v>
      </c>
      <c r="BX89" s="8">
        <v>1.2</v>
      </c>
      <c r="BY89" s="1140">
        <f t="shared" si="60"/>
        <v>0.68599999999999994</v>
      </c>
      <c r="BZ89" s="1140">
        <f t="shared" si="61"/>
        <v>6.4000000000000001E-2</v>
      </c>
      <c r="CA89" s="1140">
        <f t="shared" si="62"/>
        <v>0</v>
      </c>
      <c r="CB89" s="1140">
        <f t="shared" si="63"/>
        <v>0.73499999999999999</v>
      </c>
      <c r="CC89" s="1140">
        <f t="shared" si="64"/>
        <v>0.1</v>
      </c>
      <c r="CD89" s="1140">
        <f t="shared" si="65"/>
        <v>0</v>
      </c>
      <c r="CE89" s="1140">
        <f t="shared" si="66"/>
        <v>1.2E-2</v>
      </c>
      <c r="CF89" s="1140" t="str">
        <f t="shared" si="67"/>
        <v>DPR Korea2002</v>
      </c>
      <c r="CJ89" s="1109">
        <v>1190</v>
      </c>
      <c r="CK89" s="1109" t="s">
        <v>1817</v>
      </c>
      <c r="CL89" s="1109">
        <v>2015</v>
      </c>
      <c r="CM89" s="1111">
        <v>12643.155000000001</v>
      </c>
      <c r="CN89" s="1143" t="s">
        <v>1780</v>
      </c>
      <c r="CO89" s="1144">
        <v>12643155</v>
      </c>
    </row>
    <row r="90" spans="53:113">
      <c r="BA90" s="397" t="str">
        <f t="array" ref="BA90">IFERROR(INDEX($BO$5:$BO$1001, MATCH(0,COUNTIF($BA$2:BA89, $BO$5:$BO$1001), 0)),"")</f>
        <v>Pakistan</v>
      </c>
      <c r="BB90" s="1114">
        <f t="shared" si="51"/>
        <v>47810318</v>
      </c>
      <c r="BC90" s="1095">
        <f t="array" ref="BC90">IF(OR(BA90="",BA90=0),"",MAX(IF($BO$5:$BO$1001=$BA90,$BQ$5:$BQ$1001)))</f>
        <v>2007</v>
      </c>
      <c r="BD90" s="1095" t="str">
        <f t="shared" si="52"/>
        <v>LSMS</v>
      </c>
      <c r="BE90" s="1096">
        <f t="shared" si="53"/>
        <v>0.27</v>
      </c>
      <c r="BF90" s="1096">
        <f t="shared" si="54"/>
        <v>7.0999999999999994E-2</v>
      </c>
      <c r="BG90" s="1096">
        <f t="shared" si="55"/>
        <v>0.10099999999999999</v>
      </c>
      <c r="BH90" s="1096">
        <f t="shared" si="56"/>
        <v>9.4E-2</v>
      </c>
      <c r="BI90" s="1096">
        <f t="shared" si="57"/>
        <v>0.20199999999999999</v>
      </c>
      <c r="BJ90" s="1096">
        <f t="shared" si="58"/>
        <v>0</v>
      </c>
      <c r="BK90" s="1097">
        <f t="shared" si="59"/>
        <v>1.1000000000000001E-2</v>
      </c>
      <c r="BN90" t="s">
        <v>1709</v>
      </c>
      <c r="BO90" t="s">
        <v>1668</v>
      </c>
      <c r="BP90" s="8" t="s">
        <v>1707</v>
      </c>
      <c r="BQ90" s="8">
        <v>2007</v>
      </c>
      <c r="BR90" s="8">
        <v>27</v>
      </c>
      <c r="BS90" s="8">
        <v>7.1</v>
      </c>
      <c r="BT90" s="8">
        <v>10.1</v>
      </c>
      <c r="BU90" s="8">
        <v>9.4</v>
      </c>
      <c r="BV90" s="8">
        <v>20.2</v>
      </c>
      <c r="BW90" s="8">
        <v>0</v>
      </c>
      <c r="BX90" s="8">
        <v>1.1000000000000001</v>
      </c>
      <c r="BY90" s="1140">
        <f t="shared" si="60"/>
        <v>0.27</v>
      </c>
      <c r="BZ90" s="1140">
        <f t="shared" si="61"/>
        <v>7.0999999999999994E-2</v>
      </c>
      <c r="CA90" s="1140">
        <f t="shared" si="62"/>
        <v>0.10099999999999999</v>
      </c>
      <c r="CB90" s="1140">
        <f t="shared" si="63"/>
        <v>9.4E-2</v>
      </c>
      <c r="CC90" s="1140">
        <f t="shared" si="64"/>
        <v>0.20199999999999999</v>
      </c>
      <c r="CD90" s="1140">
        <f t="shared" si="65"/>
        <v>0</v>
      </c>
      <c r="CE90" s="1140">
        <f t="shared" si="66"/>
        <v>1.1000000000000001E-2</v>
      </c>
      <c r="CF90" s="1140" t="str">
        <f t="shared" si="67"/>
        <v>Pakistan2007</v>
      </c>
      <c r="CJ90" s="1109">
        <v>1204</v>
      </c>
      <c r="CK90" s="1110" t="s">
        <v>1854</v>
      </c>
      <c r="CL90" s="1109">
        <v>2015</v>
      </c>
      <c r="CM90" s="1111">
        <v>492713.34299999999</v>
      </c>
      <c r="CN90" s="1143" t="s">
        <v>1728</v>
      </c>
      <c r="CO90" s="1144">
        <v>492713343</v>
      </c>
      <c r="DI90" s="1128"/>
    </row>
    <row r="91" spans="53:113">
      <c r="BA91" s="397" t="str">
        <f t="array" ref="BA91">IFERROR(INDEX($BO$5:$BO$1001, MATCH(0,COUNTIF($BA$2:BA90, $BO$5:$BO$1001), 0)),"")</f>
        <v>Philippines</v>
      </c>
      <c r="BB91" s="1114">
        <f t="shared" si="51"/>
        <v>26308738</v>
      </c>
      <c r="BC91" s="1095">
        <f t="array" ref="BC91">IF(OR(BA91="",BA91=0),"",MAX(IF($BO$5:$BO$1001=$BA91,$BQ$5:$BQ$1001)))</f>
        <v>2013</v>
      </c>
      <c r="BD91" s="1095" t="str">
        <f t="shared" si="52"/>
        <v>DHS</v>
      </c>
      <c r="BE91" s="1096">
        <f t="shared" si="53"/>
        <v>0.55100000000000005</v>
      </c>
      <c r="BF91" s="1096">
        <f t="shared" si="54"/>
        <v>0.191</v>
      </c>
      <c r="BG91" s="1096">
        <f t="shared" si="55"/>
        <v>3.7000000000000005E-2</v>
      </c>
      <c r="BH91" s="1096">
        <f t="shared" si="56"/>
        <v>3.5000000000000003E-2</v>
      </c>
      <c r="BI91" s="1096">
        <f t="shared" si="57"/>
        <v>1.9E-2</v>
      </c>
      <c r="BJ91" s="1096">
        <f t="shared" si="58"/>
        <v>0</v>
      </c>
      <c r="BK91" s="1097">
        <f t="shared" si="59"/>
        <v>2E-3</v>
      </c>
      <c r="BN91" t="s">
        <v>1709</v>
      </c>
      <c r="BO91" t="s">
        <v>1669</v>
      </c>
      <c r="BP91" s="8" t="s">
        <v>1701</v>
      </c>
      <c r="BQ91" s="8">
        <v>2011</v>
      </c>
      <c r="BR91" s="8">
        <v>48.9</v>
      </c>
      <c r="BS91" s="8">
        <v>54.5</v>
      </c>
      <c r="BT91" s="8">
        <v>9.4</v>
      </c>
      <c r="BU91" s="8">
        <v>8.5</v>
      </c>
      <c r="BV91" s="8">
        <v>3.3</v>
      </c>
      <c r="BW91" s="8">
        <v>0</v>
      </c>
      <c r="BX91" s="8">
        <v>0</v>
      </c>
      <c r="BY91" s="1140">
        <f t="shared" si="60"/>
        <v>0.48899999999999999</v>
      </c>
      <c r="BZ91" s="1140">
        <f t="shared" si="61"/>
        <v>0.54500000000000004</v>
      </c>
      <c r="CA91" s="1140">
        <f t="shared" si="62"/>
        <v>9.4E-2</v>
      </c>
      <c r="CB91" s="1140">
        <f t="shared" si="63"/>
        <v>8.5000000000000006E-2</v>
      </c>
      <c r="CC91" s="1140">
        <f t="shared" si="64"/>
        <v>3.3000000000000002E-2</v>
      </c>
      <c r="CD91" s="1140">
        <f t="shared" si="65"/>
        <v>0</v>
      </c>
      <c r="CE91" s="1140">
        <f t="shared" si="66"/>
        <v>0</v>
      </c>
      <c r="CF91" s="1140" t="str">
        <f t="shared" si="67"/>
        <v>Philippines2011</v>
      </c>
      <c r="CJ91" s="1109">
        <v>1218</v>
      </c>
      <c r="CK91" s="1110" t="s">
        <v>1855</v>
      </c>
      <c r="CL91" s="1109">
        <v>2015</v>
      </c>
      <c r="CM91" s="1111">
        <v>18466.026999999998</v>
      </c>
      <c r="CN91" s="1143" t="s">
        <v>1728</v>
      </c>
      <c r="CO91" s="1144">
        <v>18466027</v>
      </c>
    </row>
    <row r="92" spans="53:113">
      <c r="BA92" s="397" t="str">
        <f t="array" ref="BA92">IFERROR(INDEX($BO$5:$BO$1001, MATCH(0,COUNTIF($BA$2:BA91, $BO$5:$BO$1001), 0)),"")</f>
        <v>Sri Lanka</v>
      </c>
      <c r="BB92" s="1114">
        <f t="shared" si="51"/>
        <v>5332493</v>
      </c>
      <c r="BC92" s="1095">
        <f t="array" ref="BC92">IF(OR(BA92="",BA92=0),"",MAX(IF($BO$5:$BO$1001=$BA92,$BQ$5:$BQ$1001)))</f>
        <v>2006</v>
      </c>
      <c r="BD92" s="1095" t="str">
        <f t="shared" si="52"/>
        <v>DHS</v>
      </c>
      <c r="BE92" s="1096">
        <f t="shared" si="53"/>
        <v>0.68</v>
      </c>
      <c r="BF92" s="1096">
        <f t="shared" si="54"/>
        <v>0.11699999999999999</v>
      </c>
      <c r="BG92" s="1096">
        <f t="shared" si="55"/>
        <v>0.222</v>
      </c>
      <c r="BH92" s="1096">
        <f t="shared" si="56"/>
        <v>9.3000000000000013E-2</v>
      </c>
      <c r="BI92" s="1096">
        <f t="shared" si="57"/>
        <v>8.1000000000000003E-2</v>
      </c>
      <c r="BJ92" s="1096">
        <f t="shared" si="58"/>
        <v>4.0000000000000001E-3</v>
      </c>
      <c r="BK92" s="1097">
        <f t="shared" si="59"/>
        <v>0</v>
      </c>
      <c r="BN92" t="s">
        <v>1709</v>
      </c>
      <c r="BO92" t="s">
        <v>1670</v>
      </c>
      <c r="BP92" s="8" t="s">
        <v>1702</v>
      </c>
      <c r="BQ92" s="8">
        <v>2006</v>
      </c>
      <c r="BR92" s="8">
        <v>68</v>
      </c>
      <c r="BS92" s="8">
        <v>11.7</v>
      </c>
      <c r="BT92" s="8">
        <v>22.2</v>
      </c>
      <c r="BU92" s="8">
        <v>9.3000000000000007</v>
      </c>
      <c r="BV92" s="8">
        <v>8.1</v>
      </c>
      <c r="BW92" s="8">
        <v>0.4</v>
      </c>
      <c r="BX92" s="8">
        <v>0</v>
      </c>
      <c r="BY92" s="1140">
        <f t="shared" si="60"/>
        <v>0.68</v>
      </c>
      <c r="BZ92" s="1140">
        <f t="shared" si="61"/>
        <v>0.11699999999999999</v>
      </c>
      <c r="CA92" s="1140">
        <f t="shared" si="62"/>
        <v>0.222</v>
      </c>
      <c r="CB92" s="1140">
        <f t="shared" si="63"/>
        <v>9.3000000000000013E-2</v>
      </c>
      <c r="CC92" s="1140">
        <f t="shared" si="64"/>
        <v>8.1000000000000003E-2</v>
      </c>
      <c r="CD92" s="1140">
        <f t="shared" si="65"/>
        <v>4.0000000000000001E-3</v>
      </c>
      <c r="CE92" s="1140">
        <f t="shared" si="66"/>
        <v>0</v>
      </c>
      <c r="CF92" s="1140" t="str">
        <f t="shared" si="67"/>
        <v>Sri Lanka2006</v>
      </c>
      <c r="CJ92" s="1109">
        <v>1232</v>
      </c>
      <c r="CK92" s="1109" t="s">
        <v>1680</v>
      </c>
      <c r="CL92" s="1109">
        <v>2015</v>
      </c>
      <c r="CM92" s="1111">
        <v>4579.3040000000001</v>
      </c>
      <c r="CN92" s="1143" t="s">
        <v>1680</v>
      </c>
      <c r="CO92" s="1144">
        <v>4579304</v>
      </c>
    </row>
    <row r="93" spans="53:113">
      <c r="BA93" s="397" t="str">
        <f t="array" ref="BA93">IFERROR(INDEX($BO$5:$BO$1001, MATCH(0,COUNTIF($BA$2:BA92, $BO$5:$BO$1001), 0)),"")</f>
        <v>Timor-Leste</v>
      </c>
      <c r="BB93" s="1114">
        <f t="shared" si="51"/>
        <v>276080</v>
      </c>
      <c r="BC93" s="1095">
        <f t="array" ref="BC93">IF(OR(BA93="",BA93=0),"",MAX(IF($BO$5:$BO$1001=$BA93,$BQ$5:$BQ$1001)))</f>
        <v>2009</v>
      </c>
      <c r="BD93" s="1095" t="str">
        <f t="shared" si="52"/>
        <v>DHS</v>
      </c>
      <c r="BE93" s="1096">
        <f t="shared" si="53"/>
        <v>0.223</v>
      </c>
      <c r="BF93" s="1096">
        <f t="shared" si="54"/>
        <v>7.8E-2</v>
      </c>
      <c r="BG93" s="1096">
        <f t="shared" si="55"/>
        <v>0.71700000000000008</v>
      </c>
      <c r="BH93" s="1096">
        <f t="shared" si="56"/>
        <v>5.9000000000000004E-2</v>
      </c>
      <c r="BI93" s="1096">
        <f t="shared" si="57"/>
        <v>9.0000000000000011E-3</v>
      </c>
      <c r="BJ93" s="1096">
        <f t="shared" si="58"/>
        <v>3.7000000000000005E-2</v>
      </c>
      <c r="BK93" s="1097">
        <f t="shared" si="59"/>
        <v>0</v>
      </c>
      <c r="BN93" t="s">
        <v>1709</v>
      </c>
      <c r="BO93" t="s">
        <v>1671</v>
      </c>
      <c r="BP93" s="8" t="s">
        <v>1702</v>
      </c>
      <c r="BQ93" s="8">
        <v>2009</v>
      </c>
      <c r="BR93" s="8">
        <v>22.3</v>
      </c>
      <c r="BS93" s="8">
        <v>7.8</v>
      </c>
      <c r="BT93" s="8">
        <v>71.7</v>
      </c>
      <c r="BU93" s="8">
        <v>5.9</v>
      </c>
      <c r="BV93" s="8">
        <v>0.9</v>
      </c>
      <c r="BW93" s="8">
        <v>3.7</v>
      </c>
      <c r="BX93" s="8">
        <v>0</v>
      </c>
      <c r="BY93" s="1140">
        <f t="shared" si="60"/>
        <v>0.223</v>
      </c>
      <c r="BZ93" s="1140">
        <f t="shared" si="61"/>
        <v>7.8E-2</v>
      </c>
      <c r="CA93" s="1140">
        <f t="shared" si="62"/>
        <v>0.71700000000000008</v>
      </c>
      <c r="CB93" s="1140">
        <f t="shared" si="63"/>
        <v>5.9000000000000004E-2</v>
      </c>
      <c r="CC93" s="1140">
        <f t="shared" si="64"/>
        <v>9.0000000000000011E-3</v>
      </c>
      <c r="CD93" s="1140">
        <f t="shared" si="65"/>
        <v>3.7000000000000005E-2</v>
      </c>
      <c r="CE93" s="1140">
        <f t="shared" si="66"/>
        <v>0</v>
      </c>
      <c r="CF93" s="1140" t="str">
        <f t="shared" si="67"/>
        <v>Timor-Leste2009</v>
      </c>
      <c r="CJ93" s="1109">
        <v>1246</v>
      </c>
      <c r="CK93" s="1109" t="s">
        <v>1814</v>
      </c>
      <c r="CL93" s="1109">
        <v>2015</v>
      </c>
      <c r="CM93" s="1111">
        <v>1535.7049999999999</v>
      </c>
      <c r="CN93" s="1143" t="s">
        <v>1681</v>
      </c>
      <c r="CO93" s="1144">
        <v>1535705</v>
      </c>
    </row>
    <row r="94" spans="53:113">
      <c r="BA94" s="397" t="str">
        <f t="array" ref="BA94">IFERROR(INDEX($BO$5:$BO$1001, MATCH(0,COUNTIF($BA$2:BA93, $BO$5:$BO$1001), 0)),"")</f>
        <v>Thailand</v>
      </c>
      <c r="BB94" s="1114">
        <f t="shared" si="51"/>
        <v>18079719</v>
      </c>
      <c r="BC94" s="1095">
        <f t="array" ref="BC94">IF(OR(BA94="",BA94=0),"",MAX(IF($BO$5:$BO$1001=$BA94,$BQ$5:$BQ$1001)))</f>
        <v>2009</v>
      </c>
      <c r="BD94" s="1095" t="str">
        <f t="shared" si="52"/>
        <v>NS</v>
      </c>
      <c r="BE94" s="1096">
        <f t="shared" si="53"/>
        <v>0.79599999999999993</v>
      </c>
      <c r="BF94" s="1096">
        <f t="shared" si="54"/>
        <v>0.442</v>
      </c>
      <c r="BG94" s="1096">
        <f t="shared" si="55"/>
        <v>0.17699999999999999</v>
      </c>
      <c r="BH94" s="1096">
        <f t="shared" si="56"/>
        <v>1.1000000000000001E-2</v>
      </c>
      <c r="BI94" s="1096">
        <f t="shared" si="57"/>
        <v>2.8999999999999998E-2</v>
      </c>
      <c r="BJ94" s="1096">
        <f t="shared" si="58"/>
        <v>5.0000000000000001E-3</v>
      </c>
      <c r="BK94" s="1097">
        <f t="shared" si="59"/>
        <v>4.0000000000000001E-3</v>
      </c>
      <c r="BN94" t="s">
        <v>1709</v>
      </c>
      <c r="BO94" t="s">
        <v>1672</v>
      </c>
      <c r="BP94" s="8" t="s">
        <v>1701</v>
      </c>
      <c r="BQ94" s="8">
        <v>2009</v>
      </c>
      <c r="BR94" s="8">
        <v>79.599999999999994</v>
      </c>
      <c r="BS94" s="8">
        <v>44.2</v>
      </c>
      <c r="BT94" s="8">
        <v>17.7</v>
      </c>
      <c r="BU94" s="8">
        <v>1.1000000000000001</v>
      </c>
      <c r="BV94" s="8">
        <v>2.9</v>
      </c>
      <c r="BW94" s="8">
        <v>0.5</v>
      </c>
      <c r="BX94" s="8">
        <v>0.4</v>
      </c>
      <c r="BY94" s="1140">
        <f t="shared" si="60"/>
        <v>0.79599999999999993</v>
      </c>
      <c r="BZ94" s="1140">
        <f t="shared" si="61"/>
        <v>0.442</v>
      </c>
      <c r="CA94" s="1140">
        <f t="shared" si="62"/>
        <v>0.17699999999999999</v>
      </c>
      <c r="CB94" s="1140">
        <f t="shared" si="63"/>
        <v>1.1000000000000001E-2</v>
      </c>
      <c r="CC94" s="1140">
        <f t="shared" si="64"/>
        <v>2.8999999999999998E-2</v>
      </c>
      <c r="CD94" s="1140">
        <f t="shared" si="65"/>
        <v>5.0000000000000001E-3</v>
      </c>
      <c r="CE94" s="1140">
        <f t="shared" si="66"/>
        <v>4.0000000000000001E-3</v>
      </c>
      <c r="CF94" s="1140" t="str">
        <f t="shared" si="67"/>
        <v>Thailand2009</v>
      </c>
      <c r="CJ94" s="1109">
        <v>1260</v>
      </c>
      <c r="CK94" s="1109" t="s">
        <v>1687</v>
      </c>
      <c r="CL94" s="1109">
        <v>2015</v>
      </c>
      <c r="CM94" s="1111">
        <v>2227.9259999999999</v>
      </c>
      <c r="CN94" s="1143" t="s">
        <v>1687</v>
      </c>
      <c r="CO94" s="1144">
        <v>2227926</v>
      </c>
    </row>
    <row r="95" spans="53:113">
      <c r="BA95" s="397" t="str">
        <f t="array" ref="BA95">IFERROR(INDEX($BO$5:$BO$1001, MATCH(0,COUNTIF($BA$2:BA94, $BO$5:$BO$1001), 0)),"")</f>
        <v>Viet Nam</v>
      </c>
      <c r="BB95" s="1114">
        <f t="shared" si="51"/>
        <v>25941551</v>
      </c>
      <c r="BC95" s="1095">
        <f t="array" ref="BC95">IF(OR(BA95="",BA95=0),"",MAX(IF($BO$5:$BO$1001=$BA95,$BQ$5:$BQ$1001)))</f>
        <v>2010</v>
      </c>
      <c r="BD95" s="1095" t="str">
        <f t="shared" si="52"/>
        <v>MICS</v>
      </c>
      <c r="BE95" s="1096">
        <f t="shared" si="53"/>
        <v>0.77800000000000002</v>
      </c>
      <c r="BF95" s="1096">
        <f t="shared" si="54"/>
        <v>0.13100000000000001</v>
      </c>
      <c r="BG95" s="1096">
        <f t="shared" si="55"/>
        <v>2.2000000000000002E-2</v>
      </c>
      <c r="BH95" s="1096">
        <f t="shared" si="56"/>
        <v>0.40100000000000002</v>
      </c>
      <c r="BI95" s="1096">
        <f t="shared" si="57"/>
        <v>0.16399999999999998</v>
      </c>
      <c r="BJ95" s="1096">
        <f t="shared" si="58"/>
        <v>3.0000000000000001E-3</v>
      </c>
      <c r="BK95" s="1097">
        <f t="shared" si="59"/>
        <v>0</v>
      </c>
      <c r="BN95" t="s">
        <v>1709</v>
      </c>
      <c r="BO95" t="s">
        <v>1673</v>
      </c>
      <c r="BP95" s="8" t="s">
        <v>1700</v>
      </c>
      <c r="BQ95" s="8">
        <v>2010</v>
      </c>
      <c r="BR95" s="8">
        <v>77.8</v>
      </c>
      <c r="BS95" s="8">
        <v>13.1</v>
      </c>
      <c r="BT95" s="8">
        <v>2.2000000000000002</v>
      </c>
      <c r="BU95" s="8">
        <v>40.1</v>
      </c>
      <c r="BV95" s="8">
        <v>16.399999999999999</v>
      </c>
      <c r="BW95" s="8">
        <v>0.3</v>
      </c>
      <c r="BX95" s="8">
        <v>0</v>
      </c>
      <c r="BY95" s="1140">
        <f t="shared" si="60"/>
        <v>0.77800000000000002</v>
      </c>
      <c r="BZ95" s="1140">
        <f t="shared" si="61"/>
        <v>0.13100000000000001</v>
      </c>
      <c r="CA95" s="1140">
        <f t="shared" si="62"/>
        <v>2.2000000000000002E-2</v>
      </c>
      <c r="CB95" s="1140">
        <f t="shared" si="63"/>
        <v>0.40100000000000002</v>
      </c>
      <c r="CC95" s="1140">
        <f t="shared" si="64"/>
        <v>0.16399999999999998</v>
      </c>
      <c r="CD95" s="1140">
        <f t="shared" si="65"/>
        <v>3.0000000000000001E-3</v>
      </c>
      <c r="CE95" s="1140">
        <f t="shared" si="66"/>
        <v>0</v>
      </c>
      <c r="CF95" s="1140" t="str">
        <f t="shared" si="67"/>
        <v>Viet Nam2010</v>
      </c>
      <c r="CJ95" s="1109">
        <v>1274</v>
      </c>
      <c r="CK95" s="1109" t="s">
        <v>1689</v>
      </c>
      <c r="CL95" s="1109">
        <v>2015</v>
      </c>
      <c r="CM95" s="1111">
        <v>1505.981</v>
      </c>
      <c r="CN95" s="1143" t="s">
        <v>1689</v>
      </c>
      <c r="CO95" s="1144">
        <v>1505981</v>
      </c>
    </row>
    <row r="96" spans="53:113">
      <c r="BA96" s="397" t="str">
        <f t="array" ref="BA96">IFERROR(INDEX($BO$5:$BO$1001, MATCH(0,COUNTIF($BA$2:BA95, $BO$5:$BO$1001), 0)),"")</f>
        <v>Albania</v>
      </c>
      <c r="BB96" s="1114">
        <f t="shared" si="51"/>
        <v>717544</v>
      </c>
      <c r="BC96" s="1095">
        <f t="array" ref="BC96">IF(OR(BA96="",BA96=0),"",MAX(IF($BO$5:$BO$1001=$BA96,$BQ$5:$BQ$1001)))</f>
        <v>2008</v>
      </c>
      <c r="BD96" s="1095" t="str">
        <f t="shared" si="52"/>
        <v>DHS</v>
      </c>
      <c r="BE96" s="1096">
        <f t="shared" si="53"/>
        <v>0.69299999999999995</v>
      </c>
      <c r="BF96" s="1096">
        <f t="shared" si="54"/>
        <v>2.3E-2</v>
      </c>
      <c r="BG96" s="1096">
        <f t="shared" si="55"/>
        <v>0.01</v>
      </c>
      <c r="BH96" s="1096">
        <f t="shared" si="56"/>
        <v>1.3000000000000001E-2</v>
      </c>
      <c r="BI96" s="1096">
        <f t="shared" si="57"/>
        <v>5.7999999999999996E-2</v>
      </c>
      <c r="BJ96" s="1096">
        <f t="shared" si="58"/>
        <v>0</v>
      </c>
      <c r="BK96" s="1097">
        <f t="shared" si="59"/>
        <v>1E-3</v>
      </c>
      <c r="BN96" t="s">
        <v>1709</v>
      </c>
      <c r="BO96" t="s">
        <v>1674</v>
      </c>
      <c r="BP96" s="8" t="s">
        <v>1702</v>
      </c>
      <c r="BQ96" s="8">
        <v>2008</v>
      </c>
      <c r="BR96" s="8">
        <v>69.3</v>
      </c>
      <c r="BS96" s="8">
        <v>2.2999999999999998</v>
      </c>
      <c r="BT96" s="8">
        <v>1</v>
      </c>
      <c r="BU96" s="8">
        <v>1.3</v>
      </c>
      <c r="BV96" s="8">
        <v>5.8</v>
      </c>
      <c r="BW96" s="8">
        <v>0</v>
      </c>
      <c r="BX96" s="8">
        <v>0.1</v>
      </c>
      <c r="BY96" s="1140">
        <f t="shared" si="60"/>
        <v>0.69299999999999995</v>
      </c>
      <c r="BZ96" s="1140">
        <f t="shared" si="61"/>
        <v>2.3E-2</v>
      </c>
      <c r="CA96" s="1140">
        <f t="shared" si="62"/>
        <v>0.01</v>
      </c>
      <c r="CB96" s="1140">
        <f t="shared" si="63"/>
        <v>1.3000000000000001E-2</v>
      </c>
      <c r="CC96" s="1140">
        <f t="shared" si="64"/>
        <v>5.7999999999999996E-2</v>
      </c>
      <c r="CD96" s="1140">
        <f t="shared" si="65"/>
        <v>0</v>
      </c>
      <c r="CE96" s="1140">
        <f t="shared" si="66"/>
        <v>1E-3</v>
      </c>
      <c r="CF96" s="1140" t="str">
        <f t="shared" si="67"/>
        <v>Albania2008</v>
      </c>
      <c r="CJ96" s="1109">
        <v>1288</v>
      </c>
      <c r="CK96" s="1109" t="s">
        <v>1691</v>
      </c>
      <c r="CL96" s="1109">
        <v>2015</v>
      </c>
      <c r="CM96" s="1111">
        <v>8617.1110000000008</v>
      </c>
      <c r="CN96" s="1143" t="s">
        <v>1691</v>
      </c>
      <c r="CO96" s="1144">
        <v>8617111</v>
      </c>
    </row>
    <row r="97" spans="53:113">
      <c r="BA97" s="397" t="str">
        <f t="array" ref="BA97">IFERROR(INDEX($BO$5:$BO$1001, MATCH(0,COUNTIF($BA$2:BA96, $BO$5:$BO$1001), 0)),"")</f>
        <v>Armenia</v>
      </c>
      <c r="BB97" s="1114">
        <f t="shared" si="51"/>
        <v>769700</v>
      </c>
      <c r="BC97" s="1095">
        <f t="array" ref="BC97">IF(OR(BA97="",BA97=0),"",MAX(IF($BO$5:$BO$1001=$BA97,$BQ$5:$BQ$1001)))</f>
        <v>2010</v>
      </c>
      <c r="BD97" s="1095" t="str">
        <f t="shared" si="52"/>
        <v>DHS</v>
      </c>
      <c r="BE97" s="1096">
        <f t="shared" si="53"/>
        <v>0.54899999999999993</v>
      </c>
      <c r="BF97" s="1096">
        <f t="shared" si="54"/>
        <v>2.7999999999999997E-2</v>
      </c>
      <c r="BG97" s="1096">
        <f t="shared" si="55"/>
        <v>0</v>
      </c>
      <c r="BH97" s="1096">
        <f t="shared" si="56"/>
        <v>0.18100000000000002</v>
      </c>
      <c r="BI97" s="1096">
        <f t="shared" si="57"/>
        <v>0.27600000000000002</v>
      </c>
      <c r="BJ97" s="1096">
        <f t="shared" si="58"/>
        <v>0</v>
      </c>
      <c r="BK97" s="1097">
        <f t="shared" si="59"/>
        <v>2E-3</v>
      </c>
      <c r="BN97" t="s">
        <v>1709</v>
      </c>
      <c r="BO97" t="s">
        <v>1675</v>
      </c>
      <c r="BP97" s="8" t="s">
        <v>1702</v>
      </c>
      <c r="BQ97" s="8">
        <v>2010</v>
      </c>
      <c r="BR97" s="8">
        <v>54.9</v>
      </c>
      <c r="BS97" s="8">
        <v>2.8</v>
      </c>
      <c r="BT97" s="8">
        <v>0</v>
      </c>
      <c r="BU97" s="8">
        <v>18.100000000000001</v>
      </c>
      <c r="BV97" s="8">
        <v>27.6</v>
      </c>
      <c r="BW97" s="8">
        <v>0</v>
      </c>
      <c r="BX97" s="8">
        <v>0.2</v>
      </c>
      <c r="BY97" s="1140">
        <f t="shared" si="60"/>
        <v>0.54899999999999993</v>
      </c>
      <c r="BZ97" s="1140">
        <f t="shared" si="61"/>
        <v>2.7999999999999997E-2</v>
      </c>
      <c r="CA97" s="1140">
        <f t="shared" si="62"/>
        <v>0</v>
      </c>
      <c r="CB97" s="1140">
        <f t="shared" si="63"/>
        <v>0.18100000000000002</v>
      </c>
      <c r="CC97" s="1140">
        <f t="shared" si="64"/>
        <v>0.27600000000000002</v>
      </c>
      <c r="CD97" s="1140">
        <f t="shared" si="65"/>
        <v>0</v>
      </c>
      <c r="CE97" s="1140">
        <f t="shared" si="66"/>
        <v>2E-3</v>
      </c>
      <c r="CF97" s="1140" t="str">
        <f t="shared" si="67"/>
        <v>Armenia2010</v>
      </c>
      <c r="CJ97" s="1109">
        <v>1302</v>
      </c>
      <c r="CK97" s="1110" t="s">
        <v>1856</v>
      </c>
      <c r="CL97" s="1109">
        <v>2015</v>
      </c>
      <c r="CM97" s="1111">
        <v>474247.31599999999</v>
      </c>
      <c r="CN97" s="1143" t="s">
        <v>1728</v>
      </c>
      <c r="CO97" s="1144">
        <v>474247316</v>
      </c>
    </row>
    <row r="98" spans="53:113">
      <c r="BA98" s="397" t="str">
        <f t="array" ref="BA98">IFERROR(INDEX($BO$5:$BO$1001, MATCH(0,COUNTIF($BA$2:BA97, $BO$5:$BO$1001), 0)),"")</f>
        <v>Azerbaijan</v>
      </c>
      <c r="BB98" s="1114">
        <f t="shared" si="51"/>
        <v>2668386</v>
      </c>
      <c r="BC98" s="1095">
        <f t="array" ref="BC98">IF(OR(BA98="",BA98=0),"",MAX(IF($BO$5:$BO$1001=$BA98,$BQ$5:$BQ$1001)))</f>
        <v>2006</v>
      </c>
      <c r="BD98" s="1095" t="str">
        <f t="shared" si="52"/>
        <v>DHS</v>
      </c>
      <c r="BE98" s="1096">
        <f t="shared" si="53"/>
        <v>0.51100000000000001</v>
      </c>
      <c r="BF98" s="1096">
        <f t="shared" si="54"/>
        <v>2.2000000000000002E-2</v>
      </c>
      <c r="BG98" s="1096">
        <f t="shared" si="55"/>
        <v>0</v>
      </c>
      <c r="BH98" s="1096">
        <f t="shared" si="56"/>
        <v>0.185</v>
      </c>
      <c r="BI98" s="1096">
        <f t="shared" si="57"/>
        <v>4.4000000000000004E-2</v>
      </c>
      <c r="BJ98" s="1096">
        <f t="shared" si="58"/>
        <v>0</v>
      </c>
      <c r="BK98" s="1097">
        <f t="shared" si="59"/>
        <v>4.0000000000000001E-3</v>
      </c>
      <c r="BN98" t="s">
        <v>1709</v>
      </c>
      <c r="BO98" t="s">
        <v>1676</v>
      </c>
      <c r="BP98" s="8" t="s">
        <v>1702</v>
      </c>
      <c r="BQ98" s="8">
        <v>2006</v>
      </c>
      <c r="BR98" s="8">
        <v>51.1</v>
      </c>
      <c r="BS98" s="8">
        <v>2.2000000000000002</v>
      </c>
      <c r="BT98" s="8">
        <v>0</v>
      </c>
      <c r="BU98" s="8">
        <v>18.5</v>
      </c>
      <c r="BV98" s="8">
        <v>4.4000000000000004</v>
      </c>
      <c r="BW98" s="8">
        <v>0</v>
      </c>
      <c r="BX98" s="8">
        <v>0.4</v>
      </c>
      <c r="BY98" s="1140">
        <f t="shared" si="60"/>
        <v>0.51100000000000001</v>
      </c>
      <c r="BZ98" s="1140">
        <f t="shared" si="61"/>
        <v>2.2000000000000002E-2</v>
      </c>
      <c r="CA98" s="1140">
        <f t="shared" si="62"/>
        <v>0</v>
      </c>
      <c r="CB98" s="1140">
        <f t="shared" si="63"/>
        <v>0.185</v>
      </c>
      <c r="CC98" s="1140">
        <f t="shared" si="64"/>
        <v>4.4000000000000004E-2</v>
      </c>
      <c r="CD98" s="1140">
        <f t="shared" si="65"/>
        <v>0</v>
      </c>
      <c r="CE98" s="1140">
        <f t="shared" si="66"/>
        <v>4.0000000000000001E-3</v>
      </c>
      <c r="CF98" s="1140" t="str">
        <f t="shared" si="67"/>
        <v>Azerbaijan2006</v>
      </c>
      <c r="CJ98" s="1109">
        <v>1316</v>
      </c>
      <c r="CK98" s="1109" t="s">
        <v>1656</v>
      </c>
      <c r="CL98" s="1109">
        <v>2015</v>
      </c>
      <c r="CM98" s="1111">
        <v>7586.6270000000004</v>
      </c>
      <c r="CN98" s="1143" t="s">
        <v>1656</v>
      </c>
      <c r="CO98" s="1144">
        <v>7586627</v>
      </c>
    </row>
    <row r="99" spans="53:113">
      <c r="BA99" s="397" t="str">
        <f t="array" ref="BA99">IFERROR(INDEX($BO$5:$BO$1001, MATCH(0,COUNTIF($BA$2:BA98, $BO$5:$BO$1001), 0)),"")</f>
        <v>Belarus</v>
      </c>
      <c r="BB99" s="1114">
        <f t="shared" si="51"/>
        <v>2285365</v>
      </c>
      <c r="BC99" s="1095">
        <f t="array" ref="BC99">IF(OR(BA99="",BA99=0),"",MAX(IF($BO$5:$BO$1001=$BA99,$BQ$5:$BQ$1001)))</f>
        <v>2005</v>
      </c>
      <c r="BD99" s="1095" t="str">
        <f t="shared" si="52"/>
        <v>MICS</v>
      </c>
      <c r="BE99" s="1096">
        <f t="shared" si="53"/>
        <v>0.72599999999999998</v>
      </c>
      <c r="BF99" s="1096">
        <f t="shared" si="54"/>
        <v>0.14599999999999999</v>
      </c>
      <c r="BG99" s="1096">
        <f t="shared" si="55"/>
        <v>0</v>
      </c>
      <c r="BH99" s="1096">
        <f t="shared" si="56"/>
        <v>0.36099999999999999</v>
      </c>
      <c r="BI99" s="1096">
        <f t="shared" si="57"/>
        <v>0.24600000000000002</v>
      </c>
      <c r="BJ99" s="1096">
        <f t="shared" si="58"/>
        <v>0</v>
      </c>
      <c r="BK99" s="1097">
        <f t="shared" si="59"/>
        <v>0</v>
      </c>
      <c r="BN99" t="s">
        <v>1709</v>
      </c>
      <c r="BO99" t="s">
        <v>1677</v>
      </c>
      <c r="BP99" s="8" t="s">
        <v>1700</v>
      </c>
      <c r="BQ99" s="8">
        <v>2005</v>
      </c>
      <c r="BR99" s="8">
        <v>72.599999999999994</v>
      </c>
      <c r="BS99" s="8">
        <v>14.6</v>
      </c>
      <c r="BT99" s="8">
        <v>0</v>
      </c>
      <c r="BU99" s="8">
        <v>36.1</v>
      </c>
      <c r="BV99" s="8">
        <v>24.6</v>
      </c>
      <c r="BW99" s="8">
        <v>0</v>
      </c>
      <c r="BX99" s="8">
        <v>0</v>
      </c>
      <c r="BY99" s="1140">
        <f t="shared" si="60"/>
        <v>0.72599999999999998</v>
      </c>
      <c r="BZ99" s="1140">
        <f t="shared" si="61"/>
        <v>0.14599999999999999</v>
      </c>
      <c r="CA99" s="1140">
        <f t="shared" si="62"/>
        <v>0</v>
      </c>
      <c r="CB99" s="1140">
        <f t="shared" si="63"/>
        <v>0.36099999999999999</v>
      </c>
      <c r="CC99" s="1140">
        <f t="shared" si="64"/>
        <v>0.24600000000000002</v>
      </c>
      <c r="CD99" s="1140">
        <f t="shared" si="65"/>
        <v>0</v>
      </c>
      <c r="CE99" s="1140">
        <f t="shared" si="66"/>
        <v>0</v>
      </c>
      <c r="CF99" s="1140" t="str">
        <f t="shared" si="67"/>
        <v>Belarus2005</v>
      </c>
      <c r="CJ99" s="1109">
        <v>1330</v>
      </c>
      <c r="CK99" s="1109" t="s">
        <v>1657</v>
      </c>
      <c r="CL99" s="1109">
        <v>2015</v>
      </c>
      <c r="CM99" s="1111">
        <v>44998.720000000001</v>
      </c>
      <c r="CN99" s="1143" t="s">
        <v>1657</v>
      </c>
      <c r="CO99" s="1144">
        <v>44998720</v>
      </c>
    </row>
    <row r="100" spans="53:113">
      <c r="BA100" s="397" t="str">
        <f t="array" ref="BA100">IFERROR(INDEX($BO$5:$BO$1001, MATCH(0,COUNTIF($BA$2:BA99, $BO$5:$BO$1001), 0)),"")</f>
        <v>Bosnia and Herzegovina</v>
      </c>
      <c r="BB100" s="1114">
        <f t="shared" si="51"/>
        <v>833321</v>
      </c>
      <c r="BC100" s="1095">
        <f t="array" ref="BC100">IF(OR(BA100="",BA100=0),"",MAX(IF($BO$5:$BO$1001=$BA100,$BQ$5:$BQ$1001)))</f>
        <v>2011</v>
      </c>
      <c r="BD100" s="1095" t="str">
        <f t="shared" si="52"/>
        <v>MICS</v>
      </c>
      <c r="BE100" s="1096">
        <f t="shared" si="53"/>
        <v>0.45799999999999996</v>
      </c>
      <c r="BF100" s="1096">
        <f t="shared" si="54"/>
        <v>3.5000000000000003E-2</v>
      </c>
      <c r="BG100" s="1096">
        <f t="shared" si="55"/>
        <v>0</v>
      </c>
      <c r="BH100" s="1096">
        <f t="shared" si="56"/>
        <v>8.4000000000000005E-2</v>
      </c>
      <c r="BI100" s="1096">
        <f t="shared" si="57"/>
        <v>0.13600000000000001</v>
      </c>
      <c r="BJ100" s="1096">
        <f t="shared" si="58"/>
        <v>0</v>
      </c>
      <c r="BK100" s="1097">
        <f t="shared" si="59"/>
        <v>4.0000000000000001E-3</v>
      </c>
      <c r="BN100" t="s">
        <v>1709</v>
      </c>
      <c r="BO100" t="s">
        <v>1678</v>
      </c>
      <c r="BP100" s="8" t="s">
        <v>1700</v>
      </c>
      <c r="BQ100" s="8">
        <v>2011</v>
      </c>
      <c r="BR100" s="8">
        <v>45.8</v>
      </c>
      <c r="BS100" s="8">
        <v>3.5</v>
      </c>
      <c r="BT100" s="8">
        <v>0</v>
      </c>
      <c r="BU100" s="8">
        <v>8.4</v>
      </c>
      <c r="BV100" s="8">
        <v>13.6</v>
      </c>
      <c r="BW100" s="8">
        <v>0</v>
      </c>
      <c r="BX100" s="8">
        <v>0.4</v>
      </c>
      <c r="BY100" s="1140">
        <f t="shared" si="60"/>
        <v>0.45799999999999996</v>
      </c>
      <c r="BZ100" s="1140">
        <f t="shared" si="61"/>
        <v>3.5000000000000003E-2</v>
      </c>
      <c r="CA100" s="1140">
        <f t="shared" si="62"/>
        <v>0</v>
      </c>
      <c r="CB100" s="1140">
        <f t="shared" si="63"/>
        <v>8.4000000000000005E-2</v>
      </c>
      <c r="CC100" s="1140">
        <f t="shared" si="64"/>
        <v>0.13600000000000001</v>
      </c>
      <c r="CD100" s="1140">
        <f t="shared" si="65"/>
        <v>0</v>
      </c>
      <c r="CE100" s="1140">
        <f t="shared" si="66"/>
        <v>4.0000000000000001E-3</v>
      </c>
      <c r="CF100" s="1140" t="str">
        <f t="shared" si="67"/>
        <v>Bosnia and Herzegovina2011</v>
      </c>
      <c r="CJ100" s="1109">
        <v>1344</v>
      </c>
      <c r="CK100" s="1109" t="s">
        <v>1727</v>
      </c>
      <c r="CL100" s="1109">
        <v>2015</v>
      </c>
      <c r="CM100" s="1111">
        <v>213.34100000000001</v>
      </c>
      <c r="CN100" s="1143" t="s">
        <v>1727</v>
      </c>
      <c r="CO100" s="1144">
        <v>213341</v>
      </c>
    </row>
    <row r="101" spans="53:113">
      <c r="BA101" s="397" t="str">
        <f t="array" ref="BA101">IFERROR(INDEX($BO$5:$BO$1001, MATCH(0,COUNTIF($BA$2:BA100, $BO$5:$BO$1001), 0)),"")</f>
        <v>Georgia</v>
      </c>
      <c r="BB101" s="1114">
        <f t="shared" ref="BB101:BB132" si="68">IF(OR(BA101="",BA101=0),"",IFERROR(INDEX($CO$5:$CO$245,MATCH($BA101,$CN$5:$CN$245,0)),""))</f>
        <v>932695</v>
      </c>
      <c r="BC101" s="1095">
        <f t="array" ref="BC101">IF(OR(BA101="",BA101=0),"",MAX(IF($BO$5:$BO$1001=$BA101,$BQ$5:$BQ$1001)))</f>
        <v>2005</v>
      </c>
      <c r="BD101" s="1095" t="str">
        <f t="shared" ref="BD101:BD132" si="69">IF(OR(BA101="",BA101=0),"",INDEX($BP$5:$BP$1001,MATCH($BA101&amp;$BC101,$CF$5:$CF$1001,0)))</f>
        <v>RHS</v>
      </c>
      <c r="BE101" s="1096">
        <f t="shared" ref="BE101:BE132" si="70">IF(OR($BA101="",$BA101=0),"",INDEX(BY$5:BY$1001,MATCH($BA101&amp;$BC101,$CF$5:$CF$1001,0)))</f>
        <v>0.47299999999999998</v>
      </c>
      <c r="BF101" s="1096">
        <f t="shared" ref="BF101:BF132" si="71">IF(OR($BA101="",$BA101=0),"",INDEX(BZ$5:BZ$1001,MATCH($BA101&amp;$BC101,$CF$5:$CF$1001,0)))</f>
        <v>6.8000000000000005E-2</v>
      </c>
      <c r="BG101" s="1096">
        <f t="shared" ref="BG101:BG132" si="72">IF(OR($BA101="",$BA101=0),"",INDEX(CA$5:CA$1001,MATCH($BA101&amp;$BC101,$CF$5:$CF$1001,0)))</f>
        <v>0</v>
      </c>
      <c r="BH101" s="1096">
        <f t="shared" ref="BH101:BH132" si="73">IF(OR($BA101="",$BA101=0),"",INDEX(CB$5:CB$1001,MATCH($BA101&amp;$BC101,$CF$5:$CF$1001,0)))</f>
        <v>0.245</v>
      </c>
      <c r="BI101" s="1096">
        <f t="shared" ref="BI101:BI132" si="74">IF(OR($BA101="",$BA101=0),"",INDEX(CC$5:CC$1001,MATCH($BA101&amp;$BC101,$CF$5:$CF$1001,0)))</f>
        <v>0.184</v>
      </c>
      <c r="BJ101" s="1096">
        <f t="shared" ref="BJ101:BJ132" si="75">IF(OR($BA101="",$BA101=0),"",INDEX(CD$5:CD$1001,MATCH($BA101&amp;$BC101,$CF$5:$CF$1001,0)))</f>
        <v>0</v>
      </c>
      <c r="BK101" s="1097">
        <f t="shared" ref="BK101:BK132" si="76">IF(OR($BA101="",$BA101=0),"",INDEX(CE$5:CE$1001,MATCH($BA101&amp;$BC101,$CF$5:$CF$1001,0)))</f>
        <v>1.9E-2</v>
      </c>
      <c r="BN101" t="s">
        <v>1709</v>
      </c>
      <c r="BO101" t="s">
        <v>1679</v>
      </c>
      <c r="BP101" s="8" t="s">
        <v>1705</v>
      </c>
      <c r="BQ101" s="8">
        <v>2005</v>
      </c>
      <c r="BR101" s="8">
        <v>47.3</v>
      </c>
      <c r="BS101" s="8">
        <v>6.8</v>
      </c>
      <c r="BT101" s="8">
        <v>0</v>
      </c>
      <c r="BU101" s="8">
        <v>24.5</v>
      </c>
      <c r="BV101" s="8">
        <v>18.399999999999999</v>
      </c>
      <c r="BW101" s="8">
        <v>0</v>
      </c>
      <c r="BX101" s="8">
        <v>1.9</v>
      </c>
      <c r="BY101" s="1140">
        <f t="shared" ref="BY101:BY119" si="77">BR101/100</f>
        <v>0.47299999999999998</v>
      </c>
      <c r="BZ101" s="1140">
        <f t="shared" ref="BZ101:BZ119" si="78">BS101/100</f>
        <v>6.8000000000000005E-2</v>
      </c>
      <c r="CA101" s="1140">
        <f t="shared" ref="CA101:CA119" si="79">BT101/100</f>
        <v>0</v>
      </c>
      <c r="CB101" s="1140">
        <f t="shared" ref="CB101:CB119" si="80">BU101/100</f>
        <v>0.245</v>
      </c>
      <c r="CC101" s="1140">
        <f t="shared" ref="CC101:CC119" si="81">BV101/100</f>
        <v>0.184</v>
      </c>
      <c r="CD101" s="1140">
        <f t="shared" ref="CD101:CD119" si="82">BW101/100</f>
        <v>0</v>
      </c>
      <c r="CE101" s="1140">
        <f t="shared" ref="CE101:CE119" si="83">BX101/100</f>
        <v>1.9E-2</v>
      </c>
      <c r="CF101" s="1140" t="str">
        <f t="shared" ref="CF101:CF119" si="84">BO101&amp;BQ101</f>
        <v>Georgia2005</v>
      </c>
      <c r="CJ101" s="1109">
        <v>1358</v>
      </c>
      <c r="CK101" s="1109" t="s">
        <v>1660</v>
      </c>
      <c r="CL101" s="1109">
        <v>2015</v>
      </c>
      <c r="CM101" s="1111">
        <v>336721.93900000001</v>
      </c>
      <c r="CN101" s="1143" t="s">
        <v>1660</v>
      </c>
      <c r="CO101" s="1144">
        <v>336721939</v>
      </c>
    </row>
    <row r="102" spans="53:113">
      <c r="BA102" s="397" t="str">
        <f t="array" ref="BA102">IFERROR(INDEX($BO$5:$BO$1001, MATCH(0,COUNTIF($BA$2:BA101, $BO$5:$BO$1001), 0)),"")</f>
        <v>Kazakhstan</v>
      </c>
      <c r="BB102" s="1114">
        <f t="shared" si="68"/>
        <v>4579304</v>
      </c>
      <c r="BC102" s="1095">
        <f t="array" ref="BC102">IF(OR(BA102="",BA102=0),"",MAX(IF($BO$5:$BO$1001=$BA102,$BQ$5:$BQ$1001)))</f>
        <v>2010</v>
      </c>
      <c r="BD102" s="1095" t="str">
        <f t="shared" si="69"/>
        <v>MICS</v>
      </c>
      <c r="BE102" s="1096">
        <f t="shared" si="70"/>
        <v>0.51</v>
      </c>
      <c r="BF102" s="1096">
        <f t="shared" si="71"/>
        <v>0.13800000000000001</v>
      </c>
      <c r="BG102" s="1096">
        <f t="shared" si="72"/>
        <v>6.0000000000000001E-3</v>
      </c>
      <c r="BH102" s="1096">
        <f t="shared" si="73"/>
        <v>0.65</v>
      </c>
      <c r="BI102" s="1096">
        <f t="shared" si="74"/>
        <v>0.14000000000000001</v>
      </c>
      <c r="BJ102" s="1096">
        <f t="shared" si="75"/>
        <v>0</v>
      </c>
      <c r="BK102" s="1097">
        <f t="shared" si="76"/>
        <v>4.0000000000000001E-3</v>
      </c>
      <c r="BN102" t="s">
        <v>1709</v>
      </c>
      <c r="BO102" t="s">
        <v>1680</v>
      </c>
      <c r="BP102" s="8" t="s">
        <v>1700</v>
      </c>
      <c r="BQ102" s="8">
        <v>2010</v>
      </c>
      <c r="BR102" s="8">
        <v>51</v>
      </c>
      <c r="BS102" s="8">
        <v>13.8</v>
      </c>
      <c r="BT102" s="8">
        <v>0.6</v>
      </c>
      <c r="BU102" s="8">
        <v>65</v>
      </c>
      <c r="BV102" s="8">
        <v>14</v>
      </c>
      <c r="BW102" s="8">
        <v>0</v>
      </c>
      <c r="BX102" s="8">
        <v>0.4</v>
      </c>
      <c r="BY102" s="1140">
        <f t="shared" si="77"/>
        <v>0.51</v>
      </c>
      <c r="BZ102" s="1140">
        <f t="shared" si="78"/>
        <v>0.13800000000000001</v>
      </c>
      <c r="CA102" s="1140">
        <f t="shared" si="79"/>
        <v>6.0000000000000001E-3</v>
      </c>
      <c r="CB102" s="1140">
        <f t="shared" si="80"/>
        <v>0.65</v>
      </c>
      <c r="CC102" s="1140">
        <f t="shared" si="81"/>
        <v>0.14000000000000001</v>
      </c>
      <c r="CD102" s="1140">
        <f t="shared" si="82"/>
        <v>0</v>
      </c>
      <c r="CE102" s="1140">
        <f t="shared" si="83"/>
        <v>4.0000000000000001E-3</v>
      </c>
      <c r="CF102" s="1140" t="str">
        <f t="shared" si="84"/>
        <v>Kazakhstan2010</v>
      </c>
      <c r="CJ102" s="1109">
        <v>1372</v>
      </c>
      <c r="CK102" s="1109" t="s">
        <v>1813</v>
      </c>
      <c r="CL102" s="1109">
        <v>2015</v>
      </c>
      <c r="CM102" s="1111">
        <v>23593.746999999999</v>
      </c>
      <c r="CN102" s="1143" t="s">
        <v>1628</v>
      </c>
      <c r="CO102" s="1144">
        <v>23593747</v>
      </c>
    </row>
    <row r="103" spans="53:113">
      <c r="BA103" s="397" t="str">
        <f t="array" ref="BA103">IFERROR(INDEX($BO$5:$BO$1001, MATCH(0,COUNTIF($BA$2:BA102, $BO$5:$BO$1001), 0)),"")</f>
        <v xml:space="preserve">Kyrgyzstan </v>
      </c>
      <c r="BB103" s="1114">
        <f t="shared" si="68"/>
        <v>1535705</v>
      </c>
      <c r="BC103" s="1095">
        <f t="array" ref="BC103">IF(OR(BA103="",BA103=0),"",MAX(IF($BO$5:$BO$1001=$BA103,$BQ$5:$BQ$1001)))</f>
        <v>2005</v>
      </c>
      <c r="BD103" s="1095" t="str">
        <f t="shared" si="69"/>
        <v>MICS</v>
      </c>
      <c r="BE103" s="1096">
        <f t="shared" si="70"/>
        <v>0.47799999999999998</v>
      </c>
      <c r="BF103" s="1096">
        <f t="shared" si="71"/>
        <v>0.109</v>
      </c>
      <c r="BG103" s="1096">
        <f t="shared" si="72"/>
        <v>2.6000000000000002E-2</v>
      </c>
      <c r="BH103" s="1096">
        <f t="shared" si="73"/>
        <v>0.68700000000000006</v>
      </c>
      <c r="BI103" s="1096">
        <f t="shared" si="74"/>
        <v>0.124</v>
      </c>
      <c r="BJ103" s="1096">
        <f t="shared" si="75"/>
        <v>0</v>
      </c>
      <c r="BK103" s="1097">
        <f t="shared" si="76"/>
        <v>9.0000000000000011E-3</v>
      </c>
      <c r="BN103" t="s">
        <v>1709</v>
      </c>
      <c r="BO103" t="s">
        <v>1681</v>
      </c>
      <c r="BP103" s="8" t="s">
        <v>1700</v>
      </c>
      <c r="BQ103" s="8">
        <v>2005</v>
      </c>
      <c r="BR103" s="8">
        <v>47.8</v>
      </c>
      <c r="BS103" s="8">
        <v>10.9</v>
      </c>
      <c r="BT103" s="8">
        <v>2.6</v>
      </c>
      <c r="BU103" s="8">
        <v>68.7</v>
      </c>
      <c r="BV103" s="8">
        <v>12.4</v>
      </c>
      <c r="BW103" s="8">
        <v>0</v>
      </c>
      <c r="BX103" s="8">
        <v>0.9</v>
      </c>
      <c r="BY103" s="1140">
        <f t="shared" si="77"/>
        <v>0.47799999999999998</v>
      </c>
      <c r="BZ103" s="1140">
        <f t="shared" si="78"/>
        <v>0.109</v>
      </c>
      <c r="CA103" s="1140">
        <f t="shared" si="79"/>
        <v>2.6000000000000002E-2</v>
      </c>
      <c r="CB103" s="1140">
        <f t="shared" si="80"/>
        <v>0.68700000000000006</v>
      </c>
      <c r="CC103" s="1140">
        <f t="shared" si="81"/>
        <v>0.124</v>
      </c>
      <c r="CD103" s="1140">
        <f t="shared" si="82"/>
        <v>0</v>
      </c>
      <c r="CE103" s="1140">
        <f t="shared" si="83"/>
        <v>9.0000000000000011E-3</v>
      </c>
      <c r="CF103" s="1140" t="str">
        <f t="shared" si="84"/>
        <v>Kyrgyzstan 2005</v>
      </c>
      <c r="CJ103" s="1109">
        <v>1386</v>
      </c>
      <c r="CK103" s="1109" t="s">
        <v>1764</v>
      </c>
      <c r="CL103" s="1109">
        <v>2015</v>
      </c>
      <c r="CM103" s="1111">
        <v>107.736</v>
      </c>
      <c r="CN103" s="1143" t="s">
        <v>1764</v>
      </c>
      <c r="CO103" s="1144">
        <v>107736</v>
      </c>
      <c r="DI103" s="1127"/>
    </row>
    <row r="104" spans="53:113">
      <c r="BA104" s="397" t="str">
        <f t="array" ref="BA104">IFERROR(INDEX($BO$5:$BO$1001, MATCH(0,COUNTIF($BA$2:BA103, $BO$5:$BO$1001), 0)),"")</f>
        <v>Macedonia FYR</v>
      </c>
      <c r="BB104" s="1114">
        <f t="shared" si="68"/>
        <v>520062</v>
      </c>
      <c r="BC104" s="1095">
        <f t="array" ref="BC104">IF(OR(BA104="",BA104=0),"",MAX(IF($BO$5:$BO$1001=$BA104,$BQ$5:$BQ$1001)))</f>
        <v>2005</v>
      </c>
      <c r="BD104" s="1095" t="str">
        <f t="shared" si="69"/>
        <v>MICS</v>
      </c>
      <c r="BE104" s="1096">
        <f t="shared" si="70"/>
        <v>0.13500000000000001</v>
      </c>
      <c r="BF104" s="1096">
        <f t="shared" si="71"/>
        <v>0.22699999999999998</v>
      </c>
      <c r="BG104" s="1096">
        <f t="shared" si="72"/>
        <v>0</v>
      </c>
      <c r="BH104" s="1096">
        <f t="shared" si="73"/>
        <v>3.6000000000000004E-2</v>
      </c>
      <c r="BI104" s="1096">
        <f t="shared" si="74"/>
        <v>0.40899999999999997</v>
      </c>
      <c r="BJ104" s="1096">
        <f t="shared" si="75"/>
        <v>0</v>
      </c>
      <c r="BK104" s="1097">
        <f t="shared" si="76"/>
        <v>0.155</v>
      </c>
      <c r="BN104" t="s">
        <v>1709</v>
      </c>
      <c r="BO104" t="s">
        <v>1682</v>
      </c>
      <c r="BP104" s="8" t="s">
        <v>1700</v>
      </c>
      <c r="BQ104" s="8">
        <v>2005</v>
      </c>
      <c r="BR104" s="8">
        <v>13.5</v>
      </c>
      <c r="BS104" s="8">
        <v>22.7</v>
      </c>
      <c r="BT104" s="8">
        <v>0</v>
      </c>
      <c r="BU104" s="8">
        <v>3.6</v>
      </c>
      <c r="BV104" s="8">
        <v>40.9</v>
      </c>
      <c r="BW104" s="8">
        <v>0</v>
      </c>
      <c r="BX104" s="8">
        <v>15.5</v>
      </c>
      <c r="BY104" s="1140">
        <f t="shared" si="77"/>
        <v>0.13500000000000001</v>
      </c>
      <c r="BZ104" s="1140">
        <f t="shared" si="78"/>
        <v>0.22699999999999998</v>
      </c>
      <c r="CA104" s="1140">
        <f t="shared" si="79"/>
        <v>0</v>
      </c>
      <c r="CB104" s="1140">
        <f t="shared" si="80"/>
        <v>3.6000000000000004E-2</v>
      </c>
      <c r="CC104" s="1140">
        <f t="shared" si="81"/>
        <v>0.40899999999999997</v>
      </c>
      <c r="CD104" s="1140">
        <f t="shared" si="82"/>
        <v>0</v>
      </c>
      <c r="CE104" s="1140">
        <f t="shared" si="83"/>
        <v>0.155</v>
      </c>
      <c r="CF104" s="1140" t="str">
        <f t="shared" si="84"/>
        <v>Macedonia FYR2005</v>
      </c>
      <c r="CJ104" s="1109">
        <v>1400</v>
      </c>
      <c r="CK104" s="1109" t="s">
        <v>1666</v>
      </c>
      <c r="CL104" s="1109">
        <v>2015</v>
      </c>
      <c r="CM104" s="1111">
        <v>7882.3950000000004</v>
      </c>
      <c r="CN104" s="1143" t="s">
        <v>1666</v>
      </c>
      <c r="CO104" s="1144">
        <v>7882395</v>
      </c>
      <c r="DI104" s="1127"/>
    </row>
    <row r="105" spans="53:113">
      <c r="BA105" s="397" t="str">
        <f t="array" ref="BA105">IFERROR(INDEX($BO$5:$BO$1001, MATCH(0,COUNTIF($BA$2:BA104, $BO$5:$BO$1001), 0)),"")</f>
        <v>Moldova</v>
      </c>
      <c r="BB105" s="1114">
        <f t="shared" si="68"/>
        <v>1080285</v>
      </c>
      <c r="BC105" s="1095">
        <f t="array" ref="BC105">IF(OR(BA105="",BA105=0),"",MAX(IF($BO$5:$BO$1001=$BA105,$BQ$5:$BQ$1001)))</f>
        <v>2005</v>
      </c>
      <c r="BD105" s="1095" t="str">
        <f t="shared" si="69"/>
        <v>DHS</v>
      </c>
      <c r="BE105" s="1096">
        <f t="shared" si="70"/>
        <v>0.67799999999999994</v>
      </c>
      <c r="BF105" s="1096">
        <f t="shared" si="71"/>
        <v>5.5E-2</v>
      </c>
      <c r="BG105" s="1096">
        <f t="shared" si="72"/>
        <v>0</v>
      </c>
      <c r="BH105" s="1096">
        <f t="shared" si="73"/>
        <v>0.38400000000000001</v>
      </c>
      <c r="BI105" s="1096">
        <f t="shared" si="74"/>
        <v>0.113</v>
      </c>
      <c r="BJ105" s="1096">
        <f t="shared" si="75"/>
        <v>0</v>
      </c>
      <c r="BK105" s="1097">
        <f t="shared" si="76"/>
        <v>2.6000000000000002E-2</v>
      </c>
      <c r="BN105" t="s">
        <v>1709</v>
      </c>
      <c r="BO105" t="s">
        <v>1683</v>
      </c>
      <c r="BP105" s="8" t="s">
        <v>1702</v>
      </c>
      <c r="BQ105" s="8">
        <v>2005</v>
      </c>
      <c r="BR105" s="8">
        <v>67.8</v>
      </c>
      <c r="BS105" s="8">
        <v>5.5</v>
      </c>
      <c r="BT105" s="8">
        <v>0</v>
      </c>
      <c r="BU105" s="8">
        <v>38.4</v>
      </c>
      <c r="BV105" s="8">
        <v>11.3</v>
      </c>
      <c r="BW105" s="8">
        <v>0</v>
      </c>
      <c r="BX105" s="8">
        <v>2.6</v>
      </c>
      <c r="BY105" s="1140">
        <f t="shared" si="77"/>
        <v>0.67799999999999994</v>
      </c>
      <c r="BZ105" s="1140">
        <f t="shared" si="78"/>
        <v>5.5E-2</v>
      </c>
      <c r="CA105" s="1140">
        <f t="shared" si="79"/>
        <v>0</v>
      </c>
      <c r="CB105" s="1140">
        <f t="shared" si="80"/>
        <v>0.38400000000000001</v>
      </c>
      <c r="CC105" s="1140">
        <f t="shared" si="81"/>
        <v>0.113</v>
      </c>
      <c r="CD105" s="1140">
        <f t="shared" si="82"/>
        <v>0</v>
      </c>
      <c r="CE105" s="1140">
        <f t="shared" si="83"/>
        <v>2.6000000000000002E-2</v>
      </c>
      <c r="CF105" s="1140" t="str">
        <f t="shared" si="84"/>
        <v>Moldova2005</v>
      </c>
      <c r="CJ105" s="1109">
        <v>1414</v>
      </c>
      <c r="CK105" s="1109" t="s">
        <v>1668</v>
      </c>
      <c r="CL105" s="1109">
        <v>2015</v>
      </c>
      <c r="CM105" s="1111">
        <v>47810.317999999999</v>
      </c>
      <c r="CN105" s="1143" t="s">
        <v>1668</v>
      </c>
      <c r="CO105" s="1144">
        <v>47810318</v>
      </c>
    </row>
    <row r="106" spans="53:113">
      <c r="BA106" s="397" t="str">
        <f t="array" ref="BA106">IFERROR(INDEX($BO$5:$BO$1001, MATCH(0,COUNTIF($BA$2:BA105, $BO$5:$BO$1001), 0)),"")</f>
        <v>Romania</v>
      </c>
      <c r="BB106" s="1114">
        <f t="shared" si="68"/>
        <v>4703787</v>
      </c>
      <c r="BC106" s="1095">
        <f t="array" ref="BC106">IF(OR(BA106="",BA106=0),"",MAX(IF($BO$5:$BO$1001=$BA106,$BQ$5:$BQ$1001)))</f>
        <v>2004</v>
      </c>
      <c r="BD106" s="1095" t="str">
        <f t="shared" si="69"/>
        <v>NS</v>
      </c>
      <c r="BE106" s="1096">
        <f t="shared" si="70"/>
        <v>0.70299999999999996</v>
      </c>
      <c r="BF106" s="1096">
        <f t="shared" si="71"/>
        <v>0.20100000000000001</v>
      </c>
      <c r="BG106" s="1096">
        <f t="shared" si="72"/>
        <v>0</v>
      </c>
      <c r="BH106" s="1096">
        <f t="shared" si="73"/>
        <v>9.5000000000000001E-2</v>
      </c>
      <c r="BI106" s="1096">
        <f t="shared" si="74"/>
        <v>0.17199999999999999</v>
      </c>
      <c r="BJ106" s="1096">
        <f t="shared" si="75"/>
        <v>0</v>
      </c>
      <c r="BK106" s="1097">
        <f t="shared" si="76"/>
        <v>3.6000000000000004E-2</v>
      </c>
      <c r="BN106" t="s">
        <v>1709</v>
      </c>
      <c r="BO106" t="s">
        <v>1684</v>
      </c>
      <c r="BP106" s="8" t="s">
        <v>1701</v>
      </c>
      <c r="BQ106" s="8">
        <v>2004</v>
      </c>
      <c r="BR106" s="8">
        <v>70.3</v>
      </c>
      <c r="BS106" s="8">
        <v>20.100000000000001</v>
      </c>
      <c r="BT106" s="8">
        <v>0</v>
      </c>
      <c r="BU106" s="8">
        <v>9.5</v>
      </c>
      <c r="BV106" s="8">
        <v>17.2</v>
      </c>
      <c r="BW106" s="8">
        <v>0</v>
      </c>
      <c r="BX106" s="8">
        <v>3.6</v>
      </c>
      <c r="BY106" s="1140">
        <f t="shared" si="77"/>
        <v>0.70299999999999996</v>
      </c>
      <c r="BZ106" s="1140">
        <f t="shared" si="78"/>
        <v>0.20100000000000001</v>
      </c>
      <c r="CA106" s="1140">
        <f t="shared" si="79"/>
        <v>0</v>
      </c>
      <c r="CB106" s="1140">
        <f t="shared" si="80"/>
        <v>9.5000000000000001E-2</v>
      </c>
      <c r="CC106" s="1140">
        <f t="shared" si="81"/>
        <v>0.17199999999999999</v>
      </c>
      <c r="CD106" s="1140">
        <f t="shared" si="82"/>
        <v>0</v>
      </c>
      <c r="CE106" s="1140">
        <f t="shared" si="83"/>
        <v>3.6000000000000004E-2</v>
      </c>
      <c r="CF106" s="1140" t="str">
        <f t="shared" si="84"/>
        <v>Romania2004</v>
      </c>
      <c r="CJ106" s="1109">
        <v>1428</v>
      </c>
      <c r="CK106" s="1109" t="s">
        <v>1670</v>
      </c>
      <c r="CL106" s="1109">
        <v>2015</v>
      </c>
      <c r="CM106" s="1111">
        <v>5332.4930000000004</v>
      </c>
      <c r="CN106" s="1143" t="s">
        <v>1670</v>
      </c>
      <c r="CO106" s="1144">
        <v>5332493</v>
      </c>
    </row>
    <row r="107" spans="53:113">
      <c r="BA107" s="397" t="str">
        <f t="array" ref="BA107">IFERROR(INDEX($BO$5:$BO$1001, MATCH(0,COUNTIF($BA$2:BA106, $BO$5:$BO$1001), 0)),"")</f>
        <v>Russian Federation</v>
      </c>
      <c r="BB107" s="1114">
        <f t="shared" si="68"/>
        <v>34626369</v>
      </c>
      <c r="BC107" s="1095">
        <f t="array" ref="BC107">IF(OR(BA107="",BA107=0),"",MAX(IF($BO$5:$BO$1001=$BA107,$BQ$5:$BQ$1001)))</f>
        <v>2007</v>
      </c>
      <c r="BD107" s="1095" t="str">
        <f t="shared" si="69"/>
        <v>NS</v>
      </c>
      <c r="BE107" s="1096">
        <f t="shared" si="70"/>
        <v>0.79500000000000004</v>
      </c>
      <c r="BF107" s="1096">
        <f t="shared" si="71"/>
        <v>0.14400000000000002</v>
      </c>
      <c r="BG107" s="1096">
        <f t="shared" si="72"/>
        <v>0</v>
      </c>
      <c r="BH107" s="1096">
        <f t="shared" si="73"/>
        <v>0.20800000000000002</v>
      </c>
      <c r="BI107" s="1096">
        <f t="shared" si="74"/>
        <v>0.309</v>
      </c>
      <c r="BJ107" s="1096">
        <f t="shared" si="75"/>
        <v>0</v>
      </c>
      <c r="BK107" s="1097">
        <f t="shared" si="76"/>
        <v>5.2999999999999999E-2</v>
      </c>
      <c r="BN107" t="s">
        <v>1709</v>
      </c>
      <c r="BO107" t="s">
        <v>1685</v>
      </c>
      <c r="BP107" s="8" t="s">
        <v>1701</v>
      </c>
      <c r="BQ107" s="8">
        <v>2007</v>
      </c>
      <c r="BR107" s="8">
        <v>79.5</v>
      </c>
      <c r="BS107" s="8">
        <v>14.4</v>
      </c>
      <c r="BT107" s="8">
        <v>0</v>
      </c>
      <c r="BU107" s="8">
        <v>20.8</v>
      </c>
      <c r="BV107" s="8">
        <v>30.9</v>
      </c>
      <c r="BW107" s="8">
        <v>0</v>
      </c>
      <c r="BX107" s="8">
        <v>5.3</v>
      </c>
      <c r="BY107" s="1140">
        <f t="shared" si="77"/>
        <v>0.79500000000000004</v>
      </c>
      <c r="BZ107" s="1140">
        <f t="shared" si="78"/>
        <v>0.14400000000000002</v>
      </c>
      <c r="CA107" s="1140">
        <f t="shared" si="79"/>
        <v>0</v>
      </c>
      <c r="CB107" s="1140">
        <f t="shared" si="80"/>
        <v>0.20800000000000002</v>
      </c>
      <c r="CC107" s="1140">
        <f t="shared" si="81"/>
        <v>0.309</v>
      </c>
      <c r="CD107" s="1140">
        <f t="shared" si="82"/>
        <v>0</v>
      </c>
      <c r="CE107" s="1140">
        <f t="shared" si="83"/>
        <v>5.2999999999999999E-2</v>
      </c>
      <c r="CF107" s="1140" t="str">
        <f t="shared" si="84"/>
        <v>Russian Federation2007</v>
      </c>
      <c r="CJ107" s="1109">
        <v>1442</v>
      </c>
      <c r="CK107" s="1110" t="s">
        <v>1857</v>
      </c>
      <c r="CL107" s="1109">
        <v>2015</v>
      </c>
      <c r="CM107" s="1111">
        <v>170400.875</v>
      </c>
      <c r="CN107" s="1143" t="s">
        <v>1728</v>
      </c>
      <c r="CO107" s="1144">
        <v>170400875</v>
      </c>
    </row>
    <row r="108" spans="53:113">
      <c r="BA108" s="397" t="str">
        <f t="array" ref="BA108">IFERROR(INDEX($BO$5:$BO$1001, MATCH(0,COUNTIF($BA$2:BA107, $BO$5:$BO$1001), 0)),"")</f>
        <v>Serbia</v>
      </c>
      <c r="BB108" s="1114">
        <f t="shared" si="68"/>
        <v>2032161</v>
      </c>
      <c r="BC108" s="1095">
        <f t="array" ref="BC108">IF(OR(BA108="",BA108=0),"",MAX(IF($BO$5:$BO$1001=$BA108,$BQ$5:$BQ$1001)))</f>
        <v>2010</v>
      </c>
      <c r="BD108" s="1095" t="str">
        <f t="shared" si="69"/>
        <v>MICS</v>
      </c>
      <c r="BE108" s="1096">
        <f t="shared" si="70"/>
        <v>0.60799999999999998</v>
      </c>
      <c r="BF108" s="1096">
        <f t="shared" si="71"/>
        <v>7.400000000000001E-2</v>
      </c>
      <c r="BG108" s="1096">
        <f t="shared" si="72"/>
        <v>0</v>
      </c>
      <c r="BH108" s="1096">
        <f t="shared" si="73"/>
        <v>5.4000000000000006E-2</v>
      </c>
      <c r="BI108" s="1096">
        <f t="shared" si="74"/>
        <v>0.22600000000000001</v>
      </c>
      <c r="BJ108" s="1096">
        <f t="shared" si="75"/>
        <v>0</v>
      </c>
      <c r="BK108" s="1097">
        <f t="shared" si="76"/>
        <v>3.0000000000000001E-3</v>
      </c>
      <c r="BN108" t="s">
        <v>1709</v>
      </c>
      <c r="BO108" t="s">
        <v>1686</v>
      </c>
      <c r="BP108" s="8" t="s">
        <v>1700</v>
      </c>
      <c r="BQ108" s="8">
        <v>2010</v>
      </c>
      <c r="BR108" s="8">
        <v>60.8</v>
      </c>
      <c r="BS108" s="8">
        <v>7.4</v>
      </c>
      <c r="BT108" s="8">
        <v>0</v>
      </c>
      <c r="BU108" s="8">
        <v>5.4</v>
      </c>
      <c r="BV108" s="8">
        <v>22.6</v>
      </c>
      <c r="BW108" s="8">
        <v>0</v>
      </c>
      <c r="BX108" s="8">
        <v>0.3</v>
      </c>
      <c r="BY108" s="1140">
        <f t="shared" si="77"/>
        <v>0.60799999999999998</v>
      </c>
      <c r="BZ108" s="1140">
        <f t="shared" si="78"/>
        <v>7.400000000000001E-2</v>
      </c>
      <c r="CA108" s="1140">
        <f t="shared" si="79"/>
        <v>0</v>
      </c>
      <c r="CB108" s="1140">
        <f t="shared" si="80"/>
        <v>5.4000000000000006E-2</v>
      </c>
      <c r="CC108" s="1140">
        <f t="shared" si="81"/>
        <v>0.22600000000000001</v>
      </c>
      <c r="CD108" s="1140">
        <f t="shared" si="82"/>
        <v>0</v>
      </c>
      <c r="CE108" s="1140">
        <f t="shared" si="83"/>
        <v>3.0000000000000001E-3</v>
      </c>
      <c r="CF108" s="1140" t="str">
        <f t="shared" si="84"/>
        <v>Serbia2010</v>
      </c>
      <c r="CJ108" s="1109">
        <v>1456</v>
      </c>
      <c r="CK108" s="1109" t="s">
        <v>1729</v>
      </c>
      <c r="CL108" s="1109">
        <v>2015</v>
      </c>
      <c r="CM108" s="1111">
        <v>119.197</v>
      </c>
      <c r="CN108" s="1143" t="s">
        <v>1729</v>
      </c>
      <c r="CO108" s="1144">
        <v>119197</v>
      </c>
      <c r="DI108" s="1127"/>
    </row>
    <row r="109" spans="53:113">
      <c r="BA109" s="397" t="str">
        <f t="array" ref="BA109">IFERROR(INDEX($BO$5:$BO$1001, MATCH(0,COUNTIF($BA$2:BA108, $BO$5:$BO$1001), 0)),"")</f>
        <v>Tajikistan</v>
      </c>
      <c r="BB109" s="1114">
        <f t="shared" si="68"/>
        <v>2227926</v>
      </c>
      <c r="BC109" s="1095">
        <f t="array" ref="BC109">IF(OR(BA109="",BA109=0),"",MAX(IF($BO$5:$BO$1001=$BA109,$BQ$5:$BQ$1001)))</f>
        <v>2012</v>
      </c>
      <c r="BD109" s="1095" t="str">
        <f t="shared" si="69"/>
        <v>DHS-P</v>
      </c>
      <c r="BE109" s="1096">
        <f t="shared" si="70"/>
        <v>0.27899999999999997</v>
      </c>
      <c r="BF109" s="1096">
        <f t="shared" si="71"/>
        <v>8.3000000000000004E-2</v>
      </c>
      <c r="BG109" s="1096">
        <f t="shared" si="72"/>
        <v>7.2000000000000008E-2</v>
      </c>
      <c r="BH109" s="1096">
        <f t="shared" si="73"/>
        <v>0.67</v>
      </c>
      <c r="BI109" s="1096">
        <f t="shared" si="74"/>
        <v>0.08</v>
      </c>
      <c r="BJ109" s="1096">
        <f t="shared" si="75"/>
        <v>0</v>
      </c>
      <c r="BK109" s="1097">
        <f t="shared" si="76"/>
        <v>0</v>
      </c>
      <c r="BN109" t="s">
        <v>1709</v>
      </c>
      <c r="BO109" t="s">
        <v>1687</v>
      </c>
      <c r="BP109" s="8" t="s">
        <v>1703</v>
      </c>
      <c r="BQ109" s="8">
        <v>2012</v>
      </c>
      <c r="BR109" s="8">
        <v>27.9</v>
      </c>
      <c r="BS109" s="8">
        <v>8.3000000000000007</v>
      </c>
      <c r="BT109" s="8">
        <v>7.2</v>
      </c>
      <c r="BU109" s="8">
        <v>67</v>
      </c>
      <c r="BV109" s="8">
        <v>8</v>
      </c>
      <c r="BW109" s="8">
        <v>0</v>
      </c>
      <c r="BX109" s="8">
        <v>0</v>
      </c>
      <c r="BY109" s="1140">
        <f t="shared" si="77"/>
        <v>0.27899999999999997</v>
      </c>
      <c r="BZ109" s="1140">
        <f t="shared" si="78"/>
        <v>8.3000000000000004E-2</v>
      </c>
      <c r="CA109" s="1140">
        <f t="shared" si="79"/>
        <v>7.2000000000000008E-2</v>
      </c>
      <c r="CB109" s="1140">
        <f t="shared" si="80"/>
        <v>0.67</v>
      </c>
      <c r="CC109" s="1140">
        <f t="shared" si="81"/>
        <v>0.08</v>
      </c>
      <c r="CD109" s="1140">
        <f t="shared" si="82"/>
        <v>0</v>
      </c>
      <c r="CE109" s="1140">
        <f t="shared" si="83"/>
        <v>0</v>
      </c>
      <c r="CF109" s="1140" t="str">
        <f t="shared" si="84"/>
        <v>Tajikistan2012</v>
      </c>
      <c r="CJ109" s="1109">
        <v>1470</v>
      </c>
      <c r="CK109" s="1109" t="s">
        <v>1658</v>
      </c>
      <c r="CL109" s="1109">
        <v>2015</v>
      </c>
      <c r="CM109" s="1111">
        <v>4252.5590000000002</v>
      </c>
      <c r="CN109" s="1143" t="s">
        <v>1658</v>
      </c>
      <c r="CO109" s="1144">
        <v>4252559</v>
      </c>
    </row>
    <row r="110" spans="53:113">
      <c r="BA110" s="397" t="str">
        <f t="array" ref="BA110">IFERROR(INDEX($BO$5:$BO$1001, MATCH(0,COUNTIF($BA$2:BA109, $BO$5:$BO$1001), 0)),"")</f>
        <v>Turkey</v>
      </c>
      <c r="BB110" s="1114">
        <f t="shared" si="68"/>
        <v>20849841</v>
      </c>
      <c r="BC110" s="1095">
        <f t="array" ref="BC110">IF(OR(BA110="",BA110=0),"",MAX(IF($BO$5:$BO$1001=$BA110,$BQ$5:$BQ$1001)))</f>
        <v>2008</v>
      </c>
      <c r="BD110" s="1095" t="str">
        <f t="shared" si="69"/>
        <v>NS</v>
      </c>
      <c r="BE110" s="1096">
        <f t="shared" si="70"/>
        <v>0.73</v>
      </c>
      <c r="BF110" s="1096">
        <f t="shared" si="71"/>
        <v>7.2999999999999995E-2</v>
      </c>
      <c r="BG110" s="1096">
        <f t="shared" si="72"/>
        <v>1.2E-2</v>
      </c>
      <c r="BH110" s="1096">
        <f t="shared" si="73"/>
        <v>0.23199999999999998</v>
      </c>
      <c r="BI110" s="1096">
        <f t="shared" si="74"/>
        <v>0.19699999999999998</v>
      </c>
      <c r="BJ110" s="1096">
        <f t="shared" si="75"/>
        <v>0</v>
      </c>
      <c r="BK110" s="1097">
        <f t="shared" si="76"/>
        <v>1E-3</v>
      </c>
      <c r="BN110" t="s">
        <v>1709</v>
      </c>
      <c r="BO110" t="s">
        <v>1688</v>
      </c>
      <c r="BP110" s="8" t="s">
        <v>1701</v>
      </c>
      <c r="BQ110" s="8">
        <v>2008</v>
      </c>
      <c r="BR110" s="8">
        <v>73</v>
      </c>
      <c r="BS110" s="8">
        <v>7.3</v>
      </c>
      <c r="BT110" s="8">
        <v>1.2</v>
      </c>
      <c r="BU110" s="8">
        <v>23.2</v>
      </c>
      <c r="BV110" s="8">
        <v>19.7</v>
      </c>
      <c r="BW110" s="8">
        <v>0</v>
      </c>
      <c r="BX110" s="8">
        <v>0.1</v>
      </c>
      <c r="BY110" s="1140">
        <f t="shared" si="77"/>
        <v>0.73</v>
      </c>
      <c r="BZ110" s="1140">
        <f t="shared" si="78"/>
        <v>7.2999999999999995E-2</v>
      </c>
      <c r="CA110" s="1140">
        <f t="shared" si="79"/>
        <v>1.2E-2</v>
      </c>
      <c r="CB110" s="1140">
        <f t="shared" si="80"/>
        <v>0.23199999999999998</v>
      </c>
      <c r="CC110" s="1140">
        <f t="shared" si="81"/>
        <v>0.19699999999999998</v>
      </c>
      <c r="CD110" s="1140">
        <f t="shared" si="82"/>
        <v>0</v>
      </c>
      <c r="CE110" s="1140">
        <f t="shared" si="83"/>
        <v>1E-3</v>
      </c>
      <c r="CF110" s="1140" t="str">
        <f t="shared" si="84"/>
        <v>Turkey2008</v>
      </c>
      <c r="CJ110" s="1109">
        <v>1484</v>
      </c>
      <c r="CK110" s="1109" t="s">
        <v>1661</v>
      </c>
      <c r="CL110" s="1109">
        <v>2015</v>
      </c>
      <c r="CM110" s="1111">
        <v>69561.706999999995</v>
      </c>
      <c r="CN110" s="1143" t="s">
        <v>1661</v>
      </c>
      <c r="CO110" s="1144">
        <v>69561707</v>
      </c>
    </row>
    <row r="111" spans="53:113">
      <c r="BA111" s="397" t="str">
        <f t="array" ref="BA111">IFERROR(INDEX($BO$5:$BO$1001, MATCH(0,COUNTIF($BA$2:BA110, $BO$5:$BO$1001), 0)),"")</f>
        <v>Turkmenistan</v>
      </c>
      <c r="BB111" s="1114">
        <f t="shared" si="68"/>
        <v>1505981</v>
      </c>
      <c r="BC111" s="1095">
        <f t="array" ref="BC111">IF(OR(BA111="",BA111=0),"",MAX(IF($BO$5:$BO$1001=$BA111,$BQ$5:$BQ$1001)))</f>
        <v>2000</v>
      </c>
      <c r="BD111" s="1095" t="str">
        <f t="shared" si="69"/>
        <v>DHS</v>
      </c>
      <c r="BE111" s="1096">
        <f t="shared" si="70"/>
        <v>0.61799999999999999</v>
      </c>
      <c r="BF111" s="1096">
        <f t="shared" si="71"/>
        <v>2.3E-2</v>
      </c>
      <c r="BG111" s="1096">
        <f t="shared" si="72"/>
        <v>1.9E-2</v>
      </c>
      <c r="BH111" s="1096">
        <f t="shared" si="73"/>
        <v>0.74099999999999999</v>
      </c>
      <c r="BI111" s="1096">
        <f t="shared" si="74"/>
        <v>3.7999999999999999E-2</v>
      </c>
      <c r="BJ111" s="1096">
        <f t="shared" si="75"/>
        <v>0</v>
      </c>
      <c r="BK111" s="1097">
        <f t="shared" si="76"/>
        <v>4.0000000000000001E-3</v>
      </c>
      <c r="BN111" t="s">
        <v>1709</v>
      </c>
      <c r="BO111" t="s">
        <v>1689</v>
      </c>
      <c r="BP111" s="8" t="s">
        <v>1702</v>
      </c>
      <c r="BQ111" s="8">
        <v>2000</v>
      </c>
      <c r="BR111" s="8">
        <v>61.8</v>
      </c>
      <c r="BS111" s="8">
        <v>2.2999999999999998</v>
      </c>
      <c r="BT111" s="8">
        <v>1.9</v>
      </c>
      <c r="BU111" s="8">
        <v>74.099999999999994</v>
      </c>
      <c r="BV111" s="8">
        <v>3.8</v>
      </c>
      <c r="BW111" s="8">
        <v>0</v>
      </c>
      <c r="BX111" s="8">
        <v>0.4</v>
      </c>
      <c r="BY111" s="1140">
        <f t="shared" si="77"/>
        <v>0.61799999999999999</v>
      </c>
      <c r="BZ111" s="1140">
        <f t="shared" si="78"/>
        <v>2.3E-2</v>
      </c>
      <c r="CA111" s="1140">
        <f t="shared" si="79"/>
        <v>1.9E-2</v>
      </c>
      <c r="CB111" s="1140">
        <f t="shared" si="80"/>
        <v>0.74099999999999999</v>
      </c>
      <c r="CC111" s="1140">
        <f t="shared" si="81"/>
        <v>3.7999999999999999E-2</v>
      </c>
      <c r="CD111" s="1140">
        <f t="shared" si="82"/>
        <v>0</v>
      </c>
      <c r="CE111" s="1140">
        <f t="shared" si="83"/>
        <v>4.0000000000000001E-3</v>
      </c>
      <c r="CF111" s="1140" t="str">
        <f t="shared" si="84"/>
        <v>Turkmenistan2000</v>
      </c>
      <c r="CJ111" s="1109">
        <v>1498</v>
      </c>
      <c r="CK111" s="1109" t="s">
        <v>1815</v>
      </c>
      <c r="CL111" s="1109">
        <v>2015</v>
      </c>
      <c r="CM111" s="1111">
        <v>1795.097</v>
      </c>
      <c r="CN111" s="1143" t="s">
        <v>1662</v>
      </c>
      <c r="CO111" s="1144">
        <v>1795097</v>
      </c>
    </row>
    <row r="112" spans="53:113">
      <c r="BA112" s="397" t="str">
        <f t="array" ref="BA112">IFERROR(INDEX($BO$5:$BO$1001, MATCH(0,COUNTIF($BA$2:BA111, $BO$5:$BO$1001), 0)),"")</f>
        <v>Ukraine</v>
      </c>
      <c r="BB112" s="1114">
        <f t="shared" si="68"/>
        <v>10784839</v>
      </c>
      <c r="BC112" s="1095">
        <f t="array" ref="BC112">IF(OR(BA112="",BA112=0),"",MAX(IF($BO$5:$BO$1001=$BA112,$BQ$5:$BQ$1001)))</f>
        <v>2007</v>
      </c>
      <c r="BD112" s="1095" t="str">
        <f t="shared" si="69"/>
        <v>DHS</v>
      </c>
      <c r="BE112" s="1096">
        <f t="shared" si="70"/>
        <v>0.66700000000000004</v>
      </c>
      <c r="BF112" s="1096">
        <f t="shared" si="71"/>
        <v>7.400000000000001E-2</v>
      </c>
      <c r="BG112" s="1096">
        <f t="shared" si="72"/>
        <v>0</v>
      </c>
      <c r="BH112" s="1096">
        <f t="shared" si="73"/>
        <v>0.27300000000000002</v>
      </c>
      <c r="BI112" s="1096">
        <f t="shared" si="74"/>
        <v>0.36700000000000005</v>
      </c>
      <c r="BJ112" s="1096">
        <f t="shared" si="75"/>
        <v>0</v>
      </c>
      <c r="BK112" s="1097">
        <f t="shared" si="76"/>
        <v>8.0000000000000002E-3</v>
      </c>
      <c r="BN112" t="s">
        <v>1709</v>
      </c>
      <c r="BO112" t="s">
        <v>1690</v>
      </c>
      <c r="BP112" s="8" t="s">
        <v>1702</v>
      </c>
      <c r="BQ112" s="8">
        <v>2007</v>
      </c>
      <c r="BR112" s="8">
        <v>66.7</v>
      </c>
      <c r="BS112" s="8">
        <v>7.4</v>
      </c>
      <c r="BT112" s="8">
        <v>0</v>
      </c>
      <c r="BU112" s="8">
        <v>27.3</v>
      </c>
      <c r="BV112" s="8">
        <v>36.700000000000003</v>
      </c>
      <c r="BW112" s="8">
        <v>0</v>
      </c>
      <c r="BX112" s="8">
        <v>0.8</v>
      </c>
      <c r="BY112" s="1140">
        <f t="shared" si="77"/>
        <v>0.66700000000000004</v>
      </c>
      <c r="BZ112" s="1140">
        <f t="shared" si="78"/>
        <v>7.400000000000001E-2</v>
      </c>
      <c r="CA112" s="1140">
        <f t="shared" si="79"/>
        <v>0</v>
      </c>
      <c r="CB112" s="1140">
        <f t="shared" si="80"/>
        <v>0.27300000000000002</v>
      </c>
      <c r="CC112" s="1140">
        <f t="shared" si="81"/>
        <v>0.36700000000000005</v>
      </c>
      <c r="CD112" s="1140">
        <f t="shared" si="82"/>
        <v>0</v>
      </c>
      <c r="CE112" s="1140">
        <f t="shared" si="83"/>
        <v>8.0000000000000002E-3</v>
      </c>
      <c r="CF112" s="1140" t="str">
        <f t="shared" si="84"/>
        <v>Ukraine2007</v>
      </c>
      <c r="CJ112" s="1109">
        <v>1512</v>
      </c>
      <c r="CK112" s="1109" t="s">
        <v>1663</v>
      </c>
      <c r="CL112" s="1109">
        <v>2015</v>
      </c>
      <c r="CM112" s="1111">
        <v>8350.8240000000005</v>
      </c>
      <c r="CN112" s="1143" t="s">
        <v>1663</v>
      </c>
      <c r="CO112" s="1144">
        <v>8350824.0000000009</v>
      </c>
    </row>
    <row r="113" spans="53:113">
      <c r="BA113" s="397" t="str">
        <f t="array" ref="BA113">IFERROR(INDEX($BO$5:$BO$1001, MATCH(0,COUNTIF($BA$2:BA112, $BO$5:$BO$1001), 0)),"")</f>
        <v>Uzbekistan</v>
      </c>
      <c r="BB113" s="1114">
        <f t="shared" si="68"/>
        <v>8617111</v>
      </c>
      <c r="BC113" s="1095">
        <f t="array" ref="BC113">IF(OR(BA113="",BA113=0),"",MAX(IF($BO$5:$BO$1001=$BA113,$BQ$5:$BQ$1001)))</f>
        <v>2006</v>
      </c>
      <c r="BD113" s="1095" t="str">
        <f t="shared" si="69"/>
        <v>MICS</v>
      </c>
      <c r="BE113" s="1096">
        <f t="shared" si="70"/>
        <v>0.64900000000000002</v>
      </c>
      <c r="BF113" s="1096">
        <f t="shared" si="71"/>
        <v>3.7000000000000005E-2</v>
      </c>
      <c r="BG113" s="1096">
        <f t="shared" si="72"/>
        <v>4.2999999999999997E-2</v>
      </c>
      <c r="BH113" s="1096">
        <f t="shared" si="73"/>
        <v>0.8</v>
      </c>
      <c r="BI113" s="1096">
        <f t="shared" si="74"/>
        <v>3.4000000000000002E-2</v>
      </c>
      <c r="BJ113" s="1096">
        <f t="shared" si="75"/>
        <v>2E-3</v>
      </c>
      <c r="BK113" s="1097">
        <f t="shared" si="76"/>
        <v>3.0000000000000001E-3</v>
      </c>
      <c r="BN113" t="s">
        <v>1709</v>
      </c>
      <c r="BO113" t="s">
        <v>1691</v>
      </c>
      <c r="BP113" s="8" t="s">
        <v>1700</v>
      </c>
      <c r="BQ113" s="8">
        <v>2006</v>
      </c>
      <c r="BR113" s="8">
        <v>64.900000000000006</v>
      </c>
      <c r="BS113" s="8">
        <v>3.7</v>
      </c>
      <c r="BT113" s="8">
        <v>4.3</v>
      </c>
      <c r="BU113" s="8">
        <v>80</v>
      </c>
      <c r="BV113" s="8">
        <v>3.4</v>
      </c>
      <c r="BW113" s="8">
        <v>0.2</v>
      </c>
      <c r="BX113" s="8">
        <v>0.3</v>
      </c>
      <c r="BY113" s="1140">
        <f t="shared" si="77"/>
        <v>0.64900000000000002</v>
      </c>
      <c r="BZ113" s="1140">
        <f t="shared" si="78"/>
        <v>3.7000000000000005E-2</v>
      </c>
      <c r="CA113" s="1140">
        <f t="shared" si="79"/>
        <v>4.2999999999999997E-2</v>
      </c>
      <c r="CB113" s="1140">
        <f t="shared" si="80"/>
        <v>0.8</v>
      </c>
      <c r="CC113" s="1140">
        <f t="shared" si="81"/>
        <v>3.4000000000000002E-2</v>
      </c>
      <c r="CD113" s="1140">
        <f t="shared" si="82"/>
        <v>2E-3</v>
      </c>
      <c r="CE113" s="1140">
        <f t="shared" si="83"/>
        <v>3.0000000000000001E-3</v>
      </c>
      <c r="CF113" s="1140" t="str">
        <f t="shared" si="84"/>
        <v>Uzbekistan2006</v>
      </c>
      <c r="CJ113" s="1109">
        <v>1526</v>
      </c>
      <c r="CK113" s="1109" t="s">
        <v>1665</v>
      </c>
      <c r="CL113" s="1109">
        <v>2015</v>
      </c>
      <c r="CM113" s="1111">
        <v>14296.03</v>
      </c>
      <c r="CN113" s="1143" t="s">
        <v>1665</v>
      </c>
      <c r="CO113" s="1144">
        <v>14296030</v>
      </c>
    </row>
    <row r="114" spans="53:113">
      <c r="BA114" s="397">
        <f t="array" ref="BA114">IFERROR(INDEX($BO$5:$BO$1001, MATCH(0,COUNTIF($BA$2:BA113, $BO$5:$BO$1001), 0)),"")</f>
        <v>0</v>
      </c>
      <c r="BB114" s="1114" t="str">
        <f t="shared" si="68"/>
        <v/>
      </c>
      <c r="BC114" s="1095" t="str">
        <f t="shared" ref="BC114:BC132" si="85">IF(OR(BA114="",BA114=0),"",_xlfn.MAXIFS($BQ$5:$BQ$1001,$BO$5:$BO$1001,$BA114))</f>
        <v/>
      </c>
      <c r="BD114" s="1095" t="str">
        <f t="shared" si="69"/>
        <v/>
      </c>
      <c r="BE114" s="1096" t="str">
        <f t="shared" si="70"/>
        <v/>
      </c>
      <c r="BF114" s="1096" t="str">
        <f t="shared" si="71"/>
        <v/>
      </c>
      <c r="BG114" s="1096" t="str">
        <f t="shared" si="72"/>
        <v/>
      </c>
      <c r="BH114" s="1096" t="str">
        <f t="shared" si="73"/>
        <v/>
      </c>
      <c r="BI114" s="1096" t="str">
        <f t="shared" si="74"/>
        <v/>
      </c>
      <c r="BJ114" s="1096" t="str">
        <f t="shared" si="75"/>
        <v/>
      </c>
      <c r="BK114" s="1097" t="str">
        <f t="shared" si="76"/>
        <v/>
      </c>
      <c r="BN114" t="s">
        <v>1710</v>
      </c>
      <c r="BO114" t="s">
        <v>1593</v>
      </c>
      <c r="BP114" s="8" t="s">
        <v>1702</v>
      </c>
      <c r="BQ114" s="8">
        <v>2013</v>
      </c>
      <c r="BR114" s="8">
        <v>20.399999999999999</v>
      </c>
      <c r="BS114" s="8">
        <v>0.7</v>
      </c>
      <c r="BT114" s="8">
        <v>1.2</v>
      </c>
      <c r="BU114" s="8">
        <v>0.2</v>
      </c>
      <c r="BV114" s="8">
        <f>3.4+0.1</f>
        <v>3.5</v>
      </c>
      <c r="BW114" s="8">
        <v>0.7</v>
      </c>
      <c r="BX114" s="8">
        <v>0.7</v>
      </c>
      <c r="BY114" s="1140">
        <f t="shared" si="77"/>
        <v>0.20399999999999999</v>
      </c>
      <c r="BZ114" s="1140">
        <f t="shared" si="78"/>
        <v>6.9999999999999993E-3</v>
      </c>
      <c r="CA114" s="1140">
        <f t="shared" si="79"/>
        <v>1.2E-2</v>
      </c>
      <c r="CB114" s="1140">
        <f t="shared" si="80"/>
        <v>2E-3</v>
      </c>
      <c r="CC114" s="1140">
        <f t="shared" si="81"/>
        <v>3.5000000000000003E-2</v>
      </c>
      <c r="CD114" s="1140">
        <f t="shared" si="82"/>
        <v>6.9999999999999993E-3</v>
      </c>
      <c r="CE114" s="1140">
        <f t="shared" si="83"/>
        <v>6.9999999999999993E-3</v>
      </c>
      <c r="CF114" s="1140" t="str">
        <f t="shared" si="84"/>
        <v>Democratic Republic of Congo2013</v>
      </c>
      <c r="CJ114" s="1109">
        <v>1540</v>
      </c>
      <c r="CK114" s="1109" t="s">
        <v>1669</v>
      </c>
      <c r="CL114" s="1109">
        <v>2015</v>
      </c>
      <c r="CM114" s="1111">
        <v>26308.738000000001</v>
      </c>
      <c r="CN114" s="1143" t="s">
        <v>1669</v>
      </c>
      <c r="CO114" s="1144">
        <v>26308738</v>
      </c>
    </row>
    <row r="115" spans="53:113">
      <c r="BA115" s="397" t="str">
        <f t="array" ref="BA115">IFERROR(INDEX($BO$5:$BO$1001, MATCH(0,COUNTIF($BA$2:BA114, $BO$5:$BO$1001), 0)),"")</f>
        <v/>
      </c>
      <c r="BB115" s="1114" t="str">
        <f t="shared" si="68"/>
        <v/>
      </c>
      <c r="BC115" s="1095" t="str">
        <f t="shared" si="85"/>
        <v/>
      </c>
      <c r="BD115" s="1095" t="str">
        <f t="shared" si="69"/>
        <v/>
      </c>
      <c r="BE115" s="1096" t="str">
        <f t="shared" si="70"/>
        <v/>
      </c>
      <c r="BF115" s="1096" t="str">
        <f t="shared" si="71"/>
        <v/>
      </c>
      <c r="BG115" s="1096" t="str">
        <f t="shared" si="72"/>
        <v/>
      </c>
      <c r="BH115" s="1096" t="str">
        <f t="shared" si="73"/>
        <v/>
      </c>
      <c r="BI115" s="1096" t="str">
        <f t="shared" si="74"/>
        <v/>
      </c>
      <c r="BJ115" s="1096" t="str">
        <f t="shared" si="75"/>
        <v/>
      </c>
      <c r="BK115" s="1097" t="str">
        <f t="shared" si="76"/>
        <v/>
      </c>
      <c r="BN115" t="s">
        <v>1710</v>
      </c>
      <c r="BO115" t="s">
        <v>1603</v>
      </c>
      <c r="BP115" s="8" t="s">
        <v>1702</v>
      </c>
      <c r="BQ115" s="8">
        <v>2013</v>
      </c>
      <c r="BR115" s="8">
        <v>20.2</v>
      </c>
      <c r="BS115" s="8">
        <v>5</v>
      </c>
      <c r="BT115" s="8">
        <v>11.2</v>
      </c>
      <c r="BU115" s="8">
        <v>0</v>
      </c>
      <c r="BV115" s="8">
        <v>0.4</v>
      </c>
      <c r="BW115" s="8">
        <v>2.1</v>
      </c>
      <c r="BX115" s="8">
        <v>0.1</v>
      </c>
      <c r="BY115" s="1140">
        <f t="shared" si="77"/>
        <v>0.20199999999999999</v>
      </c>
      <c r="BZ115" s="1140">
        <f t="shared" si="78"/>
        <v>0.05</v>
      </c>
      <c r="CA115" s="1140">
        <f t="shared" si="79"/>
        <v>0.11199999999999999</v>
      </c>
      <c r="CB115" s="1140">
        <f t="shared" si="80"/>
        <v>0</v>
      </c>
      <c r="CC115" s="1140">
        <f t="shared" si="81"/>
        <v>4.0000000000000001E-3</v>
      </c>
      <c r="CD115" s="1140">
        <f t="shared" si="82"/>
        <v>2.1000000000000001E-2</v>
      </c>
      <c r="CE115" s="1140">
        <f t="shared" si="83"/>
        <v>1E-3</v>
      </c>
      <c r="CF115" s="1140" t="str">
        <f t="shared" si="84"/>
        <v>Liberia2013</v>
      </c>
      <c r="CJ115" s="1109">
        <v>1554</v>
      </c>
      <c r="CK115" s="1109" t="s">
        <v>1788</v>
      </c>
      <c r="CL115" s="1109">
        <v>2015</v>
      </c>
      <c r="CM115" s="1111">
        <v>1419.373</v>
      </c>
      <c r="CN115" s="1143" t="s">
        <v>1788</v>
      </c>
      <c r="CO115" s="1144">
        <v>1419373</v>
      </c>
    </row>
    <row r="116" spans="53:113">
      <c r="BA116" s="397" t="str">
        <f t="array" ref="BA116">IFERROR(INDEX($BO$5:$BO$1001, MATCH(0,COUNTIF($BA$2:BA115, $BO$5:$BO$1001), 0)),"")</f>
        <v/>
      </c>
      <c r="BB116" s="1114" t="str">
        <f t="shared" si="68"/>
        <v/>
      </c>
      <c r="BC116" s="1095" t="str">
        <f t="shared" si="85"/>
        <v/>
      </c>
      <c r="BD116" s="1095" t="str">
        <f t="shared" si="69"/>
        <v/>
      </c>
      <c r="BE116" s="1096" t="str">
        <f t="shared" si="70"/>
        <v/>
      </c>
      <c r="BF116" s="1096" t="str">
        <f t="shared" si="71"/>
        <v/>
      </c>
      <c r="BG116" s="1096" t="str">
        <f t="shared" si="72"/>
        <v/>
      </c>
      <c r="BH116" s="1096" t="str">
        <f t="shared" si="73"/>
        <v/>
      </c>
      <c r="BI116" s="1096" t="str">
        <f t="shared" si="74"/>
        <v/>
      </c>
      <c r="BJ116" s="1096" t="str">
        <f t="shared" si="75"/>
        <v/>
      </c>
      <c r="BK116" s="1097" t="str">
        <f t="shared" si="76"/>
        <v/>
      </c>
      <c r="BN116" t="s">
        <v>1710</v>
      </c>
      <c r="BO116" t="s">
        <v>1612</v>
      </c>
      <c r="BP116" s="8" t="s">
        <v>1702</v>
      </c>
      <c r="BQ116" s="8">
        <v>2013</v>
      </c>
      <c r="BR116" s="8">
        <v>15.1</v>
      </c>
      <c r="BS116" s="8">
        <v>1.8</v>
      </c>
      <c r="BT116" s="8">
        <v>3.2</v>
      </c>
      <c r="BU116" s="8">
        <v>1.1000000000000001</v>
      </c>
      <c r="BV116" s="8">
        <v>2.1</v>
      </c>
      <c r="BW116" s="8">
        <v>0.4</v>
      </c>
      <c r="BX116" s="8">
        <v>0.4</v>
      </c>
      <c r="BY116" s="1140">
        <f t="shared" si="77"/>
        <v>0.151</v>
      </c>
      <c r="BZ116" s="1140">
        <f t="shared" si="78"/>
        <v>1.8000000000000002E-2</v>
      </c>
      <c r="CA116" s="1140">
        <f t="shared" si="79"/>
        <v>3.2000000000000001E-2</v>
      </c>
      <c r="CB116" s="1140">
        <f t="shared" si="80"/>
        <v>1.1000000000000001E-2</v>
      </c>
      <c r="CC116" s="1140">
        <f t="shared" si="81"/>
        <v>2.1000000000000001E-2</v>
      </c>
      <c r="CD116" s="1140">
        <f t="shared" si="82"/>
        <v>4.0000000000000001E-3</v>
      </c>
      <c r="CE116" s="1140">
        <f t="shared" si="83"/>
        <v>4.0000000000000001E-3</v>
      </c>
      <c r="CF116" s="1140" t="str">
        <f t="shared" si="84"/>
        <v>Nigeria2013</v>
      </c>
      <c r="CJ116" s="1109">
        <v>1568</v>
      </c>
      <c r="CK116" s="1109" t="s">
        <v>1672</v>
      </c>
      <c r="CL116" s="1109">
        <v>2015</v>
      </c>
      <c r="CM116" s="1111">
        <v>18079.719000000001</v>
      </c>
      <c r="CN116" s="1143" t="s">
        <v>1672</v>
      </c>
      <c r="CO116" s="1144">
        <v>18079719</v>
      </c>
    </row>
    <row r="117" spans="53:113">
      <c r="BA117" s="397" t="str">
        <f t="array" ref="BA117">IFERROR(INDEX($BO$5:$BO$1001, MATCH(0,COUNTIF($BA$2:BA116, $BO$5:$BO$1001), 0)),"")</f>
        <v/>
      </c>
      <c r="BB117" s="1114" t="str">
        <f t="shared" si="68"/>
        <v/>
      </c>
      <c r="BC117" s="1095" t="str">
        <f t="shared" si="85"/>
        <v/>
      </c>
      <c r="BD117" s="1095" t="str">
        <f t="shared" si="69"/>
        <v/>
      </c>
      <c r="BE117" s="1096" t="str">
        <f t="shared" si="70"/>
        <v/>
      </c>
      <c r="BF117" s="1096" t="str">
        <f t="shared" si="71"/>
        <v/>
      </c>
      <c r="BG117" s="1096" t="str">
        <f t="shared" si="72"/>
        <v/>
      </c>
      <c r="BH117" s="1096" t="str">
        <f t="shared" si="73"/>
        <v/>
      </c>
      <c r="BI117" s="1096" t="str">
        <f t="shared" si="74"/>
        <v/>
      </c>
      <c r="BJ117" s="1096" t="str">
        <f t="shared" si="75"/>
        <v/>
      </c>
      <c r="BK117" s="1097" t="str">
        <f t="shared" si="76"/>
        <v/>
      </c>
      <c r="BN117" t="s">
        <v>1710</v>
      </c>
      <c r="BO117" t="s">
        <v>1615</v>
      </c>
      <c r="BP117" s="8" t="s">
        <v>1702</v>
      </c>
      <c r="BQ117" s="8">
        <v>2013</v>
      </c>
      <c r="BR117" s="8">
        <v>16.600000000000001</v>
      </c>
      <c r="BS117" s="8">
        <v>3.9</v>
      </c>
      <c r="BT117" s="8">
        <v>7.5</v>
      </c>
      <c r="BU117" s="8">
        <v>0.1</v>
      </c>
      <c r="BV117" s="8">
        <v>0.2</v>
      </c>
      <c r="BW117" s="8">
        <v>2.4</v>
      </c>
      <c r="BX117" s="8">
        <v>0</v>
      </c>
      <c r="BY117" s="1140">
        <f t="shared" si="77"/>
        <v>0.16600000000000001</v>
      </c>
      <c r="BZ117" s="1140">
        <f t="shared" si="78"/>
        <v>3.9E-2</v>
      </c>
      <c r="CA117" s="1140">
        <f t="shared" si="79"/>
        <v>7.4999999999999997E-2</v>
      </c>
      <c r="CB117" s="1140">
        <f t="shared" si="80"/>
        <v>1E-3</v>
      </c>
      <c r="CC117" s="1140">
        <f t="shared" si="81"/>
        <v>2E-3</v>
      </c>
      <c r="CD117" s="1140">
        <f t="shared" si="82"/>
        <v>2.4E-2</v>
      </c>
      <c r="CE117" s="1140">
        <f t="shared" si="83"/>
        <v>0</v>
      </c>
      <c r="CF117" s="1140" t="str">
        <f t="shared" si="84"/>
        <v>Sierra Leone2013</v>
      </c>
      <c r="CJ117" s="1109">
        <v>1582</v>
      </c>
      <c r="CK117" s="1109" t="s">
        <v>1671</v>
      </c>
      <c r="CL117" s="1109">
        <v>2015</v>
      </c>
      <c r="CM117" s="1111">
        <v>276.08</v>
      </c>
      <c r="CN117" s="1143" t="s">
        <v>1671</v>
      </c>
      <c r="CO117" s="1144">
        <v>276080</v>
      </c>
    </row>
    <row r="118" spans="53:113">
      <c r="BA118" s="397" t="str">
        <f t="array" ref="BA118">IFERROR(INDEX($BO$5:$BO$1001, MATCH(0,COUNTIF($BA$2:BA117, $BO$5:$BO$1001), 0)),"")</f>
        <v/>
      </c>
      <c r="BB118" s="1114" t="str">
        <f t="shared" si="68"/>
        <v/>
      </c>
      <c r="BC118" s="1095" t="str">
        <f t="shared" si="85"/>
        <v/>
      </c>
      <c r="BD118" s="1095" t="str">
        <f t="shared" si="69"/>
        <v/>
      </c>
      <c r="BE118" s="1096" t="str">
        <f t="shared" si="70"/>
        <v/>
      </c>
      <c r="BF118" s="1096" t="str">
        <f t="shared" si="71"/>
        <v/>
      </c>
      <c r="BG118" s="1096" t="str">
        <f t="shared" si="72"/>
        <v/>
      </c>
      <c r="BH118" s="1096" t="str">
        <f t="shared" si="73"/>
        <v/>
      </c>
      <c r="BI118" s="1096" t="str">
        <f t="shared" si="74"/>
        <v/>
      </c>
      <c r="BJ118" s="1096" t="str">
        <f t="shared" si="75"/>
        <v/>
      </c>
      <c r="BK118" s="1097" t="str">
        <f t="shared" si="76"/>
        <v/>
      </c>
      <c r="BN118" t="s">
        <v>1710</v>
      </c>
      <c r="BO118" t="s">
        <v>1669</v>
      </c>
      <c r="BP118" s="8" t="s">
        <v>1702</v>
      </c>
      <c r="BQ118" s="8">
        <v>2013</v>
      </c>
      <c r="BR118" s="8">
        <v>55.1</v>
      </c>
      <c r="BS118" s="8">
        <v>19.100000000000001</v>
      </c>
      <c r="BT118" s="8">
        <v>3.7</v>
      </c>
      <c r="BU118" s="8">
        <v>3.5</v>
      </c>
      <c r="BV118" s="8">
        <v>1.9</v>
      </c>
      <c r="BW118" s="8">
        <v>0</v>
      </c>
      <c r="BX118" s="8">
        <v>0.2</v>
      </c>
      <c r="BY118" s="1140">
        <f t="shared" si="77"/>
        <v>0.55100000000000005</v>
      </c>
      <c r="BZ118" s="1140">
        <f t="shared" si="78"/>
        <v>0.191</v>
      </c>
      <c r="CA118" s="1140">
        <f t="shared" si="79"/>
        <v>3.7000000000000005E-2</v>
      </c>
      <c r="CB118" s="1140">
        <f t="shared" si="80"/>
        <v>3.5000000000000003E-2</v>
      </c>
      <c r="CC118" s="1140">
        <f t="shared" si="81"/>
        <v>1.9E-2</v>
      </c>
      <c r="CD118" s="1140">
        <f t="shared" si="82"/>
        <v>0</v>
      </c>
      <c r="CE118" s="1140">
        <f t="shared" si="83"/>
        <v>2E-3</v>
      </c>
      <c r="CF118" s="1140" t="str">
        <f t="shared" si="84"/>
        <v>Philippines2013</v>
      </c>
      <c r="CJ118" s="1109">
        <v>1596</v>
      </c>
      <c r="CK118" s="1109" t="s">
        <v>1673</v>
      </c>
      <c r="CL118" s="1109">
        <v>2015</v>
      </c>
      <c r="CM118" s="1111">
        <v>25941.550999999999</v>
      </c>
      <c r="CN118" s="1143" t="s">
        <v>1673</v>
      </c>
      <c r="CO118" s="1144">
        <v>25941551</v>
      </c>
    </row>
    <row r="119" spans="53:113">
      <c r="BA119" s="397" t="str">
        <f t="array" ref="BA119">IFERROR(INDEX($BO$5:$BO$1001, MATCH(0,COUNTIF($BA$2:BA118, $BO$5:$BO$1001), 0)),"")</f>
        <v/>
      </c>
      <c r="BB119" s="1114" t="str">
        <f t="shared" si="68"/>
        <v/>
      </c>
      <c r="BC119" s="1095" t="str">
        <f t="shared" si="85"/>
        <v/>
      </c>
      <c r="BD119" s="1095" t="str">
        <f t="shared" si="69"/>
        <v/>
      </c>
      <c r="BE119" s="1096" t="str">
        <f t="shared" si="70"/>
        <v/>
      </c>
      <c r="BF119" s="1096" t="str">
        <f t="shared" si="71"/>
        <v/>
      </c>
      <c r="BG119" s="1096" t="str">
        <f t="shared" si="72"/>
        <v/>
      </c>
      <c r="BH119" s="1096" t="str">
        <f t="shared" si="73"/>
        <v/>
      </c>
      <c r="BI119" s="1096" t="str">
        <f t="shared" si="74"/>
        <v/>
      </c>
      <c r="BJ119" s="1096" t="str">
        <f t="shared" si="75"/>
        <v/>
      </c>
      <c r="BK119" s="1097" t="str">
        <f t="shared" si="76"/>
        <v/>
      </c>
      <c r="BN119" t="s">
        <v>1710</v>
      </c>
      <c r="BO119" t="s">
        <v>1643</v>
      </c>
      <c r="BP119" s="8" t="s">
        <v>1702</v>
      </c>
      <c r="BQ119" s="8">
        <v>2013</v>
      </c>
      <c r="BR119" s="8">
        <v>71.900000000000006</v>
      </c>
      <c r="BS119" s="8">
        <v>16.600000000000001</v>
      </c>
      <c r="BT119" s="8">
        <v>5.7</v>
      </c>
      <c r="BU119" s="8">
        <v>1.7</v>
      </c>
      <c r="BV119" s="8">
        <v>2.6</v>
      </c>
      <c r="BW119" s="8">
        <v>0.5</v>
      </c>
      <c r="BX119" s="8">
        <v>0.2</v>
      </c>
      <c r="BY119" s="1140">
        <f t="shared" si="77"/>
        <v>0.71900000000000008</v>
      </c>
      <c r="BZ119" s="1140">
        <f t="shared" si="78"/>
        <v>0.16600000000000001</v>
      </c>
      <c r="CA119" s="1140">
        <f t="shared" si="79"/>
        <v>5.7000000000000002E-2</v>
      </c>
      <c r="CB119" s="1140">
        <f t="shared" si="80"/>
        <v>1.7000000000000001E-2</v>
      </c>
      <c r="CC119" s="1140">
        <f t="shared" si="81"/>
        <v>2.6000000000000002E-2</v>
      </c>
      <c r="CD119" s="1140">
        <f t="shared" si="82"/>
        <v>5.0000000000000001E-3</v>
      </c>
      <c r="CE119" s="1140">
        <f t="shared" si="83"/>
        <v>2E-3</v>
      </c>
      <c r="CF119" s="1140" t="str">
        <f t="shared" si="84"/>
        <v>Dominican Republic2013</v>
      </c>
      <c r="CJ119" s="1109">
        <v>1610</v>
      </c>
      <c r="CK119" s="1110" t="s">
        <v>1858</v>
      </c>
      <c r="CL119" s="1109">
        <v>2015</v>
      </c>
      <c r="CM119" s="1111">
        <v>64906.084999999999</v>
      </c>
      <c r="CN119" s="1143" t="s">
        <v>1728</v>
      </c>
      <c r="CO119" s="1144">
        <v>64906085</v>
      </c>
    </row>
    <row r="120" spans="53:113">
      <c r="BA120" s="397" t="str">
        <f t="array" ref="BA120">IFERROR(INDEX($BO$5:$BO$1001, MATCH(0,COUNTIF($BA$2:BA119, $BO$5:$BO$1001), 0)),"")</f>
        <v/>
      </c>
      <c r="BB120" s="1114" t="str">
        <f t="shared" si="68"/>
        <v/>
      </c>
      <c r="BC120" s="1095" t="str">
        <f t="shared" si="85"/>
        <v/>
      </c>
      <c r="BD120" s="1095" t="str">
        <f t="shared" si="69"/>
        <v/>
      </c>
      <c r="BE120" s="1096" t="str">
        <f t="shared" si="70"/>
        <v/>
      </c>
      <c r="BF120" s="1096" t="str">
        <f t="shared" si="71"/>
        <v/>
      </c>
      <c r="BG120" s="1096" t="str">
        <f t="shared" si="72"/>
        <v/>
      </c>
      <c r="BH120" s="1096" t="str">
        <f t="shared" si="73"/>
        <v/>
      </c>
      <c r="BI120" s="1096" t="str">
        <f t="shared" si="74"/>
        <v/>
      </c>
      <c r="BJ120" s="1096" t="str">
        <f t="shared" si="75"/>
        <v/>
      </c>
      <c r="BK120" s="1097" t="str">
        <f t="shared" si="76"/>
        <v/>
      </c>
      <c r="BP120" s="8"/>
      <c r="BQ120" s="8"/>
      <c r="BR120" s="8"/>
      <c r="CJ120" s="1109">
        <v>1624</v>
      </c>
      <c r="CK120" s="1109" t="s">
        <v>1675</v>
      </c>
      <c r="CL120" s="1109">
        <v>2015</v>
      </c>
      <c r="CM120" s="1111">
        <v>769.7</v>
      </c>
      <c r="CN120" s="1143" t="s">
        <v>1675</v>
      </c>
      <c r="CO120" s="1144">
        <v>769700</v>
      </c>
    </row>
    <row r="121" spans="53:113">
      <c r="BA121" s="397" t="str">
        <f t="array" ref="BA121">IFERROR(INDEX($BO$5:$BO$1001, MATCH(0,COUNTIF($BA$2:BA120, $BO$5:$BO$1001), 0)),"")</f>
        <v/>
      </c>
      <c r="BB121" s="1114" t="str">
        <f t="shared" si="68"/>
        <v/>
      </c>
      <c r="BC121" s="1095" t="str">
        <f t="shared" si="85"/>
        <v/>
      </c>
      <c r="BD121" s="1095" t="str">
        <f t="shared" si="69"/>
        <v/>
      </c>
      <c r="BE121" s="1096" t="str">
        <f t="shared" si="70"/>
        <v/>
      </c>
      <c r="BF121" s="1096" t="str">
        <f t="shared" si="71"/>
        <v/>
      </c>
      <c r="BG121" s="1096" t="str">
        <f t="shared" si="72"/>
        <v/>
      </c>
      <c r="BH121" s="1096" t="str">
        <f t="shared" si="73"/>
        <v/>
      </c>
      <c r="BI121" s="1096" t="str">
        <f t="shared" si="74"/>
        <v/>
      </c>
      <c r="BJ121" s="1096" t="str">
        <f t="shared" si="75"/>
        <v/>
      </c>
      <c r="BK121" s="1097" t="str">
        <f t="shared" si="76"/>
        <v/>
      </c>
      <c r="BP121" s="8"/>
      <c r="BQ121" s="8"/>
      <c r="BR121" s="8"/>
      <c r="CJ121" s="1109">
        <v>1638</v>
      </c>
      <c r="CK121" s="1109" t="s">
        <v>1676</v>
      </c>
      <c r="CL121" s="1109">
        <v>2015</v>
      </c>
      <c r="CM121" s="1111">
        <v>2668.386</v>
      </c>
      <c r="CN121" s="1143" t="s">
        <v>1676</v>
      </c>
      <c r="CO121" s="1144">
        <v>2668386</v>
      </c>
    </row>
    <row r="122" spans="53:113">
      <c r="BA122" s="397" t="str">
        <f t="array" ref="BA122">IFERROR(INDEX($BO$5:$BO$1001, MATCH(0,COUNTIF($BA$2:BA121, $BO$5:$BO$1001), 0)),"")</f>
        <v/>
      </c>
      <c r="BB122" s="1114" t="str">
        <f t="shared" si="68"/>
        <v/>
      </c>
      <c r="BC122" s="1095" t="str">
        <f t="shared" si="85"/>
        <v/>
      </c>
      <c r="BD122" s="1095" t="str">
        <f t="shared" si="69"/>
        <v/>
      </c>
      <c r="BE122" s="1096" t="str">
        <f t="shared" si="70"/>
        <v/>
      </c>
      <c r="BF122" s="1096" t="str">
        <f t="shared" si="71"/>
        <v/>
      </c>
      <c r="BG122" s="1096" t="str">
        <f t="shared" si="72"/>
        <v/>
      </c>
      <c r="BH122" s="1096" t="str">
        <f t="shared" si="73"/>
        <v/>
      </c>
      <c r="BI122" s="1096" t="str">
        <f t="shared" si="74"/>
        <v/>
      </c>
      <c r="BJ122" s="1096" t="str">
        <f t="shared" si="75"/>
        <v/>
      </c>
      <c r="BK122" s="1097" t="str">
        <f t="shared" si="76"/>
        <v/>
      </c>
      <c r="BP122" s="8"/>
      <c r="BQ122" s="8"/>
      <c r="BR122" s="8"/>
      <c r="CJ122" s="1109">
        <v>1652</v>
      </c>
      <c r="CK122" s="1109" t="s">
        <v>1723</v>
      </c>
      <c r="CL122" s="1109">
        <v>2015</v>
      </c>
      <c r="CM122" s="1111">
        <v>315.09699999999998</v>
      </c>
      <c r="CN122" s="1143" t="s">
        <v>1723</v>
      </c>
      <c r="CO122" s="1144">
        <v>315097</v>
      </c>
    </row>
    <row r="123" spans="53:113">
      <c r="BA123" s="397" t="str">
        <f t="array" ref="BA123">IFERROR(INDEX($BO$5:$BO$1001, MATCH(0,COUNTIF($BA$2:BA122, $BO$5:$BO$1001), 0)),"")</f>
        <v/>
      </c>
      <c r="BB123" s="1114" t="str">
        <f t="shared" si="68"/>
        <v/>
      </c>
      <c r="BC123" s="1095" t="str">
        <f t="shared" si="85"/>
        <v/>
      </c>
      <c r="BD123" s="1095" t="str">
        <f t="shared" si="69"/>
        <v/>
      </c>
      <c r="BE123" s="1096" t="str">
        <f t="shared" si="70"/>
        <v/>
      </c>
      <c r="BF123" s="1096" t="str">
        <f t="shared" si="71"/>
        <v/>
      </c>
      <c r="BG123" s="1096" t="str">
        <f t="shared" si="72"/>
        <v/>
      </c>
      <c r="BH123" s="1096" t="str">
        <f t="shared" si="73"/>
        <v/>
      </c>
      <c r="BI123" s="1096" t="str">
        <f t="shared" si="74"/>
        <v/>
      </c>
      <c r="BJ123" s="1096" t="str">
        <f t="shared" si="75"/>
        <v/>
      </c>
      <c r="BK123" s="1097" t="str">
        <f t="shared" si="76"/>
        <v/>
      </c>
      <c r="BP123" s="8"/>
      <c r="BQ123" s="8"/>
      <c r="BR123" s="8"/>
      <c r="CJ123" s="1109">
        <v>1666</v>
      </c>
      <c r="CK123" s="1109" t="s">
        <v>1737</v>
      </c>
      <c r="CL123" s="1109">
        <v>2015</v>
      </c>
      <c r="CM123" s="1111">
        <v>306.89400000000001</v>
      </c>
      <c r="CN123" s="1143" t="s">
        <v>1737</v>
      </c>
      <c r="CO123" s="1144">
        <v>306894</v>
      </c>
      <c r="DI123" s="1127"/>
    </row>
    <row r="124" spans="53:113">
      <c r="BA124" s="397" t="str">
        <f t="array" ref="BA124">IFERROR(INDEX($BO$5:$BO$1001, MATCH(0,COUNTIF($BA$2:BA123, $BO$5:$BO$1001), 0)),"")</f>
        <v/>
      </c>
      <c r="BB124" s="1114" t="str">
        <f t="shared" si="68"/>
        <v/>
      </c>
      <c r="BC124" s="1095" t="str">
        <f t="shared" si="85"/>
        <v/>
      </c>
      <c r="BD124" s="1095" t="str">
        <f t="shared" si="69"/>
        <v/>
      </c>
      <c r="BE124" s="1096" t="str">
        <f t="shared" si="70"/>
        <v/>
      </c>
      <c r="BF124" s="1096" t="str">
        <f t="shared" si="71"/>
        <v/>
      </c>
      <c r="BG124" s="1096" t="str">
        <f t="shared" si="72"/>
        <v/>
      </c>
      <c r="BH124" s="1096" t="str">
        <f t="shared" si="73"/>
        <v/>
      </c>
      <c r="BI124" s="1096" t="str">
        <f t="shared" si="74"/>
        <v/>
      </c>
      <c r="BJ124" s="1096" t="str">
        <f t="shared" si="75"/>
        <v/>
      </c>
      <c r="BK124" s="1097" t="str">
        <f t="shared" si="76"/>
        <v/>
      </c>
      <c r="BP124" s="8"/>
      <c r="BQ124" s="8"/>
      <c r="BR124" s="8"/>
      <c r="CJ124" s="1109">
        <v>1680</v>
      </c>
      <c r="CK124" s="1109" t="s">
        <v>1679</v>
      </c>
      <c r="CL124" s="1109">
        <v>2015</v>
      </c>
      <c r="CM124" s="1111">
        <v>932.69500000000005</v>
      </c>
      <c r="CN124" s="1143" t="s">
        <v>1679</v>
      </c>
      <c r="CO124" s="1144">
        <v>932695</v>
      </c>
      <c r="DI124" s="1127"/>
    </row>
    <row r="125" spans="53:113">
      <c r="BA125" s="397" t="str">
        <f t="array" ref="BA125">IFERROR(INDEX($BO$5:$BO$1001, MATCH(0,COUNTIF($BA$2:BA124, $BO$5:$BO$1001), 0)),"")</f>
        <v/>
      </c>
      <c r="BB125" s="1114" t="str">
        <f t="shared" si="68"/>
        <v/>
      </c>
      <c r="BC125" s="1095" t="str">
        <f t="shared" si="85"/>
        <v/>
      </c>
      <c r="BD125" s="1095" t="str">
        <f t="shared" si="69"/>
        <v/>
      </c>
      <c r="BE125" s="1096" t="str">
        <f t="shared" si="70"/>
        <v/>
      </c>
      <c r="BF125" s="1096" t="str">
        <f t="shared" si="71"/>
        <v/>
      </c>
      <c r="BG125" s="1096" t="str">
        <f t="shared" si="72"/>
        <v/>
      </c>
      <c r="BH125" s="1096" t="str">
        <f t="shared" si="73"/>
        <v/>
      </c>
      <c r="BI125" s="1096" t="str">
        <f t="shared" si="74"/>
        <v/>
      </c>
      <c r="BJ125" s="1096" t="str">
        <f t="shared" si="75"/>
        <v/>
      </c>
      <c r="BK125" s="1097" t="str">
        <f t="shared" si="76"/>
        <v/>
      </c>
      <c r="BP125" s="8"/>
      <c r="BQ125" s="8"/>
      <c r="BR125" s="8"/>
      <c r="CJ125" s="1109">
        <v>1694</v>
      </c>
      <c r="CK125" s="1109" t="s">
        <v>1629</v>
      </c>
      <c r="CL125" s="1109">
        <v>2015</v>
      </c>
      <c r="CM125" s="1111">
        <v>8817.7250000000004</v>
      </c>
      <c r="CN125" s="1143" t="s">
        <v>1629</v>
      </c>
      <c r="CO125" s="1144">
        <v>8817725</v>
      </c>
    </row>
    <row r="126" spans="53:113">
      <c r="BA126" s="397" t="str">
        <f t="array" ref="BA126">IFERROR(INDEX($BO$5:$BO$1001, MATCH(0,COUNTIF($BA$2:BA125, $BO$5:$BO$1001), 0)),"")</f>
        <v/>
      </c>
      <c r="BB126" s="1114" t="str">
        <f t="shared" si="68"/>
        <v/>
      </c>
      <c r="BC126" s="1095" t="str">
        <f t="shared" si="85"/>
        <v/>
      </c>
      <c r="BD126" s="1095" t="str">
        <f t="shared" si="69"/>
        <v/>
      </c>
      <c r="BE126" s="1096" t="str">
        <f t="shared" si="70"/>
        <v/>
      </c>
      <c r="BF126" s="1096" t="str">
        <f t="shared" si="71"/>
        <v/>
      </c>
      <c r="BG126" s="1096" t="str">
        <f t="shared" si="72"/>
        <v/>
      </c>
      <c r="BH126" s="1096" t="str">
        <f t="shared" si="73"/>
        <v/>
      </c>
      <c r="BI126" s="1096" t="str">
        <f t="shared" si="74"/>
        <v/>
      </c>
      <c r="BJ126" s="1096" t="str">
        <f t="shared" si="75"/>
        <v/>
      </c>
      <c r="BK126" s="1097" t="str">
        <f t="shared" si="76"/>
        <v/>
      </c>
      <c r="BP126" s="8"/>
      <c r="BQ126" s="8"/>
      <c r="BR126" s="8"/>
      <c r="CJ126" s="1109">
        <v>1708</v>
      </c>
      <c r="CK126" s="1109" t="s">
        <v>1755</v>
      </c>
      <c r="CL126" s="1109">
        <v>2015</v>
      </c>
      <c r="CM126" s="1111">
        <v>1882.885</v>
      </c>
      <c r="CN126" s="1143" t="s">
        <v>1755</v>
      </c>
      <c r="CO126" s="1144">
        <v>1882885</v>
      </c>
    </row>
    <row r="127" spans="53:113">
      <c r="BA127" s="397" t="str">
        <f t="array" ref="BA127">IFERROR(INDEX($BO$5:$BO$1001, MATCH(0,COUNTIF($BA$2:BA126, $BO$5:$BO$1001), 0)),"")</f>
        <v/>
      </c>
      <c r="BB127" s="1114" t="str">
        <f t="shared" si="68"/>
        <v/>
      </c>
      <c r="BC127" s="1095" t="str">
        <f t="shared" si="85"/>
        <v/>
      </c>
      <c r="BD127" s="1095" t="str">
        <f t="shared" si="69"/>
        <v/>
      </c>
      <c r="BE127" s="1096" t="str">
        <f t="shared" si="70"/>
        <v/>
      </c>
      <c r="BF127" s="1096" t="str">
        <f t="shared" si="71"/>
        <v/>
      </c>
      <c r="BG127" s="1096" t="str">
        <f t="shared" si="72"/>
        <v/>
      </c>
      <c r="BH127" s="1096" t="str">
        <f t="shared" si="73"/>
        <v/>
      </c>
      <c r="BI127" s="1096" t="str">
        <f t="shared" si="74"/>
        <v/>
      </c>
      <c r="BJ127" s="1096" t="str">
        <f t="shared" si="75"/>
        <v/>
      </c>
      <c r="BK127" s="1097" t="str">
        <f t="shared" si="76"/>
        <v/>
      </c>
      <c r="CJ127" s="1109">
        <v>1722</v>
      </c>
      <c r="CK127" s="1109" t="s">
        <v>1630</v>
      </c>
      <c r="CL127" s="1109">
        <v>2015</v>
      </c>
      <c r="CM127" s="1111">
        <v>2352.5929999999998</v>
      </c>
      <c r="CN127" s="1143" t="s">
        <v>1630</v>
      </c>
      <c r="CO127" s="1144">
        <v>2352593</v>
      </c>
    </row>
    <row r="128" spans="53:113">
      <c r="BA128" s="397" t="str">
        <f t="array" ref="BA128">IFERROR(INDEX($BO$5:$BO$1001, MATCH(0,COUNTIF($BA$2:BA127, $BO$5:$BO$1001), 0)),"")</f>
        <v/>
      </c>
      <c r="BB128" s="1114" t="str">
        <f t="shared" si="68"/>
        <v/>
      </c>
      <c r="BC128" s="1095" t="str">
        <f t="shared" si="85"/>
        <v/>
      </c>
      <c r="BD128" s="1095" t="str">
        <f t="shared" si="69"/>
        <v/>
      </c>
      <c r="BE128" s="1096" t="str">
        <f t="shared" si="70"/>
        <v/>
      </c>
      <c r="BF128" s="1096" t="str">
        <f t="shared" si="71"/>
        <v/>
      </c>
      <c r="BG128" s="1096" t="str">
        <f t="shared" si="72"/>
        <v/>
      </c>
      <c r="BH128" s="1096" t="str">
        <f t="shared" si="73"/>
        <v/>
      </c>
      <c r="BI128" s="1096" t="str">
        <f t="shared" si="74"/>
        <v/>
      </c>
      <c r="BJ128" s="1096" t="str">
        <f t="shared" si="75"/>
        <v/>
      </c>
      <c r="BK128" s="1097" t="str">
        <f t="shared" si="76"/>
        <v/>
      </c>
      <c r="CJ128" s="1109">
        <v>1736</v>
      </c>
      <c r="CK128" s="1109" t="s">
        <v>1759</v>
      </c>
      <c r="CL128" s="1109">
        <v>2015</v>
      </c>
      <c r="CM128" s="1111">
        <v>1087.7750000000001</v>
      </c>
      <c r="CN128" s="1143" t="s">
        <v>1759</v>
      </c>
      <c r="CO128" s="1144">
        <v>1087775</v>
      </c>
      <c r="DI128" s="1127"/>
    </row>
    <row r="129" spans="53:113">
      <c r="BA129" s="397" t="str">
        <f t="array" ref="BA129">IFERROR(INDEX($BO$5:$BO$1001, MATCH(0,COUNTIF($BA$2:BA128, $BO$5:$BO$1001), 0)),"")</f>
        <v/>
      </c>
      <c r="BB129" s="1114" t="str">
        <f t="shared" si="68"/>
        <v/>
      </c>
      <c r="BC129" s="1095" t="str">
        <f t="shared" si="85"/>
        <v/>
      </c>
      <c r="BD129" s="1095" t="str">
        <f t="shared" si="69"/>
        <v/>
      </c>
      <c r="BE129" s="1096" t="str">
        <f t="shared" si="70"/>
        <v/>
      </c>
      <c r="BF129" s="1096" t="str">
        <f t="shared" si="71"/>
        <v/>
      </c>
      <c r="BG129" s="1096" t="str">
        <f t="shared" si="72"/>
        <v/>
      </c>
      <c r="BH129" s="1096" t="str">
        <f t="shared" si="73"/>
        <v/>
      </c>
      <c r="BI129" s="1096" t="str">
        <f t="shared" si="74"/>
        <v/>
      </c>
      <c r="BJ129" s="1096" t="str">
        <f t="shared" si="75"/>
        <v/>
      </c>
      <c r="BK129" s="1097" t="str">
        <f t="shared" si="76"/>
        <v/>
      </c>
      <c r="CJ129" s="1109">
        <v>1750</v>
      </c>
      <c r="CK129" s="1109" t="s">
        <v>1631</v>
      </c>
      <c r="CL129" s="1109">
        <v>2015</v>
      </c>
      <c r="CM129" s="1111">
        <v>1629.9739999999999</v>
      </c>
      <c r="CN129" s="1143" t="s">
        <v>1631</v>
      </c>
      <c r="CO129" s="1144">
        <v>1629974</v>
      </c>
    </row>
    <row r="130" spans="53:113">
      <c r="BA130" s="397" t="str">
        <f t="array" ref="BA130">IFERROR(INDEX($BO$5:$BO$1001, MATCH(0,COUNTIF($BA$2:BA129, $BO$5:$BO$1001), 0)),"")</f>
        <v/>
      </c>
      <c r="BB130" s="1114" t="str">
        <f t="shared" si="68"/>
        <v/>
      </c>
      <c r="BC130" s="1095" t="str">
        <f t="shared" si="85"/>
        <v/>
      </c>
      <c r="BD130" s="1095" t="str">
        <f t="shared" si="69"/>
        <v/>
      </c>
      <c r="BE130" s="1096" t="str">
        <f t="shared" si="70"/>
        <v/>
      </c>
      <c r="BF130" s="1096" t="str">
        <f t="shared" si="71"/>
        <v/>
      </c>
      <c r="BG130" s="1096" t="str">
        <f t="shared" si="72"/>
        <v/>
      </c>
      <c r="BH130" s="1096" t="str">
        <f t="shared" si="73"/>
        <v/>
      </c>
      <c r="BI130" s="1096" t="str">
        <f t="shared" si="74"/>
        <v/>
      </c>
      <c r="BJ130" s="1096" t="str">
        <f t="shared" si="75"/>
        <v/>
      </c>
      <c r="BK130" s="1097" t="str">
        <f t="shared" si="76"/>
        <v/>
      </c>
      <c r="CJ130" s="1109">
        <v>1764</v>
      </c>
      <c r="CK130" s="1109" t="s">
        <v>1774</v>
      </c>
      <c r="CL130" s="1109">
        <v>2015</v>
      </c>
      <c r="CM130" s="1111">
        <v>865.93700000000001</v>
      </c>
      <c r="CN130" s="1143" t="s">
        <v>1774</v>
      </c>
      <c r="CO130" s="1144">
        <v>865937</v>
      </c>
    </row>
    <row r="131" spans="53:113">
      <c r="BA131" s="397" t="str">
        <f t="array" ref="BA131">IFERROR(INDEX($BO$5:$BO$1001, MATCH(0,COUNTIF($BA$2:BA130, $BO$5:$BO$1001), 0)),"")</f>
        <v/>
      </c>
      <c r="BB131" s="1114" t="str">
        <f t="shared" si="68"/>
        <v/>
      </c>
      <c r="BC131" s="1095" t="str">
        <f t="shared" si="85"/>
        <v/>
      </c>
      <c r="BD131" s="1095" t="str">
        <f t="shared" si="69"/>
        <v/>
      </c>
      <c r="BE131" s="1096" t="str">
        <f t="shared" si="70"/>
        <v/>
      </c>
      <c r="BF131" s="1096" t="str">
        <f t="shared" si="71"/>
        <v/>
      </c>
      <c r="BG131" s="1096" t="str">
        <f t="shared" si="72"/>
        <v/>
      </c>
      <c r="BH131" s="1096" t="str">
        <f t="shared" si="73"/>
        <v/>
      </c>
      <c r="BI131" s="1096" t="str">
        <f t="shared" si="74"/>
        <v/>
      </c>
      <c r="BJ131" s="1096" t="str">
        <f t="shared" si="75"/>
        <v/>
      </c>
      <c r="BK131" s="1097" t="str">
        <f t="shared" si="76"/>
        <v/>
      </c>
      <c r="CJ131" s="1109">
        <v>1778</v>
      </c>
      <c r="CK131" s="1109" t="s">
        <v>1779</v>
      </c>
      <c r="CL131" s="1109">
        <v>2015</v>
      </c>
      <c r="CM131" s="1111">
        <v>396.33100000000002</v>
      </c>
      <c r="CN131" s="1143" t="s">
        <v>1779</v>
      </c>
      <c r="CO131" s="1144">
        <v>396331</v>
      </c>
    </row>
    <row r="132" spans="53:113">
      <c r="BA132" s="397" t="str">
        <f t="array" ref="BA132">IFERROR(INDEX($BO$5:$BO$1001, MATCH(0,COUNTIF($BA$2:BA131, $BO$5:$BO$1001), 0)),"")</f>
        <v/>
      </c>
      <c r="BB132" s="1114" t="str">
        <f t="shared" si="68"/>
        <v/>
      </c>
      <c r="BC132" s="1095" t="str">
        <f t="shared" si="85"/>
        <v/>
      </c>
      <c r="BD132" s="1095" t="str">
        <f t="shared" si="69"/>
        <v/>
      </c>
      <c r="BE132" s="1096" t="str">
        <f t="shared" si="70"/>
        <v/>
      </c>
      <c r="BF132" s="1096" t="str">
        <f t="shared" si="71"/>
        <v/>
      </c>
      <c r="BG132" s="1096" t="str">
        <f t="shared" si="72"/>
        <v/>
      </c>
      <c r="BH132" s="1096" t="str">
        <f t="shared" si="73"/>
        <v/>
      </c>
      <c r="BI132" s="1096" t="str">
        <f t="shared" si="74"/>
        <v/>
      </c>
      <c r="BJ132" s="1096" t="str">
        <f t="shared" si="75"/>
        <v/>
      </c>
      <c r="BK132" s="1097" t="str">
        <f t="shared" si="76"/>
        <v/>
      </c>
      <c r="CJ132" s="1109">
        <v>1792</v>
      </c>
      <c r="CK132" s="1109" t="s">
        <v>1786</v>
      </c>
      <c r="CL132" s="1109">
        <v>2015</v>
      </c>
      <c r="CM132" s="1111">
        <v>8057.04</v>
      </c>
      <c r="CN132" s="1143" t="s">
        <v>1786</v>
      </c>
      <c r="CO132" s="1144">
        <v>8057040</v>
      </c>
    </row>
    <row r="133" spans="53:113">
      <c r="BA133" s="397" t="str">
        <f t="array" ref="BA133">IFERROR(INDEX($BO$5:$BO$1001, MATCH(0,COUNTIF($BA$2:BA132, $BO$5:$BO$1001), 0)),"")</f>
        <v/>
      </c>
      <c r="BB133" s="1114" t="str">
        <f t="shared" ref="BB133:BB164" si="86">IF(OR(BA133="",BA133=0),"",IFERROR(INDEX($CO$5:$CO$245,MATCH($BA133,$CN$5:$CN$245,0)),""))</f>
        <v/>
      </c>
      <c r="BC133" s="1095" t="str">
        <f t="shared" ref="BC133:BC164" si="87">IF(OR(BA133="",BA133=0),"",_xlfn.MAXIFS($BQ$5:$BQ$1001,$BO$5:$BO$1001,$BA133))</f>
        <v/>
      </c>
      <c r="BD133" s="1095" t="str">
        <f t="shared" ref="BD133:BD164" si="88">IF(OR(BA133="",BA133=0),"",INDEX($BP$5:$BP$1001,MATCH($BA133&amp;$BC133,$CF$5:$CF$1001,0)))</f>
        <v/>
      </c>
      <c r="BE133" s="1096" t="str">
        <f t="shared" ref="BE133:BE164" si="89">IF(OR($BA133="",$BA133=0),"",INDEX(BY$5:BY$1001,MATCH($BA133&amp;$BC133,$CF$5:$CF$1001,0)))</f>
        <v/>
      </c>
      <c r="BF133" s="1096" t="str">
        <f t="shared" ref="BF133:BF164" si="90">IF(OR($BA133="",$BA133=0),"",INDEX(BZ$5:BZ$1001,MATCH($BA133&amp;$BC133,$CF$5:$CF$1001,0)))</f>
        <v/>
      </c>
      <c r="BG133" s="1096" t="str">
        <f t="shared" ref="BG133:BG164" si="91">IF(OR($BA133="",$BA133=0),"",INDEX(CA$5:CA$1001,MATCH($BA133&amp;$BC133,$CF$5:$CF$1001,0)))</f>
        <v/>
      </c>
      <c r="BH133" s="1096" t="str">
        <f t="shared" ref="BH133:BH164" si="92">IF(OR($BA133="",$BA133=0),"",INDEX(CB$5:CB$1001,MATCH($BA133&amp;$BC133,$CF$5:$CF$1001,0)))</f>
        <v/>
      </c>
      <c r="BI133" s="1096" t="str">
        <f t="shared" ref="BI133:BI164" si="93">IF(OR($BA133="",$BA133=0),"",INDEX(CC$5:CC$1001,MATCH($BA133&amp;$BC133,$CF$5:$CF$1001,0)))</f>
        <v/>
      </c>
      <c r="BJ133" s="1096" t="str">
        <f t="shared" ref="BJ133:BJ164" si="94">IF(OR($BA133="",$BA133=0),"",INDEX(CD$5:CD$1001,MATCH($BA133&amp;$BC133,$CF$5:$CF$1001,0)))</f>
        <v/>
      </c>
      <c r="BK133" s="1097" t="str">
        <f t="shared" ref="BK133:BK164" si="95">IF(OR($BA133="",$BA133=0),"",INDEX(CE$5:CE$1001,MATCH($BA133&amp;$BC133,$CF$5:$CF$1001,0)))</f>
        <v/>
      </c>
      <c r="CJ133" s="1109">
        <v>1806</v>
      </c>
      <c r="CK133" s="1109" t="s">
        <v>1793</v>
      </c>
      <c r="CL133" s="1109">
        <v>2015</v>
      </c>
      <c r="CM133" s="1111">
        <v>1154.57</v>
      </c>
      <c r="CN133" s="1143" t="s">
        <v>1793</v>
      </c>
      <c r="CO133" s="1144">
        <v>1154570</v>
      </c>
    </row>
    <row r="134" spans="53:113">
      <c r="BA134" s="397" t="str">
        <f t="array" ref="BA134">IFERROR(INDEX($BO$5:$BO$1001, MATCH(0,COUNTIF($BA$2:BA133, $BO$5:$BO$1001), 0)),"")</f>
        <v/>
      </c>
      <c r="BB134" s="1114" t="str">
        <f t="shared" si="86"/>
        <v/>
      </c>
      <c r="BC134" s="1095" t="str">
        <f t="shared" si="87"/>
        <v/>
      </c>
      <c r="BD134" s="1095" t="str">
        <f t="shared" si="88"/>
        <v/>
      </c>
      <c r="BE134" s="1096" t="str">
        <f t="shared" si="89"/>
        <v/>
      </c>
      <c r="BF134" s="1096" t="str">
        <f t="shared" si="90"/>
        <v/>
      </c>
      <c r="BG134" s="1096" t="str">
        <f t="shared" si="91"/>
        <v/>
      </c>
      <c r="BH134" s="1096" t="str">
        <f t="shared" si="92"/>
        <v/>
      </c>
      <c r="BI134" s="1096" t="str">
        <f t="shared" si="93"/>
        <v/>
      </c>
      <c r="BJ134" s="1096" t="str">
        <f t="shared" si="94"/>
        <v/>
      </c>
      <c r="BK134" s="1097" t="str">
        <f t="shared" si="95"/>
        <v/>
      </c>
      <c r="CJ134" s="1109">
        <v>1820</v>
      </c>
      <c r="CK134" s="1109" t="s">
        <v>1823</v>
      </c>
      <c r="CL134" s="1109">
        <v>2015</v>
      </c>
      <c r="CM134" s="1111">
        <v>4498.027</v>
      </c>
      <c r="CN134" s="1143" t="s">
        <v>1633</v>
      </c>
      <c r="CO134" s="1144">
        <v>4498027</v>
      </c>
    </row>
    <row r="135" spans="53:113">
      <c r="BA135" s="397" t="str">
        <f t="array" ref="BA135">IFERROR(INDEX($BO$5:$BO$1001, MATCH(0,COUNTIF($BA$2:BA134, $BO$5:$BO$1001), 0)),"")</f>
        <v/>
      </c>
      <c r="BB135" s="1114" t="str">
        <f t="shared" si="86"/>
        <v/>
      </c>
      <c r="BC135" s="1095" t="str">
        <f t="shared" si="87"/>
        <v/>
      </c>
      <c r="BD135" s="1095" t="str">
        <f t="shared" si="88"/>
        <v/>
      </c>
      <c r="BE135" s="1096" t="str">
        <f t="shared" si="89"/>
        <v/>
      </c>
      <c r="BF135" s="1096" t="str">
        <f t="shared" si="90"/>
        <v/>
      </c>
      <c r="BG135" s="1096" t="str">
        <f t="shared" si="91"/>
        <v/>
      </c>
      <c r="BH135" s="1096" t="str">
        <f t="shared" si="92"/>
        <v/>
      </c>
      <c r="BI135" s="1096" t="str">
        <f t="shared" si="93"/>
        <v/>
      </c>
      <c r="BJ135" s="1096" t="str">
        <f t="shared" si="94"/>
        <v/>
      </c>
      <c r="BK135" s="1097" t="str">
        <f t="shared" si="95"/>
        <v/>
      </c>
      <c r="CJ135" s="1109">
        <v>1834</v>
      </c>
      <c r="CK135" s="1109" t="s">
        <v>1688</v>
      </c>
      <c r="CL135" s="1109">
        <v>2015</v>
      </c>
      <c r="CM135" s="1111">
        <v>20849.841</v>
      </c>
      <c r="CN135" s="1143" t="s">
        <v>1688</v>
      </c>
      <c r="CO135" s="1144">
        <v>20849841</v>
      </c>
    </row>
    <row r="136" spans="53:113">
      <c r="BA136" s="397" t="str">
        <f t="array" ref="BA136">IFERROR(INDEX($BO$5:$BO$1001, MATCH(0,COUNTIF($BA$2:BA135, $BO$5:$BO$1001), 0)),"")</f>
        <v/>
      </c>
      <c r="BB136" s="1114" t="str">
        <f t="shared" si="86"/>
        <v/>
      </c>
      <c r="BC136" s="1095" t="str">
        <f t="shared" si="87"/>
        <v/>
      </c>
      <c r="BD136" s="1095" t="str">
        <f t="shared" si="88"/>
        <v/>
      </c>
      <c r="BE136" s="1096" t="str">
        <f t="shared" si="89"/>
        <v/>
      </c>
      <c r="BF136" s="1096" t="str">
        <f t="shared" si="90"/>
        <v/>
      </c>
      <c r="BG136" s="1096" t="str">
        <f t="shared" si="91"/>
        <v/>
      </c>
      <c r="BH136" s="1096" t="str">
        <f t="shared" si="92"/>
        <v/>
      </c>
      <c r="BI136" s="1096" t="str">
        <f t="shared" si="93"/>
        <v/>
      </c>
      <c r="BJ136" s="1096" t="str">
        <f t="shared" si="94"/>
        <v/>
      </c>
      <c r="BK136" s="1097" t="str">
        <f t="shared" si="95"/>
        <v/>
      </c>
      <c r="CJ136" s="1109">
        <v>1848</v>
      </c>
      <c r="CK136" s="1109" t="s">
        <v>1799</v>
      </c>
      <c r="CL136" s="1109">
        <v>2015</v>
      </c>
      <c r="CM136" s="1111">
        <v>1646.779</v>
      </c>
      <c r="CN136" s="1143" t="s">
        <v>1799</v>
      </c>
      <c r="CO136" s="1144">
        <v>1646779</v>
      </c>
    </row>
    <row r="137" spans="53:113">
      <c r="BA137" s="397" t="str">
        <f t="array" ref="BA137">IFERROR(INDEX($BO$5:$BO$1001, MATCH(0,COUNTIF($BA$2:BA136, $BO$5:$BO$1001), 0)),"")</f>
        <v/>
      </c>
      <c r="BB137" s="1114" t="str">
        <f t="shared" si="86"/>
        <v/>
      </c>
      <c r="BC137" s="1095" t="str">
        <f t="shared" si="87"/>
        <v/>
      </c>
      <c r="BD137" s="1095" t="str">
        <f t="shared" si="88"/>
        <v/>
      </c>
      <c r="BE137" s="1096" t="str">
        <f t="shared" si="89"/>
        <v/>
      </c>
      <c r="BF137" s="1096" t="str">
        <f t="shared" si="90"/>
        <v/>
      </c>
      <c r="BG137" s="1096" t="str">
        <f t="shared" si="91"/>
        <v/>
      </c>
      <c r="BH137" s="1096" t="str">
        <f t="shared" si="92"/>
        <v/>
      </c>
      <c r="BI137" s="1096" t="str">
        <f t="shared" si="93"/>
        <v/>
      </c>
      <c r="BJ137" s="1096" t="str">
        <f t="shared" si="94"/>
        <v/>
      </c>
      <c r="BK137" s="1097" t="str">
        <f t="shared" si="95"/>
        <v/>
      </c>
      <c r="CJ137" s="1109">
        <v>1862</v>
      </c>
      <c r="CK137" s="1109" t="s">
        <v>1829</v>
      </c>
      <c r="CL137" s="1109">
        <v>2015</v>
      </c>
      <c r="CM137" s="1111">
        <v>6673.8360000000002</v>
      </c>
      <c r="CN137" s="1143" t="s">
        <v>1635</v>
      </c>
      <c r="CO137" s="1144">
        <v>6673836</v>
      </c>
    </row>
    <row r="138" spans="53:113">
      <c r="BA138" s="397" t="str">
        <f t="array" ref="BA138">IFERROR(INDEX($BO$5:$BO$1001, MATCH(0,COUNTIF($BA$2:BA137, $BO$5:$BO$1001), 0)),"")</f>
        <v/>
      </c>
      <c r="BB138" s="1114" t="str">
        <f t="shared" si="86"/>
        <v/>
      </c>
      <c r="BC138" s="1095" t="str">
        <f t="shared" si="87"/>
        <v/>
      </c>
      <c r="BD138" s="1095" t="str">
        <f t="shared" si="88"/>
        <v/>
      </c>
      <c r="BE138" s="1096" t="str">
        <f t="shared" si="89"/>
        <v/>
      </c>
      <c r="BF138" s="1096" t="str">
        <f t="shared" si="90"/>
        <v/>
      </c>
      <c r="BG138" s="1096" t="str">
        <f t="shared" si="91"/>
        <v/>
      </c>
      <c r="BH138" s="1096" t="str">
        <f t="shared" si="92"/>
        <v/>
      </c>
      <c r="BI138" s="1096" t="str">
        <f t="shared" si="93"/>
        <v/>
      </c>
      <c r="BJ138" s="1096" t="str">
        <f t="shared" si="94"/>
        <v/>
      </c>
      <c r="BK138" s="1097" t="str">
        <f t="shared" si="95"/>
        <v/>
      </c>
      <c r="CJ138" s="1109">
        <v>1876</v>
      </c>
      <c r="CK138" s="1110" t="s">
        <v>1859</v>
      </c>
      <c r="CL138" s="1109">
        <v>2015</v>
      </c>
      <c r="CM138" s="1111">
        <v>169353.57</v>
      </c>
      <c r="CN138" s="1143" t="s">
        <v>1728</v>
      </c>
      <c r="CO138" s="1144">
        <v>169353570</v>
      </c>
    </row>
    <row r="139" spans="53:113">
      <c r="BA139" s="397" t="str">
        <f t="array" ref="BA139">IFERROR(INDEX($BO$5:$BO$1001, MATCH(0,COUNTIF($BA$2:BA138, $BO$5:$BO$1001), 0)),"")</f>
        <v/>
      </c>
      <c r="BB139" s="1114" t="str">
        <f t="shared" si="86"/>
        <v/>
      </c>
      <c r="BC139" s="1095" t="str">
        <f t="shared" si="87"/>
        <v/>
      </c>
      <c r="BD139" s="1095" t="str">
        <f t="shared" si="88"/>
        <v/>
      </c>
      <c r="BE139" s="1096" t="str">
        <f t="shared" si="89"/>
        <v/>
      </c>
      <c r="BF139" s="1096" t="str">
        <f t="shared" si="90"/>
        <v/>
      </c>
      <c r="BG139" s="1096" t="str">
        <f t="shared" si="91"/>
        <v/>
      </c>
      <c r="BH139" s="1096" t="str">
        <f t="shared" si="92"/>
        <v/>
      </c>
      <c r="BI139" s="1096" t="str">
        <f t="shared" si="93"/>
        <v/>
      </c>
      <c r="BJ139" s="1096" t="str">
        <f t="shared" si="94"/>
        <v/>
      </c>
      <c r="BK139" s="1097" t="str">
        <f t="shared" si="95"/>
        <v/>
      </c>
      <c r="CJ139" s="1109">
        <v>1890</v>
      </c>
      <c r="CK139" s="1110" t="s">
        <v>1860</v>
      </c>
      <c r="CL139" s="1109">
        <v>2015</v>
      </c>
      <c r="CM139" s="1111">
        <v>70301.89</v>
      </c>
      <c r="CN139" s="1143" t="s">
        <v>1728</v>
      </c>
      <c r="CO139" s="1144">
        <v>70301890</v>
      </c>
    </row>
    <row r="140" spans="53:113">
      <c r="BA140" s="397" t="str">
        <f t="array" ref="BA140">IFERROR(INDEX($BO$5:$BO$1001, MATCH(0,COUNTIF($BA$2:BA139, $BO$5:$BO$1001), 0)),"")</f>
        <v/>
      </c>
      <c r="BB140" s="1114" t="str">
        <f t="shared" si="86"/>
        <v/>
      </c>
      <c r="BC140" s="1095" t="str">
        <f t="shared" si="87"/>
        <v/>
      </c>
      <c r="BD140" s="1095" t="str">
        <f t="shared" si="88"/>
        <v/>
      </c>
      <c r="BE140" s="1096" t="str">
        <f t="shared" si="89"/>
        <v/>
      </c>
      <c r="BF140" s="1096" t="str">
        <f t="shared" si="90"/>
        <v/>
      </c>
      <c r="BG140" s="1096" t="str">
        <f t="shared" si="91"/>
        <v/>
      </c>
      <c r="BH140" s="1096" t="str">
        <f t="shared" si="92"/>
        <v/>
      </c>
      <c r="BI140" s="1096" t="str">
        <f t="shared" si="93"/>
        <v/>
      </c>
      <c r="BJ140" s="1096" t="str">
        <f t="shared" si="94"/>
        <v/>
      </c>
      <c r="BK140" s="1097" t="str">
        <f t="shared" si="95"/>
        <v/>
      </c>
      <c r="CJ140" s="1109">
        <v>1904</v>
      </c>
      <c r="CK140" s="1109" t="s">
        <v>1677</v>
      </c>
      <c r="CL140" s="1109">
        <v>2015</v>
      </c>
      <c r="CM140" s="1111">
        <v>2285.3649999999998</v>
      </c>
      <c r="CN140" s="1143" t="s">
        <v>1677</v>
      </c>
      <c r="CO140" s="1144">
        <v>2285365</v>
      </c>
    </row>
    <row r="141" spans="53:113">
      <c r="BA141" s="397" t="str">
        <f t="array" ref="BA141">IFERROR(INDEX($BO$5:$BO$1001, MATCH(0,COUNTIF($BA$2:BA140, $BO$5:$BO$1001), 0)),"")</f>
        <v/>
      </c>
      <c r="BB141" s="1114" t="str">
        <f t="shared" si="86"/>
        <v/>
      </c>
      <c r="BC141" s="1095" t="str">
        <f t="shared" si="87"/>
        <v/>
      </c>
      <c r="BD141" s="1095" t="str">
        <f t="shared" si="88"/>
        <v/>
      </c>
      <c r="BE141" s="1096" t="str">
        <f t="shared" si="89"/>
        <v/>
      </c>
      <c r="BF141" s="1096" t="str">
        <f t="shared" si="90"/>
        <v/>
      </c>
      <c r="BG141" s="1096" t="str">
        <f t="shared" si="91"/>
        <v/>
      </c>
      <c r="BH141" s="1096" t="str">
        <f t="shared" si="92"/>
        <v/>
      </c>
      <c r="BI141" s="1096" t="str">
        <f t="shared" si="93"/>
        <v/>
      </c>
      <c r="BJ141" s="1096" t="str">
        <f t="shared" si="94"/>
        <v/>
      </c>
      <c r="BK141" s="1097" t="str">
        <f t="shared" si="95"/>
        <v/>
      </c>
      <c r="CJ141" s="1109">
        <v>1918</v>
      </c>
      <c r="CK141" s="1109" t="s">
        <v>1730</v>
      </c>
      <c r="CL141" s="1109">
        <v>2015</v>
      </c>
      <c r="CM141" s="1111">
        <v>1568.662</v>
      </c>
      <c r="CN141" s="1143" t="s">
        <v>1730</v>
      </c>
      <c r="CO141" s="1144">
        <v>1568662</v>
      </c>
    </row>
    <row r="142" spans="53:113">
      <c r="BA142" s="397" t="str">
        <f t="array" ref="BA142">IFERROR(INDEX($BO$5:$BO$1001, MATCH(0,COUNTIF($BA$2:BA141, $BO$5:$BO$1001), 0)),"")</f>
        <v/>
      </c>
      <c r="BB142" s="1114" t="str">
        <f t="shared" si="86"/>
        <v/>
      </c>
      <c r="BC142" s="1095" t="str">
        <f t="shared" si="87"/>
        <v/>
      </c>
      <c r="BD142" s="1095" t="str">
        <f t="shared" si="88"/>
        <v/>
      </c>
      <c r="BE142" s="1096" t="str">
        <f t="shared" si="89"/>
        <v/>
      </c>
      <c r="BF142" s="1096" t="str">
        <f t="shared" si="90"/>
        <v/>
      </c>
      <c r="BG142" s="1096" t="str">
        <f t="shared" si="91"/>
        <v/>
      </c>
      <c r="BH142" s="1096" t="str">
        <f t="shared" si="92"/>
        <v/>
      </c>
      <c r="BI142" s="1096" t="str">
        <f t="shared" si="93"/>
        <v/>
      </c>
      <c r="BJ142" s="1096" t="str">
        <f t="shared" si="94"/>
        <v/>
      </c>
      <c r="BK142" s="1097" t="str">
        <f t="shared" si="95"/>
        <v/>
      </c>
      <c r="CJ142" s="1109">
        <v>1932</v>
      </c>
      <c r="CK142" s="1109" t="s">
        <v>1861</v>
      </c>
      <c r="CL142" s="1109">
        <v>2015</v>
      </c>
      <c r="CM142" s="1111">
        <v>2442.8159999999998</v>
      </c>
      <c r="CN142" s="1143" t="s">
        <v>1728</v>
      </c>
      <c r="CO142" s="1144">
        <v>2442816</v>
      </c>
    </row>
    <row r="143" spans="53:113">
      <c r="BA143" s="397" t="str">
        <f t="array" ref="BA143">IFERROR(INDEX($BO$5:$BO$1001, MATCH(0,COUNTIF($BA$2:BA142, $BO$5:$BO$1001), 0)),"")</f>
        <v/>
      </c>
      <c r="BB143" s="1114" t="str">
        <f t="shared" si="86"/>
        <v/>
      </c>
      <c r="BC143" s="1095" t="str">
        <f t="shared" si="87"/>
        <v/>
      </c>
      <c r="BD143" s="1095" t="str">
        <f t="shared" si="88"/>
        <v/>
      </c>
      <c r="BE143" s="1096" t="str">
        <f t="shared" si="89"/>
        <v/>
      </c>
      <c r="BF143" s="1096" t="str">
        <f t="shared" si="90"/>
        <v/>
      </c>
      <c r="BG143" s="1096" t="str">
        <f t="shared" si="91"/>
        <v/>
      </c>
      <c r="BH143" s="1096" t="str">
        <f t="shared" si="92"/>
        <v/>
      </c>
      <c r="BI143" s="1096" t="str">
        <f t="shared" si="93"/>
        <v/>
      </c>
      <c r="BJ143" s="1096" t="str">
        <f t="shared" si="94"/>
        <v/>
      </c>
      <c r="BK143" s="1097" t="str">
        <f t="shared" si="95"/>
        <v/>
      </c>
      <c r="CJ143" s="1109">
        <v>1946</v>
      </c>
      <c r="CK143" s="1109" t="s">
        <v>1068</v>
      </c>
      <c r="CL143" s="1109">
        <v>2015</v>
      </c>
      <c r="CM143" s="1111">
        <v>2301.7049999999999</v>
      </c>
      <c r="CN143" s="1143" t="s">
        <v>1068</v>
      </c>
      <c r="CO143" s="1144">
        <v>2301705</v>
      </c>
      <c r="DI143" s="1127"/>
    </row>
    <row r="144" spans="53:113">
      <c r="BA144" s="397" t="str">
        <f t="array" ref="BA144">IFERROR(INDEX($BO$5:$BO$1001, MATCH(0,COUNTIF($BA$2:BA143, $BO$5:$BO$1001), 0)),"")</f>
        <v/>
      </c>
      <c r="BB144" s="1114" t="str">
        <f t="shared" si="86"/>
        <v/>
      </c>
      <c r="BC144" s="1095" t="str">
        <f t="shared" si="87"/>
        <v/>
      </c>
      <c r="BD144" s="1095" t="str">
        <f t="shared" si="88"/>
        <v/>
      </c>
      <c r="BE144" s="1096" t="str">
        <f t="shared" si="89"/>
        <v/>
      </c>
      <c r="BF144" s="1096" t="str">
        <f t="shared" si="90"/>
        <v/>
      </c>
      <c r="BG144" s="1096" t="str">
        <f t="shared" si="91"/>
        <v/>
      </c>
      <c r="BH144" s="1096" t="str">
        <f t="shared" si="92"/>
        <v/>
      </c>
      <c r="BI144" s="1096" t="str">
        <f t="shared" si="93"/>
        <v/>
      </c>
      <c r="BJ144" s="1096" t="str">
        <f t="shared" si="94"/>
        <v/>
      </c>
      <c r="BK144" s="1097" t="str">
        <f t="shared" si="95"/>
        <v/>
      </c>
      <c r="CJ144" s="1109">
        <v>1960</v>
      </c>
      <c r="CK144" s="1109" t="s">
        <v>1776</v>
      </c>
      <c r="CL144" s="1109">
        <v>2015</v>
      </c>
      <c r="CM144" s="1111">
        <v>9170.6329999999998</v>
      </c>
      <c r="CN144" s="1143" t="s">
        <v>1776</v>
      </c>
      <c r="CO144" s="1144">
        <v>9170633</v>
      </c>
      <c r="DI144" s="1127"/>
    </row>
    <row r="145" spans="53:113">
      <c r="BA145" s="397" t="str">
        <f t="array" ref="BA145">IFERROR(INDEX($BO$5:$BO$1001, MATCH(0,COUNTIF($BA$2:BA144, $BO$5:$BO$1001), 0)),"")</f>
        <v/>
      </c>
      <c r="BB145" s="1114" t="str">
        <f t="shared" si="86"/>
        <v/>
      </c>
      <c r="BC145" s="1095" t="str">
        <f t="shared" si="87"/>
        <v/>
      </c>
      <c r="BD145" s="1095" t="str">
        <f t="shared" si="88"/>
        <v/>
      </c>
      <c r="BE145" s="1096" t="str">
        <f t="shared" si="89"/>
        <v/>
      </c>
      <c r="BF145" s="1096" t="str">
        <f t="shared" si="90"/>
        <v/>
      </c>
      <c r="BG145" s="1096" t="str">
        <f t="shared" si="91"/>
        <v/>
      </c>
      <c r="BH145" s="1096" t="str">
        <f t="shared" si="92"/>
        <v/>
      </c>
      <c r="BI145" s="1096" t="str">
        <f t="shared" si="93"/>
        <v/>
      </c>
      <c r="BJ145" s="1096" t="str">
        <f t="shared" si="94"/>
        <v/>
      </c>
      <c r="BK145" s="1097" t="str">
        <f t="shared" si="95"/>
        <v/>
      </c>
      <c r="CJ145" s="1109">
        <v>1974</v>
      </c>
      <c r="CK145" s="1109" t="s">
        <v>1818</v>
      </c>
      <c r="CL145" s="1109">
        <v>2015</v>
      </c>
      <c r="CM145" s="1111">
        <v>1080.2850000000001</v>
      </c>
      <c r="CN145" s="1143" t="s">
        <v>1683</v>
      </c>
      <c r="CO145" s="1144">
        <v>1080285</v>
      </c>
    </row>
    <row r="146" spans="53:113">
      <c r="BA146" s="397" t="str">
        <f t="array" ref="BA146">IFERROR(INDEX($BO$5:$BO$1001, MATCH(0,COUNTIF($BA$2:BA145, $BO$5:$BO$1001), 0)),"")</f>
        <v/>
      </c>
      <c r="BB146" s="1114" t="str">
        <f t="shared" si="86"/>
        <v/>
      </c>
      <c r="BC146" s="1095" t="str">
        <f t="shared" si="87"/>
        <v/>
      </c>
      <c r="BD146" s="1095" t="str">
        <f t="shared" si="88"/>
        <v/>
      </c>
      <c r="BE146" s="1096" t="str">
        <f t="shared" si="89"/>
        <v/>
      </c>
      <c r="BF146" s="1096" t="str">
        <f t="shared" si="90"/>
        <v/>
      </c>
      <c r="BG146" s="1096" t="str">
        <f t="shared" si="91"/>
        <v/>
      </c>
      <c r="BH146" s="1096" t="str">
        <f t="shared" si="92"/>
        <v/>
      </c>
      <c r="BI146" s="1096" t="str">
        <f t="shared" si="93"/>
        <v/>
      </c>
      <c r="BJ146" s="1096" t="str">
        <f t="shared" si="94"/>
        <v/>
      </c>
      <c r="BK146" s="1097" t="str">
        <f t="shared" si="95"/>
        <v/>
      </c>
      <c r="CJ146" s="1109">
        <v>1988</v>
      </c>
      <c r="CK146" s="1109" t="s">
        <v>1684</v>
      </c>
      <c r="CL146" s="1109">
        <v>2015</v>
      </c>
      <c r="CM146" s="1111">
        <v>4703.7870000000003</v>
      </c>
      <c r="CN146" s="1143" t="s">
        <v>1684</v>
      </c>
      <c r="CO146" s="1144">
        <v>4703787</v>
      </c>
    </row>
    <row r="147" spans="53:113">
      <c r="BA147" s="397" t="str">
        <f t="array" ref="BA147">IFERROR(INDEX($BO$5:$BO$1001, MATCH(0,COUNTIF($BA$2:BA146, $BO$5:$BO$1001), 0)),"")</f>
        <v/>
      </c>
      <c r="BB147" s="1114" t="str">
        <f t="shared" si="86"/>
        <v/>
      </c>
      <c r="BC147" s="1095" t="str">
        <f t="shared" si="87"/>
        <v/>
      </c>
      <c r="BD147" s="1095" t="str">
        <f t="shared" si="88"/>
        <v/>
      </c>
      <c r="BE147" s="1096" t="str">
        <f t="shared" si="89"/>
        <v/>
      </c>
      <c r="BF147" s="1096" t="str">
        <f t="shared" si="90"/>
        <v/>
      </c>
      <c r="BG147" s="1096" t="str">
        <f t="shared" si="91"/>
        <v/>
      </c>
      <c r="BH147" s="1096" t="str">
        <f t="shared" si="92"/>
        <v/>
      </c>
      <c r="BI147" s="1096" t="str">
        <f t="shared" si="93"/>
        <v/>
      </c>
      <c r="BJ147" s="1096" t="str">
        <f t="shared" si="94"/>
        <v/>
      </c>
      <c r="BK147" s="1097" t="str">
        <f t="shared" si="95"/>
        <v/>
      </c>
      <c r="CJ147" s="1109">
        <v>2002</v>
      </c>
      <c r="CK147" s="1109" t="s">
        <v>1685</v>
      </c>
      <c r="CL147" s="1109">
        <v>2015</v>
      </c>
      <c r="CM147" s="1111">
        <v>34626.368999999999</v>
      </c>
      <c r="CN147" s="1143" t="s">
        <v>1685</v>
      </c>
      <c r="CO147" s="1144">
        <v>34626369</v>
      </c>
    </row>
    <row r="148" spans="53:113">
      <c r="BA148" s="397" t="str">
        <f t="array" ref="BA148">IFERROR(INDEX($BO$5:$BO$1001, MATCH(0,COUNTIF($BA$2:BA147, $BO$5:$BO$1001), 0)),"")</f>
        <v/>
      </c>
      <c r="BB148" s="1114" t="str">
        <f t="shared" si="86"/>
        <v/>
      </c>
      <c r="BC148" s="1095" t="str">
        <f t="shared" si="87"/>
        <v/>
      </c>
      <c r="BD148" s="1095" t="str">
        <f t="shared" si="88"/>
        <v/>
      </c>
      <c r="BE148" s="1096" t="str">
        <f t="shared" si="89"/>
        <v/>
      </c>
      <c r="BF148" s="1096" t="str">
        <f t="shared" si="90"/>
        <v/>
      </c>
      <c r="BG148" s="1096" t="str">
        <f t="shared" si="91"/>
        <v/>
      </c>
      <c r="BH148" s="1096" t="str">
        <f t="shared" si="92"/>
        <v/>
      </c>
      <c r="BI148" s="1096" t="str">
        <f t="shared" si="93"/>
        <v/>
      </c>
      <c r="BJ148" s="1096" t="str">
        <f t="shared" si="94"/>
        <v/>
      </c>
      <c r="BK148" s="1097" t="str">
        <f t="shared" si="95"/>
        <v/>
      </c>
      <c r="CJ148" s="1109">
        <v>2016</v>
      </c>
      <c r="CK148" s="1109" t="s">
        <v>1822</v>
      </c>
      <c r="CL148" s="1109">
        <v>2015</v>
      </c>
      <c r="CM148" s="1111">
        <v>1337.4290000000001</v>
      </c>
      <c r="CN148" s="1143" t="s">
        <v>1789</v>
      </c>
      <c r="CO148" s="1144">
        <v>1337429</v>
      </c>
      <c r="DI148" s="1127"/>
    </row>
    <row r="149" spans="53:113">
      <c r="BA149" s="397" t="str">
        <f t="array" ref="BA149">IFERROR(INDEX($BO$5:$BO$1001, MATCH(0,COUNTIF($BA$2:BA148, $BO$5:$BO$1001), 0)),"")</f>
        <v/>
      </c>
      <c r="BB149" s="1114" t="str">
        <f t="shared" si="86"/>
        <v/>
      </c>
      <c r="BC149" s="1095" t="str">
        <f t="shared" si="87"/>
        <v/>
      </c>
      <c r="BD149" s="1095" t="str">
        <f t="shared" si="88"/>
        <v/>
      </c>
      <c r="BE149" s="1096" t="str">
        <f t="shared" si="89"/>
        <v/>
      </c>
      <c r="BF149" s="1096" t="str">
        <f t="shared" si="90"/>
        <v/>
      </c>
      <c r="BG149" s="1096" t="str">
        <f t="shared" si="91"/>
        <v/>
      </c>
      <c r="BH149" s="1096" t="str">
        <f t="shared" si="92"/>
        <v/>
      </c>
      <c r="BI149" s="1096" t="str">
        <f t="shared" si="93"/>
        <v/>
      </c>
      <c r="BJ149" s="1096" t="str">
        <f t="shared" si="94"/>
        <v/>
      </c>
      <c r="BK149" s="1097" t="str">
        <f t="shared" si="95"/>
        <v/>
      </c>
      <c r="CJ149" s="1109">
        <v>2030</v>
      </c>
      <c r="CK149" s="1109" t="s">
        <v>1690</v>
      </c>
      <c r="CL149" s="1109">
        <v>2015</v>
      </c>
      <c r="CM149" s="1111">
        <v>10784.839</v>
      </c>
      <c r="CN149" s="1143" t="s">
        <v>1690</v>
      </c>
      <c r="CO149" s="1144">
        <v>10784839</v>
      </c>
    </row>
    <row r="150" spans="53:113">
      <c r="BA150" s="397" t="str">
        <f t="array" ref="BA150">IFERROR(INDEX($BO$5:$BO$1001, MATCH(0,COUNTIF($BA$2:BA149, $BO$5:$BO$1001), 0)),"")</f>
        <v/>
      </c>
      <c r="BB150" s="1114" t="str">
        <f t="shared" si="86"/>
        <v/>
      </c>
      <c r="BC150" s="1095" t="str">
        <f t="shared" si="87"/>
        <v/>
      </c>
      <c r="BD150" s="1095" t="str">
        <f t="shared" si="88"/>
        <v/>
      </c>
      <c r="BE150" s="1096" t="str">
        <f t="shared" si="89"/>
        <v/>
      </c>
      <c r="BF150" s="1096" t="str">
        <f t="shared" si="90"/>
        <v/>
      </c>
      <c r="BG150" s="1096" t="str">
        <f t="shared" si="91"/>
        <v/>
      </c>
      <c r="BH150" s="1096" t="str">
        <f t="shared" si="92"/>
        <v/>
      </c>
      <c r="BI150" s="1096" t="str">
        <f t="shared" si="93"/>
        <v/>
      </c>
      <c r="BJ150" s="1096" t="str">
        <f t="shared" si="94"/>
        <v/>
      </c>
      <c r="BK150" s="1097" t="str">
        <f t="shared" si="95"/>
        <v/>
      </c>
      <c r="CJ150" s="1109">
        <v>2044</v>
      </c>
      <c r="CK150" s="1110" t="s">
        <v>1862</v>
      </c>
      <c r="CL150" s="1109">
        <v>2015</v>
      </c>
      <c r="CM150" s="1111">
        <v>23379.907999999999</v>
      </c>
      <c r="CN150" s="1143" t="s">
        <v>1728</v>
      </c>
      <c r="CO150" s="1144">
        <v>23379908</v>
      </c>
    </row>
    <row r="151" spans="53:113">
      <c r="BA151" s="397" t="str">
        <f t="array" ref="BA151">IFERROR(INDEX($BO$5:$BO$1001, MATCH(0,COUNTIF($BA$2:BA150, $BO$5:$BO$1001), 0)),"")</f>
        <v/>
      </c>
      <c r="BB151" s="1114" t="str">
        <f t="shared" si="86"/>
        <v/>
      </c>
      <c r="BC151" s="1095" t="str">
        <f t="shared" si="87"/>
        <v/>
      </c>
      <c r="BD151" s="1095" t="str">
        <f t="shared" si="88"/>
        <v/>
      </c>
      <c r="BE151" s="1096" t="str">
        <f t="shared" si="89"/>
        <v/>
      </c>
      <c r="BF151" s="1096" t="str">
        <f t="shared" si="90"/>
        <v/>
      </c>
      <c r="BG151" s="1096" t="str">
        <f t="shared" si="91"/>
        <v/>
      </c>
      <c r="BH151" s="1096" t="str">
        <f t="shared" si="92"/>
        <v/>
      </c>
      <c r="BI151" s="1096" t="str">
        <f t="shared" si="93"/>
        <v/>
      </c>
      <c r="BJ151" s="1096" t="str">
        <f t="shared" si="94"/>
        <v/>
      </c>
      <c r="BK151" s="1097" t="str">
        <f t="shared" si="95"/>
        <v/>
      </c>
      <c r="CJ151" s="1109">
        <v>2058</v>
      </c>
      <c r="CK151" s="1109" t="s">
        <v>1863</v>
      </c>
      <c r="CL151" s="1109">
        <v>2015</v>
      </c>
      <c r="CM151" s="1111">
        <v>37.591999999999999</v>
      </c>
      <c r="CN151" s="1143" t="s">
        <v>1728</v>
      </c>
      <c r="CO151" s="1144">
        <v>37592</v>
      </c>
    </row>
    <row r="152" spans="53:113">
      <c r="BA152" s="397" t="str">
        <f t="array" ref="BA152">IFERROR(INDEX($BO$5:$BO$1001, MATCH(0,COUNTIF($BA$2:BA151, $BO$5:$BO$1001), 0)),"")</f>
        <v/>
      </c>
      <c r="BB152" s="1114" t="str">
        <f t="shared" si="86"/>
        <v/>
      </c>
      <c r="BC152" s="1095" t="str">
        <f t="shared" si="87"/>
        <v/>
      </c>
      <c r="BD152" s="1095" t="str">
        <f t="shared" si="88"/>
        <v/>
      </c>
      <c r="BE152" s="1096" t="str">
        <f t="shared" si="89"/>
        <v/>
      </c>
      <c r="BF152" s="1096" t="str">
        <f t="shared" si="90"/>
        <v/>
      </c>
      <c r="BG152" s="1096" t="str">
        <f t="shared" si="91"/>
        <v/>
      </c>
      <c r="BH152" s="1096" t="str">
        <f t="shared" si="92"/>
        <v/>
      </c>
      <c r="BI152" s="1096" t="str">
        <f t="shared" si="93"/>
        <v/>
      </c>
      <c r="BJ152" s="1096" t="str">
        <f t="shared" si="94"/>
        <v/>
      </c>
      <c r="BK152" s="1097" t="str">
        <f t="shared" si="95"/>
        <v/>
      </c>
      <c r="CJ152" s="1109">
        <v>2072</v>
      </c>
      <c r="CK152" s="1109" t="s">
        <v>1738</v>
      </c>
      <c r="CL152" s="1109">
        <v>2015</v>
      </c>
      <c r="CM152" s="1111">
        <v>1265.171</v>
      </c>
      <c r="CN152" s="1143" t="s">
        <v>1738</v>
      </c>
      <c r="CO152" s="1144">
        <v>1265171</v>
      </c>
    </row>
    <row r="153" spans="53:113">
      <c r="BA153" s="397" t="str">
        <f t="array" ref="BA153">IFERROR(INDEX($BO$5:$BO$1001, MATCH(0,COUNTIF($BA$2:BA152, $BO$5:$BO$1001), 0)),"")</f>
        <v/>
      </c>
      <c r="BB153" s="1114" t="str">
        <f t="shared" si="86"/>
        <v/>
      </c>
      <c r="BC153" s="1095" t="str">
        <f t="shared" si="87"/>
        <v/>
      </c>
      <c r="BD153" s="1095" t="str">
        <f t="shared" si="88"/>
        <v/>
      </c>
      <c r="BE153" s="1096" t="str">
        <f t="shared" si="89"/>
        <v/>
      </c>
      <c r="BF153" s="1096" t="str">
        <f t="shared" si="90"/>
        <v/>
      </c>
      <c r="BG153" s="1096" t="str">
        <f t="shared" si="91"/>
        <v/>
      </c>
      <c r="BH153" s="1096" t="str">
        <f t="shared" si="92"/>
        <v/>
      </c>
      <c r="BI153" s="1096" t="str">
        <f t="shared" si="93"/>
        <v/>
      </c>
      <c r="BJ153" s="1096" t="str">
        <f t="shared" si="94"/>
        <v/>
      </c>
      <c r="BK153" s="1097" t="str">
        <f t="shared" si="95"/>
        <v/>
      </c>
      <c r="CJ153" s="1109">
        <v>2086</v>
      </c>
      <c r="CK153" s="1109" t="s">
        <v>1741</v>
      </c>
      <c r="CL153" s="1109">
        <v>2015</v>
      </c>
      <c r="CM153" s="1111">
        <v>290.76799999999997</v>
      </c>
      <c r="CN153" s="1143" t="s">
        <v>1741</v>
      </c>
      <c r="CO153" s="1144">
        <v>290768</v>
      </c>
    </row>
    <row r="154" spans="53:113">
      <c r="BA154" s="397" t="str">
        <f t="array" ref="BA154">IFERROR(INDEX($BO$5:$BO$1001, MATCH(0,COUNTIF($BA$2:BA153, $BO$5:$BO$1001), 0)),"")</f>
        <v/>
      </c>
      <c r="BB154" s="1114" t="str">
        <f t="shared" si="86"/>
        <v/>
      </c>
      <c r="BC154" s="1095" t="str">
        <f t="shared" si="87"/>
        <v/>
      </c>
      <c r="BD154" s="1095" t="str">
        <f t="shared" si="88"/>
        <v/>
      </c>
      <c r="BE154" s="1096" t="str">
        <f t="shared" si="89"/>
        <v/>
      </c>
      <c r="BF154" s="1096" t="str">
        <f t="shared" si="90"/>
        <v/>
      </c>
      <c r="BG154" s="1096" t="str">
        <f t="shared" si="91"/>
        <v/>
      </c>
      <c r="BH154" s="1096" t="str">
        <f t="shared" si="92"/>
        <v/>
      </c>
      <c r="BI154" s="1096" t="str">
        <f t="shared" si="93"/>
        <v/>
      </c>
      <c r="BJ154" s="1096" t="str">
        <f t="shared" si="94"/>
        <v/>
      </c>
      <c r="BK154" s="1097" t="str">
        <f t="shared" si="95"/>
        <v/>
      </c>
      <c r="CJ154" s="1109">
        <v>2100</v>
      </c>
      <c r="CK154" s="1109" t="s">
        <v>1743</v>
      </c>
      <c r="CL154" s="1109">
        <v>2015</v>
      </c>
      <c r="CM154" s="1111">
        <v>1150.673</v>
      </c>
      <c r="CN154" s="1143" t="s">
        <v>1743</v>
      </c>
      <c r="CO154" s="1144">
        <v>1150673</v>
      </c>
    </row>
    <row r="155" spans="53:113">
      <c r="BA155" s="397" t="str">
        <f t="array" ref="BA155">IFERROR(INDEX($BO$5:$BO$1001, MATCH(0,COUNTIF($BA$2:BA154, $BO$5:$BO$1001), 0)),"")</f>
        <v/>
      </c>
      <c r="BB155" s="1114" t="str">
        <f t="shared" si="86"/>
        <v/>
      </c>
      <c r="BC155" s="1095" t="str">
        <f t="shared" si="87"/>
        <v/>
      </c>
      <c r="BD155" s="1095" t="str">
        <f t="shared" si="88"/>
        <v/>
      </c>
      <c r="BE155" s="1096" t="str">
        <f t="shared" si="89"/>
        <v/>
      </c>
      <c r="BF155" s="1096" t="str">
        <f t="shared" si="90"/>
        <v/>
      </c>
      <c r="BG155" s="1096" t="str">
        <f t="shared" si="91"/>
        <v/>
      </c>
      <c r="BH155" s="1096" t="str">
        <f t="shared" si="92"/>
        <v/>
      </c>
      <c r="BI155" s="1096" t="str">
        <f t="shared" si="93"/>
        <v/>
      </c>
      <c r="BJ155" s="1096" t="str">
        <f t="shared" si="94"/>
        <v/>
      </c>
      <c r="BK155" s="1097" t="str">
        <f t="shared" si="95"/>
        <v/>
      </c>
      <c r="CJ155" s="1109">
        <v>2114</v>
      </c>
      <c r="CK155" s="1109" t="s">
        <v>1753</v>
      </c>
      <c r="CL155" s="1109">
        <v>2015</v>
      </c>
      <c r="CM155" s="1111">
        <v>77.5</v>
      </c>
      <c r="CN155" s="1143" t="s">
        <v>1753</v>
      </c>
      <c r="CO155" s="1144">
        <v>77500</v>
      </c>
    </row>
    <row r="156" spans="53:113">
      <c r="BA156" s="397" t="str">
        <f t="array" ref="BA156">IFERROR(INDEX($BO$5:$BO$1001, MATCH(0,COUNTIF($BA$2:BA155, $BO$5:$BO$1001), 0)),"")</f>
        <v/>
      </c>
      <c r="BB156" s="1114" t="str">
        <f t="shared" si="86"/>
        <v/>
      </c>
      <c r="BC156" s="1095" t="str">
        <f t="shared" si="87"/>
        <v/>
      </c>
      <c r="BD156" s="1095" t="str">
        <f t="shared" si="88"/>
        <v/>
      </c>
      <c r="BE156" s="1096" t="str">
        <f t="shared" si="89"/>
        <v/>
      </c>
      <c r="BF156" s="1096" t="str">
        <f t="shared" si="90"/>
        <v/>
      </c>
      <c r="BG156" s="1096" t="str">
        <f t="shared" si="91"/>
        <v/>
      </c>
      <c r="BH156" s="1096" t="str">
        <f t="shared" si="92"/>
        <v/>
      </c>
      <c r="BI156" s="1096" t="str">
        <f t="shared" si="93"/>
        <v/>
      </c>
      <c r="BJ156" s="1096" t="str">
        <f t="shared" si="94"/>
        <v/>
      </c>
      <c r="BK156" s="1097" t="str">
        <f t="shared" si="95"/>
        <v/>
      </c>
      <c r="CJ156" s="1109">
        <v>2128</v>
      </c>
      <c r="CK156" s="1109" t="s">
        <v>1754</v>
      </c>
      <c r="CL156" s="1109">
        <v>2015</v>
      </c>
      <c r="CM156" s="1111">
        <v>1130.6379999999999</v>
      </c>
      <c r="CN156" s="1143" t="s">
        <v>1754</v>
      </c>
      <c r="CO156" s="1144">
        <v>1130638</v>
      </c>
    </row>
    <row r="157" spans="53:113">
      <c r="BA157" s="397" t="str">
        <f t="array" ref="BA157">IFERROR(INDEX($BO$5:$BO$1001, MATCH(0,COUNTIF($BA$2:BA156, $BO$5:$BO$1001), 0)),"")</f>
        <v/>
      </c>
      <c r="BB157" s="1114" t="str">
        <f t="shared" si="86"/>
        <v/>
      </c>
      <c r="BC157" s="1095" t="str">
        <f t="shared" si="87"/>
        <v/>
      </c>
      <c r="BD157" s="1095" t="str">
        <f t="shared" si="88"/>
        <v/>
      </c>
      <c r="BE157" s="1096" t="str">
        <f t="shared" si="89"/>
        <v/>
      </c>
      <c r="BF157" s="1096" t="str">
        <f t="shared" si="90"/>
        <v/>
      </c>
      <c r="BG157" s="1096" t="str">
        <f t="shared" si="91"/>
        <v/>
      </c>
      <c r="BH157" s="1096" t="str">
        <f t="shared" si="92"/>
        <v/>
      </c>
      <c r="BI157" s="1096" t="str">
        <f t="shared" si="93"/>
        <v/>
      </c>
      <c r="BJ157" s="1096" t="str">
        <f t="shared" si="94"/>
        <v/>
      </c>
      <c r="BK157" s="1097" t="str">
        <f t="shared" si="95"/>
        <v/>
      </c>
      <c r="CJ157" s="1109">
        <v>2142</v>
      </c>
      <c r="CK157" s="1109" t="s">
        <v>1760</v>
      </c>
      <c r="CL157" s="1109">
        <v>2015</v>
      </c>
      <c r="CM157" s="1111">
        <v>445.28100000000001</v>
      </c>
      <c r="CN157" s="1143" t="s">
        <v>1760</v>
      </c>
      <c r="CO157" s="1144">
        <v>445281</v>
      </c>
    </row>
    <row r="158" spans="53:113">
      <c r="BA158" s="397" t="str">
        <f t="array" ref="BA158">IFERROR(INDEX($BO$5:$BO$1001, MATCH(0,COUNTIF($BA$2:BA157, $BO$5:$BO$1001), 0)),"")</f>
        <v/>
      </c>
      <c r="BB158" s="1114" t="str">
        <f t="shared" si="86"/>
        <v/>
      </c>
      <c r="BC158" s="1095" t="str">
        <f t="shared" si="87"/>
        <v/>
      </c>
      <c r="BD158" s="1095" t="str">
        <f t="shared" si="88"/>
        <v/>
      </c>
      <c r="BE158" s="1096" t="str">
        <f t="shared" si="89"/>
        <v/>
      </c>
      <c r="BF158" s="1096" t="str">
        <f t="shared" si="90"/>
        <v/>
      </c>
      <c r="BG158" s="1096" t="str">
        <f t="shared" si="91"/>
        <v/>
      </c>
      <c r="BH158" s="1096" t="str">
        <f t="shared" si="92"/>
        <v/>
      </c>
      <c r="BI158" s="1096" t="str">
        <f t="shared" si="93"/>
        <v/>
      </c>
      <c r="BJ158" s="1096" t="str">
        <f t="shared" si="94"/>
        <v/>
      </c>
      <c r="BK158" s="1097" t="str">
        <f t="shared" si="95"/>
        <v/>
      </c>
      <c r="CJ158" s="1109">
        <v>2156</v>
      </c>
      <c r="CK158" s="1109" t="s">
        <v>1762</v>
      </c>
      <c r="CL158" s="1109">
        <v>2015</v>
      </c>
      <c r="CM158" s="1111">
        <v>670.63800000000003</v>
      </c>
      <c r="CN158" s="1143" t="s">
        <v>1762</v>
      </c>
      <c r="CO158" s="1144">
        <v>670638</v>
      </c>
    </row>
    <row r="159" spans="53:113">
      <c r="BA159" s="397" t="str">
        <f t="array" ref="BA159">IFERROR(INDEX($BO$5:$BO$1001, MATCH(0,COUNTIF($BA$2:BA158, $BO$5:$BO$1001), 0)),"")</f>
        <v/>
      </c>
      <c r="BB159" s="1114" t="str">
        <f t="shared" si="86"/>
        <v/>
      </c>
      <c r="BC159" s="1095" t="str">
        <f t="shared" si="87"/>
        <v/>
      </c>
      <c r="BD159" s="1095" t="str">
        <f t="shared" si="88"/>
        <v/>
      </c>
      <c r="BE159" s="1096" t="str">
        <f t="shared" si="89"/>
        <v/>
      </c>
      <c r="BF159" s="1096" t="str">
        <f t="shared" si="90"/>
        <v/>
      </c>
      <c r="BG159" s="1096" t="str">
        <f t="shared" si="91"/>
        <v/>
      </c>
      <c r="BH159" s="1096" t="str">
        <f t="shared" si="92"/>
        <v/>
      </c>
      <c r="BI159" s="1096" t="str">
        <f t="shared" si="93"/>
        <v/>
      </c>
      <c r="BJ159" s="1096" t="str">
        <f t="shared" si="94"/>
        <v/>
      </c>
      <c r="BK159" s="1097" t="str">
        <f t="shared" si="95"/>
        <v/>
      </c>
      <c r="CJ159" s="1109">
        <v>2170</v>
      </c>
      <c r="CK159" s="1109" t="s">
        <v>1773</v>
      </c>
      <c r="CL159" s="1109">
        <v>2015</v>
      </c>
      <c r="CM159" s="1111">
        <v>1201.2080000000001</v>
      </c>
      <c r="CN159" s="1143" t="s">
        <v>1773</v>
      </c>
      <c r="CO159" s="1144">
        <v>1201208</v>
      </c>
    </row>
    <row r="160" spans="53:113">
      <c r="BA160" s="397" t="str">
        <f t="array" ref="BA160">IFERROR(INDEX($BO$5:$BO$1001, MATCH(0,COUNTIF($BA$2:BA159, $BO$5:$BO$1001), 0)),"")</f>
        <v/>
      </c>
      <c r="BB160" s="1114" t="str">
        <f t="shared" si="86"/>
        <v/>
      </c>
      <c r="BC160" s="1095" t="str">
        <f t="shared" si="87"/>
        <v/>
      </c>
      <c r="BD160" s="1095" t="str">
        <f t="shared" si="88"/>
        <v/>
      </c>
      <c r="BE160" s="1096" t="str">
        <f t="shared" si="89"/>
        <v/>
      </c>
      <c r="BF160" s="1096" t="str">
        <f t="shared" si="90"/>
        <v/>
      </c>
      <c r="BG160" s="1096" t="str">
        <f t="shared" si="91"/>
        <v/>
      </c>
      <c r="BH160" s="1096" t="str">
        <f t="shared" si="92"/>
        <v/>
      </c>
      <c r="BI160" s="1096" t="str">
        <f t="shared" si="93"/>
        <v/>
      </c>
      <c r="BJ160" s="1096" t="str">
        <f t="shared" si="94"/>
        <v/>
      </c>
      <c r="BK160" s="1097" t="str">
        <f t="shared" si="95"/>
        <v/>
      </c>
      <c r="CJ160" s="1109">
        <v>2184</v>
      </c>
      <c r="CK160" s="1109" t="s">
        <v>1795</v>
      </c>
      <c r="CL160" s="1109">
        <v>2015</v>
      </c>
      <c r="CM160" s="1111">
        <v>2157.7849999999999</v>
      </c>
      <c r="CN160" s="1143" t="s">
        <v>1795</v>
      </c>
      <c r="CO160" s="1144">
        <v>2157785</v>
      </c>
    </row>
    <row r="161" spans="53:113">
      <c r="BA161" s="397" t="str">
        <f t="array" ref="BA161">IFERROR(INDEX($BO$5:$BO$1001, MATCH(0,COUNTIF($BA$2:BA160, $BO$5:$BO$1001), 0)),"")</f>
        <v/>
      </c>
      <c r="BB161" s="1114" t="str">
        <f t="shared" si="86"/>
        <v/>
      </c>
      <c r="BC161" s="1095" t="str">
        <f t="shared" si="87"/>
        <v/>
      </c>
      <c r="BD161" s="1095" t="str">
        <f t="shared" si="88"/>
        <v/>
      </c>
      <c r="BE161" s="1096" t="str">
        <f t="shared" si="89"/>
        <v/>
      </c>
      <c r="BF161" s="1096" t="str">
        <f t="shared" si="90"/>
        <v/>
      </c>
      <c r="BG161" s="1096" t="str">
        <f t="shared" si="91"/>
        <v/>
      </c>
      <c r="BH161" s="1096" t="str">
        <f t="shared" si="92"/>
        <v/>
      </c>
      <c r="BI161" s="1096" t="str">
        <f t="shared" si="93"/>
        <v/>
      </c>
      <c r="BJ161" s="1096" t="str">
        <f t="shared" si="94"/>
        <v/>
      </c>
      <c r="BK161" s="1097" t="str">
        <f t="shared" si="95"/>
        <v/>
      </c>
      <c r="CJ161" s="1109">
        <v>2198</v>
      </c>
      <c r="CK161" s="1109" t="s">
        <v>1800</v>
      </c>
      <c r="CL161" s="1109">
        <v>2015</v>
      </c>
      <c r="CM161" s="1111">
        <v>14924.171</v>
      </c>
      <c r="CN161" s="1143" t="s">
        <v>1800</v>
      </c>
      <c r="CO161" s="1144">
        <v>14924171</v>
      </c>
    </row>
    <row r="162" spans="53:113">
      <c r="BA162" s="397" t="str">
        <f t="array" ref="BA162">IFERROR(INDEX($BO$5:$BO$1001, MATCH(0,COUNTIF($BA$2:BA161, $BO$5:$BO$1001), 0)),"")</f>
        <v/>
      </c>
      <c r="BB162" s="1114" t="str">
        <f t="shared" si="86"/>
        <v/>
      </c>
      <c r="BC162" s="1095" t="str">
        <f t="shared" si="87"/>
        <v/>
      </c>
      <c r="BD162" s="1095" t="str">
        <f t="shared" si="88"/>
        <v/>
      </c>
      <c r="BE162" s="1096" t="str">
        <f t="shared" si="89"/>
        <v/>
      </c>
      <c r="BF162" s="1096" t="str">
        <f t="shared" si="90"/>
        <v/>
      </c>
      <c r="BG162" s="1096" t="str">
        <f t="shared" si="91"/>
        <v/>
      </c>
      <c r="BH162" s="1096" t="str">
        <f t="shared" si="92"/>
        <v/>
      </c>
      <c r="BI162" s="1096" t="str">
        <f t="shared" si="93"/>
        <v/>
      </c>
      <c r="BJ162" s="1096" t="str">
        <f t="shared" si="94"/>
        <v/>
      </c>
      <c r="BK162" s="1097" t="str">
        <f t="shared" si="95"/>
        <v/>
      </c>
      <c r="CJ162" s="1109">
        <v>2212</v>
      </c>
      <c r="CK162" s="1110" t="s">
        <v>1864</v>
      </c>
      <c r="CL162" s="1109">
        <v>2015</v>
      </c>
      <c r="CM162" s="1111">
        <v>33912.101000000002</v>
      </c>
      <c r="CN162" s="1143" t="s">
        <v>1728</v>
      </c>
      <c r="CO162" s="1144">
        <v>33912101</v>
      </c>
    </row>
    <row r="163" spans="53:113">
      <c r="BA163" s="397" t="str">
        <f t="array" ref="BA163">IFERROR(INDEX($BO$5:$BO$1001, MATCH(0,COUNTIF($BA$2:BA162, $BO$5:$BO$1001), 0)),"")</f>
        <v/>
      </c>
      <c r="BB163" s="1114" t="str">
        <f t="shared" si="86"/>
        <v/>
      </c>
      <c r="BC163" s="1095" t="str">
        <f t="shared" si="87"/>
        <v/>
      </c>
      <c r="BD163" s="1095" t="str">
        <f t="shared" si="88"/>
        <v/>
      </c>
      <c r="BE163" s="1096" t="str">
        <f t="shared" si="89"/>
        <v/>
      </c>
      <c r="BF163" s="1096" t="str">
        <f t="shared" si="90"/>
        <v/>
      </c>
      <c r="BG163" s="1096" t="str">
        <f t="shared" si="91"/>
        <v/>
      </c>
      <c r="BH163" s="1096" t="str">
        <f t="shared" si="92"/>
        <v/>
      </c>
      <c r="BI163" s="1096" t="str">
        <f t="shared" si="93"/>
        <v/>
      </c>
      <c r="BJ163" s="1096" t="str">
        <f t="shared" si="94"/>
        <v/>
      </c>
      <c r="BK163" s="1097" t="str">
        <f t="shared" si="95"/>
        <v/>
      </c>
      <c r="CJ163" s="1109">
        <v>2226</v>
      </c>
      <c r="CK163" s="1109" t="s">
        <v>1674</v>
      </c>
      <c r="CL163" s="1109">
        <v>2015</v>
      </c>
      <c r="CM163" s="1111">
        <v>717.54399999999998</v>
      </c>
      <c r="CN163" s="1143" t="s">
        <v>1674</v>
      </c>
      <c r="CO163" s="1144">
        <v>717544</v>
      </c>
    </row>
    <row r="164" spans="53:113">
      <c r="BA164" s="397" t="str">
        <f t="array" ref="BA164">IFERROR(INDEX($BO$5:$BO$1001, MATCH(0,COUNTIF($BA$2:BA163, $BO$5:$BO$1001), 0)),"")</f>
        <v/>
      </c>
      <c r="BB164" s="1114" t="str">
        <f t="shared" si="86"/>
        <v/>
      </c>
      <c r="BC164" s="1095" t="str">
        <f t="shared" si="87"/>
        <v/>
      </c>
      <c r="BD164" s="1095" t="str">
        <f t="shared" si="88"/>
        <v/>
      </c>
      <c r="BE164" s="1096" t="str">
        <f t="shared" si="89"/>
        <v/>
      </c>
      <c r="BF164" s="1096" t="str">
        <f t="shared" si="90"/>
        <v/>
      </c>
      <c r="BG164" s="1096" t="str">
        <f t="shared" si="91"/>
        <v/>
      </c>
      <c r="BH164" s="1096" t="str">
        <f t="shared" si="92"/>
        <v/>
      </c>
      <c r="BI164" s="1096" t="str">
        <f t="shared" si="93"/>
        <v/>
      </c>
      <c r="BJ164" s="1096" t="str">
        <f t="shared" si="94"/>
        <v/>
      </c>
      <c r="BK164" s="1097" t="str">
        <f t="shared" si="95"/>
        <v/>
      </c>
      <c r="CJ164" s="1109">
        <v>2240</v>
      </c>
      <c r="CK164" s="1109" t="s">
        <v>1678</v>
      </c>
      <c r="CL164" s="1109">
        <v>2015</v>
      </c>
      <c r="CM164" s="1111">
        <v>833.32100000000003</v>
      </c>
      <c r="CN164" s="1143" t="s">
        <v>1678</v>
      </c>
      <c r="CO164" s="1144">
        <v>833321</v>
      </c>
      <c r="DI164" s="1127"/>
    </row>
    <row r="165" spans="53:113">
      <c r="BA165" s="397" t="str">
        <f t="array" ref="BA165">IFERROR(INDEX($BO$5:$BO$1001, MATCH(0,COUNTIF($BA$2:BA164, $BO$5:$BO$1001), 0)),"")</f>
        <v/>
      </c>
      <c r="BB165" s="1114" t="str">
        <f t="shared" ref="BB165:BB196" si="96">IF(OR(BA165="",BA165=0),"",IFERROR(INDEX($CO$5:$CO$245,MATCH($BA165,$CN$5:$CN$245,0)),""))</f>
        <v/>
      </c>
      <c r="BC165" s="1095" t="str">
        <f t="shared" ref="BC165:BC201" si="97">IF(OR(BA165="",BA165=0),"",_xlfn.MAXIFS($BQ$5:$BQ$1001,$BO$5:$BO$1001,$BA165))</f>
        <v/>
      </c>
      <c r="BD165" s="1095" t="str">
        <f t="shared" ref="BD165:BD201" si="98">IF(OR(BA165="",BA165=0),"",INDEX($BP$5:$BP$1001,MATCH($BA165&amp;$BC165,$CF$5:$CF$1001,0)))</f>
        <v/>
      </c>
      <c r="BE165" s="1096" t="str">
        <f t="shared" ref="BE165:BE201" si="99">IF(OR($BA165="",$BA165=0),"",INDEX(BY$5:BY$1001,MATCH($BA165&amp;$BC165,$CF$5:$CF$1001,0)))</f>
        <v/>
      </c>
      <c r="BF165" s="1096" t="str">
        <f t="shared" ref="BF165:BF201" si="100">IF(OR($BA165="",$BA165=0),"",INDEX(BZ$5:BZ$1001,MATCH($BA165&amp;$BC165,$CF$5:$CF$1001,0)))</f>
        <v/>
      </c>
      <c r="BG165" s="1096" t="str">
        <f t="shared" ref="BG165:BG201" si="101">IF(OR($BA165="",$BA165=0),"",INDEX(CA$5:CA$1001,MATCH($BA165&amp;$BC165,$CF$5:$CF$1001,0)))</f>
        <v/>
      </c>
      <c r="BH165" s="1096" t="str">
        <f t="shared" ref="BH165:BH201" si="102">IF(OR($BA165="",$BA165=0),"",INDEX(CB$5:CB$1001,MATCH($BA165&amp;$BC165,$CF$5:$CF$1001,0)))</f>
        <v/>
      </c>
      <c r="BI165" s="1096" t="str">
        <f t="shared" ref="BI165:BI201" si="103">IF(OR($BA165="",$BA165=0),"",INDEX(CC$5:CC$1001,MATCH($BA165&amp;$BC165,$CF$5:$CF$1001,0)))</f>
        <v/>
      </c>
      <c r="BJ165" s="1096" t="str">
        <f t="shared" ref="BJ165:BJ201" si="104">IF(OR($BA165="",$BA165=0),"",INDEX(CD$5:CD$1001,MATCH($BA165&amp;$BC165,$CF$5:$CF$1001,0)))</f>
        <v/>
      </c>
      <c r="BK165" s="1097" t="str">
        <f t="shared" ref="BK165:BK201" si="105">IF(OR($BA165="",$BA165=0),"",INDEX(CE$5:CE$1001,MATCH($BA165&amp;$BC165,$CF$5:$CF$1001,0)))</f>
        <v/>
      </c>
      <c r="CJ165" s="1109">
        <v>2254</v>
      </c>
      <c r="CK165" s="1109" t="s">
        <v>1736</v>
      </c>
      <c r="CL165" s="1109">
        <v>2015</v>
      </c>
      <c r="CM165" s="1111">
        <v>938.83500000000004</v>
      </c>
      <c r="CN165" s="1143" t="s">
        <v>1736</v>
      </c>
      <c r="CO165" s="1144">
        <v>938835</v>
      </c>
      <c r="DI165" s="1127"/>
    </row>
    <row r="166" spans="53:113">
      <c r="BA166" s="397" t="str">
        <f t="array" ref="BA166">IFERROR(INDEX($BO$5:$BO$1001, MATCH(0,COUNTIF($BA$2:BA165, $BO$5:$BO$1001), 0)),"")</f>
        <v/>
      </c>
      <c r="BB166" s="1114" t="str">
        <f t="shared" si="96"/>
        <v/>
      </c>
      <c r="BC166" s="1095" t="str">
        <f t="shared" si="97"/>
        <v/>
      </c>
      <c r="BD166" s="1095" t="str">
        <f t="shared" si="98"/>
        <v/>
      </c>
      <c r="BE166" s="1096" t="str">
        <f t="shared" si="99"/>
        <v/>
      </c>
      <c r="BF166" s="1096" t="str">
        <f t="shared" si="100"/>
        <v/>
      </c>
      <c r="BG166" s="1096" t="str">
        <f t="shared" si="101"/>
        <v/>
      </c>
      <c r="BH166" s="1096" t="str">
        <f t="shared" si="102"/>
        <v/>
      </c>
      <c r="BI166" s="1096" t="str">
        <f t="shared" si="103"/>
        <v/>
      </c>
      <c r="BJ166" s="1096" t="str">
        <f t="shared" si="104"/>
        <v/>
      </c>
      <c r="BK166" s="1097" t="str">
        <f t="shared" si="105"/>
        <v/>
      </c>
      <c r="CJ166" s="1109">
        <v>2268</v>
      </c>
      <c r="CK166" s="1109" t="s">
        <v>1748</v>
      </c>
      <c r="CL166" s="1109">
        <v>2015</v>
      </c>
      <c r="CM166" s="1111">
        <v>2525.67</v>
      </c>
      <c r="CN166" s="1143" t="s">
        <v>1748</v>
      </c>
      <c r="CO166" s="1144">
        <v>2525670</v>
      </c>
    </row>
    <row r="167" spans="53:113">
      <c r="BA167" s="397" t="str">
        <f t="array" ref="BA167">IFERROR(INDEX($BO$5:$BO$1001, MATCH(0,COUNTIF($BA$2:BA166, $BO$5:$BO$1001), 0)),"")</f>
        <v/>
      </c>
      <c r="BB167" s="1114" t="str">
        <f t="shared" si="96"/>
        <v/>
      </c>
      <c r="BC167" s="1095" t="str">
        <f t="shared" si="97"/>
        <v/>
      </c>
      <c r="BD167" s="1095" t="str">
        <f t="shared" si="98"/>
        <v/>
      </c>
      <c r="BE167" s="1096" t="str">
        <f t="shared" si="99"/>
        <v/>
      </c>
      <c r="BF167" s="1096" t="str">
        <f t="shared" si="100"/>
        <v/>
      </c>
      <c r="BG167" s="1096" t="str">
        <f t="shared" si="101"/>
        <v/>
      </c>
      <c r="BH167" s="1096" t="str">
        <f t="shared" si="102"/>
        <v/>
      </c>
      <c r="BI167" s="1096" t="str">
        <f t="shared" si="103"/>
        <v/>
      </c>
      <c r="BJ167" s="1096" t="str">
        <f t="shared" si="104"/>
        <v/>
      </c>
      <c r="BK167" s="1097" t="str">
        <f t="shared" si="105"/>
        <v/>
      </c>
      <c r="CJ167" s="1109">
        <v>2282</v>
      </c>
      <c r="CK167" s="1109" t="s">
        <v>1756</v>
      </c>
      <c r="CL167" s="1109">
        <v>2015</v>
      </c>
      <c r="CM167" s="1111">
        <v>12630.022999999999</v>
      </c>
      <c r="CN167" s="1143" t="s">
        <v>1756</v>
      </c>
      <c r="CO167" s="1144">
        <v>12630023</v>
      </c>
    </row>
    <row r="168" spans="53:113">
      <c r="BA168" s="397" t="str">
        <f t="array" ref="BA168">IFERROR(INDEX($BO$5:$BO$1001, MATCH(0,COUNTIF($BA$2:BA167, $BO$5:$BO$1001), 0)),"")</f>
        <v/>
      </c>
      <c r="BB168" s="1114" t="str">
        <f t="shared" si="96"/>
        <v/>
      </c>
      <c r="BC168" s="1095" t="str">
        <f t="shared" si="97"/>
        <v/>
      </c>
      <c r="BD168" s="1095" t="str">
        <f t="shared" si="98"/>
        <v/>
      </c>
      <c r="BE168" s="1096" t="str">
        <f t="shared" si="99"/>
        <v/>
      </c>
      <c r="BF168" s="1096" t="str">
        <f t="shared" si="100"/>
        <v/>
      </c>
      <c r="BG168" s="1096" t="str">
        <f t="shared" si="101"/>
        <v/>
      </c>
      <c r="BH168" s="1096" t="str">
        <f t="shared" si="102"/>
        <v/>
      </c>
      <c r="BI168" s="1096" t="str">
        <f t="shared" si="103"/>
        <v/>
      </c>
      <c r="BJ168" s="1096" t="str">
        <f t="shared" si="104"/>
        <v/>
      </c>
      <c r="BK168" s="1097" t="str">
        <f t="shared" si="105"/>
        <v/>
      </c>
      <c r="CJ168" s="1109">
        <v>2296</v>
      </c>
      <c r="CK168" s="1109" t="s">
        <v>1765</v>
      </c>
      <c r="CL168" s="1109">
        <v>2015</v>
      </c>
      <c r="CM168" s="1111">
        <v>96.418999999999997</v>
      </c>
      <c r="CN168" s="1143" t="s">
        <v>1765</v>
      </c>
      <c r="CO168" s="1144">
        <v>96419</v>
      </c>
    </row>
    <row r="169" spans="53:113">
      <c r="BA169" s="397" t="str">
        <f t="array" ref="BA169">IFERROR(INDEX($BO$5:$BO$1001, MATCH(0,COUNTIF($BA$2:BA168, $BO$5:$BO$1001), 0)),"")</f>
        <v/>
      </c>
      <c r="BB169" s="1114" t="str">
        <f t="shared" si="96"/>
        <v/>
      </c>
      <c r="BC169" s="1095" t="str">
        <f t="shared" si="97"/>
        <v/>
      </c>
      <c r="BD169" s="1095" t="str">
        <f t="shared" si="98"/>
        <v/>
      </c>
      <c r="BE169" s="1096" t="str">
        <f t="shared" si="99"/>
        <v/>
      </c>
      <c r="BF169" s="1096" t="str">
        <f t="shared" si="100"/>
        <v/>
      </c>
      <c r="BG169" s="1096" t="str">
        <f t="shared" si="101"/>
        <v/>
      </c>
      <c r="BH169" s="1096" t="str">
        <f t="shared" si="102"/>
        <v/>
      </c>
      <c r="BI169" s="1096" t="str">
        <f t="shared" si="103"/>
        <v/>
      </c>
      <c r="BJ169" s="1096" t="str">
        <f t="shared" si="104"/>
        <v/>
      </c>
      <c r="BK169" s="1097" t="str">
        <f t="shared" si="105"/>
        <v/>
      </c>
      <c r="CJ169" s="1109">
        <v>2310</v>
      </c>
      <c r="CK169" s="1109" t="s">
        <v>1769</v>
      </c>
      <c r="CL169" s="1109">
        <v>2015</v>
      </c>
      <c r="CM169" s="1111">
        <v>147.87200000000001</v>
      </c>
      <c r="CN169" s="1143" t="s">
        <v>1769</v>
      </c>
      <c r="CO169" s="1144">
        <v>147872</v>
      </c>
    </row>
    <row r="170" spans="53:113">
      <c r="BA170" s="397" t="str">
        <f t="array" ref="BA170">IFERROR(INDEX($BO$5:$BO$1001, MATCH(0,COUNTIF($BA$2:BA169, $BO$5:$BO$1001), 0)),"")</f>
        <v/>
      </c>
      <c r="BB170" s="1114" t="str">
        <f t="shared" si="96"/>
        <v/>
      </c>
      <c r="BC170" s="1095" t="str">
        <f t="shared" si="97"/>
        <v/>
      </c>
      <c r="BD170" s="1095" t="str">
        <f t="shared" si="98"/>
        <v/>
      </c>
      <c r="BE170" s="1096" t="str">
        <f t="shared" si="99"/>
        <v/>
      </c>
      <c r="BF170" s="1096" t="str">
        <f t="shared" si="100"/>
        <v/>
      </c>
      <c r="BG170" s="1096" t="str">
        <f t="shared" si="101"/>
        <v/>
      </c>
      <c r="BH170" s="1096" t="str">
        <f t="shared" si="102"/>
        <v/>
      </c>
      <c r="BI170" s="1096" t="str">
        <f t="shared" si="103"/>
        <v/>
      </c>
      <c r="BJ170" s="1096" t="str">
        <f t="shared" si="104"/>
        <v/>
      </c>
      <c r="BK170" s="1097" t="str">
        <f t="shared" si="105"/>
        <v/>
      </c>
      <c r="CJ170" s="1109">
        <v>2324</v>
      </c>
      <c r="CK170" s="1109" t="s">
        <v>1777</v>
      </c>
      <c r="CL170" s="1109">
        <v>2015</v>
      </c>
      <c r="CM170" s="1111">
        <v>2398.5010000000002</v>
      </c>
      <c r="CN170" s="1143" t="s">
        <v>1777</v>
      </c>
      <c r="CO170" s="1144">
        <v>2398501</v>
      </c>
      <c r="DI170" s="1127"/>
    </row>
    <row r="171" spans="53:113">
      <c r="BA171" s="397" t="str">
        <f t="array" ref="BA171">IFERROR(INDEX($BO$5:$BO$1001, MATCH(0,COUNTIF($BA$2:BA170, $BO$5:$BO$1001), 0)),"")</f>
        <v/>
      </c>
      <c r="BB171" s="1114" t="str">
        <f t="shared" si="96"/>
        <v/>
      </c>
      <c r="BC171" s="1095" t="str">
        <f t="shared" si="97"/>
        <v/>
      </c>
      <c r="BD171" s="1095" t="str">
        <f t="shared" si="98"/>
        <v/>
      </c>
      <c r="BE171" s="1096" t="str">
        <f t="shared" si="99"/>
        <v/>
      </c>
      <c r="BF171" s="1096" t="str">
        <f t="shared" si="100"/>
        <v/>
      </c>
      <c r="BG171" s="1096" t="str">
        <f t="shared" si="101"/>
        <v/>
      </c>
      <c r="BH171" s="1096" t="str">
        <f t="shared" si="102"/>
        <v/>
      </c>
      <c r="BI171" s="1096" t="str">
        <f t="shared" si="103"/>
        <v/>
      </c>
      <c r="BJ171" s="1096" t="str">
        <f t="shared" si="104"/>
        <v/>
      </c>
      <c r="BK171" s="1097" t="str">
        <f t="shared" si="105"/>
        <v/>
      </c>
      <c r="CJ171" s="1109">
        <v>2338</v>
      </c>
      <c r="CK171" s="1109" t="s">
        <v>1686</v>
      </c>
      <c r="CL171" s="1109">
        <v>2015</v>
      </c>
      <c r="CM171" s="1111">
        <v>2032.1610000000001</v>
      </c>
      <c r="CN171" s="1143" t="s">
        <v>1686</v>
      </c>
      <c r="CO171" s="1144">
        <v>2032161</v>
      </c>
    </row>
    <row r="172" spans="53:113">
      <c r="BA172" s="397" t="str">
        <f t="array" ref="BA172">IFERROR(INDEX($BO$5:$BO$1001, MATCH(0,COUNTIF($BA$2:BA171, $BO$5:$BO$1001), 0)),"")</f>
        <v/>
      </c>
      <c r="BB172" s="1114" t="str">
        <f t="shared" si="96"/>
        <v/>
      </c>
      <c r="BC172" s="1095" t="str">
        <f t="shared" si="97"/>
        <v/>
      </c>
      <c r="BD172" s="1095" t="str">
        <f t="shared" si="98"/>
        <v/>
      </c>
      <c r="BE172" s="1096" t="str">
        <f t="shared" si="99"/>
        <v/>
      </c>
      <c r="BF172" s="1096" t="str">
        <f t="shared" si="100"/>
        <v/>
      </c>
      <c r="BG172" s="1096" t="str">
        <f t="shared" si="101"/>
        <v/>
      </c>
      <c r="BH172" s="1096" t="str">
        <f t="shared" si="102"/>
        <v/>
      </c>
      <c r="BI172" s="1096" t="str">
        <f t="shared" si="103"/>
        <v/>
      </c>
      <c r="BJ172" s="1096" t="str">
        <f t="shared" si="104"/>
        <v/>
      </c>
      <c r="BK172" s="1097" t="str">
        <f t="shared" si="105"/>
        <v/>
      </c>
      <c r="CJ172" s="1109">
        <v>2352</v>
      </c>
      <c r="CK172" s="1109" t="s">
        <v>1790</v>
      </c>
      <c r="CL172" s="1109">
        <v>2015</v>
      </c>
      <c r="CM172" s="1111">
        <v>454.23200000000003</v>
      </c>
      <c r="CN172" s="1143" t="s">
        <v>1790</v>
      </c>
      <c r="CO172" s="1144">
        <v>454232</v>
      </c>
    </row>
    <row r="173" spans="53:113">
      <c r="BA173" s="397" t="str">
        <f t="array" ref="BA173">IFERROR(INDEX($BO$5:$BO$1001, MATCH(0,COUNTIF($BA$2:BA172, $BO$5:$BO$1001), 0)),"")</f>
        <v/>
      </c>
      <c r="BB173" s="1114" t="str">
        <f t="shared" si="96"/>
        <v/>
      </c>
      <c r="BC173" s="1095" t="str">
        <f t="shared" si="97"/>
        <v/>
      </c>
      <c r="BD173" s="1095" t="str">
        <f t="shared" si="98"/>
        <v/>
      </c>
      <c r="BE173" s="1096" t="str">
        <f t="shared" si="99"/>
        <v/>
      </c>
      <c r="BF173" s="1096" t="str">
        <f t="shared" si="100"/>
        <v/>
      </c>
      <c r="BG173" s="1096" t="str">
        <f t="shared" si="101"/>
        <v/>
      </c>
      <c r="BH173" s="1096" t="str">
        <f t="shared" si="102"/>
        <v/>
      </c>
      <c r="BI173" s="1096" t="str">
        <f t="shared" si="103"/>
        <v/>
      </c>
      <c r="BJ173" s="1096" t="str">
        <f t="shared" si="104"/>
        <v/>
      </c>
      <c r="BK173" s="1097" t="str">
        <f t="shared" si="105"/>
        <v/>
      </c>
      <c r="CJ173" s="1109">
        <v>2366</v>
      </c>
      <c r="CK173" s="1109" t="s">
        <v>1792</v>
      </c>
      <c r="CL173" s="1109">
        <v>2015</v>
      </c>
      <c r="CM173" s="1111">
        <v>10582.6</v>
      </c>
      <c r="CN173" s="1143" t="s">
        <v>1792</v>
      </c>
      <c r="CO173" s="1144">
        <v>10582600</v>
      </c>
    </row>
    <row r="174" spans="53:113">
      <c r="BA174" s="397" t="str">
        <f t="array" ref="BA174">IFERROR(INDEX($BO$5:$BO$1001, MATCH(0,COUNTIF($BA$2:BA173, $BO$5:$BO$1001), 0)),"")</f>
        <v/>
      </c>
      <c r="BB174" s="1114" t="str">
        <f t="shared" si="96"/>
        <v/>
      </c>
      <c r="BC174" s="1095" t="str">
        <f t="shared" si="97"/>
        <v/>
      </c>
      <c r="BD174" s="1095" t="str">
        <f t="shared" si="98"/>
        <v/>
      </c>
      <c r="BE174" s="1096" t="str">
        <f t="shared" si="99"/>
        <v/>
      </c>
      <c r="BF174" s="1096" t="str">
        <f t="shared" si="100"/>
        <v/>
      </c>
      <c r="BG174" s="1096" t="str">
        <f t="shared" si="101"/>
        <v/>
      </c>
      <c r="BH174" s="1096" t="str">
        <f t="shared" si="102"/>
        <v/>
      </c>
      <c r="BI174" s="1096" t="str">
        <f t="shared" si="103"/>
        <v/>
      </c>
      <c r="BJ174" s="1096" t="str">
        <f t="shared" si="104"/>
        <v/>
      </c>
      <c r="BK174" s="1097" t="str">
        <f t="shared" si="105"/>
        <v/>
      </c>
      <c r="CJ174" s="1109">
        <v>2380</v>
      </c>
      <c r="CK174" s="1109" t="s">
        <v>1824</v>
      </c>
      <c r="CL174" s="1109">
        <v>2015</v>
      </c>
      <c r="CM174" s="1111">
        <v>520.06200000000001</v>
      </c>
      <c r="CN174" s="1143" t="s">
        <v>1682</v>
      </c>
      <c r="CO174" s="1144">
        <v>520062</v>
      </c>
    </row>
    <row r="175" spans="53:113">
      <c r="BA175" s="397" t="str">
        <f t="array" ref="BA175">IFERROR(INDEX($BO$5:$BO$1001, MATCH(0,COUNTIF($BA$2:BA174, $BO$5:$BO$1001), 0)),"")</f>
        <v/>
      </c>
      <c r="BB175" s="1114" t="str">
        <f t="shared" si="96"/>
        <v/>
      </c>
      <c r="BC175" s="1095" t="str">
        <f t="shared" si="97"/>
        <v/>
      </c>
      <c r="BD175" s="1095" t="str">
        <f t="shared" si="98"/>
        <v/>
      </c>
      <c r="BE175" s="1096" t="str">
        <f t="shared" si="99"/>
        <v/>
      </c>
      <c r="BF175" s="1096" t="str">
        <f t="shared" si="100"/>
        <v/>
      </c>
      <c r="BG175" s="1096" t="str">
        <f t="shared" si="101"/>
        <v/>
      </c>
      <c r="BH175" s="1096" t="str">
        <f t="shared" si="102"/>
        <v/>
      </c>
      <c r="BI175" s="1096" t="str">
        <f t="shared" si="103"/>
        <v/>
      </c>
      <c r="BJ175" s="1096" t="str">
        <f t="shared" si="104"/>
        <v/>
      </c>
      <c r="BK175" s="1097" t="str">
        <f t="shared" si="105"/>
        <v/>
      </c>
      <c r="CJ175" s="1109">
        <v>2394</v>
      </c>
      <c r="CK175" s="1110" t="s">
        <v>1865</v>
      </c>
      <c r="CL175" s="1109">
        <v>2015</v>
      </c>
      <c r="CM175" s="1111">
        <v>41759.671000000002</v>
      </c>
      <c r="CN175" s="1143" t="s">
        <v>1728</v>
      </c>
      <c r="CO175" s="1144">
        <v>41759671</v>
      </c>
      <c r="DI175" s="1128"/>
    </row>
    <row r="176" spans="53:113">
      <c r="BA176" s="397" t="str">
        <f t="array" ref="BA176">IFERROR(INDEX($BO$5:$BO$1001, MATCH(0,COUNTIF($BA$2:BA175, $BO$5:$BO$1001), 0)),"")</f>
        <v/>
      </c>
      <c r="BB176" s="1114" t="str">
        <f t="shared" si="96"/>
        <v/>
      </c>
      <c r="BC176" s="1095" t="str">
        <f t="shared" si="97"/>
        <v/>
      </c>
      <c r="BD176" s="1095" t="str">
        <f t="shared" si="98"/>
        <v/>
      </c>
      <c r="BE176" s="1096" t="str">
        <f t="shared" si="99"/>
        <v/>
      </c>
      <c r="BF176" s="1096" t="str">
        <f t="shared" si="100"/>
        <v/>
      </c>
      <c r="BG176" s="1096" t="str">
        <f t="shared" si="101"/>
        <v/>
      </c>
      <c r="BH176" s="1096" t="str">
        <f t="shared" si="102"/>
        <v/>
      </c>
      <c r="BI176" s="1096" t="str">
        <f t="shared" si="103"/>
        <v/>
      </c>
      <c r="BJ176" s="1096" t="str">
        <f t="shared" si="104"/>
        <v/>
      </c>
      <c r="BK176" s="1097" t="str">
        <f t="shared" si="105"/>
        <v/>
      </c>
      <c r="CJ176" s="1109">
        <v>2408</v>
      </c>
      <c r="CK176" s="1109" t="s">
        <v>1721</v>
      </c>
      <c r="CL176" s="1109">
        <v>2015</v>
      </c>
      <c r="CM176" s="1111">
        <v>2001.0909999999999</v>
      </c>
      <c r="CN176" s="1143" t="s">
        <v>1721</v>
      </c>
      <c r="CO176" s="1144">
        <v>2001091</v>
      </c>
    </row>
    <row r="177" spans="53:113">
      <c r="BA177" s="397" t="str">
        <f t="array" ref="BA177">IFERROR(INDEX($BO$5:$BO$1001, MATCH(0,COUNTIF($BA$2:BA176, $BO$5:$BO$1001), 0)),"")</f>
        <v/>
      </c>
      <c r="BB177" s="1114" t="str">
        <f t="shared" si="96"/>
        <v/>
      </c>
      <c r="BC177" s="1095" t="str">
        <f t="shared" si="97"/>
        <v/>
      </c>
      <c r="BD177" s="1095" t="str">
        <f t="shared" si="98"/>
        <v/>
      </c>
      <c r="BE177" s="1096" t="str">
        <f t="shared" si="99"/>
        <v/>
      </c>
      <c r="BF177" s="1096" t="str">
        <f t="shared" si="100"/>
        <v/>
      </c>
      <c r="BG177" s="1096" t="str">
        <f t="shared" si="101"/>
        <v/>
      </c>
      <c r="BH177" s="1096" t="str">
        <f t="shared" si="102"/>
        <v/>
      </c>
      <c r="BI177" s="1096" t="str">
        <f t="shared" si="103"/>
        <v/>
      </c>
      <c r="BJ177" s="1096" t="str">
        <f t="shared" si="104"/>
        <v/>
      </c>
      <c r="BK177" s="1097" t="str">
        <f t="shared" si="105"/>
        <v/>
      </c>
      <c r="CJ177" s="1109">
        <v>2422</v>
      </c>
      <c r="CK177" s="1109" t="s">
        <v>1725</v>
      </c>
      <c r="CL177" s="1109">
        <v>2015</v>
      </c>
      <c r="CM177" s="1111">
        <v>2515.0039999999999</v>
      </c>
      <c r="CN177" s="1143" t="s">
        <v>1725</v>
      </c>
      <c r="CO177" s="1144">
        <v>2515004</v>
      </c>
    </row>
    <row r="178" spans="53:113">
      <c r="BA178" s="397" t="str">
        <f t="array" ref="BA178">IFERROR(INDEX($BO$5:$BO$1001, MATCH(0,COUNTIF($BA$2:BA177, $BO$5:$BO$1001), 0)),"")</f>
        <v/>
      </c>
      <c r="BB178" s="1114" t="str">
        <f t="shared" si="96"/>
        <v/>
      </c>
      <c r="BC178" s="1095" t="str">
        <f t="shared" si="97"/>
        <v/>
      </c>
      <c r="BD178" s="1095" t="str">
        <f t="shared" si="98"/>
        <v/>
      </c>
      <c r="BE178" s="1096" t="str">
        <f t="shared" si="99"/>
        <v/>
      </c>
      <c r="BF178" s="1096" t="str">
        <f t="shared" si="100"/>
        <v/>
      </c>
      <c r="BG178" s="1096" t="str">
        <f t="shared" si="101"/>
        <v/>
      </c>
      <c r="BH178" s="1096" t="str">
        <f t="shared" si="102"/>
        <v/>
      </c>
      <c r="BI178" s="1096" t="str">
        <f t="shared" si="103"/>
        <v/>
      </c>
      <c r="BJ178" s="1096" t="str">
        <f t="shared" si="104"/>
        <v/>
      </c>
      <c r="BK178" s="1097" t="str">
        <f t="shared" si="105"/>
        <v/>
      </c>
      <c r="CJ178" s="1109">
        <v>2436</v>
      </c>
      <c r="CK178" s="1109" t="s">
        <v>1744</v>
      </c>
      <c r="CL178" s="1109">
        <v>2015</v>
      </c>
      <c r="CM178" s="1111">
        <v>13851.847</v>
      </c>
      <c r="CN178" s="1143" t="s">
        <v>1744</v>
      </c>
      <c r="CO178" s="1144">
        <v>13851847</v>
      </c>
    </row>
    <row r="179" spans="53:113">
      <c r="BA179" s="397" t="str">
        <f t="array" ref="BA179">IFERROR(INDEX($BO$5:$BO$1001, MATCH(0,COUNTIF($BA$2:BA178, $BO$5:$BO$1001), 0)),"")</f>
        <v/>
      </c>
      <c r="BB179" s="1114" t="str">
        <f t="shared" si="96"/>
        <v/>
      </c>
      <c r="BC179" s="1095" t="str">
        <f t="shared" si="97"/>
        <v/>
      </c>
      <c r="BD179" s="1095" t="str">
        <f t="shared" si="98"/>
        <v/>
      </c>
      <c r="BE179" s="1096" t="str">
        <f t="shared" si="99"/>
        <v/>
      </c>
      <c r="BF179" s="1096" t="str">
        <f t="shared" si="100"/>
        <v/>
      </c>
      <c r="BG179" s="1096" t="str">
        <f t="shared" si="101"/>
        <v/>
      </c>
      <c r="BH179" s="1096" t="str">
        <f t="shared" si="102"/>
        <v/>
      </c>
      <c r="BI179" s="1096" t="str">
        <f t="shared" si="103"/>
        <v/>
      </c>
      <c r="BJ179" s="1096" t="str">
        <f t="shared" si="104"/>
        <v/>
      </c>
      <c r="BK179" s="1097" t="str">
        <f t="shared" si="105"/>
        <v/>
      </c>
      <c r="CJ179" s="1109">
        <v>2450</v>
      </c>
      <c r="CK179" s="1109" t="s">
        <v>1747</v>
      </c>
      <c r="CL179" s="1109">
        <v>2015</v>
      </c>
      <c r="CM179" s="1111">
        <v>17535.892</v>
      </c>
      <c r="CN179" s="1143" t="s">
        <v>1747</v>
      </c>
      <c r="CO179" s="1144">
        <v>17535892</v>
      </c>
    </row>
    <row r="180" spans="53:113">
      <c r="BA180" s="397" t="str">
        <f t="array" ref="BA180">IFERROR(INDEX($BO$5:$BO$1001, MATCH(0,COUNTIF($BA$2:BA179, $BO$5:$BO$1001), 0)),"")</f>
        <v/>
      </c>
      <c r="BB180" s="1114" t="str">
        <f t="shared" si="96"/>
        <v/>
      </c>
      <c r="BC180" s="1095" t="str">
        <f t="shared" si="97"/>
        <v/>
      </c>
      <c r="BD180" s="1095" t="str">
        <f t="shared" si="98"/>
        <v/>
      </c>
      <c r="BE180" s="1096" t="str">
        <f t="shared" si="99"/>
        <v/>
      </c>
      <c r="BF180" s="1096" t="str">
        <f t="shared" si="100"/>
        <v/>
      </c>
      <c r="BG180" s="1096" t="str">
        <f t="shared" si="101"/>
        <v/>
      </c>
      <c r="BH180" s="1096" t="str">
        <f t="shared" si="102"/>
        <v/>
      </c>
      <c r="BI180" s="1096" t="str">
        <f t="shared" si="103"/>
        <v/>
      </c>
      <c r="BJ180" s="1096" t="str">
        <f t="shared" si="104"/>
        <v/>
      </c>
      <c r="BK180" s="1097" t="str">
        <f t="shared" si="105"/>
        <v/>
      </c>
      <c r="CJ180" s="1109">
        <v>2464</v>
      </c>
      <c r="CK180" s="1109" t="s">
        <v>1763</v>
      </c>
      <c r="CL180" s="1109">
        <v>2015</v>
      </c>
      <c r="CM180" s="1111">
        <v>140.40199999999999</v>
      </c>
      <c r="CN180" s="1143" t="s">
        <v>1763</v>
      </c>
      <c r="CO180" s="1144">
        <v>140402</v>
      </c>
    </row>
    <row r="181" spans="53:113">
      <c r="BA181" s="397" t="str">
        <f t="array" ref="BA181">IFERROR(INDEX($BO$5:$BO$1001, MATCH(0,COUNTIF($BA$2:BA180, $BO$5:$BO$1001), 0)),"")</f>
        <v/>
      </c>
      <c r="BB181" s="1114" t="str">
        <f t="shared" si="96"/>
        <v/>
      </c>
      <c r="BC181" s="1095" t="str">
        <f t="shared" si="97"/>
        <v/>
      </c>
      <c r="BD181" s="1095" t="str">
        <f t="shared" si="98"/>
        <v/>
      </c>
      <c r="BE181" s="1096" t="str">
        <f t="shared" si="99"/>
        <v/>
      </c>
      <c r="BF181" s="1096" t="str">
        <f t="shared" si="100"/>
        <v/>
      </c>
      <c r="BG181" s="1096" t="str">
        <f t="shared" si="101"/>
        <v/>
      </c>
      <c r="BH181" s="1096" t="str">
        <f t="shared" si="102"/>
        <v/>
      </c>
      <c r="BI181" s="1096" t="str">
        <f t="shared" si="103"/>
        <v/>
      </c>
      <c r="BJ181" s="1096" t="str">
        <f t="shared" si="104"/>
        <v/>
      </c>
      <c r="BK181" s="1097" t="str">
        <f t="shared" si="105"/>
        <v/>
      </c>
      <c r="CJ181" s="1109">
        <v>2478</v>
      </c>
      <c r="CK181" s="1109" t="s">
        <v>1770</v>
      </c>
      <c r="CL181" s="1109">
        <v>2015</v>
      </c>
      <c r="CM181" s="1111">
        <v>3754.384</v>
      </c>
      <c r="CN181" s="1143" t="s">
        <v>1770</v>
      </c>
      <c r="CO181" s="1144">
        <v>3754384</v>
      </c>
    </row>
    <row r="182" spans="53:113">
      <c r="BA182" s="397" t="str">
        <f t="array" ref="BA182">IFERROR(INDEX($BO$5:$BO$1001, MATCH(0,COUNTIF($BA$2:BA181, $BO$5:$BO$1001), 0)),"")</f>
        <v/>
      </c>
      <c r="BB182" s="1114" t="str">
        <f t="shared" si="96"/>
        <v/>
      </c>
      <c r="BC182" s="1095" t="str">
        <f t="shared" si="97"/>
        <v/>
      </c>
      <c r="BD182" s="1095" t="str">
        <f t="shared" si="98"/>
        <v/>
      </c>
      <c r="BE182" s="1096" t="str">
        <f t="shared" si="99"/>
        <v/>
      </c>
      <c r="BF182" s="1096" t="str">
        <f t="shared" si="100"/>
        <v/>
      </c>
      <c r="BG182" s="1096" t="str">
        <f t="shared" si="101"/>
        <v/>
      </c>
      <c r="BH182" s="1096" t="str">
        <f t="shared" si="102"/>
        <v/>
      </c>
      <c r="BI182" s="1096" t="str">
        <f t="shared" si="103"/>
        <v/>
      </c>
      <c r="BJ182" s="1096" t="str">
        <f t="shared" si="104"/>
        <v/>
      </c>
      <c r="BK182" s="1097" t="str">
        <f t="shared" si="105"/>
        <v/>
      </c>
      <c r="CJ182" s="1109">
        <v>2492</v>
      </c>
      <c r="CK182" s="1109" t="s">
        <v>1796</v>
      </c>
      <c r="CL182" s="1109">
        <v>2015</v>
      </c>
      <c r="CM182" s="1111">
        <v>1945.1669999999999</v>
      </c>
      <c r="CN182" s="1143" t="s">
        <v>1796</v>
      </c>
      <c r="CO182" s="1144">
        <v>1945167</v>
      </c>
    </row>
    <row r="183" spans="53:113">
      <c r="BA183" s="397" t="str">
        <f t="array" ref="BA183">IFERROR(INDEX($BO$5:$BO$1001, MATCH(0,COUNTIF($BA$2:BA182, $BO$5:$BO$1001), 0)),"")</f>
        <v/>
      </c>
      <c r="BB183" s="1114" t="str">
        <f t="shared" si="96"/>
        <v/>
      </c>
      <c r="BC183" s="1095" t="str">
        <f t="shared" si="97"/>
        <v/>
      </c>
      <c r="BD183" s="1095" t="str">
        <f t="shared" si="98"/>
        <v/>
      </c>
      <c r="BE183" s="1096" t="str">
        <f t="shared" si="99"/>
        <v/>
      </c>
      <c r="BF183" s="1096" t="str">
        <f t="shared" si="100"/>
        <v/>
      </c>
      <c r="BG183" s="1096" t="str">
        <f t="shared" si="101"/>
        <v/>
      </c>
      <c r="BH183" s="1096" t="str">
        <f t="shared" si="102"/>
        <v/>
      </c>
      <c r="BI183" s="1096" t="str">
        <f t="shared" si="103"/>
        <v/>
      </c>
      <c r="BJ183" s="1096" t="str">
        <f t="shared" si="104"/>
        <v/>
      </c>
      <c r="BK183" s="1097" t="str">
        <f t="shared" si="105"/>
        <v/>
      </c>
      <c r="CJ183" s="1109">
        <v>2506</v>
      </c>
      <c r="CK183" s="1110" t="s">
        <v>1866</v>
      </c>
      <c r="CL183" s="1109">
        <v>2015</v>
      </c>
      <c r="CM183" s="1111">
        <v>169911.842</v>
      </c>
      <c r="CN183" s="1143" t="s">
        <v>1728</v>
      </c>
      <c r="CO183" s="1144">
        <v>169911842</v>
      </c>
    </row>
    <row r="184" spans="53:113">
      <c r="BA184" s="397" t="str">
        <f t="array" ref="BA184">IFERROR(INDEX($BO$5:$BO$1001, MATCH(0,COUNTIF($BA$2:BA183, $BO$5:$BO$1001), 0)),"")</f>
        <v/>
      </c>
      <c r="BB184" s="1114" t="str">
        <f t="shared" si="96"/>
        <v/>
      </c>
      <c r="BC184" s="1095" t="str">
        <f t="shared" si="97"/>
        <v/>
      </c>
      <c r="BD184" s="1095" t="str">
        <f t="shared" si="98"/>
        <v/>
      </c>
      <c r="BE184" s="1096" t="str">
        <f t="shared" si="99"/>
        <v/>
      </c>
      <c r="BF184" s="1096" t="str">
        <f t="shared" si="100"/>
        <v/>
      </c>
      <c r="BG184" s="1096" t="str">
        <f t="shared" si="101"/>
        <v/>
      </c>
      <c r="BH184" s="1096" t="str">
        <f t="shared" si="102"/>
        <v/>
      </c>
      <c r="BI184" s="1096" t="str">
        <f t="shared" si="103"/>
        <v/>
      </c>
      <c r="BJ184" s="1096" t="str">
        <f t="shared" si="104"/>
        <v/>
      </c>
      <c r="BK184" s="1097" t="str">
        <f t="shared" si="105"/>
        <v/>
      </c>
      <c r="CJ184" s="1109">
        <v>2520</v>
      </c>
      <c r="CK184" s="1110" t="s">
        <v>1867</v>
      </c>
      <c r="CL184" s="1109">
        <v>2015</v>
      </c>
      <c r="CM184" s="1111">
        <v>11121.942999999999</v>
      </c>
      <c r="CN184" s="1143" t="s">
        <v>1728</v>
      </c>
      <c r="CO184" s="1144">
        <v>11121943</v>
      </c>
    </row>
    <row r="185" spans="53:113">
      <c r="BA185" s="397" t="str">
        <f t="array" ref="BA185">IFERROR(INDEX($BO$5:$BO$1001, MATCH(0,COUNTIF($BA$2:BA184, $BO$5:$BO$1001), 0)),"")</f>
        <v/>
      </c>
      <c r="BB185" s="1114" t="str">
        <f t="shared" si="96"/>
        <v/>
      </c>
      <c r="BC185" s="1095" t="str">
        <f t="shared" si="97"/>
        <v/>
      </c>
      <c r="BD185" s="1095" t="str">
        <f t="shared" si="98"/>
        <v/>
      </c>
      <c r="BE185" s="1096" t="str">
        <f t="shared" si="99"/>
        <v/>
      </c>
      <c r="BF185" s="1096" t="str">
        <f t="shared" si="100"/>
        <v/>
      </c>
      <c r="BG185" s="1096" t="str">
        <f t="shared" si="101"/>
        <v/>
      </c>
      <c r="BH185" s="1096" t="str">
        <f t="shared" si="102"/>
        <v/>
      </c>
      <c r="BI185" s="1096" t="str">
        <f t="shared" si="103"/>
        <v/>
      </c>
      <c r="BJ185" s="1096" t="str">
        <f t="shared" si="104"/>
        <v/>
      </c>
      <c r="BK185" s="1097" t="str">
        <f t="shared" si="105"/>
        <v/>
      </c>
      <c r="CJ185" s="1109">
        <v>2534</v>
      </c>
      <c r="CK185" s="1109" t="s">
        <v>1718</v>
      </c>
      <c r="CL185" s="1109">
        <v>2015</v>
      </c>
      <c r="CM185" s="1111">
        <v>28.239000000000001</v>
      </c>
      <c r="CN185" s="1143" t="s">
        <v>1718</v>
      </c>
      <c r="CO185" s="1144">
        <v>28239</v>
      </c>
    </row>
    <row r="186" spans="53:113">
      <c r="BA186" s="397" t="str">
        <f t="array" ref="BA186">IFERROR(INDEX($BO$5:$BO$1001, MATCH(0,COUNTIF($BA$2:BA185, $BO$5:$BO$1001), 0)),"")</f>
        <v/>
      </c>
      <c r="BB186" s="1114" t="str">
        <f t="shared" si="96"/>
        <v/>
      </c>
      <c r="BC186" s="1095" t="str">
        <f t="shared" si="97"/>
        <v/>
      </c>
      <c r="BD186" s="1095" t="str">
        <f t="shared" si="98"/>
        <v/>
      </c>
      <c r="BE186" s="1096" t="str">
        <f t="shared" si="99"/>
        <v/>
      </c>
      <c r="BF186" s="1096" t="str">
        <f t="shared" si="100"/>
        <v/>
      </c>
      <c r="BG186" s="1096" t="str">
        <f t="shared" si="101"/>
        <v/>
      </c>
      <c r="BH186" s="1096" t="str">
        <f t="shared" si="102"/>
        <v/>
      </c>
      <c r="BI186" s="1096" t="str">
        <f t="shared" si="103"/>
        <v/>
      </c>
      <c r="BJ186" s="1096" t="str">
        <f t="shared" si="104"/>
        <v/>
      </c>
      <c r="BK186" s="1097" t="str">
        <f t="shared" si="105"/>
        <v/>
      </c>
      <c r="CJ186" s="1109">
        <v>2548</v>
      </c>
      <c r="CK186" s="1109" t="s">
        <v>1719</v>
      </c>
      <c r="CL186" s="1109">
        <v>2015</v>
      </c>
      <c r="CM186" s="1111">
        <v>25.052</v>
      </c>
      <c r="CN186" s="1143" t="s">
        <v>1719</v>
      </c>
      <c r="CO186" s="1144">
        <v>25052</v>
      </c>
    </row>
    <row r="187" spans="53:113">
      <c r="BA187" s="397" t="str">
        <f t="array" ref="BA187">IFERROR(INDEX($BO$5:$BO$1001, MATCH(0,COUNTIF($BA$2:BA186, $BO$5:$BO$1001), 0)),"")</f>
        <v/>
      </c>
      <c r="BB187" s="1114" t="str">
        <f t="shared" si="96"/>
        <v/>
      </c>
      <c r="BC187" s="1095" t="str">
        <f t="shared" si="97"/>
        <v/>
      </c>
      <c r="BD187" s="1095" t="str">
        <f t="shared" si="98"/>
        <v/>
      </c>
      <c r="BE187" s="1096" t="str">
        <f t="shared" si="99"/>
        <v/>
      </c>
      <c r="BF187" s="1096" t="str">
        <f t="shared" si="100"/>
        <v/>
      </c>
      <c r="BG187" s="1096" t="str">
        <f t="shared" si="101"/>
        <v/>
      </c>
      <c r="BH187" s="1096" t="str">
        <f t="shared" si="102"/>
        <v/>
      </c>
      <c r="BI187" s="1096" t="str">
        <f t="shared" si="103"/>
        <v/>
      </c>
      <c r="BJ187" s="1096" t="str">
        <f t="shared" si="104"/>
        <v/>
      </c>
      <c r="BK187" s="1097" t="str">
        <f t="shared" si="105"/>
        <v/>
      </c>
      <c r="CJ187" s="1109">
        <v>2562</v>
      </c>
      <c r="CK187" s="1109" t="s">
        <v>1722</v>
      </c>
      <c r="CL187" s="1109">
        <v>2015</v>
      </c>
      <c r="CM187" s="1111">
        <v>105.85299999999999</v>
      </c>
      <c r="CN187" s="1143" t="s">
        <v>1722</v>
      </c>
      <c r="CO187" s="1144">
        <v>105853</v>
      </c>
    </row>
    <row r="188" spans="53:113">
      <c r="BA188" s="397" t="str">
        <f t="array" ref="BA188">IFERROR(INDEX($BO$5:$BO$1001, MATCH(0,COUNTIF($BA$2:BA187, $BO$5:$BO$1001), 0)),"")</f>
        <v/>
      </c>
      <c r="BB188" s="1114" t="str">
        <f t="shared" si="96"/>
        <v/>
      </c>
      <c r="BC188" s="1095" t="str">
        <f t="shared" si="97"/>
        <v/>
      </c>
      <c r="BD188" s="1095" t="str">
        <f t="shared" si="98"/>
        <v/>
      </c>
      <c r="BE188" s="1096" t="str">
        <f t="shared" si="99"/>
        <v/>
      </c>
      <c r="BF188" s="1096" t="str">
        <f t="shared" si="100"/>
        <v/>
      </c>
      <c r="BG188" s="1096" t="str">
        <f t="shared" si="101"/>
        <v/>
      </c>
      <c r="BH188" s="1096" t="str">
        <f t="shared" si="102"/>
        <v/>
      </c>
      <c r="BI188" s="1096" t="str">
        <f t="shared" si="103"/>
        <v/>
      </c>
      <c r="BJ188" s="1096" t="str">
        <f t="shared" si="104"/>
        <v/>
      </c>
      <c r="BK188" s="1097" t="str">
        <f t="shared" si="105"/>
        <v/>
      </c>
      <c r="CJ188" s="1109">
        <v>2576</v>
      </c>
      <c r="CK188" s="1109" t="s">
        <v>1724</v>
      </c>
      <c r="CL188" s="1109">
        <v>2015</v>
      </c>
      <c r="CM188" s="1111">
        <v>67.959000000000003</v>
      </c>
      <c r="CN188" s="1143" t="s">
        <v>1724</v>
      </c>
      <c r="CO188" s="1144">
        <v>67959</v>
      </c>
      <c r="DI188" s="1127"/>
    </row>
    <row r="189" spans="53:113">
      <c r="BA189" s="397" t="str">
        <f t="array" ref="BA189">IFERROR(INDEX($BO$5:$BO$1001, MATCH(0,COUNTIF($BA$2:BA188, $BO$5:$BO$1001), 0)),"")</f>
        <v/>
      </c>
      <c r="BB189" s="1114" t="str">
        <f t="shared" si="96"/>
        <v/>
      </c>
      <c r="BC189" s="1095" t="str">
        <f t="shared" si="97"/>
        <v/>
      </c>
      <c r="BD189" s="1095" t="str">
        <f t="shared" si="98"/>
        <v/>
      </c>
      <c r="BE189" s="1096" t="str">
        <f t="shared" si="99"/>
        <v/>
      </c>
      <c r="BF189" s="1096" t="str">
        <f t="shared" si="100"/>
        <v/>
      </c>
      <c r="BG189" s="1096" t="str">
        <f t="shared" si="101"/>
        <v/>
      </c>
      <c r="BH189" s="1096" t="str">
        <f t="shared" si="102"/>
        <v/>
      </c>
      <c r="BI189" s="1096" t="str">
        <f t="shared" si="103"/>
        <v/>
      </c>
      <c r="BJ189" s="1096" t="str">
        <f t="shared" si="104"/>
        <v/>
      </c>
      <c r="BK189" s="1097" t="str">
        <f t="shared" si="105"/>
        <v/>
      </c>
      <c r="CJ189" s="1109">
        <v>2590</v>
      </c>
      <c r="CK189" s="1109" t="s">
        <v>1642</v>
      </c>
      <c r="CL189" s="1109">
        <v>2015</v>
      </c>
      <c r="CM189" s="1111">
        <v>2800.6460000000002</v>
      </c>
      <c r="CN189" s="1143" t="s">
        <v>1642</v>
      </c>
      <c r="CO189" s="1144">
        <v>2800646</v>
      </c>
      <c r="DI189" s="1127"/>
    </row>
    <row r="190" spans="53:113">
      <c r="BA190" s="397" t="str">
        <f t="array" ref="BA190">IFERROR(INDEX($BO$5:$BO$1001, MATCH(0,COUNTIF($BA$2:BA189, $BO$5:$BO$1001), 0)),"")</f>
        <v/>
      </c>
      <c r="BB190" s="1114" t="str">
        <f t="shared" si="96"/>
        <v/>
      </c>
      <c r="BC190" s="1095" t="str">
        <f t="shared" si="97"/>
        <v/>
      </c>
      <c r="BD190" s="1095" t="str">
        <f t="shared" si="98"/>
        <v/>
      </c>
      <c r="BE190" s="1096" t="str">
        <f t="shared" si="99"/>
        <v/>
      </c>
      <c r="BF190" s="1096" t="str">
        <f t="shared" si="100"/>
        <v/>
      </c>
      <c r="BG190" s="1096" t="str">
        <f t="shared" si="101"/>
        <v/>
      </c>
      <c r="BH190" s="1096" t="str">
        <f t="shared" si="102"/>
        <v/>
      </c>
      <c r="BI190" s="1096" t="str">
        <f t="shared" si="103"/>
        <v/>
      </c>
      <c r="BJ190" s="1096" t="str">
        <f t="shared" si="104"/>
        <v/>
      </c>
      <c r="BK190" s="1097" t="str">
        <f t="shared" si="105"/>
        <v/>
      </c>
      <c r="CJ190" s="1109">
        <v>2604</v>
      </c>
      <c r="CK190" s="1109" t="s">
        <v>1868</v>
      </c>
      <c r="CL190" s="1109">
        <v>2015</v>
      </c>
      <c r="CM190" s="1111">
        <v>37.366999999999997</v>
      </c>
      <c r="CN190" s="1143" t="s">
        <v>1728</v>
      </c>
      <c r="CO190" s="1144">
        <v>37367</v>
      </c>
    </row>
    <row r="191" spans="53:113">
      <c r="BA191" s="397" t="str">
        <f t="array" ref="BA191">IFERROR(INDEX($BO$5:$BO$1001, MATCH(0,COUNTIF($BA$2:BA190, $BO$5:$BO$1001), 0)),"")</f>
        <v/>
      </c>
      <c r="BB191" s="1114" t="str">
        <f t="shared" si="96"/>
        <v/>
      </c>
      <c r="BC191" s="1095" t="str">
        <f t="shared" si="97"/>
        <v/>
      </c>
      <c r="BD191" s="1095" t="str">
        <f t="shared" si="98"/>
        <v/>
      </c>
      <c r="BE191" s="1096" t="str">
        <f t="shared" si="99"/>
        <v/>
      </c>
      <c r="BF191" s="1096" t="str">
        <f t="shared" si="100"/>
        <v/>
      </c>
      <c r="BG191" s="1096" t="str">
        <f t="shared" si="101"/>
        <v/>
      </c>
      <c r="BH191" s="1096" t="str">
        <f t="shared" si="102"/>
        <v/>
      </c>
      <c r="BI191" s="1096" t="str">
        <f t="shared" si="103"/>
        <v/>
      </c>
      <c r="BJ191" s="1096" t="str">
        <f t="shared" si="104"/>
        <v/>
      </c>
      <c r="BK191" s="1097" t="str">
        <f t="shared" si="105"/>
        <v/>
      </c>
      <c r="CJ191" s="1109">
        <v>2618</v>
      </c>
      <c r="CK191" s="1109" t="s">
        <v>1643</v>
      </c>
      <c r="CL191" s="1109">
        <v>2015</v>
      </c>
      <c r="CM191" s="1111">
        <v>2737.9929999999999</v>
      </c>
      <c r="CN191" s="1143" t="s">
        <v>1643</v>
      </c>
      <c r="CO191" s="1144">
        <v>2737993</v>
      </c>
    </row>
    <row r="192" spans="53:113">
      <c r="BA192" s="397" t="str">
        <f t="array" ref="BA192">IFERROR(INDEX($BO$5:$BO$1001, MATCH(0,COUNTIF($BA$2:BA191, $BO$5:$BO$1001), 0)),"")</f>
        <v/>
      </c>
      <c r="BB192" s="1114" t="str">
        <f t="shared" si="96"/>
        <v/>
      </c>
      <c r="BC192" s="1095" t="str">
        <f t="shared" si="97"/>
        <v/>
      </c>
      <c r="BD192" s="1095" t="str">
        <f t="shared" si="98"/>
        <v/>
      </c>
      <c r="BE192" s="1096" t="str">
        <f t="shared" si="99"/>
        <v/>
      </c>
      <c r="BF192" s="1096" t="str">
        <f t="shared" si="100"/>
        <v/>
      </c>
      <c r="BG192" s="1096" t="str">
        <f t="shared" si="101"/>
        <v/>
      </c>
      <c r="BH192" s="1096" t="str">
        <f t="shared" si="102"/>
        <v/>
      </c>
      <c r="BI192" s="1096" t="str">
        <f t="shared" si="103"/>
        <v/>
      </c>
      <c r="BJ192" s="1096" t="str">
        <f t="shared" si="104"/>
        <v/>
      </c>
      <c r="BK192" s="1097" t="str">
        <f t="shared" si="105"/>
        <v/>
      </c>
      <c r="CJ192" s="1109">
        <v>2632</v>
      </c>
      <c r="CK192" s="1109" t="s">
        <v>1749</v>
      </c>
      <c r="CL192" s="1109">
        <v>2015</v>
      </c>
      <c r="CM192" s="1111">
        <v>28.155999999999999</v>
      </c>
      <c r="CN192" s="1143" t="s">
        <v>1749</v>
      </c>
      <c r="CO192" s="1144">
        <v>28156</v>
      </c>
    </row>
    <row r="193" spans="53:113">
      <c r="BA193" s="397" t="str">
        <f t="array" ref="BA193">IFERROR(INDEX($BO$5:$BO$1001, MATCH(0,COUNTIF($BA$2:BA192, $BO$5:$BO$1001), 0)),"")</f>
        <v/>
      </c>
      <c r="BB193" s="1114" t="str">
        <f t="shared" si="96"/>
        <v/>
      </c>
      <c r="BC193" s="1095" t="str">
        <f t="shared" si="97"/>
        <v/>
      </c>
      <c r="BD193" s="1095" t="str">
        <f t="shared" si="98"/>
        <v/>
      </c>
      <c r="BE193" s="1096" t="str">
        <f t="shared" si="99"/>
        <v/>
      </c>
      <c r="BF193" s="1096" t="str">
        <f t="shared" si="100"/>
        <v/>
      </c>
      <c r="BG193" s="1096" t="str">
        <f t="shared" si="101"/>
        <v/>
      </c>
      <c r="BH193" s="1096" t="str">
        <f t="shared" si="102"/>
        <v/>
      </c>
      <c r="BI193" s="1096" t="str">
        <f t="shared" si="103"/>
        <v/>
      </c>
      <c r="BJ193" s="1096" t="str">
        <f t="shared" si="104"/>
        <v/>
      </c>
      <c r="BK193" s="1097" t="str">
        <f t="shared" si="105"/>
        <v/>
      </c>
      <c r="CJ193" s="1109">
        <v>2646</v>
      </c>
      <c r="CK193" s="1109" t="s">
        <v>1750</v>
      </c>
      <c r="CL193" s="1109">
        <v>2015</v>
      </c>
      <c r="CM193" s="1111">
        <v>105.827</v>
      </c>
      <c r="CN193" s="1143" t="s">
        <v>1750</v>
      </c>
      <c r="CO193" s="1144">
        <v>105827</v>
      </c>
      <c r="DI193" s="1127"/>
    </row>
    <row r="194" spans="53:113">
      <c r="BA194" s="397" t="str">
        <f t="array" ref="BA194">IFERROR(INDEX($BO$5:$BO$1001, MATCH(0,COUNTIF($BA$2:BA193, $BO$5:$BO$1001), 0)),"")</f>
        <v/>
      </c>
      <c r="BB194" s="1114" t="str">
        <f t="shared" si="96"/>
        <v/>
      </c>
      <c r="BC194" s="1095" t="str">
        <f t="shared" si="97"/>
        <v/>
      </c>
      <c r="BD194" s="1095" t="str">
        <f t="shared" si="98"/>
        <v/>
      </c>
      <c r="BE194" s="1096" t="str">
        <f t="shared" si="99"/>
        <v/>
      </c>
      <c r="BF194" s="1096" t="str">
        <f t="shared" si="100"/>
        <v/>
      </c>
      <c r="BG194" s="1096" t="str">
        <f t="shared" si="101"/>
        <v/>
      </c>
      <c r="BH194" s="1096" t="str">
        <f t="shared" si="102"/>
        <v/>
      </c>
      <c r="BI194" s="1096" t="str">
        <f t="shared" si="103"/>
        <v/>
      </c>
      <c r="BJ194" s="1096" t="str">
        <f t="shared" si="104"/>
        <v/>
      </c>
      <c r="BK194" s="1097" t="str">
        <f t="shared" si="105"/>
        <v/>
      </c>
      <c r="CJ194" s="1109">
        <v>2660</v>
      </c>
      <c r="CK194" s="1109" t="s">
        <v>1647</v>
      </c>
      <c r="CL194" s="1109">
        <v>2015</v>
      </c>
      <c r="CM194" s="1111">
        <v>2852.8240000000001</v>
      </c>
      <c r="CN194" s="1143" t="s">
        <v>1647</v>
      </c>
      <c r="CO194" s="1144">
        <v>2852824</v>
      </c>
    </row>
    <row r="195" spans="53:113">
      <c r="BA195" s="397" t="str">
        <f t="array" ref="BA195">IFERROR(INDEX($BO$5:$BO$1001, MATCH(0,COUNTIF($BA$2:BA194, $BO$5:$BO$1001), 0)),"")</f>
        <v/>
      </c>
      <c r="BB195" s="1114" t="str">
        <f t="shared" si="96"/>
        <v/>
      </c>
      <c r="BC195" s="1095" t="str">
        <f t="shared" si="97"/>
        <v/>
      </c>
      <c r="BD195" s="1095" t="str">
        <f t="shared" si="98"/>
        <v/>
      </c>
      <c r="BE195" s="1096" t="str">
        <f t="shared" si="99"/>
        <v/>
      </c>
      <c r="BF195" s="1096" t="str">
        <f t="shared" si="100"/>
        <v/>
      </c>
      <c r="BG195" s="1096" t="str">
        <f t="shared" si="101"/>
        <v/>
      </c>
      <c r="BH195" s="1096" t="str">
        <f t="shared" si="102"/>
        <v/>
      </c>
      <c r="BI195" s="1096" t="str">
        <f t="shared" si="103"/>
        <v/>
      </c>
      <c r="BJ195" s="1096" t="str">
        <f t="shared" si="104"/>
        <v/>
      </c>
      <c r="BK195" s="1097" t="str">
        <f t="shared" si="105"/>
        <v/>
      </c>
      <c r="CJ195" s="1109">
        <v>2674</v>
      </c>
      <c r="CK195" s="1109" t="s">
        <v>1649</v>
      </c>
      <c r="CL195" s="1109">
        <v>2015</v>
      </c>
      <c r="CM195" s="1111">
        <v>772.19600000000003</v>
      </c>
      <c r="CN195" s="1143" t="s">
        <v>1649</v>
      </c>
      <c r="CO195" s="1144">
        <v>772196</v>
      </c>
    </row>
    <row r="196" spans="53:113">
      <c r="BA196" s="397" t="str">
        <f t="array" ref="BA196">IFERROR(INDEX($BO$5:$BO$1001, MATCH(0,COUNTIF($BA$2:BA195, $BO$5:$BO$1001), 0)),"")</f>
        <v/>
      </c>
      <c r="BB196" s="1114" t="str">
        <f t="shared" si="96"/>
        <v/>
      </c>
      <c r="BC196" s="1095" t="str">
        <f t="shared" si="97"/>
        <v/>
      </c>
      <c r="BD196" s="1095" t="str">
        <f t="shared" si="98"/>
        <v/>
      </c>
      <c r="BE196" s="1096" t="str">
        <f t="shared" si="99"/>
        <v/>
      </c>
      <c r="BF196" s="1096" t="str">
        <f t="shared" si="100"/>
        <v/>
      </c>
      <c r="BG196" s="1096" t="str">
        <f t="shared" si="101"/>
        <v/>
      </c>
      <c r="BH196" s="1096" t="str">
        <f t="shared" si="102"/>
        <v/>
      </c>
      <c r="BI196" s="1096" t="str">
        <f t="shared" si="103"/>
        <v/>
      </c>
      <c r="BJ196" s="1096" t="str">
        <f t="shared" si="104"/>
        <v/>
      </c>
      <c r="BK196" s="1097" t="str">
        <f t="shared" si="105"/>
        <v/>
      </c>
      <c r="CJ196" s="1109">
        <v>2688</v>
      </c>
      <c r="CK196" s="1109" t="s">
        <v>1766</v>
      </c>
      <c r="CL196" s="1109">
        <v>2015</v>
      </c>
      <c r="CM196" s="1111">
        <v>90.182000000000002</v>
      </c>
      <c r="CN196" s="1143" t="s">
        <v>1766</v>
      </c>
      <c r="CO196" s="1144">
        <v>90182</v>
      </c>
    </row>
    <row r="197" spans="53:113">
      <c r="BA197" s="397" t="str">
        <f t="array" ref="BA197">IFERROR(INDEX($BO$5:$BO$1001, MATCH(0,COUNTIF($BA$2:BA196, $BO$5:$BO$1001), 0)),"")</f>
        <v/>
      </c>
      <c r="BB197" s="1114" t="str">
        <f>IF(OR(BA197="",BA197=0),"",IFERROR(INDEX($CO$5:$CO$245,MATCH($BA197,$CN$5:$CN$245,0)),""))</f>
        <v/>
      </c>
      <c r="BC197" s="1095" t="str">
        <f t="shared" si="97"/>
        <v/>
      </c>
      <c r="BD197" s="1095" t="str">
        <f t="shared" si="98"/>
        <v/>
      </c>
      <c r="BE197" s="1096" t="str">
        <f t="shared" si="99"/>
        <v/>
      </c>
      <c r="BF197" s="1096" t="str">
        <f t="shared" si="100"/>
        <v/>
      </c>
      <c r="BG197" s="1096" t="str">
        <f t="shared" si="101"/>
        <v/>
      </c>
      <c r="BH197" s="1096" t="str">
        <f t="shared" si="102"/>
        <v/>
      </c>
      <c r="BI197" s="1096" t="str">
        <f t="shared" si="103"/>
        <v/>
      </c>
      <c r="BJ197" s="1096" t="str">
        <f t="shared" si="104"/>
        <v/>
      </c>
      <c r="BK197" s="1097" t="str">
        <f t="shared" si="105"/>
        <v/>
      </c>
      <c r="CJ197" s="1109">
        <v>2702</v>
      </c>
      <c r="CK197" s="1109" t="s">
        <v>1778</v>
      </c>
      <c r="CL197" s="1109">
        <v>2015</v>
      </c>
      <c r="CM197" s="1111">
        <v>925.96100000000001</v>
      </c>
      <c r="CN197" s="1143" t="s">
        <v>1778</v>
      </c>
      <c r="CO197" s="1144">
        <v>925961</v>
      </c>
    </row>
    <row r="198" spans="53:113">
      <c r="BA198" s="397" t="str">
        <f t="array" ref="BA198">IFERROR(INDEX($BO$5:$BO$1001, MATCH(0,COUNTIF($BA$2:BA197, $BO$5:$BO$1001), 0)),"")</f>
        <v/>
      </c>
      <c r="BB198" s="1114" t="str">
        <f>IF(OR(BA198="",BA198=0),"",IFERROR(INDEX($CO$5:$CO$245,MATCH($BA198,$CN$5:$CN$245,0)),""))</f>
        <v/>
      </c>
      <c r="BC198" s="1095" t="str">
        <f t="shared" si="97"/>
        <v/>
      </c>
      <c r="BD198" s="1095" t="str">
        <f t="shared" si="98"/>
        <v/>
      </c>
      <c r="BE198" s="1096" t="str">
        <f t="shared" si="99"/>
        <v/>
      </c>
      <c r="BF198" s="1096" t="str">
        <f t="shared" si="100"/>
        <v/>
      </c>
      <c r="BG198" s="1096" t="str">
        <f t="shared" si="101"/>
        <v/>
      </c>
      <c r="BH198" s="1096" t="str">
        <f t="shared" si="102"/>
        <v/>
      </c>
      <c r="BI198" s="1096" t="str">
        <f t="shared" si="103"/>
        <v/>
      </c>
      <c r="BJ198" s="1096" t="str">
        <f t="shared" si="104"/>
        <v/>
      </c>
      <c r="BK198" s="1097" t="str">
        <f t="shared" si="105"/>
        <v/>
      </c>
      <c r="CJ198" s="1109">
        <v>2716</v>
      </c>
      <c r="CK198" s="1109" t="s">
        <v>1820</v>
      </c>
      <c r="CL198" s="1109">
        <v>2015</v>
      </c>
      <c r="CM198" s="1111">
        <v>50.156999999999996</v>
      </c>
      <c r="CN198" s="1143" t="s">
        <v>1782</v>
      </c>
      <c r="CO198" s="1144">
        <v>50157</v>
      </c>
    </row>
    <row r="199" spans="53:113">
      <c r="BA199" s="397" t="str">
        <f t="array" ref="BA199">IFERROR(INDEX($BO$5:$BO$1001, MATCH(0,COUNTIF($BA$2:BA198, $BO$5:$BO$1001), 0)),"")</f>
        <v/>
      </c>
      <c r="BB199" s="1114" t="str">
        <f>IF(OR(BA199="",BA199=0),"",IFERROR(INDEX($CO$5:$CO$245,MATCH($BA199,$CN$5:$CN$245,0)),""))</f>
        <v/>
      </c>
      <c r="BC199" s="1095" t="str">
        <f t="shared" si="97"/>
        <v/>
      </c>
      <c r="BD199" s="1095" t="str">
        <f t="shared" si="98"/>
        <v/>
      </c>
      <c r="BE199" s="1096" t="str">
        <f t="shared" si="99"/>
        <v/>
      </c>
      <c r="BF199" s="1096" t="str">
        <f t="shared" si="100"/>
        <v/>
      </c>
      <c r="BG199" s="1096" t="str">
        <f t="shared" si="101"/>
        <v/>
      </c>
      <c r="BH199" s="1096" t="str">
        <f t="shared" si="102"/>
        <v/>
      </c>
      <c r="BI199" s="1096" t="str">
        <f t="shared" si="103"/>
        <v/>
      </c>
      <c r="BJ199" s="1096" t="str">
        <f t="shared" si="104"/>
        <v/>
      </c>
      <c r="BK199" s="1097" t="str">
        <f t="shared" si="105"/>
        <v/>
      </c>
      <c r="CJ199" s="1109">
        <v>2730</v>
      </c>
      <c r="CK199" s="1109" t="s">
        <v>1821</v>
      </c>
      <c r="CL199" s="1109">
        <v>2015</v>
      </c>
      <c r="CM199" s="1111">
        <v>28.521000000000001</v>
      </c>
      <c r="CN199" s="1143" t="s">
        <v>1783</v>
      </c>
      <c r="CO199" s="1144">
        <v>28521</v>
      </c>
    </row>
    <row r="200" spans="53:113">
      <c r="BA200" s="397" t="str">
        <f t="array" ref="BA200">IFERROR(INDEX($BO$5:$BO$1001, MATCH(0,COUNTIF($BA$2:BA199, $BO$5:$BO$1001), 0)),"")</f>
        <v/>
      </c>
      <c r="BB200" s="1114" t="str">
        <f>IF(OR(BA200="",BA200=0),"",IFERROR(INDEX($CO$5:$CO$245,MATCH($BA200,$CN$5:$CN$245,0)),""))</f>
        <v/>
      </c>
      <c r="BC200" s="1095" t="str">
        <f t="shared" si="97"/>
        <v/>
      </c>
      <c r="BD200" s="1095" t="str">
        <f t="shared" si="98"/>
        <v/>
      </c>
      <c r="BE200" s="1096" t="str">
        <f t="shared" si="99"/>
        <v/>
      </c>
      <c r="BF200" s="1096" t="str">
        <f t="shared" si="100"/>
        <v/>
      </c>
      <c r="BG200" s="1096" t="str">
        <f t="shared" si="101"/>
        <v/>
      </c>
      <c r="BH200" s="1096" t="str">
        <f t="shared" si="102"/>
        <v/>
      </c>
      <c r="BI200" s="1096" t="str">
        <f t="shared" si="103"/>
        <v/>
      </c>
      <c r="BJ200" s="1096" t="str">
        <f t="shared" si="104"/>
        <v/>
      </c>
      <c r="BK200" s="1097" t="str">
        <f t="shared" si="105"/>
        <v/>
      </c>
      <c r="CJ200" s="1109">
        <v>2744</v>
      </c>
      <c r="CK200" s="1109" t="s">
        <v>1798</v>
      </c>
      <c r="CL200" s="1109">
        <v>2015</v>
      </c>
      <c r="CM200" s="1111">
        <v>353.07499999999999</v>
      </c>
      <c r="CN200" s="1143" t="s">
        <v>1798</v>
      </c>
      <c r="CO200" s="1144">
        <v>353075</v>
      </c>
    </row>
    <row r="201" spans="53:113">
      <c r="BA201" s="390" t="str">
        <f t="array" ref="BA201">IFERROR(INDEX($BO$5:$BO$1001, MATCH(0,COUNTIF($BA$2:BA200, $BO$5:$BO$1001), 0)),"")</f>
        <v/>
      </c>
      <c r="BB201" s="1115" t="str">
        <f>IF(OR(BA201="",BA201=0),"",IFERROR(INDEX($CO$5:$CO$245,MATCH($BA201,$CN$5:$CN$245,0)),""))</f>
        <v/>
      </c>
      <c r="BC201" s="1098" t="str">
        <f t="shared" si="97"/>
        <v/>
      </c>
      <c r="BD201" s="1098" t="str">
        <f t="shared" si="98"/>
        <v/>
      </c>
      <c r="BE201" s="1099" t="str">
        <f t="shared" si="99"/>
        <v/>
      </c>
      <c r="BF201" s="1099" t="str">
        <f t="shared" si="100"/>
        <v/>
      </c>
      <c r="BG201" s="1099" t="str">
        <f t="shared" si="101"/>
        <v/>
      </c>
      <c r="BH201" s="1099" t="str">
        <f t="shared" si="102"/>
        <v/>
      </c>
      <c r="BI201" s="1099" t="str">
        <f t="shared" si="103"/>
        <v/>
      </c>
      <c r="BJ201" s="1099" t="str">
        <f t="shared" si="104"/>
        <v/>
      </c>
      <c r="BK201" s="1100" t="str">
        <f t="shared" si="105"/>
        <v/>
      </c>
      <c r="CJ201" s="1109">
        <v>2758</v>
      </c>
      <c r="CK201" s="1109" t="s">
        <v>1827</v>
      </c>
      <c r="CL201" s="1109">
        <v>2015</v>
      </c>
      <c r="CM201" s="1111">
        <v>22.648</v>
      </c>
      <c r="CN201" s="1143" t="s">
        <v>1802</v>
      </c>
      <c r="CO201" s="1144">
        <v>22648</v>
      </c>
    </row>
    <row r="202" spans="53:113">
      <c r="CJ202" s="1109">
        <v>2772</v>
      </c>
      <c r="CK202" s="1110" t="s">
        <v>1869</v>
      </c>
      <c r="CL202" s="1109">
        <v>2015</v>
      </c>
      <c r="CM202" s="1111">
        <v>46971.004000000001</v>
      </c>
      <c r="CN202" s="1143" t="s">
        <v>1728</v>
      </c>
      <c r="CO202" s="1144">
        <v>46971004</v>
      </c>
    </row>
    <row r="203" spans="53:113">
      <c r="CJ203" s="1109">
        <v>2786</v>
      </c>
      <c r="CK203" s="1109" t="s">
        <v>1726</v>
      </c>
      <c r="CL203" s="1109">
        <v>2015</v>
      </c>
      <c r="CM203" s="1111">
        <v>99.177999999999997</v>
      </c>
      <c r="CN203" s="1143" t="s">
        <v>1726</v>
      </c>
      <c r="CO203" s="1144">
        <v>99178</v>
      </c>
    </row>
    <row r="204" spans="53:113">
      <c r="CJ204" s="1109">
        <v>2800</v>
      </c>
      <c r="CK204" s="1109" t="s">
        <v>1641</v>
      </c>
      <c r="CL204" s="1109">
        <v>2015</v>
      </c>
      <c r="CM204" s="1111">
        <v>1278.5440000000001</v>
      </c>
      <c r="CN204" s="1143" t="s">
        <v>1641</v>
      </c>
      <c r="CO204" s="1144">
        <v>1278544</v>
      </c>
    </row>
    <row r="205" spans="53:113">
      <c r="CJ205" s="1109">
        <v>2814</v>
      </c>
      <c r="CK205" s="1109" t="s">
        <v>1645</v>
      </c>
      <c r="CL205" s="1109">
        <v>2015</v>
      </c>
      <c r="CM205" s="1111">
        <v>1771.039</v>
      </c>
      <c r="CN205" s="1143" t="s">
        <v>1645</v>
      </c>
      <c r="CO205" s="1144">
        <v>1771039</v>
      </c>
    </row>
    <row r="206" spans="53:113">
      <c r="CJ206" s="1109">
        <v>2828</v>
      </c>
      <c r="CK206" s="1109" t="s">
        <v>1646</v>
      </c>
      <c r="CL206" s="1109">
        <v>2015</v>
      </c>
      <c r="CM206" s="1111">
        <v>4285.5619999999999</v>
      </c>
      <c r="CN206" s="1143" t="s">
        <v>1646</v>
      </c>
      <c r="CO206" s="1144">
        <v>4285562</v>
      </c>
    </row>
    <row r="207" spans="53:113">
      <c r="CJ207" s="1109">
        <v>2842</v>
      </c>
      <c r="CK207" s="1109" t="s">
        <v>1648</v>
      </c>
      <c r="CL207" s="1109">
        <v>2015</v>
      </c>
      <c r="CM207" s="1111">
        <v>2428.538</v>
      </c>
      <c r="CN207" s="1143" t="s">
        <v>1648</v>
      </c>
      <c r="CO207" s="1144">
        <v>2428538</v>
      </c>
    </row>
    <row r="208" spans="53:113">
      <c r="CJ208" s="1109">
        <v>2856</v>
      </c>
      <c r="CK208" s="1109" t="s">
        <v>1650</v>
      </c>
      <c r="CL208" s="1109">
        <v>2015</v>
      </c>
      <c r="CM208" s="1111">
        <v>34397.663999999997</v>
      </c>
      <c r="CN208" s="1143" t="s">
        <v>1650</v>
      </c>
      <c r="CO208" s="1144">
        <v>34397664</v>
      </c>
      <c r="DI208" s="1127"/>
    </row>
    <row r="209" spans="88:113">
      <c r="CJ209" s="1109">
        <v>2870</v>
      </c>
      <c r="CK209" s="1109" t="s">
        <v>1651</v>
      </c>
      <c r="CL209" s="1109">
        <v>2015</v>
      </c>
      <c r="CM209" s="1111">
        <v>1686.903</v>
      </c>
      <c r="CN209" s="1143" t="s">
        <v>1651</v>
      </c>
      <c r="CO209" s="1144">
        <v>1686903</v>
      </c>
      <c r="DI209" s="1127"/>
    </row>
    <row r="210" spans="88:113">
      <c r="CJ210" s="1109">
        <v>2884</v>
      </c>
      <c r="CK210" s="1109" t="s">
        <v>1652</v>
      </c>
      <c r="CL210" s="1109">
        <v>2015</v>
      </c>
      <c r="CM210" s="1111">
        <v>1023.576</v>
      </c>
      <c r="CN210" s="1143" t="s">
        <v>1652</v>
      </c>
      <c r="CO210" s="1144">
        <v>1023576</v>
      </c>
    </row>
    <row r="211" spans="88:113">
      <c r="CJ211" s="1109">
        <v>2898</v>
      </c>
      <c r="CK211" s="1110" t="s">
        <v>1870</v>
      </c>
      <c r="CL211" s="1109">
        <v>2015</v>
      </c>
      <c r="CM211" s="1111">
        <v>111818.895</v>
      </c>
      <c r="CN211" s="1143" t="s">
        <v>1728</v>
      </c>
      <c r="CO211" s="1144">
        <v>111818895</v>
      </c>
    </row>
    <row r="212" spans="88:113">
      <c r="CJ212" s="1109">
        <v>2912</v>
      </c>
      <c r="CK212" s="1109" t="s">
        <v>1636</v>
      </c>
      <c r="CL212" s="1109">
        <v>2015</v>
      </c>
      <c r="CM212" s="1111">
        <v>10804.259</v>
      </c>
      <c r="CN212" s="1143" t="s">
        <v>1636</v>
      </c>
      <c r="CO212" s="1144">
        <v>10804259</v>
      </c>
    </row>
    <row r="213" spans="88:113">
      <c r="CJ213" s="1109">
        <v>2926</v>
      </c>
      <c r="CK213" s="1109" t="s">
        <v>1806</v>
      </c>
      <c r="CL213" s="1109">
        <v>2015</v>
      </c>
      <c r="CM213" s="1111">
        <v>2747.53</v>
      </c>
      <c r="CN213" s="1143" t="s">
        <v>1637</v>
      </c>
      <c r="CO213" s="1144">
        <v>2747530</v>
      </c>
    </row>
    <row r="214" spans="88:113">
      <c r="CJ214" s="1109">
        <v>2940</v>
      </c>
      <c r="CK214" s="1109" t="s">
        <v>1638</v>
      </c>
      <c r="CL214" s="1109">
        <v>2015</v>
      </c>
      <c r="CM214" s="1111">
        <v>56769.913</v>
      </c>
      <c r="CN214" s="1143" t="s">
        <v>1638</v>
      </c>
      <c r="CO214" s="1144">
        <v>56769913</v>
      </c>
      <c r="DI214" s="1127"/>
    </row>
    <row r="215" spans="88:113">
      <c r="CJ215" s="1109">
        <v>2954</v>
      </c>
      <c r="CK215" s="1109" t="s">
        <v>1639</v>
      </c>
      <c r="CL215" s="1109">
        <v>2015</v>
      </c>
      <c r="CM215" s="1111">
        <v>4558.232</v>
      </c>
      <c r="CN215" s="1143" t="s">
        <v>1639</v>
      </c>
      <c r="CO215" s="1144">
        <v>4558232</v>
      </c>
    </row>
    <row r="216" spans="88:113">
      <c r="CJ216" s="1109">
        <v>2968</v>
      </c>
      <c r="CK216" s="1109" t="s">
        <v>1640</v>
      </c>
      <c r="CL216" s="1109">
        <v>2015</v>
      </c>
      <c r="CM216" s="1111">
        <v>13203.53</v>
      </c>
      <c r="CN216" s="1143" t="s">
        <v>1640</v>
      </c>
      <c r="CO216" s="1144">
        <v>13203530</v>
      </c>
    </row>
    <row r="217" spans="88:113">
      <c r="CJ217" s="1109">
        <v>2982</v>
      </c>
      <c r="CK217" s="1109" t="s">
        <v>1644</v>
      </c>
      <c r="CL217" s="1109">
        <v>2015</v>
      </c>
      <c r="CM217" s="1111">
        <v>4227.6859999999997</v>
      </c>
      <c r="CN217" s="1143" t="s">
        <v>1644</v>
      </c>
      <c r="CO217" s="1144">
        <v>4227686</v>
      </c>
    </row>
    <row r="218" spans="88:113">
      <c r="CJ218" s="1109">
        <v>2996</v>
      </c>
      <c r="CK218" s="1109" t="s">
        <v>1745</v>
      </c>
      <c r="CL218" s="1109">
        <v>2015</v>
      </c>
      <c r="CM218" s="1111">
        <v>67.516000000000005</v>
      </c>
      <c r="CN218" s="1143" t="s">
        <v>1745</v>
      </c>
      <c r="CO218" s="1144">
        <v>67516</v>
      </c>
    </row>
    <row r="219" spans="88:113">
      <c r="CJ219" s="1109">
        <v>3010</v>
      </c>
      <c r="CK219" s="1109" t="s">
        <v>1752</v>
      </c>
      <c r="CL219" s="1109">
        <v>2015</v>
      </c>
      <c r="CM219" s="1111">
        <v>200.69800000000001</v>
      </c>
      <c r="CN219" s="1143" t="s">
        <v>1752</v>
      </c>
      <c r="CO219" s="1144">
        <v>200698</v>
      </c>
      <c r="DI219" s="1128"/>
    </row>
    <row r="220" spans="88:113">
      <c r="CJ220" s="1109">
        <v>3024</v>
      </c>
      <c r="CK220" s="1109" t="s">
        <v>1653</v>
      </c>
      <c r="CL220" s="1109">
        <v>2015</v>
      </c>
      <c r="CM220" s="1111">
        <v>1734.424</v>
      </c>
      <c r="CN220" s="1143" t="s">
        <v>1653</v>
      </c>
      <c r="CO220" s="1144">
        <v>1734424</v>
      </c>
    </row>
    <row r="221" spans="88:113">
      <c r="CJ221" s="1109">
        <v>3038</v>
      </c>
      <c r="CK221" s="1109" t="s">
        <v>1654</v>
      </c>
      <c r="CL221" s="1109">
        <v>2015</v>
      </c>
      <c r="CM221" s="1111">
        <v>8310.366</v>
      </c>
      <c r="CN221" s="1143" t="s">
        <v>1654</v>
      </c>
      <c r="CO221" s="1144">
        <v>8310366</v>
      </c>
    </row>
    <row r="222" spans="88:113">
      <c r="CJ222" s="1109">
        <v>3052</v>
      </c>
      <c r="CK222" s="1109" t="s">
        <v>1794</v>
      </c>
      <c r="CL222" s="1109">
        <v>2015</v>
      </c>
      <c r="CM222" s="1111">
        <v>143.24799999999999</v>
      </c>
      <c r="CN222" s="1143" t="s">
        <v>1794</v>
      </c>
      <c r="CO222" s="1144">
        <v>143248</v>
      </c>
    </row>
    <row r="223" spans="88:113">
      <c r="CJ223" s="1109">
        <v>3066</v>
      </c>
      <c r="CK223" s="1109" t="s">
        <v>1655</v>
      </c>
      <c r="CL223" s="1109">
        <v>2015</v>
      </c>
      <c r="CM223" s="1111">
        <v>823.22</v>
      </c>
      <c r="CN223" s="1143" t="s">
        <v>1655</v>
      </c>
      <c r="CO223" s="1144">
        <v>823220</v>
      </c>
    </row>
    <row r="224" spans="88:113">
      <c r="CJ224" s="1109">
        <v>3080</v>
      </c>
      <c r="CK224" s="1109" t="s">
        <v>1828</v>
      </c>
      <c r="CL224" s="1109">
        <v>2015</v>
      </c>
      <c r="CM224" s="1111">
        <v>8227.6309999999994</v>
      </c>
      <c r="CN224" s="1143" t="s">
        <v>1804</v>
      </c>
      <c r="CO224" s="1144">
        <v>8227630.9999999991</v>
      </c>
    </row>
    <row r="225" spans="88:113">
      <c r="CJ225" s="1109">
        <v>3094</v>
      </c>
      <c r="CK225" s="1110" t="s">
        <v>1871</v>
      </c>
      <c r="CL225" s="1109">
        <v>2015</v>
      </c>
      <c r="CM225" s="1111">
        <v>82003.334000000003</v>
      </c>
      <c r="CN225" s="1143" t="s">
        <v>1728</v>
      </c>
      <c r="CO225" s="1144">
        <v>82003334</v>
      </c>
    </row>
    <row r="226" spans="88:113">
      <c r="CJ226" s="1109">
        <v>3108</v>
      </c>
      <c r="CK226" s="1109" t="s">
        <v>1731</v>
      </c>
      <c r="CL226" s="1109">
        <v>2015</v>
      </c>
      <c r="CM226" s="1111">
        <v>8313.2489999999998</v>
      </c>
      <c r="CN226" s="1143" t="s">
        <v>1731</v>
      </c>
      <c r="CO226" s="1144">
        <v>8313249</v>
      </c>
    </row>
    <row r="227" spans="88:113">
      <c r="CJ227" s="1109">
        <v>3122</v>
      </c>
      <c r="CK227" s="1109" t="s">
        <v>1826</v>
      </c>
      <c r="CL227" s="1109">
        <v>2015</v>
      </c>
      <c r="CM227" s="1111">
        <v>73661.793999999994</v>
      </c>
      <c r="CN227" s="1143" t="s">
        <v>1801</v>
      </c>
      <c r="CO227" s="1144">
        <v>73661794</v>
      </c>
    </row>
    <row r="228" spans="88:113">
      <c r="CJ228" s="1109">
        <v>3136</v>
      </c>
      <c r="CK228" s="1110" t="s">
        <v>1872</v>
      </c>
      <c r="CL228" s="1109">
        <v>2015</v>
      </c>
      <c r="CM228" s="1111">
        <v>9548.0830000000005</v>
      </c>
      <c r="CN228" s="1143" t="s">
        <v>1728</v>
      </c>
      <c r="CO228" s="1144">
        <v>9548083</v>
      </c>
    </row>
    <row r="229" spans="88:113">
      <c r="CJ229" s="1109">
        <v>3150</v>
      </c>
      <c r="CK229" s="1110" t="s">
        <v>1873</v>
      </c>
      <c r="CL229" s="1109">
        <v>2015</v>
      </c>
      <c r="CM229" s="1111">
        <v>6780.3549999999996</v>
      </c>
      <c r="CN229" s="1143" t="s">
        <v>1728</v>
      </c>
      <c r="CO229" s="1144">
        <v>6780355</v>
      </c>
    </row>
    <row r="230" spans="88:113">
      <c r="CJ230" s="1109">
        <v>3164</v>
      </c>
      <c r="CK230" s="1109" t="s">
        <v>1720</v>
      </c>
      <c r="CL230" s="1109">
        <v>2015</v>
      </c>
      <c r="CM230" s="1111">
        <v>5686.2560000000003</v>
      </c>
      <c r="CN230" s="1143" t="s">
        <v>1720</v>
      </c>
      <c r="CO230" s="1144">
        <v>5686256</v>
      </c>
    </row>
    <row r="231" spans="88:113">
      <c r="CJ231" s="1109">
        <v>3178</v>
      </c>
      <c r="CK231" s="1109" t="s">
        <v>1772</v>
      </c>
      <c r="CL231" s="1109">
        <v>2015</v>
      </c>
      <c r="CM231" s="1111">
        <v>1094.0989999999999</v>
      </c>
      <c r="CN231" s="1143" t="s">
        <v>1772</v>
      </c>
      <c r="CO231" s="1144">
        <v>1094099</v>
      </c>
    </row>
    <row r="232" spans="88:113">
      <c r="CJ232" s="1109">
        <v>3192</v>
      </c>
      <c r="CK232" s="1110" t="s">
        <v>1874</v>
      </c>
      <c r="CL232" s="1109">
        <v>2015</v>
      </c>
      <c r="CM232" s="1111">
        <v>2472.37</v>
      </c>
      <c r="CN232" s="1143" t="s">
        <v>1728</v>
      </c>
      <c r="CO232" s="1144">
        <v>2472370</v>
      </c>
    </row>
    <row r="233" spans="88:113">
      <c r="CJ233" s="1109">
        <v>3206</v>
      </c>
      <c r="CK233" s="1109" t="s">
        <v>1742</v>
      </c>
      <c r="CL233" s="1109">
        <v>2015</v>
      </c>
      <c r="CM233" s="1111">
        <v>224.31700000000001</v>
      </c>
      <c r="CN233" s="1143" t="s">
        <v>1742</v>
      </c>
      <c r="CO233" s="1144">
        <v>224317</v>
      </c>
      <c r="DI233" s="1127"/>
    </row>
    <row r="234" spans="88:113">
      <c r="CJ234" s="1109">
        <v>3220</v>
      </c>
      <c r="CK234" s="1109" t="s">
        <v>1771</v>
      </c>
      <c r="CL234" s="1109">
        <v>2015</v>
      </c>
      <c r="CM234" s="1111">
        <v>68.801000000000002</v>
      </c>
      <c r="CN234" s="1143" t="s">
        <v>1771</v>
      </c>
      <c r="CO234" s="1144">
        <v>68801</v>
      </c>
      <c r="DI234" s="1127"/>
    </row>
    <row r="235" spans="88:113">
      <c r="CJ235" s="1109">
        <v>3234</v>
      </c>
      <c r="CK235" s="1109" t="s">
        <v>1775</v>
      </c>
      <c r="CL235" s="1109">
        <v>2015</v>
      </c>
      <c r="CM235" s="1111">
        <v>1967.846</v>
      </c>
      <c r="CN235" s="1143" t="s">
        <v>1775</v>
      </c>
      <c r="CO235" s="1144">
        <v>1967846</v>
      </c>
    </row>
    <row r="236" spans="88:113">
      <c r="CJ236" s="1109">
        <v>3248</v>
      </c>
      <c r="CK236" s="1109" t="s">
        <v>1791</v>
      </c>
      <c r="CL236" s="1109">
        <v>2015</v>
      </c>
      <c r="CM236" s="1111">
        <v>144.917</v>
      </c>
      <c r="CN236" s="1143" t="s">
        <v>1791</v>
      </c>
      <c r="CO236" s="1144">
        <v>144917</v>
      </c>
    </row>
    <row r="237" spans="88:113">
      <c r="CJ237" s="1109">
        <v>3262</v>
      </c>
      <c r="CK237" s="1109" t="s">
        <v>1803</v>
      </c>
      <c r="CL237" s="1109">
        <v>2015</v>
      </c>
      <c r="CM237" s="1111">
        <v>66.489000000000004</v>
      </c>
      <c r="CN237" s="1143" t="s">
        <v>1803</v>
      </c>
      <c r="CO237" s="1144">
        <v>66489</v>
      </c>
    </row>
    <row r="238" spans="88:113">
      <c r="CJ238" s="1109">
        <v>3276</v>
      </c>
      <c r="CK238" s="1110" t="s">
        <v>1875</v>
      </c>
      <c r="CL238" s="1109">
        <v>2015</v>
      </c>
      <c r="CM238" s="1111">
        <v>129.10300000000001</v>
      </c>
      <c r="CN238" s="1143" t="s">
        <v>1728</v>
      </c>
      <c r="CO238" s="1144">
        <v>129103.00000000001</v>
      </c>
      <c r="DI238" s="1127"/>
    </row>
    <row r="239" spans="88:113">
      <c r="CJ239" s="1109">
        <v>3290</v>
      </c>
      <c r="CK239" s="1109" t="s">
        <v>1751</v>
      </c>
      <c r="CL239" s="1109">
        <v>2015</v>
      </c>
      <c r="CM239" s="1111">
        <v>39.442999999999998</v>
      </c>
      <c r="CN239" s="1143" t="s">
        <v>1751</v>
      </c>
      <c r="CO239" s="1144">
        <v>39443</v>
      </c>
    </row>
    <row r="240" spans="88:113">
      <c r="CJ240" s="1109">
        <v>3304</v>
      </c>
      <c r="CK240" s="1109" t="s">
        <v>1758</v>
      </c>
      <c r="CL240" s="1109">
        <v>2015</v>
      </c>
      <c r="CM240" s="1111">
        <v>29.314</v>
      </c>
      <c r="CN240" s="1143" t="s">
        <v>1758</v>
      </c>
      <c r="CO240" s="1144">
        <v>29314</v>
      </c>
    </row>
    <row r="241" spans="88:113">
      <c r="CJ241" s="1109">
        <v>3318</v>
      </c>
      <c r="CK241" s="1109" t="s">
        <v>1816</v>
      </c>
      <c r="CL241" s="1109">
        <v>2015</v>
      </c>
      <c r="CM241" s="1111">
        <v>25.827999999999999</v>
      </c>
      <c r="CN241" s="1143" t="s">
        <v>1768</v>
      </c>
      <c r="CO241" s="1144">
        <v>25828</v>
      </c>
    </row>
    <row r="242" spans="88:113">
      <c r="CJ242" s="1109">
        <v>3332</v>
      </c>
      <c r="CK242" s="1110" t="s">
        <v>1876</v>
      </c>
      <c r="CL242" s="1109">
        <v>2015</v>
      </c>
      <c r="CM242" s="1111">
        <v>166.255</v>
      </c>
      <c r="CN242" s="1143" t="s">
        <v>1728</v>
      </c>
      <c r="CO242" s="1144">
        <v>166255</v>
      </c>
      <c r="DI242" s="1128"/>
    </row>
    <row r="243" spans="88:113">
      <c r="CJ243" s="1109">
        <v>3346</v>
      </c>
      <c r="CK243" s="1109" t="s">
        <v>1746</v>
      </c>
      <c r="CL243" s="1109">
        <v>2015</v>
      </c>
      <c r="CM243" s="1111">
        <v>73.013000000000005</v>
      </c>
      <c r="CN243" s="1143" t="s">
        <v>1746</v>
      </c>
      <c r="CO243" s="1144">
        <v>73013</v>
      </c>
    </row>
    <row r="244" spans="88:113">
      <c r="CJ244" s="1109">
        <v>3360</v>
      </c>
      <c r="CK244" s="1109" t="s">
        <v>1784</v>
      </c>
      <c r="CL244" s="1109">
        <v>2015</v>
      </c>
      <c r="CM244" s="1111">
        <v>43.142000000000003</v>
      </c>
      <c r="CN244" s="1143" t="s">
        <v>1784</v>
      </c>
      <c r="CO244" s="1144">
        <v>43142</v>
      </c>
    </row>
    <row r="245" spans="88:113">
      <c r="CJ245" s="1109">
        <v>3374</v>
      </c>
      <c r="CK245" s="1109" t="s">
        <v>1797</v>
      </c>
      <c r="CL245" s="1109">
        <v>2015</v>
      </c>
      <c r="CM245" s="1111">
        <v>25.231000000000002</v>
      </c>
      <c r="CN245" s="1143" t="s">
        <v>1797</v>
      </c>
      <c r="CO245" s="1144">
        <v>25231</v>
      </c>
    </row>
    <row r="255" spans="88:113">
      <c r="DI255" s="1127"/>
    </row>
    <row r="256" spans="88:113">
      <c r="DI256" s="1127"/>
    </row>
    <row r="260" spans="113:113">
      <c r="DI260" s="1127"/>
    </row>
    <row r="264" spans="113:113">
      <c r="DI264" s="1128"/>
    </row>
    <row r="295" spans="113:113">
      <c r="DI295" s="1127"/>
    </row>
    <row r="296" spans="113:113">
      <c r="DI296" s="1127"/>
    </row>
    <row r="301" spans="113:113">
      <c r="DI301" s="1127"/>
    </row>
    <row r="306" spans="113:113">
      <c r="DI306" s="1128"/>
    </row>
    <row r="321" spans="113:113">
      <c r="DI321" s="1127"/>
    </row>
    <row r="322" spans="113:113">
      <c r="DI322" s="1127"/>
    </row>
    <row r="326" spans="113:113">
      <c r="DI326" s="1127"/>
    </row>
    <row r="330" spans="113:113">
      <c r="DI330" s="1128"/>
    </row>
    <row r="347" spans="113:113">
      <c r="DI347" s="1127"/>
    </row>
    <row r="348" spans="113:113">
      <c r="DI348" s="1127"/>
    </row>
    <row r="352" spans="113:113">
      <c r="DI352" s="1127"/>
    </row>
    <row r="356" spans="113:113">
      <c r="DI356" s="1128"/>
    </row>
    <row r="370" spans="113:113">
      <c r="DI370" s="1127"/>
    </row>
    <row r="371" spans="113:113">
      <c r="DI371" s="1127"/>
    </row>
    <row r="376" spans="113:113">
      <c r="DI376" s="1127"/>
    </row>
    <row r="381" spans="113:113">
      <c r="DI381" s="1128"/>
    </row>
    <row r="392" spans="113:113">
      <c r="DI392" s="1129"/>
    </row>
    <row r="395" spans="113:113">
      <c r="DI395" s="1127"/>
    </row>
    <row r="396" spans="113:113">
      <c r="DI396" s="1127"/>
    </row>
    <row r="400" spans="113:113">
      <c r="DI400" s="1127"/>
    </row>
    <row r="404" spans="113:113">
      <c r="DI404" s="1128"/>
    </row>
    <row r="421" spans="113:113">
      <c r="DI421" s="1127"/>
    </row>
    <row r="422" spans="113:113">
      <c r="DI422" s="1127"/>
    </row>
    <row r="426" spans="113:113">
      <c r="DI426" s="1127"/>
    </row>
    <row r="430" spans="113:113">
      <c r="DI430" s="1128"/>
    </row>
    <row r="444" spans="113:113">
      <c r="DI444" s="1127"/>
    </row>
    <row r="445" spans="113:113">
      <c r="DI445" s="1127"/>
    </row>
    <row r="450" spans="113:113">
      <c r="DI450" s="1127"/>
    </row>
    <row r="455" spans="113:113">
      <c r="DI455" s="1128"/>
    </row>
    <row r="468" spans="113:113">
      <c r="DI468" s="1127"/>
    </row>
    <row r="469" spans="113:113">
      <c r="DI469" s="1127"/>
    </row>
    <row r="473" spans="113:113">
      <c r="DI473" s="1127"/>
    </row>
    <row r="488" spans="113:113">
      <c r="DI488" s="1127"/>
    </row>
    <row r="489" spans="113:113">
      <c r="DI489" s="1127"/>
    </row>
    <row r="493" spans="113:113">
      <c r="DI493" s="1127"/>
    </row>
    <row r="497" spans="113:113">
      <c r="DI497" s="460"/>
    </row>
    <row r="510" spans="113:113">
      <c r="DI510" s="1127"/>
    </row>
    <row r="511" spans="113:113">
      <c r="DI511" s="1127"/>
    </row>
    <row r="515" spans="113:113">
      <c r="DI515" s="1127"/>
    </row>
    <row r="519" spans="113:113">
      <c r="DI519" s="1128"/>
    </row>
    <row r="532" spans="113:113">
      <c r="DI532" s="1127"/>
    </row>
    <row r="533" spans="113:113">
      <c r="DI533" s="1127"/>
    </row>
    <row r="537" spans="113:113">
      <c r="DI537" s="1127"/>
    </row>
    <row r="541" spans="113:113">
      <c r="DI541" s="1128"/>
    </row>
    <row r="555" spans="113:113">
      <c r="DI555" s="1127"/>
    </row>
    <row r="556" spans="113:113">
      <c r="DI556" s="1127"/>
    </row>
    <row r="561" spans="113:113">
      <c r="DI561" s="1127"/>
    </row>
    <row r="566" spans="113:113">
      <c r="DI566" s="1128"/>
    </row>
    <row r="580" spans="113:113">
      <c r="DI580" s="1127"/>
    </row>
    <row r="581" spans="113:113">
      <c r="DI581" s="1127"/>
    </row>
    <row r="585" spans="113:113">
      <c r="DI585" s="1127"/>
    </row>
    <row r="589" spans="113:113">
      <c r="DI589" s="1128"/>
    </row>
    <row r="596" spans="113:113">
      <c r="DI596" s="1127"/>
    </row>
    <row r="597" spans="113:113">
      <c r="DI597" s="1127"/>
    </row>
    <row r="610" spans="113:113">
      <c r="DI610" s="1127"/>
    </row>
    <row r="611" spans="113:113">
      <c r="DI611" s="1127"/>
    </row>
    <row r="615" spans="113:113">
      <c r="DI615" s="1127"/>
    </row>
    <row r="619" spans="113:113">
      <c r="DI619" s="1128"/>
    </row>
  </sheetData>
  <sheetProtection algorithmName="SHA-512" hashValue="/aGnsHkLTW8e0pYaC6xXITyNcx9y3b65OjyxFhYY8UPJc4DLB11/ggFILJrr7CE0QlWSrmebpM4fQcofrSOzWw==" saltValue="d9fzTaVtwlqh5059q23JeQ==" spinCount="100000" sheet="1" objects="1" scenarios="1" formatColumns="0" formatRows="0"/>
  <protectedRanges>
    <protectedRange sqref="G6:G7 G12:G23 G34:G35 G41:G46 I41:I46 K41:K46 G56" name="Range1"/>
  </protectedRanges>
  <mergeCells count="51">
    <mergeCell ref="BF3:BK3"/>
    <mergeCell ref="D6:F6"/>
    <mergeCell ref="D7:F7"/>
    <mergeCell ref="G10:G11"/>
    <mergeCell ref="H10:H11"/>
    <mergeCell ref="G4:G5"/>
    <mergeCell ref="BB3:BB4"/>
    <mergeCell ref="BC3:BC4"/>
    <mergeCell ref="BD3:BD4"/>
    <mergeCell ref="BE3:BE4"/>
    <mergeCell ref="D12:F13"/>
    <mergeCell ref="G12:G13"/>
    <mergeCell ref="H12:H13"/>
    <mergeCell ref="D14:F17"/>
    <mergeCell ref="G14:G17"/>
    <mergeCell ref="H14:H17"/>
    <mergeCell ref="D18:D23"/>
    <mergeCell ref="E18:F18"/>
    <mergeCell ref="E19:F19"/>
    <mergeCell ref="E20:F20"/>
    <mergeCell ref="E21:F21"/>
    <mergeCell ref="E22:F22"/>
    <mergeCell ref="E23:F23"/>
    <mergeCell ref="G32:G33"/>
    <mergeCell ref="E34:F34"/>
    <mergeCell ref="E35:F35"/>
    <mergeCell ref="G38:H38"/>
    <mergeCell ref="E40:F40"/>
    <mergeCell ref="E45:F45"/>
    <mergeCell ref="E46:F46"/>
    <mergeCell ref="I38:J38"/>
    <mergeCell ref="G39:G40"/>
    <mergeCell ref="H39:H40"/>
    <mergeCell ref="I39:I40"/>
    <mergeCell ref="J39:J40"/>
    <mergeCell ref="E64:F64"/>
    <mergeCell ref="E65:F65"/>
    <mergeCell ref="E66:F66"/>
    <mergeCell ref="K38:L38"/>
    <mergeCell ref="K39:K40"/>
    <mergeCell ref="L39:L40"/>
    <mergeCell ref="E56:F57"/>
    <mergeCell ref="G56:G57"/>
    <mergeCell ref="E60:F60"/>
    <mergeCell ref="E61:F61"/>
    <mergeCell ref="E62:F62"/>
    <mergeCell ref="E63:F63"/>
    <mergeCell ref="E41:F41"/>
    <mergeCell ref="E42:F42"/>
    <mergeCell ref="E43:F43"/>
    <mergeCell ref="E44:F44"/>
  </mergeCells>
  <conditionalFormatting sqref="G7">
    <cfRule type="expression" dxfId="85" priority="1">
      <formula>AND($G$6&lt;&gt;"",$G$7="")</formula>
    </cfRule>
  </conditionalFormatting>
  <dataValidations count="3">
    <dataValidation type="decimal" allowBlank="1" showInputMessage="1" showErrorMessage="1" sqref="G7" xr:uid="{00000000-0002-0000-1000-000000000000}">
      <formula1>0</formula1>
      <formula2>1</formula2>
    </dataValidation>
    <dataValidation type="list" allowBlank="1" showInputMessage="1" showErrorMessage="1" sqref="G34:G35" xr:uid="{00000000-0002-0000-1000-000001000000}">
      <formula1>"Minimum,Average,Maximum"</formula1>
    </dataValidation>
    <dataValidation type="list" allowBlank="1" showInputMessage="1" showErrorMessage="1" sqref="G6" xr:uid="{00000000-0002-0000-1000-000002000000}">
      <formula1>$BA$4:$BA$201</formula1>
    </dataValidation>
  </dataValidations>
  <pageMargins left="0.7" right="0.7" top="0.75" bottom="0.75" header="0.3" footer="0.3"/>
  <pageSetup orientation="portrait" r:id="rId1"/>
  <ignoredErrors>
    <ignoredError sqref="L42" formula="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D3D3D3"/>
  </sheetPr>
  <dimension ref="A1:CH1375"/>
  <sheetViews>
    <sheetView showGridLines="0" topLeftCell="P1" zoomScale="90" zoomScaleNormal="90" workbookViewId="0"/>
  </sheetViews>
  <sheetFormatPr defaultRowHeight="15.65" customHeight="1"/>
  <cols>
    <col min="3" max="3" width="36.53515625" style="1754" customWidth="1"/>
    <col min="4" max="4" width="17.15234375" style="1754" customWidth="1"/>
    <col min="5" max="5" width="26.15234375" style="1754" customWidth="1"/>
    <col min="6" max="6" width="14.3046875" style="1754" customWidth="1"/>
    <col min="7" max="7" width="8.3828125" style="1700" customWidth="1"/>
    <col min="8" max="8" width="16.69140625" style="1700" customWidth="1"/>
    <col min="9" max="9" width="14.3046875" style="1700" customWidth="1"/>
    <col min="10" max="10" width="9" style="1699" customWidth="1"/>
    <col min="11" max="11" width="29.84375" style="1699" customWidth="1"/>
    <col min="12" max="12" width="26.3046875" style="1699" customWidth="1"/>
    <col min="13" max="13" width="21.69140625" style="1699" customWidth="1"/>
    <col min="14" max="14" width="28.84375" style="1699" customWidth="1"/>
    <col min="15" max="15" width="18.69140625" style="1699" customWidth="1"/>
    <col min="16" max="16" width="10.15234375" style="1699" customWidth="1"/>
    <col min="17" max="17" width="17.3046875" style="1699" customWidth="1"/>
    <col min="18" max="18" width="9.15234375" style="1699" customWidth="1"/>
    <col min="19" max="19" width="13.15234375" style="1700" customWidth="1"/>
    <col min="20" max="20" width="31.84375" style="1700" customWidth="1"/>
    <col min="21" max="21" width="23.53515625" style="1700" customWidth="1"/>
    <col min="22" max="22" width="28.3828125" style="1700" customWidth="1"/>
    <col min="23" max="23" width="15.3046875" style="1700" customWidth="1"/>
    <col min="24" max="24" width="13.15234375" style="1700" customWidth="1"/>
    <col min="25" max="25" width="22.84375" style="1700" customWidth="1"/>
    <col min="26" max="26" width="8.84375" style="1700" customWidth="1"/>
    <col min="27" max="27" width="25.69140625" style="1700" customWidth="1"/>
    <col min="28" max="28" width="21.53515625" style="1700" customWidth="1"/>
    <col min="29" max="29" width="8.15234375" style="1700" customWidth="1"/>
    <col min="30" max="41" width="13.15234375" style="1700" customWidth="1"/>
    <col min="42" max="49" width="9.69140625" customWidth="1"/>
    <col min="50" max="50" width="8.53515625" customWidth="1"/>
    <col min="51" max="51" width="16.15234375" customWidth="1"/>
    <col min="52" max="52" width="9" customWidth="1"/>
    <col min="53" max="53" width="16" customWidth="1"/>
    <col min="54" max="54" width="46.3828125" customWidth="1"/>
    <col min="55" max="55" width="16.3046875" customWidth="1"/>
    <col min="56" max="56" width="11.53515625" customWidth="1"/>
    <col min="57" max="57" width="18" customWidth="1"/>
    <col min="60" max="60" width="23.3828125" customWidth="1"/>
    <col min="61" max="61" width="23.3828125" style="1701" customWidth="1"/>
    <col min="62" max="62" width="23" customWidth="1"/>
    <col min="63" max="63" width="27.15234375" customWidth="1"/>
    <col min="66" max="66" width="29.53515625" customWidth="1"/>
    <col min="67" max="67" width="34" customWidth="1"/>
    <col min="68" max="68" width="15.3046875" customWidth="1"/>
    <col min="69" max="69" width="26" customWidth="1"/>
    <col min="70" max="70" width="26.53515625" customWidth="1"/>
    <col min="71" max="71" width="26" customWidth="1"/>
    <col min="74" max="74" width="25.3828125" customWidth="1"/>
    <col min="75" max="75" width="16.84375" customWidth="1"/>
    <col min="76" max="76" width="20" customWidth="1"/>
    <col min="77" max="77" width="11.3828125" customWidth="1"/>
    <col min="78" max="78" width="22.3828125" customWidth="1"/>
    <col min="79" max="79" width="30.15234375" customWidth="1"/>
    <col min="81" max="81" width="18.53515625" customWidth="1"/>
    <col min="82" max="82" width="19.3828125" customWidth="1"/>
    <col min="83" max="83" width="14.3046875" customWidth="1"/>
    <col min="84" max="84" width="17.69140625" customWidth="1"/>
    <col min="85" max="85" width="19.3828125" customWidth="1"/>
    <col min="86" max="86" width="18.15234375" customWidth="1"/>
  </cols>
  <sheetData>
    <row r="1" spans="1:75" ht="15.65" customHeight="1">
      <c r="A1" s="2016" t="s">
        <v>5798</v>
      </c>
    </row>
    <row r="6" spans="1:75" ht="21.75" customHeight="1">
      <c r="B6" s="1038" t="s">
        <v>5496</v>
      </c>
      <c r="C6" s="156"/>
      <c r="D6" s="156"/>
      <c r="E6" s="156"/>
      <c r="F6" s="156"/>
      <c r="G6" s="1698"/>
      <c r="J6" s="1696" t="s">
        <v>5499</v>
      </c>
      <c r="K6" s="1696"/>
      <c r="L6" s="1697"/>
      <c r="M6" s="1697"/>
      <c r="N6" s="1697"/>
      <c r="O6" s="1697"/>
      <c r="P6" s="1698"/>
      <c r="S6" s="1696" t="s">
        <v>5495</v>
      </c>
      <c r="T6" s="1696"/>
      <c r="U6" s="1697"/>
      <c r="V6" s="1697"/>
      <c r="W6" s="1697"/>
      <c r="X6" s="1698"/>
      <c r="Z6" s="1696" t="s">
        <v>2537</v>
      </c>
      <c r="AA6" s="1696"/>
      <c r="AB6" s="1697"/>
      <c r="AC6" s="1697"/>
    </row>
    <row r="7" spans="1:75" ht="15.65" customHeight="1">
      <c r="B7" s="149"/>
      <c r="C7" s="156"/>
      <c r="D7" s="156"/>
      <c r="E7" s="156"/>
      <c r="F7" s="156"/>
      <c r="G7" s="1698"/>
      <c r="J7" s="1698"/>
      <c r="K7" s="1697"/>
      <c r="L7" s="1697"/>
      <c r="M7" s="1697"/>
      <c r="N7" s="1697"/>
      <c r="O7" s="1697"/>
      <c r="P7" s="1698"/>
      <c r="S7" s="1698"/>
      <c r="T7" s="1697"/>
      <c r="U7" s="1697"/>
      <c r="V7" s="1697"/>
      <c r="W7" s="1697"/>
      <c r="X7" s="1698"/>
      <c r="Z7" s="1698"/>
      <c r="AA7" s="1697"/>
      <c r="AB7" s="1697"/>
      <c r="AC7" s="1697"/>
    </row>
    <row r="8" spans="1:75" ht="15.65" customHeight="1" thickBot="1">
      <c r="B8" s="149"/>
      <c r="C8" s="156"/>
      <c r="D8" s="156"/>
      <c r="E8" s="156"/>
      <c r="F8" s="156"/>
      <c r="G8" s="1698"/>
      <c r="J8" s="1698"/>
      <c r="K8" s="1697"/>
      <c r="L8" s="1697"/>
      <c r="M8" s="1697"/>
      <c r="N8" s="1697"/>
      <c r="O8" s="1697"/>
      <c r="P8" s="1698"/>
      <c r="S8" s="1698"/>
      <c r="T8" s="1697"/>
      <c r="U8" s="1697"/>
      <c r="V8" s="1697"/>
      <c r="W8" s="1697"/>
      <c r="X8" s="1698"/>
      <c r="Z8" s="1698"/>
      <c r="AA8" s="1697"/>
      <c r="AB8" s="1697"/>
      <c r="AC8" s="1697"/>
    </row>
    <row r="9" spans="1:75" ht="45.75" customHeight="1" thickTop="1">
      <c r="B9" s="149"/>
      <c r="C9" s="1864" t="s">
        <v>2541</v>
      </c>
      <c r="D9" s="1865" t="s">
        <v>2542</v>
      </c>
      <c r="E9" s="1865" t="s">
        <v>5498</v>
      </c>
      <c r="F9" s="1864" t="s">
        <v>5492</v>
      </c>
      <c r="G9" s="1702"/>
      <c r="H9" s="1703"/>
      <c r="I9" s="1703"/>
      <c r="J9" s="1702"/>
      <c r="K9" s="1864" t="s">
        <v>5497</v>
      </c>
      <c r="L9" s="1864" t="s">
        <v>5494</v>
      </c>
      <c r="M9" s="1866" t="s">
        <v>2538</v>
      </c>
      <c r="N9" s="1864" t="s">
        <v>2539</v>
      </c>
      <c r="O9" s="1864" t="s">
        <v>2540</v>
      </c>
      <c r="P9" s="1702"/>
      <c r="Q9" s="1703"/>
      <c r="R9" s="1703"/>
      <c r="S9" s="1702"/>
      <c r="T9" s="1864" t="s">
        <v>2541</v>
      </c>
      <c r="U9" s="1864" t="s">
        <v>2543</v>
      </c>
      <c r="V9" s="1865" t="s">
        <v>2544</v>
      </c>
      <c r="W9" s="1864" t="s">
        <v>2540</v>
      </c>
      <c r="X9" s="1702"/>
      <c r="Y9" s="1703"/>
      <c r="Z9" s="1702"/>
      <c r="AA9" s="1860" t="s">
        <v>5491</v>
      </c>
      <c r="AB9" s="1858">
        <f t="array" ref="AB9">SUMPRODUCT(IF($F$11:$F$356="Yes",0,1),$W$11:$W$356,$D$11:$D$356)</f>
        <v>28.705749168713393</v>
      </c>
      <c r="AC9" s="1704"/>
      <c r="AD9" s="1703"/>
      <c r="AE9" s="1703"/>
      <c r="AF9" s="1703"/>
      <c r="AG9" s="1703"/>
      <c r="AH9" s="1703"/>
      <c r="AI9" s="1703"/>
      <c r="AJ9" s="1703"/>
      <c r="AK9" s="1703"/>
      <c r="AL9" s="1703"/>
      <c r="AM9" s="1703"/>
      <c r="AN9" s="1703"/>
      <c r="AO9" s="1703"/>
      <c r="AS9" s="1705"/>
      <c r="AT9" s="1705"/>
      <c r="AY9" s="1706" t="s">
        <v>2545</v>
      </c>
      <c r="AZ9" s="1707"/>
      <c r="BA9" s="1707"/>
      <c r="BB9" s="1707"/>
      <c r="BC9" s="1707"/>
      <c r="BD9" s="1707"/>
      <c r="BE9" s="1707"/>
      <c r="BF9" s="1707"/>
      <c r="BG9" s="1708"/>
      <c r="BH9" s="1709"/>
      <c r="BI9" s="1710"/>
    </row>
    <row r="10" spans="1:75" ht="1.75" customHeight="1">
      <c r="B10" s="149"/>
      <c r="C10" s="1713"/>
      <c r="D10" s="1713"/>
      <c r="E10" s="1713"/>
      <c r="F10" s="1713"/>
      <c r="G10" s="1698"/>
      <c r="J10" s="1698"/>
      <c r="K10" s="1711"/>
      <c r="L10" s="1711"/>
      <c r="M10" s="1712"/>
      <c r="N10" s="1711"/>
      <c r="O10" s="1711"/>
      <c r="P10" s="1698"/>
      <c r="S10" s="1698"/>
      <c r="T10" s="1714"/>
      <c r="U10" s="1715"/>
      <c r="V10" s="1716"/>
      <c r="W10" s="1717"/>
      <c r="X10" s="1698"/>
      <c r="Z10" s="1698"/>
      <c r="AA10" s="1861"/>
      <c r="AB10" s="1859"/>
      <c r="AC10" s="1698"/>
      <c r="AS10" s="1705"/>
      <c r="AT10" s="1705"/>
      <c r="AY10" s="1718" t="s">
        <v>2546</v>
      </c>
      <c r="AZ10" s="1719"/>
      <c r="BA10" s="1719"/>
      <c r="BB10" s="1719"/>
      <c r="BC10" s="1719"/>
      <c r="BD10" s="1719"/>
      <c r="BE10" s="1719"/>
      <c r="BF10" s="1719"/>
      <c r="BG10" s="1720"/>
      <c r="BH10" s="1721"/>
      <c r="BI10" s="1721"/>
      <c r="BV10" s="1722"/>
      <c r="BW10" s="1705"/>
    </row>
    <row r="11" spans="1:75" ht="15.65" customHeight="1">
      <c r="B11" s="149"/>
      <c r="C11" s="1837" t="s">
        <v>5481</v>
      </c>
      <c r="D11" s="1839">
        <v>769</v>
      </c>
      <c r="E11" s="1840" t="s">
        <v>2547</v>
      </c>
      <c r="F11" s="1838"/>
      <c r="G11" s="1698"/>
      <c r="J11" s="1698"/>
      <c r="K11" s="1850" t="str">
        <f t="shared" ref="K11:K37" si="0">BR18</f>
        <v>Aerosol Inhaler</v>
      </c>
      <c r="L11" s="1851">
        <f t="shared" ref="L11:L37" si="1">IFERROR(INDEX($BS$18:$BS$44,MATCH(K11,$BR$18:$BR$44,0)),0)</f>
        <v>2.3000000000000001E-4</v>
      </c>
      <c r="M11" s="1852">
        <f>L11*1000</f>
        <v>0.23</v>
      </c>
      <c r="N11" s="1857"/>
      <c r="O11" s="1853">
        <f>IF(N11&lt;&gt;"",N11,L11)</f>
        <v>2.3000000000000001E-4</v>
      </c>
      <c r="P11" s="1698"/>
      <c r="S11" s="1698"/>
      <c r="T11" s="1846" t="str">
        <f t="shared" ref="T11:T74" si="2">IF(C11="","",C11)</f>
        <v>Example Product 1</v>
      </c>
      <c r="U11" s="1847">
        <f t="shared" ref="U11:U74" si="3">IFERROR(INDEX($O$11:$O$42,MATCH(E11,$K$11:$K$42,0)),"")</f>
        <v>7.1000000000000002E-4</v>
      </c>
      <c r="V11" s="1848"/>
      <c r="W11" s="1849">
        <f>IF(V11&lt;&gt;"",V11,IF(U11="","",U11))</f>
        <v>7.1000000000000002E-4</v>
      </c>
      <c r="X11" s="1698"/>
      <c r="Z11" s="1698"/>
      <c r="AA11" s="2820" t="s">
        <v>5493</v>
      </c>
      <c r="AB11" s="2823">
        <f t="array" ref="AB11">SUMPRODUCT(IF($F$11:$F$356="Yes",1,0),$W$11:$W$356,$D$11:$D$356)</f>
        <v>0.18762735000000003</v>
      </c>
      <c r="AC11" s="1698"/>
      <c r="AS11" s="1705"/>
      <c r="AT11" s="1705"/>
      <c r="AY11" s="2828" t="s">
        <v>2546</v>
      </c>
      <c r="AZ11" s="2829"/>
      <c r="BA11" s="2829"/>
      <c r="BB11" s="2829"/>
      <c r="BC11" s="2829"/>
      <c r="BD11" s="2829"/>
      <c r="BE11" s="2829"/>
      <c r="BF11" s="2829"/>
      <c r="BG11" s="2830"/>
      <c r="BH11" s="1721"/>
      <c r="BI11" s="1721"/>
      <c r="BV11" s="1723"/>
      <c r="BW11" s="1723"/>
    </row>
    <row r="12" spans="1:75" ht="15.65" customHeight="1">
      <c r="B12" s="149"/>
      <c r="C12" s="1837" t="s">
        <v>5482</v>
      </c>
      <c r="D12" s="1839">
        <v>1951</v>
      </c>
      <c r="E12" s="1840" t="s">
        <v>2574</v>
      </c>
      <c r="F12" s="1838"/>
      <c r="G12" s="1698"/>
      <c r="J12" s="1698"/>
      <c r="K12" s="1850" t="str">
        <f t="shared" si="0"/>
        <v>Blister Pack of Tablets</v>
      </c>
      <c r="L12" s="1854">
        <f t="shared" si="1"/>
        <v>3.8898273684210541E-5</v>
      </c>
      <c r="M12" s="1855">
        <f t="shared" ref="M12:M37" si="4">L12*1000</f>
        <v>3.8898273684210539E-2</v>
      </c>
      <c r="N12" s="1857"/>
      <c r="O12" s="1853">
        <f t="shared" ref="O12:O37" si="5">IF(N12&lt;&gt;"",N12,L12)</f>
        <v>3.8898273684210541E-5</v>
      </c>
      <c r="P12" s="1698"/>
      <c r="S12" s="1698"/>
      <c r="T12" s="1846" t="str">
        <f t="shared" si="2"/>
        <v>Example Product 2</v>
      </c>
      <c r="U12" s="1847">
        <f t="shared" si="3"/>
        <v>2.3000000000000001E-4</v>
      </c>
      <c r="V12" s="1848"/>
      <c r="W12" s="1849">
        <f t="shared" ref="W12:W75" si="6">IF(V12&lt;&gt;"",V12,IF(U12="","",U12))</f>
        <v>2.3000000000000001E-4</v>
      </c>
      <c r="X12" s="1698"/>
      <c r="Z12" s="1698"/>
      <c r="AA12" s="2821"/>
      <c r="AB12" s="2824"/>
      <c r="AC12" s="1698"/>
      <c r="AS12" s="1705"/>
      <c r="AT12" s="1705"/>
      <c r="AY12" s="2828"/>
      <c r="AZ12" s="2829"/>
      <c r="BA12" s="2829"/>
      <c r="BB12" s="2829"/>
      <c r="BC12" s="2829"/>
      <c r="BD12" s="2829"/>
      <c r="BE12" s="2829"/>
      <c r="BF12" s="2829"/>
      <c r="BG12" s="2830"/>
      <c r="BH12" s="1721"/>
      <c r="BI12" s="1721"/>
      <c r="BV12" s="1723"/>
      <c r="BW12" s="1723"/>
    </row>
    <row r="13" spans="1:75" ht="15.65" customHeight="1">
      <c r="B13" s="149"/>
      <c r="C13" s="1837" t="s">
        <v>5483</v>
      </c>
      <c r="D13" s="1839">
        <v>3808</v>
      </c>
      <c r="E13" s="1840" t="s">
        <v>2583</v>
      </c>
      <c r="F13" s="1838"/>
      <c r="G13" s="1698"/>
      <c r="J13" s="1698"/>
      <c r="K13" s="1850" t="str">
        <f t="shared" si="0"/>
        <v>Bottle of Liquid - Small</v>
      </c>
      <c r="L13" s="1854">
        <f t="shared" si="1"/>
        <v>2.5000000000000001E-4</v>
      </c>
      <c r="M13" s="1855">
        <f t="shared" si="4"/>
        <v>0.25</v>
      </c>
      <c r="N13" s="1857"/>
      <c r="O13" s="1853">
        <f t="shared" si="5"/>
        <v>2.5000000000000001E-4</v>
      </c>
      <c r="P13" s="1698"/>
      <c r="S13" s="1698"/>
      <c r="T13" s="1846" t="str">
        <f t="shared" si="2"/>
        <v>Example Product 3</v>
      </c>
      <c r="U13" s="1847">
        <f t="shared" si="3"/>
        <v>3.8898273684210541E-5</v>
      </c>
      <c r="V13" s="1848"/>
      <c r="W13" s="1849">
        <f t="shared" si="6"/>
        <v>3.8898273684210541E-5</v>
      </c>
      <c r="X13" s="1698"/>
      <c r="Z13" s="1698"/>
      <c r="AA13" s="2822"/>
      <c r="AB13" s="2825"/>
      <c r="AC13" s="1698"/>
      <c r="AS13" s="1705"/>
      <c r="AT13" s="1705"/>
      <c r="AY13" s="2828" t="s">
        <v>2549</v>
      </c>
      <c r="AZ13" s="2829"/>
      <c r="BA13" s="2829"/>
      <c r="BB13" s="2829"/>
      <c r="BC13" s="2829"/>
      <c r="BD13" s="2829"/>
      <c r="BE13" s="2829"/>
      <c r="BF13" s="2829"/>
      <c r="BG13" s="2830"/>
      <c r="BH13" s="1724"/>
      <c r="BI13" s="1725"/>
      <c r="BW13" s="1723"/>
    </row>
    <row r="14" spans="1:75" ht="15.65" customHeight="1">
      <c r="B14" s="149"/>
      <c r="C14" s="1837" t="s">
        <v>5484</v>
      </c>
      <c r="D14" s="1839">
        <v>931</v>
      </c>
      <c r="E14" s="1840" t="s">
        <v>2587</v>
      </c>
      <c r="F14" s="1838"/>
      <c r="G14" s="1698"/>
      <c r="J14" s="1698"/>
      <c r="K14" s="1850" t="str">
        <f t="shared" si="0"/>
        <v>Bottle of Liquid - Med</v>
      </c>
      <c r="L14" s="1854">
        <f t="shared" si="1"/>
        <v>7.1000000000000002E-4</v>
      </c>
      <c r="M14" s="1855">
        <f t="shared" si="4"/>
        <v>0.71</v>
      </c>
      <c r="N14" s="1857"/>
      <c r="O14" s="1853">
        <f t="shared" si="5"/>
        <v>7.1000000000000002E-4</v>
      </c>
      <c r="P14" s="1698"/>
      <c r="S14" s="1698"/>
      <c r="T14" s="1846" t="str">
        <f t="shared" si="2"/>
        <v>Example Product 4</v>
      </c>
      <c r="U14" s="1847">
        <f t="shared" si="3"/>
        <v>2.5000000000000001E-4</v>
      </c>
      <c r="V14" s="1848"/>
      <c r="W14" s="1849">
        <f t="shared" si="6"/>
        <v>2.5000000000000001E-4</v>
      </c>
      <c r="X14" s="1698"/>
      <c r="Z14" s="1698"/>
      <c r="AA14" s="2827" t="s">
        <v>2548</v>
      </c>
      <c r="AB14" s="2823">
        <f>SUM(D11:D356)</f>
        <v>40297</v>
      </c>
      <c r="AC14" s="1698"/>
      <c r="AS14" s="1705"/>
      <c r="AT14" s="1705"/>
      <c r="AY14" s="2831" t="s">
        <v>2551</v>
      </c>
      <c r="AZ14" s="2832"/>
      <c r="BA14" s="2832"/>
      <c r="BB14" s="2832"/>
      <c r="BC14" s="2832"/>
      <c r="BD14" s="2832"/>
      <c r="BE14" s="2832"/>
      <c r="BF14" s="2832"/>
      <c r="BG14" s="2833"/>
      <c r="BH14" s="1726"/>
      <c r="BI14" s="1726"/>
      <c r="BV14" s="461" t="s">
        <v>2552</v>
      </c>
      <c r="BW14" s="1723"/>
    </row>
    <row r="15" spans="1:75" ht="15.65" customHeight="1" thickBot="1">
      <c r="B15" s="149"/>
      <c r="C15" s="1837" t="s">
        <v>5485</v>
      </c>
      <c r="D15" s="1839">
        <v>7843</v>
      </c>
      <c r="E15" s="1840" t="s">
        <v>2605</v>
      </c>
      <c r="F15" s="1838"/>
      <c r="G15" s="1698"/>
      <c r="J15" s="1698"/>
      <c r="K15" s="1850" t="str">
        <f t="shared" si="0"/>
        <v>Bottle of Liquid - Large</v>
      </c>
      <c r="L15" s="1854">
        <f t="shared" si="1"/>
        <v>2.7589999999999997E-3</v>
      </c>
      <c r="M15" s="1855">
        <f t="shared" si="4"/>
        <v>2.7589999999999999</v>
      </c>
      <c r="N15" s="1857"/>
      <c r="O15" s="1853">
        <f t="shared" si="5"/>
        <v>2.7589999999999997E-3</v>
      </c>
      <c r="P15" s="1698"/>
      <c r="S15" s="1698"/>
      <c r="T15" s="1846" t="str">
        <f t="shared" si="2"/>
        <v>Example Product 5</v>
      </c>
      <c r="U15" s="1847">
        <f t="shared" si="3"/>
        <v>5.6999999999999998E-4</v>
      </c>
      <c r="V15" s="1848"/>
      <c r="W15" s="1849">
        <f t="shared" si="6"/>
        <v>5.6999999999999998E-4</v>
      </c>
      <c r="X15" s="1698"/>
      <c r="Z15" s="1698"/>
      <c r="AA15" s="2827"/>
      <c r="AB15" s="2824"/>
      <c r="AC15" s="1698"/>
      <c r="AS15" s="1705"/>
      <c r="AT15" s="1705"/>
      <c r="AY15" s="2834"/>
      <c r="AZ15" s="2835"/>
      <c r="BA15" s="2835"/>
      <c r="BB15" s="2835"/>
      <c r="BC15" s="2835"/>
      <c r="BD15" s="2835"/>
      <c r="BE15" s="2835"/>
      <c r="BF15" s="2835"/>
      <c r="BG15" s="2836"/>
      <c r="BH15" s="1726"/>
      <c r="BI15" s="1726"/>
      <c r="BW15" s="1723"/>
    </row>
    <row r="16" spans="1:75" ht="15" customHeight="1" thickTop="1" thickBot="1">
      <c r="B16" s="149"/>
      <c r="C16" s="1837" t="s">
        <v>5486</v>
      </c>
      <c r="D16" s="1839">
        <v>2830</v>
      </c>
      <c r="E16" s="1840" t="s">
        <v>2626</v>
      </c>
      <c r="F16" s="1838"/>
      <c r="G16" s="1698"/>
      <c r="J16" s="1698"/>
      <c r="K16" s="1850" t="str">
        <f t="shared" si="0"/>
        <v>Bottle of Tablets - Small</v>
      </c>
      <c r="L16" s="1854">
        <f t="shared" si="1"/>
        <v>2.6000000000000003E-4</v>
      </c>
      <c r="M16" s="1855">
        <f t="shared" si="4"/>
        <v>0.26</v>
      </c>
      <c r="N16" s="1857"/>
      <c r="O16" s="1853">
        <f t="shared" si="5"/>
        <v>2.6000000000000003E-4</v>
      </c>
      <c r="P16" s="1698"/>
      <c r="S16" s="1698"/>
      <c r="T16" s="1846" t="str">
        <f t="shared" si="2"/>
        <v>Example Product 6</v>
      </c>
      <c r="U16" s="1847">
        <f t="shared" si="3"/>
        <v>7.2477046875000007E-5</v>
      </c>
      <c r="V16" s="1848"/>
      <c r="W16" s="1849">
        <f t="shared" si="6"/>
        <v>7.2477046875000007E-5</v>
      </c>
      <c r="X16" s="1698"/>
      <c r="Z16" s="1698"/>
      <c r="AA16" s="2827"/>
      <c r="AB16" s="2825"/>
      <c r="AC16" s="1698"/>
      <c r="AS16" s="1705"/>
      <c r="AT16" s="1705"/>
      <c r="AY16" s="1727"/>
      <c r="AZ16" s="1727"/>
      <c r="BA16" s="1727"/>
      <c r="BB16" s="1727"/>
      <c r="BC16" s="1727"/>
      <c r="BD16" s="1727"/>
      <c r="BE16" s="1727"/>
      <c r="BF16" s="1727"/>
      <c r="BG16" s="1727"/>
      <c r="BH16" s="1727"/>
      <c r="BI16" s="1728"/>
      <c r="BN16" s="1729" t="s">
        <v>2553</v>
      </c>
      <c r="BP16" s="1730"/>
      <c r="BQ16" s="1729" t="s">
        <v>2554</v>
      </c>
      <c r="BV16" s="38" t="s">
        <v>1512</v>
      </c>
    </row>
    <row r="17" spans="2:86" ht="15.65" customHeight="1" thickTop="1">
      <c r="B17" s="149"/>
      <c r="C17" s="1837" t="s">
        <v>5487</v>
      </c>
      <c r="D17" s="1839">
        <v>3788</v>
      </c>
      <c r="E17" s="1840" t="s">
        <v>2640</v>
      </c>
      <c r="F17" s="1838"/>
      <c r="G17" s="1698"/>
      <c r="J17" s="1698"/>
      <c r="K17" s="1850" t="str">
        <f t="shared" si="0"/>
        <v>Bottle of Tablets - Med</v>
      </c>
      <c r="L17" s="1854">
        <f t="shared" si="1"/>
        <v>5.6999999999999998E-4</v>
      </c>
      <c r="M17" s="1855">
        <f t="shared" si="4"/>
        <v>0.56999999999999995</v>
      </c>
      <c r="N17" s="1857"/>
      <c r="O17" s="1853">
        <f t="shared" si="5"/>
        <v>5.6999999999999998E-4</v>
      </c>
      <c r="P17" s="1698"/>
      <c r="S17" s="1698"/>
      <c r="T17" s="1846" t="str">
        <f t="shared" si="2"/>
        <v>Example Product 7</v>
      </c>
      <c r="U17" s="1847">
        <f t="shared" si="3"/>
        <v>6.3051857142857142E-5</v>
      </c>
      <c r="V17" s="1848"/>
      <c r="W17" s="1849">
        <f t="shared" si="6"/>
        <v>6.3051857142857142E-5</v>
      </c>
      <c r="X17" s="1698"/>
      <c r="Z17" s="1731"/>
      <c r="AA17" s="2827" t="s">
        <v>2550</v>
      </c>
      <c r="AB17" s="2823">
        <f>COUNTA(C11:C356)</f>
        <v>10</v>
      </c>
      <c r="AC17" s="1698"/>
      <c r="AS17" s="1705"/>
      <c r="AT17" s="1705"/>
      <c r="AY17" s="1732"/>
      <c r="AZ17" s="1732"/>
      <c r="BA17" s="1732"/>
      <c r="BB17" s="1732"/>
      <c r="BC17" s="2837" t="s">
        <v>2555</v>
      </c>
      <c r="BD17" s="2837"/>
      <c r="BE17" s="1732"/>
      <c r="BF17" s="2838" t="s">
        <v>2556</v>
      </c>
      <c r="BG17" s="2837"/>
      <c r="BH17" s="2839" t="s">
        <v>2557</v>
      </c>
      <c r="BI17" s="2840" t="s">
        <v>2558</v>
      </c>
      <c r="BJ17" s="2826" t="s">
        <v>2559</v>
      </c>
      <c r="BK17" s="2826" t="s">
        <v>2560</v>
      </c>
      <c r="BN17" s="1735" t="s">
        <v>2561</v>
      </c>
      <c r="BO17" s="1733" t="s">
        <v>2560</v>
      </c>
      <c r="BQ17" s="1733" t="s">
        <v>2560</v>
      </c>
      <c r="BR17" s="1733" t="s">
        <v>2562</v>
      </c>
      <c r="BS17" s="1733" t="s">
        <v>2563</v>
      </c>
      <c r="BU17" s="1723"/>
      <c r="BV17" s="1734" t="s">
        <v>848</v>
      </c>
      <c r="BW17" s="1734" t="s">
        <v>849</v>
      </c>
      <c r="BX17" s="1734" t="s">
        <v>850</v>
      </c>
      <c r="BY17" s="1734" t="s">
        <v>851</v>
      </c>
      <c r="BZ17" s="1734" t="s">
        <v>852</v>
      </c>
      <c r="CA17" s="1734" t="s">
        <v>853</v>
      </c>
      <c r="CB17" s="1734" t="s">
        <v>854</v>
      </c>
      <c r="CC17" s="1734" t="s">
        <v>1511</v>
      </c>
      <c r="CD17" s="1734" t="s">
        <v>855</v>
      </c>
      <c r="CE17" s="1734" t="s">
        <v>856</v>
      </c>
      <c r="CF17" s="1734" t="s">
        <v>857</v>
      </c>
      <c r="CG17" s="1735" t="s">
        <v>2564</v>
      </c>
      <c r="CH17" s="1735" t="s">
        <v>2565</v>
      </c>
    </row>
    <row r="18" spans="2:86" ht="15.65" customHeight="1" thickBot="1">
      <c r="B18" s="149"/>
      <c r="C18" s="1837" t="s">
        <v>5488</v>
      </c>
      <c r="D18" s="1839">
        <v>3779</v>
      </c>
      <c r="E18" s="1840" t="s">
        <v>2672</v>
      </c>
      <c r="F18" s="1838" t="s">
        <v>834</v>
      </c>
      <c r="G18" s="1698"/>
      <c r="J18" s="1698"/>
      <c r="K18" s="1850" t="str">
        <f t="shared" si="0"/>
        <v>Bottle of Tablets - Large</v>
      </c>
      <c r="L18" s="1854">
        <f t="shared" si="1"/>
        <v>1.6127000000000001E-3</v>
      </c>
      <c r="M18" s="1855">
        <f t="shared" si="4"/>
        <v>1.6127</v>
      </c>
      <c r="N18" s="1857"/>
      <c r="O18" s="1853">
        <f t="shared" si="5"/>
        <v>1.6127000000000001E-3</v>
      </c>
      <c r="P18" s="1698"/>
      <c r="S18" s="1698"/>
      <c r="T18" s="1846" t="str">
        <f t="shared" si="2"/>
        <v>Example Product 8</v>
      </c>
      <c r="U18" s="1847">
        <f t="shared" si="3"/>
        <v>4.9650000000000007E-5</v>
      </c>
      <c r="V18" s="1848"/>
      <c r="W18" s="1849">
        <f t="shared" si="6"/>
        <v>4.9650000000000007E-5</v>
      </c>
      <c r="X18" s="1698"/>
      <c r="Z18" s="1731"/>
      <c r="AA18" s="2827"/>
      <c r="AB18" s="2824"/>
      <c r="AC18" s="1698"/>
      <c r="AS18" s="1705"/>
      <c r="AT18" s="1705"/>
      <c r="AY18" s="1736" t="s">
        <v>1708</v>
      </c>
      <c r="AZ18" s="1736" t="s">
        <v>2566</v>
      </c>
      <c r="BA18" s="1736" t="s">
        <v>2567</v>
      </c>
      <c r="BB18" s="1736" t="s">
        <v>2568</v>
      </c>
      <c r="BC18" s="1737" t="s">
        <v>2569</v>
      </c>
      <c r="BD18" s="1737" t="s">
        <v>2570</v>
      </c>
      <c r="BE18" s="1736" t="s">
        <v>2571</v>
      </c>
      <c r="BF18" s="1738" t="s">
        <v>2556</v>
      </c>
      <c r="BG18" s="1739" t="s">
        <v>2572</v>
      </c>
      <c r="BH18" s="2839"/>
      <c r="BI18" s="2840"/>
      <c r="BJ18" s="2826"/>
      <c r="BK18" s="2826"/>
      <c r="BN18" s="1740" t="str">
        <f t="array" ref="BN18">IFERROR(INDEX($BJ$19:$BJ$1364, MATCH(0,COUNTIF($BN$16:BN17, $BJ$19:$BJ$1364), 0)),"")</f>
        <v>EA-Antiretrovirals</v>
      </c>
      <c r="BO18" s="1740" t="s">
        <v>2573</v>
      </c>
      <c r="BQ18" s="1740" t="s">
        <v>2574</v>
      </c>
      <c r="BR18" s="1740" t="s">
        <v>2574</v>
      </c>
      <c r="BS18" s="1741">
        <f>AVERAGEIFS($BI$19:$BI$1364,$BK$19:$BK$1364,BQ18)</f>
        <v>2.3000000000000001E-4</v>
      </c>
      <c r="BU18" s="1723"/>
      <c r="BV18" s="1689" t="s">
        <v>863</v>
      </c>
      <c r="BW18" s="1689" t="s">
        <v>835</v>
      </c>
      <c r="BX18" s="1689" t="s">
        <v>864</v>
      </c>
      <c r="BY18" s="1689" t="s">
        <v>865</v>
      </c>
      <c r="BZ18" s="1689" t="s">
        <v>866</v>
      </c>
      <c r="CA18" s="1689" t="s">
        <v>867</v>
      </c>
      <c r="CB18" s="1689" t="s">
        <v>868</v>
      </c>
      <c r="CC18" s="1689"/>
      <c r="CD18" s="1689" t="s">
        <v>869</v>
      </c>
      <c r="CE18" s="1689"/>
      <c r="CF18" s="1689"/>
      <c r="CG18" s="1740"/>
      <c r="CH18" s="1740"/>
    </row>
    <row r="19" spans="2:86" ht="15.65" customHeight="1" thickTop="1">
      <c r="B19" s="149"/>
      <c r="C19" s="1837" t="s">
        <v>5489</v>
      </c>
      <c r="D19" s="1839">
        <v>6566</v>
      </c>
      <c r="E19" s="1840" t="s">
        <v>2583</v>
      </c>
      <c r="F19" s="1838"/>
      <c r="G19" s="1698"/>
      <c r="J19" s="1698"/>
      <c r="K19" s="1850" t="str">
        <f t="shared" si="0"/>
        <v>Box of bandages</v>
      </c>
      <c r="L19" s="1854">
        <f t="shared" si="1"/>
        <v>3.402399999999999E-3</v>
      </c>
      <c r="M19" s="1855">
        <f t="shared" si="4"/>
        <v>3.4023999999999992</v>
      </c>
      <c r="N19" s="1857"/>
      <c r="O19" s="1853">
        <f t="shared" si="5"/>
        <v>3.402399999999999E-3</v>
      </c>
      <c r="P19" s="1698"/>
      <c r="S19" s="1698"/>
      <c r="T19" s="1846" t="str">
        <f t="shared" si="2"/>
        <v>Example Product 9</v>
      </c>
      <c r="U19" s="1847">
        <f t="shared" si="3"/>
        <v>3.8898273684210541E-5</v>
      </c>
      <c r="V19" s="1848"/>
      <c r="W19" s="1849">
        <f t="shared" si="6"/>
        <v>3.8898273684210541E-5</v>
      </c>
      <c r="X19" s="1698"/>
      <c r="Z19" s="1698"/>
      <c r="AA19" s="2827"/>
      <c r="AB19" s="2825"/>
      <c r="AC19" s="1698"/>
      <c r="AS19" s="1705"/>
      <c r="AT19" s="1705"/>
      <c r="AY19" s="1742" t="s">
        <v>2575</v>
      </c>
      <c r="AZ19" s="1742">
        <v>2008</v>
      </c>
      <c r="BA19" s="1742" t="s">
        <v>2576</v>
      </c>
      <c r="BB19" s="1743" t="s">
        <v>2577</v>
      </c>
      <c r="BC19" s="1742" t="s">
        <v>2578</v>
      </c>
      <c r="BD19" s="1742" t="s">
        <v>2579</v>
      </c>
      <c r="BE19" s="1742" t="s">
        <v>2580</v>
      </c>
      <c r="BF19" s="1742">
        <v>0</v>
      </c>
      <c r="BG19" s="1742" t="s">
        <v>2581</v>
      </c>
      <c r="BH19" s="1744">
        <f t="shared" ref="BH19:BH24" si="7">IF(BG19="CCM",BF19/1000000,IF(BG19="CDM",BF19/1000, IF(BG19="M3",BF19,"")))</f>
        <v>0</v>
      </c>
      <c r="BI19" s="1745" t="str">
        <f t="shared" ref="BI19:BI82" si="8">IFERROR(BH19/BC19,"")</f>
        <v/>
      </c>
      <c r="BJ19" s="1740" t="str">
        <f t="shared" ref="BJ19:BJ82" si="9">IF(BE19="",BD19,BD19&amp;"-"&amp;BE19)</f>
        <v>EA-Antiretrovirals</v>
      </c>
      <c r="BK19" s="1740" t="str">
        <f>IFERROR(INDEX($BO$18:$BO$136,MATCH(BJ19,$BN$18:$BN$136,0)),"")</f>
        <v>Bottle of Tablets</v>
      </c>
      <c r="BN19" s="1740" t="str">
        <f t="array" ref="BN19">IFERROR(INDEX($BJ$19:$BJ$1364, MATCH(0,COUNTIF($BN$16:BN18, $BJ$19:$BJ$1364), 0)),"")</f>
        <v>vial</v>
      </c>
      <c r="BO19" s="1740" t="s">
        <v>2582</v>
      </c>
      <c r="BQ19" s="1740" t="s">
        <v>2583</v>
      </c>
      <c r="BR19" s="1740" t="s">
        <v>2583</v>
      </c>
      <c r="BS19" s="1741">
        <f>AVERAGEIFS($BI$19:$BI$1364,$BK$19:$BK$1364,BQ19)</f>
        <v>3.8898273684210541E-5</v>
      </c>
      <c r="BU19" s="1723"/>
      <c r="BV19" s="1689" t="s">
        <v>863</v>
      </c>
      <c r="BW19" s="1689" t="s">
        <v>835</v>
      </c>
      <c r="BX19" s="1689" t="s">
        <v>864</v>
      </c>
      <c r="BY19" s="1689" t="s">
        <v>865</v>
      </c>
      <c r="BZ19" s="1689" t="s">
        <v>872</v>
      </c>
      <c r="CA19" s="1689" t="s">
        <v>873</v>
      </c>
      <c r="CB19" s="1689" t="s">
        <v>868</v>
      </c>
      <c r="CC19" s="1689"/>
      <c r="CD19" s="1689">
        <v>10</v>
      </c>
      <c r="CE19" s="1689">
        <v>2.25</v>
      </c>
      <c r="CF19" s="1689">
        <v>2.25</v>
      </c>
      <c r="CG19" s="1740">
        <f>SUM(CF19,CE19)</f>
        <v>4.5</v>
      </c>
      <c r="CH19" s="1740">
        <f>IFERROR(CD19*CG19,"")</f>
        <v>45</v>
      </c>
    </row>
    <row r="20" spans="2:86" ht="15.65" customHeight="1">
      <c r="B20" s="149"/>
      <c r="C20" s="1837" t="s">
        <v>5490</v>
      </c>
      <c r="D20" s="1839">
        <v>8032</v>
      </c>
      <c r="E20" s="1840" t="s">
        <v>2598</v>
      </c>
      <c r="F20" s="1838"/>
      <c r="G20" s="1698"/>
      <c r="J20" s="1698"/>
      <c r="K20" s="1850" t="str">
        <f t="shared" si="0"/>
        <v>Box of condoms</v>
      </c>
      <c r="L20" s="1854">
        <f t="shared" si="1"/>
        <v>1.8400000000000001E-3</v>
      </c>
      <c r="M20" s="1855">
        <f t="shared" si="4"/>
        <v>1.84</v>
      </c>
      <c r="N20" s="1857"/>
      <c r="O20" s="1853">
        <f t="shared" si="5"/>
        <v>1.8400000000000001E-3</v>
      </c>
      <c r="P20" s="1698"/>
      <c r="S20" s="1698"/>
      <c r="T20" s="1846" t="str">
        <f t="shared" si="2"/>
        <v>Example Product 10</v>
      </c>
      <c r="U20" s="1847">
        <f t="shared" si="3"/>
        <v>2.7589999999999997E-3</v>
      </c>
      <c r="V20" s="1848"/>
      <c r="W20" s="1849">
        <f t="shared" si="6"/>
        <v>2.7589999999999997E-3</v>
      </c>
      <c r="X20" s="1698"/>
      <c r="Z20" s="1698"/>
      <c r="AA20" s="1698"/>
      <c r="AB20" s="1698"/>
      <c r="AC20" s="1698"/>
      <c r="AS20" s="1705"/>
      <c r="AT20" s="1705"/>
      <c r="AY20" s="1746" t="s">
        <v>2575</v>
      </c>
      <c r="AZ20" s="1746">
        <v>2008</v>
      </c>
      <c r="BA20" s="1746" t="s">
        <v>2584</v>
      </c>
      <c r="BB20" s="1747" t="s">
        <v>2585</v>
      </c>
      <c r="BC20" s="1746" t="s">
        <v>2578</v>
      </c>
      <c r="BD20" s="1746" t="s">
        <v>2579</v>
      </c>
      <c r="BE20" s="1746" t="s">
        <v>2580</v>
      </c>
      <c r="BF20" s="1746">
        <v>0</v>
      </c>
      <c r="BG20" s="1746" t="s">
        <v>2581</v>
      </c>
      <c r="BH20" s="1744">
        <f t="shared" si="7"/>
        <v>0</v>
      </c>
      <c r="BI20" s="1745" t="str">
        <f t="shared" si="8"/>
        <v/>
      </c>
      <c r="BJ20" s="1740" t="str">
        <f t="shared" si="9"/>
        <v>EA-Antiretrovirals</v>
      </c>
      <c r="BK20" s="1740" t="str">
        <f t="shared" ref="BK20:BK83" si="10">IFERROR(INDEX($BO$18:$BO$136,MATCH(BJ20,$BN$18:$BN$136,0)),"")</f>
        <v>Bottle of Tablets</v>
      </c>
      <c r="BN20" s="1740" t="str">
        <f t="array" ref="BN20">IFERROR(INDEX($BJ$19:$BJ$1364, MATCH(0,COUNTIF($BN$16:BN19, $BJ$19:$BJ$1364), 0)),"")</f>
        <v>bottle</v>
      </c>
      <c r="BO20" s="1740" t="s">
        <v>2586</v>
      </c>
      <c r="BQ20" s="1740" t="s">
        <v>2586</v>
      </c>
      <c r="BR20" s="1740" t="s">
        <v>2587</v>
      </c>
      <c r="BS20" s="1741">
        <f t="array" ref="BS20">_xlfn.PERCENTILE.INC(IF($BK$19:$BK$1364=BQ20,$BH$19:$BH$1364),0.25)</f>
        <v>2.5000000000000001E-4</v>
      </c>
      <c r="BU20" s="1723"/>
      <c r="BV20" s="1689" t="s">
        <v>863</v>
      </c>
      <c r="BW20" s="1689" t="s">
        <v>835</v>
      </c>
      <c r="BX20" s="1689" t="s">
        <v>864</v>
      </c>
      <c r="BY20" s="1689" t="s">
        <v>865</v>
      </c>
      <c r="BZ20" s="1689" t="s">
        <v>872</v>
      </c>
      <c r="CA20" s="1689" t="s">
        <v>876</v>
      </c>
      <c r="CB20" s="1689" t="s">
        <v>868</v>
      </c>
      <c r="CC20" s="1689"/>
      <c r="CD20" s="1689">
        <v>20</v>
      </c>
      <c r="CE20" s="1689">
        <v>1.125</v>
      </c>
      <c r="CF20" s="1689">
        <v>1.125</v>
      </c>
      <c r="CG20" s="1740">
        <f t="shared" ref="CG20:CG30" si="11">SUM(CF20,CE20)</f>
        <v>2.25</v>
      </c>
      <c r="CH20" s="1740">
        <f t="shared" ref="CH20:CH83" si="12">IFERROR(CD20*CG20,"")</f>
        <v>45</v>
      </c>
    </row>
    <row r="21" spans="2:86" ht="15.65" customHeight="1">
      <c r="B21" s="149"/>
      <c r="C21" s="1837"/>
      <c r="D21" s="1839"/>
      <c r="E21" s="1840"/>
      <c r="F21" s="1838"/>
      <c r="G21" s="1698"/>
      <c r="J21" s="1698"/>
      <c r="K21" s="1850" t="str">
        <f t="shared" si="0"/>
        <v>Injection needle</v>
      </c>
      <c r="L21" s="1854">
        <f t="shared" si="1"/>
        <v>3.738512000000001E-6</v>
      </c>
      <c r="M21" s="1855">
        <f t="shared" si="4"/>
        <v>3.7385120000000011E-3</v>
      </c>
      <c r="N21" s="1857"/>
      <c r="O21" s="1853">
        <f t="shared" si="5"/>
        <v>3.738512000000001E-6</v>
      </c>
      <c r="P21" s="1698"/>
      <c r="S21" s="1698"/>
      <c r="T21" s="1846" t="str">
        <f t="shared" si="2"/>
        <v/>
      </c>
      <c r="U21" s="1847" t="str">
        <f t="shared" si="3"/>
        <v/>
      </c>
      <c r="V21" s="1848"/>
      <c r="W21" s="1849" t="str">
        <f t="shared" si="6"/>
        <v/>
      </c>
      <c r="X21" s="1698"/>
      <c r="Z21" s="1698"/>
      <c r="AA21" s="1698"/>
      <c r="AB21" s="1698"/>
      <c r="AC21" s="1698"/>
      <c r="AS21" s="1705"/>
      <c r="AT21" s="1705"/>
      <c r="AY21" s="1746" t="s">
        <v>2588</v>
      </c>
      <c r="AZ21" s="1746">
        <v>2006</v>
      </c>
      <c r="BA21" s="1746" t="s">
        <v>2589</v>
      </c>
      <c r="BB21" s="1747" t="s">
        <v>2590</v>
      </c>
      <c r="BC21" s="1746">
        <v>1</v>
      </c>
      <c r="BD21" s="1746" t="s">
        <v>2591</v>
      </c>
      <c r="BE21" s="1746"/>
      <c r="BF21" s="1746">
        <v>86</v>
      </c>
      <c r="BG21" s="1746" t="s">
        <v>2592</v>
      </c>
      <c r="BH21" s="1744">
        <f t="shared" si="7"/>
        <v>8.6000000000000003E-5</v>
      </c>
      <c r="BI21" s="1745">
        <f t="shared" si="8"/>
        <v>8.6000000000000003E-5</v>
      </c>
      <c r="BJ21" s="1740" t="str">
        <f t="shared" si="9"/>
        <v>vial</v>
      </c>
      <c r="BK21" s="1740" t="str">
        <f t="shared" si="10"/>
        <v>Injection Vial</v>
      </c>
      <c r="BN21" s="1740" t="str">
        <f t="array" ref="BN21">IFERROR(INDEX($BJ$19:$BJ$1364, MATCH(0,COUNTIF($BN$16:BN20, $BJ$19:$BJ$1364), 0)),"")</f>
        <v>tablets</v>
      </c>
      <c r="BO21" s="1740" t="s">
        <v>2573</v>
      </c>
      <c r="BQ21" s="1740" t="s">
        <v>2586</v>
      </c>
      <c r="BR21" s="1740" t="s">
        <v>2547</v>
      </c>
      <c r="BS21" s="1741">
        <f t="array" ref="BS21">_xlfn.PERCENTILE.INC(IF($BK$19:$BK$1364=BQ21,$BH$19:$BH$1364),0.5)</f>
        <v>7.1000000000000002E-4</v>
      </c>
      <c r="BU21" s="1723"/>
      <c r="BV21" s="1689" t="s">
        <v>863</v>
      </c>
      <c r="BW21" s="1689" t="s">
        <v>835</v>
      </c>
      <c r="BX21" s="1689" t="s">
        <v>864</v>
      </c>
      <c r="BY21" s="1689" t="s">
        <v>865</v>
      </c>
      <c r="BZ21" s="1689" t="s">
        <v>878</v>
      </c>
      <c r="CA21" s="1689" t="s">
        <v>879</v>
      </c>
      <c r="CB21" s="1689" t="s">
        <v>868</v>
      </c>
      <c r="CC21" s="1689"/>
      <c r="CD21" s="1689">
        <v>20</v>
      </c>
      <c r="CE21" s="1689">
        <v>1.3056000000000001</v>
      </c>
      <c r="CF21" s="1689">
        <v>1.552</v>
      </c>
      <c r="CG21" s="1740">
        <f t="shared" si="11"/>
        <v>2.8576000000000001</v>
      </c>
      <c r="CH21" s="1740">
        <f t="shared" si="12"/>
        <v>57.152000000000001</v>
      </c>
    </row>
    <row r="22" spans="2:86" ht="15.65" customHeight="1">
      <c r="B22" s="149"/>
      <c r="C22" s="1837"/>
      <c r="D22" s="1839"/>
      <c r="E22" s="1840"/>
      <c r="F22" s="1838"/>
      <c r="G22" s="1698"/>
      <c r="J22" s="1698"/>
      <c r="K22" s="1850" t="str">
        <f t="shared" si="0"/>
        <v>Injection syringe</v>
      </c>
      <c r="L22" s="1854">
        <f t="shared" si="1"/>
        <v>5.7812500000000016E-5</v>
      </c>
      <c r="M22" s="1855">
        <f t="shared" si="4"/>
        <v>5.7812500000000017E-2</v>
      </c>
      <c r="N22" s="1857"/>
      <c r="O22" s="1853">
        <f t="shared" si="5"/>
        <v>5.7812500000000016E-5</v>
      </c>
      <c r="P22" s="1698"/>
      <c r="S22" s="1698"/>
      <c r="T22" s="1846" t="str">
        <f t="shared" si="2"/>
        <v/>
      </c>
      <c r="U22" s="1847" t="str">
        <f t="shared" si="3"/>
        <v/>
      </c>
      <c r="V22" s="1848"/>
      <c r="W22" s="1849" t="str">
        <f t="shared" si="6"/>
        <v/>
      </c>
      <c r="X22" s="1698"/>
      <c r="AS22" s="1705"/>
      <c r="AT22" s="1705"/>
      <c r="AY22" s="1746" t="s">
        <v>2593</v>
      </c>
      <c r="AZ22" s="1746">
        <v>2008</v>
      </c>
      <c r="BA22" s="1746" t="s">
        <v>2594</v>
      </c>
      <c r="BB22" s="1747" t="s">
        <v>2595</v>
      </c>
      <c r="BC22" s="1746">
        <v>1</v>
      </c>
      <c r="BD22" s="1746" t="s">
        <v>2596</v>
      </c>
      <c r="BE22" s="1746"/>
      <c r="BF22" s="1746">
        <v>7.3999999999999999E-4</v>
      </c>
      <c r="BG22" s="1746" t="s">
        <v>2597</v>
      </c>
      <c r="BH22" s="1744">
        <f t="shared" si="7"/>
        <v>7.3999999999999999E-4</v>
      </c>
      <c r="BI22" s="1745">
        <f t="shared" si="8"/>
        <v>7.3999999999999999E-4</v>
      </c>
      <c r="BJ22" s="1740" t="str">
        <f t="shared" si="9"/>
        <v>bottle</v>
      </c>
      <c r="BK22" s="1740" t="str">
        <f t="shared" si="10"/>
        <v>Bottle of Liquid</v>
      </c>
      <c r="BN22" s="1740" t="str">
        <f t="array" ref="BN22">IFERROR(INDEX($BJ$19:$BJ$1364, MATCH(0,COUNTIF($BN$16:BN21, $BJ$19:$BJ$1364), 0)),"")</f>
        <v>tabs</v>
      </c>
      <c r="BO22" s="1740" t="s">
        <v>2573</v>
      </c>
      <c r="BQ22" s="1740" t="s">
        <v>2586</v>
      </c>
      <c r="BR22" s="1740" t="s">
        <v>2598</v>
      </c>
      <c r="BS22" s="1741">
        <f>_xlfn.PERCENTILE.INC(IF($BK$19:$BK$1364=BQ22,$BH$19:$BH$1364),0.75)</f>
        <v>2.7589999999999997E-3</v>
      </c>
      <c r="BU22" s="1723"/>
      <c r="BV22" s="1689" t="s">
        <v>863</v>
      </c>
      <c r="BW22" s="1689" t="s">
        <v>835</v>
      </c>
      <c r="BX22" s="1689" t="s">
        <v>864</v>
      </c>
      <c r="BY22" s="1689" t="s">
        <v>865</v>
      </c>
      <c r="BZ22" s="1689" t="s">
        <v>882</v>
      </c>
      <c r="CA22" s="1689" t="s">
        <v>883</v>
      </c>
      <c r="CB22" s="1689" t="s">
        <v>868</v>
      </c>
      <c r="CC22" s="1689"/>
      <c r="CD22" s="1689">
        <v>10</v>
      </c>
      <c r="CE22" s="1689">
        <v>1.33</v>
      </c>
      <c r="CF22" s="1689">
        <v>1.33</v>
      </c>
      <c r="CG22" s="1740">
        <f t="shared" si="11"/>
        <v>2.66</v>
      </c>
      <c r="CH22" s="1740">
        <f t="shared" si="12"/>
        <v>26.6</v>
      </c>
    </row>
    <row r="23" spans="2:86" ht="15.65" customHeight="1">
      <c r="B23" s="149"/>
      <c r="C23" s="1837"/>
      <c r="D23" s="1839"/>
      <c r="E23" s="1840"/>
      <c r="F23" s="1862"/>
      <c r="G23" s="1863"/>
      <c r="J23" s="1748"/>
      <c r="K23" s="1850" t="str">
        <f t="shared" si="0"/>
        <v>Injection vial</v>
      </c>
      <c r="L23" s="1854">
        <f t="shared" si="1"/>
        <v>7.2477046875000007E-5</v>
      </c>
      <c r="M23" s="1855">
        <f t="shared" si="4"/>
        <v>7.2477046875000006E-2</v>
      </c>
      <c r="N23" s="1857"/>
      <c r="O23" s="1853">
        <f t="shared" si="5"/>
        <v>7.2477046875000007E-5</v>
      </c>
      <c r="P23" s="1748"/>
      <c r="Q23" s="1749"/>
      <c r="R23" s="1749"/>
      <c r="S23" s="1698"/>
      <c r="T23" s="1846" t="str">
        <f t="shared" si="2"/>
        <v/>
      </c>
      <c r="U23" s="1847" t="str">
        <f t="shared" si="3"/>
        <v/>
      </c>
      <c r="V23" s="1848"/>
      <c r="W23" s="1849" t="str">
        <f t="shared" si="6"/>
        <v/>
      </c>
      <c r="X23" s="1698"/>
      <c r="AS23" s="1705"/>
      <c r="AT23" s="1705"/>
      <c r="AY23" s="1746" t="s">
        <v>2593</v>
      </c>
      <c r="AZ23" s="1746">
        <v>2008</v>
      </c>
      <c r="BA23" s="1746" t="s">
        <v>2599</v>
      </c>
      <c r="BB23" s="1747" t="s">
        <v>2600</v>
      </c>
      <c r="BC23" s="1746">
        <v>60</v>
      </c>
      <c r="BD23" s="1746" t="s">
        <v>2601</v>
      </c>
      <c r="BE23" s="1746"/>
      <c r="BF23" s="1746">
        <v>3.4000000000000002E-4</v>
      </c>
      <c r="BG23" s="1746" t="s">
        <v>2597</v>
      </c>
      <c r="BH23" s="1744">
        <f t="shared" si="7"/>
        <v>3.4000000000000002E-4</v>
      </c>
      <c r="BI23" s="1745">
        <f t="shared" si="8"/>
        <v>5.6666666666666669E-6</v>
      </c>
      <c r="BJ23" s="1740" t="str">
        <f t="shared" si="9"/>
        <v>tablets</v>
      </c>
      <c r="BK23" s="1740" t="str">
        <f t="shared" si="10"/>
        <v>Bottle of Tablets</v>
      </c>
      <c r="BN23" s="1740" t="str">
        <f t="array" ref="BN23">IFERROR(INDEX($BJ$19:$BJ$1364, MATCH(0,COUNTIF($BN$16:BN22, $BJ$19:$BJ$1364), 0)),"")</f>
        <v>PAC-Analg., non opioids</v>
      </c>
      <c r="BO23" s="1740" t="s">
        <v>2573</v>
      </c>
      <c r="BQ23" s="1740" t="s">
        <v>2573</v>
      </c>
      <c r="BR23" s="1740" t="s">
        <v>2602</v>
      </c>
      <c r="BS23" s="1741">
        <f t="array" ref="BS23">_xlfn.PERCENTILE.INC(IF($BK$19:$BK$1364=BQ23,$BH$19:$BH$1364),0.25)</f>
        <v>2.6000000000000003E-4</v>
      </c>
      <c r="BU23" s="1705"/>
      <c r="BV23" s="1689" t="s">
        <v>887</v>
      </c>
      <c r="BW23" s="1689" t="s">
        <v>888</v>
      </c>
      <c r="BX23" s="1689" t="s">
        <v>889</v>
      </c>
      <c r="BY23" s="1689" t="s">
        <v>890</v>
      </c>
      <c r="BZ23" s="1689" t="s">
        <v>891</v>
      </c>
      <c r="CA23" s="1689" t="s">
        <v>892</v>
      </c>
      <c r="CB23" s="1689" t="s">
        <v>893</v>
      </c>
      <c r="CC23" s="1689"/>
      <c r="CD23" s="1689" t="s">
        <v>894</v>
      </c>
      <c r="CE23" s="1689">
        <v>271</v>
      </c>
      <c r="CF23" s="1689"/>
      <c r="CG23" s="1740">
        <f t="shared" si="11"/>
        <v>271</v>
      </c>
      <c r="CH23" s="1740" t="str">
        <f t="shared" si="12"/>
        <v/>
      </c>
    </row>
    <row r="24" spans="2:86" ht="15.65" customHeight="1">
      <c r="B24" s="149"/>
      <c r="C24" s="1837"/>
      <c r="D24" s="1839"/>
      <c r="E24" s="1840"/>
      <c r="F24" s="1838"/>
      <c r="G24" s="1698"/>
      <c r="J24" s="1698"/>
      <c r="K24" s="1850" t="str">
        <f t="shared" si="0"/>
        <v>Intravenous bag</v>
      </c>
      <c r="L24" s="1854">
        <f t="shared" si="1"/>
        <v>3.9027855555555553E-3</v>
      </c>
      <c r="M24" s="1855">
        <f t="shared" si="4"/>
        <v>3.9027855555555555</v>
      </c>
      <c r="N24" s="1857"/>
      <c r="O24" s="1853">
        <f t="shared" si="5"/>
        <v>3.9027855555555553E-3</v>
      </c>
      <c r="P24" s="1698"/>
      <c r="S24" s="1698"/>
      <c r="T24" s="1846" t="str">
        <f t="shared" si="2"/>
        <v/>
      </c>
      <c r="U24" s="1847" t="str">
        <f t="shared" si="3"/>
        <v/>
      </c>
      <c r="V24" s="1848"/>
      <c r="W24" s="1849" t="str">
        <f t="shared" si="6"/>
        <v/>
      </c>
      <c r="X24" s="1698"/>
      <c r="AS24" s="1705"/>
      <c r="AT24" s="1705"/>
      <c r="AY24" s="1746" t="s">
        <v>2575</v>
      </c>
      <c r="AZ24" s="1746">
        <v>2008</v>
      </c>
      <c r="BA24" s="1746" t="s">
        <v>2603</v>
      </c>
      <c r="BB24" s="1747" t="s">
        <v>2604</v>
      </c>
      <c r="BC24" s="1746" t="s">
        <v>2578</v>
      </c>
      <c r="BD24" s="1746" t="s">
        <v>2579</v>
      </c>
      <c r="BE24" s="1746" t="s">
        <v>2580</v>
      </c>
      <c r="BF24" s="1746">
        <v>1.63</v>
      </c>
      <c r="BG24" s="1746" t="s">
        <v>2581</v>
      </c>
      <c r="BH24" s="1744">
        <f t="shared" si="7"/>
        <v>1.6299999999999999E-3</v>
      </c>
      <c r="BI24" s="1745" t="str">
        <f t="shared" si="8"/>
        <v/>
      </c>
      <c r="BJ24" s="1740" t="str">
        <f t="shared" si="9"/>
        <v>EA-Antiretrovirals</v>
      </c>
      <c r="BK24" s="1740" t="str">
        <f t="shared" si="10"/>
        <v>Bottle of Tablets</v>
      </c>
      <c r="BN24" s="1740" t="str">
        <f t="array" ref="BN24">IFERROR(INDEX($BJ$19:$BJ$1364, MATCH(0,COUNTIF($BN$16:BN23, $BJ$19:$BJ$1364), 0)),"")</f>
        <v>PAC-Antivirals</v>
      </c>
      <c r="BO24" s="1740" t="s">
        <v>2573</v>
      </c>
      <c r="BQ24" s="1740" t="s">
        <v>2573</v>
      </c>
      <c r="BR24" s="1740" t="s">
        <v>2605</v>
      </c>
      <c r="BS24" s="1741">
        <f t="array" ref="BS24">_xlfn.PERCENTILE.INC(IF($BK$19:$BK$1364=BQ24,$BH$19:$BH$1364),0.5)</f>
        <v>5.6999999999999998E-4</v>
      </c>
      <c r="BV24" s="1689" t="s">
        <v>887</v>
      </c>
      <c r="BW24" s="1689" t="s">
        <v>888</v>
      </c>
      <c r="BX24" s="1689" t="s">
        <v>889</v>
      </c>
      <c r="BY24" s="1689" t="s">
        <v>890</v>
      </c>
      <c r="BZ24" s="1689" t="s">
        <v>891</v>
      </c>
      <c r="CA24" s="1689" t="s">
        <v>898</v>
      </c>
      <c r="CB24" s="1689" t="s">
        <v>893</v>
      </c>
      <c r="CC24" s="1689"/>
      <c r="CD24" s="1689" t="s">
        <v>894</v>
      </c>
      <c r="CE24" s="1689">
        <v>136</v>
      </c>
      <c r="CF24" s="1689"/>
      <c r="CG24" s="1740">
        <f t="shared" si="11"/>
        <v>136</v>
      </c>
      <c r="CH24" s="1740" t="str">
        <f t="shared" si="12"/>
        <v/>
      </c>
    </row>
    <row r="25" spans="2:86" ht="15.65" customHeight="1">
      <c r="B25" s="149"/>
      <c r="C25" s="1837"/>
      <c r="D25" s="1839"/>
      <c r="E25" s="1840"/>
      <c r="F25" s="1838"/>
      <c r="G25" s="1698"/>
      <c r="J25" s="1698"/>
      <c r="K25" s="1850" t="str">
        <f t="shared" si="0"/>
        <v>Medical equipment - Small</v>
      </c>
      <c r="L25" s="1854">
        <f t="shared" si="1"/>
        <v>2.3699999999999999E-4</v>
      </c>
      <c r="M25" s="1855">
        <f t="shared" si="4"/>
        <v>0.23699999999999999</v>
      </c>
      <c r="N25" s="1857"/>
      <c r="O25" s="1853">
        <f t="shared" si="5"/>
        <v>2.3699999999999999E-4</v>
      </c>
      <c r="P25" s="1698"/>
      <c r="S25" s="1698"/>
      <c r="T25" s="1846" t="str">
        <f t="shared" si="2"/>
        <v/>
      </c>
      <c r="U25" s="1847" t="str">
        <f t="shared" si="3"/>
        <v/>
      </c>
      <c r="V25" s="1848"/>
      <c r="W25" s="1849" t="str">
        <f t="shared" si="6"/>
        <v/>
      </c>
      <c r="X25" s="1698"/>
      <c r="AS25" s="1705"/>
      <c r="AT25" s="1705"/>
      <c r="AY25" s="1746" t="s">
        <v>2575</v>
      </c>
      <c r="AZ25" s="1746">
        <v>2008</v>
      </c>
      <c r="BA25" s="1746" t="s">
        <v>2606</v>
      </c>
      <c r="BB25" s="1747" t="s">
        <v>2607</v>
      </c>
      <c r="BC25" s="1746" t="s">
        <v>2578</v>
      </c>
      <c r="BD25" s="1746" t="s">
        <v>2579</v>
      </c>
      <c r="BE25" s="1746" t="s">
        <v>2580</v>
      </c>
      <c r="BF25" s="1746">
        <v>0.7</v>
      </c>
      <c r="BG25" s="1746" t="s">
        <v>2581</v>
      </c>
      <c r="BH25" s="1744">
        <f t="shared" ref="BH25:BH88" si="13">IF(BG25="CCM",BF25/1000000,IF(BG25="CDM",BF25/1000, IF(BG25="M3",BF25,"")))</f>
        <v>6.9999999999999999E-4</v>
      </c>
      <c r="BI25" s="1745" t="str">
        <f t="shared" si="8"/>
        <v/>
      </c>
      <c r="BJ25" s="1740" t="str">
        <f t="shared" si="9"/>
        <v>EA-Antiretrovirals</v>
      </c>
      <c r="BK25" s="1740" t="str">
        <f t="shared" si="10"/>
        <v>Bottle of Tablets</v>
      </c>
      <c r="BN25" s="1740" t="str">
        <f t="array" ref="BN25">IFERROR(INDEX($BJ$19:$BJ$1364, MATCH(0,COUNTIF($BN$16:BN24, $BJ$19:$BJ$1364), 0)),"")</f>
        <v>tubes</v>
      </c>
      <c r="BO25" s="1740" t="s">
        <v>2608</v>
      </c>
      <c r="BQ25" s="1740" t="s">
        <v>2573</v>
      </c>
      <c r="BR25" s="1740" t="s">
        <v>2609</v>
      </c>
      <c r="BS25" s="1741">
        <f t="array" ref="BS25">_xlfn.PERCENTILE.INC(IF($BK$19:$BK$1364=BQ25,$BH$19:$BH$1364),0.75)</f>
        <v>1.6127000000000001E-3</v>
      </c>
      <c r="BV25" s="1689" t="s">
        <v>887</v>
      </c>
      <c r="BW25" s="1689" t="s">
        <v>888</v>
      </c>
      <c r="BX25" s="1689" t="s">
        <v>889</v>
      </c>
      <c r="BY25" s="1689" t="s">
        <v>890</v>
      </c>
      <c r="BZ25" s="1689" t="s">
        <v>891</v>
      </c>
      <c r="CA25" s="1689" t="s">
        <v>899</v>
      </c>
      <c r="CB25" s="1689" t="s">
        <v>893</v>
      </c>
      <c r="CC25" s="1689"/>
      <c r="CD25" s="1689">
        <v>1</v>
      </c>
      <c r="CE25" s="1689">
        <v>44</v>
      </c>
      <c r="CF25" s="1689"/>
      <c r="CG25" s="1740">
        <f t="shared" si="11"/>
        <v>44</v>
      </c>
      <c r="CH25" s="1740">
        <f t="shared" si="12"/>
        <v>44</v>
      </c>
    </row>
    <row r="26" spans="2:86" ht="15.65" customHeight="1">
      <c r="B26" s="149"/>
      <c r="C26" s="1837"/>
      <c r="D26" s="1839"/>
      <c r="E26" s="1840"/>
      <c r="F26" s="1838"/>
      <c r="G26" s="1698"/>
      <c r="J26" s="1698"/>
      <c r="K26" s="1850" t="str">
        <f t="shared" si="0"/>
        <v>Medical equipment - Med</v>
      </c>
      <c r="L26" s="1854">
        <f t="shared" si="1"/>
        <v>9.8999999999999999E-4</v>
      </c>
      <c r="M26" s="1855">
        <f t="shared" si="4"/>
        <v>0.99</v>
      </c>
      <c r="N26" s="1857"/>
      <c r="O26" s="1853">
        <f t="shared" si="5"/>
        <v>9.8999999999999999E-4</v>
      </c>
      <c r="P26" s="1698"/>
      <c r="S26" s="1698"/>
      <c r="T26" s="1846" t="str">
        <f t="shared" si="2"/>
        <v/>
      </c>
      <c r="U26" s="1847" t="str">
        <f t="shared" si="3"/>
        <v/>
      </c>
      <c r="V26" s="1848"/>
      <c r="W26" s="1849" t="str">
        <f t="shared" si="6"/>
        <v/>
      </c>
      <c r="X26" s="1698"/>
      <c r="AS26" s="1705"/>
      <c r="AT26" s="1705"/>
      <c r="AY26" s="1746" t="s">
        <v>2575</v>
      </c>
      <c r="AZ26" s="1746">
        <v>2008</v>
      </c>
      <c r="BA26" s="1746" t="s">
        <v>2610</v>
      </c>
      <c r="BB26" s="1747" t="s">
        <v>2611</v>
      </c>
      <c r="BC26" s="1746" t="s">
        <v>2578</v>
      </c>
      <c r="BD26" s="1746" t="s">
        <v>2579</v>
      </c>
      <c r="BE26" s="1746" t="s">
        <v>2580</v>
      </c>
      <c r="BF26" s="1746">
        <v>0</v>
      </c>
      <c r="BG26" s="1746"/>
      <c r="BH26" s="1744" t="str">
        <f t="shared" si="13"/>
        <v/>
      </c>
      <c r="BI26" s="1745" t="str">
        <f t="shared" si="8"/>
        <v/>
      </c>
      <c r="BJ26" s="1740" t="str">
        <f t="shared" si="9"/>
        <v>EA-Antiretrovirals</v>
      </c>
      <c r="BK26" s="1740" t="str">
        <f t="shared" si="10"/>
        <v>Bottle of Tablets</v>
      </c>
      <c r="BN26" s="1740" t="str">
        <f t="array" ref="BN26">IFERROR(INDEX($BJ$19:$BJ$1364, MATCH(0,COUNTIF($BN$16:BN25, $BJ$19:$BJ$1364), 0)),"")</f>
        <v>tube</v>
      </c>
      <c r="BO26" s="1740" t="s">
        <v>2608</v>
      </c>
      <c r="BQ26" s="1740" t="s">
        <v>2612</v>
      </c>
      <c r="BR26" s="1740" t="s">
        <v>2612</v>
      </c>
      <c r="BS26" s="1741">
        <f>AVERAGEIFS($BH$19:$BH$1364,$BK$19:$BK$1364,BQ26)</f>
        <v>3.402399999999999E-3</v>
      </c>
      <c r="BV26" s="1689" t="s">
        <v>887</v>
      </c>
      <c r="BW26" s="1689" t="s">
        <v>888</v>
      </c>
      <c r="BX26" s="1689" t="s">
        <v>889</v>
      </c>
      <c r="BY26" s="1689" t="s">
        <v>890</v>
      </c>
      <c r="BZ26" s="1689" t="s">
        <v>891</v>
      </c>
      <c r="CA26" s="1689" t="s">
        <v>900</v>
      </c>
      <c r="CB26" s="1689" t="s">
        <v>868</v>
      </c>
      <c r="CC26" s="1689"/>
      <c r="CD26" s="1689">
        <v>1</v>
      </c>
      <c r="CE26" s="1689">
        <v>24.4</v>
      </c>
      <c r="CF26" s="1689"/>
      <c r="CG26" s="1740">
        <f t="shared" si="11"/>
        <v>24.4</v>
      </c>
      <c r="CH26" s="1740">
        <f t="shared" si="12"/>
        <v>24.4</v>
      </c>
    </row>
    <row r="27" spans="2:86" ht="15.65" customHeight="1">
      <c r="B27" s="149"/>
      <c r="C27" s="1837"/>
      <c r="D27" s="1841"/>
      <c r="E27" s="1840"/>
      <c r="F27" s="1838"/>
      <c r="G27" s="1698"/>
      <c r="J27" s="1698"/>
      <c r="K27" s="1850" t="str">
        <f t="shared" si="0"/>
        <v>Medical equipment - Large</v>
      </c>
      <c r="L27" s="1854">
        <f t="shared" si="1"/>
        <v>5.4999999999999997E-3</v>
      </c>
      <c r="M27" s="1855">
        <f t="shared" si="4"/>
        <v>5.5</v>
      </c>
      <c r="N27" s="1857"/>
      <c r="O27" s="1853">
        <f t="shared" si="5"/>
        <v>5.4999999999999997E-3</v>
      </c>
      <c r="P27" s="1698"/>
      <c r="S27" s="1698"/>
      <c r="T27" s="1846" t="str">
        <f t="shared" si="2"/>
        <v/>
      </c>
      <c r="U27" s="1847" t="str">
        <f t="shared" si="3"/>
        <v/>
      </c>
      <c r="V27" s="1848"/>
      <c r="W27" s="1849" t="str">
        <f t="shared" si="6"/>
        <v/>
      </c>
      <c r="X27" s="1698"/>
      <c r="AS27" s="1705"/>
      <c r="AT27" s="1705"/>
      <c r="AY27" s="1746" t="s">
        <v>2588</v>
      </c>
      <c r="AZ27" s="1746">
        <v>2006</v>
      </c>
      <c r="BA27" s="1746" t="s">
        <v>2613</v>
      </c>
      <c r="BB27" s="1747" t="s">
        <v>2614</v>
      </c>
      <c r="BC27" s="1746">
        <v>1000</v>
      </c>
      <c r="BD27" s="1746" t="s">
        <v>2615</v>
      </c>
      <c r="BE27" s="1746"/>
      <c r="BF27" s="1746">
        <v>1417</v>
      </c>
      <c r="BG27" s="1746" t="s">
        <v>2592</v>
      </c>
      <c r="BH27" s="1744">
        <f t="shared" si="13"/>
        <v>1.4170000000000001E-3</v>
      </c>
      <c r="BI27" s="1745">
        <f t="shared" si="8"/>
        <v>1.4170000000000002E-6</v>
      </c>
      <c r="BJ27" s="1740" t="str">
        <f t="shared" si="9"/>
        <v>tabs</v>
      </c>
      <c r="BK27" s="1740" t="str">
        <f t="shared" si="10"/>
        <v>Bottle of Tablets</v>
      </c>
      <c r="BN27" s="1740" t="str">
        <f t="array" ref="BN27">IFERROR(INDEX($BJ$19:$BJ$1364, MATCH(0,COUNTIF($BN$16:BN26, $BJ$19:$BJ$1364), 0)),"")</f>
        <v>TBE-Antivirals</v>
      </c>
      <c r="BO27" s="1740" t="s">
        <v>2608</v>
      </c>
      <c r="BQ27" s="1740" t="s">
        <v>2616</v>
      </c>
      <c r="BR27" s="1740" t="s">
        <v>2616</v>
      </c>
      <c r="BS27" s="1741">
        <v>1.8400000000000001E-3</v>
      </c>
      <c r="BV27" s="1689" t="s">
        <v>887</v>
      </c>
      <c r="BW27" s="1689" t="s">
        <v>888</v>
      </c>
      <c r="BX27" s="1689" t="s">
        <v>889</v>
      </c>
      <c r="BY27" s="1689" t="s">
        <v>890</v>
      </c>
      <c r="BZ27" s="1689" t="s">
        <v>901</v>
      </c>
      <c r="CA27" s="1689" t="s">
        <v>902</v>
      </c>
      <c r="CB27" s="1689"/>
      <c r="CC27" s="1689"/>
      <c r="CD27" s="1689">
        <v>1</v>
      </c>
      <c r="CE27" s="1689">
        <v>16.8</v>
      </c>
      <c r="CF27" s="1689"/>
      <c r="CG27" s="1740">
        <f t="shared" si="11"/>
        <v>16.8</v>
      </c>
      <c r="CH27" s="1740">
        <f t="shared" si="12"/>
        <v>16.8</v>
      </c>
    </row>
    <row r="28" spans="2:86" ht="15.65" customHeight="1">
      <c r="B28" s="149"/>
      <c r="C28" s="1837"/>
      <c r="D28" s="1841"/>
      <c r="E28" s="1840"/>
      <c r="F28" s="1838"/>
      <c r="G28" s="1698"/>
      <c r="J28" s="1698"/>
      <c r="K28" s="1850" t="str">
        <f t="shared" si="0"/>
        <v>Mosquito net</v>
      </c>
      <c r="L28" s="1854">
        <f t="shared" si="1"/>
        <v>1.1070999999999998E-2</v>
      </c>
      <c r="M28" s="1855">
        <f t="shared" si="4"/>
        <v>11.070999999999998</v>
      </c>
      <c r="N28" s="1857"/>
      <c r="O28" s="1853">
        <f t="shared" si="5"/>
        <v>1.1070999999999998E-2</v>
      </c>
      <c r="P28" s="1698"/>
      <c r="S28" s="1698"/>
      <c r="T28" s="1846" t="str">
        <f t="shared" si="2"/>
        <v/>
      </c>
      <c r="U28" s="1847" t="str">
        <f t="shared" si="3"/>
        <v/>
      </c>
      <c r="V28" s="1848"/>
      <c r="W28" s="1849" t="str">
        <f t="shared" si="6"/>
        <v/>
      </c>
      <c r="X28" s="1698"/>
      <c r="AS28" s="1705"/>
      <c r="AT28" s="1705"/>
      <c r="AY28" s="1746" t="s">
        <v>2593</v>
      </c>
      <c r="AZ28" s="1746">
        <v>2008</v>
      </c>
      <c r="BA28" s="1746" t="s">
        <v>2617</v>
      </c>
      <c r="BB28" s="1747" t="s">
        <v>2618</v>
      </c>
      <c r="BC28" s="1750">
        <v>1000</v>
      </c>
      <c r="BD28" s="1746" t="s">
        <v>2601</v>
      </c>
      <c r="BE28" s="1746"/>
      <c r="BF28" s="1746">
        <v>9.6000000000000002E-4</v>
      </c>
      <c r="BG28" s="1746" t="s">
        <v>2597</v>
      </c>
      <c r="BH28" s="1744">
        <f t="shared" si="13"/>
        <v>9.6000000000000002E-4</v>
      </c>
      <c r="BI28" s="1745">
        <f t="shared" si="8"/>
        <v>9.6000000000000013E-7</v>
      </c>
      <c r="BJ28" s="1740" t="str">
        <f t="shared" si="9"/>
        <v>tablets</v>
      </c>
      <c r="BK28" s="1740" t="str">
        <f t="shared" si="10"/>
        <v>Bottle of Tablets</v>
      </c>
      <c r="BN28" s="1740" t="str">
        <f t="array" ref="BN28">IFERROR(INDEX($BJ$19:$BJ$1364, MATCH(0,COUNTIF($BN$16:BN27, $BJ$19:$BJ$1364), 0)),"")</f>
        <v>roll</v>
      </c>
      <c r="BO28" s="1740" t="s">
        <v>2619</v>
      </c>
      <c r="BQ28" s="1740" t="s">
        <v>2620</v>
      </c>
      <c r="BR28" s="1740" t="s">
        <v>2620</v>
      </c>
      <c r="BS28" s="1741">
        <f>AVERAGEIFS($BH$19:$BH$1364,$BK$19:$BK$1364,BQ28)/100</f>
        <v>3.738512000000001E-6</v>
      </c>
      <c r="BV28" s="1689" t="s">
        <v>905</v>
      </c>
      <c r="BW28" s="1689" t="s">
        <v>906</v>
      </c>
      <c r="BX28" s="1689" t="s">
        <v>889</v>
      </c>
      <c r="BY28" s="1689" t="s">
        <v>907</v>
      </c>
      <c r="BZ28" s="1689"/>
      <c r="CA28" s="1689" t="s">
        <v>908</v>
      </c>
      <c r="CB28" s="1689"/>
      <c r="CC28" s="1689"/>
      <c r="CD28" s="1689">
        <v>20</v>
      </c>
      <c r="CE28" s="1689">
        <v>2.4329999999999998</v>
      </c>
      <c r="CF28" s="1689"/>
      <c r="CG28" s="1740">
        <f t="shared" si="11"/>
        <v>2.4329999999999998</v>
      </c>
      <c r="CH28" s="1740">
        <f t="shared" si="12"/>
        <v>48.66</v>
      </c>
    </row>
    <row r="29" spans="2:86" ht="15.65" customHeight="1">
      <c r="B29" s="149"/>
      <c r="C29" s="1837"/>
      <c r="D29" s="1841"/>
      <c r="E29" s="1840"/>
      <c r="F29" s="1838"/>
      <c r="G29" s="1698"/>
      <c r="J29" s="1698"/>
      <c r="K29" s="1850" t="str">
        <f t="shared" si="0"/>
        <v>PEP Kit</v>
      </c>
      <c r="L29" s="1854">
        <f t="shared" si="1"/>
        <v>5.3E-3</v>
      </c>
      <c r="M29" s="1855">
        <f t="shared" si="4"/>
        <v>5.3</v>
      </c>
      <c r="N29" s="1857"/>
      <c r="O29" s="1853">
        <f t="shared" si="5"/>
        <v>5.3E-3</v>
      </c>
      <c r="P29" s="1698"/>
      <c r="S29" s="1698"/>
      <c r="T29" s="1846" t="str">
        <f t="shared" si="2"/>
        <v/>
      </c>
      <c r="U29" s="1847" t="str">
        <f t="shared" si="3"/>
        <v/>
      </c>
      <c r="V29" s="1848"/>
      <c r="W29" s="1849" t="str">
        <f t="shared" si="6"/>
        <v/>
      </c>
      <c r="X29" s="1698"/>
      <c r="AS29" s="1705"/>
      <c r="AT29" s="1705"/>
      <c r="AY29" s="1746" t="s">
        <v>2588</v>
      </c>
      <c r="AZ29" s="1746">
        <v>2006</v>
      </c>
      <c r="BA29" s="1746" t="s">
        <v>2621</v>
      </c>
      <c r="BB29" s="1747" t="s">
        <v>2622</v>
      </c>
      <c r="BC29" s="1746">
        <v>1000</v>
      </c>
      <c r="BD29" s="1746" t="s">
        <v>2615</v>
      </c>
      <c r="BE29" s="1746"/>
      <c r="BF29" s="1746">
        <v>593.4</v>
      </c>
      <c r="BG29" s="1746" t="s">
        <v>2592</v>
      </c>
      <c r="BH29" s="1744">
        <f t="shared" si="13"/>
        <v>5.934E-4</v>
      </c>
      <c r="BI29" s="1745">
        <f t="shared" si="8"/>
        <v>5.9340000000000001E-7</v>
      </c>
      <c r="BJ29" s="1740" t="str">
        <f t="shared" si="9"/>
        <v>tabs</v>
      </c>
      <c r="BK29" s="1740" t="str">
        <f t="shared" si="10"/>
        <v>Bottle of Tablets</v>
      </c>
      <c r="BN29" s="1740" t="str">
        <f t="array" ref="BN29">IFERROR(INDEX($BJ$19:$BJ$1364, MATCH(0,COUNTIF($BN$16:BN28, $BJ$19:$BJ$1364), 0)),"")</f>
        <v>rolls</v>
      </c>
      <c r="BO29" s="1740" t="s">
        <v>2619</v>
      </c>
      <c r="BQ29" s="1740" t="s">
        <v>2623</v>
      </c>
      <c r="BR29" s="1740" t="s">
        <v>2623</v>
      </c>
      <c r="BS29" s="1741">
        <f>AVERAGEIFS($BH$19:$BH$1364,$BK$19:$BK$1364,BQ29)/100</f>
        <v>5.7812500000000016E-5</v>
      </c>
      <c r="BV29" s="1689" t="s">
        <v>905</v>
      </c>
      <c r="BW29" s="1689" t="s">
        <v>906</v>
      </c>
      <c r="BX29" s="1689" t="s">
        <v>889</v>
      </c>
      <c r="BY29" s="1689" t="s">
        <v>907</v>
      </c>
      <c r="BZ29" s="1689"/>
      <c r="CA29" s="1689" t="s">
        <v>910</v>
      </c>
      <c r="CB29" s="1689"/>
      <c r="CC29" s="1689"/>
      <c r="CD29" s="1689">
        <v>10</v>
      </c>
      <c r="CE29" s="1689">
        <v>2.6110000000000002</v>
      </c>
      <c r="CF29" s="1689"/>
      <c r="CG29" s="1740">
        <f t="shared" si="11"/>
        <v>2.6110000000000002</v>
      </c>
      <c r="CH29" s="1740">
        <f t="shared" si="12"/>
        <v>26.110000000000003</v>
      </c>
    </row>
    <row r="30" spans="2:86" ht="15.65" customHeight="1">
      <c r="B30" s="149"/>
      <c r="C30" s="1837"/>
      <c r="D30" s="1841"/>
      <c r="E30" s="1840"/>
      <c r="F30" s="1838"/>
      <c r="G30" s="1698"/>
      <c r="J30" s="1698"/>
      <c r="K30" s="1850" t="str">
        <f t="shared" si="0"/>
        <v>Rapid test</v>
      </c>
      <c r="L30" s="1854">
        <f t="shared" si="1"/>
        <v>2.3059312307692308E-3</v>
      </c>
      <c r="M30" s="1855">
        <f t="shared" si="4"/>
        <v>2.3059312307692306</v>
      </c>
      <c r="N30" s="1857"/>
      <c r="O30" s="1853">
        <f t="shared" si="5"/>
        <v>2.3059312307692308E-3</v>
      </c>
      <c r="P30" s="1698"/>
      <c r="S30" s="1698"/>
      <c r="T30" s="1846" t="str">
        <f t="shared" si="2"/>
        <v/>
      </c>
      <c r="U30" s="1847" t="str">
        <f t="shared" si="3"/>
        <v/>
      </c>
      <c r="V30" s="1848"/>
      <c r="W30" s="1849" t="str">
        <f t="shared" si="6"/>
        <v/>
      </c>
      <c r="X30" s="1698"/>
      <c r="AS30" s="1705"/>
      <c r="AT30" s="1705"/>
      <c r="AY30" s="1746" t="s">
        <v>2593</v>
      </c>
      <c r="AZ30" s="1746">
        <v>2008</v>
      </c>
      <c r="BA30" s="1746" t="s">
        <v>2624</v>
      </c>
      <c r="BB30" s="1747" t="s">
        <v>2625</v>
      </c>
      <c r="BC30" s="1750">
        <v>1000</v>
      </c>
      <c r="BD30" s="1746" t="s">
        <v>2601</v>
      </c>
      <c r="BE30" s="1746"/>
      <c r="BF30" s="1746">
        <v>5.4000000000000001E-4</v>
      </c>
      <c r="BG30" s="1746" t="s">
        <v>2597</v>
      </c>
      <c r="BH30" s="1744">
        <f t="shared" si="13"/>
        <v>5.4000000000000001E-4</v>
      </c>
      <c r="BI30" s="1745">
        <f t="shared" si="8"/>
        <v>5.4000000000000002E-7</v>
      </c>
      <c r="BJ30" s="1740" t="str">
        <f t="shared" si="9"/>
        <v>tablets</v>
      </c>
      <c r="BK30" s="1740" t="str">
        <f t="shared" si="10"/>
        <v>Bottle of Tablets</v>
      </c>
      <c r="BN30" s="1740" t="str">
        <f t="array" ref="BN30">IFERROR(INDEX($BJ$19:$BJ$1364, MATCH(0,COUNTIF($BN$16:BN29, $BJ$19:$BJ$1364), 0)),"")</f>
        <v>pce</v>
      </c>
      <c r="BO30" s="1740" t="s">
        <v>2619</v>
      </c>
      <c r="BQ30" s="1740" t="s">
        <v>2626</v>
      </c>
      <c r="BR30" s="1740" t="s">
        <v>2626</v>
      </c>
      <c r="BS30" s="1741">
        <f>AVERAGEIFS($BI$19:$BI$1364,$BK$19:$BK$1364,BQ30)</f>
        <v>7.2477046875000007E-5</v>
      </c>
      <c r="BV30" s="1689" t="s">
        <v>905</v>
      </c>
      <c r="BW30" s="1689" t="s">
        <v>906</v>
      </c>
      <c r="BX30" s="1689" t="s">
        <v>889</v>
      </c>
      <c r="BY30" s="1689" t="s">
        <v>907</v>
      </c>
      <c r="BZ30" s="1689"/>
      <c r="CA30" s="1689" t="s">
        <v>912</v>
      </c>
      <c r="CB30" s="1689"/>
      <c r="CC30" s="1689"/>
      <c r="CD30" s="1689">
        <v>1</v>
      </c>
      <c r="CE30" s="1689">
        <v>15.715</v>
      </c>
      <c r="CF30" s="1689"/>
      <c r="CG30" s="1740">
        <f t="shared" si="11"/>
        <v>15.715</v>
      </c>
      <c r="CH30" s="1740">
        <f t="shared" si="12"/>
        <v>15.715</v>
      </c>
    </row>
    <row r="31" spans="2:86" ht="15.65" customHeight="1">
      <c r="B31" s="149"/>
      <c r="C31" s="1837"/>
      <c r="D31" s="1841"/>
      <c r="E31" s="1840"/>
      <c r="F31" s="1838"/>
      <c r="G31" s="1698"/>
      <c r="J31" s="1698"/>
      <c r="K31" s="1850" t="str">
        <f t="shared" si="0"/>
        <v>Roll of tape/gauze</v>
      </c>
      <c r="L31" s="1854">
        <f t="shared" si="1"/>
        <v>3.4812757670454561E-4</v>
      </c>
      <c r="M31" s="1855">
        <f t="shared" si="4"/>
        <v>0.34812757670454558</v>
      </c>
      <c r="N31" s="1857"/>
      <c r="O31" s="1853">
        <f t="shared" si="5"/>
        <v>3.4812757670454561E-4</v>
      </c>
      <c r="P31" s="1698"/>
      <c r="S31" s="1698"/>
      <c r="T31" s="1846" t="str">
        <f t="shared" si="2"/>
        <v/>
      </c>
      <c r="U31" s="1847" t="str">
        <f t="shared" si="3"/>
        <v/>
      </c>
      <c r="V31" s="1848"/>
      <c r="W31" s="1849" t="str">
        <f t="shared" si="6"/>
        <v/>
      </c>
      <c r="X31" s="1698"/>
      <c r="AS31" s="1705"/>
      <c r="AT31" s="1705"/>
      <c r="AY31" s="1746" t="s">
        <v>2588</v>
      </c>
      <c r="AZ31" s="1746">
        <v>2006</v>
      </c>
      <c r="BA31" s="1746" t="s">
        <v>2627</v>
      </c>
      <c r="BB31" s="1747" t="s">
        <v>2628</v>
      </c>
      <c r="BC31" s="1746">
        <v>1000</v>
      </c>
      <c r="BD31" s="1746" t="s">
        <v>2615</v>
      </c>
      <c r="BE31" s="1746"/>
      <c r="BF31" s="1746">
        <v>1228.8</v>
      </c>
      <c r="BG31" s="1746" t="s">
        <v>2592</v>
      </c>
      <c r="BH31" s="1744">
        <f t="shared" si="13"/>
        <v>1.2287999999999999E-3</v>
      </c>
      <c r="BI31" s="1745">
        <f t="shared" si="8"/>
        <v>1.2288E-6</v>
      </c>
      <c r="BJ31" s="1740" t="str">
        <f t="shared" si="9"/>
        <v>tabs</v>
      </c>
      <c r="BK31" s="1740" t="str">
        <f t="shared" si="10"/>
        <v>Bottle of Tablets</v>
      </c>
      <c r="BN31" s="1740" t="str">
        <f t="array" ref="BN31">IFERROR(INDEX($BJ$19:$BJ$1364, MATCH(0,COUNTIF($BN$16:BN30, $BJ$19:$BJ$1364), 0)),"")</f>
        <v>ampoules</v>
      </c>
      <c r="BO31" s="1740" t="s">
        <v>2582</v>
      </c>
      <c r="BQ31" s="1740" t="s">
        <v>2629</v>
      </c>
      <c r="BR31" s="1740" t="s">
        <v>2629</v>
      </c>
      <c r="BS31" s="1741">
        <f>AVERAGEIFS($BI$19:$BI$1364,$BK$19:$BK$1364,BQ31)</f>
        <v>3.9027855555555553E-3</v>
      </c>
      <c r="BV31" s="1689" t="s">
        <v>905</v>
      </c>
      <c r="BW31" s="1689" t="s">
        <v>906</v>
      </c>
      <c r="BX31" s="1689" t="s">
        <v>889</v>
      </c>
      <c r="BY31" s="1689" t="s">
        <v>907</v>
      </c>
      <c r="BZ31" s="1689"/>
      <c r="CA31" s="1689"/>
      <c r="CB31" s="1689"/>
      <c r="CC31" s="1689"/>
      <c r="CD31" s="1689" t="s">
        <v>869</v>
      </c>
      <c r="CE31" s="1689"/>
      <c r="CF31" s="1689"/>
      <c r="CG31" s="1740"/>
      <c r="CH31" s="1740" t="str">
        <f t="shared" si="12"/>
        <v/>
      </c>
    </row>
    <row r="32" spans="2:86" ht="15.65" customHeight="1">
      <c r="B32" s="149"/>
      <c r="C32" s="1837"/>
      <c r="D32" s="1841"/>
      <c r="E32" s="1840"/>
      <c r="F32" s="1838"/>
      <c r="G32" s="1698"/>
      <c r="J32" s="1698"/>
      <c r="K32" s="1850" t="str">
        <f t="shared" si="0"/>
        <v>Sachet of powder</v>
      </c>
      <c r="L32" s="1854">
        <f t="shared" si="1"/>
        <v>6.3051857142857142E-5</v>
      </c>
      <c r="M32" s="1855">
        <f t="shared" si="4"/>
        <v>6.3051857142857146E-2</v>
      </c>
      <c r="N32" s="1857"/>
      <c r="O32" s="1853">
        <f t="shared" si="5"/>
        <v>6.3051857142857142E-5</v>
      </c>
      <c r="P32" s="1698"/>
      <c r="S32" s="1698"/>
      <c r="T32" s="1846" t="str">
        <f t="shared" si="2"/>
        <v/>
      </c>
      <c r="U32" s="1847" t="str">
        <f t="shared" si="3"/>
        <v/>
      </c>
      <c r="V32" s="1848"/>
      <c r="W32" s="1849" t="str">
        <f t="shared" si="6"/>
        <v/>
      </c>
      <c r="X32" s="1698"/>
      <c r="AS32" s="1705"/>
      <c r="AT32" s="1705"/>
      <c r="AY32" s="1746" t="s">
        <v>2593</v>
      </c>
      <c r="AZ32" s="1746">
        <v>2008</v>
      </c>
      <c r="BA32" s="1746" t="s">
        <v>2630</v>
      </c>
      <c r="BB32" s="1747" t="s">
        <v>2631</v>
      </c>
      <c r="BC32" s="1750">
        <v>1000</v>
      </c>
      <c r="BD32" s="1746" t="s">
        <v>2601</v>
      </c>
      <c r="BE32" s="1746"/>
      <c r="BF32" s="1746">
        <v>1.0300000000000001E-3</v>
      </c>
      <c r="BG32" s="1746" t="s">
        <v>2597</v>
      </c>
      <c r="BH32" s="1744">
        <f t="shared" si="13"/>
        <v>1.0300000000000001E-3</v>
      </c>
      <c r="BI32" s="1745">
        <f t="shared" si="8"/>
        <v>1.0300000000000001E-6</v>
      </c>
      <c r="BJ32" s="1740" t="str">
        <f t="shared" si="9"/>
        <v>tablets</v>
      </c>
      <c r="BK32" s="1740" t="str">
        <f t="shared" si="10"/>
        <v>Bottle of Tablets</v>
      </c>
      <c r="BN32" s="1740" t="str">
        <f t="array" ref="BN32">IFERROR(INDEX($BJ$19:$BJ$1364, MATCH(0,COUNTIF($BN$16:BN31, $BJ$19:$BJ$1364), 0)),"")</f>
        <v>EA-Tube/catheter/drain</v>
      </c>
      <c r="BO32" s="1740" t="s">
        <v>2632</v>
      </c>
      <c r="BQ32" s="1740" t="s">
        <v>2632</v>
      </c>
      <c r="BR32" s="1740" t="s">
        <v>2633</v>
      </c>
      <c r="BS32" s="1741">
        <f t="array" ref="BS32">_xlfn.PERCENTILE.INC(IF($BK$19:$BK$1364=BQ32,$BH$19:$BH$1364),0.25)</f>
        <v>2.3699999999999999E-4</v>
      </c>
      <c r="BV32" s="1689" t="s">
        <v>905</v>
      </c>
      <c r="BW32" s="1689" t="s">
        <v>906</v>
      </c>
      <c r="BX32" s="1689" t="s">
        <v>889</v>
      </c>
      <c r="BY32" s="1689" t="s">
        <v>907</v>
      </c>
      <c r="BZ32" s="1689"/>
      <c r="CA32" s="1689" t="s">
        <v>916</v>
      </c>
      <c r="CB32" s="1689"/>
      <c r="CC32" s="1689"/>
      <c r="CD32" s="1689">
        <v>10</v>
      </c>
      <c r="CE32" s="1689">
        <v>2.46</v>
      </c>
      <c r="CF32" s="1689"/>
      <c r="CG32" s="1740">
        <f t="shared" ref="CG32:CG38" si="14">SUM(CF32,CE32)</f>
        <v>2.46</v>
      </c>
      <c r="CH32" s="1740">
        <f t="shared" si="12"/>
        <v>24.6</v>
      </c>
    </row>
    <row r="33" spans="2:86" ht="15.65" customHeight="1">
      <c r="B33" s="149"/>
      <c r="C33" s="1837"/>
      <c r="D33" s="1841"/>
      <c r="E33" s="1840"/>
      <c r="F33" s="1838"/>
      <c r="G33" s="1698"/>
      <c r="J33" s="1698"/>
      <c r="K33" s="1850" t="str">
        <f t="shared" si="0"/>
        <v>Suppository</v>
      </c>
      <c r="L33" s="1854">
        <f t="shared" si="1"/>
        <v>1.8053333333333336E-5</v>
      </c>
      <c r="M33" s="1855">
        <f t="shared" si="4"/>
        <v>1.8053333333333334E-2</v>
      </c>
      <c r="N33" s="1857"/>
      <c r="O33" s="1853">
        <f t="shared" si="5"/>
        <v>1.8053333333333336E-5</v>
      </c>
      <c r="P33" s="1698"/>
      <c r="S33" s="1698"/>
      <c r="T33" s="1846" t="str">
        <f t="shared" si="2"/>
        <v/>
      </c>
      <c r="U33" s="1847" t="str">
        <f t="shared" si="3"/>
        <v/>
      </c>
      <c r="V33" s="1848"/>
      <c r="W33" s="1849" t="str">
        <f t="shared" si="6"/>
        <v/>
      </c>
      <c r="X33" s="1698"/>
      <c r="AS33" s="1705"/>
      <c r="AT33" s="1705"/>
      <c r="AY33" s="1746" t="s">
        <v>2593</v>
      </c>
      <c r="AZ33" s="1746">
        <v>2008</v>
      </c>
      <c r="BA33" s="1746" t="s">
        <v>2634</v>
      </c>
      <c r="BB33" s="1747" t="s">
        <v>2631</v>
      </c>
      <c r="BC33" s="1750">
        <v>1000</v>
      </c>
      <c r="BD33" s="1746" t="s">
        <v>2601</v>
      </c>
      <c r="BE33" s="1746"/>
      <c r="BF33" s="1746">
        <v>0</v>
      </c>
      <c r="BG33" s="1746" t="s">
        <v>2597</v>
      </c>
      <c r="BH33" s="1744">
        <f t="shared" si="13"/>
        <v>0</v>
      </c>
      <c r="BI33" s="1745">
        <f t="shared" si="8"/>
        <v>0</v>
      </c>
      <c r="BJ33" s="1740" t="str">
        <f t="shared" si="9"/>
        <v>tablets</v>
      </c>
      <c r="BK33" s="1740" t="str">
        <f t="shared" si="10"/>
        <v>Bottle of Tablets</v>
      </c>
      <c r="BN33" s="1740" t="str">
        <f t="array" ref="BN33">IFERROR(INDEX($BJ$19:$BJ$1364, MATCH(0,COUNTIF($BN$16:BN32, $BJ$19:$BJ$1364), 0)),"")</f>
        <v>PAC-Anthelmintics</v>
      </c>
      <c r="BO33" s="1740" t="s">
        <v>2573</v>
      </c>
      <c r="BQ33" s="1740" t="s">
        <v>2632</v>
      </c>
      <c r="BR33" s="1740" t="s">
        <v>2635</v>
      </c>
      <c r="BS33" s="1741">
        <f t="array" ref="BS33">_xlfn.PERCENTILE.INC(IF($BK$19:$BK$1364=BQ33,$BH$19:$BH$1364),0.5)</f>
        <v>9.8999999999999999E-4</v>
      </c>
      <c r="BV33" s="1689" t="s">
        <v>905</v>
      </c>
      <c r="BW33" s="1689" t="s">
        <v>906</v>
      </c>
      <c r="BX33" s="1689" t="s">
        <v>889</v>
      </c>
      <c r="BY33" s="1689" t="s">
        <v>907</v>
      </c>
      <c r="BZ33" s="1689" t="s">
        <v>918</v>
      </c>
      <c r="CA33" s="1689" t="s">
        <v>916</v>
      </c>
      <c r="CB33" s="1689"/>
      <c r="CC33" s="1689"/>
      <c r="CD33" s="1689">
        <v>10</v>
      </c>
      <c r="CE33" s="1689">
        <v>2.1</v>
      </c>
      <c r="CF33" s="1689"/>
      <c r="CG33" s="1740">
        <f t="shared" si="14"/>
        <v>2.1</v>
      </c>
      <c r="CH33" s="1740">
        <f t="shared" si="12"/>
        <v>21</v>
      </c>
    </row>
    <row r="34" spans="2:86" ht="15.65" customHeight="1">
      <c r="B34" s="149"/>
      <c r="C34" s="1837"/>
      <c r="D34" s="1841"/>
      <c r="E34" s="1840"/>
      <c r="F34" s="1838"/>
      <c r="G34" s="1698"/>
      <c r="J34" s="1698"/>
      <c r="K34" s="1850" t="str">
        <f t="shared" si="0"/>
        <v>Tube of ointment</v>
      </c>
      <c r="L34" s="1854">
        <f t="shared" si="1"/>
        <v>1.5674285714285715E-4</v>
      </c>
      <c r="M34" s="1855">
        <f t="shared" si="4"/>
        <v>0.15674285714285716</v>
      </c>
      <c r="N34" s="1857"/>
      <c r="O34" s="1853">
        <f t="shared" si="5"/>
        <v>1.5674285714285715E-4</v>
      </c>
      <c r="P34" s="1698"/>
      <c r="S34" s="1698"/>
      <c r="T34" s="1846" t="str">
        <f t="shared" si="2"/>
        <v/>
      </c>
      <c r="U34" s="1847" t="str">
        <f t="shared" si="3"/>
        <v/>
      </c>
      <c r="V34" s="1848"/>
      <c r="W34" s="1849" t="str">
        <f t="shared" si="6"/>
        <v/>
      </c>
      <c r="X34" s="1698"/>
      <c r="AS34" s="1705"/>
      <c r="AT34" s="1705"/>
      <c r="AY34" s="1746" t="s">
        <v>2575</v>
      </c>
      <c r="AZ34" s="1746">
        <v>2008</v>
      </c>
      <c r="BA34" s="1746" t="s">
        <v>2636</v>
      </c>
      <c r="BB34" s="1747" t="s">
        <v>2637</v>
      </c>
      <c r="BC34" s="1746" t="s">
        <v>2578</v>
      </c>
      <c r="BD34" s="1746" t="s">
        <v>2638</v>
      </c>
      <c r="BE34" s="1746" t="s">
        <v>2639</v>
      </c>
      <c r="BF34" s="1746">
        <v>243.898</v>
      </c>
      <c r="BG34" s="1746" t="s">
        <v>2592</v>
      </c>
      <c r="BH34" s="1744">
        <f t="shared" si="13"/>
        <v>2.4389799999999999E-4</v>
      </c>
      <c r="BI34" s="1745" t="str">
        <f t="shared" si="8"/>
        <v/>
      </c>
      <c r="BJ34" s="1740" t="str">
        <f t="shared" si="9"/>
        <v>PAC-Analg., non opioids</v>
      </c>
      <c r="BK34" s="1740" t="str">
        <f t="shared" si="10"/>
        <v>Bottle of Tablets</v>
      </c>
      <c r="BN34" s="1740" t="str">
        <f t="array" ref="BN34">IFERROR(INDEX($BJ$19:$BJ$1364, MATCH(0,COUNTIF($BN$16:BN33, $BJ$19:$BJ$1364), 0)),"")</f>
        <v>sachet</v>
      </c>
      <c r="BO34" s="1740" t="s">
        <v>2640</v>
      </c>
      <c r="BQ34" s="1740" t="s">
        <v>2632</v>
      </c>
      <c r="BR34" s="1740" t="s">
        <v>2641</v>
      </c>
      <c r="BS34" s="1741">
        <f t="array" ref="BS34">_xlfn.PERCENTILE.INC(IF($BK$19:$BK$1364=BQ34,$BH$19:$BH$1364),0.75)</f>
        <v>5.4999999999999997E-3</v>
      </c>
      <c r="BV34" s="1689" t="s">
        <v>905</v>
      </c>
      <c r="BW34" s="1689" t="s">
        <v>906</v>
      </c>
      <c r="BX34" s="1689" t="s">
        <v>889</v>
      </c>
      <c r="BY34" s="1689" t="s">
        <v>907</v>
      </c>
      <c r="BZ34" s="1689" t="s">
        <v>921</v>
      </c>
      <c r="CA34" s="1689" t="s">
        <v>916</v>
      </c>
      <c r="CB34" s="1689"/>
      <c r="CC34" s="1689"/>
      <c r="CD34" s="1689">
        <v>10</v>
      </c>
      <c r="CE34" s="1689">
        <v>4.1100000000000003</v>
      </c>
      <c r="CF34" s="1689"/>
      <c r="CG34" s="1740">
        <f t="shared" si="14"/>
        <v>4.1100000000000003</v>
      </c>
      <c r="CH34" s="1740">
        <f t="shared" si="12"/>
        <v>41.1</v>
      </c>
    </row>
    <row r="35" spans="2:86" ht="15.65" customHeight="1">
      <c r="B35" s="149"/>
      <c r="C35" s="1837"/>
      <c r="D35" s="1841"/>
      <c r="E35" s="1840"/>
      <c r="F35" s="1838"/>
      <c r="G35" s="1698"/>
      <c r="J35" s="1698"/>
      <c r="K35" s="1850" t="str">
        <f t="shared" si="0"/>
        <v>Vaccine vial - Small</v>
      </c>
      <c r="L35" s="1854">
        <f t="shared" si="1"/>
        <v>1.4649999999999999E-5</v>
      </c>
      <c r="M35" s="1855">
        <f t="shared" si="4"/>
        <v>1.4649999999999998E-2</v>
      </c>
      <c r="N35" s="1857"/>
      <c r="O35" s="1853">
        <f t="shared" si="5"/>
        <v>1.4649999999999999E-5</v>
      </c>
      <c r="P35" s="1698"/>
      <c r="S35" s="1698"/>
      <c r="T35" s="1846" t="str">
        <f t="shared" si="2"/>
        <v/>
      </c>
      <c r="U35" s="1847" t="str">
        <f t="shared" si="3"/>
        <v/>
      </c>
      <c r="V35" s="1848"/>
      <c r="W35" s="1849" t="str">
        <f t="shared" si="6"/>
        <v/>
      </c>
      <c r="X35" s="1698"/>
      <c r="AS35" s="1705"/>
      <c r="AT35" s="1705"/>
      <c r="AY35" s="1746" t="s">
        <v>2575</v>
      </c>
      <c r="AZ35" s="1746">
        <v>2008</v>
      </c>
      <c r="BA35" s="1746" t="s">
        <v>2642</v>
      </c>
      <c r="BB35" s="1747" t="s">
        <v>2643</v>
      </c>
      <c r="BC35" s="1746" t="s">
        <v>2578</v>
      </c>
      <c r="BD35" s="1746" t="s">
        <v>2638</v>
      </c>
      <c r="BE35" s="1746" t="s">
        <v>2639</v>
      </c>
      <c r="BF35" s="1746">
        <v>53.234999999999999</v>
      </c>
      <c r="BG35" s="1746" t="s">
        <v>2581</v>
      </c>
      <c r="BH35" s="1744">
        <f t="shared" si="13"/>
        <v>5.3234999999999998E-2</v>
      </c>
      <c r="BI35" s="1745" t="str">
        <f t="shared" si="8"/>
        <v/>
      </c>
      <c r="BJ35" s="1740" t="str">
        <f t="shared" si="9"/>
        <v>PAC-Analg., non opioids</v>
      </c>
      <c r="BK35" s="1740" t="str">
        <f t="shared" si="10"/>
        <v>Bottle of Tablets</v>
      </c>
      <c r="BN35" s="1740" t="str">
        <f t="array" ref="BN35">IFERROR(INDEX($BJ$19:$BJ$1364, MATCH(0,COUNTIF($BN$16:BN34, $BJ$19:$BJ$1364), 0)),"")</f>
        <v>BOT-Gastrointestinal</v>
      </c>
      <c r="BO35" s="1740" t="s">
        <v>2586</v>
      </c>
      <c r="BQ35" s="1740" t="s">
        <v>2644</v>
      </c>
      <c r="BR35" s="1740" t="s">
        <v>2644</v>
      </c>
      <c r="BS35" s="1741">
        <f>AVERAGEIFS($BI$19:$BI$1364,$BK$19:$BK$1364,BQ35)</f>
        <v>1.1070999999999998E-2</v>
      </c>
      <c r="BV35" s="1689" t="s">
        <v>905</v>
      </c>
      <c r="BW35" s="1689" t="s">
        <v>906</v>
      </c>
      <c r="BX35" s="1689" t="s">
        <v>889</v>
      </c>
      <c r="BY35" s="1689" t="s">
        <v>907</v>
      </c>
      <c r="BZ35" s="1689" t="s">
        <v>921</v>
      </c>
      <c r="CA35" s="1689" t="s">
        <v>916</v>
      </c>
      <c r="CB35" s="1689"/>
      <c r="CC35" s="1689"/>
      <c r="CD35" s="1689">
        <v>20</v>
      </c>
      <c r="CE35" s="1689">
        <v>2.0499999999999998</v>
      </c>
      <c r="CF35" s="1689"/>
      <c r="CG35" s="1740">
        <f t="shared" si="14"/>
        <v>2.0499999999999998</v>
      </c>
      <c r="CH35" s="1740">
        <f t="shared" si="12"/>
        <v>41</v>
      </c>
    </row>
    <row r="36" spans="2:86" ht="15.65" customHeight="1">
      <c r="B36" s="149"/>
      <c r="C36" s="1837"/>
      <c r="D36" s="1841"/>
      <c r="E36" s="1840"/>
      <c r="F36" s="1838"/>
      <c r="G36" s="1698"/>
      <c r="J36" s="1698"/>
      <c r="K36" s="1850" t="str">
        <f t="shared" si="0"/>
        <v>Vaccine vial - Med</v>
      </c>
      <c r="L36" s="1854">
        <f t="shared" si="1"/>
        <v>2.8445265750000008E-5</v>
      </c>
      <c r="M36" s="1855">
        <f t="shared" si="4"/>
        <v>2.8445265750000007E-2</v>
      </c>
      <c r="N36" s="1857"/>
      <c r="O36" s="1853">
        <f t="shared" si="5"/>
        <v>2.8445265750000008E-5</v>
      </c>
      <c r="P36" s="1698"/>
      <c r="S36" s="1698"/>
      <c r="T36" s="1846" t="str">
        <f t="shared" si="2"/>
        <v/>
      </c>
      <c r="U36" s="1847" t="str">
        <f t="shared" si="3"/>
        <v/>
      </c>
      <c r="V36" s="1848"/>
      <c r="W36" s="1849" t="str">
        <f t="shared" si="6"/>
        <v/>
      </c>
      <c r="X36" s="1698"/>
      <c r="AS36" s="1705"/>
      <c r="AT36" s="1705"/>
      <c r="AY36" s="1746" t="s">
        <v>2588</v>
      </c>
      <c r="AZ36" s="1746">
        <v>2006</v>
      </c>
      <c r="BA36" s="1746" t="s">
        <v>2645</v>
      </c>
      <c r="BB36" s="1747" t="s">
        <v>2646</v>
      </c>
      <c r="BC36" s="1746">
        <v>1000</v>
      </c>
      <c r="BD36" s="1746" t="s">
        <v>2615</v>
      </c>
      <c r="BE36" s="1746"/>
      <c r="BF36" s="1746">
        <v>1595.8</v>
      </c>
      <c r="BG36" s="1746" t="s">
        <v>2592</v>
      </c>
      <c r="BH36" s="1744">
        <f t="shared" si="13"/>
        <v>1.5957999999999999E-3</v>
      </c>
      <c r="BI36" s="1745">
        <f t="shared" si="8"/>
        <v>1.5957999999999998E-6</v>
      </c>
      <c r="BJ36" s="1740" t="str">
        <f t="shared" si="9"/>
        <v>tabs</v>
      </c>
      <c r="BK36" s="1740" t="str">
        <f t="shared" si="10"/>
        <v>Bottle of Tablets</v>
      </c>
      <c r="BN36" s="1740" t="str">
        <f t="array" ref="BN36">IFERROR(INDEX($BJ$19:$BJ$1364, MATCH(0,COUNTIF($BN$16:BN35, $BJ$19:$BJ$1364), 0)),"")</f>
        <v>PAC-Gastrointestinal</v>
      </c>
      <c r="BO36" s="1740" t="s">
        <v>2573</v>
      </c>
      <c r="BQ36" s="1740" t="s">
        <v>2647</v>
      </c>
      <c r="BR36" s="1740" t="s">
        <v>2647</v>
      </c>
      <c r="BS36" s="1741">
        <f>AVERAGEIFS($BH$19:$BH$1364,$BK$19:$BK$1364,BQ36)/10</f>
        <v>5.3E-3</v>
      </c>
      <c r="BV36" s="1689" t="s">
        <v>924</v>
      </c>
      <c r="BW36" s="1689" t="s">
        <v>925</v>
      </c>
      <c r="BX36" s="1689" t="s">
        <v>889</v>
      </c>
      <c r="BY36" s="1689" t="s">
        <v>907</v>
      </c>
      <c r="BZ36" s="1689"/>
      <c r="CA36" s="1689" t="s">
        <v>908</v>
      </c>
      <c r="CB36" s="1689"/>
      <c r="CC36" s="1689"/>
      <c r="CD36" s="1689">
        <v>20</v>
      </c>
      <c r="CE36" s="1689">
        <v>2.4329999999999998</v>
      </c>
      <c r="CF36" s="1689"/>
      <c r="CG36" s="1740">
        <f t="shared" si="14"/>
        <v>2.4329999999999998</v>
      </c>
      <c r="CH36" s="1740">
        <f t="shared" si="12"/>
        <v>48.66</v>
      </c>
    </row>
    <row r="37" spans="2:86" ht="15.65" customHeight="1">
      <c r="B37" s="149"/>
      <c r="C37" s="1837"/>
      <c r="D37" s="1841"/>
      <c r="E37" s="1840"/>
      <c r="F37" s="1838"/>
      <c r="G37" s="1698"/>
      <c r="J37" s="1698"/>
      <c r="K37" s="1850" t="str">
        <f t="shared" si="0"/>
        <v>Vaccine vial - Large</v>
      </c>
      <c r="L37" s="1854">
        <f t="shared" si="1"/>
        <v>4.9650000000000007E-5</v>
      </c>
      <c r="M37" s="1855">
        <f t="shared" si="4"/>
        <v>4.9650000000000007E-2</v>
      </c>
      <c r="N37" s="1857"/>
      <c r="O37" s="1853">
        <f t="shared" si="5"/>
        <v>4.9650000000000007E-5</v>
      </c>
      <c r="P37" s="1698"/>
      <c r="S37" s="1698"/>
      <c r="T37" s="1846" t="str">
        <f t="shared" si="2"/>
        <v/>
      </c>
      <c r="U37" s="1847" t="str">
        <f t="shared" si="3"/>
        <v/>
      </c>
      <c r="V37" s="1848"/>
      <c r="W37" s="1849" t="str">
        <f t="shared" si="6"/>
        <v/>
      </c>
      <c r="X37" s="1698"/>
      <c r="AS37" s="1705"/>
      <c r="AT37" s="1705"/>
      <c r="AY37" s="1746" t="s">
        <v>2593</v>
      </c>
      <c r="AZ37" s="1746">
        <v>2008</v>
      </c>
      <c r="BA37" s="1746" t="s">
        <v>2648</v>
      </c>
      <c r="BB37" s="1747" t="s">
        <v>2649</v>
      </c>
      <c r="BC37" s="1750">
        <v>1000</v>
      </c>
      <c r="BD37" s="1746" t="s">
        <v>2601</v>
      </c>
      <c r="BE37" s="1746"/>
      <c r="BF37" s="1746">
        <v>1.5E-3</v>
      </c>
      <c r="BG37" s="1746" t="s">
        <v>2597</v>
      </c>
      <c r="BH37" s="1744">
        <f t="shared" si="13"/>
        <v>1.5E-3</v>
      </c>
      <c r="BI37" s="1745">
        <f t="shared" si="8"/>
        <v>1.5E-6</v>
      </c>
      <c r="BJ37" s="1740" t="str">
        <f t="shared" si="9"/>
        <v>tablets</v>
      </c>
      <c r="BK37" s="1740" t="str">
        <f t="shared" si="10"/>
        <v>Bottle of Tablets</v>
      </c>
      <c r="BN37" s="1740" t="str">
        <f t="array" ref="BN37">IFERROR(INDEX($BJ$19:$BJ$1364, MATCH(0,COUNTIF($BN$16:BN36, $BJ$19:$BJ$1364), 0)),"")</f>
        <v>amps</v>
      </c>
      <c r="BO37" s="1740" t="s">
        <v>2582</v>
      </c>
      <c r="BQ37" s="1740" t="s">
        <v>2650</v>
      </c>
      <c r="BR37" s="1740" t="s">
        <v>2650</v>
      </c>
      <c r="BS37" s="1741">
        <f>AVERAGEIFS($BI$19:$BI$1364,$BK$19:$BK$1364,BQ37)</f>
        <v>2.3059312307692308E-3</v>
      </c>
      <c r="BV37" s="1689" t="s">
        <v>924</v>
      </c>
      <c r="BW37" s="1689" t="s">
        <v>925</v>
      </c>
      <c r="BX37" s="1689" t="s">
        <v>889</v>
      </c>
      <c r="BY37" s="1689" t="s">
        <v>907</v>
      </c>
      <c r="BZ37" s="1689"/>
      <c r="CA37" s="1689" t="s">
        <v>910</v>
      </c>
      <c r="CB37" s="1689"/>
      <c r="CC37" s="1689"/>
      <c r="CD37" s="1689">
        <v>10</v>
      </c>
      <c r="CE37" s="1689">
        <v>2.6110000000000002</v>
      </c>
      <c r="CF37" s="1689"/>
      <c r="CG37" s="1740">
        <f t="shared" si="14"/>
        <v>2.6110000000000002</v>
      </c>
      <c r="CH37" s="1740">
        <f t="shared" si="12"/>
        <v>26.110000000000003</v>
      </c>
    </row>
    <row r="38" spans="2:86" ht="15.65" customHeight="1">
      <c r="B38" s="149"/>
      <c r="C38" s="1837"/>
      <c r="D38" s="1841"/>
      <c r="E38" s="1840"/>
      <c r="F38" s="1838"/>
      <c r="G38" s="1698"/>
      <c r="J38" s="1698"/>
      <c r="K38" s="1837"/>
      <c r="L38" s="1856"/>
      <c r="M38" s="1856"/>
      <c r="N38" s="1857"/>
      <c r="O38" s="1853" t="str">
        <f>IF(N38&lt;&gt;"",N38,IF(L38="","",L38))</f>
        <v/>
      </c>
      <c r="P38" s="1698"/>
      <c r="S38" s="1698"/>
      <c r="T38" s="1846" t="str">
        <f t="shared" si="2"/>
        <v/>
      </c>
      <c r="U38" s="1847" t="str">
        <f t="shared" si="3"/>
        <v/>
      </c>
      <c r="V38" s="1848"/>
      <c r="W38" s="1849" t="str">
        <f t="shared" si="6"/>
        <v/>
      </c>
      <c r="X38" s="1698"/>
      <c r="AS38" s="1705"/>
      <c r="AT38" s="1705"/>
      <c r="AY38" s="1746" t="s">
        <v>2575</v>
      </c>
      <c r="AZ38" s="1746">
        <v>2008</v>
      </c>
      <c r="BA38" s="1746" t="s">
        <v>2651</v>
      </c>
      <c r="BB38" s="1747" t="s">
        <v>2652</v>
      </c>
      <c r="BC38" s="1746" t="s">
        <v>2578</v>
      </c>
      <c r="BD38" s="1746" t="s">
        <v>2638</v>
      </c>
      <c r="BE38" s="1746" t="s">
        <v>2639</v>
      </c>
      <c r="BF38" s="1746">
        <v>0.248</v>
      </c>
      <c r="BG38" s="1746" t="s">
        <v>2581</v>
      </c>
      <c r="BH38" s="1744">
        <f t="shared" si="13"/>
        <v>2.4800000000000001E-4</v>
      </c>
      <c r="BI38" s="1745" t="str">
        <f t="shared" si="8"/>
        <v/>
      </c>
      <c r="BJ38" s="1740" t="str">
        <f t="shared" si="9"/>
        <v>PAC-Analg., non opioids</v>
      </c>
      <c r="BK38" s="1740" t="str">
        <f t="shared" si="10"/>
        <v>Bottle of Tablets</v>
      </c>
      <c r="BN38" s="1740" t="str">
        <f t="array" ref="BN38">IFERROR(INDEX($BJ$19:$BJ$1364, MATCH(0,COUNTIF($BN$16:BN37, $BJ$19:$BJ$1364), 0)),"")</f>
        <v>vials</v>
      </c>
      <c r="BO38" s="1740" t="s">
        <v>2582</v>
      </c>
      <c r="BQ38" s="1740" t="s">
        <v>2619</v>
      </c>
      <c r="BR38" s="1740" t="s">
        <v>2619</v>
      </c>
      <c r="BS38" s="1741">
        <f>AVERAGEIFS($BI$19:$BI$1364,$BK$19:$BK$1364,BQ38)/100</f>
        <v>3.4812757670454561E-4</v>
      </c>
      <c r="BV38" s="1689" t="s">
        <v>924</v>
      </c>
      <c r="BW38" s="1689" t="s">
        <v>925</v>
      </c>
      <c r="BX38" s="1689" t="s">
        <v>889</v>
      </c>
      <c r="BY38" s="1689" t="s">
        <v>907</v>
      </c>
      <c r="BZ38" s="1689"/>
      <c r="CA38" s="1689" t="s">
        <v>912</v>
      </c>
      <c r="CB38" s="1689"/>
      <c r="CC38" s="1689"/>
      <c r="CD38" s="1689">
        <v>1</v>
      </c>
      <c r="CE38" s="1689">
        <v>15.715</v>
      </c>
      <c r="CF38" s="1689"/>
      <c r="CG38" s="1740">
        <f t="shared" si="14"/>
        <v>15.715</v>
      </c>
      <c r="CH38" s="1740">
        <f t="shared" si="12"/>
        <v>15.715</v>
      </c>
    </row>
    <row r="39" spans="2:86" ht="15.65" customHeight="1">
      <c r="B39" s="149"/>
      <c r="C39" s="1837"/>
      <c r="D39" s="1841"/>
      <c r="E39" s="1840"/>
      <c r="F39" s="1838"/>
      <c r="G39" s="1698"/>
      <c r="J39" s="1698"/>
      <c r="K39" s="1837"/>
      <c r="L39" s="1856"/>
      <c r="M39" s="1856"/>
      <c r="N39" s="1857"/>
      <c r="O39" s="1853" t="str">
        <f>IF(N39&lt;&gt;"",N39,IF(L39="","",L39))</f>
        <v/>
      </c>
      <c r="P39" s="1698"/>
      <c r="S39" s="1698"/>
      <c r="T39" s="1846" t="str">
        <f t="shared" si="2"/>
        <v/>
      </c>
      <c r="U39" s="1847" t="str">
        <f t="shared" si="3"/>
        <v/>
      </c>
      <c r="V39" s="1848"/>
      <c r="W39" s="1849" t="str">
        <f t="shared" si="6"/>
        <v/>
      </c>
      <c r="X39" s="1698"/>
      <c r="AS39" s="1705"/>
      <c r="AT39" s="1705"/>
      <c r="AY39" s="1746" t="s">
        <v>2588</v>
      </c>
      <c r="AZ39" s="1746">
        <v>2006</v>
      </c>
      <c r="BA39" s="1746" t="s">
        <v>2653</v>
      </c>
      <c r="BB39" s="1747" t="s">
        <v>2654</v>
      </c>
      <c r="BC39" s="1746">
        <v>500</v>
      </c>
      <c r="BD39" s="1746" t="s">
        <v>2615</v>
      </c>
      <c r="BE39" s="1746"/>
      <c r="BF39" s="1746">
        <v>499</v>
      </c>
      <c r="BG39" s="1746" t="s">
        <v>2592</v>
      </c>
      <c r="BH39" s="1744">
        <f t="shared" si="13"/>
        <v>4.9899999999999999E-4</v>
      </c>
      <c r="BI39" s="1745">
        <f t="shared" si="8"/>
        <v>9.9800000000000002E-7</v>
      </c>
      <c r="BJ39" s="1740" t="str">
        <f t="shared" si="9"/>
        <v>tabs</v>
      </c>
      <c r="BK39" s="1740" t="str">
        <f t="shared" si="10"/>
        <v>Bottle of Tablets</v>
      </c>
      <c r="BN39" s="1740" t="str">
        <f t="array" ref="BN39">IFERROR(INDEX($BJ$19:$BJ$1364, MATCH(0,COUNTIF($BN$16:BN38, $BJ$19:$BJ$1364), 0)),"")</f>
        <v>treatmen</v>
      </c>
      <c r="BO39" s="1740" t="s">
        <v>2583</v>
      </c>
      <c r="BQ39" s="1740" t="s">
        <v>2640</v>
      </c>
      <c r="BR39" s="1740" t="s">
        <v>2640</v>
      </c>
      <c r="BS39" s="1741">
        <f>AVERAGEIFS($BI$19:$BI$1364,$BK$19:$BK$1364,BQ39)</f>
        <v>6.3051857142857142E-5</v>
      </c>
      <c r="BV39" s="1689" t="s">
        <v>924</v>
      </c>
      <c r="BW39" s="1689" t="s">
        <v>925</v>
      </c>
      <c r="BX39" s="1689" t="s">
        <v>889</v>
      </c>
      <c r="BY39" s="1689" t="s">
        <v>907</v>
      </c>
      <c r="BZ39" s="1689" t="s">
        <v>929</v>
      </c>
      <c r="CA39" s="1689"/>
      <c r="CB39" s="1689"/>
      <c r="CC39" s="1689"/>
      <c r="CD39" s="1689" t="s">
        <v>869</v>
      </c>
      <c r="CE39" s="1689"/>
      <c r="CF39" s="1689"/>
      <c r="CG39" s="1740"/>
      <c r="CH39" s="1740" t="str">
        <f t="shared" si="12"/>
        <v/>
      </c>
    </row>
    <row r="40" spans="2:86" ht="15.65" customHeight="1">
      <c r="B40" s="149"/>
      <c r="C40" s="1837"/>
      <c r="D40" s="1841"/>
      <c r="E40" s="1840"/>
      <c r="F40" s="1838"/>
      <c r="G40" s="1698"/>
      <c r="J40" s="1698"/>
      <c r="K40" s="1837"/>
      <c r="L40" s="1856"/>
      <c r="M40" s="1856"/>
      <c r="N40" s="1857"/>
      <c r="O40" s="1853" t="str">
        <f>IF(N40&lt;&gt;"",N40,IF(L40="","",L40))</f>
        <v/>
      </c>
      <c r="P40" s="1698"/>
      <c r="S40" s="1698"/>
      <c r="T40" s="1846" t="str">
        <f t="shared" si="2"/>
        <v/>
      </c>
      <c r="U40" s="1847" t="str">
        <f t="shared" si="3"/>
        <v/>
      </c>
      <c r="V40" s="1848"/>
      <c r="W40" s="1849" t="str">
        <f t="shared" si="6"/>
        <v/>
      </c>
      <c r="X40" s="1698"/>
      <c r="AS40" s="1705"/>
      <c r="AT40" s="1705"/>
      <c r="AY40" s="1746" t="s">
        <v>2593</v>
      </c>
      <c r="AZ40" s="1746">
        <v>2008</v>
      </c>
      <c r="BA40" s="1746" t="s">
        <v>2655</v>
      </c>
      <c r="BB40" s="1747" t="s">
        <v>2656</v>
      </c>
      <c r="BC40" s="1746">
        <v>100</v>
      </c>
      <c r="BD40" s="1746" t="s">
        <v>2601</v>
      </c>
      <c r="BE40" s="1746"/>
      <c r="BF40" s="1746">
        <v>2.9999999999999997E-4</v>
      </c>
      <c r="BG40" s="1746" t="s">
        <v>2597</v>
      </c>
      <c r="BH40" s="1744">
        <f t="shared" si="13"/>
        <v>2.9999999999999997E-4</v>
      </c>
      <c r="BI40" s="1745">
        <f t="shared" si="8"/>
        <v>2.9999999999999997E-6</v>
      </c>
      <c r="BJ40" s="1740" t="str">
        <f t="shared" si="9"/>
        <v>tablets</v>
      </c>
      <c r="BK40" s="1740" t="str">
        <f t="shared" si="10"/>
        <v>Bottle of Tablets</v>
      </c>
      <c r="BN40" s="1740" t="str">
        <f t="array" ref="BN40">IFERROR(INDEX($BJ$19:$BJ$1364, MATCH(0,COUNTIF($BN$16:BN39, $BJ$19:$BJ$1364), 0)),"")</f>
        <v>treatment</v>
      </c>
      <c r="BO40" s="1740" t="s">
        <v>2583</v>
      </c>
      <c r="BQ40" s="1740" t="s">
        <v>2657</v>
      </c>
      <c r="BR40" s="1740" t="s">
        <v>2657</v>
      </c>
      <c r="BS40" s="1741">
        <f>AVERAGEIFS($BI$19:$BI$1364,$BK$19:$BK$1364,BQ40)</f>
        <v>1.8053333333333336E-5</v>
      </c>
      <c r="BV40" s="1689" t="s">
        <v>924</v>
      </c>
      <c r="BW40" s="1689" t="s">
        <v>925</v>
      </c>
      <c r="BX40" s="1689" t="s">
        <v>889</v>
      </c>
      <c r="BY40" s="1689" t="s">
        <v>907</v>
      </c>
      <c r="BZ40" s="1689" t="s">
        <v>929</v>
      </c>
      <c r="CA40" s="1689" t="s">
        <v>916</v>
      </c>
      <c r="CB40" s="1689"/>
      <c r="CC40" s="1689"/>
      <c r="CD40" s="1689">
        <v>10</v>
      </c>
      <c r="CE40" s="1689">
        <v>2.46</v>
      </c>
      <c r="CF40" s="1689"/>
      <c r="CG40" s="1740">
        <f t="shared" ref="CG40:CG53" si="15">SUM(CF40,CE40)</f>
        <v>2.46</v>
      </c>
      <c r="CH40" s="1740">
        <f t="shared" si="12"/>
        <v>24.6</v>
      </c>
    </row>
    <row r="41" spans="2:86" ht="15.65" customHeight="1">
      <c r="B41" s="149"/>
      <c r="C41" s="1837"/>
      <c r="D41" s="1841"/>
      <c r="E41" s="1840"/>
      <c r="F41" s="1838"/>
      <c r="G41" s="1698"/>
      <c r="J41" s="1698"/>
      <c r="K41" s="1837"/>
      <c r="L41" s="1856"/>
      <c r="M41" s="1856"/>
      <c r="N41" s="1857"/>
      <c r="O41" s="1853" t="str">
        <f>IF(N41&lt;&gt;"",N41,IF(L41="","",L41))</f>
        <v/>
      </c>
      <c r="P41" s="1698"/>
      <c r="S41" s="1698"/>
      <c r="T41" s="1846" t="str">
        <f t="shared" si="2"/>
        <v/>
      </c>
      <c r="U41" s="1847" t="str">
        <f t="shared" si="3"/>
        <v/>
      </c>
      <c r="V41" s="1848"/>
      <c r="W41" s="1849" t="str">
        <f t="shared" si="6"/>
        <v/>
      </c>
      <c r="X41" s="1698"/>
      <c r="AS41" s="1705"/>
      <c r="AT41" s="1705"/>
      <c r="AY41" s="1746" t="s">
        <v>2575</v>
      </c>
      <c r="AZ41" s="1746">
        <v>2008</v>
      </c>
      <c r="BA41" s="1746" t="s">
        <v>2658</v>
      </c>
      <c r="BB41" s="1747" t="s">
        <v>2659</v>
      </c>
      <c r="BC41" s="1746" t="s">
        <v>2578</v>
      </c>
      <c r="BD41" s="1746" t="s">
        <v>2638</v>
      </c>
      <c r="BE41" s="1746" t="s">
        <v>2660</v>
      </c>
      <c r="BF41" s="1746">
        <v>0.22</v>
      </c>
      <c r="BG41" s="1746" t="s">
        <v>2581</v>
      </c>
      <c r="BH41" s="1744">
        <f t="shared" si="13"/>
        <v>2.2000000000000001E-4</v>
      </c>
      <c r="BI41" s="1745" t="str">
        <f t="shared" si="8"/>
        <v/>
      </c>
      <c r="BJ41" s="1740" t="str">
        <f t="shared" si="9"/>
        <v>PAC-Antivirals</v>
      </c>
      <c r="BK41" s="1740" t="str">
        <f t="shared" si="10"/>
        <v>Bottle of Tablets</v>
      </c>
      <c r="BN41" s="1740" t="str">
        <f t="array" ref="BN41">IFERROR(INDEX($BJ$19:$BJ$1364, MATCH(0,COUNTIF($BN$16:BN40, $BJ$19:$BJ$1364), 0)),"")</f>
        <v>PAC-Antimalarial drugs</v>
      </c>
      <c r="BO41" s="1740" t="s">
        <v>2583</v>
      </c>
      <c r="BQ41" s="1740" t="s">
        <v>2608</v>
      </c>
      <c r="BR41" s="1740" t="s">
        <v>2608</v>
      </c>
      <c r="BS41" s="1741">
        <f>AVERAGEIFS($BI$19:$BI$1364,$BK$19:$BK$1364,BQ41)</f>
        <v>1.5674285714285715E-4</v>
      </c>
      <c r="BV41" s="1689" t="s">
        <v>924</v>
      </c>
      <c r="BW41" s="1689" t="s">
        <v>925</v>
      </c>
      <c r="BX41" s="1689" t="s">
        <v>889</v>
      </c>
      <c r="BY41" s="1689" t="s">
        <v>907</v>
      </c>
      <c r="BZ41" s="1689" t="s">
        <v>929</v>
      </c>
      <c r="CA41" s="1689" t="s">
        <v>932</v>
      </c>
      <c r="CB41" s="1689"/>
      <c r="CC41" s="1689"/>
      <c r="CD41" s="1689">
        <v>1</v>
      </c>
      <c r="CE41" s="1689">
        <v>20.5</v>
      </c>
      <c r="CF41" s="1689"/>
      <c r="CG41" s="1740">
        <f t="shared" si="15"/>
        <v>20.5</v>
      </c>
      <c r="CH41" s="1740">
        <f t="shared" si="12"/>
        <v>20.5</v>
      </c>
    </row>
    <row r="42" spans="2:86" ht="15.65" customHeight="1">
      <c r="B42" s="149"/>
      <c r="C42" s="1837"/>
      <c r="D42" s="1841"/>
      <c r="E42" s="1840"/>
      <c r="F42" s="1838"/>
      <c r="G42" s="1698"/>
      <c r="J42" s="1698"/>
      <c r="K42" s="1837"/>
      <c r="L42" s="1856"/>
      <c r="M42" s="1856"/>
      <c r="N42" s="1857"/>
      <c r="O42" s="1853" t="str">
        <f>IF(N42&lt;&gt;"",N42,IF(L42="","",L42))</f>
        <v/>
      </c>
      <c r="P42" s="1698"/>
      <c r="S42" s="1698"/>
      <c r="T42" s="1846" t="str">
        <f t="shared" si="2"/>
        <v/>
      </c>
      <c r="U42" s="1847" t="str">
        <f t="shared" si="3"/>
        <v/>
      </c>
      <c r="V42" s="1848"/>
      <c r="W42" s="1849" t="str">
        <f t="shared" si="6"/>
        <v/>
      </c>
      <c r="X42" s="1698"/>
      <c r="AS42" s="1705"/>
      <c r="AT42" s="1705"/>
      <c r="AY42" s="1746" t="s">
        <v>2588</v>
      </c>
      <c r="AZ42" s="1746">
        <v>2006</v>
      </c>
      <c r="BA42" s="1746" t="s">
        <v>2661</v>
      </c>
      <c r="BB42" s="1747" t="s">
        <v>2662</v>
      </c>
      <c r="BC42" s="1746">
        <v>500</v>
      </c>
      <c r="BD42" s="1746" t="s">
        <v>2615</v>
      </c>
      <c r="BE42" s="1746"/>
      <c r="BF42" s="1746">
        <v>499</v>
      </c>
      <c r="BG42" s="1746" t="s">
        <v>2592</v>
      </c>
      <c r="BH42" s="1744">
        <f t="shared" si="13"/>
        <v>4.9899999999999999E-4</v>
      </c>
      <c r="BI42" s="1745">
        <f t="shared" si="8"/>
        <v>9.9800000000000002E-7</v>
      </c>
      <c r="BJ42" s="1740" t="str">
        <f t="shared" si="9"/>
        <v>tabs</v>
      </c>
      <c r="BK42" s="1740" t="str">
        <f t="shared" si="10"/>
        <v>Bottle of Tablets</v>
      </c>
      <c r="BN42" s="1740" t="str">
        <f t="array" ref="BN42">IFERROR(INDEX($BJ$19:$BJ$1364, MATCH(0,COUNTIF($BN$16:BN41, $BJ$19:$BJ$1364), 0)),"")</f>
        <v>BOT-ß-lactams</v>
      </c>
      <c r="BO42" s="1740" t="s">
        <v>2586</v>
      </c>
      <c r="BQ42" s="1740" t="s">
        <v>2663</v>
      </c>
      <c r="BR42" s="1740" t="s">
        <v>2664</v>
      </c>
      <c r="BS42" s="1741">
        <f>_xlfn.PERCENTILE.INC($CH$19:$CH$297,0.25)/1000000</f>
        <v>1.4649999999999999E-5</v>
      </c>
      <c r="BV42" s="1689" t="s">
        <v>924</v>
      </c>
      <c r="BW42" s="1689" t="s">
        <v>925</v>
      </c>
      <c r="BX42" s="1689" t="s">
        <v>889</v>
      </c>
      <c r="BY42" s="1689" t="s">
        <v>907</v>
      </c>
      <c r="BZ42" s="1689"/>
      <c r="CA42" s="1689" t="s">
        <v>916</v>
      </c>
      <c r="CB42" s="1689"/>
      <c r="CC42" s="1689"/>
      <c r="CD42" s="1689">
        <v>10</v>
      </c>
      <c r="CE42" s="1689">
        <v>2.08</v>
      </c>
      <c r="CF42" s="1689"/>
      <c r="CG42" s="1740">
        <f t="shared" si="15"/>
        <v>2.08</v>
      </c>
      <c r="CH42" s="1740">
        <f t="shared" si="12"/>
        <v>20.8</v>
      </c>
    </row>
    <row r="43" spans="2:86" ht="15.65" customHeight="1">
      <c r="B43" s="149"/>
      <c r="C43" s="1837"/>
      <c r="D43" s="1841"/>
      <c r="E43" s="1840"/>
      <c r="F43" s="1838"/>
      <c r="G43" s="1698"/>
      <c r="J43" s="1698"/>
      <c r="K43" s="1698"/>
      <c r="L43" s="1698"/>
      <c r="M43" s="1698"/>
      <c r="N43" s="1698"/>
      <c r="O43" s="1698"/>
      <c r="P43" s="1698"/>
      <c r="S43" s="1698"/>
      <c r="T43" s="1846" t="str">
        <f t="shared" si="2"/>
        <v/>
      </c>
      <c r="U43" s="1847" t="str">
        <f t="shared" si="3"/>
        <v/>
      </c>
      <c r="V43" s="1848"/>
      <c r="W43" s="1849" t="str">
        <f t="shared" si="6"/>
        <v/>
      </c>
      <c r="X43" s="1698"/>
      <c r="AS43" s="1705"/>
      <c r="AT43" s="1705"/>
      <c r="AY43" s="1746" t="s">
        <v>2593</v>
      </c>
      <c r="AZ43" s="1746">
        <v>2008</v>
      </c>
      <c r="BA43" s="1746" t="s">
        <v>2665</v>
      </c>
      <c r="BB43" s="1747" t="s">
        <v>2666</v>
      </c>
      <c r="BC43" s="1746">
        <v>1</v>
      </c>
      <c r="BD43" s="1746" t="s">
        <v>2596</v>
      </c>
      <c r="BE43" s="1746"/>
      <c r="BF43" s="1746">
        <v>0</v>
      </c>
      <c r="BG43" s="1746" t="s">
        <v>2597</v>
      </c>
      <c r="BH43" s="1744">
        <f t="shared" si="13"/>
        <v>0</v>
      </c>
      <c r="BI43" s="1745">
        <f t="shared" si="8"/>
        <v>0</v>
      </c>
      <c r="BJ43" s="1740" t="str">
        <f t="shared" si="9"/>
        <v>bottle</v>
      </c>
      <c r="BK43" s="1740" t="str">
        <f t="shared" si="10"/>
        <v>Bottle of Liquid</v>
      </c>
      <c r="BN43" s="1740" t="str">
        <f t="array" ref="BN43">IFERROR(INDEX($BJ$19:$BJ$1364, MATCH(0,COUNTIF($BN$16:BN42, $BJ$19:$BJ$1364), 0)),"")</f>
        <v>btls</v>
      </c>
      <c r="BO43" s="1740" t="s">
        <v>2586</v>
      </c>
      <c r="BQ43" s="1740" t="s">
        <v>2663</v>
      </c>
      <c r="BR43" s="1740" t="s">
        <v>2667</v>
      </c>
      <c r="BS43" s="1741">
        <f>_xlfn.PERCENTILE.INC($CH$19:$CH$297,0.55)/1000000</f>
        <v>2.8445265750000008E-5</v>
      </c>
      <c r="BV43" s="1689" t="s">
        <v>935</v>
      </c>
      <c r="BW43" s="1689" t="s">
        <v>936</v>
      </c>
      <c r="BX43" s="1689" t="s">
        <v>889</v>
      </c>
      <c r="BY43" s="1689" t="s">
        <v>907</v>
      </c>
      <c r="BZ43" s="1689" t="s">
        <v>937</v>
      </c>
      <c r="CA43" s="1689" t="s">
        <v>938</v>
      </c>
      <c r="CB43" s="1689"/>
      <c r="CC43" s="1689"/>
      <c r="CD43" s="1689">
        <v>1</v>
      </c>
      <c r="CE43" s="1689">
        <v>9.6999999999999993</v>
      </c>
      <c r="CF43" s="1689"/>
      <c r="CG43" s="1740">
        <f t="shared" si="15"/>
        <v>9.6999999999999993</v>
      </c>
      <c r="CH43" s="1740">
        <f t="shared" si="12"/>
        <v>9.6999999999999993</v>
      </c>
    </row>
    <row r="44" spans="2:86" ht="15.65" customHeight="1">
      <c r="B44" s="149"/>
      <c r="C44" s="1837"/>
      <c r="D44" s="1841"/>
      <c r="E44" s="1840"/>
      <c r="F44" s="1838"/>
      <c r="G44" s="1698"/>
      <c r="J44" s="1697" t="s">
        <v>2668</v>
      </c>
      <c r="K44" s="1698"/>
      <c r="L44" s="1698"/>
      <c r="M44" s="1698"/>
      <c r="N44" s="1698"/>
      <c r="O44" s="1698"/>
      <c r="P44" s="1698"/>
      <c r="S44" s="1698"/>
      <c r="T44" s="1846" t="str">
        <f t="shared" si="2"/>
        <v/>
      </c>
      <c r="U44" s="1847" t="str">
        <f t="shared" si="3"/>
        <v/>
      </c>
      <c r="V44" s="1848"/>
      <c r="W44" s="1849" t="str">
        <f t="shared" si="6"/>
        <v/>
      </c>
      <c r="X44" s="1698"/>
      <c r="AS44" s="1705"/>
      <c r="AT44" s="1705"/>
      <c r="AY44" s="1746" t="s">
        <v>2588</v>
      </c>
      <c r="AZ44" s="1746">
        <v>2006</v>
      </c>
      <c r="BA44" s="1746" t="s">
        <v>2669</v>
      </c>
      <c r="BB44" s="1747" t="s">
        <v>2670</v>
      </c>
      <c r="BC44" s="1746">
        <v>10</v>
      </c>
      <c r="BD44" s="1746" t="s">
        <v>2671</v>
      </c>
      <c r="BE44" s="1746"/>
      <c r="BF44" s="1746">
        <v>460</v>
      </c>
      <c r="BG44" s="1746" t="s">
        <v>2592</v>
      </c>
      <c r="BH44" s="1744">
        <f t="shared" si="13"/>
        <v>4.6000000000000001E-4</v>
      </c>
      <c r="BI44" s="1745">
        <f t="shared" si="8"/>
        <v>4.6E-5</v>
      </c>
      <c r="BJ44" s="1740" t="str">
        <f t="shared" si="9"/>
        <v>tubes</v>
      </c>
      <c r="BK44" s="1740" t="str">
        <f t="shared" si="10"/>
        <v>Tube of ointment</v>
      </c>
      <c r="BN44" s="1740" t="str">
        <f t="array" ref="BN44">IFERROR(INDEX($BJ$19:$BJ$1364, MATCH(0,COUNTIF($BN$16:BN43, $BJ$19:$BJ$1364), 0)),"")</f>
        <v>caps</v>
      </c>
      <c r="BO44" s="1740" t="s">
        <v>2573</v>
      </c>
      <c r="BQ44" s="1740" t="s">
        <v>2663</v>
      </c>
      <c r="BR44" s="1740" t="s">
        <v>2672</v>
      </c>
      <c r="BS44" s="1741">
        <f>_xlfn.PERCENTILE.INC($CH$19:$CH$297,0.75)/1000000</f>
        <v>4.9650000000000007E-5</v>
      </c>
      <c r="BV44" s="1689" t="s">
        <v>941</v>
      </c>
      <c r="BW44" s="1689" t="s">
        <v>942</v>
      </c>
      <c r="BX44" s="1689" t="s">
        <v>889</v>
      </c>
      <c r="BY44" s="1689" t="s">
        <v>907</v>
      </c>
      <c r="BZ44" s="1689" t="s">
        <v>943</v>
      </c>
      <c r="CA44" s="1689" t="s">
        <v>944</v>
      </c>
      <c r="CB44" s="1689"/>
      <c r="CC44" s="1689" t="s">
        <v>945</v>
      </c>
      <c r="CD44" s="1689" t="s">
        <v>946</v>
      </c>
      <c r="CE44" s="1689">
        <v>78.277199999999993</v>
      </c>
      <c r="CF44" s="1689"/>
      <c r="CG44" s="1740">
        <f t="shared" si="15"/>
        <v>78.277199999999993</v>
      </c>
      <c r="CH44" s="1740" t="str">
        <f t="shared" si="12"/>
        <v/>
      </c>
    </row>
    <row r="45" spans="2:86" ht="15.65" customHeight="1">
      <c r="B45" s="149"/>
      <c r="C45" s="1837"/>
      <c r="D45" s="1841"/>
      <c r="E45" s="1840"/>
      <c r="F45" s="1838"/>
      <c r="G45" s="1698"/>
      <c r="J45" s="1697" t="s">
        <v>2673</v>
      </c>
      <c r="K45" s="1698"/>
      <c r="L45" s="1698"/>
      <c r="M45" s="1698"/>
      <c r="N45" s="1698"/>
      <c r="O45" s="1698"/>
      <c r="P45" s="1698"/>
      <c r="S45" s="1698"/>
      <c r="T45" s="1846" t="str">
        <f t="shared" si="2"/>
        <v/>
      </c>
      <c r="U45" s="1847" t="str">
        <f t="shared" si="3"/>
        <v/>
      </c>
      <c r="V45" s="1848"/>
      <c r="W45" s="1849" t="str">
        <f t="shared" si="6"/>
        <v/>
      </c>
      <c r="X45" s="1698"/>
      <c r="AS45" s="1705"/>
      <c r="AT45" s="1705"/>
      <c r="AY45" s="1746" t="s">
        <v>2593</v>
      </c>
      <c r="AZ45" s="1746">
        <v>2008</v>
      </c>
      <c r="BA45" s="1746" t="s">
        <v>2674</v>
      </c>
      <c r="BB45" s="1747" t="s">
        <v>2675</v>
      </c>
      <c r="BC45" s="1746">
        <v>1</v>
      </c>
      <c r="BD45" s="1746" t="s">
        <v>2676</v>
      </c>
      <c r="BE45" s="1746"/>
      <c r="BF45" s="1746">
        <v>8.0000000000000007E-5</v>
      </c>
      <c r="BG45" s="1746" t="s">
        <v>2597</v>
      </c>
      <c r="BH45" s="1744">
        <f t="shared" si="13"/>
        <v>8.0000000000000007E-5</v>
      </c>
      <c r="BI45" s="1745">
        <f t="shared" si="8"/>
        <v>8.0000000000000007E-5</v>
      </c>
      <c r="BJ45" s="1740" t="str">
        <f t="shared" si="9"/>
        <v>tube</v>
      </c>
      <c r="BK45" s="1740" t="str">
        <f t="shared" si="10"/>
        <v>Tube of ointment</v>
      </c>
      <c r="BN45" s="1740" t="str">
        <f t="array" ref="BN45">IFERROR(INDEX($BJ$19:$BJ$1364, MATCH(0,COUNTIF($BN$16:BN44, $BJ$19:$BJ$1364), 0)),"")</f>
        <v>PAC-ß-lactams</v>
      </c>
      <c r="BO45" s="1740" t="s">
        <v>2573</v>
      </c>
      <c r="BV45" s="1689" t="s">
        <v>948</v>
      </c>
      <c r="BW45" s="1689" t="s">
        <v>949</v>
      </c>
      <c r="BX45" s="1689" t="s">
        <v>889</v>
      </c>
      <c r="BY45" s="1689" t="s">
        <v>907</v>
      </c>
      <c r="BZ45" s="1689"/>
      <c r="CA45" s="1689" t="s">
        <v>950</v>
      </c>
      <c r="CB45" s="1689"/>
      <c r="CC45" s="1689" t="s">
        <v>951</v>
      </c>
      <c r="CD45" s="1689">
        <v>2</v>
      </c>
      <c r="CE45" s="1689">
        <v>41.2</v>
      </c>
      <c r="CF45" s="1689"/>
      <c r="CG45" s="1740">
        <f t="shared" si="15"/>
        <v>41.2</v>
      </c>
      <c r="CH45" s="1740">
        <f t="shared" si="12"/>
        <v>82.4</v>
      </c>
    </row>
    <row r="46" spans="2:86" ht="15.65" customHeight="1">
      <c r="B46" s="149"/>
      <c r="C46" s="1837"/>
      <c r="D46" s="1841"/>
      <c r="E46" s="1840"/>
      <c r="F46" s="1838"/>
      <c r="G46" s="1698"/>
      <c r="J46" s="1697" t="s">
        <v>2677</v>
      </c>
      <c r="K46" s="1698"/>
      <c r="L46" s="1698"/>
      <c r="M46" s="1698"/>
      <c r="N46" s="1698"/>
      <c r="O46" s="1698"/>
      <c r="P46" s="1698"/>
      <c r="S46" s="1698"/>
      <c r="T46" s="1846" t="str">
        <f t="shared" si="2"/>
        <v/>
      </c>
      <c r="U46" s="1847" t="str">
        <f t="shared" si="3"/>
        <v/>
      </c>
      <c r="V46" s="1848"/>
      <c r="W46" s="1849" t="str">
        <f t="shared" si="6"/>
        <v/>
      </c>
      <c r="X46" s="1698"/>
      <c r="AS46" s="1705"/>
      <c r="AT46" s="1705"/>
      <c r="AY46" s="1746" t="s">
        <v>2575</v>
      </c>
      <c r="AZ46" s="1746">
        <v>2008</v>
      </c>
      <c r="BA46" s="1746" t="s">
        <v>2678</v>
      </c>
      <c r="BB46" s="1747" t="s">
        <v>2679</v>
      </c>
      <c r="BC46" s="1746" t="s">
        <v>2578</v>
      </c>
      <c r="BD46" s="1746" t="s">
        <v>2680</v>
      </c>
      <c r="BE46" s="1746" t="s">
        <v>2660</v>
      </c>
      <c r="BF46" s="1746">
        <v>0.03</v>
      </c>
      <c r="BG46" s="1746" t="s">
        <v>2581</v>
      </c>
      <c r="BH46" s="1744">
        <f t="shared" si="13"/>
        <v>2.9999999999999997E-5</v>
      </c>
      <c r="BI46" s="1745" t="str">
        <f t="shared" si="8"/>
        <v/>
      </c>
      <c r="BJ46" s="1740" t="str">
        <f t="shared" si="9"/>
        <v>TBE-Antivirals</v>
      </c>
      <c r="BK46" s="1740" t="str">
        <f t="shared" si="10"/>
        <v>Tube of ointment</v>
      </c>
      <c r="BN46" s="1740" t="str">
        <f t="array" ref="BN46">IFERROR(INDEX($BJ$19:$BJ$1364, MATCH(0,COUNTIF($BN$16:BN45, $BJ$19:$BJ$1364), 0)),"")</f>
        <v>capsules</v>
      </c>
      <c r="BO46" s="1740" t="s">
        <v>2573</v>
      </c>
      <c r="BV46" s="1689" t="s">
        <v>953</v>
      </c>
      <c r="BW46" s="1689" t="s">
        <v>949</v>
      </c>
      <c r="BX46" s="1689" t="s">
        <v>889</v>
      </c>
      <c r="BY46" s="1689" t="s">
        <v>907</v>
      </c>
      <c r="BZ46" s="1689"/>
      <c r="CA46" s="1689" t="s">
        <v>954</v>
      </c>
      <c r="CB46" s="1689"/>
      <c r="CC46" s="1689"/>
      <c r="CD46" s="1689">
        <v>10</v>
      </c>
      <c r="CE46" s="1689">
        <v>8.1999999999999993</v>
      </c>
      <c r="CF46" s="1689"/>
      <c r="CG46" s="1740">
        <f t="shared" si="15"/>
        <v>8.1999999999999993</v>
      </c>
      <c r="CH46" s="1740">
        <f t="shared" si="12"/>
        <v>82</v>
      </c>
    </row>
    <row r="47" spans="2:86" ht="15.65" customHeight="1">
      <c r="B47" s="149"/>
      <c r="C47" s="1837"/>
      <c r="D47" s="1841"/>
      <c r="E47" s="1840"/>
      <c r="F47" s="1838"/>
      <c r="G47" s="1698"/>
      <c r="S47" s="1698"/>
      <c r="T47" s="1846" t="str">
        <f t="shared" si="2"/>
        <v/>
      </c>
      <c r="U47" s="1847" t="str">
        <f t="shared" si="3"/>
        <v/>
      </c>
      <c r="V47" s="1848"/>
      <c r="W47" s="1849" t="str">
        <f t="shared" si="6"/>
        <v/>
      </c>
      <c r="X47" s="1698"/>
      <c r="AS47" s="1705"/>
      <c r="AT47" s="1705"/>
      <c r="AY47" s="1746" t="s">
        <v>2593</v>
      </c>
      <c r="AZ47" s="1746">
        <v>2008</v>
      </c>
      <c r="BA47" s="1746" t="s">
        <v>2681</v>
      </c>
      <c r="BB47" s="1747" t="s">
        <v>2682</v>
      </c>
      <c r="BC47" s="1746">
        <v>100</v>
      </c>
      <c r="BD47" s="1746" t="s">
        <v>2601</v>
      </c>
      <c r="BE47" s="1746"/>
      <c r="BF47" s="1746">
        <v>5.4000000000000001E-4</v>
      </c>
      <c r="BG47" s="1746" t="s">
        <v>2597</v>
      </c>
      <c r="BH47" s="1744">
        <f t="shared" si="13"/>
        <v>5.4000000000000001E-4</v>
      </c>
      <c r="BI47" s="1745">
        <f t="shared" si="8"/>
        <v>5.4E-6</v>
      </c>
      <c r="BJ47" s="1740" t="str">
        <f t="shared" si="9"/>
        <v>tablets</v>
      </c>
      <c r="BK47" s="1740" t="str">
        <f t="shared" si="10"/>
        <v>Bottle of Tablets</v>
      </c>
      <c r="BN47" s="1740" t="str">
        <f t="array" ref="BN47">IFERROR(INDEX($BJ$19:$BJ$1364, MATCH(0,COUNTIF($BN$16:BN46, $BJ$19:$BJ$1364), 0)),"")</f>
        <v>BOX-ß-lactams</v>
      </c>
      <c r="BO47" s="1740" t="s">
        <v>2582</v>
      </c>
      <c r="BV47" s="1689" t="s">
        <v>955</v>
      </c>
      <c r="BW47" s="1689" t="s">
        <v>956</v>
      </c>
      <c r="BX47" s="1689" t="s">
        <v>957</v>
      </c>
      <c r="BY47" s="1689" t="s">
        <v>907</v>
      </c>
      <c r="BZ47" s="1689"/>
      <c r="CA47" s="1689" t="s">
        <v>958</v>
      </c>
      <c r="CB47" s="1689"/>
      <c r="CC47" s="1689" t="s">
        <v>959</v>
      </c>
      <c r="CD47" s="1689" t="s">
        <v>894</v>
      </c>
      <c r="CE47" s="1689">
        <v>154</v>
      </c>
      <c r="CF47" s="1689"/>
      <c r="CG47" s="1740">
        <f t="shared" si="15"/>
        <v>154</v>
      </c>
      <c r="CH47" s="1740" t="str">
        <f t="shared" si="12"/>
        <v/>
      </c>
    </row>
    <row r="48" spans="2:86" ht="15.65" customHeight="1">
      <c r="B48" s="149"/>
      <c r="C48" s="1837"/>
      <c r="D48" s="1841"/>
      <c r="E48" s="1840"/>
      <c r="F48" s="1838"/>
      <c r="G48" s="1698"/>
      <c r="S48" s="1698"/>
      <c r="T48" s="1846" t="str">
        <f t="shared" si="2"/>
        <v/>
      </c>
      <c r="U48" s="1847" t="str">
        <f t="shared" si="3"/>
        <v/>
      </c>
      <c r="V48" s="1848"/>
      <c r="W48" s="1849" t="str">
        <f t="shared" si="6"/>
        <v/>
      </c>
      <c r="X48" s="1698"/>
      <c r="AS48" s="1705"/>
      <c r="AT48" s="1705"/>
      <c r="AY48" s="1746" t="s">
        <v>2588</v>
      </c>
      <c r="AZ48" s="1746">
        <v>2006</v>
      </c>
      <c r="BA48" s="1746" t="s">
        <v>2683</v>
      </c>
      <c r="BB48" s="1747" t="s">
        <v>2684</v>
      </c>
      <c r="BC48" s="1746">
        <v>1</v>
      </c>
      <c r="BD48" s="1746" t="s">
        <v>2676</v>
      </c>
      <c r="BE48" s="1746"/>
      <c r="BF48" s="1746">
        <v>30</v>
      </c>
      <c r="BG48" s="1746" t="s">
        <v>2592</v>
      </c>
      <c r="BH48" s="1744">
        <f t="shared" si="13"/>
        <v>3.0000000000000001E-5</v>
      </c>
      <c r="BI48" s="1745">
        <f t="shared" si="8"/>
        <v>3.0000000000000001E-5</v>
      </c>
      <c r="BJ48" s="1740" t="str">
        <f t="shared" si="9"/>
        <v>tube</v>
      </c>
      <c r="BK48" s="1740" t="str">
        <f t="shared" si="10"/>
        <v>Tube of ointment</v>
      </c>
      <c r="BN48" s="1740" t="str">
        <f t="array" ref="BN48">IFERROR(INDEX($BJ$19:$BJ$1364, MATCH(0,COUNTIF($BN$16:BN47, $BJ$19:$BJ$1364), 0)),"")</f>
        <v>supps</v>
      </c>
      <c r="BO48" s="1740" t="s">
        <v>2657</v>
      </c>
      <c r="BV48" s="1689" t="s">
        <v>961</v>
      </c>
      <c r="BW48" s="1689" t="s">
        <v>956</v>
      </c>
      <c r="BX48" s="1689" t="s">
        <v>957</v>
      </c>
      <c r="BY48" s="1689" t="s">
        <v>907</v>
      </c>
      <c r="BZ48" s="1689"/>
      <c r="CA48" s="1689" t="s">
        <v>962</v>
      </c>
      <c r="CB48" s="1689"/>
      <c r="CC48" s="1689"/>
      <c r="CD48" s="1689">
        <v>1</v>
      </c>
      <c r="CE48" s="1689">
        <v>39.200000000000003</v>
      </c>
      <c r="CF48" s="1689"/>
      <c r="CG48" s="1740">
        <f t="shared" si="15"/>
        <v>39.200000000000003</v>
      </c>
      <c r="CH48" s="1740">
        <f t="shared" si="12"/>
        <v>39.200000000000003</v>
      </c>
    </row>
    <row r="49" spans="2:86" ht="15.65" customHeight="1">
      <c r="B49" s="149"/>
      <c r="C49" s="1837"/>
      <c r="D49" s="1841"/>
      <c r="E49" s="1840"/>
      <c r="F49" s="1838"/>
      <c r="G49" s="1698"/>
      <c r="S49" s="1698"/>
      <c r="T49" s="1846" t="str">
        <f t="shared" si="2"/>
        <v/>
      </c>
      <c r="U49" s="1847" t="str">
        <f t="shared" si="3"/>
        <v/>
      </c>
      <c r="V49" s="1848"/>
      <c r="W49" s="1849" t="str">
        <f t="shared" si="6"/>
        <v/>
      </c>
      <c r="X49" s="1698"/>
      <c r="AS49" s="1705"/>
      <c r="AT49" s="1705"/>
      <c r="AY49" s="1746" t="s">
        <v>2593</v>
      </c>
      <c r="AZ49" s="1746">
        <v>2008</v>
      </c>
      <c r="BA49" s="1746" t="s">
        <v>2685</v>
      </c>
      <c r="BB49" s="1747" t="s">
        <v>2686</v>
      </c>
      <c r="BC49" s="1746">
        <v>100</v>
      </c>
      <c r="BD49" s="1746" t="s">
        <v>2601</v>
      </c>
      <c r="BE49" s="1746"/>
      <c r="BF49" s="1746">
        <v>0</v>
      </c>
      <c r="BG49" s="1746" t="s">
        <v>2597</v>
      </c>
      <c r="BH49" s="1744">
        <f t="shared" si="13"/>
        <v>0</v>
      </c>
      <c r="BI49" s="1745">
        <f t="shared" si="8"/>
        <v>0</v>
      </c>
      <c r="BJ49" s="1740" t="str">
        <f t="shared" si="9"/>
        <v>tablets</v>
      </c>
      <c r="BK49" s="1740" t="str">
        <f t="shared" si="10"/>
        <v>Bottle of Tablets</v>
      </c>
      <c r="BN49" s="1740" t="str">
        <f t="array" ref="BN49">IFERROR(INDEX($BJ$19:$BJ$1364, MATCH(0,COUNTIF($BN$16:BN48, $BJ$19:$BJ$1364), 0)),"")</f>
        <v>pcs</v>
      </c>
      <c r="BO49" s="1740" t="s">
        <v>2632</v>
      </c>
      <c r="BV49" s="1689" t="s">
        <v>961</v>
      </c>
      <c r="BW49" s="1689" t="s">
        <v>956</v>
      </c>
      <c r="BX49" s="1689" t="s">
        <v>965</v>
      </c>
      <c r="BY49" s="1689" t="s">
        <v>907</v>
      </c>
      <c r="BZ49" s="1689" t="s">
        <v>966</v>
      </c>
      <c r="CA49" s="1689" t="s">
        <v>967</v>
      </c>
      <c r="CB49" s="1689"/>
      <c r="CC49" s="1689"/>
      <c r="CD49" s="1689">
        <v>10</v>
      </c>
      <c r="CE49" s="1689">
        <v>12.39</v>
      </c>
      <c r="CF49" s="1689"/>
      <c r="CG49" s="1740">
        <f t="shared" si="15"/>
        <v>12.39</v>
      </c>
      <c r="CH49" s="1740">
        <f t="shared" si="12"/>
        <v>123.9</v>
      </c>
    </row>
    <row r="50" spans="2:86" ht="15.65" customHeight="1">
      <c r="B50" s="149"/>
      <c r="C50" s="1837"/>
      <c r="D50" s="1841"/>
      <c r="E50" s="1840"/>
      <c r="F50" s="1838"/>
      <c r="G50" s="1698"/>
      <c r="S50" s="1698"/>
      <c r="T50" s="1846" t="str">
        <f t="shared" si="2"/>
        <v/>
      </c>
      <c r="U50" s="1847" t="str">
        <f t="shared" si="3"/>
        <v/>
      </c>
      <c r="V50" s="1848"/>
      <c r="W50" s="1849" t="str">
        <f t="shared" si="6"/>
        <v/>
      </c>
      <c r="X50" s="1698"/>
      <c r="AS50" s="1705"/>
      <c r="AT50" s="1705"/>
      <c r="AY50" s="1746" t="s">
        <v>2593</v>
      </c>
      <c r="AZ50" s="1746">
        <v>2008</v>
      </c>
      <c r="BA50" s="1746" t="s">
        <v>2687</v>
      </c>
      <c r="BB50" s="1747" t="s">
        <v>2688</v>
      </c>
      <c r="BC50" s="1746">
        <v>1</v>
      </c>
      <c r="BD50" s="1746" t="s">
        <v>2689</v>
      </c>
      <c r="BE50" s="1746"/>
      <c r="BF50" s="1746">
        <v>6.0000000000000002E-5</v>
      </c>
      <c r="BG50" s="1746" t="s">
        <v>2597</v>
      </c>
      <c r="BH50" s="1744">
        <f t="shared" si="13"/>
        <v>6.0000000000000002E-5</v>
      </c>
      <c r="BI50" s="1745">
        <f t="shared" si="8"/>
        <v>6.0000000000000002E-5</v>
      </c>
      <c r="BJ50" s="1740" t="str">
        <f t="shared" si="9"/>
        <v>roll</v>
      </c>
      <c r="BK50" s="1740" t="str">
        <f t="shared" si="10"/>
        <v>Roll of tape/gauze</v>
      </c>
      <c r="BN50" s="1740" t="str">
        <f t="array" ref="BN50">IFERROR(INDEX($BJ$19:$BJ$1364, MATCH(0,COUNTIF($BN$16:BN49, $BJ$19:$BJ$1364), 0)),"")</f>
        <v>pieces</v>
      </c>
      <c r="BO50" s="1740" t="s">
        <v>2632</v>
      </c>
      <c r="BV50" s="1689" t="s">
        <v>961</v>
      </c>
      <c r="BW50" s="1689" t="s">
        <v>956</v>
      </c>
      <c r="BX50" s="1689" t="s">
        <v>965</v>
      </c>
      <c r="BY50" s="1689" t="s">
        <v>907</v>
      </c>
      <c r="BZ50" s="1689" t="s">
        <v>966</v>
      </c>
      <c r="CA50" s="1689" t="s">
        <v>970</v>
      </c>
      <c r="CB50" s="1689"/>
      <c r="CC50" s="1689"/>
      <c r="CD50" s="1689">
        <v>1</v>
      </c>
      <c r="CE50" s="1689">
        <v>44.72</v>
      </c>
      <c r="CF50" s="1689"/>
      <c r="CG50" s="1740">
        <f t="shared" si="15"/>
        <v>44.72</v>
      </c>
      <c r="CH50" s="1740">
        <f t="shared" si="12"/>
        <v>44.72</v>
      </c>
    </row>
    <row r="51" spans="2:86" ht="15.65" customHeight="1">
      <c r="B51" s="149"/>
      <c r="C51" s="1837"/>
      <c r="D51" s="1841"/>
      <c r="E51" s="1840"/>
      <c r="F51" s="1838"/>
      <c r="G51" s="1698"/>
      <c r="S51" s="1698"/>
      <c r="T51" s="1846" t="str">
        <f t="shared" si="2"/>
        <v/>
      </c>
      <c r="U51" s="1847" t="str">
        <f t="shared" si="3"/>
        <v/>
      </c>
      <c r="V51" s="1848"/>
      <c r="W51" s="1849" t="str">
        <f t="shared" si="6"/>
        <v/>
      </c>
      <c r="X51" s="1698"/>
      <c r="AS51" s="1705"/>
      <c r="AT51" s="1705"/>
      <c r="AY51" s="1746" t="s">
        <v>2593</v>
      </c>
      <c r="AZ51" s="1746">
        <v>2008</v>
      </c>
      <c r="BA51" s="1746" t="s">
        <v>2690</v>
      </c>
      <c r="BB51" s="1747" t="s">
        <v>2691</v>
      </c>
      <c r="BC51" s="1746">
        <v>1</v>
      </c>
      <c r="BD51" s="1746" t="s">
        <v>2689</v>
      </c>
      <c r="BE51" s="1746"/>
      <c r="BF51" s="1746">
        <v>1E-4</v>
      </c>
      <c r="BG51" s="1746" t="s">
        <v>2597</v>
      </c>
      <c r="BH51" s="1744">
        <f t="shared" si="13"/>
        <v>1E-4</v>
      </c>
      <c r="BI51" s="1745">
        <f t="shared" si="8"/>
        <v>1E-4</v>
      </c>
      <c r="BJ51" s="1740" t="str">
        <f t="shared" si="9"/>
        <v>roll</v>
      </c>
      <c r="BK51" s="1740" t="str">
        <f t="shared" si="10"/>
        <v>Roll of tape/gauze</v>
      </c>
      <c r="BN51" s="1740" t="str">
        <f t="array" ref="BN51">IFERROR(INDEX($BJ$19:$BJ$1364, MATCH(0,COUNTIF($BN$16:BN50, $BJ$19:$BJ$1364), 0)),"")</f>
        <v>piece</v>
      </c>
      <c r="BO51" s="1740" t="s">
        <v>2632</v>
      </c>
      <c r="BV51" s="1689" t="s">
        <v>972</v>
      </c>
      <c r="BW51" s="1689" t="s">
        <v>973</v>
      </c>
      <c r="BX51" s="1689" t="s">
        <v>889</v>
      </c>
      <c r="BY51" s="1689" t="s">
        <v>907</v>
      </c>
      <c r="BZ51" s="1689"/>
      <c r="CA51" s="1689" t="s">
        <v>974</v>
      </c>
      <c r="CB51" s="1689"/>
      <c r="CC51" s="1689" t="s">
        <v>951</v>
      </c>
      <c r="CD51" s="1689" t="s">
        <v>946</v>
      </c>
      <c r="CE51" s="1689">
        <v>99</v>
      </c>
      <c r="CF51" s="1689"/>
      <c r="CG51" s="1740">
        <f t="shared" si="15"/>
        <v>99</v>
      </c>
      <c r="CH51" s="1740" t="str">
        <f t="shared" si="12"/>
        <v/>
      </c>
    </row>
    <row r="52" spans="2:86" ht="15.65" customHeight="1">
      <c r="B52" s="149"/>
      <c r="C52" s="1837"/>
      <c r="D52" s="1841"/>
      <c r="E52" s="1840"/>
      <c r="F52" s="1838"/>
      <c r="G52" s="1698"/>
      <c r="S52" s="1698"/>
      <c r="T52" s="1846" t="str">
        <f t="shared" si="2"/>
        <v/>
      </c>
      <c r="U52" s="1847" t="str">
        <f t="shared" si="3"/>
        <v/>
      </c>
      <c r="V52" s="1848"/>
      <c r="W52" s="1849" t="str">
        <f t="shared" si="6"/>
        <v/>
      </c>
      <c r="X52" s="1698"/>
      <c r="AS52" s="1705"/>
      <c r="AT52" s="1705"/>
      <c r="AY52" s="1746" t="s">
        <v>2593</v>
      </c>
      <c r="AZ52" s="1746">
        <v>2008</v>
      </c>
      <c r="BA52" s="1746" t="s">
        <v>2692</v>
      </c>
      <c r="BB52" s="1747" t="s">
        <v>2693</v>
      </c>
      <c r="BC52" s="1746">
        <v>1</v>
      </c>
      <c r="BD52" s="1746" t="s">
        <v>2689</v>
      </c>
      <c r="BE52" s="1746"/>
      <c r="BF52" s="1746">
        <v>7.7999999999999999E-4</v>
      </c>
      <c r="BG52" s="1746" t="s">
        <v>2597</v>
      </c>
      <c r="BH52" s="1744">
        <f t="shared" si="13"/>
        <v>7.7999999999999999E-4</v>
      </c>
      <c r="BI52" s="1745">
        <f t="shared" si="8"/>
        <v>7.7999999999999999E-4</v>
      </c>
      <c r="BJ52" s="1740" t="str">
        <f t="shared" si="9"/>
        <v>roll</v>
      </c>
      <c r="BK52" s="1740" t="str">
        <f t="shared" si="10"/>
        <v>Roll of tape/gauze</v>
      </c>
      <c r="BN52" s="1740" t="str">
        <f t="array" ref="BN52">IFERROR(INDEX($BJ$19:$BJ$1364, MATCH(0,COUNTIF($BN$16:BN51, $BJ$19:$BJ$1364), 0)),"")</f>
        <v>BOX-Clothing and access.</v>
      </c>
      <c r="BO52" s="1740" t="s">
        <v>2632</v>
      </c>
      <c r="BV52" s="1689" t="s">
        <v>975</v>
      </c>
      <c r="BW52" s="1689" t="s">
        <v>973</v>
      </c>
      <c r="BX52" s="1689" t="s">
        <v>976</v>
      </c>
      <c r="BY52" s="1689" t="s">
        <v>907</v>
      </c>
      <c r="BZ52" s="1689" t="s">
        <v>977</v>
      </c>
      <c r="CA52" s="1689" t="s">
        <v>978</v>
      </c>
      <c r="CB52" s="1689"/>
      <c r="CC52" s="1689"/>
      <c r="CD52" s="1689">
        <v>5</v>
      </c>
      <c r="CE52" s="1689">
        <v>4.2</v>
      </c>
      <c r="CF52" s="1689"/>
      <c r="CG52" s="1740">
        <f t="shared" si="15"/>
        <v>4.2</v>
      </c>
      <c r="CH52" s="1740">
        <f t="shared" si="12"/>
        <v>21</v>
      </c>
    </row>
    <row r="53" spans="2:86" ht="15.65" customHeight="1">
      <c r="B53" s="149"/>
      <c r="C53" s="1837"/>
      <c r="D53" s="1841"/>
      <c r="E53" s="1840"/>
      <c r="F53" s="1838"/>
      <c r="G53" s="1698"/>
      <c r="S53" s="1698"/>
      <c r="T53" s="1846" t="str">
        <f t="shared" si="2"/>
        <v/>
      </c>
      <c r="U53" s="1847" t="str">
        <f t="shared" si="3"/>
        <v/>
      </c>
      <c r="V53" s="1848"/>
      <c r="W53" s="1849" t="str">
        <f t="shared" si="6"/>
        <v/>
      </c>
      <c r="X53" s="1698"/>
      <c r="AS53" s="1705"/>
      <c r="AT53" s="1705"/>
      <c r="AY53" s="1746" t="s">
        <v>2593</v>
      </c>
      <c r="AZ53" s="1746">
        <v>2008</v>
      </c>
      <c r="BA53" s="1746" t="s">
        <v>2694</v>
      </c>
      <c r="BB53" s="1747" t="s">
        <v>2695</v>
      </c>
      <c r="BC53" s="1746">
        <v>1</v>
      </c>
      <c r="BD53" s="1746" t="s">
        <v>2689</v>
      </c>
      <c r="BE53" s="1746"/>
      <c r="BF53" s="1746">
        <v>8.9599999999999992E-3</v>
      </c>
      <c r="BG53" s="1746" t="s">
        <v>2597</v>
      </c>
      <c r="BH53" s="1744">
        <f t="shared" si="13"/>
        <v>8.9599999999999992E-3</v>
      </c>
      <c r="BI53" s="1745">
        <f t="shared" si="8"/>
        <v>8.9599999999999992E-3</v>
      </c>
      <c r="BJ53" s="1740" t="str">
        <f t="shared" si="9"/>
        <v>roll</v>
      </c>
      <c r="BK53" s="1740" t="str">
        <f t="shared" si="10"/>
        <v>Roll of tape/gauze</v>
      </c>
      <c r="BN53" s="1740" t="str">
        <f t="array" ref="BN53">IFERROR(INDEX($BJ$19:$BJ$1364, MATCH(0,COUNTIF($BN$16:BN52, $BJ$19:$BJ$1364), 0)),"")</f>
        <v>EA-Clothing and access.</v>
      </c>
      <c r="BO53" s="1740" t="s">
        <v>2632</v>
      </c>
      <c r="BV53" s="1689" t="s">
        <v>975</v>
      </c>
      <c r="BW53" s="1689" t="s">
        <v>973</v>
      </c>
      <c r="BX53" s="1689" t="s">
        <v>976</v>
      </c>
      <c r="BY53" s="1689" t="s">
        <v>907</v>
      </c>
      <c r="BZ53" s="1689" t="s">
        <v>980</v>
      </c>
      <c r="CA53" s="1689" t="s">
        <v>981</v>
      </c>
      <c r="CB53" s="1689"/>
      <c r="CC53" s="1689"/>
      <c r="CD53" s="1689">
        <v>10</v>
      </c>
      <c r="CE53" s="1689">
        <v>2.1</v>
      </c>
      <c r="CF53" s="1689"/>
      <c r="CG53" s="1740">
        <f t="shared" si="15"/>
        <v>2.1</v>
      </c>
      <c r="CH53" s="1740">
        <f t="shared" si="12"/>
        <v>21</v>
      </c>
    </row>
    <row r="54" spans="2:86" ht="15.65" customHeight="1">
      <c r="B54" s="149"/>
      <c r="C54" s="1837"/>
      <c r="D54" s="1841"/>
      <c r="E54" s="1840"/>
      <c r="F54" s="1838"/>
      <c r="G54" s="1698"/>
      <c r="S54" s="1698"/>
      <c r="T54" s="1846" t="str">
        <f t="shared" si="2"/>
        <v/>
      </c>
      <c r="U54" s="1847" t="str">
        <f t="shared" si="3"/>
        <v/>
      </c>
      <c r="V54" s="1848"/>
      <c r="W54" s="1849" t="str">
        <f t="shared" si="6"/>
        <v/>
      </c>
      <c r="X54" s="1698"/>
      <c r="AS54" s="1705"/>
      <c r="AT54" s="1705"/>
      <c r="AY54" s="1746" t="s">
        <v>2593</v>
      </c>
      <c r="AZ54" s="1746">
        <v>2008</v>
      </c>
      <c r="BA54" s="1746" t="s">
        <v>2696</v>
      </c>
      <c r="BB54" s="1747" t="s">
        <v>2697</v>
      </c>
      <c r="BC54" s="1746">
        <v>1</v>
      </c>
      <c r="BD54" s="1746" t="s">
        <v>2689</v>
      </c>
      <c r="BE54" s="1746"/>
      <c r="BF54" s="1746">
        <v>2.9E-4</v>
      </c>
      <c r="BG54" s="1746" t="s">
        <v>2597</v>
      </c>
      <c r="BH54" s="1744">
        <f t="shared" si="13"/>
        <v>2.9E-4</v>
      </c>
      <c r="BI54" s="1745">
        <f t="shared" si="8"/>
        <v>2.9E-4</v>
      </c>
      <c r="BJ54" s="1740" t="str">
        <f t="shared" si="9"/>
        <v>roll</v>
      </c>
      <c r="BK54" s="1740" t="str">
        <f t="shared" si="10"/>
        <v>Roll of tape/gauze</v>
      </c>
      <c r="BN54" s="1740" t="str">
        <f t="array" ref="BN54">IFERROR(INDEX($BJ$19:$BJ$1364, MATCH(0,COUNTIF($BN$16:BN53, $BJ$19:$BJ$1364), 0)),"")</f>
        <v>BOX-Antimalarial drugs</v>
      </c>
      <c r="BO54" s="1740" t="s">
        <v>2582</v>
      </c>
      <c r="BV54" s="1689" t="s">
        <v>983</v>
      </c>
      <c r="BW54" s="1689" t="s">
        <v>973</v>
      </c>
      <c r="BX54" s="1689" t="s">
        <v>976</v>
      </c>
      <c r="BY54" s="1689" t="s">
        <v>907</v>
      </c>
      <c r="BZ54" s="1689" t="s">
        <v>984</v>
      </c>
      <c r="CA54" s="1689" t="s">
        <v>985</v>
      </c>
      <c r="CB54" s="1689"/>
      <c r="CC54" s="1689"/>
      <c r="CD54" s="1689" t="s">
        <v>894</v>
      </c>
      <c r="CE54" s="1689"/>
      <c r="CF54" s="1689"/>
      <c r="CG54" s="1740"/>
      <c r="CH54" s="1740" t="str">
        <f t="shared" si="12"/>
        <v/>
      </c>
    </row>
    <row r="55" spans="2:86" ht="15.65" customHeight="1">
      <c r="B55" s="149"/>
      <c r="C55" s="1837"/>
      <c r="D55" s="1841"/>
      <c r="E55" s="1840"/>
      <c r="F55" s="1838"/>
      <c r="G55" s="1698"/>
      <c r="S55" s="1698"/>
      <c r="T55" s="1846" t="str">
        <f t="shared" si="2"/>
        <v/>
      </c>
      <c r="U55" s="1847" t="str">
        <f t="shared" si="3"/>
        <v/>
      </c>
      <c r="V55" s="1848"/>
      <c r="W55" s="1849" t="str">
        <f t="shared" si="6"/>
        <v/>
      </c>
      <c r="X55" s="1698"/>
      <c r="AS55" s="1705"/>
      <c r="AT55" s="1705"/>
      <c r="AY55" s="1746" t="s">
        <v>2588</v>
      </c>
      <c r="AZ55" s="1746">
        <v>2006</v>
      </c>
      <c r="BA55" s="1746" t="s">
        <v>2698</v>
      </c>
      <c r="BB55" s="1747" t="s">
        <v>2699</v>
      </c>
      <c r="BC55" s="1746">
        <v>10</v>
      </c>
      <c r="BD55" s="1746" t="s">
        <v>2700</v>
      </c>
      <c r="BE55" s="1746"/>
      <c r="BF55" s="1746">
        <v>929.78</v>
      </c>
      <c r="BG55" s="1746" t="s">
        <v>2592</v>
      </c>
      <c r="BH55" s="1744">
        <f t="shared" si="13"/>
        <v>9.2977999999999995E-4</v>
      </c>
      <c r="BI55" s="1745">
        <f t="shared" si="8"/>
        <v>9.297799999999999E-5</v>
      </c>
      <c r="BJ55" s="1740" t="str">
        <f t="shared" si="9"/>
        <v>rolls</v>
      </c>
      <c r="BK55" s="1740" t="str">
        <f t="shared" si="10"/>
        <v>Roll of tape/gauze</v>
      </c>
      <c r="BN55" s="1740" t="str">
        <f t="array" ref="BN55">IFERROR(INDEX($BJ$19:$BJ$1364, MATCH(0,COUNTIF($BN$16:BN54, $BJ$19:$BJ$1364), 0)),"")</f>
        <v>EA-Antimalarial drugs</v>
      </c>
      <c r="BO55" s="1740" t="s">
        <v>2583</v>
      </c>
      <c r="BV55" s="1689" t="s">
        <v>983</v>
      </c>
      <c r="BW55" s="1689" t="s">
        <v>973</v>
      </c>
      <c r="BX55" s="1689" t="s">
        <v>976</v>
      </c>
      <c r="BY55" s="1689" t="s">
        <v>907</v>
      </c>
      <c r="BZ55" s="1689" t="s">
        <v>984</v>
      </c>
      <c r="CA55" s="1689" t="s">
        <v>985</v>
      </c>
      <c r="CB55" s="1689"/>
      <c r="CC55" s="1689"/>
      <c r="CD55" s="1689" t="s">
        <v>988</v>
      </c>
      <c r="CE55" s="1689"/>
      <c r="CF55" s="1689"/>
      <c r="CG55" s="1740"/>
      <c r="CH55" s="1740" t="str">
        <f t="shared" si="12"/>
        <v/>
      </c>
    </row>
    <row r="56" spans="2:86" ht="15.65" customHeight="1">
      <c r="B56" s="149"/>
      <c r="C56" s="1837"/>
      <c r="D56" s="1841"/>
      <c r="E56" s="1840"/>
      <c r="F56" s="1838"/>
      <c r="G56" s="1698"/>
      <c r="S56" s="1698"/>
      <c r="T56" s="1846" t="str">
        <f t="shared" si="2"/>
        <v/>
      </c>
      <c r="U56" s="1847" t="str">
        <f t="shared" si="3"/>
        <v/>
      </c>
      <c r="V56" s="1848"/>
      <c r="W56" s="1849" t="str">
        <f t="shared" si="6"/>
        <v/>
      </c>
      <c r="X56" s="1698"/>
      <c r="AS56" s="1705"/>
      <c r="AT56" s="1705"/>
      <c r="AY56" s="1746" t="s">
        <v>2588</v>
      </c>
      <c r="AZ56" s="1746">
        <v>2006</v>
      </c>
      <c r="BA56" s="1746" t="s">
        <v>2701</v>
      </c>
      <c r="BB56" s="1747" t="s">
        <v>2702</v>
      </c>
      <c r="BC56" s="1746">
        <v>2</v>
      </c>
      <c r="BD56" s="1746" t="s">
        <v>2700</v>
      </c>
      <c r="BE56" s="1746"/>
      <c r="BF56" s="1746">
        <v>980</v>
      </c>
      <c r="BG56" s="1746" t="s">
        <v>2592</v>
      </c>
      <c r="BH56" s="1744">
        <f t="shared" si="13"/>
        <v>9.7999999999999997E-4</v>
      </c>
      <c r="BI56" s="1745">
        <f t="shared" si="8"/>
        <v>4.8999999999999998E-4</v>
      </c>
      <c r="BJ56" s="1740" t="str">
        <f t="shared" si="9"/>
        <v>rolls</v>
      </c>
      <c r="BK56" s="1740" t="str">
        <f t="shared" si="10"/>
        <v>Roll of tape/gauze</v>
      </c>
      <c r="BN56" s="1740" t="str">
        <f t="array" ref="BN56">IFERROR(INDEX($BJ$19:$BJ$1364, MATCH(0,COUNTIF($BN$16:BN55, $BJ$19:$BJ$1364), 0)),"")</f>
        <v>PAC-Minerals &amp; vitamins</v>
      </c>
      <c r="BO56" s="1740" t="s">
        <v>2573</v>
      </c>
      <c r="BV56" s="1689" t="s">
        <v>983</v>
      </c>
      <c r="BW56" s="1689" t="s">
        <v>973</v>
      </c>
      <c r="BX56" s="1689" t="s">
        <v>976</v>
      </c>
      <c r="BY56" s="1689" t="s">
        <v>907</v>
      </c>
      <c r="BZ56" s="1689" t="s">
        <v>984</v>
      </c>
      <c r="CA56" s="1689" t="s">
        <v>985</v>
      </c>
      <c r="CB56" s="1689"/>
      <c r="CC56" s="1689"/>
      <c r="CD56" s="1689" t="s">
        <v>990</v>
      </c>
      <c r="CE56" s="1689"/>
      <c r="CF56" s="1689"/>
      <c r="CG56" s="1740"/>
      <c r="CH56" s="1740" t="str">
        <f t="shared" si="12"/>
        <v/>
      </c>
    </row>
    <row r="57" spans="2:86" ht="15.65" customHeight="1">
      <c r="B57" s="149"/>
      <c r="C57" s="1837"/>
      <c r="D57" s="1841"/>
      <c r="E57" s="1840"/>
      <c r="F57" s="1838"/>
      <c r="G57" s="1698"/>
      <c r="S57" s="1698"/>
      <c r="T57" s="1846" t="str">
        <f t="shared" si="2"/>
        <v/>
      </c>
      <c r="U57" s="1847" t="str">
        <f t="shared" si="3"/>
        <v/>
      </c>
      <c r="V57" s="1848"/>
      <c r="W57" s="1849" t="str">
        <f t="shared" si="6"/>
        <v/>
      </c>
      <c r="X57" s="1698"/>
      <c r="AS57" s="1705"/>
      <c r="AT57" s="1705"/>
      <c r="AY57" s="1746" t="s">
        <v>2588</v>
      </c>
      <c r="AZ57" s="1746">
        <v>2006</v>
      </c>
      <c r="BA57" s="1746" t="s">
        <v>2703</v>
      </c>
      <c r="BB57" s="1747" t="s">
        <v>2704</v>
      </c>
      <c r="BC57" s="1746">
        <v>1</v>
      </c>
      <c r="BD57" s="1746" t="s">
        <v>2689</v>
      </c>
      <c r="BE57" s="1746"/>
      <c r="BF57" s="1746">
        <v>588</v>
      </c>
      <c r="BG57" s="1746" t="s">
        <v>2592</v>
      </c>
      <c r="BH57" s="1744">
        <f t="shared" si="13"/>
        <v>5.8799999999999998E-4</v>
      </c>
      <c r="BI57" s="1745">
        <f t="shared" si="8"/>
        <v>5.8799999999999998E-4</v>
      </c>
      <c r="BJ57" s="1740" t="str">
        <f t="shared" si="9"/>
        <v>roll</v>
      </c>
      <c r="BK57" s="1740" t="str">
        <f t="shared" si="10"/>
        <v>Roll of tape/gauze</v>
      </c>
      <c r="BN57" s="1740" t="str">
        <f t="array" ref="BN57">IFERROR(INDEX($BJ$19:$BJ$1364, MATCH(0,COUNTIF($BN$16:BN56, $BJ$19:$BJ$1364), 0)),"")</f>
        <v>PAC-Cardiovascular drugs</v>
      </c>
      <c r="BO57" s="1740" t="s">
        <v>2573</v>
      </c>
      <c r="BV57" s="1689" t="s">
        <v>983</v>
      </c>
      <c r="BW57" s="1689" t="s">
        <v>973</v>
      </c>
      <c r="BX57" s="1689" t="s">
        <v>976</v>
      </c>
      <c r="BY57" s="1689" t="s">
        <v>907</v>
      </c>
      <c r="BZ57" s="1689"/>
      <c r="CA57" s="1689" t="s">
        <v>992</v>
      </c>
      <c r="CB57" s="1689"/>
      <c r="CC57" s="1689"/>
      <c r="CD57" s="1689">
        <v>1</v>
      </c>
      <c r="CE57" s="1689">
        <v>15.715</v>
      </c>
      <c r="CF57" s="1689"/>
      <c r="CG57" s="1740">
        <f>SUM(CF57,CE57)</f>
        <v>15.715</v>
      </c>
      <c r="CH57" s="1740">
        <f t="shared" si="12"/>
        <v>15.715</v>
      </c>
    </row>
    <row r="58" spans="2:86" ht="15.65" customHeight="1">
      <c r="B58" s="149"/>
      <c r="C58" s="1837"/>
      <c r="D58" s="1841"/>
      <c r="E58" s="1840"/>
      <c r="F58" s="1838"/>
      <c r="G58" s="1698"/>
      <c r="S58" s="1698"/>
      <c r="T58" s="1846" t="str">
        <f t="shared" si="2"/>
        <v/>
      </c>
      <c r="U58" s="1847" t="str">
        <f t="shared" si="3"/>
        <v/>
      </c>
      <c r="V58" s="1848"/>
      <c r="W58" s="1849" t="str">
        <f t="shared" si="6"/>
        <v/>
      </c>
      <c r="X58" s="1698"/>
      <c r="AS58" s="1705"/>
      <c r="AT58" s="1705"/>
      <c r="AY58" s="1746" t="s">
        <v>2588</v>
      </c>
      <c r="AZ58" s="1746">
        <v>2006</v>
      </c>
      <c r="BA58" s="1746" t="s">
        <v>2705</v>
      </c>
      <c r="BB58" s="1747" t="s">
        <v>2706</v>
      </c>
      <c r="BC58" s="1746">
        <v>1</v>
      </c>
      <c r="BD58" s="1746" t="s">
        <v>2689</v>
      </c>
      <c r="BE58" s="1746"/>
      <c r="BF58" s="1746">
        <v>1024</v>
      </c>
      <c r="BG58" s="1746" t="s">
        <v>2592</v>
      </c>
      <c r="BH58" s="1744">
        <f t="shared" si="13"/>
        <v>1.024E-3</v>
      </c>
      <c r="BI58" s="1745">
        <f t="shared" si="8"/>
        <v>1.024E-3</v>
      </c>
      <c r="BJ58" s="1740" t="str">
        <f t="shared" si="9"/>
        <v>roll</v>
      </c>
      <c r="BK58" s="1740" t="str">
        <f t="shared" si="10"/>
        <v>Roll of tape/gauze</v>
      </c>
      <c r="BN58" s="1740" t="str">
        <f t="array" ref="BN58">IFERROR(INDEX($BJ$19:$BJ$1364, MATCH(0,COUNTIF($BN$16:BN57, $BJ$19:$BJ$1364), 0)),"")</f>
        <v>BOX-Antidotes</v>
      </c>
      <c r="BO58" s="1740" t="s">
        <v>2582</v>
      </c>
      <c r="BV58" s="1689" t="s">
        <v>983</v>
      </c>
      <c r="BW58" s="1689" t="s">
        <v>973</v>
      </c>
      <c r="BX58" s="1689" t="s">
        <v>976</v>
      </c>
      <c r="BY58" s="1689" t="s">
        <v>907</v>
      </c>
      <c r="BZ58" s="1689"/>
      <c r="CA58" s="1689" t="s">
        <v>994</v>
      </c>
      <c r="CB58" s="1689"/>
      <c r="CC58" s="1689"/>
      <c r="CD58" s="1689">
        <v>10</v>
      </c>
      <c r="CE58" s="1689">
        <v>2.6110000000000002</v>
      </c>
      <c r="CF58" s="1689"/>
      <c r="CG58" s="1740">
        <f>SUM(CF58,CE58)</f>
        <v>2.6110000000000002</v>
      </c>
      <c r="CH58" s="1740">
        <f t="shared" si="12"/>
        <v>26.110000000000003</v>
      </c>
    </row>
    <row r="59" spans="2:86" ht="15.65" customHeight="1">
      <c r="B59" s="149"/>
      <c r="C59" s="1837"/>
      <c r="D59" s="1841"/>
      <c r="E59" s="1840"/>
      <c r="F59" s="1838"/>
      <c r="G59" s="1698"/>
      <c r="S59" s="1698"/>
      <c r="T59" s="1846" t="str">
        <f t="shared" si="2"/>
        <v/>
      </c>
      <c r="U59" s="1847" t="str">
        <f t="shared" si="3"/>
        <v/>
      </c>
      <c r="V59" s="1848"/>
      <c r="W59" s="1849" t="str">
        <f t="shared" si="6"/>
        <v/>
      </c>
      <c r="X59" s="1698"/>
      <c r="AS59" s="1705"/>
      <c r="AT59" s="1705"/>
      <c r="AY59" s="1746" t="s">
        <v>2588</v>
      </c>
      <c r="AZ59" s="1746">
        <v>2006</v>
      </c>
      <c r="BA59" s="1746" t="s">
        <v>2707</v>
      </c>
      <c r="BB59" s="1747" t="s">
        <v>2708</v>
      </c>
      <c r="BC59" s="1746">
        <v>8</v>
      </c>
      <c r="BD59" s="1746" t="s">
        <v>2700</v>
      </c>
      <c r="BE59" s="1746"/>
      <c r="BF59" s="1746">
        <v>1136.8</v>
      </c>
      <c r="BG59" s="1746" t="s">
        <v>2592</v>
      </c>
      <c r="BH59" s="1744">
        <f t="shared" si="13"/>
        <v>1.1367999999999999E-3</v>
      </c>
      <c r="BI59" s="1745">
        <f t="shared" si="8"/>
        <v>1.4209999999999998E-4</v>
      </c>
      <c r="BJ59" s="1740" t="str">
        <f t="shared" si="9"/>
        <v>rolls</v>
      </c>
      <c r="BK59" s="1740" t="str">
        <f t="shared" si="10"/>
        <v>Roll of tape/gauze</v>
      </c>
      <c r="BN59" s="1740" t="str">
        <f t="array" ref="BN59">IFERROR(INDEX($BJ$19:$BJ$1364, MATCH(0,COUNTIF($BN$16:BN58, $BJ$19:$BJ$1364), 0)),"")</f>
        <v>PAC-Other antibacterials</v>
      </c>
      <c r="BO59" s="1740" t="s">
        <v>2573</v>
      </c>
      <c r="BV59" s="1689" t="s">
        <v>983</v>
      </c>
      <c r="BW59" s="1689" t="s">
        <v>973</v>
      </c>
      <c r="BX59" s="1689" t="s">
        <v>976</v>
      </c>
      <c r="BY59" s="1689" t="s">
        <v>907</v>
      </c>
      <c r="BZ59" s="1689"/>
      <c r="CA59" s="1689" t="s">
        <v>996</v>
      </c>
      <c r="CB59" s="1689"/>
      <c r="CC59" s="1689"/>
      <c r="CD59" s="1689">
        <v>20</v>
      </c>
      <c r="CE59" s="1689">
        <v>2.4329999999999998</v>
      </c>
      <c r="CF59" s="1689"/>
      <c r="CG59" s="1740">
        <f>SUM(CF59,CE59)</f>
        <v>2.4329999999999998</v>
      </c>
      <c r="CH59" s="1740">
        <f t="shared" si="12"/>
        <v>48.66</v>
      </c>
    </row>
    <row r="60" spans="2:86" ht="15.65" customHeight="1">
      <c r="B60" s="149"/>
      <c r="C60" s="1837"/>
      <c r="D60" s="1841"/>
      <c r="E60" s="1840"/>
      <c r="F60" s="1838"/>
      <c r="G60" s="1698"/>
      <c r="S60" s="1698"/>
      <c r="T60" s="1846" t="str">
        <f t="shared" si="2"/>
        <v/>
      </c>
      <c r="U60" s="1847" t="str">
        <f t="shared" si="3"/>
        <v/>
      </c>
      <c r="V60" s="1848"/>
      <c r="W60" s="1849" t="str">
        <f t="shared" si="6"/>
        <v/>
      </c>
      <c r="X60" s="1698"/>
      <c r="AS60" s="1705"/>
      <c r="AT60" s="1705"/>
      <c r="AY60" s="1746" t="s">
        <v>2593</v>
      </c>
      <c r="AZ60" s="1746">
        <v>2008</v>
      </c>
      <c r="BA60" s="1746" t="s">
        <v>2709</v>
      </c>
      <c r="BB60" s="1747" t="s">
        <v>2710</v>
      </c>
      <c r="BC60" s="1746">
        <v>1</v>
      </c>
      <c r="BD60" s="1746" t="s">
        <v>2689</v>
      </c>
      <c r="BE60" s="1746"/>
      <c r="BF60" s="1746">
        <v>9.0000000000000006E-5</v>
      </c>
      <c r="BG60" s="1746" t="s">
        <v>2597</v>
      </c>
      <c r="BH60" s="1744">
        <f t="shared" si="13"/>
        <v>9.0000000000000006E-5</v>
      </c>
      <c r="BI60" s="1745">
        <f t="shared" si="8"/>
        <v>9.0000000000000006E-5</v>
      </c>
      <c r="BJ60" s="1740" t="str">
        <f t="shared" si="9"/>
        <v>roll</v>
      </c>
      <c r="BK60" s="1740" t="str">
        <f t="shared" si="10"/>
        <v>Roll of tape/gauze</v>
      </c>
      <c r="BN60" s="1740" t="str">
        <f t="array" ref="BN60">IFERROR(INDEX($BJ$19:$BJ$1364, MATCH(0,COUNTIF($BN$16:BN59, $BJ$19:$BJ$1364), 0)),"")</f>
        <v>BOT-Other antibacterials</v>
      </c>
      <c r="BO60" s="1740" t="s">
        <v>2586</v>
      </c>
      <c r="BV60" s="1689" t="s">
        <v>998</v>
      </c>
      <c r="BW60" s="1689" t="s">
        <v>2143</v>
      </c>
      <c r="BX60" s="1689" t="s">
        <v>957</v>
      </c>
      <c r="BY60" s="1689" t="s">
        <v>907</v>
      </c>
      <c r="BZ60" s="1689" t="s">
        <v>999</v>
      </c>
      <c r="CA60" s="1689" t="s">
        <v>1000</v>
      </c>
      <c r="CB60" s="1689"/>
      <c r="CC60" s="1689"/>
      <c r="CD60" s="1689" t="s">
        <v>894</v>
      </c>
      <c r="CE60" s="1689"/>
      <c r="CF60" s="1689"/>
      <c r="CG60" s="1740"/>
      <c r="CH60" s="1740" t="str">
        <f t="shared" si="12"/>
        <v/>
      </c>
    </row>
    <row r="61" spans="2:86" ht="15.65" customHeight="1">
      <c r="B61" s="149"/>
      <c r="C61" s="1837"/>
      <c r="D61" s="1841"/>
      <c r="E61" s="1840"/>
      <c r="F61" s="1838"/>
      <c r="G61" s="1698"/>
      <c r="S61" s="1698"/>
      <c r="T61" s="1846" t="str">
        <f t="shared" si="2"/>
        <v/>
      </c>
      <c r="U61" s="1847" t="str">
        <f t="shared" si="3"/>
        <v/>
      </c>
      <c r="V61" s="1848"/>
      <c r="W61" s="1849" t="str">
        <f t="shared" si="6"/>
        <v/>
      </c>
      <c r="X61" s="1698"/>
      <c r="AS61" s="1705"/>
      <c r="AT61" s="1705"/>
      <c r="AY61" s="1746" t="s">
        <v>2588</v>
      </c>
      <c r="AZ61" s="1746">
        <v>2006</v>
      </c>
      <c r="BA61" s="1746" t="s">
        <v>2711</v>
      </c>
      <c r="BB61" s="1747" t="s">
        <v>2712</v>
      </c>
      <c r="BC61" s="1746">
        <v>4</v>
      </c>
      <c r="BD61" s="1746" t="s">
        <v>2700</v>
      </c>
      <c r="BE61" s="1746"/>
      <c r="BF61" s="1746">
        <v>1041.9000000000001</v>
      </c>
      <c r="BG61" s="1746" t="s">
        <v>2592</v>
      </c>
      <c r="BH61" s="1744">
        <f t="shared" si="13"/>
        <v>1.0419000000000001E-3</v>
      </c>
      <c r="BI61" s="1745">
        <f t="shared" si="8"/>
        <v>2.6047500000000003E-4</v>
      </c>
      <c r="BJ61" s="1740" t="str">
        <f t="shared" si="9"/>
        <v>rolls</v>
      </c>
      <c r="BK61" s="1740" t="str">
        <f t="shared" si="10"/>
        <v>Roll of tape/gauze</v>
      </c>
      <c r="BN61" s="1740" t="str">
        <f t="array" ref="BN61">IFERROR(INDEX($BJ$19:$BJ$1364, MATCH(0,COUNTIF($BN$16:BN60, $BJ$19:$BJ$1364), 0)),"")</f>
        <v>EA-Plastic utensils</v>
      </c>
      <c r="BO61" s="1740" t="s">
        <v>2632</v>
      </c>
      <c r="BV61" s="1689" t="s">
        <v>998</v>
      </c>
      <c r="BW61" s="1689" t="s">
        <v>2143</v>
      </c>
      <c r="BX61" s="1689" t="s">
        <v>957</v>
      </c>
      <c r="BY61" s="1689" t="s">
        <v>907</v>
      </c>
      <c r="BZ61" s="1689" t="s">
        <v>1002</v>
      </c>
      <c r="CA61" s="1689" t="s">
        <v>1000</v>
      </c>
      <c r="CB61" s="1689"/>
      <c r="CC61" s="1689"/>
      <c r="CD61" s="1689" t="s">
        <v>988</v>
      </c>
      <c r="CE61" s="1689"/>
      <c r="CF61" s="1689"/>
      <c r="CG61" s="1740"/>
      <c r="CH61" s="1740" t="str">
        <f t="shared" si="12"/>
        <v/>
      </c>
    </row>
    <row r="62" spans="2:86" ht="15.65" customHeight="1">
      <c r="B62" s="149"/>
      <c r="C62" s="1837"/>
      <c r="D62" s="1841"/>
      <c r="E62" s="1840"/>
      <c r="F62" s="1838"/>
      <c r="G62" s="1698"/>
      <c r="S62" s="1698"/>
      <c r="T62" s="1846" t="str">
        <f t="shared" si="2"/>
        <v/>
      </c>
      <c r="U62" s="1847" t="str">
        <f t="shared" si="3"/>
        <v/>
      </c>
      <c r="V62" s="1848"/>
      <c r="W62" s="1849" t="str">
        <f t="shared" si="6"/>
        <v/>
      </c>
      <c r="X62" s="1698"/>
      <c r="AS62" s="1705"/>
      <c r="AT62" s="1705"/>
      <c r="AY62" s="1746" t="s">
        <v>2588</v>
      </c>
      <c r="AZ62" s="1746">
        <v>2006</v>
      </c>
      <c r="BA62" s="1746" t="s">
        <v>2713</v>
      </c>
      <c r="BB62" s="1747" t="s">
        <v>2714</v>
      </c>
      <c r="BC62" s="1746">
        <v>1</v>
      </c>
      <c r="BD62" s="1746" t="s">
        <v>2689</v>
      </c>
      <c r="BE62" s="1746"/>
      <c r="BF62" s="1746">
        <v>182</v>
      </c>
      <c r="BG62" s="1746" t="s">
        <v>2592</v>
      </c>
      <c r="BH62" s="1744">
        <f t="shared" si="13"/>
        <v>1.8200000000000001E-4</v>
      </c>
      <c r="BI62" s="1745">
        <f t="shared" si="8"/>
        <v>1.8200000000000001E-4</v>
      </c>
      <c r="BJ62" s="1740" t="str">
        <f t="shared" si="9"/>
        <v>roll</v>
      </c>
      <c r="BK62" s="1740" t="str">
        <f t="shared" si="10"/>
        <v>Roll of tape/gauze</v>
      </c>
      <c r="BN62" s="1740" t="str">
        <f t="array" ref="BN62">IFERROR(INDEX($BJ$19:$BJ$1364, MATCH(0,COUNTIF($BN$16:BN61, $BJ$19:$BJ$1364), 0)),"")</f>
        <v>EA-Misc. renew. plastic</v>
      </c>
      <c r="BO62" s="1740" t="s">
        <v>2632</v>
      </c>
      <c r="BV62" s="1689" t="s">
        <v>998</v>
      </c>
      <c r="BW62" s="1689" t="s">
        <v>2143</v>
      </c>
      <c r="BX62" s="1689" t="s">
        <v>957</v>
      </c>
      <c r="BY62" s="1689" t="s">
        <v>907</v>
      </c>
      <c r="BZ62" s="1689"/>
      <c r="CA62" s="1689" t="s">
        <v>1004</v>
      </c>
      <c r="CB62" s="1689"/>
      <c r="CC62" s="1689"/>
      <c r="CD62" s="1689">
        <v>10</v>
      </c>
      <c r="CE62" s="1689">
        <v>7.8</v>
      </c>
      <c r="CF62" s="1689"/>
      <c r="CG62" s="1740">
        <f t="shared" ref="CG62:CG70" si="16">SUM(CF62,CE62)</f>
        <v>7.8</v>
      </c>
      <c r="CH62" s="1740">
        <f t="shared" si="12"/>
        <v>78</v>
      </c>
    </row>
    <row r="63" spans="2:86" ht="15.65" customHeight="1">
      <c r="B63" s="149"/>
      <c r="C63" s="1837"/>
      <c r="D63" s="1841"/>
      <c r="E63" s="1840"/>
      <c r="F63" s="1838"/>
      <c r="G63" s="1698"/>
      <c r="S63" s="1698"/>
      <c r="T63" s="1846" t="str">
        <f t="shared" si="2"/>
        <v/>
      </c>
      <c r="U63" s="1847" t="str">
        <f t="shared" si="3"/>
        <v/>
      </c>
      <c r="V63" s="1848"/>
      <c r="W63" s="1849" t="str">
        <f t="shared" si="6"/>
        <v/>
      </c>
      <c r="X63" s="1698"/>
      <c r="AS63" s="1705"/>
      <c r="AT63" s="1705"/>
      <c r="AY63" s="1746" t="s">
        <v>2593</v>
      </c>
      <c r="AZ63" s="1746">
        <v>2008</v>
      </c>
      <c r="BA63" s="1746" t="s">
        <v>2715</v>
      </c>
      <c r="BB63" s="1747" t="s">
        <v>2716</v>
      </c>
      <c r="BC63" s="1746">
        <v>1</v>
      </c>
      <c r="BD63" s="1746" t="s">
        <v>2689</v>
      </c>
      <c r="BE63" s="1746"/>
      <c r="BF63" s="1746">
        <v>2.3000000000000001E-4</v>
      </c>
      <c r="BG63" s="1746" t="s">
        <v>2597</v>
      </c>
      <c r="BH63" s="1744">
        <f t="shared" si="13"/>
        <v>2.3000000000000001E-4</v>
      </c>
      <c r="BI63" s="1745">
        <f t="shared" si="8"/>
        <v>2.3000000000000001E-4</v>
      </c>
      <c r="BJ63" s="1740" t="str">
        <f t="shared" si="9"/>
        <v>roll</v>
      </c>
      <c r="BK63" s="1740" t="str">
        <f t="shared" si="10"/>
        <v>Roll of tape/gauze</v>
      </c>
      <c r="BN63" s="1740" t="str">
        <f t="array" ref="BN63">IFERROR(INDEX($BJ$19:$BJ$1364, MATCH(0,COUNTIF($BN$16:BN62, $BJ$19:$BJ$1364), 0)),"")</f>
        <v>EA-Comp/bandage/tape</v>
      </c>
      <c r="BO63" s="1740" t="s">
        <v>2717</v>
      </c>
      <c r="BV63" s="1689" t="s">
        <v>998</v>
      </c>
      <c r="BW63" s="1689" t="s">
        <v>2143</v>
      </c>
      <c r="BX63" s="1689" t="s">
        <v>957</v>
      </c>
      <c r="BY63" s="1689" t="s">
        <v>907</v>
      </c>
      <c r="BZ63" s="1689"/>
      <c r="CA63" s="1689" t="s">
        <v>1007</v>
      </c>
      <c r="CB63" s="1689"/>
      <c r="CC63" s="1689"/>
      <c r="CD63" s="1689">
        <v>1</v>
      </c>
      <c r="CE63" s="1689">
        <v>58.7</v>
      </c>
      <c r="CF63" s="1689"/>
      <c r="CG63" s="1740">
        <f t="shared" si="16"/>
        <v>58.7</v>
      </c>
      <c r="CH63" s="1740">
        <f t="shared" si="12"/>
        <v>58.7</v>
      </c>
    </row>
    <row r="64" spans="2:86" ht="15.65" customHeight="1">
      <c r="B64" s="149"/>
      <c r="C64" s="1837"/>
      <c r="D64" s="1841"/>
      <c r="E64" s="1840"/>
      <c r="F64" s="1838"/>
      <c r="G64" s="1698"/>
      <c r="S64" s="1698"/>
      <c r="T64" s="1846" t="str">
        <f t="shared" si="2"/>
        <v/>
      </c>
      <c r="U64" s="1847" t="str">
        <f t="shared" si="3"/>
        <v/>
      </c>
      <c r="V64" s="1848"/>
      <c r="W64" s="1849" t="str">
        <f t="shared" si="6"/>
        <v/>
      </c>
      <c r="X64" s="1698"/>
      <c r="AY64" s="1746" t="s">
        <v>2588</v>
      </c>
      <c r="AZ64" s="1746">
        <v>2006</v>
      </c>
      <c r="BA64" s="1746" t="s">
        <v>2718</v>
      </c>
      <c r="BB64" s="1747" t="s">
        <v>2719</v>
      </c>
      <c r="BC64" s="1746">
        <v>2</v>
      </c>
      <c r="BD64" s="1746" t="s">
        <v>2700</v>
      </c>
      <c r="BE64" s="1746"/>
      <c r="BF64" s="1746">
        <v>705.6</v>
      </c>
      <c r="BG64" s="1746" t="s">
        <v>2592</v>
      </c>
      <c r="BH64" s="1744">
        <f t="shared" si="13"/>
        <v>7.0560000000000002E-4</v>
      </c>
      <c r="BI64" s="1745">
        <f t="shared" si="8"/>
        <v>3.5280000000000001E-4</v>
      </c>
      <c r="BJ64" s="1740" t="str">
        <f t="shared" si="9"/>
        <v>rolls</v>
      </c>
      <c r="BK64" s="1740" t="str">
        <f t="shared" si="10"/>
        <v>Roll of tape/gauze</v>
      </c>
      <c r="BN64" s="1740" t="str">
        <f t="array" ref="BN64">IFERROR(INDEX($BJ$19:$BJ$1364, MATCH(0,COUNTIF($BN$16:BN63, $BJ$19:$BJ$1364), 0)),"")</f>
        <v>kg</v>
      </c>
      <c r="BO64" s="1740" t="s">
        <v>2632</v>
      </c>
      <c r="BV64" s="1689" t="s">
        <v>998</v>
      </c>
      <c r="BW64" s="1689" t="s">
        <v>2143</v>
      </c>
      <c r="BX64" s="1689" t="s">
        <v>957</v>
      </c>
      <c r="BY64" s="1689" t="s">
        <v>907</v>
      </c>
      <c r="BZ64" s="1689"/>
      <c r="CA64" s="1689" t="s">
        <v>1009</v>
      </c>
      <c r="CB64" s="1689"/>
      <c r="CC64" s="1689"/>
      <c r="CD64" s="1689">
        <v>10</v>
      </c>
      <c r="CE64" s="1689">
        <v>5.0999999999999996</v>
      </c>
      <c r="CF64" s="1689"/>
      <c r="CG64" s="1740">
        <f t="shared" si="16"/>
        <v>5.0999999999999996</v>
      </c>
      <c r="CH64" s="1740">
        <f t="shared" si="12"/>
        <v>51</v>
      </c>
    </row>
    <row r="65" spans="2:86" ht="15.65" customHeight="1">
      <c r="B65" s="149"/>
      <c r="C65" s="1837"/>
      <c r="D65" s="1841"/>
      <c r="E65" s="1840"/>
      <c r="F65" s="1838"/>
      <c r="G65" s="1698"/>
      <c r="S65" s="1698"/>
      <c r="T65" s="1846" t="str">
        <f t="shared" si="2"/>
        <v/>
      </c>
      <c r="U65" s="1847" t="str">
        <f t="shared" si="3"/>
        <v/>
      </c>
      <c r="V65" s="1848"/>
      <c r="W65" s="1849" t="str">
        <f t="shared" si="6"/>
        <v/>
      </c>
      <c r="X65" s="1698"/>
      <c r="AY65" s="1746" t="s">
        <v>2593</v>
      </c>
      <c r="AZ65" s="1746">
        <v>2008</v>
      </c>
      <c r="BA65" s="1746" t="s">
        <v>2720</v>
      </c>
      <c r="BB65" s="1747" t="s">
        <v>2721</v>
      </c>
      <c r="BC65" s="1746">
        <v>1</v>
      </c>
      <c r="BD65" s="1746" t="s">
        <v>2689</v>
      </c>
      <c r="BE65" s="1746"/>
      <c r="BF65" s="1746">
        <v>1.7000000000000001E-4</v>
      </c>
      <c r="BG65" s="1746" t="s">
        <v>2597</v>
      </c>
      <c r="BH65" s="1744">
        <f t="shared" si="13"/>
        <v>1.7000000000000001E-4</v>
      </c>
      <c r="BI65" s="1745">
        <f t="shared" si="8"/>
        <v>1.7000000000000001E-4</v>
      </c>
      <c r="BJ65" s="1740" t="str">
        <f t="shared" si="9"/>
        <v>roll</v>
      </c>
      <c r="BK65" s="1740" t="str">
        <f t="shared" si="10"/>
        <v>Roll of tape/gauze</v>
      </c>
      <c r="BN65" s="1740" t="str">
        <f t="array" ref="BN65">IFERROR(INDEX($BJ$19:$BJ$1364, MATCH(0,COUNTIF($BN$16:BN64, $BJ$19:$BJ$1364), 0)),"")</f>
        <v>drum</v>
      </c>
      <c r="BO65" s="1740" t="s">
        <v>2632</v>
      </c>
      <c r="BV65" s="1689" t="s">
        <v>998</v>
      </c>
      <c r="BW65" s="1689" t="s">
        <v>2143</v>
      </c>
      <c r="BX65" s="1689" t="s">
        <v>957</v>
      </c>
      <c r="BY65" s="1689" t="s">
        <v>907</v>
      </c>
      <c r="BZ65" s="1689"/>
      <c r="CA65" s="1689" t="s">
        <v>1011</v>
      </c>
      <c r="CB65" s="1689"/>
      <c r="CC65" s="1689"/>
      <c r="CD65" s="1689">
        <v>2</v>
      </c>
      <c r="CE65" s="1689">
        <v>19.600000000000001</v>
      </c>
      <c r="CF65" s="1689"/>
      <c r="CG65" s="1740">
        <f t="shared" si="16"/>
        <v>19.600000000000001</v>
      </c>
      <c r="CH65" s="1740">
        <f t="shared" si="12"/>
        <v>39.200000000000003</v>
      </c>
    </row>
    <row r="66" spans="2:86" ht="15.65" customHeight="1">
      <c r="B66" s="149"/>
      <c r="C66" s="1837"/>
      <c r="D66" s="1841"/>
      <c r="E66" s="1840"/>
      <c r="F66" s="1838"/>
      <c r="G66" s="1698"/>
      <c r="S66" s="1698"/>
      <c r="T66" s="1846" t="str">
        <f t="shared" si="2"/>
        <v/>
      </c>
      <c r="U66" s="1847" t="str">
        <f t="shared" si="3"/>
        <v/>
      </c>
      <c r="V66" s="1848"/>
      <c r="W66" s="1849" t="str">
        <f t="shared" si="6"/>
        <v/>
      </c>
      <c r="X66" s="1698"/>
      <c r="AY66" s="1746" t="s">
        <v>2588</v>
      </c>
      <c r="AZ66" s="1746">
        <v>2006</v>
      </c>
      <c r="BA66" s="1746" t="s">
        <v>2722</v>
      </c>
      <c r="BB66" s="1747" t="s">
        <v>2723</v>
      </c>
      <c r="BC66" s="1746">
        <v>1</v>
      </c>
      <c r="BD66" s="1746" t="s">
        <v>2724</v>
      </c>
      <c r="BE66" s="1746"/>
      <c r="BF66" s="1746">
        <v>821</v>
      </c>
      <c r="BG66" s="1746" t="s">
        <v>2592</v>
      </c>
      <c r="BH66" s="1744">
        <f t="shared" si="13"/>
        <v>8.2100000000000001E-4</v>
      </c>
      <c r="BI66" s="1745">
        <f t="shared" si="8"/>
        <v>8.2100000000000001E-4</v>
      </c>
      <c r="BJ66" s="1740" t="str">
        <f t="shared" si="9"/>
        <v>pce</v>
      </c>
      <c r="BK66" s="1740" t="str">
        <f t="shared" si="10"/>
        <v>Roll of tape/gauze</v>
      </c>
      <c r="BN66" s="1740" t="str">
        <f t="array" ref="BN66">IFERROR(INDEX($BJ$19:$BJ$1364, MATCH(0,COUNTIF($BN$16:BN65, $BJ$19:$BJ$1364), 0)),"")</f>
        <v>kit</v>
      </c>
      <c r="BO66" s="1740" t="s">
        <v>2632</v>
      </c>
      <c r="BV66" s="1689" t="s">
        <v>998</v>
      </c>
      <c r="BW66" s="1689" t="s">
        <v>2143</v>
      </c>
      <c r="BX66" s="1689" t="s">
        <v>957</v>
      </c>
      <c r="BY66" s="1689" t="s">
        <v>907</v>
      </c>
      <c r="BZ66" s="1689"/>
      <c r="CA66" s="1689" t="s">
        <v>1011</v>
      </c>
      <c r="CB66" s="1689"/>
      <c r="CC66" s="1689"/>
      <c r="CD66" s="1689">
        <v>1</v>
      </c>
      <c r="CE66" s="1689">
        <v>39.200000000000003</v>
      </c>
      <c r="CF66" s="1689"/>
      <c r="CG66" s="1740">
        <f t="shared" si="16"/>
        <v>39.200000000000003</v>
      </c>
      <c r="CH66" s="1740">
        <f t="shared" si="12"/>
        <v>39.200000000000003</v>
      </c>
    </row>
    <row r="67" spans="2:86" ht="15.65" customHeight="1">
      <c r="B67" s="149"/>
      <c r="C67" s="1837"/>
      <c r="D67" s="1841"/>
      <c r="E67" s="1840"/>
      <c r="F67" s="1838"/>
      <c r="G67" s="1698"/>
      <c r="S67" s="1698"/>
      <c r="T67" s="1846" t="str">
        <f t="shared" si="2"/>
        <v/>
      </c>
      <c r="U67" s="1847" t="str">
        <f t="shared" si="3"/>
        <v/>
      </c>
      <c r="V67" s="1848"/>
      <c r="W67" s="1849" t="str">
        <f t="shared" si="6"/>
        <v/>
      </c>
      <c r="X67" s="1698"/>
      <c r="AY67" s="1746" t="s">
        <v>2593</v>
      </c>
      <c r="AZ67" s="1746">
        <v>2008</v>
      </c>
      <c r="BA67" s="1746" t="s">
        <v>2725</v>
      </c>
      <c r="BB67" s="1747" t="s">
        <v>2726</v>
      </c>
      <c r="BC67" s="1746">
        <v>100</v>
      </c>
      <c r="BD67" s="1746" t="s">
        <v>2727</v>
      </c>
      <c r="BE67" s="1746"/>
      <c r="BF67" s="1746">
        <v>1.8500000000000001E-3</v>
      </c>
      <c r="BG67" s="1746" t="s">
        <v>2597</v>
      </c>
      <c r="BH67" s="1744">
        <f t="shared" si="13"/>
        <v>1.8500000000000001E-3</v>
      </c>
      <c r="BI67" s="1745">
        <f t="shared" si="8"/>
        <v>1.8500000000000002E-5</v>
      </c>
      <c r="BJ67" s="1740" t="str">
        <f t="shared" si="9"/>
        <v>ampoules</v>
      </c>
      <c r="BK67" s="1740" t="str">
        <f t="shared" si="10"/>
        <v>Injection Vial</v>
      </c>
      <c r="BN67" s="1740" t="str">
        <f t="array" ref="BN67">IFERROR(INDEX($BJ$19:$BJ$1364, MATCH(0,COUNTIF($BN$16:BN66, $BJ$19:$BJ$1364), 0)),"")</f>
        <v>EA-Steel utensils</v>
      </c>
      <c r="BO67" s="1740" t="s">
        <v>2632</v>
      </c>
      <c r="BV67" s="1689" t="s">
        <v>1014</v>
      </c>
      <c r="BW67" s="1689" t="s">
        <v>1015</v>
      </c>
      <c r="BX67" s="1689" t="s">
        <v>889</v>
      </c>
      <c r="BY67" s="1689" t="s">
        <v>907</v>
      </c>
      <c r="BZ67" s="1689" t="s">
        <v>1016</v>
      </c>
      <c r="CA67" s="1689" t="s">
        <v>992</v>
      </c>
      <c r="CB67" s="1689"/>
      <c r="CC67" s="1689"/>
      <c r="CD67" s="1689">
        <v>1</v>
      </c>
      <c r="CE67" s="1689">
        <v>13.137599999999999</v>
      </c>
      <c r="CF67" s="1689"/>
      <c r="CG67" s="1740">
        <f t="shared" si="16"/>
        <v>13.137599999999999</v>
      </c>
      <c r="CH67" s="1740">
        <f t="shared" si="12"/>
        <v>13.137599999999999</v>
      </c>
    </row>
    <row r="68" spans="2:86" ht="15.65" customHeight="1">
      <c r="B68" s="149"/>
      <c r="C68" s="1837"/>
      <c r="D68" s="1841"/>
      <c r="E68" s="1840"/>
      <c r="F68" s="1838"/>
      <c r="G68" s="1698"/>
      <c r="S68" s="1698"/>
      <c r="T68" s="1846" t="str">
        <f t="shared" si="2"/>
        <v/>
      </c>
      <c r="U68" s="1847" t="str">
        <f t="shared" si="3"/>
        <v/>
      </c>
      <c r="V68" s="1848"/>
      <c r="W68" s="1849" t="str">
        <f t="shared" si="6"/>
        <v/>
      </c>
      <c r="X68" s="1698"/>
      <c r="AY68" s="1746" t="s">
        <v>2575</v>
      </c>
      <c r="AZ68" s="1746">
        <v>2008</v>
      </c>
      <c r="BA68" s="1746" t="s">
        <v>2728</v>
      </c>
      <c r="BB68" s="1747" t="s">
        <v>2729</v>
      </c>
      <c r="BC68" s="1746" t="s">
        <v>2578</v>
      </c>
      <c r="BD68" s="1746" t="s">
        <v>2579</v>
      </c>
      <c r="BE68" s="1746" t="s">
        <v>2730</v>
      </c>
      <c r="BF68" s="1746">
        <v>0.10100000000000001</v>
      </c>
      <c r="BG68" s="1746" t="s">
        <v>2581</v>
      </c>
      <c r="BH68" s="1744">
        <f t="shared" si="13"/>
        <v>1.01E-4</v>
      </c>
      <c r="BI68" s="1745" t="str">
        <f t="shared" si="8"/>
        <v/>
      </c>
      <c r="BJ68" s="1740" t="str">
        <f t="shared" si="9"/>
        <v>EA-Tube/catheter/drain</v>
      </c>
      <c r="BK68" s="1740" t="str">
        <f t="shared" si="10"/>
        <v>Medical equipment</v>
      </c>
      <c r="BN68" s="1740" t="str">
        <f t="array" ref="BN68">IFERROR(INDEX($BJ$19:$BJ$1364, MATCH(0,COUNTIF($BN$16:BN67, $BJ$19:$BJ$1364), 0)),"")</f>
        <v>EA-EPI vaccines</v>
      </c>
      <c r="BO68" s="1740" t="s">
        <v>2731</v>
      </c>
      <c r="BV68" s="1689" t="s">
        <v>1014</v>
      </c>
      <c r="BW68" s="1689" t="s">
        <v>1015</v>
      </c>
      <c r="BX68" s="1689" t="s">
        <v>889</v>
      </c>
      <c r="BY68" s="1689" t="s">
        <v>907</v>
      </c>
      <c r="BZ68" s="1689" t="s">
        <v>1016</v>
      </c>
      <c r="CA68" s="1689" t="s">
        <v>992</v>
      </c>
      <c r="CB68" s="1689"/>
      <c r="CC68" s="1689"/>
      <c r="CD68" s="1689">
        <v>1</v>
      </c>
      <c r="CE68" s="1689">
        <v>10.281600000000001</v>
      </c>
      <c r="CF68" s="1689"/>
      <c r="CG68" s="1740">
        <f t="shared" si="16"/>
        <v>10.281600000000001</v>
      </c>
      <c r="CH68" s="1740">
        <f t="shared" si="12"/>
        <v>10.281600000000001</v>
      </c>
    </row>
    <row r="69" spans="2:86" ht="15.65" customHeight="1">
      <c r="B69" s="149"/>
      <c r="C69" s="1837"/>
      <c r="D69" s="1841"/>
      <c r="E69" s="1840"/>
      <c r="F69" s="1838"/>
      <c r="G69" s="1698"/>
      <c r="S69" s="1698"/>
      <c r="T69" s="1846" t="str">
        <f t="shared" si="2"/>
        <v/>
      </c>
      <c r="U69" s="1847" t="str">
        <f t="shared" si="3"/>
        <v/>
      </c>
      <c r="V69" s="1848"/>
      <c r="W69" s="1849" t="str">
        <f t="shared" si="6"/>
        <v/>
      </c>
      <c r="X69" s="1698"/>
      <c r="AY69" s="1746" t="s">
        <v>2575</v>
      </c>
      <c r="AZ69" s="1746">
        <v>2008</v>
      </c>
      <c r="BA69" s="1746" t="s">
        <v>2732</v>
      </c>
      <c r="BB69" s="1747" t="s">
        <v>2733</v>
      </c>
      <c r="BC69" s="1746" t="s">
        <v>2578</v>
      </c>
      <c r="BD69" s="1746" t="s">
        <v>2579</v>
      </c>
      <c r="BE69" s="1746" t="s">
        <v>2730</v>
      </c>
      <c r="BF69" s="1746">
        <v>3.5000000000000003E-2</v>
      </c>
      <c r="BG69" s="1746" t="s">
        <v>2581</v>
      </c>
      <c r="BH69" s="1744">
        <f t="shared" si="13"/>
        <v>3.5000000000000004E-5</v>
      </c>
      <c r="BI69" s="1745" t="str">
        <f t="shared" si="8"/>
        <v/>
      </c>
      <c r="BJ69" s="1740" t="str">
        <f t="shared" si="9"/>
        <v>EA-Tube/catheter/drain</v>
      </c>
      <c r="BK69" s="1740" t="str">
        <f t="shared" si="10"/>
        <v>Medical equipment</v>
      </c>
      <c r="BN69" s="1740" t="str">
        <f t="array" ref="BN69">IFERROR(INDEX($BJ$19:$BJ$1364, MATCH(0,COUNTIF($BN$16:BN68, $BJ$19:$BJ$1364), 0)),"")</f>
        <v>EA-Respiratory drugs</v>
      </c>
      <c r="BO69" s="1740" t="s">
        <v>2574</v>
      </c>
      <c r="BV69" s="1689" t="s">
        <v>1014</v>
      </c>
      <c r="BW69" s="1689" t="s">
        <v>1015</v>
      </c>
      <c r="BX69" s="1689" t="s">
        <v>889</v>
      </c>
      <c r="BY69" s="1689" t="s">
        <v>907</v>
      </c>
      <c r="BZ69" s="1689" t="s">
        <v>1016</v>
      </c>
      <c r="CA69" s="1689" t="s">
        <v>1019</v>
      </c>
      <c r="CB69" s="1689"/>
      <c r="CC69" s="1689"/>
      <c r="CD69" s="1689" t="s">
        <v>1020</v>
      </c>
      <c r="CE69" s="1689">
        <v>14.055299999999997</v>
      </c>
      <c r="CF69" s="1689"/>
      <c r="CG69" s="1740">
        <f t="shared" si="16"/>
        <v>14.055299999999997</v>
      </c>
      <c r="CH69" s="1740" t="str">
        <f t="shared" si="12"/>
        <v/>
      </c>
    </row>
    <row r="70" spans="2:86" ht="15.65" customHeight="1">
      <c r="B70" s="149"/>
      <c r="C70" s="1837"/>
      <c r="D70" s="1841"/>
      <c r="E70" s="1840"/>
      <c r="F70" s="1838"/>
      <c r="G70" s="1698"/>
      <c r="S70" s="1698"/>
      <c r="T70" s="1846" t="str">
        <f t="shared" si="2"/>
        <v/>
      </c>
      <c r="U70" s="1847" t="str">
        <f t="shared" si="3"/>
        <v/>
      </c>
      <c r="V70" s="1848"/>
      <c r="W70" s="1849" t="str">
        <f t="shared" si="6"/>
        <v/>
      </c>
      <c r="X70" s="1698"/>
      <c r="AY70" s="1746" t="s">
        <v>2575</v>
      </c>
      <c r="AZ70" s="1746">
        <v>2008</v>
      </c>
      <c r="BA70" s="1746" t="s">
        <v>2734</v>
      </c>
      <c r="BB70" s="1747" t="s">
        <v>2735</v>
      </c>
      <c r="BC70" s="1746" t="s">
        <v>2578</v>
      </c>
      <c r="BD70" s="1746" t="s">
        <v>2579</v>
      </c>
      <c r="BE70" s="1746" t="s">
        <v>2730</v>
      </c>
      <c r="BF70" s="1746">
        <v>0.12</v>
      </c>
      <c r="BG70" s="1746" t="s">
        <v>2581</v>
      </c>
      <c r="BH70" s="1744">
        <f t="shared" si="13"/>
        <v>1.1999999999999999E-4</v>
      </c>
      <c r="BI70" s="1745" t="str">
        <f t="shared" si="8"/>
        <v/>
      </c>
      <c r="BJ70" s="1740" t="str">
        <f t="shared" si="9"/>
        <v>EA-Tube/catheter/drain</v>
      </c>
      <c r="BK70" s="1740" t="str">
        <f t="shared" si="10"/>
        <v>Medical equipment</v>
      </c>
      <c r="BN70" s="1740" t="str">
        <f t="array" ref="BN70">IFERROR(INDEX($BJ$19:$BJ$1364, MATCH(0,COUNTIF($BN$16:BN69, $BJ$19:$BJ$1364), 0)),"")</f>
        <v>inhal</v>
      </c>
      <c r="BO70" s="1740" t="s">
        <v>2574</v>
      </c>
      <c r="BV70" s="1689" t="s">
        <v>1014</v>
      </c>
      <c r="BW70" s="1689" t="s">
        <v>1015</v>
      </c>
      <c r="BX70" s="1689" t="s">
        <v>889</v>
      </c>
      <c r="BY70" s="1689" t="s">
        <v>907</v>
      </c>
      <c r="BZ70" s="1689" t="s">
        <v>1016</v>
      </c>
      <c r="CA70" s="1689" t="s">
        <v>1023</v>
      </c>
      <c r="CB70" s="1689"/>
      <c r="CC70" s="1689"/>
      <c r="CD70" s="1689" t="s">
        <v>1020</v>
      </c>
      <c r="CE70" s="1689">
        <v>15.183999999999999</v>
      </c>
      <c r="CF70" s="1689"/>
      <c r="CG70" s="1740">
        <f t="shared" si="16"/>
        <v>15.183999999999999</v>
      </c>
      <c r="CH70" s="1740" t="str">
        <f t="shared" si="12"/>
        <v/>
      </c>
    </row>
    <row r="71" spans="2:86" ht="15.65" customHeight="1">
      <c r="B71" s="149"/>
      <c r="C71" s="1837"/>
      <c r="D71" s="1841"/>
      <c r="E71" s="1840"/>
      <c r="F71" s="1838"/>
      <c r="G71" s="1698"/>
      <c r="S71" s="1698"/>
      <c r="T71" s="1846" t="str">
        <f t="shared" si="2"/>
        <v/>
      </c>
      <c r="U71" s="1847" t="str">
        <f t="shared" si="3"/>
        <v/>
      </c>
      <c r="V71" s="1848"/>
      <c r="W71" s="1849" t="str">
        <f t="shared" si="6"/>
        <v/>
      </c>
      <c r="X71" s="1698"/>
      <c r="AY71" s="1746" t="s">
        <v>2575</v>
      </c>
      <c r="AZ71" s="1746">
        <v>2008</v>
      </c>
      <c r="BA71" s="1746" t="s">
        <v>2736</v>
      </c>
      <c r="BB71" s="1747" t="s">
        <v>2737</v>
      </c>
      <c r="BC71" s="1746" t="s">
        <v>2578</v>
      </c>
      <c r="BD71" s="1746" t="s">
        <v>2579</v>
      </c>
      <c r="BE71" s="1746" t="s">
        <v>2730</v>
      </c>
      <c r="BF71" s="1746">
        <v>0.12</v>
      </c>
      <c r="BG71" s="1746" t="s">
        <v>2581</v>
      </c>
      <c r="BH71" s="1744">
        <f t="shared" si="13"/>
        <v>1.1999999999999999E-4</v>
      </c>
      <c r="BI71" s="1745" t="str">
        <f t="shared" si="8"/>
        <v/>
      </c>
      <c r="BJ71" s="1740" t="str">
        <f t="shared" si="9"/>
        <v>EA-Tube/catheter/drain</v>
      </c>
      <c r="BK71" s="1740" t="str">
        <f t="shared" si="10"/>
        <v>Medical equipment</v>
      </c>
      <c r="BN71" s="1740" t="str">
        <f t="array" ref="BN71">IFERROR(INDEX($BJ$19:$BJ$1364, MATCH(0,COUNTIF($BN$16:BN70, $BJ$19:$BJ$1364), 0)),"")</f>
        <v>EA-Other hosp. equip.</v>
      </c>
      <c r="BO71" s="1740" t="s">
        <v>2632</v>
      </c>
      <c r="BV71" s="1689" t="s">
        <v>998</v>
      </c>
      <c r="BW71" s="1689" t="s">
        <v>1015</v>
      </c>
      <c r="BX71" s="1689" t="s">
        <v>889</v>
      </c>
      <c r="BY71" s="1689" t="s">
        <v>907</v>
      </c>
      <c r="BZ71" s="1689" t="s">
        <v>1002</v>
      </c>
      <c r="CA71" s="1689"/>
      <c r="CB71" s="1689"/>
      <c r="CC71" s="1689"/>
      <c r="CD71" s="1689" t="s">
        <v>894</v>
      </c>
      <c r="CE71" s="1689"/>
      <c r="CF71" s="1689"/>
      <c r="CG71" s="1740"/>
      <c r="CH71" s="1740" t="str">
        <f t="shared" si="12"/>
        <v/>
      </c>
    </row>
    <row r="72" spans="2:86" ht="15.65" customHeight="1">
      <c r="B72" s="149"/>
      <c r="C72" s="1837"/>
      <c r="D72" s="1841"/>
      <c r="E72" s="1840"/>
      <c r="F72" s="1838"/>
      <c r="G72" s="1698"/>
      <c r="S72" s="1698"/>
      <c r="T72" s="1846" t="str">
        <f t="shared" si="2"/>
        <v/>
      </c>
      <c r="U72" s="1847" t="str">
        <f t="shared" si="3"/>
        <v/>
      </c>
      <c r="V72" s="1848"/>
      <c r="W72" s="1849" t="str">
        <f t="shared" si="6"/>
        <v/>
      </c>
      <c r="X72" s="1698"/>
      <c r="AY72" s="1746" t="s">
        <v>2575</v>
      </c>
      <c r="AZ72" s="1746">
        <v>2008</v>
      </c>
      <c r="BA72" s="1746" t="s">
        <v>2738</v>
      </c>
      <c r="BB72" s="1747" t="s">
        <v>2739</v>
      </c>
      <c r="BC72" s="1746" t="s">
        <v>2578</v>
      </c>
      <c r="BD72" s="1746" t="s">
        <v>2579</v>
      </c>
      <c r="BE72" s="1746" t="s">
        <v>2730</v>
      </c>
      <c r="BF72" s="1746">
        <v>0.12</v>
      </c>
      <c r="BG72" s="1746" t="s">
        <v>2581</v>
      </c>
      <c r="BH72" s="1744">
        <f t="shared" si="13"/>
        <v>1.1999999999999999E-4</v>
      </c>
      <c r="BI72" s="1745" t="str">
        <f t="shared" si="8"/>
        <v/>
      </c>
      <c r="BJ72" s="1740" t="str">
        <f t="shared" si="9"/>
        <v>EA-Tube/catheter/drain</v>
      </c>
      <c r="BK72" s="1740" t="str">
        <f t="shared" si="10"/>
        <v>Medical equipment</v>
      </c>
      <c r="BN72" s="1740" t="str">
        <f t="array" ref="BN72">IFERROR(INDEX($BJ$19:$BJ$1364, MATCH(0,COUNTIF($BN$16:BN71, $BJ$19:$BJ$1364), 0)),"")</f>
        <v>TBE-Dermatological drugs</v>
      </c>
      <c r="BO72" s="1740" t="s">
        <v>2608</v>
      </c>
      <c r="BV72" s="1689" t="s">
        <v>998</v>
      </c>
      <c r="BW72" s="1689" t="s">
        <v>1015</v>
      </c>
      <c r="BX72" s="1689" t="s">
        <v>889</v>
      </c>
      <c r="BY72" s="1689" t="s">
        <v>907</v>
      </c>
      <c r="BZ72" s="1689" t="s">
        <v>1024</v>
      </c>
      <c r="CA72" s="1689"/>
      <c r="CB72" s="1689"/>
      <c r="CC72" s="1689"/>
      <c r="CD72" s="1689" t="s">
        <v>894</v>
      </c>
      <c r="CE72" s="1689"/>
      <c r="CF72" s="1689"/>
      <c r="CG72" s="1740"/>
      <c r="CH72" s="1740" t="str">
        <f t="shared" si="12"/>
        <v/>
      </c>
    </row>
    <row r="73" spans="2:86" ht="15.65" customHeight="1">
      <c r="B73" s="149"/>
      <c r="C73" s="1837"/>
      <c r="D73" s="1841"/>
      <c r="E73" s="1840"/>
      <c r="F73" s="1838"/>
      <c r="G73" s="1698"/>
      <c r="S73" s="1698"/>
      <c r="T73" s="1846" t="str">
        <f t="shared" si="2"/>
        <v/>
      </c>
      <c r="U73" s="1847" t="str">
        <f t="shared" si="3"/>
        <v/>
      </c>
      <c r="V73" s="1848"/>
      <c r="W73" s="1849" t="str">
        <f t="shared" si="6"/>
        <v/>
      </c>
      <c r="X73" s="1698"/>
      <c r="AY73" s="1746" t="s">
        <v>2575</v>
      </c>
      <c r="AZ73" s="1746">
        <v>2008</v>
      </c>
      <c r="BA73" s="1746" t="s">
        <v>2740</v>
      </c>
      <c r="BB73" s="1747" t="s">
        <v>2741</v>
      </c>
      <c r="BC73" s="1746" t="s">
        <v>2578</v>
      </c>
      <c r="BD73" s="1746" t="s">
        <v>2579</v>
      </c>
      <c r="BE73" s="1746" t="s">
        <v>2730</v>
      </c>
      <c r="BF73" s="1746">
        <v>0.12</v>
      </c>
      <c r="BG73" s="1746" t="s">
        <v>2581</v>
      </c>
      <c r="BH73" s="1744">
        <f t="shared" si="13"/>
        <v>1.1999999999999999E-4</v>
      </c>
      <c r="BI73" s="1745" t="str">
        <f t="shared" si="8"/>
        <v/>
      </c>
      <c r="BJ73" s="1740" t="str">
        <f t="shared" si="9"/>
        <v>EA-Tube/catheter/drain</v>
      </c>
      <c r="BK73" s="1740" t="str">
        <f t="shared" si="10"/>
        <v>Medical equipment</v>
      </c>
      <c r="BN73" s="1740" t="str">
        <f t="array" ref="BN73">IFERROR(INDEX($BJ$19:$BJ$1364, MATCH(0,COUNTIF($BN$16:BN72, $BJ$19:$BJ$1364), 0)),"")</f>
        <v>jar</v>
      </c>
      <c r="BO73" s="1740" t="s">
        <v>2742</v>
      </c>
      <c r="BV73" s="1689" t="s">
        <v>998</v>
      </c>
      <c r="BW73" s="1689" t="s">
        <v>1015</v>
      </c>
      <c r="BX73" s="1689" t="s">
        <v>889</v>
      </c>
      <c r="BY73" s="1689" t="s">
        <v>907</v>
      </c>
      <c r="BZ73" s="1689" t="s">
        <v>1025</v>
      </c>
      <c r="CA73" s="1689" t="s">
        <v>992</v>
      </c>
      <c r="CB73" s="1689"/>
      <c r="CC73" s="1689"/>
      <c r="CD73" s="1689">
        <v>1</v>
      </c>
      <c r="CE73" s="1689">
        <v>19.2</v>
      </c>
      <c r="CF73" s="1689"/>
      <c r="CG73" s="1740">
        <f t="shared" ref="CG73:CG111" si="17">SUM(CF73,CE73)</f>
        <v>19.2</v>
      </c>
      <c r="CH73" s="1740">
        <f t="shared" si="12"/>
        <v>19.2</v>
      </c>
    </row>
    <row r="74" spans="2:86" ht="15.65" customHeight="1">
      <c r="B74" s="149"/>
      <c r="C74" s="1837"/>
      <c r="D74" s="1841"/>
      <c r="E74" s="1840"/>
      <c r="F74" s="1838"/>
      <c r="G74" s="1698"/>
      <c r="S74" s="1698"/>
      <c r="T74" s="1846" t="str">
        <f t="shared" si="2"/>
        <v/>
      </c>
      <c r="U74" s="1847" t="str">
        <f t="shared" si="3"/>
        <v/>
      </c>
      <c r="V74" s="1848"/>
      <c r="W74" s="1849" t="str">
        <f t="shared" si="6"/>
        <v/>
      </c>
      <c r="X74" s="1698"/>
      <c r="AY74" s="1746" t="s">
        <v>2575</v>
      </c>
      <c r="AZ74" s="1746">
        <v>2008</v>
      </c>
      <c r="BA74" s="1746" t="s">
        <v>2743</v>
      </c>
      <c r="BB74" s="1747" t="s">
        <v>2744</v>
      </c>
      <c r="BC74" s="1746" t="s">
        <v>2578</v>
      </c>
      <c r="BD74" s="1746" t="s">
        <v>2579</v>
      </c>
      <c r="BE74" s="1746" t="s">
        <v>2730</v>
      </c>
      <c r="BF74" s="1746">
        <v>0.28000000000000003</v>
      </c>
      <c r="BG74" s="1746" t="s">
        <v>2581</v>
      </c>
      <c r="BH74" s="1744">
        <f t="shared" si="13"/>
        <v>2.8000000000000003E-4</v>
      </c>
      <c r="BI74" s="1745" t="str">
        <f t="shared" si="8"/>
        <v/>
      </c>
      <c r="BJ74" s="1740" t="str">
        <f t="shared" si="9"/>
        <v>EA-Tube/catheter/drain</v>
      </c>
      <c r="BK74" s="1740" t="str">
        <f t="shared" si="10"/>
        <v>Medical equipment</v>
      </c>
      <c r="BN74" s="1740" t="str">
        <f t="array" ref="BN74">IFERROR(INDEX($BJ$19:$BJ$1364, MATCH(0,COUNTIF($BN$16:BN73, $BJ$19:$BJ$1364), 0)),"")</f>
        <v>BOT-Dermatological drugs</v>
      </c>
      <c r="BO74" s="1740" t="s">
        <v>2586</v>
      </c>
      <c r="BV74" s="1689" t="s">
        <v>998</v>
      </c>
      <c r="BW74" s="1689" t="s">
        <v>1015</v>
      </c>
      <c r="BX74" s="1689" t="s">
        <v>889</v>
      </c>
      <c r="BY74" s="1689" t="s">
        <v>907</v>
      </c>
      <c r="BZ74" s="1689"/>
      <c r="CA74" s="1689" t="s">
        <v>910</v>
      </c>
      <c r="CB74" s="1689"/>
      <c r="CC74" s="1689"/>
      <c r="CD74" s="1689">
        <v>1</v>
      </c>
      <c r="CE74" s="1689">
        <v>26.1</v>
      </c>
      <c r="CF74" s="1689"/>
      <c r="CG74" s="1740">
        <f t="shared" si="17"/>
        <v>26.1</v>
      </c>
      <c r="CH74" s="1740">
        <f t="shared" si="12"/>
        <v>26.1</v>
      </c>
    </row>
    <row r="75" spans="2:86" ht="15.65" customHeight="1">
      <c r="B75" s="149"/>
      <c r="C75" s="1837"/>
      <c r="D75" s="1841"/>
      <c r="E75" s="1840"/>
      <c r="F75" s="1838"/>
      <c r="G75" s="1698"/>
      <c r="S75" s="1698"/>
      <c r="T75" s="1846" t="str">
        <f t="shared" ref="T75:T138" si="18">IF(C75="","",C75)</f>
        <v/>
      </c>
      <c r="U75" s="1847" t="str">
        <f t="shared" ref="U75:U138" si="19">IFERROR(INDEX($O$11:$O$42,MATCH(E75,$K$11:$K$42,0)),"")</f>
        <v/>
      </c>
      <c r="V75" s="1848"/>
      <c r="W75" s="1849" t="str">
        <f t="shared" si="6"/>
        <v/>
      </c>
      <c r="X75" s="1698"/>
      <c r="AY75" s="1746" t="s">
        <v>2575</v>
      </c>
      <c r="AZ75" s="1746">
        <v>2008</v>
      </c>
      <c r="BA75" s="1746" t="s">
        <v>2745</v>
      </c>
      <c r="BB75" s="1747" t="s">
        <v>2746</v>
      </c>
      <c r="BC75" s="1746" t="s">
        <v>2578</v>
      </c>
      <c r="BD75" s="1746" t="s">
        <v>2579</v>
      </c>
      <c r="BE75" s="1746" t="s">
        <v>2730</v>
      </c>
      <c r="BF75" s="1746">
        <v>0.28000000000000003</v>
      </c>
      <c r="BG75" s="1746" t="s">
        <v>2581</v>
      </c>
      <c r="BH75" s="1744">
        <f t="shared" si="13"/>
        <v>2.8000000000000003E-4</v>
      </c>
      <c r="BI75" s="1745" t="str">
        <f t="shared" si="8"/>
        <v/>
      </c>
      <c r="BJ75" s="1740" t="str">
        <f t="shared" si="9"/>
        <v>EA-Tube/catheter/drain</v>
      </c>
      <c r="BK75" s="1740" t="str">
        <f t="shared" si="10"/>
        <v>Medical equipment</v>
      </c>
      <c r="BN75" s="1740" t="str">
        <f t="array" ref="BN75">IFERROR(INDEX($BJ$19:$BJ$1364, MATCH(0,COUNTIF($BN$16:BN74, $BJ$19:$BJ$1364), 0)),"")</f>
        <v>EA-Misc. dressing</v>
      </c>
      <c r="BO75" s="1740" t="s">
        <v>2717</v>
      </c>
      <c r="BV75" s="1689" t="s">
        <v>998</v>
      </c>
      <c r="BW75" s="1689" t="s">
        <v>1015</v>
      </c>
      <c r="BX75" s="1689" t="s">
        <v>889</v>
      </c>
      <c r="BY75" s="1689" t="s">
        <v>907</v>
      </c>
      <c r="BZ75" s="1689"/>
      <c r="CA75" s="1689" t="s">
        <v>910</v>
      </c>
      <c r="CB75" s="1689"/>
      <c r="CC75" s="1689"/>
      <c r="CD75" s="1689">
        <v>2</v>
      </c>
      <c r="CE75" s="1689">
        <v>13.1</v>
      </c>
      <c r="CF75" s="1689"/>
      <c r="CG75" s="1740">
        <f t="shared" si="17"/>
        <v>13.1</v>
      </c>
      <c r="CH75" s="1740">
        <f t="shared" si="12"/>
        <v>26.2</v>
      </c>
    </row>
    <row r="76" spans="2:86" ht="15.65" customHeight="1">
      <c r="B76" s="149"/>
      <c r="C76" s="1837"/>
      <c r="D76" s="1841"/>
      <c r="E76" s="1840"/>
      <c r="F76" s="1838"/>
      <c r="G76" s="1698"/>
      <c r="S76" s="1698"/>
      <c r="T76" s="1846" t="str">
        <f t="shared" si="18"/>
        <v/>
      </c>
      <c r="U76" s="1847" t="str">
        <f t="shared" si="19"/>
        <v/>
      </c>
      <c r="V76" s="1848"/>
      <c r="W76" s="1849" t="str">
        <f t="shared" ref="W76:W139" si="20">IF(V76&lt;&gt;"",V76,IF(U76="","",U76))</f>
        <v/>
      </c>
      <c r="X76" s="1698"/>
      <c r="AY76" s="1746" t="s">
        <v>2588</v>
      </c>
      <c r="AZ76" s="1746">
        <v>2006</v>
      </c>
      <c r="BA76" s="1746" t="s">
        <v>2747</v>
      </c>
      <c r="BB76" s="1747" t="s">
        <v>2748</v>
      </c>
      <c r="BC76" s="1746">
        <v>1000</v>
      </c>
      <c r="BD76" s="1746" t="s">
        <v>2615</v>
      </c>
      <c r="BE76" s="1746"/>
      <c r="BF76" s="1746">
        <v>1592</v>
      </c>
      <c r="BG76" s="1746" t="s">
        <v>2592</v>
      </c>
      <c r="BH76" s="1744">
        <f t="shared" si="13"/>
        <v>1.5920000000000001E-3</v>
      </c>
      <c r="BI76" s="1745">
        <f t="shared" si="8"/>
        <v>1.5920000000000002E-6</v>
      </c>
      <c r="BJ76" s="1740" t="str">
        <f t="shared" si="9"/>
        <v>tabs</v>
      </c>
      <c r="BK76" s="1740" t="str">
        <f t="shared" si="10"/>
        <v>Bottle of Tablets</v>
      </c>
      <c r="BN76" s="1740" t="str">
        <f t="array" ref="BN76">IFERROR(INDEX($BJ$19:$BJ$1364, MATCH(0,COUNTIF($BN$16:BN75, $BJ$19:$BJ$1364), 0)),"")</f>
        <v>bags</v>
      </c>
      <c r="BO76" s="1740" t="s">
        <v>2749</v>
      </c>
      <c r="BV76" s="1689" t="s">
        <v>998</v>
      </c>
      <c r="BW76" s="1689" t="s">
        <v>1015</v>
      </c>
      <c r="BX76" s="1689" t="s">
        <v>889</v>
      </c>
      <c r="BY76" s="1689" t="s">
        <v>907</v>
      </c>
      <c r="BZ76" s="1689"/>
      <c r="CA76" s="1689" t="s">
        <v>910</v>
      </c>
      <c r="CB76" s="1689"/>
      <c r="CC76" s="1689"/>
      <c r="CD76" s="1689">
        <v>10</v>
      </c>
      <c r="CE76" s="1689">
        <v>2.6</v>
      </c>
      <c r="CF76" s="1689"/>
      <c r="CG76" s="1740">
        <f t="shared" si="17"/>
        <v>2.6</v>
      </c>
      <c r="CH76" s="1740">
        <f t="shared" si="12"/>
        <v>26</v>
      </c>
    </row>
    <row r="77" spans="2:86" ht="15.65" customHeight="1">
      <c r="B77" s="149"/>
      <c r="C77" s="1837"/>
      <c r="D77" s="1841"/>
      <c r="E77" s="1840"/>
      <c r="F77" s="1838"/>
      <c r="G77" s="1698"/>
      <c r="S77" s="1698"/>
      <c r="T77" s="1846" t="str">
        <f t="shared" si="18"/>
        <v/>
      </c>
      <c r="U77" s="1847" t="str">
        <f t="shared" si="19"/>
        <v/>
      </c>
      <c r="V77" s="1848"/>
      <c r="W77" s="1849" t="str">
        <f t="shared" si="20"/>
        <v/>
      </c>
      <c r="X77" s="1698"/>
      <c r="AY77" s="1746" t="s">
        <v>2593</v>
      </c>
      <c r="AZ77" s="1746">
        <v>2008</v>
      </c>
      <c r="BA77" s="1746" t="s">
        <v>2750</v>
      </c>
      <c r="BB77" s="1747" t="s">
        <v>2751</v>
      </c>
      <c r="BC77" s="1750">
        <v>1000</v>
      </c>
      <c r="BD77" s="1746" t="s">
        <v>2601</v>
      </c>
      <c r="BE77" s="1746"/>
      <c r="BF77" s="1746">
        <v>2.1700000000000001E-3</v>
      </c>
      <c r="BG77" s="1746" t="s">
        <v>2597</v>
      </c>
      <c r="BH77" s="1744">
        <f t="shared" si="13"/>
        <v>2.1700000000000001E-3</v>
      </c>
      <c r="BI77" s="1745">
        <f t="shared" si="8"/>
        <v>2.17E-6</v>
      </c>
      <c r="BJ77" s="1740" t="str">
        <f t="shared" si="9"/>
        <v>tablets</v>
      </c>
      <c r="BK77" s="1740" t="str">
        <f t="shared" si="10"/>
        <v>Bottle of Tablets</v>
      </c>
      <c r="BN77" s="1740" t="str">
        <f t="array" ref="BN77">IFERROR(INDEX($BJ$19:$BJ$1364, MATCH(0,COUNTIF($BN$16:BN76, $BJ$19:$BJ$1364), 0)),"")</f>
        <v>BOX-Analgesics, opioids</v>
      </c>
      <c r="BO77" s="1740" t="s">
        <v>2582</v>
      </c>
      <c r="BV77" s="1689" t="s">
        <v>1031</v>
      </c>
      <c r="BW77" s="1689" t="s">
        <v>1032</v>
      </c>
      <c r="BX77" s="1689" t="s">
        <v>889</v>
      </c>
      <c r="BY77" s="1689" t="s">
        <v>907</v>
      </c>
      <c r="BZ77" s="1689"/>
      <c r="CA77" s="1689"/>
      <c r="CB77" s="1689"/>
      <c r="CC77" s="1689"/>
      <c r="CD77" s="1689" t="s">
        <v>894</v>
      </c>
      <c r="CE77" s="1689">
        <v>32.299999999999997</v>
      </c>
      <c r="CF77" s="1689"/>
      <c r="CG77" s="1740">
        <f t="shared" si="17"/>
        <v>32.299999999999997</v>
      </c>
      <c r="CH77" s="1740" t="str">
        <f t="shared" si="12"/>
        <v/>
      </c>
    </row>
    <row r="78" spans="2:86" ht="15.65" customHeight="1">
      <c r="B78" s="149"/>
      <c r="C78" s="1837"/>
      <c r="D78" s="1841"/>
      <c r="E78" s="1840"/>
      <c r="F78" s="1838"/>
      <c r="G78" s="1698"/>
      <c r="S78" s="1698"/>
      <c r="T78" s="1846" t="str">
        <f t="shared" si="18"/>
        <v/>
      </c>
      <c r="U78" s="1847" t="str">
        <f t="shared" si="19"/>
        <v/>
      </c>
      <c r="V78" s="1848"/>
      <c r="W78" s="1849" t="str">
        <f t="shared" si="20"/>
        <v/>
      </c>
      <c r="X78" s="1698"/>
      <c r="AY78" s="1746" t="s">
        <v>2593</v>
      </c>
      <c r="AZ78" s="1746">
        <v>2008</v>
      </c>
      <c r="BA78" s="1746" t="s">
        <v>2752</v>
      </c>
      <c r="BB78" s="1747" t="s">
        <v>2753</v>
      </c>
      <c r="BC78" s="1746">
        <v>1</v>
      </c>
      <c r="BD78" s="1746" t="s">
        <v>2596</v>
      </c>
      <c r="BE78" s="1746"/>
      <c r="BF78" s="1746">
        <v>1.1E-4</v>
      </c>
      <c r="BG78" s="1746" t="s">
        <v>2597</v>
      </c>
      <c r="BH78" s="1744">
        <f t="shared" si="13"/>
        <v>1.1E-4</v>
      </c>
      <c r="BI78" s="1745">
        <f t="shared" si="8"/>
        <v>1.1E-4</v>
      </c>
      <c r="BJ78" s="1740" t="str">
        <f t="shared" si="9"/>
        <v>bottle</v>
      </c>
      <c r="BK78" s="1740" t="str">
        <f t="shared" si="10"/>
        <v>Bottle of Liquid</v>
      </c>
      <c r="BN78" s="1740" t="str">
        <f t="array" ref="BN78">IFERROR(INDEX($BJ$19:$BJ$1364, MATCH(0,COUNTIF($BN$16:BN77, $BJ$19:$BJ$1364), 0)),"")</f>
        <v>net</v>
      </c>
      <c r="BO78" s="1740" t="s">
        <v>2644</v>
      </c>
      <c r="BV78" s="1689" t="s">
        <v>1034</v>
      </c>
      <c r="BW78" s="1689" t="s">
        <v>1032</v>
      </c>
      <c r="BX78" s="1689" t="s">
        <v>889</v>
      </c>
      <c r="BY78" s="1689" t="s">
        <v>907</v>
      </c>
      <c r="BZ78" s="1689"/>
      <c r="CA78" s="1689"/>
      <c r="CB78" s="1689"/>
      <c r="CC78" s="1689"/>
      <c r="CD78" s="1689">
        <v>10</v>
      </c>
      <c r="CE78" s="1689">
        <v>13.8</v>
      </c>
      <c r="CF78" s="1689"/>
      <c r="CG78" s="1740">
        <f t="shared" si="17"/>
        <v>13.8</v>
      </c>
      <c r="CH78" s="1740">
        <f t="shared" si="12"/>
        <v>138</v>
      </c>
    </row>
    <row r="79" spans="2:86" ht="15.65" customHeight="1">
      <c r="B79" s="149"/>
      <c r="C79" s="1837"/>
      <c r="D79" s="1841"/>
      <c r="E79" s="1840"/>
      <c r="F79" s="1838"/>
      <c r="G79" s="1698"/>
      <c r="S79" s="1698"/>
      <c r="T79" s="1846" t="str">
        <f t="shared" si="18"/>
        <v/>
      </c>
      <c r="U79" s="1847" t="str">
        <f t="shared" si="19"/>
        <v/>
      </c>
      <c r="V79" s="1848"/>
      <c r="W79" s="1849" t="str">
        <f t="shared" si="20"/>
        <v/>
      </c>
      <c r="X79" s="1698"/>
      <c r="AY79" s="1746" t="s">
        <v>2588</v>
      </c>
      <c r="AZ79" s="1746">
        <v>2006</v>
      </c>
      <c r="BA79" s="1746" t="s">
        <v>2754</v>
      </c>
      <c r="BB79" s="1747" t="s">
        <v>2755</v>
      </c>
      <c r="BC79" s="1746">
        <v>1000</v>
      </c>
      <c r="BD79" s="1746" t="s">
        <v>2615</v>
      </c>
      <c r="BE79" s="1746"/>
      <c r="BF79" s="1746">
        <v>1588.6</v>
      </c>
      <c r="BG79" s="1746" t="s">
        <v>2592</v>
      </c>
      <c r="BH79" s="1744">
        <f t="shared" si="13"/>
        <v>1.5885999999999999E-3</v>
      </c>
      <c r="BI79" s="1745">
        <f t="shared" si="8"/>
        <v>1.5885999999999999E-6</v>
      </c>
      <c r="BJ79" s="1740" t="str">
        <f t="shared" si="9"/>
        <v>tabs</v>
      </c>
      <c r="BK79" s="1740" t="str">
        <f t="shared" si="10"/>
        <v>Bottle of Tablets</v>
      </c>
      <c r="BN79" s="1740" t="str">
        <f t="array" ref="BN79">IFERROR(INDEX($BJ$19:$BJ$1364, MATCH(0,COUNTIF($BN$16:BN78, $BJ$19:$BJ$1364), 0)),"")</f>
        <v>EA-Electrical equipment</v>
      </c>
      <c r="BO79" s="1740" t="s">
        <v>2632</v>
      </c>
      <c r="BV79" s="1689" t="s">
        <v>1035</v>
      </c>
      <c r="BW79" s="1689" t="s">
        <v>1032</v>
      </c>
      <c r="BX79" s="1689" t="s">
        <v>889</v>
      </c>
      <c r="BY79" s="1689" t="s">
        <v>907</v>
      </c>
      <c r="BZ79" s="1689" t="s">
        <v>1036</v>
      </c>
      <c r="CA79" s="1689" t="s">
        <v>1037</v>
      </c>
      <c r="CB79" s="1689"/>
      <c r="CC79" s="1689"/>
      <c r="CD79" s="1689" t="s">
        <v>894</v>
      </c>
      <c r="CE79" s="1689"/>
      <c r="CF79" s="1689"/>
      <c r="CG79" s="1740">
        <f t="shared" si="17"/>
        <v>0</v>
      </c>
      <c r="CH79" s="1740" t="str">
        <f t="shared" si="12"/>
        <v/>
      </c>
    </row>
    <row r="80" spans="2:86" ht="15.65" customHeight="1">
      <c r="B80" s="149"/>
      <c r="C80" s="1837"/>
      <c r="D80" s="1841"/>
      <c r="E80" s="1840"/>
      <c r="F80" s="1838"/>
      <c r="G80" s="1698"/>
      <c r="S80" s="1698"/>
      <c r="T80" s="1846" t="str">
        <f t="shared" si="18"/>
        <v/>
      </c>
      <c r="U80" s="1847" t="str">
        <f t="shared" si="19"/>
        <v/>
      </c>
      <c r="V80" s="1848"/>
      <c r="W80" s="1849" t="str">
        <f t="shared" si="20"/>
        <v/>
      </c>
      <c r="X80" s="1698"/>
      <c r="AY80" s="1746" t="s">
        <v>2575</v>
      </c>
      <c r="AZ80" s="1746">
        <v>2008</v>
      </c>
      <c r="BA80" s="1746" t="s">
        <v>2756</v>
      </c>
      <c r="BB80" s="1747" t="s">
        <v>2757</v>
      </c>
      <c r="BC80" s="1746" t="s">
        <v>2578</v>
      </c>
      <c r="BD80" s="1746" t="s">
        <v>2638</v>
      </c>
      <c r="BE80" s="1746" t="s">
        <v>2758</v>
      </c>
      <c r="BF80" s="1746">
        <v>0.45</v>
      </c>
      <c r="BG80" s="1746" t="s">
        <v>2581</v>
      </c>
      <c r="BH80" s="1744">
        <f t="shared" si="13"/>
        <v>4.4999999999999999E-4</v>
      </c>
      <c r="BI80" s="1745" t="str">
        <f t="shared" si="8"/>
        <v/>
      </c>
      <c r="BJ80" s="1740" t="str">
        <f t="shared" si="9"/>
        <v>PAC-Anthelmintics</v>
      </c>
      <c r="BK80" s="1740" t="str">
        <f t="shared" si="10"/>
        <v>Bottle of Tablets</v>
      </c>
      <c r="BN80" s="1740" t="str">
        <f t="array" ref="BN80">IFERROR(INDEX($BJ$19:$BJ$1364, MATCH(0,COUNTIF($BN$16:BN79, $BJ$19:$BJ$1364), 0)),"")</f>
        <v>EA-Press., force/sprin</v>
      </c>
      <c r="BO80" s="1740" t="s">
        <v>2632</v>
      </c>
      <c r="BV80" s="1689" t="s">
        <v>1035</v>
      </c>
      <c r="BW80" s="1689" t="s">
        <v>1032</v>
      </c>
      <c r="BX80" s="1689" t="s">
        <v>889</v>
      </c>
      <c r="BY80" s="1689" t="s">
        <v>907</v>
      </c>
      <c r="BZ80" s="1689" t="s">
        <v>1036</v>
      </c>
      <c r="CA80" s="1689" t="s">
        <v>1039</v>
      </c>
      <c r="CB80" s="1689"/>
      <c r="CC80" s="1689"/>
      <c r="CD80" s="1689">
        <v>10</v>
      </c>
      <c r="CE80" s="1689">
        <v>2.4</v>
      </c>
      <c r="CF80" s="1689"/>
      <c r="CG80" s="1740">
        <f t="shared" si="17"/>
        <v>2.4</v>
      </c>
      <c r="CH80" s="1740">
        <f t="shared" si="12"/>
        <v>24</v>
      </c>
    </row>
    <row r="81" spans="2:86" ht="15.65" customHeight="1">
      <c r="B81" s="149"/>
      <c r="C81" s="1837"/>
      <c r="D81" s="1841"/>
      <c r="E81" s="1840"/>
      <c r="F81" s="1838"/>
      <c r="G81" s="1698"/>
      <c r="S81" s="1698"/>
      <c r="T81" s="1846" t="str">
        <f t="shared" si="18"/>
        <v/>
      </c>
      <c r="U81" s="1847" t="str">
        <f t="shared" si="19"/>
        <v/>
      </c>
      <c r="V81" s="1848"/>
      <c r="W81" s="1849" t="str">
        <f t="shared" si="20"/>
        <v/>
      </c>
      <c r="X81" s="1698"/>
      <c r="AY81" s="1746" t="s">
        <v>2593</v>
      </c>
      <c r="AZ81" s="1746">
        <v>2008</v>
      </c>
      <c r="BA81" s="1746" t="s">
        <v>2759</v>
      </c>
      <c r="BB81" s="1747" t="s">
        <v>2760</v>
      </c>
      <c r="BC81" s="1750">
        <v>1000</v>
      </c>
      <c r="BD81" s="1746" t="s">
        <v>2601</v>
      </c>
      <c r="BE81" s="1746"/>
      <c r="BF81" s="1746">
        <v>1.81E-3</v>
      </c>
      <c r="BG81" s="1746" t="s">
        <v>2597</v>
      </c>
      <c r="BH81" s="1744">
        <f t="shared" si="13"/>
        <v>1.81E-3</v>
      </c>
      <c r="BI81" s="1745">
        <f t="shared" si="8"/>
        <v>1.81E-6</v>
      </c>
      <c r="BJ81" s="1740" t="str">
        <f t="shared" si="9"/>
        <v>tablets</v>
      </c>
      <c r="BK81" s="1740" t="str">
        <f t="shared" si="10"/>
        <v>Bottle of Tablets</v>
      </c>
      <c r="BN81" s="1740" t="str">
        <f t="array" ref="BN81">IFERROR(INDEX($BJ$19:$BJ$1364, MATCH(0,COUNTIF($BN$16:BN80, $BJ$19:$BJ$1364), 0)),"")</f>
        <v>BOX-Needles/cannulae</v>
      </c>
      <c r="BO81" s="1740" t="s">
        <v>2620</v>
      </c>
      <c r="BV81" s="1689" t="s">
        <v>1035</v>
      </c>
      <c r="BW81" s="1689" t="s">
        <v>1032</v>
      </c>
      <c r="BX81" s="1689" t="s">
        <v>889</v>
      </c>
      <c r="BY81" s="1689" t="s">
        <v>907</v>
      </c>
      <c r="BZ81" s="1689" t="s">
        <v>1041</v>
      </c>
      <c r="CA81" s="1689" t="s">
        <v>1042</v>
      </c>
      <c r="CB81" s="1689"/>
      <c r="CC81" s="1689"/>
      <c r="CD81" s="1689">
        <v>1</v>
      </c>
      <c r="CE81" s="1689">
        <v>19.2</v>
      </c>
      <c r="CF81" s="1689"/>
      <c r="CG81" s="1740">
        <f t="shared" si="17"/>
        <v>19.2</v>
      </c>
      <c r="CH81" s="1740">
        <f t="shared" si="12"/>
        <v>19.2</v>
      </c>
    </row>
    <row r="82" spans="2:86" ht="15.65" customHeight="1">
      <c r="B82" s="149"/>
      <c r="C82" s="1837"/>
      <c r="D82" s="1841"/>
      <c r="E82" s="1840"/>
      <c r="F82" s="1838"/>
      <c r="G82" s="1698"/>
      <c r="S82" s="1698"/>
      <c r="T82" s="1846" t="str">
        <f t="shared" si="18"/>
        <v/>
      </c>
      <c r="U82" s="1847" t="str">
        <f t="shared" si="19"/>
        <v/>
      </c>
      <c r="V82" s="1848"/>
      <c r="W82" s="1849" t="str">
        <f t="shared" si="20"/>
        <v/>
      </c>
      <c r="X82" s="1698"/>
      <c r="AY82" s="1746" t="s">
        <v>2588</v>
      </c>
      <c r="AZ82" s="1746">
        <v>2006</v>
      </c>
      <c r="BA82" s="1746" t="s">
        <v>2761</v>
      </c>
      <c r="BB82" s="1747" t="s">
        <v>2762</v>
      </c>
      <c r="BC82" s="1746">
        <v>1</v>
      </c>
      <c r="BD82" s="1746" t="s">
        <v>2596</v>
      </c>
      <c r="BE82" s="1746"/>
      <c r="BF82" s="1746">
        <v>7836</v>
      </c>
      <c r="BG82" s="1746" t="s">
        <v>2592</v>
      </c>
      <c r="BH82" s="1744">
        <f t="shared" si="13"/>
        <v>7.8359999999999992E-3</v>
      </c>
      <c r="BI82" s="1745">
        <f t="shared" si="8"/>
        <v>7.8359999999999992E-3</v>
      </c>
      <c r="BJ82" s="1740" t="str">
        <f t="shared" si="9"/>
        <v>bottle</v>
      </c>
      <c r="BK82" s="1740" t="str">
        <f t="shared" si="10"/>
        <v>Bottle of Liquid</v>
      </c>
      <c r="BN82" s="1740" t="str">
        <f t="array" ref="BN82">IFERROR(INDEX($BJ$19:$BJ$1364, MATCH(0,COUNTIF($BN$16:BN81, $BJ$19:$BJ$1364), 0)),"")</f>
        <v>EA-Needles/cannulae</v>
      </c>
      <c r="BO82" s="1740" t="s">
        <v>2620</v>
      </c>
      <c r="BV82" s="1689" t="s">
        <v>1044</v>
      </c>
      <c r="BW82" s="1689" t="s">
        <v>1044</v>
      </c>
      <c r="BX82" s="1689" t="s">
        <v>889</v>
      </c>
      <c r="BY82" s="1689" t="s">
        <v>907</v>
      </c>
      <c r="BZ82" s="1689" t="s">
        <v>1045</v>
      </c>
      <c r="CA82" s="1689" t="s">
        <v>1046</v>
      </c>
      <c r="CB82" s="1689"/>
      <c r="CC82" s="1689"/>
      <c r="CD82" s="1689">
        <v>1</v>
      </c>
      <c r="CE82" s="1689">
        <v>11.318999999999999</v>
      </c>
      <c r="CF82" s="1689"/>
      <c r="CG82" s="1740">
        <f t="shared" si="17"/>
        <v>11.318999999999999</v>
      </c>
      <c r="CH82" s="1740">
        <f t="shared" si="12"/>
        <v>11.318999999999999</v>
      </c>
    </row>
    <row r="83" spans="2:86" ht="15.65" customHeight="1">
      <c r="B83" s="149"/>
      <c r="C83" s="1837"/>
      <c r="D83" s="1841"/>
      <c r="E83" s="1840"/>
      <c r="F83" s="1838"/>
      <c r="G83" s="1698"/>
      <c r="S83" s="1698"/>
      <c r="T83" s="1846" t="str">
        <f t="shared" si="18"/>
        <v/>
      </c>
      <c r="U83" s="1847" t="str">
        <f t="shared" si="19"/>
        <v/>
      </c>
      <c r="V83" s="1848"/>
      <c r="W83" s="1849" t="str">
        <f t="shared" si="20"/>
        <v/>
      </c>
      <c r="X83" s="1698"/>
      <c r="AY83" s="1746" t="s">
        <v>2588</v>
      </c>
      <c r="AZ83" s="1746">
        <v>2006</v>
      </c>
      <c r="BA83" s="1746" t="s">
        <v>2763</v>
      </c>
      <c r="BB83" s="1747" t="s">
        <v>2764</v>
      </c>
      <c r="BC83" s="1746">
        <v>100</v>
      </c>
      <c r="BD83" s="1746" t="s">
        <v>2615</v>
      </c>
      <c r="BE83" s="1746"/>
      <c r="BF83" s="1746">
        <v>167</v>
      </c>
      <c r="BG83" s="1746" t="s">
        <v>2592</v>
      </c>
      <c r="BH83" s="1744">
        <f t="shared" si="13"/>
        <v>1.6699999999999999E-4</v>
      </c>
      <c r="BI83" s="1745">
        <f t="shared" ref="BI83:BI146" si="21">IFERROR(BH83/BC83,"")</f>
        <v>1.6699999999999999E-6</v>
      </c>
      <c r="BJ83" s="1740" t="str">
        <f t="shared" ref="BJ83:BJ146" si="22">IF(BE83="",BD83,BD83&amp;"-"&amp;BE83)</f>
        <v>tabs</v>
      </c>
      <c r="BK83" s="1740" t="str">
        <f t="shared" si="10"/>
        <v>Bottle of Tablets</v>
      </c>
      <c r="BN83" s="1740" t="str">
        <f t="array" ref="BN83">IFERROR(INDEX($BJ$19:$BJ$1364, MATCH(0,COUNTIF($BN$16:BN82, $BJ$19:$BJ$1364), 0)),"")</f>
        <v>CAR-Water &amp; electrolytes</v>
      </c>
      <c r="BO83" s="1740" t="s">
        <v>2765</v>
      </c>
      <c r="BV83" s="1689" t="s">
        <v>1048</v>
      </c>
      <c r="BW83" s="1689" t="s">
        <v>1049</v>
      </c>
      <c r="BX83" s="1689" t="s">
        <v>957</v>
      </c>
      <c r="BY83" s="1689" t="s">
        <v>907</v>
      </c>
      <c r="BZ83" s="1689" t="s">
        <v>1050</v>
      </c>
      <c r="CA83" s="1689" t="s">
        <v>1051</v>
      </c>
      <c r="CB83" s="1689"/>
      <c r="CC83" s="1689" t="s">
        <v>945</v>
      </c>
      <c r="CD83" s="1689" t="s">
        <v>946</v>
      </c>
      <c r="CE83" s="1689">
        <v>107.40599999999999</v>
      </c>
      <c r="CF83" s="1689"/>
      <c r="CG83" s="1740">
        <f t="shared" si="17"/>
        <v>107.40599999999999</v>
      </c>
      <c r="CH83" s="1740" t="str">
        <f t="shared" si="12"/>
        <v/>
      </c>
    </row>
    <row r="84" spans="2:86" ht="15.65" customHeight="1">
      <c r="B84" s="149"/>
      <c r="C84" s="1837"/>
      <c r="D84" s="1841"/>
      <c r="E84" s="1840"/>
      <c r="F84" s="1838"/>
      <c r="G84" s="1698"/>
      <c r="S84" s="1698"/>
      <c r="T84" s="1846" t="str">
        <f t="shared" si="18"/>
        <v/>
      </c>
      <c r="U84" s="1847" t="str">
        <f t="shared" si="19"/>
        <v/>
      </c>
      <c r="V84" s="1848"/>
      <c r="W84" s="1849" t="str">
        <f t="shared" si="20"/>
        <v/>
      </c>
      <c r="X84" s="1698"/>
      <c r="AY84" s="1746" t="s">
        <v>2593</v>
      </c>
      <c r="AZ84" s="1746">
        <v>2008</v>
      </c>
      <c r="BA84" s="1746" t="s">
        <v>2766</v>
      </c>
      <c r="BB84" s="1747" t="s">
        <v>2767</v>
      </c>
      <c r="BC84" s="1746">
        <v>100</v>
      </c>
      <c r="BD84" s="1746" t="s">
        <v>2601</v>
      </c>
      <c r="BE84" s="1746"/>
      <c r="BF84" s="1746">
        <v>2.7999999999999998E-4</v>
      </c>
      <c r="BG84" s="1746" t="s">
        <v>2597</v>
      </c>
      <c r="BH84" s="1744">
        <f t="shared" si="13"/>
        <v>2.7999999999999998E-4</v>
      </c>
      <c r="BI84" s="1745">
        <f t="shared" si="21"/>
        <v>2.7999999999999999E-6</v>
      </c>
      <c r="BJ84" s="1740" t="str">
        <f t="shared" si="22"/>
        <v>tablets</v>
      </c>
      <c r="BK84" s="1740" t="str">
        <f t="shared" ref="BK84:BK147" si="23">IFERROR(INDEX($BO$18:$BO$136,MATCH(BJ84,$BN$18:$BN$136,0)),"")</f>
        <v>Bottle of Tablets</v>
      </c>
      <c r="BN84" s="1740" t="str">
        <f t="array" ref="BN84">IFERROR(INDEX($BJ$19:$BJ$1364, MATCH(0,COUNTIF($BN$16:BN83, $BJ$19:$BJ$1364), 0)),"")</f>
        <v>BOX-Water &amp; electrolytes</v>
      </c>
      <c r="BO84" s="1740" t="s">
        <v>2765</v>
      </c>
      <c r="BV84" s="1689" t="s">
        <v>1053</v>
      </c>
      <c r="BW84" s="1689" t="s">
        <v>1054</v>
      </c>
      <c r="BX84" s="1689" t="s">
        <v>889</v>
      </c>
      <c r="BY84" s="1689" t="s">
        <v>907</v>
      </c>
      <c r="BZ84" s="1689" t="s">
        <v>1055</v>
      </c>
      <c r="CA84" s="1689" t="s">
        <v>1056</v>
      </c>
      <c r="CB84" s="1689"/>
      <c r="CC84" s="1689"/>
      <c r="CD84" s="1689">
        <v>10</v>
      </c>
      <c r="CE84" s="1689">
        <v>3.0577800000000006</v>
      </c>
      <c r="CF84" s="1689"/>
      <c r="CG84" s="1740">
        <f t="shared" si="17"/>
        <v>3.0577800000000006</v>
      </c>
      <c r="CH84" s="1740">
        <f t="shared" ref="CH84:CH147" si="24">IFERROR(CD84*CG84,"")</f>
        <v>30.577800000000007</v>
      </c>
    </row>
    <row r="85" spans="2:86" ht="15.65" customHeight="1">
      <c r="B85" s="149"/>
      <c r="C85" s="1837"/>
      <c r="D85" s="1841"/>
      <c r="E85" s="1840"/>
      <c r="F85" s="1838"/>
      <c r="G85" s="1698"/>
      <c r="S85" s="1698"/>
      <c r="T85" s="1846" t="str">
        <f t="shared" si="18"/>
        <v/>
      </c>
      <c r="U85" s="1847" t="str">
        <f t="shared" si="19"/>
        <v/>
      </c>
      <c r="V85" s="1848"/>
      <c r="W85" s="1849" t="str">
        <f t="shared" si="20"/>
        <v/>
      </c>
      <c r="X85" s="1698"/>
      <c r="AY85" s="1746" t="s">
        <v>2593</v>
      </c>
      <c r="AZ85" s="1746">
        <v>2008</v>
      </c>
      <c r="BA85" s="1746" t="s">
        <v>2768</v>
      </c>
      <c r="BB85" s="1747" t="s">
        <v>2769</v>
      </c>
      <c r="BC85" s="1746">
        <v>1</v>
      </c>
      <c r="BD85" s="1746" t="s">
        <v>2770</v>
      </c>
      <c r="BE85" s="1746"/>
      <c r="BF85" s="1746">
        <v>3.0000000000000001E-5</v>
      </c>
      <c r="BG85" s="1746" t="s">
        <v>2597</v>
      </c>
      <c r="BH85" s="1744">
        <f t="shared" si="13"/>
        <v>3.0000000000000001E-5</v>
      </c>
      <c r="BI85" s="1745">
        <f t="shared" si="21"/>
        <v>3.0000000000000001E-5</v>
      </c>
      <c r="BJ85" s="1740" t="str">
        <f t="shared" si="22"/>
        <v>sachet</v>
      </c>
      <c r="BK85" s="1740" t="str">
        <f t="shared" si="23"/>
        <v>Sachet of powder</v>
      </c>
      <c r="BN85" s="1740" t="str">
        <f t="array" ref="BN85">IFERROR(INDEX($BJ$19:$BJ$1364, MATCH(0,COUNTIF($BN$16:BN84, $BJ$19:$BJ$1364), 0)),"")</f>
        <v>PAC-Medical stationery</v>
      </c>
      <c r="BO85" s="1740" t="s">
        <v>2632</v>
      </c>
      <c r="BV85" s="1689" t="s">
        <v>1053</v>
      </c>
      <c r="BW85" s="1689" t="s">
        <v>1054</v>
      </c>
      <c r="BX85" s="1689" t="s">
        <v>889</v>
      </c>
      <c r="BY85" s="1689" t="s">
        <v>907</v>
      </c>
      <c r="BZ85" s="1689" t="s">
        <v>1058</v>
      </c>
      <c r="CA85" s="1689" t="s">
        <v>1059</v>
      </c>
      <c r="CB85" s="1689"/>
      <c r="CC85" s="1689"/>
      <c r="CD85" s="1689">
        <v>10</v>
      </c>
      <c r="CE85" s="1689">
        <v>5.8</v>
      </c>
      <c r="CF85" s="1689"/>
      <c r="CG85" s="1740">
        <f t="shared" si="17"/>
        <v>5.8</v>
      </c>
      <c r="CH85" s="1740">
        <f t="shared" si="24"/>
        <v>58</v>
      </c>
    </row>
    <row r="86" spans="2:86" ht="15.65" customHeight="1">
      <c r="B86" s="149"/>
      <c r="C86" s="1837"/>
      <c r="D86" s="1841"/>
      <c r="E86" s="1840"/>
      <c r="F86" s="1838"/>
      <c r="G86" s="1698"/>
      <c r="S86" s="1698"/>
      <c r="T86" s="1846" t="str">
        <f t="shared" si="18"/>
        <v/>
      </c>
      <c r="U86" s="1847" t="str">
        <f t="shared" si="19"/>
        <v/>
      </c>
      <c r="V86" s="1848"/>
      <c r="W86" s="1849" t="str">
        <f t="shared" si="20"/>
        <v/>
      </c>
      <c r="X86" s="1698"/>
      <c r="AY86" s="1746" t="s">
        <v>2593</v>
      </c>
      <c r="AZ86" s="1746">
        <v>2008</v>
      </c>
      <c r="BA86" s="1746" t="s">
        <v>2771</v>
      </c>
      <c r="BB86" s="1747" t="s">
        <v>2772</v>
      </c>
      <c r="BC86" s="1746">
        <v>1</v>
      </c>
      <c r="BD86" s="1746" t="s">
        <v>2596</v>
      </c>
      <c r="BE86" s="1746"/>
      <c r="BF86" s="1746">
        <v>0</v>
      </c>
      <c r="BG86" s="1746" t="s">
        <v>2597</v>
      </c>
      <c r="BH86" s="1744">
        <f t="shared" si="13"/>
        <v>0</v>
      </c>
      <c r="BI86" s="1745">
        <f t="shared" si="21"/>
        <v>0</v>
      </c>
      <c r="BJ86" s="1740" t="str">
        <f t="shared" si="22"/>
        <v>bottle</v>
      </c>
      <c r="BK86" s="1740" t="str">
        <f t="shared" si="23"/>
        <v>Bottle of Liquid</v>
      </c>
      <c r="BN86" s="1740" t="str">
        <f t="array" ref="BN86">IFERROR(INDEX($BJ$19:$BJ$1364, MATCH(0,COUNTIF($BN$16:BN85, $BJ$19:$BJ$1364), 0)),"")</f>
        <v>PAC-Antifungus</v>
      </c>
      <c r="BO86" s="1740" t="s">
        <v>2573</v>
      </c>
      <c r="BV86" s="1689" t="s">
        <v>1053</v>
      </c>
      <c r="BW86" s="1689" t="s">
        <v>1054</v>
      </c>
      <c r="BX86" s="1689" t="s">
        <v>889</v>
      </c>
      <c r="BY86" s="1689" t="s">
        <v>907</v>
      </c>
      <c r="BZ86" s="1689" t="s">
        <v>1058</v>
      </c>
      <c r="CA86" s="1689" t="s">
        <v>1061</v>
      </c>
      <c r="CB86" s="1689"/>
      <c r="CC86" s="1689"/>
      <c r="CD86" s="1689">
        <v>1</v>
      </c>
      <c r="CE86" s="1689">
        <v>18.3</v>
      </c>
      <c r="CF86" s="1689"/>
      <c r="CG86" s="1740">
        <f t="shared" si="17"/>
        <v>18.3</v>
      </c>
      <c r="CH86" s="1740">
        <f t="shared" si="24"/>
        <v>18.3</v>
      </c>
    </row>
    <row r="87" spans="2:86" ht="15.65" customHeight="1">
      <c r="B87" s="149"/>
      <c r="C87" s="1837"/>
      <c r="D87" s="1841"/>
      <c r="E87" s="1840"/>
      <c r="F87" s="1838"/>
      <c r="G87" s="1698"/>
      <c r="S87" s="1698"/>
      <c r="T87" s="1846" t="str">
        <f t="shared" si="18"/>
        <v/>
      </c>
      <c r="U87" s="1847" t="str">
        <f t="shared" si="19"/>
        <v/>
      </c>
      <c r="V87" s="1848"/>
      <c r="W87" s="1849" t="str">
        <f t="shared" si="20"/>
        <v/>
      </c>
      <c r="X87" s="1698"/>
      <c r="AY87" s="1746" t="s">
        <v>2575</v>
      </c>
      <c r="AZ87" s="1746">
        <v>2008</v>
      </c>
      <c r="BA87" s="1746" t="s">
        <v>2773</v>
      </c>
      <c r="BB87" s="1747" t="s">
        <v>2774</v>
      </c>
      <c r="BC87" s="1746" t="s">
        <v>2578</v>
      </c>
      <c r="BD87" s="1746" t="s">
        <v>2775</v>
      </c>
      <c r="BE87" s="1746" t="s">
        <v>2776</v>
      </c>
      <c r="BF87" s="1746">
        <v>1.3779999999999999</v>
      </c>
      <c r="BG87" s="1746" t="s">
        <v>2581</v>
      </c>
      <c r="BH87" s="1744">
        <f t="shared" si="13"/>
        <v>1.3779999999999999E-3</v>
      </c>
      <c r="BI87" s="1745" t="str">
        <f t="shared" si="21"/>
        <v/>
      </c>
      <c r="BJ87" s="1740" t="str">
        <f t="shared" si="22"/>
        <v>BOT-Gastrointestinal</v>
      </c>
      <c r="BK87" s="1740" t="str">
        <f t="shared" si="23"/>
        <v>Bottle of Liquid</v>
      </c>
      <c r="BN87" s="1740" t="str">
        <f t="array" ref="BN87">IFERROR(INDEX($BJ$19:$BJ$1364, MATCH(0,COUNTIF($BN$16:BN86, $BJ$19:$BJ$1364), 0)),"")</f>
        <v>vags</v>
      </c>
      <c r="BO87" s="1740" t="s">
        <v>2573</v>
      </c>
      <c r="BV87" s="1689" t="s">
        <v>1053</v>
      </c>
      <c r="BW87" s="1689" t="s">
        <v>1054</v>
      </c>
      <c r="BX87" s="1689" t="s">
        <v>1063</v>
      </c>
      <c r="BY87" s="1689" t="s">
        <v>907</v>
      </c>
      <c r="BZ87" s="1689" t="s">
        <v>1055</v>
      </c>
      <c r="CA87" s="1689" t="s">
        <v>1064</v>
      </c>
      <c r="CB87" s="1689"/>
      <c r="CC87" s="1689"/>
      <c r="CD87" s="1689">
        <v>10</v>
      </c>
      <c r="CE87" s="1689">
        <v>61.155600000000014</v>
      </c>
      <c r="CF87" s="1689"/>
      <c r="CG87" s="1740">
        <f t="shared" si="17"/>
        <v>61.155600000000014</v>
      </c>
      <c r="CH87" s="1740">
        <f t="shared" si="24"/>
        <v>611.55600000000015</v>
      </c>
    </row>
    <row r="88" spans="2:86" ht="15.65" customHeight="1">
      <c r="B88" s="149"/>
      <c r="C88" s="1837"/>
      <c r="D88" s="1841"/>
      <c r="E88" s="1840"/>
      <c r="F88" s="1838"/>
      <c r="G88" s="1698"/>
      <c r="S88" s="1698"/>
      <c r="T88" s="1846" t="str">
        <f t="shared" si="18"/>
        <v/>
      </c>
      <c r="U88" s="1847" t="str">
        <f t="shared" si="19"/>
        <v/>
      </c>
      <c r="V88" s="1848"/>
      <c r="W88" s="1849" t="str">
        <f t="shared" si="20"/>
        <v/>
      </c>
      <c r="X88" s="1698"/>
      <c r="AY88" s="1746" t="s">
        <v>2588</v>
      </c>
      <c r="AZ88" s="1746">
        <v>2006</v>
      </c>
      <c r="BA88" s="1746" t="s">
        <v>2777</v>
      </c>
      <c r="BB88" s="1747" t="s">
        <v>2778</v>
      </c>
      <c r="BC88" s="1746">
        <v>1000</v>
      </c>
      <c r="BD88" s="1746" t="s">
        <v>2615</v>
      </c>
      <c r="BE88" s="1746"/>
      <c r="BF88" s="1746">
        <v>1592.3</v>
      </c>
      <c r="BG88" s="1746" t="s">
        <v>2592</v>
      </c>
      <c r="BH88" s="1744">
        <f t="shared" si="13"/>
        <v>1.5923000000000001E-3</v>
      </c>
      <c r="BI88" s="1745">
        <f t="shared" si="21"/>
        <v>1.5923E-6</v>
      </c>
      <c r="BJ88" s="1740" t="str">
        <f t="shared" si="22"/>
        <v>tabs</v>
      </c>
      <c r="BK88" s="1740" t="str">
        <f t="shared" si="23"/>
        <v>Bottle of Tablets</v>
      </c>
      <c r="BN88" s="1740" t="str">
        <f t="array" ref="BN88">IFERROR(INDEX($BJ$19:$BJ$1364, MATCH(0,COUNTIF($BN$16:BN87, $BJ$19:$BJ$1364), 0)),"")</f>
        <v>BOT-Antifungus</v>
      </c>
      <c r="BO88" s="1740" t="s">
        <v>2586</v>
      </c>
      <c r="BV88" s="1689" t="s">
        <v>1053</v>
      </c>
      <c r="BW88" s="1689" t="s">
        <v>1054</v>
      </c>
      <c r="BX88" s="1689" t="s">
        <v>889</v>
      </c>
      <c r="BY88" s="1689" t="s">
        <v>907</v>
      </c>
      <c r="BZ88" s="1689" t="s">
        <v>1066</v>
      </c>
      <c r="CA88" s="1689" t="s">
        <v>1067</v>
      </c>
      <c r="CB88" s="1689"/>
      <c r="CC88" s="1689"/>
      <c r="CD88" s="1689">
        <v>1</v>
      </c>
      <c r="CE88" s="1689">
        <v>22</v>
      </c>
      <c r="CF88" s="1689"/>
      <c r="CG88" s="1740">
        <f t="shared" si="17"/>
        <v>22</v>
      </c>
      <c r="CH88" s="1740">
        <f t="shared" si="24"/>
        <v>22</v>
      </c>
    </row>
    <row r="89" spans="2:86" ht="15.65" customHeight="1">
      <c r="B89" s="149"/>
      <c r="C89" s="1837"/>
      <c r="D89" s="1841"/>
      <c r="E89" s="1840"/>
      <c r="F89" s="1838"/>
      <c r="G89" s="1698"/>
      <c r="S89" s="1698"/>
      <c r="T89" s="1846" t="str">
        <f t="shared" si="18"/>
        <v/>
      </c>
      <c r="U89" s="1847" t="str">
        <f t="shared" si="19"/>
        <v/>
      </c>
      <c r="V89" s="1848"/>
      <c r="W89" s="1849" t="str">
        <f t="shared" si="20"/>
        <v/>
      </c>
      <c r="X89" s="1698"/>
      <c r="AY89" s="1746" t="s">
        <v>2575</v>
      </c>
      <c r="AZ89" s="1746">
        <v>2008</v>
      </c>
      <c r="BA89" s="1746" t="s">
        <v>2779</v>
      </c>
      <c r="BB89" s="1747" t="s">
        <v>2780</v>
      </c>
      <c r="BC89" s="1746" t="s">
        <v>2578</v>
      </c>
      <c r="BD89" s="1746" t="s">
        <v>2638</v>
      </c>
      <c r="BE89" s="1746" t="s">
        <v>2776</v>
      </c>
      <c r="BF89" s="1746">
        <v>3.3719999999999999</v>
      </c>
      <c r="BG89" s="1746" t="s">
        <v>2581</v>
      </c>
      <c r="BH89" s="1744">
        <f t="shared" ref="BH89:BH152" si="25">IF(BG89="CCM",BF89/1000000,IF(BG89="CDM",BF89/1000, IF(BG89="M3",BF89,"")))</f>
        <v>3.372E-3</v>
      </c>
      <c r="BI89" s="1745" t="str">
        <f t="shared" si="21"/>
        <v/>
      </c>
      <c r="BJ89" s="1740" t="str">
        <f t="shared" si="22"/>
        <v>PAC-Gastrointestinal</v>
      </c>
      <c r="BK89" s="1740" t="str">
        <f t="shared" si="23"/>
        <v>Bottle of Tablets</v>
      </c>
      <c r="BN89" s="1740" t="str">
        <f t="array" ref="BN89">IFERROR(INDEX($BJ$19:$BJ$1364, MATCH(0,COUNTIF($BN$16:BN88, $BJ$19:$BJ$1364), 0)),"")</f>
        <v>EA-Other diag. equip.</v>
      </c>
      <c r="BO89" s="1740" t="s">
        <v>2632</v>
      </c>
      <c r="BV89" s="1689" t="s">
        <v>1053</v>
      </c>
      <c r="BW89" s="1689" t="s">
        <v>1054</v>
      </c>
      <c r="BX89" s="1689" t="s">
        <v>889</v>
      </c>
      <c r="BY89" s="1689" t="s">
        <v>907</v>
      </c>
      <c r="BZ89" s="1689" t="s">
        <v>1070</v>
      </c>
      <c r="CA89" s="1689" t="s">
        <v>1071</v>
      </c>
      <c r="CB89" s="1689"/>
      <c r="CC89" s="1689"/>
      <c r="CD89" s="1689" t="s">
        <v>990</v>
      </c>
      <c r="CE89" s="1689">
        <v>9.4039000000000001</v>
      </c>
      <c r="CF89" s="1689"/>
      <c r="CG89" s="1740">
        <f t="shared" si="17"/>
        <v>9.4039000000000001</v>
      </c>
      <c r="CH89" s="1740" t="str">
        <f t="shared" si="24"/>
        <v/>
      </c>
    </row>
    <row r="90" spans="2:86" ht="15.65" customHeight="1">
      <c r="B90" s="149"/>
      <c r="C90" s="1837"/>
      <c r="D90" s="1841"/>
      <c r="E90" s="1840"/>
      <c r="F90" s="1838"/>
      <c r="G90" s="1698"/>
      <c r="S90" s="1698"/>
      <c r="T90" s="1846" t="str">
        <f t="shared" si="18"/>
        <v/>
      </c>
      <c r="U90" s="1847" t="str">
        <f t="shared" si="19"/>
        <v/>
      </c>
      <c r="V90" s="1848"/>
      <c r="W90" s="1849" t="str">
        <f t="shared" si="20"/>
        <v/>
      </c>
      <c r="X90" s="1698"/>
      <c r="AY90" s="1746" t="s">
        <v>2593</v>
      </c>
      <c r="AZ90" s="1746">
        <v>2008</v>
      </c>
      <c r="BA90" s="1746" t="s">
        <v>2781</v>
      </c>
      <c r="BB90" s="1747" t="s">
        <v>2782</v>
      </c>
      <c r="BC90" s="1750">
        <v>1000</v>
      </c>
      <c r="BD90" s="1746" t="s">
        <v>2601</v>
      </c>
      <c r="BE90" s="1746"/>
      <c r="BF90" s="1746">
        <v>1.91E-3</v>
      </c>
      <c r="BG90" s="1746" t="s">
        <v>2597</v>
      </c>
      <c r="BH90" s="1744">
        <f t="shared" si="25"/>
        <v>1.91E-3</v>
      </c>
      <c r="BI90" s="1745">
        <f t="shared" si="21"/>
        <v>1.9099999999999999E-6</v>
      </c>
      <c r="BJ90" s="1740" t="str">
        <f t="shared" si="22"/>
        <v>tablets</v>
      </c>
      <c r="BK90" s="1740" t="str">
        <f t="shared" si="23"/>
        <v>Bottle of Tablets</v>
      </c>
      <c r="BN90" s="1740" t="str">
        <f t="array" ref="BN90">IFERROR(INDEX($BJ$19:$BJ$1364, MATCH(0,COUNTIF($BN$16:BN89, $BJ$19:$BJ$1364), 0)),"")</f>
        <v>sachets</v>
      </c>
      <c r="BO90" s="1740" t="s">
        <v>2640</v>
      </c>
      <c r="BV90" s="1689" t="s">
        <v>1053</v>
      </c>
      <c r="BW90" s="1689" t="s">
        <v>1054</v>
      </c>
      <c r="BX90" s="1689" t="s">
        <v>1063</v>
      </c>
      <c r="BY90" s="1689" t="s">
        <v>907</v>
      </c>
      <c r="BZ90" s="1689" t="s">
        <v>1074</v>
      </c>
      <c r="CA90" s="1689" t="s">
        <v>1075</v>
      </c>
      <c r="CB90" s="1689" t="s">
        <v>1076</v>
      </c>
      <c r="CC90" s="1689"/>
      <c r="CD90" s="1689">
        <v>10</v>
      </c>
      <c r="CE90" s="1689">
        <v>5.6997200000000001</v>
      </c>
      <c r="CF90" s="1689"/>
      <c r="CG90" s="1740">
        <f t="shared" si="17"/>
        <v>5.6997200000000001</v>
      </c>
      <c r="CH90" s="1740">
        <f t="shared" si="24"/>
        <v>56.997199999999999</v>
      </c>
    </row>
    <row r="91" spans="2:86" ht="15.65" customHeight="1">
      <c r="B91" s="149"/>
      <c r="C91" s="1837"/>
      <c r="D91" s="1841"/>
      <c r="E91" s="1840"/>
      <c r="F91" s="1838"/>
      <c r="G91" s="1698"/>
      <c r="S91" s="1698"/>
      <c r="T91" s="1846" t="str">
        <f t="shared" si="18"/>
        <v/>
      </c>
      <c r="U91" s="1847" t="str">
        <f t="shared" si="19"/>
        <v/>
      </c>
      <c r="V91" s="1848"/>
      <c r="W91" s="1849" t="str">
        <f t="shared" si="20"/>
        <v/>
      </c>
      <c r="X91" s="1698"/>
      <c r="AY91" s="1746" t="s">
        <v>2593</v>
      </c>
      <c r="AZ91" s="1746">
        <v>2008</v>
      </c>
      <c r="BA91" s="1746" t="s">
        <v>2783</v>
      </c>
      <c r="BB91" s="1747" t="s">
        <v>2782</v>
      </c>
      <c r="BC91" s="1750">
        <v>1000</v>
      </c>
      <c r="BD91" s="1746" t="s">
        <v>2601</v>
      </c>
      <c r="BE91" s="1746"/>
      <c r="BF91" s="1746">
        <v>3.7799999999999999E-3</v>
      </c>
      <c r="BG91" s="1746" t="s">
        <v>2597</v>
      </c>
      <c r="BH91" s="1744">
        <f t="shared" si="25"/>
        <v>3.7799999999999999E-3</v>
      </c>
      <c r="BI91" s="1745">
        <f t="shared" si="21"/>
        <v>3.7799999999999998E-6</v>
      </c>
      <c r="BJ91" s="1740" t="str">
        <f t="shared" si="22"/>
        <v>tablets</v>
      </c>
      <c r="BK91" s="1740" t="str">
        <f t="shared" si="23"/>
        <v>Bottle of Tablets</v>
      </c>
      <c r="BN91" s="1740" t="str">
        <f t="array" ref="BN91">IFERROR(INDEX($BJ$19:$BJ$1364, MATCH(0,COUNTIF($BN$16:BN90, $BJ$19:$BJ$1364), 0)),"")</f>
        <v>sacs</v>
      </c>
      <c r="BO91" s="1740" t="s">
        <v>2640</v>
      </c>
      <c r="BV91" s="1689" t="s">
        <v>1053</v>
      </c>
      <c r="BW91" s="1689" t="s">
        <v>1054</v>
      </c>
      <c r="BX91" s="1689" t="s">
        <v>889</v>
      </c>
      <c r="BY91" s="1689" t="s">
        <v>907</v>
      </c>
      <c r="BZ91" s="1689" t="s">
        <v>1078</v>
      </c>
      <c r="CA91" s="1689" t="s">
        <v>1079</v>
      </c>
      <c r="CB91" s="1689"/>
      <c r="CC91" s="1689"/>
      <c r="CD91" s="1689">
        <v>10</v>
      </c>
      <c r="CE91" s="1689">
        <v>3.3566400000000001</v>
      </c>
      <c r="CF91" s="1689"/>
      <c r="CG91" s="1740">
        <f t="shared" si="17"/>
        <v>3.3566400000000001</v>
      </c>
      <c r="CH91" s="1740">
        <f t="shared" si="24"/>
        <v>33.566400000000002</v>
      </c>
    </row>
    <row r="92" spans="2:86" ht="15.65" customHeight="1">
      <c r="B92" s="149"/>
      <c r="C92" s="1837"/>
      <c r="D92" s="1841"/>
      <c r="E92" s="1840"/>
      <c r="F92" s="1838"/>
      <c r="G92" s="1698"/>
      <c r="S92" s="1698"/>
      <c r="T92" s="1846" t="str">
        <f t="shared" si="18"/>
        <v/>
      </c>
      <c r="U92" s="1847" t="str">
        <f t="shared" si="19"/>
        <v/>
      </c>
      <c r="V92" s="1848"/>
      <c r="W92" s="1849" t="str">
        <f t="shared" si="20"/>
        <v/>
      </c>
      <c r="X92" s="1698"/>
      <c r="AY92" s="1746" t="s">
        <v>2588</v>
      </c>
      <c r="AZ92" s="1746">
        <v>2006</v>
      </c>
      <c r="BA92" s="1746" t="s">
        <v>2784</v>
      </c>
      <c r="BB92" s="1747" t="s">
        <v>2785</v>
      </c>
      <c r="BC92" s="1746">
        <v>1</v>
      </c>
      <c r="BD92" s="1746" t="s">
        <v>2724</v>
      </c>
      <c r="BE92" s="1746"/>
      <c r="BF92" s="1746">
        <v>4184</v>
      </c>
      <c r="BG92" s="1746" t="s">
        <v>2592</v>
      </c>
      <c r="BH92" s="1744">
        <f t="shared" si="25"/>
        <v>4.1840000000000002E-3</v>
      </c>
      <c r="BI92" s="1745">
        <f t="shared" si="21"/>
        <v>4.1840000000000002E-3</v>
      </c>
      <c r="BJ92" s="1740" t="str">
        <f t="shared" si="22"/>
        <v>pce</v>
      </c>
      <c r="BK92" s="1740" t="str">
        <f t="shared" si="23"/>
        <v>Roll of tape/gauze</v>
      </c>
      <c r="BN92" s="1740" t="str">
        <f t="array" ref="BN92">IFERROR(INDEX($BJ$19:$BJ$1364, MATCH(0,COUNTIF($BN$16:BN91, $BJ$19:$BJ$1364), 0)),"")</f>
        <v>BOX-Drgs/obstetr(Oxytoc)</v>
      </c>
      <c r="BO92" s="1740" t="s">
        <v>2582</v>
      </c>
      <c r="BV92" s="1689" t="s">
        <v>1053</v>
      </c>
      <c r="BW92" s="1689" t="s">
        <v>1054</v>
      </c>
      <c r="BX92" s="1689" t="s">
        <v>889</v>
      </c>
      <c r="BY92" s="1689" t="s">
        <v>907</v>
      </c>
      <c r="BZ92" s="1689" t="s">
        <v>1082</v>
      </c>
      <c r="CA92" s="1689" t="s">
        <v>1083</v>
      </c>
      <c r="CB92" s="1689"/>
      <c r="CC92" s="1689"/>
      <c r="CD92" s="1689">
        <v>10</v>
      </c>
      <c r="CE92" s="1689">
        <v>2.46421</v>
      </c>
      <c r="CF92" s="1689"/>
      <c r="CG92" s="1740">
        <f t="shared" si="17"/>
        <v>2.46421</v>
      </c>
      <c r="CH92" s="1740">
        <f t="shared" si="24"/>
        <v>24.642099999999999</v>
      </c>
    </row>
    <row r="93" spans="2:86" ht="15.65" customHeight="1">
      <c r="B93" s="149"/>
      <c r="C93" s="1837"/>
      <c r="D93" s="1841"/>
      <c r="E93" s="1840"/>
      <c r="F93" s="1838"/>
      <c r="G93" s="1698"/>
      <c r="S93" s="1698"/>
      <c r="T93" s="1846" t="str">
        <f t="shared" si="18"/>
        <v/>
      </c>
      <c r="U93" s="1847" t="str">
        <f t="shared" si="19"/>
        <v/>
      </c>
      <c r="V93" s="1848"/>
      <c r="W93" s="1849" t="str">
        <f t="shared" si="20"/>
        <v/>
      </c>
      <c r="X93" s="1698"/>
      <c r="AY93" s="1746" t="s">
        <v>2588</v>
      </c>
      <c r="AZ93" s="1746">
        <v>2006</v>
      </c>
      <c r="BA93" s="1746" t="s">
        <v>2786</v>
      </c>
      <c r="BB93" s="1747" t="s">
        <v>2787</v>
      </c>
      <c r="BC93" s="1746">
        <v>1</v>
      </c>
      <c r="BD93" s="1746" t="s">
        <v>2724</v>
      </c>
      <c r="BE93" s="1746"/>
      <c r="BF93" s="1746">
        <v>10085</v>
      </c>
      <c r="BG93" s="1746" t="s">
        <v>2592</v>
      </c>
      <c r="BH93" s="1744">
        <f t="shared" si="25"/>
        <v>1.0085E-2</v>
      </c>
      <c r="BI93" s="1745">
        <f t="shared" si="21"/>
        <v>1.0085E-2</v>
      </c>
      <c r="BJ93" s="1740" t="str">
        <f t="shared" si="22"/>
        <v>pce</v>
      </c>
      <c r="BK93" s="1740" t="str">
        <f t="shared" si="23"/>
        <v>Roll of tape/gauze</v>
      </c>
      <c r="BN93" s="1740" t="str">
        <f t="array" ref="BN93">IFERROR(INDEX($BJ$19:$BJ$1364, MATCH(0,COUNTIF($BN$16:BN92, $BJ$19:$BJ$1364), 0)),"")</f>
        <v>BOT-Analg., non opioids</v>
      </c>
      <c r="BO93" s="1740" t="s">
        <v>2586</v>
      </c>
      <c r="BV93" s="1689" t="s">
        <v>1053</v>
      </c>
      <c r="BW93" s="1689" t="s">
        <v>1054</v>
      </c>
      <c r="BX93" s="1689" t="s">
        <v>889</v>
      </c>
      <c r="BY93" s="1689" t="s">
        <v>907</v>
      </c>
      <c r="BZ93" s="1689" t="s">
        <v>1085</v>
      </c>
      <c r="CA93" s="1689" t="s">
        <v>1086</v>
      </c>
      <c r="CB93" s="1689"/>
      <c r="CC93" s="1689"/>
      <c r="CD93" s="1689">
        <v>10</v>
      </c>
      <c r="CE93" s="1689">
        <v>5.9888888888888889</v>
      </c>
      <c r="CF93" s="1689"/>
      <c r="CG93" s="1740">
        <f t="shared" si="17"/>
        <v>5.9888888888888889</v>
      </c>
      <c r="CH93" s="1740">
        <f t="shared" si="24"/>
        <v>59.888888888888886</v>
      </c>
    </row>
    <row r="94" spans="2:86" ht="15.65" customHeight="1">
      <c r="B94" s="149"/>
      <c r="C94" s="1837"/>
      <c r="D94" s="1841"/>
      <c r="E94" s="1840"/>
      <c r="F94" s="1838"/>
      <c r="G94" s="1698"/>
      <c r="S94" s="1698"/>
      <c r="T94" s="1846" t="str">
        <f t="shared" si="18"/>
        <v/>
      </c>
      <c r="U94" s="1847" t="str">
        <f t="shared" si="19"/>
        <v/>
      </c>
      <c r="V94" s="1848"/>
      <c r="W94" s="1849" t="str">
        <f t="shared" si="20"/>
        <v/>
      </c>
      <c r="X94" s="1698"/>
      <c r="AY94" s="1746" t="s">
        <v>2588</v>
      </c>
      <c r="AZ94" s="1746">
        <v>2006</v>
      </c>
      <c r="BA94" s="1746" t="s">
        <v>2788</v>
      </c>
      <c r="BB94" s="1747" t="s">
        <v>2789</v>
      </c>
      <c r="BC94" s="1746">
        <v>10</v>
      </c>
      <c r="BD94" s="1746" t="s">
        <v>2790</v>
      </c>
      <c r="BE94" s="1746"/>
      <c r="BF94" s="1746">
        <v>966</v>
      </c>
      <c r="BG94" s="1746" t="s">
        <v>2592</v>
      </c>
      <c r="BH94" s="1744">
        <f t="shared" si="25"/>
        <v>9.6599999999999995E-4</v>
      </c>
      <c r="BI94" s="1745">
        <f t="shared" si="21"/>
        <v>9.659999999999999E-5</v>
      </c>
      <c r="BJ94" s="1740" t="str">
        <f t="shared" si="22"/>
        <v>amps</v>
      </c>
      <c r="BK94" s="1740" t="str">
        <f t="shared" si="23"/>
        <v>Injection Vial</v>
      </c>
      <c r="BN94" s="1740" t="str">
        <f t="array" ref="BN94">IFERROR(INDEX($BJ$19:$BJ$1364, MATCH(0,COUNTIF($BN$16:BN93, $BJ$19:$BJ$1364), 0)),"")</f>
        <v>EA-Anti-infective drugs</v>
      </c>
      <c r="BO94" s="1740" t="s">
        <v>2647</v>
      </c>
      <c r="BV94" s="1689" t="s">
        <v>1053</v>
      </c>
      <c r="BW94" s="1689" t="s">
        <v>1054</v>
      </c>
      <c r="BX94" s="1689" t="s">
        <v>889</v>
      </c>
      <c r="BY94" s="1689" t="s">
        <v>907</v>
      </c>
      <c r="BZ94" s="1689" t="s">
        <v>1088</v>
      </c>
      <c r="CA94" s="1689" t="s">
        <v>1089</v>
      </c>
      <c r="CB94" s="1689"/>
      <c r="CC94" s="1689"/>
      <c r="CD94" s="1689">
        <v>17</v>
      </c>
      <c r="CE94" s="1689">
        <v>1.7238420588235293</v>
      </c>
      <c r="CF94" s="1689"/>
      <c r="CG94" s="1740">
        <f t="shared" si="17"/>
        <v>1.7238420588235293</v>
      </c>
      <c r="CH94" s="1740">
        <f t="shared" si="24"/>
        <v>29.305314999999997</v>
      </c>
    </row>
    <row r="95" spans="2:86" ht="15.65" customHeight="1">
      <c r="B95" s="149"/>
      <c r="C95" s="1837"/>
      <c r="D95" s="1841"/>
      <c r="E95" s="1840"/>
      <c r="F95" s="1838"/>
      <c r="G95" s="1698"/>
      <c r="S95" s="1698"/>
      <c r="T95" s="1846" t="str">
        <f t="shared" si="18"/>
        <v/>
      </c>
      <c r="U95" s="1847" t="str">
        <f t="shared" si="19"/>
        <v/>
      </c>
      <c r="V95" s="1848"/>
      <c r="W95" s="1849" t="str">
        <f t="shared" si="20"/>
        <v/>
      </c>
      <c r="X95" s="1698"/>
      <c r="AY95" s="1746" t="s">
        <v>2593</v>
      </c>
      <c r="AZ95" s="1746">
        <v>2008</v>
      </c>
      <c r="BA95" s="1746" t="s">
        <v>2791</v>
      </c>
      <c r="BB95" s="1747" t="s">
        <v>2792</v>
      </c>
      <c r="BC95" s="1746">
        <v>10</v>
      </c>
      <c r="BD95" s="1746" t="s">
        <v>2727</v>
      </c>
      <c r="BE95" s="1746"/>
      <c r="BF95" s="1746">
        <v>9.2000000000000003E-4</v>
      </c>
      <c r="BG95" s="1746" t="s">
        <v>2597</v>
      </c>
      <c r="BH95" s="1744">
        <f t="shared" si="25"/>
        <v>9.2000000000000003E-4</v>
      </c>
      <c r="BI95" s="1745">
        <f t="shared" si="21"/>
        <v>9.2E-5</v>
      </c>
      <c r="BJ95" s="1740" t="str">
        <f t="shared" si="22"/>
        <v>ampoules</v>
      </c>
      <c r="BK95" s="1740" t="str">
        <f t="shared" si="23"/>
        <v>Injection Vial</v>
      </c>
      <c r="BN95" s="1740" t="str">
        <f t="array" ref="BN95">IFERROR(INDEX($BJ$19:$BJ$1364, MATCH(0,COUNTIF($BN$16:BN94, $BJ$19:$BJ$1364), 0)),"")</f>
        <v>EA-Cutting/shearing</v>
      </c>
      <c r="BO95" s="1740" t="s">
        <v>2632</v>
      </c>
      <c r="BV95" s="1689" t="s">
        <v>1053</v>
      </c>
      <c r="BW95" s="1689" t="s">
        <v>1054</v>
      </c>
      <c r="BX95" s="1689" t="s">
        <v>889</v>
      </c>
      <c r="BY95" s="1689" t="s">
        <v>1091</v>
      </c>
      <c r="BZ95" s="1689" t="s">
        <v>1092</v>
      </c>
      <c r="CA95" s="1689" t="s">
        <v>1093</v>
      </c>
      <c r="CB95" s="1689"/>
      <c r="CC95" s="1689" t="s">
        <v>1094</v>
      </c>
      <c r="CD95" s="1689" t="s">
        <v>946</v>
      </c>
      <c r="CE95" s="1689">
        <v>79.579679550000009</v>
      </c>
      <c r="CF95" s="1689"/>
      <c r="CG95" s="1740">
        <f t="shared" si="17"/>
        <v>79.579679550000009</v>
      </c>
      <c r="CH95" s="1740" t="str">
        <f t="shared" si="24"/>
        <v/>
      </c>
    </row>
    <row r="96" spans="2:86" ht="15.65" customHeight="1">
      <c r="B96" s="149"/>
      <c r="C96" s="1837"/>
      <c r="D96" s="1841"/>
      <c r="E96" s="1840"/>
      <c r="F96" s="1838"/>
      <c r="G96" s="1698"/>
      <c r="S96" s="1698"/>
      <c r="T96" s="1846" t="str">
        <f t="shared" si="18"/>
        <v/>
      </c>
      <c r="U96" s="1847" t="str">
        <f t="shared" si="19"/>
        <v/>
      </c>
      <c r="V96" s="1848"/>
      <c r="W96" s="1849" t="str">
        <f t="shared" si="20"/>
        <v/>
      </c>
      <c r="X96" s="1698"/>
      <c r="AY96" s="1746" t="s">
        <v>2593</v>
      </c>
      <c r="AZ96" s="1746">
        <v>2008</v>
      </c>
      <c r="BA96" s="1746" t="s">
        <v>2793</v>
      </c>
      <c r="BB96" s="1747" t="s">
        <v>2794</v>
      </c>
      <c r="BC96" s="1746">
        <v>50</v>
      </c>
      <c r="BD96" s="1746" t="s">
        <v>2795</v>
      </c>
      <c r="BE96" s="1746"/>
      <c r="BF96" s="1746">
        <v>2.7399999999999998E-3</v>
      </c>
      <c r="BG96" s="1746" t="s">
        <v>2597</v>
      </c>
      <c r="BH96" s="1744">
        <f t="shared" si="25"/>
        <v>2.7399999999999998E-3</v>
      </c>
      <c r="BI96" s="1745">
        <f t="shared" si="21"/>
        <v>5.4799999999999997E-5</v>
      </c>
      <c r="BJ96" s="1740" t="str">
        <f t="shared" si="22"/>
        <v>vials</v>
      </c>
      <c r="BK96" s="1740" t="str">
        <f t="shared" si="23"/>
        <v>Injection Vial</v>
      </c>
      <c r="BN96" s="1740" t="str">
        <f t="array" ref="BN96">IFERROR(INDEX($BJ$19:$BJ$1364, MATCH(0,COUNTIF($BN$16:BN95, $BJ$19:$BJ$1364), 0)),"")</f>
        <v>PAC-Anticonvulsants</v>
      </c>
      <c r="BO96" s="1740" t="s">
        <v>2573</v>
      </c>
      <c r="BV96" s="1689" t="s">
        <v>1097</v>
      </c>
      <c r="BW96" s="1689" t="s">
        <v>1098</v>
      </c>
      <c r="BX96" s="1689" t="s">
        <v>889</v>
      </c>
      <c r="BY96" s="1689" t="s">
        <v>907</v>
      </c>
      <c r="BZ96" s="1689" t="s">
        <v>1099</v>
      </c>
      <c r="CA96" s="1689" t="s">
        <v>1051</v>
      </c>
      <c r="CB96" s="1689"/>
      <c r="CC96" s="1689" t="s">
        <v>945</v>
      </c>
      <c r="CD96" s="1689" t="s">
        <v>946</v>
      </c>
      <c r="CE96" s="1689">
        <v>138.096</v>
      </c>
      <c r="CF96" s="1689"/>
      <c r="CG96" s="1740">
        <f t="shared" si="17"/>
        <v>138.096</v>
      </c>
      <c r="CH96" s="1740" t="str">
        <f t="shared" si="24"/>
        <v/>
      </c>
    </row>
    <row r="97" spans="2:86" ht="15.65" customHeight="1">
      <c r="B97" s="149"/>
      <c r="C97" s="1837"/>
      <c r="D97" s="1841"/>
      <c r="E97" s="1840"/>
      <c r="F97" s="1838"/>
      <c r="G97" s="1698"/>
      <c r="S97" s="1698"/>
      <c r="T97" s="1846" t="str">
        <f t="shared" si="18"/>
        <v/>
      </c>
      <c r="U97" s="1847" t="str">
        <f t="shared" si="19"/>
        <v/>
      </c>
      <c r="V97" s="1848"/>
      <c r="W97" s="1849" t="str">
        <f t="shared" si="20"/>
        <v/>
      </c>
      <c r="X97" s="1698"/>
      <c r="AY97" s="1746" t="s">
        <v>2588</v>
      </c>
      <c r="AZ97" s="1746">
        <v>2006</v>
      </c>
      <c r="BA97" s="1746" t="s">
        <v>2796</v>
      </c>
      <c r="BB97" s="1747" t="s">
        <v>2797</v>
      </c>
      <c r="BC97" s="1746">
        <v>1000</v>
      </c>
      <c r="BD97" s="1746" t="s">
        <v>2615</v>
      </c>
      <c r="BE97" s="1746"/>
      <c r="BF97" s="1746">
        <v>850.5</v>
      </c>
      <c r="BG97" s="1746" t="s">
        <v>2592</v>
      </c>
      <c r="BH97" s="1744">
        <f t="shared" si="25"/>
        <v>8.5050000000000002E-4</v>
      </c>
      <c r="BI97" s="1745">
        <f t="shared" si="21"/>
        <v>8.5050000000000005E-7</v>
      </c>
      <c r="BJ97" s="1740" t="str">
        <f t="shared" si="22"/>
        <v>tabs</v>
      </c>
      <c r="BK97" s="1740" t="str">
        <f t="shared" si="23"/>
        <v>Bottle of Tablets</v>
      </c>
      <c r="BN97" s="1740" t="str">
        <f t="array" ref="BN97">IFERROR(INDEX($BJ$19:$BJ$1364, MATCH(0,COUNTIF($BN$16:BN96, $BJ$19:$BJ$1364), 0)),"")</f>
        <v>KG-Pharma raw materials</v>
      </c>
      <c r="BO97" s="1740" t="s">
        <v>2632</v>
      </c>
      <c r="BV97" s="1689" t="s">
        <v>1097</v>
      </c>
      <c r="BW97" s="1689" t="s">
        <v>1098</v>
      </c>
      <c r="BX97" s="1689" t="s">
        <v>889</v>
      </c>
      <c r="BY97" s="1689" t="s">
        <v>907</v>
      </c>
      <c r="BZ97" s="1689" t="s">
        <v>1101</v>
      </c>
      <c r="CA97" s="1689" t="s">
        <v>938</v>
      </c>
      <c r="CB97" s="1689"/>
      <c r="CC97" s="1689"/>
      <c r="CD97" s="1689">
        <v>1</v>
      </c>
      <c r="CE97" s="1689">
        <v>9.6</v>
      </c>
      <c r="CF97" s="1689"/>
      <c r="CG97" s="1740">
        <f t="shared" si="17"/>
        <v>9.6</v>
      </c>
      <c r="CH97" s="1740">
        <f t="shared" si="24"/>
        <v>9.6</v>
      </c>
    </row>
    <row r="98" spans="2:86" ht="15.65" customHeight="1">
      <c r="B98" s="149"/>
      <c r="C98" s="1837"/>
      <c r="D98" s="1841"/>
      <c r="E98" s="1840"/>
      <c r="F98" s="1838"/>
      <c r="G98" s="1698"/>
      <c r="S98" s="1698"/>
      <c r="T98" s="1846" t="str">
        <f t="shared" si="18"/>
        <v/>
      </c>
      <c r="U98" s="1847" t="str">
        <f t="shared" si="19"/>
        <v/>
      </c>
      <c r="V98" s="1848"/>
      <c r="W98" s="1849" t="str">
        <f t="shared" si="20"/>
        <v/>
      </c>
      <c r="X98" s="1698"/>
      <c r="AY98" s="1746" t="s">
        <v>2593</v>
      </c>
      <c r="AZ98" s="1746">
        <v>2008</v>
      </c>
      <c r="BA98" s="1746" t="s">
        <v>2798</v>
      </c>
      <c r="BB98" s="1747" t="s">
        <v>2799</v>
      </c>
      <c r="BC98" s="1750">
        <v>1000</v>
      </c>
      <c r="BD98" s="1746" t="s">
        <v>2601</v>
      </c>
      <c r="BE98" s="1746"/>
      <c r="BF98" s="1746">
        <v>5.9999999999999995E-4</v>
      </c>
      <c r="BG98" s="1746" t="s">
        <v>2597</v>
      </c>
      <c r="BH98" s="1744">
        <f t="shared" si="25"/>
        <v>5.9999999999999995E-4</v>
      </c>
      <c r="BI98" s="1745">
        <f t="shared" si="21"/>
        <v>5.9999999999999997E-7</v>
      </c>
      <c r="BJ98" s="1740" t="str">
        <f t="shared" si="22"/>
        <v>tablets</v>
      </c>
      <c r="BK98" s="1740" t="str">
        <f t="shared" si="23"/>
        <v>Bottle of Tablets</v>
      </c>
      <c r="BN98" s="1740" t="str">
        <f t="array" ref="BN98">IFERROR(INDEX($BJ$19:$BJ$1364, MATCH(0,COUNTIF($BN$16:BN97, $BJ$19:$BJ$1364), 0)),"")</f>
        <v>BOT-Disinf./antiseptics</v>
      </c>
      <c r="BO98" s="1740" t="s">
        <v>2586</v>
      </c>
      <c r="BV98" s="1689" t="s">
        <v>1097</v>
      </c>
      <c r="BW98" s="1689" t="s">
        <v>1098</v>
      </c>
      <c r="BX98" s="1689" t="s">
        <v>889</v>
      </c>
      <c r="BY98" s="1689" t="s">
        <v>907</v>
      </c>
      <c r="BZ98" s="1689" t="s">
        <v>1101</v>
      </c>
      <c r="CA98" s="1689" t="s">
        <v>908</v>
      </c>
      <c r="CB98" s="1689"/>
      <c r="CC98" s="1689"/>
      <c r="CD98" s="1689">
        <v>1</v>
      </c>
      <c r="CE98" s="1689">
        <v>11.3</v>
      </c>
      <c r="CF98" s="1689"/>
      <c r="CG98" s="1740">
        <f t="shared" si="17"/>
        <v>11.3</v>
      </c>
      <c r="CH98" s="1740">
        <f t="shared" si="24"/>
        <v>11.3</v>
      </c>
    </row>
    <row r="99" spans="2:86" ht="15.65" customHeight="1">
      <c r="B99" s="149"/>
      <c r="C99" s="1837"/>
      <c r="D99" s="1841"/>
      <c r="E99" s="1840"/>
      <c r="F99" s="1838"/>
      <c r="G99" s="1698"/>
      <c r="S99" s="1698"/>
      <c r="T99" s="1846" t="str">
        <f t="shared" si="18"/>
        <v/>
      </c>
      <c r="U99" s="1847" t="str">
        <f t="shared" si="19"/>
        <v/>
      </c>
      <c r="V99" s="1848"/>
      <c r="W99" s="1849" t="str">
        <f t="shared" si="20"/>
        <v/>
      </c>
      <c r="X99" s="1698"/>
      <c r="AY99" s="1746" t="s">
        <v>2588</v>
      </c>
      <c r="AZ99" s="1746">
        <v>2006</v>
      </c>
      <c r="BA99" s="1746" t="s">
        <v>2800</v>
      </c>
      <c r="BB99" s="1747" t="s">
        <v>2801</v>
      </c>
      <c r="BC99" s="1746">
        <v>100</v>
      </c>
      <c r="BD99" s="1746" t="s">
        <v>2790</v>
      </c>
      <c r="BE99" s="1746"/>
      <c r="BF99" s="1746">
        <v>5618</v>
      </c>
      <c r="BG99" s="1746" t="s">
        <v>2592</v>
      </c>
      <c r="BH99" s="1744">
        <f t="shared" si="25"/>
        <v>5.6179999999999997E-3</v>
      </c>
      <c r="BI99" s="1745">
        <f t="shared" si="21"/>
        <v>5.6179999999999994E-5</v>
      </c>
      <c r="BJ99" s="1740" t="str">
        <f t="shared" si="22"/>
        <v>amps</v>
      </c>
      <c r="BK99" s="1740" t="str">
        <f t="shared" si="23"/>
        <v>Injection Vial</v>
      </c>
      <c r="BN99" s="1740" t="str">
        <f t="array" ref="BN99">IFERROR(INDEX($BJ$19:$BJ$1364, MATCH(0,COUNTIF($BN$16:BN98, $BJ$19:$BJ$1364), 0)),"")</f>
        <v>PAC-Hormones/endocrine</v>
      </c>
      <c r="BO99" s="1740" t="s">
        <v>2573</v>
      </c>
      <c r="BV99" s="1689" t="s">
        <v>1097</v>
      </c>
      <c r="BW99" s="1689" t="s">
        <v>1098</v>
      </c>
      <c r="BX99" s="1689" t="s">
        <v>889</v>
      </c>
      <c r="BY99" s="1689" t="s">
        <v>907</v>
      </c>
      <c r="BZ99" s="1689" t="s">
        <v>1101</v>
      </c>
      <c r="CA99" s="1689" t="s">
        <v>916</v>
      </c>
      <c r="CB99" s="1689"/>
      <c r="CC99" s="1689"/>
      <c r="CD99" s="1689">
        <v>1</v>
      </c>
      <c r="CE99" s="1689">
        <v>11.5</v>
      </c>
      <c r="CF99" s="1689"/>
      <c r="CG99" s="1740">
        <f t="shared" si="17"/>
        <v>11.5</v>
      </c>
      <c r="CH99" s="1740">
        <f t="shared" si="24"/>
        <v>11.5</v>
      </c>
    </row>
    <row r="100" spans="2:86" ht="15.65" customHeight="1">
      <c r="B100" s="149"/>
      <c r="C100" s="1837"/>
      <c r="D100" s="1841"/>
      <c r="E100" s="1840"/>
      <c r="F100" s="1838"/>
      <c r="G100" s="1698"/>
      <c r="S100" s="1698"/>
      <c r="T100" s="1846" t="str">
        <f t="shared" si="18"/>
        <v/>
      </c>
      <c r="U100" s="1847" t="str">
        <f t="shared" si="19"/>
        <v/>
      </c>
      <c r="V100" s="1848"/>
      <c r="W100" s="1849" t="str">
        <f t="shared" si="20"/>
        <v/>
      </c>
      <c r="X100" s="1698"/>
      <c r="AY100" s="1746" t="s">
        <v>2593</v>
      </c>
      <c r="AZ100" s="1746">
        <v>2008</v>
      </c>
      <c r="BA100" s="1746" t="s">
        <v>2802</v>
      </c>
      <c r="BB100" s="1747" t="s">
        <v>2803</v>
      </c>
      <c r="BC100" s="1746">
        <v>100</v>
      </c>
      <c r="BD100" s="1746" t="s">
        <v>2727</v>
      </c>
      <c r="BE100" s="1746"/>
      <c r="BF100" s="1746">
        <v>6.6E-3</v>
      </c>
      <c r="BG100" s="1746" t="s">
        <v>2597</v>
      </c>
      <c r="BH100" s="1744">
        <f t="shared" si="25"/>
        <v>6.6E-3</v>
      </c>
      <c r="BI100" s="1745">
        <f t="shared" si="21"/>
        <v>6.6000000000000005E-5</v>
      </c>
      <c r="BJ100" s="1740" t="str">
        <f t="shared" si="22"/>
        <v>ampoules</v>
      </c>
      <c r="BK100" s="1740" t="str">
        <f t="shared" si="23"/>
        <v>Injection Vial</v>
      </c>
      <c r="BN100" s="1740" t="str">
        <f t="array" ref="BN100">IFERROR(INDEX($BJ$19:$BJ$1364, MATCH(0,COUNTIF($BN$16:BN99, $BJ$19:$BJ$1364), 0)),"")</f>
        <v>tests</v>
      </c>
      <c r="BO100" s="1740" t="s">
        <v>2804</v>
      </c>
      <c r="BV100" s="1689" t="s">
        <v>1097</v>
      </c>
      <c r="BW100" s="1689" t="s">
        <v>1098</v>
      </c>
      <c r="BX100" s="1689" t="s">
        <v>889</v>
      </c>
      <c r="BY100" s="1689" t="s">
        <v>907</v>
      </c>
      <c r="BZ100" s="1689" t="s">
        <v>1103</v>
      </c>
      <c r="CA100" s="1689" t="s">
        <v>938</v>
      </c>
      <c r="CB100" s="1689"/>
      <c r="CC100" s="1689"/>
      <c r="CD100" s="1689">
        <v>1</v>
      </c>
      <c r="CE100" s="1689">
        <v>9.6</v>
      </c>
      <c r="CF100" s="1689"/>
      <c r="CG100" s="1740">
        <f t="shared" si="17"/>
        <v>9.6</v>
      </c>
      <c r="CH100" s="1740">
        <f t="shared" si="24"/>
        <v>9.6</v>
      </c>
    </row>
    <row r="101" spans="2:86" ht="15.65" customHeight="1">
      <c r="B101" s="149"/>
      <c r="C101" s="1837"/>
      <c r="D101" s="1841"/>
      <c r="E101" s="1840"/>
      <c r="F101" s="1838"/>
      <c r="G101" s="1698"/>
      <c r="S101" s="1698"/>
      <c r="T101" s="1846" t="str">
        <f t="shared" si="18"/>
        <v/>
      </c>
      <c r="U101" s="1847" t="str">
        <f t="shared" si="19"/>
        <v/>
      </c>
      <c r="V101" s="1848"/>
      <c r="W101" s="1849" t="str">
        <f t="shared" si="20"/>
        <v/>
      </c>
      <c r="X101" s="1698"/>
      <c r="AY101" s="1746" t="s">
        <v>2588</v>
      </c>
      <c r="AZ101" s="1746">
        <v>2006</v>
      </c>
      <c r="BA101" s="1746" t="s">
        <v>2805</v>
      </c>
      <c r="BB101" s="1747" t="s">
        <v>2806</v>
      </c>
      <c r="BC101" s="1746">
        <v>1000</v>
      </c>
      <c r="BD101" s="1746" t="s">
        <v>2615</v>
      </c>
      <c r="BE101" s="1746"/>
      <c r="BF101" s="1746">
        <v>635.4</v>
      </c>
      <c r="BG101" s="1746" t="s">
        <v>2592</v>
      </c>
      <c r="BH101" s="1744">
        <f t="shared" si="25"/>
        <v>6.3539999999999994E-4</v>
      </c>
      <c r="BI101" s="1745">
        <f t="shared" si="21"/>
        <v>6.3539999999999999E-7</v>
      </c>
      <c r="BJ101" s="1740" t="str">
        <f t="shared" si="22"/>
        <v>tabs</v>
      </c>
      <c r="BK101" s="1740" t="str">
        <f t="shared" si="23"/>
        <v>Bottle of Tablets</v>
      </c>
      <c r="BN101" s="1740" t="str">
        <f t="array" ref="BN101">IFERROR(INDEX($BJ$19:$BJ$1364, MATCH(0,COUNTIF($BN$16:BN100, $BJ$19:$BJ$1364), 0)),"")</f>
        <v>EA-Static function</v>
      </c>
      <c r="BO101" s="1740" t="s">
        <v>2632</v>
      </c>
      <c r="BV101" s="1689" t="s">
        <v>1097</v>
      </c>
      <c r="BW101" s="1689" t="s">
        <v>1098</v>
      </c>
      <c r="BX101" s="1689" t="s">
        <v>889</v>
      </c>
      <c r="BY101" s="1689" t="s">
        <v>907</v>
      </c>
      <c r="BZ101" s="1689" t="s">
        <v>1103</v>
      </c>
      <c r="CA101" s="1689" t="s">
        <v>908</v>
      </c>
      <c r="CB101" s="1689"/>
      <c r="CC101" s="1689"/>
      <c r="CD101" s="1689">
        <v>1</v>
      </c>
      <c r="CE101" s="1689">
        <v>11.3</v>
      </c>
      <c r="CF101" s="1689"/>
      <c r="CG101" s="1740">
        <f t="shared" si="17"/>
        <v>11.3</v>
      </c>
      <c r="CH101" s="1740">
        <f t="shared" si="24"/>
        <v>11.3</v>
      </c>
    </row>
    <row r="102" spans="2:86" ht="15.65" customHeight="1">
      <c r="B102" s="149"/>
      <c r="C102" s="1837"/>
      <c r="D102" s="1841"/>
      <c r="E102" s="1840"/>
      <c r="F102" s="1838"/>
      <c r="G102" s="1698"/>
      <c r="S102" s="1698"/>
      <c r="T102" s="1846" t="str">
        <f t="shared" si="18"/>
        <v/>
      </c>
      <c r="U102" s="1847" t="str">
        <f t="shared" si="19"/>
        <v/>
      </c>
      <c r="V102" s="1848"/>
      <c r="W102" s="1849" t="str">
        <f t="shared" si="20"/>
        <v/>
      </c>
      <c r="X102" s="1698"/>
      <c r="AY102" s="1746" t="s">
        <v>2593</v>
      </c>
      <c r="AZ102" s="1746">
        <v>2008</v>
      </c>
      <c r="BA102" s="1746" t="s">
        <v>2807</v>
      </c>
      <c r="BB102" s="1747" t="s">
        <v>2808</v>
      </c>
      <c r="BC102" s="1750">
        <v>1000</v>
      </c>
      <c r="BD102" s="1746" t="s">
        <v>2601</v>
      </c>
      <c r="BE102" s="1746"/>
      <c r="BF102" s="1746">
        <v>5.6999999999999998E-4</v>
      </c>
      <c r="BG102" s="1746" t="s">
        <v>2597</v>
      </c>
      <c r="BH102" s="1744">
        <f t="shared" si="25"/>
        <v>5.6999999999999998E-4</v>
      </c>
      <c r="BI102" s="1745">
        <f t="shared" si="21"/>
        <v>5.6999999999999994E-7</v>
      </c>
      <c r="BJ102" s="1740" t="str">
        <f t="shared" si="22"/>
        <v>tablets</v>
      </c>
      <c r="BK102" s="1740" t="str">
        <f t="shared" si="23"/>
        <v>Bottle of Tablets</v>
      </c>
      <c r="BN102" s="1740" t="str">
        <f t="array" ref="BN102">IFERROR(INDEX($BJ$19:$BJ$1364, MATCH(0,COUNTIF($BN$16:BN101, $BJ$19:$BJ$1364), 0)),"")</f>
        <v>tablet</v>
      </c>
      <c r="BO102" s="1740" t="s">
        <v>2573</v>
      </c>
      <c r="BV102" s="1689" t="s">
        <v>1097</v>
      </c>
      <c r="BW102" s="1689" t="s">
        <v>1098</v>
      </c>
      <c r="BX102" s="1689" t="s">
        <v>889</v>
      </c>
      <c r="BY102" s="1689" t="s">
        <v>907</v>
      </c>
      <c r="BZ102" s="1689" t="s">
        <v>1103</v>
      </c>
      <c r="CA102" s="1689" t="s">
        <v>916</v>
      </c>
      <c r="CB102" s="1689"/>
      <c r="CC102" s="1689"/>
      <c r="CD102" s="1689">
        <v>1</v>
      </c>
      <c r="CE102" s="1689">
        <v>11.5</v>
      </c>
      <c r="CF102" s="1689"/>
      <c r="CG102" s="1740">
        <f t="shared" si="17"/>
        <v>11.5</v>
      </c>
      <c r="CH102" s="1740">
        <f t="shared" si="24"/>
        <v>11.5</v>
      </c>
    </row>
    <row r="103" spans="2:86" ht="15.65" customHeight="1">
      <c r="B103" s="149"/>
      <c r="C103" s="1837"/>
      <c r="D103" s="1841"/>
      <c r="E103" s="1840"/>
      <c r="F103" s="1838"/>
      <c r="G103" s="1698"/>
      <c r="S103" s="1698"/>
      <c r="T103" s="1846" t="str">
        <f t="shared" si="18"/>
        <v/>
      </c>
      <c r="U103" s="1847" t="str">
        <f t="shared" si="19"/>
        <v/>
      </c>
      <c r="V103" s="1848"/>
      <c r="W103" s="1849" t="str">
        <f t="shared" si="20"/>
        <v/>
      </c>
      <c r="X103" s="1698"/>
      <c r="AY103" s="1746" t="s">
        <v>2593</v>
      </c>
      <c r="AZ103" s="1746">
        <v>2008</v>
      </c>
      <c r="BA103" s="1746" t="s">
        <v>2809</v>
      </c>
      <c r="BB103" s="1747" t="s">
        <v>2810</v>
      </c>
      <c r="BC103" s="1746">
        <v>1</v>
      </c>
      <c r="BD103" s="1746" t="s">
        <v>2596</v>
      </c>
      <c r="BE103" s="1746"/>
      <c r="BF103" s="1746">
        <v>1.2999999999999999E-4</v>
      </c>
      <c r="BG103" s="1746" t="s">
        <v>2597</v>
      </c>
      <c r="BH103" s="1744">
        <f t="shared" si="25"/>
        <v>1.2999999999999999E-4</v>
      </c>
      <c r="BI103" s="1745">
        <f t="shared" si="21"/>
        <v>1.2999999999999999E-4</v>
      </c>
      <c r="BJ103" s="1740" t="str">
        <f t="shared" si="22"/>
        <v>bottle</v>
      </c>
      <c r="BK103" s="1740" t="str">
        <f t="shared" si="23"/>
        <v>Bottle of Liquid</v>
      </c>
      <c r="BN103" s="1740" t="str">
        <f t="array" ref="BN103">IFERROR(INDEX($BJ$19:$BJ$1364, MATCH(0,COUNTIF($BN$16:BN102, $BJ$19:$BJ$1364), 0)),"")</f>
        <v>BOX-Gastrointestinal</v>
      </c>
      <c r="BO103" s="1740" t="s">
        <v>2582</v>
      </c>
      <c r="BV103" s="1689" t="s">
        <v>1105</v>
      </c>
      <c r="BW103" s="1689" t="s">
        <v>1106</v>
      </c>
      <c r="BX103" s="1689" t="s">
        <v>889</v>
      </c>
      <c r="BY103" s="1689" t="s">
        <v>907</v>
      </c>
      <c r="BZ103" s="1689" t="s">
        <v>1107</v>
      </c>
      <c r="CA103" s="1689" t="s">
        <v>1108</v>
      </c>
      <c r="CB103" s="1689"/>
      <c r="CC103" s="1689"/>
      <c r="CD103" s="1689">
        <v>1</v>
      </c>
      <c r="CE103" s="1689">
        <v>13.3</v>
      </c>
      <c r="CF103" s="1689"/>
      <c r="CG103" s="1740">
        <f t="shared" si="17"/>
        <v>13.3</v>
      </c>
      <c r="CH103" s="1740">
        <f t="shared" si="24"/>
        <v>13.3</v>
      </c>
    </row>
    <row r="104" spans="2:86" ht="15.65" customHeight="1">
      <c r="B104" s="149"/>
      <c r="C104" s="1837"/>
      <c r="D104" s="1841"/>
      <c r="E104" s="1840"/>
      <c r="F104" s="1838"/>
      <c r="G104" s="1698"/>
      <c r="S104" s="1698"/>
      <c r="T104" s="1846" t="str">
        <f t="shared" si="18"/>
        <v/>
      </c>
      <c r="U104" s="1847" t="str">
        <f t="shared" si="19"/>
        <v/>
      </c>
      <c r="V104" s="1848"/>
      <c r="W104" s="1849" t="str">
        <f t="shared" si="20"/>
        <v/>
      </c>
      <c r="X104" s="1698"/>
      <c r="AY104" s="1746" t="s">
        <v>2593</v>
      </c>
      <c r="AZ104" s="1746">
        <v>2008</v>
      </c>
      <c r="BA104" s="1746" t="s">
        <v>2811</v>
      </c>
      <c r="BB104" s="1747" t="s">
        <v>2812</v>
      </c>
      <c r="BC104" s="1746">
        <v>100</v>
      </c>
      <c r="BD104" s="1746" t="s">
        <v>2813</v>
      </c>
      <c r="BE104" s="1746"/>
      <c r="BF104" s="1746">
        <v>3.7399999999999998E-3</v>
      </c>
      <c r="BG104" s="1746" t="s">
        <v>2597</v>
      </c>
      <c r="BH104" s="1744">
        <f t="shared" si="25"/>
        <v>3.7399999999999998E-3</v>
      </c>
      <c r="BI104" s="1745">
        <f t="shared" si="21"/>
        <v>3.7400000000000001E-5</v>
      </c>
      <c r="BJ104" s="1740" t="str">
        <f t="shared" si="22"/>
        <v>treatmen</v>
      </c>
      <c r="BK104" s="1740" t="str">
        <f t="shared" si="23"/>
        <v>Blister Pack of Tablets</v>
      </c>
      <c r="BN104" s="1740" t="str">
        <f t="array" ref="BN104">IFERROR(INDEX($BJ$19:$BJ$1364, MATCH(0,COUNTIF($BN$16:BN103, $BJ$19:$BJ$1364), 0)),"")</f>
        <v>EA-Other equipment</v>
      </c>
      <c r="BO104" s="1740" t="s">
        <v>2632</v>
      </c>
      <c r="BV104" s="1689" t="s">
        <v>1105</v>
      </c>
      <c r="BW104" s="1689" t="s">
        <v>1106</v>
      </c>
      <c r="BX104" s="1689" t="s">
        <v>889</v>
      </c>
      <c r="BY104" s="1689" t="s">
        <v>907</v>
      </c>
      <c r="BZ104" s="1689" t="s">
        <v>1107</v>
      </c>
      <c r="CA104" s="1689" t="s">
        <v>1110</v>
      </c>
      <c r="CB104" s="1689"/>
      <c r="CC104" s="1689"/>
      <c r="CD104" s="1689">
        <v>2</v>
      </c>
      <c r="CE104" s="1689">
        <v>6.69</v>
      </c>
      <c r="CF104" s="1689"/>
      <c r="CG104" s="1740">
        <f t="shared" si="17"/>
        <v>6.69</v>
      </c>
      <c r="CH104" s="1740">
        <f t="shared" si="24"/>
        <v>13.38</v>
      </c>
    </row>
    <row r="105" spans="2:86" ht="15.65" customHeight="1">
      <c r="B105" s="149"/>
      <c r="C105" s="1837"/>
      <c r="D105" s="1841"/>
      <c r="E105" s="1840"/>
      <c r="F105" s="1838"/>
      <c r="G105" s="1698"/>
      <c r="S105" s="1698"/>
      <c r="T105" s="1846" t="str">
        <f t="shared" si="18"/>
        <v/>
      </c>
      <c r="U105" s="1847" t="str">
        <f t="shared" si="19"/>
        <v/>
      </c>
      <c r="V105" s="1848"/>
      <c r="W105" s="1849" t="str">
        <f t="shared" si="20"/>
        <v/>
      </c>
      <c r="X105" s="1698"/>
      <c r="AY105" s="1746" t="s">
        <v>2593</v>
      </c>
      <c r="AZ105" s="1746">
        <v>2008</v>
      </c>
      <c r="BA105" s="1746" t="s">
        <v>2814</v>
      </c>
      <c r="BB105" s="1747" t="s">
        <v>2815</v>
      </c>
      <c r="BC105" s="1746">
        <v>100</v>
      </c>
      <c r="BD105" s="1746" t="s">
        <v>2816</v>
      </c>
      <c r="BE105" s="1746"/>
      <c r="BF105" s="1746">
        <v>3.7399999999999998E-3</v>
      </c>
      <c r="BG105" s="1746" t="s">
        <v>2597</v>
      </c>
      <c r="BH105" s="1744">
        <f t="shared" si="25"/>
        <v>3.7399999999999998E-3</v>
      </c>
      <c r="BI105" s="1745">
        <f t="shared" si="21"/>
        <v>3.7400000000000001E-5</v>
      </c>
      <c r="BJ105" s="1740" t="str">
        <f t="shared" si="22"/>
        <v>treatment</v>
      </c>
      <c r="BK105" s="1740" t="str">
        <f t="shared" si="23"/>
        <v>Blister Pack of Tablets</v>
      </c>
      <c r="BN105" s="1740" t="str">
        <f t="array" ref="BN105">IFERROR(INDEX($BJ$19:$BJ$1364, MATCH(0,COUNTIF($BN$16:BN104, $BJ$19:$BJ$1364), 0)),"")</f>
        <v>PAC-Antituberculosis</v>
      </c>
      <c r="BO105" s="1740" t="s">
        <v>2573</v>
      </c>
      <c r="BV105" s="1689" t="s">
        <v>1105</v>
      </c>
      <c r="BW105" s="1689" t="s">
        <v>1106</v>
      </c>
      <c r="BX105" s="1689" t="s">
        <v>889</v>
      </c>
      <c r="BY105" s="1689" t="s">
        <v>907</v>
      </c>
      <c r="BZ105" s="1689" t="s">
        <v>1107</v>
      </c>
      <c r="CA105" s="1689" t="s">
        <v>1112</v>
      </c>
      <c r="CB105" s="1689"/>
      <c r="CC105" s="1689"/>
      <c r="CD105" s="1689">
        <v>10</v>
      </c>
      <c r="CE105" s="1689">
        <v>3.34</v>
      </c>
      <c r="CF105" s="1689"/>
      <c r="CG105" s="1740">
        <f t="shared" si="17"/>
        <v>3.34</v>
      </c>
      <c r="CH105" s="1740">
        <f t="shared" si="24"/>
        <v>33.4</v>
      </c>
    </row>
    <row r="106" spans="2:86" ht="15.65" customHeight="1">
      <c r="B106" s="149"/>
      <c r="C106" s="1837"/>
      <c r="D106" s="1841"/>
      <c r="E106" s="1840"/>
      <c r="F106" s="1838"/>
      <c r="G106" s="1698"/>
      <c r="S106" s="1698"/>
      <c r="T106" s="1846" t="str">
        <f t="shared" si="18"/>
        <v/>
      </c>
      <c r="U106" s="1847" t="str">
        <f t="shared" si="19"/>
        <v/>
      </c>
      <c r="V106" s="1848"/>
      <c r="W106" s="1849" t="str">
        <f t="shared" si="20"/>
        <v/>
      </c>
      <c r="X106" s="1698"/>
      <c r="AY106" s="1746" t="s">
        <v>2593</v>
      </c>
      <c r="AZ106" s="1746">
        <v>2008</v>
      </c>
      <c r="BA106" s="1746" t="s">
        <v>2817</v>
      </c>
      <c r="BB106" s="1747" t="s">
        <v>2818</v>
      </c>
      <c r="BC106" s="1746">
        <v>100</v>
      </c>
      <c r="BD106" s="1746" t="s">
        <v>2816</v>
      </c>
      <c r="BE106" s="1746"/>
      <c r="BF106" s="1746">
        <v>2.4000000000000001E-4</v>
      </c>
      <c r="BG106" s="1746" t="s">
        <v>2597</v>
      </c>
      <c r="BH106" s="1744">
        <f t="shared" si="25"/>
        <v>2.4000000000000001E-4</v>
      </c>
      <c r="BI106" s="1745">
        <f t="shared" si="21"/>
        <v>2.3999999999999999E-6</v>
      </c>
      <c r="BJ106" s="1740" t="str">
        <f t="shared" si="22"/>
        <v>treatment</v>
      </c>
      <c r="BK106" s="1740" t="str">
        <f t="shared" si="23"/>
        <v>Blister Pack of Tablets</v>
      </c>
      <c r="BN106" s="1740" t="str">
        <f t="array" ref="BN106">IFERROR(INDEX($BJ$19:$BJ$1364, MATCH(0,COUNTIF($BN$16:BN105, $BJ$19:$BJ$1364), 0)),"")</f>
        <v>BOX-Medical stationery</v>
      </c>
      <c r="BO106" s="1740" t="s">
        <v>2632</v>
      </c>
      <c r="BV106" s="1689" t="s">
        <v>1105</v>
      </c>
      <c r="BW106" s="1689" t="s">
        <v>1106</v>
      </c>
      <c r="BX106" s="1689" t="s">
        <v>889</v>
      </c>
      <c r="BY106" s="1689" t="s">
        <v>907</v>
      </c>
      <c r="BZ106" s="1689" t="s">
        <v>1114</v>
      </c>
      <c r="CA106" s="1689" t="s">
        <v>1115</v>
      </c>
      <c r="CB106" s="1689"/>
      <c r="CC106" s="1689"/>
      <c r="CD106" s="1689" t="s">
        <v>1020</v>
      </c>
      <c r="CE106" s="1689">
        <v>12</v>
      </c>
      <c r="CF106" s="1689"/>
      <c r="CG106" s="1740">
        <f t="shared" si="17"/>
        <v>12</v>
      </c>
      <c r="CH106" s="1740" t="str">
        <f t="shared" si="24"/>
        <v/>
      </c>
    </row>
    <row r="107" spans="2:86" ht="15.65" customHeight="1">
      <c r="B107" s="149"/>
      <c r="C107" s="1837"/>
      <c r="D107" s="1841"/>
      <c r="E107" s="1840"/>
      <c r="F107" s="1838"/>
      <c r="G107" s="1698"/>
      <c r="S107" s="1698"/>
      <c r="T107" s="1846" t="str">
        <f t="shared" si="18"/>
        <v/>
      </c>
      <c r="U107" s="1847" t="str">
        <f t="shared" si="19"/>
        <v/>
      </c>
      <c r="V107" s="1848"/>
      <c r="W107" s="1849" t="str">
        <f t="shared" si="20"/>
        <v/>
      </c>
      <c r="X107" s="1698"/>
      <c r="AY107" s="1746" t="s">
        <v>2593</v>
      </c>
      <c r="AZ107" s="1746">
        <v>2008</v>
      </c>
      <c r="BA107" s="1746" t="s">
        <v>2819</v>
      </c>
      <c r="BB107" s="1747" t="s">
        <v>2820</v>
      </c>
      <c r="BC107" s="1746">
        <v>100</v>
      </c>
      <c r="BD107" s="1746" t="s">
        <v>2816</v>
      </c>
      <c r="BE107" s="1746"/>
      <c r="BF107" s="1746">
        <v>3.5200000000000001E-3</v>
      </c>
      <c r="BG107" s="1746" t="s">
        <v>2597</v>
      </c>
      <c r="BH107" s="1744">
        <f t="shared" si="25"/>
        <v>3.5200000000000001E-3</v>
      </c>
      <c r="BI107" s="1745">
        <f t="shared" si="21"/>
        <v>3.5200000000000002E-5</v>
      </c>
      <c r="BJ107" s="1740" t="str">
        <f t="shared" si="22"/>
        <v>treatment</v>
      </c>
      <c r="BK107" s="1740" t="str">
        <f t="shared" si="23"/>
        <v>Blister Pack of Tablets</v>
      </c>
      <c r="BN107" s="1740" t="str">
        <f t="array" ref="BN107">IFERROR(INDEX($BJ$19:$BJ$1364, MATCH(0,COUNTIF($BN$16:BN106, $BJ$19:$BJ$1364), 0)),"")</f>
        <v>EA-Medical stationery</v>
      </c>
      <c r="BO107" s="1740" t="s">
        <v>2632</v>
      </c>
      <c r="BV107" s="1689" t="s">
        <v>1105</v>
      </c>
      <c r="BW107" s="1689" t="s">
        <v>1106</v>
      </c>
      <c r="BX107" s="1689" t="s">
        <v>889</v>
      </c>
      <c r="BY107" s="1689" t="s">
        <v>907</v>
      </c>
      <c r="BZ107" s="1689" t="s">
        <v>1117</v>
      </c>
      <c r="CA107" s="1689" t="s">
        <v>1118</v>
      </c>
      <c r="CB107" s="1689"/>
      <c r="CC107" s="1689"/>
      <c r="CD107" s="1689">
        <v>1</v>
      </c>
      <c r="CE107" s="1689">
        <v>2.76</v>
      </c>
      <c r="CF107" s="1689"/>
      <c r="CG107" s="1740">
        <f t="shared" si="17"/>
        <v>2.76</v>
      </c>
      <c r="CH107" s="1740">
        <f t="shared" si="24"/>
        <v>2.76</v>
      </c>
    </row>
    <row r="108" spans="2:86" ht="15.65" customHeight="1">
      <c r="B108" s="149"/>
      <c r="C108" s="1837"/>
      <c r="D108" s="1841"/>
      <c r="E108" s="1840"/>
      <c r="F108" s="1838"/>
      <c r="G108" s="1698"/>
      <c r="S108" s="1698"/>
      <c r="T108" s="1846" t="str">
        <f t="shared" si="18"/>
        <v/>
      </c>
      <c r="U108" s="1847" t="str">
        <f t="shared" si="19"/>
        <v/>
      </c>
      <c r="V108" s="1848"/>
      <c r="W108" s="1849" t="str">
        <f t="shared" si="20"/>
        <v/>
      </c>
      <c r="X108" s="1698"/>
      <c r="AY108" s="1746" t="s">
        <v>2593</v>
      </c>
      <c r="AZ108" s="1746">
        <v>2008</v>
      </c>
      <c r="BA108" s="1746" t="s">
        <v>2821</v>
      </c>
      <c r="BB108" s="1747" t="s">
        <v>2822</v>
      </c>
      <c r="BC108" s="1750">
        <v>1000</v>
      </c>
      <c r="BD108" s="1746" t="s">
        <v>2601</v>
      </c>
      <c r="BE108" s="1746"/>
      <c r="BF108" s="1746">
        <v>1.32E-3</v>
      </c>
      <c r="BG108" s="1746" t="s">
        <v>2597</v>
      </c>
      <c r="BH108" s="1744">
        <f t="shared" si="25"/>
        <v>1.32E-3</v>
      </c>
      <c r="BI108" s="1745">
        <f t="shared" si="21"/>
        <v>1.3200000000000001E-6</v>
      </c>
      <c r="BJ108" s="1740" t="str">
        <f t="shared" si="22"/>
        <v>tablets</v>
      </c>
      <c r="BK108" s="1740" t="str">
        <f t="shared" si="23"/>
        <v>Bottle of Tablets</v>
      </c>
      <c r="BN108" s="1740" t="str">
        <f t="array" ref="BN108">IFERROR(INDEX($BJ$19:$BJ$1364, MATCH(0,COUNTIF($BN$16:BN107, $BJ$19:$BJ$1364), 0)),"")</f>
        <v>BOX-Waste disposal</v>
      </c>
      <c r="BO108" s="1740" t="s">
        <v>2632</v>
      </c>
      <c r="BV108" s="1689" t="s">
        <v>1105</v>
      </c>
      <c r="BW108" s="1689" t="s">
        <v>1106</v>
      </c>
      <c r="BX108" s="1689" t="s">
        <v>889</v>
      </c>
      <c r="BY108" s="1689" t="s">
        <v>907</v>
      </c>
      <c r="BZ108" s="1689" t="s">
        <v>1117</v>
      </c>
      <c r="CA108" s="1689" t="s">
        <v>985</v>
      </c>
      <c r="CB108" s="1689"/>
      <c r="CC108" s="1689"/>
      <c r="CD108" s="1689">
        <v>10</v>
      </c>
      <c r="CE108" s="1689">
        <v>2.76</v>
      </c>
      <c r="CF108" s="1689"/>
      <c r="CG108" s="1740">
        <f t="shared" si="17"/>
        <v>2.76</v>
      </c>
      <c r="CH108" s="1740">
        <f t="shared" si="24"/>
        <v>27.599999999999998</v>
      </c>
    </row>
    <row r="109" spans="2:86" ht="15.65" customHeight="1">
      <c r="B109" s="149"/>
      <c r="C109" s="1837"/>
      <c r="D109" s="1841"/>
      <c r="E109" s="1840"/>
      <c r="F109" s="1838"/>
      <c r="G109" s="1698"/>
      <c r="S109" s="1698"/>
      <c r="T109" s="1846" t="str">
        <f t="shared" si="18"/>
        <v/>
      </c>
      <c r="U109" s="1847" t="str">
        <f t="shared" si="19"/>
        <v/>
      </c>
      <c r="V109" s="1848"/>
      <c r="W109" s="1849" t="str">
        <f t="shared" si="20"/>
        <v/>
      </c>
      <c r="X109" s="1698"/>
      <c r="AY109" s="1746" t="s">
        <v>2593</v>
      </c>
      <c r="AZ109" s="1746">
        <v>2008</v>
      </c>
      <c r="BA109" s="1746" t="s">
        <v>2823</v>
      </c>
      <c r="BB109" s="1747" t="s">
        <v>2822</v>
      </c>
      <c r="BC109" s="1750">
        <v>1000</v>
      </c>
      <c r="BD109" s="1746" t="s">
        <v>2601</v>
      </c>
      <c r="BE109" s="1746"/>
      <c r="BF109" s="1746">
        <v>0</v>
      </c>
      <c r="BG109" s="1746" t="s">
        <v>2597</v>
      </c>
      <c r="BH109" s="1744">
        <f t="shared" si="25"/>
        <v>0</v>
      </c>
      <c r="BI109" s="1745">
        <f t="shared" si="21"/>
        <v>0</v>
      </c>
      <c r="BJ109" s="1740" t="str">
        <f t="shared" si="22"/>
        <v>tablets</v>
      </c>
      <c r="BK109" s="1740" t="str">
        <f t="shared" si="23"/>
        <v>Bottle of Tablets</v>
      </c>
      <c r="BN109" s="1740" t="str">
        <f t="array" ref="BN109">IFERROR(INDEX($BJ$19:$BJ$1364, MATCH(0,COUNTIF($BN$16:BN108, $BJ$19:$BJ$1364), 0)),"")</f>
        <v>PAC-Respiratory drugs</v>
      </c>
      <c r="BO109" s="1740" t="s">
        <v>2573</v>
      </c>
      <c r="BV109" s="1689" t="s">
        <v>1105</v>
      </c>
      <c r="BW109" s="1689" t="s">
        <v>1106</v>
      </c>
      <c r="BX109" s="1689" t="s">
        <v>889</v>
      </c>
      <c r="BY109" s="1689" t="s">
        <v>907</v>
      </c>
      <c r="BZ109" s="1689" t="s">
        <v>1122</v>
      </c>
      <c r="CA109" s="1689" t="s">
        <v>1108</v>
      </c>
      <c r="CB109" s="1689"/>
      <c r="CC109" s="1689"/>
      <c r="CD109" s="1689">
        <v>1</v>
      </c>
      <c r="CE109" s="1689">
        <v>26.1</v>
      </c>
      <c r="CF109" s="1689"/>
      <c r="CG109" s="1740">
        <f t="shared" si="17"/>
        <v>26.1</v>
      </c>
      <c r="CH109" s="1740">
        <f t="shared" si="24"/>
        <v>26.1</v>
      </c>
    </row>
    <row r="110" spans="2:86" ht="15.65" customHeight="1">
      <c r="B110" s="149"/>
      <c r="C110" s="1837"/>
      <c r="D110" s="1841"/>
      <c r="E110" s="1840"/>
      <c r="F110" s="1838"/>
      <c r="G110" s="1698"/>
      <c r="S110" s="1698"/>
      <c r="T110" s="1846" t="str">
        <f t="shared" si="18"/>
        <v/>
      </c>
      <c r="U110" s="1847" t="str">
        <f t="shared" si="19"/>
        <v/>
      </c>
      <c r="V110" s="1848"/>
      <c r="W110" s="1849" t="str">
        <f t="shared" si="20"/>
        <v/>
      </c>
      <c r="X110" s="1698"/>
      <c r="AY110" s="1746" t="s">
        <v>2575</v>
      </c>
      <c r="AZ110" s="1746">
        <v>2008</v>
      </c>
      <c r="BA110" s="1746" t="s">
        <v>2824</v>
      </c>
      <c r="BB110" s="1747" t="s">
        <v>2825</v>
      </c>
      <c r="BC110" s="1746" t="s">
        <v>2578</v>
      </c>
      <c r="BD110" s="1746" t="s">
        <v>2638</v>
      </c>
      <c r="BE110" s="1746" t="s">
        <v>2826</v>
      </c>
      <c r="BF110" s="1746">
        <v>0</v>
      </c>
      <c r="BG110" s="1746" t="s">
        <v>2581</v>
      </c>
      <c r="BH110" s="1744">
        <f t="shared" si="25"/>
        <v>0</v>
      </c>
      <c r="BI110" s="1745" t="str">
        <f t="shared" si="21"/>
        <v/>
      </c>
      <c r="BJ110" s="1740" t="str">
        <f t="shared" si="22"/>
        <v>PAC-Antimalarial drugs</v>
      </c>
      <c r="BK110" s="1740" t="str">
        <f t="shared" si="23"/>
        <v>Blister Pack of Tablets</v>
      </c>
      <c r="BN110" s="1740" t="str">
        <f t="array" ref="BN110">IFERROR(INDEX($BJ$19:$BJ$1364, MATCH(0,COUNTIF($BN$16:BN109, $BJ$19:$BJ$1364), 0)),"")</f>
        <v>BOT-Respiratory drugs</v>
      </c>
      <c r="BO110" s="1740" t="s">
        <v>2586</v>
      </c>
      <c r="BV110" s="1689" t="s">
        <v>1105</v>
      </c>
      <c r="BW110" s="1689" t="s">
        <v>1106</v>
      </c>
      <c r="BX110" s="1689" t="s">
        <v>889</v>
      </c>
      <c r="BY110" s="1689" t="s">
        <v>907</v>
      </c>
      <c r="BZ110" s="1689" t="s">
        <v>1122</v>
      </c>
      <c r="CA110" s="1689" t="s">
        <v>1124</v>
      </c>
      <c r="CB110" s="1689"/>
      <c r="CC110" s="1689"/>
      <c r="CD110" s="1689">
        <v>1</v>
      </c>
      <c r="CE110" s="1689">
        <v>15.715</v>
      </c>
      <c r="CF110" s="1689"/>
      <c r="CG110" s="1740">
        <f t="shared" si="17"/>
        <v>15.715</v>
      </c>
      <c r="CH110" s="1740">
        <f t="shared" si="24"/>
        <v>15.715</v>
      </c>
    </row>
    <row r="111" spans="2:86" ht="15.65" customHeight="1">
      <c r="B111" s="149"/>
      <c r="C111" s="1837"/>
      <c r="D111" s="1841"/>
      <c r="E111" s="1840"/>
      <c r="F111" s="1838"/>
      <c r="G111" s="1698"/>
      <c r="S111" s="1698"/>
      <c r="T111" s="1846" t="str">
        <f t="shared" si="18"/>
        <v/>
      </c>
      <c r="U111" s="1847" t="str">
        <f t="shared" si="19"/>
        <v/>
      </c>
      <c r="V111" s="1848"/>
      <c r="W111" s="1849" t="str">
        <f t="shared" si="20"/>
        <v/>
      </c>
      <c r="X111" s="1698"/>
      <c r="AY111" s="1746" t="s">
        <v>2575</v>
      </c>
      <c r="AZ111" s="1746">
        <v>2008</v>
      </c>
      <c r="BA111" s="1746" t="s">
        <v>2827</v>
      </c>
      <c r="BB111" s="1747" t="s">
        <v>2828</v>
      </c>
      <c r="BC111" s="1746" t="s">
        <v>2578</v>
      </c>
      <c r="BD111" s="1746" t="s">
        <v>2638</v>
      </c>
      <c r="BE111" s="1746" t="s">
        <v>2826</v>
      </c>
      <c r="BF111" s="1746">
        <v>0</v>
      </c>
      <c r="BG111" s="1746" t="s">
        <v>2581</v>
      </c>
      <c r="BH111" s="1744">
        <f t="shared" si="25"/>
        <v>0</v>
      </c>
      <c r="BI111" s="1745" t="str">
        <f t="shared" si="21"/>
        <v/>
      </c>
      <c r="BJ111" s="1740" t="str">
        <f t="shared" si="22"/>
        <v>PAC-Antimalarial drugs</v>
      </c>
      <c r="BK111" s="1740" t="str">
        <f t="shared" si="23"/>
        <v>Blister Pack of Tablets</v>
      </c>
      <c r="BN111" s="1740" t="str">
        <f t="array" ref="BN111">IFERROR(INDEX($BJ$19:$BJ$1364, MATCH(0,COUNTIF($BN$16:BN110, $BJ$19:$BJ$1364), 0)),"")</f>
        <v>EA-Misc. surg. instrum.</v>
      </c>
      <c r="BO111" s="1740" t="s">
        <v>2632</v>
      </c>
      <c r="BV111" s="1689" t="s">
        <v>1105</v>
      </c>
      <c r="BW111" s="1689" t="s">
        <v>1106</v>
      </c>
      <c r="BX111" s="1689" t="s">
        <v>889</v>
      </c>
      <c r="BY111" s="1689" t="s">
        <v>907</v>
      </c>
      <c r="BZ111" s="1689" t="s">
        <v>1122</v>
      </c>
      <c r="CA111" s="1689" t="s">
        <v>1125</v>
      </c>
      <c r="CB111" s="1689"/>
      <c r="CC111" s="1689"/>
      <c r="CD111" s="1689">
        <v>10</v>
      </c>
      <c r="CE111" s="1689">
        <v>2.6110000000000002</v>
      </c>
      <c r="CF111" s="1689"/>
      <c r="CG111" s="1740">
        <f t="shared" si="17"/>
        <v>2.6110000000000002</v>
      </c>
      <c r="CH111" s="1740">
        <f t="shared" si="24"/>
        <v>26.110000000000003</v>
      </c>
    </row>
    <row r="112" spans="2:86" ht="15.65" customHeight="1">
      <c r="B112" s="149"/>
      <c r="C112" s="1837"/>
      <c r="D112" s="1841"/>
      <c r="E112" s="1840"/>
      <c r="F112" s="1838"/>
      <c r="G112" s="1698"/>
      <c r="S112" s="1698"/>
      <c r="T112" s="1846" t="str">
        <f t="shared" si="18"/>
        <v/>
      </c>
      <c r="U112" s="1847" t="str">
        <f t="shared" si="19"/>
        <v/>
      </c>
      <c r="V112" s="1848"/>
      <c r="W112" s="1849" t="str">
        <f t="shared" si="20"/>
        <v/>
      </c>
      <c r="X112" s="1698"/>
      <c r="AY112" s="1746" t="s">
        <v>2588</v>
      </c>
      <c r="AZ112" s="1746">
        <v>2006</v>
      </c>
      <c r="BA112" s="1746" t="s">
        <v>2829</v>
      </c>
      <c r="BB112" s="1747" t="s">
        <v>2830</v>
      </c>
      <c r="BC112" s="1746">
        <v>1000</v>
      </c>
      <c r="BD112" s="1746" t="s">
        <v>2615</v>
      </c>
      <c r="BE112" s="1746"/>
      <c r="BF112" s="1746">
        <v>1778.7</v>
      </c>
      <c r="BG112" s="1746" t="s">
        <v>2592</v>
      </c>
      <c r="BH112" s="1744">
        <f t="shared" si="25"/>
        <v>1.7787E-3</v>
      </c>
      <c r="BI112" s="1745">
        <f t="shared" si="21"/>
        <v>1.7787E-6</v>
      </c>
      <c r="BJ112" s="1740" t="str">
        <f t="shared" si="22"/>
        <v>tabs</v>
      </c>
      <c r="BK112" s="1740" t="str">
        <f t="shared" si="23"/>
        <v>Bottle of Tablets</v>
      </c>
      <c r="BN112" s="1740" t="str">
        <f t="array" ref="BN112">IFERROR(INDEX($BJ$19:$BJ$1364, MATCH(0,COUNTIF($BN$16:BN111, $BJ$19:$BJ$1364), 0)),"")</f>
        <v>BOX-Other antibacterials</v>
      </c>
      <c r="BO112" s="1740" t="s">
        <v>2582</v>
      </c>
      <c r="BV112" s="1689" t="s">
        <v>1105</v>
      </c>
      <c r="BW112" s="1689" t="s">
        <v>1106</v>
      </c>
      <c r="BX112" s="1689" t="s">
        <v>889</v>
      </c>
      <c r="BY112" s="1689" t="s">
        <v>907</v>
      </c>
      <c r="BZ112" s="1689" t="s">
        <v>1127</v>
      </c>
      <c r="CA112" s="1689"/>
      <c r="CB112" s="1689"/>
      <c r="CC112" s="1689"/>
      <c r="CD112" s="1689" t="s">
        <v>894</v>
      </c>
      <c r="CE112" s="1689"/>
      <c r="CF112" s="1689"/>
      <c r="CG112" s="1740"/>
      <c r="CH112" s="1740" t="str">
        <f t="shared" si="24"/>
        <v/>
      </c>
    </row>
    <row r="113" spans="2:86" ht="15.65" customHeight="1">
      <c r="B113" s="149"/>
      <c r="C113" s="1837"/>
      <c r="D113" s="1841"/>
      <c r="E113" s="1840"/>
      <c r="F113" s="1838"/>
      <c r="G113" s="1698"/>
      <c r="S113" s="1698"/>
      <c r="T113" s="1846" t="str">
        <f t="shared" si="18"/>
        <v/>
      </c>
      <c r="U113" s="1847" t="str">
        <f t="shared" si="19"/>
        <v/>
      </c>
      <c r="V113" s="1848"/>
      <c r="W113" s="1849" t="str">
        <f t="shared" si="20"/>
        <v/>
      </c>
      <c r="X113" s="1698"/>
      <c r="AY113" s="1746" t="s">
        <v>2575</v>
      </c>
      <c r="AZ113" s="1746">
        <v>2008</v>
      </c>
      <c r="BA113" s="1746" t="s">
        <v>2831</v>
      </c>
      <c r="BB113" s="1747" t="s">
        <v>2832</v>
      </c>
      <c r="BC113" s="1746" t="s">
        <v>2578</v>
      </c>
      <c r="BD113" s="1746" t="s">
        <v>2775</v>
      </c>
      <c r="BE113" s="1746" t="s">
        <v>2833</v>
      </c>
      <c r="BF113" s="1746">
        <v>0.42499999999999999</v>
      </c>
      <c r="BG113" s="1746" t="s">
        <v>2581</v>
      </c>
      <c r="BH113" s="1744">
        <f t="shared" si="25"/>
        <v>4.2499999999999998E-4</v>
      </c>
      <c r="BI113" s="1745" t="str">
        <f t="shared" si="21"/>
        <v/>
      </c>
      <c r="BJ113" s="1740" t="str">
        <f t="shared" si="22"/>
        <v>BOT-ß-lactams</v>
      </c>
      <c r="BK113" s="1740" t="str">
        <f t="shared" si="23"/>
        <v>Bottle of Liquid</v>
      </c>
      <c r="BN113" s="1740" t="str">
        <f t="array" ref="BN113">IFERROR(INDEX($BJ$19:$BJ$1364, MATCH(0,COUNTIF($BN$16:BN112, $BJ$19:$BJ$1364), 0)),"")</f>
        <v>set</v>
      </c>
      <c r="BO113" s="1740" t="s">
        <v>2632</v>
      </c>
      <c r="BV113" s="1689" t="s">
        <v>1105</v>
      </c>
      <c r="BW113" s="1689" t="s">
        <v>1106</v>
      </c>
      <c r="BX113" s="1689" t="s">
        <v>889</v>
      </c>
      <c r="BY113" s="1689" t="s">
        <v>907</v>
      </c>
      <c r="BZ113" s="1689" t="s">
        <v>1127</v>
      </c>
      <c r="CA113" s="1689"/>
      <c r="CB113" s="1689"/>
      <c r="CC113" s="1689"/>
      <c r="CD113" s="1689" t="s">
        <v>990</v>
      </c>
      <c r="CE113" s="1689"/>
      <c r="CF113" s="1689"/>
      <c r="CG113" s="1740"/>
      <c r="CH113" s="1740" t="str">
        <f t="shared" si="24"/>
        <v/>
      </c>
    </row>
    <row r="114" spans="2:86" ht="15.65" customHeight="1">
      <c r="B114" s="149"/>
      <c r="C114" s="1837"/>
      <c r="D114" s="1841"/>
      <c r="E114" s="1840"/>
      <c r="F114" s="1838"/>
      <c r="G114" s="1698"/>
      <c r="S114" s="1698"/>
      <c r="T114" s="1846" t="str">
        <f t="shared" si="18"/>
        <v/>
      </c>
      <c r="U114" s="1847" t="str">
        <f t="shared" si="19"/>
        <v/>
      </c>
      <c r="V114" s="1848"/>
      <c r="W114" s="1849" t="str">
        <f t="shared" si="20"/>
        <v/>
      </c>
      <c r="X114" s="1698"/>
      <c r="AY114" s="1746" t="s">
        <v>2588</v>
      </c>
      <c r="AZ114" s="1746">
        <v>2006</v>
      </c>
      <c r="BA114" s="1746" t="s">
        <v>2834</v>
      </c>
      <c r="BB114" s="1747" t="s">
        <v>2835</v>
      </c>
      <c r="BC114" s="1746">
        <v>40</v>
      </c>
      <c r="BD114" s="1746" t="s">
        <v>2836</v>
      </c>
      <c r="BE114" s="1746"/>
      <c r="BF114" s="1746">
        <v>18676</v>
      </c>
      <c r="BG114" s="1746" t="s">
        <v>2592</v>
      </c>
      <c r="BH114" s="1744">
        <f t="shared" si="25"/>
        <v>1.8676000000000002E-2</v>
      </c>
      <c r="BI114" s="1745">
        <f t="shared" si="21"/>
        <v>4.6690000000000002E-4</v>
      </c>
      <c r="BJ114" s="1740" t="str">
        <f t="shared" si="22"/>
        <v>btls</v>
      </c>
      <c r="BK114" s="1740" t="str">
        <f t="shared" si="23"/>
        <v>Bottle of Liquid</v>
      </c>
      <c r="BN114" s="1740" t="str">
        <f t="array" ref="BN114">IFERROR(INDEX($BJ$19:$BJ$1364, MATCH(0,COUNTIF($BN$16:BN113, $BJ$19:$BJ$1364), 0)),"")</f>
        <v>SET-Other diag. equip.</v>
      </c>
      <c r="BO114" s="1740" t="s">
        <v>2632</v>
      </c>
      <c r="BV114" s="1689" t="s">
        <v>1105</v>
      </c>
      <c r="BW114" s="1689" t="s">
        <v>1106</v>
      </c>
      <c r="BX114" s="1689" t="s">
        <v>889</v>
      </c>
      <c r="BY114" s="1689" t="s">
        <v>907</v>
      </c>
      <c r="BZ114" s="1689" t="s">
        <v>1127</v>
      </c>
      <c r="CA114" s="1689"/>
      <c r="CB114" s="1689"/>
      <c r="CC114" s="1689"/>
      <c r="CD114" s="1689" t="s">
        <v>869</v>
      </c>
      <c r="CE114" s="1689"/>
      <c r="CF114" s="1689"/>
      <c r="CG114" s="1740"/>
      <c r="CH114" s="1740" t="str">
        <f t="shared" si="24"/>
        <v/>
      </c>
    </row>
    <row r="115" spans="2:86" ht="15.65" customHeight="1">
      <c r="B115" s="149"/>
      <c r="C115" s="1837"/>
      <c r="D115" s="1841"/>
      <c r="E115" s="1840"/>
      <c r="F115" s="1838"/>
      <c r="G115" s="1698"/>
      <c r="S115" s="1698"/>
      <c r="T115" s="1846" t="str">
        <f t="shared" si="18"/>
        <v/>
      </c>
      <c r="U115" s="1847" t="str">
        <f t="shared" si="19"/>
        <v/>
      </c>
      <c r="V115" s="1848"/>
      <c r="W115" s="1849" t="str">
        <f t="shared" si="20"/>
        <v/>
      </c>
      <c r="X115" s="1698"/>
      <c r="AY115" s="1746" t="s">
        <v>2588</v>
      </c>
      <c r="AZ115" s="1746">
        <v>2006</v>
      </c>
      <c r="BA115" s="1746" t="s">
        <v>2837</v>
      </c>
      <c r="BB115" s="1747" t="s">
        <v>2838</v>
      </c>
      <c r="BC115" s="1746">
        <v>1000</v>
      </c>
      <c r="BD115" s="1746" t="s">
        <v>2839</v>
      </c>
      <c r="BE115" s="1746"/>
      <c r="BF115" s="1746">
        <v>2174</v>
      </c>
      <c r="BG115" s="1746" t="s">
        <v>2592</v>
      </c>
      <c r="BH115" s="1744">
        <f t="shared" si="25"/>
        <v>2.1740000000000002E-3</v>
      </c>
      <c r="BI115" s="1745">
        <f t="shared" si="21"/>
        <v>2.1740000000000003E-6</v>
      </c>
      <c r="BJ115" s="1740" t="str">
        <f t="shared" si="22"/>
        <v>caps</v>
      </c>
      <c r="BK115" s="1740" t="str">
        <f t="shared" si="23"/>
        <v>Bottle of Tablets</v>
      </c>
      <c r="BN115" s="1740" t="str">
        <f t="array" ref="BN115">IFERROR(INDEX($BJ$19:$BJ$1364, MATCH(0,COUNTIF($BN$16:BN114, $BJ$19:$BJ$1364), 0)),"")</f>
        <v>EA-Sterilizers</v>
      </c>
      <c r="BO115" s="1740" t="s">
        <v>2632</v>
      </c>
      <c r="BV115" s="1689" t="s">
        <v>1105</v>
      </c>
      <c r="BW115" s="1689" t="s">
        <v>1106</v>
      </c>
      <c r="BX115" s="1689" t="s">
        <v>889</v>
      </c>
      <c r="BY115" s="1689" t="s">
        <v>907</v>
      </c>
      <c r="BZ115" s="1689" t="s">
        <v>1131</v>
      </c>
      <c r="CA115" s="1689" t="s">
        <v>1132</v>
      </c>
      <c r="CB115" s="1689"/>
      <c r="CC115" s="1689"/>
      <c r="CD115" s="1689">
        <v>1</v>
      </c>
      <c r="CE115" s="1689">
        <v>14.4</v>
      </c>
      <c r="CF115" s="1689"/>
      <c r="CG115" s="1740">
        <f t="shared" ref="CG115:CG135" si="26">SUM(CF115,CE115)</f>
        <v>14.4</v>
      </c>
      <c r="CH115" s="1740">
        <f t="shared" si="24"/>
        <v>14.4</v>
      </c>
    </row>
    <row r="116" spans="2:86" ht="15.65" customHeight="1">
      <c r="B116" s="149"/>
      <c r="C116" s="1837"/>
      <c r="D116" s="1841"/>
      <c r="E116" s="1840"/>
      <c r="F116" s="1838"/>
      <c r="G116" s="1698"/>
      <c r="S116" s="1698"/>
      <c r="T116" s="1846" t="str">
        <f t="shared" si="18"/>
        <v/>
      </c>
      <c r="U116" s="1847" t="str">
        <f t="shared" si="19"/>
        <v/>
      </c>
      <c r="V116" s="1848"/>
      <c r="W116" s="1849" t="str">
        <f t="shared" si="20"/>
        <v/>
      </c>
      <c r="X116" s="1698"/>
      <c r="AY116" s="1746" t="s">
        <v>2575</v>
      </c>
      <c r="AZ116" s="1746">
        <v>2008</v>
      </c>
      <c r="BA116" s="1746" t="s">
        <v>2840</v>
      </c>
      <c r="BB116" s="1747" t="s">
        <v>2841</v>
      </c>
      <c r="BC116" s="1746" t="s">
        <v>2578</v>
      </c>
      <c r="BD116" s="1746" t="s">
        <v>2638</v>
      </c>
      <c r="BE116" s="1746" t="s">
        <v>2833</v>
      </c>
      <c r="BF116" s="1746">
        <v>1.45</v>
      </c>
      <c r="BG116" s="1746" t="s">
        <v>2581</v>
      </c>
      <c r="BH116" s="1744">
        <f t="shared" si="25"/>
        <v>1.4499999999999999E-3</v>
      </c>
      <c r="BI116" s="1745" t="str">
        <f t="shared" si="21"/>
        <v/>
      </c>
      <c r="BJ116" s="1740" t="str">
        <f t="shared" si="22"/>
        <v>PAC-ß-lactams</v>
      </c>
      <c r="BK116" s="1740" t="str">
        <f t="shared" si="23"/>
        <v>Bottle of Tablets</v>
      </c>
      <c r="BN116" s="1740" t="str">
        <f t="array" ref="BN116">IFERROR(INDEX($BJ$19:$BJ$1364, MATCH(0,COUNTIF($BN$16:BN115, $BJ$19:$BJ$1364), 0)),"")</f>
        <v>EA-Other ster. equip.</v>
      </c>
      <c r="BO116" s="1740" t="s">
        <v>2632</v>
      </c>
      <c r="BV116" s="1689" t="s">
        <v>1105</v>
      </c>
      <c r="BW116" s="1689" t="s">
        <v>1106</v>
      </c>
      <c r="BX116" s="1689" t="s">
        <v>889</v>
      </c>
      <c r="BY116" s="1689" t="s">
        <v>907</v>
      </c>
      <c r="BZ116" s="1689" t="s">
        <v>1131</v>
      </c>
      <c r="CA116" s="1689" t="s">
        <v>1132</v>
      </c>
      <c r="CB116" s="1689"/>
      <c r="CC116" s="1689"/>
      <c r="CD116" s="1689">
        <v>2</v>
      </c>
      <c r="CE116" s="1689">
        <v>7.2</v>
      </c>
      <c r="CF116" s="1689"/>
      <c r="CG116" s="1740">
        <f t="shared" si="26"/>
        <v>7.2</v>
      </c>
      <c r="CH116" s="1740">
        <f t="shared" si="24"/>
        <v>14.4</v>
      </c>
    </row>
    <row r="117" spans="2:86" ht="15.65" customHeight="1">
      <c r="B117" s="149"/>
      <c r="C117" s="1837"/>
      <c r="D117" s="1841"/>
      <c r="E117" s="1840"/>
      <c r="F117" s="1838"/>
      <c r="G117" s="1698"/>
      <c r="S117" s="1698"/>
      <c r="T117" s="1846" t="str">
        <f t="shared" si="18"/>
        <v/>
      </c>
      <c r="U117" s="1847" t="str">
        <f t="shared" si="19"/>
        <v/>
      </c>
      <c r="V117" s="1848"/>
      <c r="W117" s="1849" t="str">
        <f t="shared" si="20"/>
        <v/>
      </c>
      <c r="X117" s="1698"/>
      <c r="AY117" s="1746" t="s">
        <v>2588</v>
      </c>
      <c r="AZ117" s="1746">
        <v>2006</v>
      </c>
      <c r="BA117" s="1746" t="s">
        <v>2842</v>
      </c>
      <c r="BB117" s="1747" t="s">
        <v>2843</v>
      </c>
      <c r="BC117" s="1746" t="s">
        <v>2844</v>
      </c>
      <c r="BD117" s="1746" t="s">
        <v>2839</v>
      </c>
      <c r="BE117" s="1746"/>
      <c r="BF117" s="1746">
        <v>3751.2</v>
      </c>
      <c r="BG117" s="1746" t="s">
        <v>2592</v>
      </c>
      <c r="BH117" s="1744">
        <f t="shared" si="25"/>
        <v>3.7511999999999997E-3</v>
      </c>
      <c r="BI117" s="1745" t="str">
        <f t="shared" si="21"/>
        <v/>
      </c>
      <c r="BJ117" s="1740" t="str">
        <f t="shared" si="22"/>
        <v>caps</v>
      </c>
      <c r="BK117" s="1740" t="str">
        <f t="shared" si="23"/>
        <v>Bottle of Tablets</v>
      </c>
      <c r="BN117" s="1740" t="str">
        <f t="array" ref="BN117">IFERROR(INDEX($BJ$19:$BJ$1364, MATCH(0,COUNTIF($BN$16:BN116, $BJ$19:$BJ$1364), 0)),"")</f>
        <v>BOX-Antituberculosis</v>
      </c>
      <c r="BO117" s="1740" t="s">
        <v>2582</v>
      </c>
      <c r="BV117" s="1689" t="s">
        <v>1105</v>
      </c>
      <c r="BW117" s="1689" t="s">
        <v>1106</v>
      </c>
      <c r="BX117" s="1689" t="s">
        <v>889</v>
      </c>
      <c r="BY117" s="1689" t="s">
        <v>907</v>
      </c>
      <c r="BZ117" s="1689" t="s">
        <v>1131</v>
      </c>
      <c r="CA117" s="1689" t="s">
        <v>1132</v>
      </c>
      <c r="CB117" s="1689"/>
      <c r="CC117" s="1689"/>
      <c r="CD117" s="1689">
        <v>6</v>
      </c>
      <c r="CE117" s="1689">
        <v>4.66</v>
      </c>
      <c r="CF117" s="1689"/>
      <c r="CG117" s="1740">
        <f t="shared" si="26"/>
        <v>4.66</v>
      </c>
      <c r="CH117" s="1740">
        <f t="shared" si="24"/>
        <v>27.96</v>
      </c>
    </row>
    <row r="118" spans="2:86" ht="15.65" customHeight="1">
      <c r="B118" s="149"/>
      <c r="C118" s="1837"/>
      <c r="D118" s="1841"/>
      <c r="E118" s="1840"/>
      <c r="F118" s="1838"/>
      <c r="G118" s="1698"/>
      <c r="S118" s="1698"/>
      <c r="T118" s="1846" t="str">
        <f t="shared" si="18"/>
        <v/>
      </c>
      <c r="U118" s="1847" t="str">
        <f t="shared" si="19"/>
        <v/>
      </c>
      <c r="V118" s="1848"/>
      <c r="W118" s="1849" t="str">
        <f t="shared" si="20"/>
        <v/>
      </c>
      <c r="X118" s="1698"/>
      <c r="AY118" s="1746" t="s">
        <v>2588</v>
      </c>
      <c r="AZ118" s="1746">
        <v>2006</v>
      </c>
      <c r="BA118" s="1746" t="s">
        <v>2845</v>
      </c>
      <c r="BB118" s="1747" t="s">
        <v>2846</v>
      </c>
      <c r="BC118" s="1746">
        <v>40</v>
      </c>
      <c r="BD118" s="1746" t="s">
        <v>2836</v>
      </c>
      <c r="BE118" s="1746"/>
      <c r="BF118" s="1746">
        <v>17248</v>
      </c>
      <c r="BG118" s="1746" t="s">
        <v>2592</v>
      </c>
      <c r="BH118" s="1744">
        <f t="shared" si="25"/>
        <v>1.7247999999999999E-2</v>
      </c>
      <c r="BI118" s="1745">
        <f t="shared" si="21"/>
        <v>4.3119999999999996E-4</v>
      </c>
      <c r="BJ118" s="1740" t="str">
        <f t="shared" si="22"/>
        <v>btls</v>
      </c>
      <c r="BK118" s="1740" t="str">
        <f t="shared" si="23"/>
        <v>Bottle of Liquid</v>
      </c>
      <c r="BN118" s="1740" t="str">
        <f t="array" ref="BN118">IFERROR(INDEX($BJ$19:$BJ$1364, MATCH(0,COUNTIF($BN$16:BN117, $BJ$19:$BJ$1364), 0)),"")</f>
        <v>BOX-Blood/plasma prod.</v>
      </c>
      <c r="BO118" s="1740" t="s">
        <v>2749</v>
      </c>
      <c r="BV118" s="1689" t="s">
        <v>1105</v>
      </c>
      <c r="BW118" s="1689" t="s">
        <v>1106</v>
      </c>
      <c r="BX118" s="1689" t="s">
        <v>889</v>
      </c>
      <c r="BY118" s="1689" t="s">
        <v>907</v>
      </c>
      <c r="BZ118" s="1689" t="s">
        <v>1131</v>
      </c>
      <c r="CA118" s="1689" t="s">
        <v>1132</v>
      </c>
      <c r="CB118" s="1689"/>
      <c r="CC118" s="1689"/>
      <c r="CD118" s="1689">
        <v>10</v>
      </c>
      <c r="CE118" s="1689">
        <v>2.8</v>
      </c>
      <c r="CF118" s="1689"/>
      <c r="CG118" s="1740">
        <f t="shared" si="26"/>
        <v>2.8</v>
      </c>
      <c r="CH118" s="1740">
        <f t="shared" si="24"/>
        <v>28</v>
      </c>
    </row>
    <row r="119" spans="2:86" ht="15.65" customHeight="1">
      <c r="B119" s="149"/>
      <c r="C119" s="1837"/>
      <c r="D119" s="1841"/>
      <c r="E119" s="1840"/>
      <c r="F119" s="1838"/>
      <c r="G119" s="1698"/>
      <c r="S119" s="1698"/>
      <c r="T119" s="1846" t="str">
        <f t="shared" si="18"/>
        <v/>
      </c>
      <c r="U119" s="1847" t="str">
        <f t="shared" si="19"/>
        <v/>
      </c>
      <c r="V119" s="1848"/>
      <c r="W119" s="1849" t="str">
        <f t="shared" si="20"/>
        <v/>
      </c>
      <c r="X119" s="1698"/>
      <c r="AY119" s="1746" t="s">
        <v>2588</v>
      </c>
      <c r="AZ119" s="1746">
        <v>2006</v>
      </c>
      <c r="BA119" s="1746" t="s">
        <v>2847</v>
      </c>
      <c r="BB119" s="1747" t="s">
        <v>2848</v>
      </c>
      <c r="BC119" s="1746">
        <v>1000</v>
      </c>
      <c r="BD119" s="1746" t="s">
        <v>2839</v>
      </c>
      <c r="BE119" s="1746"/>
      <c r="BF119" s="1746">
        <v>2371.5</v>
      </c>
      <c r="BG119" s="1746" t="s">
        <v>2592</v>
      </c>
      <c r="BH119" s="1744">
        <f t="shared" si="25"/>
        <v>2.3714999999999999E-3</v>
      </c>
      <c r="BI119" s="1745">
        <f t="shared" si="21"/>
        <v>2.3715000000000001E-6</v>
      </c>
      <c r="BJ119" s="1740" t="str">
        <f t="shared" si="22"/>
        <v>caps</v>
      </c>
      <c r="BK119" s="1740" t="str">
        <f t="shared" si="23"/>
        <v>Bottle of Tablets</v>
      </c>
      <c r="BN119" s="1740" t="str">
        <f t="array" ref="BN119">IFERROR(INDEX($BJ$19:$BJ$1364, MATCH(0,COUNTIF($BN$16:BN118, $BJ$19:$BJ$1364), 0)),"")</f>
        <v>pairs</v>
      </c>
      <c r="BO119" s="1740" t="s">
        <v>2612</v>
      </c>
      <c r="BV119" s="1689" t="s">
        <v>1105</v>
      </c>
      <c r="BW119" s="1689" t="s">
        <v>1106</v>
      </c>
      <c r="BX119" s="1689" t="s">
        <v>889</v>
      </c>
      <c r="BY119" s="1689" t="s">
        <v>907</v>
      </c>
      <c r="BZ119" s="1689" t="s">
        <v>1131</v>
      </c>
      <c r="CA119" s="1689" t="s">
        <v>1125</v>
      </c>
      <c r="CB119" s="1689"/>
      <c r="CC119" s="1689"/>
      <c r="CD119" s="1689">
        <v>10</v>
      </c>
      <c r="CE119" s="1689">
        <v>3.22</v>
      </c>
      <c r="CF119" s="1689"/>
      <c r="CG119" s="1740">
        <f t="shared" si="26"/>
        <v>3.22</v>
      </c>
      <c r="CH119" s="1740">
        <f t="shared" si="24"/>
        <v>32.200000000000003</v>
      </c>
    </row>
    <row r="120" spans="2:86" ht="15.65" customHeight="1">
      <c r="B120" s="149"/>
      <c r="C120" s="1837"/>
      <c r="D120" s="1841"/>
      <c r="E120" s="1840"/>
      <c r="F120" s="1838"/>
      <c r="G120" s="1698"/>
      <c r="S120" s="1698"/>
      <c r="T120" s="1846" t="str">
        <f t="shared" si="18"/>
        <v/>
      </c>
      <c r="U120" s="1847" t="str">
        <f t="shared" si="19"/>
        <v/>
      </c>
      <c r="V120" s="1848"/>
      <c r="W120" s="1849" t="str">
        <f t="shared" si="20"/>
        <v/>
      </c>
      <c r="X120" s="1698"/>
      <c r="AY120" s="1746" t="s">
        <v>2588</v>
      </c>
      <c r="AZ120" s="1746">
        <v>2006</v>
      </c>
      <c r="BA120" s="1746" t="s">
        <v>2849</v>
      </c>
      <c r="BB120" s="1747" t="s">
        <v>2850</v>
      </c>
      <c r="BC120" s="1746" t="s">
        <v>2851</v>
      </c>
      <c r="BD120" s="1746" t="s">
        <v>2615</v>
      </c>
      <c r="BE120" s="1746"/>
      <c r="BF120" s="1746">
        <v>960</v>
      </c>
      <c r="BG120" s="1746" t="s">
        <v>2592</v>
      </c>
      <c r="BH120" s="1744">
        <f t="shared" si="25"/>
        <v>9.6000000000000002E-4</v>
      </c>
      <c r="BI120" s="1745" t="str">
        <f t="shared" si="21"/>
        <v/>
      </c>
      <c r="BJ120" s="1740" t="str">
        <f t="shared" si="22"/>
        <v>tabs</v>
      </c>
      <c r="BK120" s="1740" t="str">
        <f t="shared" si="23"/>
        <v>Bottle of Tablets</v>
      </c>
      <c r="BN120" s="1740" t="str">
        <f t="array" ref="BN120">IFERROR(INDEX($BJ$19:$BJ$1364, MATCH(0,COUNTIF($BN$16:BN119, $BJ$19:$BJ$1364), 0)),"")</f>
        <v>BOX-Sutures, absorbable</v>
      </c>
      <c r="BO120" s="1740" t="s">
        <v>2612</v>
      </c>
      <c r="BV120" s="1689" t="s">
        <v>1105</v>
      </c>
      <c r="BW120" s="1689" t="s">
        <v>1106</v>
      </c>
      <c r="BX120" s="1689" t="s">
        <v>889</v>
      </c>
      <c r="BY120" s="1689" t="s">
        <v>907</v>
      </c>
      <c r="BZ120" s="1689" t="s">
        <v>1138</v>
      </c>
      <c r="CA120" s="1689" t="s">
        <v>1139</v>
      </c>
      <c r="CB120" s="1689"/>
      <c r="CC120" s="1689"/>
      <c r="CD120" s="1689">
        <v>1</v>
      </c>
      <c r="CE120" s="1689">
        <v>19.2</v>
      </c>
      <c r="CF120" s="1689"/>
      <c r="CG120" s="1740">
        <f t="shared" si="26"/>
        <v>19.2</v>
      </c>
      <c r="CH120" s="1740">
        <f t="shared" si="24"/>
        <v>19.2</v>
      </c>
    </row>
    <row r="121" spans="2:86" ht="15.65" customHeight="1">
      <c r="B121" s="149"/>
      <c r="C121" s="1837"/>
      <c r="D121" s="1841"/>
      <c r="E121" s="1840"/>
      <c r="F121" s="1838"/>
      <c r="G121" s="1698"/>
      <c r="S121" s="1698"/>
      <c r="T121" s="1846" t="str">
        <f t="shared" si="18"/>
        <v/>
      </c>
      <c r="U121" s="1847" t="str">
        <f t="shared" si="19"/>
        <v/>
      </c>
      <c r="V121" s="1848"/>
      <c r="W121" s="1849" t="str">
        <f t="shared" si="20"/>
        <v/>
      </c>
      <c r="X121" s="1698"/>
      <c r="AY121" s="1746" t="s">
        <v>2575</v>
      </c>
      <c r="AZ121" s="1746">
        <v>2008</v>
      </c>
      <c r="BA121" s="1746" t="s">
        <v>2852</v>
      </c>
      <c r="BB121" s="1747" t="s">
        <v>2853</v>
      </c>
      <c r="BC121" s="1746" t="s">
        <v>2578</v>
      </c>
      <c r="BD121" s="1746" t="s">
        <v>2638</v>
      </c>
      <c r="BE121" s="1746" t="s">
        <v>2833</v>
      </c>
      <c r="BF121" s="1746">
        <v>0.32800000000000001</v>
      </c>
      <c r="BG121" s="1746" t="s">
        <v>2581</v>
      </c>
      <c r="BH121" s="1744">
        <f t="shared" si="25"/>
        <v>3.28E-4</v>
      </c>
      <c r="BI121" s="1745" t="str">
        <f t="shared" si="21"/>
        <v/>
      </c>
      <c r="BJ121" s="1740" t="str">
        <f t="shared" si="22"/>
        <v>PAC-ß-lactams</v>
      </c>
      <c r="BK121" s="1740" t="str">
        <f t="shared" si="23"/>
        <v>Bottle of Tablets</v>
      </c>
      <c r="BN121" s="1740" t="str">
        <f t="array" ref="BN121">IFERROR(INDEX($BJ$19:$BJ$1364, MATCH(0,COUNTIF($BN$16:BN120, $BJ$19:$BJ$1364), 0)),"")</f>
        <v>BOX-Sut., non-absorbable</v>
      </c>
      <c r="BO121" s="1740" t="s">
        <v>2612</v>
      </c>
      <c r="BV121" s="1689" t="s">
        <v>1105</v>
      </c>
      <c r="BW121" s="1689" t="s">
        <v>1106</v>
      </c>
      <c r="BX121" s="1689" t="s">
        <v>889</v>
      </c>
      <c r="BY121" s="1689" t="s">
        <v>907</v>
      </c>
      <c r="BZ121" s="1689" t="s">
        <v>1138</v>
      </c>
      <c r="CA121" s="1689" t="s">
        <v>1139</v>
      </c>
      <c r="CB121" s="1689"/>
      <c r="CC121" s="1689"/>
      <c r="CD121" s="1689">
        <v>1</v>
      </c>
      <c r="CE121" s="1689">
        <v>19.2</v>
      </c>
      <c r="CF121" s="1689"/>
      <c r="CG121" s="1740">
        <f t="shared" si="26"/>
        <v>19.2</v>
      </c>
      <c r="CH121" s="1740">
        <f t="shared" si="24"/>
        <v>19.2</v>
      </c>
    </row>
    <row r="122" spans="2:86" ht="15.65" customHeight="1">
      <c r="B122" s="149"/>
      <c r="C122" s="1837"/>
      <c r="D122" s="1841"/>
      <c r="E122" s="1840"/>
      <c r="F122" s="1838"/>
      <c r="G122" s="1698"/>
      <c r="S122" s="1698"/>
      <c r="T122" s="1846" t="str">
        <f t="shared" si="18"/>
        <v/>
      </c>
      <c r="U122" s="1847" t="str">
        <f t="shared" si="19"/>
        <v/>
      </c>
      <c r="V122" s="1848"/>
      <c r="W122" s="1849" t="str">
        <f t="shared" si="20"/>
        <v/>
      </c>
      <c r="X122" s="1698"/>
      <c r="AY122" s="1746" t="s">
        <v>2588</v>
      </c>
      <c r="AZ122" s="1746">
        <v>2006</v>
      </c>
      <c r="BA122" s="1746" t="s">
        <v>2854</v>
      </c>
      <c r="BB122" s="1747" t="s">
        <v>2855</v>
      </c>
      <c r="BC122" s="1746" t="s">
        <v>2844</v>
      </c>
      <c r="BD122" s="1746" t="s">
        <v>2839</v>
      </c>
      <c r="BE122" s="1746"/>
      <c r="BF122" s="1746">
        <v>5626.8</v>
      </c>
      <c r="BG122" s="1746" t="s">
        <v>2592</v>
      </c>
      <c r="BH122" s="1744">
        <f t="shared" si="25"/>
        <v>5.6268000000000004E-3</v>
      </c>
      <c r="BI122" s="1745" t="str">
        <f t="shared" si="21"/>
        <v/>
      </c>
      <c r="BJ122" s="1740" t="str">
        <f t="shared" si="22"/>
        <v>caps</v>
      </c>
      <c r="BK122" s="1740" t="str">
        <f t="shared" si="23"/>
        <v>Bottle of Tablets</v>
      </c>
      <c r="BN122" s="1740" t="str">
        <f t="array" ref="BN122">IFERROR(INDEX($BJ$19:$BJ$1364, MATCH(0,COUNTIF($BN$16:BN121, $BJ$19:$BJ$1364), 0)),"")</f>
        <v>BOX-Syringe/Immunization</v>
      </c>
      <c r="BO122" s="1740" t="s">
        <v>2623</v>
      </c>
      <c r="BV122" s="1689" t="s">
        <v>1105</v>
      </c>
      <c r="BW122" s="1689" t="s">
        <v>1106</v>
      </c>
      <c r="BX122" s="1689" t="s">
        <v>889</v>
      </c>
      <c r="BY122" s="1689" t="s">
        <v>907</v>
      </c>
      <c r="BZ122" s="1689" t="s">
        <v>1138</v>
      </c>
      <c r="CA122" s="1689" t="s">
        <v>1142</v>
      </c>
      <c r="CB122" s="1689"/>
      <c r="CC122" s="1689"/>
      <c r="CD122" s="1689">
        <v>10</v>
      </c>
      <c r="CE122" s="1689">
        <v>4.1399999999999997</v>
      </c>
      <c r="CF122" s="1689"/>
      <c r="CG122" s="1740">
        <f t="shared" si="26"/>
        <v>4.1399999999999997</v>
      </c>
      <c r="CH122" s="1740">
        <f t="shared" si="24"/>
        <v>41.4</v>
      </c>
    </row>
    <row r="123" spans="2:86" ht="15.65" customHeight="1">
      <c r="B123" s="149"/>
      <c r="C123" s="1837"/>
      <c r="D123" s="1841"/>
      <c r="E123" s="1840"/>
      <c r="F123" s="1838"/>
      <c r="G123" s="1698"/>
      <c r="S123" s="1698"/>
      <c r="T123" s="1846" t="str">
        <f t="shared" si="18"/>
        <v/>
      </c>
      <c r="U123" s="1847" t="str">
        <f t="shared" si="19"/>
        <v/>
      </c>
      <c r="V123" s="1848"/>
      <c r="W123" s="1849" t="str">
        <f t="shared" si="20"/>
        <v/>
      </c>
      <c r="X123" s="1698"/>
      <c r="AY123" s="1746" t="s">
        <v>2593</v>
      </c>
      <c r="AZ123" s="1746">
        <v>2008</v>
      </c>
      <c r="BA123" s="1746" t="s">
        <v>2856</v>
      </c>
      <c r="BB123" s="1747" t="s">
        <v>2857</v>
      </c>
      <c r="BC123" s="1746">
        <v>1</v>
      </c>
      <c r="BD123" s="1746" t="s">
        <v>2596</v>
      </c>
      <c r="BE123" s="1746"/>
      <c r="BF123" s="1746">
        <v>2.3000000000000001E-4</v>
      </c>
      <c r="BG123" s="1746" t="s">
        <v>2597</v>
      </c>
      <c r="BH123" s="1744">
        <f t="shared" si="25"/>
        <v>2.3000000000000001E-4</v>
      </c>
      <c r="BI123" s="1745">
        <f t="shared" si="21"/>
        <v>2.3000000000000001E-4</v>
      </c>
      <c r="BJ123" s="1740" t="str">
        <f t="shared" si="22"/>
        <v>bottle</v>
      </c>
      <c r="BK123" s="1740" t="str">
        <f t="shared" si="23"/>
        <v>Bottle of Liquid</v>
      </c>
      <c r="BN123" s="1740" t="str">
        <f t="array" ref="BN123">IFERROR(INDEX($BJ$19:$BJ$1364, MATCH(0,COUNTIF($BN$16:BN122, $BJ$19:$BJ$1364), 0)),"")</f>
        <v>BOX-Syringe/other</v>
      </c>
      <c r="BO123" s="1740" t="s">
        <v>2623</v>
      </c>
      <c r="BV123" s="1689" t="s">
        <v>1105</v>
      </c>
      <c r="BW123" s="1689" t="s">
        <v>1106</v>
      </c>
      <c r="BX123" s="1689" t="s">
        <v>889</v>
      </c>
      <c r="BY123" s="1689" t="s">
        <v>907</v>
      </c>
      <c r="BZ123" s="1689" t="s">
        <v>1138</v>
      </c>
      <c r="CA123" s="1689" t="s">
        <v>1142</v>
      </c>
      <c r="CB123" s="1689"/>
      <c r="CC123" s="1689"/>
      <c r="CD123" s="1689">
        <v>10</v>
      </c>
      <c r="CE123" s="1689">
        <v>4.43</v>
      </c>
      <c r="CF123" s="1689"/>
      <c r="CG123" s="1740">
        <f t="shared" si="26"/>
        <v>4.43</v>
      </c>
      <c r="CH123" s="1740">
        <f t="shared" si="24"/>
        <v>44.3</v>
      </c>
    </row>
    <row r="124" spans="2:86" ht="15.65" customHeight="1">
      <c r="B124" s="149"/>
      <c r="C124" s="1837"/>
      <c r="D124" s="1841"/>
      <c r="E124" s="1840"/>
      <c r="F124" s="1838"/>
      <c r="G124" s="1698"/>
      <c r="S124" s="1698"/>
      <c r="T124" s="1846" t="str">
        <f t="shared" si="18"/>
        <v/>
      </c>
      <c r="U124" s="1847" t="str">
        <f t="shared" si="19"/>
        <v/>
      </c>
      <c r="V124" s="1848"/>
      <c r="W124" s="1849" t="str">
        <f t="shared" si="20"/>
        <v/>
      </c>
      <c r="X124" s="1698"/>
      <c r="AY124" s="1746" t="s">
        <v>2593</v>
      </c>
      <c r="AZ124" s="1746">
        <v>2008</v>
      </c>
      <c r="BA124" s="1746" t="s">
        <v>2858</v>
      </c>
      <c r="BB124" s="1747" t="s">
        <v>2859</v>
      </c>
      <c r="BC124" s="1746">
        <v>1</v>
      </c>
      <c r="BD124" s="1746" t="s">
        <v>2596</v>
      </c>
      <c r="BE124" s="1746"/>
      <c r="BF124" s="1746">
        <v>2.0000000000000001E-4</v>
      </c>
      <c r="BG124" s="1746" t="s">
        <v>2597</v>
      </c>
      <c r="BH124" s="1744">
        <f t="shared" si="25"/>
        <v>2.0000000000000001E-4</v>
      </c>
      <c r="BI124" s="1745">
        <f t="shared" si="21"/>
        <v>2.0000000000000001E-4</v>
      </c>
      <c r="BJ124" s="1740" t="str">
        <f t="shared" si="22"/>
        <v>bottle</v>
      </c>
      <c r="BK124" s="1740" t="str">
        <f t="shared" si="23"/>
        <v>Bottle of Liquid</v>
      </c>
      <c r="BN124" s="1740" t="str">
        <f t="array" ref="BN124">IFERROR(INDEX($BJ$19:$BJ$1364, MATCH(0,COUNTIF($BN$16:BN123, $BJ$19:$BJ$1364), 0)),"")</f>
        <v>tin</v>
      </c>
      <c r="BO124" s="1740" t="s">
        <v>2742</v>
      </c>
      <c r="BV124" s="1689" t="s">
        <v>1105</v>
      </c>
      <c r="BW124" s="1689" t="s">
        <v>1106</v>
      </c>
      <c r="BX124" s="1689" t="s">
        <v>889</v>
      </c>
      <c r="BY124" s="1689" t="s">
        <v>907</v>
      </c>
      <c r="BZ124" s="1689" t="s">
        <v>1145</v>
      </c>
      <c r="CA124" s="1689" t="s">
        <v>1146</v>
      </c>
      <c r="CB124" s="1689"/>
      <c r="CC124" s="1689"/>
      <c r="CD124" s="1689">
        <v>1</v>
      </c>
      <c r="CE124" s="1689">
        <v>16.8</v>
      </c>
      <c r="CF124" s="1689"/>
      <c r="CG124" s="1740">
        <f t="shared" si="26"/>
        <v>16.8</v>
      </c>
      <c r="CH124" s="1740">
        <f t="shared" si="24"/>
        <v>16.8</v>
      </c>
    </row>
    <row r="125" spans="2:86" ht="15.65" customHeight="1">
      <c r="B125" s="149"/>
      <c r="C125" s="1837"/>
      <c r="D125" s="1841"/>
      <c r="E125" s="1840"/>
      <c r="F125" s="1838"/>
      <c r="G125" s="1698"/>
      <c r="S125" s="1698"/>
      <c r="T125" s="1846" t="str">
        <f t="shared" si="18"/>
        <v/>
      </c>
      <c r="U125" s="1847" t="str">
        <f t="shared" si="19"/>
        <v/>
      </c>
      <c r="V125" s="1848"/>
      <c r="W125" s="1849" t="str">
        <f t="shared" si="20"/>
        <v/>
      </c>
      <c r="X125" s="1698"/>
      <c r="AY125" s="1746" t="s">
        <v>2593</v>
      </c>
      <c r="AZ125" s="1746">
        <v>2008</v>
      </c>
      <c r="BA125" s="1746" t="s">
        <v>2860</v>
      </c>
      <c r="BB125" s="1747" t="s">
        <v>2861</v>
      </c>
      <c r="BC125" s="1746">
        <v>50</v>
      </c>
      <c r="BD125" s="1746" t="s">
        <v>2795</v>
      </c>
      <c r="BE125" s="1746"/>
      <c r="BF125" s="1746">
        <v>2.5500000000000002E-3</v>
      </c>
      <c r="BG125" s="1746" t="s">
        <v>2597</v>
      </c>
      <c r="BH125" s="1744">
        <f t="shared" si="25"/>
        <v>2.5500000000000002E-3</v>
      </c>
      <c r="BI125" s="1745">
        <f t="shared" si="21"/>
        <v>5.1000000000000006E-5</v>
      </c>
      <c r="BJ125" s="1740" t="str">
        <f t="shared" si="22"/>
        <v>vials</v>
      </c>
      <c r="BK125" s="1740" t="str">
        <f t="shared" si="23"/>
        <v>Injection Vial</v>
      </c>
      <c r="BN125" s="1740" t="str">
        <f t="array" ref="BN125">IFERROR(INDEX($BJ$19:$BJ$1364, MATCH(0,COUNTIF($BN$16:BN124, $BJ$19:$BJ$1364), 0)),"")</f>
        <v>strips</v>
      </c>
      <c r="BO125" s="1740" t="s">
        <v>2804</v>
      </c>
      <c r="BV125" s="1689" t="s">
        <v>1105</v>
      </c>
      <c r="BW125" s="1689" t="s">
        <v>1106</v>
      </c>
      <c r="BX125" s="1689" t="s">
        <v>889</v>
      </c>
      <c r="BY125" s="1689" t="s">
        <v>907</v>
      </c>
      <c r="BZ125" s="1689" t="s">
        <v>1145</v>
      </c>
      <c r="CA125" s="1689" t="s">
        <v>1148</v>
      </c>
      <c r="CB125" s="1689"/>
      <c r="CC125" s="1689"/>
      <c r="CD125" s="1689">
        <v>2</v>
      </c>
      <c r="CE125" s="1689">
        <v>8.0500000000000007</v>
      </c>
      <c r="CF125" s="1689"/>
      <c r="CG125" s="1740">
        <f t="shared" si="26"/>
        <v>8.0500000000000007</v>
      </c>
      <c r="CH125" s="1740">
        <f t="shared" si="24"/>
        <v>16.100000000000001</v>
      </c>
    </row>
    <row r="126" spans="2:86" ht="15.65" customHeight="1">
      <c r="B126" s="149"/>
      <c r="C126" s="1837"/>
      <c r="D126" s="1841"/>
      <c r="E126" s="1840"/>
      <c r="F126" s="1838"/>
      <c r="G126" s="1698"/>
      <c r="S126" s="1698"/>
      <c r="T126" s="1846" t="str">
        <f t="shared" si="18"/>
        <v/>
      </c>
      <c r="U126" s="1847" t="str">
        <f t="shared" si="19"/>
        <v/>
      </c>
      <c r="V126" s="1848"/>
      <c r="W126" s="1849" t="str">
        <f t="shared" si="20"/>
        <v/>
      </c>
      <c r="X126" s="1698"/>
      <c r="AY126" s="1746" t="s">
        <v>2593</v>
      </c>
      <c r="AZ126" s="1746">
        <v>2008</v>
      </c>
      <c r="BA126" s="1746" t="s">
        <v>2862</v>
      </c>
      <c r="BB126" s="1747" t="s">
        <v>2863</v>
      </c>
      <c r="BC126" s="1750">
        <v>1000</v>
      </c>
      <c r="BD126" s="1746" t="s">
        <v>2864</v>
      </c>
      <c r="BE126" s="1746"/>
      <c r="BF126" s="1746">
        <v>1.64E-3</v>
      </c>
      <c r="BG126" s="1746" t="s">
        <v>2597</v>
      </c>
      <c r="BH126" s="1744">
        <f t="shared" si="25"/>
        <v>1.64E-3</v>
      </c>
      <c r="BI126" s="1745">
        <f t="shared" si="21"/>
        <v>1.64E-6</v>
      </c>
      <c r="BJ126" s="1740" t="str">
        <f t="shared" si="22"/>
        <v>capsules</v>
      </c>
      <c r="BK126" s="1740" t="str">
        <f t="shared" si="23"/>
        <v>Bottle of Tablets</v>
      </c>
      <c r="BN126" s="1740" t="str">
        <f t="array" ref="BN126">IFERROR(INDEX($BJ$19:$BJ$1364, MATCH(0,COUNTIF($BN$16:BN125, $BJ$19:$BJ$1364), 0)),"")</f>
        <v>bottles</v>
      </c>
      <c r="BO126" s="1740" t="s">
        <v>2586</v>
      </c>
      <c r="BV126" s="1689" t="s">
        <v>1105</v>
      </c>
      <c r="BW126" s="1689" t="s">
        <v>1106</v>
      </c>
      <c r="BX126" s="1689" t="s">
        <v>889</v>
      </c>
      <c r="BY126" s="1689" t="s">
        <v>907</v>
      </c>
      <c r="BZ126" s="1689" t="s">
        <v>1145</v>
      </c>
      <c r="CA126" s="1689" t="s">
        <v>1150</v>
      </c>
      <c r="CB126" s="1689"/>
      <c r="CC126" s="1689"/>
      <c r="CD126" s="1689">
        <v>6</v>
      </c>
      <c r="CE126" s="1689">
        <v>3.69</v>
      </c>
      <c r="CF126" s="1689"/>
      <c r="CG126" s="1740">
        <f t="shared" si="26"/>
        <v>3.69</v>
      </c>
      <c r="CH126" s="1740">
        <f t="shared" si="24"/>
        <v>22.14</v>
      </c>
    </row>
    <row r="127" spans="2:86" ht="15.65" customHeight="1">
      <c r="B127" s="149"/>
      <c r="C127" s="1837"/>
      <c r="D127" s="1841"/>
      <c r="E127" s="1840"/>
      <c r="F127" s="1838"/>
      <c r="G127" s="1698"/>
      <c r="S127" s="1698"/>
      <c r="T127" s="1846" t="str">
        <f t="shared" si="18"/>
        <v/>
      </c>
      <c r="U127" s="1847" t="str">
        <f t="shared" si="19"/>
        <v/>
      </c>
      <c r="V127" s="1848"/>
      <c r="W127" s="1849" t="str">
        <f t="shared" si="20"/>
        <v/>
      </c>
      <c r="X127" s="1698"/>
      <c r="AY127" s="1746" t="s">
        <v>2593</v>
      </c>
      <c r="AZ127" s="1746">
        <v>2008</v>
      </c>
      <c r="BA127" s="1746" t="s">
        <v>2865</v>
      </c>
      <c r="BB127" s="1747" t="s">
        <v>2863</v>
      </c>
      <c r="BC127" s="1750">
        <v>1000</v>
      </c>
      <c r="BD127" s="1746" t="s">
        <v>2601</v>
      </c>
      <c r="BE127" s="1746"/>
      <c r="BF127" s="1746">
        <v>1.6199999999999999E-3</v>
      </c>
      <c r="BG127" s="1746" t="s">
        <v>2597</v>
      </c>
      <c r="BH127" s="1744">
        <f t="shared" si="25"/>
        <v>1.6199999999999999E-3</v>
      </c>
      <c r="BI127" s="1745">
        <f t="shared" si="21"/>
        <v>1.6199999999999999E-6</v>
      </c>
      <c r="BJ127" s="1740" t="str">
        <f t="shared" si="22"/>
        <v>tablets</v>
      </c>
      <c r="BK127" s="1740" t="str">
        <f t="shared" si="23"/>
        <v>Bottle of Tablets</v>
      </c>
      <c r="BN127" s="1740" t="str">
        <f t="array" ref="BN127">IFERROR(INDEX($BJ$19:$BJ$1364, MATCH(0,COUNTIF($BN$16:BN126, $BJ$19:$BJ$1364), 0)),"")</f>
        <v>TBE-Ophtalmological</v>
      </c>
      <c r="BO127" s="1740" t="s">
        <v>2608</v>
      </c>
      <c r="BV127" s="1689" t="s">
        <v>1105</v>
      </c>
      <c r="BW127" s="1689" t="s">
        <v>1106</v>
      </c>
      <c r="BX127" s="1689" t="s">
        <v>889</v>
      </c>
      <c r="BY127" s="1689" t="s">
        <v>907</v>
      </c>
      <c r="BZ127" s="1689" t="s">
        <v>1145</v>
      </c>
      <c r="CA127" s="1689" t="s">
        <v>1152</v>
      </c>
      <c r="CB127" s="1689"/>
      <c r="CC127" s="1689"/>
      <c r="CD127" s="1689">
        <v>10</v>
      </c>
      <c r="CE127" s="1689">
        <v>4.3600000000000003</v>
      </c>
      <c r="CF127" s="1689"/>
      <c r="CG127" s="1740">
        <f t="shared" si="26"/>
        <v>4.3600000000000003</v>
      </c>
      <c r="CH127" s="1740">
        <f t="shared" si="24"/>
        <v>43.6</v>
      </c>
    </row>
    <row r="128" spans="2:86" ht="15.65" customHeight="1">
      <c r="B128" s="149"/>
      <c r="C128" s="1837"/>
      <c r="D128" s="1841"/>
      <c r="E128" s="1840"/>
      <c r="F128" s="1838"/>
      <c r="G128" s="1698"/>
      <c r="S128" s="1698"/>
      <c r="T128" s="1846" t="str">
        <f t="shared" si="18"/>
        <v/>
      </c>
      <c r="U128" s="1847" t="str">
        <f t="shared" si="19"/>
        <v/>
      </c>
      <c r="V128" s="1848"/>
      <c r="W128" s="1849" t="str">
        <f t="shared" si="20"/>
        <v/>
      </c>
      <c r="X128" s="1698"/>
      <c r="AY128" s="1746" t="s">
        <v>2593</v>
      </c>
      <c r="AZ128" s="1746">
        <v>2008</v>
      </c>
      <c r="BA128" s="1746" t="s">
        <v>2866</v>
      </c>
      <c r="BB128" s="1747" t="s">
        <v>2863</v>
      </c>
      <c r="BC128" s="1750">
        <v>1000</v>
      </c>
      <c r="BD128" s="1746" t="s">
        <v>2864</v>
      </c>
      <c r="BE128" s="1746"/>
      <c r="BF128" s="1746">
        <v>1.5E-3</v>
      </c>
      <c r="BG128" s="1746" t="s">
        <v>2597</v>
      </c>
      <c r="BH128" s="1744">
        <f t="shared" si="25"/>
        <v>1.5E-3</v>
      </c>
      <c r="BI128" s="1745">
        <f t="shared" si="21"/>
        <v>1.5E-6</v>
      </c>
      <c r="BJ128" s="1740" t="str">
        <f t="shared" si="22"/>
        <v>capsules</v>
      </c>
      <c r="BK128" s="1740" t="str">
        <f t="shared" si="23"/>
        <v>Bottle of Tablets</v>
      </c>
      <c r="BN128" s="1740" t="str">
        <f t="array" ref="BN128">IFERROR(INDEX($BJ$19:$BJ$1364, MATCH(0,COUNTIF($BN$16:BN127, $BJ$19:$BJ$1364), 0)),"")</f>
        <v>BOX-Anaesthetics</v>
      </c>
      <c r="BO128" s="1740" t="s">
        <v>2582</v>
      </c>
      <c r="BV128" s="1689" t="s">
        <v>1105</v>
      </c>
      <c r="BW128" s="1689" t="s">
        <v>1106</v>
      </c>
      <c r="BX128" s="1689" t="s">
        <v>889</v>
      </c>
      <c r="BY128" s="1689" t="s">
        <v>907</v>
      </c>
      <c r="BZ128" s="1689" t="s">
        <v>1145</v>
      </c>
      <c r="CA128" s="1689" t="s">
        <v>1154</v>
      </c>
      <c r="CB128" s="1689"/>
      <c r="CC128" s="1689"/>
      <c r="CD128" s="1689">
        <v>20</v>
      </c>
      <c r="CE128" s="1689">
        <v>2.57</v>
      </c>
      <c r="CF128" s="1689"/>
      <c r="CG128" s="1740">
        <f t="shared" si="26"/>
        <v>2.57</v>
      </c>
      <c r="CH128" s="1740">
        <f t="shared" si="24"/>
        <v>51.4</v>
      </c>
    </row>
    <row r="129" spans="2:86" ht="15.65" customHeight="1">
      <c r="B129" s="149"/>
      <c r="C129" s="1837"/>
      <c r="D129" s="1841"/>
      <c r="E129" s="1840"/>
      <c r="F129" s="1838"/>
      <c r="G129" s="1698"/>
      <c r="S129" s="1698"/>
      <c r="T129" s="1846" t="str">
        <f t="shared" si="18"/>
        <v/>
      </c>
      <c r="U129" s="1847" t="str">
        <f t="shared" si="19"/>
        <v/>
      </c>
      <c r="V129" s="1848"/>
      <c r="W129" s="1849" t="str">
        <f t="shared" si="20"/>
        <v/>
      </c>
      <c r="X129" s="1698"/>
      <c r="AY129" s="1746" t="s">
        <v>2593</v>
      </c>
      <c r="AZ129" s="1746">
        <v>2008</v>
      </c>
      <c r="BA129" s="1746" t="s">
        <v>2867</v>
      </c>
      <c r="BB129" s="1747" t="s">
        <v>2868</v>
      </c>
      <c r="BC129" s="1746">
        <v>1</v>
      </c>
      <c r="BD129" s="1746" t="s">
        <v>2596</v>
      </c>
      <c r="BE129" s="1746"/>
      <c r="BF129" s="1746">
        <v>2.3000000000000001E-4</v>
      </c>
      <c r="BG129" s="1746" t="s">
        <v>2597</v>
      </c>
      <c r="BH129" s="1744">
        <f t="shared" si="25"/>
        <v>2.3000000000000001E-4</v>
      </c>
      <c r="BI129" s="1745">
        <f t="shared" si="21"/>
        <v>2.3000000000000001E-4</v>
      </c>
      <c r="BJ129" s="1740" t="str">
        <f t="shared" si="22"/>
        <v>bottle</v>
      </c>
      <c r="BK129" s="1740" t="str">
        <f t="shared" si="23"/>
        <v>Bottle of Liquid</v>
      </c>
      <c r="BN129" s="1740" t="str">
        <f t="array" ref="BN129">IFERROR(INDEX($BJ$19:$BJ$1364, MATCH(0,COUNTIF($BN$16:BN128, $BJ$19:$BJ$1364), 0)),"")</f>
        <v>PAC-Antiprotozoal</v>
      </c>
      <c r="BO129" s="1740" t="s">
        <v>2583</v>
      </c>
      <c r="BV129" s="1689" t="s">
        <v>1105</v>
      </c>
      <c r="BW129" s="1689" t="s">
        <v>1106</v>
      </c>
      <c r="BX129" s="1689" t="s">
        <v>889</v>
      </c>
      <c r="BY129" s="1689" t="s">
        <v>907</v>
      </c>
      <c r="BZ129" s="1689" t="s">
        <v>1156</v>
      </c>
      <c r="CA129" s="1689" t="s">
        <v>1157</v>
      </c>
      <c r="CB129" s="1689"/>
      <c r="CC129" s="1689"/>
      <c r="CD129" s="1689">
        <v>1</v>
      </c>
      <c r="CE129" s="1689">
        <v>14.5</v>
      </c>
      <c r="CF129" s="1689"/>
      <c r="CG129" s="1740">
        <f t="shared" si="26"/>
        <v>14.5</v>
      </c>
      <c r="CH129" s="1740">
        <f t="shared" si="24"/>
        <v>14.5</v>
      </c>
    </row>
    <row r="130" spans="2:86" ht="15.65" customHeight="1">
      <c r="B130" s="149"/>
      <c r="C130" s="1837"/>
      <c r="D130" s="1841"/>
      <c r="E130" s="1840"/>
      <c r="F130" s="1838"/>
      <c r="G130" s="1698"/>
      <c r="S130" s="1698"/>
      <c r="T130" s="1846" t="str">
        <f t="shared" si="18"/>
        <v/>
      </c>
      <c r="U130" s="1847" t="str">
        <f t="shared" si="19"/>
        <v/>
      </c>
      <c r="V130" s="1848"/>
      <c r="W130" s="1849" t="str">
        <f t="shared" si="20"/>
        <v/>
      </c>
      <c r="X130" s="1698"/>
      <c r="AY130" s="1746" t="s">
        <v>2593</v>
      </c>
      <c r="AZ130" s="1746">
        <v>2008</v>
      </c>
      <c r="BA130" s="1746" t="s">
        <v>2869</v>
      </c>
      <c r="BB130" s="1747" t="s">
        <v>2870</v>
      </c>
      <c r="BC130" s="1746">
        <v>1</v>
      </c>
      <c r="BD130" s="1746" t="s">
        <v>2596</v>
      </c>
      <c r="BE130" s="1746"/>
      <c r="BF130" s="1746">
        <v>2.0000000000000001E-4</v>
      </c>
      <c r="BG130" s="1746" t="s">
        <v>2597</v>
      </c>
      <c r="BH130" s="1744">
        <f t="shared" si="25"/>
        <v>2.0000000000000001E-4</v>
      </c>
      <c r="BI130" s="1745">
        <f t="shared" si="21"/>
        <v>2.0000000000000001E-4</v>
      </c>
      <c r="BJ130" s="1740" t="str">
        <f t="shared" si="22"/>
        <v>bottle</v>
      </c>
      <c r="BK130" s="1740" t="str">
        <f t="shared" si="23"/>
        <v>Bottle of Liquid</v>
      </c>
      <c r="BN130" s="1740" t="str">
        <f t="array" ref="BN130">IFERROR(INDEX($BJ$19:$BJ$1364, MATCH(0,COUNTIF($BN$16:BN129, $BJ$19:$BJ$1364), 0)),"")</f>
        <v>BOX-Other diag. equip.</v>
      </c>
      <c r="BO130" s="1740" t="s">
        <v>2632</v>
      </c>
      <c r="BV130" s="1689" t="s">
        <v>1105</v>
      </c>
      <c r="BW130" s="1689" t="s">
        <v>1106</v>
      </c>
      <c r="BX130" s="1689" t="s">
        <v>889</v>
      </c>
      <c r="BY130" s="1689" t="s">
        <v>907</v>
      </c>
      <c r="BZ130" s="1689" t="s">
        <v>1156</v>
      </c>
      <c r="CA130" s="1689" t="s">
        <v>1160</v>
      </c>
      <c r="CB130" s="1689"/>
      <c r="CC130" s="1689"/>
      <c r="CD130" s="1689">
        <v>2</v>
      </c>
      <c r="CE130" s="1689">
        <v>7.2</v>
      </c>
      <c r="CF130" s="1689"/>
      <c r="CG130" s="1740">
        <f t="shared" si="26"/>
        <v>7.2</v>
      </c>
      <c r="CH130" s="1740">
        <f t="shared" si="24"/>
        <v>14.4</v>
      </c>
    </row>
    <row r="131" spans="2:86" ht="15.65" customHeight="1">
      <c r="B131" s="149"/>
      <c r="C131" s="1837"/>
      <c r="D131" s="1841"/>
      <c r="E131" s="1840"/>
      <c r="F131" s="1838"/>
      <c r="G131" s="1698"/>
      <c r="S131" s="1698"/>
      <c r="T131" s="1846" t="str">
        <f t="shared" si="18"/>
        <v/>
      </c>
      <c r="U131" s="1847" t="str">
        <f t="shared" si="19"/>
        <v/>
      </c>
      <c r="V131" s="1848"/>
      <c r="W131" s="1849" t="str">
        <f t="shared" si="20"/>
        <v/>
      </c>
      <c r="X131" s="1698"/>
      <c r="AY131" s="1746" t="s">
        <v>2593</v>
      </c>
      <c r="AZ131" s="1746">
        <v>2008</v>
      </c>
      <c r="BA131" s="1746" t="s">
        <v>2871</v>
      </c>
      <c r="BB131" s="1747" t="s">
        <v>2872</v>
      </c>
      <c r="BC131" s="1750">
        <v>1000</v>
      </c>
      <c r="BD131" s="1746" t="s">
        <v>2864</v>
      </c>
      <c r="BE131" s="1746"/>
      <c r="BF131" s="1746">
        <v>2.2100000000000002E-3</v>
      </c>
      <c r="BG131" s="1746" t="s">
        <v>2597</v>
      </c>
      <c r="BH131" s="1744">
        <f t="shared" si="25"/>
        <v>2.2100000000000002E-3</v>
      </c>
      <c r="BI131" s="1745">
        <f t="shared" si="21"/>
        <v>2.21E-6</v>
      </c>
      <c r="BJ131" s="1740" t="str">
        <f t="shared" si="22"/>
        <v>capsules</v>
      </c>
      <c r="BK131" s="1740" t="str">
        <f t="shared" si="23"/>
        <v>Bottle of Tablets</v>
      </c>
      <c r="BN131" s="1740" t="str">
        <f t="array" ref="BN131">IFERROR(INDEX($BJ$19:$BJ$1364, MATCH(0,COUNTIF($BN$16:BN130, $BJ$19:$BJ$1364), 0)),"")</f>
        <v>pair</v>
      </c>
      <c r="BO131" s="1740" t="s">
        <v>2632</v>
      </c>
      <c r="BV131" s="1689" t="s">
        <v>1105</v>
      </c>
      <c r="BW131" s="1689" t="s">
        <v>1106</v>
      </c>
      <c r="BX131" s="1689" t="s">
        <v>889</v>
      </c>
      <c r="BY131" s="1689" t="s">
        <v>907</v>
      </c>
      <c r="BZ131" s="1689" t="s">
        <v>1156</v>
      </c>
      <c r="CA131" s="1689" t="s">
        <v>1162</v>
      </c>
      <c r="CB131" s="1689"/>
      <c r="CC131" s="1689"/>
      <c r="CD131" s="1689">
        <v>6</v>
      </c>
      <c r="CE131" s="1689">
        <v>5.3</v>
      </c>
      <c r="CF131" s="1689"/>
      <c r="CG131" s="1740">
        <f t="shared" si="26"/>
        <v>5.3</v>
      </c>
      <c r="CH131" s="1740">
        <f t="shared" si="24"/>
        <v>31.799999999999997</v>
      </c>
    </row>
    <row r="132" spans="2:86" ht="15.65" customHeight="1">
      <c r="B132" s="149"/>
      <c r="C132" s="1837"/>
      <c r="D132" s="1841"/>
      <c r="E132" s="1840"/>
      <c r="F132" s="1838"/>
      <c r="G132" s="1698"/>
      <c r="S132" s="1698"/>
      <c r="T132" s="1846" t="str">
        <f t="shared" si="18"/>
        <v/>
      </c>
      <c r="U132" s="1847" t="str">
        <f t="shared" si="19"/>
        <v/>
      </c>
      <c r="V132" s="1848"/>
      <c r="W132" s="1849" t="str">
        <f t="shared" si="20"/>
        <v/>
      </c>
      <c r="X132" s="1698"/>
      <c r="AY132" s="1746" t="s">
        <v>2593</v>
      </c>
      <c r="AZ132" s="1746">
        <v>2008</v>
      </c>
      <c r="BA132" s="1746" t="s">
        <v>2873</v>
      </c>
      <c r="BB132" s="1747" t="s">
        <v>2872</v>
      </c>
      <c r="BC132" s="1750">
        <v>1000</v>
      </c>
      <c r="BD132" s="1746" t="s">
        <v>2601</v>
      </c>
      <c r="BE132" s="1746"/>
      <c r="BF132" s="1746">
        <v>2.4099999999999998E-3</v>
      </c>
      <c r="BG132" s="1746" t="s">
        <v>2597</v>
      </c>
      <c r="BH132" s="1744">
        <f t="shared" si="25"/>
        <v>2.4099999999999998E-3</v>
      </c>
      <c r="BI132" s="1745">
        <f t="shared" si="21"/>
        <v>2.4099999999999998E-6</v>
      </c>
      <c r="BJ132" s="1740" t="str">
        <f t="shared" si="22"/>
        <v>tablets</v>
      </c>
      <c r="BK132" s="1740" t="str">
        <f t="shared" si="23"/>
        <v>Bottle of Tablets</v>
      </c>
      <c r="BN132" s="1740" t="str">
        <f t="array" ref="BN132">IFERROR(INDEX($BJ$19:$BJ$1364, MATCH(0,COUNTIF($BN$16:BN131, $BJ$19:$BJ$1364), 0)),"")</f>
        <v>amp</v>
      </c>
      <c r="BO132" s="1740" t="s">
        <v>2582</v>
      </c>
      <c r="BV132" s="1689" t="s">
        <v>1105</v>
      </c>
      <c r="BW132" s="1689" t="s">
        <v>1106</v>
      </c>
      <c r="BX132" s="1689" t="s">
        <v>889</v>
      </c>
      <c r="BY132" s="1689" t="s">
        <v>907</v>
      </c>
      <c r="BZ132" s="1689" t="s">
        <v>1156</v>
      </c>
      <c r="CA132" s="1689" t="s">
        <v>1164</v>
      </c>
      <c r="CB132" s="1689"/>
      <c r="CC132" s="1689"/>
      <c r="CD132" s="1689">
        <v>10</v>
      </c>
      <c r="CE132" s="1689">
        <v>3.2</v>
      </c>
      <c r="CF132" s="1689"/>
      <c r="CG132" s="1740">
        <f t="shared" si="26"/>
        <v>3.2</v>
      </c>
      <c r="CH132" s="1740">
        <f t="shared" si="24"/>
        <v>32</v>
      </c>
    </row>
    <row r="133" spans="2:86" ht="15.65" customHeight="1">
      <c r="B133" s="149"/>
      <c r="C133" s="1837"/>
      <c r="D133" s="1841"/>
      <c r="E133" s="1840"/>
      <c r="F133" s="1838"/>
      <c r="G133" s="1698"/>
      <c r="S133" s="1698"/>
      <c r="T133" s="1846" t="str">
        <f t="shared" si="18"/>
        <v/>
      </c>
      <c r="U133" s="1847" t="str">
        <f t="shared" si="19"/>
        <v/>
      </c>
      <c r="V133" s="1848"/>
      <c r="W133" s="1849" t="str">
        <f t="shared" si="20"/>
        <v/>
      </c>
      <c r="X133" s="1698"/>
      <c r="AY133" s="1746" t="s">
        <v>2593</v>
      </c>
      <c r="AZ133" s="1746">
        <v>2008</v>
      </c>
      <c r="BA133" s="1746" t="s">
        <v>2874</v>
      </c>
      <c r="BB133" s="1747" t="s">
        <v>2872</v>
      </c>
      <c r="BC133" s="1750">
        <v>1000</v>
      </c>
      <c r="BD133" s="1746" t="s">
        <v>2601</v>
      </c>
      <c r="BE133" s="1746"/>
      <c r="BF133" s="1746">
        <v>2.4299999999999999E-3</v>
      </c>
      <c r="BG133" s="1746" t="s">
        <v>2597</v>
      </c>
      <c r="BH133" s="1744">
        <f t="shared" si="25"/>
        <v>2.4299999999999999E-3</v>
      </c>
      <c r="BI133" s="1745">
        <f t="shared" si="21"/>
        <v>2.43E-6</v>
      </c>
      <c r="BJ133" s="1740" t="str">
        <f t="shared" si="22"/>
        <v>tablets</v>
      </c>
      <c r="BK133" s="1740" t="str">
        <f t="shared" si="23"/>
        <v>Bottle of Tablets</v>
      </c>
      <c r="BN133" s="1740" t="str">
        <f t="array" ref="BN133">IFERROR(INDEX($BJ$19:$BJ$1364, MATCH(0,COUNTIF($BN$16:BN132, $BJ$19:$BJ$1364), 0)),"")</f>
        <v>EA-Antineoplastics</v>
      </c>
      <c r="BO133" s="1740" t="s">
        <v>2582</v>
      </c>
      <c r="BV133" s="1689" t="s">
        <v>1105</v>
      </c>
      <c r="BW133" s="1689" t="s">
        <v>1106</v>
      </c>
      <c r="BX133" s="1689" t="s">
        <v>889</v>
      </c>
      <c r="BY133" s="1689" t="s">
        <v>907</v>
      </c>
      <c r="BZ133" s="1689" t="s">
        <v>1156</v>
      </c>
      <c r="CA133" s="1689" t="s">
        <v>1166</v>
      </c>
      <c r="CB133" s="1689"/>
      <c r="CC133" s="1689"/>
      <c r="CD133" s="1689">
        <v>20</v>
      </c>
      <c r="CE133" s="1689">
        <v>2</v>
      </c>
      <c r="CF133" s="1689"/>
      <c r="CG133" s="1740">
        <f t="shared" si="26"/>
        <v>2</v>
      </c>
      <c r="CH133" s="1740">
        <f t="shared" si="24"/>
        <v>40</v>
      </c>
    </row>
    <row r="134" spans="2:86" ht="15.65" customHeight="1">
      <c r="B134" s="149"/>
      <c r="C134" s="1837"/>
      <c r="D134" s="1841"/>
      <c r="E134" s="1840"/>
      <c r="F134" s="1838"/>
      <c r="G134" s="1698"/>
      <c r="S134" s="1698"/>
      <c r="T134" s="1846" t="str">
        <f t="shared" si="18"/>
        <v/>
      </c>
      <c r="U134" s="1847" t="str">
        <f t="shared" si="19"/>
        <v/>
      </c>
      <c r="V134" s="1848"/>
      <c r="W134" s="1849" t="str">
        <f t="shared" si="20"/>
        <v/>
      </c>
      <c r="X134" s="1698"/>
      <c r="AY134" s="1746" t="s">
        <v>2593</v>
      </c>
      <c r="AZ134" s="1746">
        <v>2008</v>
      </c>
      <c r="BA134" s="1746" t="s">
        <v>2875</v>
      </c>
      <c r="BB134" s="1747" t="s">
        <v>2872</v>
      </c>
      <c r="BC134" s="1750">
        <v>1000</v>
      </c>
      <c r="BD134" s="1746" t="s">
        <v>2864</v>
      </c>
      <c r="BE134" s="1746"/>
      <c r="BF134" s="1746">
        <v>4.9699999999999996E-3</v>
      </c>
      <c r="BG134" s="1746" t="s">
        <v>2597</v>
      </c>
      <c r="BH134" s="1744">
        <f t="shared" si="25"/>
        <v>4.9699999999999996E-3</v>
      </c>
      <c r="BI134" s="1745">
        <f t="shared" si="21"/>
        <v>4.9699999999999998E-6</v>
      </c>
      <c r="BJ134" s="1740" t="str">
        <f t="shared" si="22"/>
        <v>capsules</v>
      </c>
      <c r="BK134" s="1740" t="str">
        <f t="shared" si="23"/>
        <v>Bottle of Tablets</v>
      </c>
      <c r="BN134" s="1740" t="str">
        <f t="array" ref="BN134">IFERROR(INDEX($BJ$19:$BJ$1364, MATCH(0,COUNTIF($BN$16:BN133, $BJ$19:$BJ$1364), 0)),"")</f>
        <v>box</v>
      </c>
      <c r="BO134" s="1740" t="s">
        <v>2632</v>
      </c>
      <c r="BV134" s="1689" t="s">
        <v>1168</v>
      </c>
      <c r="BW134" s="1689" t="s">
        <v>1169</v>
      </c>
      <c r="BX134" s="1689" t="s">
        <v>889</v>
      </c>
      <c r="BY134" s="1689" t="s">
        <v>907</v>
      </c>
      <c r="BZ134" s="1689" t="s">
        <v>1170</v>
      </c>
      <c r="CA134" s="1689" t="s">
        <v>1171</v>
      </c>
      <c r="CB134" s="1689"/>
      <c r="CC134" s="1689"/>
      <c r="CD134" s="1689">
        <v>1</v>
      </c>
      <c r="CE134" s="1689">
        <v>5</v>
      </c>
      <c r="CF134" s="1689"/>
      <c r="CG134" s="1740">
        <f t="shared" si="26"/>
        <v>5</v>
      </c>
      <c r="CH134" s="1740">
        <f t="shared" si="24"/>
        <v>5</v>
      </c>
    </row>
    <row r="135" spans="2:86" ht="15.65" customHeight="1">
      <c r="B135" s="149"/>
      <c r="C135" s="1837"/>
      <c r="D135" s="1841"/>
      <c r="E135" s="1840"/>
      <c r="F135" s="1838"/>
      <c r="G135" s="1698"/>
      <c r="S135" s="1698"/>
      <c r="T135" s="1846" t="str">
        <f t="shared" si="18"/>
        <v/>
      </c>
      <c r="U135" s="1847" t="str">
        <f t="shared" si="19"/>
        <v/>
      </c>
      <c r="V135" s="1848"/>
      <c r="W135" s="1849" t="str">
        <f t="shared" si="20"/>
        <v/>
      </c>
      <c r="X135" s="1698"/>
      <c r="AY135" s="1746" t="s">
        <v>2593</v>
      </c>
      <c r="AZ135" s="1746">
        <v>2008</v>
      </c>
      <c r="BA135" s="1746" t="s">
        <v>2876</v>
      </c>
      <c r="BB135" s="1747" t="s">
        <v>2877</v>
      </c>
      <c r="BC135" s="1746">
        <v>50</v>
      </c>
      <c r="BD135" s="1746" t="s">
        <v>2601</v>
      </c>
      <c r="BE135" s="1746"/>
      <c r="BF135" s="1746">
        <v>7.5000000000000002E-4</v>
      </c>
      <c r="BG135" s="1746" t="s">
        <v>2597</v>
      </c>
      <c r="BH135" s="1744">
        <f t="shared" si="25"/>
        <v>7.5000000000000002E-4</v>
      </c>
      <c r="BI135" s="1745">
        <f t="shared" si="21"/>
        <v>1.5E-5</v>
      </c>
      <c r="BJ135" s="1740" t="str">
        <f t="shared" si="22"/>
        <v>tablets</v>
      </c>
      <c r="BK135" s="1740" t="str">
        <f t="shared" si="23"/>
        <v>Bottle of Tablets</v>
      </c>
      <c r="BN135" s="1740" t="str">
        <f t="array" ref="BN135">IFERROR(INDEX($BJ$19:$BJ$1364, MATCH(0,COUNTIF($BN$16:BN134, $BJ$19:$BJ$1364), 0)),"")</f>
        <v>bag</v>
      </c>
      <c r="BO135" s="1740" t="s">
        <v>2632</v>
      </c>
      <c r="BV135" s="1689" t="s">
        <v>1168</v>
      </c>
      <c r="BW135" s="1689" t="s">
        <v>1169</v>
      </c>
      <c r="BX135" s="1689" t="s">
        <v>889</v>
      </c>
      <c r="BY135" s="1689" t="s">
        <v>907</v>
      </c>
      <c r="BZ135" s="1689" t="s">
        <v>1174</v>
      </c>
      <c r="CA135" s="1689" t="s">
        <v>1046</v>
      </c>
      <c r="CB135" s="1689"/>
      <c r="CC135" s="1689"/>
      <c r="CD135" s="1689">
        <v>1</v>
      </c>
      <c r="CE135" s="1689">
        <v>13.4</v>
      </c>
      <c r="CF135" s="1689"/>
      <c r="CG135" s="1740">
        <f t="shared" si="26"/>
        <v>13.4</v>
      </c>
      <c r="CH135" s="1740">
        <f t="shared" si="24"/>
        <v>13.4</v>
      </c>
    </row>
    <row r="136" spans="2:86" ht="15.65" customHeight="1">
      <c r="B136" s="149"/>
      <c r="C136" s="1837"/>
      <c r="D136" s="1841"/>
      <c r="E136" s="1840"/>
      <c r="F136" s="1838"/>
      <c r="G136" s="1698"/>
      <c r="S136" s="1698"/>
      <c r="T136" s="1846" t="str">
        <f t="shared" si="18"/>
        <v/>
      </c>
      <c r="U136" s="1847" t="str">
        <f t="shared" si="19"/>
        <v/>
      </c>
      <c r="V136" s="1848"/>
      <c r="W136" s="1849" t="str">
        <f t="shared" si="20"/>
        <v/>
      </c>
      <c r="X136" s="1698"/>
      <c r="AY136" s="1746" t="s">
        <v>2593</v>
      </c>
      <c r="AZ136" s="1746">
        <v>2008</v>
      </c>
      <c r="BA136" s="1746" t="s">
        <v>2878</v>
      </c>
      <c r="BB136" s="1747" t="s">
        <v>2879</v>
      </c>
      <c r="BC136" s="1746">
        <v>1</v>
      </c>
      <c r="BD136" s="1746" t="s">
        <v>2591</v>
      </c>
      <c r="BE136" s="1746"/>
      <c r="BF136" s="1746">
        <v>1.06E-3</v>
      </c>
      <c r="BG136" s="1746" t="s">
        <v>2597</v>
      </c>
      <c r="BH136" s="1744">
        <f t="shared" si="25"/>
        <v>1.06E-3</v>
      </c>
      <c r="BI136" s="1745">
        <f t="shared" si="21"/>
        <v>1.06E-3</v>
      </c>
      <c r="BJ136" s="1740" t="str">
        <f t="shared" si="22"/>
        <v>vial</v>
      </c>
      <c r="BK136" s="1740" t="str">
        <f t="shared" si="23"/>
        <v>Injection Vial</v>
      </c>
      <c r="BN136" s="1740" t="str">
        <f t="array" ref="BN136">IFERROR(INDEX($BJ$19:$BJ$1364, MATCH(0,COUNTIF($BN$16:BN135, $BJ$19:$BJ$1364), 0)),"")</f>
        <v>EA-Non-EPI vaccines</v>
      </c>
      <c r="BO136" s="1740" t="s">
        <v>2731</v>
      </c>
      <c r="BV136" s="1689" t="s">
        <v>1168</v>
      </c>
      <c r="BW136" s="1689" t="s">
        <v>1169</v>
      </c>
      <c r="BX136" s="1689" t="s">
        <v>889</v>
      </c>
      <c r="BY136" s="1689" t="s">
        <v>907</v>
      </c>
      <c r="BZ136" s="1689" t="s">
        <v>1174</v>
      </c>
      <c r="CA136" s="1689" t="s">
        <v>1046</v>
      </c>
      <c r="CB136" s="1689"/>
      <c r="CC136" s="1689"/>
      <c r="CD136" s="1689" t="s">
        <v>894</v>
      </c>
      <c r="CE136" s="1689"/>
      <c r="CF136" s="1689"/>
      <c r="CG136" s="1740"/>
      <c r="CH136" s="1740" t="str">
        <f t="shared" si="24"/>
        <v/>
      </c>
    </row>
    <row r="137" spans="2:86" ht="15.65" customHeight="1">
      <c r="B137" s="149"/>
      <c r="C137" s="1837"/>
      <c r="D137" s="1841"/>
      <c r="E137" s="1840"/>
      <c r="F137" s="1838"/>
      <c r="G137" s="1698"/>
      <c r="S137" s="1698"/>
      <c r="T137" s="1846" t="str">
        <f t="shared" si="18"/>
        <v/>
      </c>
      <c r="U137" s="1847" t="str">
        <f t="shared" si="19"/>
        <v/>
      </c>
      <c r="V137" s="1848"/>
      <c r="W137" s="1849" t="str">
        <f t="shared" si="20"/>
        <v/>
      </c>
      <c r="X137" s="1698"/>
      <c r="AY137" s="1746" t="s">
        <v>2588</v>
      </c>
      <c r="AZ137" s="1746">
        <v>2006</v>
      </c>
      <c r="BA137" s="1746" t="s">
        <v>2880</v>
      </c>
      <c r="BB137" s="1747" t="s">
        <v>2881</v>
      </c>
      <c r="BC137" s="1746">
        <v>1</v>
      </c>
      <c r="BD137" s="1746" t="s">
        <v>2591</v>
      </c>
      <c r="BE137" s="1746"/>
      <c r="BF137" s="1746">
        <v>86</v>
      </c>
      <c r="BG137" s="1746" t="s">
        <v>2592</v>
      </c>
      <c r="BH137" s="1744">
        <f t="shared" si="25"/>
        <v>8.6000000000000003E-5</v>
      </c>
      <c r="BI137" s="1745">
        <f t="shared" si="21"/>
        <v>8.6000000000000003E-5</v>
      </c>
      <c r="BJ137" s="1740" t="str">
        <f t="shared" si="22"/>
        <v>vial</v>
      </c>
      <c r="BK137" s="1740" t="str">
        <f t="shared" si="23"/>
        <v>Injection Vial</v>
      </c>
      <c r="BN137" t="str">
        <f t="array" ref="BN137">IFERROR(INDEX($BJ$19:$BJ$1364, MATCH(0,COUNTIF($BN$16:BN136, $BJ$19:$BJ$1364), 0)),"")</f>
        <v/>
      </c>
      <c r="BV137" s="1689" t="s">
        <v>1168</v>
      </c>
      <c r="BW137" s="1689" t="s">
        <v>1169</v>
      </c>
      <c r="BX137" s="1689" t="s">
        <v>889</v>
      </c>
      <c r="BY137" s="1689" t="s">
        <v>907</v>
      </c>
      <c r="BZ137" s="1689" t="s">
        <v>1179</v>
      </c>
      <c r="CA137" s="1689" t="s">
        <v>985</v>
      </c>
      <c r="CB137" s="1689"/>
      <c r="CC137" s="1689"/>
      <c r="CD137" s="1689" t="s">
        <v>990</v>
      </c>
      <c r="CE137" s="1689"/>
      <c r="CF137" s="1689"/>
      <c r="CG137" s="1740"/>
      <c r="CH137" s="1740" t="str">
        <f t="shared" si="24"/>
        <v/>
      </c>
    </row>
    <row r="138" spans="2:86" ht="15.65" customHeight="1">
      <c r="B138" s="149"/>
      <c r="C138" s="1837"/>
      <c r="D138" s="1841"/>
      <c r="E138" s="1840"/>
      <c r="F138" s="1838"/>
      <c r="G138" s="1698"/>
      <c r="S138" s="1698"/>
      <c r="T138" s="1846" t="str">
        <f t="shared" si="18"/>
        <v/>
      </c>
      <c r="U138" s="1847" t="str">
        <f t="shared" si="19"/>
        <v/>
      </c>
      <c r="V138" s="1848"/>
      <c r="W138" s="1849" t="str">
        <f t="shared" si="20"/>
        <v/>
      </c>
      <c r="X138" s="1698"/>
      <c r="AY138" s="1746" t="s">
        <v>2588</v>
      </c>
      <c r="AZ138" s="1746">
        <v>2006</v>
      </c>
      <c r="BA138" s="1746" t="s">
        <v>2882</v>
      </c>
      <c r="BB138" s="1747" t="s">
        <v>2883</v>
      </c>
      <c r="BC138" s="1746">
        <v>50</v>
      </c>
      <c r="BD138" s="1746" t="s">
        <v>2795</v>
      </c>
      <c r="BE138" s="1746"/>
      <c r="BF138" s="1746">
        <v>1841.1</v>
      </c>
      <c r="BG138" s="1746" t="s">
        <v>2592</v>
      </c>
      <c r="BH138" s="1744">
        <f t="shared" si="25"/>
        <v>1.8410999999999998E-3</v>
      </c>
      <c r="BI138" s="1745">
        <f t="shared" si="21"/>
        <v>3.6821999999999994E-5</v>
      </c>
      <c r="BJ138" s="1740" t="str">
        <f t="shared" si="22"/>
        <v>vials</v>
      </c>
      <c r="BK138" s="1740" t="str">
        <f t="shared" si="23"/>
        <v>Injection Vial</v>
      </c>
      <c r="BN138" t="str">
        <f t="array" ref="BN138">IFERROR(INDEX($BJ$19:$BJ$1364, MATCH(0,COUNTIF($BN$16:BN137, $BJ$19:$BJ$1364), 0)),"")</f>
        <v/>
      </c>
      <c r="BV138" s="1689" t="s">
        <v>1182</v>
      </c>
      <c r="BW138" s="1689" t="s">
        <v>1169</v>
      </c>
      <c r="BX138" s="1689" t="s">
        <v>889</v>
      </c>
      <c r="BY138" s="1689" t="s">
        <v>907</v>
      </c>
      <c r="BZ138" s="1689"/>
      <c r="CA138" s="1689" t="s">
        <v>1183</v>
      </c>
      <c r="CB138" s="1689"/>
      <c r="CC138" s="1689"/>
      <c r="CD138" s="1689">
        <v>1</v>
      </c>
      <c r="CE138" s="1689">
        <v>32.299999999999997</v>
      </c>
      <c r="CF138" s="1689"/>
      <c r="CG138" s="1740">
        <f t="shared" ref="CG138:CG201" si="27">SUM(CF138,CE138)</f>
        <v>32.299999999999997</v>
      </c>
      <c r="CH138" s="1740">
        <f t="shared" si="24"/>
        <v>32.299999999999997</v>
      </c>
    </row>
    <row r="139" spans="2:86" ht="15.65" customHeight="1">
      <c r="B139" s="149"/>
      <c r="C139" s="1837"/>
      <c r="D139" s="1841"/>
      <c r="E139" s="1840"/>
      <c r="F139" s="1838"/>
      <c r="G139" s="1698"/>
      <c r="S139" s="1698"/>
      <c r="T139" s="1846" t="str">
        <f t="shared" ref="T139:T202" si="28">IF(C139="","",C139)</f>
        <v/>
      </c>
      <c r="U139" s="1847" t="str">
        <f t="shared" ref="U139:U202" si="29">IFERROR(INDEX($O$11:$O$42,MATCH(E139,$K$11:$K$42,0)),"")</f>
        <v/>
      </c>
      <c r="V139" s="1848"/>
      <c r="W139" s="1849" t="str">
        <f t="shared" si="20"/>
        <v/>
      </c>
      <c r="X139" s="1698"/>
      <c r="AY139" s="1746" t="s">
        <v>2593</v>
      </c>
      <c r="AZ139" s="1746">
        <v>2008</v>
      </c>
      <c r="BA139" s="1746" t="s">
        <v>2884</v>
      </c>
      <c r="BB139" s="1747" t="s">
        <v>2885</v>
      </c>
      <c r="BC139" s="1746">
        <v>1</v>
      </c>
      <c r="BD139" s="1746" t="s">
        <v>2596</v>
      </c>
      <c r="BE139" s="1746"/>
      <c r="BF139" s="1746">
        <v>3.8999999999999999E-4</v>
      </c>
      <c r="BG139" s="1746" t="s">
        <v>2597</v>
      </c>
      <c r="BH139" s="1744">
        <f t="shared" si="25"/>
        <v>3.8999999999999999E-4</v>
      </c>
      <c r="BI139" s="1745">
        <f t="shared" si="21"/>
        <v>3.8999999999999999E-4</v>
      </c>
      <c r="BJ139" s="1740" t="str">
        <f t="shared" si="22"/>
        <v>bottle</v>
      </c>
      <c r="BK139" s="1740" t="str">
        <f t="shared" si="23"/>
        <v>Bottle of Liquid</v>
      </c>
      <c r="BV139" s="1689" t="s">
        <v>1168</v>
      </c>
      <c r="BW139" s="1689" t="s">
        <v>1169</v>
      </c>
      <c r="BX139" s="1689" t="s">
        <v>889</v>
      </c>
      <c r="BY139" s="1689" t="s">
        <v>907</v>
      </c>
      <c r="BZ139" s="1689"/>
      <c r="CA139" s="1689" t="s">
        <v>1183</v>
      </c>
      <c r="CB139" s="1689"/>
      <c r="CC139" s="1689"/>
      <c r="CD139" s="1689">
        <v>10</v>
      </c>
      <c r="CE139" s="1689">
        <v>13.8</v>
      </c>
      <c r="CF139" s="1689"/>
      <c r="CG139" s="1740">
        <f t="shared" si="27"/>
        <v>13.8</v>
      </c>
      <c r="CH139" s="1740">
        <f t="shared" si="24"/>
        <v>138</v>
      </c>
    </row>
    <row r="140" spans="2:86" ht="15.65" customHeight="1">
      <c r="B140" s="149"/>
      <c r="C140" s="1837"/>
      <c r="D140" s="1841"/>
      <c r="E140" s="1840"/>
      <c r="F140" s="1838"/>
      <c r="G140" s="1698"/>
      <c r="S140" s="1698"/>
      <c r="T140" s="1846" t="str">
        <f t="shared" si="28"/>
        <v/>
      </c>
      <c r="U140" s="1847" t="str">
        <f t="shared" si="29"/>
        <v/>
      </c>
      <c r="V140" s="1848"/>
      <c r="W140" s="1849" t="str">
        <f t="shared" ref="W140:W203" si="30">IF(V140&lt;&gt;"",V140,IF(U140="","",U140))</f>
        <v/>
      </c>
      <c r="X140" s="1698"/>
      <c r="AY140" s="1746" t="s">
        <v>2593</v>
      </c>
      <c r="AZ140" s="1746">
        <v>2008</v>
      </c>
      <c r="BA140" s="1746" t="s">
        <v>2886</v>
      </c>
      <c r="BB140" s="1747" t="s">
        <v>2887</v>
      </c>
      <c r="BC140" s="1746">
        <v>50</v>
      </c>
      <c r="BD140" s="1746" t="s">
        <v>2795</v>
      </c>
      <c r="BE140" s="1746"/>
      <c r="BF140" s="1746">
        <v>1.5900000000000001E-3</v>
      </c>
      <c r="BG140" s="1746" t="s">
        <v>2597</v>
      </c>
      <c r="BH140" s="1744">
        <f t="shared" si="25"/>
        <v>1.5900000000000001E-3</v>
      </c>
      <c r="BI140" s="1745">
        <f t="shared" si="21"/>
        <v>3.18E-5</v>
      </c>
      <c r="BJ140" s="1740" t="str">
        <f t="shared" si="22"/>
        <v>vials</v>
      </c>
      <c r="BK140" s="1740" t="str">
        <f t="shared" si="23"/>
        <v>Injection Vial</v>
      </c>
      <c r="BV140" s="1689" t="s">
        <v>1168</v>
      </c>
      <c r="BW140" s="1689" t="s">
        <v>1169</v>
      </c>
      <c r="BX140" s="1689" t="s">
        <v>889</v>
      </c>
      <c r="BY140" s="1689" t="s">
        <v>907</v>
      </c>
      <c r="BZ140" s="1689"/>
      <c r="CA140" s="1689" t="s">
        <v>1183</v>
      </c>
      <c r="CB140" s="1689"/>
      <c r="CC140" s="1689"/>
      <c r="CD140" s="1689">
        <v>10</v>
      </c>
      <c r="CE140" s="1689">
        <v>9.5</v>
      </c>
      <c r="CF140" s="1689"/>
      <c r="CG140" s="1740">
        <f t="shared" si="27"/>
        <v>9.5</v>
      </c>
      <c r="CH140" s="1740">
        <f t="shared" si="24"/>
        <v>95</v>
      </c>
    </row>
    <row r="141" spans="2:86" ht="15.65" customHeight="1">
      <c r="B141" s="149"/>
      <c r="C141" s="1837"/>
      <c r="D141" s="1841"/>
      <c r="E141" s="1840"/>
      <c r="F141" s="1838"/>
      <c r="G141" s="1698"/>
      <c r="S141" s="1698"/>
      <c r="T141" s="1846" t="str">
        <f t="shared" si="28"/>
        <v/>
      </c>
      <c r="U141" s="1847" t="str">
        <f t="shared" si="29"/>
        <v/>
      </c>
      <c r="V141" s="1848"/>
      <c r="W141" s="1849" t="str">
        <f t="shared" si="30"/>
        <v/>
      </c>
      <c r="X141" s="1698"/>
      <c r="AY141" s="1746" t="s">
        <v>2588</v>
      </c>
      <c r="AZ141" s="1746">
        <v>2006</v>
      </c>
      <c r="BA141" s="1746" t="s">
        <v>2888</v>
      </c>
      <c r="BB141" s="1747" t="s">
        <v>2889</v>
      </c>
      <c r="BC141" s="1746">
        <v>1000</v>
      </c>
      <c r="BD141" s="1746" t="s">
        <v>2839</v>
      </c>
      <c r="BE141" s="1746"/>
      <c r="BF141" s="1746">
        <v>1836</v>
      </c>
      <c r="BG141" s="1746" t="s">
        <v>2592</v>
      </c>
      <c r="BH141" s="1744">
        <f t="shared" si="25"/>
        <v>1.836E-3</v>
      </c>
      <c r="BI141" s="1745">
        <f t="shared" si="21"/>
        <v>1.8359999999999999E-6</v>
      </c>
      <c r="BJ141" s="1740" t="str">
        <f t="shared" si="22"/>
        <v>caps</v>
      </c>
      <c r="BK141" s="1740" t="str">
        <f t="shared" si="23"/>
        <v>Bottle of Tablets</v>
      </c>
      <c r="BV141" s="1689" t="s">
        <v>1185</v>
      </c>
      <c r="BW141" s="1689" t="s">
        <v>1186</v>
      </c>
      <c r="BX141" s="1689" t="s">
        <v>864</v>
      </c>
      <c r="BY141" s="1689" t="s">
        <v>907</v>
      </c>
      <c r="BZ141" s="1689"/>
      <c r="CA141" s="1689" t="s">
        <v>1187</v>
      </c>
      <c r="CB141" s="1689" t="s">
        <v>868</v>
      </c>
      <c r="CC141" s="1689"/>
      <c r="CD141" s="1689">
        <v>1</v>
      </c>
      <c r="CE141" s="1689">
        <v>12.66</v>
      </c>
      <c r="CF141" s="1689"/>
      <c r="CG141" s="1740">
        <f t="shared" si="27"/>
        <v>12.66</v>
      </c>
      <c r="CH141" s="1740">
        <f t="shared" si="24"/>
        <v>12.66</v>
      </c>
    </row>
    <row r="142" spans="2:86" ht="15.65" customHeight="1">
      <c r="B142" s="149"/>
      <c r="C142" s="1837"/>
      <c r="D142" s="1841"/>
      <c r="E142" s="1840"/>
      <c r="F142" s="1838"/>
      <c r="G142" s="1698"/>
      <c r="S142" s="1698"/>
      <c r="T142" s="1846" t="str">
        <f t="shared" si="28"/>
        <v/>
      </c>
      <c r="U142" s="1847" t="str">
        <f t="shared" si="29"/>
        <v/>
      </c>
      <c r="V142" s="1848"/>
      <c r="W142" s="1849" t="str">
        <f t="shared" si="30"/>
        <v/>
      </c>
      <c r="X142" s="1698"/>
      <c r="AY142" s="1746" t="s">
        <v>2593</v>
      </c>
      <c r="AZ142" s="1746">
        <v>2008</v>
      </c>
      <c r="BA142" s="1746" t="s">
        <v>2890</v>
      </c>
      <c r="BB142" s="1747" t="s">
        <v>2891</v>
      </c>
      <c r="BC142" s="1750">
        <v>1000</v>
      </c>
      <c r="BD142" s="1746" t="s">
        <v>2864</v>
      </c>
      <c r="BE142" s="1746"/>
      <c r="BF142" s="1746">
        <v>1.67E-3</v>
      </c>
      <c r="BG142" s="1746" t="s">
        <v>2597</v>
      </c>
      <c r="BH142" s="1744">
        <f t="shared" si="25"/>
        <v>1.67E-3</v>
      </c>
      <c r="BI142" s="1745">
        <f t="shared" si="21"/>
        <v>1.6700000000000001E-6</v>
      </c>
      <c r="BJ142" s="1740" t="str">
        <f t="shared" si="22"/>
        <v>capsules</v>
      </c>
      <c r="BK142" s="1740" t="str">
        <f t="shared" si="23"/>
        <v>Bottle of Tablets</v>
      </c>
      <c r="BV142" s="1689" t="s">
        <v>1185</v>
      </c>
      <c r="BW142" s="1689" t="s">
        <v>1186</v>
      </c>
      <c r="BX142" s="1689" t="s">
        <v>864</v>
      </c>
      <c r="BY142" s="1689" t="s">
        <v>907</v>
      </c>
      <c r="BZ142" s="1689"/>
      <c r="CA142" s="1689" t="s">
        <v>985</v>
      </c>
      <c r="CB142" s="1689" t="s">
        <v>868</v>
      </c>
      <c r="CC142" s="1689"/>
      <c r="CD142" s="1689" t="s">
        <v>990</v>
      </c>
      <c r="CE142" s="1689"/>
      <c r="CF142" s="1689"/>
      <c r="CG142" s="1740"/>
      <c r="CH142" s="1740" t="str">
        <f t="shared" si="24"/>
        <v/>
      </c>
    </row>
    <row r="143" spans="2:86" ht="15.65" customHeight="1">
      <c r="B143" s="149"/>
      <c r="C143" s="1837"/>
      <c r="D143" s="1841"/>
      <c r="E143" s="1840"/>
      <c r="F143" s="1838"/>
      <c r="G143" s="1698"/>
      <c r="S143" s="1698"/>
      <c r="T143" s="1846" t="str">
        <f t="shared" si="28"/>
        <v/>
      </c>
      <c r="U143" s="1847" t="str">
        <f t="shared" si="29"/>
        <v/>
      </c>
      <c r="V143" s="1848"/>
      <c r="W143" s="1849" t="str">
        <f t="shared" si="30"/>
        <v/>
      </c>
      <c r="X143" s="1698"/>
      <c r="AY143" s="1746" t="s">
        <v>2593</v>
      </c>
      <c r="AZ143" s="1746">
        <v>2008</v>
      </c>
      <c r="BA143" s="1746" t="s">
        <v>2892</v>
      </c>
      <c r="BB143" s="1747" t="s">
        <v>2891</v>
      </c>
      <c r="BC143" s="1750">
        <v>1000</v>
      </c>
      <c r="BD143" s="1746" t="s">
        <v>2864</v>
      </c>
      <c r="BE143" s="1746"/>
      <c r="BF143" s="1746">
        <v>0</v>
      </c>
      <c r="BG143" s="1746" t="s">
        <v>2597</v>
      </c>
      <c r="BH143" s="1744">
        <f t="shared" si="25"/>
        <v>0</v>
      </c>
      <c r="BI143" s="1745">
        <f t="shared" si="21"/>
        <v>0</v>
      </c>
      <c r="BJ143" s="1740" t="str">
        <f t="shared" si="22"/>
        <v>capsules</v>
      </c>
      <c r="BK143" s="1740" t="str">
        <f t="shared" si="23"/>
        <v>Bottle of Tablets</v>
      </c>
      <c r="BV143" s="1689" t="s">
        <v>1185</v>
      </c>
      <c r="BW143" s="1689" t="s">
        <v>1186</v>
      </c>
      <c r="BX143" s="1689" t="s">
        <v>864</v>
      </c>
      <c r="BY143" s="1689" t="s">
        <v>907</v>
      </c>
      <c r="BZ143" s="1689"/>
      <c r="CA143" s="1689" t="s">
        <v>985</v>
      </c>
      <c r="CB143" s="1689" t="s">
        <v>868</v>
      </c>
      <c r="CC143" s="1689"/>
      <c r="CD143" s="1689" t="s">
        <v>894</v>
      </c>
      <c r="CE143" s="1689"/>
      <c r="CF143" s="1689"/>
      <c r="CG143" s="1740"/>
      <c r="CH143" s="1740" t="str">
        <f t="shared" si="24"/>
        <v/>
      </c>
    </row>
    <row r="144" spans="2:86" ht="15.65" customHeight="1">
      <c r="B144" s="149"/>
      <c r="C144" s="1837"/>
      <c r="D144" s="1841"/>
      <c r="E144" s="1840"/>
      <c r="F144" s="1838"/>
      <c r="G144" s="1698"/>
      <c r="S144" s="1698"/>
      <c r="T144" s="1846" t="str">
        <f t="shared" si="28"/>
        <v/>
      </c>
      <c r="U144" s="1847" t="str">
        <f t="shared" si="29"/>
        <v/>
      </c>
      <c r="V144" s="1848"/>
      <c r="W144" s="1849" t="str">
        <f t="shared" si="30"/>
        <v/>
      </c>
      <c r="X144" s="1698"/>
      <c r="AY144" s="1746" t="s">
        <v>2588</v>
      </c>
      <c r="AZ144" s="1746">
        <v>2006</v>
      </c>
      <c r="BA144" s="1746" t="s">
        <v>2893</v>
      </c>
      <c r="BB144" s="1747" t="s">
        <v>2894</v>
      </c>
      <c r="BC144" s="1746">
        <v>1000</v>
      </c>
      <c r="BD144" s="1746" t="s">
        <v>2839</v>
      </c>
      <c r="BE144" s="1746"/>
      <c r="BF144" s="1746">
        <v>1956.5</v>
      </c>
      <c r="BG144" s="1746" t="s">
        <v>2592</v>
      </c>
      <c r="BH144" s="1744">
        <f t="shared" si="25"/>
        <v>1.9564999999999999E-3</v>
      </c>
      <c r="BI144" s="1745">
        <f t="shared" si="21"/>
        <v>1.9564999999999998E-6</v>
      </c>
      <c r="BJ144" s="1740" t="str">
        <f t="shared" si="22"/>
        <v>caps</v>
      </c>
      <c r="BK144" s="1740" t="str">
        <f t="shared" si="23"/>
        <v>Bottle of Tablets</v>
      </c>
      <c r="BV144" s="1689" t="s">
        <v>1185</v>
      </c>
      <c r="BW144" s="1689" t="s">
        <v>1186</v>
      </c>
      <c r="BX144" s="1689" t="s">
        <v>864</v>
      </c>
      <c r="BY144" s="1689" t="s">
        <v>907</v>
      </c>
      <c r="BZ144" s="1689"/>
      <c r="CA144" s="1689" t="s">
        <v>985</v>
      </c>
      <c r="CB144" s="1689" t="s">
        <v>868</v>
      </c>
      <c r="CC144" s="1689"/>
      <c r="CD144" s="1689" t="s">
        <v>988</v>
      </c>
      <c r="CE144" s="1689"/>
      <c r="CF144" s="1689"/>
      <c r="CG144" s="1740"/>
      <c r="CH144" s="1740" t="str">
        <f t="shared" si="24"/>
        <v/>
      </c>
    </row>
    <row r="145" spans="2:86" ht="15.65" customHeight="1">
      <c r="B145" s="149"/>
      <c r="C145" s="1837"/>
      <c r="D145" s="1841"/>
      <c r="E145" s="1840"/>
      <c r="F145" s="1838"/>
      <c r="G145" s="1698"/>
      <c r="S145" s="1698"/>
      <c r="T145" s="1846" t="str">
        <f t="shared" si="28"/>
        <v/>
      </c>
      <c r="U145" s="1847" t="str">
        <f t="shared" si="29"/>
        <v/>
      </c>
      <c r="V145" s="1848"/>
      <c r="W145" s="1849" t="str">
        <f t="shared" si="30"/>
        <v/>
      </c>
      <c r="X145" s="1698"/>
      <c r="AY145" s="1746" t="s">
        <v>2593</v>
      </c>
      <c r="AZ145" s="1746">
        <v>2008</v>
      </c>
      <c r="BA145" s="1746" t="s">
        <v>2895</v>
      </c>
      <c r="BB145" s="1747" t="s">
        <v>2896</v>
      </c>
      <c r="BC145" s="1750">
        <v>1000</v>
      </c>
      <c r="BD145" s="1746" t="s">
        <v>2864</v>
      </c>
      <c r="BE145" s="1746"/>
      <c r="BF145" s="1746">
        <v>2.2100000000000002E-3</v>
      </c>
      <c r="BG145" s="1746" t="s">
        <v>2597</v>
      </c>
      <c r="BH145" s="1744">
        <f t="shared" si="25"/>
        <v>2.2100000000000002E-3</v>
      </c>
      <c r="BI145" s="1745">
        <f t="shared" si="21"/>
        <v>2.21E-6</v>
      </c>
      <c r="BJ145" s="1740" t="str">
        <f t="shared" si="22"/>
        <v>capsules</v>
      </c>
      <c r="BK145" s="1740" t="str">
        <f t="shared" si="23"/>
        <v>Bottle of Tablets</v>
      </c>
      <c r="BV145" s="1689" t="s">
        <v>1194</v>
      </c>
      <c r="BW145" s="1689" t="s">
        <v>1195</v>
      </c>
      <c r="BX145" s="1689" t="s">
        <v>889</v>
      </c>
      <c r="BY145" s="1689" t="s">
        <v>907</v>
      </c>
      <c r="BZ145" s="1689" t="s">
        <v>1196</v>
      </c>
      <c r="CA145" s="1689" t="s">
        <v>1197</v>
      </c>
      <c r="CB145" s="1689"/>
      <c r="CC145" s="1689"/>
      <c r="CD145" s="1689" t="s">
        <v>894</v>
      </c>
      <c r="CE145" s="1689">
        <v>75</v>
      </c>
      <c r="CF145" s="1689"/>
      <c r="CG145" s="1740">
        <f t="shared" si="27"/>
        <v>75</v>
      </c>
      <c r="CH145" s="1740" t="str">
        <f t="shared" si="24"/>
        <v/>
      </c>
    </row>
    <row r="146" spans="2:86" ht="15.65" customHeight="1">
      <c r="B146" s="149"/>
      <c r="C146" s="1837"/>
      <c r="D146" s="1841"/>
      <c r="E146" s="1840"/>
      <c r="F146" s="1838"/>
      <c r="G146" s="1698"/>
      <c r="S146" s="1698"/>
      <c r="T146" s="1846" t="str">
        <f t="shared" si="28"/>
        <v/>
      </c>
      <c r="U146" s="1847" t="str">
        <f t="shared" si="29"/>
        <v/>
      </c>
      <c r="V146" s="1848"/>
      <c r="W146" s="1849" t="str">
        <f t="shared" si="30"/>
        <v/>
      </c>
      <c r="X146" s="1698"/>
      <c r="AY146" s="1746" t="s">
        <v>2593</v>
      </c>
      <c r="AZ146" s="1746">
        <v>2008</v>
      </c>
      <c r="BA146" s="1746" t="s">
        <v>2897</v>
      </c>
      <c r="BB146" s="1747" t="s">
        <v>2898</v>
      </c>
      <c r="BC146" s="1746">
        <v>50</v>
      </c>
      <c r="BD146" s="1746" t="s">
        <v>2795</v>
      </c>
      <c r="BE146" s="1746"/>
      <c r="BF146" s="1746">
        <v>1.6100000000000001E-3</v>
      </c>
      <c r="BG146" s="1746" t="s">
        <v>2597</v>
      </c>
      <c r="BH146" s="1744">
        <f t="shared" si="25"/>
        <v>1.6100000000000001E-3</v>
      </c>
      <c r="BI146" s="1745">
        <f t="shared" si="21"/>
        <v>3.2200000000000003E-5</v>
      </c>
      <c r="BJ146" s="1740" t="str">
        <f t="shared" si="22"/>
        <v>vials</v>
      </c>
      <c r="BK146" s="1740" t="str">
        <f t="shared" si="23"/>
        <v>Injection Vial</v>
      </c>
      <c r="BV146" s="1689" t="s">
        <v>1194</v>
      </c>
      <c r="BW146" s="1689" t="s">
        <v>1195</v>
      </c>
      <c r="BX146" s="1689" t="s">
        <v>889</v>
      </c>
      <c r="BY146" s="1689" t="s">
        <v>907</v>
      </c>
      <c r="BZ146" s="1689" t="s">
        <v>1196</v>
      </c>
      <c r="CA146" s="1689" t="s">
        <v>1199</v>
      </c>
      <c r="CB146" s="1689"/>
      <c r="CC146" s="1689"/>
      <c r="CD146" s="1689">
        <v>1</v>
      </c>
      <c r="CE146" s="1689">
        <v>15</v>
      </c>
      <c r="CF146" s="1689"/>
      <c r="CG146" s="1740">
        <f t="shared" si="27"/>
        <v>15</v>
      </c>
      <c r="CH146" s="1740">
        <f t="shared" si="24"/>
        <v>15</v>
      </c>
    </row>
    <row r="147" spans="2:86" ht="15.65" customHeight="1">
      <c r="B147" s="149"/>
      <c r="C147" s="1837"/>
      <c r="D147" s="1841"/>
      <c r="E147" s="1840"/>
      <c r="F147" s="1838"/>
      <c r="G147" s="1698"/>
      <c r="S147" s="1698"/>
      <c r="T147" s="1846" t="str">
        <f t="shared" si="28"/>
        <v/>
      </c>
      <c r="U147" s="1847" t="str">
        <f t="shared" si="29"/>
        <v/>
      </c>
      <c r="V147" s="1848"/>
      <c r="W147" s="1849" t="str">
        <f t="shared" si="30"/>
        <v/>
      </c>
      <c r="X147" s="1698"/>
      <c r="AY147" s="1746" t="s">
        <v>2588</v>
      </c>
      <c r="AZ147" s="1746">
        <v>2006</v>
      </c>
      <c r="BA147" s="1746" t="s">
        <v>2899</v>
      </c>
      <c r="BB147" s="1747" t="s">
        <v>2900</v>
      </c>
      <c r="BC147" s="1746">
        <v>50</v>
      </c>
      <c r="BD147" s="1746" t="s">
        <v>2795</v>
      </c>
      <c r="BE147" s="1746"/>
      <c r="BF147" s="1746">
        <v>1859</v>
      </c>
      <c r="BG147" s="1746" t="s">
        <v>2592</v>
      </c>
      <c r="BH147" s="1744">
        <f t="shared" si="25"/>
        <v>1.859E-3</v>
      </c>
      <c r="BI147" s="1745">
        <f t="shared" ref="BI147:BI210" si="31">IFERROR(BH147/BC147,"")</f>
        <v>3.718E-5</v>
      </c>
      <c r="BJ147" s="1740" t="str">
        <f t="shared" ref="BJ147:BJ210" si="32">IF(BE147="",BD147,BD147&amp;"-"&amp;BE147)</f>
        <v>vials</v>
      </c>
      <c r="BK147" s="1740" t="str">
        <f t="shared" si="23"/>
        <v>Injection Vial</v>
      </c>
      <c r="BV147" s="1689" t="s">
        <v>1194</v>
      </c>
      <c r="BW147" s="1689" t="s">
        <v>1195</v>
      </c>
      <c r="BX147" s="1689" t="s">
        <v>889</v>
      </c>
      <c r="BY147" s="1689" t="s">
        <v>907</v>
      </c>
      <c r="BZ147" s="1689" t="s">
        <v>1200</v>
      </c>
      <c r="CA147" s="1689" t="s">
        <v>1201</v>
      </c>
      <c r="CB147" s="1689"/>
      <c r="CC147" s="1689"/>
      <c r="CD147" s="1689" t="s">
        <v>894</v>
      </c>
      <c r="CE147" s="1689">
        <v>57.7</v>
      </c>
      <c r="CF147" s="1689"/>
      <c r="CG147" s="1740">
        <f t="shared" si="27"/>
        <v>57.7</v>
      </c>
      <c r="CH147" s="1740" t="str">
        <f t="shared" si="24"/>
        <v/>
      </c>
    </row>
    <row r="148" spans="2:86" ht="15.65" customHeight="1">
      <c r="B148" s="149"/>
      <c r="C148" s="1837"/>
      <c r="D148" s="1841"/>
      <c r="E148" s="1840"/>
      <c r="F148" s="1838"/>
      <c r="G148" s="1698"/>
      <c r="S148" s="1698"/>
      <c r="T148" s="1846" t="str">
        <f t="shared" si="28"/>
        <v/>
      </c>
      <c r="U148" s="1847" t="str">
        <f t="shared" si="29"/>
        <v/>
      </c>
      <c r="V148" s="1848"/>
      <c r="W148" s="1849" t="str">
        <f t="shared" si="30"/>
        <v/>
      </c>
      <c r="X148" s="1698"/>
      <c r="AY148" s="1746" t="s">
        <v>2575</v>
      </c>
      <c r="AZ148" s="1746">
        <v>2008</v>
      </c>
      <c r="BA148" s="1746" t="s">
        <v>2901</v>
      </c>
      <c r="BB148" s="1747" t="s">
        <v>2902</v>
      </c>
      <c r="BC148" s="1746" t="s">
        <v>2578</v>
      </c>
      <c r="BD148" s="1746" t="s">
        <v>2903</v>
      </c>
      <c r="BE148" s="1746" t="s">
        <v>2833</v>
      </c>
      <c r="BF148" s="1746">
        <v>0.95799999999999996</v>
      </c>
      <c r="BG148" s="1746" t="s">
        <v>2581</v>
      </c>
      <c r="BH148" s="1744">
        <f t="shared" si="25"/>
        <v>9.5799999999999998E-4</v>
      </c>
      <c r="BI148" s="1745" t="str">
        <f t="shared" si="31"/>
        <v/>
      </c>
      <c r="BJ148" s="1740" t="str">
        <f t="shared" si="32"/>
        <v>BOX-ß-lactams</v>
      </c>
      <c r="BK148" s="1740" t="str">
        <f t="shared" ref="BK148:BK211" si="33">IFERROR(INDEX($BO$18:$BO$136,MATCH(BJ148,$BN$18:$BN$136,0)),"")</f>
        <v>Injection Vial</v>
      </c>
      <c r="BV148" s="1689" t="s">
        <v>1194</v>
      </c>
      <c r="BW148" s="1689" t="s">
        <v>1195</v>
      </c>
      <c r="BX148" s="1689" t="s">
        <v>889</v>
      </c>
      <c r="BY148" s="1689" t="s">
        <v>907</v>
      </c>
      <c r="BZ148" s="1689" t="s">
        <v>1200</v>
      </c>
      <c r="CA148" s="1689" t="s">
        <v>1199</v>
      </c>
      <c r="CB148" s="1689"/>
      <c r="CC148" s="1689"/>
      <c r="CD148" s="1689">
        <v>1</v>
      </c>
      <c r="CE148" s="1689">
        <v>11.5</v>
      </c>
      <c r="CF148" s="1689"/>
      <c r="CG148" s="1740">
        <f t="shared" si="27"/>
        <v>11.5</v>
      </c>
      <c r="CH148" s="1740">
        <f t="shared" ref="CH148:CH211" si="34">IFERROR(CD148*CG148,"")</f>
        <v>11.5</v>
      </c>
    </row>
    <row r="149" spans="2:86" ht="15.65" customHeight="1">
      <c r="B149" s="149"/>
      <c r="C149" s="1837"/>
      <c r="D149" s="1841"/>
      <c r="E149" s="1840"/>
      <c r="F149" s="1838"/>
      <c r="G149" s="1698"/>
      <c r="S149" s="1698"/>
      <c r="T149" s="1846" t="str">
        <f t="shared" si="28"/>
        <v/>
      </c>
      <c r="U149" s="1847" t="str">
        <f t="shared" si="29"/>
        <v/>
      </c>
      <c r="V149" s="1848"/>
      <c r="W149" s="1849" t="str">
        <f t="shared" si="30"/>
        <v/>
      </c>
      <c r="X149" s="1698"/>
      <c r="AY149" s="1746" t="s">
        <v>2588</v>
      </c>
      <c r="AZ149" s="1746">
        <v>2006</v>
      </c>
      <c r="BA149" s="1746" t="s">
        <v>2904</v>
      </c>
      <c r="BB149" s="1747" t="s">
        <v>2905</v>
      </c>
      <c r="BC149" s="1746">
        <v>1</v>
      </c>
      <c r="BD149" s="1746" t="s">
        <v>2596</v>
      </c>
      <c r="BE149" s="1746"/>
      <c r="BF149" s="1746">
        <v>619</v>
      </c>
      <c r="BG149" s="1746" t="s">
        <v>2592</v>
      </c>
      <c r="BH149" s="1744">
        <f t="shared" si="25"/>
        <v>6.1899999999999998E-4</v>
      </c>
      <c r="BI149" s="1745">
        <f t="shared" si="31"/>
        <v>6.1899999999999998E-4</v>
      </c>
      <c r="BJ149" s="1740" t="str">
        <f t="shared" si="32"/>
        <v>bottle</v>
      </c>
      <c r="BK149" s="1740" t="str">
        <f t="shared" si="33"/>
        <v>Bottle of Liquid</v>
      </c>
      <c r="BV149" s="1689" t="s">
        <v>1194</v>
      </c>
      <c r="BW149" s="1689" t="s">
        <v>1195</v>
      </c>
      <c r="BX149" s="1689" t="s">
        <v>889</v>
      </c>
      <c r="BY149" s="1689" t="s">
        <v>907</v>
      </c>
      <c r="BZ149" s="1689" t="s">
        <v>1200</v>
      </c>
      <c r="CA149" s="1689" t="s">
        <v>1203</v>
      </c>
      <c r="CB149" s="1689"/>
      <c r="CC149" s="1689"/>
      <c r="CD149" s="1689">
        <v>1</v>
      </c>
      <c r="CE149" s="1689">
        <v>9.6999999999999993</v>
      </c>
      <c r="CF149" s="1689"/>
      <c r="CG149" s="1740">
        <f t="shared" si="27"/>
        <v>9.6999999999999993</v>
      </c>
      <c r="CH149" s="1740">
        <f t="shared" si="34"/>
        <v>9.6999999999999993</v>
      </c>
    </row>
    <row r="150" spans="2:86" ht="15.65" customHeight="1">
      <c r="B150" s="149"/>
      <c r="C150" s="1837"/>
      <c r="D150" s="1841"/>
      <c r="E150" s="1840"/>
      <c r="F150" s="1838"/>
      <c r="G150" s="1698"/>
      <c r="S150" s="1698"/>
      <c r="T150" s="1846" t="str">
        <f t="shared" si="28"/>
        <v/>
      </c>
      <c r="U150" s="1847" t="str">
        <f t="shared" si="29"/>
        <v/>
      </c>
      <c r="V150" s="1848"/>
      <c r="W150" s="1849" t="str">
        <f t="shared" si="30"/>
        <v/>
      </c>
      <c r="X150" s="1698"/>
      <c r="AY150" s="1746" t="s">
        <v>2593</v>
      </c>
      <c r="AZ150" s="1746">
        <v>2008</v>
      </c>
      <c r="BA150" s="1746" t="s">
        <v>2906</v>
      </c>
      <c r="BB150" s="1747" t="s">
        <v>2907</v>
      </c>
      <c r="BC150" s="1746">
        <v>10</v>
      </c>
      <c r="BD150" s="1746" t="s">
        <v>2795</v>
      </c>
      <c r="BE150" s="1746"/>
      <c r="BF150" s="1746">
        <v>2.0999999999999999E-3</v>
      </c>
      <c r="BG150" s="1746" t="s">
        <v>2597</v>
      </c>
      <c r="BH150" s="1744">
        <f t="shared" si="25"/>
        <v>2.0999999999999999E-3</v>
      </c>
      <c r="BI150" s="1745">
        <f t="shared" si="31"/>
        <v>2.0999999999999998E-4</v>
      </c>
      <c r="BJ150" s="1740" t="str">
        <f t="shared" si="32"/>
        <v>vials</v>
      </c>
      <c r="BK150" s="1740" t="str">
        <f t="shared" si="33"/>
        <v>Injection Vial</v>
      </c>
      <c r="BV150" s="1689" t="s">
        <v>1194</v>
      </c>
      <c r="BW150" s="1689" t="s">
        <v>1195</v>
      </c>
      <c r="BX150" s="1689" t="s">
        <v>889</v>
      </c>
      <c r="BY150" s="1689" t="s">
        <v>907</v>
      </c>
      <c r="BZ150" s="1689" t="s">
        <v>1200</v>
      </c>
      <c r="CA150" s="1689" t="s">
        <v>1204</v>
      </c>
      <c r="CB150" s="1689"/>
      <c r="CC150" s="1689"/>
      <c r="CD150" s="1689" t="s">
        <v>988</v>
      </c>
      <c r="CE150" s="1689">
        <v>28.8</v>
      </c>
      <c r="CF150" s="1689"/>
      <c r="CG150" s="1740">
        <f t="shared" si="27"/>
        <v>28.8</v>
      </c>
      <c r="CH150" s="1740" t="str">
        <f t="shared" si="34"/>
        <v/>
      </c>
    </row>
    <row r="151" spans="2:86" ht="15.65" customHeight="1">
      <c r="B151" s="149"/>
      <c r="C151" s="1837"/>
      <c r="D151" s="1841"/>
      <c r="E151" s="1840"/>
      <c r="F151" s="1838"/>
      <c r="G151" s="1698"/>
      <c r="S151" s="1698"/>
      <c r="T151" s="1846" t="str">
        <f t="shared" si="28"/>
        <v/>
      </c>
      <c r="U151" s="1847" t="str">
        <f t="shared" si="29"/>
        <v/>
      </c>
      <c r="V151" s="1848"/>
      <c r="W151" s="1849" t="str">
        <f t="shared" si="30"/>
        <v/>
      </c>
      <c r="X151" s="1698"/>
      <c r="AY151" s="1746" t="s">
        <v>2588</v>
      </c>
      <c r="AZ151" s="1746">
        <v>2006</v>
      </c>
      <c r="BA151" s="1746" t="s">
        <v>2908</v>
      </c>
      <c r="BB151" s="1747" t="s">
        <v>2909</v>
      </c>
      <c r="BC151" s="1746">
        <v>10</v>
      </c>
      <c r="BD151" s="1746" t="s">
        <v>2671</v>
      </c>
      <c r="BE151" s="1746"/>
      <c r="BF151" s="1746">
        <v>1560</v>
      </c>
      <c r="BG151" s="1746" t="s">
        <v>2592</v>
      </c>
      <c r="BH151" s="1744">
        <f t="shared" si="25"/>
        <v>1.56E-3</v>
      </c>
      <c r="BI151" s="1745">
        <f t="shared" si="31"/>
        <v>1.56E-4</v>
      </c>
      <c r="BJ151" s="1740" t="str">
        <f t="shared" si="32"/>
        <v>tubes</v>
      </c>
      <c r="BK151" s="1740" t="str">
        <f t="shared" si="33"/>
        <v>Tube of ointment</v>
      </c>
      <c r="BV151" s="1689" t="s">
        <v>1194</v>
      </c>
      <c r="BW151" s="1689" t="s">
        <v>1195</v>
      </c>
      <c r="BX151" s="1689" t="s">
        <v>889</v>
      </c>
      <c r="BY151" s="1689" t="s">
        <v>907</v>
      </c>
      <c r="BZ151" s="1689" t="s">
        <v>1200</v>
      </c>
      <c r="CA151" s="1689" t="s">
        <v>1206</v>
      </c>
      <c r="CB151" s="1689"/>
      <c r="CC151" s="1689"/>
      <c r="CD151" s="1689">
        <v>2</v>
      </c>
      <c r="CE151" s="1689">
        <v>5.7</v>
      </c>
      <c r="CF151" s="1689"/>
      <c r="CG151" s="1740">
        <f t="shared" si="27"/>
        <v>5.7</v>
      </c>
      <c r="CH151" s="1740">
        <f t="shared" si="34"/>
        <v>11.4</v>
      </c>
    </row>
    <row r="152" spans="2:86" ht="15.65" customHeight="1">
      <c r="B152" s="149"/>
      <c r="C152" s="1837"/>
      <c r="D152" s="1841"/>
      <c r="E152" s="1840"/>
      <c r="F152" s="1838"/>
      <c r="G152" s="1698"/>
      <c r="S152" s="1698"/>
      <c r="T152" s="1846" t="str">
        <f t="shared" si="28"/>
        <v/>
      </c>
      <c r="U152" s="1847" t="str">
        <f t="shared" si="29"/>
        <v/>
      </c>
      <c r="V152" s="1848"/>
      <c r="W152" s="1849" t="str">
        <f t="shared" si="30"/>
        <v/>
      </c>
      <c r="X152" s="1698"/>
      <c r="AY152" s="1746" t="s">
        <v>2588</v>
      </c>
      <c r="AZ152" s="1746">
        <v>2006</v>
      </c>
      <c r="BA152" s="1746" t="s">
        <v>2910</v>
      </c>
      <c r="BB152" s="1747" t="s">
        <v>2911</v>
      </c>
      <c r="BC152" s="1746">
        <v>100</v>
      </c>
      <c r="BD152" s="1746" t="s">
        <v>2912</v>
      </c>
      <c r="BE152" s="1746"/>
      <c r="BF152" s="1746">
        <v>933</v>
      </c>
      <c r="BG152" s="1746" t="s">
        <v>2592</v>
      </c>
      <c r="BH152" s="1744">
        <f t="shared" si="25"/>
        <v>9.3300000000000002E-4</v>
      </c>
      <c r="BI152" s="1745">
        <f t="shared" si="31"/>
        <v>9.3300000000000005E-6</v>
      </c>
      <c r="BJ152" s="1740" t="str">
        <f t="shared" si="32"/>
        <v>supps</v>
      </c>
      <c r="BK152" s="1740" t="str">
        <f t="shared" si="33"/>
        <v>Suppository</v>
      </c>
      <c r="BV152" s="1689" t="s">
        <v>1194</v>
      </c>
      <c r="BW152" s="1689" t="s">
        <v>1195</v>
      </c>
      <c r="BX152" s="1689" t="s">
        <v>889</v>
      </c>
      <c r="BY152" s="1689" t="s">
        <v>907</v>
      </c>
      <c r="BZ152" s="1689" t="s">
        <v>1200</v>
      </c>
      <c r="CA152" s="1689" t="s">
        <v>1207</v>
      </c>
      <c r="CB152" s="1689"/>
      <c r="CC152" s="1689"/>
      <c r="CD152" s="1689">
        <v>2</v>
      </c>
      <c r="CE152" s="1689">
        <v>4.8</v>
      </c>
      <c r="CF152" s="1689"/>
      <c r="CG152" s="1740">
        <f t="shared" si="27"/>
        <v>4.8</v>
      </c>
      <c r="CH152" s="1740">
        <f t="shared" si="34"/>
        <v>9.6</v>
      </c>
    </row>
    <row r="153" spans="2:86" ht="15.65" customHeight="1">
      <c r="B153" s="149"/>
      <c r="C153" s="1837"/>
      <c r="D153" s="1841"/>
      <c r="E153" s="1840"/>
      <c r="F153" s="1838"/>
      <c r="G153" s="1698"/>
      <c r="S153" s="1698"/>
      <c r="T153" s="1846" t="str">
        <f t="shared" si="28"/>
        <v/>
      </c>
      <c r="U153" s="1847" t="str">
        <f t="shared" si="29"/>
        <v/>
      </c>
      <c r="V153" s="1848"/>
      <c r="W153" s="1849" t="str">
        <f t="shared" si="30"/>
        <v/>
      </c>
      <c r="X153" s="1698"/>
      <c r="AY153" s="1746" t="s">
        <v>2593</v>
      </c>
      <c r="AZ153" s="1746">
        <v>2008</v>
      </c>
      <c r="BA153" s="1746" t="s">
        <v>2913</v>
      </c>
      <c r="BB153" s="1747" t="s">
        <v>2914</v>
      </c>
      <c r="BC153" s="1746">
        <v>1</v>
      </c>
      <c r="BD153" s="1746" t="s">
        <v>2676</v>
      </c>
      <c r="BE153" s="1746"/>
      <c r="BF153" s="1746">
        <v>2.1000000000000001E-4</v>
      </c>
      <c r="BG153" s="1746" t="s">
        <v>2597</v>
      </c>
      <c r="BH153" s="1744">
        <f t="shared" ref="BH153:BH216" si="35">IF(BG153="CCM",BF153/1000000,IF(BG153="CDM",BF153/1000, IF(BG153="M3",BF153,"")))</f>
        <v>2.1000000000000001E-4</v>
      </c>
      <c r="BI153" s="1745">
        <f t="shared" si="31"/>
        <v>2.1000000000000001E-4</v>
      </c>
      <c r="BJ153" s="1740" t="str">
        <f t="shared" si="32"/>
        <v>tube</v>
      </c>
      <c r="BK153" s="1740" t="str">
        <f t="shared" si="33"/>
        <v>Tube of ointment</v>
      </c>
      <c r="BV153" s="1689" t="s">
        <v>1208</v>
      </c>
      <c r="BW153" s="1689" t="s">
        <v>1209</v>
      </c>
      <c r="BX153" s="1689" t="s">
        <v>889</v>
      </c>
      <c r="BY153" s="1689" t="s">
        <v>907</v>
      </c>
      <c r="BZ153" s="1689" t="s">
        <v>1210</v>
      </c>
      <c r="CA153" s="1689" t="s">
        <v>1211</v>
      </c>
      <c r="CB153" s="1689"/>
      <c r="CC153" s="1689" t="s">
        <v>945</v>
      </c>
      <c r="CD153" s="1689" t="s">
        <v>946</v>
      </c>
      <c r="CE153" s="1689">
        <v>107.40599999999999</v>
      </c>
      <c r="CF153" s="1689"/>
      <c r="CG153" s="1740">
        <f t="shared" si="27"/>
        <v>107.40599999999999</v>
      </c>
      <c r="CH153" s="1740" t="str">
        <f t="shared" si="34"/>
        <v/>
      </c>
    </row>
    <row r="154" spans="2:86" ht="15.65" customHeight="1">
      <c r="B154" s="149"/>
      <c r="C154" s="1837"/>
      <c r="D154" s="1841"/>
      <c r="E154" s="1840"/>
      <c r="F154" s="1838"/>
      <c r="G154" s="1698"/>
      <c r="S154" s="1698"/>
      <c r="T154" s="1846" t="str">
        <f t="shared" si="28"/>
        <v/>
      </c>
      <c r="U154" s="1847" t="str">
        <f t="shared" si="29"/>
        <v/>
      </c>
      <c r="V154" s="1848"/>
      <c r="W154" s="1849" t="str">
        <f t="shared" si="30"/>
        <v/>
      </c>
      <c r="X154" s="1698"/>
      <c r="AY154" s="1746" t="s">
        <v>2593</v>
      </c>
      <c r="AZ154" s="1746">
        <v>2008</v>
      </c>
      <c r="BA154" s="1746" t="s">
        <v>2915</v>
      </c>
      <c r="BB154" s="1747" t="s">
        <v>2916</v>
      </c>
      <c r="BC154" s="1746">
        <v>100</v>
      </c>
      <c r="BD154" s="1746" t="s">
        <v>2912</v>
      </c>
      <c r="BE154" s="1746"/>
      <c r="BF154" s="1746">
        <v>1.08E-3</v>
      </c>
      <c r="BG154" s="1746" t="s">
        <v>2597</v>
      </c>
      <c r="BH154" s="1744">
        <f t="shared" si="35"/>
        <v>1.08E-3</v>
      </c>
      <c r="BI154" s="1745">
        <f t="shared" si="31"/>
        <v>1.08E-5</v>
      </c>
      <c r="BJ154" s="1740" t="str">
        <f t="shared" si="32"/>
        <v>supps</v>
      </c>
      <c r="BK154" s="1740" t="str">
        <f t="shared" si="33"/>
        <v>Suppository</v>
      </c>
      <c r="BV154" s="1689" t="s">
        <v>1208</v>
      </c>
      <c r="BW154" s="1689" t="s">
        <v>1209</v>
      </c>
      <c r="BX154" s="1689" t="s">
        <v>889</v>
      </c>
      <c r="BY154" s="1689" t="s">
        <v>907</v>
      </c>
      <c r="BZ154" s="1689" t="s">
        <v>1210</v>
      </c>
      <c r="CA154" s="1689" t="s">
        <v>1132</v>
      </c>
      <c r="CB154" s="1689"/>
      <c r="CC154" s="1689"/>
      <c r="CD154" s="1689">
        <v>10</v>
      </c>
      <c r="CE154" s="1689">
        <v>2.46</v>
      </c>
      <c r="CF154" s="1689"/>
      <c r="CG154" s="1740">
        <f t="shared" si="27"/>
        <v>2.46</v>
      </c>
      <c r="CH154" s="1740">
        <f t="shared" si="34"/>
        <v>24.6</v>
      </c>
    </row>
    <row r="155" spans="2:86" ht="15.65" customHeight="1">
      <c r="B155" s="149"/>
      <c r="C155" s="1837"/>
      <c r="D155" s="1841"/>
      <c r="E155" s="1840"/>
      <c r="F155" s="1838"/>
      <c r="G155" s="1698"/>
      <c r="S155" s="1698"/>
      <c r="T155" s="1846" t="str">
        <f t="shared" si="28"/>
        <v/>
      </c>
      <c r="U155" s="1847" t="str">
        <f t="shared" si="29"/>
        <v/>
      </c>
      <c r="V155" s="1848"/>
      <c r="W155" s="1849" t="str">
        <f t="shared" si="30"/>
        <v/>
      </c>
      <c r="X155" s="1698"/>
      <c r="AY155" s="1746" t="s">
        <v>2593</v>
      </c>
      <c r="AZ155" s="1746">
        <v>2008</v>
      </c>
      <c r="BA155" s="1746" t="s">
        <v>2917</v>
      </c>
      <c r="BB155" s="1747" t="s">
        <v>2918</v>
      </c>
      <c r="BC155" s="1746">
        <v>1</v>
      </c>
      <c r="BD155" s="1746" t="s">
        <v>2596</v>
      </c>
      <c r="BE155" s="1746"/>
      <c r="BF155" s="1746">
        <v>1.2E-4</v>
      </c>
      <c r="BG155" s="1746" t="s">
        <v>2597</v>
      </c>
      <c r="BH155" s="1744">
        <f t="shared" si="35"/>
        <v>1.2E-4</v>
      </c>
      <c r="BI155" s="1745">
        <f t="shared" si="31"/>
        <v>1.2E-4</v>
      </c>
      <c r="BJ155" s="1740" t="str">
        <f t="shared" si="32"/>
        <v>bottle</v>
      </c>
      <c r="BK155" s="1740" t="str">
        <f t="shared" si="33"/>
        <v>Bottle of Liquid</v>
      </c>
      <c r="BV155" s="1689" t="s">
        <v>1208</v>
      </c>
      <c r="BW155" s="1689" t="s">
        <v>1209</v>
      </c>
      <c r="BX155" s="1689" t="s">
        <v>889</v>
      </c>
      <c r="BY155" s="1689" t="s">
        <v>907</v>
      </c>
      <c r="BZ155" s="1689" t="s">
        <v>1214</v>
      </c>
      <c r="CA155" s="1689" t="s">
        <v>1215</v>
      </c>
      <c r="CB155" s="1689"/>
      <c r="CC155" s="1689"/>
      <c r="CD155" s="1689">
        <v>1</v>
      </c>
      <c r="CE155" s="1689">
        <v>15.7</v>
      </c>
      <c r="CF155" s="1689"/>
      <c r="CG155" s="1740">
        <f t="shared" si="27"/>
        <v>15.7</v>
      </c>
      <c r="CH155" s="1740">
        <f t="shared" si="34"/>
        <v>15.7</v>
      </c>
    </row>
    <row r="156" spans="2:86" ht="15.65" customHeight="1">
      <c r="B156" s="149"/>
      <c r="C156" s="1837"/>
      <c r="D156" s="1841"/>
      <c r="E156" s="1840"/>
      <c r="F156" s="1838"/>
      <c r="G156" s="1698"/>
      <c r="S156" s="1698"/>
      <c r="T156" s="1846" t="str">
        <f t="shared" si="28"/>
        <v/>
      </c>
      <c r="U156" s="1847" t="str">
        <f t="shared" si="29"/>
        <v/>
      </c>
      <c r="V156" s="1848"/>
      <c r="W156" s="1849" t="str">
        <f t="shared" si="30"/>
        <v/>
      </c>
      <c r="X156" s="1698"/>
      <c r="AY156" s="1746" t="s">
        <v>2588</v>
      </c>
      <c r="AZ156" s="1746">
        <v>2006</v>
      </c>
      <c r="BA156" s="1746" t="s">
        <v>2919</v>
      </c>
      <c r="BB156" s="1747" t="s">
        <v>2920</v>
      </c>
      <c r="BC156" s="1746">
        <v>1</v>
      </c>
      <c r="BD156" s="1746" t="s">
        <v>2591</v>
      </c>
      <c r="BE156" s="1746"/>
      <c r="BF156" s="1746">
        <v>173</v>
      </c>
      <c r="BG156" s="1746" t="s">
        <v>2592</v>
      </c>
      <c r="BH156" s="1744">
        <f t="shared" si="35"/>
        <v>1.73E-4</v>
      </c>
      <c r="BI156" s="1745">
        <f t="shared" si="31"/>
        <v>1.73E-4</v>
      </c>
      <c r="BJ156" s="1740" t="str">
        <f t="shared" si="32"/>
        <v>vial</v>
      </c>
      <c r="BK156" s="1740" t="str">
        <f t="shared" si="33"/>
        <v>Injection Vial</v>
      </c>
      <c r="BV156" s="1689" t="s">
        <v>1208</v>
      </c>
      <c r="BW156" s="1689" t="s">
        <v>1209</v>
      </c>
      <c r="BX156" s="1689" t="s">
        <v>889</v>
      </c>
      <c r="BY156" s="1689" t="s">
        <v>907</v>
      </c>
      <c r="BZ156" s="1689" t="s">
        <v>1218</v>
      </c>
      <c r="CA156" s="1689" t="s">
        <v>1219</v>
      </c>
      <c r="CB156" s="1689"/>
      <c r="CC156" s="1689"/>
      <c r="CD156" s="1689">
        <v>1</v>
      </c>
      <c r="CE156" s="1689">
        <v>9.6</v>
      </c>
      <c r="CF156" s="1689"/>
      <c r="CG156" s="1740">
        <f t="shared" si="27"/>
        <v>9.6</v>
      </c>
      <c r="CH156" s="1740">
        <f t="shared" si="34"/>
        <v>9.6</v>
      </c>
    </row>
    <row r="157" spans="2:86" ht="15.65" customHeight="1">
      <c r="B157" s="149"/>
      <c r="C157" s="1837"/>
      <c r="D157" s="1841"/>
      <c r="E157" s="1840"/>
      <c r="F157" s="1838"/>
      <c r="G157" s="1698"/>
      <c r="S157" s="1698"/>
      <c r="T157" s="1846" t="str">
        <f t="shared" si="28"/>
        <v/>
      </c>
      <c r="U157" s="1847" t="str">
        <f t="shared" si="29"/>
        <v/>
      </c>
      <c r="V157" s="1848"/>
      <c r="W157" s="1849" t="str">
        <f t="shared" si="30"/>
        <v/>
      </c>
      <c r="X157" s="1698"/>
      <c r="AY157" s="1746" t="s">
        <v>2588</v>
      </c>
      <c r="AZ157" s="1746">
        <v>2006</v>
      </c>
      <c r="BA157" s="1746" t="s">
        <v>2921</v>
      </c>
      <c r="BB157" s="1747" t="s">
        <v>2922</v>
      </c>
      <c r="BC157" s="1746">
        <v>10</v>
      </c>
      <c r="BD157" s="1746" t="s">
        <v>2790</v>
      </c>
      <c r="BE157" s="1746"/>
      <c r="BF157" s="1746">
        <v>630</v>
      </c>
      <c r="BG157" s="1746" t="s">
        <v>2592</v>
      </c>
      <c r="BH157" s="1744">
        <f t="shared" si="35"/>
        <v>6.3000000000000003E-4</v>
      </c>
      <c r="BI157" s="1745">
        <f t="shared" si="31"/>
        <v>6.3E-5</v>
      </c>
      <c r="BJ157" s="1740" t="str">
        <f t="shared" si="32"/>
        <v>amps</v>
      </c>
      <c r="BK157" s="1740" t="str">
        <f t="shared" si="33"/>
        <v>Injection Vial</v>
      </c>
      <c r="BV157" s="1689" t="s">
        <v>1208</v>
      </c>
      <c r="BW157" s="1689" t="s">
        <v>1209</v>
      </c>
      <c r="BX157" s="1689" t="s">
        <v>889</v>
      </c>
      <c r="BY157" s="1689" t="s">
        <v>907</v>
      </c>
      <c r="BZ157" s="1689" t="s">
        <v>1218</v>
      </c>
      <c r="CA157" s="1689" t="s">
        <v>1219</v>
      </c>
      <c r="CB157" s="1689"/>
      <c r="CC157" s="1689"/>
      <c r="CD157" s="1689">
        <v>2</v>
      </c>
      <c r="CE157" s="1689">
        <v>4.4000000000000004</v>
      </c>
      <c r="CF157" s="1689"/>
      <c r="CG157" s="1740">
        <f t="shared" si="27"/>
        <v>4.4000000000000004</v>
      </c>
      <c r="CH157" s="1740">
        <f t="shared" si="34"/>
        <v>8.8000000000000007</v>
      </c>
    </row>
    <row r="158" spans="2:86" ht="15.65" customHeight="1">
      <c r="B158" s="149"/>
      <c r="C158" s="1837"/>
      <c r="D158" s="1841"/>
      <c r="E158" s="1840"/>
      <c r="F158" s="1838"/>
      <c r="G158" s="1698"/>
      <c r="S158" s="1698"/>
      <c r="T158" s="1846" t="str">
        <f t="shared" si="28"/>
        <v/>
      </c>
      <c r="U158" s="1847" t="str">
        <f t="shared" si="29"/>
        <v/>
      </c>
      <c r="V158" s="1848"/>
      <c r="W158" s="1849" t="str">
        <f t="shared" si="30"/>
        <v/>
      </c>
      <c r="X158" s="1698"/>
      <c r="AY158" s="1746" t="s">
        <v>2593</v>
      </c>
      <c r="AZ158" s="1746">
        <v>2008</v>
      </c>
      <c r="BA158" s="1746" t="s">
        <v>2923</v>
      </c>
      <c r="BB158" s="1747" t="s">
        <v>2924</v>
      </c>
      <c r="BC158" s="1746">
        <v>50</v>
      </c>
      <c r="BD158" s="1746" t="s">
        <v>2727</v>
      </c>
      <c r="BE158" s="1746"/>
      <c r="BF158" s="1746">
        <v>3.49E-3</v>
      </c>
      <c r="BG158" s="1746" t="s">
        <v>2597</v>
      </c>
      <c r="BH158" s="1744">
        <f t="shared" si="35"/>
        <v>3.49E-3</v>
      </c>
      <c r="BI158" s="1745">
        <f t="shared" si="31"/>
        <v>6.9800000000000003E-5</v>
      </c>
      <c r="BJ158" s="1740" t="str">
        <f t="shared" si="32"/>
        <v>ampoules</v>
      </c>
      <c r="BK158" s="1740" t="str">
        <f t="shared" si="33"/>
        <v>Injection Vial</v>
      </c>
      <c r="BV158" s="1689" t="s">
        <v>1208</v>
      </c>
      <c r="BW158" s="1689" t="s">
        <v>1209</v>
      </c>
      <c r="BX158" s="1689" t="s">
        <v>889</v>
      </c>
      <c r="BY158" s="1689" t="s">
        <v>907</v>
      </c>
      <c r="BZ158" s="1689" t="s">
        <v>1222</v>
      </c>
      <c r="CA158" s="1689" t="s">
        <v>1223</v>
      </c>
      <c r="CB158" s="1689"/>
      <c r="CC158" s="1689"/>
      <c r="CD158" s="1689" t="s">
        <v>894</v>
      </c>
      <c r="CE158" s="1689">
        <v>101.4</v>
      </c>
      <c r="CF158" s="1689"/>
      <c r="CG158" s="1740">
        <f t="shared" si="27"/>
        <v>101.4</v>
      </c>
      <c r="CH158" s="1740" t="str">
        <f t="shared" si="34"/>
        <v/>
      </c>
    </row>
    <row r="159" spans="2:86" ht="15.65" customHeight="1">
      <c r="B159" s="149"/>
      <c r="C159" s="1837"/>
      <c r="D159" s="1841"/>
      <c r="E159" s="1840"/>
      <c r="F159" s="1838"/>
      <c r="G159" s="1698"/>
      <c r="S159" s="1698"/>
      <c r="T159" s="1846" t="str">
        <f t="shared" si="28"/>
        <v/>
      </c>
      <c r="U159" s="1847" t="str">
        <f t="shared" si="29"/>
        <v/>
      </c>
      <c r="V159" s="1848"/>
      <c r="W159" s="1849" t="str">
        <f t="shared" si="30"/>
        <v/>
      </c>
      <c r="X159" s="1698"/>
      <c r="AY159" s="1746" t="s">
        <v>2588</v>
      </c>
      <c r="AZ159" s="1746">
        <v>2006</v>
      </c>
      <c r="BA159" s="1746" t="s">
        <v>2925</v>
      </c>
      <c r="BB159" s="1747" t="s">
        <v>2926</v>
      </c>
      <c r="BC159" s="1746">
        <v>100</v>
      </c>
      <c r="BD159" s="1746" t="s">
        <v>2927</v>
      </c>
      <c r="BE159" s="1746"/>
      <c r="BF159" s="1746">
        <v>252.8</v>
      </c>
      <c r="BG159" s="1746" t="s">
        <v>2592</v>
      </c>
      <c r="BH159" s="1744">
        <f t="shared" si="35"/>
        <v>2.5280000000000002E-4</v>
      </c>
      <c r="BI159" s="1745">
        <f t="shared" si="31"/>
        <v>2.5280000000000002E-6</v>
      </c>
      <c r="BJ159" s="1740" t="str">
        <f t="shared" si="32"/>
        <v>pcs</v>
      </c>
      <c r="BK159" s="1740" t="str">
        <f t="shared" si="33"/>
        <v>Medical equipment</v>
      </c>
      <c r="BV159" s="1689" t="s">
        <v>1208</v>
      </c>
      <c r="BW159" s="1689" t="s">
        <v>1209</v>
      </c>
      <c r="BX159" s="1689" t="s">
        <v>889</v>
      </c>
      <c r="BY159" s="1689" t="s">
        <v>907</v>
      </c>
      <c r="BZ159" s="1689" t="s">
        <v>1222</v>
      </c>
      <c r="CA159" s="1689" t="s">
        <v>916</v>
      </c>
      <c r="CB159" s="1689"/>
      <c r="CC159" s="1689"/>
      <c r="CD159" s="1689" t="s">
        <v>894</v>
      </c>
      <c r="CE159" s="1689">
        <v>26.8</v>
      </c>
      <c r="CF159" s="1689"/>
      <c r="CG159" s="1740">
        <f t="shared" si="27"/>
        <v>26.8</v>
      </c>
      <c r="CH159" s="1740" t="str">
        <f t="shared" si="34"/>
        <v/>
      </c>
    </row>
    <row r="160" spans="2:86" ht="15.65" customHeight="1">
      <c r="B160" s="149"/>
      <c r="C160" s="1837"/>
      <c r="D160" s="1841"/>
      <c r="E160" s="1840"/>
      <c r="F160" s="1838"/>
      <c r="G160" s="1698"/>
      <c r="S160" s="1698"/>
      <c r="T160" s="1846" t="str">
        <f t="shared" si="28"/>
        <v/>
      </c>
      <c r="U160" s="1847" t="str">
        <f t="shared" si="29"/>
        <v/>
      </c>
      <c r="V160" s="1848"/>
      <c r="W160" s="1849" t="str">
        <f t="shared" si="30"/>
        <v/>
      </c>
      <c r="X160" s="1698"/>
      <c r="AY160" s="1746" t="s">
        <v>2593</v>
      </c>
      <c r="AZ160" s="1746">
        <v>2008</v>
      </c>
      <c r="BA160" s="1746" t="s">
        <v>2928</v>
      </c>
      <c r="BB160" s="1747" t="s">
        <v>2929</v>
      </c>
      <c r="BC160" s="1746">
        <v>100</v>
      </c>
      <c r="BD160" s="1746" t="s">
        <v>2930</v>
      </c>
      <c r="BE160" s="1746"/>
      <c r="BF160" s="1746">
        <v>3.8000000000000002E-4</v>
      </c>
      <c r="BG160" s="1746" t="s">
        <v>2597</v>
      </c>
      <c r="BH160" s="1744">
        <f t="shared" si="35"/>
        <v>3.8000000000000002E-4</v>
      </c>
      <c r="BI160" s="1745">
        <f t="shared" si="31"/>
        <v>3.8E-6</v>
      </c>
      <c r="BJ160" s="1740" t="str">
        <f t="shared" si="32"/>
        <v>pieces</v>
      </c>
      <c r="BK160" s="1740" t="str">
        <f t="shared" si="33"/>
        <v>Medical equipment</v>
      </c>
      <c r="BV160" s="1689" t="s">
        <v>1208</v>
      </c>
      <c r="BW160" s="1689" t="s">
        <v>1209</v>
      </c>
      <c r="BX160" s="1689" t="s">
        <v>889</v>
      </c>
      <c r="BY160" s="1689" t="s">
        <v>907</v>
      </c>
      <c r="BZ160" s="1689" t="s">
        <v>1222</v>
      </c>
      <c r="CA160" s="1689" t="s">
        <v>1225</v>
      </c>
      <c r="CB160" s="1689"/>
      <c r="CC160" s="1689"/>
      <c r="CD160" s="1689">
        <v>1</v>
      </c>
      <c r="CE160" s="1689">
        <v>12.9</v>
      </c>
      <c r="CF160" s="1689"/>
      <c r="CG160" s="1740">
        <f t="shared" si="27"/>
        <v>12.9</v>
      </c>
      <c r="CH160" s="1740">
        <f t="shared" si="34"/>
        <v>12.9</v>
      </c>
    </row>
    <row r="161" spans="2:86" ht="15.65" customHeight="1">
      <c r="B161" s="149"/>
      <c r="C161" s="1837"/>
      <c r="D161" s="1841"/>
      <c r="E161" s="1840"/>
      <c r="F161" s="1838"/>
      <c r="G161" s="1698"/>
      <c r="S161" s="1698"/>
      <c r="T161" s="1846" t="str">
        <f t="shared" si="28"/>
        <v/>
      </c>
      <c r="U161" s="1847" t="str">
        <f t="shared" si="29"/>
        <v/>
      </c>
      <c r="V161" s="1848"/>
      <c r="W161" s="1849" t="str">
        <f t="shared" si="30"/>
        <v/>
      </c>
      <c r="X161" s="1698"/>
      <c r="AY161" s="1746" t="s">
        <v>2593</v>
      </c>
      <c r="AZ161" s="1746">
        <v>2008</v>
      </c>
      <c r="BA161" s="1746" t="s">
        <v>2931</v>
      </c>
      <c r="BB161" s="1747" t="s">
        <v>2932</v>
      </c>
      <c r="BC161" s="1746">
        <v>1</v>
      </c>
      <c r="BD161" s="1746" t="s">
        <v>2933</v>
      </c>
      <c r="BE161" s="1746"/>
      <c r="BF161" s="1746">
        <v>3.1E-4</v>
      </c>
      <c r="BG161" s="1746" t="s">
        <v>2597</v>
      </c>
      <c r="BH161" s="1744">
        <f t="shared" si="35"/>
        <v>3.1E-4</v>
      </c>
      <c r="BI161" s="1745">
        <f t="shared" si="31"/>
        <v>3.1E-4</v>
      </c>
      <c r="BJ161" s="1740" t="str">
        <f t="shared" si="32"/>
        <v>piece</v>
      </c>
      <c r="BK161" s="1740" t="str">
        <f t="shared" si="33"/>
        <v>Medical equipment</v>
      </c>
      <c r="BV161" s="1689" t="s">
        <v>1208</v>
      </c>
      <c r="BW161" s="1689" t="s">
        <v>1209</v>
      </c>
      <c r="BX161" s="1689" t="s">
        <v>889</v>
      </c>
      <c r="BY161" s="1689" t="s">
        <v>907</v>
      </c>
      <c r="BZ161" s="1689" t="s">
        <v>1214</v>
      </c>
      <c r="CA161" s="1689" t="s">
        <v>1226</v>
      </c>
      <c r="CB161" s="1689"/>
      <c r="CC161" s="1689"/>
      <c r="CD161" s="1689">
        <v>5</v>
      </c>
      <c r="CE161" s="1689">
        <v>4</v>
      </c>
      <c r="CF161" s="1689"/>
      <c r="CG161" s="1740">
        <f t="shared" si="27"/>
        <v>4</v>
      </c>
      <c r="CH161" s="1740">
        <f t="shared" si="34"/>
        <v>20</v>
      </c>
    </row>
    <row r="162" spans="2:86" ht="15.65" customHeight="1">
      <c r="B162" s="149"/>
      <c r="C162" s="1837"/>
      <c r="D162" s="1841"/>
      <c r="E162" s="1840"/>
      <c r="F162" s="1838"/>
      <c r="G162" s="1698"/>
      <c r="S162" s="1698"/>
      <c r="T162" s="1846" t="str">
        <f t="shared" si="28"/>
        <v/>
      </c>
      <c r="U162" s="1847" t="str">
        <f t="shared" si="29"/>
        <v/>
      </c>
      <c r="V162" s="1848"/>
      <c r="W162" s="1849" t="str">
        <f t="shared" si="30"/>
        <v/>
      </c>
      <c r="X162" s="1698"/>
      <c r="AY162" s="1746" t="s">
        <v>2588</v>
      </c>
      <c r="AZ162" s="1746">
        <v>2006</v>
      </c>
      <c r="BA162" s="1746" t="s">
        <v>2934</v>
      </c>
      <c r="BB162" s="1747" t="s">
        <v>2935</v>
      </c>
      <c r="BC162" s="1746">
        <v>1</v>
      </c>
      <c r="BD162" s="1746" t="s">
        <v>2927</v>
      </c>
      <c r="BE162" s="1746"/>
      <c r="BF162" s="1746">
        <v>100</v>
      </c>
      <c r="BG162" s="1746" t="s">
        <v>2592</v>
      </c>
      <c r="BH162" s="1744">
        <f t="shared" si="35"/>
        <v>1E-4</v>
      </c>
      <c r="BI162" s="1745">
        <f t="shared" si="31"/>
        <v>1E-4</v>
      </c>
      <c r="BJ162" s="1740" t="str">
        <f t="shared" si="32"/>
        <v>pcs</v>
      </c>
      <c r="BK162" s="1740" t="str">
        <f t="shared" si="33"/>
        <v>Medical equipment</v>
      </c>
      <c r="BV162" s="1689" t="s">
        <v>1208</v>
      </c>
      <c r="BW162" s="1689" t="s">
        <v>1209</v>
      </c>
      <c r="BX162" s="1689" t="s">
        <v>889</v>
      </c>
      <c r="BY162" s="1689" t="s">
        <v>907</v>
      </c>
      <c r="BZ162" s="1689" t="s">
        <v>1214</v>
      </c>
      <c r="CA162" s="1689" t="s">
        <v>1226</v>
      </c>
      <c r="CB162" s="1689"/>
      <c r="CC162" s="1689"/>
      <c r="CD162" s="1689" t="s">
        <v>1229</v>
      </c>
      <c r="CE162" s="1689">
        <v>14.673214285714286</v>
      </c>
      <c r="CF162" s="1689"/>
      <c r="CG162" s="1740">
        <f t="shared" si="27"/>
        <v>14.673214285714286</v>
      </c>
      <c r="CH162" s="1740" t="str">
        <f t="shared" si="34"/>
        <v/>
      </c>
    </row>
    <row r="163" spans="2:86" ht="15.65" customHeight="1">
      <c r="B163" s="149"/>
      <c r="C163" s="1837"/>
      <c r="D163" s="1841"/>
      <c r="E163" s="1840"/>
      <c r="F163" s="1838"/>
      <c r="G163" s="1698"/>
      <c r="S163" s="1698"/>
      <c r="T163" s="1846" t="str">
        <f t="shared" si="28"/>
        <v/>
      </c>
      <c r="U163" s="1847" t="str">
        <f t="shared" si="29"/>
        <v/>
      </c>
      <c r="V163" s="1848"/>
      <c r="W163" s="1849" t="str">
        <f t="shared" si="30"/>
        <v/>
      </c>
      <c r="X163" s="1698"/>
      <c r="AY163" s="1746" t="s">
        <v>2588</v>
      </c>
      <c r="AZ163" s="1746">
        <v>2006</v>
      </c>
      <c r="BA163" s="1746" t="s">
        <v>2936</v>
      </c>
      <c r="BB163" s="1747" t="s">
        <v>2937</v>
      </c>
      <c r="BC163" s="1746">
        <v>1</v>
      </c>
      <c r="BD163" s="1746" t="s">
        <v>2927</v>
      </c>
      <c r="BE163" s="1746"/>
      <c r="BF163" s="1746">
        <v>977</v>
      </c>
      <c r="BG163" s="1746" t="s">
        <v>2592</v>
      </c>
      <c r="BH163" s="1744">
        <f t="shared" si="35"/>
        <v>9.77E-4</v>
      </c>
      <c r="BI163" s="1745">
        <f t="shared" si="31"/>
        <v>9.77E-4</v>
      </c>
      <c r="BJ163" s="1740" t="str">
        <f t="shared" si="32"/>
        <v>pcs</v>
      </c>
      <c r="BK163" s="1740" t="str">
        <f t="shared" si="33"/>
        <v>Medical equipment</v>
      </c>
      <c r="BV163" s="1689" t="s">
        <v>1230</v>
      </c>
      <c r="BW163" s="1689" t="s">
        <v>1231</v>
      </c>
      <c r="BX163" s="1689" t="s">
        <v>889</v>
      </c>
      <c r="BY163" s="1689" t="s">
        <v>1232</v>
      </c>
      <c r="BZ163" s="1689" t="s">
        <v>1233</v>
      </c>
      <c r="CA163" s="1689" t="s">
        <v>1234</v>
      </c>
      <c r="CB163" s="1689"/>
      <c r="CC163" s="1689"/>
      <c r="CD163" s="1689" t="s">
        <v>894</v>
      </c>
      <c r="CE163" s="1689">
        <v>34.375</v>
      </c>
      <c r="CF163" s="1689"/>
      <c r="CG163" s="1740">
        <f t="shared" si="27"/>
        <v>34.375</v>
      </c>
      <c r="CH163" s="1740" t="str">
        <f t="shared" si="34"/>
        <v/>
      </c>
    </row>
    <row r="164" spans="2:86" ht="15.65" customHeight="1">
      <c r="B164" s="149"/>
      <c r="C164" s="1837"/>
      <c r="D164" s="1841"/>
      <c r="E164" s="1840"/>
      <c r="F164" s="1838"/>
      <c r="G164" s="1698"/>
      <c r="S164" s="1698"/>
      <c r="T164" s="1846" t="str">
        <f t="shared" si="28"/>
        <v/>
      </c>
      <c r="U164" s="1847" t="str">
        <f t="shared" si="29"/>
        <v/>
      </c>
      <c r="V164" s="1848"/>
      <c r="W164" s="1849" t="str">
        <f t="shared" si="30"/>
        <v/>
      </c>
      <c r="X164" s="1698"/>
      <c r="AY164" s="1746" t="s">
        <v>2575</v>
      </c>
      <c r="AZ164" s="1746">
        <v>2008</v>
      </c>
      <c r="BA164" s="1746" t="s">
        <v>2938</v>
      </c>
      <c r="BB164" s="1747" t="s">
        <v>2939</v>
      </c>
      <c r="BC164" s="1746" t="s">
        <v>2578</v>
      </c>
      <c r="BD164" s="1746" t="s">
        <v>2903</v>
      </c>
      <c r="BE164" s="1746" t="s">
        <v>2940</v>
      </c>
      <c r="BF164" s="1746">
        <v>4</v>
      </c>
      <c r="BG164" s="1746" t="s">
        <v>2581</v>
      </c>
      <c r="BH164" s="1744">
        <f t="shared" si="35"/>
        <v>4.0000000000000001E-3</v>
      </c>
      <c r="BI164" s="1745" t="str">
        <f t="shared" si="31"/>
        <v/>
      </c>
      <c r="BJ164" s="1740" t="str">
        <f t="shared" si="32"/>
        <v>BOX-Clothing and access.</v>
      </c>
      <c r="BK164" s="1740" t="str">
        <f t="shared" si="33"/>
        <v>Medical equipment</v>
      </c>
      <c r="BV164" s="1689" t="s">
        <v>1230</v>
      </c>
      <c r="BW164" s="1689" t="s">
        <v>1231</v>
      </c>
      <c r="BX164" s="1689" t="s">
        <v>889</v>
      </c>
      <c r="BY164" s="1689" t="s">
        <v>1232</v>
      </c>
      <c r="BZ164" s="1689" t="s">
        <v>1233</v>
      </c>
      <c r="CA164" s="1689" t="s">
        <v>1235</v>
      </c>
      <c r="CB164" s="1689"/>
      <c r="CC164" s="1689"/>
      <c r="CD164" s="1689">
        <v>5</v>
      </c>
      <c r="CE164" s="1689">
        <v>6.875</v>
      </c>
      <c r="CF164" s="1689"/>
      <c r="CG164" s="1740">
        <f t="shared" si="27"/>
        <v>6.875</v>
      </c>
      <c r="CH164" s="1740">
        <f t="shared" si="34"/>
        <v>34.375</v>
      </c>
    </row>
    <row r="165" spans="2:86" ht="15.65" customHeight="1">
      <c r="B165" s="149"/>
      <c r="C165" s="1837"/>
      <c r="D165" s="1841"/>
      <c r="E165" s="1840"/>
      <c r="F165" s="1838"/>
      <c r="G165" s="1698"/>
      <c r="S165" s="1698"/>
      <c r="T165" s="1846" t="str">
        <f t="shared" si="28"/>
        <v/>
      </c>
      <c r="U165" s="1847" t="str">
        <f t="shared" si="29"/>
        <v/>
      </c>
      <c r="V165" s="1848"/>
      <c r="W165" s="1849" t="str">
        <f t="shared" si="30"/>
        <v/>
      </c>
      <c r="X165" s="1698"/>
      <c r="AY165" s="1746" t="s">
        <v>2575</v>
      </c>
      <c r="AZ165" s="1746">
        <v>2008</v>
      </c>
      <c r="BA165" s="1746" t="s">
        <v>2941</v>
      </c>
      <c r="BB165" s="1747" t="s">
        <v>2942</v>
      </c>
      <c r="BC165" s="1746" t="s">
        <v>2578</v>
      </c>
      <c r="BD165" s="1746" t="s">
        <v>2579</v>
      </c>
      <c r="BE165" s="1746" t="s">
        <v>2940</v>
      </c>
      <c r="BF165" s="1746">
        <v>0.42</v>
      </c>
      <c r="BG165" s="1746" t="s">
        <v>2581</v>
      </c>
      <c r="BH165" s="1744">
        <f t="shared" si="35"/>
        <v>4.1999999999999996E-4</v>
      </c>
      <c r="BI165" s="1745" t="str">
        <f t="shared" si="31"/>
        <v/>
      </c>
      <c r="BJ165" s="1740" t="str">
        <f t="shared" si="32"/>
        <v>EA-Clothing and access.</v>
      </c>
      <c r="BK165" s="1740" t="str">
        <f t="shared" si="33"/>
        <v>Medical equipment</v>
      </c>
      <c r="BV165" s="1689" t="s">
        <v>1230</v>
      </c>
      <c r="BW165" s="1689" t="s">
        <v>1231</v>
      </c>
      <c r="BX165" s="1689" t="s">
        <v>889</v>
      </c>
      <c r="BY165" s="1689" t="s">
        <v>1232</v>
      </c>
      <c r="BZ165" s="1689" t="s">
        <v>1233</v>
      </c>
      <c r="CA165" s="1689" t="s">
        <v>1236</v>
      </c>
      <c r="CB165" s="1689"/>
      <c r="CC165" s="1689"/>
      <c r="CD165" s="1689">
        <v>10</v>
      </c>
      <c r="CE165" s="1689">
        <v>3.4375</v>
      </c>
      <c r="CF165" s="1689"/>
      <c r="CG165" s="1740">
        <f t="shared" si="27"/>
        <v>3.4375</v>
      </c>
      <c r="CH165" s="1740">
        <f t="shared" si="34"/>
        <v>34.375</v>
      </c>
    </row>
    <row r="166" spans="2:86" ht="15.65" customHeight="1">
      <c r="B166" s="149"/>
      <c r="C166" s="1837"/>
      <c r="D166" s="1841"/>
      <c r="E166" s="1840"/>
      <c r="F166" s="1838"/>
      <c r="G166" s="1698"/>
      <c r="S166" s="1698"/>
      <c r="T166" s="1846" t="str">
        <f t="shared" si="28"/>
        <v/>
      </c>
      <c r="U166" s="1847" t="str">
        <f t="shared" si="29"/>
        <v/>
      </c>
      <c r="V166" s="1848"/>
      <c r="W166" s="1849" t="str">
        <f t="shared" si="30"/>
        <v/>
      </c>
      <c r="X166" s="1698"/>
      <c r="AY166" s="1746" t="s">
        <v>2575</v>
      </c>
      <c r="AZ166" s="1746">
        <v>2008</v>
      </c>
      <c r="BA166" s="1746" t="s">
        <v>2943</v>
      </c>
      <c r="BB166" s="1747" t="s">
        <v>2944</v>
      </c>
      <c r="BC166" s="1746" t="s">
        <v>2578</v>
      </c>
      <c r="BD166" s="1746" t="s">
        <v>2638</v>
      </c>
      <c r="BE166" s="1746" t="s">
        <v>2826</v>
      </c>
      <c r="BF166" s="1746">
        <v>1.6</v>
      </c>
      <c r="BG166" s="1746" t="s">
        <v>2581</v>
      </c>
      <c r="BH166" s="1744">
        <f t="shared" si="35"/>
        <v>1.6000000000000001E-3</v>
      </c>
      <c r="BI166" s="1745" t="str">
        <f t="shared" si="31"/>
        <v/>
      </c>
      <c r="BJ166" s="1740" t="str">
        <f t="shared" si="32"/>
        <v>PAC-Antimalarial drugs</v>
      </c>
      <c r="BK166" s="1740" t="str">
        <f t="shared" si="33"/>
        <v>Blister Pack of Tablets</v>
      </c>
      <c r="BV166" s="1689" t="s">
        <v>1230</v>
      </c>
      <c r="BW166" s="1689" t="s">
        <v>1231</v>
      </c>
      <c r="BX166" s="1689" t="s">
        <v>889</v>
      </c>
      <c r="BY166" s="1689" t="s">
        <v>1232</v>
      </c>
      <c r="BZ166" s="1689" t="s">
        <v>1237</v>
      </c>
      <c r="CA166" s="1689" t="s">
        <v>1238</v>
      </c>
      <c r="CB166" s="1689"/>
      <c r="CC166" s="1689"/>
      <c r="CD166" s="1689">
        <v>1</v>
      </c>
      <c r="CE166" s="1689">
        <v>14.7</v>
      </c>
      <c r="CF166" s="1689"/>
      <c r="CG166" s="1740">
        <f t="shared" si="27"/>
        <v>14.7</v>
      </c>
      <c r="CH166" s="1740">
        <f t="shared" si="34"/>
        <v>14.7</v>
      </c>
    </row>
    <row r="167" spans="2:86" ht="15.65" customHeight="1">
      <c r="B167" s="149"/>
      <c r="C167" s="1837"/>
      <c r="D167" s="1841"/>
      <c r="E167" s="1840"/>
      <c r="F167" s="1838"/>
      <c r="G167" s="1698"/>
      <c r="S167" s="1698"/>
      <c r="T167" s="1846" t="str">
        <f t="shared" si="28"/>
        <v/>
      </c>
      <c r="U167" s="1847" t="str">
        <f t="shared" si="29"/>
        <v/>
      </c>
      <c r="V167" s="1848"/>
      <c r="W167" s="1849" t="str">
        <f t="shared" si="30"/>
        <v/>
      </c>
      <c r="X167" s="1698"/>
      <c r="AY167" s="1746" t="s">
        <v>2575</v>
      </c>
      <c r="AZ167" s="1746">
        <v>2008</v>
      </c>
      <c r="BA167" s="1746" t="s">
        <v>2945</v>
      </c>
      <c r="BB167" s="1747" t="s">
        <v>2946</v>
      </c>
      <c r="BC167" s="1746" t="s">
        <v>2578</v>
      </c>
      <c r="BD167" s="1746" t="s">
        <v>2638</v>
      </c>
      <c r="BE167" s="1746" t="s">
        <v>2826</v>
      </c>
      <c r="BF167" s="1746">
        <v>1.6</v>
      </c>
      <c r="BG167" s="1746" t="s">
        <v>2581</v>
      </c>
      <c r="BH167" s="1744">
        <f t="shared" si="35"/>
        <v>1.6000000000000001E-3</v>
      </c>
      <c r="BI167" s="1745" t="str">
        <f t="shared" si="31"/>
        <v/>
      </c>
      <c r="BJ167" s="1740" t="str">
        <f t="shared" si="32"/>
        <v>PAC-Antimalarial drugs</v>
      </c>
      <c r="BK167" s="1740" t="str">
        <f t="shared" si="33"/>
        <v>Blister Pack of Tablets</v>
      </c>
      <c r="BV167" s="1689" t="s">
        <v>1230</v>
      </c>
      <c r="BW167" s="1689" t="s">
        <v>1240</v>
      </c>
      <c r="BX167" s="1689" t="s">
        <v>864</v>
      </c>
      <c r="BY167" s="1689" t="s">
        <v>1232</v>
      </c>
      <c r="BZ167" s="1689"/>
      <c r="CA167" s="1689" t="s">
        <v>1241</v>
      </c>
      <c r="CB167" s="1689" t="s">
        <v>868</v>
      </c>
      <c r="CC167" s="1689"/>
      <c r="CD167" s="1689">
        <v>10</v>
      </c>
      <c r="CE167" s="1689">
        <v>8.1</v>
      </c>
      <c r="CF167" s="1689">
        <v>8.1</v>
      </c>
      <c r="CG167" s="1740">
        <f t="shared" si="27"/>
        <v>16.2</v>
      </c>
      <c r="CH167" s="1740">
        <f t="shared" si="34"/>
        <v>162</v>
      </c>
    </row>
    <row r="168" spans="2:86" ht="15.65" customHeight="1">
      <c r="B168" s="149"/>
      <c r="C168" s="1837"/>
      <c r="D168" s="1841"/>
      <c r="E168" s="1840"/>
      <c r="F168" s="1838"/>
      <c r="G168" s="1698"/>
      <c r="S168" s="1698"/>
      <c r="T168" s="1846" t="str">
        <f t="shared" si="28"/>
        <v/>
      </c>
      <c r="U168" s="1847" t="str">
        <f t="shared" si="29"/>
        <v/>
      </c>
      <c r="V168" s="1848"/>
      <c r="W168" s="1849" t="str">
        <f t="shared" si="30"/>
        <v/>
      </c>
      <c r="X168" s="1698"/>
      <c r="AY168" s="1746" t="s">
        <v>2575</v>
      </c>
      <c r="AZ168" s="1746">
        <v>2008</v>
      </c>
      <c r="BA168" s="1746" t="s">
        <v>2947</v>
      </c>
      <c r="BB168" s="1747" t="s">
        <v>2948</v>
      </c>
      <c r="BC168" s="1746" t="s">
        <v>2578</v>
      </c>
      <c r="BD168" s="1746" t="s">
        <v>2638</v>
      </c>
      <c r="BE168" s="1746" t="s">
        <v>2826</v>
      </c>
      <c r="BF168" s="1746">
        <v>2.8</v>
      </c>
      <c r="BG168" s="1746" t="s">
        <v>2581</v>
      </c>
      <c r="BH168" s="1744">
        <f t="shared" si="35"/>
        <v>2.8E-3</v>
      </c>
      <c r="BI168" s="1745" t="str">
        <f t="shared" si="31"/>
        <v/>
      </c>
      <c r="BJ168" s="1740" t="str">
        <f t="shared" si="32"/>
        <v>PAC-Antimalarial drugs</v>
      </c>
      <c r="BK168" s="1740" t="str">
        <f t="shared" si="33"/>
        <v>Blister Pack of Tablets</v>
      </c>
      <c r="BV168" s="1689" t="s">
        <v>1230</v>
      </c>
      <c r="BW168" s="1689" t="s">
        <v>1240</v>
      </c>
      <c r="BX168" s="1689" t="s">
        <v>864</v>
      </c>
      <c r="BY168" s="1689" t="s">
        <v>1232</v>
      </c>
      <c r="BZ168" s="1689" t="s">
        <v>1243</v>
      </c>
      <c r="CA168" s="1689" t="s">
        <v>1244</v>
      </c>
      <c r="CB168" s="1689" t="s">
        <v>868</v>
      </c>
      <c r="CC168" s="1689"/>
      <c r="CD168" s="1689">
        <v>1</v>
      </c>
      <c r="CE168" s="1689">
        <v>21.239849999999997</v>
      </c>
      <c r="CF168" s="1689">
        <v>15.939</v>
      </c>
      <c r="CG168" s="1740">
        <f t="shared" si="27"/>
        <v>37.178849999999997</v>
      </c>
      <c r="CH168" s="1740">
        <f t="shared" si="34"/>
        <v>37.178849999999997</v>
      </c>
    </row>
    <row r="169" spans="2:86" ht="15.65" customHeight="1">
      <c r="B169" s="149"/>
      <c r="C169" s="1837"/>
      <c r="D169" s="1841"/>
      <c r="E169" s="1840"/>
      <c r="F169" s="1838"/>
      <c r="G169" s="1698"/>
      <c r="S169" s="1698"/>
      <c r="T169" s="1846" t="str">
        <f t="shared" si="28"/>
        <v/>
      </c>
      <c r="U169" s="1847" t="str">
        <f t="shared" si="29"/>
        <v/>
      </c>
      <c r="V169" s="1848"/>
      <c r="W169" s="1849" t="str">
        <f t="shared" si="30"/>
        <v/>
      </c>
      <c r="X169" s="1698"/>
      <c r="AY169" s="1746" t="s">
        <v>2575</v>
      </c>
      <c r="AZ169" s="1746">
        <v>2008</v>
      </c>
      <c r="BA169" s="1746" t="s">
        <v>2949</v>
      </c>
      <c r="BB169" s="1747" t="s">
        <v>2950</v>
      </c>
      <c r="BC169" s="1746" t="s">
        <v>2578</v>
      </c>
      <c r="BD169" s="1746" t="s">
        <v>2638</v>
      </c>
      <c r="BE169" s="1746" t="s">
        <v>2826</v>
      </c>
      <c r="BF169" s="1746">
        <v>2.8</v>
      </c>
      <c r="BG169" s="1746" t="s">
        <v>2581</v>
      </c>
      <c r="BH169" s="1744">
        <f t="shared" si="35"/>
        <v>2.8E-3</v>
      </c>
      <c r="BI169" s="1745" t="str">
        <f t="shared" si="31"/>
        <v/>
      </c>
      <c r="BJ169" s="1740" t="str">
        <f t="shared" si="32"/>
        <v>PAC-Antimalarial drugs</v>
      </c>
      <c r="BK169" s="1740" t="str">
        <f t="shared" si="33"/>
        <v>Blister Pack of Tablets</v>
      </c>
      <c r="BV169" s="1689" t="s">
        <v>1230</v>
      </c>
      <c r="BW169" s="1689" t="s">
        <v>1240</v>
      </c>
      <c r="BX169" s="1689" t="s">
        <v>864</v>
      </c>
      <c r="BY169" s="1689" t="s">
        <v>1232</v>
      </c>
      <c r="BZ169" s="1689" t="s">
        <v>1243</v>
      </c>
      <c r="CA169" s="1689" t="s">
        <v>1247</v>
      </c>
      <c r="CB169" s="1689" t="s">
        <v>868</v>
      </c>
      <c r="CC169" s="1689"/>
      <c r="CD169" s="1689">
        <v>5</v>
      </c>
      <c r="CE169" s="1689">
        <v>4.2479699999999996</v>
      </c>
      <c r="CF169" s="1689">
        <v>4.2479699999999996</v>
      </c>
      <c r="CG169" s="1740">
        <f t="shared" si="27"/>
        <v>8.4959399999999992</v>
      </c>
      <c r="CH169" s="1740">
        <f t="shared" si="34"/>
        <v>42.479699999999994</v>
      </c>
    </row>
    <row r="170" spans="2:86" ht="15.65" customHeight="1">
      <c r="B170" s="149"/>
      <c r="C170" s="1837"/>
      <c r="D170" s="1841"/>
      <c r="E170" s="1840"/>
      <c r="F170" s="1838"/>
      <c r="G170" s="1698"/>
      <c r="S170" s="1698"/>
      <c r="T170" s="1846" t="str">
        <f t="shared" si="28"/>
        <v/>
      </c>
      <c r="U170" s="1847" t="str">
        <f t="shared" si="29"/>
        <v/>
      </c>
      <c r="V170" s="1848"/>
      <c r="W170" s="1849" t="str">
        <f t="shared" si="30"/>
        <v/>
      </c>
      <c r="X170" s="1698"/>
      <c r="AY170" s="1746" t="s">
        <v>2593</v>
      </c>
      <c r="AZ170" s="1746">
        <v>2008</v>
      </c>
      <c r="BA170" s="1746" t="s">
        <v>2951</v>
      </c>
      <c r="BB170" s="1747" t="s">
        <v>2952</v>
      </c>
      <c r="BC170" s="1746">
        <v>30</v>
      </c>
      <c r="BD170" s="1746" t="s">
        <v>2813</v>
      </c>
      <c r="BE170" s="1746"/>
      <c r="BF170" s="1746">
        <v>3.47E-3</v>
      </c>
      <c r="BG170" s="1746" t="s">
        <v>2597</v>
      </c>
      <c r="BH170" s="1744">
        <f t="shared" si="35"/>
        <v>3.47E-3</v>
      </c>
      <c r="BI170" s="1745">
        <f t="shared" si="31"/>
        <v>1.1566666666666667E-4</v>
      </c>
      <c r="BJ170" s="1740" t="str">
        <f t="shared" si="32"/>
        <v>treatmen</v>
      </c>
      <c r="BK170" s="1740" t="str">
        <f t="shared" si="33"/>
        <v>Blister Pack of Tablets</v>
      </c>
      <c r="BV170" s="1689" t="s">
        <v>1249</v>
      </c>
      <c r="BW170" s="1689" t="s">
        <v>1250</v>
      </c>
      <c r="BX170" s="1689" t="s">
        <v>864</v>
      </c>
      <c r="BY170" s="1689" t="s">
        <v>1232</v>
      </c>
      <c r="BZ170" s="1689"/>
      <c r="CA170" s="1689" t="s">
        <v>1241</v>
      </c>
      <c r="CB170" s="1689" t="s">
        <v>868</v>
      </c>
      <c r="CC170" s="1689"/>
      <c r="CD170" s="1689">
        <v>1</v>
      </c>
      <c r="CE170" s="1689">
        <v>9.3000000000000007</v>
      </c>
      <c r="CF170" s="1689"/>
      <c r="CG170" s="1740">
        <f t="shared" si="27"/>
        <v>9.3000000000000007</v>
      </c>
      <c r="CH170" s="1740">
        <f t="shared" si="34"/>
        <v>9.3000000000000007</v>
      </c>
    </row>
    <row r="171" spans="2:86" ht="15.65" customHeight="1">
      <c r="B171" s="149"/>
      <c r="C171" s="1837"/>
      <c r="D171" s="1841"/>
      <c r="E171" s="1840"/>
      <c r="F171" s="1838"/>
      <c r="G171" s="1698"/>
      <c r="S171" s="1698"/>
      <c r="T171" s="1846" t="str">
        <f t="shared" si="28"/>
        <v/>
      </c>
      <c r="U171" s="1847" t="str">
        <f t="shared" si="29"/>
        <v/>
      </c>
      <c r="V171" s="1848"/>
      <c r="W171" s="1849" t="str">
        <f t="shared" si="30"/>
        <v/>
      </c>
      <c r="X171" s="1698"/>
      <c r="AY171" s="1746" t="s">
        <v>2593</v>
      </c>
      <c r="AZ171" s="1746">
        <v>2008</v>
      </c>
      <c r="BA171" s="1746" t="s">
        <v>2953</v>
      </c>
      <c r="BB171" s="1747" t="s">
        <v>2954</v>
      </c>
      <c r="BC171" s="1746">
        <v>30</v>
      </c>
      <c r="BD171" s="1746" t="s">
        <v>2813</v>
      </c>
      <c r="BE171" s="1746"/>
      <c r="BF171" s="1746">
        <v>2.3E-3</v>
      </c>
      <c r="BG171" s="1746" t="s">
        <v>2597</v>
      </c>
      <c r="BH171" s="1744">
        <f t="shared" si="35"/>
        <v>2.3E-3</v>
      </c>
      <c r="BI171" s="1745">
        <f t="shared" si="31"/>
        <v>7.6666666666666669E-5</v>
      </c>
      <c r="BJ171" s="1740" t="str">
        <f t="shared" si="32"/>
        <v>treatmen</v>
      </c>
      <c r="BK171" s="1740" t="str">
        <f t="shared" si="33"/>
        <v>Blister Pack of Tablets</v>
      </c>
      <c r="BV171" s="1689" t="s">
        <v>1249</v>
      </c>
      <c r="BW171" s="1689" t="s">
        <v>1250</v>
      </c>
      <c r="BX171" s="1689" t="s">
        <v>864</v>
      </c>
      <c r="BY171" s="1689" t="s">
        <v>1232</v>
      </c>
      <c r="BZ171" s="1689" t="s">
        <v>1251</v>
      </c>
      <c r="CA171" s="1689" t="s">
        <v>1252</v>
      </c>
      <c r="CB171" s="1689" t="s">
        <v>1253</v>
      </c>
      <c r="CC171" s="1689"/>
      <c r="CD171" s="1689">
        <v>1</v>
      </c>
      <c r="CE171" s="1689">
        <v>26.11</v>
      </c>
      <c r="CF171" s="1689">
        <v>26.1</v>
      </c>
      <c r="CG171" s="1740">
        <f t="shared" si="27"/>
        <v>52.21</v>
      </c>
      <c r="CH171" s="1740">
        <f t="shared" si="34"/>
        <v>52.21</v>
      </c>
    </row>
    <row r="172" spans="2:86" ht="15.65" customHeight="1">
      <c r="B172" s="149"/>
      <c r="C172" s="1837"/>
      <c r="D172" s="1841"/>
      <c r="E172" s="1840"/>
      <c r="F172" s="1838"/>
      <c r="G172" s="1698"/>
      <c r="S172" s="1698"/>
      <c r="T172" s="1846" t="str">
        <f t="shared" si="28"/>
        <v/>
      </c>
      <c r="U172" s="1847" t="str">
        <f t="shared" si="29"/>
        <v/>
      </c>
      <c r="V172" s="1848"/>
      <c r="W172" s="1849" t="str">
        <f t="shared" si="30"/>
        <v/>
      </c>
      <c r="X172" s="1698"/>
      <c r="AY172" s="1746" t="s">
        <v>2593</v>
      </c>
      <c r="AZ172" s="1746">
        <v>2008</v>
      </c>
      <c r="BA172" s="1746" t="s">
        <v>2955</v>
      </c>
      <c r="BB172" s="1747" t="s">
        <v>2956</v>
      </c>
      <c r="BC172" s="1746">
        <v>30</v>
      </c>
      <c r="BD172" s="1746" t="s">
        <v>2813</v>
      </c>
      <c r="BE172" s="1746"/>
      <c r="BF172" s="1746">
        <v>3.47E-3</v>
      </c>
      <c r="BG172" s="1746" t="s">
        <v>2597</v>
      </c>
      <c r="BH172" s="1744">
        <f t="shared" si="35"/>
        <v>3.47E-3</v>
      </c>
      <c r="BI172" s="1745">
        <f t="shared" si="31"/>
        <v>1.1566666666666667E-4</v>
      </c>
      <c r="BJ172" s="1740" t="str">
        <f t="shared" si="32"/>
        <v>treatmen</v>
      </c>
      <c r="BK172" s="1740" t="str">
        <f t="shared" si="33"/>
        <v>Blister Pack of Tablets</v>
      </c>
      <c r="BV172" s="1689" t="s">
        <v>1249</v>
      </c>
      <c r="BW172" s="1689" t="s">
        <v>1250</v>
      </c>
      <c r="BX172" s="1689" t="s">
        <v>864</v>
      </c>
      <c r="BY172" s="1689" t="s">
        <v>1232</v>
      </c>
      <c r="BZ172" s="1689" t="s">
        <v>1251</v>
      </c>
      <c r="CA172" s="1689" t="s">
        <v>1252</v>
      </c>
      <c r="CB172" s="1689" t="s">
        <v>868</v>
      </c>
      <c r="CC172" s="1689"/>
      <c r="CD172" s="1689">
        <v>2</v>
      </c>
      <c r="CE172" s="1689">
        <v>13.1</v>
      </c>
      <c r="CF172" s="1689">
        <v>13.1</v>
      </c>
      <c r="CG172" s="1740">
        <f t="shared" si="27"/>
        <v>26.2</v>
      </c>
      <c r="CH172" s="1740">
        <f t="shared" si="34"/>
        <v>52.4</v>
      </c>
    </row>
    <row r="173" spans="2:86" ht="15.65" customHeight="1">
      <c r="B173" s="149"/>
      <c r="C173" s="1837"/>
      <c r="D173" s="1841"/>
      <c r="E173" s="1840"/>
      <c r="F173" s="1838"/>
      <c r="G173" s="1698"/>
      <c r="S173" s="1698"/>
      <c r="T173" s="1846" t="str">
        <f t="shared" si="28"/>
        <v/>
      </c>
      <c r="U173" s="1847" t="str">
        <f t="shared" si="29"/>
        <v/>
      </c>
      <c r="V173" s="1848"/>
      <c r="W173" s="1849" t="str">
        <f t="shared" si="30"/>
        <v/>
      </c>
      <c r="X173" s="1698"/>
      <c r="AY173" s="1746" t="s">
        <v>2593</v>
      </c>
      <c r="AZ173" s="1746">
        <v>2008</v>
      </c>
      <c r="BA173" s="1746" t="s">
        <v>2957</v>
      </c>
      <c r="BB173" s="1747" t="s">
        <v>2958</v>
      </c>
      <c r="BC173" s="1746">
        <v>30</v>
      </c>
      <c r="BD173" s="1746" t="s">
        <v>2813</v>
      </c>
      <c r="BE173" s="1746"/>
      <c r="BF173" s="1746">
        <v>2.3E-3</v>
      </c>
      <c r="BG173" s="1746" t="s">
        <v>2597</v>
      </c>
      <c r="BH173" s="1744">
        <f t="shared" si="35"/>
        <v>2.3E-3</v>
      </c>
      <c r="BI173" s="1745">
        <f t="shared" si="31"/>
        <v>7.6666666666666669E-5</v>
      </c>
      <c r="BJ173" s="1740" t="str">
        <f t="shared" si="32"/>
        <v>treatmen</v>
      </c>
      <c r="BK173" s="1740" t="str">
        <f t="shared" si="33"/>
        <v>Blister Pack of Tablets</v>
      </c>
      <c r="BV173" s="1689" t="s">
        <v>1249</v>
      </c>
      <c r="BW173" s="1689" t="s">
        <v>1250</v>
      </c>
      <c r="BX173" s="1689" t="s">
        <v>864</v>
      </c>
      <c r="BY173" s="1689" t="s">
        <v>1232</v>
      </c>
      <c r="BZ173" s="1689" t="s">
        <v>1251</v>
      </c>
      <c r="CA173" s="1689" t="s">
        <v>1252</v>
      </c>
      <c r="CB173" s="1689" t="s">
        <v>868</v>
      </c>
      <c r="CC173" s="1689"/>
      <c r="CD173" s="1689">
        <v>5</v>
      </c>
      <c r="CE173" s="1689">
        <v>5.22</v>
      </c>
      <c r="CF173" s="1689">
        <v>7</v>
      </c>
      <c r="CG173" s="1740">
        <f t="shared" si="27"/>
        <v>12.219999999999999</v>
      </c>
      <c r="CH173" s="1740">
        <f t="shared" si="34"/>
        <v>61.099999999999994</v>
      </c>
    </row>
    <row r="174" spans="2:86" ht="15.65" customHeight="1">
      <c r="B174" s="149"/>
      <c r="C174" s="1837"/>
      <c r="D174" s="1841"/>
      <c r="E174" s="1840"/>
      <c r="F174" s="1838"/>
      <c r="G174" s="1698"/>
      <c r="S174" s="1698"/>
      <c r="T174" s="1846" t="str">
        <f t="shared" si="28"/>
        <v/>
      </c>
      <c r="U174" s="1847" t="str">
        <f t="shared" si="29"/>
        <v/>
      </c>
      <c r="V174" s="1848"/>
      <c r="W174" s="1849" t="str">
        <f t="shared" si="30"/>
        <v/>
      </c>
      <c r="X174" s="1698"/>
      <c r="AY174" s="1746" t="s">
        <v>2588</v>
      </c>
      <c r="AZ174" s="1746">
        <v>2006</v>
      </c>
      <c r="BA174" s="1746" t="s">
        <v>2959</v>
      </c>
      <c r="BB174" s="1747" t="s">
        <v>2960</v>
      </c>
      <c r="BC174" s="1746">
        <v>30</v>
      </c>
      <c r="BD174" s="1746" t="s">
        <v>2813</v>
      </c>
      <c r="BE174" s="1746"/>
      <c r="BF174" s="1746">
        <v>3.0000000000000001E-3</v>
      </c>
      <c r="BG174" s="1746" t="s">
        <v>2592</v>
      </c>
      <c r="BH174" s="1744">
        <f t="shared" si="35"/>
        <v>3E-9</v>
      </c>
      <c r="BI174" s="1745">
        <f t="shared" si="31"/>
        <v>1E-10</v>
      </c>
      <c r="BJ174" s="1740" t="str">
        <f t="shared" si="32"/>
        <v>treatmen</v>
      </c>
      <c r="BK174" s="1740" t="str">
        <f t="shared" si="33"/>
        <v>Blister Pack of Tablets</v>
      </c>
      <c r="BV174" s="1689" t="s">
        <v>1249</v>
      </c>
      <c r="BW174" s="1689" t="s">
        <v>1250</v>
      </c>
      <c r="BX174" s="1689" t="s">
        <v>864</v>
      </c>
      <c r="BY174" s="1689" t="s">
        <v>1232</v>
      </c>
      <c r="BZ174" s="1689" t="s">
        <v>1251</v>
      </c>
      <c r="CA174" s="1689" t="s">
        <v>1252</v>
      </c>
      <c r="CB174" s="1689" t="s">
        <v>868</v>
      </c>
      <c r="CC174" s="1689"/>
      <c r="CD174" s="1689">
        <v>10</v>
      </c>
      <c r="CE174" s="1689">
        <v>2.6110000000000002</v>
      </c>
      <c r="CF174" s="1689">
        <v>4</v>
      </c>
      <c r="CG174" s="1740">
        <f t="shared" si="27"/>
        <v>6.6110000000000007</v>
      </c>
      <c r="CH174" s="1740">
        <f t="shared" si="34"/>
        <v>66.110000000000014</v>
      </c>
    </row>
    <row r="175" spans="2:86" ht="15.65" customHeight="1">
      <c r="B175" s="149"/>
      <c r="C175" s="1837"/>
      <c r="D175" s="1841"/>
      <c r="E175" s="1840"/>
      <c r="F175" s="1838"/>
      <c r="G175" s="1698"/>
      <c r="S175" s="1698"/>
      <c r="T175" s="1846" t="str">
        <f t="shared" si="28"/>
        <v/>
      </c>
      <c r="U175" s="1847" t="str">
        <f t="shared" si="29"/>
        <v/>
      </c>
      <c r="V175" s="1848"/>
      <c r="W175" s="1849" t="str">
        <f t="shared" si="30"/>
        <v/>
      </c>
      <c r="X175" s="1698"/>
      <c r="AY175" s="1746" t="s">
        <v>2588</v>
      </c>
      <c r="AZ175" s="1746">
        <v>2006</v>
      </c>
      <c r="BA175" s="1746" t="s">
        <v>2961</v>
      </c>
      <c r="BB175" s="1747" t="s">
        <v>2962</v>
      </c>
      <c r="BC175" s="1746">
        <v>30</v>
      </c>
      <c r="BD175" s="1746" t="s">
        <v>2813</v>
      </c>
      <c r="BE175" s="1746"/>
      <c r="BF175" s="1746">
        <v>3.0000000000000001E-3</v>
      </c>
      <c r="BG175" s="1746" t="s">
        <v>2592</v>
      </c>
      <c r="BH175" s="1744">
        <f t="shared" si="35"/>
        <v>3E-9</v>
      </c>
      <c r="BI175" s="1745">
        <f t="shared" si="31"/>
        <v>1E-10</v>
      </c>
      <c r="BJ175" s="1740" t="str">
        <f t="shared" si="32"/>
        <v>treatmen</v>
      </c>
      <c r="BK175" s="1740" t="str">
        <f t="shared" si="33"/>
        <v>Blister Pack of Tablets</v>
      </c>
      <c r="BV175" s="1689" t="s">
        <v>1249</v>
      </c>
      <c r="BW175" s="1689" t="s">
        <v>1250</v>
      </c>
      <c r="BX175" s="1689" t="s">
        <v>864</v>
      </c>
      <c r="BY175" s="1689" t="s">
        <v>1232</v>
      </c>
      <c r="BZ175" s="1689" t="s">
        <v>1258</v>
      </c>
      <c r="CA175" s="1689" t="s">
        <v>1259</v>
      </c>
      <c r="CB175" s="1689" t="s">
        <v>868</v>
      </c>
      <c r="CC175" s="1689"/>
      <c r="CD175" s="1689">
        <v>10</v>
      </c>
      <c r="CE175" s="1689">
        <v>2.46</v>
      </c>
      <c r="CF175" s="1689">
        <v>4</v>
      </c>
      <c r="CG175" s="1740">
        <f t="shared" si="27"/>
        <v>6.46</v>
      </c>
      <c r="CH175" s="1740">
        <f t="shared" si="34"/>
        <v>64.599999999999994</v>
      </c>
    </row>
    <row r="176" spans="2:86" ht="15.65" customHeight="1">
      <c r="B176" s="149"/>
      <c r="C176" s="1837"/>
      <c r="D176" s="1841"/>
      <c r="E176" s="1840"/>
      <c r="F176" s="1838"/>
      <c r="G176" s="1698"/>
      <c r="S176" s="1698"/>
      <c r="T176" s="1846" t="str">
        <f t="shared" si="28"/>
        <v/>
      </c>
      <c r="U176" s="1847" t="str">
        <f t="shared" si="29"/>
        <v/>
      </c>
      <c r="V176" s="1848"/>
      <c r="W176" s="1849" t="str">
        <f t="shared" si="30"/>
        <v/>
      </c>
      <c r="X176" s="1698"/>
      <c r="AY176" s="1746" t="s">
        <v>2588</v>
      </c>
      <c r="AZ176" s="1746">
        <v>2006</v>
      </c>
      <c r="BA176" s="1746" t="s">
        <v>2963</v>
      </c>
      <c r="BB176" s="1747" t="s">
        <v>2964</v>
      </c>
      <c r="BC176" s="1746">
        <v>30</v>
      </c>
      <c r="BD176" s="1746" t="s">
        <v>2813</v>
      </c>
      <c r="BE176" s="1746"/>
      <c r="BF176" s="1746">
        <v>5.0000000000000001E-3</v>
      </c>
      <c r="BG176" s="1746" t="s">
        <v>2592</v>
      </c>
      <c r="BH176" s="1744">
        <f t="shared" si="35"/>
        <v>5.0000000000000001E-9</v>
      </c>
      <c r="BI176" s="1745">
        <f t="shared" si="31"/>
        <v>1.6666666666666666E-10</v>
      </c>
      <c r="BJ176" s="1740" t="str">
        <f t="shared" si="32"/>
        <v>treatmen</v>
      </c>
      <c r="BK176" s="1740" t="str">
        <f t="shared" si="33"/>
        <v>Blister Pack of Tablets</v>
      </c>
      <c r="BV176" s="1689" t="s">
        <v>1249</v>
      </c>
      <c r="BW176" s="1689" t="s">
        <v>1250</v>
      </c>
      <c r="BX176" s="1689" t="s">
        <v>864</v>
      </c>
      <c r="BY176" s="1689" t="s">
        <v>1232</v>
      </c>
      <c r="BZ176" s="1689"/>
      <c r="CA176" s="1689" t="s">
        <v>1259</v>
      </c>
      <c r="CB176" s="1689" t="s">
        <v>868</v>
      </c>
      <c r="CC176" s="1689"/>
      <c r="CD176" s="1689">
        <v>10</v>
      </c>
      <c r="CE176" s="1689">
        <v>2.13</v>
      </c>
      <c r="CF176" s="1689">
        <v>4</v>
      </c>
      <c r="CG176" s="1740">
        <f t="shared" si="27"/>
        <v>6.13</v>
      </c>
      <c r="CH176" s="1740">
        <f t="shared" si="34"/>
        <v>61.3</v>
      </c>
    </row>
    <row r="177" spans="2:86" ht="15.65" customHeight="1">
      <c r="B177" s="149"/>
      <c r="C177" s="1837"/>
      <c r="D177" s="1841"/>
      <c r="E177" s="1840"/>
      <c r="F177" s="1838"/>
      <c r="G177" s="1698"/>
      <c r="S177" s="1698"/>
      <c r="T177" s="1846" t="str">
        <f t="shared" si="28"/>
        <v/>
      </c>
      <c r="U177" s="1847" t="str">
        <f t="shared" si="29"/>
        <v/>
      </c>
      <c r="V177" s="1848"/>
      <c r="W177" s="1849" t="str">
        <f t="shared" si="30"/>
        <v/>
      </c>
      <c r="X177" s="1698"/>
      <c r="AY177" s="1746" t="s">
        <v>2588</v>
      </c>
      <c r="AZ177" s="1746">
        <v>2006</v>
      </c>
      <c r="BA177" s="1746" t="s">
        <v>2965</v>
      </c>
      <c r="BB177" s="1747" t="s">
        <v>2966</v>
      </c>
      <c r="BC177" s="1746">
        <v>30</v>
      </c>
      <c r="BD177" s="1746" t="s">
        <v>2813</v>
      </c>
      <c r="BE177" s="1746"/>
      <c r="BF177" s="1746">
        <v>5.0000000000000001E-3</v>
      </c>
      <c r="BG177" s="1746" t="s">
        <v>2592</v>
      </c>
      <c r="BH177" s="1744">
        <f t="shared" si="35"/>
        <v>5.0000000000000001E-9</v>
      </c>
      <c r="BI177" s="1745">
        <f t="shared" si="31"/>
        <v>1.6666666666666666E-10</v>
      </c>
      <c r="BJ177" s="1740" t="str">
        <f t="shared" si="32"/>
        <v>treatmen</v>
      </c>
      <c r="BK177" s="1740" t="str">
        <f t="shared" si="33"/>
        <v>Blister Pack of Tablets</v>
      </c>
      <c r="BV177" s="1689" t="s">
        <v>1249</v>
      </c>
      <c r="BW177" s="1689" t="s">
        <v>1250</v>
      </c>
      <c r="BX177" s="1689" t="s">
        <v>864</v>
      </c>
      <c r="BY177" s="1689" t="s">
        <v>1232</v>
      </c>
      <c r="BZ177" s="1689" t="s">
        <v>1263</v>
      </c>
      <c r="CA177" s="1689" t="s">
        <v>1264</v>
      </c>
      <c r="CB177" s="1689" t="s">
        <v>1265</v>
      </c>
      <c r="CC177" s="1689"/>
      <c r="CD177" s="1689" t="s">
        <v>990</v>
      </c>
      <c r="CE177" s="1689"/>
      <c r="CF177" s="1689"/>
      <c r="CG177" s="1740"/>
      <c r="CH177" s="1740" t="str">
        <f t="shared" si="34"/>
        <v/>
      </c>
    </row>
    <row r="178" spans="2:86" ht="15.65" customHeight="1">
      <c r="B178" s="149"/>
      <c r="C178" s="1837"/>
      <c r="D178" s="1841"/>
      <c r="E178" s="1840"/>
      <c r="F178" s="1838"/>
      <c r="G178" s="1698"/>
      <c r="S178" s="1698"/>
      <c r="T178" s="1846" t="str">
        <f t="shared" si="28"/>
        <v/>
      </c>
      <c r="U178" s="1847" t="str">
        <f t="shared" si="29"/>
        <v/>
      </c>
      <c r="V178" s="1848"/>
      <c r="W178" s="1849" t="str">
        <f t="shared" si="30"/>
        <v/>
      </c>
      <c r="X178" s="1698"/>
      <c r="AY178" s="1746" t="s">
        <v>2593</v>
      </c>
      <c r="AZ178" s="1746">
        <v>2008</v>
      </c>
      <c r="BA178" s="1746" t="s">
        <v>2967</v>
      </c>
      <c r="BB178" s="1747" t="s">
        <v>2968</v>
      </c>
      <c r="BC178" s="1746">
        <v>10</v>
      </c>
      <c r="BD178" s="1746" t="s">
        <v>2727</v>
      </c>
      <c r="BE178" s="1746"/>
      <c r="BF178" s="1746">
        <v>2.5999999999999998E-4</v>
      </c>
      <c r="BG178" s="1746" t="s">
        <v>2597</v>
      </c>
      <c r="BH178" s="1744">
        <f t="shared" si="35"/>
        <v>2.5999999999999998E-4</v>
      </c>
      <c r="BI178" s="1745">
        <f t="shared" si="31"/>
        <v>2.5999999999999998E-5</v>
      </c>
      <c r="BJ178" s="1740" t="str">
        <f t="shared" si="32"/>
        <v>ampoules</v>
      </c>
      <c r="BK178" s="1740" t="str">
        <f t="shared" si="33"/>
        <v>Injection Vial</v>
      </c>
      <c r="BV178" s="1689" t="s">
        <v>1249</v>
      </c>
      <c r="BW178" s="1689" t="s">
        <v>1250</v>
      </c>
      <c r="BX178" s="1689" t="s">
        <v>864</v>
      </c>
      <c r="BY178" s="1689" t="s">
        <v>1232</v>
      </c>
      <c r="BZ178" s="1689"/>
      <c r="CA178" s="1689" t="s">
        <v>1259</v>
      </c>
      <c r="CB178" s="1689" t="s">
        <v>868</v>
      </c>
      <c r="CC178" s="1689"/>
      <c r="CD178" s="1689">
        <v>10</v>
      </c>
      <c r="CE178" s="1689">
        <v>1.3</v>
      </c>
      <c r="CF178" s="1689"/>
      <c r="CG178" s="1740">
        <f t="shared" si="27"/>
        <v>1.3</v>
      </c>
      <c r="CH178" s="1740">
        <f t="shared" si="34"/>
        <v>13</v>
      </c>
    </row>
    <row r="179" spans="2:86" ht="15.65" customHeight="1">
      <c r="B179" s="149"/>
      <c r="C179" s="1837"/>
      <c r="D179" s="1841"/>
      <c r="E179" s="1840"/>
      <c r="F179" s="1838"/>
      <c r="G179" s="1698"/>
      <c r="S179" s="1698"/>
      <c r="T179" s="1846" t="str">
        <f t="shared" si="28"/>
        <v/>
      </c>
      <c r="U179" s="1847" t="str">
        <f t="shared" si="29"/>
        <v/>
      </c>
      <c r="V179" s="1848"/>
      <c r="W179" s="1849" t="str">
        <f t="shared" si="30"/>
        <v/>
      </c>
      <c r="X179" s="1698"/>
      <c r="AY179" s="1746" t="s">
        <v>2588</v>
      </c>
      <c r="AZ179" s="1746">
        <v>2006</v>
      </c>
      <c r="BA179" s="1746" t="s">
        <v>2969</v>
      </c>
      <c r="BB179" s="1747" t="s">
        <v>2970</v>
      </c>
      <c r="BC179" s="1746">
        <v>100</v>
      </c>
      <c r="BD179" s="1746" t="s">
        <v>2790</v>
      </c>
      <c r="BE179" s="1746"/>
      <c r="BF179" s="1746">
        <v>2457</v>
      </c>
      <c r="BG179" s="1746" t="s">
        <v>2592</v>
      </c>
      <c r="BH179" s="1744">
        <f t="shared" si="35"/>
        <v>2.457E-3</v>
      </c>
      <c r="BI179" s="1745">
        <f t="shared" si="31"/>
        <v>2.457E-5</v>
      </c>
      <c r="BJ179" s="1740" t="str">
        <f t="shared" si="32"/>
        <v>amps</v>
      </c>
      <c r="BK179" s="1740" t="str">
        <f t="shared" si="33"/>
        <v>Injection Vial</v>
      </c>
      <c r="BV179" s="1689" t="s">
        <v>1249</v>
      </c>
      <c r="BW179" s="1689" t="s">
        <v>1250</v>
      </c>
      <c r="BX179" s="1689" t="s">
        <v>864</v>
      </c>
      <c r="BY179" s="1689" t="s">
        <v>1232</v>
      </c>
      <c r="BZ179" s="1689"/>
      <c r="CA179" s="1689" t="s">
        <v>1268</v>
      </c>
      <c r="CB179" s="1689" t="s">
        <v>868</v>
      </c>
      <c r="CC179" s="1689"/>
      <c r="CD179" s="1689">
        <v>20</v>
      </c>
      <c r="CE179" s="1689">
        <v>0.75</v>
      </c>
      <c r="CF179" s="1689"/>
      <c r="CG179" s="1740">
        <f t="shared" si="27"/>
        <v>0.75</v>
      </c>
      <c r="CH179" s="1740">
        <f t="shared" si="34"/>
        <v>15</v>
      </c>
    </row>
    <row r="180" spans="2:86" ht="15.65" customHeight="1">
      <c r="B180" s="149"/>
      <c r="C180" s="1837"/>
      <c r="D180" s="1841"/>
      <c r="E180" s="1840"/>
      <c r="F180" s="1838"/>
      <c r="G180" s="1698"/>
      <c r="S180" s="1698"/>
      <c r="T180" s="1846" t="str">
        <f t="shared" si="28"/>
        <v/>
      </c>
      <c r="U180" s="1847" t="str">
        <f t="shared" si="29"/>
        <v/>
      </c>
      <c r="V180" s="1848"/>
      <c r="W180" s="1849" t="str">
        <f t="shared" si="30"/>
        <v/>
      </c>
      <c r="X180" s="1698"/>
      <c r="AY180" s="1746" t="s">
        <v>2593</v>
      </c>
      <c r="AZ180" s="1746">
        <v>2008</v>
      </c>
      <c r="BA180" s="1746" t="s">
        <v>2971</v>
      </c>
      <c r="BB180" s="1747" t="s">
        <v>2972</v>
      </c>
      <c r="BC180" s="1746">
        <v>6</v>
      </c>
      <c r="BD180" s="1746" t="s">
        <v>2864</v>
      </c>
      <c r="BE180" s="1746"/>
      <c r="BF180" s="1746">
        <v>0</v>
      </c>
      <c r="BG180" s="1746" t="s">
        <v>2597</v>
      </c>
      <c r="BH180" s="1744">
        <f t="shared" si="35"/>
        <v>0</v>
      </c>
      <c r="BI180" s="1745">
        <f t="shared" si="31"/>
        <v>0</v>
      </c>
      <c r="BJ180" s="1740" t="str">
        <f t="shared" si="32"/>
        <v>capsules</v>
      </c>
      <c r="BK180" s="1740" t="str">
        <f t="shared" si="33"/>
        <v>Bottle of Tablets</v>
      </c>
      <c r="BV180" s="1689" t="s">
        <v>1270</v>
      </c>
      <c r="BW180" s="1689" t="s">
        <v>1271</v>
      </c>
      <c r="BX180" s="1689" t="s">
        <v>864</v>
      </c>
      <c r="BY180" s="1689" t="s">
        <v>907</v>
      </c>
      <c r="BZ180" s="1689" t="s">
        <v>1272</v>
      </c>
      <c r="CA180" s="1689" t="s">
        <v>1273</v>
      </c>
      <c r="CB180" s="1689" t="s">
        <v>868</v>
      </c>
      <c r="CC180" s="1689"/>
      <c r="CD180" s="1689">
        <v>10</v>
      </c>
      <c r="CE180" s="1689">
        <v>2.6</v>
      </c>
      <c r="CF180" s="1689">
        <v>4</v>
      </c>
      <c r="CG180" s="1740">
        <f t="shared" si="27"/>
        <v>6.6</v>
      </c>
      <c r="CH180" s="1740">
        <f t="shared" si="34"/>
        <v>66</v>
      </c>
    </row>
    <row r="181" spans="2:86" ht="15.65" customHeight="1">
      <c r="B181" s="149"/>
      <c r="C181" s="1837"/>
      <c r="D181" s="1841"/>
      <c r="E181" s="1840"/>
      <c r="F181" s="1838"/>
      <c r="G181" s="1698"/>
      <c r="S181" s="1698"/>
      <c r="T181" s="1846" t="str">
        <f t="shared" si="28"/>
        <v/>
      </c>
      <c r="U181" s="1847" t="str">
        <f t="shared" si="29"/>
        <v/>
      </c>
      <c r="V181" s="1848"/>
      <c r="W181" s="1849" t="str">
        <f t="shared" si="30"/>
        <v/>
      </c>
      <c r="X181" s="1698"/>
      <c r="AY181" s="1746" t="s">
        <v>2593</v>
      </c>
      <c r="AZ181" s="1746">
        <v>2008</v>
      </c>
      <c r="BA181" s="1746" t="s">
        <v>2973</v>
      </c>
      <c r="BB181" s="1747" t="s">
        <v>2974</v>
      </c>
      <c r="BC181" s="1746">
        <v>100</v>
      </c>
      <c r="BD181" s="1746" t="s">
        <v>2601</v>
      </c>
      <c r="BE181" s="1746"/>
      <c r="BF181" s="1746">
        <v>0</v>
      </c>
      <c r="BG181" s="1746" t="s">
        <v>2597</v>
      </c>
      <c r="BH181" s="1744">
        <f t="shared" si="35"/>
        <v>0</v>
      </c>
      <c r="BI181" s="1745">
        <f t="shared" si="31"/>
        <v>0</v>
      </c>
      <c r="BJ181" s="1740" t="str">
        <f t="shared" si="32"/>
        <v>tablets</v>
      </c>
      <c r="BK181" s="1740" t="str">
        <f t="shared" si="33"/>
        <v>Bottle of Tablets</v>
      </c>
      <c r="BV181" s="1689" t="s">
        <v>1275</v>
      </c>
      <c r="BW181" s="1689" t="s">
        <v>1271</v>
      </c>
      <c r="BX181" s="1689" t="s">
        <v>864</v>
      </c>
      <c r="BY181" s="1689" t="s">
        <v>907</v>
      </c>
      <c r="BZ181" s="1689" t="s">
        <v>1272</v>
      </c>
      <c r="CA181" s="1689" t="s">
        <v>1273</v>
      </c>
      <c r="CB181" s="1689" t="s">
        <v>868</v>
      </c>
      <c r="CC181" s="1689"/>
      <c r="CD181" s="1689">
        <v>10</v>
      </c>
      <c r="CE181" s="1689">
        <v>2.6</v>
      </c>
      <c r="CF181" s="1689">
        <v>4</v>
      </c>
      <c r="CG181" s="1740">
        <f t="shared" si="27"/>
        <v>6.6</v>
      </c>
      <c r="CH181" s="1740">
        <f t="shared" si="34"/>
        <v>66</v>
      </c>
    </row>
    <row r="182" spans="2:86" ht="15.65" customHeight="1">
      <c r="B182" s="149"/>
      <c r="C182" s="1837"/>
      <c r="D182" s="1841"/>
      <c r="E182" s="1840"/>
      <c r="F182" s="1838"/>
      <c r="G182" s="1698"/>
      <c r="S182" s="1698"/>
      <c r="T182" s="1846" t="str">
        <f t="shared" si="28"/>
        <v/>
      </c>
      <c r="U182" s="1847" t="str">
        <f t="shared" si="29"/>
        <v/>
      </c>
      <c r="V182" s="1848"/>
      <c r="W182" s="1849" t="str">
        <f t="shared" si="30"/>
        <v/>
      </c>
      <c r="X182" s="1698"/>
      <c r="AY182" s="1746" t="s">
        <v>2593</v>
      </c>
      <c r="AZ182" s="1746">
        <v>2008</v>
      </c>
      <c r="BA182" s="1746" t="s">
        <v>2975</v>
      </c>
      <c r="BB182" s="1747" t="s">
        <v>2976</v>
      </c>
      <c r="BC182" s="1746">
        <v>5</v>
      </c>
      <c r="BD182" s="1746" t="s">
        <v>2727</v>
      </c>
      <c r="BE182" s="1746"/>
      <c r="BF182" s="1746">
        <v>1.4999999999999999E-4</v>
      </c>
      <c r="BG182" s="1746" t="s">
        <v>2597</v>
      </c>
      <c r="BH182" s="1744">
        <f t="shared" si="35"/>
        <v>1.4999999999999999E-4</v>
      </c>
      <c r="BI182" s="1745">
        <f t="shared" si="31"/>
        <v>2.9999999999999997E-5</v>
      </c>
      <c r="BJ182" s="1740" t="str">
        <f t="shared" si="32"/>
        <v>ampoules</v>
      </c>
      <c r="BK182" s="1740" t="str">
        <f t="shared" si="33"/>
        <v>Injection Vial</v>
      </c>
      <c r="BV182" s="1689" t="s">
        <v>1277</v>
      </c>
      <c r="BW182" s="1689" t="s">
        <v>1278</v>
      </c>
      <c r="BX182" s="1689" t="s">
        <v>864</v>
      </c>
      <c r="BY182" s="1689" t="s">
        <v>1232</v>
      </c>
      <c r="BZ182" s="1689" t="s">
        <v>1279</v>
      </c>
      <c r="CA182" s="1689" t="s">
        <v>1280</v>
      </c>
      <c r="CB182" s="1689" t="s">
        <v>1253</v>
      </c>
      <c r="CC182" s="1689" t="s">
        <v>945</v>
      </c>
      <c r="CD182" s="1689" t="s">
        <v>946</v>
      </c>
      <c r="CE182" s="1689">
        <v>138.006</v>
      </c>
      <c r="CF182" s="1689"/>
      <c r="CG182" s="1740">
        <f t="shared" si="27"/>
        <v>138.006</v>
      </c>
      <c r="CH182" s="1740" t="str">
        <f t="shared" si="34"/>
        <v/>
      </c>
    </row>
    <row r="183" spans="2:86" ht="15.65" customHeight="1">
      <c r="B183" s="149"/>
      <c r="C183" s="1837"/>
      <c r="D183" s="1841"/>
      <c r="E183" s="1840"/>
      <c r="F183" s="1838"/>
      <c r="G183" s="1698"/>
      <c r="S183" s="1698"/>
      <c r="T183" s="1846" t="str">
        <f t="shared" si="28"/>
        <v/>
      </c>
      <c r="U183" s="1847" t="str">
        <f t="shared" si="29"/>
        <v/>
      </c>
      <c r="V183" s="1848"/>
      <c r="W183" s="1849" t="str">
        <f t="shared" si="30"/>
        <v/>
      </c>
      <c r="X183" s="1698"/>
      <c r="AY183" s="1746" t="s">
        <v>2588</v>
      </c>
      <c r="AZ183" s="1746">
        <v>2006</v>
      </c>
      <c r="BA183" s="1746" t="s">
        <v>2977</v>
      </c>
      <c r="BB183" s="1747" t="s">
        <v>2978</v>
      </c>
      <c r="BC183" s="1746">
        <v>50</v>
      </c>
      <c r="BD183" s="1746" t="s">
        <v>2790</v>
      </c>
      <c r="BE183" s="1746"/>
      <c r="BF183" s="1746">
        <v>1314</v>
      </c>
      <c r="BG183" s="1746" t="s">
        <v>2592</v>
      </c>
      <c r="BH183" s="1744">
        <f t="shared" si="35"/>
        <v>1.3140000000000001E-3</v>
      </c>
      <c r="BI183" s="1745">
        <f t="shared" si="31"/>
        <v>2.6280000000000002E-5</v>
      </c>
      <c r="BJ183" s="1740" t="str">
        <f t="shared" si="32"/>
        <v>amps</v>
      </c>
      <c r="BK183" s="1740" t="str">
        <f t="shared" si="33"/>
        <v>Injection Vial</v>
      </c>
      <c r="BV183" s="1689" t="s">
        <v>1281</v>
      </c>
      <c r="BW183" s="1689" t="s">
        <v>1282</v>
      </c>
      <c r="BX183" s="1689" t="s">
        <v>889</v>
      </c>
      <c r="BY183" s="1689" t="s">
        <v>890</v>
      </c>
      <c r="BZ183" s="1689"/>
      <c r="CA183" s="1689" t="s">
        <v>1283</v>
      </c>
      <c r="CB183" s="1689"/>
      <c r="CC183" s="1689"/>
      <c r="CD183" s="1689">
        <v>20</v>
      </c>
      <c r="CE183" s="1689">
        <v>0.7</v>
      </c>
      <c r="CF183" s="1689"/>
      <c r="CG183" s="1740">
        <f t="shared" si="27"/>
        <v>0.7</v>
      </c>
      <c r="CH183" s="1740">
        <f t="shared" si="34"/>
        <v>14</v>
      </c>
    </row>
    <row r="184" spans="2:86" ht="15.65" customHeight="1">
      <c r="B184" s="149"/>
      <c r="C184" s="1837"/>
      <c r="D184" s="1841"/>
      <c r="E184" s="1840"/>
      <c r="F184" s="1838"/>
      <c r="G184" s="1698"/>
      <c r="S184" s="1698"/>
      <c r="T184" s="1846" t="str">
        <f t="shared" si="28"/>
        <v/>
      </c>
      <c r="U184" s="1847" t="str">
        <f t="shared" si="29"/>
        <v/>
      </c>
      <c r="V184" s="1848"/>
      <c r="W184" s="1849" t="str">
        <f t="shared" si="30"/>
        <v/>
      </c>
      <c r="X184" s="1698"/>
      <c r="AY184" s="1746" t="s">
        <v>2575</v>
      </c>
      <c r="AZ184" s="1746">
        <v>2008</v>
      </c>
      <c r="BA184" s="1746" t="s">
        <v>2979</v>
      </c>
      <c r="BB184" s="1747" t="s">
        <v>2980</v>
      </c>
      <c r="BC184" s="1746" t="s">
        <v>2578</v>
      </c>
      <c r="BD184" s="1746" t="s">
        <v>2903</v>
      </c>
      <c r="BE184" s="1746" t="s">
        <v>2826</v>
      </c>
      <c r="BF184" s="1746">
        <v>0</v>
      </c>
      <c r="BG184" s="1746" t="s">
        <v>2581</v>
      </c>
      <c r="BH184" s="1744">
        <f t="shared" si="35"/>
        <v>0</v>
      </c>
      <c r="BI184" s="1745" t="str">
        <f t="shared" si="31"/>
        <v/>
      </c>
      <c r="BJ184" s="1740" t="str">
        <f t="shared" si="32"/>
        <v>BOX-Antimalarial drugs</v>
      </c>
      <c r="BK184" s="1740" t="str">
        <f t="shared" si="33"/>
        <v>Injection Vial</v>
      </c>
      <c r="BV184" s="1689" t="s">
        <v>1281</v>
      </c>
      <c r="BW184" s="1689" t="s">
        <v>1282</v>
      </c>
      <c r="BX184" s="1689" t="s">
        <v>889</v>
      </c>
      <c r="BY184" s="1689" t="s">
        <v>890</v>
      </c>
      <c r="BZ184" s="1689"/>
      <c r="CA184" s="1689" t="s">
        <v>1286</v>
      </c>
      <c r="CB184" s="1689"/>
      <c r="CC184" s="1689"/>
      <c r="CD184" s="1689">
        <v>20</v>
      </c>
      <c r="CE184" s="1689">
        <v>0.48</v>
      </c>
      <c r="CF184" s="1689"/>
      <c r="CG184" s="1740">
        <f t="shared" si="27"/>
        <v>0.48</v>
      </c>
      <c r="CH184" s="1740">
        <f t="shared" si="34"/>
        <v>9.6</v>
      </c>
    </row>
    <row r="185" spans="2:86" ht="15.65" customHeight="1">
      <c r="B185" s="149"/>
      <c r="C185" s="1837"/>
      <c r="D185" s="1841"/>
      <c r="E185" s="1840"/>
      <c r="F185" s="1838"/>
      <c r="G185" s="1698"/>
      <c r="S185" s="1698"/>
      <c r="T185" s="1846" t="str">
        <f t="shared" si="28"/>
        <v/>
      </c>
      <c r="U185" s="1847" t="str">
        <f t="shared" si="29"/>
        <v/>
      </c>
      <c r="V185" s="1848"/>
      <c r="W185" s="1849" t="str">
        <f t="shared" si="30"/>
        <v/>
      </c>
      <c r="X185" s="1698"/>
      <c r="AY185" s="1746" t="s">
        <v>2575</v>
      </c>
      <c r="AZ185" s="1746">
        <v>2008</v>
      </c>
      <c r="BA185" s="1746" t="s">
        <v>2981</v>
      </c>
      <c r="BB185" s="1747" t="s">
        <v>2982</v>
      </c>
      <c r="BC185" s="1746" t="s">
        <v>2578</v>
      </c>
      <c r="BD185" s="1746" t="s">
        <v>2903</v>
      </c>
      <c r="BE185" s="1746" t="s">
        <v>2826</v>
      </c>
      <c r="BF185" s="1746">
        <v>0</v>
      </c>
      <c r="BG185" s="1746" t="s">
        <v>2581</v>
      </c>
      <c r="BH185" s="1744">
        <f t="shared" si="35"/>
        <v>0</v>
      </c>
      <c r="BI185" s="1745" t="str">
        <f t="shared" si="31"/>
        <v/>
      </c>
      <c r="BJ185" s="1740" t="str">
        <f t="shared" si="32"/>
        <v>BOX-Antimalarial drugs</v>
      </c>
      <c r="BK185" s="1740" t="str">
        <f t="shared" si="33"/>
        <v>Injection Vial</v>
      </c>
      <c r="BV185" s="1689" t="s">
        <v>1288</v>
      </c>
      <c r="BW185" s="1689" t="s">
        <v>1289</v>
      </c>
      <c r="BX185" s="1689" t="s">
        <v>889</v>
      </c>
      <c r="BY185" s="1689" t="s">
        <v>890</v>
      </c>
      <c r="BZ185" s="1689"/>
      <c r="CA185" s="1689" t="s">
        <v>1283</v>
      </c>
      <c r="CB185" s="1689"/>
      <c r="CC185" s="1689"/>
      <c r="CD185" s="1689">
        <v>20</v>
      </c>
      <c r="CE185" s="1689">
        <v>0.7</v>
      </c>
      <c r="CF185" s="1689"/>
      <c r="CG185" s="1740">
        <f t="shared" si="27"/>
        <v>0.7</v>
      </c>
      <c r="CH185" s="1740">
        <f t="shared" si="34"/>
        <v>14</v>
      </c>
    </row>
    <row r="186" spans="2:86" ht="15.65" customHeight="1">
      <c r="B186" s="149"/>
      <c r="C186" s="1837"/>
      <c r="D186" s="1841"/>
      <c r="E186" s="1840"/>
      <c r="F186" s="1838"/>
      <c r="G186" s="1698"/>
      <c r="S186" s="1698"/>
      <c r="T186" s="1846" t="str">
        <f t="shared" si="28"/>
        <v/>
      </c>
      <c r="U186" s="1847" t="str">
        <f t="shared" si="29"/>
        <v/>
      </c>
      <c r="V186" s="1848"/>
      <c r="W186" s="1849" t="str">
        <f t="shared" si="30"/>
        <v/>
      </c>
      <c r="X186" s="1698"/>
      <c r="AY186" s="1746" t="s">
        <v>2575</v>
      </c>
      <c r="AZ186" s="1746">
        <v>2008</v>
      </c>
      <c r="BA186" s="1746" t="s">
        <v>2983</v>
      </c>
      <c r="BB186" s="1747" t="s">
        <v>2984</v>
      </c>
      <c r="BC186" s="1746" t="s">
        <v>2578</v>
      </c>
      <c r="BD186" s="1746" t="s">
        <v>2903</v>
      </c>
      <c r="BE186" s="1746" t="s">
        <v>2826</v>
      </c>
      <c r="BF186" s="1746">
        <v>0</v>
      </c>
      <c r="BG186" s="1746" t="s">
        <v>2581</v>
      </c>
      <c r="BH186" s="1744">
        <f t="shared" si="35"/>
        <v>0</v>
      </c>
      <c r="BI186" s="1745" t="str">
        <f t="shared" si="31"/>
        <v/>
      </c>
      <c r="BJ186" s="1740" t="str">
        <f t="shared" si="32"/>
        <v>BOX-Antimalarial drugs</v>
      </c>
      <c r="BK186" s="1740" t="str">
        <f t="shared" si="33"/>
        <v>Injection Vial</v>
      </c>
      <c r="BV186" s="1689" t="s">
        <v>1291</v>
      </c>
      <c r="BW186" s="1689" t="s">
        <v>1292</v>
      </c>
      <c r="BX186" s="1689" t="s">
        <v>889</v>
      </c>
      <c r="BY186" s="1689" t="s">
        <v>890</v>
      </c>
      <c r="BZ186" s="1689"/>
      <c r="CA186" s="1689" t="s">
        <v>1283</v>
      </c>
      <c r="CB186" s="1689"/>
      <c r="CC186" s="1689"/>
      <c r="CD186" s="1689">
        <v>20</v>
      </c>
      <c r="CE186" s="1689">
        <v>1</v>
      </c>
      <c r="CF186" s="1689"/>
      <c r="CG186" s="1740">
        <f t="shared" si="27"/>
        <v>1</v>
      </c>
      <c r="CH186" s="1740">
        <f t="shared" si="34"/>
        <v>20</v>
      </c>
    </row>
    <row r="187" spans="2:86" ht="15.65" customHeight="1">
      <c r="B187" s="149"/>
      <c r="C187" s="1837"/>
      <c r="D187" s="1841"/>
      <c r="E187" s="1840"/>
      <c r="F187" s="1838"/>
      <c r="G187" s="1698"/>
      <c r="S187" s="1698"/>
      <c r="T187" s="1846" t="str">
        <f t="shared" si="28"/>
        <v/>
      </c>
      <c r="U187" s="1847" t="str">
        <f t="shared" si="29"/>
        <v/>
      </c>
      <c r="V187" s="1848"/>
      <c r="W187" s="1849" t="str">
        <f t="shared" si="30"/>
        <v/>
      </c>
      <c r="X187" s="1698"/>
      <c r="AY187" s="1746" t="s">
        <v>2575</v>
      </c>
      <c r="AZ187" s="1746">
        <v>2008</v>
      </c>
      <c r="BA187" s="1746" t="s">
        <v>2985</v>
      </c>
      <c r="BB187" s="1747" t="s">
        <v>2986</v>
      </c>
      <c r="BC187" s="1746" t="s">
        <v>2578</v>
      </c>
      <c r="BD187" s="1746" t="s">
        <v>2903</v>
      </c>
      <c r="BE187" s="1746" t="s">
        <v>2826</v>
      </c>
      <c r="BF187" s="1746">
        <v>0</v>
      </c>
      <c r="BG187" s="1746" t="s">
        <v>2581</v>
      </c>
      <c r="BH187" s="1744">
        <f t="shared" si="35"/>
        <v>0</v>
      </c>
      <c r="BI187" s="1745" t="str">
        <f t="shared" si="31"/>
        <v/>
      </c>
      <c r="BJ187" s="1740" t="str">
        <f t="shared" si="32"/>
        <v>BOX-Antimalarial drugs</v>
      </c>
      <c r="BK187" s="1740" t="str">
        <f t="shared" si="33"/>
        <v>Injection Vial</v>
      </c>
      <c r="BV187" s="1689" t="s">
        <v>1291</v>
      </c>
      <c r="BW187" s="1689" t="s">
        <v>1292</v>
      </c>
      <c r="BX187" s="1689" t="s">
        <v>889</v>
      </c>
      <c r="BY187" s="1689" t="s">
        <v>890</v>
      </c>
      <c r="BZ187" s="1689"/>
      <c r="CA187" s="1689" t="s">
        <v>910</v>
      </c>
      <c r="CB187" s="1689"/>
      <c r="CC187" s="1689"/>
      <c r="CD187" s="1689">
        <v>20</v>
      </c>
      <c r="CE187" s="1689">
        <v>0.55000000000000004</v>
      </c>
      <c r="CF187" s="1689"/>
      <c r="CG187" s="1740">
        <f t="shared" si="27"/>
        <v>0.55000000000000004</v>
      </c>
      <c r="CH187" s="1740">
        <f t="shared" si="34"/>
        <v>11</v>
      </c>
    </row>
    <row r="188" spans="2:86" ht="15.65" customHeight="1">
      <c r="B188" s="149"/>
      <c r="C188" s="1837"/>
      <c r="D188" s="1841"/>
      <c r="E188" s="1840"/>
      <c r="F188" s="1838"/>
      <c r="G188" s="1698"/>
      <c r="S188" s="1698"/>
      <c r="T188" s="1846" t="str">
        <f t="shared" si="28"/>
        <v/>
      </c>
      <c r="U188" s="1847" t="str">
        <f t="shared" si="29"/>
        <v/>
      </c>
      <c r="V188" s="1848"/>
      <c r="W188" s="1849" t="str">
        <f t="shared" si="30"/>
        <v/>
      </c>
      <c r="X188" s="1698"/>
      <c r="AY188" s="1746" t="s">
        <v>2575</v>
      </c>
      <c r="AZ188" s="1746">
        <v>2008</v>
      </c>
      <c r="BA188" s="1746" t="s">
        <v>2987</v>
      </c>
      <c r="BB188" s="1747" t="s">
        <v>2988</v>
      </c>
      <c r="BC188" s="1746" t="s">
        <v>2578</v>
      </c>
      <c r="BD188" s="1746" t="s">
        <v>2903</v>
      </c>
      <c r="BE188" s="1746" t="s">
        <v>2826</v>
      </c>
      <c r="BF188" s="1746">
        <v>0</v>
      </c>
      <c r="BG188" s="1746" t="s">
        <v>2581</v>
      </c>
      <c r="BH188" s="1744">
        <f t="shared" si="35"/>
        <v>0</v>
      </c>
      <c r="BI188" s="1745" t="str">
        <f t="shared" si="31"/>
        <v/>
      </c>
      <c r="BJ188" s="1740" t="str">
        <f t="shared" si="32"/>
        <v>BOX-Antimalarial drugs</v>
      </c>
      <c r="BK188" s="1740" t="str">
        <f t="shared" si="33"/>
        <v>Injection Vial</v>
      </c>
      <c r="BV188" s="1689" t="s">
        <v>1291</v>
      </c>
      <c r="BW188" s="1689" t="s">
        <v>1292</v>
      </c>
      <c r="BX188" s="1689" t="s">
        <v>889</v>
      </c>
      <c r="BY188" s="1689" t="s">
        <v>890</v>
      </c>
      <c r="BZ188" s="1689"/>
      <c r="CA188" s="1689" t="s">
        <v>1295</v>
      </c>
      <c r="CB188" s="1689"/>
      <c r="CC188" s="1689"/>
      <c r="CD188" s="1689">
        <v>10</v>
      </c>
      <c r="CE188" s="1689">
        <v>0.97</v>
      </c>
      <c r="CF188" s="1689"/>
      <c r="CG188" s="1740">
        <f t="shared" si="27"/>
        <v>0.97</v>
      </c>
      <c r="CH188" s="1740">
        <f t="shared" si="34"/>
        <v>9.6999999999999993</v>
      </c>
    </row>
    <row r="189" spans="2:86" ht="15.65" customHeight="1">
      <c r="B189" s="149"/>
      <c r="C189" s="1837"/>
      <c r="D189" s="1841"/>
      <c r="E189" s="1840"/>
      <c r="F189" s="1838"/>
      <c r="G189" s="1698"/>
      <c r="S189" s="1698"/>
      <c r="T189" s="1846" t="str">
        <f t="shared" si="28"/>
        <v/>
      </c>
      <c r="U189" s="1847" t="str">
        <f t="shared" si="29"/>
        <v/>
      </c>
      <c r="V189" s="1848"/>
      <c r="W189" s="1849" t="str">
        <f t="shared" si="30"/>
        <v/>
      </c>
      <c r="X189" s="1698"/>
      <c r="AY189" s="1746" t="s">
        <v>2575</v>
      </c>
      <c r="AZ189" s="1746">
        <v>2008</v>
      </c>
      <c r="BA189" s="1746" t="s">
        <v>2989</v>
      </c>
      <c r="BB189" s="1747" t="s">
        <v>2990</v>
      </c>
      <c r="BC189" s="1746" t="s">
        <v>2578</v>
      </c>
      <c r="BD189" s="1746" t="s">
        <v>2903</v>
      </c>
      <c r="BE189" s="1746" t="s">
        <v>2826</v>
      </c>
      <c r="BF189" s="1746">
        <v>0</v>
      </c>
      <c r="BG189" s="1746" t="s">
        <v>2581</v>
      </c>
      <c r="BH189" s="1744">
        <f t="shared" si="35"/>
        <v>0</v>
      </c>
      <c r="BI189" s="1745" t="str">
        <f t="shared" si="31"/>
        <v/>
      </c>
      <c r="BJ189" s="1740" t="str">
        <f t="shared" si="32"/>
        <v>BOX-Antimalarial drugs</v>
      </c>
      <c r="BK189" s="1740" t="str">
        <f t="shared" si="33"/>
        <v>Injection Vial</v>
      </c>
      <c r="BV189" s="1689" t="s">
        <v>1291</v>
      </c>
      <c r="BW189" s="1689" t="s">
        <v>1292</v>
      </c>
      <c r="BX189" s="1689" t="s">
        <v>889</v>
      </c>
      <c r="BY189" s="1689" t="s">
        <v>890</v>
      </c>
      <c r="BZ189" s="1689"/>
      <c r="CA189" s="1689" t="s">
        <v>1297</v>
      </c>
      <c r="CB189" s="1689"/>
      <c r="CC189" s="1689"/>
      <c r="CD189" s="1689">
        <v>20</v>
      </c>
      <c r="CE189" s="1689">
        <v>0.48</v>
      </c>
      <c r="CF189" s="1689"/>
      <c r="CG189" s="1740">
        <f t="shared" si="27"/>
        <v>0.48</v>
      </c>
      <c r="CH189" s="1740">
        <f t="shared" si="34"/>
        <v>9.6</v>
      </c>
    </row>
    <row r="190" spans="2:86" ht="15.65" customHeight="1">
      <c r="B190" s="149"/>
      <c r="C190" s="1837"/>
      <c r="D190" s="1841"/>
      <c r="E190" s="1840"/>
      <c r="F190" s="1838"/>
      <c r="G190" s="1698"/>
      <c r="S190" s="1698"/>
      <c r="T190" s="1846" t="str">
        <f t="shared" si="28"/>
        <v/>
      </c>
      <c r="U190" s="1847" t="str">
        <f t="shared" si="29"/>
        <v/>
      </c>
      <c r="V190" s="1848"/>
      <c r="W190" s="1849" t="str">
        <f t="shared" si="30"/>
        <v/>
      </c>
      <c r="X190" s="1698"/>
      <c r="AY190" s="1746" t="s">
        <v>2575</v>
      </c>
      <c r="AZ190" s="1746">
        <v>2008</v>
      </c>
      <c r="BA190" s="1746" t="s">
        <v>2991</v>
      </c>
      <c r="BB190" s="1747" t="s">
        <v>2992</v>
      </c>
      <c r="BC190" s="1746" t="s">
        <v>2578</v>
      </c>
      <c r="BD190" s="1746" t="s">
        <v>2903</v>
      </c>
      <c r="BE190" s="1746" t="s">
        <v>2826</v>
      </c>
      <c r="BF190" s="1746">
        <v>0</v>
      </c>
      <c r="BG190" s="1746" t="s">
        <v>2581</v>
      </c>
      <c r="BH190" s="1744">
        <f t="shared" si="35"/>
        <v>0</v>
      </c>
      <c r="BI190" s="1745" t="str">
        <f t="shared" si="31"/>
        <v/>
      </c>
      <c r="BJ190" s="1740" t="str">
        <f t="shared" si="32"/>
        <v>BOX-Antimalarial drugs</v>
      </c>
      <c r="BK190" s="1740" t="str">
        <f t="shared" si="33"/>
        <v>Injection Vial</v>
      </c>
      <c r="BV190" s="1689" t="s">
        <v>1291</v>
      </c>
      <c r="BW190" s="1689" t="s">
        <v>1292</v>
      </c>
      <c r="BX190" s="1689" t="s">
        <v>889</v>
      </c>
      <c r="BY190" s="1689" t="s">
        <v>890</v>
      </c>
      <c r="BZ190" s="1689"/>
      <c r="CA190" s="1689" t="s">
        <v>910</v>
      </c>
      <c r="CB190" s="1689"/>
      <c r="CC190" s="1689"/>
      <c r="CD190" s="1689">
        <v>20</v>
      </c>
      <c r="CE190" s="1689">
        <v>1</v>
      </c>
      <c r="CF190" s="1689"/>
      <c r="CG190" s="1740">
        <f t="shared" si="27"/>
        <v>1</v>
      </c>
      <c r="CH190" s="1740">
        <f t="shared" si="34"/>
        <v>20</v>
      </c>
    </row>
    <row r="191" spans="2:86" ht="15.65" customHeight="1">
      <c r="B191" s="149"/>
      <c r="C191" s="1837"/>
      <c r="D191" s="1841"/>
      <c r="E191" s="1840"/>
      <c r="F191" s="1838"/>
      <c r="G191" s="1698"/>
      <c r="S191" s="1698"/>
      <c r="T191" s="1846" t="str">
        <f t="shared" si="28"/>
        <v/>
      </c>
      <c r="U191" s="1847" t="str">
        <f t="shared" si="29"/>
        <v/>
      </c>
      <c r="V191" s="1848"/>
      <c r="W191" s="1849" t="str">
        <f t="shared" si="30"/>
        <v/>
      </c>
      <c r="X191" s="1698"/>
      <c r="AY191" s="1746" t="s">
        <v>2575</v>
      </c>
      <c r="AZ191" s="1746">
        <v>2008</v>
      </c>
      <c r="BA191" s="1746" t="s">
        <v>2993</v>
      </c>
      <c r="BB191" s="1747" t="s">
        <v>2994</v>
      </c>
      <c r="BC191" s="1746" t="s">
        <v>2578</v>
      </c>
      <c r="BD191" s="1746" t="s">
        <v>2903</v>
      </c>
      <c r="BE191" s="1746" t="s">
        <v>2826</v>
      </c>
      <c r="BF191" s="1746">
        <v>0</v>
      </c>
      <c r="BG191" s="1746" t="s">
        <v>2581</v>
      </c>
      <c r="BH191" s="1744">
        <f t="shared" si="35"/>
        <v>0</v>
      </c>
      <c r="BI191" s="1745" t="str">
        <f t="shared" si="31"/>
        <v/>
      </c>
      <c r="BJ191" s="1740" t="str">
        <f t="shared" si="32"/>
        <v>BOX-Antimalarial drugs</v>
      </c>
      <c r="BK191" s="1740" t="str">
        <f t="shared" si="33"/>
        <v>Injection Vial</v>
      </c>
      <c r="BV191" s="1689" t="s">
        <v>1291</v>
      </c>
      <c r="BW191" s="1689" t="s">
        <v>1292</v>
      </c>
      <c r="BX191" s="1689" t="s">
        <v>889</v>
      </c>
      <c r="BY191" s="1689" t="s">
        <v>890</v>
      </c>
      <c r="BZ191" s="1689"/>
      <c r="CA191" s="1689" t="s">
        <v>908</v>
      </c>
      <c r="CB191" s="1689"/>
      <c r="CC191" s="1689"/>
      <c r="CD191" s="1689">
        <v>20</v>
      </c>
      <c r="CE191" s="1689">
        <v>1.1299999999999999</v>
      </c>
      <c r="CF191" s="1689"/>
      <c r="CG191" s="1740">
        <f t="shared" si="27"/>
        <v>1.1299999999999999</v>
      </c>
      <c r="CH191" s="1740">
        <f t="shared" si="34"/>
        <v>22.599999999999998</v>
      </c>
    </row>
    <row r="192" spans="2:86" ht="15.65" customHeight="1">
      <c r="B192" s="149"/>
      <c r="C192" s="1837"/>
      <c r="D192" s="1841"/>
      <c r="E192" s="1840"/>
      <c r="F192" s="1838"/>
      <c r="G192" s="1698"/>
      <c r="S192" s="1698"/>
      <c r="T192" s="1846" t="str">
        <f t="shared" si="28"/>
        <v/>
      </c>
      <c r="U192" s="1847" t="str">
        <f t="shared" si="29"/>
        <v/>
      </c>
      <c r="V192" s="1848"/>
      <c r="W192" s="1849" t="str">
        <f t="shared" si="30"/>
        <v/>
      </c>
      <c r="X192" s="1698"/>
      <c r="AY192" s="1746" t="s">
        <v>2575</v>
      </c>
      <c r="AZ192" s="1746">
        <v>2008</v>
      </c>
      <c r="BA192" s="1746" t="s">
        <v>2995</v>
      </c>
      <c r="BB192" s="1747" t="s">
        <v>2996</v>
      </c>
      <c r="BC192" s="1746" t="s">
        <v>2578</v>
      </c>
      <c r="BD192" s="1746" t="s">
        <v>2579</v>
      </c>
      <c r="BE192" s="1746" t="s">
        <v>2826</v>
      </c>
      <c r="BF192" s="1746">
        <v>5.1999999999999998E-2</v>
      </c>
      <c r="BG192" s="1746" t="s">
        <v>2581</v>
      </c>
      <c r="BH192" s="1744">
        <f t="shared" si="35"/>
        <v>5.1999999999999997E-5</v>
      </c>
      <c r="BI192" s="1745" t="str">
        <f t="shared" si="31"/>
        <v/>
      </c>
      <c r="BJ192" s="1740" t="str">
        <f t="shared" si="32"/>
        <v>EA-Antimalarial drugs</v>
      </c>
      <c r="BK192" s="1740" t="str">
        <f t="shared" si="33"/>
        <v>Blister Pack of Tablets</v>
      </c>
      <c r="BV192" s="1689" t="s">
        <v>1302</v>
      </c>
      <c r="BW192" s="1689" t="s">
        <v>1303</v>
      </c>
      <c r="BX192" s="1689" t="s">
        <v>864</v>
      </c>
      <c r="BY192" s="1689" t="s">
        <v>1232</v>
      </c>
      <c r="BZ192" s="1689"/>
      <c r="CA192" s="1689" t="s">
        <v>1304</v>
      </c>
      <c r="CB192" s="1689" t="s">
        <v>868</v>
      </c>
      <c r="CC192" s="1689"/>
      <c r="CD192" s="1689">
        <v>1</v>
      </c>
      <c r="CE192" s="1689">
        <v>26.11</v>
      </c>
      <c r="CF192" s="1689">
        <v>26.11</v>
      </c>
      <c r="CG192" s="1740">
        <f t="shared" si="27"/>
        <v>52.22</v>
      </c>
      <c r="CH192" s="1740">
        <f t="shared" si="34"/>
        <v>52.22</v>
      </c>
    </row>
    <row r="193" spans="2:86" ht="15.65" customHeight="1">
      <c r="B193" s="149"/>
      <c r="C193" s="1837"/>
      <c r="D193" s="1841"/>
      <c r="E193" s="1840"/>
      <c r="F193" s="1838"/>
      <c r="G193" s="1698"/>
      <c r="S193" s="1698"/>
      <c r="T193" s="1846" t="str">
        <f t="shared" si="28"/>
        <v/>
      </c>
      <c r="U193" s="1847" t="str">
        <f t="shared" si="29"/>
        <v/>
      </c>
      <c r="V193" s="1848"/>
      <c r="W193" s="1849" t="str">
        <f t="shared" si="30"/>
        <v/>
      </c>
      <c r="X193" s="1698"/>
      <c r="AY193" s="1746" t="s">
        <v>2575</v>
      </c>
      <c r="AZ193" s="1746">
        <v>2008</v>
      </c>
      <c r="BA193" s="1746" t="s">
        <v>2997</v>
      </c>
      <c r="BB193" s="1747" t="s">
        <v>2998</v>
      </c>
      <c r="BC193" s="1746" t="s">
        <v>2578</v>
      </c>
      <c r="BD193" s="1746" t="s">
        <v>2638</v>
      </c>
      <c r="BE193" s="1746" t="s">
        <v>2826</v>
      </c>
      <c r="BF193" s="1746">
        <v>0</v>
      </c>
      <c r="BG193" s="1746" t="s">
        <v>2581</v>
      </c>
      <c r="BH193" s="1744">
        <f t="shared" si="35"/>
        <v>0</v>
      </c>
      <c r="BI193" s="1745" t="str">
        <f t="shared" si="31"/>
        <v/>
      </c>
      <c r="BJ193" s="1740" t="str">
        <f t="shared" si="32"/>
        <v>PAC-Antimalarial drugs</v>
      </c>
      <c r="BK193" s="1740" t="str">
        <f t="shared" si="33"/>
        <v>Blister Pack of Tablets</v>
      </c>
      <c r="BV193" s="1689" t="s">
        <v>1302</v>
      </c>
      <c r="BW193" s="1689" t="s">
        <v>1303</v>
      </c>
      <c r="BX193" s="1689" t="s">
        <v>864</v>
      </c>
      <c r="BY193" s="1689" t="s">
        <v>1232</v>
      </c>
      <c r="BZ193" s="1689"/>
      <c r="CA193" s="1689" t="s">
        <v>1304</v>
      </c>
      <c r="CB193" s="1689" t="s">
        <v>868</v>
      </c>
      <c r="CC193" s="1689"/>
      <c r="CD193" s="1689">
        <v>2</v>
      </c>
      <c r="CE193" s="1689">
        <v>13.1</v>
      </c>
      <c r="CF193" s="1689">
        <v>13.1</v>
      </c>
      <c r="CG193" s="1740">
        <f t="shared" si="27"/>
        <v>26.2</v>
      </c>
      <c r="CH193" s="1740">
        <f t="shared" si="34"/>
        <v>52.4</v>
      </c>
    </row>
    <row r="194" spans="2:86" ht="15.65" customHeight="1">
      <c r="B194" s="149"/>
      <c r="C194" s="1837"/>
      <c r="D194" s="1841"/>
      <c r="E194" s="1840"/>
      <c r="F194" s="1838"/>
      <c r="G194" s="1698"/>
      <c r="S194" s="1698"/>
      <c r="T194" s="1846" t="str">
        <f t="shared" si="28"/>
        <v/>
      </c>
      <c r="U194" s="1847" t="str">
        <f t="shared" si="29"/>
        <v/>
      </c>
      <c r="V194" s="1848"/>
      <c r="W194" s="1849" t="str">
        <f t="shared" si="30"/>
        <v/>
      </c>
      <c r="X194" s="1698"/>
      <c r="AY194" s="1746" t="s">
        <v>2575</v>
      </c>
      <c r="AZ194" s="1746">
        <v>2008</v>
      </c>
      <c r="BA194" s="1746" t="s">
        <v>2999</v>
      </c>
      <c r="BB194" s="1747" t="s">
        <v>3000</v>
      </c>
      <c r="BC194" s="1746" t="s">
        <v>2578</v>
      </c>
      <c r="BD194" s="1746" t="s">
        <v>2638</v>
      </c>
      <c r="BE194" s="1746" t="s">
        <v>2826</v>
      </c>
      <c r="BF194" s="1746">
        <v>2E-3</v>
      </c>
      <c r="BG194" s="1746" t="s">
        <v>2597</v>
      </c>
      <c r="BH194" s="1744">
        <f t="shared" si="35"/>
        <v>2E-3</v>
      </c>
      <c r="BI194" s="1745" t="str">
        <f t="shared" si="31"/>
        <v/>
      </c>
      <c r="BJ194" s="1740" t="str">
        <f t="shared" si="32"/>
        <v>PAC-Antimalarial drugs</v>
      </c>
      <c r="BK194" s="1740" t="str">
        <f t="shared" si="33"/>
        <v>Blister Pack of Tablets</v>
      </c>
      <c r="BV194" s="1689" t="s">
        <v>1302</v>
      </c>
      <c r="BW194" s="1689" t="s">
        <v>1303</v>
      </c>
      <c r="BX194" s="1689" t="s">
        <v>864</v>
      </c>
      <c r="BY194" s="1689" t="s">
        <v>1232</v>
      </c>
      <c r="BZ194" s="1689"/>
      <c r="CA194" s="1689" t="s">
        <v>1304</v>
      </c>
      <c r="CB194" s="1689" t="s">
        <v>868</v>
      </c>
      <c r="CC194" s="1689"/>
      <c r="CD194" s="1689">
        <v>5</v>
      </c>
      <c r="CE194" s="1689">
        <v>5.22</v>
      </c>
      <c r="CF194" s="1689">
        <v>5.22</v>
      </c>
      <c r="CG194" s="1740">
        <f t="shared" si="27"/>
        <v>10.44</v>
      </c>
      <c r="CH194" s="1740">
        <f t="shared" si="34"/>
        <v>52.199999999999996</v>
      </c>
    </row>
    <row r="195" spans="2:86" ht="15.65" customHeight="1">
      <c r="B195" s="149"/>
      <c r="C195" s="1837"/>
      <c r="D195" s="1841"/>
      <c r="E195" s="1840"/>
      <c r="F195" s="1838"/>
      <c r="G195" s="1698"/>
      <c r="S195" s="1698"/>
      <c r="T195" s="1846" t="str">
        <f t="shared" si="28"/>
        <v/>
      </c>
      <c r="U195" s="1847" t="str">
        <f t="shared" si="29"/>
        <v/>
      </c>
      <c r="V195" s="1848"/>
      <c r="W195" s="1849" t="str">
        <f t="shared" si="30"/>
        <v/>
      </c>
      <c r="X195" s="1698"/>
      <c r="AY195" s="1746" t="s">
        <v>2575</v>
      </c>
      <c r="AZ195" s="1746">
        <v>2008</v>
      </c>
      <c r="BA195" s="1746" t="s">
        <v>3001</v>
      </c>
      <c r="BB195" s="1747" t="s">
        <v>3002</v>
      </c>
      <c r="BC195" s="1746" t="s">
        <v>2578</v>
      </c>
      <c r="BD195" s="1746" t="s">
        <v>2638</v>
      </c>
      <c r="BE195" s="1746" t="s">
        <v>2826</v>
      </c>
      <c r="BF195" s="1746">
        <v>0</v>
      </c>
      <c r="BG195" s="1746" t="s">
        <v>2581</v>
      </c>
      <c r="BH195" s="1744">
        <f t="shared" si="35"/>
        <v>0</v>
      </c>
      <c r="BI195" s="1745" t="str">
        <f t="shared" si="31"/>
        <v/>
      </c>
      <c r="BJ195" s="1740" t="str">
        <f t="shared" si="32"/>
        <v>PAC-Antimalarial drugs</v>
      </c>
      <c r="BK195" s="1740" t="str">
        <f t="shared" si="33"/>
        <v>Blister Pack of Tablets</v>
      </c>
      <c r="BV195" s="1689" t="s">
        <v>1302</v>
      </c>
      <c r="BW195" s="1689" t="s">
        <v>1303</v>
      </c>
      <c r="BX195" s="1689" t="s">
        <v>864</v>
      </c>
      <c r="BY195" s="1689" t="s">
        <v>1232</v>
      </c>
      <c r="BZ195" s="1689"/>
      <c r="CA195" s="1689" t="s">
        <v>1304</v>
      </c>
      <c r="CB195" s="1689" t="s">
        <v>868</v>
      </c>
      <c r="CC195" s="1689"/>
      <c r="CD195" s="1689">
        <v>10</v>
      </c>
      <c r="CE195" s="1689">
        <v>2.6110000000000002</v>
      </c>
      <c r="CF195" s="1689">
        <v>2.6110000000000002</v>
      </c>
      <c r="CG195" s="1740">
        <f t="shared" si="27"/>
        <v>5.2220000000000004</v>
      </c>
      <c r="CH195" s="1740">
        <f t="shared" si="34"/>
        <v>52.220000000000006</v>
      </c>
    </row>
    <row r="196" spans="2:86" ht="15.65" customHeight="1">
      <c r="B196" s="149"/>
      <c r="C196" s="1837"/>
      <c r="D196" s="1841"/>
      <c r="E196" s="1840"/>
      <c r="F196" s="1838"/>
      <c r="G196" s="1698"/>
      <c r="S196" s="1698"/>
      <c r="T196" s="1846" t="str">
        <f t="shared" si="28"/>
        <v/>
      </c>
      <c r="U196" s="1847" t="str">
        <f t="shared" si="29"/>
        <v/>
      </c>
      <c r="V196" s="1848"/>
      <c r="W196" s="1849" t="str">
        <f t="shared" si="30"/>
        <v/>
      </c>
      <c r="X196" s="1698"/>
      <c r="AY196" s="1746" t="s">
        <v>2575</v>
      </c>
      <c r="AZ196" s="1746">
        <v>2008</v>
      </c>
      <c r="BA196" s="1746" t="s">
        <v>3003</v>
      </c>
      <c r="BB196" s="1747" t="s">
        <v>3004</v>
      </c>
      <c r="BC196" s="1746" t="s">
        <v>2578</v>
      </c>
      <c r="BD196" s="1746" t="s">
        <v>2638</v>
      </c>
      <c r="BE196" s="1746" t="s">
        <v>2826</v>
      </c>
      <c r="BF196" s="1746">
        <v>0</v>
      </c>
      <c r="BG196" s="1746" t="s">
        <v>2581</v>
      </c>
      <c r="BH196" s="1744">
        <f t="shared" si="35"/>
        <v>0</v>
      </c>
      <c r="BI196" s="1745" t="str">
        <f t="shared" si="31"/>
        <v/>
      </c>
      <c r="BJ196" s="1740" t="str">
        <f t="shared" si="32"/>
        <v>PAC-Antimalarial drugs</v>
      </c>
      <c r="BK196" s="1740" t="str">
        <f t="shared" si="33"/>
        <v>Blister Pack of Tablets</v>
      </c>
      <c r="BV196" s="1689" t="s">
        <v>1302</v>
      </c>
      <c r="BW196" s="1689" t="s">
        <v>1303</v>
      </c>
      <c r="BX196" s="1689" t="s">
        <v>864</v>
      </c>
      <c r="BY196" s="1689" t="s">
        <v>1232</v>
      </c>
      <c r="BZ196" s="1689" t="s">
        <v>1309</v>
      </c>
      <c r="CA196" s="1689" t="s">
        <v>1304</v>
      </c>
      <c r="CB196" s="1689" t="s">
        <v>868</v>
      </c>
      <c r="CC196" s="1689"/>
      <c r="CD196" s="1689" t="s">
        <v>990</v>
      </c>
      <c r="CE196" s="1689"/>
      <c r="CF196" s="1689"/>
      <c r="CG196" s="1740"/>
      <c r="CH196" s="1740" t="str">
        <f t="shared" si="34"/>
        <v/>
      </c>
    </row>
    <row r="197" spans="2:86" ht="15.65" customHeight="1">
      <c r="B197" s="149"/>
      <c r="C197" s="1837"/>
      <c r="D197" s="1841"/>
      <c r="E197" s="1840"/>
      <c r="F197" s="1838"/>
      <c r="G197" s="1698"/>
      <c r="S197" s="1698"/>
      <c r="T197" s="1846" t="str">
        <f t="shared" si="28"/>
        <v/>
      </c>
      <c r="U197" s="1847" t="str">
        <f t="shared" si="29"/>
        <v/>
      </c>
      <c r="V197" s="1848"/>
      <c r="W197" s="1849" t="str">
        <f t="shared" si="30"/>
        <v/>
      </c>
      <c r="X197" s="1698"/>
      <c r="AY197" s="1746" t="s">
        <v>2575</v>
      </c>
      <c r="AZ197" s="1746">
        <v>2008</v>
      </c>
      <c r="BA197" s="1746" t="s">
        <v>3005</v>
      </c>
      <c r="BB197" s="1747" t="s">
        <v>3006</v>
      </c>
      <c r="BC197" s="1746" t="s">
        <v>2578</v>
      </c>
      <c r="BD197" s="1746" t="s">
        <v>2638</v>
      </c>
      <c r="BE197" s="1746" t="s">
        <v>2826</v>
      </c>
      <c r="BF197" s="1746">
        <v>0</v>
      </c>
      <c r="BG197" s="1746" t="s">
        <v>2581</v>
      </c>
      <c r="BH197" s="1744">
        <f t="shared" si="35"/>
        <v>0</v>
      </c>
      <c r="BI197" s="1745" t="str">
        <f t="shared" si="31"/>
        <v/>
      </c>
      <c r="BJ197" s="1740" t="str">
        <f t="shared" si="32"/>
        <v>PAC-Antimalarial drugs</v>
      </c>
      <c r="BK197" s="1740" t="str">
        <f t="shared" si="33"/>
        <v>Blister Pack of Tablets</v>
      </c>
      <c r="BV197" s="1689" t="s">
        <v>1277</v>
      </c>
      <c r="BW197" s="1689" t="s">
        <v>1278</v>
      </c>
      <c r="BX197" s="1689" t="s">
        <v>864</v>
      </c>
      <c r="BY197" s="1689" t="s">
        <v>1232</v>
      </c>
      <c r="BZ197" s="1689" t="s">
        <v>1279</v>
      </c>
      <c r="CA197" s="1689"/>
      <c r="CB197" s="1689"/>
      <c r="CC197" s="1689"/>
      <c r="CD197" s="1689" t="s">
        <v>894</v>
      </c>
      <c r="CE197" s="1689"/>
      <c r="CF197" s="1689"/>
      <c r="CG197" s="1740"/>
      <c r="CH197" s="1740" t="str">
        <f t="shared" si="34"/>
        <v/>
      </c>
    </row>
    <row r="198" spans="2:86" ht="15.65" customHeight="1">
      <c r="B198" s="149"/>
      <c r="C198" s="1837"/>
      <c r="D198" s="1841"/>
      <c r="E198" s="1840"/>
      <c r="F198" s="1838"/>
      <c r="G198" s="1698"/>
      <c r="S198" s="1698"/>
      <c r="T198" s="1846" t="str">
        <f t="shared" si="28"/>
        <v/>
      </c>
      <c r="U198" s="1847" t="str">
        <f t="shared" si="29"/>
        <v/>
      </c>
      <c r="V198" s="1848"/>
      <c r="W198" s="1849" t="str">
        <f t="shared" si="30"/>
        <v/>
      </c>
      <c r="X198" s="1698"/>
      <c r="AY198" s="1746" t="s">
        <v>2575</v>
      </c>
      <c r="AZ198" s="1746">
        <v>2008</v>
      </c>
      <c r="BA198" s="1746" t="s">
        <v>3007</v>
      </c>
      <c r="BB198" s="1747" t="s">
        <v>3008</v>
      </c>
      <c r="BC198" s="1746" t="s">
        <v>2578</v>
      </c>
      <c r="BD198" s="1746" t="s">
        <v>2638</v>
      </c>
      <c r="BE198" s="1746" t="s">
        <v>2826</v>
      </c>
      <c r="BF198" s="1746">
        <v>0</v>
      </c>
      <c r="BG198" s="1746" t="s">
        <v>2581</v>
      </c>
      <c r="BH198" s="1744">
        <f t="shared" si="35"/>
        <v>0</v>
      </c>
      <c r="BI198" s="1745" t="str">
        <f t="shared" si="31"/>
        <v/>
      </c>
      <c r="BJ198" s="1740" t="str">
        <f t="shared" si="32"/>
        <v>PAC-Antimalarial drugs</v>
      </c>
      <c r="BK198" s="1740" t="str">
        <f t="shared" si="33"/>
        <v>Blister Pack of Tablets</v>
      </c>
      <c r="BV198" s="1689" t="s">
        <v>1277</v>
      </c>
      <c r="BW198" s="1689" t="s">
        <v>1278</v>
      </c>
      <c r="BX198" s="1689" t="s">
        <v>864</v>
      </c>
      <c r="BY198" s="1689" t="s">
        <v>907</v>
      </c>
      <c r="BZ198" s="1689" t="s">
        <v>1313</v>
      </c>
      <c r="CA198" s="1689" t="s">
        <v>916</v>
      </c>
      <c r="CB198" s="1689" t="s">
        <v>868</v>
      </c>
      <c r="CC198" s="1689"/>
      <c r="CD198" s="1689">
        <v>1</v>
      </c>
      <c r="CE198" s="1689">
        <v>15</v>
      </c>
      <c r="CF198" s="1689">
        <v>15</v>
      </c>
      <c r="CG198" s="1740">
        <f t="shared" si="27"/>
        <v>30</v>
      </c>
      <c r="CH198" s="1740">
        <f t="shared" si="34"/>
        <v>30</v>
      </c>
    </row>
    <row r="199" spans="2:86" ht="15.65" customHeight="1">
      <c r="B199" s="149"/>
      <c r="C199" s="1837"/>
      <c r="D199" s="1841"/>
      <c r="E199" s="1840"/>
      <c r="F199" s="1838"/>
      <c r="G199" s="1698"/>
      <c r="S199" s="1698"/>
      <c r="T199" s="1846" t="str">
        <f t="shared" si="28"/>
        <v/>
      </c>
      <c r="U199" s="1847" t="str">
        <f t="shared" si="29"/>
        <v/>
      </c>
      <c r="V199" s="1848"/>
      <c r="W199" s="1849" t="str">
        <f t="shared" si="30"/>
        <v/>
      </c>
      <c r="X199" s="1698"/>
      <c r="AY199" s="1746" t="s">
        <v>2575</v>
      </c>
      <c r="AZ199" s="1746">
        <v>2008</v>
      </c>
      <c r="BA199" s="1746" t="s">
        <v>3009</v>
      </c>
      <c r="BB199" s="1747" t="s">
        <v>3010</v>
      </c>
      <c r="BC199" s="1746" t="s">
        <v>2578</v>
      </c>
      <c r="BD199" s="1746" t="s">
        <v>2638</v>
      </c>
      <c r="BE199" s="1746" t="s">
        <v>2826</v>
      </c>
      <c r="BF199" s="1746">
        <v>1E-3</v>
      </c>
      <c r="BG199" s="1746" t="s">
        <v>2597</v>
      </c>
      <c r="BH199" s="1744">
        <f t="shared" si="35"/>
        <v>1E-3</v>
      </c>
      <c r="BI199" s="1745" t="str">
        <f t="shared" si="31"/>
        <v/>
      </c>
      <c r="BJ199" s="1740" t="str">
        <f t="shared" si="32"/>
        <v>PAC-Antimalarial drugs</v>
      </c>
      <c r="BK199" s="1740" t="str">
        <f t="shared" si="33"/>
        <v>Blister Pack of Tablets</v>
      </c>
      <c r="BV199" s="1689" t="s">
        <v>1277</v>
      </c>
      <c r="BW199" s="1689" t="s">
        <v>1278</v>
      </c>
      <c r="BX199" s="1689" t="s">
        <v>864</v>
      </c>
      <c r="BY199" s="1689" t="s">
        <v>907</v>
      </c>
      <c r="BZ199" s="1689" t="s">
        <v>1315</v>
      </c>
      <c r="CA199" s="1689" t="s">
        <v>1316</v>
      </c>
      <c r="CB199" s="1689" t="s">
        <v>868</v>
      </c>
      <c r="CC199" s="1689"/>
      <c r="CD199" s="1689">
        <v>1</v>
      </c>
      <c r="CE199" s="1689">
        <v>12.66</v>
      </c>
      <c r="CF199" s="1689">
        <v>12.66</v>
      </c>
      <c r="CG199" s="1740">
        <f t="shared" si="27"/>
        <v>25.32</v>
      </c>
      <c r="CH199" s="1740">
        <f t="shared" si="34"/>
        <v>25.32</v>
      </c>
    </row>
    <row r="200" spans="2:86" ht="15.65" customHeight="1">
      <c r="B200" s="149"/>
      <c r="C200" s="1837"/>
      <c r="D200" s="1841"/>
      <c r="E200" s="1840"/>
      <c r="F200" s="1838"/>
      <c r="G200" s="1698"/>
      <c r="S200" s="1698"/>
      <c r="T200" s="1846" t="str">
        <f t="shared" si="28"/>
        <v/>
      </c>
      <c r="U200" s="1847" t="str">
        <f t="shared" si="29"/>
        <v/>
      </c>
      <c r="V200" s="1848"/>
      <c r="W200" s="1849" t="str">
        <f t="shared" si="30"/>
        <v/>
      </c>
      <c r="X200" s="1698"/>
      <c r="AY200" s="1746" t="s">
        <v>2575</v>
      </c>
      <c r="AZ200" s="1746">
        <v>2008</v>
      </c>
      <c r="BA200" s="1746" t="s">
        <v>3011</v>
      </c>
      <c r="BB200" s="1747" t="s">
        <v>3012</v>
      </c>
      <c r="BC200" s="1746" t="s">
        <v>2578</v>
      </c>
      <c r="BD200" s="1746" t="s">
        <v>2638</v>
      </c>
      <c r="BE200" s="1746" t="s">
        <v>2826</v>
      </c>
      <c r="BF200" s="1746">
        <v>0</v>
      </c>
      <c r="BG200" s="1746" t="s">
        <v>2581</v>
      </c>
      <c r="BH200" s="1744">
        <f t="shared" si="35"/>
        <v>0</v>
      </c>
      <c r="BI200" s="1745" t="str">
        <f t="shared" si="31"/>
        <v/>
      </c>
      <c r="BJ200" s="1740" t="str">
        <f t="shared" si="32"/>
        <v>PAC-Antimalarial drugs</v>
      </c>
      <c r="BK200" s="1740" t="str">
        <f t="shared" si="33"/>
        <v>Blister Pack of Tablets</v>
      </c>
      <c r="BV200" s="1689" t="s">
        <v>1277</v>
      </c>
      <c r="BW200" s="1689" t="s">
        <v>1278</v>
      </c>
      <c r="BX200" s="1689" t="s">
        <v>864</v>
      </c>
      <c r="BY200" s="1689" t="s">
        <v>907</v>
      </c>
      <c r="BZ200" s="1689" t="s">
        <v>1315</v>
      </c>
      <c r="CA200" s="1689" t="s">
        <v>1318</v>
      </c>
      <c r="CB200" s="1689" t="s">
        <v>868</v>
      </c>
      <c r="CC200" s="1689"/>
      <c r="CD200" s="1689">
        <v>10</v>
      </c>
      <c r="CE200" s="1689">
        <v>2.46</v>
      </c>
      <c r="CF200" s="1689">
        <v>2.46</v>
      </c>
      <c r="CG200" s="1740">
        <f t="shared" si="27"/>
        <v>4.92</v>
      </c>
      <c r="CH200" s="1740">
        <f t="shared" si="34"/>
        <v>49.2</v>
      </c>
    </row>
    <row r="201" spans="2:86" ht="15.65" customHeight="1">
      <c r="B201" s="149"/>
      <c r="C201" s="1837"/>
      <c r="D201" s="1841"/>
      <c r="E201" s="1840"/>
      <c r="F201" s="1838"/>
      <c r="G201" s="1698"/>
      <c r="S201" s="1698"/>
      <c r="T201" s="1846" t="str">
        <f t="shared" si="28"/>
        <v/>
      </c>
      <c r="U201" s="1847" t="str">
        <f t="shared" si="29"/>
        <v/>
      </c>
      <c r="V201" s="1848"/>
      <c r="W201" s="1849" t="str">
        <f t="shared" si="30"/>
        <v/>
      </c>
      <c r="X201" s="1698"/>
      <c r="AY201" s="1746" t="s">
        <v>2575</v>
      </c>
      <c r="AZ201" s="1746">
        <v>2008</v>
      </c>
      <c r="BA201" s="1746" t="s">
        <v>3013</v>
      </c>
      <c r="BB201" s="1747" t="s">
        <v>3014</v>
      </c>
      <c r="BC201" s="1746" t="s">
        <v>2578</v>
      </c>
      <c r="BD201" s="1746" t="s">
        <v>2638</v>
      </c>
      <c r="BE201" s="1746" t="s">
        <v>2826</v>
      </c>
      <c r="BF201" s="1746">
        <v>1E-3</v>
      </c>
      <c r="BG201" s="1746" t="s">
        <v>2597</v>
      </c>
      <c r="BH201" s="1744">
        <f t="shared" si="35"/>
        <v>1E-3</v>
      </c>
      <c r="BI201" s="1745" t="str">
        <f t="shared" si="31"/>
        <v/>
      </c>
      <c r="BJ201" s="1740" t="str">
        <f t="shared" si="32"/>
        <v>PAC-Antimalarial drugs</v>
      </c>
      <c r="BK201" s="1740" t="str">
        <f t="shared" si="33"/>
        <v>Blister Pack of Tablets</v>
      </c>
      <c r="BV201" s="1689" t="s">
        <v>1277</v>
      </c>
      <c r="BW201" s="1689" t="s">
        <v>1278</v>
      </c>
      <c r="BX201" s="1689" t="s">
        <v>864</v>
      </c>
      <c r="BY201" s="1689" t="s">
        <v>1232</v>
      </c>
      <c r="BZ201" s="1689"/>
      <c r="CA201" s="1689" t="s">
        <v>1320</v>
      </c>
      <c r="CB201" s="1689" t="s">
        <v>868</v>
      </c>
      <c r="CC201" s="1689"/>
      <c r="CD201" s="1689">
        <v>10</v>
      </c>
      <c r="CE201" s="1689">
        <v>2.6110000000000002</v>
      </c>
      <c r="CF201" s="1689">
        <v>2.6110000000000002</v>
      </c>
      <c r="CG201" s="1740">
        <f t="shared" si="27"/>
        <v>5.2220000000000004</v>
      </c>
      <c r="CH201" s="1740">
        <f t="shared" si="34"/>
        <v>52.220000000000006</v>
      </c>
    </row>
    <row r="202" spans="2:86" ht="15.65" customHeight="1">
      <c r="B202" s="149"/>
      <c r="C202" s="1837"/>
      <c r="D202" s="1841"/>
      <c r="E202" s="1840"/>
      <c r="F202" s="1838"/>
      <c r="G202" s="1698"/>
      <c r="S202" s="1698"/>
      <c r="T202" s="1846" t="str">
        <f t="shared" si="28"/>
        <v/>
      </c>
      <c r="U202" s="1847" t="str">
        <f t="shared" si="29"/>
        <v/>
      </c>
      <c r="V202" s="1848"/>
      <c r="W202" s="1849" t="str">
        <f t="shared" si="30"/>
        <v/>
      </c>
      <c r="X202" s="1698"/>
      <c r="AY202" s="1746" t="s">
        <v>2575</v>
      </c>
      <c r="AZ202" s="1746">
        <v>2008</v>
      </c>
      <c r="BA202" s="1746" t="s">
        <v>3015</v>
      </c>
      <c r="BB202" s="1747" t="s">
        <v>3016</v>
      </c>
      <c r="BC202" s="1746" t="s">
        <v>2578</v>
      </c>
      <c r="BD202" s="1746" t="s">
        <v>2638</v>
      </c>
      <c r="BE202" s="1746" t="s">
        <v>2826</v>
      </c>
      <c r="BF202" s="1746">
        <v>0</v>
      </c>
      <c r="BG202" s="1746" t="s">
        <v>2581</v>
      </c>
      <c r="BH202" s="1744">
        <f t="shared" si="35"/>
        <v>0</v>
      </c>
      <c r="BI202" s="1745" t="str">
        <f t="shared" si="31"/>
        <v/>
      </c>
      <c r="BJ202" s="1740" t="str">
        <f t="shared" si="32"/>
        <v>PAC-Antimalarial drugs</v>
      </c>
      <c r="BK202" s="1740" t="str">
        <f t="shared" si="33"/>
        <v>Blister Pack of Tablets</v>
      </c>
      <c r="BV202" s="1689" t="s">
        <v>1277</v>
      </c>
      <c r="BW202" s="1689" t="s">
        <v>1278</v>
      </c>
      <c r="BX202" s="1689" t="s">
        <v>864</v>
      </c>
      <c r="BY202" s="1689" t="s">
        <v>1232</v>
      </c>
      <c r="BZ202" s="1689"/>
      <c r="CA202" s="1689" t="s">
        <v>1320</v>
      </c>
      <c r="CB202" s="1689" t="s">
        <v>868</v>
      </c>
      <c r="CC202" s="1689"/>
      <c r="CD202" s="1689">
        <v>2</v>
      </c>
      <c r="CE202" s="1689">
        <v>13.1</v>
      </c>
      <c r="CF202" s="1689">
        <v>13.1</v>
      </c>
      <c r="CG202" s="1740">
        <f t="shared" ref="CG202:CG265" si="36">SUM(CF202,CE202)</f>
        <v>26.2</v>
      </c>
      <c r="CH202" s="1740">
        <f t="shared" si="34"/>
        <v>52.4</v>
      </c>
    </row>
    <row r="203" spans="2:86" ht="15.65" customHeight="1">
      <c r="B203" s="149"/>
      <c r="C203" s="1837"/>
      <c r="D203" s="1841"/>
      <c r="E203" s="1840"/>
      <c r="F203" s="1838"/>
      <c r="G203" s="1698"/>
      <c r="S203" s="1698"/>
      <c r="T203" s="1846" t="str">
        <f t="shared" ref="T203:T266" si="37">IF(C203="","",C203)</f>
        <v/>
      </c>
      <c r="U203" s="1847" t="str">
        <f t="shared" ref="U203:U266" si="38">IFERROR(INDEX($O$11:$O$42,MATCH(E203,$K$11:$K$42,0)),"")</f>
        <v/>
      </c>
      <c r="V203" s="1848"/>
      <c r="W203" s="1849" t="str">
        <f t="shared" si="30"/>
        <v/>
      </c>
      <c r="X203" s="1698"/>
      <c r="AY203" s="1746" t="s">
        <v>2575</v>
      </c>
      <c r="AZ203" s="1746">
        <v>2008</v>
      </c>
      <c r="BA203" s="1746" t="s">
        <v>3017</v>
      </c>
      <c r="BB203" s="1747" t="s">
        <v>3018</v>
      </c>
      <c r="BC203" s="1746" t="s">
        <v>2578</v>
      </c>
      <c r="BD203" s="1746" t="s">
        <v>2638</v>
      </c>
      <c r="BE203" s="1746" t="s">
        <v>2826</v>
      </c>
      <c r="BF203" s="1746">
        <v>0</v>
      </c>
      <c r="BG203" s="1746" t="s">
        <v>2581</v>
      </c>
      <c r="BH203" s="1744">
        <f t="shared" si="35"/>
        <v>0</v>
      </c>
      <c r="BI203" s="1745" t="str">
        <f t="shared" si="31"/>
        <v/>
      </c>
      <c r="BJ203" s="1740" t="str">
        <f t="shared" si="32"/>
        <v>PAC-Antimalarial drugs</v>
      </c>
      <c r="BK203" s="1740" t="str">
        <f t="shared" si="33"/>
        <v>Blister Pack of Tablets</v>
      </c>
      <c r="BV203" s="1689" t="s">
        <v>1277</v>
      </c>
      <c r="BW203" s="1689" t="s">
        <v>1278</v>
      </c>
      <c r="BX203" s="1689" t="s">
        <v>864</v>
      </c>
      <c r="BY203" s="1689" t="s">
        <v>1232</v>
      </c>
      <c r="BZ203" s="1689"/>
      <c r="CA203" s="1689" t="s">
        <v>1320</v>
      </c>
      <c r="CB203" s="1689" t="s">
        <v>868</v>
      </c>
      <c r="CC203" s="1689"/>
      <c r="CD203" s="1689">
        <v>5</v>
      </c>
      <c r="CE203" s="1689">
        <v>5.22</v>
      </c>
      <c r="CF203" s="1689">
        <v>5.22</v>
      </c>
      <c r="CG203" s="1740">
        <f t="shared" si="36"/>
        <v>10.44</v>
      </c>
      <c r="CH203" s="1740">
        <f t="shared" si="34"/>
        <v>52.199999999999996</v>
      </c>
    </row>
    <row r="204" spans="2:86" ht="15.65" customHeight="1">
      <c r="B204" s="149"/>
      <c r="C204" s="1837"/>
      <c r="D204" s="1841"/>
      <c r="E204" s="1840"/>
      <c r="F204" s="1838"/>
      <c r="G204" s="1698"/>
      <c r="S204" s="1698"/>
      <c r="T204" s="1846" t="str">
        <f t="shared" si="37"/>
        <v/>
      </c>
      <c r="U204" s="1847" t="str">
        <f t="shared" si="38"/>
        <v/>
      </c>
      <c r="V204" s="1848"/>
      <c r="W204" s="1849" t="str">
        <f t="shared" ref="W204:W267" si="39">IF(V204&lt;&gt;"",V204,IF(U204="","",U204))</f>
        <v/>
      </c>
      <c r="X204" s="1698"/>
      <c r="AY204" s="1746" t="s">
        <v>2575</v>
      </c>
      <c r="AZ204" s="1746">
        <v>2008</v>
      </c>
      <c r="BA204" s="1746" t="s">
        <v>3019</v>
      </c>
      <c r="BB204" s="1747" t="s">
        <v>3020</v>
      </c>
      <c r="BC204" s="1746" t="s">
        <v>2578</v>
      </c>
      <c r="BD204" s="1746" t="s">
        <v>2638</v>
      </c>
      <c r="BE204" s="1746" t="s">
        <v>2826</v>
      </c>
      <c r="BF204" s="1746">
        <v>0</v>
      </c>
      <c r="BG204" s="1746" t="s">
        <v>2581</v>
      </c>
      <c r="BH204" s="1744">
        <f t="shared" si="35"/>
        <v>0</v>
      </c>
      <c r="BI204" s="1745" t="str">
        <f t="shared" si="31"/>
        <v/>
      </c>
      <c r="BJ204" s="1740" t="str">
        <f t="shared" si="32"/>
        <v>PAC-Antimalarial drugs</v>
      </c>
      <c r="BK204" s="1740" t="str">
        <f t="shared" si="33"/>
        <v>Blister Pack of Tablets</v>
      </c>
      <c r="BV204" s="1689" t="s">
        <v>1277</v>
      </c>
      <c r="BW204" s="1689" t="s">
        <v>1278</v>
      </c>
      <c r="BX204" s="1689" t="s">
        <v>864</v>
      </c>
      <c r="BY204" s="1689" t="s">
        <v>1232</v>
      </c>
      <c r="BZ204" s="1689"/>
      <c r="CA204" s="1689" t="s">
        <v>1320</v>
      </c>
      <c r="CB204" s="1689" t="s">
        <v>868</v>
      </c>
      <c r="CC204" s="1689"/>
      <c r="CD204" s="1689">
        <v>1</v>
      </c>
      <c r="CE204" s="1689">
        <v>26.11</v>
      </c>
      <c r="CF204" s="1689">
        <v>26.11</v>
      </c>
      <c r="CG204" s="1740">
        <f t="shared" si="36"/>
        <v>52.22</v>
      </c>
      <c r="CH204" s="1740">
        <f t="shared" si="34"/>
        <v>52.22</v>
      </c>
    </row>
    <row r="205" spans="2:86" ht="15.65" customHeight="1">
      <c r="B205" s="149"/>
      <c r="C205" s="1837"/>
      <c r="D205" s="1841"/>
      <c r="E205" s="1840"/>
      <c r="F205" s="1838"/>
      <c r="G205" s="1698"/>
      <c r="S205" s="1698"/>
      <c r="T205" s="1846" t="str">
        <f t="shared" si="37"/>
        <v/>
      </c>
      <c r="U205" s="1847" t="str">
        <f t="shared" si="38"/>
        <v/>
      </c>
      <c r="V205" s="1848"/>
      <c r="W205" s="1849" t="str">
        <f t="shared" si="39"/>
        <v/>
      </c>
      <c r="X205" s="1698"/>
      <c r="AY205" s="1746" t="s">
        <v>2575</v>
      </c>
      <c r="AZ205" s="1746">
        <v>2008</v>
      </c>
      <c r="BA205" s="1746" t="s">
        <v>3021</v>
      </c>
      <c r="BB205" s="1747" t="s">
        <v>3022</v>
      </c>
      <c r="BC205" s="1746" t="s">
        <v>2578</v>
      </c>
      <c r="BD205" s="1746" t="s">
        <v>2579</v>
      </c>
      <c r="BE205" s="1746" t="s">
        <v>2826</v>
      </c>
      <c r="BF205" s="1746">
        <v>0.01</v>
      </c>
      <c r="BG205" s="1746" t="s">
        <v>2581</v>
      </c>
      <c r="BH205" s="1744">
        <f t="shared" si="35"/>
        <v>1.0000000000000001E-5</v>
      </c>
      <c r="BI205" s="1745" t="str">
        <f t="shared" si="31"/>
        <v/>
      </c>
      <c r="BJ205" s="1740" t="str">
        <f t="shared" si="32"/>
        <v>EA-Antimalarial drugs</v>
      </c>
      <c r="BK205" s="1740" t="str">
        <f t="shared" si="33"/>
        <v>Blister Pack of Tablets</v>
      </c>
      <c r="BV205" s="1689" t="s">
        <v>1325</v>
      </c>
      <c r="BW205" s="1689" t="s">
        <v>1326</v>
      </c>
      <c r="BX205" s="1689" t="s">
        <v>864</v>
      </c>
      <c r="BY205" s="1689" t="s">
        <v>1232</v>
      </c>
      <c r="BZ205" s="1689" t="s">
        <v>1327</v>
      </c>
      <c r="CA205" s="1689" t="s">
        <v>916</v>
      </c>
      <c r="CB205" s="1689" t="s">
        <v>868</v>
      </c>
      <c r="CC205" s="1689"/>
      <c r="CD205" s="1689">
        <v>10</v>
      </c>
      <c r="CE205" s="1689">
        <v>2.96</v>
      </c>
      <c r="CF205" s="1689">
        <v>2.96</v>
      </c>
      <c r="CG205" s="1740">
        <f t="shared" si="36"/>
        <v>5.92</v>
      </c>
      <c r="CH205" s="1740">
        <f t="shared" si="34"/>
        <v>59.2</v>
      </c>
    </row>
    <row r="206" spans="2:86" ht="15.65" customHeight="1">
      <c r="B206" s="149"/>
      <c r="C206" s="1837"/>
      <c r="D206" s="1841"/>
      <c r="E206" s="1840"/>
      <c r="F206" s="1838"/>
      <c r="G206" s="1698"/>
      <c r="S206" s="1698"/>
      <c r="T206" s="1846" t="str">
        <f t="shared" si="37"/>
        <v/>
      </c>
      <c r="U206" s="1847" t="str">
        <f t="shared" si="38"/>
        <v/>
      </c>
      <c r="V206" s="1848"/>
      <c r="W206" s="1849" t="str">
        <f t="shared" si="39"/>
        <v/>
      </c>
      <c r="X206" s="1698"/>
      <c r="AY206" s="1746" t="s">
        <v>2575</v>
      </c>
      <c r="AZ206" s="1746">
        <v>2008</v>
      </c>
      <c r="BA206" s="1746" t="s">
        <v>3023</v>
      </c>
      <c r="BB206" s="1747" t="s">
        <v>3024</v>
      </c>
      <c r="BC206" s="1746" t="s">
        <v>2578</v>
      </c>
      <c r="BD206" s="1746" t="s">
        <v>2579</v>
      </c>
      <c r="BE206" s="1746" t="s">
        <v>2826</v>
      </c>
      <c r="BF206" s="1746">
        <v>5.1999999999999998E-2</v>
      </c>
      <c r="BG206" s="1746" t="s">
        <v>2581</v>
      </c>
      <c r="BH206" s="1744">
        <f t="shared" si="35"/>
        <v>5.1999999999999997E-5</v>
      </c>
      <c r="BI206" s="1745" t="str">
        <f t="shared" si="31"/>
        <v/>
      </c>
      <c r="BJ206" s="1740" t="str">
        <f t="shared" si="32"/>
        <v>EA-Antimalarial drugs</v>
      </c>
      <c r="BK206" s="1740" t="str">
        <f t="shared" si="33"/>
        <v>Blister Pack of Tablets</v>
      </c>
      <c r="BV206" s="1689" t="s">
        <v>1325</v>
      </c>
      <c r="BW206" s="1689" t="s">
        <v>1326</v>
      </c>
      <c r="BX206" s="1689" t="s">
        <v>864</v>
      </c>
      <c r="BY206" s="1689" t="s">
        <v>907</v>
      </c>
      <c r="BZ206" s="1689" t="s">
        <v>1327</v>
      </c>
      <c r="CA206" s="1689" t="s">
        <v>916</v>
      </c>
      <c r="CB206" s="1689" t="s">
        <v>868</v>
      </c>
      <c r="CC206" s="1689"/>
      <c r="CD206" s="1689">
        <v>10</v>
      </c>
      <c r="CE206" s="1689">
        <v>2.46</v>
      </c>
      <c r="CF206" s="1689">
        <v>2.46</v>
      </c>
      <c r="CG206" s="1740">
        <f t="shared" si="36"/>
        <v>4.92</v>
      </c>
      <c r="CH206" s="1740">
        <f t="shared" si="34"/>
        <v>49.2</v>
      </c>
    </row>
    <row r="207" spans="2:86" ht="15.65" customHeight="1">
      <c r="B207" s="149"/>
      <c r="C207" s="1837"/>
      <c r="D207" s="1841"/>
      <c r="E207" s="1840"/>
      <c r="F207" s="1838"/>
      <c r="G207" s="1698"/>
      <c r="S207" s="1698"/>
      <c r="T207" s="1846" t="str">
        <f t="shared" si="37"/>
        <v/>
      </c>
      <c r="U207" s="1847" t="str">
        <f t="shared" si="38"/>
        <v/>
      </c>
      <c r="V207" s="1848"/>
      <c r="W207" s="1849" t="str">
        <f t="shared" si="39"/>
        <v/>
      </c>
      <c r="X207" s="1698"/>
      <c r="AY207" s="1746" t="s">
        <v>2575</v>
      </c>
      <c r="AZ207" s="1746">
        <v>2008</v>
      </c>
      <c r="BA207" s="1746" t="s">
        <v>3025</v>
      </c>
      <c r="BB207" s="1747" t="s">
        <v>3026</v>
      </c>
      <c r="BC207" s="1746" t="s">
        <v>2578</v>
      </c>
      <c r="BD207" s="1746" t="s">
        <v>2579</v>
      </c>
      <c r="BE207" s="1746" t="s">
        <v>2826</v>
      </c>
      <c r="BF207" s="1746">
        <v>5.1999999999999998E-2</v>
      </c>
      <c r="BG207" s="1746" t="s">
        <v>2581</v>
      </c>
      <c r="BH207" s="1744">
        <f t="shared" si="35"/>
        <v>5.1999999999999997E-5</v>
      </c>
      <c r="BI207" s="1745" t="str">
        <f t="shared" si="31"/>
        <v/>
      </c>
      <c r="BJ207" s="1740" t="str">
        <f t="shared" si="32"/>
        <v>EA-Antimalarial drugs</v>
      </c>
      <c r="BK207" s="1740" t="str">
        <f t="shared" si="33"/>
        <v>Blister Pack of Tablets</v>
      </c>
      <c r="BV207" s="1689" t="s">
        <v>1331</v>
      </c>
      <c r="BW207" s="1689" t="s">
        <v>1332</v>
      </c>
      <c r="BX207" s="1689" t="s">
        <v>864</v>
      </c>
      <c r="BY207" s="1689" t="s">
        <v>1232</v>
      </c>
      <c r="BZ207" s="1689"/>
      <c r="CA207" s="1689" t="s">
        <v>1241</v>
      </c>
      <c r="CB207" s="1689" t="s">
        <v>1253</v>
      </c>
      <c r="CC207" s="1689" t="s">
        <v>951</v>
      </c>
      <c r="CD207" s="1689" t="s">
        <v>946</v>
      </c>
      <c r="CE207" s="1689">
        <v>272.16000000000003</v>
      </c>
      <c r="CF207" s="1689"/>
      <c r="CG207" s="1740">
        <f t="shared" si="36"/>
        <v>272.16000000000003</v>
      </c>
      <c r="CH207" s="1740" t="str">
        <f t="shared" si="34"/>
        <v/>
      </c>
    </row>
    <row r="208" spans="2:86" ht="15.65" customHeight="1">
      <c r="B208" s="149"/>
      <c r="C208" s="1837"/>
      <c r="D208" s="1841"/>
      <c r="E208" s="1840"/>
      <c r="F208" s="1838"/>
      <c r="G208" s="1698"/>
      <c r="S208" s="1698"/>
      <c r="T208" s="1846" t="str">
        <f t="shared" si="37"/>
        <v/>
      </c>
      <c r="U208" s="1847" t="str">
        <f t="shared" si="38"/>
        <v/>
      </c>
      <c r="V208" s="1848"/>
      <c r="W208" s="1849" t="str">
        <f t="shared" si="39"/>
        <v/>
      </c>
      <c r="X208" s="1698"/>
      <c r="AY208" s="1746" t="s">
        <v>2575</v>
      </c>
      <c r="AZ208" s="1746">
        <v>2008</v>
      </c>
      <c r="BA208" s="1746" t="s">
        <v>3027</v>
      </c>
      <c r="BB208" s="1747" t="s">
        <v>3028</v>
      </c>
      <c r="BC208" s="1746" t="s">
        <v>2578</v>
      </c>
      <c r="BD208" s="1746" t="s">
        <v>2579</v>
      </c>
      <c r="BE208" s="1746" t="s">
        <v>2826</v>
      </c>
      <c r="BF208" s="1746">
        <v>5.1999999999999998E-2</v>
      </c>
      <c r="BG208" s="1746" t="s">
        <v>2581</v>
      </c>
      <c r="BH208" s="1744">
        <f t="shared" si="35"/>
        <v>5.1999999999999997E-5</v>
      </c>
      <c r="BI208" s="1745" t="str">
        <f t="shared" si="31"/>
        <v/>
      </c>
      <c r="BJ208" s="1740" t="str">
        <f t="shared" si="32"/>
        <v>EA-Antimalarial drugs</v>
      </c>
      <c r="BK208" s="1740" t="str">
        <f t="shared" si="33"/>
        <v>Blister Pack of Tablets</v>
      </c>
      <c r="BV208" s="1689" t="s">
        <v>1331</v>
      </c>
      <c r="BW208" s="1689" t="s">
        <v>1333</v>
      </c>
      <c r="BX208" s="1689" t="s">
        <v>976</v>
      </c>
      <c r="BY208" s="1689" t="s">
        <v>1232</v>
      </c>
      <c r="BZ208" s="1689" t="s">
        <v>1334</v>
      </c>
      <c r="CA208" s="1689" t="s">
        <v>1335</v>
      </c>
      <c r="CB208" s="1689"/>
      <c r="CC208" s="1689"/>
      <c r="CD208" s="1689">
        <v>1</v>
      </c>
      <c r="CE208" s="1689">
        <v>20.4811376</v>
      </c>
      <c r="CF208" s="1689"/>
      <c r="CG208" s="1740">
        <f t="shared" si="36"/>
        <v>20.4811376</v>
      </c>
      <c r="CH208" s="1740">
        <f t="shared" si="34"/>
        <v>20.4811376</v>
      </c>
    </row>
    <row r="209" spans="2:86" ht="15.65" customHeight="1">
      <c r="B209" s="149"/>
      <c r="C209" s="1837"/>
      <c r="D209" s="1841"/>
      <c r="E209" s="1840"/>
      <c r="F209" s="1838"/>
      <c r="G209" s="1698"/>
      <c r="S209" s="1698"/>
      <c r="T209" s="1846" t="str">
        <f t="shared" si="37"/>
        <v/>
      </c>
      <c r="U209" s="1847" t="str">
        <f t="shared" si="38"/>
        <v/>
      </c>
      <c r="V209" s="1848"/>
      <c r="W209" s="1849" t="str">
        <f t="shared" si="39"/>
        <v/>
      </c>
      <c r="X209" s="1698"/>
      <c r="AY209" s="1746" t="s">
        <v>2588</v>
      </c>
      <c r="AZ209" s="1746">
        <v>2006</v>
      </c>
      <c r="BA209" s="1746" t="s">
        <v>3029</v>
      </c>
      <c r="BB209" s="1747" t="s">
        <v>3030</v>
      </c>
      <c r="BC209" s="1746">
        <v>100</v>
      </c>
      <c r="BD209" s="1746" t="s">
        <v>2615</v>
      </c>
      <c r="BE209" s="1746"/>
      <c r="BF209" s="1746">
        <v>1850</v>
      </c>
      <c r="BG209" s="1746" t="s">
        <v>2592</v>
      </c>
      <c r="BH209" s="1744">
        <f t="shared" si="35"/>
        <v>1.8500000000000001E-3</v>
      </c>
      <c r="BI209" s="1745">
        <f t="shared" si="31"/>
        <v>1.8500000000000002E-5</v>
      </c>
      <c r="BJ209" s="1740" t="str">
        <f t="shared" si="32"/>
        <v>tabs</v>
      </c>
      <c r="BK209" s="1740" t="str">
        <f t="shared" si="33"/>
        <v>Bottle of Tablets</v>
      </c>
      <c r="BV209" s="1689" t="s">
        <v>1331</v>
      </c>
      <c r="BW209" s="1689" t="s">
        <v>1333</v>
      </c>
      <c r="BX209" s="1689" t="s">
        <v>976</v>
      </c>
      <c r="BY209" s="1689" t="s">
        <v>1232</v>
      </c>
      <c r="BZ209" s="1689" t="s">
        <v>1334</v>
      </c>
      <c r="CA209" s="1689" t="s">
        <v>1337</v>
      </c>
      <c r="CB209" s="1689"/>
      <c r="CC209" s="1689"/>
      <c r="CD209" s="1689" t="s">
        <v>894</v>
      </c>
      <c r="CE209" s="1689">
        <v>54.996012</v>
      </c>
      <c r="CF209" s="1689"/>
      <c r="CG209" s="1740">
        <f t="shared" si="36"/>
        <v>54.996012</v>
      </c>
      <c r="CH209" s="1740" t="str">
        <f t="shared" si="34"/>
        <v/>
      </c>
    </row>
    <row r="210" spans="2:86" ht="15.65" customHeight="1">
      <c r="B210" s="149"/>
      <c r="C210" s="1837"/>
      <c r="D210" s="1841"/>
      <c r="E210" s="1840"/>
      <c r="F210" s="1838"/>
      <c r="G210" s="1698"/>
      <c r="S210" s="1698"/>
      <c r="T210" s="1846" t="str">
        <f t="shared" si="37"/>
        <v/>
      </c>
      <c r="U210" s="1847" t="str">
        <f t="shared" si="38"/>
        <v/>
      </c>
      <c r="V210" s="1848"/>
      <c r="W210" s="1849" t="str">
        <f t="shared" si="39"/>
        <v/>
      </c>
      <c r="X210" s="1698"/>
      <c r="AY210" s="1746" t="s">
        <v>2593</v>
      </c>
      <c r="AZ210" s="1746">
        <v>2008</v>
      </c>
      <c r="BA210" s="1746" t="s">
        <v>3031</v>
      </c>
      <c r="BB210" s="1747" t="s">
        <v>3032</v>
      </c>
      <c r="BC210" s="1746">
        <v>1</v>
      </c>
      <c r="BD210" s="1746" t="s">
        <v>2816</v>
      </c>
      <c r="BE210" s="1746"/>
      <c r="BF210" s="1746">
        <v>0</v>
      </c>
      <c r="BG210" s="1746" t="s">
        <v>2597</v>
      </c>
      <c r="BH210" s="1744">
        <f t="shared" si="35"/>
        <v>0</v>
      </c>
      <c r="BI210" s="1745">
        <f t="shared" si="31"/>
        <v>0</v>
      </c>
      <c r="BJ210" s="1740" t="str">
        <f t="shared" si="32"/>
        <v>treatment</v>
      </c>
      <c r="BK210" s="1740" t="str">
        <f t="shared" si="33"/>
        <v>Blister Pack of Tablets</v>
      </c>
      <c r="BV210" s="1689" t="s">
        <v>1331</v>
      </c>
      <c r="BW210" s="1689" t="s">
        <v>1333</v>
      </c>
      <c r="BX210" s="1689" t="s">
        <v>864</v>
      </c>
      <c r="BY210" s="1689" t="s">
        <v>1232</v>
      </c>
      <c r="BZ210" s="1689" t="s">
        <v>1338</v>
      </c>
      <c r="CA210" s="1689" t="s">
        <v>1339</v>
      </c>
      <c r="CB210" s="1689" t="s">
        <v>1253</v>
      </c>
      <c r="CC210" s="1689"/>
      <c r="CD210" s="1689" t="s">
        <v>990</v>
      </c>
      <c r="CE210" s="1689">
        <v>11.128351936799998</v>
      </c>
      <c r="CF210" s="1689"/>
      <c r="CG210" s="1740">
        <f t="shared" si="36"/>
        <v>11.128351936799998</v>
      </c>
      <c r="CH210" s="1740" t="str">
        <f t="shared" si="34"/>
        <v/>
      </c>
    </row>
    <row r="211" spans="2:86" ht="15.65" customHeight="1">
      <c r="B211" s="149"/>
      <c r="C211" s="1837"/>
      <c r="D211" s="1841"/>
      <c r="E211" s="1840"/>
      <c r="F211" s="1838"/>
      <c r="G211" s="1698"/>
      <c r="S211" s="1698"/>
      <c r="T211" s="1846" t="str">
        <f t="shared" si="37"/>
        <v/>
      </c>
      <c r="U211" s="1847" t="str">
        <f t="shared" si="38"/>
        <v/>
      </c>
      <c r="V211" s="1848"/>
      <c r="W211" s="1849" t="str">
        <f t="shared" si="39"/>
        <v/>
      </c>
      <c r="X211" s="1698"/>
      <c r="AY211" s="1746" t="s">
        <v>2588</v>
      </c>
      <c r="AZ211" s="1746">
        <v>2006</v>
      </c>
      <c r="BA211" s="1746" t="s">
        <v>3033</v>
      </c>
      <c r="BB211" s="1747" t="s">
        <v>3034</v>
      </c>
      <c r="BC211" s="1746" t="s">
        <v>3035</v>
      </c>
      <c r="BD211" s="1746" t="s">
        <v>2615</v>
      </c>
      <c r="BE211" s="1746"/>
      <c r="BF211" s="1746">
        <v>388</v>
      </c>
      <c r="BG211" s="1746" t="s">
        <v>2592</v>
      </c>
      <c r="BH211" s="1744">
        <f t="shared" si="35"/>
        <v>3.88E-4</v>
      </c>
      <c r="BI211" s="1745" t="str">
        <f t="shared" ref="BI211:BI274" si="40">IFERROR(BH211/BC211,"")</f>
        <v/>
      </c>
      <c r="BJ211" s="1740" t="str">
        <f t="shared" ref="BJ211:BJ274" si="41">IF(BE211="",BD211,BD211&amp;"-"&amp;BE211)</f>
        <v>tabs</v>
      </c>
      <c r="BK211" s="1740" t="str">
        <f t="shared" si="33"/>
        <v>Bottle of Tablets</v>
      </c>
      <c r="BV211" s="1689" t="s">
        <v>1331</v>
      </c>
      <c r="BW211" s="1689" t="s">
        <v>1333</v>
      </c>
      <c r="BX211" s="1689" t="s">
        <v>864</v>
      </c>
      <c r="BY211" s="1689" t="s">
        <v>1232</v>
      </c>
      <c r="BZ211" s="1689" t="s">
        <v>1338</v>
      </c>
      <c r="CA211" s="1689" t="s">
        <v>1341</v>
      </c>
      <c r="CB211" s="1689" t="s">
        <v>1253</v>
      </c>
      <c r="CC211" s="1689"/>
      <c r="CD211" s="1689">
        <v>10</v>
      </c>
      <c r="CE211" s="1689">
        <v>12.2568837523125</v>
      </c>
      <c r="CF211" s="1689"/>
      <c r="CG211" s="1740">
        <f t="shared" si="36"/>
        <v>12.2568837523125</v>
      </c>
      <c r="CH211" s="1740">
        <f t="shared" si="34"/>
        <v>122.56883752312501</v>
      </c>
    </row>
    <row r="212" spans="2:86" ht="15.65" customHeight="1">
      <c r="B212" s="149"/>
      <c r="C212" s="1837"/>
      <c r="D212" s="1841"/>
      <c r="E212" s="1840"/>
      <c r="F212" s="1838"/>
      <c r="G212" s="1698"/>
      <c r="S212" s="1698"/>
      <c r="T212" s="1846" t="str">
        <f t="shared" si="37"/>
        <v/>
      </c>
      <c r="U212" s="1847" t="str">
        <f t="shared" si="38"/>
        <v/>
      </c>
      <c r="V212" s="1848"/>
      <c r="W212" s="1849" t="str">
        <f t="shared" si="39"/>
        <v/>
      </c>
      <c r="X212" s="1698"/>
      <c r="AY212" s="1746" t="s">
        <v>2593</v>
      </c>
      <c r="AZ212" s="1746">
        <v>2008</v>
      </c>
      <c r="BA212" s="1746" t="s">
        <v>3036</v>
      </c>
      <c r="BB212" s="1747" t="s">
        <v>3037</v>
      </c>
      <c r="BC212" s="1746">
        <v>1</v>
      </c>
      <c r="BD212" s="1746" t="s">
        <v>2816</v>
      </c>
      <c r="BE212" s="1746"/>
      <c r="BF212" s="1746">
        <v>0</v>
      </c>
      <c r="BG212" s="1746" t="s">
        <v>2597</v>
      </c>
      <c r="BH212" s="1744">
        <f t="shared" si="35"/>
        <v>0</v>
      </c>
      <c r="BI212" s="1745">
        <f t="shared" si="40"/>
        <v>0</v>
      </c>
      <c r="BJ212" s="1740" t="str">
        <f t="shared" si="41"/>
        <v>treatment</v>
      </c>
      <c r="BK212" s="1740" t="str">
        <f t="shared" ref="BK212:BK275" si="42">IFERROR(INDEX($BO$18:$BO$136,MATCH(BJ212,$BN$18:$BN$136,0)),"")</f>
        <v>Blister Pack of Tablets</v>
      </c>
      <c r="BV212" s="1689" t="s">
        <v>1342</v>
      </c>
      <c r="BW212" s="1689" t="s">
        <v>1343</v>
      </c>
      <c r="BX212" s="1689" t="s">
        <v>889</v>
      </c>
      <c r="BY212" s="1689" t="s">
        <v>907</v>
      </c>
      <c r="BZ212" s="1689" t="s">
        <v>1344</v>
      </c>
      <c r="CA212" s="1689" t="s">
        <v>1345</v>
      </c>
      <c r="CB212" s="1689"/>
      <c r="CC212" s="1689" t="s">
        <v>945</v>
      </c>
      <c r="CD212" s="1689" t="s">
        <v>946</v>
      </c>
      <c r="CE212" s="1689">
        <v>55.948799999999991</v>
      </c>
      <c r="CF212" s="1689"/>
      <c r="CG212" s="1740">
        <f t="shared" si="36"/>
        <v>55.948799999999991</v>
      </c>
      <c r="CH212" s="1740" t="str">
        <f t="shared" ref="CH212:CH275" si="43">IFERROR(CD212*CG212,"")</f>
        <v/>
      </c>
    </row>
    <row r="213" spans="2:86" ht="15.65" customHeight="1">
      <c r="B213" s="149"/>
      <c r="C213" s="1837"/>
      <c r="D213" s="1841"/>
      <c r="E213" s="1840"/>
      <c r="F213" s="1838"/>
      <c r="G213" s="1698"/>
      <c r="S213" s="1698"/>
      <c r="T213" s="1846" t="str">
        <f t="shared" si="37"/>
        <v/>
      </c>
      <c r="U213" s="1847" t="str">
        <f t="shared" si="38"/>
        <v/>
      </c>
      <c r="V213" s="1848"/>
      <c r="W213" s="1849" t="str">
        <f t="shared" si="39"/>
        <v/>
      </c>
      <c r="X213" s="1698"/>
      <c r="AY213" s="1746" t="s">
        <v>2575</v>
      </c>
      <c r="AZ213" s="1746">
        <v>2008</v>
      </c>
      <c r="BA213" s="1746" t="s">
        <v>3038</v>
      </c>
      <c r="BB213" s="1747" t="s">
        <v>3039</v>
      </c>
      <c r="BC213" s="1746" t="s">
        <v>2578</v>
      </c>
      <c r="BD213" s="1746" t="s">
        <v>2638</v>
      </c>
      <c r="BE213" s="1746" t="s">
        <v>2826</v>
      </c>
      <c r="BF213" s="1746">
        <v>0</v>
      </c>
      <c r="BG213" s="1746" t="s">
        <v>2581</v>
      </c>
      <c r="BH213" s="1744">
        <f t="shared" si="35"/>
        <v>0</v>
      </c>
      <c r="BI213" s="1745" t="str">
        <f t="shared" si="40"/>
        <v/>
      </c>
      <c r="BJ213" s="1740" t="str">
        <f t="shared" si="41"/>
        <v>PAC-Antimalarial drugs</v>
      </c>
      <c r="BK213" s="1740" t="str">
        <f t="shared" si="42"/>
        <v>Blister Pack of Tablets</v>
      </c>
      <c r="BV213" s="1689" t="s">
        <v>1342</v>
      </c>
      <c r="BW213" s="1689" t="s">
        <v>1343</v>
      </c>
      <c r="BX213" s="1689" t="s">
        <v>889</v>
      </c>
      <c r="BY213" s="1689" t="s">
        <v>907</v>
      </c>
      <c r="BZ213" s="1689" t="s">
        <v>1347</v>
      </c>
      <c r="CA213" s="1689" t="s">
        <v>1348</v>
      </c>
      <c r="CB213" s="1689"/>
      <c r="CC213" s="1689"/>
      <c r="CD213" s="1689">
        <v>1</v>
      </c>
      <c r="CE213" s="1689">
        <v>21</v>
      </c>
      <c r="CF213" s="1689"/>
      <c r="CG213" s="1740">
        <f t="shared" si="36"/>
        <v>21</v>
      </c>
      <c r="CH213" s="1740">
        <f t="shared" si="43"/>
        <v>21</v>
      </c>
    </row>
    <row r="214" spans="2:86" ht="15.65" customHeight="1">
      <c r="B214" s="149"/>
      <c r="C214" s="1837"/>
      <c r="D214" s="1841"/>
      <c r="E214" s="1840"/>
      <c r="F214" s="1838"/>
      <c r="G214" s="1698"/>
      <c r="S214" s="1698"/>
      <c r="T214" s="1846" t="str">
        <f t="shared" si="37"/>
        <v/>
      </c>
      <c r="U214" s="1847" t="str">
        <f t="shared" si="38"/>
        <v/>
      </c>
      <c r="V214" s="1848"/>
      <c r="W214" s="1849" t="str">
        <f t="shared" si="39"/>
        <v/>
      </c>
      <c r="X214" s="1698"/>
      <c r="AY214" s="1746" t="s">
        <v>2593</v>
      </c>
      <c r="AZ214" s="1746">
        <v>2008</v>
      </c>
      <c r="BA214" s="1746" t="s">
        <v>3040</v>
      </c>
      <c r="BB214" s="1747" t="s">
        <v>3041</v>
      </c>
      <c r="BC214" s="1746">
        <v>6</v>
      </c>
      <c r="BD214" s="1746" t="s">
        <v>2912</v>
      </c>
      <c r="BE214" s="1746"/>
      <c r="BF214" s="1746">
        <v>0</v>
      </c>
      <c r="BG214" s="1746" t="s">
        <v>2597</v>
      </c>
      <c r="BH214" s="1744">
        <f t="shared" si="35"/>
        <v>0</v>
      </c>
      <c r="BI214" s="1745">
        <f t="shared" si="40"/>
        <v>0</v>
      </c>
      <c r="BJ214" s="1740" t="str">
        <f t="shared" si="41"/>
        <v>supps</v>
      </c>
      <c r="BK214" s="1740" t="str">
        <f t="shared" si="42"/>
        <v>Suppository</v>
      </c>
      <c r="BV214" s="1689" t="s">
        <v>1351</v>
      </c>
      <c r="BW214" s="1689" t="s">
        <v>1352</v>
      </c>
      <c r="BX214" s="1689" t="s">
        <v>889</v>
      </c>
      <c r="BY214" s="1689" t="s">
        <v>907</v>
      </c>
      <c r="BZ214" s="1689" t="s">
        <v>1353</v>
      </c>
      <c r="CA214" s="1689" t="s">
        <v>1354</v>
      </c>
      <c r="CB214" s="1689"/>
      <c r="CC214" s="1689"/>
      <c r="CD214" s="1689">
        <v>1</v>
      </c>
      <c r="CE214" s="1689">
        <v>15.7</v>
      </c>
      <c r="CF214" s="1689"/>
      <c r="CG214" s="1740">
        <f t="shared" si="36"/>
        <v>15.7</v>
      </c>
      <c r="CH214" s="1740">
        <f t="shared" si="43"/>
        <v>15.7</v>
      </c>
    </row>
    <row r="215" spans="2:86" ht="15.65" customHeight="1">
      <c r="B215" s="149"/>
      <c r="C215" s="1837"/>
      <c r="D215" s="1841"/>
      <c r="E215" s="1840"/>
      <c r="F215" s="1838"/>
      <c r="G215" s="1698"/>
      <c r="S215" s="1698"/>
      <c r="T215" s="1846" t="str">
        <f t="shared" si="37"/>
        <v/>
      </c>
      <c r="U215" s="1847" t="str">
        <f t="shared" si="38"/>
        <v/>
      </c>
      <c r="V215" s="1848"/>
      <c r="W215" s="1849" t="str">
        <f t="shared" si="39"/>
        <v/>
      </c>
      <c r="X215" s="1698"/>
      <c r="AY215" s="1746" t="s">
        <v>2593</v>
      </c>
      <c r="AZ215" s="1746">
        <v>2008</v>
      </c>
      <c r="BA215" s="1746" t="s">
        <v>3042</v>
      </c>
      <c r="BB215" s="1747" t="s">
        <v>3043</v>
      </c>
      <c r="BC215" s="1746">
        <v>25</v>
      </c>
      <c r="BD215" s="1746" t="s">
        <v>2813</v>
      </c>
      <c r="BE215" s="1746"/>
      <c r="BF215" s="1746">
        <v>1.7099999999999999E-3</v>
      </c>
      <c r="BG215" s="1746" t="s">
        <v>2597</v>
      </c>
      <c r="BH215" s="1744">
        <f t="shared" si="35"/>
        <v>1.7099999999999999E-3</v>
      </c>
      <c r="BI215" s="1745">
        <f t="shared" si="40"/>
        <v>6.8399999999999996E-5</v>
      </c>
      <c r="BJ215" s="1740" t="str">
        <f t="shared" si="41"/>
        <v>treatmen</v>
      </c>
      <c r="BK215" s="1740" t="str">
        <f t="shared" si="42"/>
        <v>Blister Pack of Tablets</v>
      </c>
      <c r="BV215" s="1689" t="s">
        <v>1351</v>
      </c>
      <c r="BW215" s="1689" t="s">
        <v>1352</v>
      </c>
      <c r="BX215" s="1689" t="s">
        <v>889</v>
      </c>
      <c r="BY215" s="1689" t="s">
        <v>907</v>
      </c>
      <c r="BZ215" s="1689" t="s">
        <v>1353</v>
      </c>
      <c r="CA215" s="1689" t="s">
        <v>1356</v>
      </c>
      <c r="CB215" s="1689"/>
      <c r="CC215" s="1689"/>
      <c r="CD215" s="1689">
        <v>1</v>
      </c>
      <c r="CE215" s="1689">
        <v>11.950493999999999</v>
      </c>
      <c r="CF215" s="1689"/>
      <c r="CG215" s="1740">
        <f t="shared" si="36"/>
        <v>11.950493999999999</v>
      </c>
      <c r="CH215" s="1740">
        <f t="shared" si="43"/>
        <v>11.950493999999999</v>
      </c>
    </row>
    <row r="216" spans="2:86" ht="15.65" customHeight="1">
      <c r="B216" s="149"/>
      <c r="C216" s="1837"/>
      <c r="D216" s="1841"/>
      <c r="E216" s="1840"/>
      <c r="F216" s="1838"/>
      <c r="G216" s="1698"/>
      <c r="S216" s="1698"/>
      <c r="T216" s="1846" t="str">
        <f t="shared" si="37"/>
        <v/>
      </c>
      <c r="U216" s="1847" t="str">
        <f t="shared" si="38"/>
        <v/>
      </c>
      <c r="V216" s="1848"/>
      <c r="W216" s="1849" t="str">
        <f t="shared" si="39"/>
        <v/>
      </c>
      <c r="X216" s="1698"/>
      <c r="AY216" s="1746" t="s">
        <v>2593</v>
      </c>
      <c r="AZ216" s="1746">
        <v>2008</v>
      </c>
      <c r="BA216" s="1746" t="s">
        <v>3044</v>
      </c>
      <c r="BB216" s="1747" t="s">
        <v>3045</v>
      </c>
      <c r="BC216" s="1746">
        <v>25</v>
      </c>
      <c r="BD216" s="1746" t="s">
        <v>2813</v>
      </c>
      <c r="BE216" s="1746"/>
      <c r="BF216" s="1746">
        <v>1.6199999999999999E-3</v>
      </c>
      <c r="BG216" s="1746" t="s">
        <v>2597</v>
      </c>
      <c r="BH216" s="1744">
        <f t="shared" si="35"/>
        <v>1.6199999999999999E-3</v>
      </c>
      <c r="BI216" s="1745">
        <f t="shared" si="40"/>
        <v>6.4800000000000003E-5</v>
      </c>
      <c r="BJ216" s="1740" t="str">
        <f t="shared" si="41"/>
        <v>treatmen</v>
      </c>
      <c r="BK216" s="1740" t="str">
        <f t="shared" si="42"/>
        <v>Blister Pack of Tablets</v>
      </c>
      <c r="BV216" s="1689" t="s">
        <v>1351</v>
      </c>
      <c r="BW216" s="1689" t="s">
        <v>1352</v>
      </c>
      <c r="BX216" s="1689" t="s">
        <v>889</v>
      </c>
      <c r="BY216" s="1689" t="s">
        <v>907</v>
      </c>
      <c r="BZ216" s="1689" t="s">
        <v>1353</v>
      </c>
      <c r="CA216" s="1689" t="s">
        <v>1356</v>
      </c>
      <c r="CB216" s="1689"/>
      <c r="CC216" s="1689"/>
      <c r="CD216" s="1689">
        <v>4</v>
      </c>
      <c r="CE216" s="1689">
        <v>3</v>
      </c>
      <c r="CF216" s="1689"/>
      <c r="CG216" s="1740">
        <f t="shared" si="36"/>
        <v>3</v>
      </c>
      <c r="CH216" s="1740">
        <f t="shared" si="43"/>
        <v>12</v>
      </c>
    </row>
    <row r="217" spans="2:86" ht="15.65" customHeight="1">
      <c r="B217" s="149"/>
      <c r="C217" s="1837"/>
      <c r="D217" s="1841"/>
      <c r="E217" s="1840"/>
      <c r="F217" s="1838"/>
      <c r="G217" s="1698"/>
      <c r="S217" s="1698"/>
      <c r="T217" s="1846" t="str">
        <f t="shared" si="37"/>
        <v/>
      </c>
      <c r="U217" s="1847" t="str">
        <f t="shared" si="38"/>
        <v/>
      </c>
      <c r="V217" s="1848"/>
      <c r="W217" s="1849" t="str">
        <f t="shared" si="39"/>
        <v/>
      </c>
      <c r="X217" s="1698"/>
      <c r="AY217" s="1746" t="s">
        <v>2593</v>
      </c>
      <c r="AZ217" s="1746">
        <v>2008</v>
      </c>
      <c r="BA217" s="1746" t="s">
        <v>3046</v>
      </c>
      <c r="BB217" s="1747" t="s">
        <v>3047</v>
      </c>
      <c r="BC217" s="1746">
        <v>25</v>
      </c>
      <c r="BD217" s="1746" t="s">
        <v>2813</v>
      </c>
      <c r="BE217" s="1746"/>
      <c r="BF217" s="1746">
        <v>1.2199999999999999E-3</v>
      </c>
      <c r="BG217" s="1746" t="s">
        <v>2597</v>
      </c>
      <c r="BH217" s="1744">
        <f t="shared" ref="BH217:BH280" si="44">IF(BG217="CCM",BF217/1000000,IF(BG217="CDM",BF217/1000, IF(BG217="M3",BF217,"")))</f>
        <v>1.2199999999999999E-3</v>
      </c>
      <c r="BI217" s="1745">
        <f t="shared" si="40"/>
        <v>4.88E-5</v>
      </c>
      <c r="BJ217" s="1740" t="str">
        <f t="shared" si="41"/>
        <v>treatmen</v>
      </c>
      <c r="BK217" s="1740" t="str">
        <f t="shared" si="42"/>
        <v>Blister Pack of Tablets</v>
      </c>
      <c r="BV217" s="1689" t="s">
        <v>1351</v>
      </c>
      <c r="BW217" s="1689" t="s">
        <v>1352</v>
      </c>
      <c r="BX217" s="1689" t="s">
        <v>889</v>
      </c>
      <c r="BY217" s="1689" t="s">
        <v>907</v>
      </c>
      <c r="BZ217" s="1689" t="s">
        <v>1353</v>
      </c>
      <c r="CA217" s="1689" t="s">
        <v>1356</v>
      </c>
      <c r="CB217" s="1689"/>
      <c r="CC217" s="1689"/>
      <c r="CD217" s="1689" t="s">
        <v>946</v>
      </c>
      <c r="CE217" s="1689">
        <v>107</v>
      </c>
      <c r="CF217" s="1689"/>
      <c r="CG217" s="1740">
        <f t="shared" si="36"/>
        <v>107</v>
      </c>
      <c r="CH217" s="1740" t="str">
        <f t="shared" si="43"/>
        <v/>
      </c>
    </row>
    <row r="218" spans="2:86" ht="15.65" customHeight="1">
      <c r="B218" s="149"/>
      <c r="C218" s="1837"/>
      <c r="D218" s="1841"/>
      <c r="E218" s="1840"/>
      <c r="F218" s="1838"/>
      <c r="G218" s="1698"/>
      <c r="S218" s="1698"/>
      <c r="T218" s="1846" t="str">
        <f t="shared" si="37"/>
        <v/>
      </c>
      <c r="U218" s="1847" t="str">
        <f t="shared" si="38"/>
        <v/>
      </c>
      <c r="V218" s="1848"/>
      <c r="W218" s="1849" t="str">
        <f t="shared" si="39"/>
        <v/>
      </c>
      <c r="X218" s="1698"/>
      <c r="AY218" s="1746" t="s">
        <v>2593</v>
      </c>
      <c r="AZ218" s="1746">
        <v>2008</v>
      </c>
      <c r="BA218" s="1746" t="s">
        <v>3048</v>
      </c>
      <c r="BB218" s="1747" t="s">
        <v>3049</v>
      </c>
      <c r="BC218" s="1746">
        <v>1</v>
      </c>
      <c r="BD218" s="1746" t="s">
        <v>2816</v>
      </c>
      <c r="BE218" s="1746"/>
      <c r="BF218" s="1746">
        <v>6.0000000000000002E-5</v>
      </c>
      <c r="BG218" s="1746" t="s">
        <v>2597</v>
      </c>
      <c r="BH218" s="1744">
        <f t="shared" si="44"/>
        <v>6.0000000000000002E-5</v>
      </c>
      <c r="BI218" s="1745">
        <f t="shared" si="40"/>
        <v>6.0000000000000002E-5</v>
      </c>
      <c r="BJ218" s="1740" t="str">
        <f t="shared" si="41"/>
        <v>treatment</v>
      </c>
      <c r="BK218" s="1740" t="str">
        <f t="shared" si="42"/>
        <v>Blister Pack of Tablets</v>
      </c>
      <c r="BV218" s="1689" t="s">
        <v>1358</v>
      </c>
      <c r="BW218" s="1689" t="s">
        <v>1359</v>
      </c>
      <c r="BX218" s="1689" t="s">
        <v>889</v>
      </c>
      <c r="BY218" s="1689" t="s">
        <v>907</v>
      </c>
      <c r="BZ218" s="1689" t="s">
        <v>1360</v>
      </c>
      <c r="CA218" s="1689" t="s">
        <v>1223</v>
      </c>
      <c r="CB218" s="1689"/>
      <c r="CC218" s="1689"/>
      <c r="CD218" s="1689" t="s">
        <v>894</v>
      </c>
      <c r="CE218" s="1689">
        <v>58</v>
      </c>
      <c r="CF218" s="1689"/>
      <c r="CG218" s="1740">
        <f t="shared" si="36"/>
        <v>58</v>
      </c>
      <c r="CH218" s="1740" t="str">
        <f t="shared" si="43"/>
        <v/>
      </c>
    </row>
    <row r="219" spans="2:86" ht="15.65" customHeight="1">
      <c r="B219" s="149"/>
      <c r="C219" s="1837"/>
      <c r="D219" s="1841"/>
      <c r="E219" s="1840"/>
      <c r="F219" s="1838"/>
      <c r="G219" s="1698"/>
      <c r="S219" s="1698"/>
      <c r="T219" s="1846" t="str">
        <f t="shared" si="37"/>
        <v/>
      </c>
      <c r="U219" s="1847" t="str">
        <f t="shared" si="38"/>
        <v/>
      </c>
      <c r="V219" s="1848"/>
      <c r="W219" s="1849" t="str">
        <f t="shared" si="39"/>
        <v/>
      </c>
      <c r="X219" s="1698"/>
      <c r="AY219" s="1746" t="s">
        <v>2593</v>
      </c>
      <c r="AZ219" s="1746">
        <v>2008</v>
      </c>
      <c r="BA219" s="1746" t="s">
        <v>3050</v>
      </c>
      <c r="BB219" s="1747" t="s">
        <v>3051</v>
      </c>
      <c r="BC219" s="1746">
        <v>1</v>
      </c>
      <c r="BD219" s="1746" t="s">
        <v>2816</v>
      </c>
      <c r="BE219" s="1746"/>
      <c r="BF219" s="1746">
        <v>0</v>
      </c>
      <c r="BG219" s="1746" t="s">
        <v>2597</v>
      </c>
      <c r="BH219" s="1744">
        <f t="shared" si="44"/>
        <v>0</v>
      </c>
      <c r="BI219" s="1745">
        <f t="shared" si="40"/>
        <v>0</v>
      </c>
      <c r="BJ219" s="1740" t="str">
        <f t="shared" si="41"/>
        <v>treatment</v>
      </c>
      <c r="BK219" s="1740" t="str">
        <f t="shared" si="42"/>
        <v>Blister Pack of Tablets</v>
      </c>
      <c r="BV219" s="1689" t="s">
        <v>1358</v>
      </c>
      <c r="BW219" s="1689" t="s">
        <v>1359</v>
      </c>
      <c r="BX219" s="1689" t="s">
        <v>889</v>
      </c>
      <c r="BY219" s="1689" t="s">
        <v>907</v>
      </c>
      <c r="BZ219" s="1689" t="s">
        <v>1360</v>
      </c>
      <c r="CA219" s="1689" t="s">
        <v>916</v>
      </c>
      <c r="CB219" s="1689"/>
      <c r="CC219" s="1689"/>
      <c r="CD219" s="1689">
        <v>1</v>
      </c>
      <c r="CE219" s="1689">
        <v>11.5</v>
      </c>
      <c r="CF219" s="1689"/>
      <c r="CG219" s="1740">
        <f t="shared" si="36"/>
        <v>11.5</v>
      </c>
      <c r="CH219" s="1740">
        <f t="shared" si="43"/>
        <v>11.5</v>
      </c>
    </row>
    <row r="220" spans="2:86" ht="15.65" customHeight="1">
      <c r="B220" s="149"/>
      <c r="C220" s="1837"/>
      <c r="D220" s="1841"/>
      <c r="E220" s="1840"/>
      <c r="F220" s="1838"/>
      <c r="G220" s="1698"/>
      <c r="S220" s="1698"/>
      <c r="T220" s="1846" t="str">
        <f t="shared" si="37"/>
        <v/>
      </c>
      <c r="U220" s="1847" t="str">
        <f t="shared" si="38"/>
        <v/>
      </c>
      <c r="V220" s="1848"/>
      <c r="W220" s="1849" t="str">
        <f t="shared" si="39"/>
        <v/>
      </c>
      <c r="X220" s="1698"/>
      <c r="AY220" s="1746" t="s">
        <v>2588</v>
      </c>
      <c r="AZ220" s="1746">
        <v>2006</v>
      </c>
      <c r="BA220" s="1746" t="s">
        <v>3052</v>
      </c>
      <c r="BB220" s="1747" t="s">
        <v>3053</v>
      </c>
      <c r="BC220" s="1746" t="s">
        <v>3054</v>
      </c>
      <c r="BD220" s="1746" t="s">
        <v>2615</v>
      </c>
      <c r="BE220" s="1746"/>
      <c r="BF220" s="1746">
        <v>103.8</v>
      </c>
      <c r="BG220" s="1746" t="s">
        <v>2592</v>
      </c>
      <c r="BH220" s="1744">
        <f t="shared" si="44"/>
        <v>1.038E-4</v>
      </c>
      <c r="BI220" s="1745" t="str">
        <f t="shared" si="40"/>
        <v/>
      </c>
      <c r="BJ220" s="1740" t="str">
        <f t="shared" si="41"/>
        <v>tabs</v>
      </c>
      <c r="BK220" s="1740" t="str">
        <f t="shared" si="42"/>
        <v>Bottle of Tablets</v>
      </c>
      <c r="BV220" s="1689" t="s">
        <v>1358</v>
      </c>
      <c r="BW220" s="1689" t="s">
        <v>1359</v>
      </c>
      <c r="BX220" s="1689" t="s">
        <v>889</v>
      </c>
      <c r="BY220" s="1689" t="s">
        <v>907</v>
      </c>
      <c r="BZ220" s="1689" t="s">
        <v>1360</v>
      </c>
      <c r="CA220" s="1689" t="s">
        <v>938</v>
      </c>
      <c r="CB220" s="1689"/>
      <c r="CC220" s="1689"/>
      <c r="CD220" s="1689">
        <v>1</v>
      </c>
      <c r="CE220" s="1689">
        <v>10</v>
      </c>
      <c r="CF220" s="1689"/>
      <c r="CG220" s="1740">
        <f t="shared" si="36"/>
        <v>10</v>
      </c>
      <c r="CH220" s="1740">
        <f t="shared" si="43"/>
        <v>10</v>
      </c>
    </row>
    <row r="221" spans="2:86" ht="15.65" customHeight="1">
      <c r="B221" s="149"/>
      <c r="C221" s="1837"/>
      <c r="D221" s="1841"/>
      <c r="E221" s="1840"/>
      <c r="F221" s="1838"/>
      <c r="G221" s="1698"/>
      <c r="S221" s="1698"/>
      <c r="T221" s="1846" t="str">
        <f t="shared" si="37"/>
        <v/>
      </c>
      <c r="U221" s="1847" t="str">
        <f t="shared" si="38"/>
        <v/>
      </c>
      <c r="V221" s="1848"/>
      <c r="W221" s="1849" t="str">
        <f t="shared" si="39"/>
        <v/>
      </c>
      <c r="X221" s="1698"/>
      <c r="AY221" s="1746" t="s">
        <v>2588</v>
      </c>
      <c r="AZ221" s="1746">
        <v>2006</v>
      </c>
      <c r="BA221" s="1746" t="s">
        <v>3055</v>
      </c>
      <c r="BB221" s="1747" t="s">
        <v>3053</v>
      </c>
      <c r="BC221" s="1746" t="s">
        <v>3056</v>
      </c>
      <c r="BD221" s="1746" t="s">
        <v>2615</v>
      </c>
      <c r="BE221" s="1746"/>
      <c r="BF221" s="1746">
        <v>384.2</v>
      </c>
      <c r="BG221" s="1746" t="s">
        <v>2592</v>
      </c>
      <c r="BH221" s="1744">
        <f t="shared" si="44"/>
        <v>3.8420000000000001E-4</v>
      </c>
      <c r="BI221" s="1745" t="str">
        <f t="shared" si="40"/>
        <v/>
      </c>
      <c r="BJ221" s="1740" t="str">
        <f t="shared" si="41"/>
        <v>tabs</v>
      </c>
      <c r="BK221" s="1740" t="str">
        <f t="shared" si="42"/>
        <v>Bottle of Tablets</v>
      </c>
      <c r="BV221" s="1689" t="s">
        <v>1358</v>
      </c>
      <c r="BW221" s="1689" t="s">
        <v>1359</v>
      </c>
      <c r="BX221" s="1689" t="s">
        <v>889</v>
      </c>
      <c r="BY221" s="1689" t="s">
        <v>907</v>
      </c>
      <c r="BZ221" s="1689" t="s">
        <v>1360</v>
      </c>
      <c r="CA221" s="1689" t="s">
        <v>938</v>
      </c>
      <c r="CB221" s="1689"/>
      <c r="CC221" s="1689"/>
      <c r="CD221" s="1689">
        <v>2</v>
      </c>
      <c r="CE221" s="1689">
        <v>4.8</v>
      </c>
      <c r="CF221" s="1689"/>
      <c r="CG221" s="1740">
        <f t="shared" si="36"/>
        <v>4.8</v>
      </c>
      <c r="CH221" s="1740">
        <f t="shared" si="43"/>
        <v>9.6</v>
      </c>
    </row>
    <row r="222" spans="2:86" ht="15.65" customHeight="1">
      <c r="B222" s="149"/>
      <c r="C222" s="1837"/>
      <c r="D222" s="1841"/>
      <c r="E222" s="1840"/>
      <c r="F222" s="1838"/>
      <c r="G222" s="1698"/>
      <c r="S222" s="1698"/>
      <c r="T222" s="1846" t="str">
        <f t="shared" si="37"/>
        <v/>
      </c>
      <c r="U222" s="1847" t="str">
        <f t="shared" si="38"/>
        <v/>
      </c>
      <c r="V222" s="1848"/>
      <c r="W222" s="1849" t="str">
        <f t="shared" si="39"/>
        <v/>
      </c>
      <c r="X222" s="1698"/>
      <c r="AY222" s="1746" t="s">
        <v>2588</v>
      </c>
      <c r="AZ222" s="1746">
        <v>2006</v>
      </c>
      <c r="BA222" s="1746" t="s">
        <v>3057</v>
      </c>
      <c r="BB222" s="1747" t="s">
        <v>3053</v>
      </c>
      <c r="BC222" s="1746" t="s">
        <v>3058</v>
      </c>
      <c r="BD222" s="1746" t="s">
        <v>2615</v>
      </c>
      <c r="BE222" s="1746"/>
      <c r="BF222" s="1746">
        <v>273.5</v>
      </c>
      <c r="BG222" s="1746" t="s">
        <v>2592</v>
      </c>
      <c r="BH222" s="1744">
        <f t="shared" si="44"/>
        <v>2.7349999999999998E-4</v>
      </c>
      <c r="BI222" s="1745" t="str">
        <f t="shared" si="40"/>
        <v/>
      </c>
      <c r="BJ222" s="1740" t="str">
        <f t="shared" si="41"/>
        <v>tabs</v>
      </c>
      <c r="BK222" s="1740" t="str">
        <f t="shared" si="42"/>
        <v>Bottle of Tablets</v>
      </c>
      <c r="BV222" s="1689" t="s">
        <v>1358</v>
      </c>
      <c r="BW222" s="1689" t="s">
        <v>1359</v>
      </c>
      <c r="BX222" s="1689" t="s">
        <v>889</v>
      </c>
      <c r="BY222" s="1689" t="s">
        <v>907</v>
      </c>
      <c r="BZ222" s="1689" t="s">
        <v>1360</v>
      </c>
      <c r="CA222" s="1689" t="s">
        <v>938</v>
      </c>
      <c r="CB222" s="1689"/>
      <c r="CC222" s="1689"/>
      <c r="CD222" s="1689">
        <v>4</v>
      </c>
      <c r="CE222" s="1689">
        <v>2.4</v>
      </c>
      <c r="CF222" s="1689"/>
      <c r="CG222" s="1740">
        <f t="shared" si="36"/>
        <v>2.4</v>
      </c>
      <c r="CH222" s="1740">
        <f t="shared" si="43"/>
        <v>9.6</v>
      </c>
    </row>
    <row r="223" spans="2:86" ht="15.65" customHeight="1">
      <c r="B223" s="149"/>
      <c r="C223" s="1837"/>
      <c r="D223" s="1841"/>
      <c r="E223" s="1840"/>
      <c r="F223" s="1838"/>
      <c r="G223" s="1698"/>
      <c r="S223" s="1698"/>
      <c r="T223" s="1846" t="str">
        <f t="shared" si="37"/>
        <v/>
      </c>
      <c r="U223" s="1847" t="str">
        <f t="shared" si="38"/>
        <v/>
      </c>
      <c r="V223" s="1848"/>
      <c r="W223" s="1849" t="str">
        <f t="shared" si="39"/>
        <v/>
      </c>
      <c r="X223" s="1698"/>
      <c r="AY223" s="1746" t="s">
        <v>2575</v>
      </c>
      <c r="AZ223" s="1746">
        <v>2008</v>
      </c>
      <c r="BA223" s="1746" t="s">
        <v>3059</v>
      </c>
      <c r="BB223" s="1747" t="s">
        <v>3060</v>
      </c>
      <c r="BC223" s="1746" t="s">
        <v>2578</v>
      </c>
      <c r="BD223" s="1746" t="s">
        <v>2638</v>
      </c>
      <c r="BE223" s="1746" t="s">
        <v>2826</v>
      </c>
      <c r="BF223" s="1746">
        <v>0</v>
      </c>
      <c r="BG223" s="1746" t="s">
        <v>2581</v>
      </c>
      <c r="BH223" s="1744">
        <f t="shared" si="44"/>
        <v>0</v>
      </c>
      <c r="BI223" s="1745" t="str">
        <f t="shared" si="40"/>
        <v/>
      </c>
      <c r="BJ223" s="1740" t="str">
        <f t="shared" si="41"/>
        <v>PAC-Antimalarial drugs</v>
      </c>
      <c r="BK223" s="1740" t="str">
        <f t="shared" si="42"/>
        <v>Blister Pack of Tablets</v>
      </c>
      <c r="BV223" s="1689" t="s">
        <v>1363</v>
      </c>
      <c r="BW223" s="1689" t="s">
        <v>1364</v>
      </c>
      <c r="BX223" s="1689" t="s">
        <v>889</v>
      </c>
      <c r="BY223" s="1689" t="s">
        <v>907</v>
      </c>
      <c r="BZ223" s="1689"/>
      <c r="CA223" s="1689" t="s">
        <v>1365</v>
      </c>
      <c r="CB223" s="1689"/>
      <c r="CC223" s="1689" t="s">
        <v>1366</v>
      </c>
      <c r="CD223" s="1689" t="s">
        <v>1020</v>
      </c>
      <c r="CE223" s="1689">
        <v>11</v>
      </c>
      <c r="CF223" s="1689"/>
      <c r="CG223" s="1740">
        <f t="shared" si="36"/>
        <v>11</v>
      </c>
      <c r="CH223" s="1740" t="str">
        <f t="shared" si="43"/>
        <v/>
      </c>
    </row>
    <row r="224" spans="2:86" ht="15.65" customHeight="1">
      <c r="B224" s="149"/>
      <c r="C224" s="1837"/>
      <c r="D224" s="1841"/>
      <c r="E224" s="1840"/>
      <c r="F224" s="1838"/>
      <c r="G224" s="1698"/>
      <c r="S224" s="1698"/>
      <c r="T224" s="1846" t="str">
        <f t="shared" si="37"/>
        <v/>
      </c>
      <c r="U224" s="1847" t="str">
        <f t="shared" si="38"/>
        <v/>
      </c>
      <c r="V224" s="1848"/>
      <c r="W224" s="1849" t="str">
        <f t="shared" si="39"/>
        <v/>
      </c>
      <c r="X224" s="1698"/>
      <c r="AY224" s="1746" t="s">
        <v>2588</v>
      </c>
      <c r="AZ224" s="1746">
        <v>2006</v>
      </c>
      <c r="BA224" s="1746" t="s">
        <v>3061</v>
      </c>
      <c r="BB224" s="1747" t="s">
        <v>3062</v>
      </c>
      <c r="BC224" s="1746" t="s">
        <v>3063</v>
      </c>
      <c r="BD224" s="1746" t="s">
        <v>2615</v>
      </c>
      <c r="BE224" s="1746"/>
      <c r="BF224" s="1746">
        <v>109.8</v>
      </c>
      <c r="BG224" s="1746" t="s">
        <v>2592</v>
      </c>
      <c r="BH224" s="1744">
        <f t="shared" si="44"/>
        <v>1.098E-4</v>
      </c>
      <c r="BI224" s="1745" t="str">
        <f t="shared" si="40"/>
        <v/>
      </c>
      <c r="BJ224" s="1740" t="str">
        <f t="shared" si="41"/>
        <v>tabs</v>
      </c>
      <c r="BK224" s="1740" t="str">
        <f t="shared" si="42"/>
        <v>Bottle of Tablets</v>
      </c>
      <c r="BV224" s="1689" t="s">
        <v>1363</v>
      </c>
      <c r="BW224" s="1689" t="s">
        <v>1364</v>
      </c>
      <c r="BX224" s="1689" t="s">
        <v>889</v>
      </c>
      <c r="BY224" s="1689" t="s">
        <v>907</v>
      </c>
      <c r="BZ224" s="1689"/>
      <c r="CA224" s="1689" t="s">
        <v>1365</v>
      </c>
      <c r="CB224" s="1689"/>
      <c r="CC224" s="1689"/>
      <c r="CD224" s="1689">
        <v>1</v>
      </c>
      <c r="CE224" s="1689">
        <v>12.862080000000001</v>
      </c>
      <c r="CF224" s="1689"/>
      <c r="CG224" s="1740">
        <f t="shared" si="36"/>
        <v>12.862080000000001</v>
      </c>
      <c r="CH224" s="1740">
        <f t="shared" si="43"/>
        <v>12.862080000000001</v>
      </c>
    </row>
    <row r="225" spans="2:86" ht="15.65" customHeight="1">
      <c r="B225" s="149"/>
      <c r="C225" s="1837"/>
      <c r="D225" s="1841"/>
      <c r="E225" s="1840"/>
      <c r="F225" s="1838"/>
      <c r="G225" s="1698"/>
      <c r="S225" s="1698"/>
      <c r="T225" s="1846" t="str">
        <f t="shared" si="37"/>
        <v/>
      </c>
      <c r="U225" s="1847" t="str">
        <f t="shared" si="38"/>
        <v/>
      </c>
      <c r="V225" s="1848"/>
      <c r="W225" s="1849" t="str">
        <f t="shared" si="39"/>
        <v/>
      </c>
      <c r="X225" s="1698"/>
      <c r="AY225" s="1746" t="s">
        <v>2593</v>
      </c>
      <c r="AZ225" s="1746">
        <v>2008</v>
      </c>
      <c r="BA225" s="1746" t="s">
        <v>3064</v>
      </c>
      <c r="BB225" s="1747" t="s">
        <v>3065</v>
      </c>
      <c r="BC225" s="1746">
        <v>6</v>
      </c>
      <c r="BD225" s="1746" t="s">
        <v>2912</v>
      </c>
      <c r="BE225" s="1746"/>
      <c r="BF225" s="1746">
        <v>3.6999999999999999E-4</v>
      </c>
      <c r="BG225" s="1746" t="s">
        <v>2597</v>
      </c>
      <c r="BH225" s="1744">
        <f t="shared" si="44"/>
        <v>3.6999999999999999E-4</v>
      </c>
      <c r="BI225" s="1745">
        <f t="shared" si="40"/>
        <v>6.166666666666667E-5</v>
      </c>
      <c r="BJ225" s="1740" t="str">
        <f t="shared" si="41"/>
        <v>supps</v>
      </c>
      <c r="BK225" s="1740" t="str">
        <f t="shared" si="42"/>
        <v>Suppository</v>
      </c>
      <c r="BV225" s="1689" t="s">
        <v>1363</v>
      </c>
      <c r="BW225" s="1689" t="s">
        <v>1364</v>
      </c>
      <c r="BX225" s="1689" t="s">
        <v>889</v>
      </c>
      <c r="BY225" s="1689" t="s">
        <v>907</v>
      </c>
      <c r="BZ225" s="1689"/>
      <c r="CA225" s="1689" t="s">
        <v>1365</v>
      </c>
      <c r="CB225" s="1689"/>
      <c r="CC225" s="1689"/>
      <c r="CD225" s="1689">
        <v>2</v>
      </c>
      <c r="CE225" s="1689">
        <v>4.8</v>
      </c>
      <c r="CF225" s="1689"/>
      <c r="CG225" s="1740">
        <f t="shared" si="36"/>
        <v>4.8</v>
      </c>
      <c r="CH225" s="1740">
        <f t="shared" si="43"/>
        <v>9.6</v>
      </c>
    </row>
    <row r="226" spans="2:86" ht="15.65" customHeight="1">
      <c r="B226" s="149"/>
      <c r="C226" s="1837"/>
      <c r="D226" s="1841"/>
      <c r="E226" s="1840"/>
      <c r="F226" s="1838"/>
      <c r="G226" s="1698"/>
      <c r="S226" s="1698"/>
      <c r="T226" s="1846" t="str">
        <f t="shared" si="37"/>
        <v/>
      </c>
      <c r="U226" s="1847" t="str">
        <f t="shared" si="38"/>
        <v/>
      </c>
      <c r="V226" s="1848"/>
      <c r="W226" s="1849" t="str">
        <f t="shared" si="39"/>
        <v/>
      </c>
      <c r="X226" s="1698"/>
      <c r="AY226" s="1746" t="s">
        <v>2593</v>
      </c>
      <c r="AZ226" s="1746">
        <v>2008</v>
      </c>
      <c r="BA226" s="1746" t="s">
        <v>3066</v>
      </c>
      <c r="BB226" s="1747" t="s">
        <v>3067</v>
      </c>
      <c r="BC226" s="1746">
        <v>1</v>
      </c>
      <c r="BD226" s="1746" t="s">
        <v>2591</v>
      </c>
      <c r="BE226" s="1746"/>
      <c r="BF226" s="1746">
        <v>0</v>
      </c>
      <c r="BG226" s="1746" t="s">
        <v>2597</v>
      </c>
      <c r="BH226" s="1744">
        <f t="shared" si="44"/>
        <v>0</v>
      </c>
      <c r="BI226" s="1745">
        <f t="shared" si="40"/>
        <v>0</v>
      </c>
      <c r="BJ226" s="1740" t="str">
        <f t="shared" si="41"/>
        <v>vial</v>
      </c>
      <c r="BK226" s="1740" t="str">
        <f t="shared" si="42"/>
        <v>Injection Vial</v>
      </c>
      <c r="BV226" s="1689" t="s">
        <v>1372</v>
      </c>
      <c r="BW226" s="1689" t="s">
        <v>1373</v>
      </c>
      <c r="BX226" s="1689" t="s">
        <v>864</v>
      </c>
      <c r="BY226" s="1689" t="s">
        <v>907</v>
      </c>
      <c r="BZ226" s="1689" t="s">
        <v>1374</v>
      </c>
      <c r="CA226" s="1689" t="s">
        <v>1375</v>
      </c>
      <c r="CB226" s="1689" t="s">
        <v>1253</v>
      </c>
      <c r="CC226" s="1689"/>
      <c r="CD226" s="1689">
        <v>1</v>
      </c>
      <c r="CE226" s="1689">
        <v>171</v>
      </c>
      <c r="CF226" s="1689"/>
      <c r="CG226" s="1740">
        <f t="shared" si="36"/>
        <v>171</v>
      </c>
      <c r="CH226" s="1740">
        <f t="shared" si="43"/>
        <v>171</v>
      </c>
    </row>
    <row r="227" spans="2:86" ht="15.65" customHeight="1">
      <c r="B227" s="149"/>
      <c r="C227" s="1837"/>
      <c r="D227" s="1841"/>
      <c r="E227" s="1840"/>
      <c r="F227" s="1838"/>
      <c r="G227" s="1698"/>
      <c r="S227" s="1698"/>
      <c r="T227" s="1846" t="str">
        <f t="shared" si="37"/>
        <v/>
      </c>
      <c r="U227" s="1847" t="str">
        <f t="shared" si="38"/>
        <v/>
      </c>
      <c r="V227" s="1848"/>
      <c r="W227" s="1849" t="str">
        <f t="shared" si="39"/>
        <v/>
      </c>
      <c r="X227" s="1698"/>
      <c r="AY227" s="1746" t="s">
        <v>2575</v>
      </c>
      <c r="AZ227" s="1746">
        <v>2008</v>
      </c>
      <c r="BA227" s="1746" t="s">
        <v>3068</v>
      </c>
      <c r="BB227" s="1747" t="s">
        <v>3069</v>
      </c>
      <c r="BC227" s="1746" t="s">
        <v>2578</v>
      </c>
      <c r="BD227" s="1746" t="s">
        <v>2638</v>
      </c>
      <c r="BE227" s="1746" t="s">
        <v>2826</v>
      </c>
      <c r="BF227" s="1746">
        <v>0.09</v>
      </c>
      <c r="BG227" s="1746" t="s">
        <v>2581</v>
      </c>
      <c r="BH227" s="1744">
        <f t="shared" si="44"/>
        <v>8.9999999999999992E-5</v>
      </c>
      <c r="BI227" s="1745" t="str">
        <f t="shared" si="40"/>
        <v/>
      </c>
      <c r="BJ227" s="1740" t="str">
        <f t="shared" si="41"/>
        <v>PAC-Antimalarial drugs</v>
      </c>
      <c r="BK227" s="1740" t="str">
        <f t="shared" si="42"/>
        <v>Blister Pack of Tablets</v>
      </c>
      <c r="BV227" s="1689" t="s">
        <v>1372</v>
      </c>
      <c r="BW227" s="1689" t="s">
        <v>1373</v>
      </c>
      <c r="BX227" s="1689" t="s">
        <v>864</v>
      </c>
      <c r="BY227" s="1689" t="s">
        <v>907</v>
      </c>
      <c r="BZ227" s="1689" t="s">
        <v>1374</v>
      </c>
      <c r="CA227" s="1689" t="s">
        <v>1378</v>
      </c>
      <c r="CB227" s="1689" t="s">
        <v>1253</v>
      </c>
      <c r="CC227" s="1689"/>
      <c r="CD227" s="1689">
        <v>1</v>
      </c>
      <c r="CE227" s="1689">
        <v>174</v>
      </c>
      <c r="CF227" s="1689"/>
      <c r="CG227" s="1740">
        <f t="shared" si="36"/>
        <v>174</v>
      </c>
      <c r="CH227" s="1740">
        <f t="shared" si="43"/>
        <v>174</v>
      </c>
    </row>
    <row r="228" spans="2:86" ht="15.65" customHeight="1">
      <c r="B228" s="149"/>
      <c r="C228" s="1837"/>
      <c r="D228" s="1841"/>
      <c r="E228" s="1840"/>
      <c r="F228" s="1838"/>
      <c r="G228" s="1698"/>
      <c r="S228" s="1698"/>
      <c r="T228" s="1846" t="str">
        <f t="shared" si="37"/>
        <v/>
      </c>
      <c r="U228" s="1847" t="str">
        <f t="shared" si="38"/>
        <v/>
      </c>
      <c r="V228" s="1848"/>
      <c r="W228" s="1849" t="str">
        <f t="shared" si="39"/>
        <v/>
      </c>
      <c r="X228" s="1698"/>
      <c r="AY228" s="1746" t="s">
        <v>2575</v>
      </c>
      <c r="AZ228" s="1746">
        <v>2008</v>
      </c>
      <c r="BA228" s="1746" t="s">
        <v>3070</v>
      </c>
      <c r="BB228" s="1747" t="s">
        <v>3071</v>
      </c>
      <c r="BC228" s="1746" t="s">
        <v>2578</v>
      </c>
      <c r="BD228" s="1746" t="s">
        <v>2638</v>
      </c>
      <c r="BE228" s="1746" t="s">
        <v>2826</v>
      </c>
      <c r="BF228" s="1746">
        <v>0.09</v>
      </c>
      <c r="BG228" s="1746" t="s">
        <v>2581</v>
      </c>
      <c r="BH228" s="1744">
        <f t="shared" si="44"/>
        <v>8.9999999999999992E-5</v>
      </c>
      <c r="BI228" s="1745" t="str">
        <f t="shared" si="40"/>
        <v/>
      </c>
      <c r="BJ228" s="1740" t="str">
        <f t="shared" si="41"/>
        <v>PAC-Antimalarial drugs</v>
      </c>
      <c r="BK228" s="1740" t="str">
        <f t="shared" si="42"/>
        <v>Blister Pack of Tablets</v>
      </c>
      <c r="BV228" s="1689" t="s">
        <v>1372</v>
      </c>
      <c r="BW228" s="1689" t="s">
        <v>1373</v>
      </c>
      <c r="BX228" s="1689" t="s">
        <v>864</v>
      </c>
      <c r="BY228" s="1689" t="s">
        <v>907</v>
      </c>
      <c r="BZ228" s="1689" t="s">
        <v>1381</v>
      </c>
      <c r="CA228" s="1689" t="s">
        <v>1382</v>
      </c>
      <c r="CB228" s="1689" t="s">
        <v>1253</v>
      </c>
      <c r="CC228" s="1689"/>
      <c r="CD228" s="1689">
        <v>1</v>
      </c>
      <c r="CE228" s="1689">
        <v>53.6</v>
      </c>
      <c r="CF228" s="1689"/>
      <c r="CG228" s="1740">
        <f t="shared" si="36"/>
        <v>53.6</v>
      </c>
      <c r="CH228" s="1740">
        <f t="shared" si="43"/>
        <v>53.6</v>
      </c>
    </row>
    <row r="229" spans="2:86" ht="15.65" customHeight="1">
      <c r="B229" s="149"/>
      <c r="C229" s="1837"/>
      <c r="D229" s="1841"/>
      <c r="E229" s="1840"/>
      <c r="F229" s="1838"/>
      <c r="G229" s="1698"/>
      <c r="S229" s="1698"/>
      <c r="T229" s="1846" t="str">
        <f t="shared" si="37"/>
        <v/>
      </c>
      <c r="U229" s="1847" t="str">
        <f t="shared" si="38"/>
        <v/>
      </c>
      <c r="V229" s="1848"/>
      <c r="W229" s="1849" t="str">
        <f t="shared" si="39"/>
        <v/>
      </c>
      <c r="X229" s="1698"/>
      <c r="AY229" s="1746" t="s">
        <v>2575</v>
      </c>
      <c r="AZ229" s="1746">
        <v>2008</v>
      </c>
      <c r="BA229" s="1746" t="s">
        <v>3072</v>
      </c>
      <c r="BB229" s="1747" t="s">
        <v>3073</v>
      </c>
      <c r="BC229" s="1746" t="s">
        <v>2578</v>
      </c>
      <c r="BD229" s="1746" t="s">
        <v>2638</v>
      </c>
      <c r="BE229" s="1746" t="s">
        <v>3074</v>
      </c>
      <c r="BF229" s="1746">
        <v>0.82299999999999995</v>
      </c>
      <c r="BG229" s="1746" t="s">
        <v>2581</v>
      </c>
      <c r="BH229" s="1744">
        <f t="shared" si="44"/>
        <v>8.2299999999999995E-4</v>
      </c>
      <c r="BI229" s="1745" t="str">
        <f t="shared" si="40"/>
        <v/>
      </c>
      <c r="BJ229" s="1740" t="str">
        <f t="shared" si="41"/>
        <v>PAC-Minerals &amp; vitamins</v>
      </c>
      <c r="BK229" s="1740" t="str">
        <f t="shared" si="42"/>
        <v>Bottle of Tablets</v>
      </c>
      <c r="BV229" s="1689" t="s">
        <v>1372</v>
      </c>
      <c r="BW229" s="1689" t="s">
        <v>1373</v>
      </c>
      <c r="BX229" s="1689" t="s">
        <v>864</v>
      </c>
      <c r="BY229" s="1689" t="s">
        <v>907</v>
      </c>
      <c r="BZ229" s="1689" t="s">
        <v>1384</v>
      </c>
      <c r="CA229" s="1689" t="s">
        <v>1385</v>
      </c>
      <c r="CB229" s="1689" t="s">
        <v>868</v>
      </c>
      <c r="CC229" s="1689"/>
      <c r="CD229" s="1689">
        <v>1</v>
      </c>
      <c r="CE229" s="1689">
        <v>20.09</v>
      </c>
      <c r="CF229" s="1689">
        <v>20.100000000000001</v>
      </c>
      <c r="CG229" s="1740">
        <f t="shared" si="36"/>
        <v>40.19</v>
      </c>
      <c r="CH229" s="1740">
        <f t="shared" si="43"/>
        <v>40.19</v>
      </c>
    </row>
    <row r="230" spans="2:86" ht="15.65" customHeight="1">
      <c r="B230" s="149"/>
      <c r="C230" s="1837"/>
      <c r="D230" s="1841"/>
      <c r="E230" s="1840"/>
      <c r="F230" s="1838"/>
      <c r="G230" s="1698"/>
      <c r="S230" s="1698"/>
      <c r="T230" s="1846" t="str">
        <f t="shared" si="37"/>
        <v/>
      </c>
      <c r="U230" s="1847" t="str">
        <f t="shared" si="38"/>
        <v/>
      </c>
      <c r="V230" s="1848"/>
      <c r="W230" s="1849" t="str">
        <f t="shared" si="39"/>
        <v/>
      </c>
      <c r="X230" s="1698"/>
      <c r="AY230" s="1746" t="s">
        <v>2575</v>
      </c>
      <c r="AZ230" s="1746">
        <v>2008</v>
      </c>
      <c r="BA230" s="1746" t="s">
        <v>3075</v>
      </c>
      <c r="BB230" s="1747" t="s">
        <v>3076</v>
      </c>
      <c r="BC230" s="1746" t="s">
        <v>2578</v>
      </c>
      <c r="BD230" s="1746" t="s">
        <v>2638</v>
      </c>
      <c r="BE230" s="1746" t="s">
        <v>3074</v>
      </c>
      <c r="BF230" s="1746">
        <v>0.23599999999999999</v>
      </c>
      <c r="BG230" s="1746" t="s">
        <v>2581</v>
      </c>
      <c r="BH230" s="1744">
        <f t="shared" si="44"/>
        <v>2.3599999999999999E-4</v>
      </c>
      <c r="BI230" s="1745" t="str">
        <f t="shared" si="40"/>
        <v/>
      </c>
      <c r="BJ230" s="1740" t="str">
        <f t="shared" si="41"/>
        <v>PAC-Minerals &amp; vitamins</v>
      </c>
      <c r="BK230" s="1740" t="str">
        <f t="shared" si="42"/>
        <v>Bottle of Tablets</v>
      </c>
      <c r="BV230" s="1689" t="s">
        <v>1388</v>
      </c>
      <c r="BW230" s="1689" t="s">
        <v>1389</v>
      </c>
      <c r="BX230" s="1689" t="s">
        <v>889</v>
      </c>
      <c r="BY230" s="1689" t="s">
        <v>890</v>
      </c>
      <c r="BZ230" s="1689" t="s">
        <v>1390</v>
      </c>
      <c r="CA230" s="1689" t="s">
        <v>1391</v>
      </c>
      <c r="CB230" s="1689"/>
      <c r="CC230" s="1689"/>
      <c r="CD230" s="1689">
        <v>1</v>
      </c>
      <c r="CE230" s="1689">
        <v>17.125799999999998</v>
      </c>
      <c r="CF230" s="1689"/>
      <c r="CG230" s="1740">
        <f t="shared" si="36"/>
        <v>17.125799999999998</v>
      </c>
      <c r="CH230" s="1740">
        <f t="shared" si="43"/>
        <v>17.125799999999998</v>
      </c>
    </row>
    <row r="231" spans="2:86" ht="15.65" customHeight="1">
      <c r="B231" s="149"/>
      <c r="C231" s="1837"/>
      <c r="D231" s="1841"/>
      <c r="E231" s="1840"/>
      <c r="F231" s="1838"/>
      <c r="G231" s="1698"/>
      <c r="S231" s="1698"/>
      <c r="T231" s="1846" t="str">
        <f t="shared" si="37"/>
        <v/>
      </c>
      <c r="U231" s="1847" t="str">
        <f t="shared" si="38"/>
        <v/>
      </c>
      <c r="V231" s="1848"/>
      <c r="W231" s="1849" t="str">
        <f t="shared" si="39"/>
        <v/>
      </c>
      <c r="X231" s="1698"/>
      <c r="AY231" s="1746" t="s">
        <v>2588</v>
      </c>
      <c r="AZ231" s="1746">
        <v>2006</v>
      </c>
      <c r="BA231" s="1746" t="s">
        <v>3077</v>
      </c>
      <c r="BB231" s="1747" t="s">
        <v>3078</v>
      </c>
      <c r="BC231" s="1746">
        <v>1000</v>
      </c>
      <c r="BD231" s="1746" t="s">
        <v>2615</v>
      </c>
      <c r="BE231" s="1746"/>
      <c r="BF231" s="1746">
        <v>1061.5</v>
      </c>
      <c r="BG231" s="1746" t="s">
        <v>2592</v>
      </c>
      <c r="BH231" s="1744">
        <f t="shared" si="44"/>
        <v>1.0614999999999999E-3</v>
      </c>
      <c r="BI231" s="1745">
        <f t="shared" si="40"/>
        <v>1.0614999999999999E-6</v>
      </c>
      <c r="BJ231" s="1740" t="str">
        <f t="shared" si="41"/>
        <v>tabs</v>
      </c>
      <c r="BK231" s="1740" t="str">
        <f t="shared" si="42"/>
        <v>Bottle of Tablets</v>
      </c>
      <c r="BV231" s="1689" t="s">
        <v>1388</v>
      </c>
      <c r="BW231" s="1689" t="s">
        <v>1389</v>
      </c>
      <c r="BX231" s="1689" t="s">
        <v>889</v>
      </c>
      <c r="BY231" s="1689" t="s">
        <v>890</v>
      </c>
      <c r="BZ231" s="1689" t="s">
        <v>1390</v>
      </c>
      <c r="CA231" s="1689" t="s">
        <v>1393</v>
      </c>
      <c r="CB231" s="1689"/>
      <c r="CC231" s="1689"/>
      <c r="CD231" s="1689" t="s">
        <v>894</v>
      </c>
      <c r="CE231" s="1689">
        <v>43.276800000000009</v>
      </c>
      <c r="CF231" s="1689"/>
      <c r="CG231" s="1740">
        <f t="shared" si="36"/>
        <v>43.276800000000009</v>
      </c>
      <c r="CH231" s="1740" t="str">
        <f t="shared" si="43"/>
        <v/>
      </c>
    </row>
    <row r="232" spans="2:86" ht="15.65" customHeight="1">
      <c r="B232" s="149"/>
      <c r="C232" s="1837"/>
      <c r="D232" s="1841"/>
      <c r="E232" s="1840"/>
      <c r="F232" s="1838"/>
      <c r="G232" s="1698"/>
      <c r="S232" s="1698"/>
      <c r="T232" s="1846" t="str">
        <f t="shared" si="37"/>
        <v/>
      </c>
      <c r="U232" s="1847" t="str">
        <f t="shared" si="38"/>
        <v/>
      </c>
      <c r="V232" s="1848"/>
      <c r="W232" s="1849" t="str">
        <f t="shared" si="39"/>
        <v/>
      </c>
      <c r="X232" s="1698"/>
      <c r="AY232" s="1746" t="s">
        <v>2593</v>
      </c>
      <c r="AZ232" s="1746">
        <v>2008</v>
      </c>
      <c r="BA232" s="1746" t="s">
        <v>3079</v>
      </c>
      <c r="BB232" s="1747" t="s">
        <v>3080</v>
      </c>
      <c r="BC232" s="1750">
        <v>1000</v>
      </c>
      <c r="BD232" s="1746" t="s">
        <v>2601</v>
      </c>
      <c r="BE232" s="1746"/>
      <c r="BF232" s="1746">
        <v>1.6900000000000001E-3</v>
      </c>
      <c r="BG232" s="1746" t="s">
        <v>2597</v>
      </c>
      <c r="BH232" s="1744">
        <f t="shared" si="44"/>
        <v>1.6900000000000001E-3</v>
      </c>
      <c r="BI232" s="1745">
        <f t="shared" si="40"/>
        <v>1.6900000000000001E-6</v>
      </c>
      <c r="BJ232" s="1740" t="str">
        <f t="shared" si="41"/>
        <v>tablets</v>
      </c>
      <c r="BK232" s="1740" t="str">
        <f t="shared" si="42"/>
        <v>Bottle of Tablets</v>
      </c>
      <c r="BV232" s="1689" t="s">
        <v>1388</v>
      </c>
      <c r="BW232" s="1689" t="s">
        <v>1389</v>
      </c>
      <c r="BX232" s="1689" t="s">
        <v>889</v>
      </c>
      <c r="BY232" s="1689" t="s">
        <v>890</v>
      </c>
      <c r="BZ232" s="1689" t="s">
        <v>1390</v>
      </c>
      <c r="CA232" s="1689" t="s">
        <v>1394</v>
      </c>
      <c r="CB232" s="1689"/>
      <c r="CC232" s="1689"/>
      <c r="CD232" s="1689" t="s">
        <v>894</v>
      </c>
      <c r="CE232" s="1689">
        <v>115.27499999999998</v>
      </c>
      <c r="CF232" s="1689"/>
      <c r="CG232" s="1740">
        <f t="shared" si="36"/>
        <v>115.27499999999998</v>
      </c>
      <c r="CH232" s="1740" t="str">
        <f t="shared" si="43"/>
        <v/>
      </c>
    </row>
    <row r="233" spans="2:86" ht="15.65" customHeight="1">
      <c r="B233" s="149"/>
      <c r="C233" s="1837"/>
      <c r="D233" s="1841"/>
      <c r="E233" s="1840"/>
      <c r="F233" s="1838"/>
      <c r="G233" s="1698"/>
      <c r="S233" s="1698"/>
      <c r="T233" s="1846" t="str">
        <f t="shared" si="37"/>
        <v/>
      </c>
      <c r="U233" s="1847" t="str">
        <f t="shared" si="38"/>
        <v/>
      </c>
      <c r="V233" s="1848"/>
      <c r="W233" s="1849" t="str">
        <f t="shared" si="39"/>
        <v/>
      </c>
      <c r="X233" s="1698"/>
      <c r="AY233" s="1746" t="s">
        <v>2588</v>
      </c>
      <c r="AZ233" s="1746">
        <v>2006</v>
      </c>
      <c r="BA233" s="1746" t="s">
        <v>3081</v>
      </c>
      <c r="BB233" s="1747" t="s">
        <v>3082</v>
      </c>
      <c r="BC233" s="1746">
        <v>1000</v>
      </c>
      <c r="BD233" s="1746" t="s">
        <v>2615</v>
      </c>
      <c r="BE233" s="1746"/>
      <c r="BF233" s="1746">
        <v>645.1</v>
      </c>
      <c r="BG233" s="1746" t="s">
        <v>2592</v>
      </c>
      <c r="BH233" s="1744">
        <f t="shared" si="44"/>
        <v>6.4510000000000001E-4</v>
      </c>
      <c r="BI233" s="1745">
        <f t="shared" si="40"/>
        <v>6.4509999999999997E-7</v>
      </c>
      <c r="BJ233" s="1740" t="str">
        <f t="shared" si="41"/>
        <v>tabs</v>
      </c>
      <c r="BK233" s="1740" t="str">
        <f t="shared" si="42"/>
        <v>Bottle of Tablets</v>
      </c>
      <c r="BV233" s="1689" t="s">
        <v>1388</v>
      </c>
      <c r="BW233" s="1689" t="s">
        <v>1389</v>
      </c>
      <c r="BX233" s="1689" t="s">
        <v>889</v>
      </c>
      <c r="BY233" s="1689" t="s">
        <v>890</v>
      </c>
      <c r="BZ233" s="1689" t="s">
        <v>1390</v>
      </c>
      <c r="CA233" s="1689" t="s">
        <v>1395</v>
      </c>
      <c r="CB233" s="1689"/>
      <c r="CC233" s="1689"/>
      <c r="CD233" s="1689" t="s">
        <v>894</v>
      </c>
      <c r="CE233" s="1689">
        <v>134.06400000000002</v>
      </c>
      <c r="CF233" s="1689"/>
      <c r="CG233" s="1740">
        <f t="shared" si="36"/>
        <v>134.06400000000002</v>
      </c>
      <c r="CH233" s="1740" t="str">
        <f t="shared" si="43"/>
        <v/>
      </c>
    </row>
    <row r="234" spans="2:86" ht="15.65" customHeight="1">
      <c r="B234" s="149"/>
      <c r="C234" s="1837"/>
      <c r="D234" s="1841"/>
      <c r="E234" s="1840"/>
      <c r="F234" s="1838"/>
      <c r="G234" s="1698"/>
      <c r="S234" s="1698"/>
      <c r="T234" s="1846" t="str">
        <f t="shared" si="37"/>
        <v/>
      </c>
      <c r="U234" s="1847" t="str">
        <f t="shared" si="38"/>
        <v/>
      </c>
      <c r="V234" s="1848"/>
      <c r="W234" s="1849" t="str">
        <f t="shared" si="39"/>
        <v/>
      </c>
      <c r="X234" s="1698"/>
      <c r="AY234" s="1746" t="s">
        <v>2593</v>
      </c>
      <c r="AZ234" s="1746">
        <v>2008</v>
      </c>
      <c r="BA234" s="1746" t="s">
        <v>3083</v>
      </c>
      <c r="BB234" s="1747" t="s">
        <v>3084</v>
      </c>
      <c r="BC234" s="1746">
        <v>28</v>
      </c>
      <c r="BD234" s="1746" t="s">
        <v>2601</v>
      </c>
      <c r="BE234" s="1746"/>
      <c r="BF234" s="1746">
        <v>2.2000000000000001E-4</v>
      </c>
      <c r="BG234" s="1746" t="s">
        <v>2597</v>
      </c>
      <c r="BH234" s="1744">
        <f t="shared" si="44"/>
        <v>2.2000000000000001E-4</v>
      </c>
      <c r="BI234" s="1745">
        <f t="shared" si="40"/>
        <v>7.8571428571428577E-6</v>
      </c>
      <c r="BJ234" s="1740" t="str">
        <f t="shared" si="41"/>
        <v>tablets</v>
      </c>
      <c r="BK234" s="1740" t="str">
        <f t="shared" si="42"/>
        <v>Bottle of Tablets</v>
      </c>
      <c r="BV234" s="1689" t="s">
        <v>1388</v>
      </c>
      <c r="BW234" s="1689" t="s">
        <v>1389</v>
      </c>
      <c r="BX234" s="1689" t="s">
        <v>889</v>
      </c>
      <c r="BY234" s="1689" t="s">
        <v>890</v>
      </c>
      <c r="BZ234" s="1689" t="s">
        <v>1390</v>
      </c>
      <c r="CA234" s="1689" t="s">
        <v>1397</v>
      </c>
      <c r="CB234" s="1689"/>
      <c r="CC234" s="1689"/>
      <c r="CD234" s="1689">
        <v>1</v>
      </c>
      <c r="CE234" s="1689">
        <v>85.28</v>
      </c>
      <c r="CF234" s="1689"/>
      <c r="CG234" s="1740">
        <f t="shared" si="36"/>
        <v>85.28</v>
      </c>
      <c r="CH234" s="1740">
        <f t="shared" si="43"/>
        <v>85.28</v>
      </c>
    </row>
    <row r="235" spans="2:86" ht="15.65" customHeight="1">
      <c r="B235" s="149"/>
      <c r="C235" s="1837"/>
      <c r="D235" s="1841"/>
      <c r="E235" s="1840"/>
      <c r="F235" s="1838"/>
      <c r="G235" s="1698"/>
      <c r="S235" s="1698"/>
      <c r="T235" s="1846" t="str">
        <f t="shared" si="37"/>
        <v/>
      </c>
      <c r="U235" s="1847" t="str">
        <f t="shared" si="38"/>
        <v/>
      </c>
      <c r="V235" s="1848"/>
      <c r="W235" s="1849" t="str">
        <f t="shared" si="39"/>
        <v/>
      </c>
      <c r="X235" s="1698"/>
      <c r="AY235" s="1746" t="s">
        <v>2575</v>
      </c>
      <c r="AZ235" s="1746">
        <v>2008</v>
      </c>
      <c r="BA235" s="1746" t="s">
        <v>3085</v>
      </c>
      <c r="BB235" s="1747" t="s">
        <v>3086</v>
      </c>
      <c r="BC235" s="1746" t="s">
        <v>2578</v>
      </c>
      <c r="BD235" s="1746" t="s">
        <v>2638</v>
      </c>
      <c r="BE235" s="1746" t="s">
        <v>3087</v>
      </c>
      <c r="BF235" s="1746">
        <v>0.4</v>
      </c>
      <c r="BG235" s="1746" t="s">
        <v>2581</v>
      </c>
      <c r="BH235" s="1744">
        <f t="shared" si="44"/>
        <v>4.0000000000000002E-4</v>
      </c>
      <c r="BI235" s="1745" t="str">
        <f t="shared" si="40"/>
        <v/>
      </c>
      <c r="BJ235" s="1740" t="str">
        <f t="shared" si="41"/>
        <v>PAC-Cardiovascular drugs</v>
      </c>
      <c r="BK235" s="1740" t="str">
        <f t="shared" si="42"/>
        <v>Bottle of Tablets</v>
      </c>
      <c r="BV235" s="1689" t="s">
        <v>1388</v>
      </c>
      <c r="BW235" s="1689" t="s">
        <v>1389</v>
      </c>
      <c r="BX235" s="1689" t="s">
        <v>889</v>
      </c>
      <c r="BY235" s="1689" t="s">
        <v>890</v>
      </c>
      <c r="BZ235" s="1689" t="s">
        <v>1398</v>
      </c>
      <c r="CA235" s="1689" t="s">
        <v>1399</v>
      </c>
      <c r="CB235" s="1689"/>
      <c r="CC235" s="1689"/>
      <c r="CD235" s="1689" t="s">
        <v>894</v>
      </c>
      <c r="CE235" s="1689">
        <v>146</v>
      </c>
      <c r="CF235" s="1689"/>
      <c r="CG235" s="1740">
        <f t="shared" si="36"/>
        <v>146</v>
      </c>
      <c r="CH235" s="1740" t="str">
        <f t="shared" si="43"/>
        <v/>
      </c>
    </row>
    <row r="236" spans="2:86" ht="15.65" customHeight="1">
      <c r="B236" s="149"/>
      <c r="C236" s="1837"/>
      <c r="D236" s="1841"/>
      <c r="E236" s="1840"/>
      <c r="F236" s="1838"/>
      <c r="G236" s="1698"/>
      <c r="S236" s="1698"/>
      <c r="T236" s="1846" t="str">
        <f t="shared" si="37"/>
        <v/>
      </c>
      <c r="U236" s="1847" t="str">
        <f t="shared" si="38"/>
        <v/>
      </c>
      <c r="V236" s="1848"/>
      <c r="W236" s="1849" t="str">
        <f t="shared" si="39"/>
        <v/>
      </c>
      <c r="X236" s="1698"/>
      <c r="AY236" s="1746" t="s">
        <v>2575</v>
      </c>
      <c r="AZ236" s="1746">
        <v>2008</v>
      </c>
      <c r="BA236" s="1746" t="s">
        <v>3088</v>
      </c>
      <c r="BB236" s="1747" t="s">
        <v>3089</v>
      </c>
      <c r="BC236" s="1746" t="s">
        <v>2578</v>
      </c>
      <c r="BD236" s="1746" t="s">
        <v>2903</v>
      </c>
      <c r="BE236" s="1746" t="s">
        <v>3090</v>
      </c>
      <c r="BF236" s="1746">
        <v>401.8</v>
      </c>
      <c r="BG236" s="1746" t="s">
        <v>2592</v>
      </c>
      <c r="BH236" s="1744">
        <f t="shared" si="44"/>
        <v>4.0180000000000001E-4</v>
      </c>
      <c r="BI236" s="1745" t="str">
        <f t="shared" si="40"/>
        <v/>
      </c>
      <c r="BJ236" s="1740" t="str">
        <f t="shared" si="41"/>
        <v>BOX-Antidotes</v>
      </c>
      <c r="BK236" s="1740" t="str">
        <f t="shared" si="42"/>
        <v>Injection Vial</v>
      </c>
      <c r="BV236" s="1689" t="s">
        <v>1388</v>
      </c>
      <c r="BW236" s="1689" t="s">
        <v>1389</v>
      </c>
      <c r="BX236" s="1689" t="s">
        <v>889</v>
      </c>
      <c r="BY236" s="1689" t="s">
        <v>890</v>
      </c>
      <c r="BZ236" s="1689" t="s">
        <v>1398</v>
      </c>
      <c r="CA236" s="1689" t="s">
        <v>1199</v>
      </c>
      <c r="CB236" s="1689"/>
      <c r="CC236" s="1689"/>
      <c r="CD236" s="1689" t="s">
        <v>894</v>
      </c>
      <c r="CE236" s="1689">
        <v>75.3</v>
      </c>
      <c r="CF236" s="1689"/>
      <c r="CG236" s="1740">
        <f t="shared" si="36"/>
        <v>75.3</v>
      </c>
      <c r="CH236" s="1740" t="str">
        <f t="shared" si="43"/>
        <v/>
      </c>
    </row>
    <row r="237" spans="2:86" ht="15.65" customHeight="1">
      <c r="B237" s="149"/>
      <c r="C237" s="1837"/>
      <c r="D237" s="1841"/>
      <c r="E237" s="1840"/>
      <c r="F237" s="1838"/>
      <c r="G237" s="1698"/>
      <c r="S237" s="1698"/>
      <c r="T237" s="1846" t="str">
        <f t="shared" si="37"/>
        <v/>
      </c>
      <c r="U237" s="1847" t="str">
        <f t="shared" si="38"/>
        <v/>
      </c>
      <c r="V237" s="1848"/>
      <c r="W237" s="1849" t="str">
        <f t="shared" si="39"/>
        <v/>
      </c>
      <c r="X237" s="1698"/>
      <c r="AY237" s="1746" t="s">
        <v>2593</v>
      </c>
      <c r="AZ237" s="1746">
        <v>2008</v>
      </c>
      <c r="BA237" s="1746" t="s">
        <v>3091</v>
      </c>
      <c r="BB237" s="1747" t="s">
        <v>3092</v>
      </c>
      <c r="BC237" s="1746">
        <v>100</v>
      </c>
      <c r="BD237" s="1746" t="s">
        <v>2727</v>
      </c>
      <c r="BE237" s="1746"/>
      <c r="BF237" s="1746">
        <v>1.3799999999999999E-3</v>
      </c>
      <c r="BG237" s="1746" t="s">
        <v>2597</v>
      </c>
      <c r="BH237" s="1744">
        <f t="shared" si="44"/>
        <v>1.3799999999999999E-3</v>
      </c>
      <c r="BI237" s="1745">
        <f t="shared" si="40"/>
        <v>1.38E-5</v>
      </c>
      <c r="BJ237" s="1740" t="str">
        <f t="shared" si="41"/>
        <v>ampoules</v>
      </c>
      <c r="BK237" s="1740" t="str">
        <f t="shared" si="42"/>
        <v>Injection Vial</v>
      </c>
      <c r="BV237" s="1689" t="s">
        <v>1388</v>
      </c>
      <c r="BW237" s="1689" t="s">
        <v>1389</v>
      </c>
      <c r="BX237" s="1689" t="s">
        <v>889</v>
      </c>
      <c r="BY237" s="1689" t="s">
        <v>890</v>
      </c>
      <c r="BZ237" s="1689" t="s">
        <v>1398</v>
      </c>
      <c r="CA237" s="1689" t="s">
        <v>1403</v>
      </c>
      <c r="CB237" s="1689"/>
      <c r="CC237" s="1689"/>
      <c r="CD237" s="1689" t="s">
        <v>894</v>
      </c>
      <c r="CE237" s="1689">
        <v>46.3</v>
      </c>
      <c r="CF237" s="1689"/>
      <c r="CG237" s="1740">
        <f t="shared" si="36"/>
        <v>46.3</v>
      </c>
      <c r="CH237" s="1740" t="str">
        <f t="shared" si="43"/>
        <v/>
      </c>
    </row>
    <row r="238" spans="2:86" ht="15.65" customHeight="1">
      <c r="B238" s="149"/>
      <c r="C238" s="1837"/>
      <c r="D238" s="1841"/>
      <c r="E238" s="1840"/>
      <c r="F238" s="1838"/>
      <c r="G238" s="1698"/>
      <c r="S238" s="1698"/>
      <c r="T238" s="1846" t="str">
        <f t="shared" si="37"/>
        <v/>
      </c>
      <c r="U238" s="1847" t="str">
        <f t="shared" si="38"/>
        <v/>
      </c>
      <c r="V238" s="1848"/>
      <c r="W238" s="1849" t="str">
        <f t="shared" si="39"/>
        <v/>
      </c>
      <c r="X238" s="1698"/>
      <c r="AY238" s="1746" t="s">
        <v>2588</v>
      </c>
      <c r="AZ238" s="1746">
        <v>2006</v>
      </c>
      <c r="BA238" s="1746" t="s">
        <v>3093</v>
      </c>
      <c r="BB238" s="1747" t="s">
        <v>3094</v>
      </c>
      <c r="BC238" s="1746">
        <v>1</v>
      </c>
      <c r="BD238" s="1746" t="s">
        <v>2596</v>
      </c>
      <c r="BE238" s="1746"/>
      <c r="BF238" s="1746">
        <v>63</v>
      </c>
      <c r="BG238" s="1746" t="s">
        <v>2592</v>
      </c>
      <c r="BH238" s="1744">
        <f t="shared" si="44"/>
        <v>6.3E-5</v>
      </c>
      <c r="BI238" s="1745">
        <f t="shared" si="40"/>
        <v>6.3E-5</v>
      </c>
      <c r="BJ238" s="1740" t="str">
        <f t="shared" si="41"/>
        <v>bottle</v>
      </c>
      <c r="BK238" s="1740" t="str">
        <f t="shared" si="42"/>
        <v>Bottle of Liquid</v>
      </c>
      <c r="BV238" s="1689" t="s">
        <v>1388</v>
      </c>
      <c r="BW238" s="1689" t="s">
        <v>1404</v>
      </c>
      <c r="BX238" s="1689" t="s">
        <v>864</v>
      </c>
      <c r="BY238" s="1689" t="s">
        <v>890</v>
      </c>
      <c r="BZ238" s="1689" t="s">
        <v>1390</v>
      </c>
      <c r="CA238" s="1689" t="s">
        <v>1405</v>
      </c>
      <c r="CB238" s="1689" t="s">
        <v>1253</v>
      </c>
      <c r="CC238" s="1689"/>
      <c r="CD238" s="1689" t="s">
        <v>894</v>
      </c>
      <c r="CE238" s="1689">
        <v>256.02500000000003</v>
      </c>
      <c r="CF238" s="1689"/>
      <c r="CG238" s="1740">
        <f t="shared" si="36"/>
        <v>256.02500000000003</v>
      </c>
      <c r="CH238" s="1740" t="str">
        <f t="shared" si="43"/>
        <v/>
      </c>
    </row>
    <row r="239" spans="2:86" ht="15.65" customHeight="1">
      <c r="B239" s="149"/>
      <c r="C239" s="1837"/>
      <c r="D239" s="1841"/>
      <c r="E239" s="1840"/>
      <c r="F239" s="1838"/>
      <c r="G239" s="1698"/>
      <c r="S239" s="1698"/>
      <c r="T239" s="1846" t="str">
        <f t="shared" si="37"/>
        <v/>
      </c>
      <c r="U239" s="1847" t="str">
        <f t="shared" si="38"/>
        <v/>
      </c>
      <c r="V239" s="1848"/>
      <c r="W239" s="1849" t="str">
        <f t="shared" si="39"/>
        <v/>
      </c>
      <c r="X239" s="1698"/>
      <c r="AY239" s="1746" t="s">
        <v>2593</v>
      </c>
      <c r="AZ239" s="1746">
        <v>2008</v>
      </c>
      <c r="BA239" s="1746" t="s">
        <v>3095</v>
      </c>
      <c r="BB239" s="1747" t="s">
        <v>3096</v>
      </c>
      <c r="BC239" s="1746">
        <v>1</v>
      </c>
      <c r="BD239" s="1746" t="s">
        <v>2596</v>
      </c>
      <c r="BE239" s="1746"/>
      <c r="BF239" s="1746">
        <v>2.4000000000000001E-4</v>
      </c>
      <c r="BG239" s="1746" t="s">
        <v>2597</v>
      </c>
      <c r="BH239" s="1744">
        <f t="shared" si="44"/>
        <v>2.4000000000000001E-4</v>
      </c>
      <c r="BI239" s="1745">
        <f t="shared" si="40"/>
        <v>2.4000000000000001E-4</v>
      </c>
      <c r="BJ239" s="1740" t="str">
        <f t="shared" si="41"/>
        <v>bottle</v>
      </c>
      <c r="BK239" s="1740" t="str">
        <f t="shared" si="42"/>
        <v>Bottle of Liquid</v>
      </c>
      <c r="BV239" s="1689" t="s">
        <v>1388</v>
      </c>
      <c r="BW239" s="1689" t="s">
        <v>1404</v>
      </c>
      <c r="BX239" s="1689" t="s">
        <v>864</v>
      </c>
      <c r="BY239" s="1689" t="s">
        <v>890</v>
      </c>
      <c r="BZ239" s="1689" t="s">
        <v>1390</v>
      </c>
      <c r="CA239" s="1689" t="s">
        <v>1408</v>
      </c>
      <c r="CB239" s="1689" t="s">
        <v>1253</v>
      </c>
      <c r="CC239" s="1689"/>
      <c r="CD239" s="1689">
        <v>1</v>
      </c>
      <c r="CE239" s="1689">
        <v>156</v>
      </c>
      <c r="CF239" s="1689"/>
      <c r="CG239" s="1740">
        <f t="shared" si="36"/>
        <v>156</v>
      </c>
      <c r="CH239" s="1740">
        <f t="shared" si="43"/>
        <v>156</v>
      </c>
    </row>
    <row r="240" spans="2:86" ht="15.65" customHeight="1">
      <c r="B240" s="149"/>
      <c r="C240" s="1837"/>
      <c r="D240" s="1841"/>
      <c r="E240" s="1840"/>
      <c r="F240" s="1838"/>
      <c r="G240" s="1698"/>
      <c r="S240" s="1698"/>
      <c r="T240" s="1846" t="str">
        <f t="shared" si="37"/>
        <v/>
      </c>
      <c r="U240" s="1847" t="str">
        <f t="shared" si="38"/>
        <v/>
      </c>
      <c r="V240" s="1848"/>
      <c r="W240" s="1849" t="str">
        <f t="shared" si="39"/>
        <v/>
      </c>
      <c r="X240" s="1698"/>
      <c r="AY240" s="1746" t="s">
        <v>2593</v>
      </c>
      <c r="AZ240" s="1746">
        <v>2008</v>
      </c>
      <c r="BA240" s="1746" t="s">
        <v>3097</v>
      </c>
      <c r="BB240" s="1747" t="s">
        <v>3098</v>
      </c>
      <c r="BC240" s="1746">
        <v>100</v>
      </c>
      <c r="BD240" s="1746" t="s">
        <v>2727</v>
      </c>
      <c r="BE240" s="1746"/>
      <c r="BF240" s="1746">
        <v>1.42E-3</v>
      </c>
      <c r="BG240" s="1746" t="s">
        <v>2597</v>
      </c>
      <c r="BH240" s="1744">
        <f t="shared" si="44"/>
        <v>1.42E-3</v>
      </c>
      <c r="BI240" s="1745">
        <f t="shared" si="40"/>
        <v>1.42E-5</v>
      </c>
      <c r="BJ240" s="1740" t="str">
        <f t="shared" si="41"/>
        <v>ampoules</v>
      </c>
      <c r="BK240" s="1740" t="str">
        <f t="shared" si="42"/>
        <v>Injection Vial</v>
      </c>
      <c r="BV240" s="1689" t="s">
        <v>1388</v>
      </c>
      <c r="BW240" s="1689" t="s">
        <v>1404</v>
      </c>
      <c r="BX240" s="1689" t="s">
        <v>864</v>
      </c>
      <c r="BY240" s="1689" t="s">
        <v>890</v>
      </c>
      <c r="BZ240" s="1689" t="s">
        <v>1390</v>
      </c>
      <c r="CA240" s="1689" t="s">
        <v>1409</v>
      </c>
      <c r="CB240" s="1689" t="s">
        <v>1253</v>
      </c>
      <c r="CC240" s="1689"/>
      <c r="CD240" s="1689" t="s">
        <v>894</v>
      </c>
      <c r="CE240" s="1689">
        <v>110.59200000000001</v>
      </c>
      <c r="CF240" s="1689"/>
      <c r="CG240" s="1740">
        <f t="shared" si="36"/>
        <v>110.59200000000001</v>
      </c>
      <c r="CH240" s="1740" t="str">
        <f t="shared" si="43"/>
        <v/>
      </c>
    </row>
    <row r="241" spans="2:86" ht="15.65" customHeight="1">
      <c r="B241" s="149"/>
      <c r="C241" s="1837"/>
      <c r="D241" s="1841"/>
      <c r="E241" s="1840"/>
      <c r="F241" s="1838"/>
      <c r="G241" s="1698"/>
      <c r="S241" s="1698"/>
      <c r="T241" s="1846" t="str">
        <f t="shared" si="37"/>
        <v/>
      </c>
      <c r="U241" s="1847" t="str">
        <f t="shared" si="38"/>
        <v/>
      </c>
      <c r="V241" s="1848"/>
      <c r="W241" s="1849" t="str">
        <f t="shared" si="39"/>
        <v/>
      </c>
      <c r="X241" s="1698"/>
      <c r="AY241" s="1746" t="s">
        <v>2588</v>
      </c>
      <c r="AZ241" s="1746">
        <v>2006</v>
      </c>
      <c r="BA241" s="1746" t="s">
        <v>3099</v>
      </c>
      <c r="BB241" s="1747" t="s">
        <v>3100</v>
      </c>
      <c r="BC241" s="1746">
        <v>100</v>
      </c>
      <c r="BD241" s="1746" t="s">
        <v>2790</v>
      </c>
      <c r="BE241" s="1746"/>
      <c r="BF241" s="1746">
        <v>1654</v>
      </c>
      <c r="BG241" s="1746" t="s">
        <v>2592</v>
      </c>
      <c r="BH241" s="1744">
        <f t="shared" si="44"/>
        <v>1.6540000000000001E-3</v>
      </c>
      <c r="BI241" s="1745">
        <f t="shared" si="40"/>
        <v>1.6540000000000001E-5</v>
      </c>
      <c r="BJ241" s="1740" t="str">
        <f t="shared" si="41"/>
        <v>amps</v>
      </c>
      <c r="BK241" s="1740" t="str">
        <f t="shared" si="42"/>
        <v>Injection Vial</v>
      </c>
      <c r="BV241" s="1689" t="s">
        <v>1388</v>
      </c>
      <c r="BW241" s="1689" t="s">
        <v>1404</v>
      </c>
      <c r="BX241" s="1689" t="s">
        <v>864</v>
      </c>
      <c r="BY241" s="1689" t="s">
        <v>890</v>
      </c>
      <c r="BZ241" s="1689" t="s">
        <v>1390</v>
      </c>
      <c r="CA241" s="1689" t="s">
        <v>1411</v>
      </c>
      <c r="CB241" s="1689" t="s">
        <v>868</v>
      </c>
      <c r="CC241" s="1689"/>
      <c r="CD241" s="1689" t="s">
        <v>894</v>
      </c>
      <c r="CE241" s="1689">
        <v>10.533600000000002</v>
      </c>
      <c r="CF241" s="1689">
        <v>88.473600000000005</v>
      </c>
      <c r="CG241" s="1740">
        <f t="shared" si="36"/>
        <v>99.007200000000012</v>
      </c>
      <c r="CH241" s="1740" t="str">
        <f t="shared" si="43"/>
        <v/>
      </c>
    </row>
    <row r="242" spans="2:86" ht="15.65" customHeight="1">
      <c r="B242" s="149"/>
      <c r="C242" s="1837"/>
      <c r="D242" s="1841"/>
      <c r="E242" s="1840"/>
      <c r="F242" s="1838"/>
      <c r="G242" s="1698"/>
      <c r="S242" s="1698"/>
      <c r="T242" s="1846" t="str">
        <f t="shared" si="37"/>
        <v/>
      </c>
      <c r="U242" s="1847" t="str">
        <f t="shared" si="38"/>
        <v/>
      </c>
      <c r="V242" s="1848"/>
      <c r="W242" s="1849" t="str">
        <f t="shared" si="39"/>
        <v/>
      </c>
      <c r="X242" s="1698"/>
      <c r="AY242" s="1746" t="s">
        <v>2588</v>
      </c>
      <c r="AZ242" s="1746">
        <v>2006</v>
      </c>
      <c r="BA242" s="1746" t="s">
        <v>3101</v>
      </c>
      <c r="BB242" s="1747" t="s">
        <v>3102</v>
      </c>
      <c r="BC242" s="1746">
        <v>1</v>
      </c>
      <c r="BD242" s="1746" t="s">
        <v>2724</v>
      </c>
      <c r="BE242" s="1746"/>
      <c r="BF242" s="1746">
        <v>947700</v>
      </c>
      <c r="BG242" s="1746" t="s">
        <v>2592</v>
      </c>
      <c r="BH242" s="1744">
        <f t="shared" si="44"/>
        <v>0.94769999999999999</v>
      </c>
      <c r="BI242" s="1745">
        <f t="shared" si="40"/>
        <v>0.94769999999999999</v>
      </c>
      <c r="BJ242" s="1740" t="str">
        <f t="shared" si="41"/>
        <v>pce</v>
      </c>
      <c r="BK242" s="1740" t="str">
        <f t="shared" si="42"/>
        <v>Roll of tape/gauze</v>
      </c>
      <c r="BV242" s="1689" t="s">
        <v>1412</v>
      </c>
      <c r="BW242" s="1689" t="s">
        <v>1413</v>
      </c>
      <c r="BX242" s="1689" t="s">
        <v>889</v>
      </c>
      <c r="BY242" s="1689" t="s">
        <v>907</v>
      </c>
      <c r="BZ242" s="1689" t="s">
        <v>1414</v>
      </c>
      <c r="CA242" s="1689" t="s">
        <v>1415</v>
      </c>
      <c r="CB242" s="1689"/>
      <c r="CC242" s="1689" t="s">
        <v>1020</v>
      </c>
      <c r="CD242" s="1689" t="s">
        <v>1020</v>
      </c>
      <c r="CE242" s="1689">
        <v>12</v>
      </c>
      <c r="CF242" s="1689"/>
      <c r="CG242" s="1740">
        <f t="shared" si="36"/>
        <v>12</v>
      </c>
      <c r="CH242" s="1740" t="str">
        <f t="shared" si="43"/>
        <v/>
      </c>
    </row>
    <row r="243" spans="2:86" ht="15.65" customHeight="1">
      <c r="B243" s="149"/>
      <c r="C243" s="1837"/>
      <c r="D243" s="1841"/>
      <c r="E243" s="1840"/>
      <c r="F243" s="1838"/>
      <c r="G243" s="1698"/>
      <c r="S243" s="1698"/>
      <c r="T243" s="1846" t="str">
        <f t="shared" si="37"/>
        <v/>
      </c>
      <c r="U243" s="1847" t="str">
        <f t="shared" si="38"/>
        <v/>
      </c>
      <c r="V243" s="1848"/>
      <c r="W243" s="1849" t="str">
        <f t="shared" si="39"/>
        <v/>
      </c>
      <c r="X243" s="1698"/>
      <c r="AY243" s="1746" t="s">
        <v>2593</v>
      </c>
      <c r="AZ243" s="1746">
        <v>2008</v>
      </c>
      <c r="BA243" s="1746" t="s">
        <v>3103</v>
      </c>
      <c r="BB243" s="1747" t="s">
        <v>3104</v>
      </c>
      <c r="BC243" s="1746">
        <v>1</v>
      </c>
      <c r="BD243" s="1746" t="s">
        <v>2689</v>
      </c>
      <c r="BE243" s="1746"/>
      <c r="BF243" s="1746">
        <v>4.4000000000000002E-4</v>
      </c>
      <c r="BG243" s="1746" t="s">
        <v>2597</v>
      </c>
      <c r="BH243" s="1744">
        <f t="shared" si="44"/>
        <v>4.4000000000000002E-4</v>
      </c>
      <c r="BI243" s="1745">
        <f t="shared" si="40"/>
        <v>4.4000000000000002E-4</v>
      </c>
      <c r="BJ243" s="1740" t="str">
        <f t="shared" si="41"/>
        <v>roll</v>
      </c>
      <c r="BK243" s="1740" t="str">
        <f t="shared" si="42"/>
        <v>Roll of tape/gauze</v>
      </c>
      <c r="BV243" s="1689" t="s">
        <v>1417</v>
      </c>
      <c r="BW243" s="1689" t="s">
        <v>1418</v>
      </c>
      <c r="BX243" s="1689" t="s">
        <v>889</v>
      </c>
      <c r="BY243" s="1689" t="s">
        <v>907</v>
      </c>
      <c r="BZ243" s="1689" t="s">
        <v>1419</v>
      </c>
      <c r="CA243" s="1689"/>
      <c r="CB243" s="1689"/>
      <c r="CC243" s="1689"/>
      <c r="CD243" s="1689">
        <v>20</v>
      </c>
      <c r="CE243" s="1689">
        <v>1.58</v>
      </c>
      <c r="CF243" s="1689"/>
      <c r="CG243" s="1740">
        <f t="shared" si="36"/>
        <v>1.58</v>
      </c>
      <c r="CH243" s="1740">
        <f t="shared" si="43"/>
        <v>31.6</v>
      </c>
    </row>
    <row r="244" spans="2:86" ht="15.65" customHeight="1">
      <c r="B244" s="149"/>
      <c r="C244" s="1837"/>
      <c r="D244" s="1841"/>
      <c r="E244" s="1840"/>
      <c r="F244" s="1838"/>
      <c r="G244" s="1698"/>
      <c r="S244" s="1698"/>
      <c r="T244" s="1846" t="str">
        <f t="shared" si="37"/>
        <v/>
      </c>
      <c r="U244" s="1847" t="str">
        <f t="shared" si="38"/>
        <v/>
      </c>
      <c r="V244" s="1848"/>
      <c r="W244" s="1849" t="str">
        <f t="shared" si="39"/>
        <v/>
      </c>
      <c r="X244" s="1698"/>
      <c r="AY244" s="1746" t="s">
        <v>2588</v>
      </c>
      <c r="AZ244" s="1746">
        <v>2006</v>
      </c>
      <c r="BA244" s="1746" t="s">
        <v>3105</v>
      </c>
      <c r="BB244" s="1747" t="s">
        <v>3106</v>
      </c>
      <c r="BC244" s="1746">
        <v>1</v>
      </c>
      <c r="BD244" s="1746" t="s">
        <v>2689</v>
      </c>
      <c r="BE244" s="1746"/>
      <c r="BF244" s="1746">
        <v>327</v>
      </c>
      <c r="BG244" s="1746" t="s">
        <v>2592</v>
      </c>
      <c r="BH244" s="1744">
        <f t="shared" si="44"/>
        <v>3.2699999999999998E-4</v>
      </c>
      <c r="BI244" s="1745">
        <f t="shared" si="40"/>
        <v>3.2699999999999998E-4</v>
      </c>
      <c r="BJ244" s="1740" t="str">
        <f t="shared" si="41"/>
        <v>roll</v>
      </c>
      <c r="BK244" s="1740" t="str">
        <f t="shared" si="42"/>
        <v>Roll of tape/gauze</v>
      </c>
      <c r="BV244" s="1689" t="s">
        <v>1417</v>
      </c>
      <c r="BW244" s="1689" t="s">
        <v>1418</v>
      </c>
      <c r="BX244" s="1689" t="s">
        <v>889</v>
      </c>
      <c r="BY244" s="1689" t="s">
        <v>907</v>
      </c>
      <c r="BZ244" s="1689" t="s">
        <v>1419</v>
      </c>
      <c r="CA244" s="1689" t="s">
        <v>1421</v>
      </c>
      <c r="CB244" s="1689"/>
      <c r="CC244" s="1689" t="s">
        <v>945</v>
      </c>
      <c r="CD244" s="1689" t="s">
        <v>946</v>
      </c>
      <c r="CE244" s="1689">
        <v>91.52000000000001</v>
      </c>
      <c r="CF244" s="1689"/>
      <c r="CG244" s="1740">
        <f t="shared" si="36"/>
        <v>91.52000000000001</v>
      </c>
      <c r="CH244" s="1740" t="str">
        <f t="shared" si="43"/>
        <v/>
      </c>
    </row>
    <row r="245" spans="2:86" ht="15.65" customHeight="1">
      <c r="B245" s="149"/>
      <c r="C245" s="1837"/>
      <c r="D245" s="1841"/>
      <c r="E245" s="1840"/>
      <c r="F245" s="1838"/>
      <c r="G245" s="1698"/>
      <c r="S245" s="1698"/>
      <c r="T245" s="1846" t="str">
        <f t="shared" si="37"/>
        <v/>
      </c>
      <c r="U245" s="1847" t="str">
        <f t="shared" si="38"/>
        <v/>
      </c>
      <c r="V245" s="1848"/>
      <c r="W245" s="1849" t="str">
        <f t="shared" si="39"/>
        <v/>
      </c>
      <c r="X245" s="1698"/>
      <c r="AY245" s="1746" t="s">
        <v>2588</v>
      </c>
      <c r="AZ245" s="1746">
        <v>2006</v>
      </c>
      <c r="BA245" s="1746" t="s">
        <v>3107</v>
      </c>
      <c r="BB245" s="1747" t="s">
        <v>3108</v>
      </c>
      <c r="BC245" s="1746">
        <v>200</v>
      </c>
      <c r="BD245" s="1746" t="s">
        <v>2927</v>
      </c>
      <c r="BE245" s="1746"/>
      <c r="BF245" s="1746">
        <v>9020</v>
      </c>
      <c r="BG245" s="1746" t="s">
        <v>2592</v>
      </c>
      <c r="BH245" s="1744">
        <f t="shared" si="44"/>
        <v>9.0200000000000002E-3</v>
      </c>
      <c r="BI245" s="1745">
        <f t="shared" si="40"/>
        <v>4.5099999999999998E-5</v>
      </c>
      <c r="BJ245" s="1740" t="str">
        <f t="shared" si="41"/>
        <v>pcs</v>
      </c>
      <c r="BK245" s="1740" t="str">
        <f t="shared" si="42"/>
        <v>Medical equipment</v>
      </c>
      <c r="BV245" s="1689" t="s">
        <v>837</v>
      </c>
      <c r="BW245" s="1689" t="s">
        <v>1422</v>
      </c>
      <c r="BX245" s="1689" t="s">
        <v>864</v>
      </c>
      <c r="BY245" s="1689" t="s">
        <v>1232</v>
      </c>
      <c r="BZ245" s="1689" t="s">
        <v>1423</v>
      </c>
      <c r="CA245" s="1689" t="s">
        <v>1424</v>
      </c>
      <c r="CB245" s="1689" t="s">
        <v>868</v>
      </c>
      <c r="CC245" s="1689"/>
      <c r="CD245" s="1689">
        <v>10</v>
      </c>
      <c r="CE245" s="1689">
        <v>2.46</v>
      </c>
      <c r="CF245" s="1689">
        <v>2.85</v>
      </c>
      <c r="CG245" s="1740">
        <f t="shared" si="36"/>
        <v>5.3100000000000005</v>
      </c>
      <c r="CH245" s="1740">
        <f t="shared" si="43"/>
        <v>53.100000000000009</v>
      </c>
    </row>
    <row r="246" spans="2:86" ht="15.65" customHeight="1">
      <c r="B246" s="149"/>
      <c r="C246" s="1837"/>
      <c r="D246" s="1841"/>
      <c r="E246" s="1840"/>
      <c r="F246" s="1838"/>
      <c r="G246" s="1698"/>
      <c r="S246" s="1698"/>
      <c r="T246" s="1846" t="str">
        <f t="shared" si="37"/>
        <v/>
      </c>
      <c r="U246" s="1847" t="str">
        <f t="shared" si="38"/>
        <v/>
      </c>
      <c r="V246" s="1848"/>
      <c r="W246" s="1849" t="str">
        <f t="shared" si="39"/>
        <v/>
      </c>
      <c r="X246" s="1698"/>
      <c r="AY246" s="1746" t="s">
        <v>2593</v>
      </c>
      <c r="AZ246" s="1746">
        <v>2008</v>
      </c>
      <c r="BA246" s="1746" t="s">
        <v>3109</v>
      </c>
      <c r="BB246" s="1747" t="s">
        <v>3110</v>
      </c>
      <c r="BC246" s="1746">
        <v>1</v>
      </c>
      <c r="BD246" s="1746" t="s">
        <v>2933</v>
      </c>
      <c r="BE246" s="1746"/>
      <c r="BF246" s="1746">
        <v>0.1406</v>
      </c>
      <c r="BG246" s="1746" t="s">
        <v>2597</v>
      </c>
      <c r="BH246" s="1744">
        <f t="shared" si="44"/>
        <v>0.1406</v>
      </c>
      <c r="BI246" s="1745">
        <f t="shared" si="40"/>
        <v>0.1406</v>
      </c>
      <c r="BJ246" s="1740" t="str">
        <f t="shared" si="41"/>
        <v>piece</v>
      </c>
      <c r="BK246" s="1740" t="str">
        <f t="shared" si="42"/>
        <v>Medical equipment</v>
      </c>
      <c r="BV246" s="1689" t="s">
        <v>837</v>
      </c>
      <c r="BW246" s="1689" t="s">
        <v>1422</v>
      </c>
      <c r="BX246" s="1689" t="s">
        <v>864</v>
      </c>
      <c r="BY246" s="1689" t="s">
        <v>1232</v>
      </c>
      <c r="BZ246" s="1689" t="s">
        <v>1423</v>
      </c>
      <c r="CA246" s="1689" t="s">
        <v>1421</v>
      </c>
      <c r="CB246" s="1689" t="s">
        <v>1253</v>
      </c>
      <c r="CC246" s="1689" t="s">
        <v>945</v>
      </c>
      <c r="CD246" s="1689" t="s">
        <v>946</v>
      </c>
      <c r="CE246" s="1689">
        <v>72</v>
      </c>
      <c r="CF246" s="1689"/>
      <c r="CG246" s="1740">
        <f t="shared" si="36"/>
        <v>72</v>
      </c>
      <c r="CH246" s="1740" t="str">
        <f t="shared" si="43"/>
        <v/>
      </c>
    </row>
    <row r="247" spans="2:86" ht="15.65" customHeight="1">
      <c r="B247" s="149"/>
      <c r="C247" s="1837"/>
      <c r="D247" s="1841"/>
      <c r="E247" s="1840"/>
      <c r="F247" s="1838"/>
      <c r="G247" s="1698"/>
      <c r="S247" s="1698"/>
      <c r="T247" s="1846" t="str">
        <f t="shared" si="37"/>
        <v/>
      </c>
      <c r="U247" s="1847" t="str">
        <f t="shared" si="38"/>
        <v/>
      </c>
      <c r="V247" s="1848"/>
      <c r="W247" s="1849" t="str">
        <f t="shared" si="39"/>
        <v/>
      </c>
      <c r="X247" s="1698"/>
      <c r="AY247" s="1746" t="s">
        <v>2588</v>
      </c>
      <c r="AZ247" s="1746">
        <v>2006</v>
      </c>
      <c r="BA247" s="1746" t="s">
        <v>3111</v>
      </c>
      <c r="BB247" s="1747" t="s">
        <v>3112</v>
      </c>
      <c r="BC247" s="1746">
        <v>100</v>
      </c>
      <c r="BD247" s="1746" t="s">
        <v>2615</v>
      </c>
      <c r="BE247" s="1746"/>
      <c r="BF247" s="1746">
        <v>195</v>
      </c>
      <c r="BG247" s="1746" t="s">
        <v>2592</v>
      </c>
      <c r="BH247" s="1744">
        <f t="shared" si="44"/>
        <v>1.95E-4</v>
      </c>
      <c r="BI247" s="1745">
        <f t="shared" si="40"/>
        <v>1.95E-6</v>
      </c>
      <c r="BJ247" s="1740" t="str">
        <f t="shared" si="41"/>
        <v>tabs</v>
      </c>
      <c r="BK247" s="1740" t="str">
        <f t="shared" si="42"/>
        <v>Bottle of Tablets</v>
      </c>
      <c r="BV247" s="1689" t="s">
        <v>837</v>
      </c>
      <c r="BW247" s="1689" t="s">
        <v>1422</v>
      </c>
      <c r="BX247" s="1689" t="s">
        <v>864</v>
      </c>
      <c r="BY247" s="1689" t="s">
        <v>1232</v>
      </c>
      <c r="BZ247" s="1689" t="s">
        <v>837</v>
      </c>
      <c r="CA247" s="1689" t="s">
        <v>1426</v>
      </c>
      <c r="CB247" s="1689" t="s">
        <v>868</v>
      </c>
      <c r="CC247" s="1689"/>
      <c r="CD247" s="1689">
        <v>5</v>
      </c>
      <c r="CE247" s="1689">
        <v>6.31</v>
      </c>
      <c r="CF247" s="1689">
        <v>7</v>
      </c>
      <c r="CG247" s="1740">
        <f t="shared" si="36"/>
        <v>13.309999999999999</v>
      </c>
      <c r="CH247" s="1740">
        <f t="shared" si="43"/>
        <v>66.55</v>
      </c>
    </row>
    <row r="248" spans="2:86" ht="15.65" customHeight="1">
      <c r="B248" s="149"/>
      <c r="C248" s="1837"/>
      <c r="D248" s="1841"/>
      <c r="E248" s="1840"/>
      <c r="F248" s="1838"/>
      <c r="G248" s="1698"/>
      <c r="S248" s="1698"/>
      <c r="T248" s="1846" t="str">
        <f t="shared" si="37"/>
        <v/>
      </c>
      <c r="U248" s="1847" t="str">
        <f t="shared" si="38"/>
        <v/>
      </c>
      <c r="V248" s="1848"/>
      <c r="W248" s="1849" t="str">
        <f t="shared" si="39"/>
        <v/>
      </c>
      <c r="X248" s="1698"/>
      <c r="AY248" s="1746" t="s">
        <v>2593</v>
      </c>
      <c r="AZ248" s="1746">
        <v>2008</v>
      </c>
      <c r="BA248" s="1746" t="s">
        <v>3113</v>
      </c>
      <c r="BB248" s="1747" t="s">
        <v>3114</v>
      </c>
      <c r="BC248" s="1746">
        <v>100</v>
      </c>
      <c r="BD248" s="1746" t="s">
        <v>2601</v>
      </c>
      <c r="BE248" s="1746"/>
      <c r="BF248" s="1746">
        <v>2.2000000000000001E-4</v>
      </c>
      <c r="BG248" s="1746" t="s">
        <v>2597</v>
      </c>
      <c r="BH248" s="1744">
        <f t="shared" si="44"/>
        <v>2.2000000000000001E-4</v>
      </c>
      <c r="BI248" s="1745">
        <f t="shared" si="40"/>
        <v>2.2000000000000001E-6</v>
      </c>
      <c r="BJ248" s="1740" t="str">
        <f t="shared" si="41"/>
        <v>tablets</v>
      </c>
      <c r="BK248" s="1740" t="str">
        <f t="shared" si="42"/>
        <v>Bottle of Tablets</v>
      </c>
      <c r="BV248" s="1689" t="s">
        <v>837</v>
      </c>
      <c r="BW248" s="1689" t="s">
        <v>1422</v>
      </c>
      <c r="BX248" s="1689" t="s">
        <v>864</v>
      </c>
      <c r="BY248" s="1689" t="s">
        <v>1232</v>
      </c>
      <c r="BZ248" s="1689" t="s">
        <v>837</v>
      </c>
      <c r="CA248" s="1689" t="s">
        <v>1428</v>
      </c>
      <c r="CB248" s="1689" t="s">
        <v>868</v>
      </c>
      <c r="CC248" s="1689"/>
      <c r="CD248" s="1689">
        <v>10</v>
      </c>
      <c r="CE248" s="1689">
        <v>2.96</v>
      </c>
      <c r="CF248" s="1689">
        <v>6</v>
      </c>
      <c r="CG248" s="1740">
        <f t="shared" si="36"/>
        <v>8.9600000000000009</v>
      </c>
      <c r="CH248" s="1740">
        <f t="shared" si="43"/>
        <v>89.600000000000009</v>
      </c>
    </row>
    <row r="249" spans="2:86" ht="15.65" customHeight="1">
      <c r="B249" s="149"/>
      <c r="C249" s="1837"/>
      <c r="D249" s="1841"/>
      <c r="E249" s="1840"/>
      <c r="F249" s="1838"/>
      <c r="G249" s="1698"/>
      <c r="S249" s="1698"/>
      <c r="T249" s="1846" t="str">
        <f t="shared" si="37"/>
        <v/>
      </c>
      <c r="U249" s="1847" t="str">
        <f t="shared" si="38"/>
        <v/>
      </c>
      <c r="V249" s="1848"/>
      <c r="W249" s="1849" t="str">
        <f t="shared" si="39"/>
        <v/>
      </c>
      <c r="X249" s="1698"/>
      <c r="AY249" s="1746" t="s">
        <v>2593</v>
      </c>
      <c r="AZ249" s="1746">
        <v>2008</v>
      </c>
      <c r="BA249" s="1746" t="s">
        <v>3115</v>
      </c>
      <c r="BB249" s="1747" t="s">
        <v>3116</v>
      </c>
      <c r="BC249" s="1746">
        <v>1</v>
      </c>
      <c r="BD249" s="1746" t="s">
        <v>2596</v>
      </c>
      <c r="BE249" s="1746"/>
      <c r="BF249" s="1746">
        <v>1.2E-4</v>
      </c>
      <c r="BG249" s="1746" t="s">
        <v>2597</v>
      </c>
      <c r="BH249" s="1744">
        <f t="shared" si="44"/>
        <v>1.2E-4</v>
      </c>
      <c r="BI249" s="1745">
        <f t="shared" si="40"/>
        <v>1.2E-4</v>
      </c>
      <c r="BJ249" s="1740" t="str">
        <f t="shared" si="41"/>
        <v>bottle</v>
      </c>
      <c r="BK249" s="1740" t="str">
        <f t="shared" si="42"/>
        <v>Bottle of Liquid</v>
      </c>
      <c r="BV249" s="1689" t="s">
        <v>837</v>
      </c>
      <c r="BW249" s="1689" t="s">
        <v>1422</v>
      </c>
      <c r="BX249" s="1689" t="s">
        <v>864</v>
      </c>
      <c r="BY249" s="1689" t="s">
        <v>1232</v>
      </c>
      <c r="BZ249" s="1689" t="s">
        <v>837</v>
      </c>
      <c r="CA249" s="1689" t="s">
        <v>1430</v>
      </c>
      <c r="CB249" s="1689" t="s">
        <v>868</v>
      </c>
      <c r="CC249" s="1689"/>
      <c r="CD249" s="1689">
        <v>50</v>
      </c>
      <c r="CE249" s="1689">
        <v>0.63</v>
      </c>
      <c r="CF249" s="1689">
        <v>3</v>
      </c>
      <c r="CG249" s="1740">
        <f t="shared" si="36"/>
        <v>3.63</v>
      </c>
      <c r="CH249" s="1740">
        <f t="shared" si="43"/>
        <v>181.5</v>
      </c>
    </row>
    <row r="250" spans="2:86" ht="15.65" customHeight="1">
      <c r="B250" s="149"/>
      <c r="C250" s="1837"/>
      <c r="D250" s="1841"/>
      <c r="E250" s="1840"/>
      <c r="F250" s="1838"/>
      <c r="G250" s="1698"/>
      <c r="S250" s="1698"/>
      <c r="T250" s="1846" t="str">
        <f t="shared" si="37"/>
        <v/>
      </c>
      <c r="U250" s="1847" t="str">
        <f t="shared" si="38"/>
        <v/>
      </c>
      <c r="V250" s="1848"/>
      <c r="W250" s="1849" t="str">
        <f t="shared" si="39"/>
        <v/>
      </c>
      <c r="X250" s="1698"/>
      <c r="AY250" s="1746" t="s">
        <v>2593</v>
      </c>
      <c r="AZ250" s="1746">
        <v>2008</v>
      </c>
      <c r="BA250" s="1746" t="s">
        <v>3117</v>
      </c>
      <c r="BB250" s="1747" t="s">
        <v>3118</v>
      </c>
      <c r="BC250" s="1746">
        <v>6</v>
      </c>
      <c r="BD250" s="1746" t="s">
        <v>2601</v>
      </c>
      <c r="BE250" s="1746"/>
      <c r="BF250" s="1746">
        <v>6.9999999999999994E-5</v>
      </c>
      <c r="BG250" s="1746" t="s">
        <v>2597</v>
      </c>
      <c r="BH250" s="1744">
        <f t="shared" si="44"/>
        <v>6.9999999999999994E-5</v>
      </c>
      <c r="BI250" s="1745">
        <f t="shared" si="40"/>
        <v>1.1666666666666666E-5</v>
      </c>
      <c r="BJ250" s="1740" t="str">
        <f t="shared" si="41"/>
        <v>tablets</v>
      </c>
      <c r="BK250" s="1740" t="str">
        <f t="shared" si="42"/>
        <v>Bottle of Tablets</v>
      </c>
      <c r="BV250" s="1689" t="s">
        <v>837</v>
      </c>
      <c r="BW250" s="1689" t="s">
        <v>1422</v>
      </c>
      <c r="BX250" s="1689" t="s">
        <v>864</v>
      </c>
      <c r="BY250" s="1689" t="s">
        <v>1232</v>
      </c>
      <c r="BZ250" s="1689" t="s">
        <v>1432</v>
      </c>
      <c r="CA250" s="1689" t="s">
        <v>1433</v>
      </c>
      <c r="CB250" s="1689" t="s">
        <v>868</v>
      </c>
      <c r="CC250" s="1689"/>
      <c r="CD250" s="1689">
        <v>5</v>
      </c>
      <c r="CE250" s="1689">
        <v>2.8</v>
      </c>
      <c r="CF250" s="1689">
        <v>7</v>
      </c>
      <c r="CG250" s="1740">
        <f t="shared" si="36"/>
        <v>9.8000000000000007</v>
      </c>
      <c r="CH250" s="1740">
        <f t="shared" si="43"/>
        <v>49</v>
      </c>
    </row>
    <row r="251" spans="2:86" ht="15.65" customHeight="1">
      <c r="B251" s="149"/>
      <c r="C251" s="1837"/>
      <c r="D251" s="1841"/>
      <c r="E251" s="1840"/>
      <c r="F251" s="1838"/>
      <c r="G251" s="1698"/>
      <c r="S251" s="1698"/>
      <c r="T251" s="1846" t="str">
        <f t="shared" si="37"/>
        <v/>
      </c>
      <c r="U251" s="1847" t="str">
        <f t="shared" si="38"/>
        <v/>
      </c>
      <c r="V251" s="1848"/>
      <c r="W251" s="1849" t="str">
        <f t="shared" si="39"/>
        <v/>
      </c>
      <c r="X251" s="1698"/>
      <c r="AY251" s="1746" t="s">
        <v>2575</v>
      </c>
      <c r="AZ251" s="1746">
        <v>2008</v>
      </c>
      <c r="BA251" s="1746" t="s">
        <v>3119</v>
      </c>
      <c r="BB251" s="1747" t="s">
        <v>3120</v>
      </c>
      <c r="BC251" s="1746" t="s">
        <v>2578</v>
      </c>
      <c r="BD251" s="1746" t="s">
        <v>2638</v>
      </c>
      <c r="BE251" s="1746" t="s">
        <v>3121</v>
      </c>
      <c r="BF251" s="1746">
        <v>0.04</v>
      </c>
      <c r="BG251" s="1746" t="s">
        <v>2581</v>
      </c>
      <c r="BH251" s="1744">
        <f t="shared" si="44"/>
        <v>4.0000000000000003E-5</v>
      </c>
      <c r="BI251" s="1745" t="str">
        <f t="shared" si="40"/>
        <v/>
      </c>
      <c r="BJ251" s="1740" t="str">
        <f t="shared" si="41"/>
        <v>PAC-Other antibacterials</v>
      </c>
      <c r="BK251" s="1740" t="str">
        <f t="shared" si="42"/>
        <v>Bottle of Tablets</v>
      </c>
      <c r="BV251" s="1689" t="s">
        <v>837</v>
      </c>
      <c r="BW251" s="1689" t="s">
        <v>1422</v>
      </c>
      <c r="BX251" s="1689" t="s">
        <v>864</v>
      </c>
      <c r="BY251" s="1689" t="s">
        <v>1232</v>
      </c>
      <c r="BZ251" s="1689" t="s">
        <v>1432</v>
      </c>
      <c r="CA251" s="1689" t="s">
        <v>1436</v>
      </c>
      <c r="CB251" s="1689" t="s">
        <v>868</v>
      </c>
      <c r="CC251" s="1689"/>
      <c r="CD251" s="1689">
        <v>20</v>
      </c>
      <c r="CE251" s="1689">
        <v>0.7</v>
      </c>
      <c r="CF251" s="1689">
        <v>3</v>
      </c>
      <c r="CG251" s="1740">
        <f t="shared" si="36"/>
        <v>3.7</v>
      </c>
      <c r="CH251" s="1740">
        <f t="shared" si="43"/>
        <v>74</v>
      </c>
    </row>
    <row r="252" spans="2:86" ht="15.65" customHeight="1">
      <c r="B252" s="149"/>
      <c r="C252" s="1837"/>
      <c r="D252" s="1841"/>
      <c r="E252" s="1840"/>
      <c r="F252" s="1838"/>
      <c r="G252" s="1698"/>
      <c r="S252" s="1698"/>
      <c r="T252" s="1846" t="str">
        <f t="shared" si="37"/>
        <v/>
      </c>
      <c r="U252" s="1847" t="str">
        <f t="shared" si="38"/>
        <v/>
      </c>
      <c r="V252" s="1848"/>
      <c r="W252" s="1849" t="str">
        <f t="shared" si="39"/>
        <v/>
      </c>
      <c r="X252" s="1698"/>
      <c r="AY252" s="1746" t="s">
        <v>2575</v>
      </c>
      <c r="AZ252" s="1746">
        <v>2008</v>
      </c>
      <c r="BA252" s="1746" t="s">
        <v>3122</v>
      </c>
      <c r="BB252" s="1747" t="s">
        <v>3123</v>
      </c>
      <c r="BC252" s="1746" t="s">
        <v>2578</v>
      </c>
      <c r="BD252" s="1746" t="s">
        <v>2775</v>
      </c>
      <c r="BE252" s="1746" t="s">
        <v>3121</v>
      </c>
      <c r="BF252" s="1746">
        <v>466.66699999999997</v>
      </c>
      <c r="BG252" s="1746" t="s">
        <v>2592</v>
      </c>
      <c r="BH252" s="1744">
        <f t="shared" si="44"/>
        <v>4.6666699999999998E-4</v>
      </c>
      <c r="BI252" s="1745" t="str">
        <f t="shared" si="40"/>
        <v/>
      </c>
      <c r="BJ252" s="1740" t="str">
        <f t="shared" si="41"/>
        <v>BOT-Other antibacterials</v>
      </c>
      <c r="BK252" s="1740" t="str">
        <f t="shared" si="42"/>
        <v>Bottle of Liquid</v>
      </c>
      <c r="BV252" s="1689" t="s">
        <v>837</v>
      </c>
      <c r="BW252" s="1689" t="s">
        <v>1422</v>
      </c>
      <c r="BX252" s="1689" t="s">
        <v>864</v>
      </c>
      <c r="BY252" s="1689" t="s">
        <v>1232</v>
      </c>
      <c r="BZ252" s="1689" t="s">
        <v>1432</v>
      </c>
      <c r="CA252" s="1689" t="s">
        <v>1438</v>
      </c>
      <c r="CB252" s="1689" t="s">
        <v>868</v>
      </c>
      <c r="CC252" s="1689"/>
      <c r="CD252" s="1689">
        <v>10</v>
      </c>
      <c r="CE252" s="1689">
        <v>1.4</v>
      </c>
      <c r="CF252" s="1689">
        <v>6</v>
      </c>
      <c r="CG252" s="1740">
        <f t="shared" si="36"/>
        <v>7.4</v>
      </c>
      <c r="CH252" s="1740">
        <f t="shared" si="43"/>
        <v>74</v>
      </c>
    </row>
    <row r="253" spans="2:86" ht="15.65" customHeight="1">
      <c r="B253" s="149"/>
      <c r="C253" s="1837"/>
      <c r="D253" s="1841"/>
      <c r="E253" s="1840"/>
      <c r="F253" s="1838"/>
      <c r="G253" s="1698"/>
      <c r="S253" s="1698"/>
      <c r="T253" s="1846" t="str">
        <f t="shared" si="37"/>
        <v/>
      </c>
      <c r="U253" s="1847" t="str">
        <f t="shared" si="38"/>
        <v/>
      </c>
      <c r="V253" s="1848"/>
      <c r="W253" s="1849" t="str">
        <f t="shared" si="39"/>
        <v/>
      </c>
      <c r="X253" s="1698"/>
      <c r="AY253" s="1746" t="s">
        <v>2588</v>
      </c>
      <c r="AZ253" s="1746">
        <v>2006</v>
      </c>
      <c r="BA253" s="1746" t="s">
        <v>3124</v>
      </c>
      <c r="BB253" s="1747" t="s">
        <v>3125</v>
      </c>
      <c r="BC253" s="1746">
        <v>120</v>
      </c>
      <c r="BD253" s="1746" t="s">
        <v>2836</v>
      </c>
      <c r="BE253" s="1746"/>
      <c r="BF253" s="1746">
        <v>16.440000000000001</v>
      </c>
      <c r="BG253" s="1746" t="s">
        <v>2592</v>
      </c>
      <c r="BH253" s="1744">
        <f t="shared" si="44"/>
        <v>1.6440000000000002E-5</v>
      </c>
      <c r="BI253" s="1745">
        <f t="shared" si="40"/>
        <v>1.3700000000000002E-7</v>
      </c>
      <c r="BJ253" s="1740" t="str">
        <f t="shared" si="41"/>
        <v>btls</v>
      </c>
      <c r="BK253" s="1740" t="str">
        <f t="shared" si="42"/>
        <v>Bottle of Liquid</v>
      </c>
      <c r="BV253" s="1689" t="s">
        <v>837</v>
      </c>
      <c r="BW253" s="1689" t="s">
        <v>1422</v>
      </c>
      <c r="BX253" s="1689" t="s">
        <v>864</v>
      </c>
      <c r="BY253" s="1689" t="s">
        <v>1232</v>
      </c>
      <c r="BZ253" s="1689" t="s">
        <v>837</v>
      </c>
      <c r="CA253" s="1689" t="s">
        <v>1440</v>
      </c>
      <c r="CB253" s="1689" t="s">
        <v>868</v>
      </c>
      <c r="CC253" s="1689"/>
      <c r="CD253" s="1689">
        <v>2</v>
      </c>
      <c r="CE253" s="1689">
        <v>7.2</v>
      </c>
      <c r="CF253" s="1689">
        <v>7</v>
      </c>
      <c r="CG253" s="1740">
        <f t="shared" si="36"/>
        <v>14.2</v>
      </c>
      <c r="CH253" s="1740">
        <f t="shared" si="43"/>
        <v>28.4</v>
      </c>
    </row>
    <row r="254" spans="2:86" ht="15.65" customHeight="1">
      <c r="B254" s="149"/>
      <c r="C254" s="1837"/>
      <c r="D254" s="1841"/>
      <c r="E254" s="1840"/>
      <c r="F254" s="1838"/>
      <c r="G254" s="1698"/>
      <c r="S254" s="1698"/>
      <c r="T254" s="1846" t="str">
        <f t="shared" si="37"/>
        <v/>
      </c>
      <c r="U254" s="1847" t="str">
        <f t="shared" si="38"/>
        <v/>
      </c>
      <c r="V254" s="1848"/>
      <c r="W254" s="1849" t="str">
        <f t="shared" si="39"/>
        <v/>
      </c>
      <c r="X254" s="1698"/>
      <c r="AY254" s="1746" t="s">
        <v>2588</v>
      </c>
      <c r="AZ254" s="1746">
        <v>2006</v>
      </c>
      <c r="BA254" s="1746" t="s">
        <v>3126</v>
      </c>
      <c r="BB254" s="1747" t="s">
        <v>3127</v>
      </c>
      <c r="BC254" s="1746">
        <v>6</v>
      </c>
      <c r="BD254" s="1746" t="s">
        <v>2839</v>
      </c>
      <c r="BE254" s="1746"/>
      <c r="BF254" s="1746">
        <v>195</v>
      </c>
      <c r="BG254" s="1746" t="s">
        <v>2592</v>
      </c>
      <c r="BH254" s="1744">
        <f t="shared" si="44"/>
        <v>1.95E-4</v>
      </c>
      <c r="BI254" s="1745">
        <f t="shared" si="40"/>
        <v>3.2499999999999997E-5</v>
      </c>
      <c r="BJ254" s="1740" t="str">
        <f t="shared" si="41"/>
        <v>caps</v>
      </c>
      <c r="BK254" s="1740" t="str">
        <f t="shared" si="42"/>
        <v>Bottle of Tablets</v>
      </c>
      <c r="BV254" s="1689" t="s">
        <v>837</v>
      </c>
      <c r="BW254" s="1689" t="s">
        <v>1422</v>
      </c>
      <c r="BX254" s="1689" t="s">
        <v>864</v>
      </c>
      <c r="BY254" s="1689" t="s">
        <v>1232</v>
      </c>
      <c r="BZ254" s="1689" t="s">
        <v>837</v>
      </c>
      <c r="CA254" s="1689" t="s">
        <v>1440</v>
      </c>
      <c r="CB254" s="1689" t="s">
        <v>868</v>
      </c>
      <c r="CC254" s="1689"/>
      <c r="CD254" s="1689">
        <v>5</v>
      </c>
      <c r="CE254" s="1689">
        <v>6</v>
      </c>
      <c r="CF254" s="1689">
        <v>6</v>
      </c>
      <c r="CG254" s="1740">
        <f t="shared" si="36"/>
        <v>12</v>
      </c>
      <c r="CH254" s="1740">
        <f t="shared" si="43"/>
        <v>60</v>
      </c>
    </row>
    <row r="255" spans="2:86" ht="15.65" customHeight="1">
      <c r="B255" s="149"/>
      <c r="C255" s="1837"/>
      <c r="D255" s="1841"/>
      <c r="E255" s="1840"/>
      <c r="F255" s="1838"/>
      <c r="G255" s="1698"/>
      <c r="S255" s="1698"/>
      <c r="T255" s="1846" t="str">
        <f t="shared" si="37"/>
        <v/>
      </c>
      <c r="U255" s="1847" t="str">
        <f t="shared" si="38"/>
        <v/>
      </c>
      <c r="V255" s="1848"/>
      <c r="W255" s="1849" t="str">
        <f t="shared" si="39"/>
        <v/>
      </c>
      <c r="X255" s="1698"/>
      <c r="AY255" s="1746" t="s">
        <v>2575</v>
      </c>
      <c r="AZ255" s="1746">
        <v>2008</v>
      </c>
      <c r="BA255" s="1746" t="s">
        <v>3128</v>
      </c>
      <c r="BB255" s="1747" t="s">
        <v>3129</v>
      </c>
      <c r="BC255" s="1746" t="s">
        <v>2578</v>
      </c>
      <c r="BD255" s="1746" t="s">
        <v>2579</v>
      </c>
      <c r="BE255" s="1746" t="s">
        <v>3130</v>
      </c>
      <c r="BF255" s="1746">
        <v>0.68600000000000005</v>
      </c>
      <c r="BG255" s="1746" t="s">
        <v>2581</v>
      </c>
      <c r="BH255" s="1744">
        <f t="shared" si="44"/>
        <v>6.8600000000000009E-4</v>
      </c>
      <c r="BI255" s="1745" t="str">
        <f t="shared" si="40"/>
        <v/>
      </c>
      <c r="BJ255" s="1740" t="str">
        <f t="shared" si="41"/>
        <v>EA-Plastic utensils</v>
      </c>
      <c r="BK255" s="1740" t="str">
        <f t="shared" si="42"/>
        <v>Medical equipment</v>
      </c>
      <c r="BV255" s="1689" t="s">
        <v>837</v>
      </c>
      <c r="BW255" s="1689" t="s">
        <v>1422</v>
      </c>
      <c r="BX255" s="1689" t="s">
        <v>864</v>
      </c>
      <c r="BY255" s="1689" t="s">
        <v>1232</v>
      </c>
      <c r="BZ255" s="1689" t="s">
        <v>837</v>
      </c>
      <c r="CA255" s="1689" t="s">
        <v>1440</v>
      </c>
      <c r="CB255" s="1689" t="s">
        <v>868</v>
      </c>
      <c r="CC255" s="1689"/>
      <c r="CD255" s="1689">
        <v>10</v>
      </c>
      <c r="CE255" s="1689">
        <v>3.6</v>
      </c>
      <c r="CF255" s="1689">
        <v>3.6</v>
      </c>
      <c r="CG255" s="1740">
        <f t="shared" si="36"/>
        <v>7.2</v>
      </c>
      <c r="CH255" s="1740">
        <f t="shared" si="43"/>
        <v>72</v>
      </c>
    </row>
    <row r="256" spans="2:86" ht="15.65" customHeight="1">
      <c r="B256" s="149"/>
      <c r="C256" s="1837"/>
      <c r="D256" s="1841"/>
      <c r="E256" s="1840"/>
      <c r="F256" s="1838"/>
      <c r="G256" s="1698"/>
      <c r="S256" s="1698"/>
      <c r="T256" s="1846" t="str">
        <f t="shared" si="37"/>
        <v/>
      </c>
      <c r="U256" s="1847" t="str">
        <f t="shared" si="38"/>
        <v/>
      </c>
      <c r="V256" s="1848"/>
      <c r="W256" s="1849" t="str">
        <f t="shared" si="39"/>
        <v/>
      </c>
      <c r="X256" s="1698"/>
      <c r="AY256" s="1746" t="s">
        <v>2575</v>
      </c>
      <c r="AZ256" s="1746">
        <v>2008</v>
      </c>
      <c r="BA256" s="1746" t="s">
        <v>3131</v>
      </c>
      <c r="BB256" s="1747" t="s">
        <v>3132</v>
      </c>
      <c r="BC256" s="1746" t="s">
        <v>2578</v>
      </c>
      <c r="BD256" s="1746" t="s">
        <v>2579</v>
      </c>
      <c r="BE256" s="1746" t="s">
        <v>3133</v>
      </c>
      <c r="BF256" s="1746">
        <v>30.856000000000002</v>
      </c>
      <c r="BG256" s="1746" t="s">
        <v>2581</v>
      </c>
      <c r="BH256" s="1744">
        <f t="shared" si="44"/>
        <v>3.0856000000000001E-2</v>
      </c>
      <c r="BI256" s="1745" t="str">
        <f t="shared" si="40"/>
        <v/>
      </c>
      <c r="BJ256" s="1740" t="str">
        <f t="shared" si="41"/>
        <v>EA-Misc. renew. plastic</v>
      </c>
      <c r="BK256" s="1740" t="str">
        <f t="shared" si="42"/>
        <v>Medical equipment</v>
      </c>
      <c r="BV256" s="1689" t="s">
        <v>1445</v>
      </c>
      <c r="BW256" s="1689" t="s">
        <v>1446</v>
      </c>
      <c r="BX256" s="1689" t="s">
        <v>864</v>
      </c>
      <c r="BY256" s="1689" t="s">
        <v>1232</v>
      </c>
      <c r="BZ256" s="1689"/>
      <c r="CA256" s="1689" t="s">
        <v>1320</v>
      </c>
      <c r="CB256" s="1689" t="s">
        <v>868</v>
      </c>
      <c r="CC256" s="1689"/>
      <c r="CD256" s="1689">
        <v>1</v>
      </c>
      <c r="CE256" s="1689">
        <v>26.11</v>
      </c>
      <c r="CF256" s="1689">
        <v>26.11</v>
      </c>
      <c r="CG256" s="1740">
        <f t="shared" si="36"/>
        <v>52.22</v>
      </c>
      <c r="CH256" s="1740">
        <f t="shared" si="43"/>
        <v>52.22</v>
      </c>
    </row>
    <row r="257" spans="2:86" ht="15.65" customHeight="1">
      <c r="B257" s="149"/>
      <c r="C257" s="1837"/>
      <c r="D257" s="1841"/>
      <c r="E257" s="1840"/>
      <c r="F257" s="1838"/>
      <c r="G257" s="1698"/>
      <c r="S257" s="1698"/>
      <c r="T257" s="1846" t="str">
        <f t="shared" si="37"/>
        <v/>
      </c>
      <c r="U257" s="1847" t="str">
        <f t="shared" si="38"/>
        <v/>
      </c>
      <c r="V257" s="1848"/>
      <c r="W257" s="1849" t="str">
        <f t="shared" si="39"/>
        <v/>
      </c>
      <c r="X257" s="1698"/>
      <c r="AY257" s="1746" t="s">
        <v>2588</v>
      </c>
      <c r="AZ257" s="1746">
        <v>2006</v>
      </c>
      <c r="BA257" s="1746" t="s">
        <v>3134</v>
      </c>
      <c r="BB257" s="1747" t="s">
        <v>3135</v>
      </c>
      <c r="BC257" s="1746">
        <v>10</v>
      </c>
      <c r="BD257" s="1746" t="s">
        <v>2927</v>
      </c>
      <c r="BE257" s="1746"/>
      <c r="BF257" s="1746">
        <v>1418.3</v>
      </c>
      <c r="BG257" s="1746" t="s">
        <v>2592</v>
      </c>
      <c r="BH257" s="1744">
        <f t="shared" si="44"/>
        <v>1.4182999999999999E-3</v>
      </c>
      <c r="BI257" s="1745">
        <f t="shared" si="40"/>
        <v>1.4182999999999999E-4</v>
      </c>
      <c r="BJ257" s="1740" t="str">
        <f t="shared" si="41"/>
        <v>pcs</v>
      </c>
      <c r="BK257" s="1740" t="str">
        <f t="shared" si="42"/>
        <v>Medical equipment</v>
      </c>
      <c r="BV257" s="1689" t="s">
        <v>1445</v>
      </c>
      <c r="BW257" s="1689" t="s">
        <v>1446</v>
      </c>
      <c r="BX257" s="1689" t="s">
        <v>864</v>
      </c>
      <c r="BY257" s="1689" t="s">
        <v>1232</v>
      </c>
      <c r="BZ257" s="1689"/>
      <c r="CA257" s="1689" t="s">
        <v>1320</v>
      </c>
      <c r="CB257" s="1689" t="s">
        <v>868</v>
      </c>
      <c r="CC257" s="1689"/>
      <c r="CD257" s="1689">
        <v>2</v>
      </c>
      <c r="CE257" s="1689">
        <v>13.1</v>
      </c>
      <c r="CF257" s="1689">
        <v>13.1</v>
      </c>
      <c r="CG257" s="1740">
        <f t="shared" si="36"/>
        <v>26.2</v>
      </c>
      <c r="CH257" s="1740">
        <f t="shared" si="43"/>
        <v>52.4</v>
      </c>
    </row>
    <row r="258" spans="2:86" ht="15.65" customHeight="1">
      <c r="B258" s="149"/>
      <c r="C258" s="1837"/>
      <c r="D258" s="1841"/>
      <c r="E258" s="1840"/>
      <c r="F258" s="1838"/>
      <c r="G258" s="1698"/>
      <c r="S258" s="1698"/>
      <c r="T258" s="1846" t="str">
        <f t="shared" si="37"/>
        <v/>
      </c>
      <c r="U258" s="1847" t="str">
        <f t="shared" si="38"/>
        <v/>
      </c>
      <c r="V258" s="1848"/>
      <c r="W258" s="1849" t="str">
        <f t="shared" si="39"/>
        <v/>
      </c>
      <c r="X258" s="1698"/>
      <c r="AY258" s="1746" t="s">
        <v>2588</v>
      </c>
      <c r="AZ258" s="1746">
        <v>2006</v>
      </c>
      <c r="BA258" s="1746" t="s">
        <v>3136</v>
      </c>
      <c r="BB258" s="1747" t="s">
        <v>3137</v>
      </c>
      <c r="BC258" s="1746">
        <v>10</v>
      </c>
      <c r="BD258" s="1746" t="s">
        <v>2927</v>
      </c>
      <c r="BE258" s="1746"/>
      <c r="BF258" s="1746">
        <v>889</v>
      </c>
      <c r="BG258" s="1746" t="s">
        <v>2592</v>
      </c>
      <c r="BH258" s="1744">
        <f t="shared" si="44"/>
        <v>8.8900000000000003E-4</v>
      </c>
      <c r="BI258" s="1745">
        <f t="shared" si="40"/>
        <v>8.8900000000000006E-5</v>
      </c>
      <c r="BJ258" s="1740" t="str">
        <f t="shared" si="41"/>
        <v>pcs</v>
      </c>
      <c r="BK258" s="1740" t="str">
        <f t="shared" si="42"/>
        <v>Medical equipment</v>
      </c>
      <c r="BV258" s="1689" t="s">
        <v>1445</v>
      </c>
      <c r="BW258" s="1689" t="s">
        <v>1446</v>
      </c>
      <c r="BX258" s="1689" t="s">
        <v>864</v>
      </c>
      <c r="BY258" s="1689" t="s">
        <v>1232</v>
      </c>
      <c r="BZ258" s="1689"/>
      <c r="CA258" s="1689" t="s">
        <v>1320</v>
      </c>
      <c r="CB258" s="1689" t="s">
        <v>868</v>
      </c>
      <c r="CC258" s="1689"/>
      <c r="CD258" s="1689">
        <v>5</v>
      </c>
      <c r="CE258" s="1689">
        <v>5.22</v>
      </c>
      <c r="CF258" s="1689">
        <v>5.22</v>
      </c>
      <c r="CG258" s="1740">
        <f t="shared" si="36"/>
        <v>10.44</v>
      </c>
      <c r="CH258" s="1740">
        <f t="shared" si="43"/>
        <v>52.199999999999996</v>
      </c>
    </row>
    <row r="259" spans="2:86" ht="15.65" customHeight="1">
      <c r="B259" s="149"/>
      <c r="C259" s="1837"/>
      <c r="D259" s="1841"/>
      <c r="E259" s="1840"/>
      <c r="F259" s="1838"/>
      <c r="G259" s="1698"/>
      <c r="S259" s="1698"/>
      <c r="T259" s="1846" t="str">
        <f t="shared" si="37"/>
        <v/>
      </c>
      <c r="U259" s="1847" t="str">
        <f t="shared" si="38"/>
        <v/>
      </c>
      <c r="V259" s="1848"/>
      <c r="W259" s="1849" t="str">
        <f t="shared" si="39"/>
        <v/>
      </c>
      <c r="X259" s="1698"/>
      <c r="AY259" s="1746" t="s">
        <v>2588</v>
      </c>
      <c r="AZ259" s="1746">
        <v>2006</v>
      </c>
      <c r="BA259" s="1746" t="s">
        <v>3138</v>
      </c>
      <c r="BB259" s="1747" t="s">
        <v>3139</v>
      </c>
      <c r="BC259" s="1746">
        <v>10</v>
      </c>
      <c r="BD259" s="1746" t="s">
        <v>2927</v>
      </c>
      <c r="BE259" s="1746"/>
      <c r="BF259" s="1746">
        <v>1161.2</v>
      </c>
      <c r="BG259" s="1746" t="s">
        <v>2592</v>
      </c>
      <c r="BH259" s="1744">
        <f t="shared" si="44"/>
        <v>1.1612E-3</v>
      </c>
      <c r="BI259" s="1745">
        <f t="shared" si="40"/>
        <v>1.1612000000000001E-4</v>
      </c>
      <c r="BJ259" s="1740" t="str">
        <f t="shared" si="41"/>
        <v>pcs</v>
      </c>
      <c r="BK259" s="1740" t="str">
        <f t="shared" si="42"/>
        <v>Medical equipment</v>
      </c>
      <c r="BV259" s="1689" t="s">
        <v>1445</v>
      </c>
      <c r="BW259" s="1689" t="s">
        <v>1446</v>
      </c>
      <c r="BX259" s="1689" t="s">
        <v>864</v>
      </c>
      <c r="BY259" s="1689" t="s">
        <v>1232</v>
      </c>
      <c r="BZ259" s="1689"/>
      <c r="CA259" s="1689" t="s">
        <v>1320</v>
      </c>
      <c r="CB259" s="1689" t="s">
        <v>868</v>
      </c>
      <c r="CC259" s="1689"/>
      <c r="CD259" s="1689">
        <v>10</v>
      </c>
      <c r="CE259" s="1689">
        <v>2.6110000000000002</v>
      </c>
      <c r="CF259" s="1689">
        <v>2.6110000000000002</v>
      </c>
      <c r="CG259" s="1740">
        <f t="shared" si="36"/>
        <v>5.2220000000000004</v>
      </c>
      <c r="CH259" s="1740">
        <f t="shared" si="43"/>
        <v>52.220000000000006</v>
      </c>
    </row>
    <row r="260" spans="2:86" ht="15.65" customHeight="1">
      <c r="B260" s="149"/>
      <c r="C260" s="1837"/>
      <c r="D260" s="1841"/>
      <c r="E260" s="1840"/>
      <c r="F260" s="1838"/>
      <c r="G260" s="1698"/>
      <c r="S260" s="1698"/>
      <c r="T260" s="1846" t="str">
        <f t="shared" si="37"/>
        <v/>
      </c>
      <c r="U260" s="1847" t="str">
        <f t="shared" si="38"/>
        <v/>
      </c>
      <c r="V260" s="1848"/>
      <c r="W260" s="1849" t="str">
        <f t="shared" si="39"/>
        <v/>
      </c>
      <c r="X260" s="1698"/>
      <c r="AY260" s="1746" t="s">
        <v>2588</v>
      </c>
      <c r="AZ260" s="1746">
        <v>2006</v>
      </c>
      <c r="BA260" s="1746" t="s">
        <v>3140</v>
      </c>
      <c r="BB260" s="1747" t="s">
        <v>3141</v>
      </c>
      <c r="BC260" s="1746">
        <v>10</v>
      </c>
      <c r="BD260" s="1746" t="s">
        <v>2700</v>
      </c>
      <c r="BE260" s="1746"/>
      <c r="BF260" s="1746">
        <v>429</v>
      </c>
      <c r="BG260" s="1746" t="s">
        <v>2592</v>
      </c>
      <c r="BH260" s="1744">
        <f t="shared" si="44"/>
        <v>4.2900000000000002E-4</v>
      </c>
      <c r="BI260" s="1745">
        <f t="shared" si="40"/>
        <v>4.2899999999999999E-5</v>
      </c>
      <c r="BJ260" s="1740" t="str">
        <f t="shared" si="41"/>
        <v>rolls</v>
      </c>
      <c r="BK260" s="1740" t="str">
        <f t="shared" si="42"/>
        <v>Roll of tape/gauze</v>
      </c>
      <c r="BV260" s="1689" t="s">
        <v>1281</v>
      </c>
      <c r="BW260" s="1689" t="s">
        <v>1282</v>
      </c>
      <c r="BX260" s="1689" t="s">
        <v>889</v>
      </c>
      <c r="BY260" s="1689" t="s">
        <v>890</v>
      </c>
      <c r="BZ260" s="1689"/>
      <c r="CA260" s="1689" t="s">
        <v>1451</v>
      </c>
      <c r="CB260" s="1689"/>
      <c r="CC260" s="1689"/>
      <c r="CD260" s="1689">
        <v>20</v>
      </c>
      <c r="CE260" s="1689">
        <v>1.1299999999999999</v>
      </c>
      <c r="CF260" s="1689"/>
      <c r="CG260" s="1740">
        <f t="shared" si="36"/>
        <v>1.1299999999999999</v>
      </c>
      <c r="CH260" s="1740">
        <f t="shared" si="43"/>
        <v>22.599999999999998</v>
      </c>
    </row>
    <row r="261" spans="2:86" ht="15.65" customHeight="1">
      <c r="B261" s="149"/>
      <c r="C261" s="1837"/>
      <c r="D261" s="1841"/>
      <c r="E261" s="1840"/>
      <c r="F261" s="1838"/>
      <c r="G261" s="1698"/>
      <c r="S261" s="1698"/>
      <c r="T261" s="1846" t="str">
        <f t="shared" si="37"/>
        <v/>
      </c>
      <c r="U261" s="1847" t="str">
        <f t="shared" si="38"/>
        <v/>
      </c>
      <c r="V261" s="1848"/>
      <c r="W261" s="1849" t="str">
        <f t="shared" si="39"/>
        <v/>
      </c>
      <c r="X261" s="1698"/>
      <c r="AY261" s="1746" t="s">
        <v>2588</v>
      </c>
      <c r="AZ261" s="1746">
        <v>2006</v>
      </c>
      <c r="BA261" s="1746" t="s">
        <v>3142</v>
      </c>
      <c r="BB261" s="1747" t="s">
        <v>3143</v>
      </c>
      <c r="BC261" s="1746">
        <v>10</v>
      </c>
      <c r="BD261" s="1746" t="s">
        <v>2700</v>
      </c>
      <c r="BE261" s="1746"/>
      <c r="BF261" s="1746">
        <v>1010</v>
      </c>
      <c r="BG261" s="1746" t="s">
        <v>2592</v>
      </c>
      <c r="BH261" s="1744">
        <f t="shared" si="44"/>
        <v>1.01E-3</v>
      </c>
      <c r="BI261" s="1745">
        <f t="shared" si="40"/>
        <v>1.01E-4</v>
      </c>
      <c r="BJ261" s="1740" t="str">
        <f t="shared" si="41"/>
        <v>rolls</v>
      </c>
      <c r="BK261" s="1740" t="str">
        <f t="shared" si="42"/>
        <v>Roll of tape/gauze</v>
      </c>
      <c r="BV261" s="1689" t="s">
        <v>1281</v>
      </c>
      <c r="BW261" s="1689" t="s">
        <v>1282</v>
      </c>
      <c r="BX261" s="1689" t="s">
        <v>889</v>
      </c>
      <c r="BY261" s="1689" t="s">
        <v>890</v>
      </c>
      <c r="BZ261" s="1689"/>
      <c r="CA261" s="1689" t="s">
        <v>1453</v>
      </c>
      <c r="CB261" s="1689"/>
      <c r="CC261" s="1689"/>
      <c r="CD261" s="1689">
        <v>20</v>
      </c>
      <c r="CE261" s="1689">
        <v>1</v>
      </c>
      <c r="CF261" s="1689"/>
      <c r="CG261" s="1740">
        <f t="shared" si="36"/>
        <v>1</v>
      </c>
      <c r="CH261" s="1740">
        <f t="shared" si="43"/>
        <v>20</v>
      </c>
    </row>
    <row r="262" spans="2:86" ht="15.65" customHeight="1">
      <c r="B262" s="149"/>
      <c r="C262" s="1837"/>
      <c r="D262" s="1841"/>
      <c r="E262" s="1840"/>
      <c r="F262" s="1838"/>
      <c r="G262" s="1698"/>
      <c r="S262" s="1698"/>
      <c r="T262" s="1846" t="str">
        <f t="shared" si="37"/>
        <v/>
      </c>
      <c r="U262" s="1847" t="str">
        <f t="shared" si="38"/>
        <v/>
      </c>
      <c r="V262" s="1848"/>
      <c r="W262" s="1849" t="str">
        <f t="shared" si="39"/>
        <v/>
      </c>
      <c r="X262" s="1698"/>
      <c r="AY262" s="1746" t="s">
        <v>2588</v>
      </c>
      <c r="AZ262" s="1746">
        <v>2006</v>
      </c>
      <c r="BA262" s="1746" t="s">
        <v>3144</v>
      </c>
      <c r="BB262" s="1747" t="s">
        <v>3145</v>
      </c>
      <c r="BC262" s="1746">
        <v>20</v>
      </c>
      <c r="BD262" s="1746" t="s">
        <v>2700</v>
      </c>
      <c r="BE262" s="1746"/>
      <c r="BF262" s="1746">
        <v>1525.2</v>
      </c>
      <c r="BG262" s="1746" t="s">
        <v>2592</v>
      </c>
      <c r="BH262" s="1744">
        <f t="shared" si="44"/>
        <v>1.5252E-3</v>
      </c>
      <c r="BI262" s="1745">
        <f t="shared" si="40"/>
        <v>7.6260000000000005E-5</v>
      </c>
      <c r="BJ262" s="1740" t="str">
        <f t="shared" si="41"/>
        <v>rolls</v>
      </c>
      <c r="BK262" s="1740" t="str">
        <f t="shared" si="42"/>
        <v>Roll of tape/gauze</v>
      </c>
      <c r="BV262" s="1689" t="s">
        <v>1281</v>
      </c>
      <c r="BW262" s="1689" t="s">
        <v>1282</v>
      </c>
      <c r="BX262" s="1689" t="s">
        <v>889</v>
      </c>
      <c r="BY262" s="1689" t="s">
        <v>890</v>
      </c>
      <c r="BZ262" s="1689"/>
      <c r="CA262" s="1689" t="s">
        <v>1283</v>
      </c>
      <c r="CB262" s="1689"/>
      <c r="CC262" s="1689"/>
      <c r="CD262" s="1689">
        <v>20</v>
      </c>
      <c r="CE262" s="1689">
        <v>0.48</v>
      </c>
      <c r="CF262" s="1689"/>
      <c r="CG262" s="1740">
        <f t="shared" si="36"/>
        <v>0.48</v>
      </c>
      <c r="CH262" s="1740">
        <f t="shared" si="43"/>
        <v>9.6</v>
      </c>
    </row>
    <row r="263" spans="2:86" ht="15.65" customHeight="1">
      <c r="B263" s="149"/>
      <c r="C263" s="1837"/>
      <c r="D263" s="1841"/>
      <c r="E263" s="1840"/>
      <c r="F263" s="1838"/>
      <c r="G263" s="1698"/>
      <c r="S263" s="1698"/>
      <c r="T263" s="1846" t="str">
        <f t="shared" si="37"/>
        <v/>
      </c>
      <c r="U263" s="1847" t="str">
        <f t="shared" si="38"/>
        <v/>
      </c>
      <c r="V263" s="1848"/>
      <c r="W263" s="1849" t="str">
        <f t="shared" si="39"/>
        <v/>
      </c>
      <c r="X263" s="1698"/>
      <c r="AY263" s="1746" t="s">
        <v>2588</v>
      </c>
      <c r="AZ263" s="1746">
        <v>2006</v>
      </c>
      <c r="BA263" s="1746" t="s">
        <v>3146</v>
      </c>
      <c r="BB263" s="1747" t="s">
        <v>3147</v>
      </c>
      <c r="BC263" s="1746">
        <v>50</v>
      </c>
      <c r="BD263" s="1746" t="s">
        <v>2700</v>
      </c>
      <c r="BE263" s="1746"/>
      <c r="BF263" s="1746">
        <v>3611.1</v>
      </c>
      <c r="BG263" s="1746" t="s">
        <v>2592</v>
      </c>
      <c r="BH263" s="1744">
        <f t="shared" si="44"/>
        <v>3.6110999999999999E-3</v>
      </c>
      <c r="BI263" s="1745">
        <f t="shared" si="40"/>
        <v>7.2222000000000001E-5</v>
      </c>
      <c r="BJ263" s="1740" t="str">
        <f t="shared" si="41"/>
        <v>rolls</v>
      </c>
      <c r="BK263" s="1740" t="str">
        <f t="shared" si="42"/>
        <v>Roll of tape/gauze</v>
      </c>
      <c r="BV263" s="1689" t="s">
        <v>1281</v>
      </c>
      <c r="BW263" s="1689" t="s">
        <v>1282</v>
      </c>
      <c r="BX263" s="1689" t="s">
        <v>889</v>
      </c>
      <c r="BY263" s="1689" t="s">
        <v>890</v>
      </c>
      <c r="BZ263" s="1689"/>
      <c r="CA263" s="1689" t="s">
        <v>1456</v>
      </c>
      <c r="CB263" s="1689"/>
      <c r="CC263" s="1689"/>
      <c r="CD263" s="1689">
        <v>10</v>
      </c>
      <c r="CE263" s="1689">
        <v>0.97</v>
      </c>
      <c r="CF263" s="1689"/>
      <c r="CG263" s="1740">
        <f t="shared" si="36"/>
        <v>0.97</v>
      </c>
      <c r="CH263" s="1740">
        <f t="shared" si="43"/>
        <v>9.6999999999999993</v>
      </c>
    </row>
    <row r="264" spans="2:86" ht="15.65" customHeight="1">
      <c r="B264" s="149"/>
      <c r="C264" s="1837"/>
      <c r="D264" s="1841"/>
      <c r="E264" s="1840"/>
      <c r="F264" s="1838"/>
      <c r="G264" s="1698"/>
      <c r="S264" s="1698"/>
      <c r="T264" s="1846" t="str">
        <f t="shared" si="37"/>
        <v/>
      </c>
      <c r="U264" s="1847" t="str">
        <f t="shared" si="38"/>
        <v/>
      </c>
      <c r="V264" s="1848"/>
      <c r="W264" s="1849" t="str">
        <f t="shared" si="39"/>
        <v/>
      </c>
      <c r="X264" s="1698"/>
      <c r="AY264" s="1746" t="s">
        <v>2593</v>
      </c>
      <c r="AZ264" s="1746">
        <v>2008</v>
      </c>
      <c r="BA264" s="1746" t="s">
        <v>3148</v>
      </c>
      <c r="BB264" s="1747" t="s">
        <v>3149</v>
      </c>
      <c r="BC264" s="1746">
        <v>1</v>
      </c>
      <c r="BD264" s="1746" t="s">
        <v>2933</v>
      </c>
      <c r="BE264" s="1746"/>
      <c r="BF264" s="1746">
        <v>2.3000000000000001E-4</v>
      </c>
      <c r="BG264" s="1746" t="s">
        <v>2597</v>
      </c>
      <c r="BH264" s="1744">
        <f t="shared" si="44"/>
        <v>2.3000000000000001E-4</v>
      </c>
      <c r="BI264" s="1745">
        <f t="shared" si="40"/>
        <v>2.3000000000000001E-4</v>
      </c>
      <c r="BJ264" s="1740" t="str">
        <f t="shared" si="41"/>
        <v>piece</v>
      </c>
      <c r="BK264" s="1740" t="str">
        <f t="shared" si="42"/>
        <v>Medical equipment</v>
      </c>
      <c r="BV264" s="1689" t="s">
        <v>1281</v>
      </c>
      <c r="BW264" s="1689" t="s">
        <v>1282</v>
      </c>
      <c r="BX264" s="1689" t="s">
        <v>889</v>
      </c>
      <c r="BY264" s="1689" t="s">
        <v>890</v>
      </c>
      <c r="BZ264" s="1689"/>
      <c r="CA264" s="1689" t="s">
        <v>1453</v>
      </c>
      <c r="CB264" s="1689"/>
      <c r="CC264" s="1689"/>
      <c r="CD264" s="1689">
        <v>20</v>
      </c>
      <c r="CE264" s="1689">
        <v>0.55000000000000004</v>
      </c>
      <c r="CF264" s="1689"/>
      <c r="CG264" s="1740">
        <f t="shared" si="36"/>
        <v>0.55000000000000004</v>
      </c>
      <c r="CH264" s="1740">
        <f t="shared" si="43"/>
        <v>11</v>
      </c>
    </row>
    <row r="265" spans="2:86" ht="15.65" customHeight="1">
      <c r="B265" s="149"/>
      <c r="C265" s="1837"/>
      <c r="D265" s="1841"/>
      <c r="E265" s="1840"/>
      <c r="F265" s="1838"/>
      <c r="G265" s="1698"/>
      <c r="S265" s="1698"/>
      <c r="T265" s="1846" t="str">
        <f t="shared" si="37"/>
        <v/>
      </c>
      <c r="U265" s="1847" t="str">
        <f t="shared" si="38"/>
        <v/>
      </c>
      <c r="V265" s="1848"/>
      <c r="W265" s="1849" t="str">
        <f t="shared" si="39"/>
        <v/>
      </c>
      <c r="X265" s="1698"/>
      <c r="AY265" s="1746" t="s">
        <v>2575</v>
      </c>
      <c r="AZ265" s="1746">
        <v>2008</v>
      </c>
      <c r="BA265" s="1746" t="s">
        <v>3150</v>
      </c>
      <c r="BB265" s="1747" t="s">
        <v>3151</v>
      </c>
      <c r="BC265" s="1746" t="s">
        <v>2578</v>
      </c>
      <c r="BD265" s="1746" t="s">
        <v>2579</v>
      </c>
      <c r="BE265" s="1746" t="s">
        <v>3152</v>
      </c>
      <c r="BF265" s="1746">
        <v>227.37</v>
      </c>
      <c r="BG265" s="1746" t="s">
        <v>2592</v>
      </c>
      <c r="BH265" s="1744">
        <f t="shared" si="44"/>
        <v>2.2737000000000001E-4</v>
      </c>
      <c r="BI265" s="1745" t="str">
        <f t="shared" si="40"/>
        <v/>
      </c>
      <c r="BJ265" s="1740" t="str">
        <f t="shared" si="41"/>
        <v>EA-Comp/bandage/tape</v>
      </c>
      <c r="BK265" s="1740" t="str">
        <f t="shared" si="42"/>
        <v>Roll of Tape/Gauze</v>
      </c>
      <c r="BV265" s="1689" t="s">
        <v>1459</v>
      </c>
      <c r="BW265" s="1689" t="s">
        <v>1460</v>
      </c>
      <c r="BX265" s="1689" t="s">
        <v>889</v>
      </c>
      <c r="BY265" s="1689" t="s">
        <v>890</v>
      </c>
      <c r="BZ265" s="1689"/>
      <c r="CA265" s="1689" t="s">
        <v>1283</v>
      </c>
      <c r="CB265" s="1689"/>
      <c r="CC265" s="1689"/>
      <c r="CD265" s="1689">
        <v>20</v>
      </c>
      <c r="CE265" s="1689">
        <v>0.48</v>
      </c>
      <c r="CF265" s="1689"/>
      <c r="CG265" s="1740">
        <f t="shared" si="36"/>
        <v>0.48</v>
      </c>
      <c r="CH265" s="1740">
        <f t="shared" si="43"/>
        <v>9.6</v>
      </c>
    </row>
    <row r="266" spans="2:86" ht="15.65" customHeight="1">
      <c r="B266" s="149"/>
      <c r="C266" s="1837"/>
      <c r="D266" s="1841"/>
      <c r="E266" s="1840"/>
      <c r="F266" s="1838"/>
      <c r="G266" s="1698"/>
      <c r="S266" s="1698"/>
      <c r="T266" s="1846" t="str">
        <f t="shared" si="37"/>
        <v/>
      </c>
      <c r="U266" s="1847" t="str">
        <f t="shared" si="38"/>
        <v/>
      </c>
      <c r="V266" s="1848"/>
      <c r="W266" s="1849" t="str">
        <f t="shared" si="39"/>
        <v/>
      </c>
      <c r="X266" s="1698"/>
      <c r="AY266" s="1746" t="s">
        <v>2575</v>
      </c>
      <c r="AZ266" s="1746">
        <v>2008</v>
      </c>
      <c r="BA266" s="1746" t="s">
        <v>3153</v>
      </c>
      <c r="BB266" s="1747" t="s">
        <v>3154</v>
      </c>
      <c r="BC266" s="1746" t="s">
        <v>2578</v>
      </c>
      <c r="BD266" s="1746" t="s">
        <v>2579</v>
      </c>
      <c r="BE266" s="1746" t="s">
        <v>3152</v>
      </c>
      <c r="BF266" s="1746">
        <v>0.04</v>
      </c>
      <c r="BG266" s="1746" t="s">
        <v>2581</v>
      </c>
      <c r="BH266" s="1744">
        <f t="shared" si="44"/>
        <v>4.0000000000000003E-5</v>
      </c>
      <c r="BI266" s="1745" t="str">
        <f t="shared" si="40"/>
        <v/>
      </c>
      <c r="BJ266" s="1740" t="str">
        <f t="shared" si="41"/>
        <v>EA-Comp/bandage/tape</v>
      </c>
      <c r="BK266" s="1740" t="str">
        <f t="shared" si="42"/>
        <v>Roll of Tape/Gauze</v>
      </c>
      <c r="BV266" s="1689" t="s">
        <v>1459</v>
      </c>
      <c r="BW266" s="1689" t="s">
        <v>1460</v>
      </c>
      <c r="BX266" s="1689" t="s">
        <v>889</v>
      </c>
      <c r="BY266" s="1689" t="s">
        <v>890</v>
      </c>
      <c r="BZ266" s="1689"/>
      <c r="CA266" s="1689" t="s">
        <v>1456</v>
      </c>
      <c r="CB266" s="1689"/>
      <c r="CC266" s="1689"/>
      <c r="CD266" s="1689">
        <v>10</v>
      </c>
      <c r="CE266" s="1689">
        <v>0.97</v>
      </c>
      <c r="CF266" s="1689"/>
      <c r="CG266" s="1740">
        <f t="shared" ref="CG266:CG297" si="45">SUM(CF266,CE266)</f>
        <v>0.97</v>
      </c>
      <c r="CH266" s="1740">
        <f t="shared" si="43"/>
        <v>9.6999999999999993</v>
      </c>
    </row>
    <row r="267" spans="2:86" ht="15.65" customHeight="1">
      <c r="B267" s="149"/>
      <c r="C267" s="1837"/>
      <c r="D267" s="1841"/>
      <c r="E267" s="1840"/>
      <c r="F267" s="1838"/>
      <c r="G267" s="1698"/>
      <c r="S267" s="1698"/>
      <c r="T267" s="1846" t="str">
        <f t="shared" ref="T267:T330" si="46">IF(C267="","",C267)</f>
        <v/>
      </c>
      <c r="U267" s="1847" t="str">
        <f t="shared" ref="U267:U330" si="47">IFERROR(INDEX($O$11:$O$42,MATCH(E267,$K$11:$K$42,0)),"")</f>
        <v/>
      </c>
      <c r="V267" s="1848"/>
      <c r="W267" s="1849" t="str">
        <f t="shared" si="39"/>
        <v/>
      </c>
      <c r="X267" s="1698"/>
      <c r="AY267" s="1746" t="s">
        <v>2575</v>
      </c>
      <c r="AZ267" s="1746">
        <v>2008</v>
      </c>
      <c r="BA267" s="1746" t="s">
        <v>3155</v>
      </c>
      <c r="BB267" s="1747" t="s">
        <v>3156</v>
      </c>
      <c r="BC267" s="1746" t="s">
        <v>2578</v>
      </c>
      <c r="BD267" s="1746" t="s">
        <v>2579</v>
      </c>
      <c r="BE267" s="1746" t="s">
        <v>3152</v>
      </c>
      <c r="BF267" s="1746">
        <v>0.04</v>
      </c>
      <c r="BG267" s="1746" t="s">
        <v>2581</v>
      </c>
      <c r="BH267" s="1744">
        <f t="shared" si="44"/>
        <v>4.0000000000000003E-5</v>
      </c>
      <c r="BI267" s="1745" t="str">
        <f t="shared" si="40"/>
        <v/>
      </c>
      <c r="BJ267" s="1740" t="str">
        <f t="shared" si="41"/>
        <v>EA-Comp/bandage/tape</v>
      </c>
      <c r="BK267" s="1740" t="str">
        <f t="shared" si="42"/>
        <v>Roll of Tape/Gauze</v>
      </c>
      <c r="BV267" s="1689" t="s">
        <v>1288</v>
      </c>
      <c r="BW267" s="1689" t="s">
        <v>1289</v>
      </c>
      <c r="BX267" s="1689" t="s">
        <v>889</v>
      </c>
      <c r="BY267" s="1689" t="s">
        <v>890</v>
      </c>
      <c r="BZ267" s="1689"/>
      <c r="CA267" s="1689" t="s">
        <v>1456</v>
      </c>
      <c r="CB267" s="1689"/>
      <c r="CC267" s="1689"/>
      <c r="CD267" s="1689">
        <v>10</v>
      </c>
      <c r="CE267" s="1689">
        <v>0.97</v>
      </c>
      <c r="CF267" s="1689"/>
      <c r="CG267" s="1740">
        <f t="shared" si="45"/>
        <v>0.97</v>
      </c>
      <c r="CH267" s="1740">
        <f t="shared" si="43"/>
        <v>9.6999999999999993</v>
      </c>
    </row>
    <row r="268" spans="2:86" ht="15.65" customHeight="1">
      <c r="B268" s="149"/>
      <c r="C268" s="1837"/>
      <c r="D268" s="1841"/>
      <c r="E268" s="1840"/>
      <c r="F268" s="1838"/>
      <c r="G268" s="1698"/>
      <c r="S268" s="1698"/>
      <c r="T268" s="1846" t="str">
        <f t="shared" si="46"/>
        <v/>
      </c>
      <c r="U268" s="1847" t="str">
        <f t="shared" si="47"/>
        <v/>
      </c>
      <c r="V268" s="1848"/>
      <c r="W268" s="1849" t="str">
        <f t="shared" ref="W268:W331" si="48">IF(V268&lt;&gt;"",V268,IF(U268="","",U268))</f>
        <v/>
      </c>
      <c r="X268" s="1698"/>
      <c r="AY268" s="1746" t="s">
        <v>2575</v>
      </c>
      <c r="AZ268" s="1746">
        <v>2008</v>
      </c>
      <c r="BA268" s="1746" t="s">
        <v>3157</v>
      </c>
      <c r="BB268" s="1747" t="s">
        <v>3158</v>
      </c>
      <c r="BC268" s="1746" t="s">
        <v>2578</v>
      </c>
      <c r="BD268" s="1746" t="s">
        <v>2579</v>
      </c>
      <c r="BE268" s="1746" t="s">
        <v>3152</v>
      </c>
      <c r="BF268" s="1746">
        <v>2</v>
      </c>
      <c r="BG268" s="1746" t="s">
        <v>2581</v>
      </c>
      <c r="BH268" s="1744">
        <f t="shared" si="44"/>
        <v>2E-3</v>
      </c>
      <c r="BI268" s="1745" t="str">
        <f t="shared" si="40"/>
        <v/>
      </c>
      <c r="BJ268" s="1740" t="str">
        <f t="shared" si="41"/>
        <v>EA-Comp/bandage/tape</v>
      </c>
      <c r="BK268" s="1740" t="str">
        <f t="shared" si="42"/>
        <v>Roll of Tape/Gauze</v>
      </c>
      <c r="BV268" s="1689" t="s">
        <v>1288</v>
      </c>
      <c r="BW268" s="1689" t="s">
        <v>1289</v>
      </c>
      <c r="BX268" s="1689" t="s">
        <v>889</v>
      </c>
      <c r="BY268" s="1689" t="s">
        <v>890</v>
      </c>
      <c r="BZ268" s="1689"/>
      <c r="CA268" s="1689" t="s">
        <v>1283</v>
      </c>
      <c r="CB268" s="1689"/>
      <c r="CC268" s="1689"/>
      <c r="CD268" s="1689">
        <v>20</v>
      </c>
      <c r="CE268" s="1689">
        <v>0.48</v>
      </c>
      <c r="CF268" s="1689"/>
      <c r="CG268" s="1740">
        <f t="shared" si="45"/>
        <v>0.48</v>
      </c>
      <c r="CH268" s="1740">
        <f t="shared" si="43"/>
        <v>9.6</v>
      </c>
    </row>
    <row r="269" spans="2:86" ht="15.65" customHeight="1">
      <c r="B269" s="149"/>
      <c r="C269" s="1837"/>
      <c r="D269" s="1841"/>
      <c r="E269" s="1840"/>
      <c r="F269" s="1838"/>
      <c r="G269" s="1698"/>
      <c r="S269" s="1698"/>
      <c r="T269" s="1846" t="str">
        <f t="shared" si="46"/>
        <v/>
      </c>
      <c r="U269" s="1847" t="str">
        <f t="shared" si="47"/>
        <v/>
      </c>
      <c r="V269" s="1848"/>
      <c r="W269" s="1849" t="str">
        <f t="shared" si="48"/>
        <v/>
      </c>
      <c r="X269" s="1698"/>
      <c r="AY269" s="1746" t="s">
        <v>2588</v>
      </c>
      <c r="AZ269" s="1746">
        <v>2006</v>
      </c>
      <c r="BA269" s="1746" t="s">
        <v>3159</v>
      </c>
      <c r="BB269" s="1747" t="s">
        <v>3160</v>
      </c>
      <c r="BC269" s="1746">
        <v>25</v>
      </c>
      <c r="BD269" s="1746" t="s">
        <v>3161</v>
      </c>
      <c r="BE269" s="1746"/>
      <c r="BF269" s="1746">
        <v>41958</v>
      </c>
      <c r="BG269" s="1746" t="s">
        <v>2592</v>
      </c>
      <c r="BH269" s="1744">
        <f t="shared" si="44"/>
        <v>4.1958000000000002E-2</v>
      </c>
      <c r="BI269" s="1745">
        <f t="shared" si="40"/>
        <v>1.6783200000000001E-3</v>
      </c>
      <c r="BJ269" s="1740" t="str">
        <f t="shared" si="41"/>
        <v>kg</v>
      </c>
      <c r="BK269" s="1740" t="str">
        <f t="shared" si="42"/>
        <v>Medical equipment</v>
      </c>
      <c r="BV269" s="1689" t="s">
        <v>1288</v>
      </c>
      <c r="BW269" s="1689" t="s">
        <v>1289</v>
      </c>
      <c r="BX269" s="1689" t="s">
        <v>889</v>
      </c>
      <c r="BY269" s="1689" t="s">
        <v>890</v>
      </c>
      <c r="BZ269" s="1689"/>
      <c r="CA269" s="1689" t="s">
        <v>1451</v>
      </c>
      <c r="CB269" s="1689"/>
      <c r="CC269" s="1689"/>
      <c r="CD269" s="1689">
        <v>20</v>
      </c>
      <c r="CE269" s="1689">
        <v>1.07</v>
      </c>
      <c r="CF269" s="1689"/>
      <c r="CG269" s="1740">
        <f t="shared" si="45"/>
        <v>1.07</v>
      </c>
      <c r="CH269" s="1740">
        <f t="shared" si="43"/>
        <v>21.400000000000002</v>
      </c>
    </row>
    <row r="270" spans="2:86" ht="15.65" customHeight="1">
      <c r="B270" s="149"/>
      <c r="C270" s="1837"/>
      <c r="D270" s="1841"/>
      <c r="E270" s="1840"/>
      <c r="F270" s="1838"/>
      <c r="G270" s="1698"/>
      <c r="S270" s="1698"/>
      <c r="T270" s="1846" t="str">
        <f t="shared" si="46"/>
        <v/>
      </c>
      <c r="U270" s="1847" t="str">
        <f t="shared" si="47"/>
        <v/>
      </c>
      <c r="V270" s="1848"/>
      <c r="W270" s="1849" t="str">
        <f t="shared" si="48"/>
        <v/>
      </c>
      <c r="X270" s="1698"/>
      <c r="AY270" s="1746" t="s">
        <v>2593</v>
      </c>
      <c r="AZ270" s="1746">
        <v>2008</v>
      </c>
      <c r="BA270" s="1746" t="s">
        <v>3162</v>
      </c>
      <c r="BB270" s="1747" t="s">
        <v>3163</v>
      </c>
      <c r="BC270" s="1746">
        <v>1</v>
      </c>
      <c r="BD270" s="1746" t="s">
        <v>3164</v>
      </c>
      <c r="BE270" s="1746"/>
      <c r="BF270" s="1746">
        <v>3.1350000000000003E-2</v>
      </c>
      <c r="BG270" s="1746" t="s">
        <v>2597</v>
      </c>
      <c r="BH270" s="1744">
        <f t="shared" si="44"/>
        <v>3.1350000000000003E-2</v>
      </c>
      <c r="BI270" s="1745">
        <f t="shared" si="40"/>
        <v>3.1350000000000003E-2</v>
      </c>
      <c r="BJ270" s="1740" t="str">
        <f t="shared" si="41"/>
        <v>drum</v>
      </c>
      <c r="BK270" s="1740" t="str">
        <f t="shared" si="42"/>
        <v>Medical equipment</v>
      </c>
      <c r="BV270" s="1689" t="s">
        <v>1412</v>
      </c>
      <c r="BW270" s="1689" t="s">
        <v>1413</v>
      </c>
      <c r="BX270" s="1689" t="s">
        <v>889</v>
      </c>
      <c r="BY270" s="1689" t="s">
        <v>907</v>
      </c>
      <c r="BZ270" s="1689" t="s">
        <v>1414</v>
      </c>
      <c r="CA270" s="1689" t="s">
        <v>916</v>
      </c>
      <c r="CB270" s="1689"/>
      <c r="CC270" s="1689"/>
      <c r="CD270" s="1689">
        <v>10</v>
      </c>
      <c r="CE270" s="1689">
        <v>2.1</v>
      </c>
      <c r="CF270" s="1689"/>
      <c r="CG270" s="1740">
        <f t="shared" si="45"/>
        <v>2.1</v>
      </c>
      <c r="CH270" s="1740">
        <f t="shared" si="43"/>
        <v>21</v>
      </c>
    </row>
    <row r="271" spans="2:86" ht="15.65" customHeight="1">
      <c r="B271" s="149"/>
      <c r="C271" s="1837"/>
      <c r="D271" s="1841"/>
      <c r="E271" s="1840"/>
      <c r="F271" s="1838"/>
      <c r="G271" s="1698"/>
      <c r="S271" s="1698"/>
      <c r="T271" s="1846" t="str">
        <f t="shared" si="46"/>
        <v/>
      </c>
      <c r="U271" s="1847" t="str">
        <f t="shared" si="47"/>
        <v/>
      </c>
      <c r="V271" s="1848"/>
      <c r="W271" s="1849" t="str">
        <f t="shared" si="48"/>
        <v/>
      </c>
      <c r="X271" s="1698"/>
      <c r="AY271" s="1746" t="s">
        <v>2593</v>
      </c>
      <c r="AZ271" s="1746">
        <v>2008</v>
      </c>
      <c r="BA271" s="1746" t="s">
        <v>3165</v>
      </c>
      <c r="BB271" s="1747" t="s">
        <v>3166</v>
      </c>
      <c r="BC271" s="1746">
        <v>1</v>
      </c>
      <c r="BD271" s="1746" t="s">
        <v>3167</v>
      </c>
      <c r="BE271" s="1746"/>
      <c r="BF271" s="1746">
        <v>5.8559999999999999</v>
      </c>
      <c r="BG271" s="1746" t="s">
        <v>2597</v>
      </c>
      <c r="BH271" s="1744">
        <f t="shared" si="44"/>
        <v>5.8559999999999999</v>
      </c>
      <c r="BI271" s="1745">
        <f t="shared" si="40"/>
        <v>5.8559999999999999</v>
      </c>
      <c r="BJ271" s="1740" t="str">
        <f t="shared" si="41"/>
        <v>kit</v>
      </c>
      <c r="BK271" s="1740" t="str">
        <f t="shared" si="42"/>
        <v>Medical equipment</v>
      </c>
      <c r="BV271" s="1689" t="s">
        <v>1412</v>
      </c>
      <c r="BW271" s="1689" t="s">
        <v>1413</v>
      </c>
      <c r="BX271" s="1689" t="s">
        <v>889</v>
      </c>
      <c r="BY271" s="1689" t="s">
        <v>907</v>
      </c>
      <c r="BZ271" s="1689" t="s">
        <v>1414</v>
      </c>
      <c r="CA271" s="1689" t="s">
        <v>916</v>
      </c>
      <c r="CB271" s="1689"/>
      <c r="CC271" s="1689"/>
      <c r="CD271" s="1689">
        <v>20</v>
      </c>
      <c r="CE271" s="1689">
        <v>0.75</v>
      </c>
      <c r="CF271" s="1689"/>
      <c r="CG271" s="1740">
        <f t="shared" si="45"/>
        <v>0.75</v>
      </c>
      <c r="CH271" s="1740">
        <f t="shared" si="43"/>
        <v>15</v>
      </c>
    </row>
    <row r="272" spans="2:86" ht="15.65" customHeight="1">
      <c r="B272" s="149"/>
      <c r="C272" s="1837"/>
      <c r="D272" s="1841"/>
      <c r="E272" s="1840"/>
      <c r="F272" s="1838"/>
      <c r="G272" s="1698"/>
      <c r="S272" s="1698"/>
      <c r="T272" s="1846" t="str">
        <f t="shared" si="46"/>
        <v/>
      </c>
      <c r="U272" s="1847" t="str">
        <f t="shared" si="47"/>
        <v/>
      </c>
      <c r="V272" s="1848"/>
      <c r="W272" s="1849" t="str">
        <f t="shared" si="48"/>
        <v/>
      </c>
      <c r="X272" s="1698"/>
      <c r="AY272" s="1746" t="s">
        <v>2575</v>
      </c>
      <c r="AZ272" s="1746">
        <v>2008</v>
      </c>
      <c r="BA272" s="1746" t="s">
        <v>3168</v>
      </c>
      <c r="BB272" s="1747" t="s">
        <v>3169</v>
      </c>
      <c r="BC272" s="1746" t="s">
        <v>2578</v>
      </c>
      <c r="BD272" s="1746" t="s">
        <v>2579</v>
      </c>
      <c r="BE272" s="1746" t="s">
        <v>3130</v>
      </c>
      <c r="BF272" s="1746">
        <v>0.26400000000000001</v>
      </c>
      <c r="BG272" s="1746" t="s">
        <v>2581</v>
      </c>
      <c r="BH272" s="1744">
        <f t="shared" si="44"/>
        <v>2.6400000000000002E-4</v>
      </c>
      <c r="BI272" s="1745" t="str">
        <f t="shared" si="40"/>
        <v/>
      </c>
      <c r="BJ272" s="1740" t="str">
        <f t="shared" si="41"/>
        <v>EA-Plastic utensils</v>
      </c>
      <c r="BK272" s="1740" t="str">
        <f t="shared" si="42"/>
        <v>Medical equipment</v>
      </c>
      <c r="BV272" s="1689" t="s">
        <v>1412</v>
      </c>
      <c r="BW272" s="1689" t="s">
        <v>1413</v>
      </c>
      <c r="BX272" s="1689" t="s">
        <v>889</v>
      </c>
      <c r="BY272" s="1689" t="s">
        <v>907</v>
      </c>
      <c r="BZ272" s="1689" t="s">
        <v>1468</v>
      </c>
      <c r="CA272" s="1689" t="s">
        <v>916</v>
      </c>
      <c r="CB272" s="1689"/>
      <c r="CC272" s="1689"/>
      <c r="CD272" s="1689">
        <v>10</v>
      </c>
      <c r="CE272" s="1689">
        <v>4.125</v>
      </c>
      <c r="CF272" s="1689"/>
      <c r="CG272" s="1740">
        <f t="shared" si="45"/>
        <v>4.125</v>
      </c>
      <c r="CH272" s="1740">
        <f t="shared" si="43"/>
        <v>41.25</v>
      </c>
    </row>
    <row r="273" spans="2:86" ht="15.65" customHeight="1">
      <c r="B273" s="149"/>
      <c r="C273" s="1837"/>
      <c r="D273" s="1841"/>
      <c r="E273" s="1840"/>
      <c r="F273" s="1838"/>
      <c r="G273" s="1698"/>
      <c r="S273" s="1698"/>
      <c r="T273" s="1846" t="str">
        <f t="shared" si="46"/>
        <v/>
      </c>
      <c r="U273" s="1847" t="str">
        <f t="shared" si="47"/>
        <v/>
      </c>
      <c r="V273" s="1848"/>
      <c r="W273" s="1849" t="str">
        <f t="shared" si="48"/>
        <v/>
      </c>
      <c r="X273" s="1698"/>
      <c r="AY273" s="1746" t="s">
        <v>2575</v>
      </c>
      <c r="AZ273" s="1746">
        <v>2008</v>
      </c>
      <c r="BA273" s="1746" t="s">
        <v>3170</v>
      </c>
      <c r="BB273" s="1747" t="s">
        <v>3171</v>
      </c>
      <c r="BC273" s="1746" t="s">
        <v>2578</v>
      </c>
      <c r="BD273" s="1746" t="s">
        <v>2579</v>
      </c>
      <c r="BE273" s="1746" t="s">
        <v>3172</v>
      </c>
      <c r="BF273" s="1746">
        <v>0.16400000000000001</v>
      </c>
      <c r="BG273" s="1746" t="s">
        <v>2581</v>
      </c>
      <c r="BH273" s="1744">
        <f t="shared" si="44"/>
        <v>1.64E-4</v>
      </c>
      <c r="BI273" s="1745" t="str">
        <f t="shared" si="40"/>
        <v/>
      </c>
      <c r="BJ273" s="1740" t="str">
        <f t="shared" si="41"/>
        <v>EA-Steel utensils</v>
      </c>
      <c r="BK273" s="1740" t="str">
        <f t="shared" si="42"/>
        <v>Medical equipment</v>
      </c>
      <c r="BV273" s="1689" t="s">
        <v>1412</v>
      </c>
      <c r="BW273" s="1689" t="s">
        <v>1413</v>
      </c>
      <c r="BX273" s="1689" t="s">
        <v>889</v>
      </c>
      <c r="BY273" s="1689" t="s">
        <v>907</v>
      </c>
      <c r="BZ273" s="1689" t="s">
        <v>1468</v>
      </c>
      <c r="CA273" s="1689" t="s">
        <v>916</v>
      </c>
      <c r="CB273" s="1689"/>
      <c r="CC273" s="1689"/>
      <c r="CD273" s="1689">
        <v>20</v>
      </c>
      <c r="CE273" s="1689">
        <v>2.0499999999999998</v>
      </c>
      <c r="CF273" s="1689"/>
      <c r="CG273" s="1740">
        <f t="shared" si="45"/>
        <v>2.0499999999999998</v>
      </c>
      <c r="CH273" s="1740">
        <f t="shared" si="43"/>
        <v>41</v>
      </c>
    </row>
    <row r="274" spans="2:86" ht="15.65" customHeight="1">
      <c r="B274" s="149"/>
      <c r="C274" s="1837"/>
      <c r="D274" s="1841"/>
      <c r="E274" s="1840"/>
      <c r="F274" s="1838"/>
      <c r="G274" s="1698"/>
      <c r="S274" s="1698"/>
      <c r="T274" s="1846" t="str">
        <f t="shared" si="46"/>
        <v/>
      </c>
      <c r="U274" s="1847" t="str">
        <f t="shared" si="47"/>
        <v/>
      </c>
      <c r="V274" s="1848"/>
      <c r="W274" s="1849" t="str">
        <f t="shared" si="48"/>
        <v/>
      </c>
      <c r="X274" s="1698"/>
      <c r="AY274" s="1746" t="s">
        <v>2593</v>
      </c>
      <c r="AZ274" s="1746">
        <v>2008</v>
      </c>
      <c r="BA274" s="1746" t="s">
        <v>3173</v>
      </c>
      <c r="BB274" s="1747" t="s">
        <v>3174</v>
      </c>
      <c r="BC274" s="1746">
        <v>1</v>
      </c>
      <c r="BD274" s="1746" t="s">
        <v>2933</v>
      </c>
      <c r="BE274" s="1746"/>
      <c r="BF274" s="1746">
        <v>1.0000000000000001E-5</v>
      </c>
      <c r="BG274" s="1746" t="s">
        <v>2597</v>
      </c>
      <c r="BH274" s="1744">
        <f t="shared" si="44"/>
        <v>1.0000000000000001E-5</v>
      </c>
      <c r="BI274" s="1745">
        <f t="shared" si="40"/>
        <v>1.0000000000000001E-5</v>
      </c>
      <c r="BJ274" s="1740" t="str">
        <f t="shared" si="41"/>
        <v>piece</v>
      </c>
      <c r="BK274" s="1740" t="str">
        <f t="shared" si="42"/>
        <v>Medical equipment</v>
      </c>
      <c r="BV274" s="1689" t="s">
        <v>1412</v>
      </c>
      <c r="BW274" s="1689" t="s">
        <v>1413</v>
      </c>
      <c r="BX274" s="1689" t="s">
        <v>889</v>
      </c>
      <c r="BY274" s="1689" t="s">
        <v>907</v>
      </c>
      <c r="BZ274" s="1689" t="s">
        <v>1471</v>
      </c>
      <c r="CA274" s="1689" t="s">
        <v>1472</v>
      </c>
      <c r="CB274" s="1689"/>
      <c r="CC274" s="1689"/>
      <c r="CD274" s="1689">
        <v>20</v>
      </c>
      <c r="CE274" s="1689">
        <v>2.9</v>
      </c>
      <c r="CF274" s="1689"/>
      <c r="CG274" s="1740">
        <f t="shared" si="45"/>
        <v>2.9</v>
      </c>
      <c r="CH274" s="1740">
        <f t="shared" si="43"/>
        <v>58</v>
      </c>
    </row>
    <row r="275" spans="2:86" ht="15.65" customHeight="1">
      <c r="B275" s="149"/>
      <c r="C275" s="1837"/>
      <c r="D275" s="1841"/>
      <c r="E275" s="1840"/>
      <c r="F275" s="1838"/>
      <c r="G275" s="1698"/>
      <c r="S275" s="1698"/>
      <c r="T275" s="1846" t="str">
        <f t="shared" si="46"/>
        <v/>
      </c>
      <c r="U275" s="1847" t="str">
        <f t="shared" si="47"/>
        <v/>
      </c>
      <c r="V275" s="1848"/>
      <c r="W275" s="1849" t="str">
        <f t="shared" si="48"/>
        <v/>
      </c>
      <c r="X275" s="1698"/>
      <c r="AY275" s="1746" t="s">
        <v>2593</v>
      </c>
      <c r="AZ275" s="1746">
        <v>2008</v>
      </c>
      <c r="BA275" s="1746" t="s">
        <v>3175</v>
      </c>
      <c r="BB275" s="1747" t="s">
        <v>3176</v>
      </c>
      <c r="BC275" s="1746">
        <v>1</v>
      </c>
      <c r="BD275" s="1746" t="s">
        <v>2933</v>
      </c>
      <c r="BE275" s="1746"/>
      <c r="BF275" s="1746">
        <v>0</v>
      </c>
      <c r="BG275" s="1746" t="s">
        <v>2597</v>
      </c>
      <c r="BH275" s="1744">
        <f t="shared" si="44"/>
        <v>0</v>
      </c>
      <c r="BI275" s="1745">
        <f t="shared" ref="BI275:BI338" si="49">IFERROR(BH275/BC275,"")</f>
        <v>0</v>
      </c>
      <c r="BJ275" s="1740" t="str">
        <f t="shared" ref="BJ275:BJ338" si="50">IF(BE275="",BD275,BD275&amp;"-"&amp;BE275)</f>
        <v>piece</v>
      </c>
      <c r="BK275" s="1740" t="str">
        <f t="shared" si="42"/>
        <v>Medical equipment</v>
      </c>
      <c r="BV275" s="1689" t="s">
        <v>1412</v>
      </c>
      <c r="BW275" s="1689" t="s">
        <v>1413</v>
      </c>
      <c r="BX275" s="1689" t="s">
        <v>889</v>
      </c>
      <c r="BY275" s="1689" t="s">
        <v>907</v>
      </c>
      <c r="BZ275" s="1689" t="s">
        <v>1474</v>
      </c>
      <c r="CA275" s="1689" t="s">
        <v>916</v>
      </c>
      <c r="CB275" s="1689"/>
      <c r="CC275" s="1689"/>
      <c r="CD275" s="1689">
        <v>10</v>
      </c>
      <c r="CE275" s="1689">
        <v>2.46</v>
      </c>
      <c r="CF275" s="1689"/>
      <c r="CG275" s="1740">
        <f t="shared" si="45"/>
        <v>2.46</v>
      </c>
      <c r="CH275" s="1740">
        <f t="shared" si="43"/>
        <v>24.6</v>
      </c>
    </row>
    <row r="276" spans="2:86" ht="15.65" customHeight="1">
      <c r="B276" s="149"/>
      <c r="C276" s="1837"/>
      <c r="D276" s="1841"/>
      <c r="E276" s="1840"/>
      <c r="F276" s="1838"/>
      <c r="G276" s="1698"/>
      <c r="S276" s="1698"/>
      <c r="T276" s="1846" t="str">
        <f t="shared" si="46"/>
        <v/>
      </c>
      <c r="U276" s="1847" t="str">
        <f t="shared" si="47"/>
        <v/>
      </c>
      <c r="V276" s="1848"/>
      <c r="W276" s="1849" t="str">
        <f t="shared" si="48"/>
        <v/>
      </c>
      <c r="X276" s="1698"/>
      <c r="AY276" s="1746" t="s">
        <v>2575</v>
      </c>
      <c r="AZ276" s="1746">
        <v>2008</v>
      </c>
      <c r="BA276" s="1746" t="s">
        <v>3177</v>
      </c>
      <c r="BB276" s="1747" t="s">
        <v>3178</v>
      </c>
      <c r="BC276" s="1746" t="s">
        <v>2578</v>
      </c>
      <c r="BD276" s="1746" t="s">
        <v>2579</v>
      </c>
      <c r="BE276" s="1746" t="s">
        <v>3179</v>
      </c>
      <c r="BF276" s="1746">
        <v>0</v>
      </c>
      <c r="BG276" s="1746"/>
      <c r="BH276" s="1744" t="str">
        <f t="shared" si="44"/>
        <v/>
      </c>
      <c r="BI276" s="1745" t="str">
        <f t="shared" si="49"/>
        <v/>
      </c>
      <c r="BJ276" s="1740" t="str">
        <f t="shared" si="50"/>
        <v>EA-EPI vaccines</v>
      </c>
      <c r="BK276" s="1740" t="str">
        <f t="shared" ref="BK276:BK339" si="51">IFERROR(INDEX($BO$18:$BO$136,MATCH(BJ276,$BN$18:$BN$136,0)),"")</f>
        <v>Vaccine Vial</v>
      </c>
      <c r="BV276" s="1689" t="s">
        <v>1412</v>
      </c>
      <c r="BW276" s="1689" t="s">
        <v>1413</v>
      </c>
      <c r="BX276" s="1689" t="s">
        <v>889</v>
      </c>
      <c r="BY276" s="1689" t="s">
        <v>907</v>
      </c>
      <c r="BZ276" s="1689" t="s">
        <v>1471</v>
      </c>
      <c r="CA276" s="1689" t="s">
        <v>908</v>
      </c>
      <c r="CB276" s="1689"/>
      <c r="CC276" s="1689"/>
      <c r="CD276" s="1689">
        <v>20</v>
      </c>
      <c r="CE276" s="1689">
        <v>2.4329999999999998</v>
      </c>
      <c r="CF276" s="1689"/>
      <c r="CG276" s="1740">
        <f t="shared" si="45"/>
        <v>2.4329999999999998</v>
      </c>
      <c r="CH276" s="1740">
        <f t="shared" ref="CH276:CH297" si="52">IFERROR(CD276*CG276,"")</f>
        <v>48.66</v>
      </c>
    </row>
    <row r="277" spans="2:86" ht="15.65" customHeight="1">
      <c r="B277" s="149"/>
      <c r="C277" s="1837"/>
      <c r="D277" s="1841"/>
      <c r="E277" s="1840"/>
      <c r="F277" s="1838"/>
      <c r="G277" s="1698"/>
      <c r="S277" s="1698"/>
      <c r="T277" s="1846" t="str">
        <f t="shared" si="46"/>
        <v/>
      </c>
      <c r="U277" s="1847" t="str">
        <f t="shared" si="47"/>
        <v/>
      </c>
      <c r="V277" s="1848"/>
      <c r="W277" s="1849" t="str">
        <f t="shared" si="48"/>
        <v/>
      </c>
      <c r="X277" s="1698"/>
      <c r="AY277" s="1746" t="s">
        <v>2575</v>
      </c>
      <c r="AZ277" s="1746">
        <v>2008</v>
      </c>
      <c r="BA277" s="1746" t="s">
        <v>3180</v>
      </c>
      <c r="BB277" s="1747" t="s">
        <v>3181</v>
      </c>
      <c r="BC277" s="1746" t="s">
        <v>2578</v>
      </c>
      <c r="BD277" s="1746" t="s">
        <v>2579</v>
      </c>
      <c r="BE277" s="1746" t="s">
        <v>3182</v>
      </c>
      <c r="BF277" s="1746">
        <v>0.27600000000000002</v>
      </c>
      <c r="BG277" s="1746" t="s">
        <v>2581</v>
      </c>
      <c r="BH277" s="1744">
        <f t="shared" si="44"/>
        <v>2.7600000000000004E-4</v>
      </c>
      <c r="BI277" s="1745" t="str">
        <f t="shared" si="49"/>
        <v/>
      </c>
      <c r="BJ277" s="1740" t="str">
        <f t="shared" si="50"/>
        <v>EA-Respiratory drugs</v>
      </c>
      <c r="BK277" s="1740" t="str">
        <f t="shared" si="51"/>
        <v>Aerosol Inhaler</v>
      </c>
      <c r="BV277" s="1689" t="s">
        <v>1412</v>
      </c>
      <c r="BW277" s="1689" t="s">
        <v>1413</v>
      </c>
      <c r="BX277" s="1689" t="s">
        <v>889</v>
      </c>
      <c r="BY277" s="1689" t="s">
        <v>907</v>
      </c>
      <c r="BZ277" s="1689" t="s">
        <v>1471</v>
      </c>
      <c r="CA277" s="1689" t="s">
        <v>910</v>
      </c>
      <c r="CB277" s="1689"/>
      <c r="CC277" s="1689"/>
      <c r="CD277" s="1689">
        <v>10</v>
      </c>
      <c r="CE277" s="1689">
        <v>2.6110000000000002</v>
      </c>
      <c r="CF277" s="1689"/>
      <c r="CG277" s="1740">
        <f t="shared" si="45"/>
        <v>2.6110000000000002</v>
      </c>
      <c r="CH277" s="1740">
        <f t="shared" si="52"/>
        <v>26.110000000000003</v>
      </c>
    </row>
    <row r="278" spans="2:86" ht="15.65" customHeight="1">
      <c r="B278" s="149"/>
      <c r="C278" s="1837"/>
      <c r="D278" s="1841"/>
      <c r="E278" s="1840"/>
      <c r="F278" s="1838"/>
      <c r="G278" s="1698"/>
      <c r="S278" s="1698"/>
      <c r="T278" s="1846" t="str">
        <f t="shared" si="46"/>
        <v/>
      </c>
      <c r="U278" s="1847" t="str">
        <f t="shared" si="47"/>
        <v/>
      </c>
      <c r="V278" s="1848"/>
      <c r="W278" s="1849" t="str">
        <f t="shared" si="48"/>
        <v/>
      </c>
      <c r="X278" s="1698"/>
      <c r="AY278" s="1746" t="s">
        <v>2588</v>
      </c>
      <c r="AZ278" s="1746">
        <v>2006</v>
      </c>
      <c r="BA278" s="1746" t="s">
        <v>3183</v>
      </c>
      <c r="BB278" s="1747" t="s">
        <v>3184</v>
      </c>
      <c r="BC278" s="1746">
        <v>1</v>
      </c>
      <c r="BD278" s="1746" t="s">
        <v>2724</v>
      </c>
      <c r="BE278" s="1746"/>
      <c r="BF278" s="1746">
        <v>237.2</v>
      </c>
      <c r="BG278" s="1746" t="s">
        <v>2592</v>
      </c>
      <c r="BH278" s="1744">
        <f t="shared" si="44"/>
        <v>2.3719999999999999E-4</v>
      </c>
      <c r="BI278" s="1745">
        <f t="shared" si="49"/>
        <v>2.3719999999999999E-4</v>
      </c>
      <c r="BJ278" s="1740" t="str">
        <f t="shared" si="50"/>
        <v>pce</v>
      </c>
      <c r="BK278" s="1740" t="str">
        <f t="shared" si="51"/>
        <v>Roll of tape/gauze</v>
      </c>
      <c r="BV278" s="1689" t="s">
        <v>1412</v>
      </c>
      <c r="BW278" s="1689" t="s">
        <v>1413</v>
      </c>
      <c r="BX278" s="1689" t="s">
        <v>889</v>
      </c>
      <c r="BY278" s="1689" t="s">
        <v>907</v>
      </c>
      <c r="BZ278" s="1689" t="s">
        <v>1478</v>
      </c>
      <c r="CA278" s="1689" t="s">
        <v>1479</v>
      </c>
      <c r="CB278" s="1689"/>
      <c r="CC278" s="1689"/>
      <c r="CD278" s="1689">
        <v>20</v>
      </c>
      <c r="CE278" s="1689">
        <v>2.57</v>
      </c>
      <c r="CF278" s="1689"/>
      <c r="CG278" s="1740">
        <f t="shared" si="45"/>
        <v>2.57</v>
      </c>
      <c r="CH278" s="1740">
        <f t="shared" si="52"/>
        <v>51.4</v>
      </c>
    </row>
    <row r="279" spans="2:86" ht="15.65" customHeight="1">
      <c r="B279" s="149"/>
      <c r="C279" s="1837"/>
      <c r="D279" s="1841"/>
      <c r="E279" s="1840"/>
      <c r="F279" s="1838"/>
      <c r="G279" s="1698"/>
      <c r="S279" s="1698"/>
      <c r="T279" s="1846" t="str">
        <f t="shared" si="46"/>
        <v/>
      </c>
      <c r="U279" s="1847" t="str">
        <f t="shared" si="47"/>
        <v/>
      </c>
      <c r="V279" s="1848"/>
      <c r="W279" s="1849" t="str">
        <f t="shared" si="48"/>
        <v/>
      </c>
      <c r="X279" s="1698"/>
      <c r="AY279" s="1746" t="s">
        <v>2593</v>
      </c>
      <c r="AZ279" s="1746">
        <v>2008</v>
      </c>
      <c r="BA279" s="1746" t="s">
        <v>3185</v>
      </c>
      <c r="BB279" s="1747" t="s">
        <v>3186</v>
      </c>
      <c r="BC279" s="1746">
        <v>1</v>
      </c>
      <c r="BD279" s="1746" t="s">
        <v>3187</v>
      </c>
      <c r="BE279" s="1746"/>
      <c r="BF279" s="1746">
        <v>2.5999999999999998E-4</v>
      </c>
      <c r="BG279" s="1746" t="s">
        <v>2597</v>
      </c>
      <c r="BH279" s="1744">
        <f t="shared" si="44"/>
        <v>2.5999999999999998E-4</v>
      </c>
      <c r="BI279" s="1745">
        <f t="shared" si="49"/>
        <v>2.5999999999999998E-4</v>
      </c>
      <c r="BJ279" s="1740" t="str">
        <f t="shared" si="50"/>
        <v>inhal</v>
      </c>
      <c r="BK279" s="1740" t="str">
        <f t="shared" si="51"/>
        <v>Aerosol Inhaler</v>
      </c>
      <c r="BV279" s="1689" t="s">
        <v>1412</v>
      </c>
      <c r="BW279" s="1689" t="s">
        <v>1413</v>
      </c>
      <c r="BX279" s="1689" t="s">
        <v>889</v>
      </c>
      <c r="BY279" s="1689" t="s">
        <v>907</v>
      </c>
      <c r="BZ279" s="1689" t="s">
        <v>1478</v>
      </c>
      <c r="CA279" s="1689" t="s">
        <v>1479</v>
      </c>
      <c r="CB279" s="1689"/>
      <c r="CC279" s="1689"/>
      <c r="CD279" s="1689">
        <v>10</v>
      </c>
      <c r="CE279" s="1689">
        <v>4.3600000000000003</v>
      </c>
      <c r="CF279" s="1689"/>
      <c r="CG279" s="1740">
        <f t="shared" si="45"/>
        <v>4.3600000000000003</v>
      </c>
      <c r="CH279" s="1740">
        <f t="shared" si="52"/>
        <v>43.6</v>
      </c>
    </row>
    <row r="280" spans="2:86" ht="15.65" customHeight="1">
      <c r="B280" s="149"/>
      <c r="C280" s="1837"/>
      <c r="D280" s="1841"/>
      <c r="E280" s="1840"/>
      <c r="F280" s="1838"/>
      <c r="G280" s="1698"/>
      <c r="S280" s="1698"/>
      <c r="T280" s="1846" t="str">
        <f t="shared" si="46"/>
        <v/>
      </c>
      <c r="U280" s="1847" t="str">
        <f t="shared" si="47"/>
        <v/>
      </c>
      <c r="V280" s="1848"/>
      <c r="W280" s="1849" t="str">
        <f t="shared" si="48"/>
        <v/>
      </c>
      <c r="X280" s="1698"/>
      <c r="AY280" s="1746" t="s">
        <v>2593</v>
      </c>
      <c r="AZ280" s="1746">
        <v>2008</v>
      </c>
      <c r="BA280" s="1746" t="s">
        <v>3188</v>
      </c>
      <c r="BB280" s="1747" t="s">
        <v>3189</v>
      </c>
      <c r="BC280" s="1746">
        <v>1</v>
      </c>
      <c r="BD280" s="1746" t="s">
        <v>2933</v>
      </c>
      <c r="BE280" s="1746"/>
      <c r="BF280" s="1746">
        <v>7.4200000000000004E-3</v>
      </c>
      <c r="BG280" s="1746" t="s">
        <v>2597</v>
      </c>
      <c r="BH280" s="1744">
        <f t="shared" si="44"/>
        <v>7.4200000000000004E-3</v>
      </c>
      <c r="BI280" s="1745">
        <f t="shared" si="49"/>
        <v>7.4200000000000004E-3</v>
      </c>
      <c r="BJ280" s="1740" t="str">
        <f t="shared" si="50"/>
        <v>piece</v>
      </c>
      <c r="BK280" s="1740" t="str">
        <f t="shared" si="51"/>
        <v>Medical equipment</v>
      </c>
      <c r="BV280" s="1689" t="s">
        <v>1482</v>
      </c>
      <c r="BW280" s="1689" t="s">
        <v>1483</v>
      </c>
      <c r="BX280" s="1689" t="s">
        <v>889</v>
      </c>
      <c r="BY280" s="1689" t="s">
        <v>890</v>
      </c>
      <c r="BZ280" s="1689" t="s">
        <v>1484</v>
      </c>
      <c r="CA280" s="1689" t="s">
        <v>916</v>
      </c>
      <c r="CB280" s="1689"/>
      <c r="CC280" s="1689"/>
      <c r="CD280" s="1689">
        <v>10</v>
      </c>
      <c r="CE280" s="1689">
        <v>3.2</v>
      </c>
      <c r="CF280" s="1689"/>
      <c r="CG280" s="1740">
        <f t="shared" si="45"/>
        <v>3.2</v>
      </c>
      <c r="CH280" s="1740">
        <f t="shared" si="52"/>
        <v>32</v>
      </c>
    </row>
    <row r="281" spans="2:86" ht="15.65" customHeight="1">
      <c r="B281" s="149"/>
      <c r="C281" s="1837"/>
      <c r="D281" s="1841"/>
      <c r="E281" s="1840"/>
      <c r="F281" s="1838"/>
      <c r="G281" s="1698"/>
      <c r="S281" s="1698"/>
      <c r="T281" s="1846" t="str">
        <f t="shared" si="46"/>
        <v/>
      </c>
      <c r="U281" s="1847" t="str">
        <f t="shared" si="47"/>
        <v/>
      </c>
      <c r="V281" s="1848"/>
      <c r="W281" s="1849" t="str">
        <f t="shared" si="48"/>
        <v/>
      </c>
      <c r="X281" s="1698"/>
      <c r="AY281" s="1746" t="s">
        <v>2593</v>
      </c>
      <c r="AZ281" s="1746">
        <v>2008</v>
      </c>
      <c r="BA281" s="1746" t="s">
        <v>3190</v>
      </c>
      <c r="BB281" s="1747" t="s">
        <v>3191</v>
      </c>
      <c r="BC281" s="1746">
        <v>1</v>
      </c>
      <c r="BD281" s="1746" t="s">
        <v>2933</v>
      </c>
      <c r="BE281" s="1746"/>
      <c r="BF281" s="1746">
        <v>0.25480000000000003</v>
      </c>
      <c r="BG281" s="1746" t="s">
        <v>2597</v>
      </c>
      <c r="BH281" s="1744">
        <f t="shared" ref="BH281:BH344" si="53">IF(BG281="CCM",BF281/1000000,IF(BG281="CDM",BF281/1000, IF(BG281="M3",BF281,"")))</f>
        <v>0.25480000000000003</v>
      </c>
      <c r="BI281" s="1745">
        <f t="shared" si="49"/>
        <v>0.25480000000000003</v>
      </c>
      <c r="BJ281" s="1740" t="str">
        <f t="shared" si="50"/>
        <v>piece</v>
      </c>
      <c r="BK281" s="1740" t="str">
        <f t="shared" si="51"/>
        <v>Medical equipment</v>
      </c>
      <c r="BV281" s="1689" t="s">
        <v>1482</v>
      </c>
      <c r="BW281" s="1689" t="s">
        <v>1483</v>
      </c>
      <c r="BX281" s="1689" t="s">
        <v>889</v>
      </c>
      <c r="BY281" s="1689" t="s">
        <v>890</v>
      </c>
      <c r="BZ281" s="1689" t="s">
        <v>1484</v>
      </c>
      <c r="CA281" s="1689" t="s">
        <v>910</v>
      </c>
      <c r="CB281" s="1689"/>
      <c r="CC281" s="1689"/>
      <c r="CD281" s="1689">
        <v>20</v>
      </c>
      <c r="CE281" s="1689">
        <v>0.24</v>
      </c>
      <c r="CF281" s="1689"/>
      <c r="CG281" s="1740">
        <f t="shared" si="45"/>
        <v>0.24</v>
      </c>
      <c r="CH281" s="1740">
        <f t="shared" si="52"/>
        <v>4.8</v>
      </c>
    </row>
    <row r="282" spans="2:86" ht="15.65" customHeight="1">
      <c r="B282" s="149"/>
      <c r="C282" s="1837"/>
      <c r="D282" s="1841"/>
      <c r="E282" s="1840"/>
      <c r="F282" s="1838"/>
      <c r="G282" s="1698"/>
      <c r="S282" s="1698"/>
      <c r="T282" s="1846" t="str">
        <f t="shared" si="46"/>
        <v/>
      </c>
      <c r="U282" s="1847" t="str">
        <f t="shared" si="47"/>
        <v/>
      </c>
      <c r="V282" s="1848"/>
      <c r="W282" s="1849" t="str">
        <f t="shared" si="48"/>
        <v/>
      </c>
      <c r="X282" s="1698"/>
      <c r="AY282" s="1746" t="s">
        <v>2593</v>
      </c>
      <c r="AZ282" s="1746">
        <v>2008</v>
      </c>
      <c r="BA282" s="1746" t="s">
        <v>3192</v>
      </c>
      <c r="BB282" s="1747" t="s">
        <v>3193</v>
      </c>
      <c r="BC282" s="1746">
        <v>1</v>
      </c>
      <c r="BD282" s="1746" t="s">
        <v>2933</v>
      </c>
      <c r="BE282" s="1746"/>
      <c r="BF282" s="1746">
        <v>0</v>
      </c>
      <c r="BG282" s="1746" t="s">
        <v>2597</v>
      </c>
      <c r="BH282" s="1744">
        <f t="shared" si="53"/>
        <v>0</v>
      </c>
      <c r="BI282" s="1745">
        <f t="shared" si="49"/>
        <v>0</v>
      </c>
      <c r="BJ282" s="1740" t="str">
        <f t="shared" si="50"/>
        <v>piece</v>
      </c>
      <c r="BK282" s="1740" t="str">
        <f t="shared" si="51"/>
        <v>Medical equipment</v>
      </c>
      <c r="BV282" s="1689" t="s">
        <v>1482</v>
      </c>
      <c r="BW282" s="1689" t="s">
        <v>1483</v>
      </c>
      <c r="BX282" s="1689" t="s">
        <v>889</v>
      </c>
      <c r="BY282" s="1689" t="s">
        <v>890</v>
      </c>
      <c r="BZ282" s="1689" t="s">
        <v>1487</v>
      </c>
      <c r="CA282" s="1689" t="s">
        <v>938</v>
      </c>
      <c r="CB282" s="1689"/>
      <c r="CC282" s="1689"/>
      <c r="CD282" s="1689" t="s">
        <v>990</v>
      </c>
      <c r="CE282" s="1689"/>
      <c r="CF282" s="1689"/>
      <c r="CG282" s="1740"/>
      <c r="CH282" s="1740" t="str">
        <f t="shared" si="52"/>
        <v/>
      </c>
    </row>
    <row r="283" spans="2:86" ht="15.65" customHeight="1">
      <c r="B283" s="149"/>
      <c r="C283" s="1837"/>
      <c r="D283" s="1841"/>
      <c r="E283" s="1840"/>
      <c r="F283" s="1838"/>
      <c r="G283" s="1698"/>
      <c r="S283" s="1698"/>
      <c r="T283" s="1846" t="str">
        <f t="shared" si="46"/>
        <v/>
      </c>
      <c r="U283" s="1847" t="str">
        <f t="shared" si="47"/>
        <v/>
      </c>
      <c r="V283" s="1848"/>
      <c r="W283" s="1849" t="str">
        <f t="shared" si="48"/>
        <v/>
      </c>
      <c r="X283" s="1698"/>
      <c r="AY283" s="1746" t="s">
        <v>2575</v>
      </c>
      <c r="AZ283" s="1746">
        <v>2008</v>
      </c>
      <c r="BA283" s="1746" t="s">
        <v>3194</v>
      </c>
      <c r="BB283" s="1747" t="s">
        <v>3195</v>
      </c>
      <c r="BC283" s="1746" t="s">
        <v>2578</v>
      </c>
      <c r="BD283" s="1746" t="s">
        <v>2579</v>
      </c>
      <c r="BE283" s="1746" t="s">
        <v>3196</v>
      </c>
      <c r="BF283" s="1746">
        <v>0.91100000000000003</v>
      </c>
      <c r="BG283" s="1746" t="s">
        <v>2597</v>
      </c>
      <c r="BH283" s="1744">
        <f t="shared" si="53"/>
        <v>0.91100000000000003</v>
      </c>
      <c r="BI283" s="1745" t="str">
        <f t="shared" si="49"/>
        <v/>
      </c>
      <c r="BJ283" s="1740" t="str">
        <f t="shared" si="50"/>
        <v>EA-Other hosp. equip.</v>
      </c>
      <c r="BK283" s="1740" t="str">
        <f t="shared" si="51"/>
        <v>Medical equipment</v>
      </c>
      <c r="BV283" s="1689" t="s">
        <v>1482</v>
      </c>
      <c r="BW283" s="1689" t="s">
        <v>1483</v>
      </c>
      <c r="BX283" s="1689" t="s">
        <v>889</v>
      </c>
      <c r="BY283" s="1689" t="s">
        <v>890</v>
      </c>
      <c r="BZ283" s="1689" t="s">
        <v>1487</v>
      </c>
      <c r="CA283" s="1689" t="s">
        <v>938</v>
      </c>
      <c r="CB283" s="1689"/>
      <c r="CC283" s="1689"/>
      <c r="CD283" s="1689" t="s">
        <v>869</v>
      </c>
      <c r="CE283" s="1689"/>
      <c r="CF283" s="1689"/>
      <c r="CG283" s="1740"/>
      <c r="CH283" s="1740" t="str">
        <f t="shared" si="52"/>
        <v/>
      </c>
    </row>
    <row r="284" spans="2:86" ht="15.65" customHeight="1">
      <c r="B284" s="149"/>
      <c r="C284" s="1837"/>
      <c r="D284" s="1841"/>
      <c r="E284" s="1840"/>
      <c r="F284" s="1838"/>
      <c r="G284" s="1698"/>
      <c r="S284" s="1698"/>
      <c r="T284" s="1846" t="str">
        <f t="shared" si="46"/>
        <v/>
      </c>
      <c r="U284" s="1847" t="str">
        <f t="shared" si="47"/>
        <v/>
      </c>
      <c r="V284" s="1848"/>
      <c r="W284" s="1849" t="str">
        <f t="shared" si="48"/>
        <v/>
      </c>
      <c r="X284" s="1698"/>
      <c r="AY284" s="1746" t="s">
        <v>2575</v>
      </c>
      <c r="AZ284" s="1746">
        <v>2008</v>
      </c>
      <c r="BA284" s="1746" t="s">
        <v>3197</v>
      </c>
      <c r="BB284" s="1747" t="s">
        <v>3198</v>
      </c>
      <c r="BC284" s="1746" t="s">
        <v>2578</v>
      </c>
      <c r="BD284" s="1746" t="s">
        <v>2579</v>
      </c>
      <c r="BE284" s="1746" t="s">
        <v>3196</v>
      </c>
      <c r="BF284" s="1746">
        <v>0.50600000000000001</v>
      </c>
      <c r="BG284" s="1746" t="s">
        <v>2597</v>
      </c>
      <c r="BH284" s="1744">
        <f t="shared" si="53"/>
        <v>0.50600000000000001</v>
      </c>
      <c r="BI284" s="1745" t="str">
        <f t="shared" si="49"/>
        <v/>
      </c>
      <c r="BJ284" s="1740" t="str">
        <f t="shared" si="50"/>
        <v>EA-Other hosp. equip.</v>
      </c>
      <c r="BK284" s="1740" t="str">
        <f t="shared" si="51"/>
        <v>Medical equipment</v>
      </c>
      <c r="BV284" s="1689" t="s">
        <v>1482</v>
      </c>
      <c r="BW284" s="1689" t="s">
        <v>1483</v>
      </c>
      <c r="BX284" s="1689" t="s">
        <v>889</v>
      </c>
      <c r="BY284" s="1689" t="s">
        <v>890</v>
      </c>
      <c r="BZ284" s="1689" t="s">
        <v>1490</v>
      </c>
      <c r="CA284" s="1689" t="s">
        <v>1491</v>
      </c>
      <c r="CB284" s="1689"/>
      <c r="CC284" s="1689"/>
      <c r="CD284" s="1689" t="s">
        <v>990</v>
      </c>
      <c r="CE284" s="1689"/>
      <c r="CF284" s="1689"/>
      <c r="CG284" s="1740"/>
      <c r="CH284" s="1740" t="str">
        <f t="shared" si="52"/>
        <v/>
      </c>
    </row>
    <row r="285" spans="2:86" ht="15.65" customHeight="1">
      <c r="B285" s="149"/>
      <c r="C285" s="1837"/>
      <c r="D285" s="1841"/>
      <c r="E285" s="1840"/>
      <c r="F285" s="1838"/>
      <c r="G285" s="1698"/>
      <c r="S285" s="1698"/>
      <c r="T285" s="1846" t="str">
        <f t="shared" si="46"/>
        <v/>
      </c>
      <c r="U285" s="1847" t="str">
        <f t="shared" si="47"/>
        <v/>
      </c>
      <c r="V285" s="1848"/>
      <c r="W285" s="1849" t="str">
        <f t="shared" si="48"/>
        <v/>
      </c>
      <c r="X285" s="1698"/>
      <c r="AY285" s="1746" t="s">
        <v>2575</v>
      </c>
      <c r="AZ285" s="1746">
        <v>2008</v>
      </c>
      <c r="BA285" s="1746" t="s">
        <v>3199</v>
      </c>
      <c r="BB285" s="1747" t="s">
        <v>3200</v>
      </c>
      <c r="BC285" s="1746" t="s">
        <v>2578</v>
      </c>
      <c r="BD285" s="1746" t="s">
        <v>2579</v>
      </c>
      <c r="BE285" s="1746" t="s">
        <v>3196</v>
      </c>
      <c r="BF285" s="1746">
        <v>0.55000000000000004</v>
      </c>
      <c r="BG285" s="1746" t="s">
        <v>2597</v>
      </c>
      <c r="BH285" s="1744">
        <f t="shared" si="53"/>
        <v>0.55000000000000004</v>
      </c>
      <c r="BI285" s="1745" t="str">
        <f t="shared" si="49"/>
        <v/>
      </c>
      <c r="BJ285" s="1740" t="str">
        <f t="shared" si="50"/>
        <v>EA-Other hosp. equip.</v>
      </c>
      <c r="BK285" s="1740" t="str">
        <f t="shared" si="51"/>
        <v>Medical equipment</v>
      </c>
      <c r="BV285" s="1689" t="s">
        <v>1482</v>
      </c>
      <c r="BW285" s="1689" t="s">
        <v>1483</v>
      </c>
      <c r="BX285" s="1689" t="s">
        <v>889</v>
      </c>
      <c r="BY285" s="1689" t="s">
        <v>890</v>
      </c>
      <c r="BZ285" s="1689" t="s">
        <v>1490</v>
      </c>
      <c r="CA285" s="1689" t="s">
        <v>1491</v>
      </c>
      <c r="CB285" s="1689"/>
      <c r="CC285" s="1689"/>
      <c r="CD285" s="1689" t="s">
        <v>869</v>
      </c>
      <c r="CE285" s="1689"/>
      <c r="CF285" s="1689"/>
      <c r="CG285" s="1740"/>
      <c r="CH285" s="1740" t="str">
        <f t="shared" si="52"/>
        <v/>
      </c>
    </row>
    <row r="286" spans="2:86" ht="15.65" customHeight="1">
      <c r="B286" s="149"/>
      <c r="C286" s="1837"/>
      <c r="D286" s="1841"/>
      <c r="E286" s="1840"/>
      <c r="F286" s="1838"/>
      <c r="G286" s="1698"/>
      <c r="S286" s="1698"/>
      <c r="T286" s="1846" t="str">
        <f t="shared" si="46"/>
        <v/>
      </c>
      <c r="U286" s="1847" t="str">
        <f t="shared" si="47"/>
        <v/>
      </c>
      <c r="V286" s="1848"/>
      <c r="W286" s="1849" t="str">
        <f t="shared" si="48"/>
        <v/>
      </c>
      <c r="X286" s="1698"/>
      <c r="AY286" s="1746" t="s">
        <v>2575</v>
      </c>
      <c r="AZ286" s="1746">
        <v>2008</v>
      </c>
      <c r="BA286" s="1746" t="s">
        <v>3201</v>
      </c>
      <c r="BB286" s="1747" t="s">
        <v>3202</v>
      </c>
      <c r="BC286" s="1746" t="s">
        <v>2578</v>
      </c>
      <c r="BD286" s="1746" t="s">
        <v>2579</v>
      </c>
      <c r="BE286" s="1746" t="s">
        <v>3130</v>
      </c>
      <c r="BF286" s="1746">
        <v>10.08</v>
      </c>
      <c r="BG286" s="1746" t="s">
        <v>2581</v>
      </c>
      <c r="BH286" s="1744">
        <f t="shared" si="53"/>
        <v>1.008E-2</v>
      </c>
      <c r="BI286" s="1745" t="str">
        <f t="shared" si="49"/>
        <v/>
      </c>
      <c r="BJ286" s="1740" t="str">
        <f t="shared" si="50"/>
        <v>EA-Plastic utensils</v>
      </c>
      <c r="BK286" s="1740" t="str">
        <f t="shared" si="51"/>
        <v>Medical equipment</v>
      </c>
      <c r="BV286" s="1689" t="s">
        <v>1482</v>
      </c>
      <c r="BW286" s="1689" t="s">
        <v>1483</v>
      </c>
      <c r="BX286" s="1689" t="s">
        <v>889</v>
      </c>
      <c r="BY286" s="1689" t="s">
        <v>890</v>
      </c>
      <c r="BZ286" s="1689" t="s">
        <v>1494</v>
      </c>
      <c r="CA286" s="1689" t="s">
        <v>1223</v>
      </c>
      <c r="CB286" s="1689"/>
      <c r="CC286" s="1689"/>
      <c r="CD286" s="1689" t="s">
        <v>990</v>
      </c>
      <c r="CE286" s="1689">
        <v>5.6</v>
      </c>
      <c r="CF286" s="1689"/>
      <c r="CG286" s="1740">
        <f t="shared" si="45"/>
        <v>5.6</v>
      </c>
      <c r="CH286" s="1740" t="str">
        <f t="shared" si="52"/>
        <v/>
      </c>
    </row>
    <row r="287" spans="2:86" ht="15.65" customHeight="1">
      <c r="B287" s="149"/>
      <c r="C287" s="1837"/>
      <c r="D287" s="1841"/>
      <c r="E287" s="1840"/>
      <c r="F287" s="1838"/>
      <c r="G287" s="1698"/>
      <c r="S287" s="1698"/>
      <c r="T287" s="1846" t="str">
        <f t="shared" si="46"/>
        <v/>
      </c>
      <c r="U287" s="1847" t="str">
        <f t="shared" si="47"/>
        <v/>
      </c>
      <c r="V287" s="1848"/>
      <c r="W287" s="1849" t="str">
        <f t="shared" si="48"/>
        <v/>
      </c>
      <c r="X287" s="1698"/>
      <c r="AY287" s="1746" t="s">
        <v>2575</v>
      </c>
      <c r="AZ287" s="1746">
        <v>2008</v>
      </c>
      <c r="BA287" s="1746" t="s">
        <v>3203</v>
      </c>
      <c r="BB287" s="1747" t="s">
        <v>3204</v>
      </c>
      <c r="BC287" s="1746" t="s">
        <v>2578</v>
      </c>
      <c r="BD287" s="1746" t="s">
        <v>2579</v>
      </c>
      <c r="BE287" s="1746" t="s">
        <v>3196</v>
      </c>
      <c r="BF287" s="1746">
        <v>0.09</v>
      </c>
      <c r="BG287" s="1746" t="s">
        <v>2597</v>
      </c>
      <c r="BH287" s="1744">
        <f t="shared" si="53"/>
        <v>0.09</v>
      </c>
      <c r="BI287" s="1745" t="str">
        <f t="shared" si="49"/>
        <v/>
      </c>
      <c r="BJ287" s="1740" t="str">
        <f t="shared" si="50"/>
        <v>EA-Other hosp. equip.</v>
      </c>
      <c r="BK287" s="1740" t="str">
        <f t="shared" si="51"/>
        <v>Medical equipment</v>
      </c>
      <c r="BV287" s="1689" t="s">
        <v>1482</v>
      </c>
      <c r="BW287" s="1689" t="s">
        <v>1483</v>
      </c>
      <c r="BX287" s="1689" t="s">
        <v>889</v>
      </c>
      <c r="BY287" s="1689" t="s">
        <v>890</v>
      </c>
      <c r="BZ287" s="1689" t="s">
        <v>1494</v>
      </c>
      <c r="CA287" s="1689" t="s">
        <v>916</v>
      </c>
      <c r="CB287" s="1689"/>
      <c r="CC287" s="1689"/>
      <c r="CD287" s="1689">
        <v>10</v>
      </c>
      <c r="CE287" s="1689">
        <v>0.97</v>
      </c>
      <c r="CF287" s="1689"/>
      <c r="CG287" s="1740">
        <f t="shared" si="45"/>
        <v>0.97</v>
      </c>
      <c r="CH287" s="1740">
        <f t="shared" si="52"/>
        <v>9.6999999999999993</v>
      </c>
    </row>
    <row r="288" spans="2:86" ht="15.65" customHeight="1">
      <c r="B288" s="149"/>
      <c r="C288" s="1837"/>
      <c r="D288" s="1841"/>
      <c r="E288" s="1840"/>
      <c r="F288" s="1838"/>
      <c r="G288" s="1698"/>
      <c r="S288" s="1698"/>
      <c r="T288" s="1846" t="str">
        <f t="shared" si="46"/>
        <v/>
      </c>
      <c r="U288" s="1847" t="str">
        <f t="shared" si="47"/>
        <v/>
      </c>
      <c r="V288" s="1848"/>
      <c r="W288" s="1849" t="str">
        <f t="shared" si="48"/>
        <v/>
      </c>
      <c r="X288" s="1698"/>
      <c r="AY288" s="1746" t="s">
        <v>2575</v>
      </c>
      <c r="AZ288" s="1746">
        <v>2008</v>
      </c>
      <c r="BA288" s="1746" t="s">
        <v>3205</v>
      </c>
      <c r="BB288" s="1747" t="s">
        <v>3206</v>
      </c>
      <c r="BC288" s="1746" t="s">
        <v>2578</v>
      </c>
      <c r="BD288" s="1746" t="s">
        <v>2903</v>
      </c>
      <c r="BE288" s="1746" t="s">
        <v>2833</v>
      </c>
      <c r="BF288" s="1746">
        <v>1.3560000000000001</v>
      </c>
      <c r="BG288" s="1746" t="s">
        <v>2581</v>
      </c>
      <c r="BH288" s="1744">
        <f t="shared" si="53"/>
        <v>1.356E-3</v>
      </c>
      <c r="BI288" s="1745" t="str">
        <f t="shared" si="49"/>
        <v/>
      </c>
      <c r="BJ288" s="1740" t="str">
        <f t="shared" si="50"/>
        <v>BOX-ß-lactams</v>
      </c>
      <c r="BK288" s="1740" t="str">
        <f t="shared" si="51"/>
        <v>Injection Vial</v>
      </c>
      <c r="BV288" s="1689" t="s">
        <v>1482</v>
      </c>
      <c r="BW288" s="1689" t="s">
        <v>1483</v>
      </c>
      <c r="BX288" s="1689" t="s">
        <v>889</v>
      </c>
      <c r="BY288" s="1689" t="s">
        <v>890</v>
      </c>
      <c r="BZ288" s="1689" t="s">
        <v>1494</v>
      </c>
      <c r="CA288" s="1689" t="s">
        <v>916</v>
      </c>
      <c r="CB288" s="1689"/>
      <c r="CC288" s="1689"/>
      <c r="CD288" s="1689">
        <v>20</v>
      </c>
      <c r="CE288" s="1689">
        <v>0.48</v>
      </c>
      <c r="CF288" s="1689"/>
      <c r="CG288" s="1740">
        <f t="shared" si="45"/>
        <v>0.48</v>
      </c>
      <c r="CH288" s="1740">
        <f t="shared" si="52"/>
        <v>9.6</v>
      </c>
    </row>
    <row r="289" spans="2:86" ht="15.65" customHeight="1">
      <c r="B289" s="149"/>
      <c r="C289" s="1837"/>
      <c r="D289" s="1841"/>
      <c r="E289" s="1840"/>
      <c r="F289" s="1838"/>
      <c r="G289" s="1698"/>
      <c r="S289" s="1698"/>
      <c r="T289" s="1846" t="str">
        <f t="shared" si="46"/>
        <v/>
      </c>
      <c r="U289" s="1847" t="str">
        <f t="shared" si="47"/>
        <v/>
      </c>
      <c r="V289" s="1848"/>
      <c r="W289" s="1849" t="str">
        <f t="shared" si="48"/>
        <v/>
      </c>
      <c r="X289" s="1698"/>
      <c r="AY289" s="1746" t="s">
        <v>2575</v>
      </c>
      <c r="AZ289" s="1746">
        <v>2008</v>
      </c>
      <c r="BA289" s="1746" t="s">
        <v>3207</v>
      </c>
      <c r="BB289" s="1747" t="s">
        <v>3208</v>
      </c>
      <c r="BC289" s="1746" t="s">
        <v>2578</v>
      </c>
      <c r="BD289" s="1746" t="s">
        <v>2680</v>
      </c>
      <c r="BE289" s="1746" t="s">
        <v>3209</v>
      </c>
      <c r="BF289" s="1746">
        <v>0.21299999999999999</v>
      </c>
      <c r="BG289" s="1746" t="s">
        <v>2581</v>
      </c>
      <c r="BH289" s="1744">
        <f t="shared" si="53"/>
        <v>2.13E-4</v>
      </c>
      <c r="BI289" s="1745" t="str">
        <f t="shared" si="49"/>
        <v/>
      </c>
      <c r="BJ289" s="1740" t="str">
        <f t="shared" si="50"/>
        <v>TBE-Dermatological drugs</v>
      </c>
      <c r="BK289" s="1740" t="str">
        <f t="shared" si="51"/>
        <v>Tube of ointment</v>
      </c>
      <c r="BV289" s="1689" t="s">
        <v>1482</v>
      </c>
      <c r="BW289" s="1689" t="s">
        <v>1483</v>
      </c>
      <c r="BX289" s="1689" t="s">
        <v>889</v>
      </c>
      <c r="BY289" s="1689" t="s">
        <v>890</v>
      </c>
      <c r="BZ289" s="1689" t="s">
        <v>1497</v>
      </c>
      <c r="CA289" s="1689" t="s">
        <v>910</v>
      </c>
      <c r="CB289" s="1689"/>
      <c r="CC289" s="1689"/>
      <c r="CD289" s="1689">
        <v>20</v>
      </c>
      <c r="CE289" s="1689">
        <v>1.1100000000000001</v>
      </c>
      <c r="CF289" s="1689"/>
      <c r="CG289" s="1740">
        <f t="shared" si="45"/>
        <v>1.1100000000000001</v>
      </c>
      <c r="CH289" s="1740">
        <f t="shared" si="52"/>
        <v>22.200000000000003</v>
      </c>
    </row>
    <row r="290" spans="2:86" ht="15.65" customHeight="1">
      <c r="B290" s="149"/>
      <c r="C290" s="1837"/>
      <c r="D290" s="1841"/>
      <c r="E290" s="1840"/>
      <c r="F290" s="1838"/>
      <c r="G290" s="1698"/>
      <c r="S290" s="1698"/>
      <c r="T290" s="1846" t="str">
        <f t="shared" si="46"/>
        <v/>
      </c>
      <c r="U290" s="1847" t="str">
        <f t="shared" si="47"/>
        <v/>
      </c>
      <c r="V290" s="1848"/>
      <c r="W290" s="1849" t="str">
        <f t="shared" si="48"/>
        <v/>
      </c>
      <c r="X290" s="1698"/>
      <c r="AY290" s="1746" t="s">
        <v>2575</v>
      </c>
      <c r="AZ290" s="1746">
        <v>2008</v>
      </c>
      <c r="BA290" s="1746" t="s">
        <v>3210</v>
      </c>
      <c r="BB290" s="1747" t="s">
        <v>3211</v>
      </c>
      <c r="BC290" s="1746" t="s">
        <v>2578</v>
      </c>
      <c r="BD290" s="1746" t="s">
        <v>2903</v>
      </c>
      <c r="BE290" s="1746" t="s">
        <v>2833</v>
      </c>
      <c r="BF290" s="1746">
        <v>2.6619999999999999</v>
      </c>
      <c r="BG290" s="1746" t="s">
        <v>2581</v>
      </c>
      <c r="BH290" s="1744">
        <f t="shared" si="53"/>
        <v>2.6619999999999999E-3</v>
      </c>
      <c r="BI290" s="1745" t="str">
        <f t="shared" si="49"/>
        <v/>
      </c>
      <c r="BJ290" s="1740" t="str">
        <f t="shared" si="50"/>
        <v>BOX-ß-lactams</v>
      </c>
      <c r="BK290" s="1740" t="str">
        <f t="shared" si="51"/>
        <v>Injection Vial</v>
      </c>
      <c r="BV290" s="1689" t="s">
        <v>1482</v>
      </c>
      <c r="BW290" s="1689" t="s">
        <v>1483</v>
      </c>
      <c r="BX290" s="1689" t="s">
        <v>889</v>
      </c>
      <c r="BY290" s="1689" t="s">
        <v>890</v>
      </c>
      <c r="BZ290" s="1689" t="s">
        <v>1499</v>
      </c>
      <c r="CA290" s="1689" t="s">
        <v>910</v>
      </c>
      <c r="CB290" s="1689"/>
      <c r="CC290" s="1689"/>
      <c r="CD290" s="1689">
        <v>20</v>
      </c>
      <c r="CE290" s="1689">
        <v>1</v>
      </c>
      <c r="CF290" s="1689"/>
      <c r="CG290" s="1740">
        <f t="shared" si="45"/>
        <v>1</v>
      </c>
      <c r="CH290" s="1740">
        <f t="shared" si="52"/>
        <v>20</v>
      </c>
    </row>
    <row r="291" spans="2:86" ht="15.65" customHeight="1">
      <c r="B291" s="149"/>
      <c r="C291" s="1842"/>
      <c r="D291" s="1844"/>
      <c r="E291" s="1840"/>
      <c r="F291" s="1843"/>
      <c r="G291" s="1698"/>
      <c r="H291" s="1751"/>
      <c r="I291" s="1751"/>
      <c r="S291" s="1698"/>
      <c r="T291" s="1846" t="str">
        <f t="shared" si="46"/>
        <v/>
      </c>
      <c r="U291" s="1847" t="str">
        <f t="shared" si="47"/>
        <v/>
      </c>
      <c r="V291" s="1848"/>
      <c r="W291" s="1849" t="str">
        <f t="shared" si="48"/>
        <v/>
      </c>
      <c r="X291" s="1698"/>
      <c r="AY291" s="1746" t="s">
        <v>2593</v>
      </c>
      <c r="AZ291" s="1746">
        <v>2008</v>
      </c>
      <c r="BA291" s="1746" t="s">
        <v>3212</v>
      </c>
      <c r="BB291" s="1747" t="s">
        <v>3213</v>
      </c>
      <c r="BC291" s="1746">
        <v>50</v>
      </c>
      <c r="BD291" s="1746" t="s">
        <v>2795</v>
      </c>
      <c r="BE291" s="1746"/>
      <c r="BF291" s="1746">
        <v>1.5900000000000001E-3</v>
      </c>
      <c r="BG291" s="1746" t="s">
        <v>2597</v>
      </c>
      <c r="BH291" s="1744">
        <f t="shared" si="53"/>
        <v>1.5900000000000001E-3</v>
      </c>
      <c r="BI291" s="1745">
        <f t="shared" si="49"/>
        <v>3.18E-5</v>
      </c>
      <c r="BJ291" s="1740" t="str">
        <f t="shared" si="50"/>
        <v>vials</v>
      </c>
      <c r="BK291" s="1740" t="str">
        <f t="shared" si="51"/>
        <v>Injection Vial</v>
      </c>
      <c r="BV291" s="1689" t="s">
        <v>1501</v>
      </c>
      <c r="BW291" s="1689" t="s">
        <v>1502</v>
      </c>
      <c r="BX291" s="1689" t="s">
        <v>889</v>
      </c>
      <c r="BY291" s="1689" t="s">
        <v>907</v>
      </c>
      <c r="BZ291" s="1689"/>
      <c r="CA291" s="1689" t="s">
        <v>908</v>
      </c>
      <c r="CB291" s="1689"/>
      <c r="CC291" s="1689"/>
      <c r="CD291" s="1689">
        <v>20</v>
      </c>
      <c r="CE291" s="1689">
        <v>2.4329999999999998</v>
      </c>
      <c r="CF291" s="1689"/>
      <c r="CG291" s="1740">
        <f t="shared" si="45"/>
        <v>2.4329999999999998</v>
      </c>
      <c r="CH291" s="1740">
        <f t="shared" si="52"/>
        <v>48.66</v>
      </c>
    </row>
    <row r="292" spans="2:86" ht="15.65" customHeight="1">
      <c r="B292" s="149"/>
      <c r="C292" s="1842"/>
      <c r="D292" s="1841"/>
      <c r="E292" s="1840"/>
      <c r="F292" s="1845"/>
      <c r="G292" s="1698"/>
      <c r="H292" s="1752"/>
      <c r="I292" s="1752"/>
      <c r="S292" s="1698"/>
      <c r="T292" s="1846" t="str">
        <f t="shared" si="46"/>
        <v/>
      </c>
      <c r="U292" s="1847" t="str">
        <f t="shared" si="47"/>
        <v/>
      </c>
      <c r="V292" s="1848"/>
      <c r="W292" s="1849" t="str">
        <f t="shared" si="48"/>
        <v/>
      </c>
      <c r="X292" s="1698"/>
      <c r="AY292" s="1746" t="s">
        <v>2593</v>
      </c>
      <c r="AZ292" s="1746">
        <v>2008</v>
      </c>
      <c r="BA292" s="1746" t="s">
        <v>3214</v>
      </c>
      <c r="BB292" s="1747" t="s">
        <v>3215</v>
      </c>
      <c r="BC292" s="1746">
        <v>50</v>
      </c>
      <c r="BD292" s="1746" t="s">
        <v>2795</v>
      </c>
      <c r="BE292" s="1746"/>
      <c r="BF292" s="1746">
        <v>3.0799999999999998E-3</v>
      </c>
      <c r="BG292" s="1746" t="s">
        <v>2597</v>
      </c>
      <c r="BH292" s="1744">
        <f t="shared" si="53"/>
        <v>3.0799999999999998E-3</v>
      </c>
      <c r="BI292" s="1745">
        <f t="shared" si="49"/>
        <v>6.1599999999999993E-5</v>
      </c>
      <c r="BJ292" s="1740" t="str">
        <f t="shared" si="50"/>
        <v>vials</v>
      </c>
      <c r="BK292" s="1740" t="str">
        <f t="shared" si="51"/>
        <v>Injection Vial</v>
      </c>
      <c r="BV292" s="1689" t="s">
        <v>1501</v>
      </c>
      <c r="BW292" s="1689" t="s">
        <v>1502</v>
      </c>
      <c r="BX292" s="1689" t="s">
        <v>889</v>
      </c>
      <c r="BY292" s="1689" t="s">
        <v>907</v>
      </c>
      <c r="BZ292" s="1689"/>
      <c r="CA292" s="1689" t="s">
        <v>910</v>
      </c>
      <c r="CB292" s="1689"/>
      <c r="CC292" s="1689"/>
      <c r="CD292" s="1689">
        <v>10</v>
      </c>
      <c r="CE292" s="1689">
        <v>2.6110000000000002</v>
      </c>
      <c r="CF292" s="1689"/>
      <c r="CG292" s="1740">
        <f t="shared" si="45"/>
        <v>2.6110000000000002</v>
      </c>
      <c r="CH292" s="1740">
        <f t="shared" si="52"/>
        <v>26.110000000000003</v>
      </c>
    </row>
    <row r="293" spans="2:86" ht="15.65" customHeight="1">
      <c r="B293" s="149"/>
      <c r="C293" s="1842"/>
      <c r="D293" s="1841"/>
      <c r="E293" s="1840"/>
      <c r="F293" s="1845"/>
      <c r="G293" s="1698"/>
      <c r="H293" s="1752"/>
      <c r="I293" s="1752"/>
      <c r="S293" s="1698"/>
      <c r="T293" s="1846" t="str">
        <f t="shared" si="46"/>
        <v/>
      </c>
      <c r="U293" s="1847" t="str">
        <f t="shared" si="47"/>
        <v/>
      </c>
      <c r="V293" s="1848"/>
      <c r="W293" s="1849" t="str">
        <f t="shared" si="48"/>
        <v/>
      </c>
      <c r="X293" s="1698"/>
      <c r="AY293" s="1746" t="s">
        <v>2588</v>
      </c>
      <c r="AZ293" s="1746">
        <v>2006</v>
      </c>
      <c r="BA293" s="1746" t="s">
        <v>3216</v>
      </c>
      <c r="BB293" s="1747" t="s">
        <v>3217</v>
      </c>
      <c r="BC293" s="1746">
        <v>50</v>
      </c>
      <c r="BD293" s="1746" t="s">
        <v>2795</v>
      </c>
      <c r="BE293" s="1746"/>
      <c r="BF293" s="1746">
        <v>1789</v>
      </c>
      <c r="BG293" s="1746" t="s">
        <v>2592</v>
      </c>
      <c r="BH293" s="1744">
        <f t="shared" si="53"/>
        <v>1.789E-3</v>
      </c>
      <c r="BI293" s="1745">
        <f t="shared" si="49"/>
        <v>3.578E-5</v>
      </c>
      <c r="BJ293" s="1740" t="str">
        <f t="shared" si="50"/>
        <v>vials</v>
      </c>
      <c r="BK293" s="1740" t="str">
        <f t="shared" si="51"/>
        <v>Injection Vial</v>
      </c>
      <c r="BV293" s="1689" t="s">
        <v>1501</v>
      </c>
      <c r="BW293" s="1689" t="s">
        <v>1502</v>
      </c>
      <c r="BX293" s="1689" t="s">
        <v>889</v>
      </c>
      <c r="BY293" s="1689" t="s">
        <v>907</v>
      </c>
      <c r="BZ293" s="1689"/>
      <c r="CA293" s="1689" t="s">
        <v>912</v>
      </c>
      <c r="CB293" s="1689"/>
      <c r="CC293" s="1689"/>
      <c r="CD293" s="1689">
        <v>1</v>
      </c>
      <c r="CE293" s="1689">
        <v>15.715</v>
      </c>
      <c r="CF293" s="1689"/>
      <c r="CG293" s="1740">
        <f t="shared" si="45"/>
        <v>15.715</v>
      </c>
      <c r="CH293" s="1740">
        <f t="shared" si="52"/>
        <v>15.715</v>
      </c>
    </row>
    <row r="294" spans="2:86" ht="15.65" customHeight="1">
      <c r="B294" s="149"/>
      <c r="C294" s="1842"/>
      <c r="D294" s="1841"/>
      <c r="E294" s="1840"/>
      <c r="F294" s="1845"/>
      <c r="G294" s="1698"/>
      <c r="H294" s="1752"/>
      <c r="I294" s="1752"/>
      <c r="S294" s="1698"/>
      <c r="T294" s="1846" t="str">
        <f t="shared" si="46"/>
        <v/>
      </c>
      <c r="U294" s="1847" t="str">
        <f t="shared" si="47"/>
        <v/>
      </c>
      <c r="V294" s="1848"/>
      <c r="W294" s="1849" t="str">
        <f t="shared" si="48"/>
        <v/>
      </c>
      <c r="X294" s="1698"/>
      <c r="AY294" s="1746" t="s">
        <v>2588</v>
      </c>
      <c r="AZ294" s="1746">
        <v>2006</v>
      </c>
      <c r="BA294" s="1746" t="s">
        <v>3218</v>
      </c>
      <c r="BB294" s="1747" t="s">
        <v>3219</v>
      </c>
      <c r="BC294" s="1746">
        <v>50</v>
      </c>
      <c r="BD294" s="1746" t="s">
        <v>2795</v>
      </c>
      <c r="BE294" s="1746"/>
      <c r="BF294" s="1746">
        <v>3150</v>
      </c>
      <c r="BG294" s="1746" t="s">
        <v>2592</v>
      </c>
      <c r="BH294" s="1744">
        <f t="shared" si="53"/>
        <v>3.15E-3</v>
      </c>
      <c r="BI294" s="1745">
        <f t="shared" si="49"/>
        <v>6.3E-5</v>
      </c>
      <c r="BJ294" s="1740" t="str">
        <f t="shared" si="50"/>
        <v>vials</v>
      </c>
      <c r="BK294" s="1740" t="str">
        <f t="shared" si="51"/>
        <v>Injection Vial</v>
      </c>
      <c r="BV294" s="1689" t="s">
        <v>1501</v>
      </c>
      <c r="BW294" s="1689" t="s">
        <v>1502</v>
      </c>
      <c r="BX294" s="1689" t="s">
        <v>889</v>
      </c>
      <c r="BY294" s="1689" t="s">
        <v>907</v>
      </c>
      <c r="BZ294" s="1689"/>
      <c r="CA294" s="1689" t="s">
        <v>916</v>
      </c>
      <c r="CB294" s="1689"/>
      <c r="CC294" s="1689"/>
      <c r="CD294" s="1689">
        <v>10</v>
      </c>
      <c r="CE294" s="1689">
        <v>2.46</v>
      </c>
      <c r="CF294" s="1689"/>
      <c r="CG294" s="1740">
        <f t="shared" si="45"/>
        <v>2.46</v>
      </c>
      <c r="CH294" s="1740">
        <f t="shared" si="52"/>
        <v>24.6</v>
      </c>
    </row>
    <row r="295" spans="2:86" ht="15.65" customHeight="1">
      <c r="B295" s="149"/>
      <c r="C295" s="1842"/>
      <c r="D295" s="1841"/>
      <c r="E295" s="1840"/>
      <c r="F295" s="1845"/>
      <c r="G295" s="1698"/>
      <c r="H295" s="1751"/>
      <c r="I295" s="1751"/>
      <c r="S295" s="1698"/>
      <c r="T295" s="1846" t="str">
        <f t="shared" si="46"/>
        <v/>
      </c>
      <c r="U295" s="1847" t="str">
        <f t="shared" si="47"/>
        <v/>
      </c>
      <c r="V295" s="1848"/>
      <c r="W295" s="1849" t="str">
        <f t="shared" si="48"/>
        <v/>
      </c>
      <c r="X295" s="1698"/>
      <c r="AY295" s="1746" t="s">
        <v>2588</v>
      </c>
      <c r="AZ295" s="1746">
        <v>2006</v>
      </c>
      <c r="BA295" s="1746" t="s">
        <v>3220</v>
      </c>
      <c r="BB295" s="1747" t="s">
        <v>3221</v>
      </c>
      <c r="BC295" s="1746">
        <v>10</v>
      </c>
      <c r="BD295" s="1746" t="s">
        <v>2671</v>
      </c>
      <c r="BE295" s="1746"/>
      <c r="BF295" s="1746">
        <v>2167.1999999999998</v>
      </c>
      <c r="BG295" s="1746" t="s">
        <v>2592</v>
      </c>
      <c r="BH295" s="1744">
        <f t="shared" si="53"/>
        <v>2.1671999999999998E-3</v>
      </c>
      <c r="BI295" s="1745">
        <f t="shared" si="49"/>
        <v>2.1671999999999997E-4</v>
      </c>
      <c r="BJ295" s="1740" t="str">
        <f t="shared" si="50"/>
        <v>tubes</v>
      </c>
      <c r="BK295" s="1740" t="str">
        <f t="shared" si="51"/>
        <v>Tube of ointment</v>
      </c>
      <c r="BV295" s="1689" t="s">
        <v>1501</v>
      </c>
      <c r="BW295" s="1689" t="s">
        <v>1502</v>
      </c>
      <c r="BX295" s="1689" t="s">
        <v>889</v>
      </c>
      <c r="BY295" s="1689" t="s">
        <v>907</v>
      </c>
      <c r="BZ295" s="1689" t="s">
        <v>918</v>
      </c>
      <c r="CA295" s="1689" t="s">
        <v>916</v>
      </c>
      <c r="CB295" s="1689"/>
      <c r="CC295" s="1689"/>
      <c r="CD295" s="1689">
        <v>10</v>
      </c>
      <c r="CE295" s="1689">
        <v>2.23</v>
      </c>
      <c r="CF295" s="1689"/>
      <c r="CG295" s="1740">
        <f t="shared" si="45"/>
        <v>2.23</v>
      </c>
      <c r="CH295" s="1740">
        <f t="shared" si="52"/>
        <v>22.3</v>
      </c>
    </row>
    <row r="296" spans="2:86" ht="15.65" customHeight="1">
      <c r="B296" s="149"/>
      <c r="C296" s="1842"/>
      <c r="D296" s="1841"/>
      <c r="E296" s="1840"/>
      <c r="F296" s="1845"/>
      <c r="G296" s="1698"/>
      <c r="H296" s="1752"/>
      <c r="I296" s="1752"/>
      <c r="S296" s="1698"/>
      <c r="T296" s="1846" t="str">
        <f t="shared" si="46"/>
        <v/>
      </c>
      <c r="U296" s="1847" t="str">
        <f t="shared" si="47"/>
        <v/>
      </c>
      <c r="V296" s="1848"/>
      <c r="W296" s="1849" t="str">
        <f t="shared" si="48"/>
        <v/>
      </c>
      <c r="X296" s="1698"/>
      <c r="AY296" s="1746" t="s">
        <v>2588</v>
      </c>
      <c r="AZ296" s="1746">
        <v>2006</v>
      </c>
      <c r="BA296" s="1746" t="s">
        <v>3222</v>
      </c>
      <c r="BB296" s="1747" t="s">
        <v>3223</v>
      </c>
      <c r="BC296" s="1746">
        <v>1</v>
      </c>
      <c r="BD296" s="1746" t="s">
        <v>3224</v>
      </c>
      <c r="BE296" s="1746"/>
      <c r="BF296" s="1746">
        <v>2088.5</v>
      </c>
      <c r="BG296" s="1746" t="s">
        <v>2592</v>
      </c>
      <c r="BH296" s="1744">
        <f t="shared" si="53"/>
        <v>2.0885000000000001E-3</v>
      </c>
      <c r="BI296" s="1745">
        <f t="shared" si="49"/>
        <v>2.0885000000000001E-3</v>
      </c>
      <c r="BJ296" s="1740" t="str">
        <f t="shared" si="50"/>
        <v>jar</v>
      </c>
      <c r="BK296" s="1740" t="str">
        <f t="shared" si="51"/>
        <v>Bottle of liquid</v>
      </c>
      <c r="BV296" s="1689" t="s">
        <v>1501</v>
      </c>
      <c r="BW296" s="1689" t="s">
        <v>1502</v>
      </c>
      <c r="BX296" s="1689" t="s">
        <v>889</v>
      </c>
      <c r="BY296" s="1689" t="s">
        <v>907</v>
      </c>
      <c r="BZ296" s="1689" t="s">
        <v>1508</v>
      </c>
      <c r="CA296" s="1689" t="s">
        <v>916</v>
      </c>
      <c r="CB296" s="1689"/>
      <c r="CC296" s="1689"/>
      <c r="CD296" s="1689">
        <v>10</v>
      </c>
      <c r="CE296" s="1689">
        <v>4.125</v>
      </c>
      <c r="CF296" s="1689"/>
      <c r="CG296" s="1740">
        <f t="shared" si="45"/>
        <v>4.125</v>
      </c>
      <c r="CH296" s="1740">
        <f t="shared" si="52"/>
        <v>41.25</v>
      </c>
    </row>
    <row r="297" spans="2:86" ht="15.65" customHeight="1">
      <c r="B297" s="149"/>
      <c r="C297" s="1842"/>
      <c r="D297" s="1841"/>
      <c r="E297" s="1840"/>
      <c r="F297" s="1845"/>
      <c r="G297" s="1698"/>
      <c r="H297" s="1751"/>
      <c r="I297" s="1751"/>
      <c r="S297" s="1698"/>
      <c r="T297" s="1846" t="str">
        <f t="shared" si="46"/>
        <v/>
      </c>
      <c r="U297" s="1847" t="str">
        <f t="shared" si="47"/>
        <v/>
      </c>
      <c r="V297" s="1848"/>
      <c r="W297" s="1849" t="str">
        <f t="shared" si="48"/>
        <v/>
      </c>
      <c r="X297" s="1698"/>
      <c r="AY297" s="1746" t="s">
        <v>2593</v>
      </c>
      <c r="AZ297" s="1746">
        <v>2008</v>
      </c>
      <c r="BA297" s="1746" t="s">
        <v>3225</v>
      </c>
      <c r="BB297" s="1747" t="s">
        <v>3226</v>
      </c>
      <c r="BC297" s="1746">
        <v>1</v>
      </c>
      <c r="BD297" s="1746" t="s">
        <v>2676</v>
      </c>
      <c r="BE297" s="1746"/>
      <c r="BF297" s="1746">
        <v>2.4000000000000001E-4</v>
      </c>
      <c r="BG297" s="1746" t="s">
        <v>2597</v>
      </c>
      <c r="BH297" s="1744">
        <f t="shared" si="53"/>
        <v>2.4000000000000001E-4</v>
      </c>
      <c r="BI297" s="1745">
        <f t="shared" si="49"/>
        <v>2.4000000000000001E-4</v>
      </c>
      <c r="BJ297" s="1740" t="str">
        <f t="shared" si="50"/>
        <v>tube</v>
      </c>
      <c r="BK297" s="1740" t="str">
        <f t="shared" si="51"/>
        <v>Tube of ointment</v>
      </c>
      <c r="BV297" s="1689" t="s">
        <v>1501</v>
      </c>
      <c r="BW297" s="1689" t="s">
        <v>1502</v>
      </c>
      <c r="BX297" s="1689" t="s">
        <v>889</v>
      </c>
      <c r="BY297" s="1689" t="s">
        <v>907</v>
      </c>
      <c r="BZ297" s="1689" t="s">
        <v>1508</v>
      </c>
      <c r="CA297" s="1689" t="s">
        <v>916</v>
      </c>
      <c r="CB297" s="1689"/>
      <c r="CC297" s="1689"/>
      <c r="CD297" s="1689">
        <v>20</v>
      </c>
      <c r="CE297" s="1689">
        <v>2.0499999999999998</v>
      </c>
      <c r="CF297" s="1689"/>
      <c r="CG297" s="1740">
        <f t="shared" si="45"/>
        <v>2.0499999999999998</v>
      </c>
      <c r="CH297" s="1740">
        <f t="shared" si="52"/>
        <v>41</v>
      </c>
    </row>
    <row r="298" spans="2:86" ht="15.65" customHeight="1">
      <c r="B298" s="149"/>
      <c r="C298" s="1842"/>
      <c r="D298" s="1841"/>
      <c r="E298" s="1840"/>
      <c r="F298" s="1845"/>
      <c r="G298" s="1698"/>
      <c r="H298" s="1752"/>
      <c r="I298" s="1752"/>
      <c r="S298" s="1698"/>
      <c r="T298" s="1846" t="str">
        <f t="shared" si="46"/>
        <v/>
      </c>
      <c r="U298" s="1847" t="str">
        <f t="shared" si="47"/>
        <v/>
      </c>
      <c r="V298" s="1848"/>
      <c r="W298" s="1849" t="str">
        <f t="shared" si="48"/>
        <v/>
      </c>
      <c r="X298" s="1698"/>
      <c r="AY298" s="1746" t="s">
        <v>2593</v>
      </c>
      <c r="AZ298" s="1746">
        <v>2008</v>
      </c>
      <c r="BA298" s="1746" t="s">
        <v>3227</v>
      </c>
      <c r="BB298" s="1747" t="s">
        <v>3228</v>
      </c>
      <c r="BC298" s="1746">
        <v>1</v>
      </c>
      <c r="BD298" s="1746" t="s">
        <v>3224</v>
      </c>
      <c r="BE298" s="1746"/>
      <c r="BF298" s="1746">
        <v>2.1099999999999999E-3</v>
      </c>
      <c r="BG298" s="1746" t="s">
        <v>2597</v>
      </c>
      <c r="BH298" s="1744">
        <f t="shared" si="53"/>
        <v>2.1099999999999999E-3</v>
      </c>
      <c r="BI298" s="1745">
        <f t="shared" si="49"/>
        <v>2.1099999999999999E-3</v>
      </c>
      <c r="BJ298" s="1740" t="str">
        <f t="shared" si="50"/>
        <v>jar</v>
      </c>
      <c r="BK298" s="1740" t="str">
        <f t="shared" si="51"/>
        <v>Bottle of liquid</v>
      </c>
      <c r="BV298" s="1689" t="s">
        <v>836</v>
      </c>
      <c r="BW298" s="1689" t="s">
        <v>836</v>
      </c>
      <c r="BX298" s="1689" t="s">
        <v>889</v>
      </c>
      <c r="BY298" s="1689" t="s">
        <v>1232</v>
      </c>
      <c r="BZ298" s="1689"/>
      <c r="CA298" s="1689" t="s">
        <v>916</v>
      </c>
      <c r="CB298" s="1689"/>
      <c r="CC298" s="1689"/>
      <c r="CD298" s="1689">
        <v>1</v>
      </c>
      <c r="CE298" s="1689"/>
      <c r="CF298" s="1689"/>
      <c r="CG298" s="1269"/>
      <c r="CH298" s="1269"/>
    </row>
    <row r="299" spans="2:86" ht="15.65" customHeight="1">
      <c r="B299" s="149"/>
      <c r="C299" s="1842"/>
      <c r="D299" s="1841"/>
      <c r="E299" s="1840"/>
      <c r="F299" s="1845"/>
      <c r="G299" s="1698"/>
      <c r="H299" s="1751"/>
      <c r="I299" s="1751"/>
      <c r="S299" s="1698"/>
      <c r="T299" s="1846" t="str">
        <f t="shared" si="46"/>
        <v/>
      </c>
      <c r="U299" s="1847" t="str">
        <f t="shared" si="47"/>
        <v/>
      </c>
      <c r="V299" s="1848"/>
      <c r="W299" s="1849" t="str">
        <f t="shared" si="48"/>
        <v/>
      </c>
      <c r="X299" s="1698"/>
      <c r="AY299" s="1746" t="s">
        <v>2575</v>
      </c>
      <c r="AZ299" s="1746">
        <v>2008</v>
      </c>
      <c r="BA299" s="1746" t="s">
        <v>3229</v>
      </c>
      <c r="BB299" s="1747" t="s">
        <v>3230</v>
      </c>
      <c r="BC299" s="1746" t="s">
        <v>2578</v>
      </c>
      <c r="BD299" s="1746" t="s">
        <v>2775</v>
      </c>
      <c r="BE299" s="1746" t="s">
        <v>3209</v>
      </c>
      <c r="BF299" s="1753">
        <v>2037.75</v>
      </c>
      <c r="BG299" s="1746" t="s">
        <v>2592</v>
      </c>
      <c r="BH299" s="1744">
        <f t="shared" si="53"/>
        <v>2.0377500000000001E-3</v>
      </c>
      <c r="BI299" s="1745" t="str">
        <f t="shared" si="49"/>
        <v/>
      </c>
      <c r="BJ299" s="1740" t="str">
        <f t="shared" si="50"/>
        <v>BOT-Dermatological drugs</v>
      </c>
      <c r="BK299" s="1740" t="str">
        <f t="shared" si="51"/>
        <v>Bottle of Liquid</v>
      </c>
    </row>
    <row r="300" spans="2:86" ht="15.65" customHeight="1">
      <c r="B300" s="149"/>
      <c r="C300" s="1842"/>
      <c r="D300" s="1841"/>
      <c r="E300" s="1840"/>
      <c r="F300" s="1845"/>
      <c r="G300" s="1698"/>
      <c r="H300" s="1751"/>
      <c r="I300" s="1751"/>
      <c r="S300" s="1698"/>
      <c r="T300" s="1846" t="str">
        <f t="shared" si="46"/>
        <v/>
      </c>
      <c r="U300" s="1847" t="str">
        <f t="shared" si="47"/>
        <v/>
      </c>
      <c r="V300" s="1848"/>
      <c r="W300" s="1849" t="str">
        <f t="shared" si="48"/>
        <v/>
      </c>
      <c r="X300" s="1698"/>
      <c r="AY300" s="1746" t="s">
        <v>2593</v>
      </c>
      <c r="AZ300" s="1746">
        <v>2008</v>
      </c>
      <c r="BA300" s="1746" t="s">
        <v>3231</v>
      </c>
      <c r="BB300" s="1747" t="s">
        <v>3232</v>
      </c>
      <c r="BC300" s="1746">
        <v>1</v>
      </c>
      <c r="BD300" s="1746" t="s">
        <v>2596</v>
      </c>
      <c r="BE300" s="1746"/>
      <c r="BF300" s="1746">
        <v>2.15E-3</v>
      </c>
      <c r="BG300" s="1746" t="s">
        <v>2597</v>
      </c>
      <c r="BH300" s="1744">
        <f t="shared" si="53"/>
        <v>2.15E-3</v>
      </c>
      <c r="BI300" s="1745">
        <f t="shared" si="49"/>
        <v>2.15E-3</v>
      </c>
      <c r="BJ300" s="1740" t="str">
        <f t="shared" si="50"/>
        <v>bottle</v>
      </c>
      <c r="BK300" s="1740" t="str">
        <f t="shared" si="51"/>
        <v>Bottle of Liquid</v>
      </c>
    </row>
    <row r="301" spans="2:86" ht="15.65" customHeight="1">
      <c r="B301" s="149"/>
      <c r="C301" s="1842"/>
      <c r="D301" s="1841"/>
      <c r="E301" s="1840"/>
      <c r="F301" s="1845"/>
      <c r="G301" s="1698"/>
      <c r="H301" s="1751"/>
      <c r="I301" s="1751"/>
      <c r="S301" s="1698"/>
      <c r="T301" s="1846" t="str">
        <f t="shared" si="46"/>
        <v/>
      </c>
      <c r="U301" s="1847" t="str">
        <f t="shared" si="47"/>
        <v/>
      </c>
      <c r="V301" s="1848"/>
      <c r="W301" s="1849" t="str">
        <f t="shared" si="48"/>
        <v/>
      </c>
      <c r="X301" s="1698"/>
      <c r="AY301" s="1746" t="s">
        <v>2593</v>
      </c>
      <c r="AZ301" s="1746">
        <v>2008</v>
      </c>
      <c r="BA301" s="1746" t="s">
        <v>3233</v>
      </c>
      <c r="BB301" s="1747" t="s">
        <v>3234</v>
      </c>
      <c r="BC301" s="1746">
        <v>1</v>
      </c>
      <c r="BD301" s="1746" t="s">
        <v>2596</v>
      </c>
      <c r="BE301" s="1746"/>
      <c r="BF301" s="1746">
        <v>1.98E-3</v>
      </c>
      <c r="BG301" s="1746" t="s">
        <v>2597</v>
      </c>
      <c r="BH301" s="1744">
        <f t="shared" si="53"/>
        <v>1.98E-3</v>
      </c>
      <c r="BI301" s="1745">
        <f t="shared" si="49"/>
        <v>1.98E-3</v>
      </c>
      <c r="BJ301" s="1740" t="str">
        <f t="shared" si="50"/>
        <v>bottle</v>
      </c>
      <c r="BK301" s="1740" t="str">
        <f t="shared" si="51"/>
        <v>Bottle of Liquid</v>
      </c>
    </row>
    <row r="302" spans="2:86" ht="15.65" customHeight="1">
      <c r="B302" s="149"/>
      <c r="C302" s="1842"/>
      <c r="D302" s="1841"/>
      <c r="E302" s="1840"/>
      <c r="F302" s="1845"/>
      <c r="G302" s="1698"/>
      <c r="H302" s="1752"/>
      <c r="I302" s="1752"/>
      <c r="S302" s="1698"/>
      <c r="T302" s="1846" t="str">
        <f t="shared" si="46"/>
        <v/>
      </c>
      <c r="U302" s="1847" t="str">
        <f t="shared" si="47"/>
        <v/>
      </c>
      <c r="V302" s="1848"/>
      <c r="W302" s="1849" t="str">
        <f t="shared" si="48"/>
        <v/>
      </c>
      <c r="X302" s="1698"/>
      <c r="AY302" s="1746" t="s">
        <v>2588</v>
      </c>
      <c r="AZ302" s="1746">
        <v>2006</v>
      </c>
      <c r="BA302" s="1746" t="s">
        <v>3235</v>
      </c>
      <c r="BB302" s="1747" t="s">
        <v>3236</v>
      </c>
      <c r="BC302" s="1746">
        <v>1</v>
      </c>
      <c r="BD302" s="1746" t="s">
        <v>2596</v>
      </c>
      <c r="BE302" s="1746"/>
      <c r="BF302" s="1746">
        <v>2866</v>
      </c>
      <c r="BG302" s="1746" t="s">
        <v>2592</v>
      </c>
      <c r="BH302" s="1744">
        <f t="shared" si="53"/>
        <v>2.8660000000000001E-3</v>
      </c>
      <c r="BI302" s="1745">
        <f t="shared" si="49"/>
        <v>2.8660000000000001E-3</v>
      </c>
      <c r="BJ302" s="1740" t="str">
        <f t="shared" si="50"/>
        <v>bottle</v>
      </c>
      <c r="BK302" s="1740" t="str">
        <f t="shared" si="51"/>
        <v>Bottle of Liquid</v>
      </c>
    </row>
    <row r="303" spans="2:86" ht="15.65" customHeight="1">
      <c r="B303" s="149"/>
      <c r="C303" s="1842"/>
      <c r="D303" s="1841"/>
      <c r="E303" s="1840"/>
      <c r="F303" s="1845"/>
      <c r="G303" s="1698"/>
      <c r="H303" s="1751"/>
      <c r="I303" s="1751"/>
      <c r="S303" s="1698"/>
      <c r="T303" s="1846" t="str">
        <f t="shared" si="46"/>
        <v/>
      </c>
      <c r="U303" s="1847" t="str">
        <f t="shared" si="47"/>
        <v/>
      </c>
      <c r="V303" s="1848"/>
      <c r="W303" s="1849" t="str">
        <f t="shared" si="48"/>
        <v/>
      </c>
      <c r="X303" s="1698"/>
      <c r="AY303" s="1746" t="s">
        <v>2588</v>
      </c>
      <c r="AZ303" s="1746">
        <v>2006</v>
      </c>
      <c r="BA303" s="1746" t="s">
        <v>3237</v>
      </c>
      <c r="BB303" s="1747" t="s">
        <v>3238</v>
      </c>
      <c r="BC303" s="1746">
        <v>1</v>
      </c>
      <c r="BD303" s="1746" t="s">
        <v>2596</v>
      </c>
      <c r="BE303" s="1746"/>
      <c r="BF303" s="1746">
        <v>1421</v>
      </c>
      <c r="BG303" s="1746" t="s">
        <v>2592</v>
      </c>
      <c r="BH303" s="1744">
        <f t="shared" si="53"/>
        <v>1.421E-3</v>
      </c>
      <c r="BI303" s="1745">
        <f t="shared" si="49"/>
        <v>1.421E-3</v>
      </c>
      <c r="BJ303" s="1740" t="str">
        <f t="shared" si="50"/>
        <v>bottle</v>
      </c>
      <c r="BK303" s="1740" t="str">
        <f t="shared" si="51"/>
        <v>Bottle of Liquid</v>
      </c>
    </row>
    <row r="304" spans="2:86" ht="15.65" customHeight="1">
      <c r="B304" s="149"/>
      <c r="C304" s="1842"/>
      <c r="D304" s="1841"/>
      <c r="E304" s="1840"/>
      <c r="F304" s="1845"/>
      <c r="G304" s="1698"/>
      <c r="H304" s="1752"/>
      <c r="I304" s="1752"/>
      <c r="S304" s="1698"/>
      <c r="T304" s="1846" t="str">
        <f t="shared" si="46"/>
        <v/>
      </c>
      <c r="U304" s="1847" t="str">
        <f t="shared" si="47"/>
        <v/>
      </c>
      <c r="V304" s="1848"/>
      <c r="W304" s="1849" t="str">
        <f t="shared" si="48"/>
        <v/>
      </c>
      <c r="X304" s="1698"/>
      <c r="AY304" s="1746" t="s">
        <v>2588</v>
      </c>
      <c r="AZ304" s="1746">
        <v>2006</v>
      </c>
      <c r="BA304" s="1746" t="s">
        <v>3239</v>
      </c>
      <c r="BB304" s="1747" t="s">
        <v>3240</v>
      </c>
      <c r="BC304" s="1746">
        <v>50</v>
      </c>
      <c r="BD304" s="1746" t="s">
        <v>2795</v>
      </c>
      <c r="BE304" s="1746"/>
      <c r="BF304" s="1746">
        <v>1657.5</v>
      </c>
      <c r="BG304" s="1746" t="s">
        <v>2592</v>
      </c>
      <c r="BH304" s="1744">
        <f t="shared" si="53"/>
        <v>1.6574999999999999E-3</v>
      </c>
      <c r="BI304" s="1745">
        <f t="shared" si="49"/>
        <v>3.3149999999999999E-5</v>
      </c>
      <c r="BJ304" s="1740" t="str">
        <f t="shared" si="50"/>
        <v>vials</v>
      </c>
      <c r="BK304" s="1740" t="str">
        <f t="shared" si="51"/>
        <v>Injection Vial</v>
      </c>
    </row>
    <row r="305" spans="2:63" ht="15.65" customHeight="1">
      <c r="B305" s="149"/>
      <c r="C305" s="1842"/>
      <c r="D305" s="1841"/>
      <c r="E305" s="1840"/>
      <c r="F305" s="1845"/>
      <c r="G305" s="1698"/>
      <c r="H305" s="1752"/>
      <c r="I305" s="1752"/>
      <c r="S305" s="1698"/>
      <c r="T305" s="1846" t="str">
        <f t="shared" si="46"/>
        <v/>
      </c>
      <c r="U305" s="1847" t="str">
        <f t="shared" si="47"/>
        <v/>
      </c>
      <c r="V305" s="1848"/>
      <c r="W305" s="1849" t="str">
        <f t="shared" si="48"/>
        <v/>
      </c>
      <c r="X305" s="1698"/>
      <c r="AY305" s="1746" t="s">
        <v>2588</v>
      </c>
      <c r="AZ305" s="1746">
        <v>2006</v>
      </c>
      <c r="BA305" s="1746" t="s">
        <v>3241</v>
      </c>
      <c r="BB305" s="1747" t="s">
        <v>3242</v>
      </c>
      <c r="BC305" s="1746">
        <v>50</v>
      </c>
      <c r="BD305" s="1746" t="s">
        <v>2795</v>
      </c>
      <c r="BE305" s="1746"/>
      <c r="BF305" s="1746">
        <v>3887.3</v>
      </c>
      <c r="BG305" s="1746" t="s">
        <v>2592</v>
      </c>
      <c r="BH305" s="1744">
        <f t="shared" si="53"/>
        <v>3.8873000000000002E-3</v>
      </c>
      <c r="BI305" s="1745">
        <f t="shared" si="49"/>
        <v>7.7746000000000011E-5</v>
      </c>
      <c r="BJ305" s="1740" t="str">
        <f t="shared" si="50"/>
        <v>vials</v>
      </c>
      <c r="BK305" s="1740" t="str">
        <f t="shared" si="51"/>
        <v>Injection Vial</v>
      </c>
    </row>
    <row r="306" spans="2:63" ht="15.65" customHeight="1">
      <c r="B306" s="149"/>
      <c r="C306" s="1842"/>
      <c r="D306" s="1841"/>
      <c r="E306" s="1840"/>
      <c r="F306" s="1845"/>
      <c r="G306" s="1698"/>
      <c r="H306" s="1752"/>
      <c r="I306" s="1752"/>
      <c r="S306" s="1698"/>
      <c r="T306" s="1846" t="str">
        <f t="shared" si="46"/>
        <v/>
      </c>
      <c r="U306" s="1847" t="str">
        <f t="shared" si="47"/>
        <v/>
      </c>
      <c r="V306" s="1848"/>
      <c r="W306" s="1849" t="str">
        <f t="shared" si="48"/>
        <v/>
      </c>
      <c r="X306" s="1698"/>
      <c r="AY306" s="1746" t="s">
        <v>2593</v>
      </c>
      <c r="AZ306" s="1746">
        <v>2008</v>
      </c>
      <c r="BA306" s="1746" t="s">
        <v>3243</v>
      </c>
      <c r="BB306" s="1747" t="s">
        <v>3244</v>
      </c>
      <c r="BC306" s="1746">
        <v>50</v>
      </c>
      <c r="BD306" s="1746" t="s">
        <v>2795</v>
      </c>
      <c r="BE306" s="1746"/>
      <c r="BF306" s="1746">
        <v>1.5900000000000001E-3</v>
      </c>
      <c r="BG306" s="1746" t="s">
        <v>2597</v>
      </c>
      <c r="BH306" s="1744">
        <f t="shared" si="53"/>
        <v>1.5900000000000001E-3</v>
      </c>
      <c r="BI306" s="1745">
        <f t="shared" si="49"/>
        <v>3.18E-5</v>
      </c>
      <c r="BJ306" s="1740" t="str">
        <f t="shared" si="50"/>
        <v>vials</v>
      </c>
      <c r="BK306" s="1740" t="str">
        <f t="shared" si="51"/>
        <v>Injection Vial</v>
      </c>
    </row>
    <row r="307" spans="2:63" ht="15.65" customHeight="1">
      <c r="B307" s="149"/>
      <c r="C307" s="1842"/>
      <c r="D307" s="1841"/>
      <c r="E307" s="1840"/>
      <c r="F307" s="1845"/>
      <c r="G307" s="1698"/>
      <c r="H307" s="1751"/>
      <c r="I307" s="1751"/>
      <c r="S307" s="1698"/>
      <c r="T307" s="1846" t="str">
        <f t="shared" si="46"/>
        <v/>
      </c>
      <c r="U307" s="1847" t="str">
        <f t="shared" si="47"/>
        <v/>
      </c>
      <c r="V307" s="1848"/>
      <c r="W307" s="1849" t="str">
        <f t="shared" si="48"/>
        <v/>
      </c>
      <c r="X307" s="1698"/>
      <c r="AY307" s="1746" t="s">
        <v>2593</v>
      </c>
      <c r="AZ307" s="1746">
        <v>2008</v>
      </c>
      <c r="BA307" s="1746" t="s">
        <v>3245</v>
      </c>
      <c r="BB307" s="1747" t="s">
        <v>3246</v>
      </c>
      <c r="BC307" s="1746">
        <v>50</v>
      </c>
      <c r="BD307" s="1746" t="s">
        <v>2795</v>
      </c>
      <c r="BE307" s="1746"/>
      <c r="BF307" s="1746">
        <v>4.3200000000000001E-3</v>
      </c>
      <c r="BG307" s="1746" t="s">
        <v>2597</v>
      </c>
      <c r="BH307" s="1744">
        <f t="shared" si="53"/>
        <v>4.3200000000000001E-3</v>
      </c>
      <c r="BI307" s="1745">
        <f t="shared" si="49"/>
        <v>8.6399999999999999E-5</v>
      </c>
      <c r="BJ307" s="1740" t="str">
        <f t="shared" si="50"/>
        <v>vials</v>
      </c>
      <c r="BK307" s="1740" t="str">
        <f t="shared" si="51"/>
        <v>Injection Vial</v>
      </c>
    </row>
    <row r="308" spans="2:63" ht="15.65" customHeight="1">
      <c r="B308" s="149"/>
      <c r="C308" s="1842"/>
      <c r="D308" s="1841"/>
      <c r="E308" s="1840"/>
      <c r="F308" s="1845"/>
      <c r="G308" s="1698"/>
      <c r="H308" s="1752"/>
      <c r="I308" s="1752"/>
      <c r="S308" s="1698"/>
      <c r="T308" s="1846" t="str">
        <f t="shared" si="46"/>
        <v/>
      </c>
      <c r="U308" s="1847" t="str">
        <f t="shared" si="47"/>
        <v/>
      </c>
      <c r="V308" s="1848"/>
      <c r="W308" s="1849" t="str">
        <f t="shared" si="48"/>
        <v/>
      </c>
      <c r="X308" s="1698"/>
      <c r="AY308" s="1746" t="s">
        <v>2588</v>
      </c>
      <c r="AZ308" s="1746">
        <v>2006</v>
      </c>
      <c r="BA308" s="1746" t="s">
        <v>3247</v>
      </c>
      <c r="BB308" s="1747" t="s">
        <v>3248</v>
      </c>
      <c r="BC308" s="1746">
        <v>10</v>
      </c>
      <c r="BD308" s="1746" t="s">
        <v>2671</v>
      </c>
      <c r="BE308" s="1746"/>
      <c r="BF308" s="1746">
        <v>1333</v>
      </c>
      <c r="BG308" s="1746" t="s">
        <v>2592</v>
      </c>
      <c r="BH308" s="1744">
        <f t="shared" si="53"/>
        <v>1.333E-3</v>
      </c>
      <c r="BI308" s="1745">
        <f t="shared" si="49"/>
        <v>1.3329999999999999E-4</v>
      </c>
      <c r="BJ308" s="1740" t="str">
        <f t="shared" si="50"/>
        <v>tubes</v>
      </c>
      <c r="BK308" s="1740" t="str">
        <f t="shared" si="51"/>
        <v>Tube of ointment</v>
      </c>
    </row>
    <row r="309" spans="2:63" ht="15.65" customHeight="1">
      <c r="B309" s="149"/>
      <c r="C309" s="1842"/>
      <c r="D309" s="1841"/>
      <c r="E309" s="1840"/>
      <c r="F309" s="1845"/>
      <c r="G309" s="1698"/>
      <c r="H309" s="1752"/>
      <c r="I309" s="1752"/>
      <c r="S309" s="1698"/>
      <c r="T309" s="1846" t="str">
        <f t="shared" si="46"/>
        <v/>
      </c>
      <c r="U309" s="1847" t="str">
        <f t="shared" si="47"/>
        <v/>
      </c>
      <c r="V309" s="1848"/>
      <c r="W309" s="1849" t="str">
        <f t="shared" si="48"/>
        <v/>
      </c>
      <c r="X309" s="1698"/>
      <c r="AY309" s="1746" t="s">
        <v>2593</v>
      </c>
      <c r="AZ309" s="1746">
        <v>2008</v>
      </c>
      <c r="BA309" s="1746" t="s">
        <v>3249</v>
      </c>
      <c r="BB309" s="1747" t="s">
        <v>3250</v>
      </c>
      <c r="BC309" s="1746">
        <v>1</v>
      </c>
      <c r="BD309" s="1746" t="s">
        <v>2676</v>
      </c>
      <c r="BE309" s="1746"/>
      <c r="BF309" s="1746">
        <v>1.1E-4</v>
      </c>
      <c r="BG309" s="1746" t="s">
        <v>2597</v>
      </c>
      <c r="BH309" s="1744">
        <f t="shared" si="53"/>
        <v>1.1E-4</v>
      </c>
      <c r="BI309" s="1745">
        <f t="shared" si="49"/>
        <v>1.1E-4</v>
      </c>
      <c r="BJ309" s="1740" t="str">
        <f t="shared" si="50"/>
        <v>tube</v>
      </c>
      <c r="BK309" s="1740" t="str">
        <f t="shared" si="51"/>
        <v>Tube of ointment</v>
      </c>
    </row>
    <row r="310" spans="2:63" ht="15.65" customHeight="1">
      <c r="B310" s="149"/>
      <c r="C310" s="1842"/>
      <c r="D310" s="1841"/>
      <c r="E310" s="1840"/>
      <c r="F310" s="1845"/>
      <c r="G310" s="1698"/>
      <c r="H310" s="1752"/>
      <c r="I310" s="1752"/>
      <c r="S310" s="1698"/>
      <c r="T310" s="1846" t="str">
        <f t="shared" si="46"/>
        <v/>
      </c>
      <c r="U310" s="1847" t="str">
        <f t="shared" si="47"/>
        <v/>
      </c>
      <c r="V310" s="1848"/>
      <c r="W310" s="1849" t="str">
        <f t="shared" si="48"/>
        <v/>
      </c>
      <c r="X310" s="1698"/>
      <c r="AY310" s="1746" t="s">
        <v>2575</v>
      </c>
      <c r="AZ310" s="1746">
        <v>2008</v>
      </c>
      <c r="BA310" s="1746" t="s">
        <v>3251</v>
      </c>
      <c r="BB310" s="1747" t="s">
        <v>3252</v>
      </c>
      <c r="BC310" s="1746" t="s">
        <v>2578</v>
      </c>
      <c r="BD310" s="1746" t="s">
        <v>2680</v>
      </c>
      <c r="BE310" s="1746" t="s">
        <v>3209</v>
      </c>
      <c r="BF310" s="1746">
        <v>0.23</v>
      </c>
      <c r="BG310" s="1746" t="s">
        <v>2581</v>
      </c>
      <c r="BH310" s="1744">
        <f t="shared" si="53"/>
        <v>2.3000000000000001E-4</v>
      </c>
      <c r="BI310" s="1745" t="str">
        <f t="shared" si="49"/>
        <v/>
      </c>
      <c r="BJ310" s="1740" t="str">
        <f t="shared" si="50"/>
        <v>TBE-Dermatological drugs</v>
      </c>
      <c r="BK310" s="1740" t="str">
        <f t="shared" si="51"/>
        <v>Tube of ointment</v>
      </c>
    </row>
    <row r="311" spans="2:63" ht="15.65" customHeight="1">
      <c r="B311" s="149"/>
      <c r="C311" s="1842"/>
      <c r="D311" s="1841"/>
      <c r="E311" s="1840"/>
      <c r="F311" s="1845"/>
      <c r="G311" s="1698"/>
      <c r="H311" s="1751"/>
      <c r="I311" s="1751"/>
      <c r="S311" s="1698"/>
      <c r="T311" s="1846" t="str">
        <f t="shared" si="46"/>
        <v/>
      </c>
      <c r="U311" s="1847" t="str">
        <f t="shared" si="47"/>
        <v/>
      </c>
      <c r="V311" s="1848"/>
      <c r="W311" s="1849" t="str">
        <f t="shared" si="48"/>
        <v/>
      </c>
      <c r="X311" s="1698"/>
      <c r="AY311" s="1746" t="s">
        <v>2588</v>
      </c>
      <c r="AZ311" s="1746">
        <v>2006</v>
      </c>
      <c r="BA311" s="1746" t="s">
        <v>3253</v>
      </c>
      <c r="BB311" s="1747" t="s">
        <v>3254</v>
      </c>
      <c r="BC311" s="1746">
        <v>50</v>
      </c>
      <c r="BD311" s="1746" t="s">
        <v>2615</v>
      </c>
      <c r="BE311" s="1746"/>
      <c r="BF311" s="1746">
        <v>90</v>
      </c>
      <c r="BG311" s="1746" t="s">
        <v>2592</v>
      </c>
      <c r="BH311" s="1744">
        <f t="shared" si="53"/>
        <v>9.0000000000000006E-5</v>
      </c>
      <c r="BI311" s="1745">
        <f t="shared" si="49"/>
        <v>1.8000000000000001E-6</v>
      </c>
      <c r="BJ311" s="1740" t="str">
        <f t="shared" si="50"/>
        <v>tabs</v>
      </c>
      <c r="BK311" s="1740" t="str">
        <f t="shared" si="51"/>
        <v>Bottle of Tablets</v>
      </c>
    </row>
    <row r="312" spans="2:63" ht="15.65" customHeight="1">
      <c r="B312" s="149"/>
      <c r="C312" s="1842"/>
      <c r="D312" s="1841"/>
      <c r="E312" s="1840"/>
      <c r="F312" s="1845"/>
      <c r="G312" s="1698"/>
      <c r="H312" s="1751"/>
      <c r="I312" s="1751"/>
      <c r="S312" s="1698"/>
      <c r="T312" s="1846" t="str">
        <f t="shared" si="46"/>
        <v/>
      </c>
      <c r="U312" s="1847" t="str">
        <f t="shared" si="47"/>
        <v/>
      </c>
      <c r="V312" s="1848"/>
      <c r="W312" s="1849" t="str">
        <f t="shared" si="48"/>
        <v/>
      </c>
      <c r="X312" s="1698"/>
      <c r="AY312" s="1746" t="s">
        <v>2593</v>
      </c>
      <c r="AZ312" s="1746">
        <v>2008</v>
      </c>
      <c r="BA312" s="1746" t="s">
        <v>3255</v>
      </c>
      <c r="BB312" s="1747" t="s">
        <v>3256</v>
      </c>
      <c r="BC312" s="1746">
        <v>100</v>
      </c>
      <c r="BD312" s="1746" t="s">
        <v>2601</v>
      </c>
      <c r="BE312" s="1746"/>
      <c r="BF312" s="1746">
        <v>2.1000000000000001E-4</v>
      </c>
      <c r="BG312" s="1746" t="s">
        <v>2597</v>
      </c>
      <c r="BH312" s="1744">
        <f t="shared" si="53"/>
        <v>2.1000000000000001E-4</v>
      </c>
      <c r="BI312" s="1745">
        <f t="shared" si="49"/>
        <v>2.1000000000000002E-6</v>
      </c>
      <c r="BJ312" s="1740" t="str">
        <f t="shared" si="50"/>
        <v>tablets</v>
      </c>
      <c r="BK312" s="1740" t="str">
        <f t="shared" si="51"/>
        <v>Bottle of Tablets</v>
      </c>
    </row>
    <row r="313" spans="2:63" ht="15.65" customHeight="1">
      <c r="B313" s="149"/>
      <c r="C313" s="1842"/>
      <c r="D313" s="1841"/>
      <c r="E313" s="1840"/>
      <c r="F313" s="1845"/>
      <c r="G313" s="1698"/>
      <c r="H313" s="1751"/>
      <c r="I313" s="1751"/>
      <c r="S313" s="1698"/>
      <c r="T313" s="1846" t="str">
        <f t="shared" si="46"/>
        <v/>
      </c>
      <c r="U313" s="1847" t="str">
        <f t="shared" si="47"/>
        <v/>
      </c>
      <c r="V313" s="1848"/>
      <c r="W313" s="1849" t="str">
        <f t="shared" si="48"/>
        <v/>
      </c>
      <c r="X313" s="1698"/>
      <c r="AY313" s="1746" t="s">
        <v>2588</v>
      </c>
      <c r="AZ313" s="1746">
        <v>2006</v>
      </c>
      <c r="BA313" s="1746" t="s">
        <v>3257</v>
      </c>
      <c r="BB313" s="1747" t="s">
        <v>3258</v>
      </c>
      <c r="BC313" s="1746">
        <v>1000</v>
      </c>
      <c r="BD313" s="1746" t="s">
        <v>2615</v>
      </c>
      <c r="BE313" s="1746"/>
      <c r="BF313" s="1746">
        <v>106.6</v>
      </c>
      <c r="BG313" s="1746" t="s">
        <v>2592</v>
      </c>
      <c r="BH313" s="1744">
        <f t="shared" si="53"/>
        <v>1.0659999999999999E-4</v>
      </c>
      <c r="BI313" s="1745">
        <f t="shared" si="49"/>
        <v>1.0659999999999999E-7</v>
      </c>
      <c r="BJ313" s="1740" t="str">
        <f t="shared" si="50"/>
        <v>tabs</v>
      </c>
      <c r="BK313" s="1740" t="str">
        <f t="shared" si="51"/>
        <v>Bottle of Tablets</v>
      </c>
    </row>
    <row r="314" spans="2:63" ht="15.65" customHeight="1">
      <c r="B314" s="149"/>
      <c r="C314" s="1842"/>
      <c r="D314" s="1841"/>
      <c r="E314" s="1840"/>
      <c r="F314" s="1845"/>
      <c r="G314" s="1698"/>
      <c r="H314" s="1751"/>
      <c r="I314" s="1751"/>
      <c r="S314" s="1698"/>
      <c r="T314" s="1846" t="str">
        <f t="shared" si="46"/>
        <v/>
      </c>
      <c r="U314" s="1847" t="str">
        <f t="shared" si="47"/>
        <v/>
      </c>
      <c r="V314" s="1848"/>
      <c r="W314" s="1849" t="str">
        <f t="shared" si="48"/>
        <v/>
      </c>
      <c r="X314" s="1698"/>
      <c r="AY314" s="1746" t="s">
        <v>2593</v>
      </c>
      <c r="AZ314" s="1746">
        <v>2008</v>
      </c>
      <c r="BA314" s="1746" t="s">
        <v>3259</v>
      </c>
      <c r="BB314" s="1747" t="s">
        <v>3260</v>
      </c>
      <c r="BC314" s="1750">
        <v>1000</v>
      </c>
      <c r="BD314" s="1746" t="s">
        <v>2601</v>
      </c>
      <c r="BE314" s="1746"/>
      <c r="BF314" s="1746">
        <v>3.6999999999999999E-4</v>
      </c>
      <c r="BG314" s="1746" t="s">
        <v>2597</v>
      </c>
      <c r="BH314" s="1744">
        <f t="shared" si="53"/>
        <v>3.6999999999999999E-4</v>
      </c>
      <c r="BI314" s="1745">
        <f t="shared" si="49"/>
        <v>3.7E-7</v>
      </c>
      <c r="BJ314" s="1740" t="str">
        <f t="shared" si="50"/>
        <v>tablets</v>
      </c>
      <c r="BK314" s="1740" t="str">
        <f t="shared" si="51"/>
        <v>Bottle of Tablets</v>
      </c>
    </row>
    <row r="315" spans="2:63" ht="15.65" customHeight="1">
      <c r="B315" s="149"/>
      <c r="C315" s="1842"/>
      <c r="D315" s="1841"/>
      <c r="E315" s="1840"/>
      <c r="F315" s="1845"/>
      <c r="G315" s="1698"/>
      <c r="H315" s="1751"/>
      <c r="I315" s="1751"/>
      <c r="S315" s="1698"/>
      <c r="T315" s="1846" t="str">
        <f t="shared" si="46"/>
        <v/>
      </c>
      <c r="U315" s="1847" t="str">
        <f t="shared" si="47"/>
        <v/>
      </c>
      <c r="V315" s="1848"/>
      <c r="W315" s="1849" t="str">
        <f t="shared" si="48"/>
        <v/>
      </c>
      <c r="X315" s="1698"/>
      <c r="AY315" s="1746" t="s">
        <v>2588</v>
      </c>
      <c r="AZ315" s="1746">
        <v>2006</v>
      </c>
      <c r="BA315" s="1746" t="s">
        <v>3261</v>
      </c>
      <c r="BB315" s="1747" t="s">
        <v>3262</v>
      </c>
      <c r="BC315" s="1746">
        <v>100</v>
      </c>
      <c r="BD315" s="1746" t="s">
        <v>2927</v>
      </c>
      <c r="BE315" s="1746"/>
      <c r="BF315" s="1746">
        <v>356</v>
      </c>
      <c r="BG315" s="1746" t="s">
        <v>2592</v>
      </c>
      <c r="BH315" s="1744">
        <f t="shared" si="53"/>
        <v>3.5599999999999998E-4</v>
      </c>
      <c r="BI315" s="1745">
        <f t="shared" si="49"/>
        <v>3.5599999999999998E-6</v>
      </c>
      <c r="BJ315" s="1740" t="str">
        <f t="shared" si="50"/>
        <v>pcs</v>
      </c>
      <c r="BK315" s="1740" t="str">
        <f t="shared" si="51"/>
        <v>Medical equipment</v>
      </c>
    </row>
    <row r="316" spans="2:63" ht="15.65" customHeight="1">
      <c r="B316" s="149"/>
      <c r="C316" s="1842"/>
      <c r="D316" s="1841"/>
      <c r="E316" s="1840"/>
      <c r="F316" s="1845"/>
      <c r="G316" s="1698"/>
      <c r="H316" s="1752"/>
      <c r="I316" s="1752"/>
      <c r="S316" s="1698"/>
      <c r="T316" s="1846" t="str">
        <f t="shared" si="46"/>
        <v/>
      </c>
      <c r="U316" s="1847" t="str">
        <f t="shared" si="47"/>
        <v/>
      </c>
      <c r="V316" s="1848"/>
      <c r="W316" s="1849" t="str">
        <f t="shared" si="48"/>
        <v/>
      </c>
      <c r="X316" s="1698"/>
      <c r="AY316" s="1746" t="s">
        <v>2588</v>
      </c>
      <c r="AZ316" s="1746">
        <v>2006</v>
      </c>
      <c r="BA316" s="1746" t="s">
        <v>3263</v>
      </c>
      <c r="BB316" s="1747" t="s">
        <v>3264</v>
      </c>
      <c r="BC316" s="1746">
        <v>100</v>
      </c>
      <c r="BD316" s="1746" t="s">
        <v>2927</v>
      </c>
      <c r="BE316" s="1746"/>
      <c r="BF316" s="1746">
        <v>356</v>
      </c>
      <c r="BG316" s="1746" t="s">
        <v>2592</v>
      </c>
      <c r="BH316" s="1744">
        <f t="shared" si="53"/>
        <v>3.5599999999999998E-4</v>
      </c>
      <c r="BI316" s="1745">
        <f t="shared" si="49"/>
        <v>3.5599999999999998E-6</v>
      </c>
      <c r="BJ316" s="1740" t="str">
        <f t="shared" si="50"/>
        <v>pcs</v>
      </c>
      <c r="BK316" s="1740" t="str">
        <f t="shared" si="51"/>
        <v>Medical equipment</v>
      </c>
    </row>
    <row r="317" spans="2:63" ht="15.65" customHeight="1">
      <c r="B317" s="149"/>
      <c r="C317" s="1842"/>
      <c r="D317" s="1841"/>
      <c r="E317" s="1840"/>
      <c r="F317" s="1845"/>
      <c r="G317" s="1698"/>
      <c r="H317" s="1751"/>
      <c r="I317" s="1751"/>
      <c r="S317" s="1698"/>
      <c r="T317" s="1846" t="str">
        <f t="shared" si="46"/>
        <v/>
      </c>
      <c r="U317" s="1847" t="str">
        <f t="shared" si="47"/>
        <v/>
      </c>
      <c r="V317" s="1848"/>
      <c r="W317" s="1849" t="str">
        <f t="shared" si="48"/>
        <v/>
      </c>
      <c r="X317" s="1698"/>
      <c r="AY317" s="1746" t="s">
        <v>2588</v>
      </c>
      <c r="AZ317" s="1746">
        <v>2006</v>
      </c>
      <c r="BA317" s="1746" t="s">
        <v>3265</v>
      </c>
      <c r="BB317" s="1747" t="s">
        <v>3266</v>
      </c>
      <c r="BC317" s="1746">
        <v>100</v>
      </c>
      <c r="BD317" s="1746" t="s">
        <v>2927</v>
      </c>
      <c r="BE317" s="1746"/>
      <c r="BF317" s="1746">
        <v>186</v>
      </c>
      <c r="BG317" s="1746" t="s">
        <v>2592</v>
      </c>
      <c r="BH317" s="1744">
        <f t="shared" si="53"/>
        <v>1.8599999999999999E-4</v>
      </c>
      <c r="BI317" s="1745">
        <f t="shared" si="49"/>
        <v>1.86E-6</v>
      </c>
      <c r="BJ317" s="1740" t="str">
        <f t="shared" si="50"/>
        <v>pcs</v>
      </c>
      <c r="BK317" s="1740" t="str">
        <f t="shared" si="51"/>
        <v>Medical equipment</v>
      </c>
    </row>
    <row r="318" spans="2:63" ht="15.65" customHeight="1">
      <c r="B318" s="149"/>
      <c r="C318" s="1842"/>
      <c r="D318" s="1841"/>
      <c r="E318" s="1840"/>
      <c r="F318" s="1845"/>
      <c r="G318" s="1698"/>
      <c r="H318" s="1751"/>
      <c r="I318" s="1751"/>
      <c r="S318" s="1698"/>
      <c r="T318" s="1846" t="str">
        <f t="shared" si="46"/>
        <v/>
      </c>
      <c r="U318" s="1847" t="str">
        <f t="shared" si="47"/>
        <v/>
      </c>
      <c r="V318" s="1848"/>
      <c r="W318" s="1849" t="str">
        <f t="shared" si="48"/>
        <v/>
      </c>
      <c r="X318" s="1698"/>
      <c r="AY318" s="1746" t="s">
        <v>2588</v>
      </c>
      <c r="AZ318" s="1746">
        <v>2006</v>
      </c>
      <c r="BA318" s="1746" t="s">
        <v>3267</v>
      </c>
      <c r="BB318" s="1747" t="s">
        <v>3268</v>
      </c>
      <c r="BC318" s="1746">
        <v>100</v>
      </c>
      <c r="BD318" s="1746" t="s">
        <v>2927</v>
      </c>
      <c r="BE318" s="1746"/>
      <c r="BF318" s="1746">
        <v>186</v>
      </c>
      <c r="BG318" s="1746" t="s">
        <v>2592</v>
      </c>
      <c r="BH318" s="1744">
        <f t="shared" si="53"/>
        <v>1.8599999999999999E-4</v>
      </c>
      <c r="BI318" s="1745">
        <f t="shared" si="49"/>
        <v>1.86E-6</v>
      </c>
      <c r="BJ318" s="1740" t="str">
        <f t="shared" si="50"/>
        <v>pcs</v>
      </c>
      <c r="BK318" s="1740" t="str">
        <f t="shared" si="51"/>
        <v>Medical equipment</v>
      </c>
    </row>
    <row r="319" spans="2:63" ht="15.65" customHeight="1">
      <c r="B319" s="149"/>
      <c r="C319" s="1842"/>
      <c r="D319" s="1841"/>
      <c r="E319" s="1840"/>
      <c r="F319" s="1845"/>
      <c r="G319" s="1698"/>
      <c r="H319" s="1751"/>
      <c r="I319" s="1751"/>
      <c r="S319" s="1698"/>
      <c r="T319" s="1846" t="str">
        <f t="shared" si="46"/>
        <v/>
      </c>
      <c r="U319" s="1847" t="str">
        <f t="shared" si="47"/>
        <v/>
      </c>
      <c r="V319" s="1848"/>
      <c r="W319" s="1849" t="str">
        <f t="shared" si="48"/>
        <v/>
      </c>
      <c r="X319" s="1698"/>
      <c r="AY319" s="1746" t="s">
        <v>2588</v>
      </c>
      <c r="AZ319" s="1746">
        <v>2006</v>
      </c>
      <c r="BA319" s="1746" t="s">
        <v>3269</v>
      </c>
      <c r="BB319" s="1747" t="s">
        <v>3270</v>
      </c>
      <c r="BC319" s="1746">
        <v>100</v>
      </c>
      <c r="BD319" s="1746" t="s">
        <v>2927</v>
      </c>
      <c r="BE319" s="1746"/>
      <c r="BF319" s="1746">
        <v>356</v>
      </c>
      <c r="BG319" s="1746" t="s">
        <v>2592</v>
      </c>
      <c r="BH319" s="1744">
        <f t="shared" si="53"/>
        <v>3.5599999999999998E-4</v>
      </c>
      <c r="BI319" s="1745">
        <f t="shared" si="49"/>
        <v>3.5599999999999998E-6</v>
      </c>
      <c r="BJ319" s="1740" t="str">
        <f t="shared" si="50"/>
        <v>pcs</v>
      </c>
      <c r="BK319" s="1740" t="str">
        <f t="shared" si="51"/>
        <v>Medical equipment</v>
      </c>
    </row>
    <row r="320" spans="2:63" ht="15.65" customHeight="1">
      <c r="B320" s="149"/>
      <c r="C320" s="1842"/>
      <c r="D320" s="1841"/>
      <c r="E320" s="1840"/>
      <c r="F320" s="1845"/>
      <c r="G320" s="1698"/>
      <c r="H320" s="1752"/>
      <c r="I320" s="1752"/>
      <c r="S320" s="1698"/>
      <c r="T320" s="1846" t="str">
        <f t="shared" si="46"/>
        <v/>
      </c>
      <c r="U320" s="1847" t="str">
        <f t="shared" si="47"/>
        <v/>
      </c>
      <c r="V320" s="1848"/>
      <c r="W320" s="1849" t="str">
        <f t="shared" si="48"/>
        <v/>
      </c>
      <c r="X320" s="1698"/>
      <c r="AY320" s="1746" t="s">
        <v>2588</v>
      </c>
      <c r="AZ320" s="1746">
        <v>2006</v>
      </c>
      <c r="BA320" s="1746" t="s">
        <v>3271</v>
      </c>
      <c r="BB320" s="1747" t="s">
        <v>3272</v>
      </c>
      <c r="BC320" s="1746">
        <v>100</v>
      </c>
      <c r="BD320" s="1746" t="s">
        <v>2927</v>
      </c>
      <c r="BE320" s="1746"/>
      <c r="BF320" s="1746">
        <v>356</v>
      </c>
      <c r="BG320" s="1746" t="s">
        <v>2592</v>
      </c>
      <c r="BH320" s="1744">
        <f t="shared" si="53"/>
        <v>3.5599999999999998E-4</v>
      </c>
      <c r="BI320" s="1745">
        <f t="shared" si="49"/>
        <v>3.5599999999999998E-6</v>
      </c>
      <c r="BJ320" s="1740" t="str">
        <f t="shared" si="50"/>
        <v>pcs</v>
      </c>
      <c r="BK320" s="1740" t="str">
        <f t="shared" si="51"/>
        <v>Medical equipment</v>
      </c>
    </row>
    <row r="321" spans="2:63" ht="15.65" customHeight="1">
      <c r="B321" s="149"/>
      <c r="C321" s="1842"/>
      <c r="D321" s="1841"/>
      <c r="E321" s="1840"/>
      <c r="F321" s="1845"/>
      <c r="G321" s="1698"/>
      <c r="H321" s="1751"/>
      <c r="I321" s="1751"/>
      <c r="S321" s="1698"/>
      <c r="T321" s="1846" t="str">
        <f t="shared" si="46"/>
        <v/>
      </c>
      <c r="U321" s="1847" t="str">
        <f t="shared" si="47"/>
        <v/>
      </c>
      <c r="V321" s="1848"/>
      <c r="W321" s="1849" t="str">
        <f t="shared" si="48"/>
        <v/>
      </c>
      <c r="X321" s="1698"/>
      <c r="AY321" s="1746" t="s">
        <v>2588</v>
      </c>
      <c r="AZ321" s="1746">
        <v>2006</v>
      </c>
      <c r="BA321" s="1746" t="s">
        <v>3273</v>
      </c>
      <c r="BB321" s="1747" t="s">
        <v>3274</v>
      </c>
      <c r="BC321" s="1746">
        <v>100</v>
      </c>
      <c r="BD321" s="1746" t="s">
        <v>2927</v>
      </c>
      <c r="BE321" s="1746"/>
      <c r="BF321" s="1746">
        <v>356</v>
      </c>
      <c r="BG321" s="1746" t="s">
        <v>2592</v>
      </c>
      <c r="BH321" s="1744">
        <f t="shared" si="53"/>
        <v>3.5599999999999998E-4</v>
      </c>
      <c r="BI321" s="1745">
        <f t="shared" si="49"/>
        <v>3.5599999999999998E-6</v>
      </c>
      <c r="BJ321" s="1740" t="str">
        <f t="shared" si="50"/>
        <v>pcs</v>
      </c>
      <c r="BK321" s="1740" t="str">
        <f t="shared" si="51"/>
        <v>Medical equipment</v>
      </c>
    </row>
    <row r="322" spans="2:63" ht="15.65" customHeight="1">
      <c r="B322" s="149"/>
      <c r="C322" s="1842"/>
      <c r="D322" s="1841"/>
      <c r="E322" s="1840"/>
      <c r="F322" s="1845"/>
      <c r="G322" s="1698"/>
      <c r="H322" s="1751"/>
      <c r="I322" s="1751"/>
      <c r="S322" s="1698"/>
      <c r="T322" s="1846" t="str">
        <f t="shared" si="46"/>
        <v/>
      </c>
      <c r="U322" s="1847" t="str">
        <f t="shared" si="47"/>
        <v/>
      </c>
      <c r="V322" s="1848"/>
      <c r="W322" s="1849" t="str">
        <f t="shared" si="48"/>
        <v/>
      </c>
      <c r="X322" s="1698"/>
      <c r="AY322" s="1746" t="s">
        <v>2588</v>
      </c>
      <c r="AZ322" s="1746">
        <v>2006</v>
      </c>
      <c r="BA322" s="1746" t="s">
        <v>3275</v>
      </c>
      <c r="BB322" s="1747" t="s">
        <v>3276</v>
      </c>
      <c r="BC322" s="1746">
        <v>100</v>
      </c>
      <c r="BD322" s="1746" t="s">
        <v>2927</v>
      </c>
      <c r="BE322" s="1746"/>
      <c r="BF322" s="1746">
        <v>356</v>
      </c>
      <c r="BG322" s="1746" t="s">
        <v>2592</v>
      </c>
      <c r="BH322" s="1744">
        <f t="shared" si="53"/>
        <v>3.5599999999999998E-4</v>
      </c>
      <c r="BI322" s="1745">
        <f t="shared" si="49"/>
        <v>3.5599999999999998E-6</v>
      </c>
      <c r="BJ322" s="1740" t="str">
        <f t="shared" si="50"/>
        <v>pcs</v>
      </c>
      <c r="BK322" s="1740" t="str">
        <f t="shared" si="51"/>
        <v>Medical equipment</v>
      </c>
    </row>
    <row r="323" spans="2:63" ht="15.65" customHeight="1">
      <c r="B323" s="149"/>
      <c r="C323" s="1842"/>
      <c r="D323" s="1841"/>
      <c r="E323" s="1840"/>
      <c r="F323" s="1845"/>
      <c r="G323" s="1698"/>
      <c r="H323" s="1752"/>
      <c r="I323" s="1752"/>
      <c r="S323" s="1698"/>
      <c r="T323" s="1846" t="str">
        <f t="shared" si="46"/>
        <v/>
      </c>
      <c r="U323" s="1847" t="str">
        <f t="shared" si="47"/>
        <v/>
      </c>
      <c r="V323" s="1848"/>
      <c r="W323" s="1849" t="str">
        <f t="shared" si="48"/>
        <v/>
      </c>
      <c r="X323" s="1698"/>
      <c r="AY323" s="1746" t="s">
        <v>2588</v>
      </c>
      <c r="AZ323" s="1746">
        <v>2006</v>
      </c>
      <c r="BA323" s="1746" t="s">
        <v>3277</v>
      </c>
      <c r="BB323" s="1747" t="s">
        <v>3278</v>
      </c>
      <c r="BC323" s="1746">
        <v>100</v>
      </c>
      <c r="BD323" s="1746" t="s">
        <v>2927</v>
      </c>
      <c r="BE323" s="1746"/>
      <c r="BF323" s="1746">
        <v>356</v>
      </c>
      <c r="BG323" s="1746" t="s">
        <v>2592</v>
      </c>
      <c r="BH323" s="1744">
        <f t="shared" si="53"/>
        <v>3.5599999999999998E-4</v>
      </c>
      <c r="BI323" s="1745">
        <f t="shared" si="49"/>
        <v>3.5599999999999998E-6</v>
      </c>
      <c r="BJ323" s="1740" t="str">
        <f t="shared" si="50"/>
        <v>pcs</v>
      </c>
      <c r="BK323" s="1740" t="str">
        <f t="shared" si="51"/>
        <v>Medical equipment</v>
      </c>
    </row>
    <row r="324" spans="2:63" ht="15.65" customHeight="1">
      <c r="B324" s="149"/>
      <c r="C324" s="1842"/>
      <c r="D324" s="1841"/>
      <c r="E324" s="1840"/>
      <c r="F324" s="1845"/>
      <c r="G324" s="1698"/>
      <c r="H324" s="1752"/>
      <c r="I324" s="1752"/>
      <c r="S324" s="1698"/>
      <c r="T324" s="1846" t="str">
        <f t="shared" si="46"/>
        <v/>
      </c>
      <c r="U324" s="1847" t="str">
        <f t="shared" si="47"/>
        <v/>
      </c>
      <c r="V324" s="1848"/>
      <c r="W324" s="1849" t="str">
        <f t="shared" si="48"/>
        <v/>
      </c>
      <c r="X324" s="1698"/>
      <c r="AY324" s="1746" t="s">
        <v>2575</v>
      </c>
      <c r="AZ324" s="1746">
        <v>2008</v>
      </c>
      <c r="BA324" s="1746" t="s">
        <v>3279</v>
      </c>
      <c r="BB324" s="1747" t="s">
        <v>3280</v>
      </c>
      <c r="BC324" s="1746" t="s">
        <v>2578</v>
      </c>
      <c r="BD324" s="1746" t="s">
        <v>2579</v>
      </c>
      <c r="BE324" s="1746" t="s">
        <v>3281</v>
      </c>
      <c r="BF324" s="1746">
        <v>5</v>
      </c>
      <c r="BG324" s="1746" t="s">
        <v>2581</v>
      </c>
      <c r="BH324" s="1744">
        <f t="shared" si="53"/>
        <v>5.0000000000000001E-3</v>
      </c>
      <c r="BI324" s="1745" t="str">
        <f t="shared" si="49"/>
        <v/>
      </c>
      <c r="BJ324" s="1740" t="str">
        <f t="shared" si="50"/>
        <v>EA-Misc. dressing</v>
      </c>
      <c r="BK324" s="1740" t="str">
        <f t="shared" si="51"/>
        <v>Roll of Tape/Gauze</v>
      </c>
    </row>
    <row r="325" spans="2:63" ht="15.65" customHeight="1">
      <c r="B325" s="149"/>
      <c r="C325" s="1842"/>
      <c r="D325" s="1841"/>
      <c r="E325" s="1840"/>
      <c r="F325" s="1845"/>
      <c r="G325" s="1698"/>
      <c r="H325" s="1751"/>
      <c r="I325" s="1751"/>
      <c r="S325" s="1698"/>
      <c r="T325" s="1846" t="str">
        <f t="shared" si="46"/>
        <v/>
      </c>
      <c r="U325" s="1847" t="str">
        <f t="shared" si="47"/>
        <v/>
      </c>
      <c r="V325" s="1848"/>
      <c r="W325" s="1849" t="str">
        <f t="shared" si="48"/>
        <v/>
      </c>
      <c r="X325" s="1698"/>
      <c r="AY325" s="1746" t="s">
        <v>2593</v>
      </c>
      <c r="AZ325" s="1746">
        <v>2008</v>
      </c>
      <c r="BA325" s="1746" t="s">
        <v>3282</v>
      </c>
      <c r="BB325" s="1747" t="s">
        <v>3283</v>
      </c>
      <c r="BC325" s="1746">
        <v>1</v>
      </c>
      <c r="BD325" s="1746" t="s">
        <v>2591</v>
      </c>
      <c r="BE325" s="1746"/>
      <c r="BF325" s="1746">
        <v>5.5000000000000003E-4</v>
      </c>
      <c r="BG325" s="1746" t="s">
        <v>2597</v>
      </c>
      <c r="BH325" s="1744">
        <f t="shared" si="53"/>
        <v>5.5000000000000003E-4</v>
      </c>
      <c r="BI325" s="1745">
        <f t="shared" si="49"/>
        <v>5.5000000000000003E-4</v>
      </c>
      <c r="BJ325" s="1740" t="str">
        <f t="shared" si="50"/>
        <v>vial</v>
      </c>
      <c r="BK325" s="1740" t="str">
        <f t="shared" si="51"/>
        <v>Injection Vial</v>
      </c>
    </row>
    <row r="326" spans="2:63" ht="15.65" customHeight="1">
      <c r="B326" s="149"/>
      <c r="C326" s="1842"/>
      <c r="D326" s="1841"/>
      <c r="E326" s="1840"/>
      <c r="F326" s="1845"/>
      <c r="G326" s="1698"/>
      <c r="H326" s="1751"/>
      <c r="I326" s="1751"/>
      <c r="S326" s="1698"/>
      <c r="T326" s="1846" t="str">
        <f t="shared" si="46"/>
        <v/>
      </c>
      <c r="U326" s="1847" t="str">
        <f t="shared" si="47"/>
        <v/>
      </c>
      <c r="V326" s="1848"/>
      <c r="W326" s="1849" t="str">
        <f t="shared" si="48"/>
        <v/>
      </c>
      <c r="X326" s="1698"/>
      <c r="AY326" s="1746" t="s">
        <v>2588</v>
      </c>
      <c r="AZ326" s="1746">
        <v>2006</v>
      </c>
      <c r="BA326" s="1746" t="s">
        <v>3284</v>
      </c>
      <c r="BB326" s="1747" t="s">
        <v>3285</v>
      </c>
      <c r="BC326" s="1746">
        <v>1</v>
      </c>
      <c r="BD326" s="1746" t="s">
        <v>2591</v>
      </c>
      <c r="BE326" s="1746"/>
      <c r="BF326" s="1746">
        <v>95</v>
      </c>
      <c r="BG326" s="1746" t="s">
        <v>2592</v>
      </c>
      <c r="BH326" s="1744">
        <f t="shared" si="53"/>
        <v>9.5000000000000005E-5</v>
      </c>
      <c r="BI326" s="1745">
        <f t="shared" si="49"/>
        <v>9.5000000000000005E-5</v>
      </c>
      <c r="BJ326" s="1740" t="str">
        <f t="shared" si="50"/>
        <v>vial</v>
      </c>
      <c r="BK326" s="1740" t="str">
        <f t="shared" si="51"/>
        <v>Injection Vial</v>
      </c>
    </row>
    <row r="327" spans="2:63" ht="15.65" customHeight="1">
      <c r="B327" s="149"/>
      <c r="C327" s="1842"/>
      <c r="D327" s="1841"/>
      <c r="E327" s="1840"/>
      <c r="F327" s="1845"/>
      <c r="G327" s="1698"/>
      <c r="H327" s="1751"/>
      <c r="I327" s="1751"/>
      <c r="S327" s="1698"/>
      <c r="T327" s="1846" t="str">
        <f t="shared" si="46"/>
        <v/>
      </c>
      <c r="U327" s="1847" t="str">
        <f t="shared" si="47"/>
        <v/>
      </c>
      <c r="V327" s="1848"/>
      <c r="W327" s="1849" t="str">
        <f t="shared" si="48"/>
        <v/>
      </c>
      <c r="X327" s="1698"/>
      <c r="AY327" s="1746" t="s">
        <v>2593</v>
      </c>
      <c r="AZ327" s="1746">
        <v>2008</v>
      </c>
      <c r="BA327" s="1746" t="s">
        <v>3286</v>
      </c>
      <c r="BB327" s="1747" t="s">
        <v>3287</v>
      </c>
      <c r="BC327" s="1746">
        <v>1</v>
      </c>
      <c r="BD327" s="1746" t="s">
        <v>2933</v>
      </c>
      <c r="BE327" s="1746"/>
      <c r="BF327" s="1746">
        <v>4.8000000000000001E-4</v>
      </c>
      <c r="BG327" s="1746" t="s">
        <v>2597</v>
      </c>
      <c r="BH327" s="1744">
        <f t="shared" si="53"/>
        <v>4.8000000000000001E-4</v>
      </c>
      <c r="BI327" s="1745">
        <f t="shared" si="49"/>
        <v>4.8000000000000001E-4</v>
      </c>
      <c r="BJ327" s="1740" t="str">
        <f t="shared" si="50"/>
        <v>piece</v>
      </c>
      <c r="BK327" s="1740" t="str">
        <f t="shared" si="51"/>
        <v>Medical equipment</v>
      </c>
    </row>
    <row r="328" spans="2:63" ht="15.65" customHeight="1">
      <c r="B328" s="149"/>
      <c r="C328" s="1842"/>
      <c r="D328" s="1841"/>
      <c r="E328" s="1840"/>
      <c r="F328" s="1845"/>
      <c r="G328" s="1698"/>
      <c r="H328" s="1752"/>
      <c r="I328" s="1752"/>
      <c r="S328" s="1698"/>
      <c r="T328" s="1846" t="str">
        <f t="shared" si="46"/>
        <v/>
      </c>
      <c r="U328" s="1847" t="str">
        <f t="shared" si="47"/>
        <v/>
      </c>
      <c r="V328" s="1848"/>
      <c r="W328" s="1849" t="str">
        <f t="shared" si="48"/>
        <v/>
      </c>
      <c r="X328" s="1698"/>
      <c r="AY328" s="1746" t="s">
        <v>2593</v>
      </c>
      <c r="AZ328" s="1746">
        <v>2008</v>
      </c>
      <c r="BA328" s="1746" t="s">
        <v>3288</v>
      </c>
      <c r="BB328" s="1747" t="s">
        <v>3289</v>
      </c>
      <c r="BC328" s="1746">
        <v>1</v>
      </c>
      <c r="BD328" s="1746" t="s">
        <v>2933</v>
      </c>
      <c r="BE328" s="1746"/>
      <c r="BF328" s="1746">
        <v>1.4300000000000001E-3</v>
      </c>
      <c r="BG328" s="1746" t="s">
        <v>2597</v>
      </c>
      <c r="BH328" s="1744">
        <f t="shared" si="53"/>
        <v>1.4300000000000001E-3</v>
      </c>
      <c r="BI328" s="1745">
        <f t="shared" si="49"/>
        <v>1.4300000000000001E-3</v>
      </c>
      <c r="BJ328" s="1740" t="str">
        <f t="shared" si="50"/>
        <v>piece</v>
      </c>
      <c r="BK328" s="1740" t="str">
        <f t="shared" si="51"/>
        <v>Medical equipment</v>
      </c>
    </row>
    <row r="329" spans="2:63" ht="15.65" customHeight="1">
      <c r="B329" s="149"/>
      <c r="C329" s="1842"/>
      <c r="D329" s="1841"/>
      <c r="E329" s="1840"/>
      <c r="F329" s="1845"/>
      <c r="G329" s="1698"/>
      <c r="H329" s="1752"/>
      <c r="I329" s="1752"/>
      <c r="S329" s="1698"/>
      <c r="T329" s="1846" t="str">
        <f t="shared" si="46"/>
        <v/>
      </c>
      <c r="U329" s="1847" t="str">
        <f t="shared" si="47"/>
        <v/>
      </c>
      <c r="V329" s="1848"/>
      <c r="W329" s="1849" t="str">
        <f t="shared" si="48"/>
        <v/>
      </c>
      <c r="X329" s="1698"/>
      <c r="AY329" s="1746" t="s">
        <v>2593</v>
      </c>
      <c r="AZ329" s="1746">
        <v>2008</v>
      </c>
      <c r="BA329" s="1746" t="s">
        <v>3290</v>
      </c>
      <c r="BB329" s="1747" t="s">
        <v>3291</v>
      </c>
      <c r="BC329" s="1746">
        <v>1</v>
      </c>
      <c r="BD329" s="1746" t="s">
        <v>2933</v>
      </c>
      <c r="BE329" s="1746"/>
      <c r="BF329" s="1746">
        <v>3.5E-4</v>
      </c>
      <c r="BG329" s="1746" t="s">
        <v>2597</v>
      </c>
      <c r="BH329" s="1744">
        <f t="shared" si="53"/>
        <v>3.5E-4</v>
      </c>
      <c r="BI329" s="1745">
        <f t="shared" si="49"/>
        <v>3.5E-4</v>
      </c>
      <c r="BJ329" s="1740" t="str">
        <f t="shared" si="50"/>
        <v>piece</v>
      </c>
      <c r="BK329" s="1740" t="str">
        <f t="shared" si="51"/>
        <v>Medical equipment</v>
      </c>
    </row>
    <row r="330" spans="2:63" ht="15.65" customHeight="1">
      <c r="B330" s="149"/>
      <c r="C330" s="1842"/>
      <c r="D330" s="1841"/>
      <c r="E330" s="1840"/>
      <c r="F330" s="1845"/>
      <c r="G330" s="1698"/>
      <c r="H330" s="1751"/>
      <c r="I330" s="1751"/>
      <c r="S330" s="1698"/>
      <c r="T330" s="1846" t="str">
        <f t="shared" si="46"/>
        <v/>
      </c>
      <c r="U330" s="1847" t="str">
        <f t="shared" si="47"/>
        <v/>
      </c>
      <c r="V330" s="1848"/>
      <c r="W330" s="1849" t="str">
        <f t="shared" si="48"/>
        <v/>
      </c>
      <c r="X330" s="1698"/>
      <c r="AY330" s="1746" t="s">
        <v>2593</v>
      </c>
      <c r="AZ330" s="1746">
        <v>2008</v>
      </c>
      <c r="BA330" s="1746" t="s">
        <v>3292</v>
      </c>
      <c r="BB330" s="1747" t="s">
        <v>3293</v>
      </c>
      <c r="BC330" s="1746">
        <v>1</v>
      </c>
      <c r="BD330" s="1746" t="s">
        <v>2933</v>
      </c>
      <c r="BE330" s="1746"/>
      <c r="BF330" s="1746">
        <v>1.07E-3</v>
      </c>
      <c r="BG330" s="1746" t="s">
        <v>2597</v>
      </c>
      <c r="BH330" s="1744">
        <f t="shared" si="53"/>
        <v>1.07E-3</v>
      </c>
      <c r="BI330" s="1745">
        <f t="shared" si="49"/>
        <v>1.07E-3</v>
      </c>
      <c r="BJ330" s="1740" t="str">
        <f t="shared" si="50"/>
        <v>piece</v>
      </c>
      <c r="BK330" s="1740" t="str">
        <f t="shared" si="51"/>
        <v>Medical equipment</v>
      </c>
    </row>
    <row r="331" spans="2:63" ht="15.65" customHeight="1">
      <c r="B331" s="149"/>
      <c r="C331" s="1842"/>
      <c r="D331" s="1841"/>
      <c r="E331" s="1840"/>
      <c r="F331" s="1845"/>
      <c r="G331" s="1698"/>
      <c r="H331" s="1751"/>
      <c r="I331" s="1751"/>
      <c r="S331" s="1698"/>
      <c r="T331" s="1846" t="str">
        <f t="shared" ref="T331:T356" si="54">IF(C331="","",C331)</f>
        <v/>
      </c>
      <c r="U331" s="1847" t="str">
        <f t="shared" ref="U331:U356" si="55">IFERROR(INDEX($O$11:$O$42,MATCH(E331,$K$11:$K$42,0)),"")</f>
        <v/>
      </c>
      <c r="V331" s="1848"/>
      <c r="W331" s="1849" t="str">
        <f t="shared" si="48"/>
        <v/>
      </c>
      <c r="X331" s="1698"/>
      <c r="AY331" s="1746" t="s">
        <v>2588</v>
      </c>
      <c r="AZ331" s="1746">
        <v>2006</v>
      </c>
      <c r="BA331" s="1746" t="s">
        <v>3294</v>
      </c>
      <c r="BB331" s="1747" t="s">
        <v>3295</v>
      </c>
      <c r="BC331" s="1746">
        <v>100</v>
      </c>
      <c r="BD331" s="1746" t="s">
        <v>2927</v>
      </c>
      <c r="BE331" s="1746"/>
      <c r="BF331" s="1746">
        <v>237</v>
      </c>
      <c r="BG331" s="1746" t="s">
        <v>2592</v>
      </c>
      <c r="BH331" s="1744">
        <f t="shared" si="53"/>
        <v>2.3699999999999999E-4</v>
      </c>
      <c r="BI331" s="1745">
        <f t="shared" si="49"/>
        <v>2.3699999999999998E-6</v>
      </c>
      <c r="BJ331" s="1740" t="str">
        <f t="shared" si="50"/>
        <v>pcs</v>
      </c>
      <c r="BK331" s="1740" t="str">
        <f t="shared" si="51"/>
        <v>Medical equipment</v>
      </c>
    </row>
    <row r="332" spans="2:63" ht="15.65" customHeight="1">
      <c r="B332" s="149"/>
      <c r="C332" s="1842"/>
      <c r="D332" s="1841"/>
      <c r="E332" s="1840"/>
      <c r="F332" s="1845"/>
      <c r="G332" s="1698"/>
      <c r="H332" s="1752"/>
      <c r="I332" s="1752"/>
      <c r="S332" s="1698"/>
      <c r="T332" s="1846" t="str">
        <f t="shared" si="54"/>
        <v/>
      </c>
      <c r="U332" s="1847" t="str">
        <f t="shared" si="55"/>
        <v/>
      </c>
      <c r="V332" s="1848"/>
      <c r="W332" s="1849" t="str">
        <f t="shared" ref="W332:W356" si="56">IF(V332&lt;&gt;"",V332,IF(U332="","",U332))</f>
        <v/>
      </c>
      <c r="X332" s="1698"/>
      <c r="AY332" s="1746" t="s">
        <v>2588</v>
      </c>
      <c r="AZ332" s="1746">
        <v>2006</v>
      </c>
      <c r="BA332" s="1746" t="s">
        <v>3296</v>
      </c>
      <c r="BB332" s="1747" t="s">
        <v>3297</v>
      </c>
      <c r="BC332" s="1746">
        <v>100</v>
      </c>
      <c r="BD332" s="1746" t="s">
        <v>2927</v>
      </c>
      <c r="BE332" s="1746"/>
      <c r="BF332" s="1746">
        <v>237</v>
      </c>
      <c r="BG332" s="1746" t="s">
        <v>2592</v>
      </c>
      <c r="BH332" s="1744">
        <f t="shared" si="53"/>
        <v>2.3699999999999999E-4</v>
      </c>
      <c r="BI332" s="1745">
        <f t="shared" si="49"/>
        <v>2.3699999999999998E-6</v>
      </c>
      <c r="BJ332" s="1740" t="str">
        <f t="shared" si="50"/>
        <v>pcs</v>
      </c>
      <c r="BK332" s="1740" t="str">
        <f t="shared" si="51"/>
        <v>Medical equipment</v>
      </c>
    </row>
    <row r="333" spans="2:63" ht="15.65" customHeight="1">
      <c r="B333" s="149"/>
      <c r="C333" s="1842"/>
      <c r="D333" s="1841"/>
      <c r="E333" s="1840"/>
      <c r="F333" s="1845"/>
      <c r="G333" s="1698"/>
      <c r="H333" s="1751"/>
      <c r="I333" s="1751"/>
      <c r="S333" s="1698"/>
      <c r="T333" s="1846" t="str">
        <f t="shared" si="54"/>
        <v/>
      </c>
      <c r="U333" s="1847" t="str">
        <f t="shared" si="55"/>
        <v/>
      </c>
      <c r="V333" s="1848"/>
      <c r="W333" s="1849" t="str">
        <f t="shared" si="56"/>
        <v/>
      </c>
      <c r="X333" s="1698"/>
      <c r="AY333" s="1746" t="s">
        <v>2593</v>
      </c>
      <c r="AZ333" s="1746">
        <v>2008</v>
      </c>
      <c r="BA333" s="1746" t="s">
        <v>3298</v>
      </c>
      <c r="BB333" s="1747" t="s">
        <v>3299</v>
      </c>
      <c r="BC333" s="1750">
        <v>1000</v>
      </c>
      <c r="BD333" s="1746" t="s">
        <v>2930</v>
      </c>
      <c r="BE333" s="1746"/>
      <c r="BF333" s="1746">
        <v>4.351E-2</v>
      </c>
      <c r="BG333" s="1746" t="s">
        <v>2597</v>
      </c>
      <c r="BH333" s="1744">
        <f t="shared" si="53"/>
        <v>4.351E-2</v>
      </c>
      <c r="BI333" s="1745">
        <f t="shared" si="49"/>
        <v>4.3510000000000002E-5</v>
      </c>
      <c r="BJ333" s="1740" t="str">
        <f t="shared" si="50"/>
        <v>pieces</v>
      </c>
      <c r="BK333" s="1740" t="str">
        <f t="shared" si="51"/>
        <v>Medical equipment</v>
      </c>
    </row>
    <row r="334" spans="2:63" ht="15.65" customHeight="1">
      <c r="B334" s="149"/>
      <c r="C334" s="1842"/>
      <c r="D334" s="1841"/>
      <c r="E334" s="1840"/>
      <c r="F334" s="1845"/>
      <c r="G334" s="1698"/>
      <c r="H334" s="1751"/>
      <c r="I334" s="1751"/>
      <c r="S334" s="1698"/>
      <c r="T334" s="1846" t="str">
        <f t="shared" si="54"/>
        <v/>
      </c>
      <c r="U334" s="1847" t="str">
        <f t="shared" si="55"/>
        <v/>
      </c>
      <c r="V334" s="1848"/>
      <c r="W334" s="1849" t="str">
        <f t="shared" si="56"/>
        <v/>
      </c>
      <c r="X334" s="1698"/>
      <c r="AY334" s="1746" t="s">
        <v>2593</v>
      </c>
      <c r="AZ334" s="1746">
        <v>2008</v>
      </c>
      <c r="BA334" s="1746" t="s">
        <v>3300</v>
      </c>
      <c r="BB334" s="1747" t="s">
        <v>3301</v>
      </c>
      <c r="BC334" s="1750">
        <v>1000</v>
      </c>
      <c r="BD334" s="1746" t="s">
        <v>2930</v>
      </c>
      <c r="BE334" s="1746"/>
      <c r="BF334" s="1746">
        <v>2.5919999999999999E-2</v>
      </c>
      <c r="BG334" s="1746" t="s">
        <v>2597</v>
      </c>
      <c r="BH334" s="1744">
        <f t="shared" si="53"/>
        <v>2.5919999999999999E-2</v>
      </c>
      <c r="BI334" s="1745">
        <f t="shared" si="49"/>
        <v>2.5919999999999999E-5</v>
      </c>
      <c r="BJ334" s="1740" t="str">
        <f t="shared" si="50"/>
        <v>pieces</v>
      </c>
      <c r="BK334" s="1740" t="str">
        <f t="shared" si="51"/>
        <v>Medical equipment</v>
      </c>
    </row>
    <row r="335" spans="2:63" ht="15.65" customHeight="1">
      <c r="B335" s="149"/>
      <c r="C335" s="1842"/>
      <c r="D335" s="1841"/>
      <c r="E335" s="1840"/>
      <c r="F335" s="1845"/>
      <c r="G335" s="1698"/>
      <c r="H335" s="1752"/>
      <c r="I335" s="1752"/>
      <c r="S335" s="1698"/>
      <c r="T335" s="1846" t="str">
        <f t="shared" si="54"/>
        <v/>
      </c>
      <c r="U335" s="1847" t="str">
        <f t="shared" si="55"/>
        <v/>
      </c>
      <c r="V335" s="1848"/>
      <c r="W335" s="1849" t="str">
        <f t="shared" si="56"/>
        <v/>
      </c>
      <c r="X335" s="1698"/>
      <c r="AY335" s="1746" t="s">
        <v>2593</v>
      </c>
      <c r="AZ335" s="1746">
        <v>2008</v>
      </c>
      <c r="BA335" s="1746" t="s">
        <v>3302</v>
      </c>
      <c r="BB335" s="1747" t="s">
        <v>3303</v>
      </c>
      <c r="BC335" s="1750">
        <v>1000</v>
      </c>
      <c r="BD335" s="1746" t="s">
        <v>2930</v>
      </c>
      <c r="BE335" s="1746"/>
      <c r="BF335" s="1746">
        <v>2.5919999999999999E-2</v>
      </c>
      <c r="BG335" s="1746" t="s">
        <v>2597</v>
      </c>
      <c r="BH335" s="1744">
        <f t="shared" si="53"/>
        <v>2.5919999999999999E-2</v>
      </c>
      <c r="BI335" s="1745">
        <f t="shared" si="49"/>
        <v>2.5919999999999999E-5</v>
      </c>
      <c r="BJ335" s="1740" t="str">
        <f t="shared" si="50"/>
        <v>pieces</v>
      </c>
      <c r="BK335" s="1740" t="str">
        <f t="shared" si="51"/>
        <v>Medical equipment</v>
      </c>
    </row>
    <row r="336" spans="2:63" ht="15.65" customHeight="1">
      <c r="B336" s="149"/>
      <c r="C336" s="1842"/>
      <c r="D336" s="1841"/>
      <c r="E336" s="1840"/>
      <c r="F336" s="1845"/>
      <c r="G336" s="1698"/>
      <c r="H336" s="1751"/>
      <c r="I336" s="1751"/>
      <c r="S336" s="1698"/>
      <c r="T336" s="1846" t="str">
        <f t="shared" si="54"/>
        <v/>
      </c>
      <c r="U336" s="1847" t="str">
        <f t="shared" si="55"/>
        <v/>
      </c>
      <c r="V336" s="1848"/>
      <c r="W336" s="1849" t="str">
        <f t="shared" si="56"/>
        <v/>
      </c>
      <c r="X336" s="1698"/>
      <c r="AY336" s="1746" t="s">
        <v>2588</v>
      </c>
      <c r="AZ336" s="1746">
        <v>2006</v>
      </c>
      <c r="BA336" s="1746" t="s">
        <v>3304</v>
      </c>
      <c r="BB336" s="1747" t="s">
        <v>3305</v>
      </c>
      <c r="BC336" s="1746">
        <v>10</v>
      </c>
      <c r="BD336" s="1746" t="s">
        <v>2927</v>
      </c>
      <c r="BE336" s="1746"/>
      <c r="BF336" s="1746">
        <v>12</v>
      </c>
      <c r="BG336" s="1746" t="s">
        <v>2592</v>
      </c>
      <c r="BH336" s="1744">
        <f t="shared" si="53"/>
        <v>1.2E-5</v>
      </c>
      <c r="BI336" s="1745">
        <f t="shared" si="49"/>
        <v>1.1999999999999999E-6</v>
      </c>
      <c r="BJ336" s="1740" t="str">
        <f t="shared" si="50"/>
        <v>pcs</v>
      </c>
      <c r="BK336" s="1740" t="str">
        <f t="shared" si="51"/>
        <v>Medical equipment</v>
      </c>
    </row>
    <row r="337" spans="2:63" ht="15.65" customHeight="1">
      <c r="B337" s="149"/>
      <c r="C337" s="1842"/>
      <c r="D337" s="1841"/>
      <c r="E337" s="1840"/>
      <c r="F337" s="1845"/>
      <c r="G337" s="1698"/>
      <c r="H337" s="1752"/>
      <c r="I337" s="1752"/>
      <c r="S337" s="1698"/>
      <c r="T337" s="1846" t="str">
        <f t="shared" si="54"/>
        <v/>
      </c>
      <c r="U337" s="1847" t="str">
        <f t="shared" si="55"/>
        <v/>
      </c>
      <c r="V337" s="1848"/>
      <c r="W337" s="1849" t="str">
        <f t="shared" si="56"/>
        <v/>
      </c>
      <c r="X337" s="1698"/>
      <c r="AY337" s="1746" t="s">
        <v>2588</v>
      </c>
      <c r="AZ337" s="1746">
        <v>2006</v>
      </c>
      <c r="BA337" s="1746" t="s">
        <v>3306</v>
      </c>
      <c r="BB337" s="1747" t="s">
        <v>3307</v>
      </c>
      <c r="BC337" s="1746">
        <v>1</v>
      </c>
      <c r="BD337" s="1746" t="s">
        <v>2724</v>
      </c>
      <c r="BE337" s="1746"/>
      <c r="BF337" s="1746">
        <v>4</v>
      </c>
      <c r="BG337" s="1746" t="s">
        <v>2592</v>
      </c>
      <c r="BH337" s="1744">
        <f t="shared" si="53"/>
        <v>3.9999999999999998E-6</v>
      </c>
      <c r="BI337" s="1745">
        <f t="shared" si="49"/>
        <v>3.9999999999999998E-6</v>
      </c>
      <c r="BJ337" s="1740" t="str">
        <f t="shared" si="50"/>
        <v>pce</v>
      </c>
      <c r="BK337" s="1740" t="str">
        <f t="shared" si="51"/>
        <v>Roll of tape/gauze</v>
      </c>
    </row>
    <row r="338" spans="2:63" ht="15.65" customHeight="1">
      <c r="B338" s="149"/>
      <c r="C338" s="1842"/>
      <c r="D338" s="1841"/>
      <c r="E338" s="1840"/>
      <c r="F338" s="1845"/>
      <c r="G338" s="1698"/>
      <c r="H338" s="1751"/>
      <c r="I338" s="1751"/>
      <c r="S338" s="1698"/>
      <c r="T338" s="1846" t="str">
        <f t="shared" si="54"/>
        <v/>
      </c>
      <c r="U338" s="1847" t="str">
        <f t="shared" si="55"/>
        <v/>
      </c>
      <c r="V338" s="1848"/>
      <c r="W338" s="1849" t="str">
        <f t="shared" si="56"/>
        <v/>
      </c>
      <c r="X338" s="1698"/>
      <c r="AY338" s="1746" t="s">
        <v>2593</v>
      </c>
      <c r="AZ338" s="1746">
        <v>2008</v>
      </c>
      <c r="BA338" s="1746" t="s">
        <v>3308</v>
      </c>
      <c r="BB338" s="1747" t="s">
        <v>3309</v>
      </c>
      <c r="BC338" s="1746">
        <v>1</v>
      </c>
      <c r="BD338" s="1746" t="s">
        <v>2933</v>
      </c>
      <c r="BE338" s="1746"/>
      <c r="BF338" s="1746">
        <v>8.0000000000000007E-5</v>
      </c>
      <c r="BG338" s="1746" t="s">
        <v>2597</v>
      </c>
      <c r="BH338" s="1744">
        <f t="shared" si="53"/>
        <v>8.0000000000000007E-5</v>
      </c>
      <c r="BI338" s="1745">
        <f t="shared" si="49"/>
        <v>8.0000000000000007E-5</v>
      </c>
      <c r="BJ338" s="1740" t="str">
        <f t="shared" si="50"/>
        <v>piece</v>
      </c>
      <c r="BK338" s="1740" t="str">
        <f t="shared" si="51"/>
        <v>Medical equipment</v>
      </c>
    </row>
    <row r="339" spans="2:63" ht="15.65" customHeight="1">
      <c r="B339" s="149"/>
      <c r="C339" s="1842"/>
      <c r="D339" s="1841"/>
      <c r="E339" s="1840"/>
      <c r="F339" s="1845"/>
      <c r="G339" s="1698"/>
      <c r="H339" s="1751"/>
      <c r="I339" s="1751"/>
      <c r="S339" s="1698"/>
      <c r="T339" s="1846" t="str">
        <f t="shared" si="54"/>
        <v/>
      </c>
      <c r="U339" s="1847" t="str">
        <f t="shared" si="55"/>
        <v/>
      </c>
      <c r="V339" s="1848"/>
      <c r="W339" s="1849" t="str">
        <f t="shared" si="56"/>
        <v/>
      </c>
      <c r="X339" s="1698"/>
      <c r="AY339" s="1746" t="s">
        <v>2593</v>
      </c>
      <c r="AZ339" s="1746">
        <v>2008</v>
      </c>
      <c r="BA339" s="1746" t="s">
        <v>3310</v>
      </c>
      <c r="BB339" s="1747" t="s">
        <v>3311</v>
      </c>
      <c r="BC339" s="1746">
        <v>1</v>
      </c>
      <c r="BD339" s="1746" t="s">
        <v>2933</v>
      </c>
      <c r="BE339" s="1746"/>
      <c r="BF339" s="1746">
        <v>2.4000000000000001E-4</v>
      </c>
      <c r="BG339" s="1746" t="s">
        <v>2597</v>
      </c>
      <c r="BH339" s="1744">
        <f t="shared" si="53"/>
        <v>2.4000000000000001E-4</v>
      </c>
      <c r="BI339" s="1745">
        <f t="shared" ref="BI339:BI402" si="57">IFERROR(BH339/BC339,"")</f>
        <v>2.4000000000000001E-4</v>
      </c>
      <c r="BJ339" s="1740" t="str">
        <f t="shared" ref="BJ339:BJ402" si="58">IF(BE339="",BD339,BD339&amp;"-"&amp;BE339)</f>
        <v>piece</v>
      </c>
      <c r="BK339" s="1740" t="str">
        <f t="shared" si="51"/>
        <v>Medical equipment</v>
      </c>
    </row>
    <row r="340" spans="2:63" ht="15.65" customHeight="1">
      <c r="B340" s="149"/>
      <c r="C340" s="1842"/>
      <c r="D340" s="1841"/>
      <c r="E340" s="1840"/>
      <c r="F340" s="1845"/>
      <c r="G340" s="1698"/>
      <c r="H340" s="1751"/>
      <c r="I340" s="1751"/>
      <c r="S340" s="1698"/>
      <c r="T340" s="1846" t="str">
        <f t="shared" si="54"/>
        <v/>
      </c>
      <c r="U340" s="1847" t="str">
        <f t="shared" si="55"/>
        <v/>
      </c>
      <c r="V340" s="1848"/>
      <c r="W340" s="1849" t="str">
        <f t="shared" si="56"/>
        <v/>
      </c>
      <c r="X340" s="1698"/>
      <c r="AY340" s="1746" t="s">
        <v>2588</v>
      </c>
      <c r="AZ340" s="1746">
        <v>2006</v>
      </c>
      <c r="BA340" s="1746" t="s">
        <v>3312</v>
      </c>
      <c r="BB340" s="1747" t="s">
        <v>3313</v>
      </c>
      <c r="BC340" s="1746">
        <v>100</v>
      </c>
      <c r="BD340" s="1746" t="s">
        <v>2927</v>
      </c>
      <c r="BE340" s="1746"/>
      <c r="BF340" s="1746">
        <v>27225</v>
      </c>
      <c r="BG340" s="1746" t="s">
        <v>2592</v>
      </c>
      <c r="BH340" s="1744">
        <f t="shared" si="53"/>
        <v>2.7224999999999999E-2</v>
      </c>
      <c r="BI340" s="1745">
        <f t="shared" si="57"/>
        <v>2.7224999999999998E-4</v>
      </c>
      <c r="BJ340" s="1740" t="str">
        <f t="shared" si="58"/>
        <v>pcs</v>
      </c>
      <c r="BK340" s="1740" t="str">
        <f t="shared" ref="BK340:BK403" si="59">IFERROR(INDEX($BO$18:$BO$136,MATCH(BJ340,$BN$18:$BN$136,0)),"")</f>
        <v>Medical equipment</v>
      </c>
    </row>
    <row r="341" spans="2:63" ht="15.65" customHeight="1">
      <c r="B341" s="149"/>
      <c r="C341" s="1842"/>
      <c r="D341" s="1841"/>
      <c r="E341" s="1840"/>
      <c r="F341" s="1845"/>
      <c r="G341" s="1698"/>
      <c r="H341" s="1752"/>
      <c r="I341" s="1752"/>
      <c r="S341" s="1698"/>
      <c r="T341" s="1846" t="str">
        <f t="shared" si="54"/>
        <v/>
      </c>
      <c r="U341" s="1847" t="str">
        <f t="shared" si="55"/>
        <v/>
      </c>
      <c r="V341" s="1848"/>
      <c r="W341" s="1849" t="str">
        <f t="shared" si="56"/>
        <v/>
      </c>
      <c r="X341" s="1698"/>
      <c r="AY341" s="1746" t="s">
        <v>2593</v>
      </c>
      <c r="AZ341" s="1746">
        <v>2008</v>
      </c>
      <c r="BA341" s="1746" t="s">
        <v>3314</v>
      </c>
      <c r="BB341" s="1747" t="s">
        <v>3315</v>
      </c>
      <c r="BC341" s="1746">
        <v>1</v>
      </c>
      <c r="BD341" s="1746" t="s">
        <v>2596</v>
      </c>
      <c r="BE341" s="1746"/>
      <c r="BF341" s="1746">
        <v>4.0000000000000003E-5</v>
      </c>
      <c r="BG341" s="1746" t="s">
        <v>2597</v>
      </c>
      <c r="BH341" s="1744">
        <f t="shared" si="53"/>
        <v>4.0000000000000003E-5</v>
      </c>
      <c r="BI341" s="1745">
        <f t="shared" si="57"/>
        <v>4.0000000000000003E-5</v>
      </c>
      <c r="BJ341" s="1740" t="str">
        <f t="shared" si="58"/>
        <v>bottle</v>
      </c>
      <c r="BK341" s="1740" t="str">
        <f t="shared" si="59"/>
        <v>Bottle of Liquid</v>
      </c>
    </row>
    <row r="342" spans="2:63" ht="15.65" customHeight="1">
      <c r="B342" s="149"/>
      <c r="C342" s="1842"/>
      <c r="D342" s="1841"/>
      <c r="E342" s="1840"/>
      <c r="F342" s="1845"/>
      <c r="G342" s="1698"/>
      <c r="H342" s="1752"/>
      <c r="I342" s="1752"/>
      <c r="S342" s="1698"/>
      <c r="T342" s="1846" t="str">
        <f t="shared" si="54"/>
        <v/>
      </c>
      <c r="U342" s="1847" t="str">
        <f t="shared" si="55"/>
        <v/>
      </c>
      <c r="V342" s="1848"/>
      <c r="W342" s="1849" t="str">
        <f t="shared" si="56"/>
        <v/>
      </c>
      <c r="X342" s="1698"/>
      <c r="AY342" s="1746" t="s">
        <v>2593</v>
      </c>
      <c r="AZ342" s="1746">
        <v>2008</v>
      </c>
      <c r="BA342" s="1746" t="s">
        <v>3316</v>
      </c>
      <c r="BB342" s="1747" t="s">
        <v>3317</v>
      </c>
      <c r="BC342" s="1746">
        <v>1</v>
      </c>
      <c r="BD342" s="1746" t="s">
        <v>2596</v>
      </c>
      <c r="BE342" s="1746"/>
      <c r="BF342" s="1746">
        <v>4.0000000000000003E-5</v>
      </c>
      <c r="BG342" s="1746" t="s">
        <v>2597</v>
      </c>
      <c r="BH342" s="1744">
        <f t="shared" si="53"/>
        <v>4.0000000000000003E-5</v>
      </c>
      <c r="BI342" s="1745">
        <f t="shared" si="57"/>
        <v>4.0000000000000003E-5</v>
      </c>
      <c r="BJ342" s="1740" t="str">
        <f t="shared" si="58"/>
        <v>bottle</v>
      </c>
      <c r="BK342" s="1740" t="str">
        <f t="shared" si="59"/>
        <v>Bottle of Liquid</v>
      </c>
    </row>
    <row r="343" spans="2:63" ht="15.65" customHeight="1">
      <c r="B343" s="149"/>
      <c r="C343" s="1842"/>
      <c r="D343" s="1841"/>
      <c r="E343" s="1840"/>
      <c r="F343" s="1845"/>
      <c r="G343" s="1698"/>
      <c r="H343" s="1751"/>
      <c r="I343" s="1751"/>
      <c r="S343" s="1698"/>
      <c r="T343" s="1846" t="str">
        <f t="shared" si="54"/>
        <v/>
      </c>
      <c r="U343" s="1847" t="str">
        <f t="shared" si="55"/>
        <v/>
      </c>
      <c r="V343" s="1848"/>
      <c r="W343" s="1849" t="str">
        <f t="shared" si="56"/>
        <v/>
      </c>
      <c r="X343" s="1698"/>
      <c r="AY343" s="1746" t="s">
        <v>2593</v>
      </c>
      <c r="AZ343" s="1746">
        <v>2008</v>
      </c>
      <c r="BA343" s="1746" t="s">
        <v>3318</v>
      </c>
      <c r="BB343" s="1747" t="s">
        <v>3319</v>
      </c>
      <c r="BC343" s="1746">
        <v>1</v>
      </c>
      <c r="BD343" s="1746" t="s">
        <v>2596</v>
      </c>
      <c r="BE343" s="1746"/>
      <c r="BF343" s="1746">
        <v>4.0000000000000003E-5</v>
      </c>
      <c r="BG343" s="1746" t="s">
        <v>2597</v>
      </c>
      <c r="BH343" s="1744">
        <f t="shared" si="53"/>
        <v>4.0000000000000003E-5</v>
      </c>
      <c r="BI343" s="1745">
        <f t="shared" si="57"/>
        <v>4.0000000000000003E-5</v>
      </c>
      <c r="BJ343" s="1740" t="str">
        <f t="shared" si="58"/>
        <v>bottle</v>
      </c>
      <c r="BK343" s="1740" t="str">
        <f t="shared" si="59"/>
        <v>Bottle of Liquid</v>
      </c>
    </row>
    <row r="344" spans="2:63" ht="15.65" customHeight="1">
      <c r="B344" s="149"/>
      <c r="C344" s="1842"/>
      <c r="D344" s="1841"/>
      <c r="E344" s="1840"/>
      <c r="F344" s="1845"/>
      <c r="G344" s="1698"/>
      <c r="H344" s="1752"/>
      <c r="I344" s="1752"/>
      <c r="S344" s="1698"/>
      <c r="T344" s="1846" t="str">
        <f t="shared" si="54"/>
        <v/>
      </c>
      <c r="U344" s="1847" t="str">
        <f t="shared" si="55"/>
        <v/>
      </c>
      <c r="V344" s="1848"/>
      <c r="W344" s="1849" t="str">
        <f t="shared" si="56"/>
        <v/>
      </c>
      <c r="X344" s="1698"/>
      <c r="AY344" s="1746" t="s">
        <v>2593</v>
      </c>
      <c r="AZ344" s="1746">
        <v>2008</v>
      </c>
      <c r="BA344" s="1746" t="s">
        <v>3320</v>
      </c>
      <c r="BB344" s="1747" t="s">
        <v>3321</v>
      </c>
      <c r="BC344" s="1746">
        <v>1</v>
      </c>
      <c r="BD344" s="1746" t="s">
        <v>2596</v>
      </c>
      <c r="BE344" s="1746"/>
      <c r="BF344" s="1746">
        <v>1.2E-4</v>
      </c>
      <c r="BG344" s="1746" t="s">
        <v>2597</v>
      </c>
      <c r="BH344" s="1744">
        <f t="shared" si="53"/>
        <v>1.2E-4</v>
      </c>
      <c r="BI344" s="1745">
        <f t="shared" si="57"/>
        <v>1.2E-4</v>
      </c>
      <c r="BJ344" s="1740" t="str">
        <f t="shared" si="58"/>
        <v>bottle</v>
      </c>
      <c r="BK344" s="1740" t="str">
        <f t="shared" si="59"/>
        <v>Bottle of Liquid</v>
      </c>
    </row>
    <row r="345" spans="2:63" ht="15.65" customHeight="1">
      <c r="B345" s="149"/>
      <c r="C345" s="1842"/>
      <c r="D345" s="1841"/>
      <c r="E345" s="1840"/>
      <c r="F345" s="1845"/>
      <c r="G345" s="1698"/>
      <c r="H345" s="1751"/>
      <c r="I345" s="1751"/>
      <c r="S345" s="1698"/>
      <c r="T345" s="1846" t="str">
        <f t="shared" si="54"/>
        <v/>
      </c>
      <c r="U345" s="1847" t="str">
        <f t="shared" si="55"/>
        <v/>
      </c>
      <c r="V345" s="1848"/>
      <c r="W345" s="1849" t="str">
        <f t="shared" si="56"/>
        <v/>
      </c>
      <c r="X345" s="1698"/>
      <c r="AY345" s="1746" t="s">
        <v>2593</v>
      </c>
      <c r="AZ345" s="1746">
        <v>2008</v>
      </c>
      <c r="BA345" s="1746" t="s">
        <v>3322</v>
      </c>
      <c r="BB345" s="1747" t="s">
        <v>3323</v>
      </c>
      <c r="BC345" s="1746">
        <v>1</v>
      </c>
      <c r="BD345" s="1746" t="s">
        <v>2596</v>
      </c>
      <c r="BE345" s="1746"/>
      <c r="BF345" s="1746">
        <v>1E-4</v>
      </c>
      <c r="BG345" s="1746" t="s">
        <v>2597</v>
      </c>
      <c r="BH345" s="1744">
        <f t="shared" ref="BH345:BH408" si="60">IF(BG345="CCM",BF345/1000000,IF(BG345="CDM",BF345/1000, IF(BG345="M3",BF345,"")))</f>
        <v>1E-4</v>
      </c>
      <c r="BI345" s="1745">
        <f t="shared" si="57"/>
        <v>1E-4</v>
      </c>
      <c r="BJ345" s="1740" t="str">
        <f t="shared" si="58"/>
        <v>bottle</v>
      </c>
      <c r="BK345" s="1740" t="str">
        <f t="shared" si="59"/>
        <v>Bottle of Liquid</v>
      </c>
    </row>
    <row r="346" spans="2:63" ht="15.65" customHeight="1">
      <c r="B346" s="149"/>
      <c r="C346" s="1842"/>
      <c r="D346" s="1841"/>
      <c r="E346" s="1840"/>
      <c r="F346" s="1845"/>
      <c r="G346" s="1698"/>
      <c r="H346" s="1752"/>
      <c r="I346" s="1752"/>
      <c r="S346" s="1698"/>
      <c r="T346" s="1846" t="str">
        <f t="shared" si="54"/>
        <v/>
      </c>
      <c r="U346" s="1847" t="str">
        <f t="shared" si="55"/>
        <v/>
      </c>
      <c r="V346" s="1848"/>
      <c r="W346" s="1849" t="str">
        <f t="shared" si="56"/>
        <v/>
      </c>
      <c r="X346" s="1698"/>
      <c r="AY346" s="1746" t="s">
        <v>2588</v>
      </c>
      <c r="AZ346" s="1746">
        <v>2006</v>
      </c>
      <c r="BA346" s="1746" t="s">
        <v>3324</v>
      </c>
      <c r="BB346" s="1747" t="s">
        <v>3325</v>
      </c>
      <c r="BC346" s="1746">
        <v>200</v>
      </c>
      <c r="BD346" s="1746" t="s">
        <v>2927</v>
      </c>
      <c r="BE346" s="1746"/>
      <c r="BF346" s="1746">
        <v>351</v>
      </c>
      <c r="BG346" s="1746" t="s">
        <v>2592</v>
      </c>
      <c r="BH346" s="1744">
        <f t="shared" si="60"/>
        <v>3.5100000000000002E-4</v>
      </c>
      <c r="BI346" s="1745">
        <f t="shared" si="57"/>
        <v>1.7550000000000001E-6</v>
      </c>
      <c r="BJ346" s="1740" t="str">
        <f t="shared" si="58"/>
        <v>pcs</v>
      </c>
      <c r="BK346" s="1740" t="str">
        <f t="shared" si="59"/>
        <v>Medical equipment</v>
      </c>
    </row>
    <row r="347" spans="2:63" ht="15.65" customHeight="1">
      <c r="B347" s="149"/>
      <c r="C347" s="1842"/>
      <c r="D347" s="1841"/>
      <c r="E347" s="1840"/>
      <c r="F347" s="1845"/>
      <c r="G347" s="1698"/>
      <c r="H347" s="1752"/>
      <c r="I347" s="1752"/>
      <c r="S347" s="1698"/>
      <c r="T347" s="1846" t="str">
        <f t="shared" si="54"/>
        <v/>
      </c>
      <c r="U347" s="1847" t="str">
        <f t="shared" si="55"/>
        <v/>
      </c>
      <c r="V347" s="1848"/>
      <c r="W347" s="1849" t="str">
        <f t="shared" si="56"/>
        <v/>
      </c>
      <c r="X347" s="1698"/>
      <c r="AY347" s="1746" t="s">
        <v>2593</v>
      </c>
      <c r="AZ347" s="1746">
        <v>2008</v>
      </c>
      <c r="BA347" s="1746" t="s">
        <v>3326</v>
      </c>
      <c r="BB347" s="1747" t="s">
        <v>3327</v>
      </c>
      <c r="BC347" s="1746">
        <v>200</v>
      </c>
      <c r="BD347" s="1746" t="s">
        <v>2930</v>
      </c>
      <c r="BE347" s="1746"/>
      <c r="BF347" s="1746">
        <v>3.1E-4</v>
      </c>
      <c r="BG347" s="1746" t="s">
        <v>2597</v>
      </c>
      <c r="BH347" s="1744">
        <f t="shared" si="60"/>
        <v>3.1E-4</v>
      </c>
      <c r="BI347" s="1745">
        <f t="shared" si="57"/>
        <v>1.55E-6</v>
      </c>
      <c r="BJ347" s="1740" t="str">
        <f t="shared" si="58"/>
        <v>pieces</v>
      </c>
      <c r="BK347" s="1740" t="str">
        <f t="shared" si="59"/>
        <v>Medical equipment</v>
      </c>
    </row>
    <row r="348" spans="2:63" ht="15.65" customHeight="1">
      <c r="B348" s="149"/>
      <c r="C348" s="1842"/>
      <c r="D348" s="1841"/>
      <c r="E348" s="1840"/>
      <c r="F348" s="1845"/>
      <c r="G348" s="1698"/>
      <c r="H348" s="1752"/>
      <c r="I348" s="1752"/>
      <c r="S348" s="1698"/>
      <c r="T348" s="1846" t="str">
        <f t="shared" si="54"/>
        <v/>
      </c>
      <c r="U348" s="1847" t="str">
        <f t="shared" si="55"/>
        <v/>
      </c>
      <c r="V348" s="1848"/>
      <c r="W348" s="1849" t="str">
        <f t="shared" si="56"/>
        <v/>
      </c>
      <c r="X348" s="1698"/>
      <c r="AY348" s="1746" t="s">
        <v>2593</v>
      </c>
      <c r="AZ348" s="1746">
        <v>2008</v>
      </c>
      <c r="BA348" s="1746" t="s">
        <v>3328</v>
      </c>
      <c r="BB348" s="1747" t="s">
        <v>3327</v>
      </c>
      <c r="BC348" s="1746">
        <v>100</v>
      </c>
      <c r="BD348" s="1746" t="s">
        <v>2930</v>
      </c>
      <c r="BE348" s="1746"/>
      <c r="BF348" s="1746">
        <v>1.9000000000000001E-4</v>
      </c>
      <c r="BG348" s="1746" t="s">
        <v>2597</v>
      </c>
      <c r="BH348" s="1744">
        <f t="shared" si="60"/>
        <v>1.9000000000000001E-4</v>
      </c>
      <c r="BI348" s="1745">
        <f t="shared" si="57"/>
        <v>1.9E-6</v>
      </c>
      <c r="BJ348" s="1740" t="str">
        <f t="shared" si="58"/>
        <v>pieces</v>
      </c>
      <c r="BK348" s="1740" t="str">
        <f t="shared" si="59"/>
        <v>Medical equipment</v>
      </c>
    </row>
    <row r="349" spans="2:63" ht="15.65" customHeight="1">
      <c r="B349" s="149"/>
      <c r="C349" s="1842"/>
      <c r="D349" s="1841"/>
      <c r="E349" s="1840"/>
      <c r="F349" s="1845"/>
      <c r="G349" s="1698"/>
      <c r="H349" s="1751"/>
      <c r="I349" s="1751"/>
      <c r="S349" s="1698"/>
      <c r="T349" s="1846" t="str">
        <f t="shared" si="54"/>
        <v/>
      </c>
      <c r="U349" s="1847" t="str">
        <f t="shared" si="55"/>
        <v/>
      </c>
      <c r="V349" s="1848"/>
      <c r="W349" s="1849" t="str">
        <f t="shared" si="56"/>
        <v/>
      </c>
      <c r="X349" s="1698"/>
      <c r="AY349" s="1746" t="s">
        <v>2588</v>
      </c>
      <c r="AZ349" s="1746">
        <v>2006</v>
      </c>
      <c r="BA349" s="1746" t="s">
        <v>3329</v>
      </c>
      <c r="BB349" s="1747" t="s">
        <v>3330</v>
      </c>
      <c r="BC349" s="1746">
        <v>100</v>
      </c>
      <c r="BD349" s="1746" t="s">
        <v>2927</v>
      </c>
      <c r="BE349" s="1746"/>
      <c r="BF349" s="1746">
        <v>14632</v>
      </c>
      <c r="BG349" s="1746" t="s">
        <v>2592</v>
      </c>
      <c r="BH349" s="1744">
        <f t="shared" si="60"/>
        <v>1.4631999999999999E-2</v>
      </c>
      <c r="BI349" s="1745">
        <f t="shared" si="57"/>
        <v>1.4631999999999999E-4</v>
      </c>
      <c r="BJ349" s="1740" t="str">
        <f t="shared" si="58"/>
        <v>pcs</v>
      </c>
      <c r="BK349" s="1740" t="str">
        <f t="shared" si="59"/>
        <v>Medical equipment</v>
      </c>
    </row>
    <row r="350" spans="2:63" ht="15.65" customHeight="1">
      <c r="B350" s="149"/>
      <c r="C350" s="1842"/>
      <c r="D350" s="1841"/>
      <c r="E350" s="1840"/>
      <c r="F350" s="1845"/>
      <c r="G350" s="1698"/>
      <c r="H350" s="1751"/>
      <c r="I350" s="1751"/>
      <c r="S350" s="1698"/>
      <c r="T350" s="1846" t="str">
        <f t="shared" si="54"/>
        <v/>
      </c>
      <c r="U350" s="1847" t="str">
        <f t="shared" si="55"/>
        <v/>
      </c>
      <c r="V350" s="1848"/>
      <c r="W350" s="1849" t="str">
        <f t="shared" si="56"/>
        <v/>
      </c>
      <c r="X350" s="1698"/>
      <c r="AY350" s="1746" t="s">
        <v>2593</v>
      </c>
      <c r="AZ350" s="1746">
        <v>2008</v>
      </c>
      <c r="BA350" s="1746" t="s">
        <v>3331</v>
      </c>
      <c r="BB350" s="1747" t="s">
        <v>3332</v>
      </c>
      <c r="BC350" s="1746">
        <v>1</v>
      </c>
      <c r="BD350" s="1746" t="s">
        <v>2933</v>
      </c>
      <c r="BE350" s="1746"/>
      <c r="BF350" s="1746">
        <v>1.9000000000000001E-4</v>
      </c>
      <c r="BG350" s="1746" t="s">
        <v>2597</v>
      </c>
      <c r="BH350" s="1744">
        <f t="shared" si="60"/>
        <v>1.9000000000000001E-4</v>
      </c>
      <c r="BI350" s="1745">
        <f t="shared" si="57"/>
        <v>1.9000000000000001E-4</v>
      </c>
      <c r="BJ350" s="1740" t="str">
        <f t="shared" si="58"/>
        <v>piece</v>
      </c>
      <c r="BK350" s="1740" t="str">
        <f t="shared" si="59"/>
        <v>Medical equipment</v>
      </c>
    </row>
    <row r="351" spans="2:63" ht="15.65" customHeight="1">
      <c r="B351" s="149"/>
      <c r="C351" s="1842"/>
      <c r="D351" s="1841"/>
      <c r="E351" s="1840"/>
      <c r="F351" s="1845"/>
      <c r="G351" s="1698"/>
      <c r="H351" s="1751"/>
      <c r="I351" s="1751"/>
      <c r="S351" s="1698"/>
      <c r="T351" s="1846" t="str">
        <f t="shared" si="54"/>
        <v/>
      </c>
      <c r="U351" s="1847" t="str">
        <f t="shared" si="55"/>
        <v/>
      </c>
      <c r="V351" s="1848"/>
      <c r="W351" s="1849" t="str">
        <f t="shared" si="56"/>
        <v/>
      </c>
      <c r="X351" s="1698"/>
      <c r="AY351" s="1746" t="s">
        <v>2588</v>
      </c>
      <c r="AZ351" s="1746">
        <v>2006</v>
      </c>
      <c r="BA351" s="1746" t="s">
        <v>3333</v>
      </c>
      <c r="BB351" s="1747" t="s">
        <v>3334</v>
      </c>
      <c r="BC351" s="1746">
        <v>10</v>
      </c>
      <c r="BD351" s="1746" t="s">
        <v>2795</v>
      </c>
      <c r="BE351" s="1746"/>
      <c r="BF351" s="1746">
        <v>1173</v>
      </c>
      <c r="BG351" s="1746" t="s">
        <v>2592</v>
      </c>
      <c r="BH351" s="1744">
        <f t="shared" si="60"/>
        <v>1.173E-3</v>
      </c>
      <c r="BI351" s="1745">
        <f t="shared" si="57"/>
        <v>1.1730000000000001E-4</v>
      </c>
      <c r="BJ351" s="1740" t="str">
        <f t="shared" si="58"/>
        <v>vials</v>
      </c>
      <c r="BK351" s="1740" t="str">
        <f t="shared" si="59"/>
        <v>Injection Vial</v>
      </c>
    </row>
    <row r="352" spans="2:63" ht="15.65" customHeight="1">
      <c r="B352" s="149"/>
      <c r="C352" s="1842"/>
      <c r="D352" s="1841"/>
      <c r="E352" s="1840"/>
      <c r="F352" s="1845"/>
      <c r="G352" s="1698"/>
      <c r="H352" s="1751"/>
      <c r="I352" s="1751"/>
      <c r="S352" s="1698"/>
      <c r="T352" s="1846" t="str">
        <f t="shared" si="54"/>
        <v/>
      </c>
      <c r="U352" s="1847" t="str">
        <f t="shared" si="55"/>
        <v/>
      </c>
      <c r="V352" s="1848"/>
      <c r="W352" s="1849" t="str">
        <f t="shared" si="56"/>
        <v/>
      </c>
      <c r="X352" s="1698"/>
      <c r="AY352" s="1746" t="s">
        <v>2588</v>
      </c>
      <c r="AZ352" s="1746">
        <v>2006</v>
      </c>
      <c r="BA352" s="1746" t="s">
        <v>3335</v>
      </c>
      <c r="BB352" s="1747" t="s">
        <v>3336</v>
      </c>
      <c r="BC352" s="1746">
        <v>10</v>
      </c>
      <c r="BD352" s="1746" t="s">
        <v>2795</v>
      </c>
      <c r="BE352" s="1746"/>
      <c r="BF352" s="1746">
        <v>1173</v>
      </c>
      <c r="BG352" s="1746" t="s">
        <v>2592</v>
      </c>
      <c r="BH352" s="1744">
        <f t="shared" si="60"/>
        <v>1.173E-3</v>
      </c>
      <c r="BI352" s="1745">
        <f t="shared" si="57"/>
        <v>1.1730000000000001E-4</v>
      </c>
      <c r="BJ352" s="1740" t="str">
        <f t="shared" si="58"/>
        <v>vials</v>
      </c>
      <c r="BK352" s="1740" t="str">
        <f t="shared" si="59"/>
        <v>Injection Vial</v>
      </c>
    </row>
    <row r="353" spans="2:63" ht="15.65" customHeight="1">
      <c r="B353" s="149"/>
      <c r="C353" s="1842"/>
      <c r="D353" s="1841"/>
      <c r="E353" s="1840"/>
      <c r="F353" s="1845"/>
      <c r="G353" s="1698"/>
      <c r="H353" s="1752"/>
      <c r="I353" s="1752"/>
      <c r="S353" s="1698"/>
      <c r="T353" s="1846" t="str">
        <f t="shared" si="54"/>
        <v/>
      </c>
      <c r="U353" s="1847" t="str">
        <f t="shared" si="55"/>
        <v/>
      </c>
      <c r="V353" s="1848"/>
      <c r="W353" s="1849" t="str">
        <f t="shared" si="56"/>
        <v/>
      </c>
      <c r="X353" s="1698"/>
      <c r="AY353" s="1746" t="s">
        <v>2588</v>
      </c>
      <c r="AZ353" s="1746">
        <v>2006</v>
      </c>
      <c r="BA353" s="1746" t="s">
        <v>3337</v>
      </c>
      <c r="BB353" s="1747" t="s">
        <v>3338</v>
      </c>
      <c r="BC353" s="1746">
        <v>10</v>
      </c>
      <c r="BD353" s="1746" t="s">
        <v>2795</v>
      </c>
      <c r="BE353" s="1746"/>
      <c r="BF353" s="1746">
        <v>1173</v>
      </c>
      <c r="BG353" s="1746" t="s">
        <v>2592</v>
      </c>
      <c r="BH353" s="1744">
        <f t="shared" si="60"/>
        <v>1.173E-3</v>
      </c>
      <c r="BI353" s="1745">
        <f t="shared" si="57"/>
        <v>1.1730000000000001E-4</v>
      </c>
      <c r="BJ353" s="1740" t="str">
        <f t="shared" si="58"/>
        <v>vials</v>
      </c>
      <c r="BK353" s="1740" t="str">
        <f t="shared" si="59"/>
        <v>Injection Vial</v>
      </c>
    </row>
    <row r="354" spans="2:63" ht="15.65" customHeight="1">
      <c r="B354" s="149"/>
      <c r="C354" s="1842"/>
      <c r="D354" s="1841"/>
      <c r="E354" s="1840"/>
      <c r="F354" s="1845"/>
      <c r="G354" s="1698"/>
      <c r="H354" s="1751"/>
      <c r="I354" s="1751"/>
      <c r="S354" s="1698"/>
      <c r="T354" s="1846" t="str">
        <f t="shared" si="54"/>
        <v/>
      </c>
      <c r="U354" s="1847" t="str">
        <f t="shared" si="55"/>
        <v/>
      </c>
      <c r="V354" s="1848"/>
      <c r="W354" s="1849" t="str">
        <f t="shared" si="56"/>
        <v/>
      </c>
      <c r="X354" s="1698"/>
      <c r="AY354" s="1746" t="s">
        <v>2588</v>
      </c>
      <c r="AZ354" s="1746">
        <v>2006</v>
      </c>
      <c r="BA354" s="1746" t="s">
        <v>3339</v>
      </c>
      <c r="BB354" s="1747" t="s">
        <v>3340</v>
      </c>
      <c r="BC354" s="1746">
        <v>10</v>
      </c>
      <c r="BD354" s="1746" t="s">
        <v>2591</v>
      </c>
      <c r="BE354" s="1746"/>
      <c r="BF354" s="1746">
        <v>1173</v>
      </c>
      <c r="BG354" s="1746" t="s">
        <v>2592</v>
      </c>
      <c r="BH354" s="1744">
        <f t="shared" si="60"/>
        <v>1.173E-3</v>
      </c>
      <c r="BI354" s="1745">
        <f t="shared" si="57"/>
        <v>1.1730000000000001E-4</v>
      </c>
      <c r="BJ354" s="1740" t="str">
        <f t="shared" si="58"/>
        <v>vial</v>
      </c>
      <c r="BK354" s="1740" t="str">
        <f t="shared" si="59"/>
        <v>Injection Vial</v>
      </c>
    </row>
    <row r="355" spans="2:63" ht="15.65" customHeight="1">
      <c r="B355" s="149"/>
      <c r="C355" s="1842"/>
      <c r="D355" s="1841"/>
      <c r="E355" s="1840"/>
      <c r="F355" s="1845"/>
      <c r="G355" s="1698"/>
      <c r="H355" s="1752"/>
      <c r="I355" s="1752"/>
      <c r="S355" s="1698"/>
      <c r="T355" s="1846" t="str">
        <f t="shared" si="54"/>
        <v/>
      </c>
      <c r="U355" s="1847" t="str">
        <f t="shared" si="55"/>
        <v/>
      </c>
      <c r="V355" s="1848"/>
      <c r="W355" s="1849" t="str">
        <f t="shared" si="56"/>
        <v/>
      </c>
      <c r="X355" s="1698"/>
      <c r="AY355" s="1746" t="s">
        <v>2588</v>
      </c>
      <c r="AZ355" s="1746">
        <v>2006</v>
      </c>
      <c r="BA355" s="1746" t="s">
        <v>3341</v>
      </c>
      <c r="BB355" s="1747" t="s">
        <v>3342</v>
      </c>
      <c r="BC355" s="1746">
        <v>1</v>
      </c>
      <c r="BD355" s="1746" t="s">
        <v>2724</v>
      </c>
      <c r="BE355" s="1746"/>
      <c r="BF355" s="1746">
        <v>2760</v>
      </c>
      <c r="BG355" s="1746" t="s">
        <v>2592</v>
      </c>
      <c r="BH355" s="1744">
        <f t="shared" si="60"/>
        <v>2.7599999999999999E-3</v>
      </c>
      <c r="BI355" s="1745">
        <f t="shared" si="57"/>
        <v>2.7599999999999999E-3</v>
      </c>
      <c r="BJ355" s="1740" t="str">
        <f t="shared" si="58"/>
        <v>pce</v>
      </c>
      <c r="BK355" s="1740" t="str">
        <f t="shared" si="59"/>
        <v>Roll of tape/gauze</v>
      </c>
    </row>
    <row r="356" spans="2:63" ht="15.65" customHeight="1">
      <c r="B356" s="149"/>
      <c r="C356" s="1842"/>
      <c r="D356" s="1841"/>
      <c r="E356" s="1840"/>
      <c r="F356" s="1845"/>
      <c r="G356" s="1698"/>
      <c r="H356" s="1752"/>
      <c r="I356" s="1752"/>
      <c r="S356" s="1698"/>
      <c r="T356" s="1846" t="str">
        <f t="shared" si="54"/>
        <v/>
      </c>
      <c r="U356" s="1847" t="str">
        <f t="shared" si="55"/>
        <v/>
      </c>
      <c r="V356" s="1848"/>
      <c r="W356" s="1849" t="str">
        <f t="shared" si="56"/>
        <v/>
      </c>
      <c r="X356" s="1698"/>
      <c r="AY356" s="1746" t="s">
        <v>2588</v>
      </c>
      <c r="AZ356" s="1746">
        <v>2006</v>
      </c>
      <c r="BA356" s="1746" t="s">
        <v>3343</v>
      </c>
      <c r="BB356" s="1747" t="s">
        <v>3344</v>
      </c>
      <c r="BC356" s="1746">
        <v>100</v>
      </c>
      <c r="BD356" s="1746" t="s">
        <v>2927</v>
      </c>
      <c r="BE356" s="1746"/>
      <c r="BF356" s="1746">
        <v>48</v>
      </c>
      <c r="BG356" s="1746" t="s">
        <v>2592</v>
      </c>
      <c r="BH356" s="1744">
        <f t="shared" si="60"/>
        <v>4.8000000000000001E-5</v>
      </c>
      <c r="BI356" s="1745">
        <f t="shared" si="57"/>
        <v>4.8000000000000006E-7</v>
      </c>
      <c r="BJ356" s="1740" t="str">
        <f t="shared" si="58"/>
        <v>pcs</v>
      </c>
      <c r="BK356" s="1740" t="str">
        <f t="shared" si="59"/>
        <v>Medical equipment</v>
      </c>
    </row>
    <row r="357" spans="2:63" ht="15.65" customHeight="1">
      <c r="B357" s="149"/>
      <c r="C357" s="156"/>
      <c r="D357" s="156"/>
      <c r="E357" s="156"/>
      <c r="F357" s="156"/>
      <c r="G357" s="1698"/>
      <c r="S357" s="1698"/>
      <c r="T357" s="1698"/>
      <c r="U357" s="1698"/>
      <c r="V357" s="1698"/>
      <c r="W357" s="1698"/>
      <c r="X357" s="1698"/>
      <c r="AY357" s="1746" t="s">
        <v>2588</v>
      </c>
      <c r="AZ357" s="1746">
        <v>2006</v>
      </c>
      <c r="BA357" s="1746" t="s">
        <v>3345</v>
      </c>
      <c r="BB357" s="1747" t="s">
        <v>3346</v>
      </c>
      <c r="BC357" s="1746">
        <v>5000</v>
      </c>
      <c r="BD357" s="1746" t="s">
        <v>2927</v>
      </c>
      <c r="BE357" s="1746"/>
      <c r="BF357" s="1746">
        <v>16990</v>
      </c>
      <c r="BG357" s="1746" t="s">
        <v>2592</v>
      </c>
      <c r="BH357" s="1744">
        <f t="shared" si="60"/>
        <v>1.6990000000000002E-2</v>
      </c>
      <c r="BI357" s="1745">
        <f t="shared" si="57"/>
        <v>3.3980000000000003E-6</v>
      </c>
      <c r="BJ357" s="1740" t="str">
        <f t="shared" si="58"/>
        <v>pcs</v>
      </c>
      <c r="BK357" s="1740" t="str">
        <f t="shared" si="59"/>
        <v>Medical equipment</v>
      </c>
    </row>
    <row r="358" spans="2:63" ht="15.65" customHeight="1">
      <c r="B358" s="149"/>
      <c r="C358" s="156"/>
      <c r="D358" s="156"/>
      <c r="E358" s="156"/>
      <c r="F358" s="156"/>
      <c r="G358" s="1698"/>
      <c r="S358" s="1698"/>
      <c r="T358" s="1698"/>
      <c r="U358" s="1698"/>
      <c r="V358" s="1698"/>
      <c r="W358" s="1698"/>
      <c r="X358" s="1698"/>
      <c r="AY358" s="1746" t="s">
        <v>2588</v>
      </c>
      <c r="AZ358" s="1746">
        <v>2006</v>
      </c>
      <c r="BA358" s="1746" t="s">
        <v>3347</v>
      </c>
      <c r="BB358" s="1747" t="s">
        <v>3348</v>
      </c>
      <c r="BC358" s="1746">
        <v>5000</v>
      </c>
      <c r="BD358" s="1746" t="s">
        <v>2927</v>
      </c>
      <c r="BE358" s="1746"/>
      <c r="BF358" s="1746">
        <v>16990</v>
      </c>
      <c r="BG358" s="1746" t="s">
        <v>2592</v>
      </c>
      <c r="BH358" s="1744">
        <f t="shared" si="60"/>
        <v>1.6990000000000002E-2</v>
      </c>
      <c r="BI358" s="1745">
        <f t="shared" si="57"/>
        <v>3.3980000000000003E-6</v>
      </c>
      <c r="BJ358" s="1740" t="str">
        <f t="shared" si="58"/>
        <v>pcs</v>
      </c>
      <c r="BK358" s="1740" t="str">
        <f t="shared" si="59"/>
        <v>Medical equipment</v>
      </c>
    </row>
    <row r="359" spans="2:63" ht="15.65" customHeight="1">
      <c r="AY359" s="1746" t="s">
        <v>2593</v>
      </c>
      <c r="AZ359" s="1746">
        <v>2008</v>
      </c>
      <c r="BA359" s="1746" t="s">
        <v>3349</v>
      </c>
      <c r="BB359" s="1747" t="s">
        <v>3350</v>
      </c>
      <c r="BC359" s="1746">
        <v>100</v>
      </c>
      <c r="BD359" s="1746" t="s">
        <v>2930</v>
      </c>
      <c r="BE359" s="1746"/>
      <c r="BF359" s="1746">
        <v>3.0000000000000001E-5</v>
      </c>
      <c r="BG359" s="1746" t="s">
        <v>2597</v>
      </c>
      <c r="BH359" s="1744">
        <f t="shared" si="60"/>
        <v>3.0000000000000001E-5</v>
      </c>
      <c r="BI359" s="1745">
        <f t="shared" si="57"/>
        <v>2.9999999999999999E-7</v>
      </c>
      <c r="BJ359" s="1740" t="str">
        <f t="shared" si="58"/>
        <v>pieces</v>
      </c>
      <c r="BK359" s="1740" t="str">
        <f t="shared" si="59"/>
        <v>Medical equipment</v>
      </c>
    </row>
    <row r="360" spans="2:63" ht="15.65" customHeight="1">
      <c r="AY360" s="1746" t="s">
        <v>2593</v>
      </c>
      <c r="AZ360" s="1746">
        <v>2008</v>
      </c>
      <c r="BA360" s="1746" t="s">
        <v>3351</v>
      </c>
      <c r="BB360" s="1747" t="s">
        <v>3352</v>
      </c>
      <c r="BC360" s="1746">
        <v>100</v>
      </c>
      <c r="BD360" s="1746" t="s">
        <v>2930</v>
      </c>
      <c r="BE360" s="1746"/>
      <c r="BF360" s="1746">
        <v>4.0000000000000003E-5</v>
      </c>
      <c r="BG360" s="1746" t="s">
        <v>2597</v>
      </c>
      <c r="BH360" s="1744">
        <f t="shared" si="60"/>
        <v>4.0000000000000003E-5</v>
      </c>
      <c r="BI360" s="1745">
        <f t="shared" si="57"/>
        <v>4.0000000000000003E-7</v>
      </c>
      <c r="BJ360" s="1740" t="str">
        <f t="shared" si="58"/>
        <v>pieces</v>
      </c>
      <c r="BK360" s="1740" t="str">
        <f t="shared" si="59"/>
        <v>Medical equipment</v>
      </c>
    </row>
    <row r="361" spans="2:63" ht="15.65" customHeight="1">
      <c r="AY361" s="1746" t="s">
        <v>2593</v>
      </c>
      <c r="AZ361" s="1746">
        <v>2008</v>
      </c>
      <c r="BA361" s="1746" t="s">
        <v>3353</v>
      </c>
      <c r="BB361" s="1747" t="s">
        <v>3354</v>
      </c>
      <c r="BC361" s="1746">
        <v>50</v>
      </c>
      <c r="BD361" s="1746" t="s">
        <v>2930</v>
      </c>
      <c r="BE361" s="1746"/>
      <c r="BF361" s="1746">
        <v>3.1E-4</v>
      </c>
      <c r="BG361" s="1746" t="s">
        <v>2597</v>
      </c>
      <c r="BH361" s="1744">
        <f t="shared" si="60"/>
        <v>3.1E-4</v>
      </c>
      <c r="BI361" s="1745">
        <f t="shared" si="57"/>
        <v>6.1999999999999999E-6</v>
      </c>
      <c r="BJ361" s="1740" t="str">
        <f t="shared" si="58"/>
        <v>pieces</v>
      </c>
      <c r="BK361" s="1740" t="str">
        <f t="shared" si="59"/>
        <v>Medical equipment</v>
      </c>
    </row>
    <row r="362" spans="2:63" ht="15.65" customHeight="1">
      <c r="AY362" s="1746" t="s">
        <v>2593</v>
      </c>
      <c r="AZ362" s="1746">
        <v>2008</v>
      </c>
      <c r="BA362" s="1746" t="s">
        <v>3355</v>
      </c>
      <c r="BB362" s="1747" t="s">
        <v>3356</v>
      </c>
      <c r="BC362" s="1746">
        <v>50</v>
      </c>
      <c r="BD362" s="1746" t="s">
        <v>2930</v>
      </c>
      <c r="BE362" s="1746"/>
      <c r="BF362" s="1746">
        <v>2.3000000000000001E-4</v>
      </c>
      <c r="BG362" s="1746" t="s">
        <v>2597</v>
      </c>
      <c r="BH362" s="1744">
        <f t="shared" si="60"/>
        <v>2.3000000000000001E-4</v>
      </c>
      <c r="BI362" s="1745">
        <f t="shared" si="57"/>
        <v>4.6E-6</v>
      </c>
      <c r="BJ362" s="1740" t="str">
        <f t="shared" si="58"/>
        <v>pieces</v>
      </c>
      <c r="BK362" s="1740" t="str">
        <f t="shared" si="59"/>
        <v>Medical equipment</v>
      </c>
    </row>
    <row r="363" spans="2:63" ht="15.65" customHeight="1">
      <c r="AY363" s="1746" t="s">
        <v>2593</v>
      </c>
      <c r="AZ363" s="1746">
        <v>2008</v>
      </c>
      <c r="BA363" s="1746" t="s">
        <v>3357</v>
      </c>
      <c r="BB363" s="1747" t="s">
        <v>3358</v>
      </c>
      <c r="BC363" s="1746">
        <v>1</v>
      </c>
      <c r="BD363" s="1746" t="s">
        <v>2933</v>
      </c>
      <c r="BE363" s="1746"/>
      <c r="BF363" s="1746">
        <v>8.344E-2</v>
      </c>
      <c r="BG363" s="1746" t="s">
        <v>2597</v>
      </c>
      <c r="BH363" s="1744">
        <f t="shared" si="60"/>
        <v>8.344E-2</v>
      </c>
      <c r="BI363" s="1745">
        <f t="shared" si="57"/>
        <v>8.344E-2</v>
      </c>
      <c r="BJ363" s="1740" t="str">
        <f t="shared" si="58"/>
        <v>piece</v>
      </c>
      <c r="BK363" s="1740" t="str">
        <f t="shared" si="59"/>
        <v>Medical equipment</v>
      </c>
    </row>
    <row r="364" spans="2:63" ht="15.65" customHeight="1">
      <c r="AY364" s="1746" t="s">
        <v>2593</v>
      </c>
      <c r="AZ364" s="1746">
        <v>2008</v>
      </c>
      <c r="BA364" s="1746" t="s">
        <v>3359</v>
      </c>
      <c r="BB364" s="1747" t="s">
        <v>3360</v>
      </c>
      <c r="BC364" s="1746">
        <v>1</v>
      </c>
      <c r="BD364" s="1746" t="s">
        <v>2933</v>
      </c>
      <c r="BE364" s="1746"/>
      <c r="BF364" s="1746">
        <v>3.0620000000000001E-2</v>
      </c>
      <c r="BG364" s="1746" t="s">
        <v>2597</v>
      </c>
      <c r="BH364" s="1744">
        <f t="shared" si="60"/>
        <v>3.0620000000000001E-2</v>
      </c>
      <c r="BI364" s="1745">
        <f t="shared" si="57"/>
        <v>3.0620000000000001E-2</v>
      </c>
      <c r="BJ364" s="1740" t="str">
        <f t="shared" si="58"/>
        <v>piece</v>
      </c>
      <c r="BK364" s="1740" t="str">
        <f t="shared" si="59"/>
        <v>Medical equipment</v>
      </c>
    </row>
    <row r="365" spans="2:63" ht="15.65" customHeight="1">
      <c r="AY365" s="1746" t="s">
        <v>2593</v>
      </c>
      <c r="AZ365" s="1746">
        <v>2008</v>
      </c>
      <c r="BA365" s="1746" t="s">
        <v>3361</v>
      </c>
      <c r="BB365" s="1747" t="s">
        <v>3362</v>
      </c>
      <c r="BC365" s="1746">
        <v>1</v>
      </c>
      <c r="BD365" s="1746" t="s">
        <v>2933</v>
      </c>
      <c r="BE365" s="1746"/>
      <c r="BF365" s="1746">
        <v>4.9540000000000001E-2</v>
      </c>
      <c r="BG365" s="1746" t="s">
        <v>2597</v>
      </c>
      <c r="BH365" s="1744">
        <f t="shared" si="60"/>
        <v>4.9540000000000001E-2</v>
      </c>
      <c r="BI365" s="1745">
        <f t="shared" si="57"/>
        <v>4.9540000000000001E-2</v>
      </c>
      <c r="BJ365" s="1740" t="str">
        <f t="shared" si="58"/>
        <v>piece</v>
      </c>
      <c r="BK365" s="1740" t="str">
        <f t="shared" si="59"/>
        <v>Medical equipment</v>
      </c>
    </row>
    <row r="366" spans="2:63" ht="15.65" customHeight="1">
      <c r="AY366" s="1746" t="s">
        <v>2593</v>
      </c>
      <c r="AZ366" s="1746">
        <v>2008</v>
      </c>
      <c r="BA366" s="1746" t="s">
        <v>3363</v>
      </c>
      <c r="BB366" s="1747" t="s">
        <v>3364</v>
      </c>
      <c r="BC366" s="1746">
        <v>1</v>
      </c>
      <c r="BD366" s="1746" t="s">
        <v>2933</v>
      </c>
      <c r="BE366" s="1746"/>
      <c r="BF366" s="1746">
        <v>4.9540000000000001E-2</v>
      </c>
      <c r="BG366" s="1746" t="s">
        <v>2597</v>
      </c>
      <c r="BH366" s="1744">
        <f t="shared" si="60"/>
        <v>4.9540000000000001E-2</v>
      </c>
      <c r="BI366" s="1745">
        <f t="shared" si="57"/>
        <v>4.9540000000000001E-2</v>
      </c>
      <c r="BJ366" s="1740" t="str">
        <f t="shared" si="58"/>
        <v>piece</v>
      </c>
      <c r="BK366" s="1740" t="str">
        <f t="shared" si="59"/>
        <v>Medical equipment</v>
      </c>
    </row>
    <row r="367" spans="2:63" ht="15.65" customHeight="1">
      <c r="AY367" s="1746" t="s">
        <v>2593</v>
      </c>
      <c r="AZ367" s="1746">
        <v>2008</v>
      </c>
      <c r="BA367" s="1746" t="s">
        <v>3365</v>
      </c>
      <c r="BB367" s="1747" t="s">
        <v>3366</v>
      </c>
      <c r="BC367" s="1746">
        <v>1</v>
      </c>
      <c r="BD367" s="1746" t="s">
        <v>2933</v>
      </c>
      <c r="BE367" s="1746"/>
      <c r="BF367" s="1746">
        <v>5.2200000000000003E-2</v>
      </c>
      <c r="BG367" s="1746" t="s">
        <v>2597</v>
      </c>
      <c r="BH367" s="1744">
        <f t="shared" si="60"/>
        <v>5.2200000000000003E-2</v>
      </c>
      <c r="BI367" s="1745">
        <f t="shared" si="57"/>
        <v>5.2200000000000003E-2</v>
      </c>
      <c r="BJ367" s="1740" t="str">
        <f t="shared" si="58"/>
        <v>piece</v>
      </c>
      <c r="BK367" s="1740" t="str">
        <f t="shared" si="59"/>
        <v>Medical equipment</v>
      </c>
    </row>
    <row r="368" spans="2:63" ht="15.65" customHeight="1">
      <c r="AY368" s="1746" t="s">
        <v>2593</v>
      </c>
      <c r="AZ368" s="1746">
        <v>2008</v>
      </c>
      <c r="BA368" s="1746" t="s">
        <v>3367</v>
      </c>
      <c r="BB368" s="1747" t="s">
        <v>3368</v>
      </c>
      <c r="BC368" s="1746">
        <v>500</v>
      </c>
      <c r="BD368" s="1746" t="s">
        <v>3369</v>
      </c>
      <c r="BE368" s="1746"/>
      <c r="BF368" s="1746">
        <v>9.3999999999999997E-4</v>
      </c>
      <c r="BG368" s="1746" t="s">
        <v>2597</v>
      </c>
      <c r="BH368" s="1744">
        <f t="shared" si="60"/>
        <v>9.3999999999999997E-4</v>
      </c>
      <c r="BI368" s="1745">
        <f t="shared" si="57"/>
        <v>1.88E-6</v>
      </c>
      <c r="BJ368" s="1740" t="str">
        <f t="shared" si="58"/>
        <v>bags</v>
      </c>
      <c r="BK368" s="1740" t="str">
        <f t="shared" si="59"/>
        <v>Intravenous Bag</v>
      </c>
    </row>
    <row r="369" spans="51:63" ht="15.65" customHeight="1">
      <c r="AY369" s="1746" t="s">
        <v>2588</v>
      </c>
      <c r="AZ369" s="1746">
        <v>2006</v>
      </c>
      <c r="BA369" s="1746" t="s">
        <v>3370</v>
      </c>
      <c r="BB369" s="1747" t="s">
        <v>3371</v>
      </c>
      <c r="BC369" s="1746">
        <v>1</v>
      </c>
      <c r="BD369" s="1746" t="s">
        <v>3167</v>
      </c>
      <c r="BE369" s="1746"/>
      <c r="BF369" s="1746">
        <v>120000</v>
      </c>
      <c r="BG369" s="1746" t="s">
        <v>2592</v>
      </c>
      <c r="BH369" s="1744">
        <f t="shared" si="60"/>
        <v>0.12</v>
      </c>
      <c r="BI369" s="1745">
        <f t="shared" si="57"/>
        <v>0.12</v>
      </c>
      <c r="BJ369" s="1740" t="str">
        <f t="shared" si="58"/>
        <v>kit</v>
      </c>
      <c r="BK369" s="1740" t="str">
        <f t="shared" si="59"/>
        <v>Medical equipment</v>
      </c>
    </row>
    <row r="370" spans="51:63" ht="15.65" customHeight="1">
      <c r="AY370" s="1746" t="s">
        <v>2593</v>
      </c>
      <c r="AZ370" s="1746">
        <v>2008</v>
      </c>
      <c r="BA370" s="1746" t="s">
        <v>3372</v>
      </c>
      <c r="BB370" s="1747" t="s">
        <v>3373</v>
      </c>
      <c r="BC370" s="1746">
        <v>1</v>
      </c>
      <c r="BD370" s="1746" t="s">
        <v>2933</v>
      </c>
      <c r="BE370" s="1746"/>
      <c r="BF370" s="1746">
        <v>2.3519999999999999E-2</v>
      </c>
      <c r="BG370" s="1746" t="s">
        <v>2597</v>
      </c>
      <c r="BH370" s="1744">
        <f t="shared" si="60"/>
        <v>2.3519999999999999E-2</v>
      </c>
      <c r="BI370" s="1745">
        <f t="shared" si="57"/>
        <v>2.3519999999999999E-2</v>
      </c>
      <c r="BJ370" s="1740" t="str">
        <f t="shared" si="58"/>
        <v>piece</v>
      </c>
      <c r="BK370" s="1740" t="str">
        <f t="shared" si="59"/>
        <v>Medical equipment</v>
      </c>
    </row>
    <row r="371" spans="51:63" ht="15.65" customHeight="1">
      <c r="AY371" s="1746" t="s">
        <v>2593</v>
      </c>
      <c r="AZ371" s="1746">
        <v>2008</v>
      </c>
      <c r="BA371" s="1746" t="s">
        <v>3374</v>
      </c>
      <c r="BB371" s="1747" t="s">
        <v>3375</v>
      </c>
      <c r="BC371" s="1746">
        <v>1</v>
      </c>
      <c r="BD371" s="1746" t="s">
        <v>2933</v>
      </c>
      <c r="BE371" s="1746"/>
      <c r="BF371" s="1746">
        <v>6.7499999999999999E-3</v>
      </c>
      <c r="BG371" s="1746" t="s">
        <v>2597</v>
      </c>
      <c r="BH371" s="1744">
        <f t="shared" si="60"/>
        <v>6.7499999999999999E-3</v>
      </c>
      <c r="BI371" s="1745">
        <f t="shared" si="57"/>
        <v>6.7499999999999999E-3</v>
      </c>
      <c r="BJ371" s="1740" t="str">
        <f t="shared" si="58"/>
        <v>piece</v>
      </c>
      <c r="BK371" s="1740" t="str">
        <f t="shared" si="59"/>
        <v>Medical equipment</v>
      </c>
    </row>
    <row r="372" spans="51:63" ht="15.65" customHeight="1">
      <c r="AY372" s="1746" t="s">
        <v>2575</v>
      </c>
      <c r="AZ372" s="1746">
        <v>2008</v>
      </c>
      <c r="BA372" s="1746" t="s">
        <v>3376</v>
      </c>
      <c r="BB372" s="1747" t="s">
        <v>3377</v>
      </c>
      <c r="BC372" s="1746" t="s">
        <v>2578</v>
      </c>
      <c r="BD372" s="1746" t="s">
        <v>2579</v>
      </c>
      <c r="BE372" s="1746" t="s">
        <v>3179</v>
      </c>
      <c r="BF372" s="1746">
        <v>0</v>
      </c>
      <c r="BG372" s="1746"/>
      <c r="BH372" s="1744" t="str">
        <f t="shared" si="60"/>
        <v/>
      </c>
      <c r="BI372" s="1745" t="str">
        <f t="shared" si="57"/>
        <v/>
      </c>
      <c r="BJ372" s="1740" t="str">
        <f t="shared" si="58"/>
        <v>EA-EPI vaccines</v>
      </c>
      <c r="BK372" s="1740" t="str">
        <f t="shared" si="59"/>
        <v>Vaccine Vial</v>
      </c>
    </row>
    <row r="373" spans="51:63" ht="15.65" customHeight="1">
      <c r="AY373" s="1746" t="s">
        <v>2575</v>
      </c>
      <c r="AZ373" s="1746">
        <v>2008</v>
      </c>
      <c r="BA373" s="1746" t="s">
        <v>3378</v>
      </c>
      <c r="BB373" s="1747" t="s">
        <v>3379</v>
      </c>
      <c r="BC373" s="1746" t="s">
        <v>2578</v>
      </c>
      <c r="BD373" s="1746" t="s">
        <v>2579</v>
      </c>
      <c r="BE373" s="1746" t="s">
        <v>3179</v>
      </c>
      <c r="BF373" s="1746">
        <v>0</v>
      </c>
      <c r="BG373" s="1746"/>
      <c r="BH373" s="1744" t="str">
        <f t="shared" si="60"/>
        <v/>
      </c>
      <c r="BI373" s="1745" t="str">
        <f t="shared" si="57"/>
        <v/>
      </c>
      <c r="BJ373" s="1740" t="str">
        <f t="shared" si="58"/>
        <v>EA-EPI vaccines</v>
      </c>
      <c r="BK373" s="1740" t="str">
        <f t="shared" si="59"/>
        <v>Vaccine Vial</v>
      </c>
    </row>
    <row r="374" spans="51:63" ht="15.65" customHeight="1">
      <c r="AY374" s="1746" t="s">
        <v>2593</v>
      </c>
      <c r="AZ374" s="1746">
        <v>2008</v>
      </c>
      <c r="BA374" s="1746" t="s">
        <v>3380</v>
      </c>
      <c r="BB374" s="1747" t="s">
        <v>3381</v>
      </c>
      <c r="BC374" s="1746">
        <v>100</v>
      </c>
      <c r="BD374" s="1746" t="s">
        <v>2601</v>
      </c>
      <c r="BE374" s="1746"/>
      <c r="BF374" s="1746">
        <v>4.6999999999999999E-4</v>
      </c>
      <c r="BG374" s="1746" t="s">
        <v>2597</v>
      </c>
      <c r="BH374" s="1744">
        <f t="shared" si="60"/>
        <v>4.6999999999999999E-4</v>
      </c>
      <c r="BI374" s="1745">
        <f t="shared" si="57"/>
        <v>4.6999999999999999E-6</v>
      </c>
      <c r="BJ374" s="1740" t="str">
        <f t="shared" si="58"/>
        <v>tablets</v>
      </c>
      <c r="BK374" s="1740" t="str">
        <f t="shared" si="59"/>
        <v>Bottle of Tablets</v>
      </c>
    </row>
    <row r="375" spans="51:63" ht="15.65" customHeight="1">
      <c r="AY375" s="1746" t="s">
        <v>2593</v>
      </c>
      <c r="AZ375" s="1746">
        <v>2008</v>
      </c>
      <c r="BA375" s="1746" t="s">
        <v>3382</v>
      </c>
      <c r="BB375" s="1747" t="s">
        <v>3383</v>
      </c>
      <c r="BC375" s="1746">
        <v>100</v>
      </c>
      <c r="BD375" s="1746" t="s">
        <v>2601</v>
      </c>
      <c r="BE375" s="1746"/>
      <c r="BF375" s="1746">
        <v>2.5999999999999998E-4</v>
      </c>
      <c r="BG375" s="1746" t="s">
        <v>2597</v>
      </c>
      <c r="BH375" s="1744">
        <f t="shared" si="60"/>
        <v>2.5999999999999998E-4</v>
      </c>
      <c r="BI375" s="1745">
        <f t="shared" si="57"/>
        <v>2.5999999999999997E-6</v>
      </c>
      <c r="BJ375" s="1740" t="str">
        <f t="shared" si="58"/>
        <v>tablets</v>
      </c>
      <c r="BK375" s="1740" t="str">
        <f t="shared" si="59"/>
        <v>Bottle of Tablets</v>
      </c>
    </row>
    <row r="376" spans="51:63" ht="15.65" customHeight="1">
      <c r="AY376" s="1746" t="s">
        <v>2588</v>
      </c>
      <c r="AZ376" s="1746">
        <v>2006</v>
      </c>
      <c r="BA376" s="1746" t="s">
        <v>3384</v>
      </c>
      <c r="BB376" s="1747" t="s">
        <v>3385</v>
      </c>
      <c r="BC376" s="1746">
        <v>10</v>
      </c>
      <c r="BD376" s="1746" t="s">
        <v>2790</v>
      </c>
      <c r="BE376" s="1746"/>
      <c r="BF376" s="1746">
        <v>240</v>
      </c>
      <c r="BG376" s="1746" t="s">
        <v>2592</v>
      </c>
      <c r="BH376" s="1744">
        <f t="shared" si="60"/>
        <v>2.4000000000000001E-4</v>
      </c>
      <c r="BI376" s="1745">
        <f t="shared" si="57"/>
        <v>2.4000000000000001E-5</v>
      </c>
      <c r="BJ376" s="1740" t="str">
        <f t="shared" si="58"/>
        <v>amps</v>
      </c>
      <c r="BK376" s="1740" t="str">
        <f t="shared" si="59"/>
        <v>Injection Vial</v>
      </c>
    </row>
    <row r="377" spans="51:63" ht="15.65" customHeight="1">
      <c r="AY377" s="1746" t="s">
        <v>2575</v>
      </c>
      <c r="AZ377" s="1746">
        <v>2008</v>
      </c>
      <c r="BA377" s="1746" t="s">
        <v>3386</v>
      </c>
      <c r="BB377" s="1747" t="s">
        <v>3387</v>
      </c>
      <c r="BC377" s="1746" t="s">
        <v>2578</v>
      </c>
      <c r="BD377" s="1746" t="s">
        <v>2903</v>
      </c>
      <c r="BE377" s="1746" t="s">
        <v>3388</v>
      </c>
      <c r="BF377" s="1746">
        <v>0.5</v>
      </c>
      <c r="BG377" s="1746" t="s">
        <v>2581</v>
      </c>
      <c r="BH377" s="1744">
        <f t="shared" si="60"/>
        <v>5.0000000000000001E-4</v>
      </c>
      <c r="BI377" s="1745" t="str">
        <f t="shared" si="57"/>
        <v/>
      </c>
      <c r="BJ377" s="1740" t="str">
        <f t="shared" si="58"/>
        <v>BOX-Analgesics, opioids</v>
      </c>
      <c r="BK377" s="1740" t="str">
        <f t="shared" si="59"/>
        <v>Injection Vial</v>
      </c>
    </row>
    <row r="378" spans="51:63" ht="15.65" customHeight="1">
      <c r="AY378" s="1746" t="s">
        <v>2593</v>
      </c>
      <c r="AZ378" s="1746">
        <v>2008</v>
      </c>
      <c r="BA378" s="1746" t="s">
        <v>3389</v>
      </c>
      <c r="BB378" s="1747" t="s">
        <v>3390</v>
      </c>
      <c r="BC378" s="1746">
        <v>10</v>
      </c>
      <c r="BD378" s="1746" t="s">
        <v>2727</v>
      </c>
      <c r="BE378" s="1746"/>
      <c r="BF378" s="1746">
        <v>2.7E-4</v>
      </c>
      <c r="BG378" s="1746" t="s">
        <v>2597</v>
      </c>
      <c r="BH378" s="1744">
        <f t="shared" si="60"/>
        <v>2.7E-4</v>
      </c>
      <c r="BI378" s="1745">
        <f t="shared" si="57"/>
        <v>2.6999999999999999E-5</v>
      </c>
      <c r="BJ378" s="1740" t="str">
        <f t="shared" si="58"/>
        <v>ampoules</v>
      </c>
      <c r="BK378" s="1740" t="str">
        <f t="shared" si="59"/>
        <v>Injection Vial</v>
      </c>
    </row>
    <row r="379" spans="51:63" ht="15.65" customHeight="1">
      <c r="AY379" s="1746" t="s">
        <v>2588</v>
      </c>
      <c r="AZ379" s="1746">
        <v>2006</v>
      </c>
      <c r="BA379" s="1746" t="s">
        <v>3391</v>
      </c>
      <c r="BB379" s="1747" t="s">
        <v>3392</v>
      </c>
      <c r="BC379" s="1746">
        <v>1</v>
      </c>
      <c r="BD379" s="1746" t="s">
        <v>2724</v>
      </c>
      <c r="BE379" s="1746"/>
      <c r="BF379" s="1746">
        <v>864</v>
      </c>
      <c r="BG379" s="1746" t="s">
        <v>2592</v>
      </c>
      <c r="BH379" s="1744">
        <f t="shared" si="60"/>
        <v>8.6399999999999997E-4</v>
      </c>
      <c r="BI379" s="1745">
        <f t="shared" si="57"/>
        <v>8.6399999999999997E-4</v>
      </c>
      <c r="BJ379" s="1740" t="str">
        <f t="shared" si="58"/>
        <v>pce</v>
      </c>
      <c r="BK379" s="1740" t="str">
        <f t="shared" si="59"/>
        <v>Roll of tape/gauze</v>
      </c>
    </row>
    <row r="380" spans="51:63" ht="15.65" customHeight="1">
      <c r="AY380" s="1746" t="s">
        <v>2593</v>
      </c>
      <c r="AZ380" s="1746">
        <v>2008</v>
      </c>
      <c r="BA380" s="1746" t="s">
        <v>3393</v>
      </c>
      <c r="BB380" s="1747" t="s">
        <v>3394</v>
      </c>
      <c r="BC380" s="1746">
        <v>1</v>
      </c>
      <c r="BD380" s="1746" t="s">
        <v>3395</v>
      </c>
      <c r="BE380" s="1746"/>
      <c r="BF380" s="1746">
        <v>0.182</v>
      </c>
      <c r="BG380" s="1746" t="s">
        <v>2597</v>
      </c>
      <c r="BH380" s="1744">
        <f t="shared" si="60"/>
        <v>0.182</v>
      </c>
      <c r="BI380" s="1745">
        <f t="shared" si="57"/>
        <v>0.182</v>
      </c>
      <c r="BJ380" s="1740" t="str">
        <f t="shared" si="58"/>
        <v>net</v>
      </c>
      <c r="BK380" s="1740" t="str">
        <f t="shared" si="59"/>
        <v>Mosquito net</v>
      </c>
    </row>
    <row r="381" spans="51:63" ht="15.65" customHeight="1">
      <c r="AY381" s="1746" t="s">
        <v>2593</v>
      </c>
      <c r="AZ381" s="1746">
        <v>2008</v>
      </c>
      <c r="BA381" s="1746" t="s">
        <v>3396</v>
      </c>
      <c r="BB381" s="1747" t="s">
        <v>3397</v>
      </c>
      <c r="BC381" s="1746">
        <v>1</v>
      </c>
      <c r="BD381" s="1746" t="s">
        <v>3395</v>
      </c>
      <c r="BE381" s="1746"/>
      <c r="BF381" s="1746">
        <v>2.4599999999999999E-3</v>
      </c>
      <c r="BG381" s="1746" t="s">
        <v>2597</v>
      </c>
      <c r="BH381" s="1744">
        <f t="shared" si="60"/>
        <v>2.4599999999999999E-3</v>
      </c>
      <c r="BI381" s="1745">
        <f t="shared" si="57"/>
        <v>2.4599999999999999E-3</v>
      </c>
      <c r="BJ381" s="1740" t="str">
        <f t="shared" si="58"/>
        <v>net</v>
      </c>
      <c r="BK381" s="1740" t="str">
        <f t="shared" si="59"/>
        <v>Mosquito net</v>
      </c>
    </row>
    <row r="382" spans="51:63" ht="15.65" customHeight="1">
      <c r="AY382" s="1746" t="s">
        <v>2593</v>
      </c>
      <c r="AZ382" s="1746">
        <v>2008</v>
      </c>
      <c r="BA382" s="1746" t="s">
        <v>3398</v>
      </c>
      <c r="BB382" s="1747" t="s">
        <v>3399</v>
      </c>
      <c r="BC382" s="1746">
        <v>1</v>
      </c>
      <c r="BD382" s="1746" t="s">
        <v>3395</v>
      </c>
      <c r="BE382" s="1746"/>
      <c r="BF382" s="1746">
        <v>1.31E-3</v>
      </c>
      <c r="BG382" s="1746" t="s">
        <v>2597</v>
      </c>
      <c r="BH382" s="1744">
        <f t="shared" si="60"/>
        <v>1.31E-3</v>
      </c>
      <c r="BI382" s="1745">
        <f t="shared" si="57"/>
        <v>1.31E-3</v>
      </c>
      <c r="BJ382" s="1740" t="str">
        <f t="shared" si="58"/>
        <v>net</v>
      </c>
      <c r="BK382" s="1740" t="str">
        <f t="shared" si="59"/>
        <v>Mosquito net</v>
      </c>
    </row>
    <row r="383" spans="51:63" ht="15.65" customHeight="1">
      <c r="AY383" s="1746" t="s">
        <v>2588</v>
      </c>
      <c r="AZ383" s="1746">
        <v>2006</v>
      </c>
      <c r="BA383" s="1746" t="s">
        <v>3400</v>
      </c>
      <c r="BB383" s="1747" t="s">
        <v>3401</v>
      </c>
      <c r="BC383" s="1746">
        <v>1</v>
      </c>
      <c r="BD383" s="1746" t="s">
        <v>3395</v>
      </c>
      <c r="BE383" s="1746"/>
      <c r="BF383" s="1746">
        <v>1850</v>
      </c>
      <c r="BG383" s="1746" t="s">
        <v>2592</v>
      </c>
      <c r="BH383" s="1744">
        <f t="shared" si="60"/>
        <v>1.8500000000000001E-3</v>
      </c>
      <c r="BI383" s="1745">
        <f t="shared" si="57"/>
        <v>1.8500000000000001E-3</v>
      </c>
      <c r="BJ383" s="1740" t="str">
        <f t="shared" si="58"/>
        <v>net</v>
      </c>
      <c r="BK383" s="1740" t="str">
        <f t="shared" si="59"/>
        <v>Mosquito net</v>
      </c>
    </row>
    <row r="384" spans="51:63" ht="15.65" customHeight="1">
      <c r="AY384" s="1746" t="s">
        <v>2588</v>
      </c>
      <c r="AZ384" s="1746">
        <v>2006</v>
      </c>
      <c r="BA384" s="1746" t="s">
        <v>3402</v>
      </c>
      <c r="BB384" s="1747" t="s">
        <v>3403</v>
      </c>
      <c r="BC384" s="1746">
        <v>1</v>
      </c>
      <c r="BD384" s="1746" t="s">
        <v>3395</v>
      </c>
      <c r="BE384" s="1746"/>
      <c r="BF384" s="1746">
        <v>1850</v>
      </c>
      <c r="BG384" s="1746" t="s">
        <v>2592</v>
      </c>
      <c r="BH384" s="1744">
        <f t="shared" si="60"/>
        <v>1.8500000000000001E-3</v>
      </c>
      <c r="BI384" s="1745">
        <f t="shared" si="57"/>
        <v>1.8500000000000001E-3</v>
      </c>
      <c r="BJ384" s="1740" t="str">
        <f t="shared" si="58"/>
        <v>net</v>
      </c>
      <c r="BK384" s="1740" t="str">
        <f t="shared" si="59"/>
        <v>Mosquito net</v>
      </c>
    </row>
    <row r="385" spans="51:63" ht="15.65" customHeight="1">
      <c r="AY385" s="1746" t="s">
        <v>2588</v>
      </c>
      <c r="AZ385" s="1746">
        <v>2006</v>
      </c>
      <c r="BA385" s="1746" t="s">
        <v>3404</v>
      </c>
      <c r="BB385" s="1747" t="s">
        <v>3405</v>
      </c>
      <c r="BC385" s="1746">
        <v>1</v>
      </c>
      <c r="BD385" s="1746" t="s">
        <v>3395</v>
      </c>
      <c r="BE385" s="1746"/>
      <c r="BF385" s="1746">
        <v>1850</v>
      </c>
      <c r="BG385" s="1746" t="s">
        <v>2592</v>
      </c>
      <c r="BH385" s="1744">
        <f t="shared" si="60"/>
        <v>1.8500000000000001E-3</v>
      </c>
      <c r="BI385" s="1745">
        <f t="shared" si="57"/>
        <v>1.8500000000000001E-3</v>
      </c>
      <c r="BJ385" s="1740" t="str">
        <f t="shared" si="58"/>
        <v>net</v>
      </c>
      <c r="BK385" s="1740" t="str">
        <f t="shared" si="59"/>
        <v>Mosquito net</v>
      </c>
    </row>
    <row r="386" spans="51:63" ht="15.65" customHeight="1">
      <c r="AY386" s="1746" t="s">
        <v>2588</v>
      </c>
      <c r="AZ386" s="1746">
        <v>2006</v>
      </c>
      <c r="BA386" s="1746" t="s">
        <v>3406</v>
      </c>
      <c r="BB386" s="1747" t="s">
        <v>3407</v>
      </c>
      <c r="BC386" s="1746">
        <v>1</v>
      </c>
      <c r="BD386" s="1746" t="s">
        <v>3395</v>
      </c>
      <c r="BE386" s="1746"/>
      <c r="BF386" s="1746">
        <v>3220</v>
      </c>
      <c r="BG386" s="1746" t="s">
        <v>2592</v>
      </c>
      <c r="BH386" s="1744">
        <f t="shared" si="60"/>
        <v>3.2200000000000002E-3</v>
      </c>
      <c r="BI386" s="1745">
        <f t="shared" si="57"/>
        <v>3.2200000000000002E-3</v>
      </c>
      <c r="BJ386" s="1740" t="str">
        <f t="shared" si="58"/>
        <v>net</v>
      </c>
      <c r="BK386" s="1740" t="str">
        <f t="shared" si="59"/>
        <v>Mosquito net</v>
      </c>
    </row>
    <row r="387" spans="51:63" ht="15.65" customHeight="1">
      <c r="AY387" s="1746" t="s">
        <v>2593</v>
      </c>
      <c r="AZ387" s="1746">
        <v>2008</v>
      </c>
      <c r="BA387" s="1746" t="s">
        <v>3408</v>
      </c>
      <c r="BB387" s="1747" t="s">
        <v>3409</v>
      </c>
      <c r="BC387" s="1746">
        <v>1</v>
      </c>
      <c r="BD387" s="1746" t="s">
        <v>3395</v>
      </c>
      <c r="BE387" s="1746"/>
      <c r="BF387" s="1746">
        <v>2.5799999999999998E-3</v>
      </c>
      <c r="BG387" s="1746" t="s">
        <v>2597</v>
      </c>
      <c r="BH387" s="1744">
        <f t="shared" si="60"/>
        <v>2.5799999999999998E-3</v>
      </c>
      <c r="BI387" s="1745">
        <f t="shared" si="57"/>
        <v>2.5799999999999998E-3</v>
      </c>
      <c r="BJ387" s="1740" t="str">
        <f t="shared" si="58"/>
        <v>net</v>
      </c>
      <c r="BK387" s="1740" t="str">
        <f t="shared" si="59"/>
        <v>Mosquito net</v>
      </c>
    </row>
    <row r="388" spans="51:63" ht="15.65" customHeight="1">
      <c r="AY388" s="1746" t="s">
        <v>2593</v>
      </c>
      <c r="AZ388" s="1746">
        <v>2008</v>
      </c>
      <c r="BA388" s="1746" t="s">
        <v>3410</v>
      </c>
      <c r="BB388" s="1747" t="s">
        <v>3411</v>
      </c>
      <c r="BC388" s="1746">
        <v>1</v>
      </c>
      <c r="BD388" s="1746" t="s">
        <v>3395</v>
      </c>
      <c r="BE388" s="1746"/>
      <c r="BF388" s="1746">
        <v>1.67E-3</v>
      </c>
      <c r="BG388" s="1746" t="s">
        <v>2597</v>
      </c>
      <c r="BH388" s="1744">
        <f t="shared" si="60"/>
        <v>1.67E-3</v>
      </c>
      <c r="BI388" s="1745">
        <f t="shared" si="57"/>
        <v>1.67E-3</v>
      </c>
      <c r="BJ388" s="1740" t="str">
        <f t="shared" si="58"/>
        <v>net</v>
      </c>
      <c r="BK388" s="1740" t="str">
        <f t="shared" si="59"/>
        <v>Mosquito net</v>
      </c>
    </row>
    <row r="389" spans="51:63" ht="15.65" customHeight="1">
      <c r="AY389" s="1746" t="s">
        <v>2588</v>
      </c>
      <c r="AZ389" s="1746">
        <v>2006</v>
      </c>
      <c r="BA389" s="1746" t="s">
        <v>3412</v>
      </c>
      <c r="BB389" s="1747" t="s">
        <v>3413</v>
      </c>
      <c r="BC389" s="1746">
        <v>1</v>
      </c>
      <c r="BD389" s="1746" t="s">
        <v>3395</v>
      </c>
      <c r="BE389" s="1746"/>
      <c r="BF389" s="1746">
        <v>1955</v>
      </c>
      <c r="BG389" s="1746" t="s">
        <v>2592</v>
      </c>
      <c r="BH389" s="1744">
        <f t="shared" si="60"/>
        <v>1.9550000000000001E-3</v>
      </c>
      <c r="BI389" s="1745">
        <f t="shared" si="57"/>
        <v>1.9550000000000001E-3</v>
      </c>
      <c r="BJ389" s="1740" t="str">
        <f t="shared" si="58"/>
        <v>net</v>
      </c>
      <c r="BK389" s="1740" t="str">
        <f t="shared" si="59"/>
        <v>Mosquito net</v>
      </c>
    </row>
    <row r="390" spans="51:63" ht="15.65" customHeight="1">
      <c r="AY390" s="1746" t="s">
        <v>2588</v>
      </c>
      <c r="AZ390" s="1746">
        <v>2006</v>
      </c>
      <c r="BA390" s="1746" t="s">
        <v>3414</v>
      </c>
      <c r="BB390" s="1747" t="s">
        <v>3415</v>
      </c>
      <c r="BC390" s="1746">
        <v>1</v>
      </c>
      <c r="BD390" s="1746" t="s">
        <v>3395</v>
      </c>
      <c r="BE390" s="1746"/>
      <c r="BF390" s="1746">
        <v>1965</v>
      </c>
      <c r="BG390" s="1746" t="s">
        <v>2592</v>
      </c>
      <c r="BH390" s="1744">
        <f t="shared" si="60"/>
        <v>1.9650000000000002E-3</v>
      </c>
      <c r="BI390" s="1745">
        <f t="shared" si="57"/>
        <v>1.9650000000000002E-3</v>
      </c>
      <c r="BJ390" s="1740" t="str">
        <f t="shared" si="58"/>
        <v>net</v>
      </c>
      <c r="BK390" s="1740" t="str">
        <f t="shared" si="59"/>
        <v>Mosquito net</v>
      </c>
    </row>
    <row r="391" spans="51:63" ht="15.65" customHeight="1">
      <c r="AY391" s="1746" t="s">
        <v>2593</v>
      </c>
      <c r="AZ391" s="1746">
        <v>2008</v>
      </c>
      <c r="BA391" s="1746" t="s">
        <v>3416</v>
      </c>
      <c r="BB391" s="1747" t="s">
        <v>3417</v>
      </c>
      <c r="BC391" s="1746">
        <v>1</v>
      </c>
      <c r="BD391" s="1746" t="s">
        <v>3395</v>
      </c>
      <c r="BE391" s="1746"/>
      <c r="BF391" s="1746">
        <v>3.3300000000000001E-3</v>
      </c>
      <c r="BG391" s="1746" t="s">
        <v>2597</v>
      </c>
      <c r="BH391" s="1744">
        <f t="shared" si="60"/>
        <v>3.3300000000000001E-3</v>
      </c>
      <c r="BI391" s="1745">
        <f t="shared" si="57"/>
        <v>3.3300000000000001E-3</v>
      </c>
      <c r="BJ391" s="1740" t="str">
        <f t="shared" si="58"/>
        <v>net</v>
      </c>
      <c r="BK391" s="1740" t="str">
        <f t="shared" si="59"/>
        <v>Mosquito net</v>
      </c>
    </row>
    <row r="392" spans="51:63" ht="15.65" customHeight="1">
      <c r="AY392" s="1746" t="s">
        <v>2593</v>
      </c>
      <c r="AZ392" s="1746">
        <v>2008</v>
      </c>
      <c r="BA392" s="1746" t="s">
        <v>3418</v>
      </c>
      <c r="BB392" s="1747" t="s">
        <v>3419</v>
      </c>
      <c r="BC392" s="1746">
        <v>1</v>
      </c>
      <c r="BD392" s="1746" t="s">
        <v>3395</v>
      </c>
      <c r="BE392" s="1746"/>
      <c r="BF392" s="1746">
        <v>2.0500000000000002E-3</v>
      </c>
      <c r="BG392" s="1746" t="s">
        <v>2597</v>
      </c>
      <c r="BH392" s="1744">
        <f t="shared" si="60"/>
        <v>2.0500000000000002E-3</v>
      </c>
      <c r="BI392" s="1745">
        <f t="shared" si="57"/>
        <v>2.0500000000000002E-3</v>
      </c>
      <c r="BJ392" s="1740" t="str">
        <f t="shared" si="58"/>
        <v>net</v>
      </c>
      <c r="BK392" s="1740" t="str">
        <f t="shared" si="59"/>
        <v>Mosquito net</v>
      </c>
    </row>
    <row r="393" spans="51:63" ht="15.65" customHeight="1">
      <c r="AY393" s="1746" t="s">
        <v>2593</v>
      </c>
      <c r="AZ393" s="1746">
        <v>2008</v>
      </c>
      <c r="BA393" s="1746" t="s">
        <v>3420</v>
      </c>
      <c r="BB393" s="1747" t="s">
        <v>3421</v>
      </c>
      <c r="BC393" s="1746">
        <v>1</v>
      </c>
      <c r="BD393" s="1746" t="s">
        <v>3395</v>
      </c>
      <c r="BE393" s="1746"/>
      <c r="BF393" s="1746">
        <v>2.0999999999999999E-3</v>
      </c>
      <c r="BG393" s="1746" t="s">
        <v>2597</v>
      </c>
      <c r="BH393" s="1744">
        <f t="shared" si="60"/>
        <v>2.0999999999999999E-3</v>
      </c>
      <c r="BI393" s="1745">
        <f t="shared" si="57"/>
        <v>2.0999999999999999E-3</v>
      </c>
      <c r="BJ393" s="1740" t="str">
        <f t="shared" si="58"/>
        <v>net</v>
      </c>
      <c r="BK393" s="1740" t="str">
        <f t="shared" si="59"/>
        <v>Mosquito net</v>
      </c>
    </row>
    <row r="394" spans="51:63" ht="15.65" customHeight="1">
      <c r="AY394" s="1746" t="s">
        <v>2588</v>
      </c>
      <c r="AZ394" s="1746">
        <v>2006</v>
      </c>
      <c r="BA394" s="1746" t="s">
        <v>3422</v>
      </c>
      <c r="BB394" s="1747" t="s">
        <v>3423</v>
      </c>
      <c r="BC394" s="1746">
        <v>1</v>
      </c>
      <c r="BD394" s="1746" t="s">
        <v>3395</v>
      </c>
      <c r="BE394" s="1746"/>
      <c r="BF394" s="1746">
        <v>1850</v>
      </c>
      <c r="BG394" s="1746" t="s">
        <v>2592</v>
      </c>
      <c r="BH394" s="1744">
        <f t="shared" si="60"/>
        <v>1.8500000000000001E-3</v>
      </c>
      <c r="BI394" s="1745">
        <f t="shared" si="57"/>
        <v>1.8500000000000001E-3</v>
      </c>
      <c r="BJ394" s="1740" t="str">
        <f t="shared" si="58"/>
        <v>net</v>
      </c>
      <c r="BK394" s="1740" t="str">
        <f t="shared" si="59"/>
        <v>Mosquito net</v>
      </c>
    </row>
    <row r="395" spans="51:63" ht="15.65" customHeight="1">
      <c r="AY395" s="1746" t="s">
        <v>2588</v>
      </c>
      <c r="AZ395" s="1746">
        <v>2006</v>
      </c>
      <c r="BA395" s="1746" t="s">
        <v>3424</v>
      </c>
      <c r="BB395" s="1747" t="s">
        <v>3425</v>
      </c>
      <c r="BC395" s="1746">
        <v>1</v>
      </c>
      <c r="BD395" s="1746" t="s">
        <v>3395</v>
      </c>
      <c r="BE395" s="1746"/>
      <c r="BF395" s="1746">
        <v>2080</v>
      </c>
      <c r="BG395" s="1746" t="s">
        <v>2592</v>
      </c>
      <c r="BH395" s="1744">
        <f t="shared" si="60"/>
        <v>2.0799999999999998E-3</v>
      </c>
      <c r="BI395" s="1745">
        <f t="shared" si="57"/>
        <v>2.0799999999999998E-3</v>
      </c>
      <c r="BJ395" s="1740" t="str">
        <f t="shared" si="58"/>
        <v>net</v>
      </c>
      <c r="BK395" s="1740" t="str">
        <f t="shared" si="59"/>
        <v>Mosquito net</v>
      </c>
    </row>
    <row r="396" spans="51:63" ht="15.65" customHeight="1">
      <c r="AY396" s="1746" t="s">
        <v>2588</v>
      </c>
      <c r="AZ396" s="1746">
        <v>2006</v>
      </c>
      <c r="BA396" s="1746" t="s">
        <v>3426</v>
      </c>
      <c r="BB396" s="1747" t="s">
        <v>3427</v>
      </c>
      <c r="BC396" s="1746">
        <v>1</v>
      </c>
      <c r="BD396" s="1746" t="s">
        <v>3395</v>
      </c>
      <c r="BE396" s="1746"/>
      <c r="BF396" s="1746">
        <v>2080</v>
      </c>
      <c r="BG396" s="1746" t="s">
        <v>2592</v>
      </c>
      <c r="BH396" s="1744">
        <f t="shared" si="60"/>
        <v>2.0799999999999998E-3</v>
      </c>
      <c r="BI396" s="1745">
        <f t="shared" si="57"/>
        <v>2.0799999999999998E-3</v>
      </c>
      <c r="BJ396" s="1740" t="str">
        <f t="shared" si="58"/>
        <v>net</v>
      </c>
      <c r="BK396" s="1740" t="str">
        <f t="shared" si="59"/>
        <v>Mosquito net</v>
      </c>
    </row>
    <row r="397" spans="51:63" ht="15.65" customHeight="1">
      <c r="AY397" s="1746" t="s">
        <v>2588</v>
      </c>
      <c r="AZ397" s="1746">
        <v>2006</v>
      </c>
      <c r="BA397" s="1746" t="s">
        <v>3428</v>
      </c>
      <c r="BB397" s="1747" t="s">
        <v>3429</v>
      </c>
      <c r="BC397" s="1746">
        <v>1</v>
      </c>
      <c r="BD397" s="1746" t="s">
        <v>3395</v>
      </c>
      <c r="BE397" s="1746"/>
      <c r="BF397" s="1746">
        <v>3220</v>
      </c>
      <c r="BG397" s="1746" t="s">
        <v>2592</v>
      </c>
      <c r="BH397" s="1744">
        <f t="shared" si="60"/>
        <v>3.2200000000000002E-3</v>
      </c>
      <c r="BI397" s="1745">
        <f t="shared" si="57"/>
        <v>3.2200000000000002E-3</v>
      </c>
      <c r="BJ397" s="1740" t="str">
        <f t="shared" si="58"/>
        <v>net</v>
      </c>
      <c r="BK397" s="1740" t="str">
        <f t="shared" si="59"/>
        <v>Mosquito net</v>
      </c>
    </row>
    <row r="398" spans="51:63" ht="15.65" customHeight="1">
      <c r="AY398" s="1746" t="s">
        <v>2593</v>
      </c>
      <c r="AZ398" s="1746">
        <v>2008</v>
      </c>
      <c r="BA398" s="1746" t="s">
        <v>3430</v>
      </c>
      <c r="BB398" s="1747" t="s">
        <v>3431</v>
      </c>
      <c r="BC398" s="1746">
        <v>1</v>
      </c>
      <c r="BD398" s="1746" t="s">
        <v>3395</v>
      </c>
      <c r="BE398" s="1746"/>
      <c r="BF398" s="1746">
        <v>0</v>
      </c>
      <c r="BG398" s="1746" t="s">
        <v>2597</v>
      </c>
      <c r="BH398" s="1744">
        <f t="shared" si="60"/>
        <v>0</v>
      </c>
      <c r="BI398" s="1745">
        <f t="shared" si="57"/>
        <v>0</v>
      </c>
      <c r="BJ398" s="1740" t="str">
        <f t="shared" si="58"/>
        <v>net</v>
      </c>
      <c r="BK398" s="1740" t="str">
        <f t="shared" si="59"/>
        <v>Mosquito net</v>
      </c>
    </row>
    <row r="399" spans="51:63" ht="15.65" customHeight="1">
      <c r="AY399" s="1746" t="s">
        <v>2593</v>
      </c>
      <c r="AZ399" s="1746">
        <v>2008</v>
      </c>
      <c r="BA399" s="1746" t="s">
        <v>3432</v>
      </c>
      <c r="BB399" s="1747" t="s">
        <v>3433</v>
      </c>
      <c r="BC399" s="1746">
        <v>1</v>
      </c>
      <c r="BD399" s="1746" t="s">
        <v>3395</v>
      </c>
      <c r="BE399" s="1746"/>
      <c r="BF399" s="1746">
        <v>2E-3</v>
      </c>
      <c r="BG399" s="1746" t="s">
        <v>2597</v>
      </c>
      <c r="BH399" s="1744">
        <f t="shared" si="60"/>
        <v>2E-3</v>
      </c>
      <c r="BI399" s="1745">
        <f t="shared" si="57"/>
        <v>2E-3</v>
      </c>
      <c r="BJ399" s="1740" t="str">
        <f t="shared" si="58"/>
        <v>net</v>
      </c>
      <c r="BK399" s="1740" t="str">
        <f t="shared" si="59"/>
        <v>Mosquito net</v>
      </c>
    </row>
    <row r="400" spans="51:63" ht="15.65" customHeight="1">
      <c r="AY400" s="1746" t="s">
        <v>2575</v>
      </c>
      <c r="AZ400" s="1746">
        <v>2008</v>
      </c>
      <c r="BA400" s="1746" t="s">
        <v>3434</v>
      </c>
      <c r="BB400" s="1747" t="s">
        <v>3435</v>
      </c>
      <c r="BC400" s="1746" t="s">
        <v>2578</v>
      </c>
      <c r="BD400" s="1746" t="s">
        <v>2579</v>
      </c>
      <c r="BE400" s="1746" t="s">
        <v>3179</v>
      </c>
      <c r="BF400" s="1746">
        <v>0</v>
      </c>
      <c r="BG400" s="1746"/>
      <c r="BH400" s="1744" t="str">
        <f t="shared" si="60"/>
        <v/>
      </c>
      <c r="BI400" s="1745" t="str">
        <f t="shared" si="57"/>
        <v/>
      </c>
      <c r="BJ400" s="1740" t="str">
        <f t="shared" si="58"/>
        <v>EA-EPI vaccines</v>
      </c>
      <c r="BK400" s="1740" t="str">
        <f t="shared" si="59"/>
        <v>Vaccine Vial</v>
      </c>
    </row>
    <row r="401" spans="51:63" ht="15.65" customHeight="1">
      <c r="AY401" s="1746" t="s">
        <v>2575</v>
      </c>
      <c r="AZ401" s="1746">
        <v>2008</v>
      </c>
      <c r="BA401" s="1746" t="s">
        <v>3436</v>
      </c>
      <c r="BB401" s="1747" t="s">
        <v>3437</v>
      </c>
      <c r="BC401" s="1746" t="s">
        <v>2578</v>
      </c>
      <c r="BD401" s="1746" t="s">
        <v>2579</v>
      </c>
      <c r="BE401" s="1746" t="s">
        <v>3179</v>
      </c>
      <c r="BF401" s="1746">
        <v>0</v>
      </c>
      <c r="BG401" s="1746"/>
      <c r="BH401" s="1744" t="str">
        <f t="shared" si="60"/>
        <v/>
      </c>
      <c r="BI401" s="1745" t="str">
        <f t="shared" si="57"/>
        <v/>
      </c>
      <c r="BJ401" s="1740" t="str">
        <f t="shared" si="58"/>
        <v>EA-EPI vaccines</v>
      </c>
      <c r="BK401" s="1740" t="str">
        <f t="shared" si="59"/>
        <v>Vaccine Vial</v>
      </c>
    </row>
    <row r="402" spans="51:63" ht="15.65" customHeight="1">
      <c r="AY402" s="1746" t="s">
        <v>2588</v>
      </c>
      <c r="AZ402" s="1746">
        <v>2006</v>
      </c>
      <c r="BA402" s="1746" t="s">
        <v>3438</v>
      </c>
      <c r="BB402" s="1747" t="s">
        <v>3439</v>
      </c>
      <c r="BC402" s="1746">
        <v>100</v>
      </c>
      <c r="BD402" s="1746" t="s">
        <v>2927</v>
      </c>
      <c r="BE402" s="1746"/>
      <c r="BF402" s="1746">
        <v>26950</v>
      </c>
      <c r="BG402" s="1746" t="s">
        <v>2592</v>
      </c>
      <c r="BH402" s="1744">
        <f t="shared" si="60"/>
        <v>2.6950000000000002E-2</v>
      </c>
      <c r="BI402" s="1745">
        <f t="shared" si="57"/>
        <v>2.6949999999999999E-4</v>
      </c>
      <c r="BJ402" s="1740" t="str">
        <f t="shared" si="58"/>
        <v>pcs</v>
      </c>
      <c r="BK402" s="1740" t="str">
        <f t="shared" si="59"/>
        <v>Medical equipment</v>
      </c>
    </row>
    <row r="403" spans="51:63" ht="15.65" customHeight="1">
      <c r="AY403" s="1746" t="s">
        <v>2593</v>
      </c>
      <c r="AZ403" s="1746">
        <v>2008</v>
      </c>
      <c r="BA403" s="1746" t="s">
        <v>3440</v>
      </c>
      <c r="BB403" s="1747" t="s">
        <v>3441</v>
      </c>
      <c r="BC403" s="1746">
        <v>1</v>
      </c>
      <c r="BD403" s="1746" t="s">
        <v>2933</v>
      </c>
      <c r="BE403" s="1746"/>
      <c r="BF403" s="1746">
        <v>3.3E-4</v>
      </c>
      <c r="BG403" s="1746" t="s">
        <v>2597</v>
      </c>
      <c r="BH403" s="1744">
        <f t="shared" si="60"/>
        <v>3.3E-4</v>
      </c>
      <c r="BI403" s="1745">
        <f t="shared" ref="BI403:BI466" si="61">IFERROR(BH403/BC403,"")</f>
        <v>3.3E-4</v>
      </c>
      <c r="BJ403" s="1740" t="str">
        <f t="shared" ref="BJ403:BJ466" si="62">IF(BE403="",BD403,BD403&amp;"-"&amp;BE403)</f>
        <v>piece</v>
      </c>
      <c r="BK403" s="1740" t="str">
        <f t="shared" si="59"/>
        <v>Medical equipment</v>
      </c>
    </row>
    <row r="404" spans="51:63" ht="15.65" customHeight="1">
      <c r="AY404" s="1746" t="s">
        <v>2593</v>
      </c>
      <c r="AZ404" s="1746">
        <v>2008</v>
      </c>
      <c r="BA404" s="1746" t="s">
        <v>3442</v>
      </c>
      <c r="BB404" s="1747" t="s">
        <v>3443</v>
      </c>
      <c r="BC404" s="1746">
        <v>1</v>
      </c>
      <c r="BD404" s="1746" t="s">
        <v>2596</v>
      </c>
      <c r="BE404" s="1746"/>
      <c r="BF404" s="1746">
        <v>3.8999999999999999E-4</v>
      </c>
      <c r="BG404" s="1746" t="s">
        <v>2597</v>
      </c>
      <c r="BH404" s="1744">
        <f t="shared" si="60"/>
        <v>3.8999999999999999E-4</v>
      </c>
      <c r="BI404" s="1745">
        <f t="shared" si="61"/>
        <v>3.8999999999999999E-4</v>
      </c>
      <c r="BJ404" s="1740" t="str">
        <f t="shared" si="62"/>
        <v>bottle</v>
      </c>
      <c r="BK404" s="1740" t="str">
        <f t="shared" ref="BK404:BK467" si="63">IFERROR(INDEX($BO$18:$BO$136,MATCH(BJ404,$BN$18:$BN$136,0)),"")</f>
        <v>Bottle of Liquid</v>
      </c>
    </row>
    <row r="405" spans="51:63" ht="15.65" customHeight="1">
      <c r="AY405" s="1746" t="s">
        <v>2588</v>
      </c>
      <c r="AZ405" s="1746">
        <v>2006</v>
      </c>
      <c r="BA405" s="1746" t="s">
        <v>3444</v>
      </c>
      <c r="BB405" s="1747" t="s">
        <v>3445</v>
      </c>
      <c r="BC405" s="1746">
        <v>1000</v>
      </c>
      <c r="BD405" s="1746" t="s">
        <v>2615</v>
      </c>
      <c r="BE405" s="1746"/>
      <c r="BF405" s="1746">
        <v>198</v>
      </c>
      <c r="BG405" s="1746" t="s">
        <v>2592</v>
      </c>
      <c r="BH405" s="1744">
        <f t="shared" si="60"/>
        <v>1.9799999999999999E-4</v>
      </c>
      <c r="BI405" s="1745">
        <f t="shared" si="61"/>
        <v>1.98E-7</v>
      </c>
      <c r="BJ405" s="1740" t="str">
        <f t="shared" si="62"/>
        <v>tabs</v>
      </c>
      <c r="BK405" s="1740" t="str">
        <f t="shared" si="63"/>
        <v>Bottle of Tablets</v>
      </c>
    </row>
    <row r="406" spans="51:63" ht="15.65" customHeight="1">
      <c r="AY406" s="1746" t="s">
        <v>2588</v>
      </c>
      <c r="AZ406" s="1746">
        <v>2006</v>
      </c>
      <c r="BA406" s="1746" t="s">
        <v>3446</v>
      </c>
      <c r="BB406" s="1747" t="s">
        <v>3445</v>
      </c>
      <c r="BC406" s="1746">
        <v>5000</v>
      </c>
      <c r="BD406" s="1746" t="s">
        <v>2615</v>
      </c>
      <c r="BE406" s="1746"/>
      <c r="BF406" s="1746">
        <v>1809.4</v>
      </c>
      <c r="BG406" s="1746" t="s">
        <v>2592</v>
      </c>
      <c r="BH406" s="1744">
        <f t="shared" si="60"/>
        <v>1.8094000000000001E-3</v>
      </c>
      <c r="BI406" s="1745">
        <f t="shared" si="61"/>
        <v>3.6188000000000001E-7</v>
      </c>
      <c r="BJ406" s="1740" t="str">
        <f t="shared" si="62"/>
        <v>tabs</v>
      </c>
      <c r="BK406" s="1740" t="str">
        <f t="shared" si="63"/>
        <v>Bottle of Tablets</v>
      </c>
    </row>
    <row r="407" spans="51:63" ht="15.65" customHeight="1">
      <c r="AY407" s="1746" t="s">
        <v>2593</v>
      </c>
      <c r="AZ407" s="1746">
        <v>2008</v>
      </c>
      <c r="BA407" s="1746" t="s">
        <v>3447</v>
      </c>
      <c r="BB407" s="1747" t="s">
        <v>3448</v>
      </c>
      <c r="BC407" s="1750">
        <v>1000</v>
      </c>
      <c r="BD407" s="1746" t="s">
        <v>2601</v>
      </c>
      <c r="BE407" s="1746"/>
      <c r="BF407" s="1746">
        <v>5.6999999999999998E-4</v>
      </c>
      <c r="BG407" s="1746" t="s">
        <v>2597</v>
      </c>
      <c r="BH407" s="1744">
        <f t="shared" si="60"/>
        <v>5.6999999999999998E-4</v>
      </c>
      <c r="BI407" s="1745">
        <f t="shared" si="61"/>
        <v>5.6999999999999994E-7</v>
      </c>
      <c r="BJ407" s="1740" t="str">
        <f t="shared" si="62"/>
        <v>tablets</v>
      </c>
      <c r="BK407" s="1740" t="str">
        <f t="shared" si="63"/>
        <v>Bottle of Tablets</v>
      </c>
    </row>
    <row r="408" spans="51:63" ht="15.65" customHeight="1">
      <c r="AY408" s="1746" t="s">
        <v>2588</v>
      </c>
      <c r="AZ408" s="1746">
        <v>2006</v>
      </c>
      <c r="BA408" s="1746" t="s">
        <v>3449</v>
      </c>
      <c r="BB408" s="1747" t="s">
        <v>3450</v>
      </c>
      <c r="BC408" s="1746">
        <v>1000</v>
      </c>
      <c r="BD408" s="1746" t="s">
        <v>2615</v>
      </c>
      <c r="BE408" s="1746"/>
      <c r="BF408" s="1746">
        <v>1612.7</v>
      </c>
      <c r="BG408" s="1746" t="s">
        <v>2592</v>
      </c>
      <c r="BH408" s="1744">
        <f t="shared" si="60"/>
        <v>1.6127000000000001E-3</v>
      </c>
      <c r="BI408" s="1745">
        <f t="shared" si="61"/>
        <v>1.6127E-6</v>
      </c>
      <c r="BJ408" s="1740" t="str">
        <f t="shared" si="62"/>
        <v>tabs</v>
      </c>
      <c r="BK408" s="1740" t="str">
        <f t="shared" si="63"/>
        <v>Bottle of Tablets</v>
      </c>
    </row>
    <row r="409" spans="51:63" ht="15.65" customHeight="1">
      <c r="AY409" s="1746" t="s">
        <v>2593</v>
      </c>
      <c r="AZ409" s="1746">
        <v>2008</v>
      </c>
      <c r="BA409" s="1746" t="s">
        <v>3451</v>
      </c>
      <c r="BB409" s="1747" t="s">
        <v>3452</v>
      </c>
      <c r="BC409" s="1750">
        <v>1000</v>
      </c>
      <c r="BD409" s="1746" t="s">
        <v>2601</v>
      </c>
      <c r="BE409" s="1746"/>
      <c r="BF409" s="1746">
        <v>1.4400000000000001E-3</v>
      </c>
      <c r="BG409" s="1746" t="s">
        <v>2597</v>
      </c>
      <c r="BH409" s="1744">
        <f t="shared" ref="BH409:BH472" si="64">IF(BG409="CCM",BF409/1000000,IF(BG409="CDM",BF409/1000, IF(BG409="M3",BF409,"")))</f>
        <v>1.4400000000000001E-3</v>
      </c>
      <c r="BI409" s="1745">
        <f t="shared" si="61"/>
        <v>1.4400000000000002E-6</v>
      </c>
      <c r="BJ409" s="1740" t="str">
        <f t="shared" si="62"/>
        <v>tablets</v>
      </c>
      <c r="BK409" s="1740" t="str">
        <f t="shared" si="63"/>
        <v>Bottle of Tablets</v>
      </c>
    </row>
    <row r="410" spans="51:63" ht="15.65" customHeight="1">
      <c r="AY410" s="1746" t="s">
        <v>2593</v>
      </c>
      <c r="AZ410" s="1746">
        <v>2008</v>
      </c>
      <c r="BA410" s="1746" t="s">
        <v>3453</v>
      </c>
      <c r="BB410" s="1747" t="s">
        <v>3452</v>
      </c>
      <c r="BC410" s="1750">
        <v>1000</v>
      </c>
      <c r="BD410" s="1746" t="s">
        <v>2601</v>
      </c>
      <c r="BE410" s="1746"/>
      <c r="BF410" s="1746">
        <v>2.7200000000000002E-3</v>
      </c>
      <c r="BG410" s="1746" t="s">
        <v>2597</v>
      </c>
      <c r="BH410" s="1744">
        <f t="shared" si="64"/>
        <v>2.7200000000000002E-3</v>
      </c>
      <c r="BI410" s="1745">
        <f t="shared" si="61"/>
        <v>2.7200000000000002E-6</v>
      </c>
      <c r="BJ410" s="1740" t="str">
        <f t="shared" si="62"/>
        <v>tablets</v>
      </c>
      <c r="BK410" s="1740" t="str">
        <f t="shared" si="63"/>
        <v>Bottle of Tablets</v>
      </c>
    </row>
    <row r="411" spans="51:63" ht="15.65" customHeight="1">
      <c r="AY411" s="1746" t="s">
        <v>2588</v>
      </c>
      <c r="AZ411" s="1746">
        <v>2006</v>
      </c>
      <c r="BA411" s="1746" t="s">
        <v>3454</v>
      </c>
      <c r="BB411" s="1747" t="s">
        <v>3455</v>
      </c>
      <c r="BC411" s="1746">
        <v>10</v>
      </c>
      <c r="BD411" s="1746" t="s">
        <v>2790</v>
      </c>
      <c r="BE411" s="1746"/>
      <c r="BF411" s="1746">
        <v>177</v>
      </c>
      <c r="BG411" s="1746" t="s">
        <v>2592</v>
      </c>
      <c r="BH411" s="1744">
        <f t="shared" si="64"/>
        <v>1.7699999999999999E-4</v>
      </c>
      <c r="BI411" s="1745">
        <f t="shared" si="61"/>
        <v>1.77E-5</v>
      </c>
      <c r="BJ411" s="1740" t="str">
        <f t="shared" si="62"/>
        <v>amps</v>
      </c>
      <c r="BK411" s="1740" t="str">
        <f t="shared" si="63"/>
        <v>Injection Vial</v>
      </c>
    </row>
    <row r="412" spans="51:63" ht="15.65" customHeight="1">
      <c r="AY412" s="1746" t="s">
        <v>2593</v>
      </c>
      <c r="AZ412" s="1746">
        <v>2008</v>
      </c>
      <c r="BA412" s="1746" t="s">
        <v>3456</v>
      </c>
      <c r="BB412" s="1747" t="s">
        <v>3457</v>
      </c>
      <c r="BC412" s="1746">
        <v>10</v>
      </c>
      <c r="BD412" s="1746" t="s">
        <v>2727</v>
      </c>
      <c r="BE412" s="1746"/>
      <c r="BF412" s="1746">
        <v>2.5999999999999998E-4</v>
      </c>
      <c r="BG412" s="1746" t="s">
        <v>2597</v>
      </c>
      <c r="BH412" s="1744">
        <f t="shared" si="64"/>
        <v>2.5999999999999998E-4</v>
      </c>
      <c r="BI412" s="1745">
        <f t="shared" si="61"/>
        <v>2.5999999999999998E-5</v>
      </c>
      <c r="BJ412" s="1740" t="str">
        <f t="shared" si="62"/>
        <v>ampoules</v>
      </c>
      <c r="BK412" s="1740" t="str">
        <f t="shared" si="63"/>
        <v>Injection Vial</v>
      </c>
    </row>
    <row r="413" spans="51:63" ht="15.65" customHeight="1">
      <c r="AY413" s="1746" t="s">
        <v>2575</v>
      </c>
      <c r="AZ413" s="1746">
        <v>2008</v>
      </c>
      <c r="BA413" s="1746" t="s">
        <v>3458</v>
      </c>
      <c r="BB413" s="1747" t="s">
        <v>3459</v>
      </c>
      <c r="BC413" s="1746" t="s">
        <v>2578</v>
      </c>
      <c r="BD413" s="1746" t="s">
        <v>2903</v>
      </c>
      <c r="BE413" s="1746" t="s">
        <v>3090</v>
      </c>
      <c r="BF413" s="1746">
        <v>1.28</v>
      </c>
      <c r="BG413" s="1746" t="s">
        <v>2581</v>
      </c>
      <c r="BH413" s="1744">
        <f t="shared" si="64"/>
        <v>1.2800000000000001E-3</v>
      </c>
      <c r="BI413" s="1745" t="str">
        <f t="shared" si="61"/>
        <v/>
      </c>
      <c r="BJ413" s="1740" t="str">
        <f t="shared" si="62"/>
        <v>BOX-Antidotes</v>
      </c>
      <c r="BK413" s="1740" t="str">
        <f t="shared" si="63"/>
        <v>Injection Vial</v>
      </c>
    </row>
    <row r="414" spans="51:63" ht="15.65" customHeight="1">
      <c r="AY414" s="1746" t="s">
        <v>2575</v>
      </c>
      <c r="AZ414" s="1746">
        <v>2008</v>
      </c>
      <c r="BA414" s="1746" t="s">
        <v>3460</v>
      </c>
      <c r="BB414" s="1747" t="s">
        <v>3461</v>
      </c>
      <c r="BC414" s="1746" t="s">
        <v>2578</v>
      </c>
      <c r="BD414" s="1746" t="s">
        <v>2579</v>
      </c>
      <c r="BE414" s="1746" t="s">
        <v>3462</v>
      </c>
      <c r="BF414" s="1746">
        <v>31</v>
      </c>
      <c r="BG414" s="1746" t="s">
        <v>2581</v>
      </c>
      <c r="BH414" s="1744">
        <f t="shared" si="64"/>
        <v>3.1E-2</v>
      </c>
      <c r="BI414" s="1745" t="str">
        <f t="shared" si="61"/>
        <v/>
      </c>
      <c r="BJ414" s="1740" t="str">
        <f t="shared" si="62"/>
        <v>EA-Electrical equipment</v>
      </c>
      <c r="BK414" s="1740" t="str">
        <f t="shared" si="63"/>
        <v>Medical equipment</v>
      </c>
    </row>
    <row r="415" spans="51:63" ht="15.65" customHeight="1">
      <c r="AY415" s="1746" t="s">
        <v>2575</v>
      </c>
      <c r="AZ415" s="1746">
        <v>2008</v>
      </c>
      <c r="BA415" s="1746" t="s">
        <v>3463</v>
      </c>
      <c r="BB415" s="1747" t="s">
        <v>3464</v>
      </c>
      <c r="BC415" s="1746" t="s">
        <v>2578</v>
      </c>
      <c r="BD415" s="1746" t="s">
        <v>2579</v>
      </c>
      <c r="BE415" s="1746" t="s">
        <v>3462</v>
      </c>
      <c r="BF415" s="1746">
        <v>1.4999999999999999E-2</v>
      </c>
      <c r="BG415" s="1746" t="s">
        <v>2597</v>
      </c>
      <c r="BH415" s="1744">
        <f t="shared" si="64"/>
        <v>1.4999999999999999E-2</v>
      </c>
      <c r="BI415" s="1745" t="str">
        <f t="shared" si="61"/>
        <v/>
      </c>
      <c r="BJ415" s="1740" t="str">
        <f t="shared" si="62"/>
        <v>EA-Electrical equipment</v>
      </c>
      <c r="BK415" s="1740" t="str">
        <f t="shared" si="63"/>
        <v>Medical equipment</v>
      </c>
    </row>
    <row r="416" spans="51:63" ht="15.65" customHeight="1">
      <c r="AY416" s="1746" t="s">
        <v>2588</v>
      </c>
      <c r="AZ416" s="1746">
        <v>2006</v>
      </c>
      <c r="BA416" s="1746" t="s">
        <v>3465</v>
      </c>
      <c r="BB416" s="1747" t="s">
        <v>3466</v>
      </c>
      <c r="BC416" s="1746">
        <v>100</v>
      </c>
      <c r="BD416" s="1746" t="s">
        <v>2927</v>
      </c>
      <c r="BE416" s="1746"/>
      <c r="BF416" s="1746">
        <v>1456</v>
      </c>
      <c r="BG416" s="1746" t="s">
        <v>2592</v>
      </c>
      <c r="BH416" s="1744">
        <f t="shared" si="64"/>
        <v>1.456E-3</v>
      </c>
      <c r="BI416" s="1745">
        <f t="shared" si="61"/>
        <v>1.4560000000000001E-5</v>
      </c>
      <c r="BJ416" s="1740" t="str">
        <f t="shared" si="62"/>
        <v>pcs</v>
      </c>
      <c r="BK416" s="1740" t="str">
        <f t="shared" si="63"/>
        <v>Medical equipment</v>
      </c>
    </row>
    <row r="417" spans="51:63" ht="15.65" customHeight="1">
      <c r="AY417" s="1746" t="s">
        <v>2593</v>
      </c>
      <c r="AZ417" s="1746">
        <v>2008</v>
      </c>
      <c r="BA417" s="1746" t="s">
        <v>3467</v>
      </c>
      <c r="BB417" s="1747" t="s">
        <v>3468</v>
      </c>
      <c r="BC417" s="1746">
        <v>100</v>
      </c>
      <c r="BD417" s="1746" t="s">
        <v>2930</v>
      </c>
      <c r="BE417" s="1746"/>
      <c r="BF417" s="1746">
        <v>9.3000000000000005E-4</v>
      </c>
      <c r="BG417" s="1746" t="s">
        <v>2597</v>
      </c>
      <c r="BH417" s="1744">
        <f t="shared" si="64"/>
        <v>9.3000000000000005E-4</v>
      </c>
      <c r="BI417" s="1745">
        <f t="shared" si="61"/>
        <v>9.3000000000000007E-6</v>
      </c>
      <c r="BJ417" s="1740" t="str">
        <f t="shared" si="62"/>
        <v>pieces</v>
      </c>
      <c r="BK417" s="1740" t="str">
        <f t="shared" si="63"/>
        <v>Medical equipment</v>
      </c>
    </row>
    <row r="418" spans="51:63" ht="15.65" customHeight="1">
      <c r="AY418" s="1746" t="s">
        <v>2593</v>
      </c>
      <c r="AZ418" s="1746">
        <v>2008</v>
      </c>
      <c r="BA418" s="1746" t="s">
        <v>3469</v>
      </c>
      <c r="BB418" s="1747" t="s">
        <v>3470</v>
      </c>
      <c r="BC418" s="1746">
        <v>100</v>
      </c>
      <c r="BD418" s="1746" t="s">
        <v>2930</v>
      </c>
      <c r="BE418" s="1746"/>
      <c r="BF418" s="1746">
        <v>9.5E-4</v>
      </c>
      <c r="BG418" s="1746" t="s">
        <v>2597</v>
      </c>
      <c r="BH418" s="1744">
        <f t="shared" si="64"/>
        <v>9.5E-4</v>
      </c>
      <c r="BI418" s="1745">
        <f t="shared" si="61"/>
        <v>9.5000000000000005E-6</v>
      </c>
      <c r="BJ418" s="1740" t="str">
        <f t="shared" si="62"/>
        <v>pieces</v>
      </c>
      <c r="BK418" s="1740" t="str">
        <f t="shared" si="63"/>
        <v>Medical equipment</v>
      </c>
    </row>
    <row r="419" spans="51:63" ht="15.65" customHeight="1">
      <c r="AY419" s="1746" t="s">
        <v>2593</v>
      </c>
      <c r="AZ419" s="1746">
        <v>2008</v>
      </c>
      <c r="BA419" s="1746" t="s">
        <v>3471</v>
      </c>
      <c r="BB419" s="1747" t="s">
        <v>3472</v>
      </c>
      <c r="BC419" s="1746">
        <v>100</v>
      </c>
      <c r="BD419" s="1746" t="s">
        <v>2930</v>
      </c>
      <c r="BE419" s="1746"/>
      <c r="BF419" s="1746">
        <v>1.0000000000000001E-5</v>
      </c>
      <c r="BG419" s="1746" t="s">
        <v>2597</v>
      </c>
      <c r="BH419" s="1744">
        <f t="shared" si="64"/>
        <v>1.0000000000000001E-5</v>
      </c>
      <c r="BI419" s="1745">
        <f t="shared" si="61"/>
        <v>1.0000000000000001E-7</v>
      </c>
      <c r="BJ419" s="1740" t="str">
        <f t="shared" si="62"/>
        <v>pieces</v>
      </c>
      <c r="BK419" s="1740" t="str">
        <f t="shared" si="63"/>
        <v>Medical equipment</v>
      </c>
    </row>
    <row r="420" spans="51:63" ht="15.65" customHeight="1">
      <c r="AY420" s="1746" t="s">
        <v>2593</v>
      </c>
      <c r="AZ420" s="1746">
        <v>2008</v>
      </c>
      <c r="BA420" s="1746" t="s">
        <v>3473</v>
      </c>
      <c r="BB420" s="1747" t="s">
        <v>3474</v>
      </c>
      <c r="BC420" s="1746">
        <v>100</v>
      </c>
      <c r="BD420" s="1746" t="s">
        <v>2930</v>
      </c>
      <c r="BE420" s="1746"/>
      <c r="BF420" s="1746">
        <v>9.7000000000000005E-4</v>
      </c>
      <c r="BG420" s="1746" t="s">
        <v>2597</v>
      </c>
      <c r="BH420" s="1744">
        <f t="shared" si="64"/>
        <v>9.7000000000000005E-4</v>
      </c>
      <c r="BI420" s="1745">
        <f t="shared" si="61"/>
        <v>9.7000000000000003E-6</v>
      </c>
      <c r="BJ420" s="1740" t="str">
        <f t="shared" si="62"/>
        <v>pieces</v>
      </c>
      <c r="BK420" s="1740" t="str">
        <f t="shared" si="63"/>
        <v>Medical equipment</v>
      </c>
    </row>
    <row r="421" spans="51:63" ht="15.65" customHeight="1">
      <c r="AY421" s="1746" t="s">
        <v>2593</v>
      </c>
      <c r="AZ421" s="1746">
        <v>2008</v>
      </c>
      <c r="BA421" s="1746" t="s">
        <v>3475</v>
      </c>
      <c r="BB421" s="1747" t="s">
        <v>3476</v>
      </c>
      <c r="BC421" s="1746">
        <v>100</v>
      </c>
      <c r="BD421" s="1746" t="s">
        <v>2930</v>
      </c>
      <c r="BE421" s="1746"/>
      <c r="BF421" s="1746">
        <v>9.5E-4</v>
      </c>
      <c r="BG421" s="1746" t="s">
        <v>2597</v>
      </c>
      <c r="BH421" s="1744">
        <f t="shared" si="64"/>
        <v>9.5E-4</v>
      </c>
      <c r="BI421" s="1745">
        <f t="shared" si="61"/>
        <v>9.5000000000000005E-6</v>
      </c>
      <c r="BJ421" s="1740" t="str">
        <f t="shared" si="62"/>
        <v>pieces</v>
      </c>
      <c r="BK421" s="1740" t="str">
        <f t="shared" si="63"/>
        <v>Medical equipment</v>
      </c>
    </row>
    <row r="422" spans="51:63" ht="15.65" customHeight="1">
      <c r="AY422" s="1746" t="s">
        <v>2593</v>
      </c>
      <c r="AZ422" s="1746">
        <v>2008</v>
      </c>
      <c r="BA422" s="1746" t="s">
        <v>3477</v>
      </c>
      <c r="BB422" s="1747" t="s">
        <v>3478</v>
      </c>
      <c r="BC422" s="1746">
        <v>100</v>
      </c>
      <c r="BD422" s="1746" t="s">
        <v>2930</v>
      </c>
      <c r="BE422" s="1746"/>
      <c r="BF422" s="1746">
        <v>1.0000000000000001E-5</v>
      </c>
      <c r="BG422" s="1746" t="s">
        <v>2597</v>
      </c>
      <c r="BH422" s="1744">
        <f t="shared" si="64"/>
        <v>1.0000000000000001E-5</v>
      </c>
      <c r="BI422" s="1745">
        <f t="shared" si="61"/>
        <v>1.0000000000000001E-7</v>
      </c>
      <c r="BJ422" s="1740" t="str">
        <f t="shared" si="62"/>
        <v>pieces</v>
      </c>
      <c r="BK422" s="1740" t="str">
        <f t="shared" si="63"/>
        <v>Medical equipment</v>
      </c>
    </row>
    <row r="423" spans="51:63" ht="15.65" customHeight="1">
      <c r="AY423" s="1746" t="s">
        <v>2593</v>
      </c>
      <c r="AZ423" s="1746">
        <v>2008</v>
      </c>
      <c r="BA423" s="1746" t="s">
        <v>3479</v>
      </c>
      <c r="BB423" s="1747" t="s">
        <v>3480</v>
      </c>
      <c r="BC423" s="1746">
        <v>100</v>
      </c>
      <c r="BD423" s="1746" t="s">
        <v>2930</v>
      </c>
      <c r="BE423" s="1746"/>
      <c r="BF423" s="1746">
        <v>9.8999999999999999E-4</v>
      </c>
      <c r="BG423" s="1746" t="s">
        <v>2597</v>
      </c>
      <c r="BH423" s="1744">
        <f t="shared" si="64"/>
        <v>9.8999999999999999E-4</v>
      </c>
      <c r="BI423" s="1745">
        <f t="shared" si="61"/>
        <v>9.9000000000000001E-6</v>
      </c>
      <c r="BJ423" s="1740" t="str">
        <f t="shared" si="62"/>
        <v>pieces</v>
      </c>
      <c r="BK423" s="1740" t="str">
        <f t="shared" si="63"/>
        <v>Medical equipment</v>
      </c>
    </row>
    <row r="424" spans="51:63" ht="15.65" customHeight="1">
      <c r="AY424" s="1746" t="s">
        <v>2593</v>
      </c>
      <c r="AZ424" s="1746">
        <v>2008</v>
      </c>
      <c r="BA424" s="1746" t="s">
        <v>3481</v>
      </c>
      <c r="BB424" s="1747" t="s">
        <v>3482</v>
      </c>
      <c r="BC424" s="1746">
        <v>100</v>
      </c>
      <c r="BD424" s="1746" t="s">
        <v>2930</v>
      </c>
      <c r="BE424" s="1746"/>
      <c r="BF424" s="1746">
        <v>9.6000000000000002E-4</v>
      </c>
      <c r="BG424" s="1746" t="s">
        <v>2597</v>
      </c>
      <c r="BH424" s="1744">
        <f t="shared" si="64"/>
        <v>9.6000000000000002E-4</v>
      </c>
      <c r="BI424" s="1745">
        <f t="shared" si="61"/>
        <v>9.5999999999999996E-6</v>
      </c>
      <c r="BJ424" s="1740" t="str">
        <f t="shared" si="62"/>
        <v>pieces</v>
      </c>
      <c r="BK424" s="1740" t="str">
        <f t="shared" si="63"/>
        <v>Medical equipment</v>
      </c>
    </row>
    <row r="425" spans="51:63" ht="15.65" customHeight="1">
      <c r="AY425" s="1746" t="s">
        <v>2593</v>
      </c>
      <c r="AZ425" s="1746">
        <v>2008</v>
      </c>
      <c r="BA425" s="1746" t="s">
        <v>3483</v>
      </c>
      <c r="BB425" s="1747" t="s">
        <v>3484</v>
      </c>
      <c r="BC425" s="1746">
        <v>100</v>
      </c>
      <c r="BD425" s="1746" t="s">
        <v>2930</v>
      </c>
      <c r="BE425" s="1746"/>
      <c r="BF425" s="1746">
        <v>9.7999999999999997E-4</v>
      </c>
      <c r="BG425" s="1746" t="s">
        <v>2597</v>
      </c>
      <c r="BH425" s="1744">
        <f t="shared" si="64"/>
        <v>9.7999999999999997E-4</v>
      </c>
      <c r="BI425" s="1745">
        <f t="shared" si="61"/>
        <v>9.7999999999999993E-6</v>
      </c>
      <c r="BJ425" s="1740" t="str">
        <f t="shared" si="62"/>
        <v>pieces</v>
      </c>
      <c r="BK425" s="1740" t="str">
        <f t="shared" si="63"/>
        <v>Medical equipment</v>
      </c>
    </row>
    <row r="426" spans="51:63" ht="15.65" customHeight="1">
      <c r="AY426" s="1746" t="s">
        <v>2593</v>
      </c>
      <c r="AZ426" s="1746">
        <v>2008</v>
      </c>
      <c r="BA426" s="1746" t="s">
        <v>3485</v>
      </c>
      <c r="BB426" s="1747" t="s">
        <v>3486</v>
      </c>
      <c r="BC426" s="1746">
        <v>100</v>
      </c>
      <c r="BD426" s="1746" t="s">
        <v>2930</v>
      </c>
      <c r="BE426" s="1746"/>
      <c r="BF426" s="1746">
        <v>9.6000000000000002E-4</v>
      </c>
      <c r="BG426" s="1746" t="s">
        <v>2597</v>
      </c>
      <c r="BH426" s="1744">
        <f t="shared" si="64"/>
        <v>9.6000000000000002E-4</v>
      </c>
      <c r="BI426" s="1745">
        <f t="shared" si="61"/>
        <v>9.5999999999999996E-6</v>
      </c>
      <c r="BJ426" s="1740" t="str">
        <f t="shared" si="62"/>
        <v>pieces</v>
      </c>
      <c r="BK426" s="1740" t="str">
        <f t="shared" si="63"/>
        <v>Medical equipment</v>
      </c>
    </row>
    <row r="427" spans="51:63" ht="15.65" customHeight="1">
      <c r="AY427" s="1746" t="s">
        <v>2588</v>
      </c>
      <c r="AZ427" s="1746">
        <v>2006</v>
      </c>
      <c r="BA427" s="1746" t="s">
        <v>3487</v>
      </c>
      <c r="BB427" s="1747" t="s">
        <v>3488</v>
      </c>
      <c r="BC427" s="1746">
        <v>1</v>
      </c>
      <c r="BD427" s="1746" t="s">
        <v>2724</v>
      </c>
      <c r="BE427" s="1746"/>
      <c r="BF427" s="1746">
        <v>174</v>
      </c>
      <c r="BG427" s="1746" t="s">
        <v>2592</v>
      </c>
      <c r="BH427" s="1744">
        <f t="shared" si="64"/>
        <v>1.74E-4</v>
      </c>
      <c r="BI427" s="1745">
        <f t="shared" si="61"/>
        <v>1.74E-4</v>
      </c>
      <c r="BJ427" s="1740" t="str">
        <f t="shared" si="62"/>
        <v>pce</v>
      </c>
      <c r="BK427" s="1740" t="str">
        <f t="shared" si="63"/>
        <v>Roll of tape/gauze</v>
      </c>
    </row>
    <row r="428" spans="51:63" ht="15.65" customHeight="1">
      <c r="AY428" s="1746" t="s">
        <v>2593</v>
      </c>
      <c r="AZ428" s="1746">
        <v>2008</v>
      </c>
      <c r="BA428" s="1746" t="s">
        <v>3489</v>
      </c>
      <c r="BB428" s="1747" t="s">
        <v>3490</v>
      </c>
      <c r="BC428" s="1746">
        <v>1</v>
      </c>
      <c r="BD428" s="1746" t="s">
        <v>2933</v>
      </c>
      <c r="BE428" s="1746"/>
      <c r="BF428" s="1746">
        <v>2.1000000000000001E-4</v>
      </c>
      <c r="BG428" s="1746" t="s">
        <v>2597</v>
      </c>
      <c r="BH428" s="1744">
        <f t="shared" si="64"/>
        <v>2.1000000000000001E-4</v>
      </c>
      <c r="BI428" s="1745">
        <f t="shared" si="61"/>
        <v>2.1000000000000001E-4</v>
      </c>
      <c r="BJ428" s="1740" t="str">
        <f t="shared" si="62"/>
        <v>piece</v>
      </c>
      <c r="BK428" s="1740" t="str">
        <f t="shared" si="63"/>
        <v>Medical equipment</v>
      </c>
    </row>
    <row r="429" spans="51:63" ht="15.65" customHeight="1">
      <c r="AY429" s="1746" t="s">
        <v>2593</v>
      </c>
      <c r="AZ429" s="1746">
        <v>2008</v>
      </c>
      <c r="BA429" s="1746" t="s">
        <v>3491</v>
      </c>
      <c r="BB429" s="1747" t="s">
        <v>3492</v>
      </c>
      <c r="BC429" s="1746">
        <v>1</v>
      </c>
      <c r="BD429" s="1746" t="s">
        <v>2933</v>
      </c>
      <c r="BE429" s="1746"/>
      <c r="BF429" s="1746">
        <v>1E-4</v>
      </c>
      <c r="BG429" s="1746" t="s">
        <v>2597</v>
      </c>
      <c r="BH429" s="1744">
        <f t="shared" si="64"/>
        <v>1E-4</v>
      </c>
      <c r="BI429" s="1745">
        <f t="shared" si="61"/>
        <v>1E-4</v>
      </c>
      <c r="BJ429" s="1740" t="str">
        <f t="shared" si="62"/>
        <v>piece</v>
      </c>
      <c r="BK429" s="1740" t="str">
        <f t="shared" si="63"/>
        <v>Medical equipment</v>
      </c>
    </row>
    <row r="430" spans="51:63" ht="15.65" customHeight="1">
      <c r="AY430" s="1746" t="s">
        <v>2593</v>
      </c>
      <c r="AZ430" s="1746">
        <v>2008</v>
      </c>
      <c r="BA430" s="1746" t="s">
        <v>3493</v>
      </c>
      <c r="BB430" s="1747" t="s">
        <v>3494</v>
      </c>
      <c r="BC430" s="1746">
        <v>1</v>
      </c>
      <c r="BD430" s="1746" t="s">
        <v>2933</v>
      </c>
      <c r="BE430" s="1746"/>
      <c r="BF430" s="1746">
        <v>6.0000000000000002E-5</v>
      </c>
      <c r="BG430" s="1746" t="s">
        <v>2597</v>
      </c>
      <c r="BH430" s="1744">
        <f t="shared" si="64"/>
        <v>6.0000000000000002E-5</v>
      </c>
      <c r="BI430" s="1745">
        <f t="shared" si="61"/>
        <v>6.0000000000000002E-5</v>
      </c>
      <c r="BJ430" s="1740" t="str">
        <f t="shared" si="62"/>
        <v>piece</v>
      </c>
      <c r="BK430" s="1740" t="str">
        <f t="shared" si="63"/>
        <v>Medical equipment</v>
      </c>
    </row>
    <row r="431" spans="51:63" ht="15.65" customHeight="1">
      <c r="AY431" s="1746" t="s">
        <v>2575</v>
      </c>
      <c r="AZ431" s="1746">
        <v>2008</v>
      </c>
      <c r="BA431" s="1746" t="s">
        <v>3495</v>
      </c>
      <c r="BB431" s="1747" t="s">
        <v>3496</v>
      </c>
      <c r="BC431" s="1746" t="s">
        <v>2578</v>
      </c>
      <c r="BD431" s="1746" t="s">
        <v>2579</v>
      </c>
      <c r="BE431" s="1746" t="s">
        <v>3497</v>
      </c>
      <c r="BF431" s="1746">
        <v>7.1999999999999995E-2</v>
      </c>
      <c r="BG431" s="1746" t="s">
        <v>2581</v>
      </c>
      <c r="BH431" s="1744">
        <f t="shared" si="64"/>
        <v>7.1999999999999988E-5</v>
      </c>
      <c r="BI431" s="1745" t="str">
        <f t="shared" si="61"/>
        <v/>
      </c>
      <c r="BJ431" s="1740" t="str">
        <f t="shared" si="62"/>
        <v>EA-Press., force/sprin</v>
      </c>
      <c r="BK431" s="1740" t="str">
        <f t="shared" si="63"/>
        <v>Medical equipment</v>
      </c>
    </row>
    <row r="432" spans="51:63" ht="15.65" customHeight="1">
      <c r="AY432" s="1746" t="s">
        <v>2588</v>
      </c>
      <c r="AZ432" s="1746">
        <v>2006</v>
      </c>
      <c r="BA432" s="1746" t="s">
        <v>3498</v>
      </c>
      <c r="BB432" s="1747" t="s">
        <v>3499</v>
      </c>
      <c r="BC432" s="1746">
        <v>100</v>
      </c>
      <c r="BD432" s="1746" t="s">
        <v>2927</v>
      </c>
      <c r="BE432" s="1746"/>
      <c r="BF432" s="1746">
        <v>997.6</v>
      </c>
      <c r="BG432" s="1746" t="s">
        <v>2592</v>
      </c>
      <c r="BH432" s="1744">
        <f t="shared" si="64"/>
        <v>9.9759999999999996E-4</v>
      </c>
      <c r="BI432" s="1745">
        <f t="shared" si="61"/>
        <v>9.975999999999999E-6</v>
      </c>
      <c r="BJ432" s="1740" t="str">
        <f t="shared" si="62"/>
        <v>pcs</v>
      </c>
      <c r="BK432" s="1740" t="str">
        <f t="shared" si="63"/>
        <v>Medical equipment</v>
      </c>
    </row>
    <row r="433" spans="51:63" ht="15.65" customHeight="1">
      <c r="AY433" s="1746" t="s">
        <v>2588</v>
      </c>
      <c r="AZ433" s="1746">
        <v>2006</v>
      </c>
      <c r="BA433" s="1746" t="s">
        <v>3500</v>
      </c>
      <c r="BB433" s="1747" t="s">
        <v>3501</v>
      </c>
      <c r="BC433" s="1746">
        <v>100</v>
      </c>
      <c r="BD433" s="1746" t="s">
        <v>2927</v>
      </c>
      <c r="BE433" s="1746"/>
      <c r="BF433" s="1746">
        <v>997.6</v>
      </c>
      <c r="BG433" s="1746" t="s">
        <v>2592</v>
      </c>
      <c r="BH433" s="1744">
        <f t="shared" si="64"/>
        <v>9.9759999999999996E-4</v>
      </c>
      <c r="BI433" s="1745">
        <f t="shared" si="61"/>
        <v>9.975999999999999E-6</v>
      </c>
      <c r="BJ433" s="1740" t="str">
        <f t="shared" si="62"/>
        <v>pcs</v>
      </c>
      <c r="BK433" s="1740" t="str">
        <f t="shared" si="63"/>
        <v>Medical equipment</v>
      </c>
    </row>
    <row r="434" spans="51:63" ht="15.65" customHeight="1">
      <c r="AY434" s="1746" t="s">
        <v>2588</v>
      </c>
      <c r="AZ434" s="1746">
        <v>2006</v>
      </c>
      <c r="BA434" s="1746" t="s">
        <v>3502</v>
      </c>
      <c r="BB434" s="1747" t="s">
        <v>3503</v>
      </c>
      <c r="BC434" s="1746">
        <v>100</v>
      </c>
      <c r="BD434" s="1746" t="s">
        <v>2927</v>
      </c>
      <c r="BE434" s="1746"/>
      <c r="BF434" s="1746">
        <v>997.6</v>
      </c>
      <c r="BG434" s="1746" t="s">
        <v>2592</v>
      </c>
      <c r="BH434" s="1744">
        <f t="shared" si="64"/>
        <v>9.9759999999999996E-4</v>
      </c>
      <c r="BI434" s="1745">
        <f t="shared" si="61"/>
        <v>9.975999999999999E-6</v>
      </c>
      <c r="BJ434" s="1740" t="str">
        <f t="shared" si="62"/>
        <v>pcs</v>
      </c>
      <c r="BK434" s="1740" t="str">
        <f t="shared" si="63"/>
        <v>Medical equipment</v>
      </c>
    </row>
    <row r="435" spans="51:63" ht="15.65" customHeight="1">
      <c r="AY435" s="1746" t="s">
        <v>2588</v>
      </c>
      <c r="AZ435" s="1746">
        <v>2006</v>
      </c>
      <c r="BA435" s="1746" t="s">
        <v>3504</v>
      </c>
      <c r="BB435" s="1747" t="s">
        <v>3505</v>
      </c>
      <c r="BC435" s="1746">
        <v>100</v>
      </c>
      <c r="BD435" s="1746" t="s">
        <v>2927</v>
      </c>
      <c r="BE435" s="1746"/>
      <c r="BF435" s="1746">
        <v>997.6</v>
      </c>
      <c r="BG435" s="1746" t="s">
        <v>2592</v>
      </c>
      <c r="BH435" s="1744">
        <f t="shared" si="64"/>
        <v>9.9759999999999996E-4</v>
      </c>
      <c r="BI435" s="1745">
        <f t="shared" si="61"/>
        <v>9.975999999999999E-6</v>
      </c>
      <c r="BJ435" s="1740" t="str">
        <f t="shared" si="62"/>
        <v>pcs</v>
      </c>
      <c r="BK435" s="1740" t="str">
        <f t="shared" si="63"/>
        <v>Medical equipment</v>
      </c>
    </row>
    <row r="436" spans="51:63" ht="15.65" customHeight="1">
      <c r="AY436" s="1746" t="s">
        <v>2588</v>
      </c>
      <c r="AZ436" s="1746">
        <v>2006</v>
      </c>
      <c r="BA436" s="1746" t="s">
        <v>3506</v>
      </c>
      <c r="BB436" s="1747" t="s">
        <v>3507</v>
      </c>
      <c r="BC436" s="1746">
        <v>100</v>
      </c>
      <c r="BD436" s="1746" t="s">
        <v>2927</v>
      </c>
      <c r="BE436" s="1746"/>
      <c r="BF436" s="1746">
        <v>997.6</v>
      </c>
      <c r="BG436" s="1746" t="s">
        <v>2592</v>
      </c>
      <c r="BH436" s="1744">
        <f t="shared" si="64"/>
        <v>9.9759999999999996E-4</v>
      </c>
      <c r="BI436" s="1745">
        <f t="shared" si="61"/>
        <v>9.975999999999999E-6</v>
      </c>
      <c r="BJ436" s="1740" t="str">
        <f t="shared" si="62"/>
        <v>pcs</v>
      </c>
      <c r="BK436" s="1740" t="str">
        <f t="shared" si="63"/>
        <v>Medical equipment</v>
      </c>
    </row>
    <row r="437" spans="51:63" ht="15.65" customHeight="1">
      <c r="AY437" s="1746" t="s">
        <v>2588</v>
      </c>
      <c r="AZ437" s="1746">
        <v>2006</v>
      </c>
      <c r="BA437" s="1746" t="s">
        <v>3508</v>
      </c>
      <c r="BB437" s="1747" t="s">
        <v>3509</v>
      </c>
      <c r="BC437" s="1746">
        <v>100</v>
      </c>
      <c r="BD437" s="1746" t="s">
        <v>2927</v>
      </c>
      <c r="BE437" s="1746"/>
      <c r="BF437" s="1746">
        <v>997.6</v>
      </c>
      <c r="BG437" s="1746" t="s">
        <v>2592</v>
      </c>
      <c r="BH437" s="1744">
        <f t="shared" si="64"/>
        <v>9.9759999999999996E-4</v>
      </c>
      <c r="BI437" s="1745">
        <f t="shared" si="61"/>
        <v>9.975999999999999E-6</v>
      </c>
      <c r="BJ437" s="1740" t="str">
        <f t="shared" si="62"/>
        <v>pcs</v>
      </c>
      <c r="BK437" s="1740" t="str">
        <f t="shared" si="63"/>
        <v>Medical equipment</v>
      </c>
    </row>
    <row r="438" spans="51:63" ht="15.65" customHeight="1">
      <c r="AY438" s="1746" t="s">
        <v>2588</v>
      </c>
      <c r="AZ438" s="1746">
        <v>2006</v>
      </c>
      <c r="BA438" s="1746" t="s">
        <v>3510</v>
      </c>
      <c r="BB438" s="1747" t="s">
        <v>3511</v>
      </c>
      <c r="BC438" s="1746">
        <v>100</v>
      </c>
      <c r="BD438" s="1746" t="s">
        <v>2927</v>
      </c>
      <c r="BE438" s="1746"/>
      <c r="BF438" s="1746">
        <v>997.6</v>
      </c>
      <c r="BG438" s="1746" t="s">
        <v>2592</v>
      </c>
      <c r="BH438" s="1744">
        <f t="shared" si="64"/>
        <v>9.9759999999999996E-4</v>
      </c>
      <c r="BI438" s="1745">
        <f t="shared" si="61"/>
        <v>9.975999999999999E-6</v>
      </c>
      <c r="BJ438" s="1740" t="str">
        <f t="shared" si="62"/>
        <v>pcs</v>
      </c>
      <c r="BK438" s="1740" t="str">
        <f t="shared" si="63"/>
        <v>Medical equipment</v>
      </c>
    </row>
    <row r="439" spans="51:63" ht="15.65" customHeight="1">
      <c r="AY439" s="1746" t="s">
        <v>2588</v>
      </c>
      <c r="AZ439" s="1746">
        <v>2006</v>
      </c>
      <c r="BA439" s="1746" t="s">
        <v>3512</v>
      </c>
      <c r="BB439" s="1747" t="s">
        <v>3513</v>
      </c>
      <c r="BC439" s="1746">
        <v>100</v>
      </c>
      <c r="BD439" s="1746" t="s">
        <v>2927</v>
      </c>
      <c r="BE439" s="1746"/>
      <c r="BF439" s="1746">
        <v>997.6</v>
      </c>
      <c r="BG439" s="1746" t="s">
        <v>2592</v>
      </c>
      <c r="BH439" s="1744">
        <f t="shared" si="64"/>
        <v>9.9759999999999996E-4</v>
      </c>
      <c r="BI439" s="1745">
        <f t="shared" si="61"/>
        <v>9.975999999999999E-6</v>
      </c>
      <c r="BJ439" s="1740" t="str">
        <f t="shared" si="62"/>
        <v>pcs</v>
      </c>
      <c r="BK439" s="1740" t="str">
        <f t="shared" si="63"/>
        <v>Medical equipment</v>
      </c>
    </row>
    <row r="440" spans="51:63" ht="15.65" customHeight="1">
      <c r="AY440" s="1746" t="s">
        <v>2588</v>
      </c>
      <c r="AZ440" s="1746">
        <v>2006</v>
      </c>
      <c r="BA440" s="1746" t="s">
        <v>3514</v>
      </c>
      <c r="BB440" s="1747" t="s">
        <v>3515</v>
      </c>
      <c r="BC440" s="1746">
        <v>100</v>
      </c>
      <c r="BD440" s="1746" t="s">
        <v>2927</v>
      </c>
      <c r="BE440" s="1746"/>
      <c r="BF440" s="1746">
        <v>997.6</v>
      </c>
      <c r="BG440" s="1746" t="s">
        <v>2592</v>
      </c>
      <c r="BH440" s="1744">
        <f t="shared" si="64"/>
        <v>9.9759999999999996E-4</v>
      </c>
      <c r="BI440" s="1745">
        <f t="shared" si="61"/>
        <v>9.975999999999999E-6</v>
      </c>
      <c r="BJ440" s="1740" t="str">
        <f t="shared" si="62"/>
        <v>pcs</v>
      </c>
      <c r="BK440" s="1740" t="str">
        <f t="shared" si="63"/>
        <v>Medical equipment</v>
      </c>
    </row>
    <row r="441" spans="51:63" ht="15.65" customHeight="1">
      <c r="AY441" s="1746" t="s">
        <v>2588</v>
      </c>
      <c r="AZ441" s="1746">
        <v>2006</v>
      </c>
      <c r="BA441" s="1746" t="s">
        <v>3516</v>
      </c>
      <c r="BB441" s="1747" t="s">
        <v>3517</v>
      </c>
      <c r="BC441" s="1746">
        <v>100</v>
      </c>
      <c r="BD441" s="1746" t="s">
        <v>2927</v>
      </c>
      <c r="BE441" s="1746"/>
      <c r="BF441" s="1746">
        <v>716</v>
      </c>
      <c r="BG441" s="1746" t="s">
        <v>2592</v>
      </c>
      <c r="BH441" s="1744">
        <f t="shared" si="64"/>
        <v>7.1599999999999995E-4</v>
      </c>
      <c r="BI441" s="1745">
        <f t="shared" si="61"/>
        <v>7.1599999999999992E-6</v>
      </c>
      <c r="BJ441" s="1740" t="str">
        <f t="shared" si="62"/>
        <v>pcs</v>
      </c>
      <c r="BK441" s="1740" t="str">
        <f t="shared" si="63"/>
        <v>Medical equipment</v>
      </c>
    </row>
    <row r="442" spans="51:63" ht="15.65" customHeight="1">
      <c r="AY442" s="1746" t="s">
        <v>2593</v>
      </c>
      <c r="AZ442" s="1746">
        <v>2008</v>
      </c>
      <c r="BA442" s="1746" t="s">
        <v>3518</v>
      </c>
      <c r="BB442" s="1747" t="s">
        <v>3519</v>
      </c>
      <c r="BC442" s="1746">
        <v>1</v>
      </c>
      <c r="BD442" s="1746" t="s">
        <v>2933</v>
      </c>
      <c r="BE442" s="1746"/>
      <c r="BF442" s="1746">
        <v>6.9999999999999994E-5</v>
      </c>
      <c r="BG442" s="1746" t="s">
        <v>2597</v>
      </c>
      <c r="BH442" s="1744">
        <f t="shared" si="64"/>
        <v>6.9999999999999994E-5</v>
      </c>
      <c r="BI442" s="1745">
        <f t="shared" si="61"/>
        <v>6.9999999999999994E-5</v>
      </c>
      <c r="BJ442" s="1740" t="str">
        <f t="shared" si="62"/>
        <v>piece</v>
      </c>
      <c r="BK442" s="1740" t="str">
        <f t="shared" si="63"/>
        <v>Medical equipment</v>
      </c>
    </row>
    <row r="443" spans="51:63" ht="15.65" customHeight="1">
      <c r="AY443" s="1746" t="s">
        <v>2593</v>
      </c>
      <c r="AZ443" s="1746">
        <v>2008</v>
      </c>
      <c r="BA443" s="1746" t="s">
        <v>3520</v>
      </c>
      <c r="BB443" s="1747" t="s">
        <v>3521</v>
      </c>
      <c r="BC443" s="1746">
        <v>1</v>
      </c>
      <c r="BD443" s="1746" t="s">
        <v>2933</v>
      </c>
      <c r="BE443" s="1746"/>
      <c r="BF443" s="1746">
        <v>3.0000000000000001E-5</v>
      </c>
      <c r="BG443" s="1746" t="s">
        <v>2597</v>
      </c>
      <c r="BH443" s="1744">
        <f t="shared" si="64"/>
        <v>3.0000000000000001E-5</v>
      </c>
      <c r="BI443" s="1745">
        <f t="shared" si="61"/>
        <v>3.0000000000000001E-5</v>
      </c>
      <c r="BJ443" s="1740" t="str">
        <f t="shared" si="62"/>
        <v>piece</v>
      </c>
      <c r="BK443" s="1740" t="str">
        <f t="shared" si="63"/>
        <v>Medical equipment</v>
      </c>
    </row>
    <row r="444" spans="51:63" ht="15.65" customHeight="1">
      <c r="AY444" s="1746" t="s">
        <v>2593</v>
      </c>
      <c r="AZ444" s="1746">
        <v>2008</v>
      </c>
      <c r="BA444" s="1746" t="s">
        <v>3522</v>
      </c>
      <c r="BB444" s="1747" t="s">
        <v>3523</v>
      </c>
      <c r="BC444" s="1746">
        <v>1</v>
      </c>
      <c r="BD444" s="1746" t="s">
        <v>2933</v>
      </c>
      <c r="BE444" s="1746"/>
      <c r="BF444" s="1746">
        <v>3.0000000000000001E-5</v>
      </c>
      <c r="BG444" s="1746" t="s">
        <v>2597</v>
      </c>
      <c r="BH444" s="1744">
        <f t="shared" si="64"/>
        <v>3.0000000000000001E-5</v>
      </c>
      <c r="BI444" s="1745">
        <f t="shared" si="61"/>
        <v>3.0000000000000001E-5</v>
      </c>
      <c r="BJ444" s="1740" t="str">
        <f t="shared" si="62"/>
        <v>piece</v>
      </c>
      <c r="BK444" s="1740" t="str">
        <f t="shared" si="63"/>
        <v>Medical equipment</v>
      </c>
    </row>
    <row r="445" spans="51:63" ht="15.65" customHeight="1">
      <c r="AY445" s="1746" t="s">
        <v>2593</v>
      </c>
      <c r="AZ445" s="1746">
        <v>2008</v>
      </c>
      <c r="BA445" s="1746" t="s">
        <v>3524</v>
      </c>
      <c r="BB445" s="1747" t="s">
        <v>3525</v>
      </c>
      <c r="BC445" s="1746">
        <v>1</v>
      </c>
      <c r="BD445" s="1746" t="s">
        <v>2933</v>
      </c>
      <c r="BE445" s="1746"/>
      <c r="BF445" s="1746">
        <v>3.0000000000000001E-5</v>
      </c>
      <c r="BG445" s="1746" t="s">
        <v>2597</v>
      </c>
      <c r="BH445" s="1744">
        <f t="shared" si="64"/>
        <v>3.0000000000000001E-5</v>
      </c>
      <c r="BI445" s="1745">
        <f t="shared" si="61"/>
        <v>3.0000000000000001E-5</v>
      </c>
      <c r="BJ445" s="1740" t="str">
        <f t="shared" si="62"/>
        <v>piece</v>
      </c>
      <c r="BK445" s="1740" t="str">
        <f t="shared" si="63"/>
        <v>Medical equipment</v>
      </c>
    </row>
    <row r="446" spans="51:63" ht="15.65" customHeight="1">
      <c r="AY446" s="1746" t="s">
        <v>2593</v>
      </c>
      <c r="AZ446" s="1746">
        <v>2008</v>
      </c>
      <c r="BA446" s="1746" t="s">
        <v>3526</v>
      </c>
      <c r="BB446" s="1747" t="s">
        <v>3527</v>
      </c>
      <c r="BC446" s="1746">
        <v>1</v>
      </c>
      <c r="BD446" s="1746" t="s">
        <v>2933</v>
      </c>
      <c r="BE446" s="1746"/>
      <c r="BF446" s="1746">
        <v>3.0000000000000001E-5</v>
      </c>
      <c r="BG446" s="1746" t="s">
        <v>2597</v>
      </c>
      <c r="BH446" s="1744">
        <f t="shared" si="64"/>
        <v>3.0000000000000001E-5</v>
      </c>
      <c r="BI446" s="1745">
        <f t="shared" si="61"/>
        <v>3.0000000000000001E-5</v>
      </c>
      <c r="BJ446" s="1740" t="str">
        <f t="shared" si="62"/>
        <v>piece</v>
      </c>
      <c r="BK446" s="1740" t="str">
        <f t="shared" si="63"/>
        <v>Medical equipment</v>
      </c>
    </row>
    <row r="447" spans="51:63" ht="15.65" customHeight="1">
      <c r="AY447" s="1746" t="s">
        <v>2575</v>
      </c>
      <c r="AZ447" s="1746">
        <v>2008</v>
      </c>
      <c r="BA447" s="1746" t="s">
        <v>3528</v>
      </c>
      <c r="BB447" s="1747" t="s">
        <v>3529</v>
      </c>
      <c r="BC447" s="1746" t="s">
        <v>2578</v>
      </c>
      <c r="BD447" s="1746" t="s">
        <v>2903</v>
      </c>
      <c r="BE447" s="1746" t="s">
        <v>3530</v>
      </c>
      <c r="BF447" s="1746">
        <v>0.79700000000000004</v>
      </c>
      <c r="BG447" s="1746" t="s">
        <v>2581</v>
      </c>
      <c r="BH447" s="1744">
        <f t="shared" si="64"/>
        <v>7.9700000000000007E-4</v>
      </c>
      <c r="BI447" s="1745" t="str">
        <f t="shared" si="61"/>
        <v/>
      </c>
      <c r="BJ447" s="1740" t="str">
        <f t="shared" si="62"/>
        <v>BOX-Needles/cannulae</v>
      </c>
      <c r="BK447" s="1740" t="str">
        <f t="shared" si="63"/>
        <v>Injection needle</v>
      </c>
    </row>
    <row r="448" spans="51:63" ht="15.65" customHeight="1">
      <c r="AY448" s="1746" t="s">
        <v>2575</v>
      </c>
      <c r="AZ448" s="1746">
        <v>2008</v>
      </c>
      <c r="BA448" s="1746" t="s">
        <v>3531</v>
      </c>
      <c r="BB448" s="1747" t="s">
        <v>3532</v>
      </c>
      <c r="BC448" s="1746" t="s">
        <v>2578</v>
      </c>
      <c r="BD448" s="1746" t="s">
        <v>2903</v>
      </c>
      <c r="BE448" s="1746" t="s">
        <v>3530</v>
      </c>
      <c r="BF448" s="1746">
        <v>0.79700000000000004</v>
      </c>
      <c r="BG448" s="1746" t="s">
        <v>2581</v>
      </c>
      <c r="BH448" s="1744">
        <f t="shared" si="64"/>
        <v>7.9700000000000007E-4</v>
      </c>
      <c r="BI448" s="1745" t="str">
        <f t="shared" si="61"/>
        <v/>
      </c>
      <c r="BJ448" s="1740" t="str">
        <f t="shared" si="62"/>
        <v>BOX-Needles/cannulae</v>
      </c>
      <c r="BK448" s="1740" t="str">
        <f t="shared" si="63"/>
        <v>Injection needle</v>
      </c>
    </row>
    <row r="449" spans="51:63" ht="15.65" customHeight="1">
      <c r="AY449" s="1746" t="s">
        <v>2575</v>
      </c>
      <c r="AZ449" s="1746">
        <v>2008</v>
      </c>
      <c r="BA449" s="1746" t="s">
        <v>3533</v>
      </c>
      <c r="BB449" s="1747" t="s">
        <v>3534</v>
      </c>
      <c r="BC449" s="1746" t="s">
        <v>2578</v>
      </c>
      <c r="BD449" s="1746" t="s">
        <v>2903</v>
      </c>
      <c r="BE449" s="1746" t="s">
        <v>3530</v>
      </c>
      <c r="BF449" s="1746">
        <v>0.79700000000000004</v>
      </c>
      <c r="BG449" s="1746" t="s">
        <v>2581</v>
      </c>
      <c r="BH449" s="1744">
        <f t="shared" si="64"/>
        <v>7.9700000000000007E-4</v>
      </c>
      <c r="BI449" s="1745" t="str">
        <f t="shared" si="61"/>
        <v/>
      </c>
      <c r="BJ449" s="1740" t="str">
        <f t="shared" si="62"/>
        <v>BOX-Needles/cannulae</v>
      </c>
      <c r="BK449" s="1740" t="str">
        <f t="shared" si="63"/>
        <v>Injection needle</v>
      </c>
    </row>
    <row r="450" spans="51:63" ht="15.65" customHeight="1">
      <c r="AY450" s="1746" t="s">
        <v>2575</v>
      </c>
      <c r="AZ450" s="1746">
        <v>2008</v>
      </c>
      <c r="BA450" s="1746" t="s">
        <v>3535</v>
      </c>
      <c r="BB450" s="1747" t="s">
        <v>3536</v>
      </c>
      <c r="BC450" s="1746" t="s">
        <v>2578</v>
      </c>
      <c r="BD450" s="1746" t="s">
        <v>2903</v>
      </c>
      <c r="BE450" s="1746" t="s">
        <v>3530</v>
      </c>
      <c r="BF450" s="1746">
        <v>8.0000000000000002E-3</v>
      </c>
      <c r="BG450" s="1746" t="s">
        <v>2581</v>
      </c>
      <c r="BH450" s="1744">
        <f t="shared" si="64"/>
        <v>7.9999999999999996E-6</v>
      </c>
      <c r="BI450" s="1745" t="str">
        <f t="shared" si="61"/>
        <v/>
      </c>
      <c r="BJ450" s="1740" t="str">
        <f t="shared" si="62"/>
        <v>BOX-Needles/cannulae</v>
      </c>
      <c r="BK450" s="1740" t="str">
        <f t="shared" si="63"/>
        <v>Injection needle</v>
      </c>
    </row>
    <row r="451" spans="51:63" ht="15.65" customHeight="1">
      <c r="AY451" s="1746" t="s">
        <v>2575</v>
      </c>
      <c r="AZ451" s="1746">
        <v>2008</v>
      </c>
      <c r="BA451" s="1746" t="s">
        <v>3537</v>
      </c>
      <c r="BB451" s="1747" t="s">
        <v>3538</v>
      </c>
      <c r="BC451" s="1746" t="s">
        <v>2578</v>
      </c>
      <c r="BD451" s="1746" t="s">
        <v>2903</v>
      </c>
      <c r="BE451" s="1746" t="s">
        <v>3530</v>
      </c>
      <c r="BF451" s="1746">
        <v>1.038</v>
      </c>
      <c r="BG451" s="1746" t="s">
        <v>2581</v>
      </c>
      <c r="BH451" s="1744">
        <f t="shared" si="64"/>
        <v>1.0380000000000001E-3</v>
      </c>
      <c r="BI451" s="1745" t="str">
        <f t="shared" si="61"/>
        <v/>
      </c>
      <c r="BJ451" s="1740" t="str">
        <f t="shared" si="62"/>
        <v>BOX-Needles/cannulae</v>
      </c>
      <c r="BK451" s="1740" t="str">
        <f t="shared" si="63"/>
        <v>Injection needle</v>
      </c>
    </row>
    <row r="452" spans="51:63" ht="15.65" customHeight="1">
      <c r="AY452" s="1746" t="s">
        <v>2575</v>
      </c>
      <c r="AZ452" s="1746">
        <v>2008</v>
      </c>
      <c r="BA452" s="1746" t="s">
        <v>3539</v>
      </c>
      <c r="BB452" s="1747" t="s">
        <v>3540</v>
      </c>
      <c r="BC452" s="1746" t="s">
        <v>2578</v>
      </c>
      <c r="BD452" s="1746" t="s">
        <v>2579</v>
      </c>
      <c r="BE452" s="1746" t="s">
        <v>3530</v>
      </c>
      <c r="BF452" s="1746">
        <v>3.7999999999999999E-2</v>
      </c>
      <c r="BG452" s="1746" t="s">
        <v>2581</v>
      </c>
      <c r="BH452" s="1744">
        <f t="shared" si="64"/>
        <v>3.8000000000000002E-5</v>
      </c>
      <c r="BI452" s="1745" t="str">
        <f t="shared" si="61"/>
        <v/>
      </c>
      <c r="BJ452" s="1740" t="str">
        <f t="shared" si="62"/>
        <v>EA-Needles/cannulae</v>
      </c>
      <c r="BK452" s="1740" t="str">
        <f t="shared" si="63"/>
        <v>Injection needle</v>
      </c>
    </row>
    <row r="453" spans="51:63" ht="15.65" customHeight="1">
      <c r="AY453" s="1746" t="s">
        <v>2575</v>
      </c>
      <c r="AZ453" s="1746">
        <v>2008</v>
      </c>
      <c r="BA453" s="1746" t="s">
        <v>3541</v>
      </c>
      <c r="BB453" s="1747" t="s">
        <v>3542</v>
      </c>
      <c r="BC453" s="1746" t="s">
        <v>2578</v>
      </c>
      <c r="BD453" s="1746" t="s">
        <v>2579</v>
      </c>
      <c r="BE453" s="1746" t="s">
        <v>3530</v>
      </c>
      <c r="BF453" s="1746">
        <v>4.2999999999999997E-2</v>
      </c>
      <c r="BG453" s="1746" t="s">
        <v>2581</v>
      </c>
      <c r="BH453" s="1744">
        <f t="shared" si="64"/>
        <v>4.2999999999999995E-5</v>
      </c>
      <c r="BI453" s="1745" t="str">
        <f t="shared" si="61"/>
        <v/>
      </c>
      <c r="BJ453" s="1740" t="str">
        <f t="shared" si="62"/>
        <v>EA-Needles/cannulae</v>
      </c>
      <c r="BK453" s="1740" t="str">
        <f t="shared" si="63"/>
        <v>Injection needle</v>
      </c>
    </row>
    <row r="454" spans="51:63" ht="15.65" customHeight="1">
      <c r="AY454" s="1746" t="s">
        <v>2575</v>
      </c>
      <c r="AZ454" s="1746">
        <v>2008</v>
      </c>
      <c r="BA454" s="1746" t="s">
        <v>3543</v>
      </c>
      <c r="BB454" s="1747" t="s">
        <v>3544</v>
      </c>
      <c r="BC454" s="1746" t="s">
        <v>2578</v>
      </c>
      <c r="BD454" s="1746" t="s">
        <v>2579</v>
      </c>
      <c r="BE454" s="1746" t="s">
        <v>3530</v>
      </c>
      <c r="BF454" s="1746">
        <v>0.06</v>
      </c>
      <c r="BG454" s="1746" t="s">
        <v>2581</v>
      </c>
      <c r="BH454" s="1744">
        <f t="shared" si="64"/>
        <v>5.9999999999999995E-5</v>
      </c>
      <c r="BI454" s="1745" t="str">
        <f t="shared" si="61"/>
        <v/>
      </c>
      <c r="BJ454" s="1740" t="str">
        <f t="shared" si="62"/>
        <v>EA-Needles/cannulae</v>
      </c>
      <c r="BK454" s="1740" t="str">
        <f t="shared" si="63"/>
        <v>Injection needle</v>
      </c>
    </row>
    <row r="455" spans="51:63" ht="15.65" customHeight="1">
      <c r="AY455" s="1746" t="s">
        <v>2575</v>
      </c>
      <c r="AZ455" s="1746">
        <v>2008</v>
      </c>
      <c r="BA455" s="1746" t="s">
        <v>3545</v>
      </c>
      <c r="BB455" s="1747" t="s">
        <v>3546</v>
      </c>
      <c r="BC455" s="1746" t="s">
        <v>2578</v>
      </c>
      <c r="BD455" s="1746" t="s">
        <v>2579</v>
      </c>
      <c r="BE455" s="1746" t="s">
        <v>3530</v>
      </c>
      <c r="BF455" s="1746">
        <v>80.256</v>
      </c>
      <c r="BG455" s="1746" t="s">
        <v>2592</v>
      </c>
      <c r="BH455" s="1744">
        <f t="shared" si="64"/>
        <v>8.0255999999999999E-5</v>
      </c>
      <c r="BI455" s="1745" t="str">
        <f t="shared" si="61"/>
        <v/>
      </c>
      <c r="BJ455" s="1740" t="str">
        <f t="shared" si="62"/>
        <v>EA-Needles/cannulae</v>
      </c>
      <c r="BK455" s="1740" t="str">
        <f t="shared" si="63"/>
        <v>Injection needle</v>
      </c>
    </row>
    <row r="456" spans="51:63" ht="15.65" customHeight="1">
      <c r="AY456" s="1746" t="s">
        <v>2575</v>
      </c>
      <c r="AZ456" s="1746">
        <v>2008</v>
      </c>
      <c r="BA456" s="1746" t="s">
        <v>3547</v>
      </c>
      <c r="BB456" s="1747" t="s">
        <v>3548</v>
      </c>
      <c r="BC456" s="1746" t="s">
        <v>2578</v>
      </c>
      <c r="BD456" s="1746" t="s">
        <v>2579</v>
      </c>
      <c r="BE456" s="1746" t="s">
        <v>3530</v>
      </c>
      <c r="BF456" s="1746">
        <v>80.256</v>
      </c>
      <c r="BG456" s="1746" t="s">
        <v>2592</v>
      </c>
      <c r="BH456" s="1744">
        <f t="shared" si="64"/>
        <v>8.0255999999999999E-5</v>
      </c>
      <c r="BI456" s="1745" t="str">
        <f t="shared" si="61"/>
        <v/>
      </c>
      <c r="BJ456" s="1740" t="str">
        <f t="shared" si="62"/>
        <v>EA-Needles/cannulae</v>
      </c>
      <c r="BK456" s="1740" t="str">
        <f t="shared" si="63"/>
        <v>Injection needle</v>
      </c>
    </row>
    <row r="457" spans="51:63" ht="15.65" customHeight="1">
      <c r="AY457" s="1746" t="s">
        <v>2575</v>
      </c>
      <c r="AZ457" s="1746">
        <v>2008</v>
      </c>
      <c r="BA457" s="1746" t="s">
        <v>3549</v>
      </c>
      <c r="BB457" s="1747" t="s">
        <v>3550</v>
      </c>
      <c r="BC457" s="1746" t="s">
        <v>2578</v>
      </c>
      <c r="BD457" s="1746" t="s">
        <v>2579</v>
      </c>
      <c r="BE457" s="1746" t="s">
        <v>2580</v>
      </c>
      <c r="BF457" s="1746">
        <v>0.60899999999999999</v>
      </c>
      <c r="BG457" s="1746" t="s">
        <v>2581</v>
      </c>
      <c r="BH457" s="1744">
        <f t="shared" si="64"/>
        <v>6.0899999999999995E-4</v>
      </c>
      <c r="BI457" s="1745" t="str">
        <f t="shared" si="61"/>
        <v/>
      </c>
      <c r="BJ457" s="1740" t="str">
        <f t="shared" si="62"/>
        <v>EA-Antiretrovirals</v>
      </c>
      <c r="BK457" s="1740" t="str">
        <f t="shared" si="63"/>
        <v>Bottle of Tablets</v>
      </c>
    </row>
    <row r="458" spans="51:63" ht="15.65" customHeight="1">
      <c r="AY458" s="1746" t="s">
        <v>2593</v>
      </c>
      <c r="AZ458" s="1746">
        <v>2008</v>
      </c>
      <c r="BA458" s="1746" t="s">
        <v>3551</v>
      </c>
      <c r="BB458" s="1747" t="s">
        <v>3552</v>
      </c>
      <c r="BC458" s="1746">
        <v>270</v>
      </c>
      <c r="BD458" s="1746" t="s">
        <v>2601</v>
      </c>
      <c r="BE458" s="1746"/>
      <c r="BF458" s="1746">
        <v>1.99E-3</v>
      </c>
      <c r="BG458" s="1746" t="s">
        <v>2597</v>
      </c>
      <c r="BH458" s="1744">
        <f t="shared" si="64"/>
        <v>1.99E-3</v>
      </c>
      <c r="BI458" s="1745">
        <f t="shared" si="61"/>
        <v>7.3703703703703707E-6</v>
      </c>
      <c r="BJ458" s="1740" t="str">
        <f t="shared" si="62"/>
        <v>tablets</v>
      </c>
      <c r="BK458" s="1740" t="str">
        <f t="shared" si="63"/>
        <v>Bottle of Tablets</v>
      </c>
    </row>
    <row r="459" spans="51:63" ht="15.65" customHeight="1">
      <c r="AY459" s="1746" t="s">
        <v>2575</v>
      </c>
      <c r="AZ459" s="1746">
        <v>2008</v>
      </c>
      <c r="BA459" s="1746" t="s">
        <v>3553</v>
      </c>
      <c r="BB459" s="1747" t="s">
        <v>3554</v>
      </c>
      <c r="BC459" s="1746" t="s">
        <v>2578</v>
      </c>
      <c r="BD459" s="1746" t="s">
        <v>2579</v>
      </c>
      <c r="BE459" s="1746" t="s">
        <v>2580</v>
      </c>
      <c r="BF459" s="1746">
        <v>0.64200000000000002</v>
      </c>
      <c r="BG459" s="1746" t="s">
        <v>2581</v>
      </c>
      <c r="BH459" s="1744">
        <f t="shared" si="64"/>
        <v>6.4199999999999999E-4</v>
      </c>
      <c r="BI459" s="1745" t="str">
        <f t="shared" si="61"/>
        <v/>
      </c>
      <c r="BJ459" s="1740" t="str">
        <f t="shared" si="62"/>
        <v>EA-Antiretrovirals</v>
      </c>
      <c r="BK459" s="1740" t="str">
        <f t="shared" si="63"/>
        <v>Bottle of Tablets</v>
      </c>
    </row>
    <row r="460" spans="51:63" ht="15.65" customHeight="1">
      <c r="AY460" s="1746" t="s">
        <v>2593</v>
      </c>
      <c r="AZ460" s="1746">
        <v>2008</v>
      </c>
      <c r="BA460" s="1746" t="s">
        <v>3555</v>
      </c>
      <c r="BB460" s="1747" t="s">
        <v>3556</v>
      </c>
      <c r="BC460" s="1746">
        <v>1</v>
      </c>
      <c r="BD460" s="1746" t="s">
        <v>2596</v>
      </c>
      <c r="BE460" s="1746"/>
      <c r="BF460" s="1746">
        <v>7.1000000000000002E-4</v>
      </c>
      <c r="BG460" s="1746" t="s">
        <v>2597</v>
      </c>
      <c r="BH460" s="1744">
        <f t="shared" si="64"/>
        <v>7.1000000000000002E-4</v>
      </c>
      <c r="BI460" s="1745">
        <f t="shared" si="61"/>
        <v>7.1000000000000002E-4</v>
      </c>
      <c r="BJ460" s="1740" t="str">
        <f t="shared" si="62"/>
        <v>bottle</v>
      </c>
      <c r="BK460" s="1740" t="str">
        <f t="shared" si="63"/>
        <v>Bottle of Liquid</v>
      </c>
    </row>
    <row r="461" spans="51:63" ht="15.65" customHeight="1">
      <c r="AY461" s="1746" t="s">
        <v>2575</v>
      </c>
      <c r="AZ461" s="1746">
        <v>2008</v>
      </c>
      <c r="BA461" s="1746" t="s">
        <v>3557</v>
      </c>
      <c r="BB461" s="1747" t="s">
        <v>3558</v>
      </c>
      <c r="BC461" s="1746" t="s">
        <v>2578</v>
      </c>
      <c r="BD461" s="1746" t="s">
        <v>2680</v>
      </c>
      <c r="BE461" s="1746" t="s">
        <v>3209</v>
      </c>
      <c r="BF461" s="1746">
        <v>6.3E-2</v>
      </c>
      <c r="BG461" s="1746" t="s">
        <v>2581</v>
      </c>
      <c r="BH461" s="1744">
        <f t="shared" si="64"/>
        <v>6.3E-5</v>
      </c>
      <c r="BI461" s="1745" t="str">
        <f t="shared" si="61"/>
        <v/>
      </c>
      <c r="BJ461" s="1740" t="str">
        <f t="shared" si="62"/>
        <v>TBE-Dermatological drugs</v>
      </c>
      <c r="BK461" s="1740" t="str">
        <f t="shared" si="63"/>
        <v>Tube of ointment</v>
      </c>
    </row>
    <row r="462" spans="51:63" ht="15.65" customHeight="1">
      <c r="AY462" s="1746" t="s">
        <v>2588</v>
      </c>
      <c r="AZ462" s="1746">
        <v>2006</v>
      </c>
      <c r="BA462" s="1746" t="s">
        <v>3559</v>
      </c>
      <c r="BB462" s="1747" t="s">
        <v>3560</v>
      </c>
      <c r="BC462" s="1746">
        <v>10</v>
      </c>
      <c r="BD462" s="1746" t="s">
        <v>2671</v>
      </c>
      <c r="BE462" s="1746"/>
      <c r="BF462" s="1746">
        <v>1000</v>
      </c>
      <c r="BG462" s="1746" t="s">
        <v>2592</v>
      </c>
      <c r="BH462" s="1744">
        <f t="shared" si="64"/>
        <v>1E-3</v>
      </c>
      <c r="BI462" s="1745">
        <f t="shared" si="61"/>
        <v>1E-4</v>
      </c>
      <c r="BJ462" s="1740" t="str">
        <f t="shared" si="62"/>
        <v>tubes</v>
      </c>
      <c r="BK462" s="1740" t="str">
        <f t="shared" si="63"/>
        <v>Tube of ointment</v>
      </c>
    </row>
    <row r="463" spans="51:63" ht="15.65" customHeight="1">
      <c r="AY463" s="1746" t="s">
        <v>2593</v>
      </c>
      <c r="AZ463" s="1746">
        <v>2008</v>
      </c>
      <c r="BA463" s="1746" t="s">
        <v>3561</v>
      </c>
      <c r="BB463" s="1747" t="s">
        <v>3562</v>
      </c>
      <c r="BC463" s="1746">
        <v>1</v>
      </c>
      <c r="BD463" s="1746" t="s">
        <v>2676</v>
      </c>
      <c r="BE463" s="1746"/>
      <c r="BF463" s="1746">
        <v>1.1E-4</v>
      </c>
      <c r="BG463" s="1746" t="s">
        <v>2597</v>
      </c>
      <c r="BH463" s="1744">
        <f t="shared" si="64"/>
        <v>1.1E-4</v>
      </c>
      <c r="BI463" s="1745">
        <f t="shared" si="61"/>
        <v>1.1E-4</v>
      </c>
      <c r="BJ463" s="1740" t="str">
        <f t="shared" si="62"/>
        <v>tube</v>
      </c>
      <c r="BK463" s="1740" t="str">
        <f t="shared" si="63"/>
        <v>Tube of ointment</v>
      </c>
    </row>
    <row r="464" spans="51:63" ht="15.65" customHeight="1">
      <c r="AY464" s="1746" t="s">
        <v>2593</v>
      </c>
      <c r="AZ464" s="1746">
        <v>2008</v>
      </c>
      <c r="BA464" s="1746" t="s">
        <v>3563</v>
      </c>
      <c r="BB464" s="1747" t="s">
        <v>3564</v>
      </c>
      <c r="BC464" s="1746">
        <v>100</v>
      </c>
      <c r="BD464" s="1746" t="s">
        <v>2727</v>
      </c>
      <c r="BE464" s="1746"/>
      <c r="BF464" s="1746">
        <v>1.83E-3</v>
      </c>
      <c r="BG464" s="1746" t="s">
        <v>2597</v>
      </c>
      <c r="BH464" s="1744">
        <f t="shared" si="64"/>
        <v>1.83E-3</v>
      </c>
      <c r="BI464" s="1745">
        <f t="shared" si="61"/>
        <v>1.8300000000000001E-5</v>
      </c>
      <c r="BJ464" s="1740" t="str">
        <f t="shared" si="62"/>
        <v>ampoules</v>
      </c>
      <c r="BK464" s="1740" t="str">
        <f t="shared" si="63"/>
        <v>Injection Vial</v>
      </c>
    </row>
    <row r="465" spans="51:63" ht="15.65" customHeight="1">
      <c r="AY465" s="1746" t="s">
        <v>2593</v>
      </c>
      <c r="AZ465" s="1746">
        <v>2008</v>
      </c>
      <c r="BA465" s="1746" t="s">
        <v>3565</v>
      </c>
      <c r="BB465" s="1747" t="s">
        <v>3566</v>
      </c>
      <c r="BC465" s="1746">
        <v>100</v>
      </c>
      <c r="BD465" s="1746" t="s">
        <v>2727</v>
      </c>
      <c r="BE465" s="1746"/>
      <c r="BF465" s="1746">
        <v>1.83E-3</v>
      </c>
      <c r="BG465" s="1746" t="s">
        <v>2597</v>
      </c>
      <c r="BH465" s="1744">
        <f t="shared" si="64"/>
        <v>1.83E-3</v>
      </c>
      <c r="BI465" s="1745">
        <f t="shared" si="61"/>
        <v>1.8300000000000001E-5</v>
      </c>
      <c r="BJ465" s="1740" t="str">
        <f t="shared" si="62"/>
        <v>ampoules</v>
      </c>
      <c r="BK465" s="1740" t="str">
        <f t="shared" si="63"/>
        <v>Injection Vial</v>
      </c>
    </row>
    <row r="466" spans="51:63" ht="15.65" customHeight="1">
      <c r="AY466" s="1746" t="s">
        <v>2593</v>
      </c>
      <c r="AZ466" s="1746">
        <v>2008</v>
      </c>
      <c r="BA466" s="1746" t="s">
        <v>3567</v>
      </c>
      <c r="BB466" s="1747" t="s">
        <v>3568</v>
      </c>
      <c r="BC466" s="1746">
        <v>60</v>
      </c>
      <c r="BD466" s="1746" t="s">
        <v>2601</v>
      </c>
      <c r="BE466" s="1746"/>
      <c r="BF466" s="1746">
        <v>3.3E-4</v>
      </c>
      <c r="BG466" s="1746" t="s">
        <v>2597</v>
      </c>
      <c r="BH466" s="1744">
        <f t="shared" si="64"/>
        <v>3.3E-4</v>
      </c>
      <c r="BI466" s="1745">
        <f t="shared" si="61"/>
        <v>5.4999999999999999E-6</v>
      </c>
      <c r="BJ466" s="1740" t="str">
        <f t="shared" si="62"/>
        <v>tablets</v>
      </c>
      <c r="BK466" s="1740" t="str">
        <f t="shared" si="63"/>
        <v>Bottle of Tablets</v>
      </c>
    </row>
    <row r="467" spans="51:63" ht="15.65" customHeight="1">
      <c r="AY467" s="1746" t="s">
        <v>2575</v>
      </c>
      <c r="AZ467" s="1746">
        <v>2008</v>
      </c>
      <c r="BA467" s="1746" t="s">
        <v>3569</v>
      </c>
      <c r="BB467" s="1747" t="s">
        <v>3570</v>
      </c>
      <c r="BC467" s="1746" t="s">
        <v>2578</v>
      </c>
      <c r="BD467" s="1746" t="s">
        <v>2579</v>
      </c>
      <c r="BE467" s="1746" t="s">
        <v>2580</v>
      </c>
      <c r="BF467" s="1746">
        <v>0.38</v>
      </c>
      <c r="BG467" s="1746" t="s">
        <v>2581</v>
      </c>
      <c r="BH467" s="1744">
        <f t="shared" si="64"/>
        <v>3.8000000000000002E-4</v>
      </c>
      <c r="BI467" s="1745" t="str">
        <f t="shared" ref="BI467:BI530" si="65">IFERROR(BH467/BC467,"")</f>
        <v/>
      </c>
      <c r="BJ467" s="1740" t="str">
        <f t="shared" ref="BJ467:BJ530" si="66">IF(BE467="",BD467,BD467&amp;"-"&amp;BE467)</f>
        <v>EA-Antiretrovirals</v>
      </c>
      <c r="BK467" s="1740" t="str">
        <f t="shared" si="63"/>
        <v>Bottle of Tablets</v>
      </c>
    </row>
    <row r="468" spans="51:63" ht="15.65" customHeight="1">
      <c r="AY468" s="1746" t="s">
        <v>2593</v>
      </c>
      <c r="AZ468" s="1746">
        <v>2008</v>
      </c>
      <c r="BA468" s="1746" t="s">
        <v>3571</v>
      </c>
      <c r="BB468" s="1747" t="s">
        <v>3572</v>
      </c>
      <c r="BC468" s="1746">
        <v>1</v>
      </c>
      <c r="BD468" s="1746" t="s">
        <v>2596</v>
      </c>
      <c r="BE468" s="1746"/>
      <c r="BF468" s="1746">
        <v>5.2999999999999998E-4</v>
      </c>
      <c r="BG468" s="1746" t="s">
        <v>2597</v>
      </c>
      <c r="BH468" s="1744">
        <f t="shared" si="64"/>
        <v>5.2999999999999998E-4</v>
      </c>
      <c r="BI468" s="1745">
        <f t="shared" si="65"/>
        <v>5.2999999999999998E-4</v>
      </c>
      <c r="BJ468" s="1740" t="str">
        <f t="shared" si="66"/>
        <v>bottle</v>
      </c>
      <c r="BK468" s="1740" t="str">
        <f t="shared" ref="BK468:BK531" si="67">IFERROR(INDEX($BO$18:$BO$136,MATCH(BJ468,$BN$18:$BN$136,0)),"")</f>
        <v>Bottle of Liquid</v>
      </c>
    </row>
    <row r="469" spans="51:63" ht="15.65" customHeight="1">
      <c r="AY469" s="1746" t="s">
        <v>2593</v>
      </c>
      <c r="AZ469" s="1746">
        <v>2008</v>
      </c>
      <c r="BA469" s="1746" t="s">
        <v>3573</v>
      </c>
      <c r="BB469" s="1747" t="s">
        <v>3574</v>
      </c>
      <c r="BC469" s="1746">
        <v>1</v>
      </c>
      <c r="BD469" s="1746" t="s">
        <v>2596</v>
      </c>
      <c r="BE469" s="1746"/>
      <c r="BF469" s="1746">
        <v>7.6000000000000004E-4</v>
      </c>
      <c r="BG469" s="1746" t="s">
        <v>2597</v>
      </c>
      <c r="BH469" s="1744">
        <f t="shared" si="64"/>
        <v>7.6000000000000004E-4</v>
      </c>
      <c r="BI469" s="1745">
        <f t="shared" si="65"/>
        <v>7.6000000000000004E-4</v>
      </c>
      <c r="BJ469" s="1740" t="str">
        <f t="shared" si="66"/>
        <v>bottle</v>
      </c>
      <c r="BK469" s="1740" t="str">
        <f t="shared" si="67"/>
        <v>Bottle of Liquid</v>
      </c>
    </row>
    <row r="470" spans="51:63" ht="15.65" customHeight="1">
      <c r="AY470" s="1746" t="s">
        <v>2575</v>
      </c>
      <c r="AZ470" s="1746">
        <v>2008</v>
      </c>
      <c r="BA470" s="1746" t="s">
        <v>3575</v>
      </c>
      <c r="BB470" s="1747" t="s">
        <v>3576</v>
      </c>
      <c r="BC470" s="1746" t="s">
        <v>2578</v>
      </c>
      <c r="BD470" s="1746" t="s">
        <v>2579</v>
      </c>
      <c r="BE470" s="1746" t="s">
        <v>2580</v>
      </c>
      <c r="BF470" s="1746">
        <v>0.47599999999999998</v>
      </c>
      <c r="BG470" s="1746" t="s">
        <v>2581</v>
      </c>
      <c r="BH470" s="1744">
        <f t="shared" si="64"/>
        <v>4.7599999999999997E-4</v>
      </c>
      <c r="BI470" s="1745" t="str">
        <f t="shared" si="65"/>
        <v/>
      </c>
      <c r="BJ470" s="1740" t="str">
        <f t="shared" si="66"/>
        <v>EA-Antiretrovirals</v>
      </c>
      <c r="BK470" s="1740" t="str">
        <f t="shared" si="67"/>
        <v>Bottle of Tablets</v>
      </c>
    </row>
    <row r="471" spans="51:63" ht="15.65" customHeight="1">
      <c r="AY471" s="1746" t="s">
        <v>2593</v>
      </c>
      <c r="AZ471" s="1746">
        <v>2008</v>
      </c>
      <c r="BA471" s="1746" t="s">
        <v>3577</v>
      </c>
      <c r="BB471" s="1747" t="s">
        <v>3578</v>
      </c>
      <c r="BC471" s="1746">
        <v>1</v>
      </c>
      <c r="BD471" s="1746" t="s">
        <v>3167</v>
      </c>
      <c r="BE471" s="1746"/>
      <c r="BF471" s="1746">
        <v>0</v>
      </c>
      <c r="BG471" s="1746" t="s">
        <v>2597</v>
      </c>
      <c r="BH471" s="1744">
        <f t="shared" si="64"/>
        <v>0</v>
      </c>
      <c r="BI471" s="1745">
        <f t="shared" si="65"/>
        <v>0</v>
      </c>
      <c r="BJ471" s="1740" t="str">
        <f t="shared" si="66"/>
        <v>kit</v>
      </c>
      <c r="BK471" s="1740" t="str">
        <f t="shared" si="67"/>
        <v>Medical equipment</v>
      </c>
    </row>
    <row r="472" spans="51:63" ht="15.65" customHeight="1">
      <c r="AY472" s="1746" t="s">
        <v>2575</v>
      </c>
      <c r="AZ472" s="1746">
        <v>2008</v>
      </c>
      <c r="BA472" s="1746" t="s">
        <v>3579</v>
      </c>
      <c r="BB472" s="1747" t="s">
        <v>3580</v>
      </c>
      <c r="BC472" s="1746">
        <v>1000</v>
      </c>
      <c r="BD472" s="1746" t="s">
        <v>3581</v>
      </c>
      <c r="BE472" s="1746" t="s">
        <v>3582</v>
      </c>
      <c r="BF472" s="1753">
        <v>57720</v>
      </c>
      <c r="BG472" s="1746" t="s">
        <v>2592</v>
      </c>
      <c r="BH472" s="1744">
        <f t="shared" si="64"/>
        <v>5.772E-2</v>
      </c>
      <c r="BI472" s="1745">
        <f t="shared" si="65"/>
        <v>5.7720000000000003E-5</v>
      </c>
      <c r="BJ472" s="1740" t="str">
        <f t="shared" si="66"/>
        <v>CAR-Water &amp; electrolytes</v>
      </c>
      <c r="BK472" s="1740" t="str">
        <f t="shared" si="67"/>
        <v>Sachet of Powder</v>
      </c>
    </row>
    <row r="473" spans="51:63" ht="15.65" customHeight="1">
      <c r="AY473" s="1746" t="s">
        <v>2575</v>
      </c>
      <c r="AZ473" s="1746">
        <v>2008</v>
      </c>
      <c r="BA473" s="1746" t="s">
        <v>3583</v>
      </c>
      <c r="BB473" s="1747" t="s">
        <v>3584</v>
      </c>
      <c r="BC473" s="1746">
        <v>100</v>
      </c>
      <c r="BD473" s="1746" t="s">
        <v>2903</v>
      </c>
      <c r="BE473" s="1746" t="s">
        <v>3582</v>
      </c>
      <c r="BF473" s="1753">
        <v>5266.8</v>
      </c>
      <c r="BG473" s="1746" t="s">
        <v>2592</v>
      </c>
      <c r="BH473" s="1744">
        <f t="shared" ref="BH473:BH536" si="68">IF(BG473="CCM",BF473/1000000,IF(BG473="CDM",BF473/1000, IF(BG473="M3",BF473,"")))</f>
        <v>5.2668000000000003E-3</v>
      </c>
      <c r="BI473" s="1745">
        <f t="shared" si="65"/>
        <v>5.2668000000000005E-5</v>
      </c>
      <c r="BJ473" s="1740" t="str">
        <f t="shared" si="66"/>
        <v>BOX-Water &amp; electrolytes</v>
      </c>
      <c r="BK473" s="1740" t="str">
        <f t="shared" si="67"/>
        <v>Sachet of Powder</v>
      </c>
    </row>
    <row r="474" spans="51:63" ht="15.65" customHeight="1">
      <c r="AY474" s="1746" t="s">
        <v>2593</v>
      </c>
      <c r="AZ474" s="1746">
        <v>2008</v>
      </c>
      <c r="BA474" s="1746" t="s">
        <v>3585</v>
      </c>
      <c r="BB474" s="1747" t="s">
        <v>3586</v>
      </c>
      <c r="BC474" s="1750">
        <v>1000</v>
      </c>
      <c r="BD474" s="1746" t="s">
        <v>2601</v>
      </c>
      <c r="BE474" s="1746"/>
      <c r="BF474" s="1746">
        <v>1.6299999999999999E-3</v>
      </c>
      <c r="BG474" s="1746" t="s">
        <v>2597</v>
      </c>
      <c r="BH474" s="1744">
        <f t="shared" si="68"/>
        <v>1.6299999999999999E-3</v>
      </c>
      <c r="BI474" s="1745">
        <f t="shared" si="65"/>
        <v>1.6299999999999999E-6</v>
      </c>
      <c r="BJ474" s="1740" t="str">
        <f t="shared" si="66"/>
        <v>tablets</v>
      </c>
      <c r="BK474" s="1740" t="str">
        <f t="shared" si="67"/>
        <v>Bottle of Tablets</v>
      </c>
    </row>
    <row r="475" spans="51:63" ht="15.65" customHeight="1">
      <c r="AY475" s="1746" t="s">
        <v>2593</v>
      </c>
      <c r="AZ475" s="1746">
        <v>2008</v>
      </c>
      <c r="BA475" s="1746" t="s">
        <v>3587</v>
      </c>
      <c r="BB475" s="1747" t="s">
        <v>3588</v>
      </c>
      <c r="BC475" s="1750">
        <v>1000</v>
      </c>
      <c r="BD475" s="1746" t="s">
        <v>2601</v>
      </c>
      <c r="BE475" s="1746"/>
      <c r="BF475" s="1746">
        <v>5.1000000000000004E-4</v>
      </c>
      <c r="BG475" s="1746" t="s">
        <v>2597</v>
      </c>
      <c r="BH475" s="1744">
        <f t="shared" si="68"/>
        <v>5.1000000000000004E-4</v>
      </c>
      <c r="BI475" s="1745">
        <f t="shared" si="65"/>
        <v>5.0999999999999999E-7</v>
      </c>
      <c r="BJ475" s="1740" t="str">
        <f t="shared" si="66"/>
        <v>tablets</v>
      </c>
      <c r="BK475" s="1740" t="str">
        <f t="shared" si="67"/>
        <v>Bottle of Tablets</v>
      </c>
    </row>
    <row r="476" spans="51:63" ht="15.65" customHeight="1">
      <c r="AY476" s="1746" t="s">
        <v>2593</v>
      </c>
      <c r="AZ476" s="1746">
        <v>2008</v>
      </c>
      <c r="BA476" s="1746" t="s">
        <v>3589</v>
      </c>
      <c r="BB476" s="1747" t="s">
        <v>3590</v>
      </c>
      <c r="BC476" s="1746">
        <v>100</v>
      </c>
      <c r="BD476" s="1746" t="s">
        <v>2601</v>
      </c>
      <c r="BE476" s="1746"/>
      <c r="BF476" s="1746">
        <v>2.3000000000000001E-4</v>
      </c>
      <c r="BG476" s="1746" t="s">
        <v>2597</v>
      </c>
      <c r="BH476" s="1744">
        <f t="shared" si="68"/>
        <v>2.3000000000000001E-4</v>
      </c>
      <c r="BI476" s="1745">
        <f t="shared" si="65"/>
        <v>2.3E-6</v>
      </c>
      <c r="BJ476" s="1740" t="str">
        <f t="shared" si="66"/>
        <v>tablets</v>
      </c>
      <c r="BK476" s="1740" t="str">
        <f t="shared" si="67"/>
        <v>Bottle of Tablets</v>
      </c>
    </row>
    <row r="477" spans="51:63" ht="15.65" customHeight="1">
      <c r="AY477" s="1746" t="s">
        <v>2588</v>
      </c>
      <c r="AZ477" s="1746">
        <v>2006</v>
      </c>
      <c r="BA477" s="1746" t="s">
        <v>3591</v>
      </c>
      <c r="BB477" s="1747" t="s">
        <v>3592</v>
      </c>
      <c r="BC477" s="1746">
        <v>100</v>
      </c>
      <c r="BD477" s="1746" t="s">
        <v>2615</v>
      </c>
      <c r="BE477" s="1746"/>
      <c r="BF477" s="1746">
        <v>62</v>
      </c>
      <c r="BG477" s="1746" t="s">
        <v>2592</v>
      </c>
      <c r="BH477" s="1744">
        <f t="shared" si="68"/>
        <v>6.2000000000000003E-5</v>
      </c>
      <c r="BI477" s="1745">
        <f t="shared" si="65"/>
        <v>6.1999999999999999E-7</v>
      </c>
      <c r="BJ477" s="1740" t="str">
        <f t="shared" si="66"/>
        <v>tabs</v>
      </c>
      <c r="BK477" s="1740" t="str">
        <f t="shared" si="67"/>
        <v>Bottle of Tablets</v>
      </c>
    </row>
    <row r="478" spans="51:63" ht="15.65" customHeight="1">
      <c r="AY478" s="1746" t="s">
        <v>2593</v>
      </c>
      <c r="AZ478" s="1746">
        <v>2008</v>
      </c>
      <c r="BA478" s="1746" t="s">
        <v>3593</v>
      </c>
      <c r="BB478" s="1747" t="s">
        <v>3594</v>
      </c>
      <c r="BC478" s="1750">
        <v>1000</v>
      </c>
      <c r="BD478" s="1746" t="s">
        <v>2601</v>
      </c>
      <c r="BE478" s="1746"/>
      <c r="BF478" s="1746">
        <v>5.6999999999999998E-4</v>
      </c>
      <c r="BG478" s="1746" t="s">
        <v>2597</v>
      </c>
      <c r="BH478" s="1744">
        <f t="shared" si="68"/>
        <v>5.6999999999999998E-4</v>
      </c>
      <c r="BI478" s="1745">
        <f t="shared" si="65"/>
        <v>5.6999999999999994E-7</v>
      </c>
      <c r="BJ478" s="1740" t="str">
        <f t="shared" si="66"/>
        <v>tablets</v>
      </c>
      <c r="BK478" s="1740" t="str">
        <f t="shared" si="67"/>
        <v>Bottle of Tablets</v>
      </c>
    </row>
    <row r="479" spans="51:63" ht="15.65" customHeight="1">
      <c r="AY479" s="1746" t="s">
        <v>2588</v>
      </c>
      <c r="AZ479" s="1746">
        <v>2006</v>
      </c>
      <c r="BA479" s="1746" t="s">
        <v>3595</v>
      </c>
      <c r="BB479" s="1747" t="s">
        <v>3596</v>
      </c>
      <c r="BC479" s="1746">
        <v>100</v>
      </c>
      <c r="BD479" s="1746" t="s">
        <v>2615</v>
      </c>
      <c r="BE479" s="1746"/>
      <c r="BF479" s="1746">
        <v>89</v>
      </c>
      <c r="BG479" s="1746" t="s">
        <v>2592</v>
      </c>
      <c r="BH479" s="1744">
        <f t="shared" si="68"/>
        <v>8.8999999999999995E-5</v>
      </c>
      <c r="BI479" s="1745">
        <f t="shared" si="65"/>
        <v>8.8999999999999995E-7</v>
      </c>
      <c r="BJ479" s="1740" t="str">
        <f t="shared" si="66"/>
        <v>tabs</v>
      </c>
      <c r="BK479" s="1740" t="str">
        <f t="shared" si="67"/>
        <v>Bottle of Tablets</v>
      </c>
    </row>
    <row r="480" spans="51:63" ht="15.65" customHeight="1">
      <c r="AY480" s="1746" t="s">
        <v>2588</v>
      </c>
      <c r="AZ480" s="1746">
        <v>2006</v>
      </c>
      <c r="BA480" s="1746" t="s">
        <v>3597</v>
      </c>
      <c r="BB480" s="1747" t="s">
        <v>3598</v>
      </c>
      <c r="BC480" s="1746">
        <v>30</v>
      </c>
      <c r="BD480" s="1746" t="s">
        <v>2615</v>
      </c>
      <c r="BE480" s="1746"/>
      <c r="BF480" s="1746">
        <v>95</v>
      </c>
      <c r="BG480" s="1746" t="s">
        <v>2592</v>
      </c>
      <c r="BH480" s="1744">
        <f t="shared" si="68"/>
        <v>9.5000000000000005E-5</v>
      </c>
      <c r="BI480" s="1745">
        <f t="shared" si="65"/>
        <v>3.1666666666666667E-6</v>
      </c>
      <c r="BJ480" s="1740" t="str">
        <f t="shared" si="66"/>
        <v>tabs</v>
      </c>
      <c r="BK480" s="1740" t="str">
        <f t="shared" si="67"/>
        <v>Bottle of Tablets</v>
      </c>
    </row>
    <row r="481" spans="51:63" ht="15.65" customHeight="1">
      <c r="AY481" s="1746" t="s">
        <v>2593</v>
      </c>
      <c r="AZ481" s="1746">
        <v>2008</v>
      </c>
      <c r="BA481" s="1746" t="s">
        <v>3599</v>
      </c>
      <c r="BB481" s="1747" t="s">
        <v>3600</v>
      </c>
      <c r="BC481" s="1746">
        <v>30</v>
      </c>
      <c r="BD481" s="1746" t="s">
        <v>2601</v>
      </c>
      <c r="BE481" s="1746"/>
      <c r="BF481" s="1746">
        <v>8.0000000000000007E-5</v>
      </c>
      <c r="BG481" s="1746" t="s">
        <v>2597</v>
      </c>
      <c r="BH481" s="1744">
        <f t="shared" si="68"/>
        <v>8.0000000000000007E-5</v>
      </c>
      <c r="BI481" s="1745">
        <f t="shared" si="65"/>
        <v>2.6666666666666668E-6</v>
      </c>
      <c r="BJ481" s="1740" t="str">
        <f t="shared" si="66"/>
        <v>tablets</v>
      </c>
      <c r="BK481" s="1740" t="str">
        <f t="shared" si="67"/>
        <v>Bottle of Tablets</v>
      </c>
    </row>
    <row r="482" spans="51:63" ht="15.65" customHeight="1">
      <c r="AY482" s="1746" t="s">
        <v>2593</v>
      </c>
      <c r="AZ482" s="1746">
        <v>2008</v>
      </c>
      <c r="BA482" s="1746" t="s">
        <v>3601</v>
      </c>
      <c r="BB482" s="1747" t="s">
        <v>3602</v>
      </c>
      <c r="BC482" s="1750">
        <v>1000</v>
      </c>
      <c r="BD482" s="1746" t="s">
        <v>2601</v>
      </c>
      <c r="BE482" s="1746"/>
      <c r="BF482" s="1746">
        <v>3.4000000000000002E-4</v>
      </c>
      <c r="BG482" s="1746" t="s">
        <v>2597</v>
      </c>
      <c r="BH482" s="1744">
        <f t="shared" si="68"/>
        <v>3.4000000000000002E-4</v>
      </c>
      <c r="BI482" s="1745">
        <f t="shared" si="65"/>
        <v>3.4000000000000003E-7</v>
      </c>
      <c r="BJ482" s="1740" t="str">
        <f t="shared" si="66"/>
        <v>tablets</v>
      </c>
      <c r="BK482" s="1740" t="str">
        <f t="shared" si="67"/>
        <v>Bottle of Tablets</v>
      </c>
    </row>
    <row r="483" spans="51:63" ht="15.65" customHeight="1">
      <c r="AY483" s="1746" t="s">
        <v>2575</v>
      </c>
      <c r="AZ483" s="1746">
        <v>2008</v>
      </c>
      <c r="BA483" s="1746" t="s">
        <v>3603</v>
      </c>
      <c r="BB483" s="1747" t="s">
        <v>3604</v>
      </c>
      <c r="BC483" s="1746" t="s">
        <v>2578</v>
      </c>
      <c r="BD483" s="1746" t="s">
        <v>2638</v>
      </c>
      <c r="BE483" s="1746" t="s">
        <v>3605</v>
      </c>
      <c r="BF483" s="1746">
        <v>1.83</v>
      </c>
      <c r="BG483" s="1746" t="s">
        <v>2581</v>
      </c>
      <c r="BH483" s="1744">
        <f t="shared" si="68"/>
        <v>1.83E-3</v>
      </c>
      <c r="BI483" s="1745" t="str">
        <f t="shared" si="65"/>
        <v/>
      </c>
      <c r="BJ483" s="1740" t="str">
        <f t="shared" si="66"/>
        <v>PAC-Medical stationery</v>
      </c>
      <c r="BK483" s="1740" t="str">
        <f t="shared" si="67"/>
        <v>Medical equipment</v>
      </c>
    </row>
    <row r="484" spans="51:63" ht="15.65" customHeight="1">
      <c r="AY484" s="1746" t="s">
        <v>2575</v>
      </c>
      <c r="AZ484" s="1746">
        <v>2008</v>
      </c>
      <c r="BA484" s="1746" t="s">
        <v>3606</v>
      </c>
      <c r="BB484" s="1747" t="s">
        <v>3607</v>
      </c>
      <c r="BC484" s="1746" t="s">
        <v>2578</v>
      </c>
      <c r="BD484" s="1746" t="s">
        <v>2638</v>
      </c>
      <c r="BE484" s="1746" t="s">
        <v>3608</v>
      </c>
      <c r="BF484" s="1746">
        <v>0.59299999999999997</v>
      </c>
      <c r="BG484" s="1746" t="s">
        <v>2581</v>
      </c>
      <c r="BH484" s="1744">
        <f t="shared" si="68"/>
        <v>5.9299999999999999E-4</v>
      </c>
      <c r="BI484" s="1745" t="str">
        <f t="shared" si="65"/>
        <v/>
      </c>
      <c r="BJ484" s="1740" t="str">
        <f t="shared" si="66"/>
        <v>PAC-Antifungus</v>
      </c>
      <c r="BK484" s="1740" t="str">
        <f t="shared" si="67"/>
        <v>Bottle of Tablets</v>
      </c>
    </row>
    <row r="485" spans="51:63" ht="15.65" customHeight="1">
      <c r="AY485" s="1746" t="s">
        <v>2575</v>
      </c>
      <c r="AZ485" s="1746">
        <v>2008</v>
      </c>
      <c r="BA485" s="1746" t="s">
        <v>3609</v>
      </c>
      <c r="BB485" s="1747" t="s">
        <v>3610</v>
      </c>
      <c r="BC485" s="1746" t="s">
        <v>2578</v>
      </c>
      <c r="BD485" s="1746" t="s">
        <v>2638</v>
      </c>
      <c r="BE485" s="1746" t="s">
        <v>3608</v>
      </c>
      <c r="BF485" s="1746">
        <v>0.26</v>
      </c>
      <c r="BG485" s="1746" t="s">
        <v>2581</v>
      </c>
      <c r="BH485" s="1744">
        <f t="shared" si="68"/>
        <v>2.6000000000000003E-4</v>
      </c>
      <c r="BI485" s="1745" t="str">
        <f t="shared" si="65"/>
        <v/>
      </c>
      <c r="BJ485" s="1740" t="str">
        <f t="shared" si="66"/>
        <v>PAC-Antifungus</v>
      </c>
      <c r="BK485" s="1740" t="str">
        <f t="shared" si="67"/>
        <v>Bottle of Tablets</v>
      </c>
    </row>
    <row r="486" spans="51:63" ht="15.65" customHeight="1">
      <c r="AY486" s="1746" t="s">
        <v>2593</v>
      </c>
      <c r="AZ486" s="1746">
        <v>2008</v>
      </c>
      <c r="BA486" s="1746" t="s">
        <v>3611</v>
      </c>
      <c r="BB486" s="1747" t="s">
        <v>3612</v>
      </c>
      <c r="BC486" s="1746">
        <v>100</v>
      </c>
      <c r="BD486" s="1746" t="s">
        <v>2601</v>
      </c>
      <c r="BE486" s="1746"/>
      <c r="BF486" s="1746">
        <v>2.9E-4</v>
      </c>
      <c r="BG486" s="1746" t="s">
        <v>2597</v>
      </c>
      <c r="BH486" s="1744">
        <f t="shared" si="68"/>
        <v>2.9E-4</v>
      </c>
      <c r="BI486" s="1745">
        <f t="shared" si="65"/>
        <v>2.9000000000000002E-6</v>
      </c>
      <c r="BJ486" s="1740" t="str">
        <f t="shared" si="66"/>
        <v>tablets</v>
      </c>
      <c r="BK486" s="1740" t="str">
        <f t="shared" si="67"/>
        <v>Bottle of Tablets</v>
      </c>
    </row>
    <row r="487" spans="51:63" ht="15.65" customHeight="1">
      <c r="AY487" s="1746" t="s">
        <v>2588</v>
      </c>
      <c r="AZ487" s="1746">
        <v>2006</v>
      </c>
      <c r="BA487" s="1746" t="s">
        <v>3613</v>
      </c>
      <c r="BB487" s="1747" t="s">
        <v>3614</v>
      </c>
      <c r="BC487" s="1746">
        <v>100</v>
      </c>
      <c r="BD487" s="1746" t="s">
        <v>2615</v>
      </c>
      <c r="BE487" s="1746"/>
      <c r="BF487" s="1746">
        <v>305</v>
      </c>
      <c r="BG487" s="1746" t="s">
        <v>2592</v>
      </c>
      <c r="BH487" s="1744">
        <f t="shared" si="68"/>
        <v>3.0499999999999999E-4</v>
      </c>
      <c r="BI487" s="1745">
        <f t="shared" si="65"/>
        <v>3.05E-6</v>
      </c>
      <c r="BJ487" s="1740" t="str">
        <f t="shared" si="66"/>
        <v>tabs</v>
      </c>
      <c r="BK487" s="1740" t="str">
        <f t="shared" si="67"/>
        <v>Bottle of Tablets</v>
      </c>
    </row>
    <row r="488" spans="51:63" ht="15.65" customHeight="1">
      <c r="AY488" s="1746" t="s">
        <v>2588</v>
      </c>
      <c r="AZ488" s="1746">
        <v>2006</v>
      </c>
      <c r="BA488" s="1746" t="s">
        <v>3615</v>
      </c>
      <c r="BB488" s="1747" t="s">
        <v>3616</v>
      </c>
      <c r="BC488" s="1746">
        <v>100</v>
      </c>
      <c r="BD488" s="1746" t="s">
        <v>2615</v>
      </c>
      <c r="BE488" s="1746"/>
      <c r="BF488" s="1746">
        <v>465.3</v>
      </c>
      <c r="BG488" s="1746" t="s">
        <v>2592</v>
      </c>
      <c r="BH488" s="1744">
        <f t="shared" si="68"/>
        <v>4.6530000000000003E-4</v>
      </c>
      <c r="BI488" s="1745">
        <f t="shared" si="65"/>
        <v>4.6530000000000002E-6</v>
      </c>
      <c r="BJ488" s="1740" t="str">
        <f t="shared" si="66"/>
        <v>tabs</v>
      </c>
      <c r="BK488" s="1740" t="str">
        <f t="shared" si="67"/>
        <v>Bottle of Tablets</v>
      </c>
    </row>
    <row r="489" spans="51:63" ht="15.65" customHeight="1">
      <c r="AY489" s="1746" t="s">
        <v>2593</v>
      </c>
      <c r="AZ489" s="1746">
        <v>2008</v>
      </c>
      <c r="BA489" s="1746" t="s">
        <v>3617</v>
      </c>
      <c r="BB489" s="1747" t="s">
        <v>3618</v>
      </c>
      <c r="BC489" s="1746">
        <v>100</v>
      </c>
      <c r="BD489" s="1746" t="s">
        <v>3619</v>
      </c>
      <c r="BE489" s="1746"/>
      <c r="BF489" s="1746">
        <v>4.8000000000000001E-4</v>
      </c>
      <c r="BG489" s="1746" t="s">
        <v>2597</v>
      </c>
      <c r="BH489" s="1744">
        <f t="shared" si="68"/>
        <v>4.8000000000000001E-4</v>
      </c>
      <c r="BI489" s="1745">
        <f t="shared" si="65"/>
        <v>4.7999999999999998E-6</v>
      </c>
      <c r="BJ489" s="1740" t="str">
        <f t="shared" si="66"/>
        <v>vags</v>
      </c>
      <c r="BK489" s="1740" t="str">
        <f t="shared" si="67"/>
        <v>Bottle of Tablets</v>
      </c>
    </row>
    <row r="490" spans="51:63" ht="15.65" customHeight="1">
      <c r="AY490" s="1746" t="s">
        <v>2593</v>
      </c>
      <c r="AZ490" s="1746">
        <v>2008</v>
      </c>
      <c r="BA490" s="1746" t="s">
        <v>3620</v>
      </c>
      <c r="BB490" s="1747" t="s">
        <v>3621</v>
      </c>
      <c r="BC490" s="1746">
        <v>1</v>
      </c>
      <c r="BD490" s="1746" t="s">
        <v>2676</v>
      </c>
      <c r="BE490" s="1746"/>
      <c r="BF490" s="1746">
        <v>1.8000000000000001E-4</v>
      </c>
      <c r="BG490" s="1746" t="s">
        <v>2597</v>
      </c>
      <c r="BH490" s="1744">
        <f t="shared" si="68"/>
        <v>1.8000000000000001E-4</v>
      </c>
      <c r="BI490" s="1745">
        <f t="shared" si="65"/>
        <v>1.8000000000000001E-4</v>
      </c>
      <c r="BJ490" s="1740" t="str">
        <f t="shared" si="66"/>
        <v>tube</v>
      </c>
      <c r="BK490" s="1740" t="str">
        <f t="shared" si="67"/>
        <v>Tube of ointment</v>
      </c>
    </row>
    <row r="491" spans="51:63" ht="15.65" customHeight="1">
      <c r="AY491" s="1746" t="s">
        <v>2593</v>
      </c>
      <c r="AZ491" s="1746">
        <v>2008</v>
      </c>
      <c r="BA491" s="1746" t="s">
        <v>3622</v>
      </c>
      <c r="BB491" s="1747" t="s">
        <v>3623</v>
      </c>
      <c r="BC491" s="1746">
        <v>1</v>
      </c>
      <c r="BD491" s="1746" t="s">
        <v>2676</v>
      </c>
      <c r="BE491" s="1746"/>
      <c r="BF491" s="1746">
        <v>2.4000000000000001E-4</v>
      </c>
      <c r="BG491" s="1746" t="s">
        <v>2597</v>
      </c>
      <c r="BH491" s="1744">
        <f t="shared" si="68"/>
        <v>2.4000000000000001E-4</v>
      </c>
      <c r="BI491" s="1745">
        <f t="shared" si="65"/>
        <v>2.4000000000000001E-4</v>
      </c>
      <c r="BJ491" s="1740" t="str">
        <f t="shared" si="66"/>
        <v>tube</v>
      </c>
      <c r="BK491" s="1740" t="str">
        <f t="shared" si="67"/>
        <v>Tube of ointment</v>
      </c>
    </row>
    <row r="492" spans="51:63" ht="15.65" customHeight="1">
      <c r="AY492" s="1746" t="s">
        <v>2588</v>
      </c>
      <c r="AZ492" s="1746">
        <v>2006</v>
      </c>
      <c r="BA492" s="1746" t="s">
        <v>3624</v>
      </c>
      <c r="BB492" s="1747" t="s">
        <v>3625</v>
      </c>
      <c r="BC492" s="1746">
        <v>1</v>
      </c>
      <c r="BD492" s="1746" t="s">
        <v>2596</v>
      </c>
      <c r="BE492" s="1746"/>
      <c r="BF492" s="1746">
        <v>273.60000000000002</v>
      </c>
      <c r="BG492" s="1746" t="s">
        <v>2592</v>
      </c>
      <c r="BH492" s="1744">
        <f t="shared" si="68"/>
        <v>2.7360000000000004E-4</v>
      </c>
      <c r="BI492" s="1745">
        <f t="shared" si="65"/>
        <v>2.7360000000000004E-4</v>
      </c>
      <c r="BJ492" s="1740" t="str">
        <f t="shared" si="66"/>
        <v>bottle</v>
      </c>
      <c r="BK492" s="1740" t="str">
        <f t="shared" si="67"/>
        <v>Bottle of Liquid</v>
      </c>
    </row>
    <row r="493" spans="51:63" ht="15.65" customHeight="1">
      <c r="AY493" s="1746" t="s">
        <v>2593</v>
      </c>
      <c r="AZ493" s="1746">
        <v>2008</v>
      </c>
      <c r="BA493" s="1746" t="s">
        <v>3626</v>
      </c>
      <c r="BB493" s="1747" t="s">
        <v>3627</v>
      </c>
      <c r="BC493" s="1746">
        <v>1</v>
      </c>
      <c r="BD493" s="1746" t="s">
        <v>2596</v>
      </c>
      <c r="BE493" s="1746"/>
      <c r="BF493" s="1746">
        <v>1.1E-4</v>
      </c>
      <c r="BG493" s="1746" t="s">
        <v>2597</v>
      </c>
      <c r="BH493" s="1744">
        <f t="shared" si="68"/>
        <v>1.1E-4</v>
      </c>
      <c r="BI493" s="1745">
        <f t="shared" si="65"/>
        <v>1.1E-4</v>
      </c>
      <c r="BJ493" s="1740" t="str">
        <f t="shared" si="66"/>
        <v>bottle</v>
      </c>
      <c r="BK493" s="1740" t="str">
        <f t="shared" si="67"/>
        <v>Bottle of Liquid</v>
      </c>
    </row>
    <row r="494" spans="51:63" ht="15.65" customHeight="1">
      <c r="AY494" s="1746" t="s">
        <v>2575</v>
      </c>
      <c r="AZ494" s="1746">
        <v>2008</v>
      </c>
      <c r="BA494" s="1746" t="s">
        <v>3628</v>
      </c>
      <c r="BB494" s="1747" t="s">
        <v>3629</v>
      </c>
      <c r="BC494" s="1746" t="s">
        <v>2578</v>
      </c>
      <c r="BD494" s="1746" t="s">
        <v>2638</v>
      </c>
      <c r="BE494" s="1746" t="s">
        <v>3608</v>
      </c>
      <c r="BF494" s="1746">
        <v>0.45600000000000002</v>
      </c>
      <c r="BG494" s="1746" t="s">
        <v>2581</v>
      </c>
      <c r="BH494" s="1744">
        <f t="shared" si="68"/>
        <v>4.5600000000000003E-4</v>
      </c>
      <c r="BI494" s="1745" t="str">
        <f t="shared" si="65"/>
        <v/>
      </c>
      <c r="BJ494" s="1740" t="str">
        <f t="shared" si="66"/>
        <v>PAC-Antifungus</v>
      </c>
      <c r="BK494" s="1740" t="str">
        <f t="shared" si="67"/>
        <v>Bottle of Tablets</v>
      </c>
    </row>
    <row r="495" spans="51:63" ht="15.65" customHeight="1">
      <c r="AY495" s="1746" t="s">
        <v>2588</v>
      </c>
      <c r="AZ495" s="1746">
        <v>2006</v>
      </c>
      <c r="BA495" s="1746" t="s">
        <v>3630</v>
      </c>
      <c r="BB495" s="1747" t="s">
        <v>3631</v>
      </c>
      <c r="BC495" s="1746">
        <v>100</v>
      </c>
      <c r="BD495" s="1746" t="s">
        <v>2615</v>
      </c>
      <c r="BE495" s="1746"/>
      <c r="BF495" s="1746">
        <v>303.2</v>
      </c>
      <c r="BG495" s="1746" t="s">
        <v>2592</v>
      </c>
      <c r="BH495" s="1744">
        <f t="shared" si="68"/>
        <v>3.032E-4</v>
      </c>
      <c r="BI495" s="1745">
        <f t="shared" si="65"/>
        <v>3.0319999999999999E-6</v>
      </c>
      <c r="BJ495" s="1740" t="str">
        <f t="shared" si="66"/>
        <v>tabs</v>
      </c>
      <c r="BK495" s="1740" t="str">
        <f t="shared" si="67"/>
        <v>Bottle of Tablets</v>
      </c>
    </row>
    <row r="496" spans="51:63" ht="15.65" customHeight="1">
      <c r="AY496" s="1746" t="s">
        <v>2593</v>
      </c>
      <c r="AZ496" s="1746">
        <v>2008</v>
      </c>
      <c r="BA496" s="1746" t="s">
        <v>3632</v>
      </c>
      <c r="BB496" s="1747" t="s">
        <v>3633</v>
      </c>
      <c r="BC496" s="1746">
        <v>100</v>
      </c>
      <c r="BD496" s="1746" t="s">
        <v>2601</v>
      </c>
      <c r="BE496" s="1746"/>
      <c r="BF496" s="1746">
        <v>2.9999999999999997E-4</v>
      </c>
      <c r="BG496" s="1746" t="s">
        <v>2597</v>
      </c>
      <c r="BH496" s="1744">
        <f t="shared" si="68"/>
        <v>2.9999999999999997E-4</v>
      </c>
      <c r="BI496" s="1745">
        <f t="shared" si="65"/>
        <v>2.9999999999999997E-6</v>
      </c>
      <c r="BJ496" s="1740" t="str">
        <f t="shared" si="66"/>
        <v>tablets</v>
      </c>
      <c r="BK496" s="1740" t="str">
        <f t="shared" si="67"/>
        <v>Bottle of Tablets</v>
      </c>
    </row>
    <row r="497" spans="51:63" ht="15.65" customHeight="1">
      <c r="AY497" s="1746" t="s">
        <v>2593</v>
      </c>
      <c r="AZ497" s="1746">
        <v>2008</v>
      </c>
      <c r="BA497" s="1746" t="s">
        <v>3634</v>
      </c>
      <c r="BB497" s="1747" t="s">
        <v>3633</v>
      </c>
      <c r="BC497" s="1750">
        <v>1000</v>
      </c>
      <c r="BD497" s="1746" t="s">
        <v>2601</v>
      </c>
      <c r="BE497" s="1746"/>
      <c r="BF497" s="1746">
        <v>3.7699999999999999E-3</v>
      </c>
      <c r="BG497" s="1746" t="s">
        <v>2597</v>
      </c>
      <c r="BH497" s="1744">
        <f t="shared" si="68"/>
        <v>3.7699999999999999E-3</v>
      </c>
      <c r="BI497" s="1745">
        <f t="shared" si="65"/>
        <v>3.7699999999999999E-6</v>
      </c>
      <c r="BJ497" s="1740" t="str">
        <f t="shared" si="66"/>
        <v>tablets</v>
      </c>
      <c r="BK497" s="1740" t="str">
        <f t="shared" si="67"/>
        <v>Bottle of Tablets</v>
      </c>
    </row>
    <row r="498" spans="51:63" ht="15.65" customHeight="1">
      <c r="AY498" s="1746" t="s">
        <v>2588</v>
      </c>
      <c r="AZ498" s="1746">
        <v>2006</v>
      </c>
      <c r="BA498" s="1746" t="s">
        <v>3635</v>
      </c>
      <c r="BB498" s="1747" t="s">
        <v>3636</v>
      </c>
      <c r="BC498" s="1746">
        <v>10</v>
      </c>
      <c r="BD498" s="1746" t="s">
        <v>2671</v>
      </c>
      <c r="BE498" s="1746"/>
      <c r="BF498" s="1746">
        <v>1459</v>
      </c>
      <c r="BG498" s="1746" t="s">
        <v>2592</v>
      </c>
      <c r="BH498" s="1744">
        <f t="shared" si="68"/>
        <v>1.459E-3</v>
      </c>
      <c r="BI498" s="1745">
        <f t="shared" si="65"/>
        <v>1.459E-4</v>
      </c>
      <c r="BJ498" s="1740" t="str">
        <f t="shared" si="66"/>
        <v>tubes</v>
      </c>
      <c r="BK498" s="1740" t="str">
        <f t="shared" si="67"/>
        <v>Tube of ointment</v>
      </c>
    </row>
    <row r="499" spans="51:63" ht="15.65" customHeight="1">
      <c r="AY499" s="1746" t="s">
        <v>2575</v>
      </c>
      <c r="AZ499" s="1746">
        <v>2008</v>
      </c>
      <c r="BA499" s="1746" t="s">
        <v>3637</v>
      </c>
      <c r="BB499" s="1747" t="s">
        <v>3638</v>
      </c>
      <c r="BC499" s="1746" t="s">
        <v>2578</v>
      </c>
      <c r="BD499" s="1746" t="s">
        <v>2775</v>
      </c>
      <c r="BE499" s="1746" t="s">
        <v>3608</v>
      </c>
      <c r="BF499" s="1746">
        <v>0.3</v>
      </c>
      <c r="BG499" s="1746" t="s">
        <v>2581</v>
      </c>
      <c r="BH499" s="1744">
        <f t="shared" si="68"/>
        <v>2.9999999999999997E-4</v>
      </c>
      <c r="BI499" s="1745" t="str">
        <f t="shared" si="65"/>
        <v/>
      </c>
      <c r="BJ499" s="1740" t="str">
        <f t="shared" si="66"/>
        <v>BOT-Antifungus</v>
      </c>
      <c r="BK499" s="1740" t="str">
        <f t="shared" si="67"/>
        <v>Bottle of Liquid</v>
      </c>
    </row>
    <row r="500" spans="51:63" ht="15.65" customHeight="1">
      <c r="AY500" s="1746" t="s">
        <v>2588</v>
      </c>
      <c r="AZ500" s="1746">
        <v>2006</v>
      </c>
      <c r="BA500" s="1746" t="s">
        <v>3639</v>
      </c>
      <c r="BB500" s="1747" t="s">
        <v>3640</v>
      </c>
      <c r="BC500" s="1746">
        <v>100</v>
      </c>
      <c r="BD500" s="1746" t="s">
        <v>2615</v>
      </c>
      <c r="BE500" s="1746"/>
      <c r="BF500" s="1746">
        <v>442.73</v>
      </c>
      <c r="BG500" s="1746" t="s">
        <v>2592</v>
      </c>
      <c r="BH500" s="1744">
        <f t="shared" si="68"/>
        <v>4.4273000000000001E-4</v>
      </c>
      <c r="BI500" s="1745">
        <f t="shared" si="65"/>
        <v>4.4272999999999999E-6</v>
      </c>
      <c r="BJ500" s="1740" t="str">
        <f t="shared" si="66"/>
        <v>tabs</v>
      </c>
      <c r="BK500" s="1740" t="str">
        <f t="shared" si="67"/>
        <v>Bottle of Tablets</v>
      </c>
    </row>
    <row r="501" spans="51:63" ht="15.65" customHeight="1">
      <c r="AY501" s="1746" t="s">
        <v>2593</v>
      </c>
      <c r="AZ501" s="1746">
        <v>2008</v>
      </c>
      <c r="BA501" s="1746" t="s">
        <v>3641</v>
      </c>
      <c r="BB501" s="1747" t="s">
        <v>3642</v>
      </c>
      <c r="BC501" s="1750">
        <v>1000</v>
      </c>
      <c r="BD501" s="1746" t="s">
        <v>2601</v>
      </c>
      <c r="BE501" s="1746"/>
      <c r="BF501" s="1746">
        <v>9.7999999999999997E-4</v>
      </c>
      <c r="BG501" s="1746" t="s">
        <v>2597</v>
      </c>
      <c r="BH501" s="1744">
        <f t="shared" si="68"/>
        <v>9.7999999999999997E-4</v>
      </c>
      <c r="BI501" s="1745">
        <f t="shared" si="65"/>
        <v>9.7999999999999993E-7</v>
      </c>
      <c r="BJ501" s="1740" t="str">
        <f t="shared" si="66"/>
        <v>tablets</v>
      </c>
      <c r="BK501" s="1740" t="str">
        <f t="shared" si="67"/>
        <v>Bottle of Tablets</v>
      </c>
    </row>
    <row r="502" spans="51:63" ht="15.65" customHeight="1">
      <c r="AY502" s="1746" t="s">
        <v>2593</v>
      </c>
      <c r="AZ502" s="1746">
        <v>2008</v>
      </c>
      <c r="BA502" s="1746" t="s">
        <v>3643</v>
      </c>
      <c r="BB502" s="1747" t="s">
        <v>3644</v>
      </c>
      <c r="BC502" s="1750">
        <v>1000</v>
      </c>
      <c r="BD502" s="1746" t="s">
        <v>2601</v>
      </c>
      <c r="BE502" s="1746"/>
      <c r="BF502" s="1746">
        <v>0</v>
      </c>
      <c r="BG502" s="1746" t="s">
        <v>2597</v>
      </c>
      <c r="BH502" s="1744">
        <f t="shared" si="68"/>
        <v>0</v>
      </c>
      <c r="BI502" s="1745">
        <f t="shared" si="65"/>
        <v>0</v>
      </c>
      <c r="BJ502" s="1740" t="str">
        <f t="shared" si="66"/>
        <v>tablets</v>
      </c>
      <c r="BK502" s="1740" t="str">
        <f t="shared" si="67"/>
        <v>Bottle of Tablets</v>
      </c>
    </row>
    <row r="503" spans="51:63" ht="15.65" customHeight="1">
      <c r="AY503" s="1746" t="s">
        <v>2588</v>
      </c>
      <c r="AZ503" s="1746">
        <v>2006</v>
      </c>
      <c r="BA503" s="1746" t="s">
        <v>3645</v>
      </c>
      <c r="BB503" s="1747" t="s">
        <v>3646</v>
      </c>
      <c r="BC503" s="1746">
        <v>1000</v>
      </c>
      <c r="BD503" s="1746" t="s">
        <v>2839</v>
      </c>
      <c r="BE503" s="1746"/>
      <c r="BF503" s="1746">
        <v>2114</v>
      </c>
      <c r="BG503" s="1746" t="s">
        <v>2592</v>
      </c>
      <c r="BH503" s="1744">
        <f t="shared" si="68"/>
        <v>2.114E-3</v>
      </c>
      <c r="BI503" s="1745">
        <f t="shared" si="65"/>
        <v>2.114E-6</v>
      </c>
      <c r="BJ503" s="1740" t="str">
        <f t="shared" si="66"/>
        <v>caps</v>
      </c>
      <c r="BK503" s="1740" t="str">
        <f t="shared" si="67"/>
        <v>Bottle of Tablets</v>
      </c>
    </row>
    <row r="504" spans="51:63" ht="15.65" customHeight="1">
      <c r="AY504" s="1746" t="s">
        <v>2588</v>
      </c>
      <c r="AZ504" s="1746">
        <v>2006</v>
      </c>
      <c r="BA504" s="1746" t="s">
        <v>3647</v>
      </c>
      <c r="BB504" s="1747" t="s">
        <v>3648</v>
      </c>
      <c r="BC504" s="1746">
        <v>1</v>
      </c>
      <c r="BD504" s="1746" t="s">
        <v>2724</v>
      </c>
      <c r="BE504" s="1746"/>
      <c r="BF504" s="1746">
        <v>648</v>
      </c>
      <c r="BG504" s="1746" t="s">
        <v>2592</v>
      </c>
      <c r="BH504" s="1744">
        <f t="shared" si="68"/>
        <v>6.4800000000000003E-4</v>
      </c>
      <c r="BI504" s="1745">
        <f t="shared" si="65"/>
        <v>6.4800000000000003E-4</v>
      </c>
      <c r="BJ504" s="1740" t="str">
        <f t="shared" si="66"/>
        <v>pce</v>
      </c>
      <c r="BK504" s="1740" t="str">
        <f t="shared" si="67"/>
        <v>Roll of tape/gauze</v>
      </c>
    </row>
    <row r="505" spans="51:63" ht="15.65" customHeight="1">
      <c r="AY505" s="1746" t="s">
        <v>2575</v>
      </c>
      <c r="AZ505" s="1746">
        <v>2008</v>
      </c>
      <c r="BA505" s="1746" t="s">
        <v>3649</v>
      </c>
      <c r="BB505" s="1747" t="s">
        <v>3650</v>
      </c>
      <c r="BC505" s="1746" t="s">
        <v>2578</v>
      </c>
      <c r="BD505" s="1746" t="s">
        <v>2579</v>
      </c>
      <c r="BE505" s="1746" t="s">
        <v>3651</v>
      </c>
      <c r="BF505" s="1746">
        <v>0.53200000000000003</v>
      </c>
      <c r="BG505" s="1746" t="s">
        <v>2581</v>
      </c>
      <c r="BH505" s="1744">
        <f t="shared" si="68"/>
        <v>5.3200000000000003E-4</v>
      </c>
      <c r="BI505" s="1745" t="str">
        <f t="shared" si="65"/>
        <v/>
      </c>
      <c r="BJ505" s="1740" t="str">
        <f t="shared" si="66"/>
        <v>EA-Other diag. equip.</v>
      </c>
      <c r="BK505" s="1740" t="str">
        <f t="shared" si="67"/>
        <v>Medical equipment</v>
      </c>
    </row>
    <row r="506" spans="51:63" ht="15.65" customHeight="1">
      <c r="AY506" s="1746" t="s">
        <v>2575</v>
      </c>
      <c r="AZ506" s="1746">
        <v>2008</v>
      </c>
      <c r="BA506" s="1746" t="s">
        <v>3652</v>
      </c>
      <c r="BB506" s="1747" t="s">
        <v>3653</v>
      </c>
      <c r="BC506" s="1746" t="s">
        <v>2578</v>
      </c>
      <c r="BD506" s="1746" t="s">
        <v>2579</v>
      </c>
      <c r="BE506" s="1746" t="s">
        <v>3179</v>
      </c>
      <c r="BF506" s="1746">
        <v>0</v>
      </c>
      <c r="BG506" s="1746"/>
      <c r="BH506" s="1744" t="str">
        <f t="shared" si="68"/>
        <v/>
      </c>
      <c r="BI506" s="1745" t="str">
        <f t="shared" si="65"/>
        <v/>
      </c>
      <c r="BJ506" s="1740" t="str">
        <f t="shared" si="66"/>
        <v>EA-EPI vaccines</v>
      </c>
      <c r="BK506" s="1740" t="str">
        <f t="shared" si="67"/>
        <v>Vaccine Vial</v>
      </c>
    </row>
    <row r="507" spans="51:63" ht="15.65" customHeight="1">
      <c r="AY507" s="1746" t="s">
        <v>2575</v>
      </c>
      <c r="AZ507" s="1746">
        <v>2008</v>
      </c>
      <c r="BA507" s="1746" t="s">
        <v>3654</v>
      </c>
      <c r="BB507" s="1747" t="s">
        <v>3655</v>
      </c>
      <c r="BC507" s="1746" t="s">
        <v>2578</v>
      </c>
      <c r="BD507" s="1746" t="s">
        <v>2579</v>
      </c>
      <c r="BE507" s="1746" t="s">
        <v>3179</v>
      </c>
      <c r="BF507" s="1746">
        <v>0</v>
      </c>
      <c r="BG507" s="1746"/>
      <c r="BH507" s="1744" t="str">
        <f t="shared" si="68"/>
        <v/>
      </c>
      <c r="BI507" s="1745" t="str">
        <f t="shared" si="65"/>
        <v/>
      </c>
      <c r="BJ507" s="1740" t="str">
        <f t="shared" si="66"/>
        <v>EA-EPI vaccines</v>
      </c>
      <c r="BK507" s="1740" t="str">
        <f t="shared" si="67"/>
        <v>Vaccine Vial</v>
      </c>
    </row>
    <row r="508" spans="51:63" ht="15.65" customHeight="1">
      <c r="AY508" s="1746" t="s">
        <v>2575</v>
      </c>
      <c r="AZ508" s="1746">
        <v>2008</v>
      </c>
      <c r="BA508" s="1746" t="s">
        <v>3656</v>
      </c>
      <c r="BB508" s="1747" t="s">
        <v>3657</v>
      </c>
      <c r="BC508" s="1746" t="s">
        <v>2578</v>
      </c>
      <c r="BD508" s="1746" t="s">
        <v>2579</v>
      </c>
      <c r="BE508" s="1746" t="s">
        <v>3179</v>
      </c>
      <c r="BF508" s="1746">
        <v>0</v>
      </c>
      <c r="BG508" s="1746"/>
      <c r="BH508" s="1744" t="str">
        <f t="shared" si="68"/>
        <v/>
      </c>
      <c r="BI508" s="1745" t="str">
        <f t="shared" si="65"/>
        <v/>
      </c>
      <c r="BJ508" s="1740" t="str">
        <f t="shared" si="66"/>
        <v>EA-EPI vaccines</v>
      </c>
      <c r="BK508" s="1740" t="str">
        <f t="shared" si="67"/>
        <v>Vaccine Vial</v>
      </c>
    </row>
    <row r="509" spans="51:63" ht="15.65" customHeight="1">
      <c r="AY509" s="1746" t="s">
        <v>2575</v>
      </c>
      <c r="AZ509" s="1746">
        <v>2008</v>
      </c>
      <c r="BA509" s="1746" t="s">
        <v>3658</v>
      </c>
      <c r="BB509" s="1747" t="s">
        <v>3659</v>
      </c>
      <c r="BC509" s="1746" t="s">
        <v>2578</v>
      </c>
      <c r="BD509" s="1746" t="s">
        <v>2579</v>
      </c>
      <c r="BE509" s="1746" t="s">
        <v>3179</v>
      </c>
      <c r="BF509" s="1746">
        <v>0</v>
      </c>
      <c r="BG509" s="1746"/>
      <c r="BH509" s="1744" t="str">
        <f t="shared" si="68"/>
        <v/>
      </c>
      <c r="BI509" s="1745" t="str">
        <f t="shared" si="65"/>
        <v/>
      </c>
      <c r="BJ509" s="1740" t="str">
        <f t="shared" si="66"/>
        <v>EA-EPI vaccines</v>
      </c>
      <c r="BK509" s="1740" t="str">
        <f t="shared" si="67"/>
        <v>Vaccine Vial</v>
      </c>
    </row>
    <row r="510" spans="51:63" ht="15.65" customHeight="1">
      <c r="AY510" s="1746" t="s">
        <v>2593</v>
      </c>
      <c r="AZ510" s="1746">
        <v>2008</v>
      </c>
      <c r="BA510" s="1746" t="s">
        <v>3660</v>
      </c>
      <c r="BB510" s="1747" t="s">
        <v>3661</v>
      </c>
      <c r="BC510" s="1746">
        <v>100</v>
      </c>
      <c r="BD510" s="1746" t="s">
        <v>3662</v>
      </c>
      <c r="BE510" s="1746"/>
      <c r="BF510" s="1746">
        <v>7.8700000000000003E-3</v>
      </c>
      <c r="BG510" s="1746" t="s">
        <v>2597</v>
      </c>
      <c r="BH510" s="1744">
        <f t="shared" si="68"/>
        <v>7.8700000000000003E-3</v>
      </c>
      <c r="BI510" s="1745">
        <f t="shared" si="65"/>
        <v>7.8700000000000002E-5</v>
      </c>
      <c r="BJ510" s="1740" t="str">
        <f t="shared" si="66"/>
        <v>sachets</v>
      </c>
      <c r="BK510" s="1740" t="str">
        <f t="shared" si="67"/>
        <v>Sachet of powder</v>
      </c>
    </row>
    <row r="511" spans="51:63" ht="15.65" customHeight="1">
      <c r="AY511" s="1746" t="s">
        <v>2588</v>
      </c>
      <c r="AZ511" s="1746">
        <v>2006</v>
      </c>
      <c r="BA511" s="1746" t="s">
        <v>3663</v>
      </c>
      <c r="BB511" s="1747" t="s">
        <v>3664</v>
      </c>
      <c r="BC511" s="1746">
        <v>100</v>
      </c>
      <c r="BD511" s="1746" t="s">
        <v>3665</v>
      </c>
      <c r="BE511" s="1746"/>
      <c r="BF511" s="1746">
        <v>6682.5</v>
      </c>
      <c r="BG511" s="1746" t="s">
        <v>2592</v>
      </c>
      <c r="BH511" s="1744">
        <f t="shared" si="68"/>
        <v>6.6825000000000001E-3</v>
      </c>
      <c r="BI511" s="1745">
        <f t="shared" si="65"/>
        <v>6.6824999999999998E-5</v>
      </c>
      <c r="BJ511" s="1740" t="str">
        <f t="shared" si="66"/>
        <v>sacs</v>
      </c>
      <c r="BK511" s="1740" t="str">
        <f t="shared" si="67"/>
        <v>Sachet of powder</v>
      </c>
    </row>
    <row r="512" spans="51:63" ht="15.65" customHeight="1">
      <c r="AY512" s="1746" t="s">
        <v>2593</v>
      </c>
      <c r="AZ512" s="1746">
        <v>2008</v>
      </c>
      <c r="BA512" s="1746" t="s">
        <v>3666</v>
      </c>
      <c r="BB512" s="1747" t="s">
        <v>3667</v>
      </c>
      <c r="BC512" s="1746">
        <v>100</v>
      </c>
      <c r="BD512" s="1746" t="s">
        <v>3662</v>
      </c>
      <c r="BE512" s="1746"/>
      <c r="BF512" s="1746">
        <v>7.9399999999999991E-3</v>
      </c>
      <c r="BG512" s="1746" t="s">
        <v>2597</v>
      </c>
      <c r="BH512" s="1744">
        <f t="shared" si="68"/>
        <v>7.9399999999999991E-3</v>
      </c>
      <c r="BI512" s="1745">
        <f t="shared" si="65"/>
        <v>7.9399999999999992E-5</v>
      </c>
      <c r="BJ512" s="1740" t="str">
        <f t="shared" si="66"/>
        <v>sachets</v>
      </c>
      <c r="BK512" s="1740" t="str">
        <f t="shared" si="67"/>
        <v>Sachet of powder</v>
      </c>
    </row>
    <row r="513" spans="51:63" ht="15.65" customHeight="1">
      <c r="AY513" s="1746" t="s">
        <v>2588</v>
      </c>
      <c r="AZ513" s="1746">
        <v>2006</v>
      </c>
      <c r="BA513" s="1746" t="s">
        <v>3668</v>
      </c>
      <c r="BB513" s="1747" t="s">
        <v>3669</v>
      </c>
      <c r="BC513" s="1746">
        <v>100</v>
      </c>
      <c r="BD513" s="1746" t="s">
        <v>3665</v>
      </c>
      <c r="BE513" s="1746"/>
      <c r="BF513" s="1746">
        <v>7605</v>
      </c>
      <c r="BG513" s="1746" t="s">
        <v>2592</v>
      </c>
      <c r="BH513" s="1744">
        <f t="shared" si="68"/>
        <v>7.6049999999999998E-3</v>
      </c>
      <c r="BI513" s="1745">
        <f t="shared" si="65"/>
        <v>7.6049999999999992E-5</v>
      </c>
      <c r="BJ513" s="1740" t="str">
        <f t="shared" si="66"/>
        <v>sacs</v>
      </c>
      <c r="BK513" s="1740" t="str">
        <f t="shared" si="67"/>
        <v>Sachet of powder</v>
      </c>
    </row>
    <row r="514" spans="51:63" ht="15.65" customHeight="1">
      <c r="AY514" s="1746" t="s">
        <v>2588</v>
      </c>
      <c r="AZ514" s="1746">
        <v>2006</v>
      </c>
      <c r="BA514" s="1746" t="s">
        <v>3670</v>
      </c>
      <c r="BB514" s="1747" t="s">
        <v>3671</v>
      </c>
      <c r="BC514" s="1746">
        <v>1</v>
      </c>
      <c r="BD514" s="1746" t="s">
        <v>2724</v>
      </c>
      <c r="BE514" s="1746"/>
      <c r="BF514" s="1746">
        <v>753</v>
      </c>
      <c r="BG514" s="1746" t="s">
        <v>2592</v>
      </c>
      <c r="BH514" s="1744">
        <f t="shared" si="68"/>
        <v>7.5299999999999998E-4</v>
      </c>
      <c r="BI514" s="1745">
        <f t="shared" si="65"/>
        <v>7.5299999999999998E-4</v>
      </c>
      <c r="BJ514" s="1740" t="str">
        <f t="shared" si="66"/>
        <v>pce</v>
      </c>
      <c r="BK514" s="1740" t="str">
        <f t="shared" si="67"/>
        <v>Roll of tape/gauze</v>
      </c>
    </row>
    <row r="515" spans="51:63" ht="15.65" customHeight="1">
      <c r="AY515" s="1746" t="s">
        <v>2588</v>
      </c>
      <c r="AZ515" s="1746">
        <v>2006</v>
      </c>
      <c r="BA515" s="1746" t="s">
        <v>3672</v>
      </c>
      <c r="BB515" s="1747" t="s">
        <v>3673</v>
      </c>
      <c r="BC515" s="1746">
        <v>1</v>
      </c>
      <c r="BD515" s="1746" t="s">
        <v>2724</v>
      </c>
      <c r="BE515" s="1746"/>
      <c r="BF515" s="1746">
        <v>648</v>
      </c>
      <c r="BG515" s="1746" t="s">
        <v>2592</v>
      </c>
      <c r="BH515" s="1744">
        <f t="shared" si="68"/>
        <v>6.4800000000000003E-4</v>
      </c>
      <c r="BI515" s="1745">
        <f t="shared" si="65"/>
        <v>6.4800000000000003E-4</v>
      </c>
      <c r="BJ515" s="1740" t="str">
        <f t="shared" si="66"/>
        <v>pce</v>
      </c>
      <c r="BK515" s="1740" t="str">
        <f t="shared" si="67"/>
        <v>Roll of tape/gauze</v>
      </c>
    </row>
    <row r="516" spans="51:63" ht="15.65" customHeight="1">
      <c r="AY516" s="1746" t="s">
        <v>2593</v>
      </c>
      <c r="AZ516" s="1746">
        <v>2008</v>
      </c>
      <c r="BA516" s="1746" t="s">
        <v>3674</v>
      </c>
      <c r="BB516" s="1747" t="s">
        <v>3675</v>
      </c>
      <c r="BC516" s="1746">
        <v>1</v>
      </c>
      <c r="BD516" s="1746" t="s">
        <v>2933</v>
      </c>
      <c r="BE516" s="1746"/>
      <c r="BF516" s="1746">
        <v>7.9000000000000001E-4</v>
      </c>
      <c r="BG516" s="1746" t="s">
        <v>2597</v>
      </c>
      <c r="BH516" s="1744">
        <f t="shared" si="68"/>
        <v>7.9000000000000001E-4</v>
      </c>
      <c r="BI516" s="1745">
        <f t="shared" si="65"/>
        <v>7.9000000000000001E-4</v>
      </c>
      <c r="BJ516" s="1740" t="str">
        <f t="shared" si="66"/>
        <v>piece</v>
      </c>
      <c r="BK516" s="1740" t="str">
        <f t="shared" si="67"/>
        <v>Medical equipment</v>
      </c>
    </row>
    <row r="517" spans="51:63" ht="15.65" customHeight="1">
      <c r="AY517" s="1746" t="s">
        <v>2575</v>
      </c>
      <c r="AZ517" s="1746">
        <v>2008</v>
      </c>
      <c r="BA517" s="1746" t="s">
        <v>3676</v>
      </c>
      <c r="BB517" s="1747" t="s">
        <v>3677</v>
      </c>
      <c r="BC517" s="1746" t="s">
        <v>2578</v>
      </c>
      <c r="BD517" s="1746" t="s">
        <v>2579</v>
      </c>
      <c r="BE517" s="1746" t="s">
        <v>3651</v>
      </c>
      <c r="BF517" s="1746">
        <v>960</v>
      </c>
      <c r="BG517" s="1746" t="s">
        <v>2592</v>
      </c>
      <c r="BH517" s="1744">
        <f t="shared" si="68"/>
        <v>9.6000000000000002E-4</v>
      </c>
      <c r="BI517" s="1745" t="str">
        <f t="shared" si="65"/>
        <v/>
      </c>
      <c r="BJ517" s="1740" t="str">
        <f t="shared" si="66"/>
        <v>EA-Other diag. equip.</v>
      </c>
      <c r="BK517" s="1740" t="str">
        <f t="shared" si="67"/>
        <v>Medical equipment</v>
      </c>
    </row>
    <row r="518" spans="51:63" ht="15.65" customHeight="1">
      <c r="AY518" s="1746" t="s">
        <v>2588</v>
      </c>
      <c r="AZ518" s="1746">
        <v>2006</v>
      </c>
      <c r="BA518" s="1746" t="s">
        <v>3678</v>
      </c>
      <c r="BB518" s="1747" t="s">
        <v>3679</v>
      </c>
      <c r="BC518" s="1746">
        <v>1</v>
      </c>
      <c r="BD518" s="1746" t="s">
        <v>2724</v>
      </c>
      <c r="BE518" s="1746"/>
      <c r="BF518" s="1746">
        <v>188370</v>
      </c>
      <c r="BG518" s="1746" t="s">
        <v>2592</v>
      </c>
      <c r="BH518" s="1744">
        <f t="shared" si="68"/>
        <v>0.18837000000000001</v>
      </c>
      <c r="BI518" s="1745">
        <f t="shared" si="65"/>
        <v>0.18837000000000001</v>
      </c>
      <c r="BJ518" s="1740" t="str">
        <f t="shared" si="66"/>
        <v>pce</v>
      </c>
      <c r="BK518" s="1740" t="str">
        <f t="shared" si="67"/>
        <v>Roll of tape/gauze</v>
      </c>
    </row>
    <row r="519" spans="51:63" ht="15.65" customHeight="1">
      <c r="AY519" s="1746" t="s">
        <v>2575</v>
      </c>
      <c r="AZ519" s="1746">
        <v>2008</v>
      </c>
      <c r="BA519" s="1746" t="s">
        <v>3680</v>
      </c>
      <c r="BB519" s="1747" t="s">
        <v>3681</v>
      </c>
      <c r="BC519" s="1746" t="s">
        <v>2578</v>
      </c>
      <c r="BD519" s="1746" t="s">
        <v>2579</v>
      </c>
      <c r="BE519" s="1746" t="s">
        <v>3462</v>
      </c>
      <c r="BF519" s="1746">
        <v>0.14199999999999999</v>
      </c>
      <c r="BG519" s="1746" t="s">
        <v>2597</v>
      </c>
      <c r="BH519" s="1744">
        <f t="shared" si="68"/>
        <v>0.14199999999999999</v>
      </c>
      <c r="BI519" s="1745" t="str">
        <f t="shared" si="65"/>
        <v/>
      </c>
      <c r="BJ519" s="1740" t="str">
        <f t="shared" si="66"/>
        <v>EA-Electrical equipment</v>
      </c>
      <c r="BK519" s="1740" t="str">
        <f t="shared" si="67"/>
        <v>Medical equipment</v>
      </c>
    </row>
    <row r="520" spans="51:63" ht="15.65" customHeight="1">
      <c r="AY520" s="1746" t="s">
        <v>2593</v>
      </c>
      <c r="AZ520" s="1746">
        <v>2008</v>
      </c>
      <c r="BA520" s="1746" t="s">
        <v>3682</v>
      </c>
      <c r="BB520" s="1747" t="s">
        <v>3683</v>
      </c>
      <c r="BC520" s="1746">
        <v>100</v>
      </c>
      <c r="BD520" s="1746" t="s">
        <v>2727</v>
      </c>
      <c r="BE520" s="1746"/>
      <c r="BF520" s="1746">
        <v>4.0499999999999998E-3</v>
      </c>
      <c r="BG520" s="1746" t="s">
        <v>2597</v>
      </c>
      <c r="BH520" s="1744">
        <f t="shared" si="68"/>
        <v>4.0499999999999998E-3</v>
      </c>
      <c r="BI520" s="1745">
        <f t="shared" si="65"/>
        <v>4.0499999999999995E-5</v>
      </c>
      <c r="BJ520" s="1740" t="str">
        <f t="shared" si="66"/>
        <v>ampoules</v>
      </c>
      <c r="BK520" s="1740" t="str">
        <f t="shared" si="67"/>
        <v>Injection Vial</v>
      </c>
    </row>
    <row r="521" spans="51:63" ht="15.65" customHeight="1">
      <c r="AY521" s="1746" t="s">
        <v>2588</v>
      </c>
      <c r="AZ521" s="1746">
        <v>2006</v>
      </c>
      <c r="BA521" s="1746" t="s">
        <v>3684</v>
      </c>
      <c r="BB521" s="1747" t="s">
        <v>3685</v>
      </c>
      <c r="BC521" s="1746">
        <v>100</v>
      </c>
      <c r="BD521" s="1746" t="s">
        <v>2790</v>
      </c>
      <c r="BE521" s="1746"/>
      <c r="BF521" s="1746">
        <v>1469</v>
      </c>
      <c r="BG521" s="1746" t="s">
        <v>2592</v>
      </c>
      <c r="BH521" s="1744">
        <f t="shared" si="68"/>
        <v>1.469E-3</v>
      </c>
      <c r="BI521" s="1745">
        <f t="shared" si="65"/>
        <v>1.469E-5</v>
      </c>
      <c r="BJ521" s="1740" t="str">
        <f t="shared" si="66"/>
        <v>amps</v>
      </c>
      <c r="BK521" s="1740" t="str">
        <f t="shared" si="67"/>
        <v>Injection Vial</v>
      </c>
    </row>
    <row r="522" spans="51:63" ht="15.65" customHeight="1">
      <c r="AY522" s="1746" t="s">
        <v>2593</v>
      </c>
      <c r="AZ522" s="1746">
        <v>2008</v>
      </c>
      <c r="BA522" s="1746" t="s">
        <v>3686</v>
      </c>
      <c r="BB522" s="1747" t="s">
        <v>3687</v>
      </c>
      <c r="BC522" s="1746">
        <v>100</v>
      </c>
      <c r="BD522" s="1746" t="s">
        <v>2727</v>
      </c>
      <c r="BE522" s="1746"/>
      <c r="BF522" s="1746">
        <v>3.0899999999999999E-3</v>
      </c>
      <c r="BG522" s="1746" t="s">
        <v>2597</v>
      </c>
      <c r="BH522" s="1744">
        <f t="shared" si="68"/>
        <v>3.0899999999999999E-3</v>
      </c>
      <c r="BI522" s="1745">
        <f t="shared" si="65"/>
        <v>3.0899999999999999E-5</v>
      </c>
      <c r="BJ522" s="1740" t="str">
        <f t="shared" si="66"/>
        <v>ampoules</v>
      </c>
      <c r="BK522" s="1740" t="str">
        <f t="shared" si="67"/>
        <v>Injection Vial</v>
      </c>
    </row>
    <row r="523" spans="51:63" ht="15.65" customHeight="1">
      <c r="AY523" s="1746" t="s">
        <v>2575</v>
      </c>
      <c r="AZ523" s="1746">
        <v>2008</v>
      </c>
      <c r="BA523" s="1746" t="s">
        <v>3688</v>
      </c>
      <c r="BB523" s="1747" t="s">
        <v>3689</v>
      </c>
      <c r="BC523" s="1746">
        <v>10</v>
      </c>
      <c r="BD523" s="1746" t="s">
        <v>2903</v>
      </c>
      <c r="BE523" s="1746" t="s">
        <v>3690</v>
      </c>
      <c r="BF523" s="1746">
        <v>0.5</v>
      </c>
      <c r="BG523" s="1746" t="s">
        <v>2581</v>
      </c>
      <c r="BH523" s="1744">
        <f t="shared" si="68"/>
        <v>5.0000000000000001E-4</v>
      </c>
      <c r="BI523" s="1745">
        <f t="shared" si="65"/>
        <v>5.0000000000000002E-5</v>
      </c>
      <c r="BJ523" s="1740" t="str">
        <f t="shared" si="66"/>
        <v>BOX-Drgs/obstetr(Oxytoc)</v>
      </c>
      <c r="BK523" s="1740" t="str">
        <f t="shared" si="67"/>
        <v>Injection Vial</v>
      </c>
    </row>
    <row r="524" spans="51:63" ht="15.65" customHeight="1">
      <c r="AY524" s="1746" t="s">
        <v>2575</v>
      </c>
      <c r="AZ524" s="1746">
        <v>2008</v>
      </c>
      <c r="BA524" s="1746" t="s">
        <v>3691</v>
      </c>
      <c r="BB524" s="1747" t="s">
        <v>3692</v>
      </c>
      <c r="BC524" s="1746" t="s">
        <v>2578</v>
      </c>
      <c r="BD524" s="1746" t="s">
        <v>2638</v>
      </c>
      <c r="BE524" s="1746" t="s">
        <v>3605</v>
      </c>
      <c r="BF524" s="1746">
        <v>1.6</v>
      </c>
      <c r="BG524" s="1746" t="s">
        <v>2581</v>
      </c>
      <c r="BH524" s="1744">
        <f t="shared" si="68"/>
        <v>1.6000000000000001E-3</v>
      </c>
      <c r="BI524" s="1745" t="str">
        <f t="shared" si="65"/>
        <v/>
      </c>
      <c r="BJ524" s="1740" t="str">
        <f t="shared" si="66"/>
        <v>PAC-Medical stationery</v>
      </c>
      <c r="BK524" s="1740" t="str">
        <f t="shared" si="67"/>
        <v>Medical equipment</v>
      </c>
    </row>
    <row r="525" spans="51:63" ht="15.65" customHeight="1">
      <c r="AY525" s="1746" t="s">
        <v>2575</v>
      </c>
      <c r="AZ525" s="1746">
        <v>2008</v>
      </c>
      <c r="BA525" s="1746" t="s">
        <v>3693</v>
      </c>
      <c r="BB525" s="1747" t="s">
        <v>3694</v>
      </c>
      <c r="BC525" s="1746" t="s">
        <v>2578</v>
      </c>
      <c r="BD525" s="1746" t="s">
        <v>2579</v>
      </c>
      <c r="BE525" s="1746" t="s">
        <v>3172</v>
      </c>
      <c r="BF525" s="1746">
        <v>10.101000000000001</v>
      </c>
      <c r="BG525" s="1746" t="s">
        <v>2581</v>
      </c>
      <c r="BH525" s="1744">
        <f t="shared" si="68"/>
        <v>1.0101000000000001E-2</v>
      </c>
      <c r="BI525" s="1745" t="str">
        <f t="shared" si="65"/>
        <v/>
      </c>
      <c r="BJ525" s="1740" t="str">
        <f t="shared" si="66"/>
        <v>EA-Steel utensils</v>
      </c>
      <c r="BK525" s="1740" t="str">
        <f t="shared" si="67"/>
        <v>Medical equipment</v>
      </c>
    </row>
    <row r="526" spans="51:63" ht="15.65" customHeight="1">
      <c r="AY526" s="1746" t="s">
        <v>2593</v>
      </c>
      <c r="AZ526" s="1746">
        <v>2008</v>
      </c>
      <c r="BA526" s="1746" t="s">
        <v>3695</v>
      </c>
      <c r="BB526" s="1747" t="s">
        <v>3696</v>
      </c>
      <c r="BC526" s="1746">
        <v>100</v>
      </c>
      <c r="BD526" s="1746" t="s">
        <v>2727</v>
      </c>
      <c r="BE526" s="1746"/>
      <c r="BF526" s="1746">
        <v>2.99E-3</v>
      </c>
      <c r="BG526" s="1746" t="s">
        <v>2597</v>
      </c>
      <c r="BH526" s="1744">
        <f t="shared" si="68"/>
        <v>2.99E-3</v>
      </c>
      <c r="BI526" s="1745">
        <f t="shared" si="65"/>
        <v>2.9900000000000002E-5</v>
      </c>
      <c r="BJ526" s="1740" t="str">
        <f t="shared" si="66"/>
        <v>ampoules</v>
      </c>
      <c r="BK526" s="1740" t="str">
        <f t="shared" si="67"/>
        <v>Injection Vial</v>
      </c>
    </row>
    <row r="527" spans="51:63" ht="15.65" customHeight="1">
      <c r="AY527" s="1746" t="s">
        <v>2588</v>
      </c>
      <c r="AZ527" s="1746">
        <v>2006</v>
      </c>
      <c r="BA527" s="1746" t="s">
        <v>3697</v>
      </c>
      <c r="BB527" s="1747" t="s">
        <v>3698</v>
      </c>
      <c r="BC527" s="1746">
        <v>100</v>
      </c>
      <c r="BD527" s="1746" t="s">
        <v>2790</v>
      </c>
      <c r="BE527" s="1746"/>
      <c r="BF527" s="1746">
        <v>2968</v>
      </c>
      <c r="BG527" s="1746" t="s">
        <v>2592</v>
      </c>
      <c r="BH527" s="1744">
        <f t="shared" si="68"/>
        <v>2.9680000000000002E-3</v>
      </c>
      <c r="BI527" s="1745">
        <f t="shared" si="65"/>
        <v>2.968E-5</v>
      </c>
      <c r="BJ527" s="1740" t="str">
        <f t="shared" si="66"/>
        <v>amps</v>
      </c>
      <c r="BK527" s="1740" t="str">
        <f t="shared" si="67"/>
        <v>Injection Vial</v>
      </c>
    </row>
    <row r="528" spans="51:63" ht="15.65" customHeight="1">
      <c r="AY528" s="1746" t="s">
        <v>2588</v>
      </c>
      <c r="AZ528" s="1746">
        <v>2006</v>
      </c>
      <c r="BA528" s="1746" t="s">
        <v>3699</v>
      </c>
      <c r="BB528" s="1747" t="s">
        <v>3700</v>
      </c>
      <c r="BC528" s="1746">
        <v>1000</v>
      </c>
      <c r="BD528" s="1746" t="s">
        <v>2615</v>
      </c>
      <c r="BE528" s="1746"/>
      <c r="BF528" s="1746">
        <v>627.4</v>
      </c>
      <c r="BG528" s="1746" t="s">
        <v>2592</v>
      </c>
      <c r="BH528" s="1744">
        <f t="shared" si="68"/>
        <v>6.2739999999999996E-4</v>
      </c>
      <c r="BI528" s="1745">
        <f t="shared" si="65"/>
        <v>6.2739999999999991E-7</v>
      </c>
      <c r="BJ528" s="1740" t="str">
        <f t="shared" si="66"/>
        <v>tabs</v>
      </c>
      <c r="BK528" s="1740" t="str">
        <f t="shared" si="67"/>
        <v>Bottle of Tablets</v>
      </c>
    </row>
    <row r="529" spans="51:63" ht="15.65" customHeight="1">
      <c r="AY529" s="1746" t="s">
        <v>2593</v>
      </c>
      <c r="AZ529" s="1746">
        <v>2008</v>
      </c>
      <c r="BA529" s="1746" t="s">
        <v>3701</v>
      </c>
      <c r="BB529" s="1747" t="s">
        <v>3702</v>
      </c>
      <c r="BC529" s="1750">
        <v>1000</v>
      </c>
      <c r="BD529" s="1746" t="s">
        <v>2601</v>
      </c>
      <c r="BE529" s="1746"/>
      <c r="BF529" s="1746">
        <v>4.6999999999999999E-4</v>
      </c>
      <c r="BG529" s="1746" t="s">
        <v>2597</v>
      </c>
      <c r="BH529" s="1744">
        <f t="shared" si="68"/>
        <v>4.6999999999999999E-4</v>
      </c>
      <c r="BI529" s="1745">
        <f t="shared" si="65"/>
        <v>4.7E-7</v>
      </c>
      <c r="BJ529" s="1740" t="str">
        <f t="shared" si="66"/>
        <v>tablets</v>
      </c>
      <c r="BK529" s="1740" t="str">
        <f t="shared" si="67"/>
        <v>Bottle of Tablets</v>
      </c>
    </row>
    <row r="530" spans="51:63" ht="15.65" customHeight="1">
      <c r="AY530" s="1746" t="s">
        <v>2575</v>
      </c>
      <c r="AZ530" s="1746">
        <v>2008</v>
      </c>
      <c r="BA530" s="1746" t="s">
        <v>3703</v>
      </c>
      <c r="BB530" s="1747" t="s">
        <v>3704</v>
      </c>
      <c r="BC530" s="1746" t="s">
        <v>2578</v>
      </c>
      <c r="BD530" s="1746" t="s">
        <v>2638</v>
      </c>
      <c r="BE530" s="1746" t="s">
        <v>2639</v>
      </c>
      <c r="BF530" s="1746">
        <v>0.46</v>
      </c>
      <c r="BG530" s="1746" t="s">
        <v>2581</v>
      </c>
      <c r="BH530" s="1744">
        <f t="shared" si="68"/>
        <v>4.6000000000000001E-4</v>
      </c>
      <c r="BI530" s="1745" t="str">
        <f t="shared" si="65"/>
        <v/>
      </c>
      <c r="BJ530" s="1740" t="str">
        <f t="shared" si="66"/>
        <v>PAC-Analg., non opioids</v>
      </c>
      <c r="BK530" s="1740" t="str">
        <f t="shared" si="67"/>
        <v>Bottle of Tablets</v>
      </c>
    </row>
    <row r="531" spans="51:63" ht="15.65" customHeight="1">
      <c r="AY531" s="1746" t="s">
        <v>2588</v>
      </c>
      <c r="AZ531" s="1746">
        <v>2006</v>
      </c>
      <c r="BA531" s="1746" t="s">
        <v>3705</v>
      </c>
      <c r="BB531" s="1747" t="s">
        <v>3706</v>
      </c>
      <c r="BC531" s="1746">
        <v>100</v>
      </c>
      <c r="BD531" s="1746" t="s">
        <v>2912</v>
      </c>
      <c r="BE531" s="1746"/>
      <c r="BF531" s="1746">
        <v>847</v>
      </c>
      <c r="BG531" s="1746" t="s">
        <v>2592</v>
      </c>
      <c r="BH531" s="1744">
        <f t="shared" si="68"/>
        <v>8.4699999999999999E-4</v>
      </c>
      <c r="BI531" s="1745">
        <f t="shared" ref="BI531:BI594" si="69">IFERROR(BH531/BC531,"")</f>
        <v>8.4700000000000002E-6</v>
      </c>
      <c r="BJ531" s="1740" t="str">
        <f t="shared" ref="BJ531:BJ594" si="70">IF(BE531="",BD531,BD531&amp;"-"&amp;BE531)</f>
        <v>supps</v>
      </c>
      <c r="BK531" s="1740" t="str">
        <f t="shared" si="67"/>
        <v>Suppository</v>
      </c>
    </row>
    <row r="532" spans="51:63" ht="15.65" customHeight="1">
      <c r="AY532" s="1746" t="s">
        <v>2588</v>
      </c>
      <c r="AZ532" s="1746">
        <v>2006</v>
      </c>
      <c r="BA532" s="1746" t="s">
        <v>3707</v>
      </c>
      <c r="BB532" s="1747" t="s">
        <v>3708</v>
      </c>
      <c r="BC532" s="1746">
        <v>1</v>
      </c>
      <c r="BD532" s="1746" t="s">
        <v>2596</v>
      </c>
      <c r="BE532" s="1746"/>
      <c r="BF532" s="1746">
        <v>8680</v>
      </c>
      <c r="BG532" s="1746" t="s">
        <v>2592</v>
      </c>
      <c r="BH532" s="1744">
        <f t="shared" si="68"/>
        <v>8.6800000000000002E-3</v>
      </c>
      <c r="BI532" s="1745">
        <f t="shared" si="69"/>
        <v>8.6800000000000002E-3</v>
      </c>
      <c r="BJ532" s="1740" t="str">
        <f t="shared" si="70"/>
        <v>bottle</v>
      </c>
      <c r="BK532" s="1740" t="str">
        <f t="shared" ref="BK532:BK595" si="71">IFERROR(INDEX($BO$18:$BO$136,MATCH(BJ532,$BN$18:$BN$136,0)),"")</f>
        <v>Bottle of Liquid</v>
      </c>
    </row>
    <row r="533" spans="51:63" ht="15.65" customHeight="1">
      <c r="AY533" s="1746" t="s">
        <v>2588</v>
      </c>
      <c r="AZ533" s="1746">
        <v>2006</v>
      </c>
      <c r="BA533" s="1746" t="s">
        <v>3709</v>
      </c>
      <c r="BB533" s="1747" t="s">
        <v>3710</v>
      </c>
      <c r="BC533" s="1746">
        <v>195</v>
      </c>
      <c r="BD533" s="1746" t="s">
        <v>2836</v>
      </c>
      <c r="BE533" s="1746"/>
      <c r="BF533" s="1746">
        <v>34100</v>
      </c>
      <c r="BG533" s="1746" t="s">
        <v>2592</v>
      </c>
      <c r="BH533" s="1744">
        <f t="shared" si="68"/>
        <v>3.4099999999999998E-2</v>
      </c>
      <c r="BI533" s="1745">
        <f t="shared" si="69"/>
        <v>1.7487179487179488E-4</v>
      </c>
      <c r="BJ533" s="1740" t="str">
        <f t="shared" si="70"/>
        <v>btls</v>
      </c>
      <c r="BK533" s="1740" t="str">
        <f t="shared" si="71"/>
        <v>Bottle of Liquid</v>
      </c>
    </row>
    <row r="534" spans="51:63" ht="15.65" customHeight="1">
      <c r="AY534" s="1746" t="s">
        <v>2593</v>
      </c>
      <c r="AZ534" s="1746">
        <v>2008</v>
      </c>
      <c r="BA534" s="1746" t="s">
        <v>3711</v>
      </c>
      <c r="BB534" s="1747" t="s">
        <v>3712</v>
      </c>
      <c r="BC534" s="1746">
        <v>1</v>
      </c>
      <c r="BD534" s="1746" t="s">
        <v>2596</v>
      </c>
      <c r="BE534" s="1746"/>
      <c r="BF534" s="1746">
        <v>2.9999999999999997E-4</v>
      </c>
      <c r="BG534" s="1746" t="s">
        <v>2597</v>
      </c>
      <c r="BH534" s="1744">
        <f t="shared" si="68"/>
        <v>2.9999999999999997E-4</v>
      </c>
      <c r="BI534" s="1745">
        <f t="shared" si="69"/>
        <v>2.9999999999999997E-4</v>
      </c>
      <c r="BJ534" s="1740" t="str">
        <f t="shared" si="70"/>
        <v>bottle</v>
      </c>
      <c r="BK534" s="1740" t="str">
        <f t="shared" si="71"/>
        <v>Bottle of Liquid</v>
      </c>
    </row>
    <row r="535" spans="51:63" ht="15.65" customHeight="1">
      <c r="AY535" s="1746" t="s">
        <v>2593</v>
      </c>
      <c r="AZ535" s="1746">
        <v>2008</v>
      </c>
      <c r="BA535" s="1746" t="s">
        <v>3713</v>
      </c>
      <c r="BB535" s="1747" t="s">
        <v>3714</v>
      </c>
      <c r="BC535" s="1746">
        <v>1</v>
      </c>
      <c r="BD535" s="1746" t="s">
        <v>2596</v>
      </c>
      <c r="BE535" s="1746"/>
      <c r="BF535" s="1746">
        <v>3.3E-4</v>
      </c>
      <c r="BG535" s="1746" t="s">
        <v>2597</v>
      </c>
      <c r="BH535" s="1744">
        <f t="shared" si="68"/>
        <v>3.3E-4</v>
      </c>
      <c r="BI535" s="1745">
        <f t="shared" si="69"/>
        <v>3.3E-4</v>
      </c>
      <c r="BJ535" s="1740" t="str">
        <f t="shared" si="70"/>
        <v>bottle</v>
      </c>
      <c r="BK535" s="1740" t="str">
        <f t="shared" si="71"/>
        <v>Bottle of Liquid</v>
      </c>
    </row>
    <row r="536" spans="51:63" ht="15.65" customHeight="1">
      <c r="AY536" s="1746" t="s">
        <v>2593</v>
      </c>
      <c r="AZ536" s="1746">
        <v>2008</v>
      </c>
      <c r="BA536" s="1746" t="s">
        <v>3715</v>
      </c>
      <c r="BB536" s="1747" t="s">
        <v>3716</v>
      </c>
      <c r="BC536" s="1746">
        <v>1</v>
      </c>
      <c r="BD536" s="1746" t="s">
        <v>2596</v>
      </c>
      <c r="BE536" s="1746"/>
      <c r="BF536" s="1746">
        <v>1.8000000000000001E-4</v>
      </c>
      <c r="BG536" s="1746" t="s">
        <v>2597</v>
      </c>
      <c r="BH536" s="1744">
        <f t="shared" si="68"/>
        <v>1.8000000000000001E-4</v>
      </c>
      <c r="BI536" s="1745">
        <f t="shared" si="69"/>
        <v>1.8000000000000001E-4</v>
      </c>
      <c r="BJ536" s="1740" t="str">
        <f t="shared" si="70"/>
        <v>bottle</v>
      </c>
      <c r="BK536" s="1740" t="str">
        <f t="shared" si="71"/>
        <v>Bottle of Liquid</v>
      </c>
    </row>
    <row r="537" spans="51:63" ht="15.65" customHeight="1">
      <c r="AY537" s="1746" t="s">
        <v>2575</v>
      </c>
      <c r="AZ537" s="1746">
        <v>2008</v>
      </c>
      <c r="BA537" s="1746" t="s">
        <v>3717</v>
      </c>
      <c r="BB537" s="1747" t="s">
        <v>3718</v>
      </c>
      <c r="BC537" s="1746" t="s">
        <v>2578</v>
      </c>
      <c r="BD537" s="1746" t="s">
        <v>2775</v>
      </c>
      <c r="BE537" s="1746" t="s">
        <v>2639</v>
      </c>
      <c r="BF537" s="1746">
        <v>0.504</v>
      </c>
      <c r="BG537" s="1746" t="s">
        <v>2581</v>
      </c>
      <c r="BH537" s="1744">
        <f t="shared" ref="BH537:BH600" si="72">IF(BG537="CCM",BF537/1000000,IF(BG537="CDM",BF537/1000, IF(BG537="M3",BF537,"")))</f>
        <v>5.04E-4</v>
      </c>
      <c r="BI537" s="1745" t="str">
        <f t="shared" si="69"/>
        <v/>
      </c>
      <c r="BJ537" s="1740" t="str">
        <f t="shared" si="70"/>
        <v>BOT-Analg., non opioids</v>
      </c>
      <c r="BK537" s="1740" t="str">
        <f t="shared" si="71"/>
        <v>Bottle of Liquid</v>
      </c>
    </row>
    <row r="538" spans="51:63" ht="15.65" customHeight="1">
      <c r="AY538" s="1746" t="s">
        <v>2588</v>
      </c>
      <c r="AZ538" s="1746">
        <v>2006</v>
      </c>
      <c r="BA538" s="1746" t="s">
        <v>3719</v>
      </c>
      <c r="BB538" s="1747" t="s">
        <v>3720</v>
      </c>
      <c r="BC538" s="1746">
        <v>1000</v>
      </c>
      <c r="BD538" s="1746" t="s">
        <v>2615</v>
      </c>
      <c r="BE538" s="1746"/>
      <c r="BF538" s="1746">
        <v>1612.7</v>
      </c>
      <c r="BG538" s="1746" t="s">
        <v>2592</v>
      </c>
      <c r="BH538" s="1744">
        <f t="shared" si="72"/>
        <v>1.6127000000000001E-3</v>
      </c>
      <c r="BI538" s="1745">
        <f t="shared" si="69"/>
        <v>1.6127E-6</v>
      </c>
      <c r="BJ538" s="1740" t="str">
        <f t="shared" si="70"/>
        <v>tabs</v>
      </c>
      <c r="BK538" s="1740" t="str">
        <f t="shared" si="71"/>
        <v>Bottle of Tablets</v>
      </c>
    </row>
    <row r="539" spans="51:63" ht="15.65" customHeight="1">
      <c r="AY539" s="1746" t="s">
        <v>2593</v>
      </c>
      <c r="AZ539" s="1746">
        <v>2008</v>
      </c>
      <c r="BA539" s="1746" t="s">
        <v>3721</v>
      </c>
      <c r="BB539" s="1747" t="s">
        <v>3722</v>
      </c>
      <c r="BC539" s="1750">
        <v>1000</v>
      </c>
      <c r="BD539" s="1746" t="s">
        <v>2601</v>
      </c>
      <c r="BE539" s="1746"/>
      <c r="BF539" s="1746">
        <v>2.7799999999999999E-3</v>
      </c>
      <c r="BG539" s="1746" t="s">
        <v>2597</v>
      </c>
      <c r="BH539" s="1744">
        <f t="shared" si="72"/>
        <v>2.7799999999999999E-3</v>
      </c>
      <c r="BI539" s="1745">
        <f t="shared" si="69"/>
        <v>2.7800000000000001E-6</v>
      </c>
      <c r="BJ539" s="1740" t="str">
        <f t="shared" si="70"/>
        <v>tablets</v>
      </c>
      <c r="BK539" s="1740" t="str">
        <f t="shared" si="71"/>
        <v>Bottle of Tablets</v>
      </c>
    </row>
    <row r="540" spans="51:63" ht="15.65" customHeight="1">
      <c r="AY540" s="1746" t="s">
        <v>2575</v>
      </c>
      <c r="AZ540" s="1746">
        <v>2008</v>
      </c>
      <c r="BA540" s="1746" t="s">
        <v>3723</v>
      </c>
      <c r="BB540" s="1747" t="s">
        <v>3724</v>
      </c>
      <c r="BC540" s="1746" t="s">
        <v>2578</v>
      </c>
      <c r="BD540" s="1746" t="s">
        <v>2638</v>
      </c>
      <c r="BE540" s="1746" t="s">
        <v>2639</v>
      </c>
      <c r="BF540" s="1746">
        <v>2.0720000000000001</v>
      </c>
      <c r="BG540" s="1746" t="s">
        <v>2581</v>
      </c>
      <c r="BH540" s="1744">
        <f t="shared" si="72"/>
        <v>2.0720000000000001E-3</v>
      </c>
      <c r="BI540" s="1745" t="str">
        <f t="shared" si="69"/>
        <v/>
      </c>
      <c r="BJ540" s="1740" t="str">
        <f t="shared" si="70"/>
        <v>PAC-Analg., non opioids</v>
      </c>
      <c r="BK540" s="1740" t="str">
        <f t="shared" si="71"/>
        <v>Bottle of Tablets</v>
      </c>
    </row>
    <row r="541" spans="51:63" ht="15.65" customHeight="1">
      <c r="AY541" s="1746" t="s">
        <v>2588</v>
      </c>
      <c r="AZ541" s="1746">
        <v>2006</v>
      </c>
      <c r="BA541" s="1746" t="s">
        <v>3725</v>
      </c>
      <c r="BB541" s="1747" t="s">
        <v>3726</v>
      </c>
      <c r="BC541" s="1746" t="s">
        <v>2844</v>
      </c>
      <c r="BD541" s="1746" t="s">
        <v>2615</v>
      </c>
      <c r="BE541" s="1746"/>
      <c r="BF541" s="1746">
        <v>2480.6</v>
      </c>
      <c r="BG541" s="1746" t="s">
        <v>2592</v>
      </c>
      <c r="BH541" s="1744">
        <f t="shared" si="72"/>
        <v>2.4805999999999999E-3</v>
      </c>
      <c r="BI541" s="1745" t="str">
        <f t="shared" si="69"/>
        <v/>
      </c>
      <c r="BJ541" s="1740" t="str">
        <f t="shared" si="70"/>
        <v>tabs</v>
      </c>
      <c r="BK541" s="1740" t="str">
        <f t="shared" si="71"/>
        <v>Bottle of Tablets</v>
      </c>
    </row>
    <row r="542" spans="51:63" ht="15.65" customHeight="1">
      <c r="AY542" s="1746" t="s">
        <v>2588</v>
      </c>
      <c r="AZ542" s="1746">
        <v>2006</v>
      </c>
      <c r="BA542" s="1746" t="s">
        <v>3727</v>
      </c>
      <c r="BB542" s="1747" t="s">
        <v>3728</v>
      </c>
      <c r="BC542" s="1746">
        <v>1</v>
      </c>
      <c r="BD542" s="1746" t="s">
        <v>2596</v>
      </c>
      <c r="BE542" s="1746"/>
      <c r="BF542" s="1746">
        <v>1403</v>
      </c>
      <c r="BG542" s="1746" t="s">
        <v>2592</v>
      </c>
      <c r="BH542" s="1744">
        <f t="shared" si="72"/>
        <v>1.403E-3</v>
      </c>
      <c r="BI542" s="1745">
        <f t="shared" si="69"/>
        <v>1.403E-3</v>
      </c>
      <c r="BJ542" s="1740" t="str">
        <f t="shared" si="70"/>
        <v>bottle</v>
      </c>
      <c r="BK542" s="1740" t="str">
        <f t="shared" si="71"/>
        <v>Bottle of Liquid</v>
      </c>
    </row>
    <row r="543" spans="51:63" ht="15.65" customHeight="1">
      <c r="AY543" s="1746" t="s">
        <v>2588</v>
      </c>
      <c r="AZ543" s="1746">
        <v>2006</v>
      </c>
      <c r="BA543" s="1746" t="s">
        <v>3729</v>
      </c>
      <c r="BB543" s="1747" t="s">
        <v>3730</v>
      </c>
      <c r="BC543" s="1746">
        <v>1</v>
      </c>
      <c r="BD543" s="1746" t="s">
        <v>2724</v>
      </c>
      <c r="BE543" s="1746"/>
      <c r="BF543" s="1746">
        <v>8935.9</v>
      </c>
      <c r="BG543" s="1746" t="s">
        <v>2592</v>
      </c>
      <c r="BH543" s="1744">
        <f t="shared" si="72"/>
        <v>8.9359000000000001E-3</v>
      </c>
      <c r="BI543" s="1745">
        <f t="shared" si="69"/>
        <v>8.9359000000000001E-3</v>
      </c>
      <c r="BJ543" s="1740" t="str">
        <f t="shared" si="70"/>
        <v>pce</v>
      </c>
      <c r="BK543" s="1740" t="str">
        <f t="shared" si="71"/>
        <v>Roll of tape/gauze</v>
      </c>
    </row>
    <row r="544" spans="51:63" ht="15.65" customHeight="1">
      <c r="AY544" s="1746" t="s">
        <v>2588</v>
      </c>
      <c r="AZ544" s="1746">
        <v>2006</v>
      </c>
      <c r="BA544" s="1746" t="s">
        <v>3731</v>
      </c>
      <c r="BB544" s="1747" t="s">
        <v>3732</v>
      </c>
      <c r="BC544" s="1746">
        <v>1000</v>
      </c>
      <c r="BD544" s="1746" t="s">
        <v>2615</v>
      </c>
      <c r="BE544" s="1746"/>
      <c r="BF544" s="1746">
        <v>2547</v>
      </c>
      <c r="BG544" s="1746" t="s">
        <v>2592</v>
      </c>
      <c r="BH544" s="1744">
        <f t="shared" si="72"/>
        <v>2.5469999999999998E-3</v>
      </c>
      <c r="BI544" s="1745">
        <f t="shared" si="69"/>
        <v>2.5469999999999999E-6</v>
      </c>
      <c r="BJ544" s="1740" t="str">
        <f t="shared" si="70"/>
        <v>tabs</v>
      </c>
      <c r="BK544" s="1740" t="str">
        <f t="shared" si="71"/>
        <v>Bottle of Tablets</v>
      </c>
    </row>
    <row r="545" spans="51:63" ht="15.65" customHeight="1">
      <c r="AY545" s="1746" t="s">
        <v>2593</v>
      </c>
      <c r="AZ545" s="1746">
        <v>2008</v>
      </c>
      <c r="BA545" s="1746" t="s">
        <v>3733</v>
      </c>
      <c r="BB545" s="1747" t="s">
        <v>3734</v>
      </c>
      <c r="BC545" s="1746">
        <v>1</v>
      </c>
      <c r="BD545" s="1746" t="s">
        <v>2933</v>
      </c>
      <c r="BE545" s="1746"/>
      <c r="BF545" s="1746">
        <v>9.2000000000000003E-4</v>
      </c>
      <c r="BG545" s="1746" t="s">
        <v>2597</v>
      </c>
      <c r="BH545" s="1744">
        <f t="shared" si="72"/>
        <v>9.2000000000000003E-4</v>
      </c>
      <c r="BI545" s="1745">
        <f t="shared" si="69"/>
        <v>9.2000000000000003E-4</v>
      </c>
      <c r="BJ545" s="1740" t="str">
        <f t="shared" si="70"/>
        <v>piece</v>
      </c>
      <c r="BK545" s="1740" t="str">
        <f t="shared" si="71"/>
        <v>Medical equipment</v>
      </c>
    </row>
    <row r="546" spans="51:63" ht="15.65" customHeight="1">
      <c r="AY546" s="1746" t="s">
        <v>2575</v>
      </c>
      <c r="AZ546" s="1746">
        <v>2008</v>
      </c>
      <c r="BA546" s="1746" t="s">
        <v>3735</v>
      </c>
      <c r="BB546" s="1747" t="s">
        <v>3736</v>
      </c>
      <c r="BC546" s="1746" t="s">
        <v>2578</v>
      </c>
      <c r="BD546" s="1746" t="s">
        <v>2579</v>
      </c>
      <c r="BE546" s="1746" t="s">
        <v>3651</v>
      </c>
      <c r="BF546" s="1746">
        <v>0.42</v>
      </c>
      <c r="BG546" s="1746" t="s">
        <v>2581</v>
      </c>
      <c r="BH546" s="1744">
        <f t="shared" si="72"/>
        <v>4.1999999999999996E-4</v>
      </c>
      <c r="BI546" s="1745" t="str">
        <f t="shared" si="69"/>
        <v/>
      </c>
      <c r="BJ546" s="1740" t="str">
        <f t="shared" si="70"/>
        <v>EA-Other diag. equip.</v>
      </c>
      <c r="BK546" s="1740" t="str">
        <f t="shared" si="71"/>
        <v>Medical equipment</v>
      </c>
    </row>
    <row r="547" spans="51:63" ht="15.65" customHeight="1">
      <c r="AY547" s="1746" t="s">
        <v>2588</v>
      </c>
      <c r="AZ547" s="1746">
        <v>2006</v>
      </c>
      <c r="BA547" s="1746" t="s">
        <v>3737</v>
      </c>
      <c r="BB547" s="1747" t="s">
        <v>3738</v>
      </c>
      <c r="BC547" s="1746">
        <v>1</v>
      </c>
      <c r="BD547" s="1746" t="s">
        <v>2724</v>
      </c>
      <c r="BE547" s="1746"/>
      <c r="BF547" s="1746">
        <v>18</v>
      </c>
      <c r="BG547" s="1746" t="s">
        <v>2592</v>
      </c>
      <c r="BH547" s="1744">
        <f t="shared" si="72"/>
        <v>1.8E-5</v>
      </c>
      <c r="BI547" s="1745">
        <f t="shared" si="69"/>
        <v>1.8E-5</v>
      </c>
      <c r="BJ547" s="1740" t="str">
        <f t="shared" si="70"/>
        <v>pce</v>
      </c>
      <c r="BK547" s="1740" t="str">
        <f t="shared" si="71"/>
        <v>Roll of tape/gauze</v>
      </c>
    </row>
    <row r="548" spans="51:63" ht="15.65" customHeight="1">
      <c r="AY548" s="1746" t="s">
        <v>2593</v>
      </c>
      <c r="AZ548" s="1746">
        <v>2008</v>
      </c>
      <c r="BA548" s="1746" t="s">
        <v>3739</v>
      </c>
      <c r="BB548" s="1747" t="s">
        <v>3740</v>
      </c>
      <c r="BC548" s="1746">
        <v>5</v>
      </c>
      <c r="BD548" s="1746" t="s">
        <v>2795</v>
      </c>
      <c r="BE548" s="1746"/>
      <c r="BF548" s="1746">
        <v>3.8000000000000002E-4</v>
      </c>
      <c r="BG548" s="1746" t="s">
        <v>2597</v>
      </c>
      <c r="BH548" s="1744">
        <f t="shared" si="72"/>
        <v>3.8000000000000002E-4</v>
      </c>
      <c r="BI548" s="1745">
        <f t="shared" si="69"/>
        <v>7.6000000000000004E-5</v>
      </c>
      <c r="BJ548" s="1740" t="str">
        <f t="shared" si="70"/>
        <v>vials</v>
      </c>
      <c r="BK548" s="1740" t="str">
        <f t="shared" si="71"/>
        <v>Injection Vial</v>
      </c>
    </row>
    <row r="549" spans="51:63" ht="15.65" customHeight="1">
      <c r="AY549" s="1746" t="s">
        <v>2593</v>
      </c>
      <c r="AZ549" s="1746">
        <v>2008</v>
      </c>
      <c r="BA549" s="1746" t="s">
        <v>3741</v>
      </c>
      <c r="BB549" s="1747" t="s">
        <v>3742</v>
      </c>
      <c r="BC549" s="1746">
        <v>100</v>
      </c>
      <c r="BD549" s="1746" t="s">
        <v>2727</v>
      </c>
      <c r="BE549" s="1746"/>
      <c r="BF549" s="1746">
        <v>2.1700000000000001E-3</v>
      </c>
      <c r="BG549" s="1746" t="s">
        <v>2597</v>
      </c>
      <c r="BH549" s="1744">
        <f t="shared" si="72"/>
        <v>2.1700000000000001E-3</v>
      </c>
      <c r="BI549" s="1745">
        <f t="shared" si="69"/>
        <v>2.1699999999999999E-5</v>
      </c>
      <c r="BJ549" s="1740" t="str">
        <f t="shared" si="70"/>
        <v>ampoules</v>
      </c>
      <c r="BK549" s="1740" t="str">
        <f t="shared" si="71"/>
        <v>Injection Vial</v>
      </c>
    </row>
    <row r="550" spans="51:63" ht="15.65" customHeight="1">
      <c r="AY550" s="1746" t="s">
        <v>2588</v>
      </c>
      <c r="AZ550" s="1746">
        <v>2006</v>
      </c>
      <c r="BA550" s="1746" t="s">
        <v>3743</v>
      </c>
      <c r="BB550" s="1747" t="s">
        <v>3744</v>
      </c>
      <c r="BC550" s="1746">
        <v>100</v>
      </c>
      <c r="BD550" s="1746" t="s">
        <v>2790</v>
      </c>
      <c r="BE550" s="1746"/>
      <c r="BF550" s="1746">
        <v>1468</v>
      </c>
      <c r="BG550" s="1746" t="s">
        <v>2592</v>
      </c>
      <c r="BH550" s="1744">
        <f t="shared" si="72"/>
        <v>1.4679999999999999E-3</v>
      </c>
      <c r="BI550" s="1745">
        <f t="shared" si="69"/>
        <v>1.4679999999999998E-5</v>
      </c>
      <c r="BJ550" s="1740" t="str">
        <f t="shared" si="70"/>
        <v>amps</v>
      </c>
      <c r="BK550" s="1740" t="str">
        <f t="shared" si="71"/>
        <v>Injection Vial</v>
      </c>
    </row>
    <row r="551" spans="51:63" ht="15.65" customHeight="1">
      <c r="AY551" s="1746" t="s">
        <v>2575</v>
      </c>
      <c r="AZ551" s="1746">
        <v>2008</v>
      </c>
      <c r="BA551" s="1746" t="s">
        <v>3745</v>
      </c>
      <c r="BB551" s="1747" t="s">
        <v>3746</v>
      </c>
      <c r="BC551" s="1746" t="s">
        <v>2578</v>
      </c>
      <c r="BD551" s="1746" t="s">
        <v>2579</v>
      </c>
      <c r="BE551" s="1746" t="s">
        <v>3747</v>
      </c>
      <c r="BF551" s="1746">
        <v>5.2999999999999999E-2</v>
      </c>
      <c r="BG551" s="1746" t="s">
        <v>2597</v>
      </c>
      <c r="BH551" s="1744">
        <f t="shared" si="72"/>
        <v>5.2999999999999999E-2</v>
      </c>
      <c r="BI551" s="1745" t="str">
        <f t="shared" si="69"/>
        <v/>
      </c>
      <c r="BJ551" s="1740" t="str">
        <f t="shared" si="70"/>
        <v>EA-Anti-infective drugs</v>
      </c>
      <c r="BK551" s="1740" t="str">
        <f t="shared" si="71"/>
        <v>PEP Kit</v>
      </c>
    </row>
    <row r="552" spans="51:63" ht="15.65" customHeight="1">
      <c r="AY552" s="1746" t="s">
        <v>2575</v>
      </c>
      <c r="AZ552" s="1746">
        <v>2008</v>
      </c>
      <c r="BA552" s="1746" t="s">
        <v>3748</v>
      </c>
      <c r="BB552" s="1747" t="s">
        <v>3749</v>
      </c>
      <c r="BC552" s="1746" t="s">
        <v>2578</v>
      </c>
      <c r="BD552" s="1746" t="s">
        <v>2579</v>
      </c>
      <c r="BE552" s="1746" t="s">
        <v>3750</v>
      </c>
      <c r="BF552" s="1746">
        <v>0.32900000000000001</v>
      </c>
      <c r="BG552" s="1746" t="s">
        <v>2581</v>
      </c>
      <c r="BH552" s="1744">
        <f t="shared" si="72"/>
        <v>3.2900000000000003E-4</v>
      </c>
      <c r="BI552" s="1745" t="str">
        <f t="shared" si="69"/>
        <v/>
      </c>
      <c r="BJ552" s="1740" t="str">
        <f t="shared" si="70"/>
        <v>EA-Cutting/shearing</v>
      </c>
      <c r="BK552" s="1740" t="str">
        <f t="shared" si="71"/>
        <v>Medical equipment</v>
      </c>
    </row>
    <row r="553" spans="51:63" ht="15.65" customHeight="1">
      <c r="AY553" s="1746" t="s">
        <v>2588</v>
      </c>
      <c r="AZ553" s="1746">
        <v>2006</v>
      </c>
      <c r="BA553" s="1746" t="s">
        <v>3751</v>
      </c>
      <c r="BB553" s="1747" t="s">
        <v>3752</v>
      </c>
      <c r="BC553" s="1746">
        <v>1</v>
      </c>
      <c r="BD553" s="1746" t="s">
        <v>2596</v>
      </c>
      <c r="BE553" s="1746"/>
      <c r="BF553" s="1746">
        <v>208</v>
      </c>
      <c r="BG553" s="1746" t="s">
        <v>2592</v>
      </c>
      <c r="BH553" s="1744">
        <f t="shared" si="72"/>
        <v>2.0799999999999999E-4</v>
      </c>
      <c r="BI553" s="1745">
        <f t="shared" si="69"/>
        <v>2.0799999999999999E-4</v>
      </c>
      <c r="BJ553" s="1740" t="str">
        <f t="shared" si="70"/>
        <v>bottle</v>
      </c>
      <c r="BK553" s="1740" t="str">
        <f t="shared" si="71"/>
        <v>Bottle of Liquid</v>
      </c>
    </row>
    <row r="554" spans="51:63" ht="15.65" customHeight="1">
      <c r="AY554" s="1746" t="s">
        <v>2593</v>
      </c>
      <c r="AZ554" s="1746">
        <v>2008</v>
      </c>
      <c r="BA554" s="1746" t="s">
        <v>3753</v>
      </c>
      <c r="BB554" s="1747" t="s">
        <v>3754</v>
      </c>
      <c r="BC554" s="1746">
        <v>1</v>
      </c>
      <c r="BD554" s="1746" t="s">
        <v>2596</v>
      </c>
      <c r="BE554" s="1746"/>
      <c r="BF554" s="1746">
        <v>2.0000000000000001E-4</v>
      </c>
      <c r="BG554" s="1746" t="s">
        <v>2597</v>
      </c>
      <c r="BH554" s="1744">
        <f t="shared" si="72"/>
        <v>2.0000000000000001E-4</v>
      </c>
      <c r="BI554" s="1745">
        <f t="shared" si="69"/>
        <v>2.0000000000000001E-4</v>
      </c>
      <c r="BJ554" s="1740" t="str">
        <f t="shared" si="70"/>
        <v>bottle</v>
      </c>
      <c r="BK554" s="1740" t="str">
        <f t="shared" si="71"/>
        <v>Bottle of Liquid</v>
      </c>
    </row>
    <row r="555" spans="51:63" ht="15.65" customHeight="1">
      <c r="AY555" s="1746" t="s">
        <v>2593</v>
      </c>
      <c r="AZ555" s="1746">
        <v>2008</v>
      </c>
      <c r="BA555" s="1746" t="s">
        <v>3755</v>
      </c>
      <c r="BB555" s="1747" t="s">
        <v>3756</v>
      </c>
      <c r="BC555" s="1746">
        <v>1</v>
      </c>
      <c r="BD555" s="1746" t="s">
        <v>2596</v>
      </c>
      <c r="BE555" s="1746"/>
      <c r="BF555" s="1746">
        <v>2.3900000000000002E-3</v>
      </c>
      <c r="BG555" s="1746" t="s">
        <v>2597</v>
      </c>
      <c r="BH555" s="1744">
        <f t="shared" si="72"/>
        <v>2.3900000000000002E-3</v>
      </c>
      <c r="BI555" s="1745">
        <f t="shared" si="69"/>
        <v>2.3900000000000002E-3</v>
      </c>
      <c r="BJ555" s="1740" t="str">
        <f t="shared" si="70"/>
        <v>bottle</v>
      </c>
      <c r="BK555" s="1740" t="str">
        <f t="shared" si="71"/>
        <v>Bottle of Liquid</v>
      </c>
    </row>
    <row r="556" spans="51:63" ht="15.65" customHeight="1">
      <c r="AY556" s="1746" t="s">
        <v>2575</v>
      </c>
      <c r="AZ556" s="1746">
        <v>2008</v>
      </c>
      <c r="BA556" s="1746" t="s">
        <v>3757</v>
      </c>
      <c r="BB556" s="1747" t="s">
        <v>3758</v>
      </c>
      <c r="BC556" s="1746" t="s">
        <v>2578</v>
      </c>
      <c r="BD556" s="1746" t="s">
        <v>2775</v>
      </c>
      <c r="BE556" s="1746" t="s">
        <v>3209</v>
      </c>
      <c r="BF556" s="1746">
        <v>0.25</v>
      </c>
      <c r="BG556" s="1746" t="s">
        <v>2581</v>
      </c>
      <c r="BH556" s="1744">
        <f t="shared" si="72"/>
        <v>2.5000000000000001E-4</v>
      </c>
      <c r="BI556" s="1745" t="str">
        <f t="shared" si="69"/>
        <v/>
      </c>
      <c r="BJ556" s="1740" t="str">
        <f t="shared" si="70"/>
        <v>BOT-Dermatological drugs</v>
      </c>
      <c r="BK556" s="1740" t="str">
        <f t="shared" si="71"/>
        <v>Bottle of Liquid</v>
      </c>
    </row>
    <row r="557" spans="51:63" ht="15.65" customHeight="1">
      <c r="AY557" s="1746" t="s">
        <v>2593</v>
      </c>
      <c r="AZ557" s="1746">
        <v>2008</v>
      </c>
      <c r="BA557" s="1746" t="s">
        <v>3759</v>
      </c>
      <c r="BB557" s="1747" t="s">
        <v>3760</v>
      </c>
      <c r="BC557" s="1746">
        <v>10</v>
      </c>
      <c r="BD557" s="1746" t="s">
        <v>2727</v>
      </c>
      <c r="BE557" s="1746"/>
      <c r="BF557" s="1746">
        <v>2.9E-4</v>
      </c>
      <c r="BG557" s="1746" t="s">
        <v>2597</v>
      </c>
      <c r="BH557" s="1744">
        <f t="shared" si="72"/>
        <v>2.9E-4</v>
      </c>
      <c r="BI557" s="1745">
        <f t="shared" si="69"/>
        <v>2.9E-5</v>
      </c>
      <c r="BJ557" s="1740" t="str">
        <f t="shared" si="70"/>
        <v>ampoules</v>
      </c>
      <c r="BK557" s="1740" t="str">
        <f t="shared" si="71"/>
        <v>Injection Vial</v>
      </c>
    </row>
    <row r="558" spans="51:63" ht="15.65" customHeight="1">
      <c r="AY558" s="1746" t="s">
        <v>2593</v>
      </c>
      <c r="AZ558" s="1746">
        <v>2008</v>
      </c>
      <c r="BA558" s="1746" t="s">
        <v>3761</v>
      </c>
      <c r="BB558" s="1747" t="s">
        <v>3762</v>
      </c>
      <c r="BC558" s="1746">
        <v>10</v>
      </c>
      <c r="BD558" s="1746" t="s">
        <v>2727</v>
      </c>
      <c r="BE558" s="1746"/>
      <c r="BF558" s="1746">
        <v>2.9999999999999997E-4</v>
      </c>
      <c r="BG558" s="1746" t="s">
        <v>2597</v>
      </c>
      <c r="BH558" s="1744">
        <f t="shared" si="72"/>
        <v>2.9999999999999997E-4</v>
      </c>
      <c r="BI558" s="1745">
        <f t="shared" si="69"/>
        <v>2.9999999999999997E-5</v>
      </c>
      <c r="BJ558" s="1740" t="str">
        <f t="shared" si="70"/>
        <v>ampoules</v>
      </c>
      <c r="BK558" s="1740" t="str">
        <f t="shared" si="71"/>
        <v>Injection Vial</v>
      </c>
    </row>
    <row r="559" spans="51:63" ht="15.65" customHeight="1">
      <c r="AY559" s="1746" t="s">
        <v>2588</v>
      </c>
      <c r="AZ559" s="1746">
        <v>2006</v>
      </c>
      <c r="BA559" s="1746" t="s">
        <v>3763</v>
      </c>
      <c r="BB559" s="1747" t="s">
        <v>3764</v>
      </c>
      <c r="BC559" s="1746">
        <v>10</v>
      </c>
      <c r="BD559" s="1746" t="s">
        <v>2790</v>
      </c>
      <c r="BE559" s="1746"/>
      <c r="BF559" s="1746">
        <v>240</v>
      </c>
      <c r="BG559" s="1746" t="s">
        <v>2592</v>
      </c>
      <c r="BH559" s="1744">
        <f t="shared" si="72"/>
        <v>2.4000000000000001E-4</v>
      </c>
      <c r="BI559" s="1745">
        <f t="shared" si="69"/>
        <v>2.4000000000000001E-5</v>
      </c>
      <c r="BJ559" s="1740" t="str">
        <f t="shared" si="70"/>
        <v>amps</v>
      </c>
      <c r="BK559" s="1740" t="str">
        <f t="shared" si="71"/>
        <v>Injection Vial</v>
      </c>
    </row>
    <row r="560" spans="51:63" ht="15.65" customHeight="1">
      <c r="AY560" s="1746" t="s">
        <v>2588</v>
      </c>
      <c r="AZ560" s="1746">
        <v>2006</v>
      </c>
      <c r="BA560" s="1746" t="s">
        <v>3765</v>
      </c>
      <c r="BB560" s="1747" t="s">
        <v>3766</v>
      </c>
      <c r="BC560" s="1746">
        <v>10</v>
      </c>
      <c r="BD560" s="1746" t="s">
        <v>2790</v>
      </c>
      <c r="BE560" s="1746"/>
      <c r="BF560" s="1746">
        <v>280</v>
      </c>
      <c r="BG560" s="1746" t="s">
        <v>2592</v>
      </c>
      <c r="BH560" s="1744">
        <f t="shared" si="72"/>
        <v>2.7999999999999998E-4</v>
      </c>
      <c r="BI560" s="1745">
        <f t="shared" si="69"/>
        <v>2.7999999999999996E-5</v>
      </c>
      <c r="BJ560" s="1740" t="str">
        <f t="shared" si="70"/>
        <v>amps</v>
      </c>
      <c r="BK560" s="1740" t="str">
        <f t="shared" si="71"/>
        <v>Injection Vial</v>
      </c>
    </row>
    <row r="561" spans="51:63" ht="15.65" customHeight="1">
      <c r="AY561" s="1746" t="s">
        <v>2575</v>
      </c>
      <c r="AZ561" s="1746">
        <v>2008</v>
      </c>
      <c r="BA561" s="1746" t="s">
        <v>3767</v>
      </c>
      <c r="BB561" s="1747" t="s">
        <v>3768</v>
      </c>
      <c r="BC561" s="1746" t="s">
        <v>2578</v>
      </c>
      <c r="BD561" s="1746" t="s">
        <v>2775</v>
      </c>
      <c r="BE561" s="1746" t="s">
        <v>2833</v>
      </c>
      <c r="BF561" s="1746">
        <v>0.5</v>
      </c>
      <c r="BG561" s="1746" t="s">
        <v>2581</v>
      </c>
      <c r="BH561" s="1744">
        <f t="shared" si="72"/>
        <v>5.0000000000000001E-4</v>
      </c>
      <c r="BI561" s="1745" t="str">
        <f t="shared" si="69"/>
        <v/>
      </c>
      <c r="BJ561" s="1740" t="str">
        <f t="shared" si="70"/>
        <v>BOT-ß-lactams</v>
      </c>
      <c r="BK561" s="1740" t="str">
        <f t="shared" si="71"/>
        <v>Bottle of Liquid</v>
      </c>
    </row>
    <row r="562" spans="51:63" ht="15.65" customHeight="1">
      <c r="AY562" s="1746" t="s">
        <v>2593</v>
      </c>
      <c r="AZ562" s="1746">
        <v>2008</v>
      </c>
      <c r="BA562" s="1746" t="s">
        <v>3769</v>
      </c>
      <c r="BB562" s="1747" t="s">
        <v>3770</v>
      </c>
      <c r="BC562" s="1750">
        <v>1000</v>
      </c>
      <c r="BD562" s="1746" t="s">
        <v>2601</v>
      </c>
      <c r="BE562" s="1746"/>
      <c r="BF562" s="1746">
        <v>9.2000000000000003E-4</v>
      </c>
      <c r="BG562" s="1746" t="s">
        <v>2597</v>
      </c>
      <c r="BH562" s="1744">
        <f t="shared" si="72"/>
        <v>9.2000000000000003E-4</v>
      </c>
      <c r="BI562" s="1745">
        <f t="shared" si="69"/>
        <v>9.1999999999999998E-7</v>
      </c>
      <c r="BJ562" s="1740" t="str">
        <f t="shared" si="70"/>
        <v>tablets</v>
      </c>
      <c r="BK562" s="1740" t="str">
        <f t="shared" si="71"/>
        <v>Bottle of Tablets</v>
      </c>
    </row>
    <row r="563" spans="51:63" ht="15.65" customHeight="1">
      <c r="AY563" s="1746" t="s">
        <v>2575</v>
      </c>
      <c r="AZ563" s="1746">
        <v>2008</v>
      </c>
      <c r="BA563" s="1746" t="s">
        <v>3771</v>
      </c>
      <c r="BB563" s="1747" t="s">
        <v>3772</v>
      </c>
      <c r="BC563" s="1746" t="s">
        <v>2578</v>
      </c>
      <c r="BD563" s="1746" t="s">
        <v>2638</v>
      </c>
      <c r="BE563" s="1746" t="s">
        <v>3773</v>
      </c>
      <c r="BF563" s="1746">
        <v>0.107</v>
      </c>
      <c r="BG563" s="1746" t="s">
        <v>2581</v>
      </c>
      <c r="BH563" s="1744">
        <f t="shared" si="72"/>
        <v>1.07E-4</v>
      </c>
      <c r="BI563" s="1745" t="str">
        <f t="shared" si="69"/>
        <v/>
      </c>
      <c r="BJ563" s="1740" t="str">
        <f t="shared" si="70"/>
        <v>PAC-Anticonvulsants</v>
      </c>
      <c r="BK563" s="1740" t="str">
        <f t="shared" si="71"/>
        <v>Bottle of Tablets</v>
      </c>
    </row>
    <row r="564" spans="51:63" ht="15.65" customHeight="1">
      <c r="AY564" s="1746" t="s">
        <v>2593</v>
      </c>
      <c r="AZ564" s="1746">
        <v>2008</v>
      </c>
      <c r="BA564" s="1746" t="s">
        <v>3774</v>
      </c>
      <c r="BB564" s="1747" t="s">
        <v>3775</v>
      </c>
      <c r="BC564" s="1750">
        <v>1000</v>
      </c>
      <c r="BD564" s="1746" t="s">
        <v>2601</v>
      </c>
      <c r="BE564" s="1746"/>
      <c r="BF564" s="1746">
        <v>5.6999999999999998E-4</v>
      </c>
      <c r="BG564" s="1746" t="s">
        <v>2597</v>
      </c>
      <c r="BH564" s="1744">
        <f t="shared" si="72"/>
        <v>5.6999999999999998E-4</v>
      </c>
      <c r="BI564" s="1745">
        <f t="shared" si="69"/>
        <v>5.6999999999999994E-7</v>
      </c>
      <c r="BJ564" s="1740" t="str">
        <f t="shared" si="70"/>
        <v>tablets</v>
      </c>
      <c r="BK564" s="1740" t="str">
        <f t="shared" si="71"/>
        <v>Bottle of Tablets</v>
      </c>
    </row>
    <row r="565" spans="51:63" ht="15.65" customHeight="1">
      <c r="AY565" s="1746" t="s">
        <v>2588</v>
      </c>
      <c r="AZ565" s="1746">
        <v>2006</v>
      </c>
      <c r="BA565" s="1746" t="s">
        <v>3776</v>
      </c>
      <c r="BB565" s="1747" t="s">
        <v>3777</v>
      </c>
      <c r="BC565" s="1746">
        <v>100</v>
      </c>
      <c r="BD565" s="1746" t="s">
        <v>2790</v>
      </c>
      <c r="BE565" s="1746"/>
      <c r="BF565" s="1746">
        <v>2493</v>
      </c>
      <c r="BG565" s="1746" t="s">
        <v>2592</v>
      </c>
      <c r="BH565" s="1744">
        <f t="shared" si="72"/>
        <v>2.493E-3</v>
      </c>
      <c r="BI565" s="1745">
        <f t="shared" si="69"/>
        <v>2.493E-5</v>
      </c>
      <c r="BJ565" s="1740" t="str">
        <f t="shared" si="70"/>
        <v>amps</v>
      </c>
      <c r="BK565" s="1740" t="str">
        <f t="shared" si="71"/>
        <v>Injection Vial</v>
      </c>
    </row>
    <row r="566" spans="51:63" ht="15.65" customHeight="1">
      <c r="AY566" s="1746" t="s">
        <v>2593</v>
      </c>
      <c r="AZ566" s="1746">
        <v>2008</v>
      </c>
      <c r="BA566" s="1746" t="s">
        <v>3778</v>
      </c>
      <c r="BB566" s="1747" t="s">
        <v>3779</v>
      </c>
      <c r="BC566" s="1746">
        <v>100</v>
      </c>
      <c r="BD566" s="1746" t="s">
        <v>2727</v>
      </c>
      <c r="BE566" s="1746"/>
      <c r="BF566" s="1746">
        <v>1.89E-3</v>
      </c>
      <c r="BG566" s="1746" t="s">
        <v>2597</v>
      </c>
      <c r="BH566" s="1744">
        <f t="shared" si="72"/>
        <v>1.89E-3</v>
      </c>
      <c r="BI566" s="1745">
        <f t="shared" si="69"/>
        <v>1.8899999999999999E-5</v>
      </c>
      <c r="BJ566" s="1740" t="str">
        <f t="shared" si="70"/>
        <v>ampoules</v>
      </c>
      <c r="BK566" s="1740" t="str">
        <f t="shared" si="71"/>
        <v>Injection Vial</v>
      </c>
    </row>
    <row r="567" spans="51:63" ht="15.65" customHeight="1">
      <c r="AY567" s="1746" t="s">
        <v>2575</v>
      </c>
      <c r="AZ567" s="1746">
        <v>2008</v>
      </c>
      <c r="BA567" s="1746" t="s">
        <v>3780</v>
      </c>
      <c r="BB567" s="1747" t="s">
        <v>3781</v>
      </c>
      <c r="BC567" s="1746" t="s">
        <v>2578</v>
      </c>
      <c r="BD567" s="1746" t="s">
        <v>2638</v>
      </c>
      <c r="BE567" s="1746" t="s">
        <v>2833</v>
      </c>
      <c r="BF567" s="1746">
        <v>1.375</v>
      </c>
      <c r="BG567" s="1746" t="s">
        <v>2581</v>
      </c>
      <c r="BH567" s="1744">
        <f t="shared" si="72"/>
        <v>1.3749999999999999E-3</v>
      </c>
      <c r="BI567" s="1745" t="str">
        <f t="shared" si="69"/>
        <v/>
      </c>
      <c r="BJ567" s="1740" t="str">
        <f t="shared" si="70"/>
        <v>PAC-ß-lactams</v>
      </c>
      <c r="BK567" s="1740" t="str">
        <f t="shared" si="71"/>
        <v>Bottle of Tablets</v>
      </c>
    </row>
    <row r="568" spans="51:63" ht="15.65" customHeight="1">
      <c r="AY568" s="1746" t="s">
        <v>2593</v>
      </c>
      <c r="AZ568" s="1746">
        <v>2008</v>
      </c>
      <c r="BA568" s="1746" t="s">
        <v>3782</v>
      </c>
      <c r="BB568" s="1747" t="s">
        <v>3783</v>
      </c>
      <c r="BC568" s="1746">
        <v>1</v>
      </c>
      <c r="BD568" s="1746" t="s">
        <v>2596</v>
      </c>
      <c r="BE568" s="1746"/>
      <c r="BF568" s="1746">
        <v>3.1E-4</v>
      </c>
      <c r="BG568" s="1746" t="s">
        <v>2597</v>
      </c>
      <c r="BH568" s="1744">
        <f t="shared" si="72"/>
        <v>3.1E-4</v>
      </c>
      <c r="BI568" s="1745">
        <f t="shared" si="69"/>
        <v>3.1E-4</v>
      </c>
      <c r="BJ568" s="1740" t="str">
        <f t="shared" si="70"/>
        <v>bottle</v>
      </c>
      <c r="BK568" s="1740" t="str">
        <f t="shared" si="71"/>
        <v>Bottle of Liquid</v>
      </c>
    </row>
    <row r="569" spans="51:63" ht="15.65" customHeight="1">
      <c r="AY569" s="1746" t="s">
        <v>2588</v>
      </c>
      <c r="AZ569" s="1746">
        <v>2006</v>
      </c>
      <c r="BA569" s="1746" t="s">
        <v>3784</v>
      </c>
      <c r="BB569" s="1747" t="s">
        <v>3785</v>
      </c>
      <c r="BC569" s="1746">
        <v>40</v>
      </c>
      <c r="BD569" s="1746" t="s">
        <v>2836</v>
      </c>
      <c r="BE569" s="1746"/>
      <c r="BF569" s="1746">
        <v>13897.5</v>
      </c>
      <c r="BG569" s="1746" t="s">
        <v>2592</v>
      </c>
      <c r="BH569" s="1744">
        <f t="shared" si="72"/>
        <v>1.38975E-2</v>
      </c>
      <c r="BI569" s="1745">
        <f t="shared" si="69"/>
        <v>3.4743749999999998E-4</v>
      </c>
      <c r="BJ569" s="1740" t="str">
        <f t="shared" si="70"/>
        <v>btls</v>
      </c>
      <c r="BK569" s="1740" t="str">
        <f t="shared" si="71"/>
        <v>Bottle of Liquid</v>
      </c>
    </row>
    <row r="570" spans="51:63" ht="15.65" customHeight="1">
      <c r="AY570" s="1746" t="s">
        <v>2588</v>
      </c>
      <c r="AZ570" s="1746">
        <v>2006</v>
      </c>
      <c r="BA570" s="1746" t="s">
        <v>3786</v>
      </c>
      <c r="BB570" s="1747" t="s">
        <v>3787</v>
      </c>
      <c r="BC570" s="1746">
        <v>1000</v>
      </c>
      <c r="BD570" s="1746" t="s">
        <v>2615</v>
      </c>
      <c r="BE570" s="1746"/>
      <c r="BF570" s="1746">
        <v>1423.47</v>
      </c>
      <c r="BG570" s="1746" t="s">
        <v>2592</v>
      </c>
      <c r="BH570" s="1744">
        <f t="shared" si="72"/>
        <v>1.42347E-3</v>
      </c>
      <c r="BI570" s="1745">
        <f t="shared" si="69"/>
        <v>1.42347E-6</v>
      </c>
      <c r="BJ570" s="1740" t="str">
        <f t="shared" si="70"/>
        <v>tabs</v>
      </c>
      <c r="BK570" s="1740" t="str">
        <f t="shared" si="71"/>
        <v>Bottle of Tablets</v>
      </c>
    </row>
    <row r="571" spans="51:63" ht="15.65" customHeight="1">
      <c r="AY571" s="1746" t="s">
        <v>2593</v>
      </c>
      <c r="AZ571" s="1746">
        <v>2008</v>
      </c>
      <c r="BA571" s="1746" t="s">
        <v>3788</v>
      </c>
      <c r="BB571" s="1747" t="s">
        <v>3789</v>
      </c>
      <c r="BC571" s="1750">
        <v>1000</v>
      </c>
      <c r="BD571" s="1746" t="s">
        <v>2601</v>
      </c>
      <c r="BE571" s="1746"/>
      <c r="BF571" s="1746">
        <v>9.7999999999999997E-4</v>
      </c>
      <c r="BG571" s="1746" t="s">
        <v>2597</v>
      </c>
      <c r="BH571" s="1744">
        <f t="shared" si="72"/>
        <v>9.7999999999999997E-4</v>
      </c>
      <c r="BI571" s="1745">
        <f t="shared" si="69"/>
        <v>9.7999999999999993E-7</v>
      </c>
      <c r="BJ571" s="1740" t="str">
        <f t="shared" si="70"/>
        <v>tablets</v>
      </c>
      <c r="BK571" s="1740" t="str">
        <f t="shared" si="71"/>
        <v>Bottle of Tablets</v>
      </c>
    </row>
    <row r="572" spans="51:63" ht="15.65" customHeight="1">
      <c r="AY572" s="1746" t="s">
        <v>2588</v>
      </c>
      <c r="AZ572" s="1746">
        <v>2006</v>
      </c>
      <c r="BA572" s="1746" t="s">
        <v>3790</v>
      </c>
      <c r="BB572" s="1747" t="s">
        <v>3791</v>
      </c>
      <c r="BC572" s="1746" t="s">
        <v>2844</v>
      </c>
      <c r="BD572" s="1746" t="s">
        <v>2615</v>
      </c>
      <c r="BE572" s="1746"/>
      <c r="BF572" s="1746">
        <v>4140</v>
      </c>
      <c r="BG572" s="1746" t="s">
        <v>2592</v>
      </c>
      <c r="BH572" s="1744">
        <f t="shared" si="72"/>
        <v>4.1399999999999996E-3</v>
      </c>
      <c r="BI572" s="1745" t="str">
        <f t="shared" si="69"/>
        <v/>
      </c>
      <c r="BJ572" s="1740" t="str">
        <f t="shared" si="70"/>
        <v>tabs</v>
      </c>
      <c r="BK572" s="1740" t="str">
        <f t="shared" si="71"/>
        <v>Bottle of Tablets</v>
      </c>
    </row>
    <row r="573" spans="51:63" ht="15.65" customHeight="1">
      <c r="AY573" s="1746" t="s">
        <v>2588</v>
      </c>
      <c r="AZ573" s="1746">
        <v>2006</v>
      </c>
      <c r="BA573" s="1746" t="s">
        <v>3792</v>
      </c>
      <c r="BB573" s="1747" t="s">
        <v>3793</v>
      </c>
      <c r="BC573" s="1746">
        <v>5</v>
      </c>
      <c r="BD573" s="1746" t="s">
        <v>2790</v>
      </c>
      <c r="BE573" s="1746"/>
      <c r="BF573" s="1746">
        <v>259</v>
      </c>
      <c r="BG573" s="1746" t="s">
        <v>2592</v>
      </c>
      <c r="BH573" s="1744">
        <f t="shared" si="72"/>
        <v>2.5900000000000001E-4</v>
      </c>
      <c r="BI573" s="1745">
        <f t="shared" si="69"/>
        <v>5.1799999999999999E-5</v>
      </c>
      <c r="BJ573" s="1740" t="str">
        <f t="shared" si="70"/>
        <v>amps</v>
      </c>
      <c r="BK573" s="1740" t="str">
        <f t="shared" si="71"/>
        <v>Injection Vial</v>
      </c>
    </row>
    <row r="574" spans="51:63" ht="15.65" customHeight="1">
      <c r="AY574" s="1746" t="s">
        <v>2593</v>
      </c>
      <c r="AZ574" s="1746">
        <v>2008</v>
      </c>
      <c r="BA574" s="1746" t="s">
        <v>3794</v>
      </c>
      <c r="BB574" s="1747" t="s">
        <v>3795</v>
      </c>
      <c r="BC574" s="1750">
        <v>1000</v>
      </c>
      <c r="BD574" s="1746" t="s">
        <v>2601</v>
      </c>
      <c r="BE574" s="1746"/>
      <c r="BF574" s="1746">
        <v>9.7999999999999997E-4</v>
      </c>
      <c r="BG574" s="1746" t="s">
        <v>2597</v>
      </c>
      <c r="BH574" s="1744">
        <f t="shared" si="72"/>
        <v>9.7999999999999997E-4</v>
      </c>
      <c r="BI574" s="1745">
        <f t="shared" si="69"/>
        <v>9.7999999999999993E-7</v>
      </c>
      <c r="BJ574" s="1740" t="str">
        <f t="shared" si="70"/>
        <v>tablets</v>
      </c>
      <c r="BK574" s="1740" t="str">
        <f t="shared" si="71"/>
        <v>Bottle of Tablets</v>
      </c>
    </row>
    <row r="575" spans="51:63" ht="15.65" customHeight="1">
      <c r="AY575" s="1746" t="s">
        <v>2588</v>
      </c>
      <c r="AZ575" s="1746">
        <v>2006</v>
      </c>
      <c r="BA575" s="1746" t="s">
        <v>3796</v>
      </c>
      <c r="BB575" s="1747" t="s">
        <v>3797</v>
      </c>
      <c r="BC575" s="1746">
        <v>10</v>
      </c>
      <c r="BD575" s="1746" t="s">
        <v>2836</v>
      </c>
      <c r="BE575" s="1746"/>
      <c r="BF575" s="1746">
        <v>292</v>
      </c>
      <c r="BG575" s="1746" t="s">
        <v>2592</v>
      </c>
      <c r="BH575" s="1744">
        <f t="shared" si="72"/>
        <v>2.92E-4</v>
      </c>
      <c r="BI575" s="1745">
        <f t="shared" si="69"/>
        <v>2.9199999999999998E-5</v>
      </c>
      <c r="BJ575" s="1740" t="str">
        <f t="shared" si="70"/>
        <v>btls</v>
      </c>
      <c r="BK575" s="1740" t="str">
        <f t="shared" si="71"/>
        <v>Bottle of Liquid</v>
      </c>
    </row>
    <row r="576" spans="51:63" ht="15.65" customHeight="1">
      <c r="AY576" s="1746" t="s">
        <v>2593</v>
      </c>
      <c r="AZ576" s="1746">
        <v>2008</v>
      </c>
      <c r="BA576" s="1746" t="s">
        <v>3798</v>
      </c>
      <c r="BB576" s="1747" t="s">
        <v>3799</v>
      </c>
      <c r="BC576" s="1746">
        <v>1</v>
      </c>
      <c r="BD576" s="1746" t="s">
        <v>2596</v>
      </c>
      <c r="BE576" s="1746"/>
      <c r="BF576" s="1746">
        <v>6.9999999999999994E-5</v>
      </c>
      <c r="BG576" s="1746" t="s">
        <v>2597</v>
      </c>
      <c r="BH576" s="1744">
        <f t="shared" si="72"/>
        <v>6.9999999999999994E-5</v>
      </c>
      <c r="BI576" s="1745">
        <f t="shared" si="69"/>
        <v>6.9999999999999994E-5</v>
      </c>
      <c r="BJ576" s="1740" t="str">
        <f t="shared" si="70"/>
        <v>bottle</v>
      </c>
      <c r="BK576" s="1740" t="str">
        <f t="shared" si="71"/>
        <v>Bottle of Liquid</v>
      </c>
    </row>
    <row r="577" spans="51:63" ht="15.65" customHeight="1">
      <c r="AY577" s="1746" t="s">
        <v>2593</v>
      </c>
      <c r="AZ577" s="1746">
        <v>2008</v>
      </c>
      <c r="BA577" s="1746" t="s">
        <v>3800</v>
      </c>
      <c r="BB577" s="1747" t="s">
        <v>3801</v>
      </c>
      <c r="BC577" s="1746">
        <v>1</v>
      </c>
      <c r="BD577" s="1746" t="s">
        <v>2596</v>
      </c>
      <c r="BE577" s="1746"/>
      <c r="BF577" s="1746">
        <v>6.9999999999999994E-5</v>
      </c>
      <c r="BG577" s="1746" t="s">
        <v>2597</v>
      </c>
      <c r="BH577" s="1744">
        <f t="shared" si="72"/>
        <v>6.9999999999999994E-5</v>
      </c>
      <c r="BI577" s="1745">
        <f t="shared" si="69"/>
        <v>6.9999999999999994E-5</v>
      </c>
      <c r="BJ577" s="1740" t="str">
        <f t="shared" si="70"/>
        <v>bottle</v>
      </c>
      <c r="BK577" s="1740" t="str">
        <f t="shared" si="71"/>
        <v>Bottle of Liquid</v>
      </c>
    </row>
    <row r="578" spans="51:63" ht="15.65" customHeight="1">
      <c r="AY578" s="1746" t="s">
        <v>2575</v>
      </c>
      <c r="AZ578" s="1746">
        <v>2008</v>
      </c>
      <c r="BA578" s="1746" t="s">
        <v>3802</v>
      </c>
      <c r="BB578" s="1747" t="s">
        <v>3803</v>
      </c>
      <c r="BC578" s="1746" t="s">
        <v>2578</v>
      </c>
      <c r="BD578" s="1746" t="s">
        <v>2579</v>
      </c>
      <c r="BE578" s="1746" t="s">
        <v>3172</v>
      </c>
      <c r="BF578" s="1746">
        <v>1.7999999999999999E-2</v>
      </c>
      <c r="BG578" s="1746" t="s">
        <v>2581</v>
      </c>
      <c r="BH578" s="1744">
        <f t="shared" si="72"/>
        <v>1.7999999999999997E-5</v>
      </c>
      <c r="BI578" s="1745" t="str">
        <f t="shared" si="69"/>
        <v/>
      </c>
      <c r="BJ578" s="1740" t="str">
        <f t="shared" si="70"/>
        <v>EA-Steel utensils</v>
      </c>
      <c r="BK578" s="1740" t="str">
        <f t="shared" si="71"/>
        <v>Medical equipment</v>
      </c>
    </row>
    <row r="579" spans="51:63" ht="15.65" customHeight="1">
      <c r="AY579" s="1746" t="s">
        <v>2593</v>
      </c>
      <c r="AZ579" s="1746">
        <v>2008</v>
      </c>
      <c r="BA579" s="1746" t="s">
        <v>3804</v>
      </c>
      <c r="BB579" s="1747" t="s">
        <v>3805</v>
      </c>
      <c r="BC579" s="1746">
        <v>1</v>
      </c>
      <c r="BD579" s="1746" t="s">
        <v>2933</v>
      </c>
      <c r="BE579" s="1746"/>
      <c r="BF579" s="1746">
        <v>2.1700000000000001E-3</v>
      </c>
      <c r="BG579" s="1746" t="s">
        <v>2597</v>
      </c>
      <c r="BH579" s="1744">
        <f t="shared" si="72"/>
        <v>2.1700000000000001E-3</v>
      </c>
      <c r="BI579" s="1745">
        <f t="shared" si="69"/>
        <v>2.1700000000000001E-3</v>
      </c>
      <c r="BJ579" s="1740" t="str">
        <f t="shared" si="70"/>
        <v>piece</v>
      </c>
      <c r="BK579" s="1740" t="str">
        <f t="shared" si="71"/>
        <v>Medical equipment</v>
      </c>
    </row>
    <row r="580" spans="51:63" ht="15.65" customHeight="1">
      <c r="AY580" s="1746" t="s">
        <v>2593</v>
      </c>
      <c r="AZ580" s="1746">
        <v>2008</v>
      </c>
      <c r="BA580" s="1746" t="s">
        <v>3806</v>
      </c>
      <c r="BB580" s="1747" t="s">
        <v>3807</v>
      </c>
      <c r="BC580" s="1746">
        <v>1</v>
      </c>
      <c r="BD580" s="1746" t="s">
        <v>2933</v>
      </c>
      <c r="BE580" s="1746"/>
      <c r="BF580" s="1746">
        <v>1.72E-3</v>
      </c>
      <c r="BG580" s="1746" t="s">
        <v>2597</v>
      </c>
      <c r="BH580" s="1744">
        <f t="shared" si="72"/>
        <v>1.72E-3</v>
      </c>
      <c r="BI580" s="1745">
        <f t="shared" si="69"/>
        <v>1.72E-3</v>
      </c>
      <c r="BJ580" s="1740" t="str">
        <f t="shared" si="70"/>
        <v>piece</v>
      </c>
      <c r="BK580" s="1740" t="str">
        <f t="shared" si="71"/>
        <v>Medical equipment</v>
      </c>
    </row>
    <row r="581" spans="51:63" ht="15.65" customHeight="1">
      <c r="AY581" s="1746" t="s">
        <v>2593</v>
      </c>
      <c r="AZ581" s="1746">
        <v>2008</v>
      </c>
      <c r="BA581" s="1746" t="s">
        <v>3808</v>
      </c>
      <c r="BB581" s="1747" t="s">
        <v>3809</v>
      </c>
      <c r="BC581" s="1746">
        <v>1</v>
      </c>
      <c r="BD581" s="1746" t="s">
        <v>2933</v>
      </c>
      <c r="BE581" s="1746"/>
      <c r="BF581" s="1746">
        <v>2.1299999999999999E-3</v>
      </c>
      <c r="BG581" s="1746" t="s">
        <v>2597</v>
      </c>
      <c r="BH581" s="1744">
        <f t="shared" si="72"/>
        <v>2.1299999999999999E-3</v>
      </c>
      <c r="BI581" s="1745">
        <f t="shared" si="69"/>
        <v>2.1299999999999999E-3</v>
      </c>
      <c r="BJ581" s="1740" t="str">
        <f t="shared" si="70"/>
        <v>piece</v>
      </c>
      <c r="BK581" s="1740" t="str">
        <f t="shared" si="71"/>
        <v>Medical equipment</v>
      </c>
    </row>
    <row r="582" spans="51:63" ht="15.65" customHeight="1">
      <c r="AY582" s="1746" t="s">
        <v>2593</v>
      </c>
      <c r="AZ582" s="1746">
        <v>2008</v>
      </c>
      <c r="BA582" s="1746" t="s">
        <v>3810</v>
      </c>
      <c r="BB582" s="1747" t="s">
        <v>3811</v>
      </c>
      <c r="BC582" s="1746">
        <v>1</v>
      </c>
      <c r="BD582" s="1746" t="s">
        <v>2933</v>
      </c>
      <c r="BE582" s="1746"/>
      <c r="BF582" s="1746">
        <v>5.7400000000000003E-3</v>
      </c>
      <c r="BG582" s="1746" t="s">
        <v>2597</v>
      </c>
      <c r="BH582" s="1744">
        <f t="shared" si="72"/>
        <v>5.7400000000000003E-3</v>
      </c>
      <c r="BI582" s="1745">
        <f t="shared" si="69"/>
        <v>5.7400000000000003E-3</v>
      </c>
      <c r="BJ582" s="1740" t="str">
        <f t="shared" si="70"/>
        <v>piece</v>
      </c>
      <c r="BK582" s="1740" t="str">
        <f t="shared" si="71"/>
        <v>Medical equipment</v>
      </c>
    </row>
    <row r="583" spans="51:63" ht="15.65" customHeight="1">
      <c r="AY583" s="1746" t="s">
        <v>2593</v>
      </c>
      <c r="AZ583" s="1746">
        <v>2008</v>
      </c>
      <c r="BA583" s="1746" t="s">
        <v>3812</v>
      </c>
      <c r="BB583" s="1747" t="s">
        <v>3813</v>
      </c>
      <c r="BC583" s="1746">
        <v>1</v>
      </c>
      <c r="BD583" s="1746" t="s">
        <v>2933</v>
      </c>
      <c r="BE583" s="1746"/>
      <c r="BF583" s="1746">
        <v>1.4400000000000001E-3</v>
      </c>
      <c r="BG583" s="1746" t="s">
        <v>2597</v>
      </c>
      <c r="BH583" s="1744">
        <f t="shared" si="72"/>
        <v>1.4400000000000001E-3</v>
      </c>
      <c r="BI583" s="1745">
        <f t="shared" si="69"/>
        <v>1.4400000000000001E-3</v>
      </c>
      <c r="BJ583" s="1740" t="str">
        <f t="shared" si="70"/>
        <v>piece</v>
      </c>
      <c r="BK583" s="1740" t="str">
        <f t="shared" si="71"/>
        <v>Medical equipment</v>
      </c>
    </row>
    <row r="584" spans="51:63" ht="15.65" customHeight="1">
      <c r="AY584" s="1746" t="s">
        <v>2593</v>
      </c>
      <c r="AZ584" s="1746">
        <v>2008</v>
      </c>
      <c r="BA584" s="1746" t="s">
        <v>3814</v>
      </c>
      <c r="BB584" s="1747" t="s">
        <v>3815</v>
      </c>
      <c r="BC584" s="1746">
        <v>500</v>
      </c>
      <c r="BD584" s="1746" t="s">
        <v>2930</v>
      </c>
      <c r="BE584" s="1746"/>
      <c r="BF584" s="1746">
        <v>1.141E-2</v>
      </c>
      <c r="BG584" s="1746" t="s">
        <v>2597</v>
      </c>
      <c r="BH584" s="1744">
        <f t="shared" si="72"/>
        <v>1.141E-2</v>
      </c>
      <c r="BI584" s="1745">
        <f t="shared" si="69"/>
        <v>2.2819999999999998E-5</v>
      </c>
      <c r="BJ584" s="1740" t="str">
        <f t="shared" si="70"/>
        <v>pieces</v>
      </c>
      <c r="BK584" s="1740" t="str">
        <f t="shared" si="71"/>
        <v>Medical equipment</v>
      </c>
    </row>
    <row r="585" spans="51:63" ht="15.65" customHeight="1">
      <c r="AY585" s="1746" t="s">
        <v>2593</v>
      </c>
      <c r="AZ585" s="1746">
        <v>2008</v>
      </c>
      <c r="BA585" s="1746" t="s">
        <v>3816</v>
      </c>
      <c r="BB585" s="1747" t="s">
        <v>3817</v>
      </c>
      <c r="BC585" s="1750">
        <v>1000</v>
      </c>
      <c r="BD585" s="1746" t="s">
        <v>2930</v>
      </c>
      <c r="BE585" s="1746"/>
      <c r="BF585" s="1746">
        <v>8.9700000000000005E-3</v>
      </c>
      <c r="BG585" s="1746" t="s">
        <v>2597</v>
      </c>
      <c r="BH585" s="1744">
        <f t="shared" si="72"/>
        <v>8.9700000000000005E-3</v>
      </c>
      <c r="BI585" s="1745">
        <f t="shared" si="69"/>
        <v>8.9700000000000005E-6</v>
      </c>
      <c r="BJ585" s="1740" t="str">
        <f t="shared" si="70"/>
        <v>pieces</v>
      </c>
      <c r="BK585" s="1740" t="str">
        <f t="shared" si="71"/>
        <v>Medical equipment</v>
      </c>
    </row>
    <row r="586" spans="51:63" ht="15.65" customHeight="1">
      <c r="AY586" s="1746" t="s">
        <v>2593</v>
      </c>
      <c r="AZ586" s="1746">
        <v>2008</v>
      </c>
      <c r="BA586" s="1746" t="s">
        <v>3818</v>
      </c>
      <c r="BB586" s="1747" t="s">
        <v>3819</v>
      </c>
      <c r="BC586" s="1746">
        <v>500</v>
      </c>
      <c r="BD586" s="1746" t="s">
        <v>2930</v>
      </c>
      <c r="BE586" s="1746"/>
      <c r="BF586" s="1746">
        <v>8.6499999999999997E-3</v>
      </c>
      <c r="BG586" s="1746" t="s">
        <v>2597</v>
      </c>
      <c r="BH586" s="1744">
        <f t="shared" si="72"/>
        <v>8.6499999999999997E-3</v>
      </c>
      <c r="BI586" s="1745">
        <f t="shared" si="69"/>
        <v>1.73E-5</v>
      </c>
      <c r="BJ586" s="1740" t="str">
        <f t="shared" si="70"/>
        <v>pieces</v>
      </c>
      <c r="BK586" s="1740" t="str">
        <f t="shared" si="71"/>
        <v>Medical equipment</v>
      </c>
    </row>
    <row r="587" spans="51:63" ht="15.65" customHeight="1">
      <c r="AY587" s="1746" t="s">
        <v>2593</v>
      </c>
      <c r="AZ587" s="1746">
        <v>2008</v>
      </c>
      <c r="BA587" s="1746" t="s">
        <v>3820</v>
      </c>
      <c r="BB587" s="1747" t="s">
        <v>3821</v>
      </c>
      <c r="BC587" s="1746">
        <v>1</v>
      </c>
      <c r="BD587" s="1746" t="s">
        <v>2933</v>
      </c>
      <c r="BE587" s="1746"/>
      <c r="BF587" s="1746">
        <v>9.0000000000000006E-5</v>
      </c>
      <c r="BG587" s="1746" t="s">
        <v>2597</v>
      </c>
      <c r="BH587" s="1744">
        <f t="shared" si="72"/>
        <v>9.0000000000000006E-5</v>
      </c>
      <c r="BI587" s="1745">
        <f t="shared" si="69"/>
        <v>9.0000000000000006E-5</v>
      </c>
      <c r="BJ587" s="1740" t="str">
        <f t="shared" si="70"/>
        <v>piece</v>
      </c>
      <c r="BK587" s="1740" t="str">
        <f t="shared" si="71"/>
        <v>Medical equipment</v>
      </c>
    </row>
    <row r="588" spans="51:63" ht="15.65" customHeight="1">
      <c r="AY588" s="1746" t="s">
        <v>2588</v>
      </c>
      <c r="AZ588" s="1746">
        <v>2006</v>
      </c>
      <c r="BA588" s="1746" t="s">
        <v>3822</v>
      </c>
      <c r="BB588" s="1747" t="s">
        <v>3823</v>
      </c>
      <c r="BC588" s="1746">
        <v>1</v>
      </c>
      <c r="BD588" s="1746" t="s">
        <v>2724</v>
      </c>
      <c r="BE588" s="1746"/>
      <c r="BF588" s="1746">
        <v>15</v>
      </c>
      <c r="BG588" s="1746" t="s">
        <v>2592</v>
      </c>
      <c r="BH588" s="1744">
        <f t="shared" si="72"/>
        <v>1.5E-5</v>
      </c>
      <c r="BI588" s="1745">
        <f t="shared" si="69"/>
        <v>1.5E-5</v>
      </c>
      <c r="BJ588" s="1740" t="str">
        <f t="shared" si="70"/>
        <v>pce</v>
      </c>
      <c r="BK588" s="1740" t="str">
        <f t="shared" si="71"/>
        <v>Roll of tape/gauze</v>
      </c>
    </row>
    <row r="589" spans="51:63" ht="15.65" customHeight="1">
      <c r="AY589" s="1746" t="s">
        <v>2588</v>
      </c>
      <c r="AZ589" s="1746">
        <v>2006</v>
      </c>
      <c r="BA589" s="1746" t="s">
        <v>3824</v>
      </c>
      <c r="BB589" s="1747" t="s">
        <v>3825</v>
      </c>
      <c r="BC589" s="1746">
        <v>1</v>
      </c>
      <c r="BD589" s="1746" t="s">
        <v>2724</v>
      </c>
      <c r="BE589" s="1746"/>
      <c r="BF589" s="1746">
        <v>4</v>
      </c>
      <c r="BG589" s="1746" t="s">
        <v>2592</v>
      </c>
      <c r="BH589" s="1744">
        <f t="shared" si="72"/>
        <v>3.9999999999999998E-6</v>
      </c>
      <c r="BI589" s="1745">
        <f t="shared" si="69"/>
        <v>3.9999999999999998E-6</v>
      </c>
      <c r="BJ589" s="1740" t="str">
        <f t="shared" si="70"/>
        <v>pce</v>
      </c>
      <c r="BK589" s="1740" t="str">
        <f t="shared" si="71"/>
        <v>Roll of tape/gauze</v>
      </c>
    </row>
    <row r="590" spans="51:63" ht="15.65" customHeight="1">
      <c r="AY590" s="1746" t="s">
        <v>2588</v>
      </c>
      <c r="AZ590" s="1746">
        <v>2006</v>
      </c>
      <c r="BA590" s="1746" t="s">
        <v>3826</v>
      </c>
      <c r="BB590" s="1747" t="s">
        <v>3827</v>
      </c>
      <c r="BC590" s="1746">
        <v>1</v>
      </c>
      <c r="BD590" s="1746" t="s">
        <v>2724</v>
      </c>
      <c r="BE590" s="1746"/>
      <c r="BF590" s="1746">
        <v>30</v>
      </c>
      <c r="BG590" s="1746" t="s">
        <v>2592</v>
      </c>
      <c r="BH590" s="1744">
        <f t="shared" si="72"/>
        <v>3.0000000000000001E-5</v>
      </c>
      <c r="BI590" s="1745">
        <f t="shared" si="69"/>
        <v>3.0000000000000001E-5</v>
      </c>
      <c r="BJ590" s="1740" t="str">
        <f t="shared" si="70"/>
        <v>pce</v>
      </c>
      <c r="BK590" s="1740" t="str">
        <f t="shared" si="71"/>
        <v>Roll of tape/gauze</v>
      </c>
    </row>
    <row r="591" spans="51:63" ht="15.65" customHeight="1">
      <c r="AY591" s="1746" t="s">
        <v>2593</v>
      </c>
      <c r="AZ591" s="1746">
        <v>2008</v>
      </c>
      <c r="BA591" s="1746" t="s">
        <v>3828</v>
      </c>
      <c r="BB591" s="1747" t="s">
        <v>3829</v>
      </c>
      <c r="BC591" s="1746">
        <v>1</v>
      </c>
      <c r="BD591" s="1746" t="s">
        <v>2689</v>
      </c>
      <c r="BE591" s="1746"/>
      <c r="BF591" s="1746">
        <v>5.9000000000000003E-4</v>
      </c>
      <c r="BG591" s="1746" t="s">
        <v>2597</v>
      </c>
      <c r="BH591" s="1744">
        <f t="shared" si="72"/>
        <v>5.9000000000000003E-4</v>
      </c>
      <c r="BI591" s="1745">
        <f t="shared" si="69"/>
        <v>5.9000000000000003E-4</v>
      </c>
      <c r="BJ591" s="1740" t="str">
        <f t="shared" si="70"/>
        <v>roll</v>
      </c>
      <c r="BK591" s="1740" t="str">
        <f t="shared" si="71"/>
        <v>Roll of tape/gauze</v>
      </c>
    </row>
    <row r="592" spans="51:63" ht="15.65" customHeight="1">
      <c r="AY592" s="1746" t="s">
        <v>2593</v>
      </c>
      <c r="AZ592" s="1746">
        <v>2008</v>
      </c>
      <c r="BA592" s="1746" t="s">
        <v>3830</v>
      </c>
      <c r="BB592" s="1747" t="s">
        <v>3831</v>
      </c>
      <c r="BC592" s="1746">
        <v>1</v>
      </c>
      <c r="BD592" s="1746" t="s">
        <v>2689</v>
      </c>
      <c r="BE592" s="1746"/>
      <c r="BF592" s="1746">
        <v>5.9000000000000003E-4</v>
      </c>
      <c r="BG592" s="1746" t="s">
        <v>2597</v>
      </c>
      <c r="BH592" s="1744">
        <f t="shared" si="72"/>
        <v>5.9000000000000003E-4</v>
      </c>
      <c r="BI592" s="1745">
        <f t="shared" si="69"/>
        <v>5.9000000000000003E-4</v>
      </c>
      <c r="BJ592" s="1740" t="str">
        <f t="shared" si="70"/>
        <v>roll</v>
      </c>
      <c r="BK592" s="1740" t="str">
        <f t="shared" si="71"/>
        <v>Roll of tape/gauze</v>
      </c>
    </row>
    <row r="593" spans="51:63" ht="15.65" customHeight="1">
      <c r="AY593" s="1746" t="s">
        <v>2593</v>
      </c>
      <c r="AZ593" s="1746">
        <v>2008</v>
      </c>
      <c r="BA593" s="1746" t="s">
        <v>3832</v>
      </c>
      <c r="BB593" s="1747" t="s">
        <v>3833</v>
      </c>
      <c r="BC593" s="1746">
        <v>1</v>
      </c>
      <c r="BD593" s="1746" t="s">
        <v>2689</v>
      </c>
      <c r="BE593" s="1746"/>
      <c r="BF593" s="1746">
        <v>9.5E-4</v>
      </c>
      <c r="BG593" s="1746" t="s">
        <v>2597</v>
      </c>
      <c r="BH593" s="1744">
        <f t="shared" si="72"/>
        <v>9.5E-4</v>
      </c>
      <c r="BI593" s="1745">
        <f t="shared" si="69"/>
        <v>9.5E-4</v>
      </c>
      <c r="BJ593" s="1740" t="str">
        <f t="shared" si="70"/>
        <v>roll</v>
      </c>
      <c r="BK593" s="1740" t="str">
        <f t="shared" si="71"/>
        <v>Roll of tape/gauze</v>
      </c>
    </row>
    <row r="594" spans="51:63" ht="15.65" customHeight="1">
      <c r="AY594" s="1746" t="s">
        <v>2593</v>
      </c>
      <c r="AZ594" s="1746">
        <v>2008</v>
      </c>
      <c r="BA594" s="1746" t="s">
        <v>3834</v>
      </c>
      <c r="BB594" s="1747" t="s">
        <v>3835</v>
      </c>
      <c r="BC594" s="1746">
        <v>1</v>
      </c>
      <c r="BD594" s="1746" t="s">
        <v>2689</v>
      </c>
      <c r="BE594" s="1746"/>
      <c r="BF594" s="1746">
        <v>1.9000000000000001E-4</v>
      </c>
      <c r="BG594" s="1746" t="s">
        <v>2597</v>
      </c>
      <c r="BH594" s="1744">
        <f t="shared" si="72"/>
        <v>1.9000000000000001E-4</v>
      </c>
      <c r="BI594" s="1745">
        <f t="shared" si="69"/>
        <v>1.9000000000000001E-4</v>
      </c>
      <c r="BJ594" s="1740" t="str">
        <f t="shared" si="70"/>
        <v>roll</v>
      </c>
      <c r="BK594" s="1740" t="str">
        <f t="shared" si="71"/>
        <v>Roll of tape/gauze</v>
      </c>
    </row>
    <row r="595" spans="51:63" ht="15.65" customHeight="1">
      <c r="AY595" s="1746" t="s">
        <v>2588</v>
      </c>
      <c r="AZ595" s="1746">
        <v>2006</v>
      </c>
      <c r="BA595" s="1746" t="s">
        <v>3836</v>
      </c>
      <c r="BB595" s="1747" t="s">
        <v>3837</v>
      </c>
      <c r="BC595" s="1746">
        <v>12</v>
      </c>
      <c r="BD595" s="1746" t="s">
        <v>2927</v>
      </c>
      <c r="BE595" s="1746"/>
      <c r="BF595" s="1746">
        <v>3832</v>
      </c>
      <c r="BG595" s="1746" t="s">
        <v>2592</v>
      </c>
      <c r="BH595" s="1744">
        <f t="shared" si="72"/>
        <v>3.8319999999999999E-3</v>
      </c>
      <c r="BI595" s="1745">
        <f t="shared" ref="BI595:BI658" si="73">IFERROR(BH595/BC595,"")</f>
        <v>3.1933333333333331E-4</v>
      </c>
      <c r="BJ595" s="1740" t="str">
        <f t="shared" ref="BJ595:BJ658" si="74">IF(BE595="",BD595,BD595&amp;"-"&amp;BE595)</f>
        <v>pcs</v>
      </c>
      <c r="BK595" s="1740" t="str">
        <f t="shared" si="71"/>
        <v>Medical equipment</v>
      </c>
    </row>
    <row r="596" spans="51:63" ht="15.65" customHeight="1">
      <c r="AY596" s="1746" t="s">
        <v>2588</v>
      </c>
      <c r="AZ596" s="1746">
        <v>2006</v>
      </c>
      <c r="BA596" s="1746" t="s">
        <v>3838</v>
      </c>
      <c r="BB596" s="1747" t="s">
        <v>3839</v>
      </c>
      <c r="BC596" s="1746">
        <v>12</v>
      </c>
      <c r="BD596" s="1746" t="s">
        <v>2927</v>
      </c>
      <c r="BE596" s="1746"/>
      <c r="BF596" s="1746">
        <v>6010</v>
      </c>
      <c r="BG596" s="1746" t="s">
        <v>2592</v>
      </c>
      <c r="BH596" s="1744">
        <f t="shared" si="72"/>
        <v>6.0099999999999997E-3</v>
      </c>
      <c r="BI596" s="1745">
        <f t="shared" si="73"/>
        <v>5.0083333333333327E-4</v>
      </c>
      <c r="BJ596" s="1740" t="str">
        <f t="shared" si="74"/>
        <v>pcs</v>
      </c>
      <c r="BK596" s="1740" t="str">
        <f t="shared" ref="BK596:BK659" si="75">IFERROR(INDEX($BO$18:$BO$136,MATCH(BJ596,$BN$18:$BN$136,0)),"")</f>
        <v>Medical equipment</v>
      </c>
    </row>
    <row r="597" spans="51:63" ht="15.65" customHeight="1">
      <c r="AY597" s="1746" t="s">
        <v>2588</v>
      </c>
      <c r="AZ597" s="1746">
        <v>2006</v>
      </c>
      <c r="BA597" s="1746" t="s">
        <v>3840</v>
      </c>
      <c r="BB597" s="1747" t="s">
        <v>3841</v>
      </c>
      <c r="BC597" s="1746">
        <v>12</v>
      </c>
      <c r="BD597" s="1746" t="s">
        <v>2927</v>
      </c>
      <c r="BE597" s="1746"/>
      <c r="BF597" s="1746">
        <v>7107</v>
      </c>
      <c r="BG597" s="1746" t="s">
        <v>2592</v>
      </c>
      <c r="BH597" s="1744">
        <f t="shared" si="72"/>
        <v>7.1069999999999996E-3</v>
      </c>
      <c r="BI597" s="1745">
        <f t="shared" si="73"/>
        <v>5.9225E-4</v>
      </c>
      <c r="BJ597" s="1740" t="str">
        <f t="shared" si="74"/>
        <v>pcs</v>
      </c>
      <c r="BK597" s="1740" t="str">
        <f t="shared" si="75"/>
        <v>Medical equipment</v>
      </c>
    </row>
    <row r="598" spans="51:63" ht="15.65" customHeight="1">
      <c r="AY598" s="1746" t="s">
        <v>2588</v>
      </c>
      <c r="AZ598" s="1746">
        <v>2006</v>
      </c>
      <c r="BA598" s="1746" t="s">
        <v>3842</v>
      </c>
      <c r="BB598" s="1747" t="s">
        <v>3843</v>
      </c>
      <c r="BC598" s="1746">
        <v>12</v>
      </c>
      <c r="BD598" s="1746" t="s">
        <v>2927</v>
      </c>
      <c r="BE598" s="1746"/>
      <c r="BF598" s="1746">
        <v>8000</v>
      </c>
      <c r="BG598" s="1746" t="s">
        <v>2592</v>
      </c>
      <c r="BH598" s="1744">
        <f t="shared" si="72"/>
        <v>8.0000000000000002E-3</v>
      </c>
      <c r="BI598" s="1745">
        <f t="shared" si="73"/>
        <v>6.6666666666666664E-4</v>
      </c>
      <c r="BJ598" s="1740" t="str">
        <f t="shared" si="74"/>
        <v>pcs</v>
      </c>
      <c r="BK598" s="1740" t="str">
        <f t="shared" si="75"/>
        <v>Medical equipment</v>
      </c>
    </row>
    <row r="599" spans="51:63" ht="15.65" customHeight="1">
      <c r="AY599" s="1746" t="s">
        <v>2575</v>
      </c>
      <c r="AZ599" s="1746">
        <v>2008</v>
      </c>
      <c r="BA599" s="1746" t="s">
        <v>3844</v>
      </c>
      <c r="BB599" s="1747" t="s">
        <v>3845</v>
      </c>
      <c r="BC599" s="1746" t="s">
        <v>2578</v>
      </c>
      <c r="BD599" s="1746" t="s">
        <v>2579</v>
      </c>
      <c r="BE599" s="1746" t="s">
        <v>3281</v>
      </c>
      <c r="BF599" s="1746">
        <v>0.311</v>
      </c>
      <c r="BG599" s="1746" t="s">
        <v>2581</v>
      </c>
      <c r="BH599" s="1744">
        <f t="shared" si="72"/>
        <v>3.1100000000000002E-4</v>
      </c>
      <c r="BI599" s="1745" t="str">
        <f t="shared" si="73"/>
        <v/>
      </c>
      <c r="BJ599" s="1740" t="str">
        <f t="shared" si="74"/>
        <v>EA-Misc. dressing</v>
      </c>
      <c r="BK599" s="1740" t="str">
        <f t="shared" si="75"/>
        <v>Roll of Tape/Gauze</v>
      </c>
    </row>
    <row r="600" spans="51:63" ht="15.65" customHeight="1">
      <c r="AY600" s="1746" t="s">
        <v>2575</v>
      </c>
      <c r="AZ600" s="1746">
        <v>2008</v>
      </c>
      <c r="BA600" s="1746" t="s">
        <v>3846</v>
      </c>
      <c r="BB600" s="1747" t="s">
        <v>3847</v>
      </c>
      <c r="BC600" s="1746" t="s">
        <v>2578</v>
      </c>
      <c r="BD600" s="1746" t="s">
        <v>2579</v>
      </c>
      <c r="BE600" s="1746" t="s">
        <v>3281</v>
      </c>
      <c r="BF600" s="1746">
        <v>0.29699999999999999</v>
      </c>
      <c r="BG600" s="1746" t="s">
        <v>2581</v>
      </c>
      <c r="BH600" s="1744">
        <f t="shared" si="72"/>
        <v>2.9700000000000001E-4</v>
      </c>
      <c r="BI600" s="1745" t="str">
        <f t="shared" si="73"/>
        <v/>
      </c>
      <c r="BJ600" s="1740" t="str">
        <f t="shared" si="74"/>
        <v>EA-Misc. dressing</v>
      </c>
      <c r="BK600" s="1740" t="str">
        <f t="shared" si="75"/>
        <v>Roll of Tape/Gauze</v>
      </c>
    </row>
    <row r="601" spans="51:63" ht="15.65" customHeight="1">
      <c r="AY601" s="1746" t="s">
        <v>2593</v>
      </c>
      <c r="AZ601" s="1746">
        <v>2008</v>
      </c>
      <c r="BA601" s="1746" t="s">
        <v>3848</v>
      </c>
      <c r="BB601" s="1747" t="s">
        <v>3849</v>
      </c>
      <c r="BC601" s="1746">
        <v>100</v>
      </c>
      <c r="BD601" s="1746" t="s">
        <v>2930</v>
      </c>
      <c r="BE601" s="1746"/>
      <c r="BF601" s="1746">
        <v>4.0000000000000002E-4</v>
      </c>
      <c r="BG601" s="1746" t="s">
        <v>2597</v>
      </c>
      <c r="BH601" s="1744">
        <f t="shared" ref="BH601:BH664" si="76">IF(BG601="CCM",BF601/1000000,IF(BG601="CDM",BF601/1000, IF(BG601="M3",BF601,"")))</f>
        <v>4.0000000000000002E-4</v>
      </c>
      <c r="BI601" s="1745">
        <f t="shared" si="73"/>
        <v>3.9999999999999998E-6</v>
      </c>
      <c r="BJ601" s="1740" t="str">
        <f t="shared" si="74"/>
        <v>pieces</v>
      </c>
      <c r="BK601" s="1740" t="str">
        <f t="shared" si="75"/>
        <v>Medical equipment</v>
      </c>
    </row>
    <row r="602" spans="51:63" ht="15.65" customHeight="1">
      <c r="AY602" s="1746" t="s">
        <v>2575</v>
      </c>
      <c r="AZ602" s="1746">
        <v>2008</v>
      </c>
      <c r="BA602" s="1746" t="s">
        <v>3850</v>
      </c>
      <c r="BB602" s="1747" t="s">
        <v>3851</v>
      </c>
      <c r="BC602" s="1746" t="s">
        <v>2578</v>
      </c>
      <c r="BD602" s="1746" t="s">
        <v>2775</v>
      </c>
      <c r="BE602" s="1746" t="s">
        <v>3209</v>
      </c>
      <c r="BF602" s="1746">
        <v>0</v>
      </c>
      <c r="BG602" s="1746"/>
      <c r="BH602" s="1744" t="str">
        <f t="shared" si="76"/>
        <v/>
      </c>
      <c r="BI602" s="1745" t="str">
        <f t="shared" si="73"/>
        <v/>
      </c>
      <c r="BJ602" s="1740" t="str">
        <f t="shared" si="74"/>
        <v>BOT-Dermatological drugs</v>
      </c>
      <c r="BK602" s="1740" t="str">
        <f t="shared" si="75"/>
        <v>Bottle of Liquid</v>
      </c>
    </row>
    <row r="603" spans="51:63" ht="15.65" customHeight="1">
      <c r="AY603" s="1746" t="s">
        <v>2593</v>
      </c>
      <c r="AZ603" s="1746">
        <v>2008</v>
      </c>
      <c r="BA603" s="1746" t="s">
        <v>3852</v>
      </c>
      <c r="BB603" s="1747" t="s">
        <v>3853</v>
      </c>
      <c r="BC603" s="1746">
        <v>12</v>
      </c>
      <c r="BD603" s="1746" t="s">
        <v>2930</v>
      </c>
      <c r="BE603" s="1746"/>
      <c r="BF603" s="1746">
        <v>3.6999999999999999E-4</v>
      </c>
      <c r="BG603" s="1746" t="s">
        <v>2597</v>
      </c>
      <c r="BH603" s="1744">
        <f t="shared" si="76"/>
        <v>3.6999999999999999E-4</v>
      </c>
      <c r="BI603" s="1745">
        <f t="shared" si="73"/>
        <v>3.0833333333333335E-5</v>
      </c>
      <c r="BJ603" s="1740" t="str">
        <f t="shared" si="74"/>
        <v>pieces</v>
      </c>
      <c r="BK603" s="1740" t="str">
        <f t="shared" si="75"/>
        <v>Medical equipment</v>
      </c>
    </row>
    <row r="604" spans="51:63" ht="15.65" customHeight="1">
      <c r="AY604" s="1746" t="s">
        <v>2593</v>
      </c>
      <c r="AZ604" s="1746">
        <v>2008</v>
      </c>
      <c r="BA604" s="1746" t="s">
        <v>3854</v>
      </c>
      <c r="BB604" s="1747" t="s">
        <v>3855</v>
      </c>
      <c r="BC604" s="1746">
        <v>12</v>
      </c>
      <c r="BD604" s="1746" t="s">
        <v>2930</v>
      </c>
      <c r="BE604" s="1746"/>
      <c r="BF604" s="1746">
        <v>3.6999999999999999E-4</v>
      </c>
      <c r="BG604" s="1746" t="s">
        <v>2597</v>
      </c>
      <c r="BH604" s="1744">
        <f t="shared" si="76"/>
        <v>3.6999999999999999E-4</v>
      </c>
      <c r="BI604" s="1745">
        <f t="shared" si="73"/>
        <v>3.0833333333333335E-5</v>
      </c>
      <c r="BJ604" s="1740" t="str">
        <f t="shared" si="74"/>
        <v>pieces</v>
      </c>
      <c r="BK604" s="1740" t="str">
        <f t="shared" si="75"/>
        <v>Medical equipment</v>
      </c>
    </row>
    <row r="605" spans="51:63" ht="15.65" customHeight="1">
      <c r="AY605" s="1746" t="s">
        <v>2593</v>
      </c>
      <c r="AZ605" s="1746">
        <v>2008</v>
      </c>
      <c r="BA605" s="1746" t="s">
        <v>3856</v>
      </c>
      <c r="BB605" s="1747" t="s">
        <v>3857</v>
      </c>
      <c r="BC605" s="1746">
        <v>12</v>
      </c>
      <c r="BD605" s="1746" t="s">
        <v>2930</v>
      </c>
      <c r="BE605" s="1746"/>
      <c r="BF605" s="1746">
        <v>4.6999999999999999E-4</v>
      </c>
      <c r="BG605" s="1746" t="s">
        <v>2597</v>
      </c>
      <c r="BH605" s="1744">
        <f t="shared" si="76"/>
        <v>4.6999999999999999E-4</v>
      </c>
      <c r="BI605" s="1745">
        <f t="shared" si="73"/>
        <v>3.9166666666666665E-5</v>
      </c>
      <c r="BJ605" s="1740" t="str">
        <f t="shared" si="74"/>
        <v>pieces</v>
      </c>
      <c r="BK605" s="1740" t="str">
        <f t="shared" si="75"/>
        <v>Medical equipment</v>
      </c>
    </row>
    <row r="606" spans="51:63" ht="15.65" customHeight="1">
      <c r="AY606" s="1746" t="s">
        <v>2593</v>
      </c>
      <c r="AZ606" s="1746">
        <v>2008</v>
      </c>
      <c r="BA606" s="1746" t="s">
        <v>3858</v>
      </c>
      <c r="BB606" s="1747" t="s">
        <v>3859</v>
      </c>
      <c r="BC606" s="1746">
        <v>12</v>
      </c>
      <c r="BD606" s="1746" t="s">
        <v>2930</v>
      </c>
      <c r="BE606" s="1746"/>
      <c r="BF606" s="1746">
        <v>7.7999999999999999E-4</v>
      </c>
      <c r="BG606" s="1746" t="s">
        <v>2597</v>
      </c>
      <c r="BH606" s="1744">
        <f t="shared" si="76"/>
        <v>7.7999999999999999E-4</v>
      </c>
      <c r="BI606" s="1745">
        <f t="shared" si="73"/>
        <v>6.4999999999999994E-5</v>
      </c>
      <c r="BJ606" s="1740" t="str">
        <f t="shared" si="74"/>
        <v>pieces</v>
      </c>
      <c r="BK606" s="1740" t="str">
        <f t="shared" si="75"/>
        <v>Medical equipment</v>
      </c>
    </row>
    <row r="607" spans="51:63" ht="15.65" customHeight="1">
      <c r="AY607" s="1746" t="s">
        <v>2593</v>
      </c>
      <c r="AZ607" s="1746">
        <v>2008</v>
      </c>
      <c r="BA607" s="1746" t="s">
        <v>3860</v>
      </c>
      <c r="BB607" s="1747" t="s">
        <v>3861</v>
      </c>
      <c r="BC607" s="1746">
        <v>12</v>
      </c>
      <c r="BD607" s="1746" t="s">
        <v>2930</v>
      </c>
      <c r="BE607" s="1746"/>
      <c r="BF607" s="1746">
        <v>4.6999999999999999E-4</v>
      </c>
      <c r="BG607" s="1746" t="s">
        <v>2597</v>
      </c>
      <c r="BH607" s="1744">
        <f t="shared" si="76"/>
        <v>4.6999999999999999E-4</v>
      </c>
      <c r="BI607" s="1745">
        <f t="shared" si="73"/>
        <v>3.9166666666666665E-5</v>
      </c>
      <c r="BJ607" s="1740" t="str">
        <f t="shared" si="74"/>
        <v>pieces</v>
      </c>
      <c r="BK607" s="1740" t="str">
        <f t="shared" si="75"/>
        <v>Medical equipment</v>
      </c>
    </row>
    <row r="608" spans="51:63" ht="15.65" customHeight="1">
      <c r="AY608" s="1746" t="s">
        <v>2593</v>
      </c>
      <c r="AZ608" s="1746">
        <v>2008</v>
      </c>
      <c r="BA608" s="1746" t="s">
        <v>3862</v>
      </c>
      <c r="BB608" s="1747" t="s">
        <v>3863</v>
      </c>
      <c r="BC608" s="1746">
        <v>12</v>
      </c>
      <c r="BD608" s="1746" t="s">
        <v>2930</v>
      </c>
      <c r="BE608" s="1746"/>
      <c r="BF608" s="1746">
        <v>4.6999999999999999E-4</v>
      </c>
      <c r="BG608" s="1746" t="s">
        <v>2597</v>
      </c>
      <c r="BH608" s="1744">
        <f t="shared" si="76"/>
        <v>4.6999999999999999E-4</v>
      </c>
      <c r="BI608" s="1745">
        <f t="shared" si="73"/>
        <v>3.9166666666666665E-5</v>
      </c>
      <c r="BJ608" s="1740" t="str">
        <f t="shared" si="74"/>
        <v>pieces</v>
      </c>
      <c r="BK608" s="1740" t="str">
        <f t="shared" si="75"/>
        <v>Medical equipment</v>
      </c>
    </row>
    <row r="609" spans="51:63" ht="15.65" customHeight="1">
      <c r="AY609" s="1746" t="s">
        <v>2593</v>
      </c>
      <c r="AZ609" s="1746">
        <v>2008</v>
      </c>
      <c r="BA609" s="1746" t="s">
        <v>3864</v>
      </c>
      <c r="BB609" s="1747" t="s">
        <v>3865</v>
      </c>
      <c r="BC609" s="1746">
        <v>12</v>
      </c>
      <c r="BD609" s="1746" t="s">
        <v>2930</v>
      </c>
      <c r="BE609" s="1746"/>
      <c r="BF609" s="1746">
        <v>4.6999999999999999E-4</v>
      </c>
      <c r="BG609" s="1746" t="s">
        <v>2597</v>
      </c>
      <c r="BH609" s="1744">
        <f t="shared" si="76"/>
        <v>4.6999999999999999E-4</v>
      </c>
      <c r="BI609" s="1745">
        <f t="shared" si="73"/>
        <v>3.9166666666666665E-5</v>
      </c>
      <c r="BJ609" s="1740" t="str">
        <f t="shared" si="74"/>
        <v>pieces</v>
      </c>
      <c r="BK609" s="1740" t="str">
        <f t="shared" si="75"/>
        <v>Medical equipment</v>
      </c>
    </row>
    <row r="610" spans="51:63" ht="15.65" customHeight="1">
      <c r="AY610" s="1746" t="s">
        <v>2588</v>
      </c>
      <c r="AZ610" s="1746">
        <v>2006</v>
      </c>
      <c r="BA610" s="1746" t="s">
        <v>3866</v>
      </c>
      <c r="BB610" s="1747" t="s">
        <v>3867</v>
      </c>
      <c r="BC610" s="1746">
        <v>10</v>
      </c>
      <c r="BD610" s="1746" t="s">
        <v>2836</v>
      </c>
      <c r="BE610" s="1746"/>
      <c r="BF610" s="1746">
        <v>12281</v>
      </c>
      <c r="BG610" s="1746" t="s">
        <v>2592</v>
      </c>
      <c r="BH610" s="1744">
        <f t="shared" si="76"/>
        <v>1.2281E-2</v>
      </c>
      <c r="BI610" s="1745">
        <f t="shared" si="73"/>
        <v>1.2281E-3</v>
      </c>
      <c r="BJ610" s="1740" t="str">
        <f t="shared" si="74"/>
        <v>btls</v>
      </c>
      <c r="BK610" s="1740" t="str">
        <f t="shared" si="75"/>
        <v>Bottle of Liquid</v>
      </c>
    </row>
    <row r="611" spans="51:63" ht="15.65" customHeight="1">
      <c r="AY611" s="1746" t="s">
        <v>2593</v>
      </c>
      <c r="AZ611" s="1746">
        <v>2008</v>
      </c>
      <c r="BA611" s="1746" t="s">
        <v>3868</v>
      </c>
      <c r="BB611" s="1747" t="s">
        <v>3869</v>
      </c>
      <c r="BC611" s="1746">
        <v>1</v>
      </c>
      <c r="BD611" s="1746" t="s">
        <v>2596</v>
      </c>
      <c r="BE611" s="1746"/>
      <c r="BF611" s="1746">
        <v>1.7899999999999999E-3</v>
      </c>
      <c r="BG611" s="1746" t="s">
        <v>2597</v>
      </c>
      <c r="BH611" s="1744">
        <f t="shared" si="76"/>
        <v>1.7899999999999999E-3</v>
      </c>
      <c r="BI611" s="1745">
        <f t="shared" si="73"/>
        <v>1.7899999999999999E-3</v>
      </c>
      <c r="BJ611" s="1740" t="str">
        <f t="shared" si="74"/>
        <v>bottle</v>
      </c>
      <c r="BK611" s="1740" t="str">
        <f t="shared" si="75"/>
        <v>Bottle of Liquid</v>
      </c>
    </row>
    <row r="612" spans="51:63" ht="15.65" customHeight="1">
      <c r="AY612" s="1746" t="s">
        <v>2593</v>
      </c>
      <c r="AZ612" s="1746">
        <v>2008</v>
      </c>
      <c r="BA612" s="1746" t="s">
        <v>3870</v>
      </c>
      <c r="BB612" s="1747" t="s">
        <v>3871</v>
      </c>
      <c r="BC612" s="1746">
        <v>12</v>
      </c>
      <c r="BD612" s="1746" t="s">
        <v>2930</v>
      </c>
      <c r="BE612" s="1746"/>
      <c r="BF612" s="1746">
        <v>7.1000000000000002E-4</v>
      </c>
      <c r="BG612" s="1746" t="s">
        <v>2597</v>
      </c>
      <c r="BH612" s="1744">
        <f t="shared" si="76"/>
        <v>7.1000000000000002E-4</v>
      </c>
      <c r="BI612" s="1745">
        <f t="shared" si="73"/>
        <v>5.9166666666666671E-5</v>
      </c>
      <c r="BJ612" s="1740" t="str">
        <f t="shared" si="74"/>
        <v>pieces</v>
      </c>
      <c r="BK612" s="1740" t="str">
        <f t="shared" si="75"/>
        <v>Medical equipment</v>
      </c>
    </row>
    <row r="613" spans="51:63" ht="15.65" customHeight="1">
      <c r="AY613" s="1746" t="s">
        <v>2593</v>
      </c>
      <c r="AZ613" s="1746">
        <v>2008</v>
      </c>
      <c r="BA613" s="1746" t="s">
        <v>3872</v>
      </c>
      <c r="BB613" s="1747" t="s">
        <v>3873</v>
      </c>
      <c r="BC613" s="1746">
        <v>12</v>
      </c>
      <c r="BD613" s="1746" t="s">
        <v>2930</v>
      </c>
      <c r="BE613" s="1746"/>
      <c r="BF613" s="1746">
        <v>5.1000000000000004E-4</v>
      </c>
      <c r="BG613" s="1746" t="s">
        <v>2597</v>
      </c>
      <c r="BH613" s="1744">
        <f t="shared" si="76"/>
        <v>5.1000000000000004E-4</v>
      </c>
      <c r="BI613" s="1745">
        <f t="shared" si="73"/>
        <v>4.2500000000000003E-5</v>
      </c>
      <c r="BJ613" s="1740" t="str">
        <f t="shared" si="74"/>
        <v>pieces</v>
      </c>
      <c r="BK613" s="1740" t="str">
        <f t="shared" si="75"/>
        <v>Medical equipment</v>
      </c>
    </row>
    <row r="614" spans="51:63" ht="15.65" customHeight="1">
      <c r="AY614" s="1746" t="s">
        <v>2593</v>
      </c>
      <c r="AZ614" s="1746">
        <v>2008</v>
      </c>
      <c r="BA614" s="1746" t="s">
        <v>3874</v>
      </c>
      <c r="BB614" s="1747" t="s">
        <v>3875</v>
      </c>
      <c r="BC614" s="1746">
        <v>12</v>
      </c>
      <c r="BD614" s="1746" t="s">
        <v>2930</v>
      </c>
      <c r="BE614" s="1746"/>
      <c r="BF614" s="1746">
        <v>6.8999999999999997E-4</v>
      </c>
      <c r="BG614" s="1746" t="s">
        <v>2597</v>
      </c>
      <c r="BH614" s="1744">
        <f t="shared" si="76"/>
        <v>6.8999999999999997E-4</v>
      </c>
      <c r="BI614" s="1745">
        <f t="shared" si="73"/>
        <v>5.7499999999999995E-5</v>
      </c>
      <c r="BJ614" s="1740" t="str">
        <f t="shared" si="74"/>
        <v>pieces</v>
      </c>
      <c r="BK614" s="1740" t="str">
        <f t="shared" si="75"/>
        <v>Medical equipment</v>
      </c>
    </row>
    <row r="615" spans="51:63" ht="15.65" customHeight="1">
      <c r="AY615" s="1746" t="s">
        <v>2593</v>
      </c>
      <c r="AZ615" s="1746">
        <v>2008</v>
      </c>
      <c r="BA615" s="1746" t="s">
        <v>3876</v>
      </c>
      <c r="BB615" s="1747" t="s">
        <v>3877</v>
      </c>
      <c r="BC615" s="1746">
        <v>12</v>
      </c>
      <c r="BD615" s="1746" t="s">
        <v>2930</v>
      </c>
      <c r="BE615" s="1746"/>
      <c r="BF615" s="1746">
        <v>5.5000000000000003E-4</v>
      </c>
      <c r="BG615" s="1746" t="s">
        <v>2597</v>
      </c>
      <c r="BH615" s="1744">
        <f t="shared" si="76"/>
        <v>5.5000000000000003E-4</v>
      </c>
      <c r="BI615" s="1745">
        <f t="shared" si="73"/>
        <v>4.5833333333333334E-5</v>
      </c>
      <c r="BJ615" s="1740" t="str">
        <f t="shared" si="74"/>
        <v>pieces</v>
      </c>
      <c r="BK615" s="1740" t="str">
        <f t="shared" si="75"/>
        <v>Medical equipment</v>
      </c>
    </row>
    <row r="616" spans="51:63" ht="15.65" customHeight="1">
      <c r="AY616" s="1746" t="s">
        <v>2593</v>
      </c>
      <c r="AZ616" s="1746">
        <v>2008</v>
      </c>
      <c r="BA616" s="1746" t="s">
        <v>3878</v>
      </c>
      <c r="BB616" s="1747" t="s">
        <v>3879</v>
      </c>
      <c r="BC616" s="1746">
        <v>12</v>
      </c>
      <c r="BD616" s="1746" t="s">
        <v>2930</v>
      </c>
      <c r="BE616" s="1746"/>
      <c r="BF616" s="1746">
        <v>3.6999999999999999E-4</v>
      </c>
      <c r="BG616" s="1746" t="s">
        <v>2597</v>
      </c>
      <c r="BH616" s="1744">
        <f t="shared" si="76"/>
        <v>3.6999999999999999E-4</v>
      </c>
      <c r="BI616" s="1745">
        <f t="shared" si="73"/>
        <v>3.0833333333333335E-5</v>
      </c>
      <c r="BJ616" s="1740" t="str">
        <f t="shared" si="74"/>
        <v>pieces</v>
      </c>
      <c r="BK616" s="1740" t="str">
        <f t="shared" si="75"/>
        <v>Medical equipment</v>
      </c>
    </row>
    <row r="617" spans="51:63" ht="15.65" customHeight="1">
      <c r="AY617" s="1746" t="s">
        <v>2593</v>
      </c>
      <c r="AZ617" s="1746">
        <v>2008</v>
      </c>
      <c r="BA617" s="1746" t="s">
        <v>3880</v>
      </c>
      <c r="BB617" s="1747" t="s">
        <v>3881</v>
      </c>
      <c r="BC617" s="1746">
        <v>12</v>
      </c>
      <c r="BD617" s="1746" t="s">
        <v>2930</v>
      </c>
      <c r="BE617" s="1746"/>
      <c r="BF617" s="1746">
        <v>3.6999999999999999E-4</v>
      </c>
      <c r="BG617" s="1746" t="s">
        <v>2597</v>
      </c>
      <c r="BH617" s="1744">
        <f t="shared" si="76"/>
        <v>3.6999999999999999E-4</v>
      </c>
      <c r="BI617" s="1745">
        <f t="shared" si="73"/>
        <v>3.0833333333333335E-5</v>
      </c>
      <c r="BJ617" s="1740" t="str">
        <f t="shared" si="74"/>
        <v>pieces</v>
      </c>
      <c r="BK617" s="1740" t="str">
        <f t="shared" si="75"/>
        <v>Medical equipment</v>
      </c>
    </row>
    <row r="618" spans="51:63" ht="15.65" customHeight="1">
      <c r="AY618" s="1746" t="s">
        <v>2588</v>
      </c>
      <c r="AZ618" s="1746">
        <v>2006</v>
      </c>
      <c r="BA618" s="1746" t="s">
        <v>3882</v>
      </c>
      <c r="BB618" s="1747" t="s">
        <v>3883</v>
      </c>
      <c r="BC618" s="1746">
        <v>100</v>
      </c>
      <c r="BD618" s="1746" t="s">
        <v>2790</v>
      </c>
      <c r="BE618" s="1746"/>
      <c r="BF618" s="1746">
        <v>6007</v>
      </c>
      <c r="BG618" s="1746" t="s">
        <v>2592</v>
      </c>
      <c r="BH618" s="1744">
        <f t="shared" si="76"/>
        <v>6.0070000000000002E-3</v>
      </c>
      <c r="BI618" s="1745">
        <f t="shared" si="73"/>
        <v>6.0069999999999999E-5</v>
      </c>
      <c r="BJ618" s="1740" t="str">
        <f t="shared" si="74"/>
        <v>amps</v>
      </c>
      <c r="BK618" s="1740" t="str">
        <f t="shared" si="75"/>
        <v>Injection Vial</v>
      </c>
    </row>
    <row r="619" spans="51:63" ht="15.65" customHeight="1">
      <c r="AY619" s="1746" t="s">
        <v>2593</v>
      </c>
      <c r="AZ619" s="1746">
        <v>2008</v>
      </c>
      <c r="BA619" s="1746" t="s">
        <v>3884</v>
      </c>
      <c r="BB619" s="1747" t="s">
        <v>3885</v>
      </c>
      <c r="BC619" s="1746">
        <v>50</v>
      </c>
      <c r="BD619" s="1746" t="s">
        <v>2727</v>
      </c>
      <c r="BE619" s="1746"/>
      <c r="BF619" s="1746">
        <v>2.1299999999999999E-3</v>
      </c>
      <c r="BG619" s="1746" t="s">
        <v>2597</v>
      </c>
      <c r="BH619" s="1744">
        <f t="shared" si="76"/>
        <v>2.1299999999999999E-3</v>
      </c>
      <c r="BI619" s="1745">
        <f t="shared" si="73"/>
        <v>4.2599999999999999E-5</v>
      </c>
      <c r="BJ619" s="1740" t="str">
        <f t="shared" si="74"/>
        <v>ampoules</v>
      </c>
      <c r="BK619" s="1740" t="str">
        <f t="shared" si="75"/>
        <v>Injection Vial</v>
      </c>
    </row>
    <row r="620" spans="51:63" ht="15.65" customHeight="1">
      <c r="AY620" s="1746" t="s">
        <v>2588</v>
      </c>
      <c r="AZ620" s="1746">
        <v>2006</v>
      </c>
      <c r="BA620" s="1746" t="s">
        <v>3886</v>
      </c>
      <c r="BB620" s="1747" t="s">
        <v>3887</v>
      </c>
      <c r="BC620" s="1746">
        <v>500</v>
      </c>
      <c r="BD620" s="1746" t="s">
        <v>2615</v>
      </c>
      <c r="BE620" s="1746"/>
      <c r="BF620" s="1746">
        <v>817</v>
      </c>
      <c r="BG620" s="1746" t="s">
        <v>2592</v>
      </c>
      <c r="BH620" s="1744">
        <f t="shared" si="76"/>
        <v>8.1700000000000002E-4</v>
      </c>
      <c r="BI620" s="1745">
        <f t="shared" si="73"/>
        <v>1.6339999999999999E-6</v>
      </c>
      <c r="BJ620" s="1740" t="str">
        <f t="shared" si="74"/>
        <v>tabs</v>
      </c>
      <c r="BK620" s="1740" t="str">
        <f t="shared" si="75"/>
        <v>Bottle of Tablets</v>
      </c>
    </row>
    <row r="621" spans="51:63" ht="15.65" customHeight="1">
      <c r="AY621" s="1746" t="s">
        <v>2593</v>
      </c>
      <c r="AZ621" s="1746">
        <v>2008</v>
      </c>
      <c r="BA621" s="1746" t="s">
        <v>3888</v>
      </c>
      <c r="BB621" s="1747" t="s">
        <v>3889</v>
      </c>
      <c r="BC621" s="1746">
        <v>500</v>
      </c>
      <c r="BD621" s="1746" t="s">
        <v>2601</v>
      </c>
      <c r="BE621" s="1746"/>
      <c r="BF621" s="1746">
        <v>8.0000000000000004E-4</v>
      </c>
      <c r="BG621" s="1746" t="s">
        <v>2597</v>
      </c>
      <c r="BH621" s="1744">
        <f t="shared" si="76"/>
        <v>8.0000000000000004E-4</v>
      </c>
      <c r="BI621" s="1745">
        <f t="shared" si="73"/>
        <v>1.6000000000000001E-6</v>
      </c>
      <c r="BJ621" s="1740" t="str">
        <f t="shared" si="74"/>
        <v>tablets</v>
      </c>
      <c r="BK621" s="1740" t="str">
        <f t="shared" si="75"/>
        <v>Bottle of Tablets</v>
      </c>
    </row>
    <row r="622" spans="51:63" ht="15.65" customHeight="1">
      <c r="AY622" s="1746" t="s">
        <v>2575</v>
      </c>
      <c r="AZ622" s="1746">
        <v>2008</v>
      </c>
      <c r="BA622" s="1746" t="s">
        <v>3890</v>
      </c>
      <c r="BB622" s="1747" t="s">
        <v>3891</v>
      </c>
      <c r="BC622" s="1746" t="s">
        <v>2578</v>
      </c>
      <c r="BD622" s="1746" t="s">
        <v>3892</v>
      </c>
      <c r="BE622" s="1746" t="s">
        <v>3893</v>
      </c>
      <c r="BF622" s="1746">
        <v>4</v>
      </c>
      <c r="BG622" s="1746" t="s">
        <v>2581</v>
      </c>
      <c r="BH622" s="1744">
        <f t="shared" si="76"/>
        <v>4.0000000000000001E-3</v>
      </c>
      <c r="BI622" s="1745" t="str">
        <f t="shared" si="73"/>
        <v/>
      </c>
      <c r="BJ622" s="1740" t="str">
        <f t="shared" si="74"/>
        <v>KG-Pharma raw materials</v>
      </c>
      <c r="BK622" s="1740" t="str">
        <f t="shared" si="75"/>
        <v>Medical equipment</v>
      </c>
    </row>
    <row r="623" spans="51:63" ht="15.65" customHeight="1">
      <c r="AY623" s="1746" t="s">
        <v>2593</v>
      </c>
      <c r="AZ623" s="1746">
        <v>2008</v>
      </c>
      <c r="BA623" s="1746" t="s">
        <v>3894</v>
      </c>
      <c r="BB623" s="1747" t="s">
        <v>3895</v>
      </c>
      <c r="BC623" s="1750">
        <v>1000</v>
      </c>
      <c r="BD623" s="1746" t="s">
        <v>2601</v>
      </c>
      <c r="BE623" s="1746"/>
      <c r="BF623" s="1746">
        <v>7.1000000000000002E-4</v>
      </c>
      <c r="BG623" s="1746" t="s">
        <v>2597</v>
      </c>
      <c r="BH623" s="1744">
        <f t="shared" si="76"/>
        <v>7.1000000000000002E-4</v>
      </c>
      <c r="BI623" s="1745">
        <f t="shared" si="73"/>
        <v>7.0999999999999998E-7</v>
      </c>
      <c r="BJ623" s="1740" t="str">
        <f t="shared" si="74"/>
        <v>tablets</v>
      </c>
      <c r="BK623" s="1740" t="str">
        <f t="shared" si="75"/>
        <v>Bottle of Tablets</v>
      </c>
    </row>
    <row r="624" spans="51:63" ht="15.65" customHeight="1">
      <c r="AY624" s="1746" t="s">
        <v>2593</v>
      </c>
      <c r="AZ624" s="1746">
        <v>2008</v>
      </c>
      <c r="BA624" s="1746" t="s">
        <v>3896</v>
      </c>
      <c r="BB624" s="1747" t="s">
        <v>3897</v>
      </c>
      <c r="BC624" s="1746">
        <v>1</v>
      </c>
      <c r="BD624" s="1746" t="s">
        <v>2596</v>
      </c>
      <c r="BE624" s="1746"/>
      <c r="BF624" s="1746">
        <v>4.6999999999999999E-4</v>
      </c>
      <c r="BG624" s="1746" t="s">
        <v>2597</v>
      </c>
      <c r="BH624" s="1744">
        <f t="shared" si="76"/>
        <v>4.6999999999999999E-4</v>
      </c>
      <c r="BI624" s="1745">
        <f t="shared" si="73"/>
        <v>4.6999999999999999E-4</v>
      </c>
      <c r="BJ624" s="1740" t="str">
        <f t="shared" si="74"/>
        <v>bottle</v>
      </c>
      <c r="BK624" s="1740" t="str">
        <f t="shared" si="75"/>
        <v>Bottle of Liquid</v>
      </c>
    </row>
    <row r="625" spans="51:63" ht="15.65" customHeight="1">
      <c r="AY625" s="1746" t="s">
        <v>2593</v>
      </c>
      <c r="AZ625" s="1746">
        <v>2008</v>
      </c>
      <c r="BA625" s="1746" t="s">
        <v>3898</v>
      </c>
      <c r="BB625" s="1747" t="s">
        <v>3899</v>
      </c>
      <c r="BC625" s="1746">
        <v>1</v>
      </c>
      <c r="BD625" s="1746" t="s">
        <v>3224</v>
      </c>
      <c r="BE625" s="1746"/>
      <c r="BF625" s="1746">
        <v>1.17E-3</v>
      </c>
      <c r="BG625" s="1746" t="s">
        <v>2597</v>
      </c>
      <c r="BH625" s="1744">
        <f t="shared" si="76"/>
        <v>1.17E-3</v>
      </c>
      <c r="BI625" s="1745">
        <f t="shared" si="73"/>
        <v>1.17E-3</v>
      </c>
      <c r="BJ625" s="1740" t="str">
        <f t="shared" si="74"/>
        <v>jar</v>
      </c>
      <c r="BK625" s="1740" t="str">
        <f t="shared" si="75"/>
        <v>Bottle of liquid</v>
      </c>
    </row>
    <row r="626" spans="51:63" ht="15.65" customHeight="1">
      <c r="AY626" s="1746" t="s">
        <v>2575</v>
      </c>
      <c r="AZ626" s="1746">
        <v>2008</v>
      </c>
      <c r="BA626" s="1746" t="s">
        <v>3900</v>
      </c>
      <c r="BB626" s="1747" t="s">
        <v>3901</v>
      </c>
      <c r="BC626" s="1746" t="s">
        <v>2578</v>
      </c>
      <c r="BD626" s="1746" t="s">
        <v>2775</v>
      </c>
      <c r="BE626" s="1746" t="s">
        <v>3902</v>
      </c>
      <c r="BF626" s="1746">
        <v>1.0349999999999999</v>
      </c>
      <c r="BG626" s="1746" t="s">
        <v>2581</v>
      </c>
      <c r="BH626" s="1744">
        <f t="shared" si="76"/>
        <v>1.0349999999999999E-3</v>
      </c>
      <c r="BI626" s="1745" t="str">
        <f t="shared" si="73"/>
        <v/>
      </c>
      <c r="BJ626" s="1740" t="str">
        <f t="shared" si="74"/>
        <v>BOT-Disinf./antiseptics</v>
      </c>
      <c r="BK626" s="1740" t="str">
        <f t="shared" si="75"/>
        <v>Bottle of Liquid</v>
      </c>
    </row>
    <row r="627" spans="51:63" ht="15.65" customHeight="1">
      <c r="AY627" s="1746" t="s">
        <v>2588</v>
      </c>
      <c r="AZ627" s="1746">
        <v>2006</v>
      </c>
      <c r="BA627" s="1746" t="s">
        <v>3903</v>
      </c>
      <c r="BB627" s="1747" t="s">
        <v>3904</v>
      </c>
      <c r="BC627" s="1746">
        <v>500</v>
      </c>
      <c r="BD627" s="1746" t="s">
        <v>2615</v>
      </c>
      <c r="BE627" s="1746"/>
      <c r="BF627" s="1746">
        <v>1441</v>
      </c>
      <c r="BG627" s="1746" t="s">
        <v>2592</v>
      </c>
      <c r="BH627" s="1744">
        <f t="shared" si="76"/>
        <v>1.441E-3</v>
      </c>
      <c r="BI627" s="1745">
        <f t="shared" si="73"/>
        <v>2.8820000000000001E-6</v>
      </c>
      <c r="BJ627" s="1740" t="str">
        <f t="shared" si="74"/>
        <v>tabs</v>
      </c>
      <c r="BK627" s="1740" t="str">
        <f t="shared" si="75"/>
        <v>Bottle of Tablets</v>
      </c>
    </row>
    <row r="628" spans="51:63" ht="15.65" customHeight="1">
      <c r="AY628" s="1746" t="s">
        <v>2593</v>
      </c>
      <c r="AZ628" s="1746">
        <v>2008</v>
      </c>
      <c r="BA628" s="1746" t="s">
        <v>3905</v>
      </c>
      <c r="BB628" s="1747" t="s">
        <v>3906</v>
      </c>
      <c r="BC628" s="1750">
        <v>1000</v>
      </c>
      <c r="BD628" s="1746" t="s">
        <v>2601</v>
      </c>
      <c r="BE628" s="1746"/>
      <c r="BF628" s="1746">
        <v>2.4599999999999999E-3</v>
      </c>
      <c r="BG628" s="1746" t="s">
        <v>2597</v>
      </c>
      <c r="BH628" s="1744">
        <f t="shared" si="76"/>
        <v>2.4599999999999999E-3</v>
      </c>
      <c r="BI628" s="1745">
        <f t="shared" si="73"/>
        <v>2.4599999999999997E-6</v>
      </c>
      <c r="BJ628" s="1740" t="str">
        <f t="shared" si="74"/>
        <v>tablets</v>
      </c>
      <c r="BK628" s="1740" t="str">
        <f t="shared" si="75"/>
        <v>Bottle of Tablets</v>
      </c>
    </row>
    <row r="629" spans="51:63" ht="15.65" customHeight="1">
      <c r="AY629" s="1746" t="s">
        <v>2575</v>
      </c>
      <c r="AZ629" s="1746">
        <v>2008</v>
      </c>
      <c r="BA629" s="1746" t="s">
        <v>3907</v>
      </c>
      <c r="BB629" s="1747" t="s">
        <v>3908</v>
      </c>
      <c r="BC629" s="1746" t="s">
        <v>2578</v>
      </c>
      <c r="BD629" s="1746" t="s">
        <v>2638</v>
      </c>
      <c r="BE629" s="1746" t="s">
        <v>2758</v>
      </c>
      <c r="BF629" s="1746">
        <v>0.63300000000000001</v>
      </c>
      <c r="BG629" s="1746" t="s">
        <v>2581</v>
      </c>
      <c r="BH629" s="1744">
        <f t="shared" si="76"/>
        <v>6.3299999999999999E-4</v>
      </c>
      <c r="BI629" s="1745" t="str">
        <f t="shared" si="73"/>
        <v/>
      </c>
      <c r="BJ629" s="1740" t="str">
        <f t="shared" si="74"/>
        <v>PAC-Anthelmintics</v>
      </c>
      <c r="BK629" s="1740" t="str">
        <f t="shared" si="75"/>
        <v>Bottle of Tablets</v>
      </c>
    </row>
    <row r="630" spans="51:63" ht="15.65" customHeight="1">
      <c r="AY630" s="1746" t="s">
        <v>2588</v>
      </c>
      <c r="AZ630" s="1746">
        <v>2006</v>
      </c>
      <c r="BA630" s="1746" t="s">
        <v>3909</v>
      </c>
      <c r="BB630" s="1747" t="s">
        <v>3910</v>
      </c>
      <c r="BC630" s="1746">
        <v>1000</v>
      </c>
      <c r="BD630" s="1746" t="s">
        <v>2615</v>
      </c>
      <c r="BE630" s="1746"/>
      <c r="BF630" s="1746">
        <v>174.3</v>
      </c>
      <c r="BG630" s="1746" t="s">
        <v>2592</v>
      </c>
      <c r="BH630" s="1744">
        <f t="shared" si="76"/>
        <v>1.7430000000000001E-4</v>
      </c>
      <c r="BI630" s="1745">
        <f t="shared" si="73"/>
        <v>1.7430000000000002E-7</v>
      </c>
      <c r="BJ630" s="1740" t="str">
        <f t="shared" si="74"/>
        <v>tabs</v>
      </c>
      <c r="BK630" s="1740" t="str">
        <f t="shared" si="75"/>
        <v>Bottle of Tablets</v>
      </c>
    </row>
    <row r="631" spans="51:63" ht="15.65" customHeight="1">
      <c r="AY631" s="1746" t="s">
        <v>2593</v>
      </c>
      <c r="AZ631" s="1746">
        <v>2008</v>
      </c>
      <c r="BA631" s="1746" t="s">
        <v>3911</v>
      </c>
      <c r="BB631" s="1747" t="s">
        <v>3912</v>
      </c>
      <c r="BC631" s="1750">
        <v>1000</v>
      </c>
      <c r="BD631" s="1746" t="s">
        <v>2601</v>
      </c>
      <c r="BE631" s="1746"/>
      <c r="BF631" s="1746">
        <v>4.6000000000000001E-4</v>
      </c>
      <c r="BG631" s="1746" t="s">
        <v>2597</v>
      </c>
      <c r="BH631" s="1744">
        <f t="shared" si="76"/>
        <v>4.6000000000000001E-4</v>
      </c>
      <c r="BI631" s="1745">
        <f t="shared" si="73"/>
        <v>4.5999999999999999E-7</v>
      </c>
      <c r="BJ631" s="1740" t="str">
        <f t="shared" si="74"/>
        <v>tablets</v>
      </c>
      <c r="BK631" s="1740" t="str">
        <f t="shared" si="75"/>
        <v>Bottle of Tablets</v>
      </c>
    </row>
    <row r="632" spans="51:63" ht="15.65" customHeight="1">
      <c r="AY632" s="1746" t="s">
        <v>2575</v>
      </c>
      <c r="AZ632" s="1746">
        <v>2008</v>
      </c>
      <c r="BA632" s="1746" t="s">
        <v>3913</v>
      </c>
      <c r="BB632" s="1747" t="s">
        <v>3914</v>
      </c>
      <c r="BC632" s="1746" t="s">
        <v>2578</v>
      </c>
      <c r="BD632" s="1746" t="s">
        <v>2638</v>
      </c>
      <c r="BE632" s="1746" t="s">
        <v>3915</v>
      </c>
      <c r="BF632" s="1746">
        <v>9.0999999999999998E-2</v>
      </c>
      <c r="BG632" s="1746" t="s">
        <v>2581</v>
      </c>
      <c r="BH632" s="1744">
        <f t="shared" si="76"/>
        <v>9.1000000000000003E-5</v>
      </c>
      <c r="BI632" s="1745" t="str">
        <f t="shared" si="73"/>
        <v/>
      </c>
      <c r="BJ632" s="1740" t="str">
        <f t="shared" si="74"/>
        <v>PAC-Hormones/endocrine</v>
      </c>
      <c r="BK632" s="1740" t="str">
        <f t="shared" si="75"/>
        <v>Bottle of Tablets</v>
      </c>
    </row>
    <row r="633" spans="51:63" ht="15.65" customHeight="1">
      <c r="AY633" s="1746" t="s">
        <v>2588</v>
      </c>
      <c r="AZ633" s="1746">
        <v>2006</v>
      </c>
      <c r="BA633" s="1746" t="s">
        <v>3916</v>
      </c>
      <c r="BB633" s="1747" t="s">
        <v>3917</v>
      </c>
      <c r="BC633" s="1746">
        <v>100</v>
      </c>
      <c r="BD633" s="1746" t="s">
        <v>3918</v>
      </c>
      <c r="BE633" s="1746"/>
      <c r="BF633" s="1746">
        <v>1630</v>
      </c>
      <c r="BG633" s="1746" t="s">
        <v>2592</v>
      </c>
      <c r="BH633" s="1744">
        <f t="shared" si="76"/>
        <v>1.6299999999999999E-3</v>
      </c>
      <c r="BI633" s="1745">
        <f t="shared" si="73"/>
        <v>1.63E-5</v>
      </c>
      <c r="BJ633" s="1740" t="str">
        <f t="shared" si="74"/>
        <v>tests</v>
      </c>
      <c r="BK633" s="1740" t="str">
        <f t="shared" si="75"/>
        <v>Rapid Test</v>
      </c>
    </row>
    <row r="634" spans="51:63" ht="15.65" customHeight="1">
      <c r="AY634" s="1746" t="s">
        <v>2593</v>
      </c>
      <c r="AZ634" s="1746">
        <v>2008</v>
      </c>
      <c r="BA634" s="1746" t="s">
        <v>3919</v>
      </c>
      <c r="BB634" s="1747" t="s">
        <v>3920</v>
      </c>
      <c r="BC634" s="1746">
        <v>1</v>
      </c>
      <c r="BD634" s="1746" t="s">
        <v>2933</v>
      </c>
      <c r="BE634" s="1746"/>
      <c r="BF634" s="1746">
        <v>1.0000000000000001E-5</v>
      </c>
      <c r="BG634" s="1746" t="s">
        <v>2597</v>
      </c>
      <c r="BH634" s="1744">
        <f t="shared" si="76"/>
        <v>1.0000000000000001E-5</v>
      </c>
      <c r="BI634" s="1745">
        <f t="shared" si="73"/>
        <v>1.0000000000000001E-5</v>
      </c>
      <c r="BJ634" s="1740" t="str">
        <f t="shared" si="74"/>
        <v>piece</v>
      </c>
      <c r="BK634" s="1740" t="str">
        <f t="shared" si="75"/>
        <v>Medical equipment</v>
      </c>
    </row>
    <row r="635" spans="51:63" ht="15.65" customHeight="1">
      <c r="AY635" s="1746" t="s">
        <v>2588</v>
      </c>
      <c r="AZ635" s="1746">
        <v>2006</v>
      </c>
      <c r="BA635" s="1746" t="s">
        <v>3921</v>
      </c>
      <c r="BB635" s="1747" t="s">
        <v>3922</v>
      </c>
      <c r="BC635" s="1746">
        <v>1</v>
      </c>
      <c r="BD635" s="1746" t="s">
        <v>2724</v>
      </c>
      <c r="BE635" s="1746"/>
      <c r="BF635" s="1746">
        <v>120000</v>
      </c>
      <c r="BG635" s="1746" t="s">
        <v>2592</v>
      </c>
      <c r="BH635" s="1744">
        <f t="shared" si="76"/>
        <v>0.12</v>
      </c>
      <c r="BI635" s="1745">
        <f t="shared" si="73"/>
        <v>0.12</v>
      </c>
      <c r="BJ635" s="1740" t="str">
        <f t="shared" si="74"/>
        <v>pce</v>
      </c>
      <c r="BK635" s="1740" t="str">
        <f t="shared" si="75"/>
        <v>Roll of tape/gauze</v>
      </c>
    </row>
    <row r="636" spans="51:63" ht="15.65" customHeight="1">
      <c r="AY636" s="1746" t="s">
        <v>2593</v>
      </c>
      <c r="AZ636" s="1746">
        <v>2008</v>
      </c>
      <c r="BA636" s="1746" t="s">
        <v>3923</v>
      </c>
      <c r="BB636" s="1747" t="s">
        <v>3924</v>
      </c>
      <c r="BC636" s="1746">
        <v>1</v>
      </c>
      <c r="BD636" s="1746" t="s">
        <v>2933</v>
      </c>
      <c r="BE636" s="1746"/>
      <c r="BF636" s="1746">
        <v>8.5139999999999993E-2</v>
      </c>
      <c r="BG636" s="1746" t="s">
        <v>2597</v>
      </c>
      <c r="BH636" s="1744">
        <f t="shared" si="76"/>
        <v>8.5139999999999993E-2</v>
      </c>
      <c r="BI636" s="1745">
        <f t="shared" si="73"/>
        <v>8.5139999999999993E-2</v>
      </c>
      <c r="BJ636" s="1740" t="str">
        <f t="shared" si="74"/>
        <v>piece</v>
      </c>
      <c r="BK636" s="1740" t="str">
        <f t="shared" si="75"/>
        <v>Medical equipment</v>
      </c>
    </row>
    <row r="637" spans="51:63" ht="15.65" customHeight="1">
      <c r="AY637" s="1746" t="s">
        <v>2593</v>
      </c>
      <c r="AZ637" s="1746">
        <v>2008</v>
      </c>
      <c r="BA637" s="1746" t="s">
        <v>3925</v>
      </c>
      <c r="BB637" s="1747" t="s">
        <v>3926</v>
      </c>
      <c r="BC637" s="1750">
        <v>1000</v>
      </c>
      <c r="BD637" s="1746" t="s">
        <v>2601</v>
      </c>
      <c r="BE637" s="1746"/>
      <c r="BF637" s="1746">
        <v>4.0999999999999999E-4</v>
      </c>
      <c r="BG637" s="1746" t="s">
        <v>2597</v>
      </c>
      <c r="BH637" s="1744">
        <f t="shared" si="76"/>
        <v>4.0999999999999999E-4</v>
      </c>
      <c r="BI637" s="1745">
        <f t="shared" si="73"/>
        <v>4.0999999999999999E-7</v>
      </c>
      <c r="BJ637" s="1740" t="str">
        <f t="shared" si="74"/>
        <v>tablets</v>
      </c>
      <c r="BK637" s="1740" t="str">
        <f t="shared" si="75"/>
        <v>Bottle of Tablets</v>
      </c>
    </row>
    <row r="638" spans="51:63" ht="15.65" customHeight="1">
      <c r="AY638" s="1746" t="s">
        <v>2588</v>
      </c>
      <c r="AZ638" s="1746">
        <v>2006</v>
      </c>
      <c r="BA638" s="1746" t="s">
        <v>3927</v>
      </c>
      <c r="BB638" s="1747" t="s">
        <v>3928</v>
      </c>
      <c r="BC638" s="1746">
        <v>1000</v>
      </c>
      <c r="BD638" s="1746" t="s">
        <v>2615</v>
      </c>
      <c r="BE638" s="1746"/>
      <c r="BF638" s="1746">
        <v>462</v>
      </c>
      <c r="BG638" s="1746" t="s">
        <v>2592</v>
      </c>
      <c r="BH638" s="1744">
        <f t="shared" si="76"/>
        <v>4.6200000000000001E-4</v>
      </c>
      <c r="BI638" s="1745">
        <f t="shared" si="73"/>
        <v>4.6200000000000003E-7</v>
      </c>
      <c r="BJ638" s="1740" t="str">
        <f t="shared" si="74"/>
        <v>tabs</v>
      </c>
      <c r="BK638" s="1740" t="str">
        <f t="shared" si="75"/>
        <v>Bottle of Tablets</v>
      </c>
    </row>
    <row r="639" spans="51:63" ht="15.65" customHeight="1">
      <c r="AY639" s="1746" t="s">
        <v>2593</v>
      </c>
      <c r="AZ639" s="1746">
        <v>2008</v>
      </c>
      <c r="BA639" s="1746" t="s">
        <v>3929</v>
      </c>
      <c r="BB639" s="1747" t="s">
        <v>3930</v>
      </c>
      <c r="BC639" s="1750">
        <v>1000</v>
      </c>
      <c r="BD639" s="1746" t="s">
        <v>2601</v>
      </c>
      <c r="BE639" s="1746"/>
      <c r="BF639" s="1746">
        <v>3.1E-4</v>
      </c>
      <c r="BG639" s="1746" t="s">
        <v>2597</v>
      </c>
      <c r="BH639" s="1744">
        <f t="shared" si="76"/>
        <v>3.1E-4</v>
      </c>
      <c r="BI639" s="1745">
        <f t="shared" si="73"/>
        <v>3.1E-7</v>
      </c>
      <c r="BJ639" s="1740" t="str">
        <f t="shared" si="74"/>
        <v>tablets</v>
      </c>
      <c r="BK639" s="1740" t="str">
        <f t="shared" si="75"/>
        <v>Bottle of Tablets</v>
      </c>
    </row>
    <row r="640" spans="51:63" ht="15.65" customHeight="1">
      <c r="AY640" s="1746" t="s">
        <v>2575</v>
      </c>
      <c r="AZ640" s="1746">
        <v>2008</v>
      </c>
      <c r="BA640" s="1746" t="s">
        <v>3931</v>
      </c>
      <c r="BB640" s="1747" t="s">
        <v>3932</v>
      </c>
      <c r="BC640" s="1746" t="s">
        <v>2578</v>
      </c>
      <c r="BD640" s="1746" t="s">
        <v>2638</v>
      </c>
      <c r="BE640" s="1746" t="s">
        <v>2826</v>
      </c>
      <c r="BF640" s="1746">
        <v>0</v>
      </c>
      <c r="BG640" s="1746" t="s">
        <v>2581</v>
      </c>
      <c r="BH640" s="1744">
        <f t="shared" si="76"/>
        <v>0</v>
      </c>
      <c r="BI640" s="1745" t="str">
        <f t="shared" si="73"/>
        <v/>
      </c>
      <c r="BJ640" s="1740" t="str">
        <f t="shared" si="74"/>
        <v>PAC-Antimalarial drugs</v>
      </c>
      <c r="BK640" s="1740" t="str">
        <f t="shared" si="75"/>
        <v>Blister Pack of Tablets</v>
      </c>
    </row>
    <row r="641" spans="51:63" ht="15.65" customHeight="1">
      <c r="AY641" s="1746" t="s">
        <v>2575</v>
      </c>
      <c r="AZ641" s="1746">
        <v>2008</v>
      </c>
      <c r="BA641" s="1746" t="s">
        <v>3933</v>
      </c>
      <c r="BB641" s="1747" t="s">
        <v>3934</v>
      </c>
      <c r="BC641" s="1746" t="s">
        <v>2578</v>
      </c>
      <c r="BD641" s="1746" t="s">
        <v>2579</v>
      </c>
      <c r="BE641" s="1746" t="s">
        <v>3935</v>
      </c>
      <c r="BF641" s="1746">
        <v>1E-3</v>
      </c>
      <c r="BG641" s="1746" t="s">
        <v>2581</v>
      </c>
      <c r="BH641" s="1744">
        <f t="shared" si="76"/>
        <v>9.9999999999999995E-7</v>
      </c>
      <c r="BI641" s="1745" t="str">
        <f t="shared" si="73"/>
        <v/>
      </c>
      <c r="BJ641" s="1740" t="str">
        <f t="shared" si="74"/>
        <v>EA-Static function</v>
      </c>
      <c r="BK641" s="1740" t="str">
        <f t="shared" si="75"/>
        <v>Medical equipment</v>
      </c>
    </row>
    <row r="642" spans="51:63" ht="15.65" customHeight="1">
      <c r="AY642" s="1746" t="s">
        <v>2575</v>
      </c>
      <c r="AZ642" s="1746">
        <v>2008</v>
      </c>
      <c r="BA642" s="1746" t="s">
        <v>3936</v>
      </c>
      <c r="BB642" s="1747" t="s">
        <v>3937</v>
      </c>
      <c r="BC642" s="1746" t="s">
        <v>2578</v>
      </c>
      <c r="BD642" s="1746" t="s">
        <v>2903</v>
      </c>
      <c r="BE642" s="1746" t="s">
        <v>2833</v>
      </c>
      <c r="BF642" s="1746">
        <v>2.7559999999999998</v>
      </c>
      <c r="BG642" s="1746" t="s">
        <v>2581</v>
      </c>
      <c r="BH642" s="1744">
        <f t="shared" si="76"/>
        <v>2.7559999999999998E-3</v>
      </c>
      <c r="BI642" s="1745" t="str">
        <f t="shared" si="73"/>
        <v/>
      </c>
      <c r="BJ642" s="1740" t="str">
        <f t="shared" si="74"/>
        <v>BOX-ß-lactams</v>
      </c>
      <c r="BK642" s="1740" t="str">
        <f t="shared" si="75"/>
        <v>Injection Vial</v>
      </c>
    </row>
    <row r="643" spans="51:63" ht="15.65" customHeight="1">
      <c r="AY643" s="1746" t="s">
        <v>2575</v>
      </c>
      <c r="AZ643" s="1746">
        <v>2008</v>
      </c>
      <c r="BA643" s="1746" t="s">
        <v>3938</v>
      </c>
      <c r="BB643" s="1747" t="s">
        <v>3939</v>
      </c>
      <c r="BC643" s="1746" t="s">
        <v>2578</v>
      </c>
      <c r="BD643" s="1746" t="s">
        <v>2903</v>
      </c>
      <c r="BE643" s="1746" t="s">
        <v>2833</v>
      </c>
      <c r="BF643" s="1746">
        <v>5.15</v>
      </c>
      <c r="BG643" s="1746" t="s">
        <v>2581</v>
      </c>
      <c r="BH643" s="1744">
        <f t="shared" si="76"/>
        <v>5.1500000000000001E-3</v>
      </c>
      <c r="BI643" s="1745" t="str">
        <f t="shared" si="73"/>
        <v/>
      </c>
      <c r="BJ643" s="1740" t="str">
        <f t="shared" si="74"/>
        <v>BOX-ß-lactams</v>
      </c>
      <c r="BK643" s="1740" t="str">
        <f t="shared" si="75"/>
        <v>Injection Vial</v>
      </c>
    </row>
    <row r="644" spans="51:63" ht="15.65" customHeight="1">
      <c r="AY644" s="1746" t="s">
        <v>2588</v>
      </c>
      <c r="AZ644" s="1746">
        <v>2006</v>
      </c>
      <c r="BA644" s="1746" t="s">
        <v>3940</v>
      </c>
      <c r="BB644" s="1747" t="s">
        <v>3941</v>
      </c>
      <c r="BC644" s="1746">
        <v>50</v>
      </c>
      <c r="BD644" s="1746" t="s">
        <v>2795</v>
      </c>
      <c r="BE644" s="1746"/>
      <c r="BF644" s="1746">
        <v>2812.6</v>
      </c>
      <c r="BG644" s="1746" t="s">
        <v>2592</v>
      </c>
      <c r="BH644" s="1744">
        <f t="shared" si="76"/>
        <v>2.8125999999999997E-3</v>
      </c>
      <c r="BI644" s="1745">
        <f t="shared" si="73"/>
        <v>5.6251999999999996E-5</v>
      </c>
      <c r="BJ644" s="1740" t="str">
        <f t="shared" si="74"/>
        <v>vials</v>
      </c>
      <c r="BK644" s="1740" t="str">
        <f t="shared" si="75"/>
        <v>Injection Vial</v>
      </c>
    </row>
    <row r="645" spans="51:63" ht="15.65" customHeight="1">
      <c r="AY645" s="1746" t="s">
        <v>2593</v>
      </c>
      <c r="AZ645" s="1746">
        <v>2008</v>
      </c>
      <c r="BA645" s="1746" t="s">
        <v>3942</v>
      </c>
      <c r="BB645" s="1747" t="s">
        <v>3943</v>
      </c>
      <c r="BC645" s="1746">
        <v>50</v>
      </c>
      <c r="BD645" s="1746" t="s">
        <v>2795</v>
      </c>
      <c r="BE645" s="1746"/>
      <c r="BF645" s="1746">
        <v>1.6299999999999999E-3</v>
      </c>
      <c r="BG645" s="1746" t="s">
        <v>2597</v>
      </c>
      <c r="BH645" s="1744">
        <f t="shared" si="76"/>
        <v>1.6299999999999999E-3</v>
      </c>
      <c r="BI645" s="1745">
        <f t="shared" si="73"/>
        <v>3.26E-5</v>
      </c>
      <c r="BJ645" s="1740" t="str">
        <f t="shared" si="74"/>
        <v>vials</v>
      </c>
      <c r="BK645" s="1740" t="str">
        <f t="shared" si="75"/>
        <v>Injection Vial</v>
      </c>
    </row>
    <row r="646" spans="51:63" ht="15.65" customHeight="1">
      <c r="AY646" s="1746" t="s">
        <v>2588</v>
      </c>
      <c r="AZ646" s="1746">
        <v>2006</v>
      </c>
      <c r="BA646" s="1746" t="s">
        <v>3944</v>
      </c>
      <c r="BB646" s="1747" t="s">
        <v>3945</v>
      </c>
      <c r="BC646" s="1746">
        <v>50</v>
      </c>
      <c r="BD646" s="1746" t="s">
        <v>2795</v>
      </c>
      <c r="BE646" s="1746"/>
      <c r="BF646" s="1746">
        <v>3840.4</v>
      </c>
      <c r="BG646" s="1746" t="s">
        <v>2592</v>
      </c>
      <c r="BH646" s="1744">
        <f t="shared" si="76"/>
        <v>3.8403999999999999E-3</v>
      </c>
      <c r="BI646" s="1745">
        <f t="shared" si="73"/>
        <v>7.6808000000000001E-5</v>
      </c>
      <c r="BJ646" s="1740" t="str">
        <f t="shared" si="74"/>
        <v>vials</v>
      </c>
      <c r="BK646" s="1740" t="str">
        <f t="shared" si="75"/>
        <v>Injection Vial</v>
      </c>
    </row>
    <row r="647" spans="51:63" ht="15.65" customHeight="1">
      <c r="AY647" s="1746" t="s">
        <v>2588</v>
      </c>
      <c r="AZ647" s="1746">
        <v>2006</v>
      </c>
      <c r="BA647" s="1746" t="s">
        <v>3946</v>
      </c>
      <c r="BB647" s="1747" t="s">
        <v>3947</v>
      </c>
      <c r="BC647" s="1746">
        <v>50</v>
      </c>
      <c r="BD647" s="1746" t="s">
        <v>2795</v>
      </c>
      <c r="BE647" s="1746"/>
      <c r="BF647" s="1746">
        <v>2752</v>
      </c>
      <c r="BG647" s="1746" t="s">
        <v>2592</v>
      </c>
      <c r="BH647" s="1744">
        <f t="shared" si="76"/>
        <v>2.7520000000000001E-3</v>
      </c>
      <c r="BI647" s="1745">
        <f t="shared" si="73"/>
        <v>5.5040000000000002E-5</v>
      </c>
      <c r="BJ647" s="1740" t="str">
        <f t="shared" si="74"/>
        <v>vials</v>
      </c>
      <c r="BK647" s="1740" t="str">
        <f t="shared" si="75"/>
        <v>Injection Vial</v>
      </c>
    </row>
    <row r="648" spans="51:63" ht="15.65" customHeight="1">
      <c r="AY648" s="1746" t="s">
        <v>2593</v>
      </c>
      <c r="AZ648" s="1746">
        <v>2008</v>
      </c>
      <c r="BA648" s="1746" t="s">
        <v>3948</v>
      </c>
      <c r="BB648" s="1747" t="s">
        <v>3949</v>
      </c>
      <c r="BC648" s="1746">
        <v>50</v>
      </c>
      <c r="BD648" s="1746" t="s">
        <v>2795</v>
      </c>
      <c r="BE648" s="1746"/>
      <c r="BF648" s="1746">
        <v>3.81E-3</v>
      </c>
      <c r="BG648" s="1746" t="s">
        <v>2597</v>
      </c>
      <c r="BH648" s="1744">
        <f t="shared" si="76"/>
        <v>3.81E-3</v>
      </c>
      <c r="BI648" s="1745">
        <f t="shared" si="73"/>
        <v>7.6199999999999995E-5</v>
      </c>
      <c r="BJ648" s="1740" t="str">
        <f t="shared" si="74"/>
        <v>vials</v>
      </c>
      <c r="BK648" s="1740" t="str">
        <f t="shared" si="75"/>
        <v>Injection Vial</v>
      </c>
    </row>
    <row r="649" spans="51:63" ht="15.65" customHeight="1">
      <c r="AY649" s="1746" t="s">
        <v>2593</v>
      </c>
      <c r="AZ649" s="1746">
        <v>2008</v>
      </c>
      <c r="BA649" s="1746" t="s">
        <v>3950</v>
      </c>
      <c r="BB649" s="1747" t="s">
        <v>3951</v>
      </c>
      <c r="BC649" s="1746">
        <v>50</v>
      </c>
      <c r="BD649" s="1746" t="s">
        <v>2795</v>
      </c>
      <c r="BE649" s="1746"/>
      <c r="BF649" s="1746">
        <v>3.9699999999999996E-3</v>
      </c>
      <c r="BG649" s="1746" t="s">
        <v>2597</v>
      </c>
      <c r="BH649" s="1744">
        <f t="shared" si="76"/>
        <v>3.9699999999999996E-3</v>
      </c>
      <c r="BI649" s="1745">
        <f t="shared" si="73"/>
        <v>7.9399999999999992E-5</v>
      </c>
      <c r="BJ649" s="1740" t="str">
        <f t="shared" si="74"/>
        <v>vials</v>
      </c>
      <c r="BK649" s="1740" t="str">
        <f t="shared" si="75"/>
        <v>Injection Vial</v>
      </c>
    </row>
    <row r="650" spans="51:63" ht="15.65" customHeight="1">
      <c r="AY650" s="1746" t="s">
        <v>2588</v>
      </c>
      <c r="AZ650" s="1746">
        <v>2006</v>
      </c>
      <c r="BA650" s="1746" t="s">
        <v>3952</v>
      </c>
      <c r="BB650" s="1747" t="s">
        <v>3953</v>
      </c>
      <c r="BC650" s="1746">
        <v>10</v>
      </c>
      <c r="BD650" s="1746" t="s">
        <v>2790</v>
      </c>
      <c r="BE650" s="1746"/>
      <c r="BF650" s="1746">
        <v>164</v>
      </c>
      <c r="BG650" s="1746" t="s">
        <v>2592</v>
      </c>
      <c r="BH650" s="1744">
        <f t="shared" si="76"/>
        <v>1.64E-4</v>
      </c>
      <c r="BI650" s="1745">
        <f t="shared" si="73"/>
        <v>1.6399999999999999E-5</v>
      </c>
      <c r="BJ650" s="1740" t="str">
        <f t="shared" si="74"/>
        <v>amps</v>
      </c>
      <c r="BK650" s="1740" t="str">
        <f t="shared" si="75"/>
        <v>Injection Vial</v>
      </c>
    </row>
    <row r="651" spans="51:63" ht="15.65" customHeight="1">
      <c r="AY651" s="1746" t="s">
        <v>2588</v>
      </c>
      <c r="AZ651" s="1746">
        <v>2006</v>
      </c>
      <c r="BA651" s="1746" t="s">
        <v>3954</v>
      </c>
      <c r="BB651" s="1747" t="s">
        <v>3955</v>
      </c>
      <c r="BC651" s="1746">
        <v>500</v>
      </c>
      <c r="BD651" s="1746" t="s">
        <v>2615</v>
      </c>
      <c r="BE651" s="1746"/>
      <c r="BF651" s="1746">
        <v>333</v>
      </c>
      <c r="BG651" s="1746" t="s">
        <v>2592</v>
      </c>
      <c r="BH651" s="1744">
        <f t="shared" si="76"/>
        <v>3.3300000000000002E-4</v>
      </c>
      <c r="BI651" s="1745">
        <f t="shared" si="73"/>
        <v>6.6600000000000006E-7</v>
      </c>
      <c r="BJ651" s="1740" t="str">
        <f t="shared" si="74"/>
        <v>tabs</v>
      </c>
      <c r="BK651" s="1740" t="str">
        <f t="shared" si="75"/>
        <v>Bottle of Tablets</v>
      </c>
    </row>
    <row r="652" spans="51:63" ht="15.65" customHeight="1">
      <c r="AY652" s="1746" t="s">
        <v>2593</v>
      </c>
      <c r="AZ652" s="1746">
        <v>2008</v>
      </c>
      <c r="BA652" s="1746" t="s">
        <v>3956</v>
      </c>
      <c r="BB652" s="1747" t="s">
        <v>3957</v>
      </c>
      <c r="BC652" s="1746">
        <v>500</v>
      </c>
      <c r="BD652" s="1746" t="s">
        <v>3958</v>
      </c>
      <c r="BE652" s="1746"/>
      <c r="BF652" s="1746">
        <v>4.4999999999999999E-4</v>
      </c>
      <c r="BG652" s="1746" t="s">
        <v>2597</v>
      </c>
      <c r="BH652" s="1744">
        <f t="shared" si="76"/>
        <v>4.4999999999999999E-4</v>
      </c>
      <c r="BI652" s="1745">
        <f t="shared" si="73"/>
        <v>8.9999999999999996E-7</v>
      </c>
      <c r="BJ652" s="1740" t="str">
        <f t="shared" si="74"/>
        <v>tablet</v>
      </c>
      <c r="BK652" s="1740" t="str">
        <f t="shared" si="75"/>
        <v>Bottle of Tablets</v>
      </c>
    </row>
    <row r="653" spans="51:63" ht="15.65" customHeight="1">
      <c r="AY653" s="1746" t="s">
        <v>2575</v>
      </c>
      <c r="AZ653" s="1746">
        <v>2008</v>
      </c>
      <c r="BA653" s="1746" t="s">
        <v>3959</v>
      </c>
      <c r="BB653" s="1747" t="s">
        <v>3960</v>
      </c>
      <c r="BC653" s="1746" t="s">
        <v>2578</v>
      </c>
      <c r="BD653" s="1746" t="s">
        <v>2638</v>
      </c>
      <c r="BE653" s="1746" t="s">
        <v>2776</v>
      </c>
      <c r="BF653" s="1746">
        <v>0.25900000000000001</v>
      </c>
      <c r="BG653" s="1746" t="s">
        <v>2581</v>
      </c>
      <c r="BH653" s="1744">
        <f t="shared" si="76"/>
        <v>2.5900000000000001E-4</v>
      </c>
      <c r="BI653" s="1745" t="str">
        <f t="shared" si="73"/>
        <v/>
      </c>
      <c r="BJ653" s="1740" t="str">
        <f t="shared" si="74"/>
        <v>PAC-Gastrointestinal</v>
      </c>
      <c r="BK653" s="1740" t="str">
        <f t="shared" si="75"/>
        <v>Bottle of Tablets</v>
      </c>
    </row>
    <row r="654" spans="51:63" ht="15.65" customHeight="1">
      <c r="AY654" s="1746" t="s">
        <v>2575</v>
      </c>
      <c r="AZ654" s="1746">
        <v>2008</v>
      </c>
      <c r="BA654" s="1746" t="s">
        <v>3961</v>
      </c>
      <c r="BB654" s="1747" t="s">
        <v>3962</v>
      </c>
      <c r="BC654" s="1746" t="s">
        <v>2578</v>
      </c>
      <c r="BD654" s="1746" t="s">
        <v>2775</v>
      </c>
      <c r="BE654" s="1746" t="s">
        <v>2776</v>
      </c>
      <c r="BF654" s="1746">
        <v>0.60399999999999998</v>
      </c>
      <c r="BG654" s="1746" t="s">
        <v>2581</v>
      </c>
      <c r="BH654" s="1744">
        <f t="shared" si="76"/>
        <v>6.0399999999999994E-4</v>
      </c>
      <c r="BI654" s="1745" t="str">
        <f t="shared" si="73"/>
        <v/>
      </c>
      <c r="BJ654" s="1740" t="str">
        <f t="shared" si="74"/>
        <v>BOT-Gastrointestinal</v>
      </c>
      <c r="BK654" s="1740" t="str">
        <f t="shared" si="75"/>
        <v>Bottle of Liquid</v>
      </c>
    </row>
    <row r="655" spans="51:63" ht="15.65" customHeight="1">
      <c r="AY655" s="1746" t="s">
        <v>2588</v>
      </c>
      <c r="AZ655" s="1746">
        <v>2006</v>
      </c>
      <c r="BA655" s="1746" t="s">
        <v>3963</v>
      </c>
      <c r="BB655" s="1747" t="s">
        <v>3964</v>
      </c>
      <c r="BC655" s="1746">
        <v>1000</v>
      </c>
      <c r="BD655" s="1746" t="s">
        <v>2615</v>
      </c>
      <c r="BE655" s="1746"/>
      <c r="BF655" s="1746">
        <v>328</v>
      </c>
      <c r="BG655" s="1746" t="s">
        <v>2592</v>
      </c>
      <c r="BH655" s="1744">
        <f t="shared" si="76"/>
        <v>3.28E-4</v>
      </c>
      <c r="BI655" s="1745">
        <f t="shared" si="73"/>
        <v>3.2800000000000003E-7</v>
      </c>
      <c r="BJ655" s="1740" t="str">
        <f t="shared" si="74"/>
        <v>tabs</v>
      </c>
      <c r="BK655" s="1740" t="str">
        <f t="shared" si="75"/>
        <v>Bottle of Tablets</v>
      </c>
    </row>
    <row r="656" spans="51:63" ht="15.65" customHeight="1">
      <c r="AY656" s="1746" t="s">
        <v>2593</v>
      </c>
      <c r="AZ656" s="1746">
        <v>2008</v>
      </c>
      <c r="BA656" s="1746" t="s">
        <v>3965</v>
      </c>
      <c r="BB656" s="1747" t="s">
        <v>3966</v>
      </c>
      <c r="BC656" s="1750">
        <v>1000</v>
      </c>
      <c r="BD656" s="1746" t="s">
        <v>2601</v>
      </c>
      <c r="BE656" s="1746"/>
      <c r="BF656" s="1746">
        <v>5.6999999999999998E-4</v>
      </c>
      <c r="BG656" s="1746" t="s">
        <v>2597</v>
      </c>
      <c r="BH656" s="1744">
        <f t="shared" si="76"/>
        <v>5.6999999999999998E-4</v>
      </c>
      <c r="BI656" s="1745">
        <f t="shared" si="73"/>
        <v>5.6999999999999994E-7</v>
      </c>
      <c r="BJ656" s="1740" t="str">
        <f t="shared" si="74"/>
        <v>tablets</v>
      </c>
      <c r="BK656" s="1740" t="str">
        <f t="shared" si="75"/>
        <v>Bottle of Tablets</v>
      </c>
    </row>
    <row r="657" spans="51:63" ht="15.65" customHeight="1">
      <c r="AY657" s="1746" t="s">
        <v>2593</v>
      </c>
      <c r="AZ657" s="1746">
        <v>2008</v>
      </c>
      <c r="BA657" s="1746" t="s">
        <v>3967</v>
      </c>
      <c r="BB657" s="1747" t="s">
        <v>3968</v>
      </c>
      <c r="BC657" s="1746">
        <v>100</v>
      </c>
      <c r="BD657" s="1746" t="s">
        <v>2727</v>
      </c>
      <c r="BE657" s="1746"/>
      <c r="BF657" s="1746">
        <v>1.91E-3</v>
      </c>
      <c r="BG657" s="1746" t="s">
        <v>2597</v>
      </c>
      <c r="BH657" s="1744">
        <f t="shared" si="76"/>
        <v>1.91E-3</v>
      </c>
      <c r="BI657" s="1745">
        <f t="shared" si="73"/>
        <v>1.91E-5</v>
      </c>
      <c r="BJ657" s="1740" t="str">
        <f t="shared" si="74"/>
        <v>ampoules</v>
      </c>
      <c r="BK657" s="1740" t="str">
        <f t="shared" si="75"/>
        <v>Injection Vial</v>
      </c>
    </row>
    <row r="658" spans="51:63" ht="15.65" customHeight="1">
      <c r="AY658" s="1746" t="s">
        <v>2588</v>
      </c>
      <c r="AZ658" s="1746">
        <v>2006</v>
      </c>
      <c r="BA658" s="1746" t="s">
        <v>3969</v>
      </c>
      <c r="BB658" s="1747" t="s">
        <v>3970</v>
      </c>
      <c r="BC658" s="1746">
        <v>100</v>
      </c>
      <c r="BD658" s="1746" t="s">
        <v>2790</v>
      </c>
      <c r="BE658" s="1746"/>
      <c r="BF658" s="1746">
        <v>2639</v>
      </c>
      <c r="BG658" s="1746" t="s">
        <v>2592</v>
      </c>
      <c r="BH658" s="1744">
        <f t="shared" si="76"/>
        <v>2.6389999999999999E-3</v>
      </c>
      <c r="BI658" s="1745">
        <f t="shared" si="73"/>
        <v>2.639E-5</v>
      </c>
      <c r="BJ658" s="1740" t="str">
        <f t="shared" si="74"/>
        <v>amps</v>
      </c>
      <c r="BK658" s="1740" t="str">
        <f t="shared" si="75"/>
        <v>Injection Vial</v>
      </c>
    </row>
    <row r="659" spans="51:63" ht="15.65" customHeight="1">
      <c r="AY659" s="1746" t="s">
        <v>2588</v>
      </c>
      <c r="AZ659" s="1746">
        <v>2006</v>
      </c>
      <c r="BA659" s="1746" t="s">
        <v>3971</v>
      </c>
      <c r="BB659" s="1747" t="s">
        <v>3972</v>
      </c>
      <c r="BC659" s="1746">
        <v>25</v>
      </c>
      <c r="BD659" s="1746" t="s">
        <v>2836</v>
      </c>
      <c r="BE659" s="1746"/>
      <c r="BF659" s="1746">
        <v>11212.5</v>
      </c>
      <c r="BG659" s="1746" t="s">
        <v>2592</v>
      </c>
      <c r="BH659" s="1744">
        <f t="shared" si="76"/>
        <v>1.12125E-2</v>
      </c>
      <c r="BI659" s="1745">
        <f t="shared" ref="BI659:BI722" si="77">IFERROR(BH659/BC659,"")</f>
        <v>4.4850000000000001E-4</v>
      </c>
      <c r="BJ659" s="1740" t="str">
        <f t="shared" ref="BJ659:BJ722" si="78">IF(BE659="",BD659,BD659&amp;"-"&amp;BE659)</f>
        <v>btls</v>
      </c>
      <c r="BK659" s="1740" t="str">
        <f t="shared" si="75"/>
        <v>Bottle of Liquid</v>
      </c>
    </row>
    <row r="660" spans="51:63" ht="15.65" customHeight="1">
      <c r="AY660" s="1746" t="s">
        <v>2588</v>
      </c>
      <c r="AZ660" s="1746">
        <v>2006</v>
      </c>
      <c r="BA660" s="1746" t="s">
        <v>3973</v>
      </c>
      <c r="BB660" s="1747" t="s">
        <v>3974</v>
      </c>
      <c r="BC660" s="1746">
        <v>1</v>
      </c>
      <c r="BD660" s="1746" t="s">
        <v>2596</v>
      </c>
      <c r="BE660" s="1746"/>
      <c r="BF660" s="1746">
        <v>6868</v>
      </c>
      <c r="BG660" s="1746" t="s">
        <v>2592</v>
      </c>
      <c r="BH660" s="1744">
        <f t="shared" si="76"/>
        <v>6.868E-3</v>
      </c>
      <c r="BI660" s="1745">
        <f t="shared" si="77"/>
        <v>6.868E-3</v>
      </c>
      <c r="BJ660" s="1740" t="str">
        <f t="shared" si="78"/>
        <v>bottle</v>
      </c>
      <c r="BK660" s="1740" t="str">
        <f t="shared" ref="BK660:BK723" si="79">IFERROR(INDEX($BO$18:$BO$136,MATCH(BJ660,$BN$18:$BN$136,0)),"")</f>
        <v>Bottle of Liquid</v>
      </c>
    </row>
    <row r="661" spans="51:63" ht="15.65" customHeight="1">
      <c r="AY661" s="1746" t="s">
        <v>2575</v>
      </c>
      <c r="AZ661" s="1746">
        <v>2008</v>
      </c>
      <c r="BA661" s="1746" t="s">
        <v>3975</v>
      </c>
      <c r="BB661" s="1747" t="s">
        <v>3976</v>
      </c>
      <c r="BC661" s="1746" t="s">
        <v>2578</v>
      </c>
      <c r="BD661" s="1746" t="s">
        <v>2903</v>
      </c>
      <c r="BE661" s="1746" t="s">
        <v>2776</v>
      </c>
      <c r="BF661" s="1746">
        <v>0.33300000000000002</v>
      </c>
      <c r="BG661" s="1746" t="s">
        <v>2581</v>
      </c>
      <c r="BH661" s="1744">
        <f t="shared" si="76"/>
        <v>3.3300000000000002E-4</v>
      </c>
      <c r="BI661" s="1745" t="str">
        <f t="shared" si="77"/>
        <v/>
      </c>
      <c r="BJ661" s="1740" t="str">
        <f t="shared" si="78"/>
        <v>BOX-Gastrointestinal</v>
      </c>
      <c r="BK661" s="1740" t="str">
        <f t="shared" si="79"/>
        <v>Injection Vial</v>
      </c>
    </row>
    <row r="662" spans="51:63" ht="15.65" customHeight="1">
      <c r="AY662" s="1746" t="s">
        <v>2593</v>
      </c>
      <c r="AZ662" s="1746">
        <v>2008</v>
      </c>
      <c r="BA662" s="1746" t="s">
        <v>3977</v>
      </c>
      <c r="BB662" s="1747" t="s">
        <v>3978</v>
      </c>
      <c r="BC662" s="1750">
        <v>1000</v>
      </c>
      <c r="BD662" s="1746" t="s">
        <v>2601</v>
      </c>
      <c r="BE662" s="1746"/>
      <c r="BF662" s="1746">
        <v>6.3000000000000003E-4</v>
      </c>
      <c r="BG662" s="1746" t="s">
        <v>2597</v>
      </c>
      <c r="BH662" s="1744">
        <f t="shared" si="76"/>
        <v>6.3000000000000003E-4</v>
      </c>
      <c r="BI662" s="1745">
        <f t="shared" si="77"/>
        <v>6.3E-7</v>
      </c>
      <c r="BJ662" s="1740" t="str">
        <f t="shared" si="78"/>
        <v>tablets</v>
      </c>
      <c r="BK662" s="1740" t="str">
        <f t="shared" si="79"/>
        <v>Bottle of Tablets</v>
      </c>
    </row>
    <row r="663" spans="51:63" ht="15.65" customHeight="1">
      <c r="AY663" s="1746" t="s">
        <v>2588</v>
      </c>
      <c r="AZ663" s="1746">
        <v>2006</v>
      </c>
      <c r="BA663" s="1746" t="s">
        <v>3979</v>
      </c>
      <c r="BB663" s="1747" t="s">
        <v>3980</v>
      </c>
      <c r="BC663" s="1746" t="s">
        <v>2844</v>
      </c>
      <c r="BD663" s="1746" t="s">
        <v>2615</v>
      </c>
      <c r="BE663" s="1746"/>
      <c r="BF663" s="1746">
        <v>250</v>
      </c>
      <c r="BG663" s="1746" t="s">
        <v>2592</v>
      </c>
      <c r="BH663" s="1744">
        <f t="shared" si="76"/>
        <v>2.5000000000000001E-4</v>
      </c>
      <c r="BI663" s="1745" t="str">
        <f t="shared" si="77"/>
        <v/>
      </c>
      <c r="BJ663" s="1740" t="str">
        <f t="shared" si="78"/>
        <v>tabs</v>
      </c>
      <c r="BK663" s="1740" t="str">
        <f t="shared" si="79"/>
        <v>Bottle of Tablets</v>
      </c>
    </row>
    <row r="664" spans="51:63" ht="15.65" customHeight="1">
      <c r="AY664" s="1746" t="s">
        <v>2593</v>
      </c>
      <c r="AZ664" s="1746">
        <v>2008</v>
      </c>
      <c r="BA664" s="1746" t="s">
        <v>3981</v>
      </c>
      <c r="BB664" s="1747" t="s">
        <v>3982</v>
      </c>
      <c r="BC664" s="1746">
        <v>10</v>
      </c>
      <c r="BD664" s="1746" t="s">
        <v>2727</v>
      </c>
      <c r="BE664" s="1746"/>
      <c r="BF664" s="1746">
        <v>4.2999999999999999E-4</v>
      </c>
      <c r="BG664" s="1746" t="s">
        <v>2597</v>
      </c>
      <c r="BH664" s="1744">
        <f t="shared" si="76"/>
        <v>4.2999999999999999E-4</v>
      </c>
      <c r="BI664" s="1745">
        <f t="shared" si="77"/>
        <v>4.3000000000000002E-5</v>
      </c>
      <c r="BJ664" s="1740" t="str">
        <f t="shared" si="78"/>
        <v>ampoules</v>
      </c>
      <c r="BK664" s="1740" t="str">
        <f t="shared" si="79"/>
        <v>Injection Vial</v>
      </c>
    </row>
    <row r="665" spans="51:63" ht="15.65" customHeight="1">
      <c r="AY665" s="1746" t="s">
        <v>2588</v>
      </c>
      <c r="AZ665" s="1746">
        <v>2006</v>
      </c>
      <c r="BA665" s="1746" t="s">
        <v>3983</v>
      </c>
      <c r="BB665" s="1747" t="s">
        <v>3984</v>
      </c>
      <c r="BC665" s="1746">
        <v>10</v>
      </c>
      <c r="BD665" s="1746" t="s">
        <v>2790</v>
      </c>
      <c r="BE665" s="1746"/>
      <c r="BF665" s="1746">
        <v>396</v>
      </c>
      <c r="BG665" s="1746" t="s">
        <v>2592</v>
      </c>
      <c r="BH665" s="1744">
        <f t="shared" ref="BH665:BH728" si="80">IF(BG665="CCM",BF665/1000000,IF(BG665="CDM",BF665/1000, IF(BG665="M3",BF665,"")))</f>
        <v>3.9599999999999998E-4</v>
      </c>
      <c r="BI665" s="1745">
        <f t="shared" si="77"/>
        <v>3.96E-5</v>
      </c>
      <c r="BJ665" s="1740" t="str">
        <f t="shared" si="78"/>
        <v>amps</v>
      </c>
      <c r="BK665" s="1740" t="str">
        <f t="shared" si="79"/>
        <v>Injection Vial</v>
      </c>
    </row>
    <row r="666" spans="51:63" ht="15.65" customHeight="1">
      <c r="AY666" s="1746" t="s">
        <v>2588</v>
      </c>
      <c r="AZ666" s="1746">
        <v>2006</v>
      </c>
      <c r="BA666" s="1746" t="s">
        <v>3985</v>
      </c>
      <c r="BB666" s="1747" t="s">
        <v>3986</v>
      </c>
      <c r="BC666" s="1746">
        <v>1</v>
      </c>
      <c r="BD666" s="1746" t="s">
        <v>2724</v>
      </c>
      <c r="BE666" s="1746"/>
      <c r="BF666" s="1746">
        <v>7</v>
      </c>
      <c r="BG666" s="1746" t="s">
        <v>2592</v>
      </c>
      <c r="BH666" s="1744">
        <f t="shared" si="80"/>
        <v>6.9999999999999999E-6</v>
      </c>
      <c r="BI666" s="1745">
        <f t="shared" si="77"/>
        <v>6.9999999999999999E-6</v>
      </c>
      <c r="BJ666" s="1740" t="str">
        <f t="shared" si="78"/>
        <v>pce</v>
      </c>
      <c r="BK666" s="1740" t="str">
        <f t="shared" si="79"/>
        <v>Roll of tape/gauze</v>
      </c>
    </row>
    <row r="667" spans="51:63" ht="15.65" customHeight="1">
      <c r="AY667" s="1746" t="s">
        <v>2593</v>
      </c>
      <c r="AZ667" s="1746">
        <v>2008</v>
      </c>
      <c r="BA667" s="1746" t="s">
        <v>3987</v>
      </c>
      <c r="BB667" s="1747" t="s">
        <v>3988</v>
      </c>
      <c r="BC667" s="1746">
        <v>1</v>
      </c>
      <c r="BD667" s="1746" t="s">
        <v>2933</v>
      </c>
      <c r="BE667" s="1746"/>
      <c r="BF667" s="1746">
        <v>0</v>
      </c>
      <c r="BG667" s="1746" t="s">
        <v>2597</v>
      </c>
      <c r="BH667" s="1744">
        <f t="shared" si="80"/>
        <v>0</v>
      </c>
      <c r="BI667" s="1745">
        <f t="shared" si="77"/>
        <v>0</v>
      </c>
      <c r="BJ667" s="1740" t="str">
        <f t="shared" si="78"/>
        <v>piece</v>
      </c>
      <c r="BK667" s="1740" t="str">
        <f t="shared" si="79"/>
        <v>Medical equipment</v>
      </c>
    </row>
    <row r="668" spans="51:63" ht="15.65" customHeight="1">
      <c r="AY668" s="1746" t="s">
        <v>2575</v>
      </c>
      <c r="AZ668" s="1746">
        <v>2008</v>
      </c>
      <c r="BA668" s="1746" t="s">
        <v>3989</v>
      </c>
      <c r="BB668" s="1747" t="s">
        <v>3990</v>
      </c>
      <c r="BC668" s="1746" t="s">
        <v>2578</v>
      </c>
      <c r="BD668" s="1746" t="s">
        <v>2579</v>
      </c>
      <c r="BE668" s="1746" t="s">
        <v>3130</v>
      </c>
      <c r="BF668" s="1746">
        <v>3.2639999999999998</v>
      </c>
      <c r="BG668" s="1746" t="s">
        <v>2581</v>
      </c>
      <c r="BH668" s="1744">
        <f t="shared" si="80"/>
        <v>3.264E-3</v>
      </c>
      <c r="BI668" s="1745" t="str">
        <f t="shared" si="77"/>
        <v/>
      </c>
      <c r="BJ668" s="1740" t="str">
        <f t="shared" si="78"/>
        <v>EA-Plastic utensils</v>
      </c>
      <c r="BK668" s="1740" t="str">
        <f t="shared" si="79"/>
        <v>Medical equipment</v>
      </c>
    </row>
    <row r="669" spans="51:63" ht="15.65" customHeight="1">
      <c r="AY669" s="1746" t="s">
        <v>2575</v>
      </c>
      <c r="AZ669" s="1746">
        <v>2008</v>
      </c>
      <c r="BA669" s="1746" t="s">
        <v>3991</v>
      </c>
      <c r="BB669" s="1747" t="s">
        <v>3992</v>
      </c>
      <c r="BC669" s="1746" t="s">
        <v>2578</v>
      </c>
      <c r="BD669" s="1746" t="s">
        <v>2579</v>
      </c>
      <c r="BE669" s="1746" t="s">
        <v>3993</v>
      </c>
      <c r="BF669" s="1746">
        <v>5.04</v>
      </c>
      <c r="BG669" s="1746" t="s">
        <v>2581</v>
      </c>
      <c r="BH669" s="1744">
        <f t="shared" si="80"/>
        <v>5.0400000000000002E-3</v>
      </c>
      <c r="BI669" s="1745" t="str">
        <f t="shared" si="77"/>
        <v/>
      </c>
      <c r="BJ669" s="1740" t="str">
        <f t="shared" si="78"/>
        <v>EA-Other equipment</v>
      </c>
      <c r="BK669" s="1740" t="str">
        <f t="shared" si="79"/>
        <v>Medical equipment</v>
      </c>
    </row>
    <row r="670" spans="51:63" ht="15.65" customHeight="1">
      <c r="AY670" s="1746" t="s">
        <v>2575</v>
      </c>
      <c r="AZ670" s="1746">
        <v>2008</v>
      </c>
      <c r="BA670" s="1746" t="s">
        <v>3994</v>
      </c>
      <c r="BB670" s="1747" t="s">
        <v>3995</v>
      </c>
      <c r="BC670" s="1746" t="s">
        <v>2578</v>
      </c>
      <c r="BD670" s="1746" t="s">
        <v>2579</v>
      </c>
      <c r="BE670" s="1746" t="s">
        <v>3462</v>
      </c>
      <c r="BF670" s="1746">
        <v>44.308</v>
      </c>
      <c r="BG670" s="1746" t="s">
        <v>2581</v>
      </c>
      <c r="BH670" s="1744">
        <f t="shared" si="80"/>
        <v>4.4308E-2</v>
      </c>
      <c r="BI670" s="1745" t="str">
        <f t="shared" si="77"/>
        <v/>
      </c>
      <c r="BJ670" s="1740" t="str">
        <f t="shared" si="78"/>
        <v>EA-Electrical equipment</v>
      </c>
      <c r="BK670" s="1740" t="str">
        <f t="shared" si="79"/>
        <v>Medical equipment</v>
      </c>
    </row>
    <row r="671" spans="51:63" ht="15.65" customHeight="1">
      <c r="AY671" s="1746" t="s">
        <v>2588</v>
      </c>
      <c r="AZ671" s="1746">
        <v>2006</v>
      </c>
      <c r="BA671" s="1746" t="s">
        <v>3996</v>
      </c>
      <c r="BB671" s="1747" t="s">
        <v>3997</v>
      </c>
      <c r="BC671" s="1746">
        <v>1</v>
      </c>
      <c r="BD671" s="1746" t="s">
        <v>3224</v>
      </c>
      <c r="BE671" s="1746"/>
      <c r="BF671" s="1746">
        <v>1536.1</v>
      </c>
      <c r="BG671" s="1746" t="s">
        <v>2592</v>
      </c>
      <c r="BH671" s="1744">
        <f t="shared" si="80"/>
        <v>1.5360999999999999E-3</v>
      </c>
      <c r="BI671" s="1745">
        <f t="shared" si="77"/>
        <v>1.5360999999999999E-3</v>
      </c>
      <c r="BJ671" s="1740" t="str">
        <f t="shared" si="78"/>
        <v>jar</v>
      </c>
      <c r="BK671" s="1740" t="str">
        <f t="shared" si="79"/>
        <v>Bottle of liquid</v>
      </c>
    </row>
    <row r="672" spans="51:63" ht="15.65" customHeight="1">
      <c r="AY672" s="1746" t="s">
        <v>2588</v>
      </c>
      <c r="AZ672" s="1746">
        <v>2006</v>
      </c>
      <c r="BA672" s="1746" t="s">
        <v>3998</v>
      </c>
      <c r="BB672" s="1747" t="s">
        <v>3999</v>
      </c>
      <c r="BC672" s="1746">
        <v>50</v>
      </c>
      <c r="BD672" s="1746" t="s">
        <v>2836</v>
      </c>
      <c r="BE672" s="1746"/>
      <c r="BF672" s="1746">
        <v>23328.5</v>
      </c>
      <c r="BG672" s="1746" t="s">
        <v>2592</v>
      </c>
      <c r="BH672" s="1744">
        <f t="shared" si="80"/>
        <v>2.3328499999999999E-2</v>
      </c>
      <c r="BI672" s="1745">
        <f t="shared" si="77"/>
        <v>4.6656999999999997E-4</v>
      </c>
      <c r="BJ672" s="1740" t="str">
        <f t="shared" si="78"/>
        <v>btls</v>
      </c>
      <c r="BK672" s="1740" t="str">
        <f t="shared" si="79"/>
        <v>Bottle of Liquid</v>
      </c>
    </row>
    <row r="673" spans="51:63" ht="15.65" customHeight="1">
      <c r="AY673" s="1746" t="s">
        <v>2588</v>
      </c>
      <c r="AZ673" s="1746">
        <v>2006</v>
      </c>
      <c r="BA673" s="1746" t="s">
        <v>4000</v>
      </c>
      <c r="BB673" s="1747" t="s">
        <v>4001</v>
      </c>
      <c r="BC673" s="1746" t="s">
        <v>4002</v>
      </c>
      <c r="BD673" s="1746" t="s">
        <v>2615</v>
      </c>
      <c r="BE673" s="1746"/>
      <c r="BF673" s="1746">
        <v>537</v>
      </c>
      <c r="BG673" s="1746" t="s">
        <v>2592</v>
      </c>
      <c r="BH673" s="1744">
        <f t="shared" si="80"/>
        <v>5.3700000000000004E-4</v>
      </c>
      <c r="BI673" s="1745" t="str">
        <f t="shared" si="77"/>
        <v/>
      </c>
      <c r="BJ673" s="1740" t="str">
        <f t="shared" si="78"/>
        <v>tabs</v>
      </c>
      <c r="BK673" s="1740" t="str">
        <f t="shared" si="79"/>
        <v>Bottle of Tablets</v>
      </c>
    </row>
    <row r="674" spans="51:63" ht="15.65" customHeight="1">
      <c r="AY674" s="1746" t="s">
        <v>2588</v>
      </c>
      <c r="AZ674" s="1746">
        <v>2006</v>
      </c>
      <c r="BA674" s="1746" t="s">
        <v>4003</v>
      </c>
      <c r="BB674" s="1747" t="s">
        <v>4004</v>
      </c>
      <c r="BC674" s="1746">
        <v>1000</v>
      </c>
      <c r="BD674" s="1746" t="s">
        <v>2615</v>
      </c>
      <c r="BE674" s="1746"/>
      <c r="BF674" s="1746">
        <v>1548.4</v>
      </c>
      <c r="BG674" s="1746" t="s">
        <v>2592</v>
      </c>
      <c r="BH674" s="1744">
        <f t="shared" si="80"/>
        <v>1.5484000000000001E-3</v>
      </c>
      <c r="BI674" s="1745">
        <f t="shared" si="77"/>
        <v>1.5484000000000001E-6</v>
      </c>
      <c r="BJ674" s="1740" t="str">
        <f t="shared" si="78"/>
        <v>tabs</v>
      </c>
      <c r="BK674" s="1740" t="str">
        <f t="shared" si="79"/>
        <v>Bottle of Tablets</v>
      </c>
    </row>
    <row r="675" spans="51:63" ht="15.65" customHeight="1">
      <c r="AY675" s="1746" t="s">
        <v>2593</v>
      </c>
      <c r="AZ675" s="1746">
        <v>2008</v>
      </c>
      <c r="BA675" s="1746" t="s">
        <v>4005</v>
      </c>
      <c r="BB675" s="1747" t="s">
        <v>4006</v>
      </c>
      <c r="BC675" s="1750">
        <v>1000</v>
      </c>
      <c r="BD675" s="1746" t="s">
        <v>2601</v>
      </c>
      <c r="BE675" s="1746"/>
      <c r="BF675" s="1746">
        <v>1.6299999999999999E-3</v>
      </c>
      <c r="BG675" s="1746" t="s">
        <v>2597</v>
      </c>
      <c r="BH675" s="1744">
        <f t="shared" si="80"/>
        <v>1.6299999999999999E-3</v>
      </c>
      <c r="BI675" s="1745">
        <f t="shared" si="77"/>
        <v>1.6299999999999999E-6</v>
      </c>
      <c r="BJ675" s="1740" t="str">
        <f t="shared" si="78"/>
        <v>tablets</v>
      </c>
      <c r="BK675" s="1740" t="str">
        <f t="shared" si="79"/>
        <v>Bottle of Tablets</v>
      </c>
    </row>
    <row r="676" spans="51:63" ht="15.65" customHeight="1">
      <c r="AY676" s="1746" t="s">
        <v>2575</v>
      </c>
      <c r="AZ676" s="1746">
        <v>2008</v>
      </c>
      <c r="BA676" s="1746" t="s">
        <v>4007</v>
      </c>
      <c r="BB676" s="1747" t="s">
        <v>4008</v>
      </c>
      <c r="BC676" s="1746" t="s">
        <v>2578</v>
      </c>
      <c r="BD676" s="1746" t="s">
        <v>2638</v>
      </c>
      <c r="BE676" s="1746" t="s">
        <v>4009</v>
      </c>
      <c r="BF676" s="1746">
        <v>0.251</v>
      </c>
      <c r="BG676" s="1746" t="s">
        <v>2581</v>
      </c>
      <c r="BH676" s="1744">
        <f t="shared" si="80"/>
        <v>2.5099999999999998E-4</v>
      </c>
      <c r="BI676" s="1745" t="str">
        <f t="shared" si="77"/>
        <v/>
      </c>
      <c r="BJ676" s="1740" t="str">
        <f t="shared" si="78"/>
        <v>PAC-Antituberculosis</v>
      </c>
      <c r="BK676" s="1740" t="str">
        <f t="shared" si="79"/>
        <v>Bottle of Tablets</v>
      </c>
    </row>
    <row r="677" spans="51:63" ht="15.65" customHeight="1">
      <c r="AY677" s="1746" t="s">
        <v>2593</v>
      </c>
      <c r="AZ677" s="1746">
        <v>2008</v>
      </c>
      <c r="BA677" s="1746" t="s">
        <v>4010</v>
      </c>
      <c r="BB677" s="1747" t="s">
        <v>4011</v>
      </c>
      <c r="BC677" s="1750">
        <v>1000</v>
      </c>
      <c r="BD677" s="1746" t="s">
        <v>2601</v>
      </c>
      <c r="BE677" s="1746"/>
      <c r="BF677" s="1746">
        <v>1.6299999999999999E-3</v>
      </c>
      <c r="BG677" s="1746" t="s">
        <v>2597</v>
      </c>
      <c r="BH677" s="1744">
        <f t="shared" si="80"/>
        <v>1.6299999999999999E-3</v>
      </c>
      <c r="BI677" s="1745">
        <f t="shared" si="77"/>
        <v>1.6299999999999999E-6</v>
      </c>
      <c r="BJ677" s="1740" t="str">
        <f t="shared" si="78"/>
        <v>tablets</v>
      </c>
      <c r="BK677" s="1740" t="str">
        <f t="shared" si="79"/>
        <v>Bottle of Tablets</v>
      </c>
    </row>
    <row r="678" spans="51:63" ht="15.65" customHeight="1">
      <c r="AY678" s="1746" t="s">
        <v>2593</v>
      </c>
      <c r="AZ678" s="1746">
        <v>2008</v>
      </c>
      <c r="BA678" s="1746" t="s">
        <v>4012</v>
      </c>
      <c r="BB678" s="1747" t="s">
        <v>4011</v>
      </c>
      <c r="BC678" s="1750">
        <v>1000</v>
      </c>
      <c r="BD678" s="1746" t="s">
        <v>2601</v>
      </c>
      <c r="BE678" s="1746"/>
      <c r="BF678" s="1746">
        <v>3.2299999999999998E-3</v>
      </c>
      <c r="BG678" s="1746" t="s">
        <v>2597</v>
      </c>
      <c r="BH678" s="1744">
        <f t="shared" si="80"/>
        <v>3.2299999999999998E-3</v>
      </c>
      <c r="BI678" s="1745">
        <f t="shared" si="77"/>
        <v>3.23E-6</v>
      </c>
      <c r="BJ678" s="1740" t="str">
        <f t="shared" si="78"/>
        <v>tablets</v>
      </c>
      <c r="BK678" s="1740" t="str">
        <f t="shared" si="79"/>
        <v>Bottle of Tablets</v>
      </c>
    </row>
    <row r="679" spans="51:63" ht="15.65" customHeight="1">
      <c r="AY679" s="1746" t="s">
        <v>2575</v>
      </c>
      <c r="AZ679" s="1746">
        <v>2008</v>
      </c>
      <c r="BA679" s="1746" t="s">
        <v>4013</v>
      </c>
      <c r="BB679" s="1747" t="s">
        <v>4014</v>
      </c>
      <c r="BC679" s="1746" t="s">
        <v>2578</v>
      </c>
      <c r="BD679" s="1746" t="s">
        <v>2638</v>
      </c>
      <c r="BE679" s="1746" t="s">
        <v>3074</v>
      </c>
      <c r="BF679" s="1746">
        <v>0.108</v>
      </c>
      <c r="BG679" s="1746" t="s">
        <v>2581</v>
      </c>
      <c r="BH679" s="1744">
        <f t="shared" si="80"/>
        <v>1.08E-4</v>
      </c>
      <c r="BI679" s="1745" t="str">
        <f t="shared" si="77"/>
        <v/>
      </c>
      <c r="BJ679" s="1740" t="str">
        <f t="shared" si="78"/>
        <v>PAC-Minerals &amp; vitamins</v>
      </c>
      <c r="BK679" s="1740" t="str">
        <f t="shared" si="79"/>
        <v>Bottle of Tablets</v>
      </c>
    </row>
    <row r="680" spans="51:63" ht="15.65" customHeight="1">
      <c r="AY680" s="1746" t="s">
        <v>2593</v>
      </c>
      <c r="AZ680" s="1746">
        <v>2008</v>
      </c>
      <c r="BA680" s="1746" t="s">
        <v>4015</v>
      </c>
      <c r="BB680" s="1747" t="s">
        <v>4016</v>
      </c>
      <c r="BC680" s="1750">
        <v>1000</v>
      </c>
      <c r="BD680" s="1746" t="s">
        <v>2601</v>
      </c>
      <c r="BE680" s="1746"/>
      <c r="BF680" s="1746">
        <v>4.6999999999999999E-4</v>
      </c>
      <c r="BG680" s="1746" t="s">
        <v>2597</v>
      </c>
      <c r="BH680" s="1744">
        <f t="shared" si="80"/>
        <v>4.6999999999999999E-4</v>
      </c>
      <c r="BI680" s="1745">
        <f t="shared" si="77"/>
        <v>4.7E-7</v>
      </c>
      <c r="BJ680" s="1740" t="str">
        <f t="shared" si="78"/>
        <v>tablets</v>
      </c>
      <c r="BK680" s="1740" t="str">
        <f t="shared" si="79"/>
        <v>Bottle of Tablets</v>
      </c>
    </row>
    <row r="681" spans="51:63" ht="15.65" customHeight="1">
      <c r="AY681" s="1746" t="s">
        <v>2575</v>
      </c>
      <c r="AZ681" s="1746">
        <v>2008</v>
      </c>
      <c r="BA681" s="1746" t="s">
        <v>4017</v>
      </c>
      <c r="BB681" s="1747" t="s">
        <v>4018</v>
      </c>
      <c r="BC681" s="1746" t="s">
        <v>2578</v>
      </c>
      <c r="BD681" s="1746" t="s">
        <v>2638</v>
      </c>
      <c r="BE681" s="1746" t="s">
        <v>2826</v>
      </c>
      <c r="BF681" s="1746">
        <v>0.24399999999999999</v>
      </c>
      <c r="BG681" s="1746" t="s">
        <v>2581</v>
      </c>
      <c r="BH681" s="1744">
        <f t="shared" si="80"/>
        <v>2.4399999999999999E-4</v>
      </c>
      <c r="BI681" s="1745" t="str">
        <f t="shared" si="77"/>
        <v/>
      </c>
      <c r="BJ681" s="1740" t="str">
        <f t="shared" si="78"/>
        <v>PAC-Antimalarial drugs</v>
      </c>
      <c r="BK681" s="1740" t="str">
        <f t="shared" si="79"/>
        <v>Blister Pack of Tablets</v>
      </c>
    </row>
    <row r="682" spans="51:63" ht="15.65" customHeight="1">
      <c r="AY682" s="1746" t="s">
        <v>2593</v>
      </c>
      <c r="AZ682" s="1746">
        <v>2008</v>
      </c>
      <c r="BA682" s="1746" t="s">
        <v>4019</v>
      </c>
      <c r="BB682" s="1747" t="s">
        <v>4020</v>
      </c>
      <c r="BC682" s="1746">
        <v>100</v>
      </c>
      <c r="BD682" s="1746" t="s">
        <v>2727</v>
      </c>
      <c r="BE682" s="1746"/>
      <c r="BF682" s="1746">
        <v>2.15E-3</v>
      </c>
      <c r="BG682" s="1746" t="s">
        <v>2597</v>
      </c>
      <c r="BH682" s="1744">
        <f t="shared" si="80"/>
        <v>2.15E-3</v>
      </c>
      <c r="BI682" s="1745">
        <f t="shared" si="77"/>
        <v>2.1500000000000001E-5</v>
      </c>
      <c r="BJ682" s="1740" t="str">
        <f t="shared" si="78"/>
        <v>ampoules</v>
      </c>
      <c r="BK682" s="1740" t="str">
        <f t="shared" si="79"/>
        <v>Injection Vial</v>
      </c>
    </row>
    <row r="683" spans="51:63" ht="15.65" customHeight="1">
      <c r="AY683" s="1746" t="s">
        <v>2588</v>
      </c>
      <c r="AZ683" s="1746">
        <v>2006</v>
      </c>
      <c r="BA683" s="1746" t="s">
        <v>4021</v>
      </c>
      <c r="BB683" s="1747" t="s">
        <v>4022</v>
      </c>
      <c r="BC683" s="1746" t="s">
        <v>4023</v>
      </c>
      <c r="BD683" s="1746" t="s">
        <v>2790</v>
      </c>
      <c r="BE683" s="1746"/>
      <c r="BF683" s="1746">
        <v>2731.3</v>
      </c>
      <c r="BG683" s="1746" t="s">
        <v>2592</v>
      </c>
      <c r="BH683" s="1744">
        <f t="shared" si="80"/>
        <v>2.7313000000000003E-3</v>
      </c>
      <c r="BI683" s="1745" t="str">
        <f t="shared" si="77"/>
        <v/>
      </c>
      <c r="BJ683" s="1740" t="str">
        <f t="shared" si="78"/>
        <v>amps</v>
      </c>
      <c r="BK683" s="1740" t="str">
        <f t="shared" si="79"/>
        <v>Injection Vial</v>
      </c>
    </row>
    <row r="684" spans="51:63" ht="15.65" customHeight="1">
      <c r="AY684" s="1746" t="s">
        <v>2575</v>
      </c>
      <c r="AZ684" s="1746">
        <v>2008</v>
      </c>
      <c r="BA684" s="1746" t="s">
        <v>4024</v>
      </c>
      <c r="BB684" s="1747" t="s">
        <v>4025</v>
      </c>
      <c r="BC684" s="1746" t="s">
        <v>2578</v>
      </c>
      <c r="BD684" s="1746" t="s">
        <v>2903</v>
      </c>
      <c r="BE684" s="1746" t="s">
        <v>2826</v>
      </c>
      <c r="BF684" s="1746">
        <v>0.47199999999999998</v>
      </c>
      <c r="BG684" s="1746" t="s">
        <v>2581</v>
      </c>
      <c r="BH684" s="1744">
        <f t="shared" si="80"/>
        <v>4.7199999999999998E-4</v>
      </c>
      <c r="BI684" s="1745" t="str">
        <f t="shared" si="77"/>
        <v/>
      </c>
      <c r="BJ684" s="1740" t="str">
        <f t="shared" si="78"/>
        <v>BOX-Antimalarial drugs</v>
      </c>
      <c r="BK684" s="1740" t="str">
        <f t="shared" si="79"/>
        <v>Injection Vial</v>
      </c>
    </row>
    <row r="685" spans="51:63" ht="15.65" customHeight="1">
      <c r="AY685" s="1746" t="s">
        <v>2593</v>
      </c>
      <c r="AZ685" s="1746">
        <v>2008</v>
      </c>
      <c r="BA685" s="1746" t="s">
        <v>4026</v>
      </c>
      <c r="BB685" s="1747" t="s">
        <v>4027</v>
      </c>
      <c r="BC685" s="1746">
        <v>100</v>
      </c>
      <c r="BD685" s="1746" t="s">
        <v>2727</v>
      </c>
      <c r="BE685" s="1746"/>
      <c r="BF685" s="1746">
        <v>2.2599999999999999E-3</v>
      </c>
      <c r="BG685" s="1746" t="s">
        <v>2597</v>
      </c>
      <c r="BH685" s="1744">
        <f t="shared" si="80"/>
        <v>2.2599999999999999E-3</v>
      </c>
      <c r="BI685" s="1745">
        <f t="shared" si="77"/>
        <v>2.2599999999999997E-5</v>
      </c>
      <c r="BJ685" s="1740" t="str">
        <f t="shared" si="78"/>
        <v>ampoules</v>
      </c>
      <c r="BK685" s="1740" t="str">
        <f t="shared" si="79"/>
        <v>Injection Vial</v>
      </c>
    </row>
    <row r="686" spans="51:63" ht="15.65" customHeight="1">
      <c r="AY686" s="1746" t="s">
        <v>2593</v>
      </c>
      <c r="AZ686" s="1746">
        <v>2008</v>
      </c>
      <c r="BA686" s="1746" t="s">
        <v>4028</v>
      </c>
      <c r="BB686" s="1747" t="s">
        <v>4029</v>
      </c>
      <c r="BC686" s="1746">
        <v>100</v>
      </c>
      <c r="BD686" s="1746" t="s">
        <v>2727</v>
      </c>
      <c r="BE686" s="1746"/>
      <c r="BF686" s="1746">
        <v>3.1099999999999999E-3</v>
      </c>
      <c r="BG686" s="1746" t="s">
        <v>2597</v>
      </c>
      <c r="BH686" s="1744">
        <f t="shared" si="80"/>
        <v>3.1099999999999999E-3</v>
      </c>
      <c r="BI686" s="1745">
        <f t="shared" si="77"/>
        <v>3.1099999999999997E-5</v>
      </c>
      <c r="BJ686" s="1740" t="str">
        <f t="shared" si="78"/>
        <v>ampoules</v>
      </c>
      <c r="BK686" s="1740" t="str">
        <f t="shared" si="79"/>
        <v>Injection Vial</v>
      </c>
    </row>
    <row r="687" spans="51:63" ht="15.65" customHeight="1">
      <c r="AY687" s="1746" t="s">
        <v>2593</v>
      </c>
      <c r="AZ687" s="1746">
        <v>2008</v>
      </c>
      <c r="BA687" s="1746" t="s">
        <v>4030</v>
      </c>
      <c r="BB687" s="1747" t="s">
        <v>4031</v>
      </c>
      <c r="BC687" s="1750">
        <v>1000</v>
      </c>
      <c r="BD687" s="1746" t="s">
        <v>2601</v>
      </c>
      <c r="BE687" s="1746"/>
      <c r="BF687" s="1746">
        <v>1.6299999999999999E-3</v>
      </c>
      <c r="BG687" s="1746" t="s">
        <v>2597</v>
      </c>
      <c r="BH687" s="1744">
        <f t="shared" si="80"/>
        <v>1.6299999999999999E-3</v>
      </c>
      <c r="BI687" s="1745">
        <f t="shared" si="77"/>
        <v>1.6299999999999999E-6</v>
      </c>
      <c r="BJ687" s="1740" t="str">
        <f t="shared" si="78"/>
        <v>tablets</v>
      </c>
      <c r="BK687" s="1740" t="str">
        <f t="shared" si="79"/>
        <v>Bottle of Tablets</v>
      </c>
    </row>
    <row r="688" spans="51:63" ht="15.65" customHeight="1">
      <c r="AY688" s="1746" t="s">
        <v>2588</v>
      </c>
      <c r="AZ688" s="1746">
        <v>2006</v>
      </c>
      <c r="BA688" s="1746" t="s">
        <v>4032</v>
      </c>
      <c r="BB688" s="1747" t="s">
        <v>4033</v>
      </c>
      <c r="BC688" s="1746">
        <v>1000</v>
      </c>
      <c r="BD688" s="1746" t="s">
        <v>2615</v>
      </c>
      <c r="BE688" s="1746"/>
      <c r="BF688" s="1746">
        <v>1840.2</v>
      </c>
      <c r="BG688" s="1746" t="s">
        <v>2592</v>
      </c>
      <c r="BH688" s="1744">
        <f t="shared" si="80"/>
        <v>1.8402E-3</v>
      </c>
      <c r="BI688" s="1745">
        <f t="shared" si="77"/>
        <v>1.8402E-6</v>
      </c>
      <c r="BJ688" s="1740" t="str">
        <f t="shared" si="78"/>
        <v>tabs</v>
      </c>
      <c r="BK688" s="1740" t="str">
        <f t="shared" si="79"/>
        <v>Bottle of Tablets</v>
      </c>
    </row>
    <row r="689" spans="51:63" ht="15.65" customHeight="1">
      <c r="AY689" s="1746" t="s">
        <v>2588</v>
      </c>
      <c r="AZ689" s="1746">
        <v>2006</v>
      </c>
      <c r="BA689" s="1746" t="s">
        <v>4034</v>
      </c>
      <c r="BB689" s="1747" t="s">
        <v>4035</v>
      </c>
      <c r="BC689" s="1746">
        <v>1000</v>
      </c>
      <c r="BD689" s="1746" t="s">
        <v>2615</v>
      </c>
      <c r="BE689" s="1746"/>
      <c r="BF689" s="1746">
        <v>2448</v>
      </c>
      <c r="BG689" s="1746" t="s">
        <v>2592</v>
      </c>
      <c r="BH689" s="1744">
        <f t="shared" si="80"/>
        <v>2.4480000000000001E-3</v>
      </c>
      <c r="BI689" s="1745">
        <f t="shared" si="77"/>
        <v>2.4480000000000001E-6</v>
      </c>
      <c r="BJ689" s="1740" t="str">
        <f t="shared" si="78"/>
        <v>tabs</v>
      </c>
      <c r="BK689" s="1740" t="str">
        <f t="shared" si="79"/>
        <v>Bottle of Tablets</v>
      </c>
    </row>
    <row r="690" spans="51:63" ht="15.65" customHeight="1">
      <c r="AY690" s="1746" t="s">
        <v>2593</v>
      </c>
      <c r="AZ690" s="1746">
        <v>2008</v>
      </c>
      <c r="BA690" s="1746" t="s">
        <v>4036</v>
      </c>
      <c r="BB690" s="1747" t="s">
        <v>4037</v>
      </c>
      <c r="BC690" s="1750">
        <v>1000</v>
      </c>
      <c r="BD690" s="1746" t="s">
        <v>2601</v>
      </c>
      <c r="BE690" s="1746"/>
      <c r="BF690" s="1746">
        <v>2.0999999999999999E-3</v>
      </c>
      <c r="BG690" s="1746" t="s">
        <v>2597</v>
      </c>
      <c r="BH690" s="1744">
        <f t="shared" si="80"/>
        <v>2.0999999999999999E-3</v>
      </c>
      <c r="BI690" s="1745">
        <f t="shared" si="77"/>
        <v>2.0999999999999998E-6</v>
      </c>
      <c r="BJ690" s="1740" t="str">
        <f t="shared" si="78"/>
        <v>tablets</v>
      </c>
      <c r="BK690" s="1740" t="str">
        <f t="shared" si="79"/>
        <v>Bottle of Tablets</v>
      </c>
    </row>
    <row r="691" spans="51:63" ht="15.65" customHeight="1">
      <c r="AY691" s="1746" t="s">
        <v>2588</v>
      </c>
      <c r="AZ691" s="1746">
        <v>2006</v>
      </c>
      <c r="BA691" s="1746" t="s">
        <v>4038</v>
      </c>
      <c r="BB691" s="1747" t="s">
        <v>4039</v>
      </c>
      <c r="BC691" s="1746">
        <v>5</v>
      </c>
      <c r="BD691" s="1746" t="s">
        <v>2795</v>
      </c>
      <c r="BE691" s="1746"/>
      <c r="BF691" s="1746">
        <v>293</v>
      </c>
      <c r="BG691" s="1746" t="s">
        <v>2592</v>
      </c>
      <c r="BH691" s="1744">
        <f t="shared" si="80"/>
        <v>2.9300000000000002E-4</v>
      </c>
      <c r="BI691" s="1745">
        <f t="shared" si="77"/>
        <v>5.8600000000000001E-5</v>
      </c>
      <c r="BJ691" s="1740" t="str">
        <f t="shared" si="78"/>
        <v>vials</v>
      </c>
      <c r="BK691" s="1740" t="str">
        <f t="shared" si="79"/>
        <v>Injection Vial</v>
      </c>
    </row>
    <row r="692" spans="51:63" ht="15.65" customHeight="1">
      <c r="AY692" s="1746" t="s">
        <v>2588</v>
      </c>
      <c r="AZ692" s="1746">
        <v>2006</v>
      </c>
      <c r="BA692" s="1746" t="s">
        <v>4040</v>
      </c>
      <c r="BB692" s="1747" t="s">
        <v>4041</v>
      </c>
      <c r="BC692" s="1746">
        <v>60</v>
      </c>
      <c r="BD692" s="1746" t="s">
        <v>2615</v>
      </c>
      <c r="BE692" s="1746"/>
      <c r="BF692" s="1746">
        <v>167</v>
      </c>
      <c r="BG692" s="1746" t="s">
        <v>2592</v>
      </c>
      <c r="BH692" s="1744">
        <f t="shared" si="80"/>
        <v>1.6699999999999999E-4</v>
      </c>
      <c r="BI692" s="1745">
        <f t="shared" si="77"/>
        <v>2.7833333333333331E-6</v>
      </c>
      <c r="BJ692" s="1740" t="str">
        <f t="shared" si="78"/>
        <v>tabs</v>
      </c>
      <c r="BK692" s="1740" t="str">
        <f t="shared" si="79"/>
        <v>Bottle of Tablets</v>
      </c>
    </row>
    <row r="693" spans="51:63" ht="15.65" customHeight="1">
      <c r="AY693" s="1746" t="s">
        <v>2575</v>
      </c>
      <c r="AZ693" s="1746">
        <v>2008</v>
      </c>
      <c r="BA693" s="1746" t="s">
        <v>4042</v>
      </c>
      <c r="BB693" s="1747" t="s">
        <v>4043</v>
      </c>
      <c r="BC693" s="1746" t="s">
        <v>2578</v>
      </c>
      <c r="BD693" s="1746" t="s">
        <v>2638</v>
      </c>
      <c r="BE693" s="1746" t="s">
        <v>2776</v>
      </c>
      <c r="BF693" s="1746">
        <v>0</v>
      </c>
      <c r="BG693" s="1746" t="s">
        <v>2581</v>
      </c>
      <c r="BH693" s="1744">
        <f t="shared" si="80"/>
        <v>0</v>
      </c>
      <c r="BI693" s="1745" t="str">
        <f t="shared" si="77"/>
        <v/>
      </c>
      <c r="BJ693" s="1740" t="str">
        <f t="shared" si="78"/>
        <v>PAC-Gastrointestinal</v>
      </c>
      <c r="BK693" s="1740" t="str">
        <f t="shared" si="79"/>
        <v>Bottle of Tablets</v>
      </c>
    </row>
    <row r="694" spans="51:63" ht="15.65" customHeight="1">
      <c r="AY694" s="1746" t="s">
        <v>2593</v>
      </c>
      <c r="AZ694" s="1746">
        <v>2008</v>
      </c>
      <c r="BA694" s="1746" t="s">
        <v>4044</v>
      </c>
      <c r="BB694" s="1747" t="s">
        <v>4045</v>
      </c>
      <c r="BC694" s="1746">
        <v>100</v>
      </c>
      <c r="BD694" s="1746" t="s">
        <v>2727</v>
      </c>
      <c r="BE694" s="1746"/>
      <c r="BF694" s="1746">
        <v>2.31E-3</v>
      </c>
      <c r="BG694" s="1746" t="s">
        <v>2597</v>
      </c>
      <c r="BH694" s="1744">
        <f t="shared" si="80"/>
        <v>2.31E-3</v>
      </c>
      <c r="BI694" s="1745">
        <f t="shared" si="77"/>
        <v>2.3099999999999999E-5</v>
      </c>
      <c r="BJ694" s="1740" t="str">
        <f t="shared" si="78"/>
        <v>ampoules</v>
      </c>
      <c r="BK694" s="1740" t="str">
        <f t="shared" si="79"/>
        <v>Injection Vial</v>
      </c>
    </row>
    <row r="695" spans="51:63" ht="15.65" customHeight="1">
      <c r="AY695" s="1746" t="s">
        <v>2593</v>
      </c>
      <c r="AZ695" s="1746">
        <v>2008</v>
      </c>
      <c r="BA695" s="1746" t="s">
        <v>4046</v>
      </c>
      <c r="BB695" s="1747" t="s">
        <v>4047</v>
      </c>
      <c r="BC695" s="1746">
        <v>5</v>
      </c>
      <c r="BD695" s="1746" t="s">
        <v>2930</v>
      </c>
      <c r="BE695" s="1746"/>
      <c r="BF695" s="1746">
        <v>1.0000000000000001E-5</v>
      </c>
      <c r="BG695" s="1746" t="s">
        <v>2597</v>
      </c>
      <c r="BH695" s="1744">
        <f t="shared" si="80"/>
        <v>1.0000000000000001E-5</v>
      </c>
      <c r="BI695" s="1745">
        <f t="shared" si="77"/>
        <v>2.0000000000000003E-6</v>
      </c>
      <c r="BJ695" s="1740" t="str">
        <f t="shared" si="78"/>
        <v>pieces</v>
      </c>
      <c r="BK695" s="1740" t="str">
        <f t="shared" si="79"/>
        <v>Medical equipment</v>
      </c>
    </row>
    <row r="696" spans="51:63" ht="15.65" customHeight="1">
      <c r="AY696" s="1746" t="s">
        <v>2588</v>
      </c>
      <c r="AZ696" s="1746">
        <v>2006</v>
      </c>
      <c r="BA696" s="1746" t="s">
        <v>4048</v>
      </c>
      <c r="BB696" s="1747" t="s">
        <v>4049</v>
      </c>
      <c r="BC696" s="1746">
        <v>10</v>
      </c>
      <c r="BD696" s="1746" t="s">
        <v>2927</v>
      </c>
      <c r="BE696" s="1746"/>
      <c r="BF696" s="1746">
        <v>15</v>
      </c>
      <c r="BG696" s="1746" t="s">
        <v>2592</v>
      </c>
      <c r="BH696" s="1744">
        <f t="shared" si="80"/>
        <v>1.5E-5</v>
      </c>
      <c r="BI696" s="1745">
        <f t="shared" si="77"/>
        <v>1.5E-6</v>
      </c>
      <c r="BJ696" s="1740" t="str">
        <f t="shared" si="78"/>
        <v>pcs</v>
      </c>
      <c r="BK696" s="1740" t="str">
        <f t="shared" si="79"/>
        <v>Medical equipment</v>
      </c>
    </row>
    <row r="697" spans="51:63" ht="15.65" customHeight="1">
      <c r="AY697" s="1746" t="s">
        <v>2575</v>
      </c>
      <c r="AZ697" s="1746">
        <v>2008</v>
      </c>
      <c r="BA697" s="1746" t="s">
        <v>4050</v>
      </c>
      <c r="BB697" s="1747" t="s">
        <v>4051</v>
      </c>
      <c r="BC697" s="1746" t="s">
        <v>2578</v>
      </c>
      <c r="BD697" s="1746" t="s">
        <v>2579</v>
      </c>
      <c r="BE697" s="1746" t="s">
        <v>3172</v>
      </c>
      <c r="BF697" s="1746">
        <v>0.02</v>
      </c>
      <c r="BG697" s="1746" t="s">
        <v>2581</v>
      </c>
      <c r="BH697" s="1744">
        <f t="shared" si="80"/>
        <v>2.0000000000000002E-5</v>
      </c>
      <c r="BI697" s="1745" t="str">
        <f t="shared" si="77"/>
        <v/>
      </c>
      <c r="BJ697" s="1740" t="str">
        <f t="shared" si="78"/>
        <v>EA-Steel utensils</v>
      </c>
      <c r="BK697" s="1740" t="str">
        <f t="shared" si="79"/>
        <v>Medical equipment</v>
      </c>
    </row>
    <row r="698" spans="51:63" ht="15.65" customHeight="1">
      <c r="AY698" s="1746" t="s">
        <v>2588</v>
      </c>
      <c r="AZ698" s="1746">
        <v>2006</v>
      </c>
      <c r="BA698" s="1746" t="s">
        <v>4052</v>
      </c>
      <c r="BB698" s="1747" t="s">
        <v>4053</v>
      </c>
      <c r="BC698" s="1746">
        <v>100</v>
      </c>
      <c r="BD698" s="1746" t="s">
        <v>2927</v>
      </c>
      <c r="BE698" s="1746"/>
      <c r="BF698" s="1746">
        <v>3229</v>
      </c>
      <c r="BG698" s="1746" t="s">
        <v>2592</v>
      </c>
      <c r="BH698" s="1744">
        <f t="shared" si="80"/>
        <v>3.2290000000000001E-3</v>
      </c>
      <c r="BI698" s="1745">
        <f t="shared" si="77"/>
        <v>3.2290000000000004E-5</v>
      </c>
      <c r="BJ698" s="1740" t="str">
        <f t="shared" si="78"/>
        <v>pcs</v>
      </c>
      <c r="BK698" s="1740" t="str">
        <f t="shared" si="79"/>
        <v>Medical equipment</v>
      </c>
    </row>
    <row r="699" spans="51:63" ht="15.65" customHeight="1">
      <c r="AY699" s="1746" t="s">
        <v>2575</v>
      </c>
      <c r="AZ699" s="1746">
        <v>2008</v>
      </c>
      <c r="BA699" s="1746" t="s">
        <v>4054</v>
      </c>
      <c r="BB699" s="1747" t="s">
        <v>4055</v>
      </c>
      <c r="BC699" s="1746" t="s">
        <v>2578</v>
      </c>
      <c r="BD699" s="1746" t="s">
        <v>2579</v>
      </c>
      <c r="BE699" s="1746" t="s">
        <v>3172</v>
      </c>
      <c r="BF699" s="1746">
        <v>0.11799999999999999</v>
      </c>
      <c r="BG699" s="1746" t="s">
        <v>2581</v>
      </c>
      <c r="BH699" s="1744">
        <f t="shared" si="80"/>
        <v>1.18E-4</v>
      </c>
      <c r="BI699" s="1745" t="str">
        <f t="shared" si="77"/>
        <v/>
      </c>
      <c r="BJ699" s="1740" t="str">
        <f t="shared" si="78"/>
        <v>EA-Steel utensils</v>
      </c>
      <c r="BK699" s="1740" t="str">
        <f t="shared" si="79"/>
        <v>Medical equipment</v>
      </c>
    </row>
    <row r="700" spans="51:63" ht="15.65" customHeight="1">
      <c r="AY700" s="1746" t="s">
        <v>2593</v>
      </c>
      <c r="AZ700" s="1746">
        <v>2008</v>
      </c>
      <c r="BA700" s="1746" t="s">
        <v>4056</v>
      </c>
      <c r="BB700" s="1747" t="s">
        <v>4057</v>
      </c>
      <c r="BC700" s="1750">
        <v>1000</v>
      </c>
      <c r="BD700" s="1746" t="s">
        <v>2930</v>
      </c>
      <c r="BE700" s="1746"/>
      <c r="BF700" s="1746">
        <v>1.0200000000000001E-2</v>
      </c>
      <c r="BG700" s="1746" t="s">
        <v>2597</v>
      </c>
      <c r="BH700" s="1744">
        <f t="shared" si="80"/>
        <v>1.0200000000000001E-2</v>
      </c>
      <c r="BI700" s="1745">
        <f t="shared" si="77"/>
        <v>1.0200000000000001E-5</v>
      </c>
      <c r="BJ700" s="1740" t="str">
        <f t="shared" si="78"/>
        <v>pieces</v>
      </c>
      <c r="BK700" s="1740" t="str">
        <f t="shared" si="79"/>
        <v>Medical equipment</v>
      </c>
    </row>
    <row r="701" spans="51:63" ht="15.65" customHeight="1">
      <c r="AY701" s="1746" t="s">
        <v>2593</v>
      </c>
      <c r="AZ701" s="1746">
        <v>2008</v>
      </c>
      <c r="BA701" s="1746" t="s">
        <v>4058</v>
      </c>
      <c r="BB701" s="1747" t="s">
        <v>4059</v>
      </c>
      <c r="BC701" s="1746">
        <v>1</v>
      </c>
      <c r="BD701" s="1746" t="s">
        <v>2933</v>
      </c>
      <c r="BE701" s="1746"/>
      <c r="BF701" s="1746">
        <v>8.8000000000000005E-3</v>
      </c>
      <c r="BG701" s="1746" t="s">
        <v>2597</v>
      </c>
      <c r="BH701" s="1744">
        <f t="shared" si="80"/>
        <v>8.8000000000000005E-3</v>
      </c>
      <c r="BI701" s="1745">
        <f t="shared" si="77"/>
        <v>8.8000000000000005E-3</v>
      </c>
      <c r="BJ701" s="1740" t="str">
        <f t="shared" si="78"/>
        <v>piece</v>
      </c>
      <c r="BK701" s="1740" t="str">
        <f t="shared" si="79"/>
        <v>Medical equipment</v>
      </c>
    </row>
    <row r="702" spans="51:63" ht="15.65" customHeight="1">
      <c r="AY702" s="1746" t="s">
        <v>2575</v>
      </c>
      <c r="AZ702" s="1746">
        <v>2008</v>
      </c>
      <c r="BA702" s="1746" t="s">
        <v>4060</v>
      </c>
      <c r="BB702" s="1747" t="s">
        <v>4061</v>
      </c>
      <c r="BC702" s="1746" t="s">
        <v>2578</v>
      </c>
      <c r="BD702" s="1746" t="s">
        <v>2579</v>
      </c>
      <c r="BE702" s="1746" t="s">
        <v>3172</v>
      </c>
      <c r="BF702" s="1746">
        <v>40.32</v>
      </c>
      <c r="BG702" s="1746" t="s">
        <v>2581</v>
      </c>
      <c r="BH702" s="1744">
        <f t="shared" si="80"/>
        <v>4.0320000000000002E-2</v>
      </c>
      <c r="BI702" s="1745" t="str">
        <f t="shared" si="77"/>
        <v/>
      </c>
      <c r="BJ702" s="1740" t="str">
        <f t="shared" si="78"/>
        <v>EA-Steel utensils</v>
      </c>
      <c r="BK702" s="1740" t="str">
        <f t="shared" si="79"/>
        <v>Medical equipment</v>
      </c>
    </row>
    <row r="703" spans="51:63" ht="15.65" customHeight="1">
      <c r="AY703" s="1746" t="s">
        <v>2593</v>
      </c>
      <c r="AZ703" s="1746">
        <v>2008</v>
      </c>
      <c r="BA703" s="1746" t="s">
        <v>4062</v>
      </c>
      <c r="BB703" s="1747" t="s">
        <v>4063</v>
      </c>
      <c r="BC703" s="1746">
        <v>1</v>
      </c>
      <c r="BD703" s="1746" t="s">
        <v>2933</v>
      </c>
      <c r="BE703" s="1746"/>
      <c r="BF703" s="1746">
        <v>0.92500000000000004</v>
      </c>
      <c r="BG703" s="1746" t="s">
        <v>2597</v>
      </c>
      <c r="BH703" s="1744">
        <f t="shared" si="80"/>
        <v>0.92500000000000004</v>
      </c>
      <c r="BI703" s="1745">
        <f t="shared" si="77"/>
        <v>0.92500000000000004</v>
      </c>
      <c r="BJ703" s="1740" t="str">
        <f t="shared" si="78"/>
        <v>piece</v>
      </c>
      <c r="BK703" s="1740" t="str">
        <f t="shared" si="79"/>
        <v>Medical equipment</v>
      </c>
    </row>
    <row r="704" spans="51:63" ht="15.65" customHeight="1">
      <c r="AY704" s="1746" t="s">
        <v>2575</v>
      </c>
      <c r="AZ704" s="1746">
        <v>2008</v>
      </c>
      <c r="BA704" s="1746" t="s">
        <v>4064</v>
      </c>
      <c r="BB704" s="1747" t="s">
        <v>4065</v>
      </c>
      <c r="BC704" s="1746" t="s">
        <v>2578</v>
      </c>
      <c r="BD704" s="1746" t="s">
        <v>2638</v>
      </c>
      <c r="BE704" s="1746" t="s">
        <v>3605</v>
      </c>
      <c r="BF704" s="1746">
        <v>3.78</v>
      </c>
      <c r="BG704" s="1746" t="s">
        <v>2581</v>
      </c>
      <c r="BH704" s="1744">
        <f t="shared" si="80"/>
        <v>3.7799999999999999E-3</v>
      </c>
      <c r="BI704" s="1745" t="str">
        <f t="shared" si="77"/>
        <v/>
      </c>
      <c r="BJ704" s="1740" t="str">
        <f t="shared" si="78"/>
        <v>PAC-Medical stationery</v>
      </c>
      <c r="BK704" s="1740" t="str">
        <f t="shared" si="79"/>
        <v>Medical equipment</v>
      </c>
    </row>
    <row r="705" spans="51:63" ht="15.65" customHeight="1">
      <c r="AY705" s="1746" t="s">
        <v>2593</v>
      </c>
      <c r="AZ705" s="1746">
        <v>2008</v>
      </c>
      <c r="BA705" s="1746" t="s">
        <v>4066</v>
      </c>
      <c r="BB705" s="1747" t="s">
        <v>4067</v>
      </c>
      <c r="BC705" s="1750">
        <v>1000</v>
      </c>
      <c r="BD705" s="1746" t="s">
        <v>2601</v>
      </c>
      <c r="BE705" s="1746"/>
      <c r="BF705" s="1746">
        <v>3.6999999999999999E-4</v>
      </c>
      <c r="BG705" s="1746" t="s">
        <v>2597</v>
      </c>
      <c r="BH705" s="1744">
        <f t="shared" si="80"/>
        <v>3.6999999999999999E-4</v>
      </c>
      <c r="BI705" s="1745">
        <f t="shared" si="77"/>
        <v>3.7E-7</v>
      </c>
      <c r="BJ705" s="1740" t="str">
        <f t="shared" si="78"/>
        <v>tablets</v>
      </c>
      <c r="BK705" s="1740" t="str">
        <f t="shared" si="79"/>
        <v>Bottle of Tablets</v>
      </c>
    </row>
    <row r="706" spans="51:63" ht="15.65" customHeight="1">
      <c r="AY706" s="1746" t="s">
        <v>2593</v>
      </c>
      <c r="AZ706" s="1746">
        <v>2008</v>
      </c>
      <c r="BA706" s="1746" t="s">
        <v>4068</v>
      </c>
      <c r="BB706" s="1747" t="s">
        <v>4067</v>
      </c>
      <c r="BC706" s="1746">
        <v>50</v>
      </c>
      <c r="BD706" s="1746" t="s">
        <v>2601</v>
      </c>
      <c r="BE706" s="1746"/>
      <c r="BF706" s="1746">
        <v>1.2999999999999999E-4</v>
      </c>
      <c r="BG706" s="1746" t="s">
        <v>2597</v>
      </c>
      <c r="BH706" s="1744">
        <f t="shared" si="80"/>
        <v>1.2999999999999999E-4</v>
      </c>
      <c r="BI706" s="1745">
        <f t="shared" si="77"/>
        <v>2.5999999999999997E-6</v>
      </c>
      <c r="BJ706" s="1740" t="str">
        <f t="shared" si="78"/>
        <v>tablets</v>
      </c>
      <c r="BK706" s="1740" t="str">
        <f t="shared" si="79"/>
        <v>Bottle of Tablets</v>
      </c>
    </row>
    <row r="707" spans="51:63" ht="15.65" customHeight="1">
      <c r="AY707" s="1746" t="s">
        <v>2575</v>
      </c>
      <c r="AZ707" s="1746">
        <v>2008</v>
      </c>
      <c r="BA707" s="1746" t="s">
        <v>4069</v>
      </c>
      <c r="BB707" s="1747" t="s">
        <v>4070</v>
      </c>
      <c r="BC707" s="1746" t="s">
        <v>2578</v>
      </c>
      <c r="BD707" s="1746" t="s">
        <v>2579</v>
      </c>
      <c r="BE707" s="1746" t="s">
        <v>3993</v>
      </c>
      <c r="BF707" s="1753">
        <v>13648.192999999999</v>
      </c>
      <c r="BG707" s="1746" t="s">
        <v>2592</v>
      </c>
      <c r="BH707" s="1744">
        <f t="shared" si="80"/>
        <v>1.3648192999999999E-2</v>
      </c>
      <c r="BI707" s="1745" t="str">
        <f t="shared" si="77"/>
        <v/>
      </c>
      <c r="BJ707" s="1740" t="str">
        <f t="shared" si="78"/>
        <v>EA-Other equipment</v>
      </c>
      <c r="BK707" s="1740" t="str">
        <f t="shared" si="79"/>
        <v>Medical equipment</v>
      </c>
    </row>
    <row r="708" spans="51:63" ht="15.65" customHeight="1">
      <c r="AY708" s="1746" t="s">
        <v>2575</v>
      </c>
      <c r="AZ708" s="1746">
        <v>2008</v>
      </c>
      <c r="BA708" s="1746" t="s">
        <v>4071</v>
      </c>
      <c r="BB708" s="1747" t="s">
        <v>4072</v>
      </c>
      <c r="BC708" s="1746" t="s">
        <v>2578</v>
      </c>
      <c r="BD708" s="1746" t="s">
        <v>2579</v>
      </c>
      <c r="BE708" s="1746" t="s">
        <v>3993</v>
      </c>
      <c r="BF708" s="1746">
        <v>6</v>
      </c>
      <c r="BG708" s="1746" t="s">
        <v>2581</v>
      </c>
      <c r="BH708" s="1744">
        <f t="shared" si="80"/>
        <v>6.0000000000000001E-3</v>
      </c>
      <c r="BI708" s="1745" t="str">
        <f t="shared" si="77"/>
        <v/>
      </c>
      <c r="BJ708" s="1740" t="str">
        <f t="shared" si="78"/>
        <v>EA-Other equipment</v>
      </c>
      <c r="BK708" s="1740" t="str">
        <f t="shared" si="79"/>
        <v>Medical equipment</v>
      </c>
    </row>
    <row r="709" spans="51:63" ht="15.65" customHeight="1">
      <c r="AY709" s="1746" t="s">
        <v>2575</v>
      </c>
      <c r="AZ709" s="1746">
        <v>2008</v>
      </c>
      <c r="BA709" s="1746" t="s">
        <v>4073</v>
      </c>
      <c r="BB709" s="1747" t="s">
        <v>4074</v>
      </c>
      <c r="BC709" s="1746" t="s">
        <v>2578</v>
      </c>
      <c r="BD709" s="1746" t="s">
        <v>2638</v>
      </c>
      <c r="BE709" s="1746" t="s">
        <v>3074</v>
      </c>
      <c r="BF709" s="1746">
        <v>0.65900000000000003</v>
      </c>
      <c r="BG709" s="1746" t="s">
        <v>2581</v>
      </c>
      <c r="BH709" s="1744">
        <f t="shared" si="80"/>
        <v>6.5900000000000008E-4</v>
      </c>
      <c r="BI709" s="1745" t="str">
        <f t="shared" si="77"/>
        <v/>
      </c>
      <c r="BJ709" s="1740" t="str">
        <f t="shared" si="78"/>
        <v>PAC-Minerals &amp; vitamins</v>
      </c>
      <c r="BK709" s="1740" t="str">
        <f t="shared" si="79"/>
        <v>Bottle of Tablets</v>
      </c>
    </row>
    <row r="710" spans="51:63" ht="15.65" customHeight="1">
      <c r="AY710" s="1746" t="s">
        <v>2575</v>
      </c>
      <c r="AZ710" s="1746">
        <v>2008</v>
      </c>
      <c r="BA710" s="1746" t="s">
        <v>4075</v>
      </c>
      <c r="BB710" s="1747" t="s">
        <v>4076</v>
      </c>
      <c r="BC710" s="1746" t="s">
        <v>2578</v>
      </c>
      <c r="BD710" s="1746" t="s">
        <v>2638</v>
      </c>
      <c r="BE710" s="1746" t="s">
        <v>3074</v>
      </c>
      <c r="BF710" s="1746">
        <v>0.65900000000000003</v>
      </c>
      <c r="BG710" s="1746" t="s">
        <v>2581</v>
      </c>
      <c r="BH710" s="1744">
        <f t="shared" si="80"/>
        <v>6.5900000000000008E-4</v>
      </c>
      <c r="BI710" s="1745" t="str">
        <f t="shared" si="77"/>
        <v/>
      </c>
      <c r="BJ710" s="1740" t="str">
        <f t="shared" si="78"/>
        <v>PAC-Minerals &amp; vitamins</v>
      </c>
      <c r="BK710" s="1740" t="str">
        <f t="shared" si="79"/>
        <v>Bottle of Tablets</v>
      </c>
    </row>
    <row r="711" spans="51:63" ht="15.65" customHeight="1">
      <c r="AY711" s="1746" t="s">
        <v>2575</v>
      </c>
      <c r="AZ711" s="1746">
        <v>2008</v>
      </c>
      <c r="BA711" s="1746" t="s">
        <v>4077</v>
      </c>
      <c r="BB711" s="1747" t="s">
        <v>4078</v>
      </c>
      <c r="BC711" s="1746" t="s">
        <v>2578</v>
      </c>
      <c r="BD711" s="1746" t="s">
        <v>2579</v>
      </c>
      <c r="BE711" s="1746" t="s">
        <v>3935</v>
      </c>
      <c r="BF711" s="1746">
        <v>2.7719999999999998</v>
      </c>
      <c r="BG711" s="1746" t="s">
        <v>2581</v>
      </c>
      <c r="BH711" s="1744">
        <f t="shared" si="80"/>
        <v>2.7719999999999997E-3</v>
      </c>
      <c r="BI711" s="1745" t="str">
        <f t="shared" si="77"/>
        <v/>
      </c>
      <c r="BJ711" s="1740" t="str">
        <f t="shared" si="78"/>
        <v>EA-Static function</v>
      </c>
      <c r="BK711" s="1740" t="str">
        <f t="shared" si="79"/>
        <v>Medical equipment</v>
      </c>
    </row>
    <row r="712" spans="51:63" ht="15.65" customHeight="1">
      <c r="AY712" s="1746" t="s">
        <v>2575</v>
      </c>
      <c r="AZ712" s="1746">
        <v>2008</v>
      </c>
      <c r="BA712" s="1746" t="s">
        <v>4079</v>
      </c>
      <c r="BB712" s="1747" t="s">
        <v>4080</v>
      </c>
      <c r="BC712" s="1746" t="s">
        <v>2578</v>
      </c>
      <c r="BD712" s="1746" t="s">
        <v>2579</v>
      </c>
      <c r="BE712" s="1746" t="s">
        <v>3935</v>
      </c>
      <c r="BF712" s="1746">
        <v>1.6</v>
      </c>
      <c r="BG712" s="1746" t="s">
        <v>2581</v>
      </c>
      <c r="BH712" s="1744">
        <f t="shared" si="80"/>
        <v>1.6000000000000001E-3</v>
      </c>
      <c r="BI712" s="1745" t="str">
        <f t="shared" si="77"/>
        <v/>
      </c>
      <c r="BJ712" s="1740" t="str">
        <f t="shared" si="78"/>
        <v>EA-Static function</v>
      </c>
      <c r="BK712" s="1740" t="str">
        <f t="shared" si="79"/>
        <v>Medical equipment</v>
      </c>
    </row>
    <row r="713" spans="51:63" ht="15.65" customHeight="1">
      <c r="AY713" s="1746" t="s">
        <v>2575</v>
      </c>
      <c r="AZ713" s="1746">
        <v>2008</v>
      </c>
      <c r="BA713" s="1746" t="s">
        <v>4081</v>
      </c>
      <c r="BB713" s="1747" t="s">
        <v>4082</v>
      </c>
      <c r="BC713" s="1746" t="s">
        <v>2578</v>
      </c>
      <c r="BD713" s="1746" t="s">
        <v>2579</v>
      </c>
      <c r="BE713" s="1746" t="s">
        <v>3935</v>
      </c>
      <c r="BF713" s="1746">
        <v>4.4999999999999998E-2</v>
      </c>
      <c r="BG713" s="1746" t="s">
        <v>2581</v>
      </c>
      <c r="BH713" s="1744">
        <f t="shared" si="80"/>
        <v>4.4999999999999996E-5</v>
      </c>
      <c r="BI713" s="1745" t="str">
        <f t="shared" si="77"/>
        <v/>
      </c>
      <c r="BJ713" s="1740" t="str">
        <f t="shared" si="78"/>
        <v>EA-Static function</v>
      </c>
      <c r="BK713" s="1740" t="str">
        <f t="shared" si="79"/>
        <v>Medical equipment</v>
      </c>
    </row>
    <row r="714" spans="51:63" ht="15.65" customHeight="1">
      <c r="AY714" s="1746" t="s">
        <v>2575</v>
      </c>
      <c r="AZ714" s="1746">
        <v>2008</v>
      </c>
      <c r="BA714" s="1746" t="s">
        <v>4083</v>
      </c>
      <c r="BB714" s="1747" t="s">
        <v>4084</v>
      </c>
      <c r="BC714" s="1746" t="s">
        <v>2578</v>
      </c>
      <c r="BD714" s="1746" t="s">
        <v>2579</v>
      </c>
      <c r="BE714" s="1746" t="s">
        <v>3935</v>
      </c>
      <c r="BF714" s="1746">
        <v>7.0000000000000007E-2</v>
      </c>
      <c r="BG714" s="1746" t="s">
        <v>2581</v>
      </c>
      <c r="BH714" s="1744">
        <f t="shared" si="80"/>
        <v>7.0000000000000007E-5</v>
      </c>
      <c r="BI714" s="1745" t="str">
        <f t="shared" si="77"/>
        <v/>
      </c>
      <c r="BJ714" s="1740" t="str">
        <f t="shared" si="78"/>
        <v>EA-Static function</v>
      </c>
      <c r="BK714" s="1740" t="str">
        <f t="shared" si="79"/>
        <v>Medical equipment</v>
      </c>
    </row>
    <row r="715" spans="51:63" ht="15.65" customHeight="1">
      <c r="AY715" s="1746" t="s">
        <v>2575</v>
      </c>
      <c r="AZ715" s="1746">
        <v>2008</v>
      </c>
      <c r="BA715" s="1746" t="s">
        <v>4085</v>
      </c>
      <c r="BB715" s="1747" t="s">
        <v>4086</v>
      </c>
      <c r="BC715" s="1746" t="s">
        <v>2578</v>
      </c>
      <c r="BD715" s="1746" t="s">
        <v>2579</v>
      </c>
      <c r="BE715" s="1746" t="s">
        <v>3935</v>
      </c>
      <c r="BF715" s="1746">
        <v>1.55</v>
      </c>
      <c r="BG715" s="1746" t="s">
        <v>2581</v>
      </c>
      <c r="BH715" s="1744">
        <f t="shared" si="80"/>
        <v>1.5499999999999999E-3</v>
      </c>
      <c r="BI715" s="1745" t="str">
        <f t="shared" si="77"/>
        <v/>
      </c>
      <c r="BJ715" s="1740" t="str">
        <f t="shared" si="78"/>
        <v>EA-Static function</v>
      </c>
      <c r="BK715" s="1740" t="str">
        <f t="shared" si="79"/>
        <v>Medical equipment</v>
      </c>
    </row>
    <row r="716" spans="51:63" ht="15.65" customHeight="1">
      <c r="AY716" s="1746" t="s">
        <v>2575</v>
      </c>
      <c r="AZ716" s="1746">
        <v>2008</v>
      </c>
      <c r="BA716" s="1746" t="s">
        <v>4087</v>
      </c>
      <c r="BB716" s="1747" t="s">
        <v>4088</v>
      </c>
      <c r="BC716" s="1746" t="s">
        <v>2578</v>
      </c>
      <c r="BD716" s="1746" t="s">
        <v>2579</v>
      </c>
      <c r="BE716" s="1746" t="s">
        <v>3935</v>
      </c>
      <c r="BF716" s="1746">
        <v>0.06</v>
      </c>
      <c r="BG716" s="1746" t="s">
        <v>2581</v>
      </c>
      <c r="BH716" s="1744">
        <f t="shared" si="80"/>
        <v>5.9999999999999995E-5</v>
      </c>
      <c r="BI716" s="1745" t="str">
        <f t="shared" si="77"/>
        <v/>
      </c>
      <c r="BJ716" s="1740" t="str">
        <f t="shared" si="78"/>
        <v>EA-Static function</v>
      </c>
      <c r="BK716" s="1740" t="str">
        <f t="shared" si="79"/>
        <v>Medical equipment</v>
      </c>
    </row>
    <row r="717" spans="51:63" ht="15.65" customHeight="1">
      <c r="AY717" s="1746" t="s">
        <v>2588</v>
      </c>
      <c r="AZ717" s="1746">
        <v>2006</v>
      </c>
      <c r="BA717" s="1746" t="s">
        <v>4089</v>
      </c>
      <c r="BB717" s="1747" t="s">
        <v>4090</v>
      </c>
      <c r="BC717" s="1746">
        <v>500</v>
      </c>
      <c r="BD717" s="1746" t="s">
        <v>2615</v>
      </c>
      <c r="BE717" s="1746"/>
      <c r="BF717" s="1746">
        <v>1625</v>
      </c>
      <c r="BG717" s="1746" t="s">
        <v>2592</v>
      </c>
      <c r="BH717" s="1744">
        <f t="shared" si="80"/>
        <v>1.6249999999999999E-3</v>
      </c>
      <c r="BI717" s="1745">
        <f t="shared" si="77"/>
        <v>3.2499999999999998E-6</v>
      </c>
      <c r="BJ717" s="1740" t="str">
        <f t="shared" si="78"/>
        <v>tabs</v>
      </c>
      <c r="BK717" s="1740" t="str">
        <f t="shared" si="79"/>
        <v>Bottle of Tablets</v>
      </c>
    </row>
    <row r="718" spans="51:63" ht="15.65" customHeight="1">
      <c r="AY718" s="1746" t="s">
        <v>2593</v>
      </c>
      <c r="AZ718" s="1746">
        <v>2008</v>
      </c>
      <c r="BA718" s="1746" t="s">
        <v>4091</v>
      </c>
      <c r="BB718" s="1747" t="s">
        <v>4092</v>
      </c>
      <c r="BC718" s="1750">
        <v>1000</v>
      </c>
      <c r="BD718" s="1746" t="s">
        <v>2864</v>
      </c>
      <c r="BE718" s="1746"/>
      <c r="BF718" s="1746">
        <v>3.0000000000000001E-3</v>
      </c>
      <c r="BG718" s="1746" t="s">
        <v>2597</v>
      </c>
      <c r="BH718" s="1744">
        <f t="shared" si="80"/>
        <v>3.0000000000000001E-3</v>
      </c>
      <c r="BI718" s="1745">
        <f t="shared" si="77"/>
        <v>3.0000000000000001E-6</v>
      </c>
      <c r="BJ718" s="1740" t="str">
        <f t="shared" si="78"/>
        <v>capsules</v>
      </c>
      <c r="BK718" s="1740" t="str">
        <f t="shared" si="79"/>
        <v>Bottle of Tablets</v>
      </c>
    </row>
    <row r="719" spans="51:63" ht="15.65" customHeight="1">
      <c r="AY719" s="1746" t="s">
        <v>2593</v>
      </c>
      <c r="AZ719" s="1746">
        <v>2008</v>
      </c>
      <c r="BA719" s="1746" t="s">
        <v>4093</v>
      </c>
      <c r="BB719" s="1747" t="s">
        <v>4094</v>
      </c>
      <c r="BC719" s="1750">
        <v>1000</v>
      </c>
      <c r="BD719" s="1746" t="s">
        <v>2601</v>
      </c>
      <c r="BE719" s="1746"/>
      <c r="BF719" s="1746">
        <v>2.5400000000000002E-3</v>
      </c>
      <c r="BG719" s="1746" t="s">
        <v>2597</v>
      </c>
      <c r="BH719" s="1744">
        <f t="shared" si="80"/>
        <v>2.5400000000000002E-3</v>
      </c>
      <c r="BI719" s="1745">
        <f t="shared" si="77"/>
        <v>2.5400000000000002E-6</v>
      </c>
      <c r="BJ719" s="1740" t="str">
        <f t="shared" si="78"/>
        <v>tablets</v>
      </c>
      <c r="BK719" s="1740" t="str">
        <f t="shared" si="79"/>
        <v>Bottle of Tablets</v>
      </c>
    </row>
    <row r="720" spans="51:63" ht="15.65" customHeight="1">
      <c r="AY720" s="1746" t="s">
        <v>2593</v>
      </c>
      <c r="AZ720" s="1746">
        <v>2008</v>
      </c>
      <c r="BA720" s="1746" t="s">
        <v>4095</v>
      </c>
      <c r="BB720" s="1747" t="s">
        <v>4096</v>
      </c>
      <c r="BC720" s="1750">
        <v>1000</v>
      </c>
      <c r="BD720" s="1746" t="s">
        <v>2601</v>
      </c>
      <c r="BE720" s="1746"/>
      <c r="BF720" s="1746">
        <v>0</v>
      </c>
      <c r="BG720" s="1746" t="s">
        <v>2597</v>
      </c>
      <c r="BH720" s="1744">
        <f t="shared" si="80"/>
        <v>0</v>
      </c>
      <c r="BI720" s="1745">
        <f t="shared" si="77"/>
        <v>0</v>
      </c>
      <c r="BJ720" s="1740" t="str">
        <f t="shared" si="78"/>
        <v>tablets</v>
      </c>
      <c r="BK720" s="1740" t="str">
        <f t="shared" si="79"/>
        <v>Bottle of Tablets</v>
      </c>
    </row>
    <row r="721" spans="51:63" ht="15.65" customHeight="1">
      <c r="AY721" s="1746" t="s">
        <v>2588</v>
      </c>
      <c r="AZ721" s="1746">
        <v>2006</v>
      </c>
      <c r="BA721" s="1746" t="s">
        <v>4097</v>
      </c>
      <c r="BB721" s="1747" t="s">
        <v>4098</v>
      </c>
      <c r="BC721" s="1746">
        <v>1000</v>
      </c>
      <c r="BD721" s="1746" t="s">
        <v>2615</v>
      </c>
      <c r="BE721" s="1746"/>
      <c r="BF721" s="1746">
        <v>1557.6</v>
      </c>
      <c r="BG721" s="1746" t="s">
        <v>2592</v>
      </c>
      <c r="BH721" s="1744">
        <f t="shared" si="80"/>
        <v>1.5575999999999999E-3</v>
      </c>
      <c r="BI721" s="1745">
        <f t="shared" si="77"/>
        <v>1.5575999999999999E-6</v>
      </c>
      <c r="BJ721" s="1740" t="str">
        <f t="shared" si="78"/>
        <v>tabs</v>
      </c>
      <c r="BK721" s="1740" t="str">
        <f t="shared" si="79"/>
        <v>Bottle of Tablets</v>
      </c>
    </row>
    <row r="722" spans="51:63" ht="15.65" customHeight="1">
      <c r="AY722" s="1746" t="s">
        <v>2593</v>
      </c>
      <c r="AZ722" s="1746">
        <v>2008</v>
      </c>
      <c r="BA722" s="1746" t="s">
        <v>4099</v>
      </c>
      <c r="BB722" s="1747" t="s">
        <v>4100</v>
      </c>
      <c r="BC722" s="1750">
        <v>1000</v>
      </c>
      <c r="BD722" s="1746" t="s">
        <v>2601</v>
      </c>
      <c r="BE722" s="1746"/>
      <c r="BF722" s="1746">
        <v>1.6299999999999999E-3</v>
      </c>
      <c r="BG722" s="1746" t="s">
        <v>2597</v>
      </c>
      <c r="BH722" s="1744">
        <f t="shared" si="80"/>
        <v>1.6299999999999999E-3</v>
      </c>
      <c r="BI722" s="1745">
        <f t="shared" si="77"/>
        <v>1.6299999999999999E-6</v>
      </c>
      <c r="BJ722" s="1740" t="str">
        <f t="shared" si="78"/>
        <v>tablets</v>
      </c>
      <c r="BK722" s="1740" t="str">
        <f t="shared" si="79"/>
        <v>Bottle of Tablets</v>
      </c>
    </row>
    <row r="723" spans="51:63" ht="15.65" customHeight="1">
      <c r="AY723" s="1746" t="s">
        <v>2593</v>
      </c>
      <c r="AZ723" s="1746">
        <v>2008</v>
      </c>
      <c r="BA723" s="1746" t="s">
        <v>4101</v>
      </c>
      <c r="BB723" s="1747" t="s">
        <v>4102</v>
      </c>
      <c r="BC723" s="1750">
        <v>1000</v>
      </c>
      <c r="BD723" s="1746" t="s">
        <v>2601</v>
      </c>
      <c r="BE723" s="1746"/>
      <c r="BF723" s="1746">
        <v>0</v>
      </c>
      <c r="BG723" s="1746" t="s">
        <v>2597</v>
      </c>
      <c r="BH723" s="1744">
        <f t="shared" si="80"/>
        <v>0</v>
      </c>
      <c r="BI723" s="1745">
        <f t="shared" ref="BI723:BI786" si="81">IFERROR(BH723/BC723,"")</f>
        <v>0</v>
      </c>
      <c r="BJ723" s="1740" t="str">
        <f t="shared" ref="BJ723:BJ786" si="82">IF(BE723="",BD723,BD723&amp;"-"&amp;BE723)</f>
        <v>tablets</v>
      </c>
      <c r="BK723" s="1740" t="str">
        <f t="shared" si="79"/>
        <v>Bottle of Tablets</v>
      </c>
    </row>
    <row r="724" spans="51:63" ht="15.65" customHeight="1">
      <c r="AY724" s="1746" t="s">
        <v>2593</v>
      </c>
      <c r="AZ724" s="1746">
        <v>2008</v>
      </c>
      <c r="BA724" s="1746" t="s">
        <v>4103</v>
      </c>
      <c r="BB724" s="1747" t="s">
        <v>4104</v>
      </c>
      <c r="BC724" s="1750">
        <v>1000</v>
      </c>
      <c r="BD724" s="1746" t="s">
        <v>2601</v>
      </c>
      <c r="BE724" s="1746"/>
      <c r="BF724" s="1746">
        <v>3.16E-3</v>
      </c>
      <c r="BG724" s="1746" t="s">
        <v>2597</v>
      </c>
      <c r="BH724" s="1744">
        <f t="shared" si="80"/>
        <v>3.16E-3</v>
      </c>
      <c r="BI724" s="1745">
        <f t="shared" si="81"/>
        <v>3.1600000000000002E-6</v>
      </c>
      <c r="BJ724" s="1740" t="str">
        <f t="shared" si="82"/>
        <v>tablets</v>
      </c>
      <c r="BK724" s="1740" t="str">
        <f t="shared" ref="BK724:BK787" si="83">IFERROR(INDEX($BO$18:$BO$136,MATCH(BJ724,$BN$18:$BN$136,0)),"")</f>
        <v>Bottle of Tablets</v>
      </c>
    </row>
    <row r="725" spans="51:63" ht="15.65" customHeight="1">
      <c r="AY725" s="1746" t="s">
        <v>2588</v>
      </c>
      <c r="AZ725" s="1746">
        <v>2006</v>
      </c>
      <c r="BA725" s="1746" t="s">
        <v>4105</v>
      </c>
      <c r="BB725" s="1747" t="s">
        <v>4106</v>
      </c>
      <c r="BC725" s="1746">
        <v>500</v>
      </c>
      <c r="BD725" s="1746" t="s">
        <v>2615</v>
      </c>
      <c r="BE725" s="1746"/>
      <c r="BF725" s="1746">
        <v>2592</v>
      </c>
      <c r="BG725" s="1746" t="s">
        <v>2592</v>
      </c>
      <c r="BH725" s="1744">
        <f t="shared" si="80"/>
        <v>2.5920000000000001E-3</v>
      </c>
      <c r="BI725" s="1745">
        <f t="shared" si="81"/>
        <v>5.1839999999999998E-6</v>
      </c>
      <c r="BJ725" s="1740" t="str">
        <f t="shared" si="82"/>
        <v>tabs</v>
      </c>
      <c r="BK725" s="1740" t="str">
        <f t="shared" si="83"/>
        <v>Bottle of Tablets</v>
      </c>
    </row>
    <row r="726" spans="51:63" ht="15.65" customHeight="1">
      <c r="AY726" s="1746" t="s">
        <v>2593</v>
      </c>
      <c r="AZ726" s="1746">
        <v>2008</v>
      </c>
      <c r="BA726" s="1746" t="s">
        <v>4107</v>
      </c>
      <c r="BB726" s="1747" t="s">
        <v>4108</v>
      </c>
      <c r="BC726" s="1750">
        <v>1000</v>
      </c>
      <c r="BD726" s="1746" t="s">
        <v>2864</v>
      </c>
      <c r="BE726" s="1746"/>
      <c r="BF726" s="1746">
        <v>1.8699999999999999E-3</v>
      </c>
      <c r="BG726" s="1746" t="s">
        <v>2597</v>
      </c>
      <c r="BH726" s="1744">
        <f t="shared" si="80"/>
        <v>1.8699999999999999E-3</v>
      </c>
      <c r="BI726" s="1745">
        <f t="shared" si="81"/>
        <v>1.8699999999999999E-6</v>
      </c>
      <c r="BJ726" s="1740" t="str">
        <f t="shared" si="82"/>
        <v>capsules</v>
      </c>
      <c r="BK726" s="1740" t="str">
        <f t="shared" si="83"/>
        <v>Bottle of Tablets</v>
      </c>
    </row>
    <row r="727" spans="51:63" ht="15.65" customHeight="1">
      <c r="AY727" s="1746" t="s">
        <v>2593</v>
      </c>
      <c r="AZ727" s="1746">
        <v>2008</v>
      </c>
      <c r="BA727" s="1746" t="s">
        <v>4109</v>
      </c>
      <c r="BB727" s="1747" t="s">
        <v>4108</v>
      </c>
      <c r="BC727" s="1750">
        <v>1000</v>
      </c>
      <c r="BD727" s="1746" t="s">
        <v>2864</v>
      </c>
      <c r="BE727" s="1746"/>
      <c r="BF727" s="1746">
        <v>4.8599999999999997E-3</v>
      </c>
      <c r="BG727" s="1746" t="s">
        <v>2597</v>
      </c>
      <c r="BH727" s="1744">
        <f t="shared" si="80"/>
        <v>4.8599999999999997E-3</v>
      </c>
      <c r="BI727" s="1745">
        <f t="shared" si="81"/>
        <v>4.8600000000000001E-6</v>
      </c>
      <c r="BJ727" s="1740" t="str">
        <f t="shared" si="82"/>
        <v>capsules</v>
      </c>
      <c r="BK727" s="1740" t="str">
        <f t="shared" si="83"/>
        <v>Bottle of Tablets</v>
      </c>
    </row>
    <row r="728" spans="51:63" ht="15.65" customHeight="1">
      <c r="AY728" s="1746" t="s">
        <v>2593</v>
      </c>
      <c r="AZ728" s="1746">
        <v>2008</v>
      </c>
      <c r="BA728" s="1746" t="s">
        <v>4110</v>
      </c>
      <c r="BB728" s="1747" t="s">
        <v>4111</v>
      </c>
      <c r="BC728" s="1750">
        <v>1000</v>
      </c>
      <c r="BD728" s="1746" t="s">
        <v>2601</v>
      </c>
      <c r="BE728" s="1746"/>
      <c r="BF728" s="1746">
        <v>1.82E-3</v>
      </c>
      <c r="BG728" s="1746" t="s">
        <v>2597</v>
      </c>
      <c r="BH728" s="1744">
        <f t="shared" si="80"/>
        <v>1.82E-3</v>
      </c>
      <c r="BI728" s="1745">
        <f t="shared" si="81"/>
        <v>1.8199999999999999E-6</v>
      </c>
      <c r="BJ728" s="1740" t="str">
        <f t="shared" si="82"/>
        <v>tablets</v>
      </c>
      <c r="BK728" s="1740" t="str">
        <f t="shared" si="83"/>
        <v>Bottle of Tablets</v>
      </c>
    </row>
    <row r="729" spans="51:63" ht="15.65" customHeight="1">
      <c r="AY729" s="1746" t="s">
        <v>2588</v>
      </c>
      <c r="AZ729" s="1746">
        <v>2006</v>
      </c>
      <c r="BA729" s="1746" t="s">
        <v>4112</v>
      </c>
      <c r="BB729" s="1747" t="s">
        <v>4113</v>
      </c>
      <c r="BC729" s="1746">
        <v>1000</v>
      </c>
      <c r="BD729" s="1746" t="s">
        <v>2615</v>
      </c>
      <c r="BE729" s="1746"/>
      <c r="BF729" s="1746">
        <v>2889.5</v>
      </c>
      <c r="BG729" s="1746" t="s">
        <v>2592</v>
      </c>
      <c r="BH729" s="1744">
        <f t="shared" ref="BH729:BH792" si="84">IF(BG729="CCM",BF729/1000000,IF(BG729="CDM",BF729/1000, IF(BG729="M3",BF729,"")))</f>
        <v>2.8895000000000001E-3</v>
      </c>
      <c r="BI729" s="1745">
        <f t="shared" si="81"/>
        <v>2.8895E-6</v>
      </c>
      <c r="BJ729" s="1740" t="str">
        <f t="shared" si="82"/>
        <v>tabs</v>
      </c>
      <c r="BK729" s="1740" t="str">
        <f t="shared" si="83"/>
        <v>Bottle of Tablets</v>
      </c>
    </row>
    <row r="730" spans="51:63" ht="15.65" customHeight="1">
      <c r="AY730" s="1746" t="s">
        <v>2575</v>
      </c>
      <c r="AZ730" s="1746">
        <v>2008</v>
      </c>
      <c r="BA730" s="1746" t="s">
        <v>4114</v>
      </c>
      <c r="BB730" s="1747" t="s">
        <v>4115</v>
      </c>
      <c r="BC730" s="1746" t="s">
        <v>2578</v>
      </c>
      <c r="BD730" s="1746" t="s">
        <v>2638</v>
      </c>
      <c r="BE730" s="1746" t="s">
        <v>4009</v>
      </c>
      <c r="BF730" s="1746">
        <v>0.25600000000000001</v>
      </c>
      <c r="BG730" s="1746" t="s">
        <v>2581</v>
      </c>
      <c r="BH730" s="1744">
        <f t="shared" si="84"/>
        <v>2.5599999999999999E-4</v>
      </c>
      <c r="BI730" s="1745" t="str">
        <f t="shared" si="81"/>
        <v/>
      </c>
      <c r="BJ730" s="1740" t="str">
        <f t="shared" si="82"/>
        <v>PAC-Antituberculosis</v>
      </c>
      <c r="BK730" s="1740" t="str">
        <f t="shared" si="83"/>
        <v>Bottle of Tablets</v>
      </c>
    </row>
    <row r="731" spans="51:63" ht="15.65" customHeight="1">
      <c r="AY731" s="1746" t="s">
        <v>2588</v>
      </c>
      <c r="AZ731" s="1746">
        <v>2006</v>
      </c>
      <c r="BA731" s="1746" t="s">
        <v>4116</v>
      </c>
      <c r="BB731" s="1747" t="s">
        <v>4117</v>
      </c>
      <c r="BC731" s="1746">
        <v>12</v>
      </c>
      <c r="BD731" s="1746" t="s">
        <v>3369</v>
      </c>
      <c r="BE731" s="1746"/>
      <c r="BF731" s="1746">
        <v>34684</v>
      </c>
      <c r="BG731" s="1746" t="s">
        <v>2592</v>
      </c>
      <c r="BH731" s="1744">
        <f t="shared" si="84"/>
        <v>3.4684E-2</v>
      </c>
      <c r="BI731" s="1745">
        <f t="shared" si="81"/>
        <v>2.8903333333333333E-3</v>
      </c>
      <c r="BJ731" s="1740" t="str">
        <f t="shared" si="82"/>
        <v>bags</v>
      </c>
      <c r="BK731" s="1740" t="str">
        <f t="shared" si="83"/>
        <v>Intravenous Bag</v>
      </c>
    </row>
    <row r="732" spans="51:63" ht="15.65" customHeight="1">
      <c r="AY732" s="1746" t="s">
        <v>2588</v>
      </c>
      <c r="AZ732" s="1746">
        <v>2006</v>
      </c>
      <c r="BA732" s="1746" t="s">
        <v>4118</v>
      </c>
      <c r="BB732" s="1747" t="s">
        <v>4119</v>
      </c>
      <c r="BC732" s="1746">
        <v>12</v>
      </c>
      <c r="BD732" s="1746" t="s">
        <v>2836</v>
      </c>
      <c r="BE732" s="1746"/>
      <c r="BF732" s="1746">
        <v>28166</v>
      </c>
      <c r="BG732" s="1746" t="s">
        <v>2592</v>
      </c>
      <c r="BH732" s="1744">
        <f t="shared" si="84"/>
        <v>2.8166E-2</v>
      </c>
      <c r="BI732" s="1745">
        <f t="shared" si="81"/>
        <v>2.3471666666666667E-3</v>
      </c>
      <c r="BJ732" s="1740" t="str">
        <f t="shared" si="82"/>
        <v>btls</v>
      </c>
      <c r="BK732" s="1740" t="str">
        <f t="shared" si="83"/>
        <v>Bottle of Liquid</v>
      </c>
    </row>
    <row r="733" spans="51:63" ht="15.65" customHeight="1">
      <c r="AY733" s="1746" t="s">
        <v>2588</v>
      </c>
      <c r="AZ733" s="1746">
        <v>2006</v>
      </c>
      <c r="BA733" s="1746" t="s">
        <v>4120</v>
      </c>
      <c r="BB733" s="1747" t="s">
        <v>4121</v>
      </c>
      <c r="BC733" s="1746">
        <v>20</v>
      </c>
      <c r="BD733" s="1746" t="s">
        <v>3369</v>
      </c>
      <c r="BE733" s="1746"/>
      <c r="BF733" s="1746">
        <v>33180</v>
      </c>
      <c r="BG733" s="1746" t="s">
        <v>2592</v>
      </c>
      <c r="BH733" s="1744">
        <f t="shared" si="84"/>
        <v>3.3180000000000001E-2</v>
      </c>
      <c r="BI733" s="1745">
        <f t="shared" si="81"/>
        <v>1.6590000000000001E-3</v>
      </c>
      <c r="BJ733" s="1740" t="str">
        <f t="shared" si="82"/>
        <v>bags</v>
      </c>
      <c r="BK733" s="1740" t="str">
        <f t="shared" si="83"/>
        <v>Intravenous Bag</v>
      </c>
    </row>
    <row r="734" spans="51:63" ht="15.65" customHeight="1">
      <c r="AY734" s="1746" t="s">
        <v>2588</v>
      </c>
      <c r="AZ734" s="1746">
        <v>2006</v>
      </c>
      <c r="BA734" s="1746" t="s">
        <v>4122</v>
      </c>
      <c r="BB734" s="1747" t="s">
        <v>4123</v>
      </c>
      <c r="BC734" s="1746">
        <v>20</v>
      </c>
      <c r="BD734" s="1746" t="s">
        <v>2836</v>
      </c>
      <c r="BE734" s="1746"/>
      <c r="BF734" s="1746">
        <v>26197</v>
      </c>
      <c r="BG734" s="1746" t="s">
        <v>2592</v>
      </c>
      <c r="BH734" s="1744">
        <f t="shared" si="84"/>
        <v>2.6197000000000002E-2</v>
      </c>
      <c r="BI734" s="1745">
        <f t="shared" si="81"/>
        <v>1.30985E-3</v>
      </c>
      <c r="BJ734" s="1740" t="str">
        <f t="shared" si="82"/>
        <v>btls</v>
      </c>
      <c r="BK734" s="1740" t="str">
        <f t="shared" si="83"/>
        <v>Bottle of Liquid</v>
      </c>
    </row>
    <row r="735" spans="51:63" ht="15.65" customHeight="1">
      <c r="AY735" s="1746" t="s">
        <v>2593</v>
      </c>
      <c r="AZ735" s="1746">
        <v>2008</v>
      </c>
      <c r="BA735" s="1746" t="s">
        <v>4124</v>
      </c>
      <c r="BB735" s="1747" t="s">
        <v>4125</v>
      </c>
      <c r="BC735" s="1746">
        <v>1</v>
      </c>
      <c r="BD735" s="1746" t="s">
        <v>2596</v>
      </c>
      <c r="BE735" s="1746"/>
      <c r="BF735" s="1746">
        <v>1.89E-3</v>
      </c>
      <c r="BG735" s="1746" t="s">
        <v>2597</v>
      </c>
      <c r="BH735" s="1744">
        <f t="shared" si="84"/>
        <v>1.89E-3</v>
      </c>
      <c r="BI735" s="1745">
        <f t="shared" si="81"/>
        <v>1.89E-3</v>
      </c>
      <c r="BJ735" s="1740" t="str">
        <f t="shared" si="82"/>
        <v>bottle</v>
      </c>
      <c r="BK735" s="1740" t="str">
        <f t="shared" si="83"/>
        <v>Bottle of Liquid</v>
      </c>
    </row>
    <row r="736" spans="51:63" ht="15.65" customHeight="1">
      <c r="AY736" s="1746" t="s">
        <v>2593</v>
      </c>
      <c r="AZ736" s="1746">
        <v>2008</v>
      </c>
      <c r="BA736" s="1746" t="s">
        <v>4126</v>
      </c>
      <c r="BB736" s="1747" t="s">
        <v>4125</v>
      </c>
      <c r="BC736" s="1746">
        <v>1</v>
      </c>
      <c r="BD736" s="1746" t="s">
        <v>2596</v>
      </c>
      <c r="BE736" s="1746"/>
      <c r="BF736" s="1746">
        <v>2.0300000000000001E-3</v>
      </c>
      <c r="BG736" s="1746" t="s">
        <v>2597</v>
      </c>
      <c r="BH736" s="1744">
        <f t="shared" si="84"/>
        <v>2.0300000000000001E-3</v>
      </c>
      <c r="BI736" s="1745">
        <f t="shared" si="81"/>
        <v>2.0300000000000001E-3</v>
      </c>
      <c r="BJ736" s="1740" t="str">
        <f t="shared" si="82"/>
        <v>bottle</v>
      </c>
      <c r="BK736" s="1740" t="str">
        <f t="shared" si="83"/>
        <v>Bottle of Liquid</v>
      </c>
    </row>
    <row r="737" spans="51:63" ht="15.65" customHeight="1">
      <c r="AY737" s="1746" t="s">
        <v>2593</v>
      </c>
      <c r="AZ737" s="1746">
        <v>2008</v>
      </c>
      <c r="BA737" s="1746" t="s">
        <v>4127</v>
      </c>
      <c r="BB737" s="1747" t="s">
        <v>4128</v>
      </c>
      <c r="BC737" s="1746">
        <v>1</v>
      </c>
      <c r="BD737" s="1746" t="s">
        <v>2596</v>
      </c>
      <c r="BE737" s="1746"/>
      <c r="BF737" s="1746">
        <v>1.15E-3</v>
      </c>
      <c r="BG737" s="1746" t="s">
        <v>2597</v>
      </c>
      <c r="BH737" s="1744">
        <f t="shared" si="84"/>
        <v>1.15E-3</v>
      </c>
      <c r="BI737" s="1745">
        <f t="shared" si="81"/>
        <v>1.15E-3</v>
      </c>
      <c r="BJ737" s="1740" t="str">
        <f t="shared" si="82"/>
        <v>bottle</v>
      </c>
      <c r="BK737" s="1740" t="str">
        <f t="shared" si="83"/>
        <v>Bottle of Liquid</v>
      </c>
    </row>
    <row r="738" spans="51:63" ht="15.65" customHeight="1">
      <c r="AY738" s="1746" t="s">
        <v>2593</v>
      </c>
      <c r="AZ738" s="1746">
        <v>2008</v>
      </c>
      <c r="BA738" s="1746" t="s">
        <v>4129</v>
      </c>
      <c r="BB738" s="1747" t="s">
        <v>4128</v>
      </c>
      <c r="BC738" s="1746">
        <v>1</v>
      </c>
      <c r="BD738" s="1746" t="s">
        <v>2596</v>
      </c>
      <c r="BE738" s="1746"/>
      <c r="BF738" s="1746">
        <v>1.15E-3</v>
      </c>
      <c r="BG738" s="1746" t="s">
        <v>2597</v>
      </c>
      <c r="BH738" s="1744">
        <f t="shared" si="84"/>
        <v>1.15E-3</v>
      </c>
      <c r="BI738" s="1745">
        <f t="shared" si="81"/>
        <v>1.15E-3</v>
      </c>
      <c r="BJ738" s="1740" t="str">
        <f t="shared" si="82"/>
        <v>bottle</v>
      </c>
      <c r="BK738" s="1740" t="str">
        <f t="shared" si="83"/>
        <v>Bottle of Liquid</v>
      </c>
    </row>
    <row r="739" spans="51:63" ht="15.65" customHeight="1">
      <c r="AY739" s="1746" t="s">
        <v>2593</v>
      </c>
      <c r="AZ739" s="1746">
        <v>2008</v>
      </c>
      <c r="BA739" s="1746" t="s">
        <v>4130</v>
      </c>
      <c r="BB739" s="1747" t="s">
        <v>4131</v>
      </c>
      <c r="BC739" s="1746">
        <v>84</v>
      </c>
      <c r="BD739" s="1746" t="s">
        <v>2864</v>
      </c>
      <c r="BE739" s="1746"/>
      <c r="BF739" s="1746">
        <v>9.4900000000000002E-3</v>
      </c>
      <c r="BG739" s="1746" t="s">
        <v>2597</v>
      </c>
      <c r="BH739" s="1744">
        <f t="shared" si="84"/>
        <v>9.4900000000000002E-3</v>
      </c>
      <c r="BI739" s="1745">
        <f t="shared" si="81"/>
        <v>1.1297619047619048E-4</v>
      </c>
      <c r="BJ739" s="1740" t="str">
        <f t="shared" si="82"/>
        <v>capsules</v>
      </c>
      <c r="BK739" s="1740" t="str">
        <f t="shared" si="83"/>
        <v>Bottle of Tablets</v>
      </c>
    </row>
    <row r="740" spans="51:63" ht="15.65" customHeight="1">
      <c r="AY740" s="1746" t="s">
        <v>2575</v>
      </c>
      <c r="AZ740" s="1746">
        <v>2008</v>
      </c>
      <c r="BA740" s="1746" t="s">
        <v>4132</v>
      </c>
      <c r="BB740" s="1747" t="s">
        <v>4133</v>
      </c>
      <c r="BC740" s="1746" t="s">
        <v>2578</v>
      </c>
      <c r="BD740" s="1746" t="s">
        <v>2579</v>
      </c>
      <c r="BE740" s="1746" t="s">
        <v>2580</v>
      </c>
      <c r="BF740" s="1746">
        <v>22.3</v>
      </c>
      <c r="BG740" s="1746" t="s">
        <v>2581</v>
      </c>
      <c r="BH740" s="1744">
        <f t="shared" si="84"/>
        <v>2.23E-2</v>
      </c>
      <c r="BI740" s="1745" t="str">
        <f t="shared" si="81"/>
        <v/>
      </c>
      <c r="BJ740" s="1740" t="str">
        <f t="shared" si="82"/>
        <v>EA-Antiretrovirals</v>
      </c>
      <c r="BK740" s="1740" t="str">
        <f t="shared" si="83"/>
        <v>Bottle of Tablets</v>
      </c>
    </row>
    <row r="741" spans="51:63" ht="15.65" customHeight="1">
      <c r="AY741" s="1746" t="s">
        <v>2575</v>
      </c>
      <c r="AZ741" s="1746">
        <v>2008</v>
      </c>
      <c r="BA741" s="1746" t="s">
        <v>4134</v>
      </c>
      <c r="BB741" s="1747" t="s">
        <v>4135</v>
      </c>
      <c r="BC741" s="1746" t="s">
        <v>2578</v>
      </c>
      <c r="BD741" s="1746" t="s">
        <v>2579</v>
      </c>
      <c r="BE741" s="1746" t="s">
        <v>2580</v>
      </c>
      <c r="BF741" s="1746">
        <v>0</v>
      </c>
      <c r="BG741" s="1746"/>
      <c r="BH741" s="1744" t="str">
        <f t="shared" si="84"/>
        <v/>
      </c>
      <c r="BI741" s="1745" t="str">
        <f t="shared" si="81"/>
        <v/>
      </c>
      <c r="BJ741" s="1740" t="str">
        <f t="shared" si="82"/>
        <v>EA-Antiretrovirals</v>
      </c>
      <c r="BK741" s="1740" t="str">
        <f t="shared" si="83"/>
        <v>Bottle of Tablets</v>
      </c>
    </row>
    <row r="742" spans="51:63" ht="15.65" customHeight="1">
      <c r="AY742" s="1746" t="s">
        <v>2575</v>
      </c>
      <c r="AZ742" s="1746">
        <v>2008</v>
      </c>
      <c r="BA742" s="1746" t="s">
        <v>4136</v>
      </c>
      <c r="BB742" s="1747" t="s">
        <v>4137</v>
      </c>
      <c r="BC742" s="1746" t="s">
        <v>2578</v>
      </c>
      <c r="BD742" s="1746" t="s">
        <v>2903</v>
      </c>
      <c r="BE742" s="1746" t="s">
        <v>3605</v>
      </c>
      <c r="BF742" s="1746">
        <v>3.8610000000000002</v>
      </c>
      <c r="BG742" s="1746" t="s">
        <v>2581</v>
      </c>
      <c r="BH742" s="1744">
        <f t="shared" si="84"/>
        <v>3.8610000000000003E-3</v>
      </c>
      <c r="BI742" s="1745" t="str">
        <f t="shared" si="81"/>
        <v/>
      </c>
      <c r="BJ742" s="1740" t="str">
        <f t="shared" si="82"/>
        <v>BOX-Medical stationery</v>
      </c>
      <c r="BK742" s="1740" t="str">
        <f t="shared" si="83"/>
        <v>Medical equipment</v>
      </c>
    </row>
    <row r="743" spans="51:63" ht="15.65" customHeight="1">
      <c r="AY743" s="1746" t="s">
        <v>2575</v>
      </c>
      <c r="AZ743" s="1746">
        <v>2008</v>
      </c>
      <c r="BA743" s="1746" t="s">
        <v>4138</v>
      </c>
      <c r="BB743" s="1747" t="s">
        <v>4139</v>
      </c>
      <c r="BC743" s="1746" t="s">
        <v>2578</v>
      </c>
      <c r="BD743" s="1746" t="s">
        <v>2579</v>
      </c>
      <c r="BE743" s="1746" t="s">
        <v>3605</v>
      </c>
      <c r="BF743" s="1746">
        <v>0.55000000000000004</v>
      </c>
      <c r="BG743" s="1746" t="s">
        <v>2581</v>
      </c>
      <c r="BH743" s="1744">
        <f t="shared" si="84"/>
        <v>5.5000000000000003E-4</v>
      </c>
      <c r="BI743" s="1745" t="str">
        <f t="shared" si="81"/>
        <v/>
      </c>
      <c r="BJ743" s="1740" t="str">
        <f t="shared" si="82"/>
        <v>EA-Medical stationery</v>
      </c>
      <c r="BK743" s="1740" t="str">
        <f t="shared" si="83"/>
        <v>Medical equipment</v>
      </c>
    </row>
    <row r="744" spans="51:63" ht="15.65" customHeight="1">
      <c r="AY744" s="1746" t="s">
        <v>2575</v>
      </c>
      <c r="AZ744" s="1746">
        <v>2008</v>
      </c>
      <c r="BA744" s="1746" t="s">
        <v>4140</v>
      </c>
      <c r="BB744" s="1747" t="s">
        <v>4141</v>
      </c>
      <c r="BC744" s="1746" t="s">
        <v>2578</v>
      </c>
      <c r="BD744" s="1746" t="s">
        <v>2903</v>
      </c>
      <c r="BE744" s="1746" t="s">
        <v>4142</v>
      </c>
      <c r="BF744" s="1753">
        <v>16800</v>
      </c>
      <c r="BG744" s="1746" t="s">
        <v>2592</v>
      </c>
      <c r="BH744" s="1744">
        <f t="shared" si="84"/>
        <v>1.6799999999999999E-2</v>
      </c>
      <c r="BI744" s="1745" t="str">
        <f t="shared" si="81"/>
        <v/>
      </c>
      <c r="BJ744" s="1740" t="str">
        <f t="shared" si="82"/>
        <v>BOX-Waste disposal</v>
      </c>
      <c r="BK744" s="1740" t="str">
        <f t="shared" si="83"/>
        <v>Medical equipment</v>
      </c>
    </row>
    <row r="745" spans="51:63" ht="15.65" customHeight="1">
      <c r="AY745" s="1746" t="s">
        <v>2593</v>
      </c>
      <c r="AZ745" s="1746">
        <v>2008</v>
      </c>
      <c r="BA745" s="1746" t="s">
        <v>4143</v>
      </c>
      <c r="BB745" s="1747" t="s">
        <v>4144</v>
      </c>
      <c r="BC745" s="1746">
        <v>1</v>
      </c>
      <c r="BD745" s="1746" t="s">
        <v>2933</v>
      </c>
      <c r="BE745" s="1746"/>
      <c r="BF745" s="1746">
        <v>1.1999999999999999E-3</v>
      </c>
      <c r="BG745" s="1746" t="s">
        <v>2597</v>
      </c>
      <c r="BH745" s="1744">
        <f t="shared" si="84"/>
        <v>1.1999999999999999E-3</v>
      </c>
      <c r="BI745" s="1745">
        <f t="shared" si="81"/>
        <v>1.1999999999999999E-3</v>
      </c>
      <c r="BJ745" s="1740" t="str">
        <f t="shared" si="82"/>
        <v>piece</v>
      </c>
      <c r="BK745" s="1740" t="str">
        <f t="shared" si="83"/>
        <v>Medical equipment</v>
      </c>
    </row>
    <row r="746" spans="51:63" ht="15.65" customHeight="1">
      <c r="AY746" s="1746" t="s">
        <v>2593</v>
      </c>
      <c r="AZ746" s="1746">
        <v>2008</v>
      </c>
      <c r="BA746" s="1746" t="s">
        <v>4145</v>
      </c>
      <c r="BB746" s="1747" t="s">
        <v>4146</v>
      </c>
      <c r="BC746" s="1746">
        <v>1</v>
      </c>
      <c r="BD746" s="1746" t="s">
        <v>2933</v>
      </c>
      <c r="BE746" s="1746"/>
      <c r="BF746" s="1746">
        <v>4.6999999999999999E-4</v>
      </c>
      <c r="BG746" s="1746" t="s">
        <v>2597</v>
      </c>
      <c r="BH746" s="1744">
        <f t="shared" si="84"/>
        <v>4.6999999999999999E-4</v>
      </c>
      <c r="BI746" s="1745">
        <f t="shared" si="81"/>
        <v>4.6999999999999999E-4</v>
      </c>
      <c r="BJ746" s="1740" t="str">
        <f t="shared" si="82"/>
        <v>piece</v>
      </c>
      <c r="BK746" s="1740" t="str">
        <f t="shared" si="83"/>
        <v>Medical equipment</v>
      </c>
    </row>
    <row r="747" spans="51:63" ht="15.65" customHeight="1">
      <c r="AY747" s="1746" t="s">
        <v>2588</v>
      </c>
      <c r="AZ747" s="1746">
        <v>2006</v>
      </c>
      <c r="BA747" s="1746" t="s">
        <v>4147</v>
      </c>
      <c r="BB747" s="1747" t="s">
        <v>4148</v>
      </c>
      <c r="BC747" s="1746">
        <v>1</v>
      </c>
      <c r="BD747" s="1746" t="s">
        <v>2724</v>
      </c>
      <c r="BE747" s="1746"/>
      <c r="BF747" s="1746">
        <v>948.9</v>
      </c>
      <c r="BG747" s="1746" t="s">
        <v>2592</v>
      </c>
      <c r="BH747" s="1744">
        <f t="shared" si="84"/>
        <v>9.4890000000000003E-4</v>
      </c>
      <c r="BI747" s="1745">
        <f t="shared" si="81"/>
        <v>9.4890000000000003E-4</v>
      </c>
      <c r="BJ747" s="1740" t="str">
        <f t="shared" si="82"/>
        <v>pce</v>
      </c>
      <c r="BK747" s="1740" t="str">
        <f t="shared" si="83"/>
        <v>Roll of tape/gauze</v>
      </c>
    </row>
    <row r="748" spans="51:63" ht="15.65" customHeight="1">
      <c r="AY748" s="1746" t="s">
        <v>2593</v>
      </c>
      <c r="AZ748" s="1746">
        <v>2008</v>
      </c>
      <c r="BA748" s="1746" t="s">
        <v>4149</v>
      </c>
      <c r="BB748" s="1747" t="s">
        <v>4150</v>
      </c>
      <c r="BC748" s="1746">
        <v>100</v>
      </c>
      <c r="BD748" s="1746" t="s">
        <v>2727</v>
      </c>
      <c r="BE748" s="1746"/>
      <c r="BF748" s="1746">
        <v>2.0500000000000002E-3</v>
      </c>
      <c r="BG748" s="1746" t="s">
        <v>2597</v>
      </c>
      <c r="BH748" s="1744">
        <f t="shared" si="84"/>
        <v>2.0500000000000002E-3</v>
      </c>
      <c r="BI748" s="1745">
        <f t="shared" si="81"/>
        <v>2.05E-5</v>
      </c>
      <c r="BJ748" s="1740" t="str">
        <f t="shared" si="82"/>
        <v>ampoules</v>
      </c>
      <c r="BK748" s="1740" t="str">
        <f t="shared" si="83"/>
        <v>Injection Vial</v>
      </c>
    </row>
    <row r="749" spans="51:63" ht="15.65" customHeight="1">
      <c r="AY749" s="1746" t="s">
        <v>2588</v>
      </c>
      <c r="AZ749" s="1746">
        <v>2006</v>
      </c>
      <c r="BA749" s="1746" t="s">
        <v>4151</v>
      </c>
      <c r="BB749" s="1747" t="s">
        <v>4152</v>
      </c>
      <c r="BC749" s="1746">
        <v>100</v>
      </c>
      <c r="BD749" s="1746" t="s">
        <v>2790</v>
      </c>
      <c r="BE749" s="1746"/>
      <c r="BF749" s="1746">
        <v>1899.9</v>
      </c>
      <c r="BG749" s="1746" t="s">
        <v>2592</v>
      </c>
      <c r="BH749" s="1744">
        <f t="shared" si="84"/>
        <v>1.8999000000000002E-3</v>
      </c>
      <c r="BI749" s="1745">
        <f t="shared" si="81"/>
        <v>1.8999000000000002E-5</v>
      </c>
      <c r="BJ749" s="1740" t="str">
        <f t="shared" si="82"/>
        <v>amps</v>
      </c>
      <c r="BK749" s="1740" t="str">
        <f t="shared" si="83"/>
        <v>Injection Vial</v>
      </c>
    </row>
    <row r="750" spans="51:63" ht="15.65" customHeight="1">
      <c r="AY750" s="1746" t="s">
        <v>2593</v>
      </c>
      <c r="AZ750" s="1746">
        <v>2008</v>
      </c>
      <c r="BA750" s="1746" t="s">
        <v>4153</v>
      </c>
      <c r="BB750" s="1747" t="s">
        <v>4154</v>
      </c>
      <c r="BC750" s="1746">
        <v>1</v>
      </c>
      <c r="BD750" s="1746" t="s">
        <v>3187</v>
      </c>
      <c r="BE750" s="1746"/>
      <c r="BF750" s="1746">
        <v>2.0000000000000001E-4</v>
      </c>
      <c r="BG750" s="1746" t="s">
        <v>2597</v>
      </c>
      <c r="BH750" s="1744">
        <f t="shared" si="84"/>
        <v>2.0000000000000001E-4</v>
      </c>
      <c r="BI750" s="1745">
        <f t="shared" si="81"/>
        <v>2.0000000000000001E-4</v>
      </c>
      <c r="BJ750" s="1740" t="str">
        <f t="shared" si="82"/>
        <v>inhal</v>
      </c>
      <c r="BK750" s="1740" t="str">
        <f t="shared" si="83"/>
        <v>Aerosol Inhaler</v>
      </c>
    </row>
    <row r="751" spans="51:63" ht="15.65" customHeight="1">
      <c r="AY751" s="1746" t="s">
        <v>2588</v>
      </c>
      <c r="AZ751" s="1746">
        <v>2006</v>
      </c>
      <c r="BA751" s="1746" t="s">
        <v>4155</v>
      </c>
      <c r="BB751" s="1747" t="s">
        <v>4156</v>
      </c>
      <c r="BC751" s="1746">
        <v>1000</v>
      </c>
      <c r="BD751" s="1746" t="s">
        <v>2615</v>
      </c>
      <c r="BE751" s="1746"/>
      <c r="BF751" s="1746">
        <v>635.5</v>
      </c>
      <c r="BG751" s="1746" t="s">
        <v>2592</v>
      </c>
      <c r="BH751" s="1744">
        <f t="shared" si="84"/>
        <v>6.355E-4</v>
      </c>
      <c r="BI751" s="1745">
        <f t="shared" si="81"/>
        <v>6.3549999999999999E-7</v>
      </c>
      <c r="BJ751" s="1740" t="str">
        <f t="shared" si="82"/>
        <v>tabs</v>
      </c>
      <c r="BK751" s="1740" t="str">
        <f t="shared" si="83"/>
        <v>Bottle of Tablets</v>
      </c>
    </row>
    <row r="752" spans="51:63" ht="15.65" customHeight="1">
      <c r="AY752" s="1746" t="s">
        <v>2593</v>
      </c>
      <c r="AZ752" s="1746">
        <v>2008</v>
      </c>
      <c r="BA752" s="1746" t="s">
        <v>4157</v>
      </c>
      <c r="BB752" s="1747" t="s">
        <v>4158</v>
      </c>
      <c r="BC752" s="1750">
        <v>1000</v>
      </c>
      <c r="BD752" s="1746" t="s">
        <v>2601</v>
      </c>
      <c r="BE752" s="1746"/>
      <c r="BF752" s="1746">
        <v>3.6999999999999999E-4</v>
      </c>
      <c r="BG752" s="1746" t="s">
        <v>2597</v>
      </c>
      <c r="BH752" s="1744">
        <f t="shared" si="84"/>
        <v>3.6999999999999999E-4</v>
      </c>
      <c r="BI752" s="1745">
        <f t="shared" si="81"/>
        <v>3.7E-7</v>
      </c>
      <c r="BJ752" s="1740" t="str">
        <f t="shared" si="82"/>
        <v>tablets</v>
      </c>
      <c r="BK752" s="1740" t="str">
        <f t="shared" si="83"/>
        <v>Bottle of Tablets</v>
      </c>
    </row>
    <row r="753" spans="51:63" ht="15.65" customHeight="1">
      <c r="AY753" s="1746" t="s">
        <v>2593</v>
      </c>
      <c r="AZ753" s="1746">
        <v>2008</v>
      </c>
      <c r="BA753" s="1746" t="s">
        <v>4159</v>
      </c>
      <c r="BB753" s="1747" t="s">
        <v>4160</v>
      </c>
      <c r="BC753" s="1746">
        <v>1</v>
      </c>
      <c r="BD753" s="1746" t="s">
        <v>2596</v>
      </c>
      <c r="BE753" s="1746"/>
      <c r="BF753" s="1746">
        <v>3.8999999999999999E-4</v>
      </c>
      <c r="BG753" s="1746" t="s">
        <v>2597</v>
      </c>
      <c r="BH753" s="1744">
        <f t="shared" si="84"/>
        <v>3.8999999999999999E-4</v>
      </c>
      <c r="BI753" s="1745">
        <f t="shared" si="81"/>
        <v>3.8999999999999999E-4</v>
      </c>
      <c r="BJ753" s="1740" t="str">
        <f t="shared" si="82"/>
        <v>bottle</v>
      </c>
      <c r="BK753" s="1740" t="str">
        <f t="shared" si="83"/>
        <v>Bottle of Liquid</v>
      </c>
    </row>
    <row r="754" spans="51:63" ht="15.65" customHeight="1">
      <c r="AY754" s="1746" t="s">
        <v>2588</v>
      </c>
      <c r="AZ754" s="1746">
        <v>2006</v>
      </c>
      <c r="BA754" s="1746" t="s">
        <v>4161</v>
      </c>
      <c r="BB754" s="1747" t="s">
        <v>4162</v>
      </c>
      <c r="BC754" s="1746">
        <v>25</v>
      </c>
      <c r="BD754" s="1746" t="s">
        <v>2836</v>
      </c>
      <c r="BE754" s="1746"/>
      <c r="BF754" s="1746">
        <v>11115</v>
      </c>
      <c r="BG754" s="1746" t="s">
        <v>2592</v>
      </c>
      <c r="BH754" s="1744">
        <f t="shared" si="84"/>
        <v>1.1115E-2</v>
      </c>
      <c r="BI754" s="1745">
        <f t="shared" si="81"/>
        <v>4.4460000000000002E-4</v>
      </c>
      <c r="BJ754" s="1740" t="str">
        <f t="shared" si="82"/>
        <v>btls</v>
      </c>
      <c r="BK754" s="1740" t="str">
        <f t="shared" si="83"/>
        <v>Bottle of Liquid</v>
      </c>
    </row>
    <row r="755" spans="51:63" ht="15.65" customHeight="1">
      <c r="AY755" s="1746" t="s">
        <v>2588</v>
      </c>
      <c r="AZ755" s="1746">
        <v>2006</v>
      </c>
      <c r="BA755" s="1746" t="s">
        <v>4163</v>
      </c>
      <c r="BB755" s="1747" t="s">
        <v>4164</v>
      </c>
      <c r="BC755" s="1746">
        <v>1000</v>
      </c>
      <c r="BD755" s="1746" t="s">
        <v>2615</v>
      </c>
      <c r="BE755" s="1746"/>
      <c r="BF755" s="1746">
        <v>636.9</v>
      </c>
      <c r="BG755" s="1746" t="s">
        <v>2592</v>
      </c>
      <c r="BH755" s="1744">
        <f t="shared" si="84"/>
        <v>6.3690000000000003E-4</v>
      </c>
      <c r="BI755" s="1745">
        <f t="shared" si="81"/>
        <v>6.3689999999999999E-7</v>
      </c>
      <c r="BJ755" s="1740" t="str">
        <f t="shared" si="82"/>
        <v>tabs</v>
      </c>
      <c r="BK755" s="1740" t="str">
        <f t="shared" si="83"/>
        <v>Bottle of Tablets</v>
      </c>
    </row>
    <row r="756" spans="51:63" ht="15.65" customHeight="1">
      <c r="AY756" s="1746" t="s">
        <v>2593</v>
      </c>
      <c r="AZ756" s="1746">
        <v>2008</v>
      </c>
      <c r="BA756" s="1746" t="s">
        <v>4165</v>
      </c>
      <c r="BB756" s="1747" t="s">
        <v>4166</v>
      </c>
      <c r="BC756" s="1750">
        <v>1000</v>
      </c>
      <c r="BD756" s="1746" t="s">
        <v>2601</v>
      </c>
      <c r="BE756" s="1746"/>
      <c r="BF756" s="1746">
        <v>7.2999999999999996E-4</v>
      </c>
      <c r="BG756" s="1746" t="s">
        <v>2597</v>
      </c>
      <c r="BH756" s="1744">
        <f t="shared" si="84"/>
        <v>7.2999999999999996E-4</v>
      </c>
      <c r="BI756" s="1745">
        <f t="shared" si="81"/>
        <v>7.3E-7</v>
      </c>
      <c r="BJ756" s="1740" t="str">
        <f t="shared" si="82"/>
        <v>tablets</v>
      </c>
      <c r="BK756" s="1740" t="str">
        <f t="shared" si="83"/>
        <v>Bottle of Tablets</v>
      </c>
    </row>
    <row r="757" spans="51:63" ht="15.65" customHeight="1">
      <c r="AY757" s="1746" t="s">
        <v>2593</v>
      </c>
      <c r="AZ757" s="1746">
        <v>2008</v>
      </c>
      <c r="BA757" s="1746" t="s">
        <v>4167</v>
      </c>
      <c r="BB757" s="1747" t="s">
        <v>4166</v>
      </c>
      <c r="BC757" s="1750">
        <v>1000</v>
      </c>
      <c r="BD757" s="1746" t="s">
        <v>2601</v>
      </c>
      <c r="BE757" s="1746"/>
      <c r="BF757" s="1746">
        <v>8.1999999999999998E-4</v>
      </c>
      <c r="BG757" s="1746" t="s">
        <v>2597</v>
      </c>
      <c r="BH757" s="1744">
        <f t="shared" si="84"/>
        <v>8.1999999999999998E-4</v>
      </c>
      <c r="BI757" s="1745">
        <f t="shared" si="81"/>
        <v>8.1999999999999998E-7</v>
      </c>
      <c r="BJ757" s="1740" t="str">
        <f t="shared" si="82"/>
        <v>tablets</v>
      </c>
      <c r="BK757" s="1740" t="str">
        <f t="shared" si="83"/>
        <v>Bottle of Tablets</v>
      </c>
    </row>
    <row r="758" spans="51:63" ht="15.65" customHeight="1">
      <c r="AY758" s="1746" t="s">
        <v>2575</v>
      </c>
      <c r="AZ758" s="1746">
        <v>2008</v>
      </c>
      <c r="BA758" s="1746" t="s">
        <v>4168</v>
      </c>
      <c r="BB758" s="1747" t="s">
        <v>4169</v>
      </c>
      <c r="BC758" s="1746" t="s">
        <v>2578</v>
      </c>
      <c r="BD758" s="1746" t="s">
        <v>2638</v>
      </c>
      <c r="BE758" s="1746" t="s">
        <v>3182</v>
      </c>
      <c r="BF758" s="1746">
        <v>0.22800000000000001</v>
      </c>
      <c r="BG758" s="1746" t="s">
        <v>2581</v>
      </c>
      <c r="BH758" s="1744">
        <f t="shared" si="84"/>
        <v>2.2800000000000001E-4</v>
      </c>
      <c r="BI758" s="1745" t="str">
        <f t="shared" si="81"/>
        <v/>
      </c>
      <c r="BJ758" s="1740" t="str">
        <f t="shared" si="82"/>
        <v>PAC-Respiratory drugs</v>
      </c>
      <c r="BK758" s="1740" t="str">
        <f t="shared" si="83"/>
        <v>Bottle of Tablets</v>
      </c>
    </row>
    <row r="759" spans="51:63" ht="15.65" customHeight="1">
      <c r="AY759" s="1746" t="s">
        <v>2575</v>
      </c>
      <c r="AZ759" s="1746">
        <v>2008</v>
      </c>
      <c r="BA759" s="1746" t="s">
        <v>4170</v>
      </c>
      <c r="BB759" s="1747" t="s">
        <v>4171</v>
      </c>
      <c r="BC759" s="1746" t="s">
        <v>2578</v>
      </c>
      <c r="BD759" s="1746" t="s">
        <v>2579</v>
      </c>
      <c r="BE759" s="1746" t="s">
        <v>3182</v>
      </c>
      <c r="BF759" s="1746">
        <v>0.28799999999999998</v>
      </c>
      <c r="BG759" s="1746" t="s">
        <v>2581</v>
      </c>
      <c r="BH759" s="1744">
        <f t="shared" si="84"/>
        <v>2.8799999999999995E-4</v>
      </c>
      <c r="BI759" s="1745" t="str">
        <f t="shared" si="81"/>
        <v/>
      </c>
      <c r="BJ759" s="1740" t="str">
        <f t="shared" si="82"/>
        <v>EA-Respiratory drugs</v>
      </c>
      <c r="BK759" s="1740" t="str">
        <f t="shared" si="83"/>
        <v>Aerosol Inhaler</v>
      </c>
    </row>
    <row r="760" spans="51:63" ht="15.65" customHeight="1">
      <c r="AY760" s="1746" t="s">
        <v>2588</v>
      </c>
      <c r="AZ760" s="1746">
        <v>2006</v>
      </c>
      <c r="BA760" s="1746" t="s">
        <v>4172</v>
      </c>
      <c r="BB760" s="1747" t="s">
        <v>4173</v>
      </c>
      <c r="BC760" s="1746">
        <v>1</v>
      </c>
      <c r="BD760" s="1746" t="s">
        <v>2724</v>
      </c>
      <c r="BE760" s="1746"/>
      <c r="BF760" s="1746">
        <v>239.9</v>
      </c>
      <c r="BG760" s="1746" t="s">
        <v>2592</v>
      </c>
      <c r="BH760" s="1744">
        <f t="shared" si="84"/>
        <v>2.399E-4</v>
      </c>
      <c r="BI760" s="1745">
        <f t="shared" si="81"/>
        <v>2.399E-4</v>
      </c>
      <c r="BJ760" s="1740" t="str">
        <f t="shared" si="82"/>
        <v>pce</v>
      </c>
      <c r="BK760" s="1740" t="str">
        <f t="shared" si="83"/>
        <v>Roll of tape/gauze</v>
      </c>
    </row>
    <row r="761" spans="51:63" ht="15.65" customHeight="1">
      <c r="AY761" s="1746" t="s">
        <v>2588</v>
      </c>
      <c r="AZ761" s="1746">
        <v>2006</v>
      </c>
      <c r="BA761" s="1746" t="s">
        <v>4174</v>
      </c>
      <c r="BB761" s="1747" t="s">
        <v>4175</v>
      </c>
      <c r="BC761" s="1746">
        <v>1</v>
      </c>
      <c r="BD761" s="1746" t="s">
        <v>2724</v>
      </c>
      <c r="BE761" s="1746"/>
      <c r="BF761" s="1746">
        <v>231.34</v>
      </c>
      <c r="BG761" s="1746" t="s">
        <v>2592</v>
      </c>
      <c r="BH761" s="1744">
        <f t="shared" si="84"/>
        <v>2.3133999999999999E-4</v>
      </c>
      <c r="BI761" s="1745">
        <f t="shared" si="81"/>
        <v>2.3133999999999999E-4</v>
      </c>
      <c r="BJ761" s="1740" t="str">
        <f t="shared" si="82"/>
        <v>pce</v>
      </c>
      <c r="BK761" s="1740" t="str">
        <f t="shared" si="83"/>
        <v>Roll of tape/gauze</v>
      </c>
    </row>
    <row r="762" spans="51:63" ht="15.65" customHeight="1">
      <c r="AY762" s="1746" t="s">
        <v>2575</v>
      </c>
      <c r="AZ762" s="1746">
        <v>2008</v>
      </c>
      <c r="BA762" s="1746" t="s">
        <v>4176</v>
      </c>
      <c r="BB762" s="1747" t="s">
        <v>4177</v>
      </c>
      <c r="BC762" s="1746" t="s">
        <v>2578</v>
      </c>
      <c r="BD762" s="1746" t="s">
        <v>2775</v>
      </c>
      <c r="BE762" s="1746" t="s">
        <v>3182</v>
      </c>
      <c r="BF762" s="1746">
        <v>0.52</v>
      </c>
      <c r="BG762" s="1746" t="s">
        <v>2581</v>
      </c>
      <c r="BH762" s="1744">
        <f t="shared" si="84"/>
        <v>5.2000000000000006E-4</v>
      </c>
      <c r="BI762" s="1745" t="str">
        <f t="shared" si="81"/>
        <v/>
      </c>
      <c r="BJ762" s="1740" t="str">
        <f t="shared" si="82"/>
        <v>BOT-Respiratory drugs</v>
      </c>
      <c r="BK762" s="1740" t="str">
        <f t="shared" si="83"/>
        <v>Bottle of Liquid</v>
      </c>
    </row>
    <row r="763" spans="51:63" ht="15.65" customHeight="1">
      <c r="AY763" s="1746" t="s">
        <v>2575</v>
      </c>
      <c r="AZ763" s="1746">
        <v>2008</v>
      </c>
      <c r="BA763" s="1746" t="s">
        <v>4178</v>
      </c>
      <c r="BB763" s="1747" t="s">
        <v>4179</v>
      </c>
      <c r="BC763" s="1746" t="s">
        <v>2578</v>
      </c>
      <c r="BD763" s="1746" t="s">
        <v>2579</v>
      </c>
      <c r="BE763" s="1746" t="s">
        <v>2580</v>
      </c>
      <c r="BF763" s="1746">
        <v>0.96599999999999997</v>
      </c>
      <c r="BG763" s="1746" t="s">
        <v>2581</v>
      </c>
      <c r="BH763" s="1744">
        <f t="shared" si="84"/>
        <v>9.6599999999999995E-4</v>
      </c>
      <c r="BI763" s="1745" t="str">
        <f t="shared" si="81"/>
        <v/>
      </c>
      <c r="BJ763" s="1740" t="str">
        <f t="shared" si="82"/>
        <v>EA-Antiretrovirals</v>
      </c>
      <c r="BK763" s="1740" t="str">
        <f t="shared" si="83"/>
        <v>Bottle of Tablets</v>
      </c>
    </row>
    <row r="764" spans="51:63" ht="15.65" customHeight="1">
      <c r="AY764" s="1746" t="s">
        <v>2593</v>
      </c>
      <c r="AZ764" s="1746">
        <v>2008</v>
      </c>
      <c r="BA764" s="1746" t="s">
        <v>4180</v>
      </c>
      <c r="BB764" s="1747" t="s">
        <v>4181</v>
      </c>
      <c r="BC764" s="1746">
        <v>270</v>
      </c>
      <c r="BD764" s="1746" t="s">
        <v>2864</v>
      </c>
      <c r="BE764" s="1746"/>
      <c r="BF764" s="1746">
        <v>1.2600000000000001E-3</v>
      </c>
      <c r="BG764" s="1746" t="s">
        <v>2597</v>
      </c>
      <c r="BH764" s="1744">
        <f t="shared" si="84"/>
        <v>1.2600000000000001E-3</v>
      </c>
      <c r="BI764" s="1745">
        <f t="shared" si="81"/>
        <v>4.6666666666666672E-6</v>
      </c>
      <c r="BJ764" s="1740" t="str">
        <f t="shared" si="82"/>
        <v>capsules</v>
      </c>
      <c r="BK764" s="1740" t="str">
        <f t="shared" si="83"/>
        <v>Bottle of Tablets</v>
      </c>
    </row>
    <row r="765" spans="51:63" ht="15.65" customHeight="1">
      <c r="AY765" s="1746" t="s">
        <v>2575</v>
      </c>
      <c r="AZ765" s="1746">
        <v>2008</v>
      </c>
      <c r="BA765" s="1746" t="s">
        <v>4182</v>
      </c>
      <c r="BB765" s="1747" t="s">
        <v>4183</v>
      </c>
      <c r="BC765" s="1746" t="s">
        <v>2578</v>
      </c>
      <c r="BD765" s="1746" t="s">
        <v>2579</v>
      </c>
      <c r="BE765" s="1746" t="s">
        <v>2580</v>
      </c>
      <c r="BF765" s="1746">
        <v>0.309</v>
      </c>
      <c r="BG765" s="1746" t="s">
        <v>2581</v>
      </c>
      <c r="BH765" s="1744">
        <f t="shared" si="84"/>
        <v>3.0899999999999998E-4</v>
      </c>
      <c r="BI765" s="1745" t="str">
        <f t="shared" si="81"/>
        <v/>
      </c>
      <c r="BJ765" s="1740" t="str">
        <f t="shared" si="82"/>
        <v>EA-Antiretrovirals</v>
      </c>
      <c r="BK765" s="1740" t="str">
        <f t="shared" si="83"/>
        <v>Bottle of Tablets</v>
      </c>
    </row>
    <row r="766" spans="51:63" ht="15.65" customHeight="1">
      <c r="AY766" s="1746" t="s">
        <v>2588</v>
      </c>
      <c r="AZ766" s="1746">
        <v>2006</v>
      </c>
      <c r="BA766" s="1746" t="s">
        <v>4184</v>
      </c>
      <c r="BB766" s="1747" t="s">
        <v>4185</v>
      </c>
      <c r="BC766" s="1746">
        <v>1</v>
      </c>
      <c r="BD766" s="1746" t="s">
        <v>2724</v>
      </c>
      <c r="BE766" s="1746"/>
      <c r="BF766" s="1746">
        <v>43719</v>
      </c>
      <c r="BG766" s="1746" t="s">
        <v>2592</v>
      </c>
      <c r="BH766" s="1744">
        <f t="shared" si="84"/>
        <v>4.3719000000000001E-2</v>
      </c>
      <c r="BI766" s="1745">
        <f t="shared" si="81"/>
        <v>4.3719000000000001E-2</v>
      </c>
      <c r="BJ766" s="1740" t="str">
        <f t="shared" si="82"/>
        <v>pce</v>
      </c>
      <c r="BK766" s="1740" t="str">
        <f t="shared" si="83"/>
        <v>Roll of tape/gauze</v>
      </c>
    </row>
    <row r="767" spans="51:63" ht="15.65" customHeight="1">
      <c r="AY767" s="1746" t="s">
        <v>2588</v>
      </c>
      <c r="AZ767" s="1746">
        <v>2006</v>
      </c>
      <c r="BA767" s="1746" t="s">
        <v>4186</v>
      </c>
      <c r="BB767" s="1747" t="s">
        <v>4187</v>
      </c>
      <c r="BC767" s="1746">
        <v>1</v>
      </c>
      <c r="BD767" s="1746" t="s">
        <v>2724</v>
      </c>
      <c r="BE767" s="1746"/>
      <c r="BF767" s="1746">
        <v>8481.6</v>
      </c>
      <c r="BG767" s="1746" t="s">
        <v>2592</v>
      </c>
      <c r="BH767" s="1744">
        <f t="shared" si="84"/>
        <v>8.4816000000000006E-3</v>
      </c>
      <c r="BI767" s="1745">
        <f t="shared" si="81"/>
        <v>8.4816000000000006E-3</v>
      </c>
      <c r="BJ767" s="1740" t="str">
        <f t="shared" si="82"/>
        <v>pce</v>
      </c>
      <c r="BK767" s="1740" t="str">
        <f t="shared" si="83"/>
        <v>Roll of tape/gauze</v>
      </c>
    </row>
    <row r="768" spans="51:63" ht="15.65" customHeight="1">
      <c r="AY768" s="1746" t="s">
        <v>2593</v>
      </c>
      <c r="AZ768" s="1746">
        <v>2008</v>
      </c>
      <c r="BA768" s="1746" t="s">
        <v>4188</v>
      </c>
      <c r="BB768" s="1747" t="s">
        <v>4189</v>
      </c>
      <c r="BC768" s="1746">
        <v>1</v>
      </c>
      <c r="BD768" s="1746" t="s">
        <v>2933</v>
      </c>
      <c r="BE768" s="1746"/>
      <c r="BF768" s="1746">
        <v>3.81E-3</v>
      </c>
      <c r="BG768" s="1746" t="s">
        <v>2597</v>
      </c>
      <c r="BH768" s="1744">
        <f t="shared" si="84"/>
        <v>3.81E-3</v>
      </c>
      <c r="BI768" s="1745">
        <f t="shared" si="81"/>
        <v>3.81E-3</v>
      </c>
      <c r="BJ768" s="1740" t="str">
        <f t="shared" si="82"/>
        <v>piece</v>
      </c>
      <c r="BK768" s="1740" t="str">
        <f t="shared" si="83"/>
        <v>Medical equipment</v>
      </c>
    </row>
    <row r="769" spans="51:63" ht="15.65" customHeight="1">
      <c r="AY769" s="1746" t="s">
        <v>2593</v>
      </c>
      <c r="AZ769" s="1746">
        <v>2008</v>
      </c>
      <c r="BA769" s="1746" t="s">
        <v>4190</v>
      </c>
      <c r="BB769" s="1747" t="s">
        <v>4191</v>
      </c>
      <c r="BC769" s="1746">
        <v>1</v>
      </c>
      <c r="BD769" s="1746" t="s">
        <v>2933</v>
      </c>
      <c r="BE769" s="1746"/>
      <c r="BF769" s="1746">
        <v>4.7800000000000004E-3</v>
      </c>
      <c r="BG769" s="1746" t="s">
        <v>2597</v>
      </c>
      <c r="BH769" s="1744">
        <f t="shared" si="84"/>
        <v>4.7800000000000004E-3</v>
      </c>
      <c r="BI769" s="1745">
        <f t="shared" si="81"/>
        <v>4.7800000000000004E-3</v>
      </c>
      <c r="BJ769" s="1740" t="str">
        <f t="shared" si="82"/>
        <v>piece</v>
      </c>
      <c r="BK769" s="1740" t="str">
        <f t="shared" si="83"/>
        <v>Medical equipment</v>
      </c>
    </row>
    <row r="770" spans="51:63" ht="15.65" customHeight="1">
      <c r="AY770" s="1746" t="s">
        <v>2593</v>
      </c>
      <c r="AZ770" s="1746">
        <v>2008</v>
      </c>
      <c r="BA770" s="1746" t="s">
        <v>4192</v>
      </c>
      <c r="BB770" s="1747" t="s">
        <v>4193</v>
      </c>
      <c r="BC770" s="1746">
        <v>1</v>
      </c>
      <c r="BD770" s="1746" t="s">
        <v>2933</v>
      </c>
      <c r="BE770" s="1746"/>
      <c r="BF770" s="1746">
        <v>3.8000000000000002E-4</v>
      </c>
      <c r="BG770" s="1746" t="s">
        <v>2597</v>
      </c>
      <c r="BH770" s="1744">
        <f t="shared" si="84"/>
        <v>3.8000000000000002E-4</v>
      </c>
      <c r="BI770" s="1745">
        <f t="shared" si="81"/>
        <v>3.8000000000000002E-4</v>
      </c>
      <c r="BJ770" s="1740" t="str">
        <f t="shared" si="82"/>
        <v>piece</v>
      </c>
      <c r="BK770" s="1740" t="str">
        <f t="shared" si="83"/>
        <v>Medical equipment</v>
      </c>
    </row>
    <row r="771" spans="51:63" ht="15.65" customHeight="1">
      <c r="AY771" s="1746" t="s">
        <v>2593</v>
      </c>
      <c r="AZ771" s="1746">
        <v>2008</v>
      </c>
      <c r="BA771" s="1746" t="s">
        <v>4194</v>
      </c>
      <c r="BB771" s="1747" t="s">
        <v>4195</v>
      </c>
      <c r="BC771" s="1746">
        <v>1</v>
      </c>
      <c r="BD771" s="1746" t="s">
        <v>2933</v>
      </c>
      <c r="BE771" s="1746"/>
      <c r="BF771" s="1746">
        <v>4.6299999999999996E-3</v>
      </c>
      <c r="BG771" s="1746" t="s">
        <v>2597</v>
      </c>
      <c r="BH771" s="1744">
        <f t="shared" si="84"/>
        <v>4.6299999999999996E-3</v>
      </c>
      <c r="BI771" s="1745">
        <f t="shared" si="81"/>
        <v>4.6299999999999996E-3</v>
      </c>
      <c r="BJ771" s="1740" t="str">
        <f t="shared" si="82"/>
        <v>piece</v>
      </c>
      <c r="BK771" s="1740" t="str">
        <f t="shared" si="83"/>
        <v>Medical equipment</v>
      </c>
    </row>
    <row r="772" spans="51:63" ht="15.65" customHeight="1">
      <c r="AY772" s="1746" t="s">
        <v>2588</v>
      </c>
      <c r="AZ772" s="1746">
        <v>2006</v>
      </c>
      <c r="BA772" s="1746" t="s">
        <v>4196</v>
      </c>
      <c r="BB772" s="1747" t="s">
        <v>4197</v>
      </c>
      <c r="BC772" s="1746">
        <v>1</v>
      </c>
      <c r="BD772" s="1746" t="s">
        <v>2724</v>
      </c>
      <c r="BE772" s="1746"/>
      <c r="BF772" s="1746">
        <v>10130</v>
      </c>
      <c r="BG772" s="1746" t="s">
        <v>2592</v>
      </c>
      <c r="BH772" s="1744">
        <f t="shared" si="84"/>
        <v>1.013E-2</v>
      </c>
      <c r="BI772" s="1745">
        <f t="shared" si="81"/>
        <v>1.013E-2</v>
      </c>
      <c r="BJ772" s="1740" t="str">
        <f t="shared" si="82"/>
        <v>pce</v>
      </c>
      <c r="BK772" s="1740" t="str">
        <f t="shared" si="83"/>
        <v>Roll of tape/gauze</v>
      </c>
    </row>
    <row r="773" spans="51:63" ht="15.65" customHeight="1">
      <c r="AY773" s="1746" t="s">
        <v>2588</v>
      </c>
      <c r="AZ773" s="1746">
        <v>2006</v>
      </c>
      <c r="BA773" s="1746" t="s">
        <v>4198</v>
      </c>
      <c r="BB773" s="1747" t="s">
        <v>4199</v>
      </c>
      <c r="BC773" s="1746">
        <v>1</v>
      </c>
      <c r="BD773" s="1746" t="s">
        <v>2724</v>
      </c>
      <c r="BE773" s="1746"/>
      <c r="BF773" s="1746">
        <v>5741</v>
      </c>
      <c r="BG773" s="1746" t="s">
        <v>2592</v>
      </c>
      <c r="BH773" s="1744">
        <f t="shared" si="84"/>
        <v>5.7409999999999996E-3</v>
      </c>
      <c r="BI773" s="1745">
        <f t="shared" si="81"/>
        <v>5.7409999999999996E-3</v>
      </c>
      <c r="BJ773" s="1740" t="str">
        <f t="shared" si="82"/>
        <v>pce</v>
      </c>
      <c r="BK773" s="1740" t="str">
        <f t="shared" si="83"/>
        <v>Roll of tape/gauze</v>
      </c>
    </row>
    <row r="774" spans="51:63" ht="15.65" customHeight="1">
      <c r="AY774" s="1746" t="s">
        <v>2588</v>
      </c>
      <c r="AZ774" s="1746">
        <v>2006</v>
      </c>
      <c r="BA774" s="1746" t="s">
        <v>4200</v>
      </c>
      <c r="BB774" s="1747" t="s">
        <v>4201</v>
      </c>
      <c r="BC774" s="1746">
        <v>100</v>
      </c>
      <c r="BD774" s="1746" t="s">
        <v>2927</v>
      </c>
      <c r="BE774" s="1746"/>
      <c r="BF774" s="1746">
        <v>3780</v>
      </c>
      <c r="BG774" s="1746" t="s">
        <v>2592</v>
      </c>
      <c r="BH774" s="1744">
        <f t="shared" si="84"/>
        <v>3.7799999999999999E-3</v>
      </c>
      <c r="BI774" s="1745">
        <f t="shared" si="81"/>
        <v>3.7799999999999997E-5</v>
      </c>
      <c r="BJ774" s="1740" t="str">
        <f t="shared" si="82"/>
        <v>pcs</v>
      </c>
      <c r="BK774" s="1740" t="str">
        <f t="shared" si="83"/>
        <v>Medical equipment</v>
      </c>
    </row>
    <row r="775" spans="51:63" ht="15.65" customHeight="1">
      <c r="AY775" s="1746" t="s">
        <v>2588</v>
      </c>
      <c r="AZ775" s="1746">
        <v>2006</v>
      </c>
      <c r="BA775" s="1746" t="s">
        <v>4202</v>
      </c>
      <c r="BB775" s="1747" t="s">
        <v>4203</v>
      </c>
      <c r="BC775" s="1746">
        <v>100</v>
      </c>
      <c r="BD775" s="1746" t="s">
        <v>2927</v>
      </c>
      <c r="BE775" s="1746"/>
      <c r="BF775" s="1746">
        <v>3840</v>
      </c>
      <c r="BG775" s="1746" t="s">
        <v>2592</v>
      </c>
      <c r="BH775" s="1744">
        <f t="shared" si="84"/>
        <v>3.8400000000000001E-3</v>
      </c>
      <c r="BI775" s="1745">
        <f t="shared" si="81"/>
        <v>3.8399999999999998E-5</v>
      </c>
      <c r="BJ775" s="1740" t="str">
        <f t="shared" si="82"/>
        <v>pcs</v>
      </c>
      <c r="BK775" s="1740" t="str">
        <f t="shared" si="83"/>
        <v>Medical equipment</v>
      </c>
    </row>
    <row r="776" spans="51:63" ht="15.65" customHeight="1">
      <c r="AY776" s="1746" t="s">
        <v>2588</v>
      </c>
      <c r="AZ776" s="1746">
        <v>2006</v>
      </c>
      <c r="BA776" s="1746" t="s">
        <v>4204</v>
      </c>
      <c r="BB776" s="1747" t="s">
        <v>4205</v>
      </c>
      <c r="BC776" s="1746">
        <v>100</v>
      </c>
      <c r="BD776" s="1746" t="s">
        <v>2927</v>
      </c>
      <c r="BE776" s="1746"/>
      <c r="BF776" s="1746">
        <v>3880</v>
      </c>
      <c r="BG776" s="1746" t="s">
        <v>2592</v>
      </c>
      <c r="BH776" s="1744">
        <f t="shared" si="84"/>
        <v>3.8800000000000002E-3</v>
      </c>
      <c r="BI776" s="1745">
        <f t="shared" si="81"/>
        <v>3.8800000000000001E-5</v>
      </c>
      <c r="BJ776" s="1740" t="str">
        <f t="shared" si="82"/>
        <v>pcs</v>
      </c>
      <c r="BK776" s="1740" t="str">
        <f t="shared" si="83"/>
        <v>Medical equipment</v>
      </c>
    </row>
    <row r="777" spans="51:63" ht="15.65" customHeight="1">
      <c r="AY777" s="1746" t="s">
        <v>2588</v>
      </c>
      <c r="AZ777" s="1746">
        <v>2006</v>
      </c>
      <c r="BA777" s="1746" t="s">
        <v>4206</v>
      </c>
      <c r="BB777" s="1747" t="s">
        <v>4207</v>
      </c>
      <c r="BC777" s="1746">
        <v>100</v>
      </c>
      <c r="BD777" s="1746" t="s">
        <v>2927</v>
      </c>
      <c r="BE777" s="1746"/>
      <c r="BF777" s="1746">
        <v>3780</v>
      </c>
      <c r="BG777" s="1746" t="s">
        <v>2592</v>
      </c>
      <c r="BH777" s="1744">
        <f t="shared" si="84"/>
        <v>3.7799999999999999E-3</v>
      </c>
      <c r="BI777" s="1745">
        <f t="shared" si="81"/>
        <v>3.7799999999999997E-5</v>
      </c>
      <c r="BJ777" s="1740" t="str">
        <f t="shared" si="82"/>
        <v>pcs</v>
      </c>
      <c r="BK777" s="1740" t="str">
        <f t="shared" si="83"/>
        <v>Medical equipment</v>
      </c>
    </row>
    <row r="778" spans="51:63" ht="15.65" customHeight="1">
      <c r="AY778" s="1746" t="s">
        <v>2593</v>
      </c>
      <c r="AZ778" s="1746">
        <v>2008</v>
      </c>
      <c r="BA778" s="1746" t="s">
        <v>4208</v>
      </c>
      <c r="BB778" s="1747" t="s">
        <v>4209</v>
      </c>
      <c r="BC778" s="1746">
        <v>100</v>
      </c>
      <c r="BD778" s="1746" t="s">
        <v>2930</v>
      </c>
      <c r="BE778" s="1746"/>
      <c r="BF778" s="1746">
        <v>2.5999999999999999E-3</v>
      </c>
      <c r="BG778" s="1746" t="s">
        <v>2597</v>
      </c>
      <c r="BH778" s="1744">
        <f t="shared" si="84"/>
        <v>2.5999999999999999E-3</v>
      </c>
      <c r="BI778" s="1745">
        <f t="shared" si="81"/>
        <v>2.5999999999999998E-5</v>
      </c>
      <c r="BJ778" s="1740" t="str">
        <f t="shared" si="82"/>
        <v>pieces</v>
      </c>
      <c r="BK778" s="1740" t="str">
        <f t="shared" si="83"/>
        <v>Medical equipment</v>
      </c>
    </row>
    <row r="779" spans="51:63" ht="15.65" customHeight="1">
      <c r="AY779" s="1746" t="s">
        <v>2593</v>
      </c>
      <c r="AZ779" s="1746">
        <v>2008</v>
      </c>
      <c r="BA779" s="1746" t="s">
        <v>4210</v>
      </c>
      <c r="BB779" s="1747" t="s">
        <v>4211</v>
      </c>
      <c r="BC779" s="1746">
        <v>100</v>
      </c>
      <c r="BD779" s="1746" t="s">
        <v>2930</v>
      </c>
      <c r="BE779" s="1746"/>
      <c r="BF779" s="1746">
        <v>3.0200000000000001E-3</v>
      </c>
      <c r="BG779" s="1746" t="s">
        <v>2597</v>
      </c>
      <c r="BH779" s="1744">
        <f t="shared" si="84"/>
        <v>3.0200000000000001E-3</v>
      </c>
      <c r="BI779" s="1745">
        <f t="shared" si="81"/>
        <v>3.0200000000000002E-5</v>
      </c>
      <c r="BJ779" s="1740" t="str">
        <f t="shared" si="82"/>
        <v>pieces</v>
      </c>
      <c r="BK779" s="1740" t="str">
        <f t="shared" si="83"/>
        <v>Medical equipment</v>
      </c>
    </row>
    <row r="780" spans="51:63" ht="15.65" customHeight="1">
      <c r="AY780" s="1746" t="s">
        <v>2593</v>
      </c>
      <c r="AZ780" s="1746">
        <v>2008</v>
      </c>
      <c r="BA780" s="1746" t="s">
        <v>4212</v>
      </c>
      <c r="BB780" s="1747" t="s">
        <v>4213</v>
      </c>
      <c r="BC780" s="1746">
        <v>100</v>
      </c>
      <c r="BD780" s="1746" t="s">
        <v>2930</v>
      </c>
      <c r="BE780" s="1746"/>
      <c r="BF780" s="1746">
        <v>2.82E-3</v>
      </c>
      <c r="BG780" s="1746" t="s">
        <v>2597</v>
      </c>
      <c r="BH780" s="1744">
        <f t="shared" si="84"/>
        <v>2.82E-3</v>
      </c>
      <c r="BI780" s="1745">
        <f t="shared" si="81"/>
        <v>2.8200000000000001E-5</v>
      </c>
      <c r="BJ780" s="1740" t="str">
        <f t="shared" si="82"/>
        <v>pieces</v>
      </c>
      <c r="BK780" s="1740" t="str">
        <f t="shared" si="83"/>
        <v>Medical equipment</v>
      </c>
    </row>
    <row r="781" spans="51:63" ht="15.65" customHeight="1">
      <c r="AY781" s="1746" t="s">
        <v>2593</v>
      </c>
      <c r="AZ781" s="1746">
        <v>2008</v>
      </c>
      <c r="BA781" s="1746" t="s">
        <v>4214</v>
      </c>
      <c r="BB781" s="1747" t="s">
        <v>4215</v>
      </c>
      <c r="BC781" s="1746">
        <v>100</v>
      </c>
      <c r="BD781" s="1746" t="s">
        <v>2930</v>
      </c>
      <c r="BE781" s="1746"/>
      <c r="BF781" s="1746">
        <v>2.7899999999999999E-3</v>
      </c>
      <c r="BG781" s="1746" t="s">
        <v>2597</v>
      </c>
      <c r="BH781" s="1744">
        <f t="shared" si="84"/>
        <v>2.7899999999999999E-3</v>
      </c>
      <c r="BI781" s="1745">
        <f t="shared" si="81"/>
        <v>2.7900000000000001E-5</v>
      </c>
      <c r="BJ781" s="1740" t="str">
        <f t="shared" si="82"/>
        <v>pieces</v>
      </c>
      <c r="BK781" s="1740" t="str">
        <f t="shared" si="83"/>
        <v>Medical equipment</v>
      </c>
    </row>
    <row r="782" spans="51:63" ht="15.65" customHeight="1">
      <c r="AY782" s="1746" t="s">
        <v>2575</v>
      </c>
      <c r="AZ782" s="1746">
        <v>2008</v>
      </c>
      <c r="BA782" s="1746" t="s">
        <v>4216</v>
      </c>
      <c r="BB782" s="1747" t="s">
        <v>4217</v>
      </c>
      <c r="BC782" s="1746" t="s">
        <v>2578</v>
      </c>
      <c r="BD782" s="1746" t="s">
        <v>2579</v>
      </c>
      <c r="BE782" s="1746" t="s">
        <v>4218</v>
      </c>
      <c r="BF782" s="1746">
        <v>1E-3</v>
      </c>
      <c r="BG782" s="1746" t="s">
        <v>2581</v>
      </c>
      <c r="BH782" s="1744">
        <f t="shared" si="84"/>
        <v>9.9999999999999995E-7</v>
      </c>
      <c r="BI782" s="1745" t="str">
        <f t="shared" si="81"/>
        <v/>
      </c>
      <c r="BJ782" s="1740" t="str">
        <f t="shared" si="82"/>
        <v>EA-Misc. surg. instrum.</v>
      </c>
      <c r="BK782" s="1740" t="str">
        <f t="shared" si="83"/>
        <v>Medical equipment</v>
      </c>
    </row>
    <row r="783" spans="51:63" ht="15.65" customHeight="1">
      <c r="AY783" s="1746" t="s">
        <v>2575</v>
      </c>
      <c r="AZ783" s="1746">
        <v>2008</v>
      </c>
      <c r="BA783" s="1746" t="s">
        <v>4219</v>
      </c>
      <c r="BB783" s="1747" t="s">
        <v>4220</v>
      </c>
      <c r="BC783" s="1746" t="s">
        <v>2578</v>
      </c>
      <c r="BD783" s="1746" t="s">
        <v>2579</v>
      </c>
      <c r="BE783" s="1746" t="s">
        <v>4218</v>
      </c>
      <c r="BF783" s="1746">
        <v>1E-3</v>
      </c>
      <c r="BG783" s="1746" t="s">
        <v>2581</v>
      </c>
      <c r="BH783" s="1744">
        <f t="shared" si="84"/>
        <v>9.9999999999999995E-7</v>
      </c>
      <c r="BI783" s="1745" t="str">
        <f t="shared" si="81"/>
        <v/>
      </c>
      <c r="BJ783" s="1740" t="str">
        <f t="shared" si="82"/>
        <v>EA-Misc. surg. instrum.</v>
      </c>
      <c r="BK783" s="1740" t="str">
        <f t="shared" si="83"/>
        <v>Medical equipment</v>
      </c>
    </row>
    <row r="784" spans="51:63" ht="15.65" customHeight="1">
      <c r="AY784" s="1746" t="s">
        <v>2575</v>
      </c>
      <c r="AZ784" s="1746">
        <v>2008</v>
      </c>
      <c r="BA784" s="1746" t="s">
        <v>4221</v>
      </c>
      <c r="BB784" s="1747" t="s">
        <v>4222</v>
      </c>
      <c r="BC784" s="1746" t="s">
        <v>2578</v>
      </c>
      <c r="BD784" s="1746" t="s">
        <v>2579</v>
      </c>
      <c r="BE784" s="1746" t="s">
        <v>4218</v>
      </c>
      <c r="BF784" s="1746">
        <v>2E-3</v>
      </c>
      <c r="BG784" s="1746" t="s">
        <v>2581</v>
      </c>
      <c r="BH784" s="1744">
        <f t="shared" si="84"/>
        <v>1.9999999999999999E-6</v>
      </c>
      <c r="BI784" s="1745" t="str">
        <f t="shared" si="81"/>
        <v/>
      </c>
      <c r="BJ784" s="1740" t="str">
        <f t="shared" si="82"/>
        <v>EA-Misc. surg. instrum.</v>
      </c>
      <c r="BK784" s="1740" t="str">
        <f t="shared" si="83"/>
        <v>Medical equipment</v>
      </c>
    </row>
    <row r="785" spans="51:63" ht="15.65" customHeight="1">
      <c r="AY785" s="1746" t="s">
        <v>2593</v>
      </c>
      <c r="AZ785" s="1746">
        <v>2008</v>
      </c>
      <c r="BA785" s="1746" t="s">
        <v>4223</v>
      </c>
      <c r="BB785" s="1747" t="s">
        <v>4224</v>
      </c>
      <c r="BC785" s="1746">
        <v>100</v>
      </c>
      <c r="BD785" s="1746" t="s">
        <v>2930</v>
      </c>
      <c r="BE785" s="1746"/>
      <c r="BF785" s="1746">
        <v>2.2000000000000001E-4</v>
      </c>
      <c r="BG785" s="1746" t="s">
        <v>2597</v>
      </c>
      <c r="BH785" s="1744">
        <f t="shared" si="84"/>
        <v>2.2000000000000001E-4</v>
      </c>
      <c r="BI785" s="1745">
        <f t="shared" si="81"/>
        <v>2.2000000000000001E-6</v>
      </c>
      <c r="BJ785" s="1740" t="str">
        <f t="shared" si="82"/>
        <v>pieces</v>
      </c>
      <c r="BK785" s="1740" t="str">
        <f t="shared" si="83"/>
        <v>Medical equipment</v>
      </c>
    </row>
    <row r="786" spans="51:63" ht="15.65" customHeight="1">
      <c r="AY786" s="1746" t="s">
        <v>2593</v>
      </c>
      <c r="AZ786" s="1746">
        <v>2008</v>
      </c>
      <c r="BA786" s="1746" t="s">
        <v>4225</v>
      </c>
      <c r="BB786" s="1747" t="s">
        <v>4226</v>
      </c>
      <c r="BC786" s="1746">
        <v>100</v>
      </c>
      <c r="BD786" s="1746" t="s">
        <v>2930</v>
      </c>
      <c r="BE786" s="1746"/>
      <c r="BF786" s="1746">
        <v>2.7999999999999998E-4</v>
      </c>
      <c r="BG786" s="1746" t="s">
        <v>2597</v>
      </c>
      <c r="BH786" s="1744">
        <f t="shared" si="84"/>
        <v>2.7999999999999998E-4</v>
      </c>
      <c r="BI786" s="1745">
        <f t="shared" si="81"/>
        <v>2.7999999999999999E-6</v>
      </c>
      <c r="BJ786" s="1740" t="str">
        <f t="shared" si="82"/>
        <v>pieces</v>
      </c>
      <c r="BK786" s="1740" t="str">
        <f t="shared" si="83"/>
        <v>Medical equipment</v>
      </c>
    </row>
    <row r="787" spans="51:63" ht="15.65" customHeight="1">
      <c r="AY787" s="1746" t="s">
        <v>2593</v>
      </c>
      <c r="AZ787" s="1746">
        <v>2008</v>
      </c>
      <c r="BA787" s="1746" t="s">
        <v>4227</v>
      </c>
      <c r="BB787" s="1747" t="s">
        <v>4228</v>
      </c>
      <c r="BC787" s="1746">
        <v>100</v>
      </c>
      <c r="BD787" s="1746" t="s">
        <v>2930</v>
      </c>
      <c r="BE787" s="1746"/>
      <c r="BF787" s="1746">
        <v>2.7999999999999998E-4</v>
      </c>
      <c r="BG787" s="1746" t="s">
        <v>2597</v>
      </c>
      <c r="BH787" s="1744">
        <f t="shared" si="84"/>
        <v>2.7999999999999998E-4</v>
      </c>
      <c r="BI787" s="1745">
        <f t="shared" ref="BI787:BI850" si="85">IFERROR(BH787/BC787,"")</f>
        <v>2.7999999999999999E-6</v>
      </c>
      <c r="BJ787" s="1740" t="str">
        <f t="shared" ref="BJ787:BJ850" si="86">IF(BE787="",BD787,BD787&amp;"-"&amp;BE787)</f>
        <v>pieces</v>
      </c>
      <c r="BK787" s="1740" t="str">
        <f t="shared" si="83"/>
        <v>Medical equipment</v>
      </c>
    </row>
    <row r="788" spans="51:63" ht="15.65" customHeight="1">
      <c r="AY788" s="1746" t="s">
        <v>2593</v>
      </c>
      <c r="AZ788" s="1746">
        <v>2008</v>
      </c>
      <c r="BA788" s="1746" t="s">
        <v>4229</v>
      </c>
      <c r="BB788" s="1747" t="s">
        <v>4230</v>
      </c>
      <c r="BC788" s="1746">
        <v>100</v>
      </c>
      <c r="BD788" s="1746" t="s">
        <v>2930</v>
      </c>
      <c r="BE788" s="1746"/>
      <c r="BF788" s="1746">
        <v>2.4000000000000001E-4</v>
      </c>
      <c r="BG788" s="1746" t="s">
        <v>2597</v>
      </c>
      <c r="BH788" s="1744">
        <f t="shared" si="84"/>
        <v>2.4000000000000001E-4</v>
      </c>
      <c r="BI788" s="1745">
        <f t="shared" si="85"/>
        <v>2.3999999999999999E-6</v>
      </c>
      <c r="BJ788" s="1740" t="str">
        <f t="shared" si="86"/>
        <v>pieces</v>
      </c>
      <c r="BK788" s="1740" t="str">
        <f t="shared" ref="BK788:BK851" si="87">IFERROR(INDEX($BO$18:$BO$136,MATCH(BJ788,$BN$18:$BN$136,0)),"")</f>
        <v>Medical equipment</v>
      </c>
    </row>
    <row r="789" spans="51:63" ht="15.65" customHeight="1">
      <c r="AY789" s="1746" t="s">
        <v>2593</v>
      </c>
      <c r="AZ789" s="1746">
        <v>2008</v>
      </c>
      <c r="BA789" s="1746" t="s">
        <v>4231</v>
      </c>
      <c r="BB789" s="1747" t="s">
        <v>4232</v>
      </c>
      <c r="BC789" s="1746">
        <v>100</v>
      </c>
      <c r="BD789" s="1746" t="s">
        <v>2930</v>
      </c>
      <c r="BE789" s="1746"/>
      <c r="BF789" s="1746">
        <v>2.7999999999999998E-4</v>
      </c>
      <c r="BG789" s="1746" t="s">
        <v>2597</v>
      </c>
      <c r="BH789" s="1744">
        <f t="shared" si="84"/>
        <v>2.7999999999999998E-4</v>
      </c>
      <c r="BI789" s="1745">
        <f t="shared" si="85"/>
        <v>2.7999999999999999E-6</v>
      </c>
      <c r="BJ789" s="1740" t="str">
        <f t="shared" si="86"/>
        <v>pieces</v>
      </c>
      <c r="BK789" s="1740" t="str">
        <f t="shared" si="87"/>
        <v>Medical equipment</v>
      </c>
    </row>
    <row r="790" spans="51:63" ht="15.65" customHeight="1">
      <c r="AY790" s="1746" t="s">
        <v>2593</v>
      </c>
      <c r="AZ790" s="1746">
        <v>2008</v>
      </c>
      <c r="BA790" s="1746" t="s">
        <v>4233</v>
      </c>
      <c r="BB790" s="1747" t="s">
        <v>4234</v>
      </c>
      <c r="BC790" s="1746">
        <v>100</v>
      </c>
      <c r="BD790" s="1746" t="s">
        <v>2930</v>
      </c>
      <c r="BE790" s="1746"/>
      <c r="BF790" s="1746">
        <v>2.2000000000000001E-4</v>
      </c>
      <c r="BG790" s="1746" t="s">
        <v>2597</v>
      </c>
      <c r="BH790" s="1744">
        <f t="shared" si="84"/>
        <v>2.2000000000000001E-4</v>
      </c>
      <c r="BI790" s="1745">
        <f t="shared" si="85"/>
        <v>2.2000000000000001E-6</v>
      </c>
      <c r="BJ790" s="1740" t="str">
        <f t="shared" si="86"/>
        <v>pieces</v>
      </c>
      <c r="BK790" s="1740" t="str">
        <f t="shared" si="87"/>
        <v>Medical equipment</v>
      </c>
    </row>
    <row r="791" spans="51:63" ht="15.65" customHeight="1">
      <c r="AY791" s="1746" t="s">
        <v>2593</v>
      </c>
      <c r="AZ791" s="1746">
        <v>2008</v>
      </c>
      <c r="BA791" s="1746" t="s">
        <v>4235</v>
      </c>
      <c r="BB791" s="1747" t="s">
        <v>4236</v>
      </c>
      <c r="BC791" s="1746">
        <v>100</v>
      </c>
      <c r="BD791" s="1746" t="s">
        <v>2930</v>
      </c>
      <c r="BE791" s="1746"/>
      <c r="BF791" s="1746">
        <v>2.9999999999999997E-4</v>
      </c>
      <c r="BG791" s="1746" t="s">
        <v>2597</v>
      </c>
      <c r="BH791" s="1744">
        <f t="shared" si="84"/>
        <v>2.9999999999999997E-4</v>
      </c>
      <c r="BI791" s="1745">
        <f t="shared" si="85"/>
        <v>2.9999999999999997E-6</v>
      </c>
      <c r="BJ791" s="1740" t="str">
        <f t="shared" si="86"/>
        <v>pieces</v>
      </c>
      <c r="BK791" s="1740" t="str">
        <f t="shared" si="87"/>
        <v>Medical equipment</v>
      </c>
    </row>
    <row r="792" spans="51:63" ht="15.65" customHeight="1">
      <c r="AY792" s="1746" t="s">
        <v>2593</v>
      </c>
      <c r="AZ792" s="1746">
        <v>2008</v>
      </c>
      <c r="BA792" s="1746" t="s">
        <v>4237</v>
      </c>
      <c r="BB792" s="1747" t="s">
        <v>4238</v>
      </c>
      <c r="BC792" s="1746">
        <v>100</v>
      </c>
      <c r="BD792" s="1746" t="s">
        <v>2930</v>
      </c>
      <c r="BE792" s="1746"/>
      <c r="BF792" s="1746">
        <v>2.5999999999999998E-4</v>
      </c>
      <c r="BG792" s="1746" t="s">
        <v>2597</v>
      </c>
      <c r="BH792" s="1744">
        <f t="shared" si="84"/>
        <v>2.5999999999999998E-4</v>
      </c>
      <c r="BI792" s="1745">
        <f t="shared" si="85"/>
        <v>2.5999999999999997E-6</v>
      </c>
      <c r="BJ792" s="1740" t="str">
        <f t="shared" si="86"/>
        <v>pieces</v>
      </c>
      <c r="BK792" s="1740" t="str">
        <f t="shared" si="87"/>
        <v>Medical equipment</v>
      </c>
    </row>
    <row r="793" spans="51:63" ht="15.65" customHeight="1">
      <c r="AY793" s="1746" t="s">
        <v>2593</v>
      </c>
      <c r="AZ793" s="1746">
        <v>2008</v>
      </c>
      <c r="BA793" s="1746" t="s">
        <v>4239</v>
      </c>
      <c r="BB793" s="1747" t="s">
        <v>4240</v>
      </c>
      <c r="BC793" s="1746">
        <v>100</v>
      </c>
      <c r="BD793" s="1746" t="s">
        <v>2930</v>
      </c>
      <c r="BE793" s="1746"/>
      <c r="BF793" s="1746">
        <v>2.9E-4</v>
      </c>
      <c r="BG793" s="1746" t="s">
        <v>2597</v>
      </c>
      <c r="BH793" s="1744">
        <f t="shared" ref="BH793:BH856" si="88">IF(BG793="CCM",BF793/1000000,IF(BG793="CDM",BF793/1000, IF(BG793="M3",BF793,"")))</f>
        <v>2.9E-4</v>
      </c>
      <c r="BI793" s="1745">
        <f t="shared" si="85"/>
        <v>2.9000000000000002E-6</v>
      </c>
      <c r="BJ793" s="1740" t="str">
        <f t="shared" si="86"/>
        <v>pieces</v>
      </c>
      <c r="BK793" s="1740" t="str">
        <f t="shared" si="87"/>
        <v>Medical equipment</v>
      </c>
    </row>
    <row r="794" spans="51:63" ht="15.65" customHeight="1">
      <c r="AY794" s="1746" t="s">
        <v>2593</v>
      </c>
      <c r="AZ794" s="1746">
        <v>2008</v>
      </c>
      <c r="BA794" s="1746" t="s">
        <v>4241</v>
      </c>
      <c r="BB794" s="1747" t="s">
        <v>4242</v>
      </c>
      <c r="BC794" s="1746">
        <v>1</v>
      </c>
      <c r="BD794" s="1746" t="s">
        <v>2933</v>
      </c>
      <c r="BE794" s="1746"/>
      <c r="BF794" s="1746">
        <v>4.0000000000000003E-5</v>
      </c>
      <c r="BG794" s="1746" t="s">
        <v>2597</v>
      </c>
      <c r="BH794" s="1744">
        <f t="shared" si="88"/>
        <v>4.0000000000000003E-5</v>
      </c>
      <c r="BI794" s="1745">
        <f t="shared" si="85"/>
        <v>4.0000000000000003E-5</v>
      </c>
      <c r="BJ794" s="1740" t="str">
        <f t="shared" si="86"/>
        <v>piece</v>
      </c>
      <c r="BK794" s="1740" t="str">
        <f t="shared" si="87"/>
        <v>Medical equipment</v>
      </c>
    </row>
    <row r="795" spans="51:63" ht="15.65" customHeight="1">
      <c r="AY795" s="1746" t="s">
        <v>2593</v>
      </c>
      <c r="AZ795" s="1746">
        <v>2008</v>
      </c>
      <c r="BA795" s="1746" t="s">
        <v>4243</v>
      </c>
      <c r="BB795" s="1747" t="s">
        <v>4244</v>
      </c>
      <c r="BC795" s="1746">
        <v>1</v>
      </c>
      <c r="BD795" s="1746" t="s">
        <v>2933</v>
      </c>
      <c r="BE795" s="1746"/>
      <c r="BF795" s="1746">
        <v>3.0000000000000001E-5</v>
      </c>
      <c r="BG795" s="1746" t="s">
        <v>2597</v>
      </c>
      <c r="BH795" s="1744">
        <f t="shared" si="88"/>
        <v>3.0000000000000001E-5</v>
      </c>
      <c r="BI795" s="1745">
        <f t="shared" si="85"/>
        <v>3.0000000000000001E-5</v>
      </c>
      <c r="BJ795" s="1740" t="str">
        <f t="shared" si="86"/>
        <v>piece</v>
      </c>
      <c r="BK795" s="1740" t="str">
        <f t="shared" si="87"/>
        <v>Medical equipment</v>
      </c>
    </row>
    <row r="796" spans="51:63" ht="15.65" customHeight="1">
      <c r="AY796" s="1746" t="s">
        <v>2575</v>
      </c>
      <c r="AZ796" s="1746">
        <v>2008</v>
      </c>
      <c r="BA796" s="1746" t="s">
        <v>4245</v>
      </c>
      <c r="BB796" s="1747" t="s">
        <v>4246</v>
      </c>
      <c r="BC796" s="1746" t="s">
        <v>2578</v>
      </c>
      <c r="BD796" s="1746" t="s">
        <v>2579</v>
      </c>
      <c r="BE796" s="1746" t="s">
        <v>4218</v>
      </c>
      <c r="BF796" s="1746">
        <v>1.7999999999999999E-2</v>
      </c>
      <c r="BG796" s="1746" t="s">
        <v>2581</v>
      </c>
      <c r="BH796" s="1744">
        <f t="shared" si="88"/>
        <v>1.7999999999999997E-5</v>
      </c>
      <c r="BI796" s="1745" t="str">
        <f t="shared" si="85"/>
        <v/>
      </c>
      <c r="BJ796" s="1740" t="str">
        <f t="shared" si="86"/>
        <v>EA-Misc. surg. instrum.</v>
      </c>
      <c r="BK796" s="1740" t="str">
        <f t="shared" si="87"/>
        <v>Medical equipment</v>
      </c>
    </row>
    <row r="797" spans="51:63" ht="15.65" customHeight="1">
      <c r="AY797" s="1746" t="s">
        <v>2575</v>
      </c>
      <c r="AZ797" s="1746">
        <v>2008</v>
      </c>
      <c r="BA797" s="1746" t="s">
        <v>4247</v>
      </c>
      <c r="BB797" s="1747" t="s">
        <v>4248</v>
      </c>
      <c r="BC797" s="1746" t="s">
        <v>2578</v>
      </c>
      <c r="BD797" s="1746" t="s">
        <v>2579</v>
      </c>
      <c r="BE797" s="1746" t="s">
        <v>4218</v>
      </c>
      <c r="BF797" s="1746">
        <v>2.1999999999999999E-2</v>
      </c>
      <c r="BG797" s="1746" t="s">
        <v>2581</v>
      </c>
      <c r="BH797" s="1744">
        <f t="shared" si="88"/>
        <v>2.1999999999999999E-5</v>
      </c>
      <c r="BI797" s="1745" t="str">
        <f t="shared" si="85"/>
        <v/>
      </c>
      <c r="BJ797" s="1740" t="str">
        <f t="shared" si="86"/>
        <v>EA-Misc. surg. instrum.</v>
      </c>
      <c r="BK797" s="1740" t="str">
        <f t="shared" si="87"/>
        <v>Medical equipment</v>
      </c>
    </row>
    <row r="798" spans="51:63" ht="15.65" customHeight="1">
      <c r="AY798" s="1746" t="s">
        <v>2575</v>
      </c>
      <c r="AZ798" s="1746">
        <v>2008</v>
      </c>
      <c r="BA798" s="1746" t="s">
        <v>4249</v>
      </c>
      <c r="BB798" s="1747" t="s">
        <v>4250</v>
      </c>
      <c r="BC798" s="1746" t="s">
        <v>2578</v>
      </c>
      <c r="BD798" s="1746" t="s">
        <v>2579</v>
      </c>
      <c r="BE798" s="1746" t="s">
        <v>3462</v>
      </c>
      <c r="BF798" s="1746">
        <v>0.05</v>
      </c>
      <c r="BG798" s="1746" t="s">
        <v>2597</v>
      </c>
      <c r="BH798" s="1744">
        <f t="shared" si="88"/>
        <v>0.05</v>
      </c>
      <c r="BI798" s="1745" t="str">
        <f t="shared" si="85"/>
        <v/>
      </c>
      <c r="BJ798" s="1740" t="str">
        <f t="shared" si="86"/>
        <v>EA-Electrical equipment</v>
      </c>
      <c r="BK798" s="1740" t="str">
        <f t="shared" si="87"/>
        <v>Medical equipment</v>
      </c>
    </row>
    <row r="799" spans="51:63" ht="15.65" customHeight="1">
      <c r="AY799" s="1746" t="s">
        <v>2588</v>
      </c>
      <c r="AZ799" s="1746">
        <v>2006</v>
      </c>
      <c r="BA799" s="1746" t="s">
        <v>4251</v>
      </c>
      <c r="BB799" s="1747" t="s">
        <v>4252</v>
      </c>
      <c r="BC799" s="1746">
        <v>1</v>
      </c>
      <c r="BD799" s="1746" t="s">
        <v>2724</v>
      </c>
      <c r="BE799" s="1746"/>
      <c r="BF799" s="1746">
        <v>61</v>
      </c>
      <c r="BG799" s="1746" t="s">
        <v>2592</v>
      </c>
      <c r="BH799" s="1744">
        <f t="shared" si="88"/>
        <v>6.0999999999999999E-5</v>
      </c>
      <c r="BI799" s="1745">
        <f t="shared" si="85"/>
        <v>6.0999999999999999E-5</v>
      </c>
      <c r="BJ799" s="1740" t="str">
        <f t="shared" si="86"/>
        <v>pce</v>
      </c>
      <c r="BK799" s="1740" t="str">
        <f t="shared" si="87"/>
        <v>Roll of tape/gauze</v>
      </c>
    </row>
    <row r="800" spans="51:63" ht="15.65" customHeight="1">
      <c r="AY800" s="1746" t="s">
        <v>2588</v>
      </c>
      <c r="AZ800" s="1746">
        <v>2006</v>
      </c>
      <c r="BA800" s="1746" t="s">
        <v>4253</v>
      </c>
      <c r="BB800" s="1747" t="s">
        <v>4254</v>
      </c>
      <c r="BC800" s="1746">
        <v>1</v>
      </c>
      <c r="BD800" s="1746" t="s">
        <v>2724</v>
      </c>
      <c r="BE800" s="1746"/>
      <c r="BF800" s="1746">
        <v>28</v>
      </c>
      <c r="BG800" s="1746" t="s">
        <v>2592</v>
      </c>
      <c r="BH800" s="1744">
        <f t="shared" si="88"/>
        <v>2.8E-5</v>
      </c>
      <c r="BI800" s="1745">
        <f t="shared" si="85"/>
        <v>2.8E-5</v>
      </c>
      <c r="BJ800" s="1740" t="str">
        <f t="shared" si="86"/>
        <v>pce</v>
      </c>
      <c r="BK800" s="1740" t="str">
        <f t="shared" si="87"/>
        <v>Roll of tape/gauze</v>
      </c>
    </row>
    <row r="801" spans="51:63" ht="15.65" customHeight="1">
      <c r="AY801" s="1746" t="s">
        <v>2588</v>
      </c>
      <c r="AZ801" s="1746">
        <v>2006</v>
      </c>
      <c r="BA801" s="1746" t="s">
        <v>4255</v>
      </c>
      <c r="BB801" s="1747" t="s">
        <v>4256</v>
      </c>
      <c r="BC801" s="1746">
        <v>1</v>
      </c>
      <c r="BD801" s="1746" t="s">
        <v>2724</v>
      </c>
      <c r="BE801" s="1746"/>
      <c r="BF801" s="1746">
        <v>5</v>
      </c>
      <c r="BG801" s="1746" t="s">
        <v>2592</v>
      </c>
      <c r="BH801" s="1744">
        <f t="shared" si="88"/>
        <v>5.0000000000000004E-6</v>
      </c>
      <c r="BI801" s="1745">
        <f t="shared" si="85"/>
        <v>5.0000000000000004E-6</v>
      </c>
      <c r="BJ801" s="1740" t="str">
        <f t="shared" si="86"/>
        <v>pce</v>
      </c>
      <c r="BK801" s="1740" t="str">
        <f t="shared" si="87"/>
        <v>Roll of tape/gauze</v>
      </c>
    </row>
    <row r="802" spans="51:63" ht="15.65" customHeight="1">
      <c r="AY802" s="1746" t="s">
        <v>2593</v>
      </c>
      <c r="AZ802" s="1746">
        <v>2008</v>
      </c>
      <c r="BA802" s="1746" t="s">
        <v>4257</v>
      </c>
      <c r="BB802" s="1747" t="s">
        <v>4258</v>
      </c>
      <c r="BC802" s="1746">
        <v>1</v>
      </c>
      <c r="BD802" s="1746" t="s">
        <v>2933</v>
      </c>
      <c r="BE802" s="1746"/>
      <c r="BF802" s="1746">
        <v>6.0000000000000002E-5</v>
      </c>
      <c r="BG802" s="1746" t="s">
        <v>2597</v>
      </c>
      <c r="BH802" s="1744">
        <f t="shared" si="88"/>
        <v>6.0000000000000002E-5</v>
      </c>
      <c r="BI802" s="1745">
        <f t="shared" si="85"/>
        <v>6.0000000000000002E-5</v>
      </c>
      <c r="BJ802" s="1740" t="str">
        <f t="shared" si="86"/>
        <v>piece</v>
      </c>
      <c r="BK802" s="1740" t="str">
        <f t="shared" si="87"/>
        <v>Medical equipment</v>
      </c>
    </row>
    <row r="803" spans="51:63" ht="15.65" customHeight="1">
      <c r="AY803" s="1746" t="s">
        <v>2593</v>
      </c>
      <c r="AZ803" s="1746">
        <v>2008</v>
      </c>
      <c r="BA803" s="1746" t="s">
        <v>4259</v>
      </c>
      <c r="BB803" s="1747" t="s">
        <v>4260</v>
      </c>
      <c r="BC803" s="1746">
        <v>1</v>
      </c>
      <c r="BD803" s="1746" t="s">
        <v>2933</v>
      </c>
      <c r="BE803" s="1746"/>
      <c r="BF803" s="1746">
        <v>8.0000000000000007E-5</v>
      </c>
      <c r="BG803" s="1746" t="s">
        <v>2597</v>
      </c>
      <c r="BH803" s="1744">
        <f t="shared" si="88"/>
        <v>8.0000000000000007E-5</v>
      </c>
      <c r="BI803" s="1745">
        <f t="shared" si="85"/>
        <v>8.0000000000000007E-5</v>
      </c>
      <c r="BJ803" s="1740" t="str">
        <f t="shared" si="86"/>
        <v>piece</v>
      </c>
      <c r="BK803" s="1740" t="str">
        <f t="shared" si="87"/>
        <v>Medical equipment</v>
      </c>
    </row>
    <row r="804" spans="51:63" ht="15.65" customHeight="1">
      <c r="AY804" s="1746" t="s">
        <v>2593</v>
      </c>
      <c r="AZ804" s="1746">
        <v>2008</v>
      </c>
      <c r="BA804" s="1746" t="s">
        <v>4261</v>
      </c>
      <c r="BB804" s="1747" t="s">
        <v>4262</v>
      </c>
      <c r="BC804" s="1746">
        <v>1</v>
      </c>
      <c r="BD804" s="1746" t="s">
        <v>2933</v>
      </c>
      <c r="BE804" s="1746"/>
      <c r="BF804" s="1746">
        <v>6.9999999999999994E-5</v>
      </c>
      <c r="BG804" s="1746" t="s">
        <v>2597</v>
      </c>
      <c r="BH804" s="1744">
        <f t="shared" si="88"/>
        <v>6.9999999999999994E-5</v>
      </c>
      <c r="BI804" s="1745">
        <f t="shared" si="85"/>
        <v>6.9999999999999994E-5</v>
      </c>
      <c r="BJ804" s="1740" t="str">
        <f t="shared" si="86"/>
        <v>piece</v>
      </c>
      <c r="BK804" s="1740" t="str">
        <f t="shared" si="87"/>
        <v>Medical equipment</v>
      </c>
    </row>
    <row r="805" spans="51:63" ht="15.65" customHeight="1">
      <c r="AY805" s="1746" t="s">
        <v>2593</v>
      </c>
      <c r="AZ805" s="1746">
        <v>2008</v>
      </c>
      <c r="BA805" s="1746" t="s">
        <v>4263</v>
      </c>
      <c r="BB805" s="1747" t="s">
        <v>4264</v>
      </c>
      <c r="BC805" s="1746">
        <v>1</v>
      </c>
      <c r="BD805" s="1746" t="s">
        <v>2933</v>
      </c>
      <c r="BE805" s="1746"/>
      <c r="BF805" s="1746">
        <v>5.0000000000000002E-5</v>
      </c>
      <c r="BG805" s="1746" t="s">
        <v>2597</v>
      </c>
      <c r="BH805" s="1744">
        <f t="shared" si="88"/>
        <v>5.0000000000000002E-5</v>
      </c>
      <c r="BI805" s="1745">
        <f t="shared" si="85"/>
        <v>5.0000000000000002E-5</v>
      </c>
      <c r="BJ805" s="1740" t="str">
        <f t="shared" si="86"/>
        <v>piece</v>
      </c>
      <c r="BK805" s="1740" t="str">
        <f t="shared" si="87"/>
        <v>Medical equipment</v>
      </c>
    </row>
    <row r="806" spans="51:63" ht="15.65" customHeight="1">
      <c r="AY806" s="1746" t="s">
        <v>2593</v>
      </c>
      <c r="AZ806" s="1746">
        <v>2008</v>
      </c>
      <c r="BA806" s="1746" t="s">
        <v>4265</v>
      </c>
      <c r="BB806" s="1747" t="s">
        <v>4266</v>
      </c>
      <c r="BC806" s="1746">
        <v>1</v>
      </c>
      <c r="BD806" s="1746" t="s">
        <v>2933</v>
      </c>
      <c r="BE806" s="1746"/>
      <c r="BF806" s="1746">
        <v>6.0000000000000002E-5</v>
      </c>
      <c r="BG806" s="1746" t="s">
        <v>2597</v>
      </c>
      <c r="BH806" s="1744">
        <f t="shared" si="88"/>
        <v>6.0000000000000002E-5</v>
      </c>
      <c r="BI806" s="1745">
        <f t="shared" si="85"/>
        <v>6.0000000000000002E-5</v>
      </c>
      <c r="BJ806" s="1740" t="str">
        <f t="shared" si="86"/>
        <v>piece</v>
      </c>
      <c r="BK806" s="1740" t="str">
        <f t="shared" si="87"/>
        <v>Medical equipment</v>
      </c>
    </row>
    <row r="807" spans="51:63" ht="15.65" customHeight="1">
      <c r="AY807" s="1746" t="s">
        <v>2593</v>
      </c>
      <c r="AZ807" s="1746">
        <v>2008</v>
      </c>
      <c r="BA807" s="1746" t="s">
        <v>4267</v>
      </c>
      <c r="BB807" s="1747" t="s">
        <v>4268</v>
      </c>
      <c r="BC807" s="1746">
        <v>1</v>
      </c>
      <c r="BD807" s="1746" t="s">
        <v>2933</v>
      </c>
      <c r="BE807" s="1746"/>
      <c r="BF807" s="1746">
        <v>4.0000000000000003E-5</v>
      </c>
      <c r="BG807" s="1746" t="s">
        <v>2597</v>
      </c>
      <c r="BH807" s="1744">
        <f t="shared" si="88"/>
        <v>4.0000000000000003E-5</v>
      </c>
      <c r="BI807" s="1745">
        <f t="shared" si="85"/>
        <v>4.0000000000000003E-5</v>
      </c>
      <c r="BJ807" s="1740" t="str">
        <f t="shared" si="86"/>
        <v>piece</v>
      </c>
      <c r="BK807" s="1740" t="str">
        <f t="shared" si="87"/>
        <v>Medical equipment</v>
      </c>
    </row>
    <row r="808" spans="51:63" ht="15.65" customHeight="1">
      <c r="AY808" s="1746" t="s">
        <v>2593</v>
      </c>
      <c r="AZ808" s="1746">
        <v>2008</v>
      </c>
      <c r="BA808" s="1746" t="s">
        <v>4269</v>
      </c>
      <c r="BB808" s="1747" t="s">
        <v>4270</v>
      </c>
      <c r="BC808" s="1746">
        <v>1</v>
      </c>
      <c r="BD808" s="1746" t="s">
        <v>2933</v>
      </c>
      <c r="BE808" s="1746"/>
      <c r="BF808" s="1746">
        <v>6.9999999999999994E-5</v>
      </c>
      <c r="BG808" s="1746" t="s">
        <v>2597</v>
      </c>
      <c r="BH808" s="1744">
        <f t="shared" si="88"/>
        <v>6.9999999999999994E-5</v>
      </c>
      <c r="BI808" s="1745">
        <f t="shared" si="85"/>
        <v>6.9999999999999994E-5</v>
      </c>
      <c r="BJ808" s="1740" t="str">
        <f t="shared" si="86"/>
        <v>piece</v>
      </c>
      <c r="BK808" s="1740" t="str">
        <f t="shared" si="87"/>
        <v>Medical equipment</v>
      </c>
    </row>
    <row r="809" spans="51:63" ht="15.65" customHeight="1">
      <c r="AY809" s="1746" t="s">
        <v>2575</v>
      </c>
      <c r="AZ809" s="1746">
        <v>2008</v>
      </c>
      <c r="BA809" s="1746" t="s">
        <v>4271</v>
      </c>
      <c r="BB809" s="1747" t="s">
        <v>4272</v>
      </c>
      <c r="BC809" s="1746" t="s">
        <v>2578</v>
      </c>
      <c r="BD809" s="1746" t="s">
        <v>2579</v>
      </c>
      <c r="BE809" s="1746" t="s">
        <v>3750</v>
      </c>
      <c r="BF809" s="1746">
        <v>0.11</v>
      </c>
      <c r="BG809" s="1746" t="s">
        <v>2581</v>
      </c>
      <c r="BH809" s="1744">
        <f t="shared" si="88"/>
        <v>1.1E-4</v>
      </c>
      <c r="BI809" s="1745" t="str">
        <f t="shared" si="85"/>
        <v/>
      </c>
      <c r="BJ809" s="1740" t="str">
        <f t="shared" si="86"/>
        <v>EA-Cutting/shearing</v>
      </c>
      <c r="BK809" s="1740" t="str">
        <f t="shared" si="87"/>
        <v>Medical equipment</v>
      </c>
    </row>
    <row r="810" spans="51:63" ht="15.65" customHeight="1">
      <c r="AY810" s="1746" t="s">
        <v>2575</v>
      </c>
      <c r="AZ810" s="1746">
        <v>2008</v>
      </c>
      <c r="BA810" s="1746" t="s">
        <v>4273</v>
      </c>
      <c r="BB810" s="1747" t="s">
        <v>4274</v>
      </c>
      <c r="BC810" s="1746" t="s">
        <v>2578</v>
      </c>
      <c r="BD810" s="1746" t="s">
        <v>2579</v>
      </c>
      <c r="BE810" s="1746" t="s">
        <v>3750</v>
      </c>
      <c r="BF810" s="1746">
        <v>6.4000000000000001E-2</v>
      </c>
      <c r="BG810" s="1746" t="s">
        <v>2581</v>
      </c>
      <c r="BH810" s="1744">
        <f t="shared" si="88"/>
        <v>6.3999999999999997E-5</v>
      </c>
      <c r="BI810" s="1745" t="str">
        <f t="shared" si="85"/>
        <v/>
      </c>
      <c r="BJ810" s="1740" t="str">
        <f t="shared" si="86"/>
        <v>EA-Cutting/shearing</v>
      </c>
      <c r="BK810" s="1740" t="str">
        <f t="shared" si="87"/>
        <v>Medical equipment</v>
      </c>
    </row>
    <row r="811" spans="51:63" ht="15.65" customHeight="1">
      <c r="AY811" s="1746" t="s">
        <v>2575</v>
      </c>
      <c r="AZ811" s="1746">
        <v>2008</v>
      </c>
      <c r="BA811" s="1746" t="s">
        <v>4275</v>
      </c>
      <c r="BB811" s="1747" t="s">
        <v>4276</v>
      </c>
      <c r="BC811" s="1746" t="s">
        <v>2578</v>
      </c>
      <c r="BD811" s="1746" t="s">
        <v>2579</v>
      </c>
      <c r="BE811" s="1746" t="s">
        <v>3750</v>
      </c>
      <c r="BF811" s="1746">
        <v>1.7000000000000001E-2</v>
      </c>
      <c r="BG811" s="1746" t="s">
        <v>2581</v>
      </c>
      <c r="BH811" s="1744">
        <f t="shared" si="88"/>
        <v>1.7E-5</v>
      </c>
      <c r="BI811" s="1745" t="str">
        <f t="shared" si="85"/>
        <v/>
      </c>
      <c r="BJ811" s="1740" t="str">
        <f t="shared" si="86"/>
        <v>EA-Cutting/shearing</v>
      </c>
      <c r="BK811" s="1740" t="str">
        <f t="shared" si="87"/>
        <v>Medical equipment</v>
      </c>
    </row>
    <row r="812" spans="51:63" ht="15.65" customHeight="1">
      <c r="AY812" s="1746" t="s">
        <v>2575</v>
      </c>
      <c r="AZ812" s="1746">
        <v>2008</v>
      </c>
      <c r="BA812" s="1746" t="s">
        <v>4277</v>
      </c>
      <c r="BB812" s="1747" t="s">
        <v>4278</v>
      </c>
      <c r="BC812" s="1746" t="s">
        <v>2578</v>
      </c>
      <c r="BD812" s="1746" t="s">
        <v>2579</v>
      </c>
      <c r="BE812" s="1746" t="s">
        <v>3750</v>
      </c>
      <c r="BF812" s="1746">
        <v>6.0999999999999999E-2</v>
      </c>
      <c r="BG812" s="1746" t="s">
        <v>2581</v>
      </c>
      <c r="BH812" s="1744">
        <f t="shared" si="88"/>
        <v>6.0999999999999999E-5</v>
      </c>
      <c r="BI812" s="1745" t="str">
        <f t="shared" si="85"/>
        <v/>
      </c>
      <c r="BJ812" s="1740" t="str">
        <f t="shared" si="86"/>
        <v>EA-Cutting/shearing</v>
      </c>
      <c r="BK812" s="1740" t="str">
        <f t="shared" si="87"/>
        <v>Medical equipment</v>
      </c>
    </row>
    <row r="813" spans="51:63" ht="15.65" customHeight="1">
      <c r="AY813" s="1746" t="s">
        <v>2575</v>
      </c>
      <c r="AZ813" s="1746">
        <v>2008</v>
      </c>
      <c r="BA813" s="1746" t="s">
        <v>4279</v>
      </c>
      <c r="BB813" s="1747" t="s">
        <v>4280</v>
      </c>
      <c r="BC813" s="1746" t="s">
        <v>2578</v>
      </c>
      <c r="BD813" s="1746" t="s">
        <v>2579</v>
      </c>
      <c r="BE813" s="1746" t="s">
        <v>3750</v>
      </c>
      <c r="BF813" s="1746">
        <v>5.7000000000000002E-2</v>
      </c>
      <c r="BG813" s="1746" t="s">
        <v>2581</v>
      </c>
      <c r="BH813" s="1744">
        <f t="shared" si="88"/>
        <v>5.7000000000000003E-5</v>
      </c>
      <c r="BI813" s="1745" t="str">
        <f t="shared" si="85"/>
        <v/>
      </c>
      <c r="BJ813" s="1740" t="str">
        <f t="shared" si="86"/>
        <v>EA-Cutting/shearing</v>
      </c>
      <c r="BK813" s="1740" t="str">
        <f t="shared" si="87"/>
        <v>Medical equipment</v>
      </c>
    </row>
    <row r="814" spans="51:63" ht="15.65" customHeight="1">
      <c r="AY814" s="1746" t="s">
        <v>2575</v>
      </c>
      <c r="AZ814" s="1746">
        <v>2008</v>
      </c>
      <c r="BA814" s="1746" t="s">
        <v>4281</v>
      </c>
      <c r="BB814" s="1747" t="s">
        <v>4282</v>
      </c>
      <c r="BC814" s="1746" t="s">
        <v>2578</v>
      </c>
      <c r="BD814" s="1746" t="s">
        <v>2579</v>
      </c>
      <c r="BE814" s="1746" t="s">
        <v>3750</v>
      </c>
      <c r="BF814" s="1746">
        <v>0.1</v>
      </c>
      <c r="BG814" s="1746" t="s">
        <v>2581</v>
      </c>
      <c r="BH814" s="1744">
        <f t="shared" si="88"/>
        <v>1E-4</v>
      </c>
      <c r="BI814" s="1745" t="str">
        <f t="shared" si="85"/>
        <v/>
      </c>
      <c r="BJ814" s="1740" t="str">
        <f t="shared" si="86"/>
        <v>EA-Cutting/shearing</v>
      </c>
      <c r="BK814" s="1740" t="str">
        <f t="shared" si="87"/>
        <v>Medical equipment</v>
      </c>
    </row>
    <row r="815" spans="51:63" ht="15.65" customHeight="1">
      <c r="AY815" s="1746" t="s">
        <v>2575</v>
      </c>
      <c r="AZ815" s="1746">
        <v>2008</v>
      </c>
      <c r="BA815" s="1746" t="s">
        <v>4283</v>
      </c>
      <c r="BB815" s="1747" t="s">
        <v>4284</v>
      </c>
      <c r="BC815" s="1746" t="s">
        <v>2578</v>
      </c>
      <c r="BD815" s="1746" t="s">
        <v>2579</v>
      </c>
      <c r="BE815" s="1746" t="s">
        <v>3750</v>
      </c>
      <c r="BF815" s="1746">
        <v>1.4E-2</v>
      </c>
      <c r="BG815" s="1746" t="s">
        <v>2581</v>
      </c>
      <c r="BH815" s="1744">
        <f t="shared" si="88"/>
        <v>1.4E-5</v>
      </c>
      <c r="BI815" s="1745" t="str">
        <f t="shared" si="85"/>
        <v/>
      </c>
      <c r="BJ815" s="1740" t="str">
        <f t="shared" si="86"/>
        <v>EA-Cutting/shearing</v>
      </c>
      <c r="BK815" s="1740" t="str">
        <f t="shared" si="87"/>
        <v>Medical equipment</v>
      </c>
    </row>
    <row r="816" spans="51:63" ht="15.65" customHeight="1">
      <c r="AY816" s="1746" t="s">
        <v>2575</v>
      </c>
      <c r="AZ816" s="1746">
        <v>2008</v>
      </c>
      <c r="BA816" s="1746" t="s">
        <v>4285</v>
      </c>
      <c r="BB816" s="1747" t="s">
        <v>4286</v>
      </c>
      <c r="BC816" s="1746" t="s">
        <v>2578</v>
      </c>
      <c r="BD816" s="1746" t="s">
        <v>2579</v>
      </c>
      <c r="BE816" s="1746" t="s">
        <v>3750</v>
      </c>
      <c r="BF816" s="1746">
        <v>0.106</v>
      </c>
      <c r="BG816" s="1746" t="s">
        <v>2581</v>
      </c>
      <c r="BH816" s="1744">
        <f t="shared" si="88"/>
        <v>1.06E-4</v>
      </c>
      <c r="BI816" s="1745" t="str">
        <f t="shared" si="85"/>
        <v/>
      </c>
      <c r="BJ816" s="1740" t="str">
        <f t="shared" si="86"/>
        <v>EA-Cutting/shearing</v>
      </c>
      <c r="BK816" s="1740" t="str">
        <f t="shared" si="87"/>
        <v>Medical equipment</v>
      </c>
    </row>
    <row r="817" spans="51:63" ht="15.65" customHeight="1">
      <c r="AY817" s="1746" t="s">
        <v>2575</v>
      </c>
      <c r="AZ817" s="1746">
        <v>2008</v>
      </c>
      <c r="BA817" s="1746" t="s">
        <v>4287</v>
      </c>
      <c r="BB817" s="1747" t="s">
        <v>4288</v>
      </c>
      <c r="BC817" s="1746" t="s">
        <v>2578</v>
      </c>
      <c r="BD817" s="1746" t="s">
        <v>2579</v>
      </c>
      <c r="BE817" s="1746" t="s">
        <v>3750</v>
      </c>
      <c r="BF817" s="1746">
        <v>0.14399999999999999</v>
      </c>
      <c r="BG817" s="1746" t="s">
        <v>2581</v>
      </c>
      <c r="BH817" s="1744">
        <f t="shared" si="88"/>
        <v>1.4399999999999998E-4</v>
      </c>
      <c r="BI817" s="1745" t="str">
        <f t="shared" si="85"/>
        <v/>
      </c>
      <c r="BJ817" s="1740" t="str">
        <f t="shared" si="86"/>
        <v>EA-Cutting/shearing</v>
      </c>
      <c r="BK817" s="1740" t="str">
        <f t="shared" si="87"/>
        <v>Medical equipment</v>
      </c>
    </row>
    <row r="818" spans="51:63" ht="15.65" customHeight="1">
      <c r="AY818" s="1746" t="s">
        <v>2575</v>
      </c>
      <c r="AZ818" s="1746">
        <v>2008</v>
      </c>
      <c r="BA818" s="1746" t="s">
        <v>4289</v>
      </c>
      <c r="BB818" s="1747" t="s">
        <v>4290</v>
      </c>
      <c r="BC818" s="1746" t="s">
        <v>2578</v>
      </c>
      <c r="BD818" s="1746" t="s">
        <v>2579</v>
      </c>
      <c r="BE818" s="1746" t="s">
        <v>3750</v>
      </c>
      <c r="BF818" s="1746">
        <v>5.7000000000000002E-2</v>
      </c>
      <c r="BG818" s="1746" t="s">
        <v>2581</v>
      </c>
      <c r="BH818" s="1744">
        <f t="shared" si="88"/>
        <v>5.7000000000000003E-5</v>
      </c>
      <c r="BI818" s="1745" t="str">
        <f t="shared" si="85"/>
        <v/>
      </c>
      <c r="BJ818" s="1740" t="str">
        <f t="shared" si="86"/>
        <v>EA-Cutting/shearing</v>
      </c>
      <c r="BK818" s="1740" t="str">
        <f t="shared" si="87"/>
        <v>Medical equipment</v>
      </c>
    </row>
    <row r="819" spans="51:63" ht="15.65" customHeight="1">
      <c r="AY819" s="1746" t="s">
        <v>2575</v>
      </c>
      <c r="AZ819" s="1746">
        <v>2008</v>
      </c>
      <c r="BA819" s="1746" t="s">
        <v>4291</v>
      </c>
      <c r="BB819" s="1747" t="s">
        <v>4292</v>
      </c>
      <c r="BC819" s="1746" t="s">
        <v>2578</v>
      </c>
      <c r="BD819" s="1746" t="s">
        <v>2579</v>
      </c>
      <c r="BE819" s="1746" t="s">
        <v>3750</v>
      </c>
      <c r="BF819" s="1746">
        <v>0.21299999999999999</v>
      </c>
      <c r="BG819" s="1746" t="s">
        <v>2581</v>
      </c>
      <c r="BH819" s="1744">
        <f t="shared" si="88"/>
        <v>2.13E-4</v>
      </c>
      <c r="BI819" s="1745" t="str">
        <f t="shared" si="85"/>
        <v/>
      </c>
      <c r="BJ819" s="1740" t="str">
        <f t="shared" si="86"/>
        <v>EA-Cutting/shearing</v>
      </c>
      <c r="BK819" s="1740" t="str">
        <f t="shared" si="87"/>
        <v>Medical equipment</v>
      </c>
    </row>
    <row r="820" spans="51:63" ht="15.65" customHeight="1">
      <c r="AY820" s="1746" t="s">
        <v>2593</v>
      </c>
      <c r="AZ820" s="1746">
        <v>2008</v>
      </c>
      <c r="BA820" s="1746" t="s">
        <v>4293</v>
      </c>
      <c r="BB820" s="1747" t="s">
        <v>4294</v>
      </c>
      <c r="BC820" s="1746">
        <v>1</v>
      </c>
      <c r="BD820" s="1746" t="s">
        <v>2933</v>
      </c>
      <c r="BE820" s="1746"/>
      <c r="BF820" s="1746">
        <v>6.0000000000000002E-5</v>
      </c>
      <c r="BG820" s="1746" t="s">
        <v>2597</v>
      </c>
      <c r="BH820" s="1744">
        <f t="shared" si="88"/>
        <v>6.0000000000000002E-5</v>
      </c>
      <c r="BI820" s="1745">
        <f t="shared" si="85"/>
        <v>6.0000000000000002E-5</v>
      </c>
      <c r="BJ820" s="1740" t="str">
        <f t="shared" si="86"/>
        <v>piece</v>
      </c>
      <c r="BK820" s="1740" t="str">
        <f t="shared" si="87"/>
        <v>Medical equipment</v>
      </c>
    </row>
    <row r="821" spans="51:63" ht="15.65" customHeight="1">
      <c r="AY821" s="1746" t="s">
        <v>2593</v>
      </c>
      <c r="AZ821" s="1746">
        <v>2008</v>
      </c>
      <c r="BA821" s="1746" t="s">
        <v>4295</v>
      </c>
      <c r="BB821" s="1747" t="s">
        <v>4296</v>
      </c>
      <c r="BC821" s="1750">
        <v>1000</v>
      </c>
      <c r="BD821" s="1746" t="s">
        <v>2601</v>
      </c>
      <c r="BE821" s="1746"/>
      <c r="BF821" s="1746">
        <v>1.1199999999999999E-3</v>
      </c>
      <c r="BG821" s="1746" t="s">
        <v>2597</v>
      </c>
      <c r="BH821" s="1744">
        <f t="shared" si="88"/>
        <v>1.1199999999999999E-3</v>
      </c>
      <c r="BI821" s="1745">
        <f t="shared" si="85"/>
        <v>1.1199999999999999E-6</v>
      </c>
      <c r="BJ821" s="1740" t="str">
        <f t="shared" si="86"/>
        <v>tablets</v>
      </c>
      <c r="BK821" s="1740" t="str">
        <f t="shared" si="87"/>
        <v>Bottle of Tablets</v>
      </c>
    </row>
    <row r="822" spans="51:63" ht="15.65" customHeight="1">
      <c r="AY822" s="1746" t="s">
        <v>2588</v>
      </c>
      <c r="AZ822" s="1746">
        <v>2006</v>
      </c>
      <c r="BA822" s="1746" t="s">
        <v>4297</v>
      </c>
      <c r="BB822" s="1747" t="s">
        <v>4298</v>
      </c>
      <c r="BC822" s="1746">
        <v>1000</v>
      </c>
      <c r="BD822" s="1746" t="s">
        <v>2615</v>
      </c>
      <c r="BE822" s="1746"/>
      <c r="BF822" s="1746">
        <v>715</v>
      </c>
      <c r="BG822" s="1746" t="s">
        <v>2592</v>
      </c>
      <c r="BH822" s="1744">
        <f t="shared" si="88"/>
        <v>7.1500000000000003E-4</v>
      </c>
      <c r="BI822" s="1745">
        <f t="shared" si="85"/>
        <v>7.1500000000000004E-7</v>
      </c>
      <c r="BJ822" s="1740" t="str">
        <f t="shared" si="86"/>
        <v>tabs</v>
      </c>
      <c r="BK822" s="1740" t="str">
        <f t="shared" si="87"/>
        <v>Bottle of Tablets</v>
      </c>
    </row>
    <row r="823" spans="51:63" ht="15.65" customHeight="1">
      <c r="AY823" s="1746" t="s">
        <v>2575</v>
      </c>
      <c r="AZ823" s="1746">
        <v>2008</v>
      </c>
      <c r="BA823" s="1746" t="s">
        <v>4299</v>
      </c>
      <c r="BB823" s="1747" t="s">
        <v>4300</v>
      </c>
      <c r="BC823" s="1746" t="s">
        <v>2578</v>
      </c>
      <c r="BD823" s="1746" t="s">
        <v>2579</v>
      </c>
      <c r="BE823" s="1746" t="s">
        <v>3750</v>
      </c>
      <c r="BF823" s="1746">
        <v>1.6</v>
      </c>
      <c r="BG823" s="1746" t="s">
        <v>2581</v>
      </c>
      <c r="BH823" s="1744">
        <f t="shared" si="88"/>
        <v>1.6000000000000001E-3</v>
      </c>
      <c r="BI823" s="1745" t="str">
        <f t="shared" si="85"/>
        <v/>
      </c>
      <c r="BJ823" s="1740" t="str">
        <f t="shared" si="86"/>
        <v>EA-Cutting/shearing</v>
      </c>
      <c r="BK823" s="1740" t="str">
        <f t="shared" si="87"/>
        <v>Medical equipment</v>
      </c>
    </row>
    <row r="824" spans="51:63" ht="15.65" customHeight="1">
      <c r="AY824" s="1746" t="s">
        <v>2575</v>
      </c>
      <c r="AZ824" s="1746">
        <v>2008</v>
      </c>
      <c r="BA824" s="1746" t="s">
        <v>4301</v>
      </c>
      <c r="BB824" s="1747" t="s">
        <v>4302</v>
      </c>
      <c r="BC824" s="1746" t="s">
        <v>2578</v>
      </c>
      <c r="BD824" s="1746" t="s">
        <v>2579</v>
      </c>
      <c r="BE824" s="1746" t="s">
        <v>3133</v>
      </c>
      <c r="BF824" s="1746">
        <v>0.08</v>
      </c>
      <c r="BG824" s="1746" t="s">
        <v>2581</v>
      </c>
      <c r="BH824" s="1744">
        <f t="shared" si="88"/>
        <v>8.0000000000000007E-5</v>
      </c>
      <c r="BI824" s="1745" t="str">
        <f t="shared" si="85"/>
        <v/>
      </c>
      <c r="BJ824" s="1740" t="str">
        <f t="shared" si="86"/>
        <v>EA-Misc. renew. plastic</v>
      </c>
      <c r="BK824" s="1740" t="str">
        <f t="shared" si="87"/>
        <v>Medical equipment</v>
      </c>
    </row>
    <row r="825" spans="51:63" ht="15.65" customHeight="1">
      <c r="AY825" s="1746" t="s">
        <v>2588</v>
      </c>
      <c r="AZ825" s="1746">
        <v>2006</v>
      </c>
      <c r="BA825" s="1746" t="s">
        <v>4303</v>
      </c>
      <c r="BB825" s="1747" t="s">
        <v>4304</v>
      </c>
      <c r="BC825" s="1746">
        <v>1</v>
      </c>
      <c r="BD825" s="1746" t="s">
        <v>2724</v>
      </c>
      <c r="BE825" s="1746"/>
      <c r="BF825" s="1746">
        <v>725000</v>
      </c>
      <c r="BG825" s="1746" t="s">
        <v>2592</v>
      </c>
      <c r="BH825" s="1744">
        <f t="shared" si="88"/>
        <v>0.72499999999999998</v>
      </c>
      <c r="BI825" s="1745">
        <f t="shared" si="85"/>
        <v>0.72499999999999998</v>
      </c>
      <c r="BJ825" s="1740" t="str">
        <f t="shared" si="86"/>
        <v>pce</v>
      </c>
      <c r="BK825" s="1740" t="str">
        <f t="shared" si="87"/>
        <v>Roll of tape/gauze</v>
      </c>
    </row>
    <row r="826" spans="51:63" ht="15.65" customHeight="1">
      <c r="AY826" s="1746" t="s">
        <v>2588</v>
      </c>
      <c r="AZ826" s="1746">
        <v>2006</v>
      </c>
      <c r="BA826" s="1746" t="s">
        <v>4305</v>
      </c>
      <c r="BB826" s="1747" t="s">
        <v>4306</v>
      </c>
      <c r="BC826" s="1746">
        <v>1</v>
      </c>
      <c r="BD826" s="1746" t="s">
        <v>2724</v>
      </c>
      <c r="BE826" s="1746"/>
      <c r="BF826" s="1746">
        <v>850000</v>
      </c>
      <c r="BG826" s="1746" t="s">
        <v>2592</v>
      </c>
      <c r="BH826" s="1744">
        <f t="shared" si="88"/>
        <v>0.85</v>
      </c>
      <c r="BI826" s="1745">
        <f t="shared" si="85"/>
        <v>0.85</v>
      </c>
      <c r="BJ826" s="1740" t="str">
        <f t="shared" si="86"/>
        <v>pce</v>
      </c>
      <c r="BK826" s="1740" t="str">
        <f t="shared" si="87"/>
        <v>Roll of tape/gauze</v>
      </c>
    </row>
    <row r="827" spans="51:63" ht="15.65" customHeight="1">
      <c r="AY827" s="1746" t="s">
        <v>2593</v>
      </c>
      <c r="AZ827" s="1746">
        <v>2008</v>
      </c>
      <c r="BA827" s="1746" t="s">
        <v>4307</v>
      </c>
      <c r="BB827" s="1747" t="s">
        <v>4308</v>
      </c>
      <c r="BC827" s="1746">
        <v>12</v>
      </c>
      <c r="BD827" s="1746" t="s">
        <v>2930</v>
      </c>
      <c r="BE827" s="1746"/>
      <c r="BF827" s="1746">
        <v>4.6999999999999999E-4</v>
      </c>
      <c r="BG827" s="1746" t="s">
        <v>2597</v>
      </c>
      <c r="BH827" s="1744">
        <f t="shared" si="88"/>
        <v>4.6999999999999999E-4</v>
      </c>
      <c r="BI827" s="1745">
        <f t="shared" si="85"/>
        <v>3.9166666666666665E-5</v>
      </c>
      <c r="BJ827" s="1740" t="str">
        <f t="shared" si="86"/>
        <v>pieces</v>
      </c>
      <c r="BK827" s="1740" t="str">
        <f t="shared" si="87"/>
        <v>Medical equipment</v>
      </c>
    </row>
    <row r="828" spans="51:63" ht="15.65" customHeight="1">
      <c r="AY828" s="1746" t="s">
        <v>2593</v>
      </c>
      <c r="AZ828" s="1746">
        <v>2008</v>
      </c>
      <c r="BA828" s="1746" t="s">
        <v>4309</v>
      </c>
      <c r="BB828" s="1747" t="s">
        <v>4310</v>
      </c>
      <c r="BC828" s="1746">
        <v>12</v>
      </c>
      <c r="BD828" s="1746" t="s">
        <v>2930</v>
      </c>
      <c r="BE828" s="1746"/>
      <c r="BF828" s="1746">
        <v>4.0000000000000002E-4</v>
      </c>
      <c r="BG828" s="1746" t="s">
        <v>2597</v>
      </c>
      <c r="BH828" s="1744">
        <f t="shared" si="88"/>
        <v>4.0000000000000002E-4</v>
      </c>
      <c r="BI828" s="1745">
        <f t="shared" si="85"/>
        <v>3.3333333333333335E-5</v>
      </c>
      <c r="BJ828" s="1740" t="str">
        <f t="shared" si="86"/>
        <v>pieces</v>
      </c>
      <c r="BK828" s="1740" t="str">
        <f t="shared" si="87"/>
        <v>Medical equipment</v>
      </c>
    </row>
    <row r="829" spans="51:63" ht="15.65" customHeight="1">
      <c r="AY829" s="1746" t="s">
        <v>2593</v>
      </c>
      <c r="AZ829" s="1746">
        <v>2008</v>
      </c>
      <c r="BA829" s="1746" t="s">
        <v>4311</v>
      </c>
      <c r="BB829" s="1747" t="s">
        <v>4312</v>
      </c>
      <c r="BC829" s="1746">
        <v>12</v>
      </c>
      <c r="BD829" s="1746" t="s">
        <v>2930</v>
      </c>
      <c r="BE829" s="1746"/>
      <c r="BF829" s="1746">
        <v>4.8000000000000001E-4</v>
      </c>
      <c r="BG829" s="1746" t="s">
        <v>2597</v>
      </c>
      <c r="BH829" s="1744">
        <f t="shared" si="88"/>
        <v>4.8000000000000001E-4</v>
      </c>
      <c r="BI829" s="1745">
        <f t="shared" si="85"/>
        <v>4.0000000000000003E-5</v>
      </c>
      <c r="BJ829" s="1740" t="str">
        <f t="shared" si="86"/>
        <v>pieces</v>
      </c>
      <c r="BK829" s="1740" t="str">
        <f t="shared" si="87"/>
        <v>Medical equipment</v>
      </c>
    </row>
    <row r="830" spans="51:63" ht="15.65" customHeight="1">
      <c r="AY830" s="1746" t="s">
        <v>2593</v>
      </c>
      <c r="AZ830" s="1746">
        <v>2008</v>
      </c>
      <c r="BA830" s="1746" t="s">
        <v>4313</v>
      </c>
      <c r="BB830" s="1747" t="s">
        <v>4314</v>
      </c>
      <c r="BC830" s="1746">
        <v>12</v>
      </c>
      <c r="BD830" s="1746" t="s">
        <v>2930</v>
      </c>
      <c r="BE830" s="1746"/>
      <c r="BF830" s="1746">
        <v>4.8999999999999998E-4</v>
      </c>
      <c r="BG830" s="1746" t="s">
        <v>2597</v>
      </c>
      <c r="BH830" s="1744">
        <f t="shared" si="88"/>
        <v>4.8999999999999998E-4</v>
      </c>
      <c r="BI830" s="1745">
        <f t="shared" si="85"/>
        <v>4.0833333333333334E-5</v>
      </c>
      <c r="BJ830" s="1740" t="str">
        <f t="shared" si="86"/>
        <v>pieces</v>
      </c>
      <c r="BK830" s="1740" t="str">
        <f t="shared" si="87"/>
        <v>Medical equipment</v>
      </c>
    </row>
    <row r="831" spans="51:63" ht="15.65" customHeight="1">
      <c r="AY831" s="1746" t="s">
        <v>2593</v>
      </c>
      <c r="AZ831" s="1746">
        <v>2008</v>
      </c>
      <c r="BA831" s="1746" t="s">
        <v>4315</v>
      </c>
      <c r="BB831" s="1747" t="s">
        <v>4316</v>
      </c>
      <c r="BC831" s="1746">
        <v>12</v>
      </c>
      <c r="BD831" s="1746" t="s">
        <v>2930</v>
      </c>
      <c r="BE831" s="1746"/>
      <c r="BF831" s="1746">
        <v>3.6999999999999999E-4</v>
      </c>
      <c r="BG831" s="1746" t="s">
        <v>2597</v>
      </c>
      <c r="BH831" s="1744">
        <f t="shared" si="88"/>
        <v>3.6999999999999999E-4</v>
      </c>
      <c r="BI831" s="1745">
        <f t="shared" si="85"/>
        <v>3.0833333333333335E-5</v>
      </c>
      <c r="BJ831" s="1740" t="str">
        <f t="shared" si="86"/>
        <v>pieces</v>
      </c>
      <c r="BK831" s="1740" t="str">
        <f t="shared" si="87"/>
        <v>Medical equipment</v>
      </c>
    </row>
    <row r="832" spans="51:63" ht="15.65" customHeight="1">
      <c r="AY832" s="1746" t="s">
        <v>2593</v>
      </c>
      <c r="AZ832" s="1746">
        <v>2008</v>
      </c>
      <c r="BA832" s="1746" t="s">
        <v>4317</v>
      </c>
      <c r="BB832" s="1747" t="s">
        <v>4318</v>
      </c>
      <c r="BC832" s="1746">
        <v>12</v>
      </c>
      <c r="BD832" s="1746" t="s">
        <v>2930</v>
      </c>
      <c r="BE832" s="1746"/>
      <c r="BF832" s="1746">
        <v>4.6999999999999999E-4</v>
      </c>
      <c r="BG832" s="1746" t="s">
        <v>2597</v>
      </c>
      <c r="BH832" s="1744">
        <f t="shared" si="88"/>
        <v>4.6999999999999999E-4</v>
      </c>
      <c r="BI832" s="1745">
        <f t="shared" si="85"/>
        <v>3.9166666666666665E-5</v>
      </c>
      <c r="BJ832" s="1740" t="str">
        <f t="shared" si="86"/>
        <v>pieces</v>
      </c>
      <c r="BK832" s="1740" t="str">
        <f t="shared" si="87"/>
        <v>Medical equipment</v>
      </c>
    </row>
    <row r="833" spans="51:63" ht="15.65" customHeight="1">
      <c r="AY833" s="1746" t="s">
        <v>2593</v>
      </c>
      <c r="AZ833" s="1746">
        <v>2008</v>
      </c>
      <c r="BA833" s="1746" t="s">
        <v>4319</v>
      </c>
      <c r="BB833" s="1747" t="s">
        <v>4320</v>
      </c>
      <c r="BC833" s="1746">
        <v>12</v>
      </c>
      <c r="BD833" s="1746" t="s">
        <v>2930</v>
      </c>
      <c r="BE833" s="1746"/>
      <c r="BF833" s="1746">
        <v>5.6999999999999998E-4</v>
      </c>
      <c r="BG833" s="1746" t="s">
        <v>2597</v>
      </c>
      <c r="BH833" s="1744">
        <f t="shared" si="88"/>
        <v>5.6999999999999998E-4</v>
      </c>
      <c r="BI833" s="1745">
        <f t="shared" si="85"/>
        <v>4.7499999999999996E-5</v>
      </c>
      <c r="BJ833" s="1740" t="str">
        <f t="shared" si="86"/>
        <v>pieces</v>
      </c>
      <c r="BK833" s="1740" t="str">
        <f t="shared" si="87"/>
        <v>Medical equipment</v>
      </c>
    </row>
    <row r="834" spans="51:63" ht="15.65" customHeight="1">
      <c r="AY834" s="1746" t="s">
        <v>2593</v>
      </c>
      <c r="AZ834" s="1746">
        <v>2008</v>
      </c>
      <c r="BA834" s="1746" t="s">
        <v>4321</v>
      </c>
      <c r="BB834" s="1747" t="s">
        <v>4322</v>
      </c>
      <c r="BC834" s="1746">
        <v>12</v>
      </c>
      <c r="BD834" s="1746" t="s">
        <v>2930</v>
      </c>
      <c r="BE834" s="1746"/>
      <c r="BF834" s="1746">
        <v>4.6000000000000001E-4</v>
      </c>
      <c r="BG834" s="1746" t="s">
        <v>2597</v>
      </c>
      <c r="BH834" s="1744">
        <f t="shared" si="88"/>
        <v>4.6000000000000001E-4</v>
      </c>
      <c r="BI834" s="1745">
        <f t="shared" si="85"/>
        <v>3.8333333333333334E-5</v>
      </c>
      <c r="BJ834" s="1740" t="str">
        <f t="shared" si="86"/>
        <v>pieces</v>
      </c>
      <c r="BK834" s="1740" t="str">
        <f t="shared" si="87"/>
        <v>Medical equipment</v>
      </c>
    </row>
    <row r="835" spans="51:63" ht="15.65" customHeight="1">
      <c r="AY835" s="1746" t="s">
        <v>2593</v>
      </c>
      <c r="AZ835" s="1746">
        <v>2008</v>
      </c>
      <c r="BA835" s="1746" t="s">
        <v>4323</v>
      </c>
      <c r="BB835" s="1747" t="s">
        <v>4324</v>
      </c>
      <c r="BC835" s="1746">
        <v>12</v>
      </c>
      <c r="BD835" s="1746" t="s">
        <v>2930</v>
      </c>
      <c r="BE835" s="1746"/>
      <c r="BF835" s="1746">
        <v>3.6999999999999999E-4</v>
      </c>
      <c r="BG835" s="1746" t="s">
        <v>2597</v>
      </c>
      <c r="BH835" s="1744">
        <f t="shared" si="88"/>
        <v>3.6999999999999999E-4</v>
      </c>
      <c r="BI835" s="1745">
        <f t="shared" si="85"/>
        <v>3.0833333333333335E-5</v>
      </c>
      <c r="BJ835" s="1740" t="str">
        <f t="shared" si="86"/>
        <v>pieces</v>
      </c>
      <c r="BK835" s="1740" t="str">
        <f t="shared" si="87"/>
        <v>Medical equipment</v>
      </c>
    </row>
    <row r="836" spans="51:63" ht="15.65" customHeight="1">
      <c r="AY836" s="1746" t="s">
        <v>2593</v>
      </c>
      <c r="AZ836" s="1746">
        <v>2008</v>
      </c>
      <c r="BA836" s="1746" t="s">
        <v>4325</v>
      </c>
      <c r="BB836" s="1747" t="s">
        <v>4326</v>
      </c>
      <c r="BC836" s="1746">
        <v>12</v>
      </c>
      <c r="BD836" s="1746" t="s">
        <v>2930</v>
      </c>
      <c r="BE836" s="1746"/>
      <c r="BF836" s="1746">
        <v>3.6999999999999999E-4</v>
      </c>
      <c r="BG836" s="1746" t="s">
        <v>2597</v>
      </c>
      <c r="BH836" s="1744">
        <f t="shared" si="88"/>
        <v>3.6999999999999999E-4</v>
      </c>
      <c r="BI836" s="1745">
        <f t="shared" si="85"/>
        <v>3.0833333333333335E-5</v>
      </c>
      <c r="BJ836" s="1740" t="str">
        <f t="shared" si="86"/>
        <v>pieces</v>
      </c>
      <c r="BK836" s="1740" t="str">
        <f t="shared" si="87"/>
        <v>Medical equipment</v>
      </c>
    </row>
    <row r="837" spans="51:63" ht="15.65" customHeight="1">
      <c r="AY837" s="1746" t="s">
        <v>2593</v>
      </c>
      <c r="AZ837" s="1746">
        <v>2008</v>
      </c>
      <c r="BA837" s="1746" t="s">
        <v>4327</v>
      </c>
      <c r="BB837" s="1747" t="s">
        <v>4328</v>
      </c>
      <c r="BC837" s="1746">
        <v>12</v>
      </c>
      <c r="BD837" s="1746" t="s">
        <v>2930</v>
      </c>
      <c r="BE837" s="1746"/>
      <c r="BF837" s="1746">
        <v>5.5999999999999995E-4</v>
      </c>
      <c r="BG837" s="1746" t="s">
        <v>2597</v>
      </c>
      <c r="BH837" s="1744">
        <f t="shared" si="88"/>
        <v>5.5999999999999995E-4</v>
      </c>
      <c r="BI837" s="1745">
        <f t="shared" si="85"/>
        <v>4.6666666666666665E-5</v>
      </c>
      <c r="BJ837" s="1740" t="str">
        <f t="shared" si="86"/>
        <v>pieces</v>
      </c>
      <c r="BK837" s="1740" t="str">
        <f t="shared" si="87"/>
        <v>Medical equipment</v>
      </c>
    </row>
    <row r="838" spans="51:63" ht="15.65" customHeight="1">
      <c r="AY838" s="1746" t="s">
        <v>2588</v>
      </c>
      <c r="AZ838" s="1746">
        <v>2006</v>
      </c>
      <c r="BA838" s="1746" t="s">
        <v>4329</v>
      </c>
      <c r="BB838" s="1747" t="s">
        <v>4330</v>
      </c>
      <c r="BC838" s="1746">
        <v>10</v>
      </c>
      <c r="BD838" s="1746" t="s">
        <v>2671</v>
      </c>
      <c r="BE838" s="1746"/>
      <c r="BF838" s="1746">
        <v>2313.6</v>
      </c>
      <c r="BG838" s="1746" t="s">
        <v>2592</v>
      </c>
      <c r="BH838" s="1744">
        <f t="shared" si="88"/>
        <v>2.3135999999999999E-3</v>
      </c>
      <c r="BI838" s="1745">
        <f t="shared" si="85"/>
        <v>2.3135999999999998E-4</v>
      </c>
      <c r="BJ838" s="1740" t="str">
        <f t="shared" si="86"/>
        <v>tubes</v>
      </c>
      <c r="BK838" s="1740" t="str">
        <f t="shared" si="87"/>
        <v>Tube of ointment</v>
      </c>
    </row>
    <row r="839" spans="51:63" ht="15.65" customHeight="1">
      <c r="AY839" s="1746" t="s">
        <v>2575</v>
      </c>
      <c r="AZ839" s="1746">
        <v>2008</v>
      </c>
      <c r="BA839" s="1746" t="s">
        <v>4331</v>
      </c>
      <c r="BB839" s="1747" t="s">
        <v>4332</v>
      </c>
      <c r="BC839" s="1746" t="s">
        <v>2578</v>
      </c>
      <c r="BD839" s="1746" t="s">
        <v>2680</v>
      </c>
      <c r="BE839" s="1746" t="s">
        <v>3209</v>
      </c>
      <c r="BF839" s="1746">
        <v>0.2</v>
      </c>
      <c r="BG839" s="1746" t="s">
        <v>2581</v>
      </c>
      <c r="BH839" s="1744">
        <f t="shared" si="88"/>
        <v>2.0000000000000001E-4</v>
      </c>
      <c r="BI839" s="1745" t="str">
        <f t="shared" si="85"/>
        <v/>
      </c>
      <c r="BJ839" s="1740" t="str">
        <f t="shared" si="86"/>
        <v>TBE-Dermatological drugs</v>
      </c>
      <c r="BK839" s="1740" t="str">
        <f t="shared" si="87"/>
        <v>Tube of ointment</v>
      </c>
    </row>
    <row r="840" spans="51:63" ht="15.65" customHeight="1">
      <c r="AY840" s="1746" t="s">
        <v>2593</v>
      </c>
      <c r="AZ840" s="1746">
        <v>2008</v>
      </c>
      <c r="BA840" s="1746" t="s">
        <v>4333</v>
      </c>
      <c r="BB840" s="1747" t="s">
        <v>4334</v>
      </c>
      <c r="BC840" s="1746">
        <v>1</v>
      </c>
      <c r="BD840" s="1746" t="s">
        <v>2676</v>
      </c>
      <c r="BE840" s="1746"/>
      <c r="BF840" s="1746">
        <v>2.3000000000000001E-4</v>
      </c>
      <c r="BG840" s="1746" t="s">
        <v>2597</v>
      </c>
      <c r="BH840" s="1744">
        <f t="shared" si="88"/>
        <v>2.3000000000000001E-4</v>
      </c>
      <c r="BI840" s="1745">
        <f t="shared" si="85"/>
        <v>2.3000000000000001E-4</v>
      </c>
      <c r="BJ840" s="1740" t="str">
        <f t="shared" si="86"/>
        <v>tube</v>
      </c>
      <c r="BK840" s="1740" t="str">
        <f t="shared" si="87"/>
        <v>Tube of ointment</v>
      </c>
    </row>
    <row r="841" spans="51:63" ht="15.65" customHeight="1">
      <c r="AY841" s="1746" t="s">
        <v>2593</v>
      </c>
      <c r="AZ841" s="1746">
        <v>2008</v>
      </c>
      <c r="BA841" s="1746" t="s">
        <v>4335</v>
      </c>
      <c r="BB841" s="1747" t="s">
        <v>4336</v>
      </c>
      <c r="BC841" s="1746">
        <v>1</v>
      </c>
      <c r="BD841" s="1746" t="s">
        <v>2933</v>
      </c>
      <c r="BE841" s="1746"/>
      <c r="BF841" s="1746">
        <v>1.6000000000000001E-4</v>
      </c>
      <c r="BG841" s="1746" t="s">
        <v>2597</v>
      </c>
      <c r="BH841" s="1744">
        <f t="shared" si="88"/>
        <v>1.6000000000000001E-4</v>
      </c>
      <c r="BI841" s="1745">
        <f t="shared" si="85"/>
        <v>1.6000000000000001E-4</v>
      </c>
      <c r="BJ841" s="1740" t="str">
        <f t="shared" si="86"/>
        <v>piece</v>
      </c>
      <c r="BK841" s="1740" t="str">
        <f t="shared" si="87"/>
        <v>Medical equipment</v>
      </c>
    </row>
    <row r="842" spans="51:63" ht="15.65" customHeight="1">
      <c r="AY842" s="1746" t="s">
        <v>2593</v>
      </c>
      <c r="AZ842" s="1746">
        <v>2008</v>
      </c>
      <c r="BA842" s="1746" t="s">
        <v>4337</v>
      </c>
      <c r="BB842" s="1747" t="s">
        <v>4338</v>
      </c>
      <c r="BC842" s="1746">
        <v>1</v>
      </c>
      <c r="BD842" s="1746" t="s">
        <v>2933</v>
      </c>
      <c r="BE842" s="1746"/>
      <c r="BF842" s="1746">
        <v>4.0999999999999999E-4</v>
      </c>
      <c r="BG842" s="1746" t="s">
        <v>2597</v>
      </c>
      <c r="BH842" s="1744">
        <f t="shared" si="88"/>
        <v>4.0999999999999999E-4</v>
      </c>
      <c r="BI842" s="1745">
        <f t="shared" si="85"/>
        <v>4.0999999999999999E-4</v>
      </c>
      <c r="BJ842" s="1740" t="str">
        <f t="shared" si="86"/>
        <v>piece</v>
      </c>
      <c r="BK842" s="1740" t="str">
        <f t="shared" si="87"/>
        <v>Medical equipment</v>
      </c>
    </row>
    <row r="843" spans="51:63" ht="15.65" customHeight="1">
      <c r="AY843" s="1746" t="s">
        <v>2575</v>
      </c>
      <c r="AZ843" s="1746">
        <v>2008</v>
      </c>
      <c r="BA843" s="1746" t="s">
        <v>4339</v>
      </c>
      <c r="BB843" s="1747" t="s">
        <v>4340</v>
      </c>
      <c r="BC843" s="1746" t="s">
        <v>2578</v>
      </c>
      <c r="BD843" s="1746" t="s">
        <v>2579</v>
      </c>
      <c r="BE843" s="1746" t="s">
        <v>3281</v>
      </c>
      <c r="BF843" s="1746">
        <v>0.19600000000000001</v>
      </c>
      <c r="BG843" s="1746" t="s">
        <v>2581</v>
      </c>
      <c r="BH843" s="1744">
        <f t="shared" si="88"/>
        <v>1.9600000000000002E-4</v>
      </c>
      <c r="BI843" s="1745" t="str">
        <f t="shared" si="85"/>
        <v/>
      </c>
      <c r="BJ843" s="1740" t="str">
        <f t="shared" si="86"/>
        <v>EA-Misc. dressing</v>
      </c>
      <c r="BK843" s="1740" t="str">
        <f t="shared" si="87"/>
        <v>Roll of Tape/Gauze</v>
      </c>
    </row>
    <row r="844" spans="51:63" ht="15.65" customHeight="1">
      <c r="AY844" s="1746" t="s">
        <v>2575</v>
      </c>
      <c r="AZ844" s="1746">
        <v>2008</v>
      </c>
      <c r="BA844" s="1746" t="s">
        <v>4341</v>
      </c>
      <c r="BB844" s="1747" t="s">
        <v>4342</v>
      </c>
      <c r="BC844" s="1746" t="s">
        <v>2578</v>
      </c>
      <c r="BD844" s="1746" t="s">
        <v>2903</v>
      </c>
      <c r="BE844" s="1746" t="s">
        <v>3582</v>
      </c>
      <c r="BF844" s="1746">
        <v>31</v>
      </c>
      <c r="BG844" s="1746" t="s">
        <v>2581</v>
      </c>
      <c r="BH844" s="1744">
        <f t="shared" si="88"/>
        <v>3.1E-2</v>
      </c>
      <c r="BI844" s="1745" t="str">
        <f t="shared" si="85"/>
        <v/>
      </c>
      <c r="BJ844" s="1740" t="str">
        <f t="shared" si="86"/>
        <v>BOX-Water &amp; electrolytes</v>
      </c>
      <c r="BK844" s="1740" t="str">
        <f t="shared" si="87"/>
        <v>Sachet of Powder</v>
      </c>
    </row>
    <row r="845" spans="51:63" ht="15.65" customHeight="1">
      <c r="AY845" s="1746" t="s">
        <v>2575</v>
      </c>
      <c r="AZ845" s="1746">
        <v>2008</v>
      </c>
      <c r="BA845" s="1746" t="s">
        <v>4343</v>
      </c>
      <c r="BB845" s="1747" t="s">
        <v>4344</v>
      </c>
      <c r="BC845" s="1746" t="s">
        <v>2578</v>
      </c>
      <c r="BD845" s="1746" t="s">
        <v>2903</v>
      </c>
      <c r="BE845" s="1746" t="s">
        <v>3582</v>
      </c>
      <c r="BF845" s="1753">
        <v>44400</v>
      </c>
      <c r="BG845" s="1746" t="s">
        <v>2592</v>
      </c>
      <c r="BH845" s="1744">
        <f t="shared" si="88"/>
        <v>4.4400000000000002E-2</v>
      </c>
      <c r="BI845" s="1745" t="str">
        <f t="shared" si="85"/>
        <v/>
      </c>
      <c r="BJ845" s="1740" t="str">
        <f t="shared" si="86"/>
        <v>BOX-Water &amp; electrolytes</v>
      </c>
      <c r="BK845" s="1740" t="str">
        <f t="shared" si="87"/>
        <v>Sachet of Powder</v>
      </c>
    </row>
    <row r="846" spans="51:63" ht="15.65" customHeight="1">
      <c r="AY846" s="1746" t="s">
        <v>2593</v>
      </c>
      <c r="AZ846" s="1746">
        <v>2008</v>
      </c>
      <c r="BA846" s="1746" t="s">
        <v>4345</v>
      </c>
      <c r="BB846" s="1747" t="s">
        <v>4346</v>
      </c>
      <c r="BC846" s="1746">
        <v>100</v>
      </c>
      <c r="BD846" s="1746" t="s">
        <v>2727</v>
      </c>
      <c r="BE846" s="1746"/>
      <c r="BF846" s="1746">
        <v>4.6899999999999997E-3</v>
      </c>
      <c r="BG846" s="1746" t="s">
        <v>2597</v>
      </c>
      <c r="BH846" s="1744">
        <f t="shared" si="88"/>
        <v>4.6899999999999997E-3</v>
      </c>
      <c r="BI846" s="1745">
        <f t="shared" si="85"/>
        <v>4.6899999999999995E-5</v>
      </c>
      <c r="BJ846" s="1740" t="str">
        <f t="shared" si="86"/>
        <v>ampoules</v>
      </c>
      <c r="BK846" s="1740" t="str">
        <f t="shared" si="87"/>
        <v>Injection Vial</v>
      </c>
    </row>
    <row r="847" spans="51:63" ht="15.65" customHeight="1">
      <c r="AY847" s="1746" t="s">
        <v>2588</v>
      </c>
      <c r="AZ847" s="1746">
        <v>2006</v>
      </c>
      <c r="BA847" s="1746" t="s">
        <v>4347</v>
      </c>
      <c r="BB847" s="1747" t="s">
        <v>4348</v>
      </c>
      <c r="BC847" s="1746">
        <v>50</v>
      </c>
      <c r="BD847" s="1746" t="s">
        <v>2790</v>
      </c>
      <c r="BE847" s="1746"/>
      <c r="BF847" s="1746">
        <v>7788</v>
      </c>
      <c r="BG847" s="1746" t="s">
        <v>2592</v>
      </c>
      <c r="BH847" s="1744">
        <f t="shared" si="88"/>
        <v>7.7879999999999998E-3</v>
      </c>
      <c r="BI847" s="1745">
        <f t="shared" si="85"/>
        <v>1.5575999999999999E-4</v>
      </c>
      <c r="BJ847" s="1740" t="str">
        <f t="shared" si="86"/>
        <v>amps</v>
      </c>
      <c r="BK847" s="1740" t="str">
        <f t="shared" si="87"/>
        <v>Injection Vial</v>
      </c>
    </row>
    <row r="848" spans="51:63" ht="15.65" customHeight="1">
      <c r="AY848" s="1746" t="s">
        <v>2575</v>
      </c>
      <c r="AZ848" s="1746">
        <v>2008</v>
      </c>
      <c r="BA848" s="1746" t="s">
        <v>4349</v>
      </c>
      <c r="BB848" s="1747" t="s">
        <v>4350</v>
      </c>
      <c r="BC848" s="1746" t="s">
        <v>2578</v>
      </c>
      <c r="BD848" s="1746" t="s">
        <v>2903</v>
      </c>
      <c r="BE848" s="1746" t="s">
        <v>3582</v>
      </c>
      <c r="BF848" s="1746">
        <v>3.2000000000000001E-2</v>
      </c>
      <c r="BG848" s="1746" t="s">
        <v>2597</v>
      </c>
      <c r="BH848" s="1744">
        <f t="shared" si="88"/>
        <v>3.2000000000000001E-2</v>
      </c>
      <c r="BI848" s="1745" t="str">
        <f t="shared" si="85"/>
        <v/>
      </c>
      <c r="BJ848" s="1740" t="str">
        <f t="shared" si="86"/>
        <v>BOX-Water &amp; electrolytes</v>
      </c>
      <c r="BK848" s="1740" t="str">
        <f t="shared" si="87"/>
        <v>Sachet of Powder</v>
      </c>
    </row>
    <row r="849" spans="51:63" ht="15.65" customHeight="1">
      <c r="AY849" s="1746" t="s">
        <v>2593</v>
      </c>
      <c r="AZ849" s="1746">
        <v>2008</v>
      </c>
      <c r="BA849" s="1746" t="s">
        <v>4351</v>
      </c>
      <c r="BB849" s="1747" t="s">
        <v>4352</v>
      </c>
      <c r="BC849" s="1746">
        <v>1</v>
      </c>
      <c r="BD849" s="1746" t="s">
        <v>2596</v>
      </c>
      <c r="BE849" s="1746"/>
      <c r="BF849" s="1746">
        <v>2.0300000000000001E-3</v>
      </c>
      <c r="BG849" s="1746" t="s">
        <v>2597</v>
      </c>
      <c r="BH849" s="1744">
        <f t="shared" si="88"/>
        <v>2.0300000000000001E-3</v>
      </c>
      <c r="BI849" s="1745">
        <f t="shared" si="85"/>
        <v>2.0300000000000001E-3</v>
      </c>
      <c r="BJ849" s="1740" t="str">
        <f t="shared" si="86"/>
        <v>bottle</v>
      </c>
      <c r="BK849" s="1740" t="str">
        <f t="shared" si="87"/>
        <v>Bottle of Liquid</v>
      </c>
    </row>
    <row r="850" spans="51:63" ht="15.65" customHeight="1">
      <c r="AY850" s="1746" t="s">
        <v>2593</v>
      </c>
      <c r="AZ850" s="1746">
        <v>2008</v>
      </c>
      <c r="BA850" s="1746" t="s">
        <v>4353</v>
      </c>
      <c r="BB850" s="1747" t="s">
        <v>4352</v>
      </c>
      <c r="BC850" s="1746">
        <v>1</v>
      </c>
      <c r="BD850" s="1746" t="s">
        <v>2596</v>
      </c>
      <c r="BE850" s="1746"/>
      <c r="BF850" s="1746">
        <v>2E-3</v>
      </c>
      <c r="BG850" s="1746" t="s">
        <v>2597</v>
      </c>
      <c r="BH850" s="1744">
        <f t="shared" si="88"/>
        <v>2E-3</v>
      </c>
      <c r="BI850" s="1745">
        <f t="shared" si="85"/>
        <v>2E-3</v>
      </c>
      <c r="BJ850" s="1740" t="str">
        <f t="shared" si="86"/>
        <v>bottle</v>
      </c>
      <c r="BK850" s="1740" t="str">
        <f t="shared" si="87"/>
        <v>Bottle of Liquid</v>
      </c>
    </row>
    <row r="851" spans="51:63" ht="15.65" customHeight="1">
      <c r="AY851" s="1746" t="s">
        <v>2588</v>
      </c>
      <c r="AZ851" s="1746">
        <v>2006</v>
      </c>
      <c r="BA851" s="1746" t="s">
        <v>4354</v>
      </c>
      <c r="BB851" s="1747" t="s">
        <v>4355</v>
      </c>
      <c r="BC851" s="1746">
        <v>12</v>
      </c>
      <c r="BD851" s="1746" t="s">
        <v>3369</v>
      </c>
      <c r="BE851" s="1746"/>
      <c r="BF851" s="1746">
        <v>33930</v>
      </c>
      <c r="BG851" s="1746" t="s">
        <v>2592</v>
      </c>
      <c r="BH851" s="1744">
        <f t="shared" si="88"/>
        <v>3.3930000000000002E-2</v>
      </c>
      <c r="BI851" s="1745">
        <f t="shared" ref="BI851:BI914" si="89">IFERROR(BH851/BC851,"")</f>
        <v>2.8275000000000002E-3</v>
      </c>
      <c r="BJ851" s="1740" t="str">
        <f t="shared" ref="BJ851:BJ914" si="90">IF(BE851="",BD851,BD851&amp;"-"&amp;BE851)</f>
        <v>bags</v>
      </c>
      <c r="BK851" s="1740" t="str">
        <f t="shared" si="87"/>
        <v>Intravenous Bag</v>
      </c>
    </row>
    <row r="852" spans="51:63" ht="15.65" customHeight="1">
      <c r="AY852" s="1746" t="s">
        <v>2588</v>
      </c>
      <c r="AZ852" s="1746">
        <v>2006</v>
      </c>
      <c r="BA852" s="1746" t="s">
        <v>4356</v>
      </c>
      <c r="BB852" s="1747" t="s">
        <v>4357</v>
      </c>
      <c r="BC852" s="1746">
        <v>12</v>
      </c>
      <c r="BD852" s="1746" t="s">
        <v>2836</v>
      </c>
      <c r="BE852" s="1746"/>
      <c r="BF852" s="1746">
        <v>28166</v>
      </c>
      <c r="BG852" s="1746" t="s">
        <v>2592</v>
      </c>
      <c r="BH852" s="1744">
        <f t="shared" si="88"/>
        <v>2.8166E-2</v>
      </c>
      <c r="BI852" s="1745">
        <f t="shared" si="89"/>
        <v>2.3471666666666667E-3</v>
      </c>
      <c r="BJ852" s="1740" t="str">
        <f t="shared" si="90"/>
        <v>btls</v>
      </c>
      <c r="BK852" s="1740" t="str">
        <f t="shared" ref="BK852:BK915" si="91">IFERROR(INDEX($BO$18:$BO$136,MATCH(BJ852,$BN$18:$BN$136,0)),"")</f>
        <v>Bottle of Liquid</v>
      </c>
    </row>
    <row r="853" spans="51:63" ht="15.65" customHeight="1">
      <c r="AY853" s="1746" t="s">
        <v>2593</v>
      </c>
      <c r="AZ853" s="1746">
        <v>2008</v>
      </c>
      <c r="BA853" s="1746" t="s">
        <v>4358</v>
      </c>
      <c r="BB853" s="1747" t="s">
        <v>4359</v>
      </c>
      <c r="BC853" s="1746">
        <v>1</v>
      </c>
      <c r="BD853" s="1746" t="s">
        <v>2596</v>
      </c>
      <c r="BE853" s="1746"/>
      <c r="BF853" s="1746">
        <v>1.15E-3</v>
      </c>
      <c r="BG853" s="1746" t="s">
        <v>2597</v>
      </c>
      <c r="BH853" s="1744">
        <f t="shared" si="88"/>
        <v>1.15E-3</v>
      </c>
      <c r="BI853" s="1745">
        <f t="shared" si="89"/>
        <v>1.15E-3</v>
      </c>
      <c r="BJ853" s="1740" t="str">
        <f t="shared" si="90"/>
        <v>bottle</v>
      </c>
      <c r="BK853" s="1740" t="str">
        <f t="shared" si="91"/>
        <v>Bottle of Liquid</v>
      </c>
    </row>
    <row r="854" spans="51:63" ht="15.65" customHeight="1">
      <c r="AY854" s="1746" t="s">
        <v>2593</v>
      </c>
      <c r="AZ854" s="1746">
        <v>2008</v>
      </c>
      <c r="BA854" s="1746" t="s">
        <v>4360</v>
      </c>
      <c r="BB854" s="1747" t="s">
        <v>4359</v>
      </c>
      <c r="BC854" s="1746">
        <v>1</v>
      </c>
      <c r="BD854" s="1746" t="s">
        <v>2596</v>
      </c>
      <c r="BE854" s="1746"/>
      <c r="BF854" s="1746">
        <v>1.15E-3</v>
      </c>
      <c r="BG854" s="1746" t="s">
        <v>2597</v>
      </c>
      <c r="BH854" s="1744">
        <f t="shared" si="88"/>
        <v>1.15E-3</v>
      </c>
      <c r="BI854" s="1745">
        <f t="shared" si="89"/>
        <v>1.15E-3</v>
      </c>
      <c r="BJ854" s="1740" t="str">
        <f t="shared" si="90"/>
        <v>bottle</v>
      </c>
      <c r="BK854" s="1740" t="str">
        <f t="shared" si="91"/>
        <v>Bottle of Liquid</v>
      </c>
    </row>
    <row r="855" spans="51:63" ht="15.65" customHeight="1">
      <c r="AY855" s="1746" t="s">
        <v>2588</v>
      </c>
      <c r="AZ855" s="1746">
        <v>2006</v>
      </c>
      <c r="BA855" s="1746" t="s">
        <v>4361</v>
      </c>
      <c r="BB855" s="1747" t="s">
        <v>4362</v>
      </c>
      <c r="BC855" s="1746">
        <v>20</v>
      </c>
      <c r="BD855" s="1746" t="s">
        <v>3369</v>
      </c>
      <c r="BE855" s="1746"/>
      <c r="BF855" s="1746">
        <v>32760</v>
      </c>
      <c r="BG855" s="1746" t="s">
        <v>2592</v>
      </c>
      <c r="BH855" s="1744">
        <f t="shared" si="88"/>
        <v>3.2759999999999997E-2</v>
      </c>
      <c r="BI855" s="1745">
        <f t="shared" si="89"/>
        <v>1.6379999999999999E-3</v>
      </c>
      <c r="BJ855" s="1740" t="str">
        <f t="shared" si="90"/>
        <v>bags</v>
      </c>
      <c r="BK855" s="1740" t="str">
        <f t="shared" si="91"/>
        <v>Intravenous Bag</v>
      </c>
    </row>
    <row r="856" spans="51:63" ht="15.65" customHeight="1">
      <c r="AY856" s="1746" t="s">
        <v>2588</v>
      </c>
      <c r="AZ856" s="1746">
        <v>2006</v>
      </c>
      <c r="BA856" s="1746" t="s">
        <v>4363</v>
      </c>
      <c r="BB856" s="1747" t="s">
        <v>4364</v>
      </c>
      <c r="BC856" s="1746">
        <v>20</v>
      </c>
      <c r="BD856" s="1746" t="s">
        <v>2836</v>
      </c>
      <c r="BE856" s="1746"/>
      <c r="BF856" s="1746">
        <v>26197</v>
      </c>
      <c r="BG856" s="1746" t="s">
        <v>2592</v>
      </c>
      <c r="BH856" s="1744">
        <f t="shared" si="88"/>
        <v>2.6197000000000002E-2</v>
      </c>
      <c r="BI856" s="1745">
        <f t="shared" si="89"/>
        <v>1.30985E-3</v>
      </c>
      <c r="BJ856" s="1740" t="str">
        <f t="shared" si="90"/>
        <v>btls</v>
      </c>
      <c r="BK856" s="1740" t="str">
        <f t="shared" si="91"/>
        <v>Bottle of Liquid</v>
      </c>
    </row>
    <row r="857" spans="51:63" ht="15.65" customHeight="1">
      <c r="AY857" s="1746" t="s">
        <v>2575</v>
      </c>
      <c r="AZ857" s="1746">
        <v>2008</v>
      </c>
      <c r="BA857" s="1746" t="s">
        <v>4365</v>
      </c>
      <c r="BB857" s="1747" t="s">
        <v>4366</v>
      </c>
      <c r="BC857" s="1746" t="s">
        <v>2578</v>
      </c>
      <c r="BD857" s="1746" t="s">
        <v>3892</v>
      </c>
      <c r="BE857" s="1746" t="s">
        <v>3893</v>
      </c>
      <c r="BF857" s="1746">
        <v>4</v>
      </c>
      <c r="BG857" s="1746" t="s">
        <v>2581</v>
      </c>
      <c r="BH857" s="1744">
        <f t="shared" ref="BH857:BH920" si="92">IF(BG857="CCM",BF857/1000000,IF(BG857="CDM",BF857/1000, IF(BG857="M3",BF857,"")))</f>
        <v>4.0000000000000001E-3</v>
      </c>
      <c r="BI857" s="1745" t="str">
        <f t="shared" si="89"/>
        <v/>
      </c>
      <c r="BJ857" s="1740" t="str">
        <f t="shared" si="90"/>
        <v>KG-Pharma raw materials</v>
      </c>
      <c r="BK857" s="1740" t="str">
        <f t="shared" si="91"/>
        <v>Medical equipment</v>
      </c>
    </row>
    <row r="858" spans="51:63" ht="15.65" customHeight="1">
      <c r="AY858" s="1746" t="s">
        <v>2588</v>
      </c>
      <c r="AZ858" s="1746">
        <v>2006</v>
      </c>
      <c r="BA858" s="1746" t="s">
        <v>4367</v>
      </c>
      <c r="BB858" s="1747" t="s">
        <v>4368</v>
      </c>
      <c r="BC858" s="1746">
        <v>200</v>
      </c>
      <c r="BD858" s="1746" t="s">
        <v>2615</v>
      </c>
      <c r="BE858" s="1746"/>
      <c r="BF858" s="1746">
        <v>1245</v>
      </c>
      <c r="BG858" s="1746" t="s">
        <v>2592</v>
      </c>
      <c r="BH858" s="1744">
        <f t="shared" si="92"/>
        <v>1.245E-3</v>
      </c>
      <c r="BI858" s="1745">
        <f t="shared" si="89"/>
        <v>6.2249999999999997E-6</v>
      </c>
      <c r="BJ858" s="1740" t="str">
        <f t="shared" si="90"/>
        <v>tabs</v>
      </c>
      <c r="BK858" s="1740" t="str">
        <f t="shared" si="91"/>
        <v>Bottle of Tablets</v>
      </c>
    </row>
    <row r="859" spans="51:63" ht="15.65" customHeight="1">
      <c r="AY859" s="1746" t="s">
        <v>2588</v>
      </c>
      <c r="AZ859" s="1746">
        <v>2006</v>
      </c>
      <c r="BA859" s="1746" t="s">
        <v>4369</v>
      </c>
      <c r="BB859" s="1747" t="s">
        <v>4370</v>
      </c>
      <c r="BC859" s="1746">
        <v>1000</v>
      </c>
      <c r="BD859" s="1746" t="s">
        <v>2615</v>
      </c>
      <c r="BE859" s="1746"/>
      <c r="BF859" s="1746">
        <v>661</v>
      </c>
      <c r="BG859" s="1746" t="s">
        <v>2592</v>
      </c>
      <c r="BH859" s="1744">
        <f t="shared" si="92"/>
        <v>6.6100000000000002E-4</v>
      </c>
      <c r="BI859" s="1745">
        <f t="shared" si="89"/>
        <v>6.61E-7</v>
      </c>
      <c r="BJ859" s="1740" t="str">
        <f t="shared" si="90"/>
        <v>tabs</v>
      </c>
      <c r="BK859" s="1740" t="str">
        <f t="shared" si="91"/>
        <v>Bottle of Tablets</v>
      </c>
    </row>
    <row r="860" spans="51:63" ht="15.65" customHeight="1">
      <c r="AY860" s="1746" t="s">
        <v>2588</v>
      </c>
      <c r="AZ860" s="1746">
        <v>2006</v>
      </c>
      <c r="BA860" s="1746" t="s">
        <v>4371</v>
      </c>
      <c r="BB860" s="1747" t="s">
        <v>4372</v>
      </c>
      <c r="BC860" s="1746" t="s">
        <v>4373</v>
      </c>
      <c r="BD860" s="1746" t="s">
        <v>2615</v>
      </c>
      <c r="BE860" s="1746"/>
      <c r="BF860" s="1746">
        <v>103</v>
      </c>
      <c r="BG860" s="1746" t="s">
        <v>2592</v>
      </c>
      <c r="BH860" s="1744">
        <f t="shared" si="92"/>
        <v>1.03E-4</v>
      </c>
      <c r="BI860" s="1745" t="str">
        <f t="shared" si="89"/>
        <v/>
      </c>
      <c r="BJ860" s="1740" t="str">
        <f t="shared" si="90"/>
        <v>tabs</v>
      </c>
      <c r="BK860" s="1740" t="str">
        <f t="shared" si="91"/>
        <v>Bottle of Tablets</v>
      </c>
    </row>
    <row r="861" spans="51:63" ht="15.65" customHeight="1">
      <c r="AY861" s="1746" t="s">
        <v>2575</v>
      </c>
      <c r="AZ861" s="1746">
        <v>2008</v>
      </c>
      <c r="BA861" s="1746" t="s">
        <v>4374</v>
      </c>
      <c r="BB861" s="1747" t="s">
        <v>4375</v>
      </c>
      <c r="BC861" s="1746" t="s">
        <v>2578</v>
      </c>
      <c r="BD861" s="1746" t="s">
        <v>2775</v>
      </c>
      <c r="BE861" s="1746" t="s">
        <v>3902</v>
      </c>
      <c r="BF861" s="1746">
        <v>2.5</v>
      </c>
      <c r="BG861" s="1746" t="s">
        <v>2581</v>
      </c>
      <c r="BH861" s="1744">
        <f t="shared" si="92"/>
        <v>2.5000000000000001E-3</v>
      </c>
      <c r="BI861" s="1745" t="str">
        <f t="shared" si="89"/>
        <v/>
      </c>
      <c r="BJ861" s="1740" t="str">
        <f t="shared" si="90"/>
        <v>BOT-Disinf./antiseptics</v>
      </c>
      <c r="BK861" s="1740" t="str">
        <f t="shared" si="91"/>
        <v>Bottle of Liquid</v>
      </c>
    </row>
    <row r="862" spans="51:63" ht="15.65" customHeight="1">
      <c r="AY862" s="1746" t="s">
        <v>2593</v>
      </c>
      <c r="AZ862" s="1746">
        <v>2008</v>
      </c>
      <c r="BA862" s="1746" t="s">
        <v>4376</v>
      </c>
      <c r="BB862" s="1747" t="s">
        <v>4377</v>
      </c>
      <c r="BC862" s="1746">
        <v>1</v>
      </c>
      <c r="BD862" s="1746" t="s">
        <v>2591</v>
      </c>
      <c r="BE862" s="1746"/>
      <c r="BF862" s="1746">
        <v>2.7E-4</v>
      </c>
      <c r="BG862" s="1746" t="s">
        <v>2597</v>
      </c>
      <c r="BH862" s="1744">
        <f t="shared" si="92"/>
        <v>2.7E-4</v>
      </c>
      <c r="BI862" s="1745">
        <f t="shared" si="89"/>
        <v>2.7E-4</v>
      </c>
      <c r="BJ862" s="1740" t="str">
        <f t="shared" si="90"/>
        <v>vial</v>
      </c>
      <c r="BK862" s="1740" t="str">
        <f t="shared" si="91"/>
        <v>Injection Vial</v>
      </c>
    </row>
    <row r="863" spans="51:63" ht="15.65" customHeight="1">
      <c r="AY863" s="1746" t="s">
        <v>2588</v>
      </c>
      <c r="AZ863" s="1746">
        <v>2006</v>
      </c>
      <c r="BA863" s="1746" t="s">
        <v>4378</v>
      </c>
      <c r="BB863" s="1747" t="s">
        <v>4379</v>
      </c>
      <c r="BC863" s="1746">
        <v>1</v>
      </c>
      <c r="BD863" s="1746" t="s">
        <v>2591</v>
      </c>
      <c r="BE863" s="1746"/>
      <c r="BF863" s="1746">
        <v>132</v>
      </c>
      <c r="BG863" s="1746" t="s">
        <v>2592</v>
      </c>
      <c r="BH863" s="1744">
        <f t="shared" si="92"/>
        <v>1.3200000000000001E-4</v>
      </c>
      <c r="BI863" s="1745">
        <f t="shared" si="89"/>
        <v>1.3200000000000001E-4</v>
      </c>
      <c r="BJ863" s="1740" t="str">
        <f t="shared" si="90"/>
        <v>vial</v>
      </c>
      <c r="BK863" s="1740" t="str">
        <f t="shared" si="91"/>
        <v>Injection Vial</v>
      </c>
    </row>
    <row r="864" spans="51:63" ht="15.65" customHeight="1">
      <c r="AY864" s="1746" t="s">
        <v>2593</v>
      </c>
      <c r="AZ864" s="1746">
        <v>2008</v>
      </c>
      <c r="BA864" s="1746" t="s">
        <v>4380</v>
      </c>
      <c r="BB864" s="1747" t="s">
        <v>4381</v>
      </c>
      <c r="BC864" s="1746">
        <v>100</v>
      </c>
      <c r="BD864" s="1746" t="s">
        <v>2601</v>
      </c>
      <c r="BE864" s="1746"/>
      <c r="BF864" s="1746">
        <v>7.5000000000000002E-4</v>
      </c>
      <c r="BG864" s="1746" t="s">
        <v>2597</v>
      </c>
      <c r="BH864" s="1744">
        <f t="shared" si="92"/>
        <v>7.5000000000000002E-4</v>
      </c>
      <c r="BI864" s="1745">
        <f t="shared" si="89"/>
        <v>7.5000000000000002E-6</v>
      </c>
      <c r="BJ864" s="1740" t="str">
        <f t="shared" si="90"/>
        <v>tablets</v>
      </c>
      <c r="BK864" s="1740" t="str">
        <f t="shared" si="91"/>
        <v>Bottle of Tablets</v>
      </c>
    </row>
    <row r="865" spans="51:63" ht="15.65" customHeight="1">
      <c r="AY865" s="1746" t="s">
        <v>2575</v>
      </c>
      <c r="AZ865" s="1746">
        <v>2008</v>
      </c>
      <c r="BA865" s="1746" t="s">
        <v>4382</v>
      </c>
      <c r="BB865" s="1747" t="s">
        <v>4383</v>
      </c>
      <c r="BC865" s="1746" t="s">
        <v>2578</v>
      </c>
      <c r="BD865" s="1746" t="s">
        <v>2579</v>
      </c>
      <c r="BE865" s="1746" t="s">
        <v>3935</v>
      </c>
      <c r="BF865" s="1746">
        <v>0.108</v>
      </c>
      <c r="BG865" s="1746" t="s">
        <v>2581</v>
      </c>
      <c r="BH865" s="1744">
        <f t="shared" si="92"/>
        <v>1.08E-4</v>
      </c>
      <c r="BI865" s="1745" t="str">
        <f t="shared" si="89"/>
        <v/>
      </c>
      <c r="BJ865" s="1740" t="str">
        <f t="shared" si="90"/>
        <v>EA-Static function</v>
      </c>
      <c r="BK865" s="1740" t="str">
        <f t="shared" si="91"/>
        <v>Medical equipment</v>
      </c>
    </row>
    <row r="866" spans="51:63" ht="15.65" customHeight="1">
      <c r="AY866" s="1746" t="s">
        <v>2588</v>
      </c>
      <c r="AZ866" s="1746">
        <v>2006</v>
      </c>
      <c r="BA866" s="1746" t="s">
        <v>4384</v>
      </c>
      <c r="BB866" s="1747" t="s">
        <v>4385</v>
      </c>
      <c r="BC866" s="1746">
        <v>1</v>
      </c>
      <c r="BD866" s="1746" t="s">
        <v>2724</v>
      </c>
      <c r="BE866" s="1746"/>
      <c r="BF866" s="1746">
        <v>988</v>
      </c>
      <c r="BG866" s="1746" t="s">
        <v>2592</v>
      </c>
      <c r="BH866" s="1744">
        <f t="shared" si="92"/>
        <v>9.8799999999999995E-4</v>
      </c>
      <c r="BI866" s="1745">
        <f t="shared" si="89"/>
        <v>9.8799999999999995E-4</v>
      </c>
      <c r="BJ866" s="1740" t="str">
        <f t="shared" si="90"/>
        <v>pce</v>
      </c>
      <c r="BK866" s="1740" t="str">
        <f t="shared" si="91"/>
        <v>Roll of tape/gauze</v>
      </c>
    </row>
    <row r="867" spans="51:63" ht="15.65" customHeight="1">
      <c r="AY867" s="1746" t="s">
        <v>2575</v>
      </c>
      <c r="AZ867" s="1746">
        <v>2008</v>
      </c>
      <c r="BA867" s="1746" t="s">
        <v>4386</v>
      </c>
      <c r="BB867" s="1747" t="s">
        <v>4387</v>
      </c>
      <c r="BC867" s="1746" t="s">
        <v>2578</v>
      </c>
      <c r="BD867" s="1746" t="s">
        <v>2579</v>
      </c>
      <c r="BE867" s="1746" t="s">
        <v>3935</v>
      </c>
      <c r="BF867" s="1746">
        <v>2.3E-2</v>
      </c>
      <c r="BG867" s="1746" t="s">
        <v>2581</v>
      </c>
      <c r="BH867" s="1744">
        <f t="shared" si="92"/>
        <v>2.3E-5</v>
      </c>
      <c r="BI867" s="1745" t="str">
        <f t="shared" si="89"/>
        <v/>
      </c>
      <c r="BJ867" s="1740" t="str">
        <f t="shared" si="90"/>
        <v>EA-Static function</v>
      </c>
      <c r="BK867" s="1740" t="str">
        <f t="shared" si="91"/>
        <v>Medical equipment</v>
      </c>
    </row>
    <row r="868" spans="51:63" ht="15.65" customHeight="1">
      <c r="AY868" s="1746" t="s">
        <v>2593</v>
      </c>
      <c r="AZ868" s="1746">
        <v>2008</v>
      </c>
      <c r="BA868" s="1746" t="s">
        <v>4388</v>
      </c>
      <c r="BB868" s="1747" t="s">
        <v>4389</v>
      </c>
      <c r="BC868" s="1746">
        <v>1</v>
      </c>
      <c r="BD868" s="1746" t="s">
        <v>2591</v>
      </c>
      <c r="BE868" s="1746"/>
      <c r="BF868" s="1746">
        <v>1.6000000000000001E-4</v>
      </c>
      <c r="BG868" s="1746" t="s">
        <v>2597</v>
      </c>
      <c r="BH868" s="1744">
        <f t="shared" si="92"/>
        <v>1.6000000000000001E-4</v>
      </c>
      <c r="BI868" s="1745">
        <f t="shared" si="89"/>
        <v>1.6000000000000001E-4</v>
      </c>
      <c r="BJ868" s="1740" t="str">
        <f t="shared" si="90"/>
        <v>vial</v>
      </c>
      <c r="BK868" s="1740" t="str">
        <f t="shared" si="91"/>
        <v>Injection Vial</v>
      </c>
    </row>
    <row r="869" spans="51:63" ht="15.65" customHeight="1">
      <c r="AY869" s="1746" t="s">
        <v>2588</v>
      </c>
      <c r="AZ869" s="1746">
        <v>2006</v>
      </c>
      <c r="BA869" s="1746" t="s">
        <v>4390</v>
      </c>
      <c r="BB869" s="1747" t="s">
        <v>4391</v>
      </c>
      <c r="BC869" s="1746">
        <v>1</v>
      </c>
      <c r="BD869" s="1746" t="s">
        <v>2591</v>
      </c>
      <c r="BE869" s="1746"/>
      <c r="BF869" s="1746">
        <v>122</v>
      </c>
      <c r="BG869" s="1746" t="s">
        <v>2592</v>
      </c>
      <c r="BH869" s="1744">
        <f t="shared" si="92"/>
        <v>1.22E-4</v>
      </c>
      <c r="BI869" s="1745">
        <f t="shared" si="89"/>
        <v>1.22E-4</v>
      </c>
      <c r="BJ869" s="1740" t="str">
        <f t="shared" si="90"/>
        <v>vial</v>
      </c>
      <c r="BK869" s="1740" t="str">
        <f t="shared" si="91"/>
        <v>Injection Vial</v>
      </c>
    </row>
    <row r="870" spans="51:63" ht="15.65" customHeight="1">
      <c r="AY870" s="1746" t="s">
        <v>2575</v>
      </c>
      <c r="AZ870" s="1746">
        <v>2008</v>
      </c>
      <c r="BA870" s="1746" t="s">
        <v>4392</v>
      </c>
      <c r="BB870" s="1747" t="s">
        <v>4393</v>
      </c>
      <c r="BC870" s="1746" t="s">
        <v>2578</v>
      </c>
      <c r="BD870" s="1746" t="s">
        <v>2903</v>
      </c>
      <c r="BE870" s="1746" t="s">
        <v>3121</v>
      </c>
      <c r="BF870" s="1746">
        <v>10.62</v>
      </c>
      <c r="BG870" s="1746" t="s">
        <v>2581</v>
      </c>
      <c r="BH870" s="1744">
        <f t="shared" si="92"/>
        <v>1.0619999999999999E-2</v>
      </c>
      <c r="BI870" s="1745" t="str">
        <f t="shared" si="89"/>
        <v/>
      </c>
      <c r="BJ870" s="1740" t="str">
        <f t="shared" si="90"/>
        <v>BOX-Other antibacterials</v>
      </c>
      <c r="BK870" s="1740" t="str">
        <f t="shared" si="91"/>
        <v>Injection Vial</v>
      </c>
    </row>
    <row r="871" spans="51:63" ht="15.65" customHeight="1">
      <c r="AY871" s="1746" t="s">
        <v>2593</v>
      </c>
      <c r="AZ871" s="1746">
        <v>2008</v>
      </c>
      <c r="BA871" s="1746" t="s">
        <v>4394</v>
      </c>
      <c r="BB871" s="1747" t="s">
        <v>4395</v>
      </c>
      <c r="BC871" s="1746">
        <v>1</v>
      </c>
      <c r="BD871" s="1746" t="s">
        <v>2933</v>
      </c>
      <c r="BE871" s="1746"/>
      <c r="BF871" s="1746">
        <v>6.8110000000000004E-2</v>
      </c>
      <c r="BG871" s="1746" t="s">
        <v>2597</v>
      </c>
      <c r="BH871" s="1744">
        <f t="shared" si="92"/>
        <v>6.8110000000000004E-2</v>
      </c>
      <c r="BI871" s="1745">
        <f t="shared" si="89"/>
        <v>6.8110000000000004E-2</v>
      </c>
      <c r="BJ871" s="1740" t="str">
        <f t="shared" si="90"/>
        <v>piece</v>
      </c>
      <c r="BK871" s="1740" t="str">
        <f t="shared" si="91"/>
        <v>Medical equipment</v>
      </c>
    </row>
    <row r="872" spans="51:63" ht="15.65" customHeight="1">
      <c r="AY872" s="1746" t="s">
        <v>2588</v>
      </c>
      <c r="AZ872" s="1746">
        <v>2006</v>
      </c>
      <c r="BA872" s="1746" t="s">
        <v>4396</v>
      </c>
      <c r="BB872" s="1747" t="s">
        <v>4397</v>
      </c>
      <c r="BC872" s="1746">
        <v>1</v>
      </c>
      <c r="BD872" s="1746" t="s">
        <v>4398</v>
      </c>
      <c r="BE872" s="1746"/>
      <c r="BF872" s="1746">
        <v>30</v>
      </c>
      <c r="BG872" s="1746" t="s">
        <v>2592</v>
      </c>
      <c r="BH872" s="1744">
        <f t="shared" si="92"/>
        <v>3.0000000000000001E-5</v>
      </c>
      <c r="BI872" s="1745">
        <f t="shared" si="89"/>
        <v>3.0000000000000001E-5</v>
      </c>
      <c r="BJ872" s="1740" t="str">
        <f t="shared" si="90"/>
        <v>set</v>
      </c>
      <c r="BK872" s="1740" t="str">
        <f t="shared" si="91"/>
        <v>Medical equipment</v>
      </c>
    </row>
    <row r="873" spans="51:63" ht="15.65" customHeight="1">
      <c r="AY873" s="1746" t="s">
        <v>2588</v>
      </c>
      <c r="AZ873" s="1746">
        <v>2006</v>
      </c>
      <c r="BA873" s="1746" t="s">
        <v>4399</v>
      </c>
      <c r="BB873" s="1747" t="s">
        <v>4400</v>
      </c>
      <c r="BC873" s="1746">
        <v>1</v>
      </c>
      <c r="BD873" s="1746" t="s">
        <v>2724</v>
      </c>
      <c r="BE873" s="1746"/>
      <c r="BF873" s="1746">
        <v>1687</v>
      </c>
      <c r="BG873" s="1746" t="s">
        <v>2592</v>
      </c>
      <c r="BH873" s="1744">
        <f t="shared" si="92"/>
        <v>1.6869999999999999E-3</v>
      </c>
      <c r="BI873" s="1745">
        <f t="shared" si="89"/>
        <v>1.6869999999999999E-3</v>
      </c>
      <c r="BJ873" s="1740" t="str">
        <f t="shared" si="90"/>
        <v>pce</v>
      </c>
      <c r="BK873" s="1740" t="str">
        <f t="shared" si="91"/>
        <v>Roll of tape/gauze</v>
      </c>
    </row>
    <row r="874" spans="51:63" ht="15.65" customHeight="1">
      <c r="AY874" s="1746" t="s">
        <v>2588</v>
      </c>
      <c r="AZ874" s="1746">
        <v>2006</v>
      </c>
      <c r="BA874" s="1746" t="s">
        <v>4401</v>
      </c>
      <c r="BB874" s="1747" t="s">
        <v>4402</v>
      </c>
      <c r="BC874" s="1746">
        <v>1</v>
      </c>
      <c r="BD874" s="1746" t="s">
        <v>2724</v>
      </c>
      <c r="BE874" s="1746"/>
      <c r="BF874" s="1746">
        <v>1786</v>
      </c>
      <c r="BG874" s="1746" t="s">
        <v>2592</v>
      </c>
      <c r="BH874" s="1744">
        <f t="shared" si="92"/>
        <v>1.786E-3</v>
      </c>
      <c r="BI874" s="1745">
        <f t="shared" si="89"/>
        <v>1.786E-3</v>
      </c>
      <c r="BJ874" s="1740" t="str">
        <f t="shared" si="90"/>
        <v>pce</v>
      </c>
      <c r="BK874" s="1740" t="str">
        <f t="shared" si="91"/>
        <v>Roll of tape/gauze</v>
      </c>
    </row>
    <row r="875" spans="51:63" ht="15.65" customHeight="1">
      <c r="AY875" s="1746" t="s">
        <v>2588</v>
      </c>
      <c r="AZ875" s="1746">
        <v>2006</v>
      </c>
      <c r="BA875" s="1746" t="s">
        <v>4403</v>
      </c>
      <c r="BB875" s="1747" t="s">
        <v>4404</v>
      </c>
      <c r="BC875" s="1746">
        <v>1</v>
      </c>
      <c r="BD875" s="1746" t="s">
        <v>2724</v>
      </c>
      <c r="BE875" s="1746"/>
      <c r="BF875" s="1746">
        <v>1088</v>
      </c>
      <c r="BG875" s="1746" t="s">
        <v>2592</v>
      </c>
      <c r="BH875" s="1744">
        <f t="shared" si="92"/>
        <v>1.088E-3</v>
      </c>
      <c r="BI875" s="1745">
        <f t="shared" si="89"/>
        <v>1.088E-3</v>
      </c>
      <c r="BJ875" s="1740" t="str">
        <f t="shared" si="90"/>
        <v>pce</v>
      </c>
      <c r="BK875" s="1740" t="str">
        <f t="shared" si="91"/>
        <v>Roll of tape/gauze</v>
      </c>
    </row>
    <row r="876" spans="51:63" ht="15.65" customHeight="1">
      <c r="AY876" s="1746" t="s">
        <v>2593</v>
      </c>
      <c r="AZ876" s="1746">
        <v>2008</v>
      </c>
      <c r="BA876" s="1746" t="s">
        <v>4405</v>
      </c>
      <c r="BB876" s="1747" t="s">
        <v>4406</v>
      </c>
      <c r="BC876" s="1746">
        <v>1</v>
      </c>
      <c r="BD876" s="1746" t="s">
        <v>2933</v>
      </c>
      <c r="BE876" s="1746"/>
      <c r="BF876" s="1746">
        <v>3.4000000000000002E-4</v>
      </c>
      <c r="BG876" s="1746" t="s">
        <v>2597</v>
      </c>
      <c r="BH876" s="1744">
        <f t="shared" si="92"/>
        <v>3.4000000000000002E-4</v>
      </c>
      <c r="BI876" s="1745">
        <f t="shared" si="89"/>
        <v>3.4000000000000002E-4</v>
      </c>
      <c r="BJ876" s="1740" t="str">
        <f t="shared" si="90"/>
        <v>piece</v>
      </c>
      <c r="BK876" s="1740" t="str">
        <f t="shared" si="91"/>
        <v>Medical equipment</v>
      </c>
    </row>
    <row r="877" spans="51:63" ht="15.65" customHeight="1">
      <c r="AY877" s="1746" t="s">
        <v>2593</v>
      </c>
      <c r="AZ877" s="1746">
        <v>2008</v>
      </c>
      <c r="BA877" s="1746" t="s">
        <v>4407</v>
      </c>
      <c r="BB877" s="1747" t="s">
        <v>4408</v>
      </c>
      <c r="BC877" s="1746">
        <v>1</v>
      </c>
      <c r="BD877" s="1746" t="s">
        <v>2933</v>
      </c>
      <c r="BE877" s="1746"/>
      <c r="BF877" s="1746">
        <v>2.2000000000000001E-4</v>
      </c>
      <c r="BG877" s="1746" t="s">
        <v>2597</v>
      </c>
      <c r="BH877" s="1744">
        <f t="shared" si="92"/>
        <v>2.2000000000000001E-4</v>
      </c>
      <c r="BI877" s="1745">
        <f t="shared" si="89"/>
        <v>2.2000000000000001E-4</v>
      </c>
      <c r="BJ877" s="1740" t="str">
        <f t="shared" si="90"/>
        <v>piece</v>
      </c>
      <c r="BK877" s="1740" t="str">
        <f t="shared" si="91"/>
        <v>Medical equipment</v>
      </c>
    </row>
    <row r="878" spans="51:63" ht="15.65" customHeight="1">
      <c r="AY878" s="1746" t="s">
        <v>2593</v>
      </c>
      <c r="AZ878" s="1746">
        <v>2008</v>
      </c>
      <c r="BA878" s="1746" t="s">
        <v>4409</v>
      </c>
      <c r="BB878" s="1747" t="s">
        <v>4410</v>
      </c>
      <c r="BC878" s="1746">
        <v>1</v>
      </c>
      <c r="BD878" s="1746" t="s">
        <v>2933</v>
      </c>
      <c r="BE878" s="1746"/>
      <c r="BF878" s="1746">
        <v>4.0999999999999999E-4</v>
      </c>
      <c r="BG878" s="1746" t="s">
        <v>2597</v>
      </c>
      <c r="BH878" s="1744">
        <f t="shared" si="92"/>
        <v>4.0999999999999999E-4</v>
      </c>
      <c r="BI878" s="1745">
        <f t="shared" si="89"/>
        <v>4.0999999999999999E-4</v>
      </c>
      <c r="BJ878" s="1740" t="str">
        <f t="shared" si="90"/>
        <v>piece</v>
      </c>
      <c r="BK878" s="1740" t="str">
        <f t="shared" si="91"/>
        <v>Medical equipment</v>
      </c>
    </row>
    <row r="879" spans="51:63" ht="15.65" customHeight="1">
      <c r="AY879" s="1746" t="s">
        <v>2593</v>
      </c>
      <c r="AZ879" s="1746">
        <v>2008</v>
      </c>
      <c r="BA879" s="1746" t="s">
        <v>4411</v>
      </c>
      <c r="BB879" s="1747" t="s">
        <v>4412</v>
      </c>
      <c r="BC879" s="1746">
        <v>1</v>
      </c>
      <c r="BD879" s="1746" t="s">
        <v>2933</v>
      </c>
      <c r="BE879" s="1746"/>
      <c r="BF879" s="1746">
        <v>4.6000000000000001E-4</v>
      </c>
      <c r="BG879" s="1746" t="s">
        <v>2597</v>
      </c>
      <c r="BH879" s="1744">
        <f t="shared" si="92"/>
        <v>4.6000000000000001E-4</v>
      </c>
      <c r="BI879" s="1745">
        <f t="shared" si="89"/>
        <v>4.6000000000000001E-4</v>
      </c>
      <c r="BJ879" s="1740" t="str">
        <f t="shared" si="90"/>
        <v>piece</v>
      </c>
      <c r="BK879" s="1740" t="str">
        <f t="shared" si="91"/>
        <v>Medical equipment</v>
      </c>
    </row>
    <row r="880" spans="51:63" ht="15.65" customHeight="1">
      <c r="AY880" s="1746" t="s">
        <v>2593</v>
      </c>
      <c r="AZ880" s="1746">
        <v>2008</v>
      </c>
      <c r="BA880" s="1746" t="s">
        <v>4413</v>
      </c>
      <c r="BB880" s="1747" t="s">
        <v>4414</v>
      </c>
      <c r="BC880" s="1746">
        <v>1</v>
      </c>
      <c r="BD880" s="1746" t="s">
        <v>2933</v>
      </c>
      <c r="BE880" s="1746"/>
      <c r="BF880" s="1746">
        <v>4.2999999999999999E-4</v>
      </c>
      <c r="BG880" s="1746" t="s">
        <v>2597</v>
      </c>
      <c r="BH880" s="1744">
        <f t="shared" si="92"/>
        <v>4.2999999999999999E-4</v>
      </c>
      <c r="BI880" s="1745">
        <f t="shared" si="89"/>
        <v>4.2999999999999999E-4</v>
      </c>
      <c r="BJ880" s="1740" t="str">
        <f t="shared" si="90"/>
        <v>piece</v>
      </c>
      <c r="BK880" s="1740" t="str">
        <f t="shared" si="91"/>
        <v>Medical equipment</v>
      </c>
    </row>
    <row r="881" spans="51:63" ht="15.65" customHeight="1">
      <c r="AY881" s="1746" t="s">
        <v>2575</v>
      </c>
      <c r="AZ881" s="1746">
        <v>2008</v>
      </c>
      <c r="BA881" s="1746" t="s">
        <v>4415</v>
      </c>
      <c r="BB881" s="1747" t="s">
        <v>4416</v>
      </c>
      <c r="BC881" s="1746" t="s">
        <v>2578</v>
      </c>
      <c r="BD881" s="1746" t="s">
        <v>4417</v>
      </c>
      <c r="BE881" s="1746" t="s">
        <v>3651</v>
      </c>
      <c r="BF881" s="1746">
        <v>4.3999999999999997E-2</v>
      </c>
      <c r="BG881" s="1746" t="s">
        <v>2581</v>
      </c>
      <c r="BH881" s="1744">
        <f t="shared" si="92"/>
        <v>4.3999999999999999E-5</v>
      </c>
      <c r="BI881" s="1745" t="str">
        <f t="shared" si="89"/>
        <v/>
      </c>
      <c r="BJ881" s="1740" t="str">
        <f t="shared" si="90"/>
        <v>SET-Other diag. equip.</v>
      </c>
      <c r="BK881" s="1740" t="str">
        <f t="shared" si="91"/>
        <v>Medical equipment</v>
      </c>
    </row>
    <row r="882" spans="51:63" ht="15.65" customHeight="1">
      <c r="AY882" s="1746" t="s">
        <v>2575</v>
      </c>
      <c r="AZ882" s="1746">
        <v>2008</v>
      </c>
      <c r="BA882" s="1746" t="s">
        <v>4418</v>
      </c>
      <c r="BB882" s="1747" t="s">
        <v>4419</v>
      </c>
      <c r="BC882" s="1746" t="s">
        <v>2578</v>
      </c>
      <c r="BD882" s="1746" t="s">
        <v>2579</v>
      </c>
      <c r="BE882" s="1746" t="s">
        <v>3651</v>
      </c>
      <c r="BF882" s="1746">
        <v>0.13700000000000001</v>
      </c>
      <c r="BG882" s="1746" t="s">
        <v>2581</v>
      </c>
      <c r="BH882" s="1744">
        <f t="shared" si="92"/>
        <v>1.3700000000000002E-4</v>
      </c>
      <c r="BI882" s="1745" t="str">
        <f t="shared" si="89"/>
        <v/>
      </c>
      <c r="BJ882" s="1740" t="str">
        <f t="shared" si="90"/>
        <v>EA-Other diag. equip.</v>
      </c>
      <c r="BK882" s="1740" t="str">
        <f t="shared" si="91"/>
        <v>Medical equipment</v>
      </c>
    </row>
    <row r="883" spans="51:63" ht="15.65" customHeight="1">
      <c r="AY883" s="1746" t="s">
        <v>2575</v>
      </c>
      <c r="AZ883" s="1746">
        <v>2008</v>
      </c>
      <c r="BA883" s="1746" t="s">
        <v>4420</v>
      </c>
      <c r="BB883" s="1747" t="s">
        <v>4421</v>
      </c>
      <c r="BC883" s="1746" t="s">
        <v>2578</v>
      </c>
      <c r="BD883" s="1746" t="s">
        <v>2579</v>
      </c>
      <c r="BE883" s="1746" t="s">
        <v>3935</v>
      </c>
      <c r="BF883" s="1746">
        <v>0.81599999999999995</v>
      </c>
      <c r="BG883" s="1746" t="s">
        <v>2581</v>
      </c>
      <c r="BH883" s="1744">
        <f t="shared" si="92"/>
        <v>8.1599999999999999E-4</v>
      </c>
      <c r="BI883" s="1745" t="str">
        <f t="shared" si="89"/>
        <v/>
      </c>
      <c r="BJ883" s="1740" t="str">
        <f t="shared" si="90"/>
        <v>EA-Static function</v>
      </c>
      <c r="BK883" s="1740" t="str">
        <f t="shared" si="91"/>
        <v>Medical equipment</v>
      </c>
    </row>
    <row r="884" spans="51:63" ht="15.65" customHeight="1">
      <c r="AY884" s="1746" t="s">
        <v>2575</v>
      </c>
      <c r="AZ884" s="1746">
        <v>2008</v>
      </c>
      <c r="BA884" s="1746" t="s">
        <v>4422</v>
      </c>
      <c r="BB884" s="1747" t="s">
        <v>4423</v>
      </c>
      <c r="BC884" s="1746" t="s">
        <v>2578</v>
      </c>
      <c r="BD884" s="1746" t="s">
        <v>2579</v>
      </c>
      <c r="BE884" s="1746" t="s">
        <v>3935</v>
      </c>
      <c r="BF884" s="1746">
        <v>0.51400000000000001</v>
      </c>
      <c r="BG884" s="1746" t="s">
        <v>2581</v>
      </c>
      <c r="BH884" s="1744">
        <f t="shared" si="92"/>
        <v>5.1400000000000003E-4</v>
      </c>
      <c r="BI884" s="1745" t="str">
        <f t="shared" si="89"/>
        <v/>
      </c>
      <c r="BJ884" s="1740" t="str">
        <f t="shared" si="90"/>
        <v>EA-Static function</v>
      </c>
      <c r="BK884" s="1740" t="str">
        <f t="shared" si="91"/>
        <v>Medical equipment</v>
      </c>
    </row>
    <row r="885" spans="51:63" ht="15.65" customHeight="1">
      <c r="AY885" s="1746" t="s">
        <v>2575</v>
      </c>
      <c r="AZ885" s="1746">
        <v>2008</v>
      </c>
      <c r="BA885" s="1746" t="s">
        <v>4424</v>
      </c>
      <c r="BB885" s="1747" t="s">
        <v>4425</v>
      </c>
      <c r="BC885" s="1746" t="s">
        <v>2578</v>
      </c>
      <c r="BD885" s="1746" t="s">
        <v>2579</v>
      </c>
      <c r="BE885" s="1746" t="s">
        <v>3935</v>
      </c>
      <c r="BF885" s="1746">
        <v>0.72299999999999998</v>
      </c>
      <c r="BG885" s="1746" t="s">
        <v>2581</v>
      </c>
      <c r="BH885" s="1744">
        <f t="shared" si="92"/>
        <v>7.2300000000000001E-4</v>
      </c>
      <c r="BI885" s="1745" t="str">
        <f t="shared" si="89"/>
        <v/>
      </c>
      <c r="BJ885" s="1740" t="str">
        <f t="shared" si="90"/>
        <v>EA-Static function</v>
      </c>
      <c r="BK885" s="1740" t="str">
        <f t="shared" si="91"/>
        <v>Medical equipment</v>
      </c>
    </row>
    <row r="886" spans="51:63" ht="15.65" customHeight="1">
      <c r="AY886" s="1746" t="s">
        <v>2588</v>
      </c>
      <c r="AZ886" s="1746">
        <v>2006</v>
      </c>
      <c r="BA886" s="1746" t="s">
        <v>4426</v>
      </c>
      <c r="BB886" s="1747" t="s">
        <v>4427</v>
      </c>
      <c r="BC886" s="1746">
        <v>1</v>
      </c>
      <c r="BD886" s="1746" t="s">
        <v>2724</v>
      </c>
      <c r="BE886" s="1746"/>
      <c r="BF886" s="1746">
        <v>1999</v>
      </c>
      <c r="BG886" s="1746" t="s">
        <v>2592</v>
      </c>
      <c r="BH886" s="1744">
        <f t="shared" si="92"/>
        <v>1.9989999999999999E-3</v>
      </c>
      <c r="BI886" s="1745">
        <f t="shared" si="89"/>
        <v>1.9989999999999999E-3</v>
      </c>
      <c r="BJ886" s="1740" t="str">
        <f t="shared" si="90"/>
        <v>pce</v>
      </c>
      <c r="BK886" s="1740" t="str">
        <f t="shared" si="91"/>
        <v>Roll of tape/gauze</v>
      </c>
    </row>
    <row r="887" spans="51:63" ht="15.65" customHeight="1">
      <c r="AY887" s="1746" t="s">
        <v>2588</v>
      </c>
      <c r="AZ887" s="1746">
        <v>2006</v>
      </c>
      <c r="BA887" s="1746" t="s">
        <v>4428</v>
      </c>
      <c r="BB887" s="1747" t="s">
        <v>4429</v>
      </c>
      <c r="BC887" s="1746">
        <v>1</v>
      </c>
      <c r="BD887" s="1746" t="s">
        <v>2724</v>
      </c>
      <c r="BE887" s="1746"/>
      <c r="BF887" s="1746">
        <v>1385.2</v>
      </c>
      <c r="BG887" s="1746" t="s">
        <v>2592</v>
      </c>
      <c r="BH887" s="1744">
        <f t="shared" si="92"/>
        <v>1.3852000000000001E-3</v>
      </c>
      <c r="BI887" s="1745">
        <f t="shared" si="89"/>
        <v>1.3852000000000001E-3</v>
      </c>
      <c r="BJ887" s="1740" t="str">
        <f t="shared" si="90"/>
        <v>pce</v>
      </c>
      <c r="BK887" s="1740" t="str">
        <f t="shared" si="91"/>
        <v>Roll of tape/gauze</v>
      </c>
    </row>
    <row r="888" spans="51:63" ht="15.65" customHeight="1">
      <c r="AY888" s="1746" t="s">
        <v>2588</v>
      </c>
      <c r="AZ888" s="1746">
        <v>2006</v>
      </c>
      <c r="BA888" s="1746" t="s">
        <v>4430</v>
      </c>
      <c r="BB888" s="1747" t="s">
        <v>4431</v>
      </c>
      <c r="BC888" s="1746">
        <v>1</v>
      </c>
      <c r="BD888" s="1746" t="s">
        <v>2724</v>
      </c>
      <c r="BE888" s="1746"/>
      <c r="BF888" s="1746">
        <v>1366.2</v>
      </c>
      <c r="BG888" s="1746" t="s">
        <v>2592</v>
      </c>
      <c r="BH888" s="1744">
        <f t="shared" si="92"/>
        <v>1.3662000000000001E-3</v>
      </c>
      <c r="BI888" s="1745">
        <f t="shared" si="89"/>
        <v>1.3662000000000001E-3</v>
      </c>
      <c r="BJ888" s="1740" t="str">
        <f t="shared" si="90"/>
        <v>pce</v>
      </c>
      <c r="BK888" s="1740" t="str">
        <f t="shared" si="91"/>
        <v>Roll of tape/gauze</v>
      </c>
    </row>
    <row r="889" spans="51:63" ht="15.65" customHeight="1">
      <c r="AY889" s="1746" t="s">
        <v>2593</v>
      </c>
      <c r="AZ889" s="1746">
        <v>2008</v>
      </c>
      <c r="BA889" s="1746" t="s">
        <v>4432</v>
      </c>
      <c r="BB889" s="1747" t="s">
        <v>4433</v>
      </c>
      <c r="BC889" s="1746">
        <v>1</v>
      </c>
      <c r="BD889" s="1746" t="s">
        <v>2933</v>
      </c>
      <c r="BE889" s="1746"/>
      <c r="BF889" s="1746">
        <v>8.1999999999999998E-4</v>
      </c>
      <c r="BG889" s="1746" t="s">
        <v>2597</v>
      </c>
      <c r="BH889" s="1744">
        <f t="shared" si="92"/>
        <v>8.1999999999999998E-4</v>
      </c>
      <c r="BI889" s="1745">
        <f t="shared" si="89"/>
        <v>8.1999999999999998E-4</v>
      </c>
      <c r="BJ889" s="1740" t="str">
        <f t="shared" si="90"/>
        <v>piece</v>
      </c>
      <c r="BK889" s="1740" t="str">
        <f t="shared" si="91"/>
        <v>Medical equipment</v>
      </c>
    </row>
    <row r="890" spans="51:63" ht="15.65" customHeight="1">
      <c r="AY890" s="1746" t="s">
        <v>2593</v>
      </c>
      <c r="AZ890" s="1746">
        <v>2008</v>
      </c>
      <c r="BA890" s="1746" t="s">
        <v>4434</v>
      </c>
      <c r="BB890" s="1747" t="s">
        <v>4435</v>
      </c>
      <c r="BC890" s="1746">
        <v>1</v>
      </c>
      <c r="BD890" s="1746" t="s">
        <v>2933</v>
      </c>
      <c r="BE890" s="1746"/>
      <c r="BF890" s="1746">
        <v>1.65E-3</v>
      </c>
      <c r="BG890" s="1746" t="s">
        <v>2597</v>
      </c>
      <c r="BH890" s="1744">
        <f t="shared" si="92"/>
        <v>1.65E-3</v>
      </c>
      <c r="BI890" s="1745">
        <f t="shared" si="89"/>
        <v>1.65E-3</v>
      </c>
      <c r="BJ890" s="1740" t="str">
        <f t="shared" si="90"/>
        <v>piece</v>
      </c>
      <c r="BK890" s="1740" t="str">
        <f t="shared" si="91"/>
        <v>Medical equipment</v>
      </c>
    </row>
    <row r="891" spans="51:63" ht="15.65" customHeight="1">
      <c r="AY891" s="1746" t="s">
        <v>2575</v>
      </c>
      <c r="AZ891" s="1746">
        <v>2008</v>
      </c>
      <c r="BA891" s="1746" t="s">
        <v>4436</v>
      </c>
      <c r="BB891" s="1747" t="s">
        <v>4437</v>
      </c>
      <c r="BC891" s="1746" t="s">
        <v>2578</v>
      </c>
      <c r="BD891" s="1746" t="s">
        <v>2579</v>
      </c>
      <c r="BE891" s="1746" t="s">
        <v>3651</v>
      </c>
      <c r="BF891" s="1753">
        <v>2.2999999999999998</v>
      </c>
      <c r="BG891" s="1746" t="s">
        <v>2581</v>
      </c>
      <c r="BH891" s="1744">
        <f t="shared" si="92"/>
        <v>2.3E-3</v>
      </c>
      <c r="BI891" s="1745" t="str">
        <f t="shared" si="89"/>
        <v/>
      </c>
      <c r="BJ891" s="1740" t="str">
        <f t="shared" si="90"/>
        <v>EA-Other diag. equip.</v>
      </c>
      <c r="BK891" s="1740" t="str">
        <f t="shared" si="91"/>
        <v>Medical equipment</v>
      </c>
    </row>
    <row r="892" spans="51:63" ht="15.65" customHeight="1">
      <c r="AY892" s="1746" t="s">
        <v>2575</v>
      </c>
      <c r="AZ892" s="1746">
        <v>2008</v>
      </c>
      <c r="BA892" s="1746" t="s">
        <v>4438</v>
      </c>
      <c r="BB892" s="1747" t="s">
        <v>4439</v>
      </c>
      <c r="BC892" s="1746" t="s">
        <v>2578</v>
      </c>
      <c r="BD892" s="1746" t="s">
        <v>2579</v>
      </c>
      <c r="BE892" s="1746" t="s">
        <v>3651</v>
      </c>
      <c r="BF892" s="1746">
        <v>1.6859999999999999</v>
      </c>
      <c r="BG892" s="1746" t="s">
        <v>2581</v>
      </c>
      <c r="BH892" s="1744">
        <f t="shared" si="92"/>
        <v>1.686E-3</v>
      </c>
      <c r="BI892" s="1745" t="str">
        <f t="shared" si="89"/>
        <v/>
      </c>
      <c r="BJ892" s="1740" t="str">
        <f t="shared" si="90"/>
        <v>EA-Other diag. equip.</v>
      </c>
      <c r="BK892" s="1740" t="str">
        <f t="shared" si="91"/>
        <v>Medical equipment</v>
      </c>
    </row>
    <row r="893" spans="51:63" ht="15.65" customHeight="1">
      <c r="AY893" s="1746" t="s">
        <v>2588</v>
      </c>
      <c r="AZ893" s="1746">
        <v>2006</v>
      </c>
      <c r="BA893" s="1746" t="s">
        <v>4440</v>
      </c>
      <c r="BB893" s="1747" t="s">
        <v>4441</v>
      </c>
      <c r="BC893" s="1746">
        <v>25</v>
      </c>
      <c r="BD893" s="1746" t="s">
        <v>2927</v>
      </c>
      <c r="BE893" s="1746"/>
      <c r="BF893" s="1746">
        <v>756</v>
      </c>
      <c r="BG893" s="1746" t="s">
        <v>2592</v>
      </c>
      <c r="BH893" s="1744">
        <f t="shared" si="92"/>
        <v>7.5600000000000005E-4</v>
      </c>
      <c r="BI893" s="1745">
        <f t="shared" si="89"/>
        <v>3.0240000000000002E-5</v>
      </c>
      <c r="BJ893" s="1740" t="str">
        <f t="shared" si="90"/>
        <v>pcs</v>
      </c>
      <c r="BK893" s="1740" t="str">
        <f t="shared" si="91"/>
        <v>Medical equipment</v>
      </c>
    </row>
    <row r="894" spans="51:63" ht="15.65" customHeight="1">
      <c r="AY894" s="1746" t="s">
        <v>2588</v>
      </c>
      <c r="AZ894" s="1746">
        <v>2006</v>
      </c>
      <c r="BA894" s="1746" t="s">
        <v>4442</v>
      </c>
      <c r="BB894" s="1747" t="s">
        <v>4443</v>
      </c>
      <c r="BC894" s="1746">
        <v>25</v>
      </c>
      <c r="BD894" s="1746" t="s">
        <v>2927</v>
      </c>
      <c r="BE894" s="1746"/>
      <c r="BF894" s="1746">
        <v>738</v>
      </c>
      <c r="BG894" s="1746" t="s">
        <v>2592</v>
      </c>
      <c r="BH894" s="1744">
        <f t="shared" si="92"/>
        <v>7.3800000000000005E-4</v>
      </c>
      <c r="BI894" s="1745">
        <f t="shared" si="89"/>
        <v>2.9520000000000002E-5</v>
      </c>
      <c r="BJ894" s="1740" t="str">
        <f t="shared" si="90"/>
        <v>pcs</v>
      </c>
      <c r="BK894" s="1740" t="str">
        <f t="shared" si="91"/>
        <v>Medical equipment</v>
      </c>
    </row>
    <row r="895" spans="51:63" ht="15.65" customHeight="1">
      <c r="AY895" s="1746" t="s">
        <v>2588</v>
      </c>
      <c r="AZ895" s="1746">
        <v>2006</v>
      </c>
      <c r="BA895" s="1746" t="s">
        <v>4444</v>
      </c>
      <c r="BB895" s="1747" t="s">
        <v>4445</v>
      </c>
      <c r="BC895" s="1746">
        <v>25</v>
      </c>
      <c r="BD895" s="1746" t="s">
        <v>2927</v>
      </c>
      <c r="BE895" s="1746"/>
      <c r="BF895" s="1746">
        <v>756</v>
      </c>
      <c r="BG895" s="1746" t="s">
        <v>2592</v>
      </c>
      <c r="BH895" s="1744">
        <f t="shared" si="92"/>
        <v>7.5600000000000005E-4</v>
      </c>
      <c r="BI895" s="1745">
        <f t="shared" si="89"/>
        <v>3.0240000000000002E-5</v>
      </c>
      <c r="BJ895" s="1740" t="str">
        <f t="shared" si="90"/>
        <v>pcs</v>
      </c>
      <c r="BK895" s="1740" t="str">
        <f t="shared" si="91"/>
        <v>Medical equipment</v>
      </c>
    </row>
    <row r="896" spans="51:63" ht="15.65" customHeight="1">
      <c r="AY896" s="1746" t="s">
        <v>2588</v>
      </c>
      <c r="AZ896" s="1746">
        <v>2006</v>
      </c>
      <c r="BA896" s="1746" t="s">
        <v>4446</v>
      </c>
      <c r="BB896" s="1747" t="s">
        <v>4447</v>
      </c>
      <c r="BC896" s="1746">
        <v>25</v>
      </c>
      <c r="BD896" s="1746" t="s">
        <v>2927</v>
      </c>
      <c r="BE896" s="1746"/>
      <c r="BF896" s="1746">
        <v>1386</v>
      </c>
      <c r="BG896" s="1746" t="s">
        <v>2592</v>
      </c>
      <c r="BH896" s="1744">
        <f t="shared" si="92"/>
        <v>1.3860000000000001E-3</v>
      </c>
      <c r="BI896" s="1745">
        <f t="shared" si="89"/>
        <v>5.5440000000000005E-5</v>
      </c>
      <c r="BJ896" s="1740" t="str">
        <f t="shared" si="90"/>
        <v>pcs</v>
      </c>
      <c r="BK896" s="1740" t="str">
        <f t="shared" si="91"/>
        <v>Medical equipment</v>
      </c>
    </row>
    <row r="897" spans="51:63" ht="15.65" customHeight="1">
      <c r="AY897" s="1746" t="s">
        <v>2588</v>
      </c>
      <c r="AZ897" s="1746">
        <v>2006</v>
      </c>
      <c r="BA897" s="1746" t="s">
        <v>4448</v>
      </c>
      <c r="BB897" s="1747" t="s">
        <v>4449</v>
      </c>
      <c r="BC897" s="1746">
        <v>1000</v>
      </c>
      <c r="BD897" s="1746" t="s">
        <v>2615</v>
      </c>
      <c r="BE897" s="1746"/>
      <c r="BF897" s="1746">
        <v>715</v>
      </c>
      <c r="BG897" s="1746" t="s">
        <v>2592</v>
      </c>
      <c r="BH897" s="1744">
        <f t="shared" si="92"/>
        <v>7.1500000000000003E-4</v>
      </c>
      <c r="BI897" s="1745">
        <f t="shared" si="89"/>
        <v>7.1500000000000004E-7</v>
      </c>
      <c r="BJ897" s="1740" t="str">
        <f t="shared" si="90"/>
        <v>tabs</v>
      </c>
      <c r="BK897" s="1740" t="str">
        <f t="shared" si="91"/>
        <v>Bottle of Tablets</v>
      </c>
    </row>
    <row r="898" spans="51:63" ht="15.65" customHeight="1">
      <c r="AY898" s="1746" t="s">
        <v>2593</v>
      </c>
      <c r="AZ898" s="1746">
        <v>2008</v>
      </c>
      <c r="BA898" s="1746" t="s">
        <v>4450</v>
      </c>
      <c r="BB898" s="1747" t="s">
        <v>4451</v>
      </c>
      <c r="BC898" s="1750">
        <v>1000</v>
      </c>
      <c r="BD898" s="1746" t="s">
        <v>2601</v>
      </c>
      <c r="BE898" s="1746"/>
      <c r="BF898" s="1746">
        <v>9.6000000000000002E-4</v>
      </c>
      <c r="BG898" s="1746" t="s">
        <v>2597</v>
      </c>
      <c r="BH898" s="1744">
        <f t="shared" si="92"/>
        <v>9.6000000000000002E-4</v>
      </c>
      <c r="BI898" s="1745">
        <f t="shared" si="89"/>
        <v>9.6000000000000013E-7</v>
      </c>
      <c r="BJ898" s="1740" t="str">
        <f t="shared" si="90"/>
        <v>tablets</v>
      </c>
      <c r="BK898" s="1740" t="str">
        <f t="shared" si="91"/>
        <v>Bottle of Tablets</v>
      </c>
    </row>
    <row r="899" spans="51:63" ht="15.65" customHeight="1">
      <c r="AY899" s="1746" t="s">
        <v>2588</v>
      </c>
      <c r="AZ899" s="1746">
        <v>2006</v>
      </c>
      <c r="BA899" s="1746" t="s">
        <v>4452</v>
      </c>
      <c r="BB899" s="1747" t="s">
        <v>4453</v>
      </c>
      <c r="BC899" s="1746">
        <v>1000</v>
      </c>
      <c r="BD899" s="1746" t="s">
        <v>2927</v>
      </c>
      <c r="BE899" s="1746"/>
      <c r="BF899" s="1746">
        <v>79233</v>
      </c>
      <c r="BG899" s="1746" t="s">
        <v>2592</v>
      </c>
      <c r="BH899" s="1744">
        <f t="shared" si="92"/>
        <v>7.9232999999999998E-2</v>
      </c>
      <c r="BI899" s="1745">
        <f t="shared" si="89"/>
        <v>7.9232999999999992E-5</v>
      </c>
      <c r="BJ899" s="1740" t="str">
        <f t="shared" si="90"/>
        <v>pcs</v>
      </c>
      <c r="BK899" s="1740" t="str">
        <f t="shared" si="91"/>
        <v>Medical equipment</v>
      </c>
    </row>
    <row r="900" spans="51:63" ht="15.65" customHeight="1">
      <c r="AY900" s="1746" t="s">
        <v>2593</v>
      </c>
      <c r="AZ900" s="1746">
        <v>2008</v>
      </c>
      <c r="BA900" s="1746" t="s">
        <v>4454</v>
      </c>
      <c r="BB900" s="1747" t="s">
        <v>4455</v>
      </c>
      <c r="BC900" s="1750">
        <v>1000</v>
      </c>
      <c r="BD900" s="1746" t="s">
        <v>2930</v>
      </c>
      <c r="BE900" s="1746"/>
      <c r="BF900" s="1746">
        <v>9.0000000000000006E-5</v>
      </c>
      <c r="BG900" s="1746" t="s">
        <v>2597</v>
      </c>
      <c r="BH900" s="1744">
        <f t="shared" si="92"/>
        <v>9.0000000000000006E-5</v>
      </c>
      <c r="BI900" s="1745">
        <f t="shared" si="89"/>
        <v>9.0000000000000012E-8</v>
      </c>
      <c r="BJ900" s="1740" t="str">
        <f t="shared" si="90"/>
        <v>pieces</v>
      </c>
      <c r="BK900" s="1740" t="str">
        <f t="shared" si="91"/>
        <v>Medical equipment</v>
      </c>
    </row>
    <row r="901" spans="51:63" ht="15.65" customHeight="1">
      <c r="AY901" s="1746" t="s">
        <v>2575</v>
      </c>
      <c r="AZ901" s="1746">
        <v>2008</v>
      </c>
      <c r="BA901" s="1746" t="s">
        <v>4456</v>
      </c>
      <c r="BB901" s="1747" t="s">
        <v>4457</v>
      </c>
      <c r="BC901" s="1746" t="s">
        <v>2578</v>
      </c>
      <c r="BD901" s="1746" t="s">
        <v>2579</v>
      </c>
      <c r="BE901" s="1746" t="s">
        <v>3196</v>
      </c>
      <c r="BF901" s="1746">
        <v>0.26</v>
      </c>
      <c r="BG901" s="1746" t="s">
        <v>2597</v>
      </c>
      <c r="BH901" s="1744">
        <f t="shared" si="92"/>
        <v>0.26</v>
      </c>
      <c r="BI901" s="1745" t="str">
        <f t="shared" si="89"/>
        <v/>
      </c>
      <c r="BJ901" s="1740" t="str">
        <f t="shared" si="90"/>
        <v>EA-Other hosp. equip.</v>
      </c>
      <c r="BK901" s="1740" t="str">
        <f t="shared" si="91"/>
        <v>Medical equipment</v>
      </c>
    </row>
    <row r="902" spans="51:63" ht="15.65" customHeight="1">
      <c r="AY902" s="1746" t="s">
        <v>2575</v>
      </c>
      <c r="AZ902" s="1746">
        <v>2008</v>
      </c>
      <c r="BA902" s="1746" t="s">
        <v>4458</v>
      </c>
      <c r="BB902" s="1747" t="s">
        <v>4459</v>
      </c>
      <c r="BC902" s="1746" t="s">
        <v>2578</v>
      </c>
      <c r="BD902" s="1746" t="s">
        <v>2579</v>
      </c>
      <c r="BE902" s="1746" t="s">
        <v>3196</v>
      </c>
      <c r="BF902" s="1746">
        <v>0.04</v>
      </c>
      <c r="BG902" s="1746" t="s">
        <v>2597</v>
      </c>
      <c r="BH902" s="1744">
        <f t="shared" si="92"/>
        <v>0.04</v>
      </c>
      <c r="BI902" s="1745" t="str">
        <f t="shared" si="89"/>
        <v/>
      </c>
      <c r="BJ902" s="1740" t="str">
        <f t="shared" si="90"/>
        <v>EA-Other hosp. equip.</v>
      </c>
      <c r="BK902" s="1740" t="str">
        <f t="shared" si="91"/>
        <v>Medical equipment</v>
      </c>
    </row>
    <row r="903" spans="51:63" ht="15.65" customHeight="1">
      <c r="AY903" s="1746" t="s">
        <v>2575</v>
      </c>
      <c r="AZ903" s="1746">
        <v>2008</v>
      </c>
      <c r="BA903" s="1746" t="s">
        <v>4460</v>
      </c>
      <c r="BB903" s="1747" t="s">
        <v>4461</v>
      </c>
      <c r="BC903" s="1746" t="s">
        <v>2578</v>
      </c>
      <c r="BD903" s="1746" t="s">
        <v>2579</v>
      </c>
      <c r="BE903" s="1746" t="s">
        <v>3196</v>
      </c>
      <c r="BF903" s="1746">
        <v>4.2999999999999997E-2</v>
      </c>
      <c r="BG903" s="1746" t="s">
        <v>2597</v>
      </c>
      <c r="BH903" s="1744">
        <f t="shared" si="92"/>
        <v>4.2999999999999997E-2</v>
      </c>
      <c r="BI903" s="1745" t="str">
        <f t="shared" si="89"/>
        <v/>
      </c>
      <c r="BJ903" s="1740" t="str">
        <f t="shared" si="90"/>
        <v>EA-Other hosp. equip.</v>
      </c>
      <c r="BK903" s="1740" t="str">
        <f t="shared" si="91"/>
        <v>Medical equipment</v>
      </c>
    </row>
    <row r="904" spans="51:63" ht="15.65" customHeight="1">
      <c r="AY904" s="1746" t="s">
        <v>2575</v>
      </c>
      <c r="AZ904" s="1746">
        <v>2008</v>
      </c>
      <c r="BA904" s="1746" t="s">
        <v>4462</v>
      </c>
      <c r="BB904" s="1747" t="s">
        <v>4463</v>
      </c>
      <c r="BC904" s="1746" t="s">
        <v>2578</v>
      </c>
      <c r="BD904" s="1746" t="s">
        <v>2579</v>
      </c>
      <c r="BE904" s="1746" t="s">
        <v>2580</v>
      </c>
      <c r="BF904" s="1746">
        <v>0</v>
      </c>
      <c r="BG904" s="1746"/>
      <c r="BH904" s="1744" t="str">
        <f t="shared" si="92"/>
        <v/>
      </c>
      <c r="BI904" s="1745" t="str">
        <f t="shared" si="89"/>
        <v/>
      </c>
      <c r="BJ904" s="1740" t="str">
        <f t="shared" si="90"/>
        <v>EA-Antiretrovirals</v>
      </c>
      <c r="BK904" s="1740" t="str">
        <f t="shared" si="91"/>
        <v>Bottle of Tablets</v>
      </c>
    </row>
    <row r="905" spans="51:63" ht="15.65" customHeight="1">
      <c r="AY905" s="1746" t="s">
        <v>2575</v>
      </c>
      <c r="AZ905" s="1746">
        <v>2008</v>
      </c>
      <c r="BA905" s="1746" t="s">
        <v>4464</v>
      </c>
      <c r="BB905" s="1747" t="s">
        <v>4465</v>
      </c>
      <c r="BC905" s="1746" t="s">
        <v>2578</v>
      </c>
      <c r="BD905" s="1746" t="s">
        <v>2579</v>
      </c>
      <c r="BE905" s="1746" t="s">
        <v>2580</v>
      </c>
      <c r="BF905" s="1746">
        <v>0.219</v>
      </c>
      <c r="BG905" s="1746" t="s">
        <v>2581</v>
      </c>
      <c r="BH905" s="1744">
        <f t="shared" si="92"/>
        <v>2.1900000000000001E-4</v>
      </c>
      <c r="BI905" s="1745" t="str">
        <f t="shared" si="89"/>
        <v/>
      </c>
      <c r="BJ905" s="1740" t="str">
        <f t="shared" si="90"/>
        <v>EA-Antiretrovirals</v>
      </c>
      <c r="BK905" s="1740" t="str">
        <f t="shared" si="91"/>
        <v>Bottle of Tablets</v>
      </c>
    </row>
    <row r="906" spans="51:63" ht="15.65" customHeight="1">
      <c r="AY906" s="1746" t="s">
        <v>2575</v>
      </c>
      <c r="AZ906" s="1746">
        <v>2008</v>
      </c>
      <c r="BA906" s="1746" t="s">
        <v>4466</v>
      </c>
      <c r="BB906" s="1747" t="s">
        <v>4467</v>
      </c>
      <c r="BC906" s="1746" t="s">
        <v>2578</v>
      </c>
      <c r="BD906" s="1746" t="s">
        <v>2579</v>
      </c>
      <c r="BE906" s="1746" t="s">
        <v>2580</v>
      </c>
      <c r="BF906" s="1746">
        <v>0.219</v>
      </c>
      <c r="BG906" s="1746" t="s">
        <v>2581</v>
      </c>
      <c r="BH906" s="1744">
        <f t="shared" si="92"/>
        <v>2.1900000000000001E-4</v>
      </c>
      <c r="BI906" s="1745" t="str">
        <f t="shared" si="89"/>
        <v/>
      </c>
      <c r="BJ906" s="1740" t="str">
        <f t="shared" si="90"/>
        <v>EA-Antiretrovirals</v>
      </c>
      <c r="BK906" s="1740" t="str">
        <f t="shared" si="91"/>
        <v>Bottle of Tablets</v>
      </c>
    </row>
    <row r="907" spans="51:63" ht="15.65" customHeight="1">
      <c r="AY907" s="1746" t="s">
        <v>2593</v>
      </c>
      <c r="AZ907" s="1746">
        <v>2008</v>
      </c>
      <c r="BA907" s="1746" t="s">
        <v>4468</v>
      </c>
      <c r="BB907" s="1747" t="s">
        <v>4469</v>
      </c>
      <c r="BC907" s="1746">
        <v>60</v>
      </c>
      <c r="BD907" s="1746" t="s">
        <v>2864</v>
      </c>
      <c r="BE907" s="1746"/>
      <c r="BF907" s="1746">
        <v>5.1999999999999995E-4</v>
      </c>
      <c r="BG907" s="1746" t="s">
        <v>2597</v>
      </c>
      <c r="BH907" s="1744">
        <f t="shared" si="92"/>
        <v>5.1999999999999995E-4</v>
      </c>
      <c r="BI907" s="1745">
        <f t="shared" si="89"/>
        <v>8.6666666666666661E-6</v>
      </c>
      <c r="BJ907" s="1740" t="str">
        <f t="shared" si="90"/>
        <v>capsules</v>
      </c>
      <c r="BK907" s="1740" t="str">
        <f t="shared" si="91"/>
        <v>Bottle of Tablets</v>
      </c>
    </row>
    <row r="908" spans="51:63" ht="15.65" customHeight="1">
      <c r="AY908" s="1746" t="s">
        <v>2575</v>
      </c>
      <c r="AZ908" s="1746">
        <v>2008</v>
      </c>
      <c r="BA908" s="1746" t="s">
        <v>4470</v>
      </c>
      <c r="BB908" s="1747" t="s">
        <v>4471</v>
      </c>
      <c r="BC908" s="1746" t="s">
        <v>2578</v>
      </c>
      <c r="BD908" s="1746" t="s">
        <v>2579</v>
      </c>
      <c r="BE908" s="1746" t="s">
        <v>2580</v>
      </c>
      <c r="BF908" s="1746">
        <v>0.219</v>
      </c>
      <c r="BG908" s="1746" t="s">
        <v>2581</v>
      </c>
      <c r="BH908" s="1744">
        <f t="shared" si="92"/>
        <v>2.1900000000000001E-4</v>
      </c>
      <c r="BI908" s="1745" t="str">
        <f t="shared" si="89"/>
        <v/>
      </c>
      <c r="BJ908" s="1740" t="str">
        <f t="shared" si="90"/>
        <v>EA-Antiretrovirals</v>
      </c>
      <c r="BK908" s="1740" t="str">
        <f t="shared" si="91"/>
        <v>Bottle of Tablets</v>
      </c>
    </row>
    <row r="909" spans="51:63" ht="15.65" customHeight="1">
      <c r="AY909" s="1746" t="s">
        <v>2593</v>
      </c>
      <c r="AZ909" s="1746">
        <v>2008</v>
      </c>
      <c r="BA909" s="1746" t="s">
        <v>4472</v>
      </c>
      <c r="BB909" s="1747" t="s">
        <v>4473</v>
      </c>
      <c r="BC909" s="1746">
        <v>60</v>
      </c>
      <c r="BD909" s="1746" t="s">
        <v>2864</v>
      </c>
      <c r="BE909" s="1746"/>
      <c r="BF909" s="1746">
        <v>3.8999999999999999E-4</v>
      </c>
      <c r="BG909" s="1746" t="s">
        <v>2597</v>
      </c>
      <c r="BH909" s="1744">
        <f t="shared" si="92"/>
        <v>3.8999999999999999E-4</v>
      </c>
      <c r="BI909" s="1745">
        <f t="shared" si="89"/>
        <v>6.4999999999999996E-6</v>
      </c>
      <c r="BJ909" s="1740" t="str">
        <f t="shared" si="90"/>
        <v>capsules</v>
      </c>
      <c r="BK909" s="1740" t="str">
        <f t="shared" si="91"/>
        <v>Bottle of Tablets</v>
      </c>
    </row>
    <row r="910" spans="51:63" ht="15.65" customHeight="1">
      <c r="AY910" s="1746" t="s">
        <v>2593</v>
      </c>
      <c r="AZ910" s="1746">
        <v>2008</v>
      </c>
      <c r="BA910" s="1746" t="s">
        <v>4474</v>
      </c>
      <c r="BB910" s="1747" t="s">
        <v>4475</v>
      </c>
      <c r="BC910" s="1746">
        <v>1</v>
      </c>
      <c r="BD910" s="1746" t="s">
        <v>2596</v>
      </c>
      <c r="BE910" s="1746"/>
      <c r="BF910" s="1746">
        <v>7.2999999999999996E-4</v>
      </c>
      <c r="BG910" s="1746" t="s">
        <v>2597</v>
      </c>
      <c r="BH910" s="1744">
        <f t="shared" si="92"/>
        <v>7.2999999999999996E-4</v>
      </c>
      <c r="BI910" s="1745">
        <f t="shared" si="89"/>
        <v>7.2999999999999996E-4</v>
      </c>
      <c r="BJ910" s="1740" t="str">
        <f t="shared" si="90"/>
        <v>bottle</v>
      </c>
      <c r="BK910" s="1740" t="str">
        <f t="shared" si="91"/>
        <v>Bottle of Liquid</v>
      </c>
    </row>
    <row r="911" spans="51:63" ht="15.65" customHeight="1">
      <c r="AY911" s="1746" t="s">
        <v>2575</v>
      </c>
      <c r="AZ911" s="1746">
        <v>2008</v>
      </c>
      <c r="BA911" s="1746" t="s">
        <v>4476</v>
      </c>
      <c r="BB911" s="1747" t="s">
        <v>4477</v>
      </c>
      <c r="BC911" s="1746" t="s">
        <v>2578</v>
      </c>
      <c r="BD911" s="1746" t="s">
        <v>2579</v>
      </c>
      <c r="BE911" s="1746" t="s">
        <v>2580</v>
      </c>
      <c r="BF911" s="1746">
        <v>0.50700000000000001</v>
      </c>
      <c r="BG911" s="1746" t="s">
        <v>2581</v>
      </c>
      <c r="BH911" s="1744">
        <f t="shared" si="92"/>
        <v>5.0699999999999996E-4</v>
      </c>
      <c r="BI911" s="1745" t="str">
        <f t="shared" si="89"/>
        <v/>
      </c>
      <c r="BJ911" s="1740" t="str">
        <f t="shared" si="90"/>
        <v>EA-Antiretrovirals</v>
      </c>
      <c r="BK911" s="1740" t="str">
        <f t="shared" si="91"/>
        <v>Bottle of Tablets</v>
      </c>
    </row>
    <row r="912" spans="51:63" ht="15.65" customHeight="1">
      <c r="AY912" s="1746" t="s">
        <v>2588</v>
      </c>
      <c r="AZ912" s="1746">
        <v>2006</v>
      </c>
      <c r="BA912" s="1746" t="s">
        <v>4478</v>
      </c>
      <c r="BB912" s="1747" t="s">
        <v>4479</v>
      </c>
      <c r="BC912" s="1746">
        <v>1</v>
      </c>
      <c r="BD912" s="1746" t="s">
        <v>3167</v>
      </c>
      <c r="BE912" s="1746"/>
      <c r="BF912" s="1746">
        <v>156000</v>
      </c>
      <c r="BG912" s="1746" t="s">
        <v>2592</v>
      </c>
      <c r="BH912" s="1744">
        <f t="shared" si="92"/>
        <v>0.156</v>
      </c>
      <c r="BI912" s="1745">
        <f t="shared" si="89"/>
        <v>0.156</v>
      </c>
      <c r="BJ912" s="1740" t="str">
        <f t="shared" si="90"/>
        <v>kit</v>
      </c>
      <c r="BK912" s="1740" t="str">
        <f t="shared" si="91"/>
        <v>Medical equipment</v>
      </c>
    </row>
    <row r="913" spans="51:63" ht="15.65" customHeight="1">
      <c r="AY913" s="1746" t="s">
        <v>2588</v>
      </c>
      <c r="AZ913" s="1746">
        <v>2006</v>
      </c>
      <c r="BA913" s="1746" t="s">
        <v>4480</v>
      </c>
      <c r="BB913" s="1747" t="s">
        <v>4481</v>
      </c>
      <c r="BC913" s="1746">
        <v>1</v>
      </c>
      <c r="BD913" s="1746" t="s">
        <v>2689</v>
      </c>
      <c r="BE913" s="1746"/>
      <c r="BF913" s="1746">
        <v>370</v>
      </c>
      <c r="BG913" s="1746" t="s">
        <v>2592</v>
      </c>
      <c r="BH913" s="1744">
        <f t="shared" si="92"/>
        <v>3.6999999999999999E-4</v>
      </c>
      <c r="BI913" s="1745">
        <f t="shared" si="89"/>
        <v>3.6999999999999999E-4</v>
      </c>
      <c r="BJ913" s="1740" t="str">
        <f t="shared" si="90"/>
        <v>roll</v>
      </c>
      <c r="BK913" s="1740" t="str">
        <f t="shared" si="91"/>
        <v>Roll of tape/gauze</v>
      </c>
    </row>
    <row r="914" spans="51:63" ht="15.65" customHeight="1">
      <c r="AY914" s="1746" t="s">
        <v>2593</v>
      </c>
      <c r="AZ914" s="1746">
        <v>2008</v>
      </c>
      <c r="BA914" s="1746" t="s">
        <v>4482</v>
      </c>
      <c r="BB914" s="1747" t="s">
        <v>4483</v>
      </c>
      <c r="BC914" s="1746">
        <v>1</v>
      </c>
      <c r="BD914" s="1746" t="s">
        <v>2933</v>
      </c>
      <c r="BE914" s="1746"/>
      <c r="BF914" s="1746">
        <v>7.3639999999999997E-2</v>
      </c>
      <c r="BG914" s="1746" t="s">
        <v>2597</v>
      </c>
      <c r="BH914" s="1744">
        <f t="shared" si="92"/>
        <v>7.3639999999999997E-2</v>
      </c>
      <c r="BI914" s="1745">
        <f t="shared" si="89"/>
        <v>7.3639999999999997E-2</v>
      </c>
      <c r="BJ914" s="1740" t="str">
        <f t="shared" si="90"/>
        <v>piece</v>
      </c>
      <c r="BK914" s="1740" t="str">
        <f t="shared" si="91"/>
        <v>Medical equipment</v>
      </c>
    </row>
    <row r="915" spans="51:63" ht="15.65" customHeight="1">
      <c r="AY915" s="1746" t="s">
        <v>2593</v>
      </c>
      <c r="AZ915" s="1746">
        <v>2008</v>
      </c>
      <c r="BA915" s="1746" t="s">
        <v>4484</v>
      </c>
      <c r="BB915" s="1747" t="s">
        <v>4485</v>
      </c>
      <c r="BC915" s="1746">
        <v>1</v>
      </c>
      <c r="BD915" s="1746" t="s">
        <v>2933</v>
      </c>
      <c r="BE915" s="1746"/>
      <c r="BF915" s="1746">
        <v>0.1109</v>
      </c>
      <c r="BG915" s="1746" t="s">
        <v>2597</v>
      </c>
      <c r="BH915" s="1744">
        <f t="shared" si="92"/>
        <v>0.1109</v>
      </c>
      <c r="BI915" s="1745">
        <f t="shared" ref="BI915:BI978" si="93">IFERROR(BH915/BC915,"")</f>
        <v>0.1109</v>
      </c>
      <c r="BJ915" s="1740" t="str">
        <f t="shared" ref="BJ915:BJ978" si="94">IF(BE915="",BD915,BD915&amp;"-"&amp;BE915)</f>
        <v>piece</v>
      </c>
      <c r="BK915" s="1740" t="str">
        <f t="shared" si="91"/>
        <v>Medical equipment</v>
      </c>
    </row>
    <row r="916" spans="51:63" ht="15.65" customHeight="1">
      <c r="AY916" s="1746" t="s">
        <v>2575</v>
      </c>
      <c r="AZ916" s="1746">
        <v>2008</v>
      </c>
      <c r="BA916" s="1746" t="s">
        <v>4486</v>
      </c>
      <c r="BB916" s="1747" t="s">
        <v>4487</v>
      </c>
      <c r="BC916" s="1746" t="s">
        <v>2578</v>
      </c>
      <c r="BD916" s="1746" t="s">
        <v>2579</v>
      </c>
      <c r="BE916" s="1746" t="s">
        <v>4488</v>
      </c>
      <c r="BF916" s="1746">
        <v>0.108</v>
      </c>
      <c r="BG916" s="1746" t="s">
        <v>2597</v>
      </c>
      <c r="BH916" s="1744">
        <f t="shared" si="92"/>
        <v>0.108</v>
      </c>
      <c r="BI916" s="1745" t="str">
        <f t="shared" si="93"/>
        <v/>
      </c>
      <c r="BJ916" s="1740" t="str">
        <f t="shared" si="94"/>
        <v>EA-Sterilizers</v>
      </c>
      <c r="BK916" s="1740" t="str">
        <f t="shared" ref="BK916:BK979" si="95">IFERROR(INDEX($BO$18:$BO$136,MATCH(BJ916,$BN$18:$BN$136,0)),"")</f>
        <v>Medical equipment</v>
      </c>
    </row>
    <row r="917" spans="51:63" ht="15.65" customHeight="1">
      <c r="AY917" s="1746" t="s">
        <v>2575</v>
      </c>
      <c r="AZ917" s="1746">
        <v>2008</v>
      </c>
      <c r="BA917" s="1746" t="s">
        <v>4489</v>
      </c>
      <c r="BB917" s="1747" t="s">
        <v>4490</v>
      </c>
      <c r="BC917" s="1746" t="s">
        <v>2578</v>
      </c>
      <c r="BD917" s="1746" t="s">
        <v>2579</v>
      </c>
      <c r="BE917" s="1746" t="s">
        <v>4488</v>
      </c>
      <c r="BF917" s="1746">
        <v>7.5999999999999998E-2</v>
      </c>
      <c r="BG917" s="1746" t="s">
        <v>2597</v>
      </c>
      <c r="BH917" s="1744">
        <f t="shared" si="92"/>
        <v>7.5999999999999998E-2</v>
      </c>
      <c r="BI917" s="1745" t="str">
        <f t="shared" si="93"/>
        <v/>
      </c>
      <c r="BJ917" s="1740" t="str">
        <f t="shared" si="94"/>
        <v>EA-Sterilizers</v>
      </c>
      <c r="BK917" s="1740" t="str">
        <f t="shared" si="95"/>
        <v>Medical equipment</v>
      </c>
    </row>
    <row r="918" spans="51:63" ht="15.65" customHeight="1">
      <c r="AY918" s="1746" t="s">
        <v>2575</v>
      </c>
      <c r="AZ918" s="1746">
        <v>2008</v>
      </c>
      <c r="BA918" s="1746" t="s">
        <v>4491</v>
      </c>
      <c r="BB918" s="1747" t="s">
        <v>4492</v>
      </c>
      <c r="BC918" s="1746" t="s">
        <v>2578</v>
      </c>
      <c r="BD918" s="1746" t="s">
        <v>2579</v>
      </c>
      <c r="BE918" s="1746" t="s">
        <v>4488</v>
      </c>
      <c r="BF918" s="1746">
        <v>141</v>
      </c>
      <c r="BG918" s="1746" t="s">
        <v>2581</v>
      </c>
      <c r="BH918" s="1744">
        <f t="shared" si="92"/>
        <v>0.14099999999999999</v>
      </c>
      <c r="BI918" s="1745" t="str">
        <f t="shared" si="93"/>
        <v/>
      </c>
      <c r="BJ918" s="1740" t="str">
        <f t="shared" si="94"/>
        <v>EA-Sterilizers</v>
      </c>
      <c r="BK918" s="1740" t="str">
        <f t="shared" si="95"/>
        <v>Medical equipment</v>
      </c>
    </row>
    <row r="919" spans="51:63" ht="15.65" customHeight="1">
      <c r="AY919" s="1746" t="s">
        <v>2593</v>
      </c>
      <c r="AZ919" s="1746">
        <v>2008</v>
      </c>
      <c r="BA919" s="1746" t="s">
        <v>4493</v>
      </c>
      <c r="BB919" s="1747" t="s">
        <v>4494</v>
      </c>
      <c r="BC919" s="1746">
        <v>1</v>
      </c>
      <c r="BD919" s="1746" t="s">
        <v>2933</v>
      </c>
      <c r="BE919" s="1746"/>
      <c r="BF919" s="1746">
        <v>8.3000000000000001E-4</v>
      </c>
      <c r="BG919" s="1746" t="s">
        <v>2597</v>
      </c>
      <c r="BH919" s="1744">
        <f t="shared" si="92"/>
        <v>8.3000000000000001E-4</v>
      </c>
      <c r="BI919" s="1745">
        <f t="shared" si="93"/>
        <v>8.3000000000000001E-4</v>
      </c>
      <c r="BJ919" s="1740" t="str">
        <f t="shared" si="94"/>
        <v>piece</v>
      </c>
      <c r="BK919" s="1740" t="str">
        <f t="shared" si="95"/>
        <v>Medical equipment</v>
      </c>
    </row>
    <row r="920" spans="51:63" ht="15.65" customHeight="1">
      <c r="AY920" s="1746" t="s">
        <v>2593</v>
      </c>
      <c r="AZ920" s="1746">
        <v>2008</v>
      </c>
      <c r="BA920" s="1746" t="s">
        <v>4495</v>
      </c>
      <c r="BB920" s="1747" t="s">
        <v>4496</v>
      </c>
      <c r="BC920" s="1746">
        <v>1</v>
      </c>
      <c r="BD920" s="1746" t="s">
        <v>2933</v>
      </c>
      <c r="BE920" s="1746"/>
      <c r="BF920" s="1746">
        <v>3.6000000000000002E-4</v>
      </c>
      <c r="BG920" s="1746" t="s">
        <v>2597</v>
      </c>
      <c r="BH920" s="1744">
        <f t="shared" si="92"/>
        <v>3.6000000000000002E-4</v>
      </c>
      <c r="BI920" s="1745">
        <f t="shared" si="93"/>
        <v>3.6000000000000002E-4</v>
      </c>
      <c r="BJ920" s="1740" t="str">
        <f t="shared" si="94"/>
        <v>piece</v>
      </c>
      <c r="BK920" s="1740" t="str">
        <f t="shared" si="95"/>
        <v>Medical equipment</v>
      </c>
    </row>
    <row r="921" spans="51:63" ht="15.65" customHeight="1">
      <c r="AY921" s="1746" t="s">
        <v>2588</v>
      </c>
      <c r="AZ921" s="1746">
        <v>2006</v>
      </c>
      <c r="BA921" s="1746" t="s">
        <v>4497</v>
      </c>
      <c r="BB921" s="1747" t="s">
        <v>4498</v>
      </c>
      <c r="BC921" s="1746">
        <v>1</v>
      </c>
      <c r="BD921" s="1746" t="s">
        <v>2724</v>
      </c>
      <c r="BE921" s="1746"/>
      <c r="BF921" s="1746">
        <v>333.8</v>
      </c>
      <c r="BG921" s="1746" t="s">
        <v>2592</v>
      </c>
      <c r="BH921" s="1744">
        <f t="shared" ref="BH921:BH984" si="96">IF(BG921="CCM",BF921/1000000,IF(BG921="CDM",BF921/1000, IF(BG921="M3",BF921,"")))</f>
        <v>3.3380000000000004E-4</v>
      </c>
      <c r="BI921" s="1745">
        <f t="shared" si="93"/>
        <v>3.3380000000000004E-4</v>
      </c>
      <c r="BJ921" s="1740" t="str">
        <f t="shared" si="94"/>
        <v>pce</v>
      </c>
      <c r="BK921" s="1740" t="str">
        <f t="shared" si="95"/>
        <v>Roll of tape/gauze</v>
      </c>
    </row>
    <row r="922" spans="51:63" ht="15.65" customHeight="1">
      <c r="AY922" s="1746" t="s">
        <v>2588</v>
      </c>
      <c r="AZ922" s="1746">
        <v>2006</v>
      </c>
      <c r="BA922" s="1746" t="s">
        <v>4499</v>
      </c>
      <c r="BB922" s="1747" t="s">
        <v>4500</v>
      </c>
      <c r="BC922" s="1746">
        <v>1</v>
      </c>
      <c r="BD922" s="1746" t="s">
        <v>2724</v>
      </c>
      <c r="BE922" s="1746"/>
      <c r="BF922" s="1746">
        <v>677.9</v>
      </c>
      <c r="BG922" s="1746" t="s">
        <v>2592</v>
      </c>
      <c r="BH922" s="1744">
        <f t="shared" si="96"/>
        <v>6.7789999999999994E-4</v>
      </c>
      <c r="BI922" s="1745">
        <f t="shared" si="93"/>
        <v>6.7789999999999994E-4</v>
      </c>
      <c r="BJ922" s="1740" t="str">
        <f t="shared" si="94"/>
        <v>pce</v>
      </c>
      <c r="BK922" s="1740" t="str">
        <f t="shared" si="95"/>
        <v>Roll of tape/gauze</v>
      </c>
    </row>
    <row r="923" spans="51:63" ht="15.65" customHeight="1">
      <c r="AY923" s="1746" t="s">
        <v>2588</v>
      </c>
      <c r="AZ923" s="1746">
        <v>2006</v>
      </c>
      <c r="BA923" s="1746" t="s">
        <v>4501</v>
      </c>
      <c r="BB923" s="1747" t="s">
        <v>4502</v>
      </c>
      <c r="BC923" s="1746">
        <v>1</v>
      </c>
      <c r="BD923" s="1746" t="s">
        <v>2724</v>
      </c>
      <c r="BE923" s="1746"/>
      <c r="BF923" s="1746">
        <v>739.2</v>
      </c>
      <c r="BG923" s="1746" t="s">
        <v>2592</v>
      </c>
      <c r="BH923" s="1744">
        <f t="shared" si="96"/>
        <v>7.3920000000000008E-4</v>
      </c>
      <c r="BI923" s="1745">
        <f t="shared" si="93"/>
        <v>7.3920000000000008E-4</v>
      </c>
      <c r="BJ923" s="1740" t="str">
        <f t="shared" si="94"/>
        <v>pce</v>
      </c>
      <c r="BK923" s="1740" t="str">
        <f t="shared" si="95"/>
        <v>Roll of tape/gauze</v>
      </c>
    </row>
    <row r="924" spans="51:63" ht="15.65" customHeight="1">
      <c r="AY924" s="1746" t="s">
        <v>2593</v>
      </c>
      <c r="AZ924" s="1746">
        <v>2008</v>
      </c>
      <c r="BA924" s="1746" t="s">
        <v>4503</v>
      </c>
      <c r="BB924" s="1747" t="s">
        <v>4504</v>
      </c>
      <c r="BC924" s="1746">
        <v>1</v>
      </c>
      <c r="BD924" s="1746" t="s">
        <v>2933</v>
      </c>
      <c r="BE924" s="1746"/>
      <c r="BF924" s="1746">
        <v>6.8999999999999997E-4</v>
      </c>
      <c r="BG924" s="1746" t="s">
        <v>2597</v>
      </c>
      <c r="BH924" s="1744">
        <f t="shared" si="96"/>
        <v>6.8999999999999997E-4</v>
      </c>
      <c r="BI924" s="1745">
        <f t="shared" si="93"/>
        <v>6.8999999999999997E-4</v>
      </c>
      <c r="BJ924" s="1740" t="str">
        <f t="shared" si="94"/>
        <v>piece</v>
      </c>
      <c r="BK924" s="1740" t="str">
        <f t="shared" si="95"/>
        <v>Medical equipment</v>
      </c>
    </row>
    <row r="925" spans="51:63" ht="15.65" customHeight="1">
      <c r="AY925" s="1746" t="s">
        <v>2575</v>
      </c>
      <c r="AZ925" s="1746">
        <v>2008</v>
      </c>
      <c r="BA925" s="1746" t="s">
        <v>4505</v>
      </c>
      <c r="BB925" s="1747" t="s">
        <v>4506</v>
      </c>
      <c r="BC925" s="1746" t="s">
        <v>2578</v>
      </c>
      <c r="BD925" s="1746" t="s">
        <v>2579</v>
      </c>
      <c r="BE925" s="1746" t="s">
        <v>3651</v>
      </c>
      <c r="BF925" s="1746">
        <v>0.67500000000000004</v>
      </c>
      <c r="BG925" s="1746" t="s">
        <v>2581</v>
      </c>
      <c r="BH925" s="1744">
        <f t="shared" si="96"/>
        <v>6.7500000000000004E-4</v>
      </c>
      <c r="BI925" s="1745" t="str">
        <f t="shared" si="93"/>
        <v/>
      </c>
      <c r="BJ925" s="1740" t="str">
        <f t="shared" si="94"/>
        <v>EA-Other diag. equip.</v>
      </c>
      <c r="BK925" s="1740" t="str">
        <f t="shared" si="95"/>
        <v>Medical equipment</v>
      </c>
    </row>
    <row r="926" spans="51:63" ht="15.65" customHeight="1">
      <c r="AY926" s="1746" t="s">
        <v>2575</v>
      </c>
      <c r="AZ926" s="1746">
        <v>2008</v>
      </c>
      <c r="BA926" s="1746" t="s">
        <v>4507</v>
      </c>
      <c r="BB926" s="1747" t="s">
        <v>4508</v>
      </c>
      <c r="BC926" s="1746" t="s">
        <v>2578</v>
      </c>
      <c r="BD926" s="1746" t="s">
        <v>2579</v>
      </c>
      <c r="BE926" s="1746" t="s">
        <v>3651</v>
      </c>
      <c r="BF926" s="1746">
        <v>480</v>
      </c>
      <c r="BG926" s="1746" t="s">
        <v>2592</v>
      </c>
      <c r="BH926" s="1744">
        <f t="shared" si="96"/>
        <v>4.8000000000000001E-4</v>
      </c>
      <c r="BI926" s="1745" t="str">
        <f t="shared" si="93"/>
        <v/>
      </c>
      <c r="BJ926" s="1740" t="str">
        <f t="shared" si="94"/>
        <v>EA-Other diag. equip.</v>
      </c>
      <c r="BK926" s="1740" t="str">
        <f t="shared" si="95"/>
        <v>Medical equipment</v>
      </c>
    </row>
    <row r="927" spans="51:63" ht="15.65" customHeight="1">
      <c r="AY927" s="1746" t="s">
        <v>2588</v>
      </c>
      <c r="AZ927" s="1746">
        <v>2006</v>
      </c>
      <c r="BA927" s="1746" t="s">
        <v>4509</v>
      </c>
      <c r="BB927" s="1747" t="s">
        <v>4510</v>
      </c>
      <c r="BC927" s="1746">
        <v>25</v>
      </c>
      <c r="BD927" s="1746" t="s">
        <v>2927</v>
      </c>
      <c r="BE927" s="1746"/>
      <c r="BF927" s="1746">
        <v>5053</v>
      </c>
      <c r="BG927" s="1746" t="s">
        <v>2592</v>
      </c>
      <c r="BH927" s="1744">
        <f t="shared" si="96"/>
        <v>5.0530000000000002E-3</v>
      </c>
      <c r="BI927" s="1745">
        <f t="shared" si="93"/>
        <v>2.0212E-4</v>
      </c>
      <c r="BJ927" s="1740" t="str">
        <f t="shared" si="94"/>
        <v>pcs</v>
      </c>
      <c r="BK927" s="1740" t="str">
        <f t="shared" si="95"/>
        <v>Medical equipment</v>
      </c>
    </row>
    <row r="928" spans="51:63" ht="15.65" customHeight="1">
      <c r="AY928" s="1746" t="s">
        <v>2588</v>
      </c>
      <c r="AZ928" s="1746">
        <v>2006</v>
      </c>
      <c r="BA928" s="1746" t="s">
        <v>4511</v>
      </c>
      <c r="BB928" s="1747" t="s">
        <v>4512</v>
      </c>
      <c r="BC928" s="1746">
        <v>25</v>
      </c>
      <c r="BD928" s="1746" t="s">
        <v>2927</v>
      </c>
      <c r="BE928" s="1746"/>
      <c r="BF928" s="1746">
        <v>4952</v>
      </c>
      <c r="BG928" s="1746" t="s">
        <v>2592</v>
      </c>
      <c r="BH928" s="1744">
        <f t="shared" si="96"/>
        <v>4.9519999999999998E-3</v>
      </c>
      <c r="BI928" s="1745">
        <f t="shared" si="93"/>
        <v>1.9808E-4</v>
      </c>
      <c r="BJ928" s="1740" t="str">
        <f t="shared" si="94"/>
        <v>pcs</v>
      </c>
      <c r="BK928" s="1740" t="str">
        <f t="shared" si="95"/>
        <v>Medical equipment</v>
      </c>
    </row>
    <row r="929" spans="51:63" ht="15.65" customHeight="1">
      <c r="AY929" s="1746" t="s">
        <v>2588</v>
      </c>
      <c r="AZ929" s="1746">
        <v>2006</v>
      </c>
      <c r="BA929" s="1746" t="s">
        <v>4513</v>
      </c>
      <c r="BB929" s="1747" t="s">
        <v>4514</v>
      </c>
      <c r="BC929" s="1746">
        <v>100</v>
      </c>
      <c r="BD929" s="1746" t="s">
        <v>2927</v>
      </c>
      <c r="BE929" s="1746"/>
      <c r="BF929" s="1746">
        <v>13225</v>
      </c>
      <c r="BG929" s="1746" t="s">
        <v>2592</v>
      </c>
      <c r="BH929" s="1744">
        <f t="shared" si="96"/>
        <v>1.3225000000000001E-2</v>
      </c>
      <c r="BI929" s="1745">
        <f t="shared" si="93"/>
        <v>1.3225000000000002E-4</v>
      </c>
      <c r="BJ929" s="1740" t="str">
        <f t="shared" si="94"/>
        <v>pcs</v>
      </c>
      <c r="BK929" s="1740" t="str">
        <f t="shared" si="95"/>
        <v>Medical equipment</v>
      </c>
    </row>
    <row r="930" spans="51:63" ht="15.65" customHeight="1">
      <c r="AY930" s="1746" t="s">
        <v>2588</v>
      </c>
      <c r="AZ930" s="1746">
        <v>2006</v>
      </c>
      <c r="BA930" s="1746" t="s">
        <v>4515</v>
      </c>
      <c r="BB930" s="1747" t="s">
        <v>4516</v>
      </c>
      <c r="BC930" s="1746">
        <v>25</v>
      </c>
      <c r="BD930" s="1746" t="s">
        <v>2927</v>
      </c>
      <c r="BE930" s="1746"/>
      <c r="BF930" s="1746">
        <v>7965</v>
      </c>
      <c r="BG930" s="1746" t="s">
        <v>2592</v>
      </c>
      <c r="BH930" s="1744">
        <f t="shared" si="96"/>
        <v>7.9649999999999999E-3</v>
      </c>
      <c r="BI930" s="1745">
        <f t="shared" si="93"/>
        <v>3.1859999999999999E-4</v>
      </c>
      <c r="BJ930" s="1740" t="str">
        <f t="shared" si="94"/>
        <v>pcs</v>
      </c>
      <c r="BK930" s="1740" t="str">
        <f t="shared" si="95"/>
        <v>Medical equipment</v>
      </c>
    </row>
    <row r="931" spans="51:63" ht="15.65" customHeight="1">
      <c r="AY931" s="1746" t="s">
        <v>2588</v>
      </c>
      <c r="AZ931" s="1746">
        <v>2006</v>
      </c>
      <c r="BA931" s="1746" t="s">
        <v>4517</v>
      </c>
      <c r="BB931" s="1747" t="s">
        <v>4518</v>
      </c>
      <c r="BC931" s="1746">
        <v>100</v>
      </c>
      <c r="BD931" s="1746" t="s">
        <v>2927</v>
      </c>
      <c r="BE931" s="1746"/>
      <c r="BF931" s="1746">
        <v>14847</v>
      </c>
      <c r="BG931" s="1746" t="s">
        <v>2592</v>
      </c>
      <c r="BH931" s="1744">
        <f t="shared" si="96"/>
        <v>1.4847000000000001E-2</v>
      </c>
      <c r="BI931" s="1745">
        <f t="shared" si="93"/>
        <v>1.4847000000000002E-4</v>
      </c>
      <c r="BJ931" s="1740" t="str">
        <f t="shared" si="94"/>
        <v>pcs</v>
      </c>
      <c r="BK931" s="1740" t="str">
        <f t="shared" si="95"/>
        <v>Medical equipment</v>
      </c>
    </row>
    <row r="932" spans="51:63" ht="15.65" customHeight="1">
      <c r="AY932" s="1746" t="s">
        <v>2588</v>
      </c>
      <c r="AZ932" s="1746">
        <v>2006</v>
      </c>
      <c r="BA932" s="1746" t="s">
        <v>4519</v>
      </c>
      <c r="BB932" s="1747" t="s">
        <v>4520</v>
      </c>
      <c r="BC932" s="1746">
        <v>25</v>
      </c>
      <c r="BD932" s="1746" t="s">
        <v>2927</v>
      </c>
      <c r="BE932" s="1746"/>
      <c r="BF932" s="1746">
        <v>7965</v>
      </c>
      <c r="BG932" s="1746" t="s">
        <v>2592</v>
      </c>
      <c r="BH932" s="1744">
        <f t="shared" si="96"/>
        <v>7.9649999999999999E-3</v>
      </c>
      <c r="BI932" s="1745">
        <f t="shared" si="93"/>
        <v>3.1859999999999999E-4</v>
      </c>
      <c r="BJ932" s="1740" t="str">
        <f t="shared" si="94"/>
        <v>pcs</v>
      </c>
      <c r="BK932" s="1740" t="str">
        <f t="shared" si="95"/>
        <v>Medical equipment</v>
      </c>
    </row>
    <row r="933" spans="51:63" ht="15.65" customHeight="1">
      <c r="AY933" s="1746" t="s">
        <v>2588</v>
      </c>
      <c r="AZ933" s="1746">
        <v>2006</v>
      </c>
      <c r="BA933" s="1746" t="s">
        <v>4521</v>
      </c>
      <c r="BB933" s="1747" t="s">
        <v>4522</v>
      </c>
      <c r="BC933" s="1746">
        <v>100</v>
      </c>
      <c r="BD933" s="1746" t="s">
        <v>2927</v>
      </c>
      <c r="BE933" s="1746"/>
      <c r="BF933" s="1746">
        <v>18425</v>
      </c>
      <c r="BG933" s="1746" t="s">
        <v>2592</v>
      </c>
      <c r="BH933" s="1744">
        <f t="shared" si="96"/>
        <v>1.8425E-2</v>
      </c>
      <c r="BI933" s="1745">
        <f t="shared" si="93"/>
        <v>1.8425000000000001E-4</v>
      </c>
      <c r="BJ933" s="1740" t="str">
        <f t="shared" si="94"/>
        <v>pcs</v>
      </c>
      <c r="BK933" s="1740" t="str">
        <f t="shared" si="95"/>
        <v>Medical equipment</v>
      </c>
    </row>
    <row r="934" spans="51:63" ht="15.65" customHeight="1">
      <c r="AY934" s="1746" t="s">
        <v>2588</v>
      </c>
      <c r="AZ934" s="1746">
        <v>2006</v>
      </c>
      <c r="BA934" s="1746" t="s">
        <v>4523</v>
      </c>
      <c r="BB934" s="1747" t="s">
        <v>4524</v>
      </c>
      <c r="BC934" s="1746">
        <v>25</v>
      </c>
      <c r="BD934" s="1746" t="s">
        <v>2927</v>
      </c>
      <c r="BE934" s="1746"/>
      <c r="BF934" s="1746">
        <v>1500</v>
      </c>
      <c r="BG934" s="1746" t="s">
        <v>2592</v>
      </c>
      <c r="BH934" s="1744">
        <f t="shared" si="96"/>
        <v>1.5E-3</v>
      </c>
      <c r="BI934" s="1745">
        <f t="shared" si="93"/>
        <v>6.0000000000000002E-5</v>
      </c>
      <c r="BJ934" s="1740" t="str">
        <f t="shared" si="94"/>
        <v>pcs</v>
      </c>
      <c r="BK934" s="1740" t="str">
        <f t="shared" si="95"/>
        <v>Medical equipment</v>
      </c>
    </row>
    <row r="935" spans="51:63" ht="15.65" customHeight="1">
      <c r="AY935" s="1746" t="s">
        <v>2588</v>
      </c>
      <c r="AZ935" s="1746">
        <v>2006</v>
      </c>
      <c r="BA935" s="1746" t="s">
        <v>4525</v>
      </c>
      <c r="BB935" s="1747" t="s">
        <v>4526</v>
      </c>
      <c r="BC935" s="1746">
        <v>25</v>
      </c>
      <c r="BD935" s="1746" t="s">
        <v>2927</v>
      </c>
      <c r="BE935" s="1746"/>
      <c r="BF935" s="1746">
        <v>4952</v>
      </c>
      <c r="BG935" s="1746" t="s">
        <v>2592</v>
      </c>
      <c r="BH935" s="1744">
        <f t="shared" si="96"/>
        <v>4.9519999999999998E-3</v>
      </c>
      <c r="BI935" s="1745">
        <f t="shared" si="93"/>
        <v>1.9808E-4</v>
      </c>
      <c r="BJ935" s="1740" t="str">
        <f t="shared" si="94"/>
        <v>pcs</v>
      </c>
      <c r="BK935" s="1740" t="str">
        <f t="shared" si="95"/>
        <v>Medical equipment</v>
      </c>
    </row>
    <row r="936" spans="51:63" ht="15.65" customHeight="1">
      <c r="AY936" s="1746" t="s">
        <v>2575</v>
      </c>
      <c r="AZ936" s="1746">
        <v>2008</v>
      </c>
      <c r="BA936" s="1746" t="s">
        <v>4527</v>
      </c>
      <c r="BB936" s="1747" t="s">
        <v>4528</v>
      </c>
      <c r="BC936" s="1746" t="s">
        <v>2578</v>
      </c>
      <c r="BD936" s="1746" t="s">
        <v>2579</v>
      </c>
      <c r="BE936" s="1746" t="s">
        <v>3196</v>
      </c>
      <c r="BF936" s="1746">
        <v>0.06</v>
      </c>
      <c r="BG936" s="1746" t="s">
        <v>2597</v>
      </c>
      <c r="BH936" s="1744">
        <f t="shared" si="96"/>
        <v>0.06</v>
      </c>
      <c r="BI936" s="1745" t="str">
        <f t="shared" si="93"/>
        <v/>
      </c>
      <c r="BJ936" s="1740" t="str">
        <f t="shared" si="94"/>
        <v>EA-Other hosp. equip.</v>
      </c>
      <c r="BK936" s="1740" t="str">
        <f t="shared" si="95"/>
        <v>Medical equipment</v>
      </c>
    </row>
    <row r="937" spans="51:63" ht="15.65" customHeight="1">
      <c r="AY937" s="1746" t="s">
        <v>2588</v>
      </c>
      <c r="AZ937" s="1746">
        <v>2006</v>
      </c>
      <c r="BA937" s="1746" t="s">
        <v>4529</v>
      </c>
      <c r="BB937" s="1747" t="s">
        <v>4530</v>
      </c>
      <c r="BC937" s="1746">
        <v>1</v>
      </c>
      <c r="BD937" s="1746" t="s">
        <v>2724</v>
      </c>
      <c r="BE937" s="1746"/>
      <c r="BF937" s="1746">
        <v>22325.599999999999</v>
      </c>
      <c r="BG937" s="1746" t="s">
        <v>2592</v>
      </c>
      <c r="BH937" s="1744">
        <f t="shared" si="96"/>
        <v>2.2325599999999998E-2</v>
      </c>
      <c r="BI937" s="1745">
        <f t="shared" si="93"/>
        <v>2.2325599999999998E-2</v>
      </c>
      <c r="BJ937" s="1740" t="str">
        <f t="shared" si="94"/>
        <v>pce</v>
      </c>
      <c r="BK937" s="1740" t="str">
        <f t="shared" si="95"/>
        <v>Roll of tape/gauze</v>
      </c>
    </row>
    <row r="938" spans="51:63" ht="15.65" customHeight="1">
      <c r="AY938" s="1746" t="s">
        <v>2575</v>
      </c>
      <c r="AZ938" s="1746">
        <v>2008</v>
      </c>
      <c r="BA938" s="1746" t="s">
        <v>4531</v>
      </c>
      <c r="BB938" s="1747" t="s">
        <v>4532</v>
      </c>
      <c r="BC938" s="1746" t="s">
        <v>2578</v>
      </c>
      <c r="BD938" s="1746" t="s">
        <v>2579</v>
      </c>
      <c r="BE938" s="1746" t="s">
        <v>4533</v>
      </c>
      <c r="BF938" s="1746">
        <v>5.9850000000000003</v>
      </c>
      <c r="BG938" s="1746" t="s">
        <v>2581</v>
      </c>
      <c r="BH938" s="1744">
        <f t="shared" si="96"/>
        <v>5.9850000000000007E-3</v>
      </c>
      <c r="BI938" s="1745" t="str">
        <f t="shared" si="93"/>
        <v/>
      </c>
      <c r="BJ938" s="1740" t="str">
        <f t="shared" si="94"/>
        <v>EA-Other ster. equip.</v>
      </c>
      <c r="BK938" s="1740" t="str">
        <f t="shared" si="95"/>
        <v>Medical equipment</v>
      </c>
    </row>
    <row r="939" spans="51:63" ht="15.65" customHeight="1">
      <c r="AY939" s="1746" t="s">
        <v>2593</v>
      </c>
      <c r="AZ939" s="1746">
        <v>2008</v>
      </c>
      <c r="BA939" s="1746" t="s">
        <v>4534</v>
      </c>
      <c r="BB939" s="1747" t="s">
        <v>4535</v>
      </c>
      <c r="BC939" s="1746">
        <v>50</v>
      </c>
      <c r="BD939" s="1746" t="s">
        <v>2795</v>
      </c>
      <c r="BE939" s="1746"/>
      <c r="BF939" s="1746">
        <v>1.5900000000000001E-3</v>
      </c>
      <c r="BG939" s="1746" t="s">
        <v>2597</v>
      </c>
      <c r="BH939" s="1744">
        <f t="shared" si="96"/>
        <v>1.5900000000000001E-3</v>
      </c>
      <c r="BI939" s="1745">
        <f t="shared" si="93"/>
        <v>3.18E-5</v>
      </c>
      <c r="BJ939" s="1740" t="str">
        <f t="shared" si="94"/>
        <v>vials</v>
      </c>
      <c r="BK939" s="1740" t="str">
        <f t="shared" si="95"/>
        <v>Injection Vial</v>
      </c>
    </row>
    <row r="940" spans="51:63" ht="15.65" customHeight="1">
      <c r="AY940" s="1746" t="s">
        <v>2588</v>
      </c>
      <c r="AZ940" s="1746">
        <v>2006</v>
      </c>
      <c r="BA940" s="1746" t="s">
        <v>4536</v>
      </c>
      <c r="BB940" s="1747" t="s">
        <v>4537</v>
      </c>
      <c r="BC940" s="1746">
        <v>50</v>
      </c>
      <c r="BD940" s="1746" t="s">
        <v>2795</v>
      </c>
      <c r="BE940" s="1746"/>
      <c r="BF940" s="1746">
        <v>1328.25</v>
      </c>
      <c r="BG940" s="1746" t="s">
        <v>2592</v>
      </c>
      <c r="BH940" s="1744">
        <f t="shared" si="96"/>
        <v>1.32825E-3</v>
      </c>
      <c r="BI940" s="1745">
        <f t="shared" si="93"/>
        <v>2.6565000000000001E-5</v>
      </c>
      <c r="BJ940" s="1740" t="str">
        <f t="shared" si="94"/>
        <v>vials</v>
      </c>
      <c r="BK940" s="1740" t="str">
        <f t="shared" si="95"/>
        <v>Injection Vial</v>
      </c>
    </row>
    <row r="941" spans="51:63" ht="15.65" customHeight="1">
      <c r="AY941" s="1746" t="s">
        <v>2575</v>
      </c>
      <c r="AZ941" s="1746">
        <v>2008</v>
      </c>
      <c r="BA941" s="1746" t="s">
        <v>4538</v>
      </c>
      <c r="BB941" s="1747" t="s">
        <v>4539</v>
      </c>
      <c r="BC941" s="1746" t="s">
        <v>2578</v>
      </c>
      <c r="BD941" s="1746" t="s">
        <v>2903</v>
      </c>
      <c r="BE941" s="1746" t="s">
        <v>4009</v>
      </c>
      <c r="BF941" s="1746">
        <v>1.7869999999999999</v>
      </c>
      <c r="BG941" s="1746" t="s">
        <v>2581</v>
      </c>
      <c r="BH941" s="1744">
        <f t="shared" si="96"/>
        <v>1.787E-3</v>
      </c>
      <c r="BI941" s="1745" t="str">
        <f t="shared" si="93"/>
        <v/>
      </c>
      <c r="BJ941" s="1740" t="str">
        <f t="shared" si="94"/>
        <v>BOX-Antituberculosis</v>
      </c>
      <c r="BK941" s="1740" t="str">
        <f t="shared" si="95"/>
        <v>Injection Vial</v>
      </c>
    </row>
    <row r="942" spans="51:63" ht="15.65" customHeight="1">
      <c r="AY942" s="1746" t="s">
        <v>2575</v>
      </c>
      <c r="AZ942" s="1746">
        <v>2008</v>
      </c>
      <c r="BA942" s="1746" t="s">
        <v>4540</v>
      </c>
      <c r="BB942" s="1747" t="s">
        <v>4541</v>
      </c>
      <c r="BC942" s="1746" t="s">
        <v>2578</v>
      </c>
      <c r="BD942" s="1746" t="s">
        <v>2579</v>
      </c>
      <c r="BE942" s="1746" t="s">
        <v>3196</v>
      </c>
      <c r="BF942" s="1746">
        <v>0.1</v>
      </c>
      <c r="BG942" s="1746" t="s">
        <v>2597</v>
      </c>
      <c r="BH942" s="1744">
        <f t="shared" si="96"/>
        <v>0.1</v>
      </c>
      <c r="BI942" s="1745" t="str">
        <f t="shared" si="93"/>
        <v/>
      </c>
      <c r="BJ942" s="1740" t="str">
        <f t="shared" si="94"/>
        <v>EA-Other hosp. equip.</v>
      </c>
      <c r="BK942" s="1740" t="str">
        <f t="shared" si="95"/>
        <v>Medical equipment</v>
      </c>
    </row>
    <row r="943" spans="51:63" ht="15.65" customHeight="1">
      <c r="AY943" s="1746" t="s">
        <v>2575</v>
      </c>
      <c r="AZ943" s="1746">
        <v>2008</v>
      </c>
      <c r="BA943" s="1746" t="s">
        <v>4542</v>
      </c>
      <c r="BB943" s="1747" t="s">
        <v>4543</v>
      </c>
      <c r="BC943" s="1746" t="s">
        <v>2578</v>
      </c>
      <c r="BD943" s="1746" t="s">
        <v>2579</v>
      </c>
      <c r="BE943" s="1746" t="s">
        <v>3196</v>
      </c>
      <c r="BF943" s="1746">
        <v>0.61399999999999999</v>
      </c>
      <c r="BG943" s="1746" t="s">
        <v>2597</v>
      </c>
      <c r="BH943" s="1744">
        <f t="shared" si="96"/>
        <v>0.61399999999999999</v>
      </c>
      <c r="BI943" s="1745" t="str">
        <f t="shared" si="93"/>
        <v/>
      </c>
      <c r="BJ943" s="1740" t="str">
        <f t="shared" si="94"/>
        <v>EA-Other hosp. equip.</v>
      </c>
      <c r="BK943" s="1740" t="str">
        <f t="shared" si="95"/>
        <v>Medical equipment</v>
      </c>
    </row>
    <row r="944" spans="51:63" ht="15.65" customHeight="1">
      <c r="AY944" s="1746" t="s">
        <v>2575</v>
      </c>
      <c r="AZ944" s="1746">
        <v>2008</v>
      </c>
      <c r="BA944" s="1746" t="s">
        <v>4544</v>
      </c>
      <c r="BB944" s="1747" t="s">
        <v>4545</v>
      </c>
      <c r="BC944" s="1746" t="s">
        <v>2578</v>
      </c>
      <c r="BD944" s="1746" t="s">
        <v>2579</v>
      </c>
      <c r="BE944" s="1746" t="s">
        <v>3196</v>
      </c>
      <c r="BF944" s="1746">
        <v>0.23699999999999999</v>
      </c>
      <c r="BG944" s="1746" t="s">
        <v>2597</v>
      </c>
      <c r="BH944" s="1744">
        <f t="shared" si="96"/>
        <v>0.23699999999999999</v>
      </c>
      <c r="BI944" s="1745" t="str">
        <f t="shared" si="93"/>
        <v/>
      </c>
      <c r="BJ944" s="1740" t="str">
        <f t="shared" si="94"/>
        <v>EA-Other hosp. equip.</v>
      </c>
      <c r="BK944" s="1740" t="str">
        <f t="shared" si="95"/>
        <v>Medical equipment</v>
      </c>
    </row>
    <row r="945" spans="51:63" ht="15.65" customHeight="1">
      <c r="AY945" s="1746" t="s">
        <v>2575</v>
      </c>
      <c r="AZ945" s="1746">
        <v>2008</v>
      </c>
      <c r="BA945" s="1746" t="s">
        <v>4546</v>
      </c>
      <c r="BB945" s="1747" t="s">
        <v>4547</v>
      </c>
      <c r="BC945" s="1746" t="s">
        <v>2578</v>
      </c>
      <c r="BD945" s="1746" t="s">
        <v>2903</v>
      </c>
      <c r="BE945" s="1746" t="s">
        <v>4548</v>
      </c>
      <c r="BF945" s="1746">
        <v>19</v>
      </c>
      <c r="BG945" s="1746" t="s">
        <v>2581</v>
      </c>
      <c r="BH945" s="1744">
        <f t="shared" si="96"/>
        <v>1.9E-2</v>
      </c>
      <c r="BI945" s="1745" t="str">
        <f t="shared" si="93"/>
        <v/>
      </c>
      <c r="BJ945" s="1740" t="str">
        <f t="shared" si="94"/>
        <v>BOX-Blood/plasma prod.</v>
      </c>
      <c r="BK945" s="1740" t="str">
        <f t="shared" si="95"/>
        <v>Intravenous Bag</v>
      </c>
    </row>
    <row r="946" spans="51:63" ht="15.65" customHeight="1">
      <c r="AY946" s="1746" t="s">
        <v>2588</v>
      </c>
      <c r="AZ946" s="1746">
        <v>2006</v>
      </c>
      <c r="BA946" s="1746" t="s">
        <v>4549</v>
      </c>
      <c r="BB946" s="1747" t="s">
        <v>4550</v>
      </c>
      <c r="BC946" s="1746">
        <v>1</v>
      </c>
      <c r="BD946" s="1746" t="s">
        <v>2724</v>
      </c>
      <c r="BE946" s="1746"/>
      <c r="BF946" s="1746">
        <v>3864</v>
      </c>
      <c r="BG946" s="1746" t="s">
        <v>2592</v>
      </c>
      <c r="BH946" s="1744">
        <f t="shared" si="96"/>
        <v>3.8639999999999998E-3</v>
      </c>
      <c r="BI946" s="1745">
        <f t="shared" si="93"/>
        <v>3.8639999999999998E-3</v>
      </c>
      <c r="BJ946" s="1740" t="str">
        <f t="shared" si="94"/>
        <v>pce</v>
      </c>
      <c r="BK946" s="1740" t="str">
        <f t="shared" si="95"/>
        <v>Roll of tape/gauze</v>
      </c>
    </row>
    <row r="947" spans="51:63" ht="15.65" customHeight="1">
      <c r="AY947" s="1746" t="s">
        <v>2588</v>
      </c>
      <c r="AZ947" s="1746">
        <v>2006</v>
      </c>
      <c r="BA947" s="1746" t="s">
        <v>4551</v>
      </c>
      <c r="BB947" s="1747" t="s">
        <v>4552</v>
      </c>
      <c r="BC947" s="1746">
        <v>100</v>
      </c>
      <c r="BD947" s="1746" t="s">
        <v>2927</v>
      </c>
      <c r="BE947" s="1746"/>
      <c r="BF947" s="1746">
        <v>5500</v>
      </c>
      <c r="BG947" s="1746" t="s">
        <v>2592</v>
      </c>
      <c r="BH947" s="1744">
        <f t="shared" si="96"/>
        <v>5.4999999999999997E-3</v>
      </c>
      <c r="BI947" s="1745">
        <f t="shared" si="93"/>
        <v>5.4999999999999995E-5</v>
      </c>
      <c r="BJ947" s="1740" t="str">
        <f t="shared" si="94"/>
        <v>pcs</v>
      </c>
      <c r="BK947" s="1740" t="str">
        <f t="shared" si="95"/>
        <v>Medical equipment</v>
      </c>
    </row>
    <row r="948" spans="51:63" ht="15.65" customHeight="1">
      <c r="AY948" s="1746" t="s">
        <v>2588</v>
      </c>
      <c r="AZ948" s="1746">
        <v>2006</v>
      </c>
      <c r="BA948" s="1746" t="s">
        <v>4553</v>
      </c>
      <c r="BB948" s="1747" t="s">
        <v>4554</v>
      </c>
      <c r="BC948" s="1746">
        <v>100</v>
      </c>
      <c r="BD948" s="1746" t="s">
        <v>2927</v>
      </c>
      <c r="BE948" s="1746"/>
      <c r="BF948" s="1746">
        <v>20212</v>
      </c>
      <c r="BG948" s="1746" t="s">
        <v>2592</v>
      </c>
      <c r="BH948" s="1744">
        <f t="shared" si="96"/>
        <v>2.0212000000000001E-2</v>
      </c>
      <c r="BI948" s="1745">
        <f t="shared" si="93"/>
        <v>2.0212E-4</v>
      </c>
      <c r="BJ948" s="1740" t="str">
        <f t="shared" si="94"/>
        <v>pcs</v>
      </c>
      <c r="BK948" s="1740" t="str">
        <f t="shared" si="95"/>
        <v>Medical equipment</v>
      </c>
    </row>
    <row r="949" spans="51:63" ht="15.65" customHeight="1">
      <c r="AY949" s="1746" t="s">
        <v>2588</v>
      </c>
      <c r="AZ949" s="1746">
        <v>2006</v>
      </c>
      <c r="BA949" s="1746" t="s">
        <v>4555</v>
      </c>
      <c r="BB949" s="1747" t="s">
        <v>4556</v>
      </c>
      <c r="BC949" s="1746">
        <v>100</v>
      </c>
      <c r="BD949" s="1746" t="s">
        <v>2927</v>
      </c>
      <c r="BE949" s="1746"/>
      <c r="BF949" s="1746">
        <v>5500</v>
      </c>
      <c r="BG949" s="1746" t="s">
        <v>2592</v>
      </c>
      <c r="BH949" s="1744">
        <f t="shared" si="96"/>
        <v>5.4999999999999997E-3</v>
      </c>
      <c r="BI949" s="1745">
        <f t="shared" si="93"/>
        <v>5.4999999999999995E-5</v>
      </c>
      <c r="BJ949" s="1740" t="str">
        <f t="shared" si="94"/>
        <v>pcs</v>
      </c>
      <c r="BK949" s="1740" t="str">
        <f t="shared" si="95"/>
        <v>Medical equipment</v>
      </c>
    </row>
    <row r="950" spans="51:63" ht="15.65" customHeight="1">
      <c r="AY950" s="1746" t="s">
        <v>2588</v>
      </c>
      <c r="AZ950" s="1746">
        <v>2006</v>
      </c>
      <c r="BA950" s="1746" t="s">
        <v>4557</v>
      </c>
      <c r="BB950" s="1747" t="s">
        <v>4558</v>
      </c>
      <c r="BC950" s="1746">
        <v>100</v>
      </c>
      <c r="BD950" s="1746" t="s">
        <v>2927</v>
      </c>
      <c r="BE950" s="1746"/>
      <c r="BF950" s="1746">
        <v>5500</v>
      </c>
      <c r="BG950" s="1746" t="s">
        <v>2592</v>
      </c>
      <c r="BH950" s="1744">
        <f t="shared" si="96"/>
        <v>5.4999999999999997E-3</v>
      </c>
      <c r="BI950" s="1745">
        <f t="shared" si="93"/>
        <v>5.4999999999999995E-5</v>
      </c>
      <c r="BJ950" s="1740" t="str">
        <f t="shared" si="94"/>
        <v>pcs</v>
      </c>
      <c r="BK950" s="1740" t="str">
        <f t="shared" si="95"/>
        <v>Medical equipment</v>
      </c>
    </row>
    <row r="951" spans="51:63" ht="15.65" customHeight="1">
      <c r="AY951" s="1746" t="s">
        <v>2575</v>
      </c>
      <c r="AZ951" s="1746">
        <v>2008</v>
      </c>
      <c r="BA951" s="1746" t="s">
        <v>4559</v>
      </c>
      <c r="BB951" s="1747" t="s">
        <v>4560</v>
      </c>
      <c r="BC951" s="1746" t="s">
        <v>2578</v>
      </c>
      <c r="BD951" s="1746" t="s">
        <v>2775</v>
      </c>
      <c r="BE951" s="1746" t="s">
        <v>3121</v>
      </c>
      <c r="BF951" s="1746">
        <v>0.29199999999999998</v>
      </c>
      <c r="BG951" s="1746" t="s">
        <v>2581</v>
      </c>
      <c r="BH951" s="1744">
        <f t="shared" si="96"/>
        <v>2.92E-4</v>
      </c>
      <c r="BI951" s="1745" t="str">
        <f t="shared" si="93"/>
        <v/>
      </c>
      <c r="BJ951" s="1740" t="str">
        <f t="shared" si="94"/>
        <v>BOT-Other antibacterials</v>
      </c>
      <c r="BK951" s="1740" t="str">
        <f t="shared" si="95"/>
        <v>Bottle of Liquid</v>
      </c>
    </row>
    <row r="952" spans="51:63" ht="15.65" customHeight="1">
      <c r="AY952" s="1746" t="s">
        <v>2593</v>
      </c>
      <c r="AZ952" s="1746">
        <v>2008</v>
      </c>
      <c r="BA952" s="1746" t="s">
        <v>4561</v>
      </c>
      <c r="BB952" s="1747" t="s">
        <v>4562</v>
      </c>
      <c r="BC952" s="1750">
        <v>1000</v>
      </c>
      <c r="BD952" s="1746" t="s">
        <v>2601</v>
      </c>
      <c r="BE952" s="1746"/>
      <c r="BF952" s="1746">
        <v>1.6299999999999999E-3</v>
      </c>
      <c r="BG952" s="1746" t="s">
        <v>2597</v>
      </c>
      <c r="BH952" s="1744">
        <f t="shared" si="96"/>
        <v>1.6299999999999999E-3</v>
      </c>
      <c r="BI952" s="1745">
        <f t="shared" si="93"/>
        <v>1.6299999999999999E-6</v>
      </c>
      <c r="BJ952" s="1740" t="str">
        <f t="shared" si="94"/>
        <v>tablets</v>
      </c>
      <c r="BK952" s="1740" t="str">
        <f t="shared" si="95"/>
        <v>Bottle of Tablets</v>
      </c>
    </row>
    <row r="953" spans="51:63" ht="15.65" customHeight="1">
      <c r="AY953" s="1746" t="s">
        <v>2588</v>
      </c>
      <c r="AZ953" s="1746">
        <v>2006</v>
      </c>
      <c r="BA953" s="1746" t="s">
        <v>4563</v>
      </c>
      <c r="BB953" s="1747" t="s">
        <v>4564</v>
      </c>
      <c r="BC953" s="1746">
        <v>56</v>
      </c>
      <c r="BD953" s="1746" t="s">
        <v>2615</v>
      </c>
      <c r="BE953" s="1746"/>
      <c r="BF953" s="1746">
        <v>175</v>
      </c>
      <c r="BG953" s="1746" t="s">
        <v>2592</v>
      </c>
      <c r="BH953" s="1744">
        <f t="shared" si="96"/>
        <v>1.75E-4</v>
      </c>
      <c r="BI953" s="1745">
        <f t="shared" si="93"/>
        <v>3.1250000000000001E-6</v>
      </c>
      <c r="BJ953" s="1740" t="str">
        <f t="shared" si="94"/>
        <v>tabs</v>
      </c>
      <c r="BK953" s="1740" t="str">
        <f t="shared" si="95"/>
        <v>Bottle of Tablets</v>
      </c>
    </row>
    <row r="954" spans="51:63" ht="15.65" customHeight="1">
      <c r="AY954" s="1746" t="s">
        <v>2575</v>
      </c>
      <c r="AZ954" s="1746">
        <v>2008</v>
      </c>
      <c r="BA954" s="1746" t="s">
        <v>4565</v>
      </c>
      <c r="BB954" s="1747" t="s">
        <v>4566</v>
      </c>
      <c r="BC954" s="1746" t="s">
        <v>2578</v>
      </c>
      <c r="BD954" s="1746" t="s">
        <v>2638</v>
      </c>
      <c r="BE954" s="1746" t="s">
        <v>2826</v>
      </c>
      <c r="BF954" s="1746">
        <v>0.23300000000000001</v>
      </c>
      <c r="BG954" s="1746" t="s">
        <v>2581</v>
      </c>
      <c r="BH954" s="1744">
        <f t="shared" si="96"/>
        <v>2.3300000000000003E-4</v>
      </c>
      <c r="BI954" s="1745" t="str">
        <f t="shared" si="93"/>
        <v/>
      </c>
      <c r="BJ954" s="1740" t="str">
        <f t="shared" si="94"/>
        <v>PAC-Antimalarial drugs</v>
      </c>
      <c r="BK954" s="1740" t="str">
        <f t="shared" si="95"/>
        <v>Blister Pack of Tablets</v>
      </c>
    </row>
    <row r="955" spans="51:63" ht="15.65" customHeight="1">
      <c r="AY955" s="1746" t="s">
        <v>2575</v>
      </c>
      <c r="AZ955" s="1746">
        <v>2008</v>
      </c>
      <c r="BA955" s="1746" t="s">
        <v>4567</v>
      </c>
      <c r="BB955" s="1747" t="s">
        <v>4568</v>
      </c>
      <c r="BC955" s="1746" t="s">
        <v>2578</v>
      </c>
      <c r="BD955" s="1746" t="s">
        <v>2638</v>
      </c>
      <c r="BE955" s="1746" t="s">
        <v>2826</v>
      </c>
      <c r="BF955" s="1746">
        <v>2.0299999999999998</v>
      </c>
      <c r="BG955" s="1746" t="s">
        <v>2581</v>
      </c>
      <c r="BH955" s="1744">
        <f t="shared" si="96"/>
        <v>2.0299999999999997E-3</v>
      </c>
      <c r="BI955" s="1745" t="str">
        <f t="shared" si="93"/>
        <v/>
      </c>
      <c r="BJ955" s="1740" t="str">
        <f t="shared" si="94"/>
        <v>PAC-Antimalarial drugs</v>
      </c>
      <c r="BK955" s="1740" t="str">
        <f t="shared" si="95"/>
        <v>Blister Pack of Tablets</v>
      </c>
    </row>
    <row r="956" spans="51:63" ht="15.65" customHeight="1">
      <c r="AY956" s="1746" t="s">
        <v>2588</v>
      </c>
      <c r="AZ956" s="1746">
        <v>2006</v>
      </c>
      <c r="BA956" s="1746" t="s">
        <v>4569</v>
      </c>
      <c r="BB956" s="1747" t="s">
        <v>4570</v>
      </c>
      <c r="BC956" s="1746">
        <v>1000</v>
      </c>
      <c r="BD956" s="1746" t="s">
        <v>2615</v>
      </c>
      <c r="BE956" s="1746"/>
      <c r="BF956" s="1746">
        <v>1612.7</v>
      </c>
      <c r="BG956" s="1746" t="s">
        <v>2592</v>
      </c>
      <c r="BH956" s="1744">
        <f t="shared" si="96"/>
        <v>1.6127000000000001E-3</v>
      </c>
      <c r="BI956" s="1745">
        <f t="shared" si="93"/>
        <v>1.6127E-6</v>
      </c>
      <c r="BJ956" s="1740" t="str">
        <f t="shared" si="94"/>
        <v>tabs</v>
      </c>
      <c r="BK956" s="1740" t="str">
        <f t="shared" si="95"/>
        <v>Bottle of Tablets</v>
      </c>
    </row>
    <row r="957" spans="51:63" ht="15.65" customHeight="1">
      <c r="AY957" s="1746" t="s">
        <v>2593</v>
      </c>
      <c r="AZ957" s="1746">
        <v>2008</v>
      </c>
      <c r="BA957" s="1746" t="s">
        <v>4571</v>
      </c>
      <c r="BB957" s="1747" t="s">
        <v>4572</v>
      </c>
      <c r="BC957" s="1750">
        <v>1000</v>
      </c>
      <c r="BD957" s="1746" t="s">
        <v>2601</v>
      </c>
      <c r="BE957" s="1746"/>
      <c r="BF957" s="1746">
        <v>1.7799999999999999E-3</v>
      </c>
      <c r="BG957" s="1746" t="s">
        <v>2597</v>
      </c>
      <c r="BH957" s="1744">
        <f t="shared" si="96"/>
        <v>1.7799999999999999E-3</v>
      </c>
      <c r="BI957" s="1745">
        <f t="shared" si="93"/>
        <v>1.7799999999999999E-6</v>
      </c>
      <c r="BJ957" s="1740" t="str">
        <f t="shared" si="94"/>
        <v>tablets</v>
      </c>
      <c r="BK957" s="1740" t="str">
        <f t="shared" si="95"/>
        <v>Bottle of Tablets</v>
      </c>
    </row>
    <row r="958" spans="51:63" ht="15.65" customHeight="1">
      <c r="AY958" s="1746" t="s">
        <v>2593</v>
      </c>
      <c r="AZ958" s="1746">
        <v>2008</v>
      </c>
      <c r="BA958" s="1746" t="s">
        <v>4573</v>
      </c>
      <c r="BB958" s="1747" t="s">
        <v>4572</v>
      </c>
      <c r="BC958" s="1750">
        <v>1000</v>
      </c>
      <c r="BD958" s="1746" t="s">
        <v>2601</v>
      </c>
      <c r="BE958" s="1746"/>
      <c r="BF958" s="1746">
        <v>0</v>
      </c>
      <c r="BG958" s="1746" t="s">
        <v>2597</v>
      </c>
      <c r="BH958" s="1744">
        <f t="shared" si="96"/>
        <v>0</v>
      </c>
      <c r="BI958" s="1745">
        <f t="shared" si="93"/>
        <v>0</v>
      </c>
      <c r="BJ958" s="1740" t="str">
        <f t="shared" si="94"/>
        <v>tablets</v>
      </c>
      <c r="BK958" s="1740" t="str">
        <f t="shared" si="95"/>
        <v>Bottle of Tablets</v>
      </c>
    </row>
    <row r="959" spans="51:63" ht="15.65" customHeight="1">
      <c r="AY959" s="1746" t="s">
        <v>2588</v>
      </c>
      <c r="AZ959" s="1746">
        <v>2006</v>
      </c>
      <c r="BA959" s="1746" t="s">
        <v>4574</v>
      </c>
      <c r="BB959" s="1747" t="s">
        <v>4575</v>
      </c>
      <c r="BC959" s="1746" t="s">
        <v>4576</v>
      </c>
      <c r="BD959" s="1746" t="s">
        <v>2615</v>
      </c>
      <c r="BE959" s="1746"/>
      <c r="BF959" s="1746">
        <v>75</v>
      </c>
      <c r="BG959" s="1746" t="s">
        <v>2592</v>
      </c>
      <c r="BH959" s="1744">
        <f t="shared" si="96"/>
        <v>7.4999999999999993E-5</v>
      </c>
      <c r="BI959" s="1745" t="str">
        <f t="shared" si="93"/>
        <v/>
      </c>
      <c r="BJ959" s="1740" t="str">
        <f t="shared" si="94"/>
        <v>tabs</v>
      </c>
      <c r="BK959" s="1740" t="str">
        <f t="shared" si="95"/>
        <v>Bottle of Tablets</v>
      </c>
    </row>
    <row r="960" spans="51:63" ht="15.65" customHeight="1">
      <c r="AY960" s="1746" t="s">
        <v>2575</v>
      </c>
      <c r="AZ960" s="1746">
        <v>2008</v>
      </c>
      <c r="BA960" s="1746" t="s">
        <v>4577</v>
      </c>
      <c r="BB960" s="1747" t="s">
        <v>4578</v>
      </c>
      <c r="BC960" s="1746" t="s">
        <v>2578</v>
      </c>
      <c r="BD960" s="1746" t="s">
        <v>2638</v>
      </c>
      <c r="BE960" s="1746" t="s">
        <v>3121</v>
      </c>
      <c r="BF960" s="1746">
        <v>9.4E-2</v>
      </c>
      <c r="BG960" s="1746" t="s">
        <v>2581</v>
      </c>
      <c r="BH960" s="1744">
        <f t="shared" si="96"/>
        <v>9.3999999999999994E-5</v>
      </c>
      <c r="BI960" s="1745" t="str">
        <f t="shared" si="93"/>
        <v/>
      </c>
      <c r="BJ960" s="1740" t="str">
        <f t="shared" si="94"/>
        <v>PAC-Other antibacterials</v>
      </c>
      <c r="BK960" s="1740" t="str">
        <f t="shared" si="95"/>
        <v>Bottle of Tablets</v>
      </c>
    </row>
    <row r="961" spans="51:63" ht="15.65" customHeight="1">
      <c r="AY961" s="1746" t="s">
        <v>2575</v>
      </c>
      <c r="AZ961" s="1746">
        <v>2008</v>
      </c>
      <c r="BA961" s="1746" t="s">
        <v>4579</v>
      </c>
      <c r="BB961" s="1747" t="s">
        <v>4580</v>
      </c>
      <c r="BC961" s="1746" t="s">
        <v>2578</v>
      </c>
      <c r="BD961" s="1746" t="s">
        <v>2638</v>
      </c>
      <c r="BE961" s="1746" t="s">
        <v>3121</v>
      </c>
      <c r="BF961" s="1746">
        <v>0.32800000000000001</v>
      </c>
      <c r="BG961" s="1746" t="s">
        <v>2581</v>
      </c>
      <c r="BH961" s="1744">
        <f t="shared" si="96"/>
        <v>3.28E-4</v>
      </c>
      <c r="BI961" s="1745" t="str">
        <f t="shared" si="93"/>
        <v/>
      </c>
      <c r="BJ961" s="1740" t="str">
        <f t="shared" si="94"/>
        <v>PAC-Other antibacterials</v>
      </c>
      <c r="BK961" s="1740" t="str">
        <f t="shared" si="95"/>
        <v>Bottle of Tablets</v>
      </c>
    </row>
    <row r="962" spans="51:63" ht="15.65" customHeight="1">
      <c r="AY962" s="1746" t="s">
        <v>2575</v>
      </c>
      <c r="AZ962" s="1746">
        <v>2008</v>
      </c>
      <c r="BA962" s="1746" t="s">
        <v>4581</v>
      </c>
      <c r="BB962" s="1747" t="s">
        <v>4582</v>
      </c>
      <c r="BC962" s="1746" t="s">
        <v>2578</v>
      </c>
      <c r="BD962" s="1746" t="s">
        <v>2638</v>
      </c>
      <c r="BE962" s="1746" t="s">
        <v>3121</v>
      </c>
      <c r="BF962" s="1746">
        <v>1.24</v>
      </c>
      <c r="BG962" s="1746" t="s">
        <v>2581</v>
      </c>
      <c r="BH962" s="1744">
        <f t="shared" si="96"/>
        <v>1.24E-3</v>
      </c>
      <c r="BI962" s="1745" t="str">
        <f t="shared" si="93"/>
        <v/>
      </c>
      <c r="BJ962" s="1740" t="str">
        <f t="shared" si="94"/>
        <v>PAC-Other antibacterials</v>
      </c>
      <c r="BK962" s="1740" t="str">
        <f t="shared" si="95"/>
        <v>Bottle of Tablets</v>
      </c>
    </row>
    <row r="963" spans="51:63" ht="15.65" customHeight="1">
      <c r="AY963" s="1746" t="s">
        <v>2575</v>
      </c>
      <c r="AZ963" s="1746">
        <v>2008</v>
      </c>
      <c r="BA963" s="1746" t="s">
        <v>4583</v>
      </c>
      <c r="BB963" s="1747" t="s">
        <v>4584</v>
      </c>
      <c r="BC963" s="1746" t="s">
        <v>2578</v>
      </c>
      <c r="BD963" s="1746" t="s">
        <v>2638</v>
      </c>
      <c r="BE963" s="1746" t="s">
        <v>3121</v>
      </c>
      <c r="BF963" s="1746">
        <v>0.35</v>
      </c>
      <c r="BG963" s="1746" t="s">
        <v>2581</v>
      </c>
      <c r="BH963" s="1744">
        <f t="shared" si="96"/>
        <v>3.5E-4</v>
      </c>
      <c r="BI963" s="1745" t="str">
        <f t="shared" si="93"/>
        <v/>
      </c>
      <c r="BJ963" s="1740" t="str">
        <f t="shared" si="94"/>
        <v>PAC-Other antibacterials</v>
      </c>
      <c r="BK963" s="1740" t="str">
        <f t="shared" si="95"/>
        <v>Bottle of Tablets</v>
      </c>
    </row>
    <row r="964" spans="51:63" ht="15.65" customHeight="1">
      <c r="AY964" s="1746" t="s">
        <v>2593</v>
      </c>
      <c r="AZ964" s="1746">
        <v>2008</v>
      </c>
      <c r="BA964" s="1746" t="s">
        <v>4585</v>
      </c>
      <c r="BB964" s="1747" t="s">
        <v>4586</v>
      </c>
      <c r="BC964" s="1746">
        <v>1</v>
      </c>
      <c r="BD964" s="1746" t="s">
        <v>3167</v>
      </c>
      <c r="BE964" s="1746"/>
      <c r="BF964" s="1746">
        <v>1.8240000000000001</v>
      </c>
      <c r="BG964" s="1746" t="s">
        <v>2597</v>
      </c>
      <c r="BH964" s="1744">
        <f t="shared" si="96"/>
        <v>1.8240000000000001</v>
      </c>
      <c r="BI964" s="1745">
        <f t="shared" si="93"/>
        <v>1.8240000000000001</v>
      </c>
      <c r="BJ964" s="1740" t="str">
        <f t="shared" si="94"/>
        <v>kit</v>
      </c>
      <c r="BK964" s="1740" t="str">
        <f t="shared" si="95"/>
        <v>Medical equipment</v>
      </c>
    </row>
    <row r="965" spans="51:63" ht="15.65" customHeight="1">
      <c r="AY965" s="1746" t="s">
        <v>2588</v>
      </c>
      <c r="AZ965" s="1746">
        <v>2006</v>
      </c>
      <c r="BA965" s="1746" t="s">
        <v>4587</v>
      </c>
      <c r="BB965" s="1747" t="s">
        <v>4588</v>
      </c>
      <c r="BC965" s="1746">
        <v>1152</v>
      </c>
      <c r="BD965" s="1746" t="s">
        <v>2927</v>
      </c>
      <c r="BE965" s="1746"/>
      <c r="BF965" s="1746">
        <v>2000</v>
      </c>
      <c r="BG965" s="1746" t="s">
        <v>2592</v>
      </c>
      <c r="BH965" s="1744">
        <f t="shared" si="96"/>
        <v>2E-3</v>
      </c>
      <c r="BI965" s="1745">
        <f t="shared" si="93"/>
        <v>1.7361111111111112E-6</v>
      </c>
      <c r="BJ965" s="1740" t="str">
        <f t="shared" si="94"/>
        <v>pcs</v>
      </c>
      <c r="BK965" s="1740" t="str">
        <f t="shared" si="95"/>
        <v>Medical equipment</v>
      </c>
    </row>
    <row r="966" spans="51:63" ht="15.65" customHeight="1">
      <c r="AY966" s="1746" t="s">
        <v>2588</v>
      </c>
      <c r="AZ966" s="1746">
        <v>2006</v>
      </c>
      <c r="BA966" s="1746" t="s">
        <v>4589</v>
      </c>
      <c r="BB966" s="1747" t="s">
        <v>4590</v>
      </c>
      <c r="BC966" s="1746">
        <v>50</v>
      </c>
      <c r="BD966" s="1746" t="s">
        <v>2927</v>
      </c>
      <c r="BE966" s="1746"/>
      <c r="BF966" s="1746">
        <v>3529</v>
      </c>
      <c r="BG966" s="1746" t="s">
        <v>2592</v>
      </c>
      <c r="BH966" s="1744">
        <f t="shared" si="96"/>
        <v>3.529E-3</v>
      </c>
      <c r="BI966" s="1745">
        <f t="shared" si="93"/>
        <v>7.0580000000000005E-5</v>
      </c>
      <c r="BJ966" s="1740" t="str">
        <f t="shared" si="94"/>
        <v>pcs</v>
      </c>
      <c r="BK966" s="1740" t="str">
        <f t="shared" si="95"/>
        <v>Medical equipment</v>
      </c>
    </row>
    <row r="967" spans="51:63" ht="15.65" customHeight="1">
      <c r="AY967" s="1746" t="s">
        <v>2588</v>
      </c>
      <c r="AZ967" s="1746">
        <v>2006</v>
      </c>
      <c r="BA967" s="1746" t="s">
        <v>4591</v>
      </c>
      <c r="BB967" s="1747" t="s">
        <v>4592</v>
      </c>
      <c r="BC967" s="1746">
        <v>50</v>
      </c>
      <c r="BD967" s="1746" t="s">
        <v>4593</v>
      </c>
      <c r="BE967" s="1746"/>
      <c r="BF967" s="1746">
        <v>7883</v>
      </c>
      <c r="BG967" s="1746" t="s">
        <v>2592</v>
      </c>
      <c r="BH967" s="1744">
        <f t="shared" si="96"/>
        <v>7.8829999999999994E-3</v>
      </c>
      <c r="BI967" s="1745">
        <f t="shared" si="93"/>
        <v>1.5765999999999998E-4</v>
      </c>
      <c r="BJ967" s="1740" t="str">
        <f t="shared" si="94"/>
        <v>pairs</v>
      </c>
      <c r="BK967" s="1740" t="str">
        <f t="shared" si="95"/>
        <v>Box of bandages</v>
      </c>
    </row>
    <row r="968" spans="51:63" ht="15.65" customHeight="1">
      <c r="AY968" s="1746" t="s">
        <v>2588</v>
      </c>
      <c r="AZ968" s="1746">
        <v>2006</v>
      </c>
      <c r="BA968" s="1746" t="s">
        <v>4594</v>
      </c>
      <c r="BB968" s="1747" t="s">
        <v>4595</v>
      </c>
      <c r="BC968" s="1746">
        <v>50</v>
      </c>
      <c r="BD968" s="1746" t="s">
        <v>4593</v>
      </c>
      <c r="BE968" s="1746"/>
      <c r="BF968" s="1746">
        <v>9135</v>
      </c>
      <c r="BG968" s="1746" t="s">
        <v>2592</v>
      </c>
      <c r="BH968" s="1744">
        <f t="shared" si="96"/>
        <v>9.1350000000000008E-3</v>
      </c>
      <c r="BI968" s="1745">
        <f t="shared" si="93"/>
        <v>1.8270000000000002E-4</v>
      </c>
      <c r="BJ968" s="1740" t="str">
        <f t="shared" si="94"/>
        <v>pairs</v>
      </c>
      <c r="BK968" s="1740" t="str">
        <f t="shared" si="95"/>
        <v>Box of bandages</v>
      </c>
    </row>
    <row r="969" spans="51:63" ht="15.65" customHeight="1">
      <c r="AY969" s="1746" t="s">
        <v>2588</v>
      </c>
      <c r="AZ969" s="1746">
        <v>2006</v>
      </c>
      <c r="BA969" s="1746" t="s">
        <v>4596</v>
      </c>
      <c r="BB969" s="1747" t="s">
        <v>4597</v>
      </c>
      <c r="BC969" s="1746">
        <v>50</v>
      </c>
      <c r="BD969" s="1746" t="s">
        <v>4593</v>
      </c>
      <c r="BE969" s="1746"/>
      <c r="BF969" s="1746">
        <v>9135</v>
      </c>
      <c r="BG969" s="1746" t="s">
        <v>2592</v>
      </c>
      <c r="BH969" s="1744">
        <f t="shared" si="96"/>
        <v>9.1350000000000008E-3</v>
      </c>
      <c r="BI969" s="1745">
        <f t="shared" si="93"/>
        <v>1.8270000000000002E-4</v>
      </c>
      <c r="BJ969" s="1740" t="str">
        <f t="shared" si="94"/>
        <v>pairs</v>
      </c>
      <c r="BK969" s="1740" t="str">
        <f t="shared" si="95"/>
        <v>Box of bandages</v>
      </c>
    </row>
    <row r="970" spans="51:63" ht="15.65" customHeight="1">
      <c r="AY970" s="1746" t="s">
        <v>2588</v>
      </c>
      <c r="AZ970" s="1746">
        <v>2006</v>
      </c>
      <c r="BA970" s="1746" t="s">
        <v>4598</v>
      </c>
      <c r="BB970" s="1747" t="s">
        <v>4599</v>
      </c>
      <c r="BC970" s="1746">
        <v>50</v>
      </c>
      <c r="BD970" s="1746" t="s">
        <v>4593</v>
      </c>
      <c r="BE970" s="1746"/>
      <c r="BF970" s="1746">
        <v>9135</v>
      </c>
      <c r="BG970" s="1746" t="s">
        <v>2592</v>
      </c>
      <c r="BH970" s="1744">
        <f t="shared" si="96"/>
        <v>9.1350000000000008E-3</v>
      </c>
      <c r="BI970" s="1745">
        <f t="shared" si="93"/>
        <v>1.8270000000000002E-4</v>
      </c>
      <c r="BJ970" s="1740" t="str">
        <f t="shared" si="94"/>
        <v>pairs</v>
      </c>
      <c r="BK970" s="1740" t="str">
        <f t="shared" si="95"/>
        <v>Box of bandages</v>
      </c>
    </row>
    <row r="971" spans="51:63" ht="15.65" customHeight="1">
      <c r="AY971" s="1746" t="s">
        <v>2588</v>
      </c>
      <c r="AZ971" s="1746">
        <v>2006</v>
      </c>
      <c r="BA971" s="1746" t="s">
        <v>4600</v>
      </c>
      <c r="BB971" s="1747" t="s">
        <v>4601</v>
      </c>
      <c r="BC971" s="1746">
        <v>50</v>
      </c>
      <c r="BD971" s="1746" t="s">
        <v>4593</v>
      </c>
      <c r="BE971" s="1746"/>
      <c r="BF971" s="1746">
        <v>9135</v>
      </c>
      <c r="BG971" s="1746" t="s">
        <v>2592</v>
      </c>
      <c r="BH971" s="1744">
        <f t="shared" si="96"/>
        <v>9.1350000000000008E-3</v>
      </c>
      <c r="BI971" s="1745">
        <f t="shared" si="93"/>
        <v>1.8270000000000002E-4</v>
      </c>
      <c r="BJ971" s="1740" t="str">
        <f t="shared" si="94"/>
        <v>pairs</v>
      </c>
      <c r="BK971" s="1740" t="str">
        <f t="shared" si="95"/>
        <v>Box of bandages</v>
      </c>
    </row>
    <row r="972" spans="51:63" ht="15.65" customHeight="1">
      <c r="AY972" s="1746" t="s">
        <v>2588</v>
      </c>
      <c r="AZ972" s="1746">
        <v>2006</v>
      </c>
      <c r="BA972" s="1746" t="s">
        <v>4602</v>
      </c>
      <c r="BB972" s="1747" t="s">
        <v>4603</v>
      </c>
      <c r="BC972" s="1746">
        <v>50</v>
      </c>
      <c r="BD972" s="1746" t="s">
        <v>4593</v>
      </c>
      <c r="BE972" s="1746"/>
      <c r="BF972" s="1746">
        <v>9135</v>
      </c>
      <c r="BG972" s="1746" t="s">
        <v>2592</v>
      </c>
      <c r="BH972" s="1744">
        <f t="shared" si="96"/>
        <v>9.1350000000000008E-3</v>
      </c>
      <c r="BI972" s="1745">
        <f t="shared" si="93"/>
        <v>1.8270000000000002E-4</v>
      </c>
      <c r="BJ972" s="1740" t="str">
        <f t="shared" si="94"/>
        <v>pairs</v>
      </c>
      <c r="BK972" s="1740" t="str">
        <f t="shared" si="95"/>
        <v>Box of bandages</v>
      </c>
    </row>
    <row r="973" spans="51:63" ht="15.65" customHeight="1">
      <c r="AY973" s="1746" t="s">
        <v>2588</v>
      </c>
      <c r="AZ973" s="1746">
        <v>2006</v>
      </c>
      <c r="BA973" s="1746" t="s">
        <v>4604</v>
      </c>
      <c r="BB973" s="1747" t="s">
        <v>4605</v>
      </c>
      <c r="BC973" s="1746">
        <v>1</v>
      </c>
      <c r="BD973" s="1746" t="s">
        <v>2724</v>
      </c>
      <c r="BE973" s="1746"/>
      <c r="BF973" s="1746">
        <v>108</v>
      </c>
      <c r="BG973" s="1746" t="s">
        <v>2592</v>
      </c>
      <c r="BH973" s="1744">
        <f t="shared" si="96"/>
        <v>1.08E-4</v>
      </c>
      <c r="BI973" s="1745">
        <f t="shared" si="93"/>
        <v>1.08E-4</v>
      </c>
      <c r="BJ973" s="1740" t="str">
        <f t="shared" si="94"/>
        <v>pce</v>
      </c>
      <c r="BK973" s="1740" t="str">
        <f t="shared" si="95"/>
        <v>Roll of tape/gauze</v>
      </c>
    </row>
    <row r="974" spans="51:63" ht="15.65" customHeight="1">
      <c r="AY974" s="1746" t="s">
        <v>2575</v>
      </c>
      <c r="AZ974" s="1746">
        <v>2008</v>
      </c>
      <c r="BA974" s="1746" t="s">
        <v>4606</v>
      </c>
      <c r="BB974" s="1747" t="s">
        <v>4607</v>
      </c>
      <c r="BC974" s="1746" t="s">
        <v>2578</v>
      </c>
      <c r="BD974" s="1746" t="s">
        <v>2903</v>
      </c>
      <c r="BE974" s="1746" t="s">
        <v>4608</v>
      </c>
      <c r="BF974" s="1746">
        <v>1.0349999999999999</v>
      </c>
      <c r="BG974" s="1746" t="s">
        <v>2581</v>
      </c>
      <c r="BH974" s="1744">
        <f t="shared" si="96"/>
        <v>1.0349999999999999E-3</v>
      </c>
      <c r="BI974" s="1745" t="str">
        <f t="shared" si="93"/>
        <v/>
      </c>
      <c r="BJ974" s="1740" t="str">
        <f t="shared" si="94"/>
        <v>BOX-Sutures, absorbable</v>
      </c>
      <c r="BK974" s="1740" t="str">
        <f t="shared" si="95"/>
        <v>Box of bandages</v>
      </c>
    </row>
    <row r="975" spans="51:63" ht="15.65" customHeight="1">
      <c r="AY975" s="1746" t="s">
        <v>2575</v>
      </c>
      <c r="AZ975" s="1746">
        <v>2008</v>
      </c>
      <c r="BA975" s="1746" t="s">
        <v>4609</v>
      </c>
      <c r="BB975" s="1747" t="s">
        <v>4610</v>
      </c>
      <c r="BC975" s="1746" t="s">
        <v>2578</v>
      </c>
      <c r="BD975" s="1746" t="s">
        <v>2903</v>
      </c>
      <c r="BE975" s="1746" t="s">
        <v>4608</v>
      </c>
      <c r="BF975" s="1746">
        <v>1.0349999999999999</v>
      </c>
      <c r="BG975" s="1746" t="s">
        <v>2581</v>
      </c>
      <c r="BH975" s="1744">
        <f t="shared" si="96"/>
        <v>1.0349999999999999E-3</v>
      </c>
      <c r="BI975" s="1745" t="str">
        <f t="shared" si="93"/>
        <v/>
      </c>
      <c r="BJ975" s="1740" t="str">
        <f t="shared" si="94"/>
        <v>BOX-Sutures, absorbable</v>
      </c>
      <c r="BK975" s="1740" t="str">
        <f t="shared" si="95"/>
        <v>Box of bandages</v>
      </c>
    </row>
    <row r="976" spans="51:63" ht="15.65" customHeight="1">
      <c r="AY976" s="1746" t="s">
        <v>2575</v>
      </c>
      <c r="AZ976" s="1746">
        <v>2008</v>
      </c>
      <c r="BA976" s="1746" t="s">
        <v>4611</v>
      </c>
      <c r="BB976" s="1747" t="s">
        <v>4612</v>
      </c>
      <c r="BC976" s="1746" t="s">
        <v>2578</v>
      </c>
      <c r="BD976" s="1746" t="s">
        <v>2903</v>
      </c>
      <c r="BE976" s="1746" t="s">
        <v>4608</v>
      </c>
      <c r="BF976" s="1746">
        <v>1.0349999999999999</v>
      </c>
      <c r="BG976" s="1746" t="s">
        <v>2581</v>
      </c>
      <c r="BH976" s="1744">
        <f t="shared" si="96"/>
        <v>1.0349999999999999E-3</v>
      </c>
      <c r="BI976" s="1745" t="str">
        <f t="shared" si="93"/>
        <v/>
      </c>
      <c r="BJ976" s="1740" t="str">
        <f t="shared" si="94"/>
        <v>BOX-Sutures, absorbable</v>
      </c>
      <c r="BK976" s="1740" t="str">
        <f t="shared" si="95"/>
        <v>Box of bandages</v>
      </c>
    </row>
    <row r="977" spans="51:63" ht="15.65" customHeight="1">
      <c r="AY977" s="1746" t="s">
        <v>2575</v>
      </c>
      <c r="AZ977" s="1746">
        <v>2008</v>
      </c>
      <c r="BA977" s="1746" t="s">
        <v>4613</v>
      </c>
      <c r="BB977" s="1747" t="s">
        <v>4614</v>
      </c>
      <c r="BC977" s="1746" t="s">
        <v>2578</v>
      </c>
      <c r="BD977" s="1746" t="s">
        <v>2903</v>
      </c>
      <c r="BE977" s="1746" t="s">
        <v>4608</v>
      </c>
      <c r="BF977" s="1746">
        <v>1.0349999999999999</v>
      </c>
      <c r="BG977" s="1746" t="s">
        <v>2581</v>
      </c>
      <c r="BH977" s="1744">
        <f t="shared" si="96"/>
        <v>1.0349999999999999E-3</v>
      </c>
      <c r="BI977" s="1745" t="str">
        <f t="shared" si="93"/>
        <v/>
      </c>
      <c r="BJ977" s="1740" t="str">
        <f t="shared" si="94"/>
        <v>BOX-Sutures, absorbable</v>
      </c>
      <c r="BK977" s="1740" t="str">
        <f t="shared" si="95"/>
        <v>Box of bandages</v>
      </c>
    </row>
    <row r="978" spans="51:63" ht="15.65" customHeight="1">
      <c r="AY978" s="1746" t="s">
        <v>2575</v>
      </c>
      <c r="AZ978" s="1746">
        <v>2008</v>
      </c>
      <c r="BA978" s="1746" t="s">
        <v>4615</v>
      </c>
      <c r="BB978" s="1747" t="s">
        <v>4616</v>
      </c>
      <c r="BC978" s="1746" t="s">
        <v>2578</v>
      </c>
      <c r="BD978" s="1746" t="s">
        <v>2903</v>
      </c>
      <c r="BE978" s="1746" t="s">
        <v>4608</v>
      </c>
      <c r="BF978" s="1746">
        <v>1.0349999999999999</v>
      </c>
      <c r="BG978" s="1746" t="s">
        <v>2581</v>
      </c>
      <c r="BH978" s="1744">
        <f t="shared" si="96"/>
        <v>1.0349999999999999E-3</v>
      </c>
      <c r="BI978" s="1745" t="str">
        <f t="shared" si="93"/>
        <v/>
      </c>
      <c r="BJ978" s="1740" t="str">
        <f t="shared" si="94"/>
        <v>BOX-Sutures, absorbable</v>
      </c>
      <c r="BK978" s="1740" t="str">
        <f t="shared" si="95"/>
        <v>Box of bandages</v>
      </c>
    </row>
    <row r="979" spans="51:63" ht="15.65" customHeight="1">
      <c r="AY979" s="1746" t="s">
        <v>2575</v>
      </c>
      <c r="AZ979" s="1746">
        <v>2008</v>
      </c>
      <c r="BA979" s="1746" t="s">
        <v>4617</v>
      </c>
      <c r="BB979" s="1747" t="s">
        <v>4618</v>
      </c>
      <c r="BC979" s="1746" t="s">
        <v>2578</v>
      </c>
      <c r="BD979" s="1746" t="s">
        <v>2903</v>
      </c>
      <c r="BE979" s="1746" t="s">
        <v>4608</v>
      </c>
      <c r="BF979" s="1746">
        <v>1.0349999999999999</v>
      </c>
      <c r="BG979" s="1746" t="s">
        <v>2581</v>
      </c>
      <c r="BH979" s="1744">
        <f t="shared" si="96"/>
        <v>1.0349999999999999E-3</v>
      </c>
      <c r="BI979" s="1745" t="str">
        <f t="shared" ref="BI979:BI1042" si="97">IFERROR(BH979/BC979,"")</f>
        <v/>
      </c>
      <c r="BJ979" s="1740" t="str">
        <f t="shared" ref="BJ979:BJ1042" si="98">IF(BE979="",BD979,BD979&amp;"-"&amp;BE979)</f>
        <v>BOX-Sutures, absorbable</v>
      </c>
      <c r="BK979" s="1740" t="str">
        <f t="shared" si="95"/>
        <v>Box of bandages</v>
      </c>
    </row>
    <row r="980" spans="51:63" ht="15.65" customHeight="1">
      <c r="AY980" s="1746" t="s">
        <v>2575</v>
      </c>
      <c r="AZ980" s="1746">
        <v>2008</v>
      </c>
      <c r="BA980" s="1746" t="s">
        <v>4619</v>
      </c>
      <c r="BB980" s="1747" t="s">
        <v>4620</v>
      </c>
      <c r="BC980" s="1746" t="s">
        <v>2578</v>
      </c>
      <c r="BD980" s="1746" t="s">
        <v>2903</v>
      </c>
      <c r="BE980" s="1746" t="s">
        <v>4608</v>
      </c>
      <c r="BF980" s="1746">
        <v>1.0349999999999999</v>
      </c>
      <c r="BG980" s="1746" t="s">
        <v>2581</v>
      </c>
      <c r="BH980" s="1744">
        <f t="shared" si="96"/>
        <v>1.0349999999999999E-3</v>
      </c>
      <c r="BI980" s="1745" t="str">
        <f t="shared" si="97"/>
        <v/>
      </c>
      <c r="BJ980" s="1740" t="str">
        <f t="shared" si="98"/>
        <v>BOX-Sutures, absorbable</v>
      </c>
      <c r="BK980" s="1740" t="str">
        <f t="shared" ref="BK980:BK1043" si="99">IFERROR(INDEX($BO$18:$BO$136,MATCH(BJ980,$BN$18:$BN$136,0)),"")</f>
        <v>Box of bandages</v>
      </c>
    </row>
    <row r="981" spans="51:63" ht="15.65" customHeight="1">
      <c r="AY981" s="1746" t="s">
        <v>2575</v>
      </c>
      <c r="AZ981" s="1746">
        <v>2008</v>
      </c>
      <c r="BA981" s="1746" t="s">
        <v>4621</v>
      </c>
      <c r="BB981" s="1747" t="s">
        <v>4622</v>
      </c>
      <c r="BC981" s="1746" t="s">
        <v>2578</v>
      </c>
      <c r="BD981" s="1746" t="s">
        <v>2903</v>
      </c>
      <c r="BE981" s="1746" t="s">
        <v>4608</v>
      </c>
      <c r="BF981" s="1746">
        <v>1.0349999999999999</v>
      </c>
      <c r="BG981" s="1746" t="s">
        <v>2581</v>
      </c>
      <c r="BH981" s="1744">
        <f t="shared" si="96"/>
        <v>1.0349999999999999E-3</v>
      </c>
      <c r="BI981" s="1745" t="str">
        <f t="shared" si="97"/>
        <v/>
      </c>
      <c r="BJ981" s="1740" t="str">
        <f t="shared" si="98"/>
        <v>BOX-Sutures, absorbable</v>
      </c>
      <c r="BK981" s="1740" t="str">
        <f t="shared" si="99"/>
        <v>Box of bandages</v>
      </c>
    </row>
    <row r="982" spans="51:63" ht="15.65" customHeight="1">
      <c r="AY982" s="1746" t="s">
        <v>2575</v>
      </c>
      <c r="AZ982" s="1746">
        <v>2008</v>
      </c>
      <c r="BA982" s="1746" t="s">
        <v>4623</v>
      </c>
      <c r="BB982" s="1747" t="s">
        <v>4624</v>
      </c>
      <c r="BC982" s="1746" t="s">
        <v>2578</v>
      </c>
      <c r="BD982" s="1746" t="s">
        <v>2903</v>
      </c>
      <c r="BE982" s="1746" t="s">
        <v>4608</v>
      </c>
      <c r="BF982" s="1746">
        <v>1.0349999999999999</v>
      </c>
      <c r="BG982" s="1746" t="s">
        <v>2581</v>
      </c>
      <c r="BH982" s="1744">
        <f t="shared" si="96"/>
        <v>1.0349999999999999E-3</v>
      </c>
      <c r="BI982" s="1745" t="str">
        <f t="shared" si="97"/>
        <v/>
      </c>
      <c r="BJ982" s="1740" t="str">
        <f t="shared" si="98"/>
        <v>BOX-Sutures, absorbable</v>
      </c>
      <c r="BK982" s="1740" t="str">
        <f t="shared" si="99"/>
        <v>Box of bandages</v>
      </c>
    </row>
    <row r="983" spans="51:63" ht="15.65" customHeight="1">
      <c r="AY983" s="1746" t="s">
        <v>2575</v>
      </c>
      <c r="AZ983" s="1746">
        <v>2008</v>
      </c>
      <c r="BA983" s="1746" t="s">
        <v>4625</v>
      </c>
      <c r="BB983" s="1747" t="s">
        <v>4626</v>
      </c>
      <c r="BC983" s="1746" t="s">
        <v>2578</v>
      </c>
      <c r="BD983" s="1746" t="s">
        <v>2903</v>
      </c>
      <c r="BE983" s="1746" t="s">
        <v>4627</v>
      </c>
      <c r="BF983" s="1746">
        <v>1.0349999999999999</v>
      </c>
      <c r="BG983" s="1746" t="s">
        <v>2581</v>
      </c>
      <c r="BH983" s="1744">
        <f t="shared" si="96"/>
        <v>1.0349999999999999E-3</v>
      </c>
      <c r="BI983" s="1745" t="str">
        <f t="shared" si="97"/>
        <v/>
      </c>
      <c r="BJ983" s="1740" t="str">
        <f t="shared" si="98"/>
        <v>BOX-Sut., non-absorbable</v>
      </c>
      <c r="BK983" s="1740" t="str">
        <f t="shared" si="99"/>
        <v>Box of bandages</v>
      </c>
    </row>
    <row r="984" spans="51:63" ht="15.65" customHeight="1">
      <c r="AY984" s="1746" t="s">
        <v>2575</v>
      </c>
      <c r="AZ984" s="1746">
        <v>2008</v>
      </c>
      <c r="BA984" s="1746" t="s">
        <v>4628</v>
      </c>
      <c r="BB984" s="1747" t="s">
        <v>4629</v>
      </c>
      <c r="BC984" s="1746" t="s">
        <v>2578</v>
      </c>
      <c r="BD984" s="1746" t="s">
        <v>2903</v>
      </c>
      <c r="BE984" s="1746" t="s">
        <v>4627</v>
      </c>
      <c r="BF984" s="1746">
        <v>1.0349999999999999</v>
      </c>
      <c r="BG984" s="1746" t="s">
        <v>2581</v>
      </c>
      <c r="BH984" s="1744">
        <f t="shared" si="96"/>
        <v>1.0349999999999999E-3</v>
      </c>
      <c r="BI984" s="1745" t="str">
        <f t="shared" si="97"/>
        <v/>
      </c>
      <c r="BJ984" s="1740" t="str">
        <f t="shared" si="98"/>
        <v>BOX-Sut., non-absorbable</v>
      </c>
      <c r="BK984" s="1740" t="str">
        <f t="shared" si="99"/>
        <v>Box of bandages</v>
      </c>
    </row>
    <row r="985" spans="51:63" ht="15.65" customHeight="1">
      <c r="AY985" s="1746" t="s">
        <v>2575</v>
      </c>
      <c r="AZ985" s="1746">
        <v>2008</v>
      </c>
      <c r="BA985" s="1746" t="s">
        <v>4630</v>
      </c>
      <c r="BB985" s="1747" t="s">
        <v>4631</v>
      </c>
      <c r="BC985" s="1746" t="s">
        <v>2578</v>
      </c>
      <c r="BD985" s="1746" t="s">
        <v>2903</v>
      </c>
      <c r="BE985" s="1746" t="s">
        <v>4627</v>
      </c>
      <c r="BF985" s="1746">
        <v>1.0349999999999999</v>
      </c>
      <c r="BG985" s="1746" t="s">
        <v>2581</v>
      </c>
      <c r="BH985" s="1744">
        <f t="shared" ref="BH985:BH1048" si="100">IF(BG985="CCM",BF985/1000000,IF(BG985="CDM",BF985/1000, IF(BG985="M3",BF985,"")))</f>
        <v>1.0349999999999999E-3</v>
      </c>
      <c r="BI985" s="1745" t="str">
        <f t="shared" si="97"/>
        <v/>
      </c>
      <c r="BJ985" s="1740" t="str">
        <f t="shared" si="98"/>
        <v>BOX-Sut., non-absorbable</v>
      </c>
      <c r="BK985" s="1740" t="str">
        <f t="shared" si="99"/>
        <v>Box of bandages</v>
      </c>
    </row>
    <row r="986" spans="51:63" ht="15.65" customHeight="1">
      <c r="AY986" s="1746" t="s">
        <v>2575</v>
      </c>
      <c r="AZ986" s="1746">
        <v>2008</v>
      </c>
      <c r="BA986" s="1746" t="s">
        <v>4632</v>
      </c>
      <c r="BB986" s="1747" t="s">
        <v>4633</v>
      </c>
      <c r="BC986" s="1746" t="s">
        <v>2578</v>
      </c>
      <c r="BD986" s="1746" t="s">
        <v>2903</v>
      </c>
      <c r="BE986" s="1746" t="s">
        <v>4627</v>
      </c>
      <c r="BF986" s="1746">
        <v>1.0349999999999999</v>
      </c>
      <c r="BG986" s="1746" t="s">
        <v>2581</v>
      </c>
      <c r="BH986" s="1744">
        <f t="shared" si="100"/>
        <v>1.0349999999999999E-3</v>
      </c>
      <c r="BI986" s="1745" t="str">
        <f t="shared" si="97"/>
        <v/>
      </c>
      <c r="BJ986" s="1740" t="str">
        <f t="shared" si="98"/>
        <v>BOX-Sut., non-absorbable</v>
      </c>
      <c r="BK986" s="1740" t="str">
        <f t="shared" si="99"/>
        <v>Box of bandages</v>
      </c>
    </row>
    <row r="987" spans="51:63" ht="15.65" customHeight="1">
      <c r="AY987" s="1746" t="s">
        <v>2575</v>
      </c>
      <c r="AZ987" s="1746">
        <v>2008</v>
      </c>
      <c r="BA987" s="1746" t="s">
        <v>4634</v>
      </c>
      <c r="BB987" s="1747" t="s">
        <v>4635</v>
      </c>
      <c r="BC987" s="1746" t="s">
        <v>2578</v>
      </c>
      <c r="BD987" s="1746" t="s">
        <v>2903</v>
      </c>
      <c r="BE987" s="1746" t="s">
        <v>4627</v>
      </c>
      <c r="BF987" s="1746">
        <v>1.0349999999999999</v>
      </c>
      <c r="BG987" s="1746" t="s">
        <v>2581</v>
      </c>
      <c r="BH987" s="1744">
        <f t="shared" si="100"/>
        <v>1.0349999999999999E-3</v>
      </c>
      <c r="BI987" s="1745" t="str">
        <f t="shared" si="97"/>
        <v/>
      </c>
      <c r="BJ987" s="1740" t="str">
        <f t="shared" si="98"/>
        <v>BOX-Sut., non-absorbable</v>
      </c>
      <c r="BK987" s="1740" t="str">
        <f t="shared" si="99"/>
        <v>Box of bandages</v>
      </c>
    </row>
    <row r="988" spans="51:63" ht="15.65" customHeight="1">
      <c r="AY988" s="1746" t="s">
        <v>2588</v>
      </c>
      <c r="AZ988" s="1746">
        <v>2006</v>
      </c>
      <c r="BA988" s="1746" t="s">
        <v>4636</v>
      </c>
      <c r="BB988" s="1747" t="s">
        <v>4637</v>
      </c>
      <c r="BC988" s="1746">
        <v>36</v>
      </c>
      <c r="BD988" s="1746" t="s">
        <v>2927</v>
      </c>
      <c r="BE988" s="1746"/>
      <c r="BF988" s="1746">
        <v>1080</v>
      </c>
      <c r="BG988" s="1746" t="s">
        <v>2592</v>
      </c>
      <c r="BH988" s="1744">
        <f t="shared" si="100"/>
        <v>1.08E-3</v>
      </c>
      <c r="BI988" s="1745">
        <f t="shared" si="97"/>
        <v>3.0000000000000001E-5</v>
      </c>
      <c r="BJ988" s="1740" t="str">
        <f t="shared" si="98"/>
        <v>pcs</v>
      </c>
      <c r="BK988" s="1740" t="str">
        <f t="shared" si="99"/>
        <v>Medical equipment</v>
      </c>
    </row>
    <row r="989" spans="51:63" ht="15.65" customHeight="1">
      <c r="AY989" s="1746" t="s">
        <v>2588</v>
      </c>
      <c r="AZ989" s="1746">
        <v>2006</v>
      </c>
      <c r="BA989" s="1746" t="s">
        <v>4638</v>
      </c>
      <c r="BB989" s="1747" t="s">
        <v>4639</v>
      </c>
      <c r="BC989" s="1746">
        <v>36</v>
      </c>
      <c r="BD989" s="1746" t="s">
        <v>2927</v>
      </c>
      <c r="BE989" s="1746"/>
      <c r="BF989" s="1746">
        <v>1080</v>
      </c>
      <c r="BG989" s="1746" t="s">
        <v>2592</v>
      </c>
      <c r="BH989" s="1744">
        <f t="shared" si="100"/>
        <v>1.08E-3</v>
      </c>
      <c r="BI989" s="1745">
        <f t="shared" si="97"/>
        <v>3.0000000000000001E-5</v>
      </c>
      <c r="BJ989" s="1740" t="str">
        <f t="shared" si="98"/>
        <v>pcs</v>
      </c>
      <c r="BK989" s="1740" t="str">
        <f t="shared" si="99"/>
        <v>Medical equipment</v>
      </c>
    </row>
    <row r="990" spans="51:63" ht="15.65" customHeight="1">
      <c r="AY990" s="1746" t="s">
        <v>2588</v>
      </c>
      <c r="AZ990" s="1746">
        <v>2006</v>
      </c>
      <c r="BA990" s="1746" t="s">
        <v>4640</v>
      </c>
      <c r="BB990" s="1747" t="s">
        <v>4641</v>
      </c>
      <c r="BC990" s="1746">
        <v>36</v>
      </c>
      <c r="BD990" s="1746" t="s">
        <v>2927</v>
      </c>
      <c r="BE990" s="1746"/>
      <c r="BF990" s="1746">
        <v>1080</v>
      </c>
      <c r="BG990" s="1746" t="s">
        <v>2592</v>
      </c>
      <c r="BH990" s="1744">
        <f t="shared" si="100"/>
        <v>1.08E-3</v>
      </c>
      <c r="BI990" s="1745">
        <f t="shared" si="97"/>
        <v>3.0000000000000001E-5</v>
      </c>
      <c r="BJ990" s="1740" t="str">
        <f t="shared" si="98"/>
        <v>pcs</v>
      </c>
      <c r="BK990" s="1740" t="str">
        <f t="shared" si="99"/>
        <v>Medical equipment</v>
      </c>
    </row>
    <row r="991" spans="51:63" ht="15.65" customHeight="1">
      <c r="AY991" s="1746" t="s">
        <v>2588</v>
      </c>
      <c r="AZ991" s="1746">
        <v>2006</v>
      </c>
      <c r="BA991" s="1746" t="s">
        <v>4642</v>
      </c>
      <c r="BB991" s="1747" t="s">
        <v>4643</v>
      </c>
      <c r="BC991" s="1746">
        <v>36</v>
      </c>
      <c r="BD991" s="1746" t="s">
        <v>2927</v>
      </c>
      <c r="BE991" s="1746"/>
      <c r="BF991" s="1746">
        <v>1080</v>
      </c>
      <c r="BG991" s="1746" t="s">
        <v>2592</v>
      </c>
      <c r="BH991" s="1744">
        <f t="shared" si="100"/>
        <v>1.08E-3</v>
      </c>
      <c r="BI991" s="1745">
        <f t="shared" si="97"/>
        <v>3.0000000000000001E-5</v>
      </c>
      <c r="BJ991" s="1740" t="str">
        <f t="shared" si="98"/>
        <v>pcs</v>
      </c>
      <c r="BK991" s="1740" t="str">
        <f t="shared" si="99"/>
        <v>Medical equipment</v>
      </c>
    </row>
    <row r="992" spans="51:63" ht="15.65" customHeight="1">
      <c r="AY992" s="1746" t="s">
        <v>2588</v>
      </c>
      <c r="AZ992" s="1746">
        <v>2006</v>
      </c>
      <c r="BA992" s="1746" t="s">
        <v>4644</v>
      </c>
      <c r="BB992" s="1747" t="s">
        <v>4645</v>
      </c>
      <c r="BC992" s="1746">
        <v>36</v>
      </c>
      <c r="BD992" s="1746" t="s">
        <v>2927</v>
      </c>
      <c r="BE992" s="1746"/>
      <c r="BF992" s="1746">
        <v>1080</v>
      </c>
      <c r="BG992" s="1746" t="s">
        <v>2592</v>
      </c>
      <c r="BH992" s="1744">
        <f t="shared" si="100"/>
        <v>1.08E-3</v>
      </c>
      <c r="BI992" s="1745">
        <f t="shared" si="97"/>
        <v>3.0000000000000001E-5</v>
      </c>
      <c r="BJ992" s="1740" t="str">
        <f t="shared" si="98"/>
        <v>pcs</v>
      </c>
      <c r="BK992" s="1740" t="str">
        <f t="shared" si="99"/>
        <v>Medical equipment</v>
      </c>
    </row>
    <row r="993" spans="51:63" ht="15.65" customHeight="1">
      <c r="AY993" s="1746" t="s">
        <v>2575</v>
      </c>
      <c r="AZ993" s="1746">
        <v>2008</v>
      </c>
      <c r="BA993" s="1746" t="s">
        <v>4646</v>
      </c>
      <c r="BB993" s="1747" t="s">
        <v>4647</v>
      </c>
      <c r="BC993" s="1746" t="s">
        <v>2578</v>
      </c>
      <c r="BD993" s="1746" t="s">
        <v>2579</v>
      </c>
      <c r="BE993" s="1746" t="s">
        <v>4218</v>
      </c>
      <c r="BF993" s="1746">
        <v>0.39600000000000002</v>
      </c>
      <c r="BG993" s="1746" t="s">
        <v>2581</v>
      </c>
      <c r="BH993" s="1744">
        <f t="shared" si="100"/>
        <v>3.9600000000000003E-4</v>
      </c>
      <c r="BI993" s="1745" t="str">
        <f t="shared" si="97"/>
        <v/>
      </c>
      <c r="BJ993" s="1740" t="str">
        <f t="shared" si="98"/>
        <v>EA-Misc. surg. instrum.</v>
      </c>
      <c r="BK993" s="1740" t="str">
        <f t="shared" si="99"/>
        <v>Medical equipment</v>
      </c>
    </row>
    <row r="994" spans="51:63" ht="15.65" customHeight="1">
      <c r="AY994" s="1746" t="s">
        <v>2588</v>
      </c>
      <c r="AZ994" s="1746">
        <v>2006</v>
      </c>
      <c r="BA994" s="1746" t="s">
        <v>4648</v>
      </c>
      <c r="BB994" s="1747" t="s">
        <v>4649</v>
      </c>
      <c r="BC994" s="1746">
        <v>12</v>
      </c>
      <c r="BD994" s="1746" t="s">
        <v>2927</v>
      </c>
      <c r="BE994" s="1746"/>
      <c r="BF994" s="1746">
        <v>10</v>
      </c>
      <c r="BG994" s="1746" t="s">
        <v>2592</v>
      </c>
      <c r="BH994" s="1744">
        <f t="shared" si="100"/>
        <v>1.0000000000000001E-5</v>
      </c>
      <c r="BI994" s="1745">
        <f t="shared" si="97"/>
        <v>8.3333333333333344E-7</v>
      </c>
      <c r="BJ994" s="1740" t="str">
        <f t="shared" si="98"/>
        <v>pcs</v>
      </c>
      <c r="BK994" s="1740" t="str">
        <f t="shared" si="99"/>
        <v>Medical equipment</v>
      </c>
    </row>
    <row r="995" spans="51:63" ht="15.65" customHeight="1">
      <c r="AY995" s="1746" t="s">
        <v>2588</v>
      </c>
      <c r="AZ995" s="1746">
        <v>2006</v>
      </c>
      <c r="BA995" s="1746" t="s">
        <v>4650</v>
      </c>
      <c r="BB995" s="1747" t="s">
        <v>4651</v>
      </c>
      <c r="BC995" s="1746">
        <v>12</v>
      </c>
      <c r="BD995" s="1746" t="s">
        <v>2927</v>
      </c>
      <c r="BE995" s="1746"/>
      <c r="BF995" s="1746">
        <v>10.95</v>
      </c>
      <c r="BG995" s="1746" t="s">
        <v>2592</v>
      </c>
      <c r="BH995" s="1744">
        <f t="shared" si="100"/>
        <v>1.0949999999999998E-5</v>
      </c>
      <c r="BI995" s="1745">
        <f t="shared" si="97"/>
        <v>9.1249999999999984E-7</v>
      </c>
      <c r="BJ995" s="1740" t="str">
        <f t="shared" si="98"/>
        <v>pcs</v>
      </c>
      <c r="BK995" s="1740" t="str">
        <f t="shared" si="99"/>
        <v>Medical equipment</v>
      </c>
    </row>
    <row r="996" spans="51:63" ht="15.65" customHeight="1">
      <c r="AY996" s="1746" t="s">
        <v>2588</v>
      </c>
      <c r="AZ996" s="1746">
        <v>2006</v>
      </c>
      <c r="BA996" s="1746" t="s">
        <v>4652</v>
      </c>
      <c r="BB996" s="1747" t="s">
        <v>4653</v>
      </c>
      <c r="BC996" s="1746">
        <v>12</v>
      </c>
      <c r="BD996" s="1746" t="s">
        <v>2927</v>
      </c>
      <c r="BE996" s="1746"/>
      <c r="BF996" s="1746">
        <v>527</v>
      </c>
      <c r="BG996" s="1746" t="s">
        <v>2592</v>
      </c>
      <c r="BH996" s="1744">
        <f t="shared" si="100"/>
        <v>5.2700000000000002E-4</v>
      </c>
      <c r="BI996" s="1745">
        <f t="shared" si="97"/>
        <v>4.3916666666666666E-5</v>
      </c>
      <c r="BJ996" s="1740" t="str">
        <f t="shared" si="98"/>
        <v>pcs</v>
      </c>
      <c r="BK996" s="1740" t="str">
        <f t="shared" si="99"/>
        <v>Medical equipment</v>
      </c>
    </row>
    <row r="997" spans="51:63" ht="15.65" customHeight="1">
      <c r="AY997" s="1746" t="s">
        <v>2588</v>
      </c>
      <c r="AZ997" s="1746">
        <v>2006</v>
      </c>
      <c r="BA997" s="1746" t="s">
        <v>4654</v>
      </c>
      <c r="BB997" s="1747" t="s">
        <v>4655</v>
      </c>
      <c r="BC997" s="1746">
        <v>36</v>
      </c>
      <c r="BD997" s="1746" t="s">
        <v>2927</v>
      </c>
      <c r="BE997" s="1746"/>
      <c r="BF997" s="1746">
        <v>1080</v>
      </c>
      <c r="BG997" s="1746" t="s">
        <v>2592</v>
      </c>
      <c r="BH997" s="1744">
        <f t="shared" si="100"/>
        <v>1.08E-3</v>
      </c>
      <c r="BI997" s="1745">
        <f t="shared" si="97"/>
        <v>3.0000000000000001E-5</v>
      </c>
      <c r="BJ997" s="1740" t="str">
        <f t="shared" si="98"/>
        <v>pcs</v>
      </c>
      <c r="BK997" s="1740" t="str">
        <f t="shared" si="99"/>
        <v>Medical equipment</v>
      </c>
    </row>
    <row r="998" spans="51:63" ht="15.65" customHeight="1">
      <c r="AY998" s="1746" t="s">
        <v>2588</v>
      </c>
      <c r="AZ998" s="1746">
        <v>2006</v>
      </c>
      <c r="BA998" s="1746" t="s">
        <v>4656</v>
      </c>
      <c r="BB998" s="1747" t="s">
        <v>4657</v>
      </c>
      <c r="BC998" s="1746">
        <v>36</v>
      </c>
      <c r="BD998" s="1746" t="s">
        <v>2927</v>
      </c>
      <c r="BE998" s="1746"/>
      <c r="BF998" s="1746">
        <v>1080</v>
      </c>
      <c r="BG998" s="1746" t="s">
        <v>2592</v>
      </c>
      <c r="BH998" s="1744">
        <f t="shared" si="100"/>
        <v>1.08E-3</v>
      </c>
      <c r="BI998" s="1745">
        <f t="shared" si="97"/>
        <v>3.0000000000000001E-5</v>
      </c>
      <c r="BJ998" s="1740" t="str">
        <f t="shared" si="98"/>
        <v>pcs</v>
      </c>
      <c r="BK998" s="1740" t="str">
        <f t="shared" si="99"/>
        <v>Medical equipment</v>
      </c>
    </row>
    <row r="999" spans="51:63" ht="15.65" customHeight="1">
      <c r="AY999" s="1746" t="s">
        <v>2588</v>
      </c>
      <c r="AZ999" s="1746">
        <v>2006</v>
      </c>
      <c r="BA999" s="1746" t="s">
        <v>4658</v>
      </c>
      <c r="BB999" s="1747" t="s">
        <v>4659</v>
      </c>
      <c r="BC999" s="1746">
        <v>36</v>
      </c>
      <c r="BD999" s="1746" t="s">
        <v>2927</v>
      </c>
      <c r="BE999" s="1746"/>
      <c r="BF999" s="1746">
        <v>1080</v>
      </c>
      <c r="BG999" s="1746" t="s">
        <v>2592</v>
      </c>
      <c r="BH999" s="1744">
        <f t="shared" si="100"/>
        <v>1.08E-3</v>
      </c>
      <c r="BI999" s="1745">
        <f t="shared" si="97"/>
        <v>3.0000000000000001E-5</v>
      </c>
      <c r="BJ999" s="1740" t="str">
        <f t="shared" si="98"/>
        <v>pcs</v>
      </c>
      <c r="BK999" s="1740" t="str">
        <f t="shared" si="99"/>
        <v>Medical equipment</v>
      </c>
    </row>
    <row r="1000" spans="51:63" ht="15.65" customHeight="1">
      <c r="AY1000" s="1746" t="s">
        <v>2588</v>
      </c>
      <c r="AZ1000" s="1746">
        <v>2006</v>
      </c>
      <c r="BA1000" s="1746" t="s">
        <v>4660</v>
      </c>
      <c r="BB1000" s="1747" t="s">
        <v>4661</v>
      </c>
      <c r="BC1000" s="1746">
        <v>36</v>
      </c>
      <c r="BD1000" s="1746" t="s">
        <v>2927</v>
      </c>
      <c r="BE1000" s="1746"/>
      <c r="BF1000" s="1746">
        <v>1080</v>
      </c>
      <c r="BG1000" s="1746" t="s">
        <v>2592</v>
      </c>
      <c r="BH1000" s="1744">
        <f t="shared" si="100"/>
        <v>1.08E-3</v>
      </c>
      <c r="BI1000" s="1745">
        <f t="shared" si="97"/>
        <v>3.0000000000000001E-5</v>
      </c>
      <c r="BJ1000" s="1740" t="str">
        <f t="shared" si="98"/>
        <v>pcs</v>
      </c>
      <c r="BK1000" s="1740" t="str">
        <f t="shared" si="99"/>
        <v>Medical equipment</v>
      </c>
    </row>
    <row r="1001" spans="51:63" ht="15.65" customHeight="1">
      <c r="AY1001" s="1746" t="s">
        <v>2588</v>
      </c>
      <c r="AZ1001" s="1746">
        <v>2006</v>
      </c>
      <c r="BA1001" s="1746" t="s">
        <v>4662</v>
      </c>
      <c r="BB1001" s="1747" t="s">
        <v>4663</v>
      </c>
      <c r="BC1001" s="1746">
        <v>36</v>
      </c>
      <c r="BD1001" s="1746" t="s">
        <v>2927</v>
      </c>
      <c r="BE1001" s="1746"/>
      <c r="BF1001" s="1746">
        <v>1080</v>
      </c>
      <c r="BG1001" s="1746" t="s">
        <v>2592</v>
      </c>
      <c r="BH1001" s="1744">
        <f t="shared" si="100"/>
        <v>1.08E-3</v>
      </c>
      <c r="BI1001" s="1745">
        <f t="shared" si="97"/>
        <v>3.0000000000000001E-5</v>
      </c>
      <c r="BJ1001" s="1740" t="str">
        <f t="shared" si="98"/>
        <v>pcs</v>
      </c>
      <c r="BK1001" s="1740" t="str">
        <f t="shared" si="99"/>
        <v>Medical equipment</v>
      </c>
    </row>
    <row r="1002" spans="51:63" ht="15.65" customHeight="1">
      <c r="AY1002" s="1746" t="s">
        <v>2588</v>
      </c>
      <c r="AZ1002" s="1746">
        <v>2006</v>
      </c>
      <c r="BA1002" s="1746" t="s">
        <v>4664</v>
      </c>
      <c r="BB1002" s="1747" t="s">
        <v>4665</v>
      </c>
      <c r="BC1002" s="1746">
        <v>36</v>
      </c>
      <c r="BD1002" s="1746" t="s">
        <v>2927</v>
      </c>
      <c r="BE1002" s="1746"/>
      <c r="BF1002" s="1746">
        <v>1080</v>
      </c>
      <c r="BG1002" s="1746" t="s">
        <v>2592</v>
      </c>
      <c r="BH1002" s="1744">
        <f t="shared" si="100"/>
        <v>1.08E-3</v>
      </c>
      <c r="BI1002" s="1745">
        <f t="shared" si="97"/>
        <v>3.0000000000000001E-5</v>
      </c>
      <c r="BJ1002" s="1740" t="str">
        <f t="shared" si="98"/>
        <v>pcs</v>
      </c>
      <c r="BK1002" s="1740" t="str">
        <f t="shared" si="99"/>
        <v>Medical equipment</v>
      </c>
    </row>
    <row r="1003" spans="51:63" ht="15.65" customHeight="1">
      <c r="AY1003" s="1746" t="s">
        <v>2588</v>
      </c>
      <c r="AZ1003" s="1746">
        <v>2006</v>
      </c>
      <c r="BA1003" s="1746" t="s">
        <v>4666</v>
      </c>
      <c r="BB1003" s="1747" t="s">
        <v>4667</v>
      </c>
      <c r="BC1003" s="1746">
        <v>24</v>
      </c>
      <c r="BD1003" s="1746" t="s">
        <v>2927</v>
      </c>
      <c r="BE1003" s="1746"/>
      <c r="BF1003" s="1746">
        <v>720</v>
      </c>
      <c r="BG1003" s="1746" t="s">
        <v>2592</v>
      </c>
      <c r="BH1003" s="1744">
        <f t="shared" si="100"/>
        <v>7.2000000000000005E-4</v>
      </c>
      <c r="BI1003" s="1745">
        <f t="shared" si="97"/>
        <v>3.0000000000000001E-5</v>
      </c>
      <c r="BJ1003" s="1740" t="str">
        <f t="shared" si="98"/>
        <v>pcs</v>
      </c>
      <c r="BK1003" s="1740" t="str">
        <f t="shared" si="99"/>
        <v>Medical equipment</v>
      </c>
    </row>
    <row r="1004" spans="51:63" ht="15.65" customHeight="1">
      <c r="AY1004" s="1746" t="s">
        <v>2588</v>
      </c>
      <c r="AZ1004" s="1746">
        <v>2006</v>
      </c>
      <c r="BA1004" s="1746" t="s">
        <v>4668</v>
      </c>
      <c r="BB1004" s="1747" t="s">
        <v>4669</v>
      </c>
      <c r="BC1004" s="1746">
        <v>36</v>
      </c>
      <c r="BD1004" s="1746" t="s">
        <v>2927</v>
      </c>
      <c r="BE1004" s="1746"/>
      <c r="BF1004" s="1746">
        <v>1143</v>
      </c>
      <c r="BG1004" s="1746" t="s">
        <v>2592</v>
      </c>
      <c r="BH1004" s="1744">
        <f t="shared" si="100"/>
        <v>1.1429999999999999E-3</v>
      </c>
      <c r="BI1004" s="1745">
        <f t="shared" si="97"/>
        <v>3.1749999999999999E-5</v>
      </c>
      <c r="BJ1004" s="1740" t="str">
        <f t="shared" si="98"/>
        <v>pcs</v>
      </c>
      <c r="BK1004" s="1740" t="str">
        <f t="shared" si="99"/>
        <v>Medical equipment</v>
      </c>
    </row>
    <row r="1005" spans="51:63" ht="15.65" customHeight="1">
      <c r="AY1005" s="1746" t="s">
        <v>2588</v>
      </c>
      <c r="AZ1005" s="1746">
        <v>2006</v>
      </c>
      <c r="BA1005" s="1746" t="s">
        <v>4670</v>
      </c>
      <c r="BB1005" s="1747" t="s">
        <v>4671</v>
      </c>
      <c r="BC1005" s="1746">
        <v>36</v>
      </c>
      <c r="BD1005" s="1746" t="s">
        <v>2927</v>
      </c>
      <c r="BE1005" s="1746"/>
      <c r="BF1005" s="1746">
        <v>1080</v>
      </c>
      <c r="BG1005" s="1746" t="s">
        <v>2592</v>
      </c>
      <c r="BH1005" s="1744">
        <f t="shared" si="100"/>
        <v>1.08E-3</v>
      </c>
      <c r="BI1005" s="1745">
        <f t="shared" si="97"/>
        <v>3.0000000000000001E-5</v>
      </c>
      <c r="BJ1005" s="1740" t="str">
        <f t="shared" si="98"/>
        <v>pcs</v>
      </c>
      <c r="BK1005" s="1740" t="str">
        <f t="shared" si="99"/>
        <v>Medical equipment</v>
      </c>
    </row>
    <row r="1006" spans="51:63" ht="15.65" customHeight="1">
      <c r="AY1006" s="1746" t="s">
        <v>2588</v>
      </c>
      <c r="AZ1006" s="1746">
        <v>2006</v>
      </c>
      <c r="BA1006" s="1746" t="s">
        <v>4672</v>
      </c>
      <c r="BB1006" s="1747" t="s">
        <v>4673</v>
      </c>
      <c r="BC1006" s="1746">
        <v>36</v>
      </c>
      <c r="BD1006" s="1746" t="s">
        <v>2927</v>
      </c>
      <c r="BE1006" s="1746"/>
      <c r="BF1006" s="1746">
        <v>1080</v>
      </c>
      <c r="BG1006" s="1746" t="s">
        <v>2592</v>
      </c>
      <c r="BH1006" s="1744">
        <f t="shared" si="100"/>
        <v>1.08E-3</v>
      </c>
      <c r="BI1006" s="1745">
        <f t="shared" si="97"/>
        <v>3.0000000000000001E-5</v>
      </c>
      <c r="BJ1006" s="1740" t="str">
        <f t="shared" si="98"/>
        <v>pcs</v>
      </c>
      <c r="BK1006" s="1740" t="str">
        <f t="shared" si="99"/>
        <v>Medical equipment</v>
      </c>
    </row>
    <row r="1007" spans="51:63" ht="15.65" customHeight="1">
      <c r="AY1007" s="1746" t="s">
        <v>2588</v>
      </c>
      <c r="AZ1007" s="1746">
        <v>2006</v>
      </c>
      <c r="BA1007" s="1746" t="s">
        <v>4674</v>
      </c>
      <c r="BB1007" s="1747" t="s">
        <v>4675</v>
      </c>
      <c r="BC1007" s="1746">
        <v>36</v>
      </c>
      <c r="BD1007" s="1746" t="s">
        <v>2927</v>
      </c>
      <c r="BE1007" s="1746"/>
      <c r="BF1007" s="1746">
        <v>1080</v>
      </c>
      <c r="BG1007" s="1746" t="s">
        <v>2592</v>
      </c>
      <c r="BH1007" s="1744">
        <f t="shared" si="100"/>
        <v>1.08E-3</v>
      </c>
      <c r="BI1007" s="1745">
        <f t="shared" si="97"/>
        <v>3.0000000000000001E-5</v>
      </c>
      <c r="BJ1007" s="1740" t="str">
        <f t="shared" si="98"/>
        <v>pcs</v>
      </c>
      <c r="BK1007" s="1740" t="str">
        <f t="shared" si="99"/>
        <v>Medical equipment</v>
      </c>
    </row>
    <row r="1008" spans="51:63" ht="15.65" customHeight="1">
      <c r="AY1008" s="1746" t="s">
        <v>2588</v>
      </c>
      <c r="AZ1008" s="1746">
        <v>2006</v>
      </c>
      <c r="BA1008" s="1746" t="s">
        <v>4676</v>
      </c>
      <c r="BB1008" s="1747" t="s">
        <v>4677</v>
      </c>
      <c r="BC1008" s="1746">
        <v>36</v>
      </c>
      <c r="BD1008" s="1746" t="s">
        <v>2927</v>
      </c>
      <c r="BE1008" s="1746"/>
      <c r="BF1008" s="1746">
        <v>1080</v>
      </c>
      <c r="BG1008" s="1746" t="s">
        <v>2592</v>
      </c>
      <c r="BH1008" s="1744">
        <f t="shared" si="100"/>
        <v>1.08E-3</v>
      </c>
      <c r="BI1008" s="1745">
        <f t="shared" si="97"/>
        <v>3.0000000000000001E-5</v>
      </c>
      <c r="BJ1008" s="1740" t="str">
        <f t="shared" si="98"/>
        <v>pcs</v>
      </c>
      <c r="BK1008" s="1740" t="str">
        <f t="shared" si="99"/>
        <v>Medical equipment</v>
      </c>
    </row>
    <row r="1009" spans="51:63" ht="15.65" customHeight="1">
      <c r="AY1009" s="1746" t="s">
        <v>2588</v>
      </c>
      <c r="AZ1009" s="1746">
        <v>2006</v>
      </c>
      <c r="BA1009" s="1746" t="s">
        <v>4678</v>
      </c>
      <c r="BB1009" s="1747" t="s">
        <v>4679</v>
      </c>
      <c r="BC1009" s="1746">
        <v>24</v>
      </c>
      <c r="BD1009" s="1746" t="s">
        <v>2927</v>
      </c>
      <c r="BE1009" s="1746"/>
      <c r="BF1009" s="1746">
        <v>720</v>
      </c>
      <c r="BG1009" s="1746" t="s">
        <v>2592</v>
      </c>
      <c r="BH1009" s="1744">
        <f t="shared" si="100"/>
        <v>7.2000000000000005E-4</v>
      </c>
      <c r="BI1009" s="1745">
        <f t="shared" si="97"/>
        <v>3.0000000000000001E-5</v>
      </c>
      <c r="BJ1009" s="1740" t="str">
        <f t="shared" si="98"/>
        <v>pcs</v>
      </c>
      <c r="BK1009" s="1740" t="str">
        <f t="shared" si="99"/>
        <v>Medical equipment</v>
      </c>
    </row>
    <row r="1010" spans="51:63" ht="15.65" customHeight="1">
      <c r="AY1010" s="1746" t="s">
        <v>2588</v>
      </c>
      <c r="AZ1010" s="1746">
        <v>2006</v>
      </c>
      <c r="BA1010" s="1746" t="s">
        <v>4680</v>
      </c>
      <c r="BB1010" s="1747" t="s">
        <v>4681</v>
      </c>
      <c r="BC1010" s="1746">
        <v>36</v>
      </c>
      <c r="BD1010" s="1746" t="s">
        <v>2927</v>
      </c>
      <c r="BE1010" s="1746"/>
      <c r="BF1010" s="1746">
        <v>1143</v>
      </c>
      <c r="BG1010" s="1746" t="s">
        <v>2592</v>
      </c>
      <c r="BH1010" s="1744">
        <f t="shared" si="100"/>
        <v>1.1429999999999999E-3</v>
      </c>
      <c r="BI1010" s="1745">
        <f t="shared" si="97"/>
        <v>3.1749999999999999E-5</v>
      </c>
      <c r="BJ1010" s="1740" t="str">
        <f t="shared" si="98"/>
        <v>pcs</v>
      </c>
      <c r="BK1010" s="1740" t="str">
        <f t="shared" si="99"/>
        <v>Medical equipment</v>
      </c>
    </row>
    <row r="1011" spans="51:63" ht="15.65" customHeight="1">
      <c r="AY1011" s="1746" t="s">
        <v>2588</v>
      </c>
      <c r="AZ1011" s="1746">
        <v>2006</v>
      </c>
      <c r="BA1011" s="1746" t="s">
        <v>4682</v>
      </c>
      <c r="BB1011" s="1747" t="s">
        <v>4683</v>
      </c>
      <c r="BC1011" s="1746">
        <v>36</v>
      </c>
      <c r="BD1011" s="1746" t="s">
        <v>2927</v>
      </c>
      <c r="BE1011" s="1746"/>
      <c r="BF1011" s="1746">
        <v>1080</v>
      </c>
      <c r="BG1011" s="1746" t="s">
        <v>2592</v>
      </c>
      <c r="BH1011" s="1744">
        <f t="shared" si="100"/>
        <v>1.08E-3</v>
      </c>
      <c r="BI1011" s="1745">
        <f t="shared" si="97"/>
        <v>3.0000000000000001E-5</v>
      </c>
      <c r="BJ1011" s="1740" t="str">
        <f t="shared" si="98"/>
        <v>pcs</v>
      </c>
      <c r="BK1011" s="1740" t="str">
        <f t="shared" si="99"/>
        <v>Medical equipment</v>
      </c>
    </row>
    <row r="1012" spans="51:63" ht="15.65" customHeight="1">
      <c r="AY1012" s="1746" t="s">
        <v>2593</v>
      </c>
      <c r="AZ1012" s="1746">
        <v>2008</v>
      </c>
      <c r="BA1012" s="1746" t="s">
        <v>4684</v>
      </c>
      <c r="BB1012" s="1747" t="s">
        <v>4685</v>
      </c>
      <c r="BC1012" s="1746">
        <v>12</v>
      </c>
      <c r="BD1012" s="1746" t="s">
        <v>2930</v>
      </c>
      <c r="BE1012" s="1746"/>
      <c r="BF1012" s="1746">
        <v>5.0000000000000002E-5</v>
      </c>
      <c r="BG1012" s="1746" t="s">
        <v>2597</v>
      </c>
      <c r="BH1012" s="1744">
        <f t="shared" si="100"/>
        <v>5.0000000000000002E-5</v>
      </c>
      <c r="BI1012" s="1745">
        <f t="shared" si="97"/>
        <v>4.1666666666666669E-6</v>
      </c>
      <c r="BJ1012" s="1740" t="str">
        <f t="shared" si="98"/>
        <v>pieces</v>
      </c>
      <c r="BK1012" s="1740" t="str">
        <f t="shared" si="99"/>
        <v>Medical equipment</v>
      </c>
    </row>
    <row r="1013" spans="51:63" ht="15.65" customHeight="1">
      <c r="AY1013" s="1746" t="s">
        <v>2593</v>
      </c>
      <c r="AZ1013" s="1746">
        <v>2008</v>
      </c>
      <c r="BA1013" s="1746" t="s">
        <v>4686</v>
      </c>
      <c r="BB1013" s="1747" t="s">
        <v>4687</v>
      </c>
      <c r="BC1013" s="1746">
        <v>12</v>
      </c>
      <c r="BD1013" s="1746" t="s">
        <v>2930</v>
      </c>
      <c r="BE1013" s="1746"/>
      <c r="BF1013" s="1746">
        <v>5.4000000000000001E-4</v>
      </c>
      <c r="BG1013" s="1746" t="s">
        <v>2597</v>
      </c>
      <c r="BH1013" s="1744">
        <f t="shared" si="100"/>
        <v>5.4000000000000001E-4</v>
      </c>
      <c r="BI1013" s="1745">
        <f t="shared" si="97"/>
        <v>4.5000000000000003E-5</v>
      </c>
      <c r="BJ1013" s="1740" t="str">
        <f t="shared" si="98"/>
        <v>pieces</v>
      </c>
      <c r="BK1013" s="1740" t="str">
        <f t="shared" si="99"/>
        <v>Medical equipment</v>
      </c>
    </row>
    <row r="1014" spans="51:63" ht="15.65" customHeight="1">
      <c r="AY1014" s="1746" t="s">
        <v>2588</v>
      </c>
      <c r="AZ1014" s="1746">
        <v>2006</v>
      </c>
      <c r="BA1014" s="1746" t="s">
        <v>4688</v>
      </c>
      <c r="BB1014" s="1747" t="s">
        <v>4689</v>
      </c>
      <c r="BC1014" s="1746">
        <v>100</v>
      </c>
      <c r="BD1014" s="1746" t="s">
        <v>2790</v>
      </c>
      <c r="BE1014" s="1746"/>
      <c r="BF1014" s="1746">
        <v>2325</v>
      </c>
      <c r="BG1014" s="1746" t="s">
        <v>2592</v>
      </c>
      <c r="BH1014" s="1744">
        <f t="shared" si="100"/>
        <v>2.3249999999999998E-3</v>
      </c>
      <c r="BI1014" s="1745">
        <f t="shared" si="97"/>
        <v>2.3249999999999999E-5</v>
      </c>
      <c r="BJ1014" s="1740" t="str">
        <f t="shared" si="98"/>
        <v>amps</v>
      </c>
      <c r="BK1014" s="1740" t="str">
        <f t="shared" si="99"/>
        <v>Injection Vial</v>
      </c>
    </row>
    <row r="1015" spans="51:63" ht="15.65" customHeight="1">
      <c r="AY1015" s="1746" t="s">
        <v>2593</v>
      </c>
      <c r="AZ1015" s="1746">
        <v>2008</v>
      </c>
      <c r="BA1015" s="1746" t="s">
        <v>4690</v>
      </c>
      <c r="BB1015" s="1747" t="s">
        <v>4691</v>
      </c>
      <c r="BC1015" s="1746">
        <v>100</v>
      </c>
      <c r="BD1015" s="1746" t="s">
        <v>2727</v>
      </c>
      <c r="BE1015" s="1746"/>
      <c r="BF1015" s="1746">
        <v>2.9499999999999999E-3</v>
      </c>
      <c r="BG1015" s="1746" t="s">
        <v>2597</v>
      </c>
      <c r="BH1015" s="1744">
        <f t="shared" si="100"/>
        <v>2.9499999999999999E-3</v>
      </c>
      <c r="BI1015" s="1745">
        <f t="shared" si="97"/>
        <v>2.9499999999999999E-5</v>
      </c>
      <c r="BJ1015" s="1740" t="str">
        <f t="shared" si="98"/>
        <v>ampoules</v>
      </c>
      <c r="BK1015" s="1740" t="str">
        <f t="shared" si="99"/>
        <v>Injection Vial</v>
      </c>
    </row>
    <row r="1016" spans="51:63" ht="15.65" customHeight="1">
      <c r="AY1016" s="1746" t="s">
        <v>2593</v>
      </c>
      <c r="AZ1016" s="1746">
        <v>2008</v>
      </c>
      <c r="BA1016" s="1746" t="s">
        <v>4692</v>
      </c>
      <c r="BB1016" s="1747" t="s">
        <v>4693</v>
      </c>
      <c r="BC1016" s="1746">
        <v>100</v>
      </c>
      <c r="BD1016" s="1746" t="s">
        <v>2930</v>
      </c>
      <c r="BE1016" s="1746"/>
      <c r="BF1016" s="1746">
        <v>2.9999999999999997E-4</v>
      </c>
      <c r="BG1016" s="1746" t="s">
        <v>2597</v>
      </c>
      <c r="BH1016" s="1744">
        <f t="shared" si="100"/>
        <v>2.9999999999999997E-4</v>
      </c>
      <c r="BI1016" s="1745">
        <f t="shared" si="97"/>
        <v>2.9999999999999997E-6</v>
      </c>
      <c r="BJ1016" s="1740" t="str">
        <f t="shared" si="98"/>
        <v>pieces</v>
      </c>
      <c r="BK1016" s="1740" t="str">
        <f t="shared" si="99"/>
        <v>Medical equipment</v>
      </c>
    </row>
    <row r="1017" spans="51:63" ht="15.65" customHeight="1">
      <c r="AY1017" s="1746" t="s">
        <v>2588</v>
      </c>
      <c r="AZ1017" s="1746">
        <v>2006</v>
      </c>
      <c r="BA1017" s="1746" t="s">
        <v>4694</v>
      </c>
      <c r="BB1017" s="1747" t="s">
        <v>4695</v>
      </c>
      <c r="BC1017" s="1746">
        <v>100</v>
      </c>
      <c r="BD1017" s="1746" t="s">
        <v>3918</v>
      </c>
      <c r="BE1017" s="1746"/>
      <c r="BF1017" s="1746">
        <v>432</v>
      </c>
      <c r="BG1017" s="1746" t="s">
        <v>2592</v>
      </c>
      <c r="BH1017" s="1744">
        <f t="shared" si="100"/>
        <v>4.3199999999999998E-4</v>
      </c>
      <c r="BI1017" s="1745">
        <f t="shared" si="97"/>
        <v>4.3200000000000001E-6</v>
      </c>
      <c r="BJ1017" s="1740" t="str">
        <f t="shared" si="98"/>
        <v>tests</v>
      </c>
      <c r="BK1017" s="1740" t="str">
        <f t="shared" si="99"/>
        <v>Rapid Test</v>
      </c>
    </row>
    <row r="1018" spans="51:63" ht="15.65" customHeight="1">
      <c r="AY1018" s="1746" t="s">
        <v>2588</v>
      </c>
      <c r="AZ1018" s="1746">
        <v>2006</v>
      </c>
      <c r="BA1018" s="1746" t="s">
        <v>4696</v>
      </c>
      <c r="BB1018" s="1747" t="s">
        <v>4697</v>
      </c>
      <c r="BC1018" s="1746">
        <v>100</v>
      </c>
      <c r="BD1018" s="1746" t="s">
        <v>3918</v>
      </c>
      <c r="BE1018" s="1746"/>
      <c r="BF1018" s="1746">
        <v>1122</v>
      </c>
      <c r="BG1018" s="1746" t="s">
        <v>2592</v>
      </c>
      <c r="BH1018" s="1744">
        <f t="shared" si="100"/>
        <v>1.122E-3</v>
      </c>
      <c r="BI1018" s="1745">
        <f t="shared" si="97"/>
        <v>1.1219999999999999E-5</v>
      </c>
      <c r="BJ1018" s="1740" t="str">
        <f t="shared" si="98"/>
        <v>tests</v>
      </c>
      <c r="BK1018" s="1740" t="str">
        <f t="shared" si="99"/>
        <v>Rapid Test</v>
      </c>
    </row>
    <row r="1019" spans="51:63" ht="15.65" customHeight="1">
      <c r="AY1019" s="1746" t="s">
        <v>2588</v>
      </c>
      <c r="AZ1019" s="1746">
        <v>2006</v>
      </c>
      <c r="BA1019" s="1746" t="s">
        <v>4698</v>
      </c>
      <c r="BB1019" s="1747" t="s">
        <v>4699</v>
      </c>
      <c r="BC1019" s="1746">
        <v>500</v>
      </c>
      <c r="BD1019" s="1746" t="s">
        <v>3918</v>
      </c>
      <c r="BE1019" s="1746"/>
      <c r="BF1019" s="1746">
        <v>5219</v>
      </c>
      <c r="BG1019" s="1746" t="s">
        <v>2592</v>
      </c>
      <c r="BH1019" s="1744">
        <f t="shared" si="100"/>
        <v>5.2189999999999997E-3</v>
      </c>
      <c r="BI1019" s="1745">
        <f t="shared" si="97"/>
        <v>1.0437999999999999E-5</v>
      </c>
      <c r="BJ1019" s="1740" t="str">
        <f t="shared" si="98"/>
        <v>tests</v>
      </c>
      <c r="BK1019" s="1740" t="str">
        <f t="shared" si="99"/>
        <v>Rapid Test</v>
      </c>
    </row>
    <row r="1020" spans="51:63" ht="15.65" customHeight="1">
      <c r="AY1020" s="1746" t="s">
        <v>2588</v>
      </c>
      <c r="AZ1020" s="1746">
        <v>2006</v>
      </c>
      <c r="BA1020" s="1746" t="s">
        <v>4700</v>
      </c>
      <c r="BB1020" s="1747" t="s">
        <v>4701</v>
      </c>
      <c r="BC1020" s="1746">
        <v>100</v>
      </c>
      <c r="BD1020" s="1746" t="s">
        <v>2927</v>
      </c>
      <c r="BE1020" s="1746"/>
      <c r="BF1020" s="1746">
        <v>41418</v>
      </c>
      <c r="BG1020" s="1746" t="s">
        <v>2592</v>
      </c>
      <c r="BH1020" s="1744">
        <f t="shared" si="100"/>
        <v>4.1418000000000003E-2</v>
      </c>
      <c r="BI1020" s="1745">
        <f t="shared" si="97"/>
        <v>4.1418000000000005E-4</v>
      </c>
      <c r="BJ1020" s="1740" t="str">
        <f t="shared" si="98"/>
        <v>pcs</v>
      </c>
      <c r="BK1020" s="1740" t="str">
        <f t="shared" si="99"/>
        <v>Medical equipment</v>
      </c>
    </row>
    <row r="1021" spans="51:63" ht="15.65" customHeight="1">
      <c r="AY1021" s="1746" t="s">
        <v>2593</v>
      </c>
      <c r="AZ1021" s="1746">
        <v>2008</v>
      </c>
      <c r="BA1021" s="1746" t="s">
        <v>4702</v>
      </c>
      <c r="BB1021" s="1747" t="s">
        <v>4703</v>
      </c>
      <c r="BC1021" s="1746">
        <v>100</v>
      </c>
      <c r="BD1021" s="1746" t="s">
        <v>2930</v>
      </c>
      <c r="BE1021" s="1746"/>
      <c r="BF1021" s="1746">
        <v>8.2400000000000008E-3</v>
      </c>
      <c r="BG1021" s="1746" t="s">
        <v>2597</v>
      </c>
      <c r="BH1021" s="1744">
        <f t="shared" si="100"/>
        <v>8.2400000000000008E-3</v>
      </c>
      <c r="BI1021" s="1745">
        <f t="shared" si="97"/>
        <v>8.2400000000000011E-5</v>
      </c>
      <c r="BJ1021" s="1740" t="str">
        <f t="shared" si="98"/>
        <v>pieces</v>
      </c>
      <c r="BK1021" s="1740" t="str">
        <f t="shared" si="99"/>
        <v>Medical equipment</v>
      </c>
    </row>
    <row r="1022" spans="51:63" ht="15.65" customHeight="1">
      <c r="AY1022" s="1746" t="s">
        <v>2593</v>
      </c>
      <c r="AZ1022" s="1746">
        <v>2008</v>
      </c>
      <c r="BA1022" s="1746" t="s">
        <v>4704</v>
      </c>
      <c r="BB1022" s="1747" t="s">
        <v>4705</v>
      </c>
      <c r="BC1022" s="1746">
        <v>100</v>
      </c>
      <c r="BD1022" s="1746" t="s">
        <v>2930</v>
      </c>
      <c r="BE1022" s="1746"/>
      <c r="BF1022" s="1746">
        <v>7.9000000000000008E-3</v>
      </c>
      <c r="BG1022" s="1746" t="s">
        <v>2597</v>
      </c>
      <c r="BH1022" s="1744">
        <f t="shared" si="100"/>
        <v>7.9000000000000008E-3</v>
      </c>
      <c r="BI1022" s="1745">
        <f t="shared" si="97"/>
        <v>7.9000000000000009E-5</v>
      </c>
      <c r="BJ1022" s="1740" t="str">
        <f t="shared" si="98"/>
        <v>pieces</v>
      </c>
      <c r="BK1022" s="1740" t="str">
        <f t="shared" si="99"/>
        <v>Medical equipment</v>
      </c>
    </row>
    <row r="1023" spans="51:63" ht="15.65" customHeight="1">
      <c r="AY1023" s="1746" t="s">
        <v>2593</v>
      </c>
      <c r="AZ1023" s="1746">
        <v>2008</v>
      </c>
      <c r="BA1023" s="1746" t="s">
        <v>4706</v>
      </c>
      <c r="BB1023" s="1747" t="s">
        <v>4707</v>
      </c>
      <c r="BC1023" s="1746">
        <v>100</v>
      </c>
      <c r="BD1023" s="1746" t="s">
        <v>2930</v>
      </c>
      <c r="BE1023" s="1746"/>
      <c r="BF1023" s="1746">
        <v>2.49E-3</v>
      </c>
      <c r="BG1023" s="1746" t="s">
        <v>2597</v>
      </c>
      <c r="BH1023" s="1744">
        <f t="shared" si="100"/>
        <v>2.49E-3</v>
      </c>
      <c r="BI1023" s="1745">
        <f t="shared" si="97"/>
        <v>2.4899999999999999E-5</v>
      </c>
      <c r="BJ1023" s="1740" t="str">
        <f t="shared" si="98"/>
        <v>pieces</v>
      </c>
      <c r="BK1023" s="1740" t="str">
        <f t="shared" si="99"/>
        <v>Medical equipment</v>
      </c>
    </row>
    <row r="1024" spans="51:63" ht="15.65" customHeight="1">
      <c r="AY1024" s="1746" t="s">
        <v>2593</v>
      </c>
      <c r="AZ1024" s="1746">
        <v>2008</v>
      </c>
      <c r="BA1024" s="1746" t="s">
        <v>4708</v>
      </c>
      <c r="BB1024" s="1747" t="s">
        <v>4709</v>
      </c>
      <c r="BC1024" s="1746">
        <v>80</v>
      </c>
      <c r="BD1024" s="1746" t="s">
        <v>2930</v>
      </c>
      <c r="BE1024" s="1746"/>
      <c r="BF1024" s="1746">
        <v>3.5300000000000002E-3</v>
      </c>
      <c r="BG1024" s="1746" t="s">
        <v>2597</v>
      </c>
      <c r="BH1024" s="1744">
        <f t="shared" si="100"/>
        <v>3.5300000000000002E-3</v>
      </c>
      <c r="BI1024" s="1745">
        <f t="shared" si="97"/>
        <v>4.4125000000000002E-5</v>
      </c>
      <c r="BJ1024" s="1740" t="str">
        <f t="shared" si="98"/>
        <v>pieces</v>
      </c>
      <c r="BK1024" s="1740" t="str">
        <f t="shared" si="99"/>
        <v>Medical equipment</v>
      </c>
    </row>
    <row r="1025" spans="51:63" ht="15.65" customHeight="1">
      <c r="AY1025" s="1746" t="s">
        <v>2593</v>
      </c>
      <c r="AZ1025" s="1746">
        <v>2008</v>
      </c>
      <c r="BA1025" s="1746" t="s">
        <v>4710</v>
      </c>
      <c r="BB1025" s="1747" t="s">
        <v>4711</v>
      </c>
      <c r="BC1025" s="1746">
        <v>80</v>
      </c>
      <c r="BD1025" s="1746" t="s">
        <v>2930</v>
      </c>
      <c r="BE1025" s="1746"/>
      <c r="BF1025" s="1746">
        <v>0</v>
      </c>
      <c r="BG1025" s="1746" t="s">
        <v>2597</v>
      </c>
      <c r="BH1025" s="1744">
        <f t="shared" si="100"/>
        <v>0</v>
      </c>
      <c r="BI1025" s="1745">
        <f t="shared" si="97"/>
        <v>0</v>
      </c>
      <c r="BJ1025" s="1740" t="str">
        <f t="shared" si="98"/>
        <v>pieces</v>
      </c>
      <c r="BK1025" s="1740" t="str">
        <f t="shared" si="99"/>
        <v>Medical equipment</v>
      </c>
    </row>
    <row r="1026" spans="51:63" ht="15.65" customHeight="1">
      <c r="AY1026" s="1746" t="s">
        <v>2593</v>
      </c>
      <c r="AZ1026" s="1746">
        <v>2008</v>
      </c>
      <c r="BA1026" s="1746" t="s">
        <v>4712</v>
      </c>
      <c r="BB1026" s="1747" t="s">
        <v>4713</v>
      </c>
      <c r="BC1026" s="1746">
        <v>100</v>
      </c>
      <c r="BD1026" s="1746" t="s">
        <v>2930</v>
      </c>
      <c r="BE1026" s="1746"/>
      <c r="BF1026" s="1746">
        <v>3.0300000000000001E-3</v>
      </c>
      <c r="BG1026" s="1746" t="s">
        <v>2597</v>
      </c>
      <c r="BH1026" s="1744">
        <f t="shared" si="100"/>
        <v>3.0300000000000001E-3</v>
      </c>
      <c r="BI1026" s="1745">
        <f t="shared" si="97"/>
        <v>3.0300000000000001E-5</v>
      </c>
      <c r="BJ1026" s="1740" t="str">
        <f t="shared" si="98"/>
        <v>pieces</v>
      </c>
      <c r="BK1026" s="1740" t="str">
        <f t="shared" si="99"/>
        <v>Medical equipment</v>
      </c>
    </row>
    <row r="1027" spans="51:63" ht="15.65" customHeight="1">
      <c r="AY1027" s="1746" t="s">
        <v>2593</v>
      </c>
      <c r="AZ1027" s="1746">
        <v>2008</v>
      </c>
      <c r="BA1027" s="1746" t="s">
        <v>4714</v>
      </c>
      <c r="BB1027" s="1747" t="s">
        <v>4715</v>
      </c>
      <c r="BC1027" s="1746">
        <v>100</v>
      </c>
      <c r="BD1027" s="1746" t="s">
        <v>2930</v>
      </c>
      <c r="BE1027" s="1746"/>
      <c r="BF1027" s="1746">
        <v>4.1799999999999997E-3</v>
      </c>
      <c r="BG1027" s="1746" t="s">
        <v>2597</v>
      </c>
      <c r="BH1027" s="1744">
        <f t="shared" si="100"/>
        <v>4.1799999999999997E-3</v>
      </c>
      <c r="BI1027" s="1745">
        <f t="shared" si="97"/>
        <v>4.18E-5</v>
      </c>
      <c r="BJ1027" s="1740" t="str">
        <f t="shared" si="98"/>
        <v>pieces</v>
      </c>
      <c r="BK1027" s="1740" t="str">
        <f t="shared" si="99"/>
        <v>Medical equipment</v>
      </c>
    </row>
    <row r="1028" spans="51:63" ht="15.65" customHeight="1">
      <c r="AY1028" s="1746" t="s">
        <v>2593</v>
      </c>
      <c r="AZ1028" s="1746">
        <v>2008</v>
      </c>
      <c r="BA1028" s="1746" t="s">
        <v>4716</v>
      </c>
      <c r="BB1028" s="1747" t="s">
        <v>4717</v>
      </c>
      <c r="BC1028" s="1746">
        <v>100</v>
      </c>
      <c r="BD1028" s="1746" t="s">
        <v>2930</v>
      </c>
      <c r="BE1028" s="1746"/>
      <c r="BF1028" s="1746">
        <v>4.1799999999999997E-3</v>
      </c>
      <c r="BG1028" s="1746" t="s">
        <v>2597</v>
      </c>
      <c r="BH1028" s="1744">
        <f t="shared" si="100"/>
        <v>4.1799999999999997E-3</v>
      </c>
      <c r="BI1028" s="1745">
        <f t="shared" si="97"/>
        <v>4.18E-5</v>
      </c>
      <c r="BJ1028" s="1740" t="str">
        <f t="shared" si="98"/>
        <v>pieces</v>
      </c>
      <c r="BK1028" s="1740" t="str">
        <f t="shared" si="99"/>
        <v>Medical equipment</v>
      </c>
    </row>
    <row r="1029" spans="51:63" ht="15.65" customHeight="1">
      <c r="AY1029" s="1746" t="s">
        <v>2593</v>
      </c>
      <c r="AZ1029" s="1746">
        <v>2008</v>
      </c>
      <c r="BA1029" s="1746" t="s">
        <v>4718</v>
      </c>
      <c r="BB1029" s="1747" t="s">
        <v>4719</v>
      </c>
      <c r="BC1029" s="1746">
        <v>1</v>
      </c>
      <c r="BD1029" s="1746" t="s">
        <v>2933</v>
      </c>
      <c r="BE1029" s="1746"/>
      <c r="BF1029" s="1746">
        <v>2.5000000000000001E-4</v>
      </c>
      <c r="BG1029" s="1746" t="s">
        <v>2597</v>
      </c>
      <c r="BH1029" s="1744">
        <f t="shared" si="100"/>
        <v>2.5000000000000001E-4</v>
      </c>
      <c r="BI1029" s="1745">
        <f t="shared" si="97"/>
        <v>2.5000000000000001E-4</v>
      </c>
      <c r="BJ1029" s="1740" t="str">
        <f t="shared" si="98"/>
        <v>piece</v>
      </c>
      <c r="BK1029" s="1740" t="str">
        <f t="shared" si="99"/>
        <v>Medical equipment</v>
      </c>
    </row>
    <row r="1030" spans="51:63" ht="15.65" customHeight="1">
      <c r="AY1030" s="1746" t="s">
        <v>2593</v>
      </c>
      <c r="AZ1030" s="1746">
        <v>2008</v>
      </c>
      <c r="BA1030" s="1746" t="s">
        <v>4720</v>
      </c>
      <c r="BB1030" s="1747" t="s">
        <v>4721</v>
      </c>
      <c r="BC1030" s="1746">
        <v>100</v>
      </c>
      <c r="BD1030" s="1746" t="s">
        <v>2930</v>
      </c>
      <c r="BE1030" s="1746"/>
      <c r="BF1030" s="1746">
        <v>4.7000000000000002E-3</v>
      </c>
      <c r="BG1030" s="1746" t="s">
        <v>2597</v>
      </c>
      <c r="BH1030" s="1744">
        <f t="shared" si="100"/>
        <v>4.7000000000000002E-3</v>
      </c>
      <c r="BI1030" s="1745">
        <f t="shared" si="97"/>
        <v>4.7000000000000004E-5</v>
      </c>
      <c r="BJ1030" s="1740" t="str">
        <f t="shared" si="98"/>
        <v>pieces</v>
      </c>
      <c r="BK1030" s="1740" t="str">
        <f t="shared" si="99"/>
        <v>Medical equipment</v>
      </c>
    </row>
    <row r="1031" spans="51:63" ht="15.65" customHeight="1">
      <c r="AY1031" s="1746" t="s">
        <v>2593</v>
      </c>
      <c r="AZ1031" s="1746">
        <v>2008</v>
      </c>
      <c r="BA1031" s="1746" t="s">
        <v>4722</v>
      </c>
      <c r="BB1031" s="1747" t="s">
        <v>4723</v>
      </c>
      <c r="BC1031" s="1746">
        <v>100</v>
      </c>
      <c r="BD1031" s="1746" t="s">
        <v>2930</v>
      </c>
      <c r="BE1031" s="1746"/>
      <c r="BF1031" s="1746">
        <v>5.7800000000000004E-3</v>
      </c>
      <c r="BG1031" s="1746" t="s">
        <v>2597</v>
      </c>
      <c r="BH1031" s="1744">
        <f t="shared" si="100"/>
        <v>5.7800000000000004E-3</v>
      </c>
      <c r="BI1031" s="1745">
        <f t="shared" si="97"/>
        <v>5.7800000000000002E-5</v>
      </c>
      <c r="BJ1031" s="1740" t="str">
        <f t="shared" si="98"/>
        <v>pieces</v>
      </c>
      <c r="BK1031" s="1740" t="str">
        <f t="shared" si="99"/>
        <v>Medical equipment</v>
      </c>
    </row>
    <row r="1032" spans="51:63" ht="15.65" customHeight="1">
      <c r="AY1032" s="1746" t="s">
        <v>2588</v>
      </c>
      <c r="AZ1032" s="1746">
        <v>2006</v>
      </c>
      <c r="BA1032" s="1746" t="s">
        <v>4724</v>
      </c>
      <c r="BB1032" s="1747" t="s">
        <v>4725</v>
      </c>
      <c r="BC1032" s="1746">
        <v>100</v>
      </c>
      <c r="BD1032" s="1746" t="s">
        <v>2927</v>
      </c>
      <c r="BE1032" s="1746"/>
      <c r="BF1032" s="1746">
        <v>3097</v>
      </c>
      <c r="BG1032" s="1746" t="s">
        <v>2592</v>
      </c>
      <c r="BH1032" s="1744">
        <f t="shared" si="100"/>
        <v>3.0969999999999999E-3</v>
      </c>
      <c r="BI1032" s="1745">
        <f t="shared" si="97"/>
        <v>3.0969999999999997E-5</v>
      </c>
      <c r="BJ1032" s="1740" t="str">
        <f t="shared" si="98"/>
        <v>pcs</v>
      </c>
      <c r="BK1032" s="1740" t="str">
        <f t="shared" si="99"/>
        <v>Medical equipment</v>
      </c>
    </row>
    <row r="1033" spans="51:63" ht="15.65" customHeight="1">
      <c r="AY1033" s="1746" t="s">
        <v>2588</v>
      </c>
      <c r="AZ1033" s="1746">
        <v>2006</v>
      </c>
      <c r="BA1033" s="1746" t="s">
        <v>4726</v>
      </c>
      <c r="BB1033" s="1747" t="s">
        <v>4727</v>
      </c>
      <c r="BC1033" s="1746">
        <v>100</v>
      </c>
      <c r="BD1033" s="1746" t="s">
        <v>2927</v>
      </c>
      <c r="BE1033" s="1746"/>
      <c r="BF1033" s="1746">
        <v>9020</v>
      </c>
      <c r="BG1033" s="1746" t="s">
        <v>2592</v>
      </c>
      <c r="BH1033" s="1744">
        <f t="shared" si="100"/>
        <v>9.0200000000000002E-3</v>
      </c>
      <c r="BI1033" s="1745">
        <f t="shared" si="97"/>
        <v>9.0199999999999997E-5</v>
      </c>
      <c r="BJ1033" s="1740" t="str">
        <f t="shared" si="98"/>
        <v>pcs</v>
      </c>
      <c r="BK1033" s="1740" t="str">
        <f t="shared" si="99"/>
        <v>Medical equipment</v>
      </c>
    </row>
    <row r="1034" spans="51:63" ht="15.65" customHeight="1">
      <c r="AY1034" s="1746" t="s">
        <v>2588</v>
      </c>
      <c r="AZ1034" s="1746">
        <v>2006</v>
      </c>
      <c r="BA1034" s="1746" t="s">
        <v>4728</v>
      </c>
      <c r="BB1034" s="1747" t="s">
        <v>4729</v>
      </c>
      <c r="BC1034" s="1746">
        <v>100</v>
      </c>
      <c r="BD1034" s="1746" t="s">
        <v>2927</v>
      </c>
      <c r="BE1034" s="1746"/>
      <c r="BF1034" s="1746">
        <v>9020</v>
      </c>
      <c r="BG1034" s="1746" t="s">
        <v>2592</v>
      </c>
      <c r="BH1034" s="1744">
        <f t="shared" si="100"/>
        <v>9.0200000000000002E-3</v>
      </c>
      <c r="BI1034" s="1745">
        <f t="shared" si="97"/>
        <v>9.0199999999999997E-5</v>
      </c>
      <c r="BJ1034" s="1740" t="str">
        <f t="shared" si="98"/>
        <v>pcs</v>
      </c>
      <c r="BK1034" s="1740" t="str">
        <f t="shared" si="99"/>
        <v>Medical equipment</v>
      </c>
    </row>
    <row r="1035" spans="51:63" ht="15.65" customHeight="1">
      <c r="AY1035" s="1746" t="s">
        <v>2588</v>
      </c>
      <c r="AZ1035" s="1746">
        <v>2006</v>
      </c>
      <c r="BA1035" s="1746" t="s">
        <v>4730</v>
      </c>
      <c r="BB1035" s="1747" t="s">
        <v>4731</v>
      </c>
      <c r="BC1035" s="1746">
        <v>80</v>
      </c>
      <c r="BD1035" s="1746" t="s">
        <v>2927</v>
      </c>
      <c r="BE1035" s="1746"/>
      <c r="BF1035" s="1746">
        <v>8882</v>
      </c>
      <c r="BG1035" s="1746" t="s">
        <v>2592</v>
      </c>
      <c r="BH1035" s="1744">
        <f t="shared" si="100"/>
        <v>8.8819999999999993E-3</v>
      </c>
      <c r="BI1035" s="1745">
        <f t="shared" si="97"/>
        <v>1.1102499999999999E-4</v>
      </c>
      <c r="BJ1035" s="1740" t="str">
        <f t="shared" si="98"/>
        <v>pcs</v>
      </c>
      <c r="BK1035" s="1740" t="str">
        <f t="shared" si="99"/>
        <v>Medical equipment</v>
      </c>
    </row>
    <row r="1036" spans="51:63" ht="15.65" customHeight="1">
      <c r="AY1036" s="1746" t="s">
        <v>2588</v>
      </c>
      <c r="AZ1036" s="1746">
        <v>2006</v>
      </c>
      <c r="BA1036" s="1746" t="s">
        <v>4732</v>
      </c>
      <c r="BB1036" s="1747" t="s">
        <v>4733</v>
      </c>
      <c r="BC1036" s="1746">
        <v>100</v>
      </c>
      <c r="BD1036" s="1746" t="s">
        <v>2927</v>
      </c>
      <c r="BE1036" s="1746"/>
      <c r="BF1036" s="1746">
        <v>3608</v>
      </c>
      <c r="BG1036" s="1746" t="s">
        <v>2592</v>
      </c>
      <c r="BH1036" s="1744">
        <f t="shared" si="100"/>
        <v>3.6080000000000001E-3</v>
      </c>
      <c r="BI1036" s="1745">
        <f t="shared" si="97"/>
        <v>3.608E-5</v>
      </c>
      <c r="BJ1036" s="1740" t="str">
        <f t="shared" si="98"/>
        <v>pcs</v>
      </c>
      <c r="BK1036" s="1740" t="str">
        <f t="shared" si="99"/>
        <v>Medical equipment</v>
      </c>
    </row>
    <row r="1037" spans="51:63" ht="15.65" customHeight="1">
      <c r="AY1037" s="1746" t="s">
        <v>2588</v>
      </c>
      <c r="AZ1037" s="1746">
        <v>2006</v>
      </c>
      <c r="BA1037" s="1746" t="s">
        <v>4734</v>
      </c>
      <c r="BB1037" s="1747" t="s">
        <v>4735</v>
      </c>
      <c r="BC1037" s="1746">
        <v>100</v>
      </c>
      <c r="BD1037" s="1746" t="s">
        <v>2927</v>
      </c>
      <c r="BE1037" s="1746"/>
      <c r="BF1037" s="1746">
        <v>3608</v>
      </c>
      <c r="BG1037" s="1746" t="s">
        <v>2592</v>
      </c>
      <c r="BH1037" s="1744">
        <f t="shared" si="100"/>
        <v>3.6080000000000001E-3</v>
      </c>
      <c r="BI1037" s="1745">
        <f t="shared" si="97"/>
        <v>3.608E-5</v>
      </c>
      <c r="BJ1037" s="1740" t="str">
        <f t="shared" si="98"/>
        <v>pcs</v>
      </c>
      <c r="BK1037" s="1740" t="str">
        <f t="shared" si="99"/>
        <v>Medical equipment</v>
      </c>
    </row>
    <row r="1038" spans="51:63" ht="15.65" customHeight="1">
      <c r="AY1038" s="1746" t="s">
        <v>2588</v>
      </c>
      <c r="AZ1038" s="1746">
        <v>2006</v>
      </c>
      <c r="BA1038" s="1746" t="s">
        <v>4736</v>
      </c>
      <c r="BB1038" s="1747" t="s">
        <v>4737</v>
      </c>
      <c r="BC1038" s="1746">
        <v>100</v>
      </c>
      <c r="BD1038" s="1746" t="s">
        <v>2927</v>
      </c>
      <c r="BE1038" s="1746"/>
      <c r="BF1038" s="1746">
        <v>6013.33</v>
      </c>
      <c r="BG1038" s="1746" t="s">
        <v>2592</v>
      </c>
      <c r="BH1038" s="1744">
        <f t="shared" si="100"/>
        <v>6.0133299999999999E-3</v>
      </c>
      <c r="BI1038" s="1745">
        <f t="shared" si="97"/>
        <v>6.0133299999999996E-5</v>
      </c>
      <c r="BJ1038" s="1740" t="str">
        <f t="shared" si="98"/>
        <v>pcs</v>
      </c>
      <c r="BK1038" s="1740" t="str">
        <f t="shared" si="99"/>
        <v>Medical equipment</v>
      </c>
    </row>
    <row r="1039" spans="51:63" ht="15.65" customHeight="1">
      <c r="AY1039" s="1746" t="s">
        <v>2588</v>
      </c>
      <c r="AZ1039" s="1746">
        <v>2006</v>
      </c>
      <c r="BA1039" s="1746" t="s">
        <v>4738</v>
      </c>
      <c r="BB1039" s="1747" t="s">
        <v>4739</v>
      </c>
      <c r="BC1039" s="1746">
        <v>100</v>
      </c>
      <c r="BD1039" s="1746" t="s">
        <v>2927</v>
      </c>
      <c r="BE1039" s="1746"/>
      <c r="BF1039" s="1746">
        <v>6013.3</v>
      </c>
      <c r="BG1039" s="1746" t="s">
        <v>2592</v>
      </c>
      <c r="BH1039" s="1744">
        <f t="shared" si="100"/>
        <v>6.0133000000000001E-3</v>
      </c>
      <c r="BI1039" s="1745">
        <f t="shared" si="97"/>
        <v>6.0133000000000002E-5</v>
      </c>
      <c r="BJ1039" s="1740" t="str">
        <f t="shared" si="98"/>
        <v>pcs</v>
      </c>
      <c r="BK1039" s="1740" t="str">
        <f t="shared" si="99"/>
        <v>Medical equipment</v>
      </c>
    </row>
    <row r="1040" spans="51:63" ht="15.65" customHeight="1">
      <c r="AY1040" s="1746" t="s">
        <v>2588</v>
      </c>
      <c r="AZ1040" s="1746">
        <v>2006</v>
      </c>
      <c r="BA1040" s="1746" t="s">
        <v>4740</v>
      </c>
      <c r="BB1040" s="1747" t="s">
        <v>4741</v>
      </c>
      <c r="BC1040" s="1746">
        <v>100</v>
      </c>
      <c r="BD1040" s="1746" t="s">
        <v>2927</v>
      </c>
      <c r="BE1040" s="1746"/>
      <c r="BF1040" s="1746">
        <v>6013.3</v>
      </c>
      <c r="BG1040" s="1746" t="s">
        <v>2592</v>
      </c>
      <c r="BH1040" s="1744">
        <f t="shared" si="100"/>
        <v>6.0133000000000001E-3</v>
      </c>
      <c r="BI1040" s="1745">
        <f t="shared" si="97"/>
        <v>6.0133000000000002E-5</v>
      </c>
      <c r="BJ1040" s="1740" t="str">
        <f t="shared" si="98"/>
        <v>pcs</v>
      </c>
      <c r="BK1040" s="1740" t="str">
        <f t="shared" si="99"/>
        <v>Medical equipment</v>
      </c>
    </row>
    <row r="1041" spans="51:63" ht="15.65" customHeight="1">
      <c r="AY1041" s="1746" t="s">
        <v>2588</v>
      </c>
      <c r="AZ1041" s="1746">
        <v>2006</v>
      </c>
      <c r="BA1041" s="1746" t="s">
        <v>4742</v>
      </c>
      <c r="BB1041" s="1747" t="s">
        <v>4743</v>
      </c>
      <c r="BC1041" s="1746">
        <v>100</v>
      </c>
      <c r="BD1041" s="1746" t="s">
        <v>2927</v>
      </c>
      <c r="BE1041" s="1746"/>
      <c r="BF1041" s="1746">
        <v>3729</v>
      </c>
      <c r="BG1041" s="1746" t="s">
        <v>2592</v>
      </c>
      <c r="BH1041" s="1744">
        <f t="shared" si="100"/>
        <v>3.7290000000000001E-3</v>
      </c>
      <c r="BI1041" s="1745">
        <f t="shared" si="97"/>
        <v>3.7290000000000004E-5</v>
      </c>
      <c r="BJ1041" s="1740" t="str">
        <f t="shared" si="98"/>
        <v>pcs</v>
      </c>
      <c r="BK1041" s="1740" t="str">
        <f t="shared" si="99"/>
        <v>Medical equipment</v>
      </c>
    </row>
    <row r="1042" spans="51:63" ht="15.65" customHeight="1">
      <c r="AY1042" s="1746" t="s">
        <v>2593</v>
      </c>
      <c r="AZ1042" s="1746">
        <v>2008</v>
      </c>
      <c r="BA1042" s="1746" t="s">
        <v>4744</v>
      </c>
      <c r="BB1042" s="1747" t="s">
        <v>4745</v>
      </c>
      <c r="BC1042" s="1746">
        <v>100</v>
      </c>
      <c r="BD1042" s="1746" t="s">
        <v>2930</v>
      </c>
      <c r="BE1042" s="1746"/>
      <c r="BF1042" s="1746">
        <v>5.0000000000000002E-5</v>
      </c>
      <c r="BG1042" s="1746" t="s">
        <v>2597</v>
      </c>
      <c r="BH1042" s="1744">
        <f t="shared" si="100"/>
        <v>5.0000000000000002E-5</v>
      </c>
      <c r="BI1042" s="1745">
        <f t="shared" si="97"/>
        <v>4.9999999999999998E-7</v>
      </c>
      <c r="BJ1042" s="1740" t="str">
        <f t="shared" si="98"/>
        <v>pieces</v>
      </c>
      <c r="BK1042" s="1740" t="str">
        <f t="shared" si="99"/>
        <v>Medical equipment</v>
      </c>
    </row>
    <row r="1043" spans="51:63" ht="15.65" customHeight="1">
      <c r="AY1043" s="1746" t="s">
        <v>2593</v>
      </c>
      <c r="AZ1043" s="1746">
        <v>2008</v>
      </c>
      <c r="BA1043" s="1746" t="s">
        <v>4746</v>
      </c>
      <c r="BB1043" s="1747" t="s">
        <v>4747</v>
      </c>
      <c r="BC1043" s="1746">
        <v>100</v>
      </c>
      <c r="BD1043" s="1746" t="s">
        <v>2930</v>
      </c>
      <c r="BE1043" s="1746"/>
      <c r="BF1043" s="1746">
        <v>1.1900000000000001E-2</v>
      </c>
      <c r="BG1043" s="1746" t="s">
        <v>2597</v>
      </c>
      <c r="BH1043" s="1744">
        <f t="shared" si="100"/>
        <v>1.1900000000000001E-2</v>
      </c>
      <c r="BI1043" s="1745">
        <f t="shared" ref="BI1043:BI1106" si="101">IFERROR(BH1043/BC1043,"")</f>
        <v>1.1900000000000001E-4</v>
      </c>
      <c r="BJ1043" s="1740" t="str">
        <f t="shared" ref="BJ1043:BJ1106" si="102">IF(BE1043="",BD1043,BD1043&amp;"-"&amp;BE1043)</f>
        <v>pieces</v>
      </c>
      <c r="BK1043" s="1740" t="str">
        <f t="shared" si="99"/>
        <v>Medical equipment</v>
      </c>
    </row>
    <row r="1044" spans="51:63" ht="15.65" customHeight="1">
      <c r="AY1044" s="1746" t="s">
        <v>2593</v>
      </c>
      <c r="AZ1044" s="1746">
        <v>2008</v>
      </c>
      <c r="BA1044" s="1746" t="s">
        <v>4748</v>
      </c>
      <c r="BB1044" s="1747" t="s">
        <v>4749</v>
      </c>
      <c r="BC1044" s="1746">
        <v>100</v>
      </c>
      <c r="BD1044" s="1746" t="s">
        <v>2930</v>
      </c>
      <c r="BE1044" s="1746"/>
      <c r="BF1044" s="1746">
        <v>5.3299999999999997E-3</v>
      </c>
      <c r="BG1044" s="1746" t="s">
        <v>2597</v>
      </c>
      <c r="BH1044" s="1744">
        <f t="shared" si="100"/>
        <v>5.3299999999999997E-3</v>
      </c>
      <c r="BI1044" s="1745">
        <f t="shared" si="101"/>
        <v>5.3299999999999995E-5</v>
      </c>
      <c r="BJ1044" s="1740" t="str">
        <f t="shared" si="102"/>
        <v>pieces</v>
      </c>
      <c r="BK1044" s="1740" t="str">
        <f t="shared" ref="BK1044:BK1107" si="103">IFERROR(INDEX($BO$18:$BO$136,MATCH(BJ1044,$BN$18:$BN$136,0)),"")</f>
        <v>Medical equipment</v>
      </c>
    </row>
    <row r="1045" spans="51:63" ht="15.65" customHeight="1">
      <c r="AY1045" s="1746" t="s">
        <v>2593</v>
      </c>
      <c r="AZ1045" s="1746">
        <v>2008</v>
      </c>
      <c r="BA1045" s="1746" t="s">
        <v>4750</v>
      </c>
      <c r="BB1045" s="1747" t="s">
        <v>4751</v>
      </c>
      <c r="BC1045" s="1746">
        <v>100</v>
      </c>
      <c r="BD1045" s="1746" t="s">
        <v>2930</v>
      </c>
      <c r="BE1045" s="1746"/>
      <c r="BF1045" s="1746">
        <v>0</v>
      </c>
      <c r="BG1045" s="1746" t="s">
        <v>2597</v>
      </c>
      <c r="BH1045" s="1744">
        <f t="shared" si="100"/>
        <v>0</v>
      </c>
      <c r="BI1045" s="1745">
        <f t="shared" si="101"/>
        <v>0</v>
      </c>
      <c r="BJ1045" s="1740" t="str">
        <f t="shared" si="102"/>
        <v>pieces</v>
      </c>
      <c r="BK1045" s="1740" t="str">
        <f t="shared" si="103"/>
        <v>Medical equipment</v>
      </c>
    </row>
    <row r="1046" spans="51:63" ht="15.65" customHeight="1">
      <c r="AY1046" s="1746" t="s">
        <v>2593</v>
      </c>
      <c r="AZ1046" s="1746">
        <v>2008</v>
      </c>
      <c r="BA1046" s="1746" t="s">
        <v>4752</v>
      </c>
      <c r="BB1046" s="1747" t="s">
        <v>4753</v>
      </c>
      <c r="BC1046" s="1746">
        <v>100</v>
      </c>
      <c r="BD1046" s="1746" t="s">
        <v>2930</v>
      </c>
      <c r="BE1046" s="1746"/>
      <c r="BF1046" s="1746">
        <v>0</v>
      </c>
      <c r="BG1046" s="1746" t="s">
        <v>2597</v>
      </c>
      <c r="BH1046" s="1744">
        <f t="shared" si="100"/>
        <v>0</v>
      </c>
      <c r="BI1046" s="1745">
        <f t="shared" si="101"/>
        <v>0</v>
      </c>
      <c r="BJ1046" s="1740" t="str">
        <f t="shared" si="102"/>
        <v>pieces</v>
      </c>
      <c r="BK1046" s="1740" t="str">
        <f t="shared" si="103"/>
        <v>Medical equipment</v>
      </c>
    </row>
    <row r="1047" spans="51:63" ht="15.65" customHeight="1">
      <c r="AY1047" s="1746" t="s">
        <v>2593</v>
      </c>
      <c r="AZ1047" s="1746">
        <v>2008</v>
      </c>
      <c r="BA1047" s="1746" t="s">
        <v>4754</v>
      </c>
      <c r="BB1047" s="1747" t="s">
        <v>4755</v>
      </c>
      <c r="BC1047" s="1746">
        <v>100</v>
      </c>
      <c r="BD1047" s="1746" t="s">
        <v>2930</v>
      </c>
      <c r="BE1047" s="1746"/>
      <c r="BF1047" s="1746">
        <v>0</v>
      </c>
      <c r="BG1047" s="1746" t="s">
        <v>2597</v>
      </c>
      <c r="BH1047" s="1744">
        <f t="shared" si="100"/>
        <v>0</v>
      </c>
      <c r="BI1047" s="1745">
        <f t="shared" si="101"/>
        <v>0</v>
      </c>
      <c r="BJ1047" s="1740" t="str">
        <f t="shared" si="102"/>
        <v>pieces</v>
      </c>
      <c r="BK1047" s="1740" t="str">
        <f t="shared" si="103"/>
        <v>Medical equipment</v>
      </c>
    </row>
    <row r="1048" spans="51:63" ht="15.65" customHeight="1">
      <c r="AY1048" s="1746" t="s">
        <v>2575</v>
      </c>
      <c r="AZ1048" s="1746">
        <v>2008</v>
      </c>
      <c r="BA1048" s="1746" t="s">
        <v>4756</v>
      </c>
      <c r="BB1048" s="1747" t="s">
        <v>4757</v>
      </c>
      <c r="BC1048" s="1746" t="s">
        <v>2578</v>
      </c>
      <c r="BD1048" s="1746" t="s">
        <v>2903</v>
      </c>
      <c r="BE1048" s="1746" t="s">
        <v>4758</v>
      </c>
      <c r="BF1048" s="1753">
        <v>7410</v>
      </c>
      <c r="BG1048" s="1746" t="s">
        <v>2592</v>
      </c>
      <c r="BH1048" s="1744">
        <f t="shared" si="100"/>
        <v>7.4099999999999999E-3</v>
      </c>
      <c r="BI1048" s="1745" t="str">
        <f t="shared" si="101"/>
        <v/>
      </c>
      <c r="BJ1048" s="1740" t="str">
        <f t="shared" si="102"/>
        <v>BOX-Syringe/Immunization</v>
      </c>
      <c r="BK1048" s="1740" t="str">
        <f t="shared" si="103"/>
        <v>Injection syringe</v>
      </c>
    </row>
    <row r="1049" spans="51:63" ht="15.65" customHeight="1">
      <c r="AY1049" s="1746" t="s">
        <v>2575</v>
      </c>
      <c r="AZ1049" s="1746">
        <v>2008</v>
      </c>
      <c r="BA1049" s="1746" t="s">
        <v>4759</v>
      </c>
      <c r="BB1049" s="1747" t="s">
        <v>4760</v>
      </c>
      <c r="BC1049" s="1746" t="s">
        <v>2578</v>
      </c>
      <c r="BD1049" s="1746" t="s">
        <v>2903</v>
      </c>
      <c r="BE1049" s="1746" t="s">
        <v>4758</v>
      </c>
      <c r="BF1049" s="1746">
        <v>4.0000000000000001E-3</v>
      </c>
      <c r="BG1049" s="1746" t="s">
        <v>2597</v>
      </c>
      <c r="BH1049" s="1744">
        <f t="shared" ref="BH1049:BH1112" si="104">IF(BG1049="CCM",BF1049/1000000,IF(BG1049="CDM",BF1049/1000, IF(BG1049="M3",BF1049,"")))</f>
        <v>4.0000000000000001E-3</v>
      </c>
      <c r="BI1049" s="1745" t="str">
        <f t="shared" si="101"/>
        <v/>
      </c>
      <c r="BJ1049" s="1740" t="str">
        <f t="shared" si="102"/>
        <v>BOX-Syringe/Immunization</v>
      </c>
      <c r="BK1049" s="1740" t="str">
        <f t="shared" si="103"/>
        <v>Injection syringe</v>
      </c>
    </row>
    <row r="1050" spans="51:63" ht="15.65" customHeight="1">
      <c r="AY1050" s="1746" t="s">
        <v>2575</v>
      </c>
      <c r="AZ1050" s="1746">
        <v>2008</v>
      </c>
      <c r="BA1050" s="1746" t="s">
        <v>4761</v>
      </c>
      <c r="BB1050" s="1747" t="s">
        <v>4762</v>
      </c>
      <c r="BC1050" s="1746" t="s">
        <v>2578</v>
      </c>
      <c r="BD1050" s="1746" t="s">
        <v>2903</v>
      </c>
      <c r="BE1050" s="1746" t="s">
        <v>4758</v>
      </c>
      <c r="BF1050" s="1746">
        <v>1E-3</v>
      </c>
      <c r="BG1050" s="1746" t="s">
        <v>2597</v>
      </c>
      <c r="BH1050" s="1744">
        <f t="shared" si="104"/>
        <v>1E-3</v>
      </c>
      <c r="BI1050" s="1745" t="str">
        <f t="shared" si="101"/>
        <v/>
      </c>
      <c r="BJ1050" s="1740" t="str">
        <f t="shared" si="102"/>
        <v>BOX-Syringe/Immunization</v>
      </c>
      <c r="BK1050" s="1740" t="str">
        <f t="shared" si="103"/>
        <v>Injection syringe</v>
      </c>
    </row>
    <row r="1051" spans="51:63" ht="15.65" customHeight="1">
      <c r="AY1051" s="1746" t="s">
        <v>2575</v>
      </c>
      <c r="AZ1051" s="1746">
        <v>2008</v>
      </c>
      <c r="BA1051" s="1746" t="s">
        <v>4763</v>
      </c>
      <c r="BB1051" s="1747" t="s">
        <v>4764</v>
      </c>
      <c r="BC1051" s="1746" t="s">
        <v>2578</v>
      </c>
      <c r="BD1051" s="1746" t="s">
        <v>2903</v>
      </c>
      <c r="BE1051" s="1746" t="s">
        <v>4765</v>
      </c>
      <c r="BF1051" s="1753">
        <v>6706.25</v>
      </c>
      <c r="BG1051" s="1746" t="s">
        <v>2592</v>
      </c>
      <c r="BH1051" s="1744">
        <f t="shared" si="104"/>
        <v>6.7062500000000004E-3</v>
      </c>
      <c r="BI1051" s="1745" t="str">
        <f t="shared" si="101"/>
        <v/>
      </c>
      <c r="BJ1051" s="1740" t="str">
        <f t="shared" si="102"/>
        <v>BOX-Syringe/other</v>
      </c>
      <c r="BK1051" s="1740" t="str">
        <f t="shared" si="103"/>
        <v>Injection syringe</v>
      </c>
    </row>
    <row r="1052" spans="51:63" ht="15.65" customHeight="1">
      <c r="AY1052" s="1746" t="s">
        <v>2575</v>
      </c>
      <c r="AZ1052" s="1746">
        <v>2008</v>
      </c>
      <c r="BA1052" s="1746" t="s">
        <v>4766</v>
      </c>
      <c r="BB1052" s="1747" t="s">
        <v>4767</v>
      </c>
      <c r="BC1052" s="1746" t="s">
        <v>2578</v>
      </c>
      <c r="BD1052" s="1746" t="s">
        <v>2903</v>
      </c>
      <c r="BE1052" s="1746" t="s">
        <v>4765</v>
      </c>
      <c r="BF1052" s="1746">
        <v>2.7</v>
      </c>
      <c r="BG1052" s="1746" t="s">
        <v>2581</v>
      </c>
      <c r="BH1052" s="1744">
        <f t="shared" si="104"/>
        <v>2.7000000000000001E-3</v>
      </c>
      <c r="BI1052" s="1745" t="str">
        <f t="shared" si="101"/>
        <v/>
      </c>
      <c r="BJ1052" s="1740" t="str">
        <f t="shared" si="102"/>
        <v>BOX-Syringe/other</v>
      </c>
      <c r="BK1052" s="1740" t="str">
        <f t="shared" si="103"/>
        <v>Injection syringe</v>
      </c>
    </row>
    <row r="1053" spans="51:63" ht="15.65" customHeight="1">
      <c r="AY1053" s="1746" t="s">
        <v>2575</v>
      </c>
      <c r="AZ1053" s="1746">
        <v>2008</v>
      </c>
      <c r="BA1053" s="1746" t="s">
        <v>4768</v>
      </c>
      <c r="BB1053" s="1747" t="s">
        <v>4769</v>
      </c>
      <c r="BC1053" s="1746" t="s">
        <v>2578</v>
      </c>
      <c r="BD1053" s="1746" t="s">
        <v>2903</v>
      </c>
      <c r="BE1053" s="1746" t="s">
        <v>4765</v>
      </c>
      <c r="BF1053" s="1746">
        <v>11.8</v>
      </c>
      <c r="BG1053" s="1746" t="s">
        <v>2581</v>
      </c>
      <c r="BH1053" s="1744">
        <f t="shared" si="104"/>
        <v>1.1800000000000001E-2</v>
      </c>
      <c r="BI1053" s="1745" t="str">
        <f t="shared" si="101"/>
        <v/>
      </c>
      <c r="BJ1053" s="1740" t="str">
        <f t="shared" si="102"/>
        <v>BOX-Syringe/other</v>
      </c>
      <c r="BK1053" s="1740" t="str">
        <f t="shared" si="103"/>
        <v>Injection syringe</v>
      </c>
    </row>
    <row r="1054" spans="51:63" ht="15.65" customHeight="1">
      <c r="AY1054" s="1746" t="s">
        <v>2575</v>
      </c>
      <c r="AZ1054" s="1746">
        <v>2008</v>
      </c>
      <c r="BA1054" s="1746" t="s">
        <v>4770</v>
      </c>
      <c r="BB1054" s="1747" t="s">
        <v>4771</v>
      </c>
      <c r="BC1054" s="1746" t="s">
        <v>2578</v>
      </c>
      <c r="BD1054" s="1746" t="s">
        <v>2903</v>
      </c>
      <c r="BE1054" s="1746" t="s">
        <v>4765</v>
      </c>
      <c r="BF1054" s="1746">
        <v>7.9</v>
      </c>
      <c r="BG1054" s="1746" t="s">
        <v>2581</v>
      </c>
      <c r="BH1054" s="1744">
        <f t="shared" si="104"/>
        <v>7.9000000000000008E-3</v>
      </c>
      <c r="BI1054" s="1745" t="str">
        <f t="shared" si="101"/>
        <v/>
      </c>
      <c r="BJ1054" s="1740" t="str">
        <f t="shared" si="102"/>
        <v>BOX-Syringe/other</v>
      </c>
      <c r="BK1054" s="1740" t="str">
        <f t="shared" si="103"/>
        <v>Injection syringe</v>
      </c>
    </row>
    <row r="1055" spans="51:63" ht="15.65" customHeight="1">
      <c r="AY1055" s="1746" t="s">
        <v>2575</v>
      </c>
      <c r="AZ1055" s="1746">
        <v>2008</v>
      </c>
      <c r="BA1055" s="1746" t="s">
        <v>4772</v>
      </c>
      <c r="BB1055" s="1747" t="s">
        <v>4773</v>
      </c>
      <c r="BC1055" s="1746" t="s">
        <v>2578</v>
      </c>
      <c r="BD1055" s="1746" t="s">
        <v>2903</v>
      </c>
      <c r="BE1055" s="1746" t="s">
        <v>4765</v>
      </c>
      <c r="BF1055" s="1746">
        <v>2.97</v>
      </c>
      <c r="BG1055" s="1746" t="s">
        <v>2581</v>
      </c>
      <c r="BH1055" s="1744">
        <f t="shared" si="104"/>
        <v>2.97E-3</v>
      </c>
      <c r="BI1055" s="1745" t="str">
        <f t="shared" si="101"/>
        <v/>
      </c>
      <c r="BJ1055" s="1740" t="str">
        <f t="shared" si="102"/>
        <v>BOX-Syringe/other</v>
      </c>
      <c r="BK1055" s="1740" t="str">
        <f t="shared" si="103"/>
        <v>Injection syringe</v>
      </c>
    </row>
    <row r="1056" spans="51:63" ht="15.65" customHeight="1">
      <c r="AY1056" s="1746" t="s">
        <v>2575</v>
      </c>
      <c r="AZ1056" s="1746">
        <v>2008</v>
      </c>
      <c r="BA1056" s="1746" t="s">
        <v>4774</v>
      </c>
      <c r="BB1056" s="1747" t="s">
        <v>4775</v>
      </c>
      <c r="BC1056" s="1746" t="s">
        <v>2578</v>
      </c>
      <c r="BD1056" s="1746" t="s">
        <v>2903</v>
      </c>
      <c r="BE1056" s="1746" t="s">
        <v>4765</v>
      </c>
      <c r="BF1056" s="1746">
        <v>4.67</v>
      </c>
      <c r="BG1056" s="1746" t="s">
        <v>2581</v>
      </c>
      <c r="BH1056" s="1744">
        <f t="shared" si="104"/>
        <v>4.6699999999999997E-3</v>
      </c>
      <c r="BI1056" s="1745" t="str">
        <f t="shared" si="101"/>
        <v/>
      </c>
      <c r="BJ1056" s="1740" t="str">
        <f t="shared" si="102"/>
        <v>BOX-Syringe/other</v>
      </c>
      <c r="BK1056" s="1740" t="str">
        <f t="shared" si="103"/>
        <v>Injection syringe</v>
      </c>
    </row>
    <row r="1057" spans="51:63" ht="15.65" customHeight="1">
      <c r="AY1057" s="1746" t="s">
        <v>2575</v>
      </c>
      <c r="AZ1057" s="1746">
        <v>2008</v>
      </c>
      <c r="BA1057" s="1746" t="s">
        <v>4776</v>
      </c>
      <c r="BB1057" s="1747" t="s">
        <v>4777</v>
      </c>
      <c r="BC1057" s="1746" t="s">
        <v>2578</v>
      </c>
      <c r="BD1057" s="1746" t="s">
        <v>2579</v>
      </c>
      <c r="BE1057" s="1746" t="s">
        <v>2730</v>
      </c>
      <c r="BF1057" s="1746">
        <v>0.3</v>
      </c>
      <c r="BG1057" s="1746" t="s">
        <v>2581</v>
      </c>
      <c r="BH1057" s="1744">
        <f t="shared" si="104"/>
        <v>2.9999999999999997E-4</v>
      </c>
      <c r="BI1057" s="1745" t="str">
        <f t="shared" si="101"/>
        <v/>
      </c>
      <c r="BJ1057" s="1740" t="str">
        <f t="shared" si="102"/>
        <v>EA-Tube/catheter/drain</v>
      </c>
      <c r="BK1057" s="1740" t="str">
        <f t="shared" si="103"/>
        <v>Medical equipment</v>
      </c>
    </row>
    <row r="1058" spans="51:63" ht="15.65" customHeight="1">
      <c r="AY1058" s="1746" t="s">
        <v>2575</v>
      </c>
      <c r="AZ1058" s="1746">
        <v>2008</v>
      </c>
      <c r="BA1058" s="1746" t="s">
        <v>4778</v>
      </c>
      <c r="BB1058" s="1747" t="s">
        <v>4779</v>
      </c>
      <c r="BC1058" s="1746" t="s">
        <v>2578</v>
      </c>
      <c r="BD1058" s="1746" t="s">
        <v>2579</v>
      </c>
      <c r="BE1058" s="1746" t="s">
        <v>2730</v>
      </c>
      <c r="BF1058" s="1746">
        <v>0.2</v>
      </c>
      <c r="BG1058" s="1746" t="s">
        <v>2581</v>
      </c>
      <c r="BH1058" s="1744">
        <f t="shared" si="104"/>
        <v>2.0000000000000001E-4</v>
      </c>
      <c r="BI1058" s="1745" t="str">
        <f t="shared" si="101"/>
        <v/>
      </c>
      <c r="BJ1058" s="1740" t="str">
        <f t="shared" si="102"/>
        <v>EA-Tube/catheter/drain</v>
      </c>
      <c r="BK1058" s="1740" t="str">
        <f t="shared" si="103"/>
        <v>Medical equipment</v>
      </c>
    </row>
    <row r="1059" spans="51:63" ht="15.65" customHeight="1">
      <c r="AY1059" s="1746" t="s">
        <v>2575</v>
      </c>
      <c r="AZ1059" s="1746">
        <v>2008</v>
      </c>
      <c r="BA1059" s="1746" t="s">
        <v>4780</v>
      </c>
      <c r="BB1059" s="1747" t="s">
        <v>4781</v>
      </c>
      <c r="BC1059" s="1746" t="s">
        <v>2578</v>
      </c>
      <c r="BD1059" s="1746" t="s">
        <v>2903</v>
      </c>
      <c r="BE1059" s="1746" t="s">
        <v>4758</v>
      </c>
      <c r="BF1059" s="1746">
        <v>10</v>
      </c>
      <c r="BG1059" s="1746" t="s">
        <v>2581</v>
      </c>
      <c r="BH1059" s="1744">
        <f t="shared" si="104"/>
        <v>0.01</v>
      </c>
      <c r="BI1059" s="1745" t="str">
        <f t="shared" si="101"/>
        <v/>
      </c>
      <c r="BJ1059" s="1740" t="str">
        <f t="shared" si="102"/>
        <v>BOX-Syringe/Immunization</v>
      </c>
      <c r="BK1059" s="1740" t="str">
        <f t="shared" si="103"/>
        <v>Injection syringe</v>
      </c>
    </row>
    <row r="1060" spans="51:63" ht="15.65" customHeight="1">
      <c r="AY1060" s="1746" t="s">
        <v>2575</v>
      </c>
      <c r="AZ1060" s="1746">
        <v>2008</v>
      </c>
      <c r="BA1060" s="1746" t="s">
        <v>4782</v>
      </c>
      <c r="BB1060" s="1747" t="s">
        <v>4783</v>
      </c>
      <c r="BC1060" s="1746" t="s">
        <v>2578</v>
      </c>
      <c r="BD1060" s="1746" t="s">
        <v>2903</v>
      </c>
      <c r="BE1060" s="1746" t="s">
        <v>4758</v>
      </c>
      <c r="BF1060" s="1746">
        <v>4.5</v>
      </c>
      <c r="BG1060" s="1746" t="s">
        <v>2581</v>
      </c>
      <c r="BH1060" s="1744">
        <f t="shared" si="104"/>
        <v>4.4999999999999997E-3</v>
      </c>
      <c r="BI1060" s="1745" t="str">
        <f t="shared" si="101"/>
        <v/>
      </c>
      <c r="BJ1060" s="1740" t="str">
        <f t="shared" si="102"/>
        <v>BOX-Syringe/Immunization</v>
      </c>
      <c r="BK1060" s="1740" t="str">
        <f t="shared" si="103"/>
        <v>Injection syringe</v>
      </c>
    </row>
    <row r="1061" spans="51:63" ht="15.65" customHeight="1">
      <c r="AY1061" s="1746" t="s">
        <v>2575</v>
      </c>
      <c r="AZ1061" s="1746">
        <v>2008</v>
      </c>
      <c r="BA1061" s="1746" t="s">
        <v>4784</v>
      </c>
      <c r="BB1061" s="1747" t="s">
        <v>4785</v>
      </c>
      <c r="BC1061" s="1746" t="s">
        <v>2578</v>
      </c>
      <c r="BD1061" s="1746" t="s">
        <v>2903</v>
      </c>
      <c r="BE1061" s="1746" t="s">
        <v>4758</v>
      </c>
      <c r="BF1061" s="1746">
        <v>4.5</v>
      </c>
      <c r="BG1061" s="1746" t="s">
        <v>2581</v>
      </c>
      <c r="BH1061" s="1744">
        <f t="shared" si="104"/>
        <v>4.4999999999999997E-3</v>
      </c>
      <c r="BI1061" s="1745" t="str">
        <f t="shared" si="101"/>
        <v/>
      </c>
      <c r="BJ1061" s="1740" t="str">
        <f t="shared" si="102"/>
        <v>BOX-Syringe/Immunization</v>
      </c>
      <c r="BK1061" s="1740" t="str">
        <f t="shared" si="103"/>
        <v>Injection syringe</v>
      </c>
    </row>
    <row r="1062" spans="51:63" ht="15.65" customHeight="1">
      <c r="AY1062" s="1746" t="s">
        <v>2575</v>
      </c>
      <c r="AZ1062" s="1746">
        <v>2008</v>
      </c>
      <c r="BA1062" s="1746" t="s">
        <v>4786</v>
      </c>
      <c r="BB1062" s="1747" t="s">
        <v>4785</v>
      </c>
      <c r="BC1062" s="1746" t="s">
        <v>2578</v>
      </c>
      <c r="BD1062" s="1746" t="s">
        <v>2903</v>
      </c>
      <c r="BE1062" s="1746" t="s">
        <v>4758</v>
      </c>
      <c r="BF1062" s="1746">
        <v>7</v>
      </c>
      <c r="BG1062" s="1746" t="s">
        <v>2581</v>
      </c>
      <c r="BH1062" s="1744">
        <f t="shared" si="104"/>
        <v>7.0000000000000001E-3</v>
      </c>
      <c r="BI1062" s="1745" t="str">
        <f t="shared" si="101"/>
        <v/>
      </c>
      <c r="BJ1062" s="1740" t="str">
        <f t="shared" si="102"/>
        <v>BOX-Syringe/Immunization</v>
      </c>
      <c r="BK1062" s="1740" t="str">
        <f t="shared" si="103"/>
        <v>Injection syringe</v>
      </c>
    </row>
    <row r="1063" spans="51:63" ht="15.65" customHeight="1">
      <c r="AY1063" s="1746" t="s">
        <v>2575</v>
      </c>
      <c r="AZ1063" s="1746">
        <v>2008</v>
      </c>
      <c r="BA1063" s="1746" t="s">
        <v>4787</v>
      </c>
      <c r="BB1063" s="1747" t="s">
        <v>4788</v>
      </c>
      <c r="BC1063" s="1746" t="s">
        <v>2578</v>
      </c>
      <c r="BD1063" s="1746" t="s">
        <v>2579</v>
      </c>
      <c r="BE1063" s="1746" t="s">
        <v>3196</v>
      </c>
      <c r="BF1063" s="1746">
        <v>0.11600000000000001</v>
      </c>
      <c r="BG1063" s="1746" t="s">
        <v>2597</v>
      </c>
      <c r="BH1063" s="1744">
        <f t="shared" si="104"/>
        <v>0.11600000000000001</v>
      </c>
      <c r="BI1063" s="1745" t="str">
        <f t="shared" si="101"/>
        <v/>
      </c>
      <c r="BJ1063" s="1740" t="str">
        <f t="shared" si="102"/>
        <v>EA-Other hosp. equip.</v>
      </c>
      <c r="BK1063" s="1740" t="str">
        <f t="shared" si="103"/>
        <v>Medical equipment</v>
      </c>
    </row>
    <row r="1064" spans="51:63" ht="15.65" customHeight="1">
      <c r="AY1064" s="1746" t="s">
        <v>2575</v>
      </c>
      <c r="AZ1064" s="1746">
        <v>2008</v>
      </c>
      <c r="BA1064" s="1746" t="s">
        <v>4789</v>
      </c>
      <c r="BB1064" s="1747" t="s">
        <v>4790</v>
      </c>
      <c r="BC1064" s="1746" t="s">
        <v>2578</v>
      </c>
      <c r="BD1064" s="1746" t="s">
        <v>2579</v>
      </c>
      <c r="BE1064" s="1746" t="s">
        <v>3196</v>
      </c>
      <c r="BF1064" s="1746">
        <v>0.28999999999999998</v>
      </c>
      <c r="BG1064" s="1746" t="s">
        <v>2597</v>
      </c>
      <c r="BH1064" s="1744">
        <f t="shared" si="104"/>
        <v>0.28999999999999998</v>
      </c>
      <c r="BI1064" s="1745" t="str">
        <f t="shared" si="101"/>
        <v/>
      </c>
      <c r="BJ1064" s="1740" t="str">
        <f t="shared" si="102"/>
        <v>EA-Other hosp. equip.</v>
      </c>
      <c r="BK1064" s="1740" t="str">
        <f t="shared" si="103"/>
        <v>Medical equipment</v>
      </c>
    </row>
    <row r="1065" spans="51:63" ht="15.65" customHeight="1">
      <c r="AY1065" s="1746" t="s">
        <v>2575</v>
      </c>
      <c r="AZ1065" s="1746">
        <v>2008</v>
      </c>
      <c r="BA1065" s="1746" t="s">
        <v>4791</v>
      </c>
      <c r="BB1065" s="1747" t="s">
        <v>4792</v>
      </c>
      <c r="BC1065" s="1746" t="s">
        <v>2578</v>
      </c>
      <c r="BD1065" s="1746" t="s">
        <v>2579</v>
      </c>
      <c r="BE1065" s="1746" t="s">
        <v>3196</v>
      </c>
      <c r="BF1065" s="1746">
        <v>186</v>
      </c>
      <c r="BG1065" s="1746" t="s">
        <v>2581</v>
      </c>
      <c r="BH1065" s="1744">
        <f t="shared" si="104"/>
        <v>0.186</v>
      </c>
      <c r="BI1065" s="1745" t="str">
        <f t="shared" si="101"/>
        <v/>
      </c>
      <c r="BJ1065" s="1740" t="str">
        <f t="shared" si="102"/>
        <v>EA-Other hosp. equip.</v>
      </c>
      <c r="BK1065" s="1740" t="str">
        <f t="shared" si="103"/>
        <v>Medical equipment</v>
      </c>
    </row>
    <row r="1066" spans="51:63" ht="15.65" customHeight="1">
      <c r="AY1066" s="1746" t="s">
        <v>2575</v>
      </c>
      <c r="AZ1066" s="1746">
        <v>2008</v>
      </c>
      <c r="BA1066" s="1746" t="s">
        <v>4793</v>
      </c>
      <c r="BB1066" s="1747" t="s">
        <v>4794</v>
      </c>
      <c r="BC1066" s="1746" t="s">
        <v>2578</v>
      </c>
      <c r="BD1066" s="1746" t="s">
        <v>2579</v>
      </c>
      <c r="BE1066" s="1746" t="s">
        <v>3196</v>
      </c>
      <c r="BF1066" s="1746">
        <v>0.59299999999999997</v>
      </c>
      <c r="BG1066" s="1746" t="s">
        <v>2597</v>
      </c>
      <c r="BH1066" s="1744">
        <f t="shared" si="104"/>
        <v>0.59299999999999997</v>
      </c>
      <c r="BI1066" s="1745" t="str">
        <f t="shared" si="101"/>
        <v/>
      </c>
      <c r="BJ1066" s="1740" t="str">
        <f t="shared" si="102"/>
        <v>EA-Other hosp. equip.</v>
      </c>
      <c r="BK1066" s="1740" t="str">
        <f t="shared" si="103"/>
        <v>Medical equipment</v>
      </c>
    </row>
    <row r="1067" spans="51:63" ht="15.65" customHeight="1">
      <c r="AY1067" s="1746" t="s">
        <v>2575</v>
      </c>
      <c r="AZ1067" s="1746">
        <v>2008</v>
      </c>
      <c r="BA1067" s="1746" t="s">
        <v>4795</v>
      </c>
      <c r="BB1067" s="1747" t="s">
        <v>4796</v>
      </c>
      <c r="BC1067" s="1746" t="s">
        <v>2578</v>
      </c>
      <c r="BD1067" s="1746" t="s">
        <v>2579</v>
      </c>
      <c r="BE1067" s="1746" t="s">
        <v>3196</v>
      </c>
      <c r="BF1067" s="1746">
        <v>0.27</v>
      </c>
      <c r="BG1067" s="1746" t="s">
        <v>2597</v>
      </c>
      <c r="BH1067" s="1744">
        <f t="shared" si="104"/>
        <v>0.27</v>
      </c>
      <c r="BI1067" s="1745" t="str">
        <f t="shared" si="101"/>
        <v/>
      </c>
      <c r="BJ1067" s="1740" t="str">
        <f t="shared" si="102"/>
        <v>EA-Other hosp. equip.</v>
      </c>
      <c r="BK1067" s="1740" t="str">
        <f t="shared" si="103"/>
        <v>Medical equipment</v>
      </c>
    </row>
    <row r="1068" spans="51:63" ht="15.65" customHeight="1">
      <c r="AY1068" s="1746" t="s">
        <v>2575</v>
      </c>
      <c r="AZ1068" s="1746">
        <v>2008</v>
      </c>
      <c r="BA1068" s="1746" t="s">
        <v>4797</v>
      </c>
      <c r="BB1068" s="1747" t="s">
        <v>4798</v>
      </c>
      <c r="BC1068" s="1746" t="s">
        <v>2578</v>
      </c>
      <c r="BD1068" s="1746" t="s">
        <v>2579</v>
      </c>
      <c r="BE1068" s="1746" t="s">
        <v>3196</v>
      </c>
      <c r="BF1068" s="1746">
        <v>0.12</v>
      </c>
      <c r="BG1068" s="1746" t="s">
        <v>2597</v>
      </c>
      <c r="BH1068" s="1744">
        <f t="shared" si="104"/>
        <v>0.12</v>
      </c>
      <c r="BI1068" s="1745" t="str">
        <f t="shared" si="101"/>
        <v/>
      </c>
      <c r="BJ1068" s="1740" t="str">
        <f t="shared" si="102"/>
        <v>EA-Other hosp. equip.</v>
      </c>
      <c r="BK1068" s="1740" t="str">
        <f t="shared" si="103"/>
        <v>Medical equipment</v>
      </c>
    </row>
    <row r="1069" spans="51:63" ht="15.65" customHeight="1">
      <c r="AY1069" s="1746" t="s">
        <v>2575</v>
      </c>
      <c r="AZ1069" s="1746">
        <v>2008</v>
      </c>
      <c r="BA1069" s="1746" t="s">
        <v>4799</v>
      </c>
      <c r="BB1069" s="1747" t="s">
        <v>4800</v>
      </c>
      <c r="BC1069" s="1746" t="s">
        <v>2578</v>
      </c>
      <c r="BD1069" s="1746" t="s">
        <v>2579</v>
      </c>
      <c r="BE1069" s="1746" t="s">
        <v>3196</v>
      </c>
      <c r="BF1069" s="1746">
        <v>0.13500000000000001</v>
      </c>
      <c r="BG1069" s="1746" t="s">
        <v>2597</v>
      </c>
      <c r="BH1069" s="1744">
        <f t="shared" si="104"/>
        <v>0.13500000000000001</v>
      </c>
      <c r="BI1069" s="1745" t="str">
        <f t="shared" si="101"/>
        <v/>
      </c>
      <c r="BJ1069" s="1740" t="str">
        <f t="shared" si="102"/>
        <v>EA-Other hosp. equip.</v>
      </c>
      <c r="BK1069" s="1740" t="str">
        <f t="shared" si="103"/>
        <v>Medical equipment</v>
      </c>
    </row>
    <row r="1070" spans="51:63" ht="15.65" customHeight="1">
      <c r="AY1070" s="1746" t="s">
        <v>2575</v>
      </c>
      <c r="AZ1070" s="1746">
        <v>2008</v>
      </c>
      <c r="BA1070" s="1746" t="s">
        <v>4801</v>
      </c>
      <c r="BB1070" s="1747" t="s">
        <v>4802</v>
      </c>
      <c r="BC1070" s="1746" t="s">
        <v>2578</v>
      </c>
      <c r="BD1070" s="1746" t="s">
        <v>2579</v>
      </c>
      <c r="BE1070" s="1746" t="s">
        <v>3196</v>
      </c>
      <c r="BF1070" s="1746">
        <v>0.37</v>
      </c>
      <c r="BG1070" s="1746" t="s">
        <v>2597</v>
      </c>
      <c r="BH1070" s="1744">
        <f t="shared" si="104"/>
        <v>0.37</v>
      </c>
      <c r="BI1070" s="1745" t="str">
        <f t="shared" si="101"/>
        <v/>
      </c>
      <c r="BJ1070" s="1740" t="str">
        <f t="shared" si="102"/>
        <v>EA-Other hosp. equip.</v>
      </c>
      <c r="BK1070" s="1740" t="str">
        <f t="shared" si="103"/>
        <v>Medical equipment</v>
      </c>
    </row>
    <row r="1071" spans="51:63" ht="15.65" customHeight="1">
      <c r="AY1071" s="1746" t="s">
        <v>2588</v>
      </c>
      <c r="AZ1071" s="1746">
        <v>2006</v>
      </c>
      <c r="BA1071" s="1746" t="s">
        <v>4803</v>
      </c>
      <c r="BB1071" s="1747" t="s">
        <v>4804</v>
      </c>
      <c r="BC1071" s="1746">
        <v>1</v>
      </c>
      <c r="BD1071" s="1746" t="s">
        <v>2724</v>
      </c>
      <c r="BE1071" s="1746"/>
      <c r="BF1071" s="1746">
        <v>450</v>
      </c>
      <c r="BG1071" s="1746" t="s">
        <v>2592</v>
      </c>
      <c r="BH1071" s="1744">
        <f t="shared" si="104"/>
        <v>4.4999999999999999E-4</v>
      </c>
      <c r="BI1071" s="1745">
        <f t="shared" si="101"/>
        <v>4.4999999999999999E-4</v>
      </c>
      <c r="BJ1071" s="1740" t="str">
        <f t="shared" si="102"/>
        <v>pce</v>
      </c>
      <c r="BK1071" s="1740" t="str">
        <f t="shared" si="103"/>
        <v>Roll of tape/gauze</v>
      </c>
    </row>
    <row r="1072" spans="51:63" ht="15.65" customHeight="1">
      <c r="AY1072" s="1746" t="s">
        <v>2588</v>
      </c>
      <c r="AZ1072" s="1746">
        <v>2006</v>
      </c>
      <c r="BA1072" s="1746" t="s">
        <v>4805</v>
      </c>
      <c r="BB1072" s="1747" t="s">
        <v>4806</v>
      </c>
      <c r="BC1072" s="1746">
        <v>500</v>
      </c>
      <c r="BD1072" s="1746" t="s">
        <v>2927</v>
      </c>
      <c r="BE1072" s="1746"/>
      <c r="BF1072" s="1746">
        <v>4096</v>
      </c>
      <c r="BG1072" s="1746" t="s">
        <v>2592</v>
      </c>
      <c r="BH1072" s="1744">
        <f t="shared" si="104"/>
        <v>4.0959999999999998E-3</v>
      </c>
      <c r="BI1072" s="1745">
        <f t="shared" si="101"/>
        <v>8.1919999999999988E-6</v>
      </c>
      <c r="BJ1072" s="1740" t="str">
        <f t="shared" si="102"/>
        <v>pcs</v>
      </c>
      <c r="BK1072" s="1740" t="str">
        <f t="shared" si="103"/>
        <v>Medical equipment</v>
      </c>
    </row>
    <row r="1073" spans="51:63" ht="15.65" customHeight="1">
      <c r="AY1073" s="1746" t="s">
        <v>2588</v>
      </c>
      <c r="AZ1073" s="1746">
        <v>2006</v>
      </c>
      <c r="BA1073" s="1746" t="s">
        <v>4807</v>
      </c>
      <c r="BB1073" s="1747" t="s">
        <v>4808</v>
      </c>
      <c r="BC1073" s="1746">
        <v>500</v>
      </c>
      <c r="BD1073" s="1746" t="s">
        <v>2927</v>
      </c>
      <c r="BE1073" s="1746"/>
      <c r="BF1073" s="1746">
        <v>993.1</v>
      </c>
      <c r="BG1073" s="1746" t="s">
        <v>2592</v>
      </c>
      <c r="BH1073" s="1744">
        <f t="shared" si="104"/>
        <v>9.9310000000000002E-4</v>
      </c>
      <c r="BI1073" s="1745">
        <f t="shared" si="101"/>
        <v>1.9862000000000001E-6</v>
      </c>
      <c r="BJ1073" s="1740" t="str">
        <f t="shared" si="102"/>
        <v>pcs</v>
      </c>
      <c r="BK1073" s="1740" t="str">
        <f t="shared" si="103"/>
        <v>Medical equipment</v>
      </c>
    </row>
    <row r="1074" spans="51:63" ht="15.65" customHeight="1">
      <c r="AY1074" s="1746" t="s">
        <v>2588</v>
      </c>
      <c r="AZ1074" s="1746">
        <v>2006</v>
      </c>
      <c r="BA1074" s="1746" t="s">
        <v>4809</v>
      </c>
      <c r="BB1074" s="1747" t="s">
        <v>4810</v>
      </c>
      <c r="BC1074" s="1746">
        <v>500</v>
      </c>
      <c r="BD1074" s="1746" t="s">
        <v>2927</v>
      </c>
      <c r="BE1074" s="1746"/>
      <c r="BF1074" s="1746">
        <v>956.18</v>
      </c>
      <c r="BG1074" s="1746" t="s">
        <v>2592</v>
      </c>
      <c r="BH1074" s="1744">
        <f t="shared" si="104"/>
        <v>9.5617999999999994E-4</v>
      </c>
      <c r="BI1074" s="1745">
        <f t="shared" si="101"/>
        <v>1.9123599999999998E-6</v>
      </c>
      <c r="BJ1074" s="1740" t="str">
        <f t="shared" si="102"/>
        <v>pcs</v>
      </c>
      <c r="BK1074" s="1740" t="str">
        <f t="shared" si="103"/>
        <v>Medical equipment</v>
      </c>
    </row>
    <row r="1075" spans="51:63" ht="15.65" customHeight="1">
      <c r="AY1075" s="1746" t="s">
        <v>2588</v>
      </c>
      <c r="AZ1075" s="1746">
        <v>2006</v>
      </c>
      <c r="BA1075" s="1746" t="s">
        <v>4811</v>
      </c>
      <c r="BB1075" s="1747" t="s">
        <v>4812</v>
      </c>
      <c r="BC1075" s="1746">
        <v>1</v>
      </c>
      <c r="BD1075" s="1746" t="s">
        <v>2724</v>
      </c>
      <c r="BE1075" s="1746"/>
      <c r="BF1075" s="1746">
        <v>3456</v>
      </c>
      <c r="BG1075" s="1746" t="s">
        <v>2592</v>
      </c>
      <c r="BH1075" s="1744">
        <f t="shared" si="104"/>
        <v>3.4559999999999999E-3</v>
      </c>
      <c r="BI1075" s="1745">
        <f t="shared" si="101"/>
        <v>3.4559999999999999E-3</v>
      </c>
      <c r="BJ1075" s="1740" t="str">
        <f t="shared" si="102"/>
        <v>pce</v>
      </c>
      <c r="BK1075" s="1740" t="str">
        <f t="shared" si="103"/>
        <v>Roll of tape/gauze</v>
      </c>
    </row>
    <row r="1076" spans="51:63" ht="15.65" customHeight="1">
      <c r="AY1076" s="1746" t="s">
        <v>2593</v>
      </c>
      <c r="AZ1076" s="1746">
        <v>2008</v>
      </c>
      <c r="BA1076" s="1746" t="s">
        <v>4813</v>
      </c>
      <c r="BB1076" s="1747" t="s">
        <v>4814</v>
      </c>
      <c r="BC1076" s="1746">
        <v>1</v>
      </c>
      <c r="BD1076" s="1746" t="s">
        <v>4815</v>
      </c>
      <c r="BE1076" s="1746"/>
      <c r="BF1076" s="1746">
        <v>3.9699999999999996E-3</v>
      </c>
      <c r="BG1076" s="1746" t="s">
        <v>2597</v>
      </c>
      <c r="BH1076" s="1744">
        <f t="shared" si="104"/>
        <v>3.9699999999999996E-3</v>
      </c>
      <c r="BI1076" s="1745">
        <f t="shared" si="101"/>
        <v>3.9699999999999996E-3</v>
      </c>
      <c r="BJ1076" s="1740" t="str">
        <f t="shared" si="102"/>
        <v>tin</v>
      </c>
      <c r="BK1076" s="1740" t="str">
        <f t="shared" si="103"/>
        <v>Bottle of liquid</v>
      </c>
    </row>
    <row r="1077" spans="51:63" ht="15.65" customHeight="1">
      <c r="AY1077" s="1746" t="s">
        <v>2593</v>
      </c>
      <c r="AZ1077" s="1746">
        <v>2008</v>
      </c>
      <c r="BA1077" s="1746" t="s">
        <v>4816</v>
      </c>
      <c r="BB1077" s="1747" t="s">
        <v>4817</v>
      </c>
      <c r="BC1077" s="1746">
        <v>1</v>
      </c>
      <c r="BD1077" s="1746" t="s">
        <v>4815</v>
      </c>
      <c r="BE1077" s="1746"/>
      <c r="BF1077" s="1746">
        <v>1.112E-2</v>
      </c>
      <c r="BG1077" s="1746" t="s">
        <v>2597</v>
      </c>
      <c r="BH1077" s="1744">
        <f t="shared" si="104"/>
        <v>1.112E-2</v>
      </c>
      <c r="BI1077" s="1745">
        <f t="shared" si="101"/>
        <v>1.112E-2</v>
      </c>
      <c r="BJ1077" s="1740" t="str">
        <f t="shared" si="102"/>
        <v>tin</v>
      </c>
      <c r="BK1077" s="1740" t="str">
        <f t="shared" si="103"/>
        <v>Bottle of liquid</v>
      </c>
    </row>
    <row r="1078" spans="51:63" ht="15.65" customHeight="1">
      <c r="AY1078" s="1746" t="s">
        <v>2575</v>
      </c>
      <c r="AZ1078" s="1746">
        <v>2008</v>
      </c>
      <c r="BA1078" s="1746" t="s">
        <v>4818</v>
      </c>
      <c r="BB1078" s="1747" t="s">
        <v>4819</v>
      </c>
      <c r="BC1078" s="1746" t="s">
        <v>2578</v>
      </c>
      <c r="BD1078" s="1746" t="s">
        <v>2579</v>
      </c>
      <c r="BE1078" s="1746" t="s">
        <v>3281</v>
      </c>
      <c r="BF1078" s="1746">
        <v>0.17899999999999999</v>
      </c>
      <c r="BG1078" s="1746" t="s">
        <v>2581</v>
      </c>
      <c r="BH1078" s="1744">
        <f t="shared" si="104"/>
        <v>1.7899999999999999E-4</v>
      </c>
      <c r="BI1078" s="1745" t="str">
        <f t="shared" si="101"/>
        <v/>
      </c>
      <c r="BJ1078" s="1740" t="str">
        <f t="shared" si="102"/>
        <v>EA-Misc. dressing</v>
      </c>
      <c r="BK1078" s="1740" t="str">
        <f t="shared" si="103"/>
        <v>Roll of Tape/Gauze</v>
      </c>
    </row>
    <row r="1079" spans="51:63" ht="15.65" customHeight="1">
      <c r="AY1079" s="1746" t="s">
        <v>2593</v>
      </c>
      <c r="AZ1079" s="1746">
        <v>2008</v>
      </c>
      <c r="BA1079" s="1746" t="s">
        <v>4820</v>
      </c>
      <c r="BB1079" s="1747" t="s">
        <v>4821</v>
      </c>
      <c r="BC1079" s="1746">
        <v>1</v>
      </c>
      <c r="BD1079" s="1746" t="s">
        <v>2689</v>
      </c>
      <c r="BE1079" s="1746"/>
      <c r="BF1079" s="1746">
        <v>4.6999999999999999E-4</v>
      </c>
      <c r="BG1079" s="1746" t="s">
        <v>2597</v>
      </c>
      <c r="BH1079" s="1744">
        <f t="shared" si="104"/>
        <v>4.6999999999999999E-4</v>
      </c>
      <c r="BI1079" s="1745">
        <f t="shared" si="101"/>
        <v>4.6999999999999999E-4</v>
      </c>
      <c r="BJ1079" s="1740" t="str">
        <f t="shared" si="102"/>
        <v>roll</v>
      </c>
      <c r="BK1079" s="1740" t="str">
        <f t="shared" si="103"/>
        <v>Roll of tape/gauze</v>
      </c>
    </row>
    <row r="1080" spans="51:63" ht="15.65" customHeight="1">
      <c r="AY1080" s="1746" t="s">
        <v>2593</v>
      </c>
      <c r="AZ1080" s="1746">
        <v>2008</v>
      </c>
      <c r="BA1080" s="1746" t="s">
        <v>4822</v>
      </c>
      <c r="BB1080" s="1747" t="s">
        <v>4823</v>
      </c>
      <c r="BC1080" s="1746">
        <v>1</v>
      </c>
      <c r="BD1080" s="1746" t="s">
        <v>2689</v>
      </c>
      <c r="BE1080" s="1746"/>
      <c r="BF1080" s="1746">
        <v>1.2999999999999999E-4</v>
      </c>
      <c r="BG1080" s="1746" t="s">
        <v>2597</v>
      </c>
      <c r="BH1080" s="1744">
        <f t="shared" si="104"/>
        <v>1.2999999999999999E-4</v>
      </c>
      <c r="BI1080" s="1745">
        <f t="shared" si="101"/>
        <v>1.2999999999999999E-4</v>
      </c>
      <c r="BJ1080" s="1740" t="str">
        <f t="shared" si="102"/>
        <v>roll</v>
      </c>
      <c r="BK1080" s="1740" t="str">
        <f t="shared" si="103"/>
        <v>Roll of tape/gauze</v>
      </c>
    </row>
    <row r="1081" spans="51:63" ht="15.65" customHeight="1">
      <c r="AY1081" s="1746" t="s">
        <v>2593</v>
      </c>
      <c r="AZ1081" s="1746">
        <v>2008</v>
      </c>
      <c r="BA1081" s="1746" t="s">
        <v>4824</v>
      </c>
      <c r="BB1081" s="1747" t="s">
        <v>4825</v>
      </c>
      <c r="BC1081" s="1746">
        <v>1</v>
      </c>
      <c r="BD1081" s="1746" t="s">
        <v>2689</v>
      </c>
      <c r="BE1081" s="1746"/>
      <c r="BF1081" s="1746">
        <v>2.0000000000000001E-4</v>
      </c>
      <c r="BG1081" s="1746" t="s">
        <v>2597</v>
      </c>
      <c r="BH1081" s="1744">
        <f t="shared" si="104"/>
        <v>2.0000000000000001E-4</v>
      </c>
      <c r="BI1081" s="1745">
        <f t="shared" si="101"/>
        <v>2.0000000000000001E-4</v>
      </c>
      <c r="BJ1081" s="1740" t="str">
        <f t="shared" si="102"/>
        <v>roll</v>
      </c>
      <c r="BK1081" s="1740" t="str">
        <f t="shared" si="103"/>
        <v>Roll of tape/gauze</v>
      </c>
    </row>
    <row r="1082" spans="51:63" ht="15.65" customHeight="1">
      <c r="AY1082" s="1746" t="s">
        <v>2593</v>
      </c>
      <c r="AZ1082" s="1746">
        <v>2008</v>
      </c>
      <c r="BA1082" s="1746" t="s">
        <v>4826</v>
      </c>
      <c r="BB1082" s="1747" t="s">
        <v>4827</v>
      </c>
      <c r="BC1082" s="1746">
        <v>1</v>
      </c>
      <c r="BD1082" s="1746" t="s">
        <v>2933</v>
      </c>
      <c r="BE1082" s="1746"/>
      <c r="BF1082" s="1746">
        <v>3.0000000000000001E-5</v>
      </c>
      <c r="BG1082" s="1746" t="s">
        <v>2597</v>
      </c>
      <c r="BH1082" s="1744">
        <f t="shared" si="104"/>
        <v>3.0000000000000001E-5</v>
      </c>
      <c r="BI1082" s="1745">
        <f t="shared" si="101"/>
        <v>3.0000000000000001E-5</v>
      </c>
      <c r="BJ1082" s="1740" t="str">
        <f t="shared" si="102"/>
        <v>piece</v>
      </c>
      <c r="BK1082" s="1740" t="str">
        <f t="shared" si="103"/>
        <v>Medical equipment</v>
      </c>
    </row>
    <row r="1083" spans="51:63" ht="15.65" customHeight="1">
      <c r="AY1083" s="1746" t="s">
        <v>2575</v>
      </c>
      <c r="AZ1083" s="1746">
        <v>2008</v>
      </c>
      <c r="BA1083" s="1746" t="s">
        <v>4828</v>
      </c>
      <c r="BB1083" s="1747" t="s">
        <v>4829</v>
      </c>
      <c r="BC1083" s="1746" t="s">
        <v>2578</v>
      </c>
      <c r="BD1083" s="1746" t="s">
        <v>2579</v>
      </c>
      <c r="BE1083" s="1746" t="s">
        <v>3152</v>
      </c>
      <c r="BF1083" s="1746">
        <v>0.56000000000000005</v>
      </c>
      <c r="BG1083" s="1746" t="s">
        <v>2581</v>
      </c>
      <c r="BH1083" s="1744">
        <f t="shared" si="104"/>
        <v>5.6000000000000006E-4</v>
      </c>
      <c r="BI1083" s="1745" t="str">
        <f t="shared" si="101"/>
        <v/>
      </c>
      <c r="BJ1083" s="1740" t="str">
        <f t="shared" si="102"/>
        <v>EA-Comp/bandage/tape</v>
      </c>
      <c r="BK1083" s="1740" t="str">
        <f t="shared" si="103"/>
        <v>Roll of Tape/Gauze</v>
      </c>
    </row>
    <row r="1084" spans="51:63" ht="15.65" customHeight="1">
      <c r="AY1084" s="1746" t="s">
        <v>2575</v>
      </c>
      <c r="AZ1084" s="1746">
        <v>2008</v>
      </c>
      <c r="BA1084" s="1746" t="s">
        <v>4830</v>
      </c>
      <c r="BB1084" s="1747" t="s">
        <v>4831</v>
      </c>
      <c r="BC1084" s="1746" t="s">
        <v>2578</v>
      </c>
      <c r="BD1084" s="1746" t="s">
        <v>2579</v>
      </c>
      <c r="BE1084" s="1746" t="s">
        <v>3152</v>
      </c>
      <c r="BF1084" s="1746">
        <v>7.0000000000000007E-2</v>
      </c>
      <c r="BG1084" s="1746" t="s">
        <v>2581</v>
      </c>
      <c r="BH1084" s="1744">
        <f t="shared" si="104"/>
        <v>7.0000000000000007E-5</v>
      </c>
      <c r="BI1084" s="1745" t="str">
        <f t="shared" si="101"/>
        <v/>
      </c>
      <c r="BJ1084" s="1740" t="str">
        <f t="shared" si="102"/>
        <v>EA-Comp/bandage/tape</v>
      </c>
      <c r="BK1084" s="1740" t="str">
        <f t="shared" si="103"/>
        <v>Roll of Tape/Gauze</v>
      </c>
    </row>
    <row r="1085" spans="51:63" ht="15.65" customHeight="1">
      <c r="AY1085" s="1746" t="s">
        <v>2575</v>
      </c>
      <c r="AZ1085" s="1746">
        <v>2008</v>
      </c>
      <c r="BA1085" s="1746" t="s">
        <v>4832</v>
      </c>
      <c r="BB1085" s="1747" t="s">
        <v>4833</v>
      </c>
      <c r="BC1085" s="1746" t="s">
        <v>2578</v>
      </c>
      <c r="BD1085" s="1746" t="s">
        <v>2579</v>
      </c>
      <c r="BE1085" s="1746" t="s">
        <v>3651</v>
      </c>
      <c r="BF1085" s="1746">
        <v>4.2000000000000003E-2</v>
      </c>
      <c r="BG1085" s="1746" t="s">
        <v>2581</v>
      </c>
      <c r="BH1085" s="1744">
        <f t="shared" si="104"/>
        <v>4.2000000000000004E-5</v>
      </c>
      <c r="BI1085" s="1745" t="str">
        <f t="shared" si="101"/>
        <v/>
      </c>
      <c r="BJ1085" s="1740" t="str">
        <f t="shared" si="102"/>
        <v>EA-Other diag. equip.</v>
      </c>
      <c r="BK1085" s="1740" t="str">
        <f t="shared" si="103"/>
        <v>Medical equipment</v>
      </c>
    </row>
    <row r="1086" spans="51:63" ht="15.65" customHeight="1">
      <c r="AY1086" s="1746" t="s">
        <v>2575</v>
      </c>
      <c r="AZ1086" s="1746">
        <v>2008</v>
      </c>
      <c r="BA1086" s="1746" t="s">
        <v>4834</v>
      </c>
      <c r="BB1086" s="1747" t="s">
        <v>4835</v>
      </c>
      <c r="BC1086" s="1746" t="s">
        <v>2578</v>
      </c>
      <c r="BD1086" s="1746" t="s">
        <v>2579</v>
      </c>
      <c r="BE1086" s="1746" t="s">
        <v>3179</v>
      </c>
      <c r="BF1086" s="1746">
        <v>0</v>
      </c>
      <c r="BG1086" s="1746"/>
      <c r="BH1086" s="1744" t="str">
        <f t="shared" si="104"/>
        <v/>
      </c>
      <c r="BI1086" s="1745" t="str">
        <f t="shared" si="101"/>
        <v/>
      </c>
      <c r="BJ1086" s="1740" t="str">
        <f t="shared" si="102"/>
        <v>EA-EPI vaccines</v>
      </c>
      <c r="BK1086" s="1740" t="str">
        <f t="shared" si="103"/>
        <v>Vaccine Vial</v>
      </c>
    </row>
    <row r="1087" spans="51:63" ht="15.65" customHeight="1">
      <c r="AY1087" s="1746" t="s">
        <v>2575</v>
      </c>
      <c r="AZ1087" s="1746">
        <v>2008</v>
      </c>
      <c r="BA1087" s="1746" t="s">
        <v>4836</v>
      </c>
      <c r="BB1087" s="1747" t="s">
        <v>4837</v>
      </c>
      <c r="BC1087" s="1746" t="s">
        <v>2578</v>
      </c>
      <c r="BD1087" s="1746" t="s">
        <v>2579</v>
      </c>
      <c r="BE1087" s="1746" t="s">
        <v>3179</v>
      </c>
      <c r="BF1087" s="1746">
        <v>0</v>
      </c>
      <c r="BG1087" s="1746"/>
      <c r="BH1087" s="1744" t="str">
        <f t="shared" si="104"/>
        <v/>
      </c>
      <c r="BI1087" s="1745" t="str">
        <f t="shared" si="101"/>
        <v/>
      </c>
      <c r="BJ1087" s="1740" t="str">
        <f t="shared" si="102"/>
        <v>EA-EPI vaccines</v>
      </c>
      <c r="BK1087" s="1740" t="str">
        <f t="shared" si="103"/>
        <v>Vaccine Vial</v>
      </c>
    </row>
    <row r="1088" spans="51:63" ht="15.65" customHeight="1">
      <c r="AY1088" s="1746" t="s">
        <v>2593</v>
      </c>
      <c r="AZ1088" s="1746">
        <v>2008</v>
      </c>
      <c r="BA1088" s="1746" t="s">
        <v>4838</v>
      </c>
      <c r="BB1088" s="1747" t="s">
        <v>4839</v>
      </c>
      <c r="BC1088" s="1746">
        <v>1</v>
      </c>
      <c r="BD1088" s="1746" t="s">
        <v>3369</v>
      </c>
      <c r="BE1088" s="1746"/>
      <c r="BF1088" s="1746">
        <v>1.44E-2</v>
      </c>
      <c r="BG1088" s="1746" t="s">
        <v>2597</v>
      </c>
      <c r="BH1088" s="1744">
        <f t="shared" si="104"/>
        <v>1.44E-2</v>
      </c>
      <c r="BI1088" s="1745">
        <f t="shared" si="101"/>
        <v>1.44E-2</v>
      </c>
      <c r="BJ1088" s="1740" t="str">
        <f t="shared" si="102"/>
        <v>bags</v>
      </c>
      <c r="BK1088" s="1740" t="str">
        <f t="shared" si="103"/>
        <v>Intravenous Bag</v>
      </c>
    </row>
    <row r="1089" spans="51:63" ht="15.65" customHeight="1">
      <c r="AY1089" s="1746" t="s">
        <v>2575</v>
      </c>
      <c r="AZ1089" s="1746">
        <v>2008</v>
      </c>
      <c r="BA1089" s="1746" t="s">
        <v>4840</v>
      </c>
      <c r="BB1089" s="1747" t="s">
        <v>4841</v>
      </c>
      <c r="BC1089" s="1746" t="s">
        <v>2578</v>
      </c>
      <c r="BD1089" s="1746" t="s">
        <v>2579</v>
      </c>
      <c r="BE1089" s="1746" t="s">
        <v>2580</v>
      </c>
      <c r="BF1089" s="1746">
        <v>0.191</v>
      </c>
      <c r="BG1089" s="1746" t="s">
        <v>2581</v>
      </c>
      <c r="BH1089" s="1744">
        <f t="shared" si="104"/>
        <v>1.9100000000000001E-4</v>
      </c>
      <c r="BI1089" s="1745" t="str">
        <f t="shared" si="101"/>
        <v/>
      </c>
      <c r="BJ1089" s="1740" t="str">
        <f t="shared" si="102"/>
        <v>EA-Antiretrovirals</v>
      </c>
      <c r="BK1089" s="1740" t="str">
        <f t="shared" si="103"/>
        <v>Bottle of Tablets</v>
      </c>
    </row>
    <row r="1090" spans="51:63" ht="15.65" customHeight="1">
      <c r="AY1090" s="1746" t="s">
        <v>2593</v>
      </c>
      <c r="AZ1090" s="1746">
        <v>2008</v>
      </c>
      <c r="BA1090" s="1746" t="s">
        <v>4842</v>
      </c>
      <c r="BB1090" s="1747" t="s">
        <v>4843</v>
      </c>
      <c r="BC1090" s="1746">
        <v>30</v>
      </c>
      <c r="BD1090" s="1746" t="s">
        <v>2601</v>
      </c>
      <c r="BE1090" s="1746"/>
      <c r="BF1090" s="1746">
        <v>3.6000000000000002E-4</v>
      </c>
      <c r="BG1090" s="1746" t="s">
        <v>2597</v>
      </c>
      <c r="BH1090" s="1744">
        <f t="shared" si="104"/>
        <v>3.6000000000000002E-4</v>
      </c>
      <c r="BI1090" s="1745">
        <f t="shared" si="101"/>
        <v>1.2E-5</v>
      </c>
      <c r="BJ1090" s="1740" t="str">
        <f t="shared" si="102"/>
        <v>tablets</v>
      </c>
      <c r="BK1090" s="1740" t="str">
        <f t="shared" si="103"/>
        <v>Bottle of Tablets</v>
      </c>
    </row>
    <row r="1091" spans="51:63" ht="15.65" customHeight="1">
      <c r="AY1091" s="1746" t="s">
        <v>2593</v>
      </c>
      <c r="AZ1091" s="1746">
        <v>2008</v>
      </c>
      <c r="BA1091" s="1746" t="s">
        <v>4844</v>
      </c>
      <c r="BB1091" s="1747" t="s">
        <v>4845</v>
      </c>
      <c r="BC1091" s="1746">
        <v>30</v>
      </c>
      <c r="BD1091" s="1746" t="s">
        <v>2601</v>
      </c>
      <c r="BE1091" s="1746"/>
      <c r="BF1091" s="1746">
        <v>2.5000000000000001E-4</v>
      </c>
      <c r="BG1091" s="1746" t="s">
        <v>2597</v>
      </c>
      <c r="BH1091" s="1744">
        <f t="shared" si="104"/>
        <v>2.5000000000000001E-4</v>
      </c>
      <c r="BI1091" s="1745">
        <f t="shared" si="101"/>
        <v>8.3333333333333337E-6</v>
      </c>
      <c r="BJ1091" s="1740" t="str">
        <f t="shared" si="102"/>
        <v>tablets</v>
      </c>
      <c r="BK1091" s="1740" t="str">
        <f t="shared" si="103"/>
        <v>Bottle of Tablets</v>
      </c>
    </row>
    <row r="1092" spans="51:63" ht="15.65" customHeight="1">
      <c r="AY1092" s="1746" t="s">
        <v>2593</v>
      </c>
      <c r="AZ1092" s="1746">
        <v>2008</v>
      </c>
      <c r="BA1092" s="1746" t="s">
        <v>4846</v>
      </c>
      <c r="BB1092" s="1747" t="s">
        <v>4847</v>
      </c>
      <c r="BC1092" s="1746">
        <v>30</v>
      </c>
      <c r="BD1092" s="1746" t="s">
        <v>3958</v>
      </c>
      <c r="BE1092" s="1746"/>
      <c r="BF1092" s="1746">
        <v>3.6000000000000002E-4</v>
      </c>
      <c r="BG1092" s="1746" t="s">
        <v>2597</v>
      </c>
      <c r="BH1092" s="1744">
        <f t="shared" si="104"/>
        <v>3.6000000000000002E-4</v>
      </c>
      <c r="BI1092" s="1745">
        <f t="shared" si="101"/>
        <v>1.2E-5</v>
      </c>
      <c r="BJ1092" s="1740" t="str">
        <f t="shared" si="102"/>
        <v>tablet</v>
      </c>
      <c r="BK1092" s="1740" t="str">
        <f t="shared" si="103"/>
        <v>Bottle of Tablets</v>
      </c>
    </row>
    <row r="1093" spans="51:63" ht="15.65" customHeight="1">
      <c r="AY1093" s="1746" t="s">
        <v>2593</v>
      </c>
      <c r="AZ1093" s="1746">
        <v>2008</v>
      </c>
      <c r="BA1093" s="1746" t="s">
        <v>4848</v>
      </c>
      <c r="BB1093" s="1747" t="s">
        <v>4849</v>
      </c>
      <c r="BC1093" s="1746">
        <v>1</v>
      </c>
      <c r="BD1093" s="1746" t="s">
        <v>4850</v>
      </c>
      <c r="BE1093" s="1746"/>
      <c r="BF1093" s="1746">
        <v>8.3000000000000001E-4</v>
      </c>
      <c r="BG1093" s="1746" t="s">
        <v>2597</v>
      </c>
      <c r="BH1093" s="1744">
        <f t="shared" si="104"/>
        <v>8.3000000000000001E-4</v>
      </c>
      <c r="BI1093" s="1745">
        <f t="shared" si="101"/>
        <v>8.3000000000000001E-4</v>
      </c>
      <c r="BJ1093" s="1740" t="str">
        <f t="shared" si="102"/>
        <v>strips</v>
      </c>
      <c r="BK1093" s="1740" t="str">
        <f t="shared" si="103"/>
        <v>Rapid Test</v>
      </c>
    </row>
    <row r="1094" spans="51:63" ht="15.65" customHeight="1">
      <c r="AY1094" s="1746" t="s">
        <v>2593</v>
      </c>
      <c r="AZ1094" s="1746">
        <v>2008</v>
      </c>
      <c r="BA1094" s="1746" t="s">
        <v>4851</v>
      </c>
      <c r="BB1094" s="1747" t="s">
        <v>4852</v>
      </c>
      <c r="BC1094" s="1746">
        <v>1</v>
      </c>
      <c r="BD1094" s="1746" t="s">
        <v>4850</v>
      </c>
      <c r="BE1094" s="1746"/>
      <c r="BF1094" s="1746">
        <v>8.5999999999999998E-4</v>
      </c>
      <c r="BG1094" s="1746" t="s">
        <v>2597</v>
      </c>
      <c r="BH1094" s="1744">
        <f t="shared" si="104"/>
        <v>8.5999999999999998E-4</v>
      </c>
      <c r="BI1094" s="1745">
        <f t="shared" si="101"/>
        <v>8.5999999999999998E-4</v>
      </c>
      <c r="BJ1094" s="1740" t="str">
        <f t="shared" si="102"/>
        <v>strips</v>
      </c>
      <c r="BK1094" s="1740" t="str">
        <f t="shared" si="103"/>
        <v>Rapid Test</v>
      </c>
    </row>
    <row r="1095" spans="51:63" ht="15.65" customHeight="1">
      <c r="AY1095" s="1746" t="s">
        <v>2593</v>
      </c>
      <c r="AZ1095" s="1746">
        <v>2008</v>
      </c>
      <c r="BA1095" s="1746" t="s">
        <v>4853</v>
      </c>
      <c r="BB1095" s="1747" t="s">
        <v>4854</v>
      </c>
      <c r="BC1095" s="1746">
        <v>1</v>
      </c>
      <c r="BD1095" s="1746" t="s">
        <v>4850</v>
      </c>
      <c r="BE1095" s="1746"/>
      <c r="BF1095" s="1746">
        <v>7.6999999999999996E-4</v>
      </c>
      <c r="BG1095" s="1746" t="s">
        <v>2597</v>
      </c>
      <c r="BH1095" s="1744">
        <f t="shared" si="104"/>
        <v>7.6999999999999996E-4</v>
      </c>
      <c r="BI1095" s="1745">
        <f t="shared" si="101"/>
        <v>7.6999999999999996E-4</v>
      </c>
      <c r="BJ1095" s="1740" t="str">
        <f t="shared" si="102"/>
        <v>strips</v>
      </c>
      <c r="BK1095" s="1740" t="str">
        <f t="shared" si="103"/>
        <v>Rapid Test</v>
      </c>
    </row>
    <row r="1096" spans="51:63" ht="15.65" customHeight="1">
      <c r="AY1096" s="1746" t="s">
        <v>2593</v>
      </c>
      <c r="AZ1096" s="1746">
        <v>2008</v>
      </c>
      <c r="BA1096" s="1746" t="s">
        <v>4855</v>
      </c>
      <c r="BB1096" s="1747" t="s">
        <v>4856</v>
      </c>
      <c r="BC1096" s="1746">
        <v>1</v>
      </c>
      <c r="BD1096" s="1746" t="s">
        <v>4850</v>
      </c>
      <c r="BE1096" s="1746"/>
      <c r="BF1096" s="1746">
        <v>1.89E-3</v>
      </c>
      <c r="BG1096" s="1746" t="s">
        <v>2597</v>
      </c>
      <c r="BH1096" s="1744">
        <f t="shared" si="104"/>
        <v>1.89E-3</v>
      </c>
      <c r="BI1096" s="1745">
        <f t="shared" si="101"/>
        <v>1.89E-3</v>
      </c>
      <c r="BJ1096" s="1740" t="str">
        <f t="shared" si="102"/>
        <v>strips</v>
      </c>
      <c r="BK1096" s="1740" t="str">
        <f t="shared" si="103"/>
        <v>Rapid Test</v>
      </c>
    </row>
    <row r="1097" spans="51:63" ht="15.65" customHeight="1">
      <c r="AY1097" s="1746" t="s">
        <v>2593</v>
      </c>
      <c r="AZ1097" s="1746">
        <v>2008</v>
      </c>
      <c r="BA1097" s="1746" t="s">
        <v>4857</v>
      </c>
      <c r="BB1097" s="1747" t="s">
        <v>4858</v>
      </c>
      <c r="BC1097" s="1746">
        <v>1</v>
      </c>
      <c r="BD1097" s="1746" t="s">
        <v>4850</v>
      </c>
      <c r="BE1097" s="1746"/>
      <c r="BF1097" s="1746">
        <v>3.6700000000000001E-3</v>
      </c>
      <c r="BG1097" s="1746" t="s">
        <v>2597</v>
      </c>
      <c r="BH1097" s="1744">
        <f t="shared" si="104"/>
        <v>3.6700000000000001E-3</v>
      </c>
      <c r="BI1097" s="1745">
        <f t="shared" si="101"/>
        <v>3.6700000000000001E-3</v>
      </c>
      <c r="BJ1097" s="1740" t="str">
        <f t="shared" si="102"/>
        <v>strips</v>
      </c>
      <c r="BK1097" s="1740" t="str">
        <f t="shared" si="103"/>
        <v>Rapid Test</v>
      </c>
    </row>
    <row r="1098" spans="51:63" ht="15.65" customHeight="1">
      <c r="AY1098" s="1746" t="s">
        <v>2593</v>
      </c>
      <c r="AZ1098" s="1746">
        <v>2008</v>
      </c>
      <c r="BA1098" s="1746" t="s">
        <v>4859</v>
      </c>
      <c r="BB1098" s="1747" t="s">
        <v>4860</v>
      </c>
      <c r="BC1098" s="1746">
        <v>1</v>
      </c>
      <c r="BD1098" s="1746" t="s">
        <v>4850</v>
      </c>
      <c r="BE1098" s="1746"/>
      <c r="BF1098" s="1746">
        <v>6.0699999999999999E-3</v>
      </c>
      <c r="BG1098" s="1746" t="s">
        <v>2597</v>
      </c>
      <c r="BH1098" s="1744">
        <f t="shared" si="104"/>
        <v>6.0699999999999999E-3</v>
      </c>
      <c r="BI1098" s="1745">
        <f t="shared" si="101"/>
        <v>6.0699999999999999E-3</v>
      </c>
      <c r="BJ1098" s="1740" t="str">
        <f t="shared" si="102"/>
        <v>strips</v>
      </c>
      <c r="BK1098" s="1740" t="str">
        <f t="shared" si="103"/>
        <v>Rapid Test</v>
      </c>
    </row>
    <row r="1099" spans="51:63" ht="15.65" customHeight="1">
      <c r="AY1099" s="1746" t="s">
        <v>2593</v>
      </c>
      <c r="AZ1099" s="1746">
        <v>2008</v>
      </c>
      <c r="BA1099" s="1746" t="s">
        <v>4861</v>
      </c>
      <c r="BB1099" s="1747" t="s">
        <v>4862</v>
      </c>
      <c r="BC1099" s="1746">
        <v>1</v>
      </c>
      <c r="BD1099" s="1746" t="s">
        <v>4850</v>
      </c>
      <c r="BE1099" s="1746"/>
      <c r="BF1099" s="1746">
        <v>8.8999999999999995E-4</v>
      </c>
      <c r="BG1099" s="1746" t="s">
        <v>2597</v>
      </c>
      <c r="BH1099" s="1744">
        <f t="shared" si="104"/>
        <v>8.8999999999999995E-4</v>
      </c>
      <c r="BI1099" s="1745">
        <f t="shared" si="101"/>
        <v>8.8999999999999995E-4</v>
      </c>
      <c r="BJ1099" s="1740" t="str">
        <f t="shared" si="102"/>
        <v>strips</v>
      </c>
      <c r="BK1099" s="1740" t="str">
        <f t="shared" si="103"/>
        <v>Rapid Test</v>
      </c>
    </row>
    <row r="1100" spans="51:63" ht="15.65" customHeight="1">
      <c r="AY1100" s="1746" t="s">
        <v>2593</v>
      </c>
      <c r="AZ1100" s="1746">
        <v>2008</v>
      </c>
      <c r="BA1100" s="1746" t="s">
        <v>4863</v>
      </c>
      <c r="BB1100" s="1747" t="s">
        <v>4864</v>
      </c>
      <c r="BC1100" s="1746">
        <v>1</v>
      </c>
      <c r="BD1100" s="1746" t="s">
        <v>4850</v>
      </c>
      <c r="BE1100" s="1746"/>
      <c r="BF1100" s="1746">
        <v>7.9699999999999997E-3</v>
      </c>
      <c r="BG1100" s="1746" t="s">
        <v>2597</v>
      </c>
      <c r="BH1100" s="1744">
        <f t="shared" si="104"/>
        <v>7.9699999999999997E-3</v>
      </c>
      <c r="BI1100" s="1745">
        <f t="shared" si="101"/>
        <v>7.9699999999999997E-3</v>
      </c>
      <c r="BJ1100" s="1740" t="str">
        <f t="shared" si="102"/>
        <v>strips</v>
      </c>
      <c r="BK1100" s="1740" t="str">
        <f t="shared" si="103"/>
        <v>Rapid Test</v>
      </c>
    </row>
    <row r="1101" spans="51:63" ht="15.65" customHeight="1">
      <c r="AY1101" s="1746" t="s">
        <v>2593</v>
      </c>
      <c r="AZ1101" s="1746">
        <v>2008</v>
      </c>
      <c r="BA1101" s="1746" t="s">
        <v>4865</v>
      </c>
      <c r="BB1101" s="1747" t="s">
        <v>4866</v>
      </c>
      <c r="BC1101" s="1746">
        <v>1</v>
      </c>
      <c r="BD1101" s="1746" t="s">
        <v>4850</v>
      </c>
      <c r="BE1101" s="1746"/>
      <c r="BF1101" s="1746">
        <v>6.4999999999999997E-3</v>
      </c>
      <c r="BG1101" s="1746" t="s">
        <v>2597</v>
      </c>
      <c r="BH1101" s="1744">
        <f t="shared" si="104"/>
        <v>6.4999999999999997E-3</v>
      </c>
      <c r="BI1101" s="1745">
        <f t="shared" si="101"/>
        <v>6.4999999999999997E-3</v>
      </c>
      <c r="BJ1101" s="1740" t="str">
        <f t="shared" si="102"/>
        <v>strips</v>
      </c>
      <c r="BK1101" s="1740" t="str">
        <f t="shared" si="103"/>
        <v>Rapid Test</v>
      </c>
    </row>
    <row r="1102" spans="51:63" ht="15.65" customHeight="1">
      <c r="AY1102" s="1746" t="s">
        <v>2593</v>
      </c>
      <c r="AZ1102" s="1746">
        <v>2008</v>
      </c>
      <c r="BA1102" s="1746" t="s">
        <v>4867</v>
      </c>
      <c r="BB1102" s="1747" t="s">
        <v>4868</v>
      </c>
      <c r="BC1102" s="1746">
        <v>1</v>
      </c>
      <c r="BD1102" s="1746" t="s">
        <v>4850</v>
      </c>
      <c r="BE1102" s="1746"/>
      <c r="BF1102" s="1746">
        <v>7.3499999999999998E-3</v>
      </c>
      <c r="BG1102" s="1746" t="s">
        <v>2597</v>
      </c>
      <c r="BH1102" s="1744">
        <f t="shared" si="104"/>
        <v>7.3499999999999998E-3</v>
      </c>
      <c r="BI1102" s="1745">
        <f t="shared" si="101"/>
        <v>7.3499999999999998E-3</v>
      </c>
      <c r="BJ1102" s="1740" t="str">
        <f t="shared" si="102"/>
        <v>strips</v>
      </c>
      <c r="BK1102" s="1740" t="str">
        <f t="shared" si="103"/>
        <v>Rapid Test</v>
      </c>
    </row>
    <row r="1103" spans="51:63" ht="15.65" customHeight="1">
      <c r="AY1103" s="1746" t="s">
        <v>2593</v>
      </c>
      <c r="AZ1103" s="1746">
        <v>2008</v>
      </c>
      <c r="BA1103" s="1746" t="s">
        <v>4869</v>
      </c>
      <c r="BB1103" s="1747" t="s">
        <v>4870</v>
      </c>
      <c r="BC1103" s="1746">
        <v>1</v>
      </c>
      <c r="BD1103" s="1746" t="s">
        <v>4850</v>
      </c>
      <c r="BE1103" s="1746"/>
      <c r="BF1103" s="1746">
        <v>4.4600000000000004E-3</v>
      </c>
      <c r="BG1103" s="1746" t="s">
        <v>2597</v>
      </c>
      <c r="BH1103" s="1744">
        <f t="shared" si="104"/>
        <v>4.4600000000000004E-3</v>
      </c>
      <c r="BI1103" s="1745">
        <f t="shared" si="101"/>
        <v>4.4600000000000004E-3</v>
      </c>
      <c r="BJ1103" s="1740" t="str">
        <f t="shared" si="102"/>
        <v>strips</v>
      </c>
      <c r="BK1103" s="1740" t="str">
        <f t="shared" si="103"/>
        <v>Rapid Test</v>
      </c>
    </row>
    <row r="1104" spans="51:63" ht="15.65" customHeight="1">
      <c r="AY1104" s="1746" t="s">
        <v>2593</v>
      </c>
      <c r="AZ1104" s="1746">
        <v>2008</v>
      </c>
      <c r="BA1104" s="1746" t="s">
        <v>4871</v>
      </c>
      <c r="BB1104" s="1747" t="s">
        <v>4872</v>
      </c>
      <c r="BC1104" s="1746">
        <v>1</v>
      </c>
      <c r="BD1104" s="1746" t="s">
        <v>4850</v>
      </c>
      <c r="BE1104" s="1746"/>
      <c r="BF1104" s="1746">
        <v>1.4599999999999999E-3</v>
      </c>
      <c r="BG1104" s="1746" t="s">
        <v>2597</v>
      </c>
      <c r="BH1104" s="1744">
        <f t="shared" si="104"/>
        <v>1.4599999999999999E-3</v>
      </c>
      <c r="BI1104" s="1745">
        <f t="shared" si="101"/>
        <v>1.4599999999999999E-3</v>
      </c>
      <c r="BJ1104" s="1740" t="str">
        <f t="shared" si="102"/>
        <v>strips</v>
      </c>
      <c r="BK1104" s="1740" t="str">
        <f t="shared" si="103"/>
        <v>Rapid Test</v>
      </c>
    </row>
    <row r="1105" spans="51:63" ht="15.65" customHeight="1">
      <c r="AY1105" s="1746" t="s">
        <v>2593</v>
      </c>
      <c r="AZ1105" s="1746">
        <v>2008</v>
      </c>
      <c r="BA1105" s="1746" t="s">
        <v>4873</v>
      </c>
      <c r="BB1105" s="1747" t="s">
        <v>4874</v>
      </c>
      <c r="BC1105" s="1746">
        <v>1</v>
      </c>
      <c r="BD1105" s="1746" t="s">
        <v>4850</v>
      </c>
      <c r="BE1105" s="1746"/>
      <c r="BF1105" s="1746">
        <v>3.0460000000000001E-2</v>
      </c>
      <c r="BG1105" s="1746" t="s">
        <v>2597</v>
      </c>
      <c r="BH1105" s="1744">
        <f t="shared" si="104"/>
        <v>3.0460000000000001E-2</v>
      </c>
      <c r="BI1105" s="1745">
        <f t="shared" si="101"/>
        <v>3.0460000000000001E-2</v>
      </c>
      <c r="BJ1105" s="1740" t="str">
        <f t="shared" si="102"/>
        <v>strips</v>
      </c>
      <c r="BK1105" s="1740" t="str">
        <f t="shared" si="103"/>
        <v>Rapid Test</v>
      </c>
    </row>
    <row r="1106" spans="51:63" ht="15.65" customHeight="1">
      <c r="AY1106" s="1746" t="s">
        <v>2593</v>
      </c>
      <c r="AZ1106" s="1746">
        <v>2008</v>
      </c>
      <c r="BA1106" s="1746" t="s">
        <v>4875</v>
      </c>
      <c r="BB1106" s="1747" t="s">
        <v>4876</v>
      </c>
      <c r="BC1106" s="1746">
        <v>1</v>
      </c>
      <c r="BD1106" s="1746" t="s">
        <v>4850</v>
      </c>
      <c r="BE1106" s="1746"/>
      <c r="BF1106" s="1746">
        <v>1.89E-3</v>
      </c>
      <c r="BG1106" s="1746" t="s">
        <v>2597</v>
      </c>
      <c r="BH1106" s="1744">
        <f t="shared" si="104"/>
        <v>1.89E-3</v>
      </c>
      <c r="BI1106" s="1745">
        <f t="shared" si="101"/>
        <v>1.89E-3</v>
      </c>
      <c r="BJ1106" s="1740" t="str">
        <f t="shared" si="102"/>
        <v>strips</v>
      </c>
      <c r="BK1106" s="1740" t="str">
        <f t="shared" si="103"/>
        <v>Rapid Test</v>
      </c>
    </row>
    <row r="1107" spans="51:63" ht="15.65" customHeight="1">
      <c r="AY1107" s="1746" t="s">
        <v>2593</v>
      </c>
      <c r="AZ1107" s="1746">
        <v>2008</v>
      </c>
      <c r="BA1107" s="1746" t="s">
        <v>4877</v>
      </c>
      <c r="BB1107" s="1747" t="s">
        <v>4878</v>
      </c>
      <c r="BC1107" s="1746">
        <v>1</v>
      </c>
      <c r="BD1107" s="1746" t="s">
        <v>4850</v>
      </c>
      <c r="BE1107" s="1746"/>
      <c r="BF1107" s="1746">
        <v>0</v>
      </c>
      <c r="BG1107" s="1746" t="s">
        <v>2597</v>
      </c>
      <c r="BH1107" s="1744">
        <f t="shared" si="104"/>
        <v>0</v>
      </c>
      <c r="BI1107" s="1745">
        <f t="shared" ref="BI1107:BI1170" si="105">IFERROR(BH1107/BC1107,"")</f>
        <v>0</v>
      </c>
      <c r="BJ1107" s="1740" t="str">
        <f t="shared" ref="BJ1107:BJ1170" si="106">IF(BE1107="",BD1107,BD1107&amp;"-"&amp;BE1107)</f>
        <v>strips</v>
      </c>
      <c r="BK1107" s="1740" t="str">
        <f t="shared" si="103"/>
        <v>Rapid Test</v>
      </c>
    </row>
    <row r="1108" spans="51:63" ht="15.65" customHeight="1">
      <c r="AY1108" s="1746" t="s">
        <v>2593</v>
      </c>
      <c r="AZ1108" s="1746">
        <v>2008</v>
      </c>
      <c r="BA1108" s="1746" t="s">
        <v>4879</v>
      </c>
      <c r="BB1108" s="1747" t="s">
        <v>4880</v>
      </c>
      <c r="BC1108" s="1746">
        <v>1</v>
      </c>
      <c r="BD1108" s="1746" t="s">
        <v>4850</v>
      </c>
      <c r="BE1108" s="1746"/>
      <c r="BF1108" s="1746">
        <v>5.6899999999999997E-3</v>
      </c>
      <c r="BG1108" s="1746" t="s">
        <v>2597</v>
      </c>
      <c r="BH1108" s="1744">
        <f t="shared" si="104"/>
        <v>5.6899999999999997E-3</v>
      </c>
      <c r="BI1108" s="1745">
        <f t="shared" si="105"/>
        <v>5.6899999999999997E-3</v>
      </c>
      <c r="BJ1108" s="1740" t="str">
        <f t="shared" si="106"/>
        <v>strips</v>
      </c>
      <c r="BK1108" s="1740" t="str">
        <f t="shared" ref="BK1108:BK1171" si="107">IFERROR(INDEX($BO$18:$BO$136,MATCH(BJ1108,$BN$18:$BN$136,0)),"")</f>
        <v>Rapid Test</v>
      </c>
    </row>
    <row r="1109" spans="51:63" ht="15.65" customHeight="1">
      <c r="AY1109" s="1746" t="s">
        <v>2593</v>
      </c>
      <c r="AZ1109" s="1746">
        <v>2008</v>
      </c>
      <c r="BA1109" s="1746" t="s">
        <v>4881</v>
      </c>
      <c r="BB1109" s="1747" t="s">
        <v>4882</v>
      </c>
      <c r="BC1109" s="1746">
        <v>1</v>
      </c>
      <c r="BD1109" s="1746" t="s">
        <v>4850</v>
      </c>
      <c r="BE1109" s="1746"/>
      <c r="BF1109" s="1746">
        <v>0</v>
      </c>
      <c r="BG1109" s="1746" t="s">
        <v>2597</v>
      </c>
      <c r="BH1109" s="1744">
        <f t="shared" si="104"/>
        <v>0</v>
      </c>
      <c r="BI1109" s="1745">
        <f t="shared" si="105"/>
        <v>0</v>
      </c>
      <c r="BJ1109" s="1740" t="str">
        <f t="shared" si="106"/>
        <v>strips</v>
      </c>
      <c r="BK1109" s="1740" t="str">
        <f t="shared" si="107"/>
        <v>Rapid Test</v>
      </c>
    </row>
    <row r="1110" spans="51:63" ht="15.65" customHeight="1">
      <c r="AY1110" s="1746" t="s">
        <v>2593</v>
      </c>
      <c r="AZ1110" s="1746">
        <v>2008</v>
      </c>
      <c r="BA1110" s="1746" t="s">
        <v>4883</v>
      </c>
      <c r="BB1110" s="1747" t="s">
        <v>4884</v>
      </c>
      <c r="BC1110" s="1746">
        <v>1</v>
      </c>
      <c r="BD1110" s="1746" t="s">
        <v>4850</v>
      </c>
      <c r="BE1110" s="1746"/>
      <c r="BF1110" s="1746">
        <v>2.1700000000000001E-3</v>
      </c>
      <c r="BG1110" s="1746" t="s">
        <v>2597</v>
      </c>
      <c r="BH1110" s="1744">
        <f t="shared" si="104"/>
        <v>2.1700000000000001E-3</v>
      </c>
      <c r="BI1110" s="1745">
        <f t="shared" si="105"/>
        <v>2.1700000000000001E-3</v>
      </c>
      <c r="BJ1110" s="1740" t="str">
        <f t="shared" si="106"/>
        <v>strips</v>
      </c>
      <c r="BK1110" s="1740" t="str">
        <f t="shared" si="107"/>
        <v>Rapid Test</v>
      </c>
    </row>
    <row r="1111" spans="51:63" ht="15.65" customHeight="1">
      <c r="AY1111" s="1746" t="s">
        <v>2593</v>
      </c>
      <c r="AZ1111" s="1746">
        <v>2008</v>
      </c>
      <c r="BA1111" s="1746" t="s">
        <v>4885</v>
      </c>
      <c r="BB1111" s="1747" t="s">
        <v>4886</v>
      </c>
      <c r="BC1111" s="1746">
        <v>1</v>
      </c>
      <c r="BD1111" s="1746" t="s">
        <v>4850</v>
      </c>
      <c r="BE1111" s="1746"/>
      <c r="BF1111" s="1746">
        <v>1.0300000000000001E-3</v>
      </c>
      <c r="BG1111" s="1746" t="s">
        <v>2597</v>
      </c>
      <c r="BH1111" s="1744">
        <f t="shared" si="104"/>
        <v>1.0300000000000001E-3</v>
      </c>
      <c r="BI1111" s="1745">
        <f t="shared" si="105"/>
        <v>1.0300000000000001E-3</v>
      </c>
      <c r="BJ1111" s="1740" t="str">
        <f t="shared" si="106"/>
        <v>strips</v>
      </c>
      <c r="BK1111" s="1740" t="str">
        <f t="shared" si="107"/>
        <v>Rapid Test</v>
      </c>
    </row>
    <row r="1112" spans="51:63" ht="15.65" customHeight="1">
      <c r="AY1112" s="1746" t="s">
        <v>2593</v>
      </c>
      <c r="AZ1112" s="1746">
        <v>2008</v>
      </c>
      <c r="BA1112" s="1746" t="s">
        <v>4887</v>
      </c>
      <c r="BB1112" s="1747" t="s">
        <v>4888</v>
      </c>
      <c r="BC1112" s="1746">
        <v>1</v>
      </c>
      <c r="BD1112" s="1746" t="s">
        <v>4850</v>
      </c>
      <c r="BE1112" s="1746"/>
      <c r="BF1112" s="1746">
        <v>4.2000000000000002E-4</v>
      </c>
      <c r="BG1112" s="1746" t="s">
        <v>2597</v>
      </c>
      <c r="BH1112" s="1744">
        <f t="shared" si="104"/>
        <v>4.2000000000000002E-4</v>
      </c>
      <c r="BI1112" s="1745">
        <f t="shared" si="105"/>
        <v>4.2000000000000002E-4</v>
      </c>
      <c r="BJ1112" s="1740" t="str">
        <f t="shared" si="106"/>
        <v>strips</v>
      </c>
      <c r="BK1112" s="1740" t="str">
        <f t="shared" si="107"/>
        <v>Rapid Test</v>
      </c>
    </row>
    <row r="1113" spans="51:63" ht="15.65" customHeight="1">
      <c r="AY1113" s="1746" t="s">
        <v>2593</v>
      </c>
      <c r="AZ1113" s="1746">
        <v>2008</v>
      </c>
      <c r="BA1113" s="1746" t="s">
        <v>4889</v>
      </c>
      <c r="BB1113" s="1747" t="s">
        <v>4890</v>
      </c>
      <c r="BC1113" s="1746">
        <v>1</v>
      </c>
      <c r="BD1113" s="1746" t="s">
        <v>4850</v>
      </c>
      <c r="BE1113" s="1746"/>
      <c r="BF1113" s="1746">
        <v>2.9399999999999999E-3</v>
      </c>
      <c r="BG1113" s="1746" t="s">
        <v>2597</v>
      </c>
      <c r="BH1113" s="1744">
        <f t="shared" ref="BH1113:BH1176" si="108">IF(BG1113="CCM",BF1113/1000000,IF(BG1113="CDM",BF1113/1000, IF(BG1113="M3",BF1113,"")))</f>
        <v>2.9399999999999999E-3</v>
      </c>
      <c r="BI1113" s="1745">
        <f t="shared" si="105"/>
        <v>2.9399999999999999E-3</v>
      </c>
      <c r="BJ1113" s="1740" t="str">
        <f t="shared" si="106"/>
        <v>strips</v>
      </c>
      <c r="BK1113" s="1740" t="str">
        <f t="shared" si="107"/>
        <v>Rapid Test</v>
      </c>
    </row>
    <row r="1114" spans="51:63" ht="15.65" customHeight="1">
      <c r="AY1114" s="1746" t="s">
        <v>2593</v>
      </c>
      <c r="AZ1114" s="1746">
        <v>2008</v>
      </c>
      <c r="BA1114" s="1746" t="s">
        <v>4891</v>
      </c>
      <c r="BB1114" s="1747" t="s">
        <v>4892</v>
      </c>
      <c r="BC1114" s="1746">
        <v>1</v>
      </c>
      <c r="BD1114" s="1746" t="s">
        <v>4850</v>
      </c>
      <c r="BE1114" s="1746"/>
      <c r="BF1114" s="1746">
        <v>2.5300000000000001E-3</v>
      </c>
      <c r="BG1114" s="1746" t="s">
        <v>2597</v>
      </c>
      <c r="BH1114" s="1744">
        <f t="shared" si="108"/>
        <v>2.5300000000000001E-3</v>
      </c>
      <c r="BI1114" s="1745">
        <f t="shared" si="105"/>
        <v>2.5300000000000001E-3</v>
      </c>
      <c r="BJ1114" s="1740" t="str">
        <f t="shared" si="106"/>
        <v>strips</v>
      </c>
      <c r="BK1114" s="1740" t="str">
        <f t="shared" si="107"/>
        <v>Rapid Test</v>
      </c>
    </row>
    <row r="1115" spans="51:63" ht="15.65" customHeight="1">
      <c r="AY1115" s="1746" t="s">
        <v>2593</v>
      </c>
      <c r="AZ1115" s="1746">
        <v>2008</v>
      </c>
      <c r="BA1115" s="1746" t="s">
        <v>4893</v>
      </c>
      <c r="BB1115" s="1747" t="s">
        <v>4894</v>
      </c>
      <c r="BC1115" s="1746">
        <v>100</v>
      </c>
      <c r="BD1115" s="1746" t="s">
        <v>4850</v>
      </c>
      <c r="BE1115" s="1746"/>
      <c r="BF1115" s="1746">
        <v>3.3E-4</v>
      </c>
      <c r="BG1115" s="1746" t="s">
        <v>2597</v>
      </c>
      <c r="BH1115" s="1744">
        <f t="shared" si="108"/>
        <v>3.3E-4</v>
      </c>
      <c r="BI1115" s="1745">
        <f t="shared" si="105"/>
        <v>3.3000000000000002E-6</v>
      </c>
      <c r="BJ1115" s="1740" t="str">
        <f t="shared" si="106"/>
        <v>strips</v>
      </c>
      <c r="BK1115" s="1740" t="str">
        <f t="shared" si="107"/>
        <v>Rapid Test</v>
      </c>
    </row>
    <row r="1116" spans="51:63" ht="15.65" customHeight="1">
      <c r="AY1116" s="1746" t="s">
        <v>2593</v>
      </c>
      <c r="AZ1116" s="1746">
        <v>2008</v>
      </c>
      <c r="BA1116" s="1746" t="s">
        <v>4895</v>
      </c>
      <c r="BB1116" s="1747" t="s">
        <v>4896</v>
      </c>
      <c r="BC1116" s="1746">
        <v>100</v>
      </c>
      <c r="BD1116" s="1746" t="s">
        <v>4850</v>
      </c>
      <c r="BE1116" s="1746"/>
      <c r="BF1116" s="1746">
        <v>3.2000000000000003E-4</v>
      </c>
      <c r="BG1116" s="1746" t="s">
        <v>2597</v>
      </c>
      <c r="BH1116" s="1744">
        <f t="shared" si="108"/>
        <v>3.2000000000000003E-4</v>
      </c>
      <c r="BI1116" s="1745">
        <f t="shared" si="105"/>
        <v>3.2000000000000003E-6</v>
      </c>
      <c r="BJ1116" s="1740" t="str">
        <f t="shared" si="106"/>
        <v>strips</v>
      </c>
      <c r="BK1116" s="1740" t="str">
        <f t="shared" si="107"/>
        <v>Rapid Test</v>
      </c>
    </row>
    <row r="1117" spans="51:63" ht="15.65" customHeight="1">
      <c r="AY1117" s="1746" t="s">
        <v>2593</v>
      </c>
      <c r="AZ1117" s="1746">
        <v>2008</v>
      </c>
      <c r="BA1117" s="1746" t="s">
        <v>4897</v>
      </c>
      <c r="BB1117" s="1747" t="s">
        <v>4898</v>
      </c>
      <c r="BC1117" s="1746">
        <v>100</v>
      </c>
      <c r="BD1117" s="1746" t="s">
        <v>4850</v>
      </c>
      <c r="BE1117" s="1746"/>
      <c r="BF1117" s="1746">
        <v>2.5999999999999998E-4</v>
      </c>
      <c r="BG1117" s="1746" t="s">
        <v>2597</v>
      </c>
      <c r="BH1117" s="1744">
        <f t="shared" si="108"/>
        <v>2.5999999999999998E-4</v>
      </c>
      <c r="BI1117" s="1745">
        <f t="shared" si="105"/>
        <v>2.5999999999999997E-6</v>
      </c>
      <c r="BJ1117" s="1740" t="str">
        <f t="shared" si="106"/>
        <v>strips</v>
      </c>
      <c r="BK1117" s="1740" t="str">
        <f t="shared" si="107"/>
        <v>Rapid Test</v>
      </c>
    </row>
    <row r="1118" spans="51:63" ht="15.65" customHeight="1">
      <c r="AY1118" s="1746" t="s">
        <v>2593</v>
      </c>
      <c r="AZ1118" s="1746">
        <v>2008</v>
      </c>
      <c r="BA1118" s="1746" t="s">
        <v>4899</v>
      </c>
      <c r="BB1118" s="1747" t="s">
        <v>4900</v>
      </c>
      <c r="BC1118" s="1746">
        <v>100</v>
      </c>
      <c r="BD1118" s="1746" t="s">
        <v>4850</v>
      </c>
      <c r="BE1118" s="1746"/>
      <c r="BF1118" s="1746">
        <v>1.9000000000000001E-4</v>
      </c>
      <c r="BG1118" s="1746" t="s">
        <v>2597</v>
      </c>
      <c r="BH1118" s="1744">
        <f t="shared" si="108"/>
        <v>1.9000000000000001E-4</v>
      </c>
      <c r="BI1118" s="1745">
        <f t="shared" si="105"/>
        <v>1.9E-6</v>
      </c>
      <c r="BJ1118" s="1740" t="str">
        <f t="shared" si="106"/>
        <v>strips</v>
      </c>
      <c r="BK1118" s="1740" t="str">
        <f t="shared" si="107"/>
        <v>Rapid Test</v>
      </c>
    </row>
    <row r="1119" spans="51:63" ht="15.65" customHeight="1">
      <c r="AY1119" s="1746" t="s">
        <v>2593</v>
      </c>
      <c r="AZ1119" s="1746">
        <v>2008</v>
      </c>
      <c r="BA1119" s="1746" t="s">
        <v>4901</v>
      </c>
      <c r="BB1119" s="1747" t="s">
        <v>4902</v>
      </c>
      <c r="BC1119" s="1746">
        <v>100</v>
      </c>
      <c r="BD1119" s="1746" t="s">
        <v>4850</v>
      </c>
      <c r="BE1119" s="1746"/>
      <c r="BF1119" s="1746">
        <v>2.2000000000000001E-4</v>
      </c>
      <c r="BG1119" s="1746" t="s">
        <v>2597</v>
      </c>
      <c r="BH1119" s="1744">
        <f t="shared" si="108"/>
        <v>2.2000000000000001E-4</v>
      </c>
      <c r="BI1119" s="1745">
        <f t="shared" si="105"/>
        <v>2.2000000000000001E-6</v>
      </c>
      <c r="BJ1119" s="1740" t="str">
        <f t="shared" si="106"/>
        <v>strips</v>
      </c>
      <c r="BK1119" s="1740" t="str">
        <f t="shared" si="107"/>
        <v>Rapid Test</v>
      </c>
    </row>
    <row r="1120" spans="51:63" ht="15.65" customHeight="1">
      <c r="AY1120" s="1746" t="s">
        <v>2588</v>
      </c>
      <c r="AZ1120" s="1746">
        <v>2006</v>
      </c>
      <c r="BA1120" s="1746" t="s">
        <v>4903</v>
      </c>
      <c r="BB1120" s="1747" t="s">
        <v>4904</v>
      </c>
      <c r="BC1120" s="1746">
        <v>100</v>
      </c>
      <c r="BD1120" s="1746" t="s">
        <v>2927</v>
      </c>
      <c r="BE1120" s="1746"/>
      <c r="BF1120" s="1746">
        <v>5000</v>
      </c>
      <c r="BG1120" s="1746" t="s">
        <v>2592</v>
      </c>
      <c r="BH1120" s="1744">
        <f t="shared" si="108"/>
        <v>5.0000000000000001E-3</v>
      </c>
      <c r="BI1120" s="1745">
        <f t="shared" si="105"/>
        <v>5.0000000000000002E-5</v>
      </c>
      <c r="BJ1120" s="1740" t="str">
        <f t="shared" si="106"/>
        <v>pcs</v>
      </c>
      <c r="BK1120" s="1740" t="str">
        <f t="shared" si="107"/>
        <v>Medical equipment</v>
      </c>
    </row>
    <row r="1121" spans="51:63" ht="15.65" customHeight="1">
      <c r="AY1121" s="1746" t="s">
        <v>2588</v>
      </c>
      <c r="AZ1121" s="1746">
        <v>2006</v>
      </c>
      <c r="BA1121" s="1746" t="s">
        <v>4905</v>
      </c>
      <c r="BB1121" s="1747" t="s">
        <v>4906</v>
      </c>
      <c r="BC1121" s="1746">
        <v>50</v>
      </c>
      <c r="BD1121" s="1746" t="s">
        <v>2790</v>
      </c>
      <c r="BE1121" s="1746"/>
      <c r="BF1121" s="1746">
        <v>1000</v>
      </c>
      <c r="BG1121" s="1746" t="s">
        <v>2592</v>
      </c>
      <c r="BH1121" s="1744">
        <f t="shared" si="108"/>
        <v>1E-3</v>
      </c>
      <c r="BI1121" s="1745">
        <f t="shared" si="105"/>
        <v>2.0000000000000002E-5</v>
      </c>
      <c r="BJ1121" s="1740" t="str">
        <f t="shared" si="106"/>
        <v>amps</v>
      </c>
      <c r="BK1121" s="1740" t="str">
        <f t="shared" si="107"/>
        <v>Injection Vial</v>
      </c>
    </row>
    <row r="1122" spans="51:63" ht="15.65" customHeight="1">
      <c r="AY1122" s="1746" t="s">
        <v>2588</v>
      </c>
      <c r="AZ1122" s="1746">
        <v>2006</v>
      </c>
      <c r="BA1122" s="1746" t="s">
        <v>4907</v>
      </c>
      <c r="BB1122" s="1747" t="s">
        <v>4908</v>
      </c>
      <c r="BC1122" s="1746">
        <v>25</v>
      </c>
      <c r="BD1122" s="1746" t="s">
        <v>2795</v>
      </c>
      <c r="BE1122" s="1746"/>
      <c r="BF1122" s="1746">
        <v>1002</v>
      </c>
      <c r="BG1122" s="1746" t="s">
        <v>2592</v>
      </c>
      <c r="BH1122" s="1744">
        <f t="shared" si="108"/>
        <v>1.0020000000000001E-3</v>
      </c>
      <c r="BI1122" s="1745">
        <f t="shared" si="105"/>
        <v>4.0080000000000003E-5</v>
      </c>
      <c r="BJ1122" s="1740" t="str">
        <f t="shared" si="106"/>
        <v>vials</v>
      </c>
      <c r="BK1122" s="1740" t="str">
        <f t="shared" si="107"/>
        <v>Injection Vial</v>
      </c>
    </row>
    <row r="1123" spans="51:63" ht="15.65" customHeight="1">
      <c r="AY1123" s="1746" t="s">
        <v>2593</v>
      </c>
      <c r="AZ1123" s="1746">
        <v>2008</v>
      </c>
      <c r="BA1123" s="1746" t="s">
        <v>4909</v>
      </c>
      <c r="BB1123" s="1747" t="s">
        <v>4910</v>
      </c>
      <c r="BC1123" s="1746">
        <v>100</v>
      </c>
      <c r="BD1123" s="1746" t="s">
        <v>4911</v>
      </c>
      <c r="BE1123" s="1746"/>
      <c r="BF1123" s="1746">
        <v>4.6899999999999997E-3</v>
      </c>
      <c r="BG1123" s="1746" t="s">
        <v>2597</v>
      </c>
      <c r="BH1123" s="1744">
        <f t="shared" si="108"/>
        <v>4.6899999999999997E-3</v>
      </c>
      <c r="BI1123" s="1745">
        <f t="shared" si="105"/>
        <v>4.6899999999999995E-5</v>
      </c>
      <c r="BJ1123" s="1740" t="str">
        <f t="shared" si="106"/>
        <v>bottles</v>
      </c>
      <c r="BK1123" s="1740" t="str">
        <f t="shared" si="107"/>
        <v>Bottle of Liquid</v>
      </c>
    </row>
    <row r="1124" spans="51:63" ht="15.65" customHeight="1">
      <c r="AY1124" s="1746" t="s">
        <v>2588</v>
      </c>
      <c r="AZ1124" s="1746">
        <v>2006</v>
      </c>
      <c r="BA1124" s="1746" t="s">
        <v>4912</v>
      </c>
      <c r="BB1124" s="1747" t="s">
        <v>4913</v>
      </c>
      <c r="BC1124" s="1746">
        <v>10</v>
      </c>
      <c r="BD1124" s="1746" t="s">
        <v>2836</v>
      </c>
      <c r="BE1124" s="1746"/>
      <c r="BF1124" s="1746">
        <v>459</v>
      </c>
      <c r="BG1124" s="1746" t="s">
        <v>2592</v>
      </c>
      <c r="BH1124" s="1744">
        <f t="shared" si="108"/>
        <v>4.5899999999999999E-4</v>
      </c>
      <c r="BI1124" s="1745">
        <f t="shared" si="105"/>
        <v>4.5899999999999998E-5</v>
      </c>
      <c r="BJ1124" s="1740" t="str">
        <f t="shared" si="106"/>
        <v>btls</v>
      </c>
      <c r="BK1124" s="1740" t="str">
        <f t="shared" si="107"/>
        <v>Bottle of Liquid</v>
      </c>
    </row>
    <row r="1125" spans="51:63" ht="15.65" customHeight="1">
      <c r="AY1125" s="1746" t="s">
        <v>2575</v>
      </c>
      <c r="AZ1125" s="1746">
        <v>2008</v>
      </c>
      <c r="BA1125" s="1746" t="s">
        <v>4914</v>
      </c>
      <c r="BB1125" s="1747" t="s">
        <v>4915</v>
      </c>
      <c r="BC1125" s="1746" t="s">
        <v>2578</v>
      </c>
      <c r="BD1125" s="1746" t="s">
        <v>2680</v>
      </c>
      <c r="BE1125" s="1746" t="s">
        <v>4916</v>
      </c>
      <c r="BF1125" s="1746">
        <v>17.803999999999998</v>
      </c>
      <c r="BG1125" s="1746" t="s">
        <v>2592</v>
      </c>
      <c r="BH1125" s="1744">
        <f t="shared" si="108"/>
        <v>1.7803999999999998E-5</v>
      </c>
      <c r="BI1125" s="1745" t="str">
        <f t="shared" si="105"/>
        <v/>
      </c>
      <c r="BJ1125" s="1740" t="str">
        <f t="shared" si="106"/>
        <v>TBE-Ophtalmological</v>
      </c>
      <c r="BK1125" s="1740" t="str">
        <f t="shared" si="107"/>
        <v>Tube of ointment</v>
      </c>
    </row>
    <row r="1126" spans="51:63" ht="15.65" customHeight="1">
      <c r="AY1126" s="1746" t="s">
        <v>2588</v>
      </c>
      <c r="AZ1126" s="1746">
        <v>2006</v>
      </c>
      <c r="BA1126" s="1746" t="s">
        <v>4917</v>
      </c>
      <c r="BB1126" s="1747" t="s">
        <v>4918</v>
      </c>
      <c r="BC1126" s="1746">
        <v>50</v>
      </c>
      <c r="BD1126" s="1746" t="s">
        <v>2671</v>
      </c>
      <c r="BE1126" s="1746"/>
      <c r="BF1126" s="1746">
        <v>2227.5</v>
      </c>
      <c r="BG1126" s="1746" t="s">
        <v>2592</v>
      </c>
      <c r="BH1126" s="1744">
        <f t="shared" si="108"/>
        <v>2.2274999999999999E-3</v>
      </c>
      <c r="BI1126" s="1745">
        <f t="shared" si="105"/>
        <v>4.4549999999999999E-5</v>
      </c>
      <c r="BJ1126" s="1740" t="str">
        <f t="shared" si="106"/>
        <v>tubes</v>
      </c>
      <c r="BK1126" s="1740" t="str">
        <f t="shared" si="107"/>
        <v>Tube of ointment</v>
      </c>
    </row>
    <row r="1127" spans="51:63" ht="15.65" customHeight="1">
      <c r="AY1127" s="1746" t="s">
        <v>2593</v>
      </c>
      <c r="AZ1127" s="1746">
        <v>2008</v>
      </c>
      <c r="BA1127" s="1746" t="s">
        <v>4919</v>
      </c>
      <c r="BB1127" s="1747" t="s">
        <v>4920</v>
      </c>
      <c r="BC1127" s="1746">
        <v>50</v>
      </c>
      <c r="BD1127" s="1746" t="s">
        <v>2671</v>
      </c>
      <c r="BE1127" s="1746"/>
      <c r="BF1127" s="1746">
        <v>1.89E-3</v>
      </c>
      <c r="BG1127" s="1746" t="s">
        <v>2597</v>
      </c>
      <c r="BH1127" s="1744">
        <f t="shared" si="108"/>
        <v>1.89E-3</v>
      </c>
      <c r="BI1127" s="1745">
        <f t="shared" si="105"/>
        <v>3.7799999999999997E-5</v>
      </c>
      <c r="BJ1127" s="1740" t="str">
        <f t="shared" si="106"/>
        <v>tubes</v>
      </c>
      <c r="BK1127" s="1740" t="str">
        <f t="shared" si="107"/>
        <v>Tube of ointment</v>
      </c>
    </row>
    <row r="1128" spans="51:63" ht="15.65" customHeight="1">
      <c r="AY1128" s="1746" t="s">
        <v>2593</v>
      </c>
      <c r="AZ1128" s="1746">
        <v>2008</v>
      </c>
      <c r="BA1128" s="1746" t="s">
        <v>4921</v>
      </c>
      <c r="BB1128" s="1747" t="s">
        <v>4922</v>
      </c>
      <c r="BC1128" s="1750">
        <v>1000</v>
      </c>
      <c r="BD1128" s="1746" t="s">
        <v>2864</v>
      </c>
      <c r="BE1128" s="1746"/>
      <c r="BF1128" s="1746">
        <v>1.6299999999999999E-3</v>
      </c>
      <c r="BG1128" s="1746" t="s">
        <v>2597</v>
      </c>
      <c r="BH1128" s="1744">
        <f t="shared" si="108"/>
        <v>1.6299999999999999E-3</v>
      </c>
      <c r="BI1128" s="1745">
        <f t="shared" si="105"/>
        <v>1.6299999999999999E-6</v>
      </c>
      <c r="BJ1128" s="1740" t="str">
        <f t="shared" si="106"/>
        <v>capsules</v>
      </c>
      <c r="BK1128" s="1740" t="str">
        <f t="shared" si="107"/>
        <v>Bottle of Tablets</v>
      </c>
    </row>
    <row r="1129" spans="51:63" ht="15.65" customHeight="1">
      <c r="AY1129" s="1746" t="s">
        <v>2588</v>
      </c>
      <c r="AZ1129" s="1746">
        <v>2006</v>
      </c>
      <c r="BA1129" s="1746" t="s">
        <v>4923</v>
      </c>
      <c r="BB1129" s="1747" t="s">
        <v>4924</v>
      </c>
      <c r="BC1129" s="1746">
        <v>10</v>
      </c>
      <c r="BD1129" s="1746" t="s">
        <v>2671</v>
      </c>
      <c r="BE1129" s="1746"/>
      <c r="BF1129" s="1746">
        <v>1083</v>
      </c>
      <c r="BG1129" s="1746" t="s">
        <v>2592</v>
      </c>
      <c r="BH1129" s="1744">
        <f t="shared" si="108"/>
        <v>1.083E-3</v>
      </c>
      <c r="BI1129" s="1745">
        <f t="shared" si="105"/>
        <v>1.083E-4</v>
      </c>
      <c r="BJ1129" s="1740" t="str">
        <f t="shared" si="106"/>
        <v>tubes</v>
      </c>
      <c r="BK1129" s="1740" t="str">
        <f t="shared" si="107"/>
        <v>Tube of ointment</v>
      </c>
    </row>
    <row r="1130" spans="51:63" ht="15.65" customHeight="1">
      <c r="AY1130" s="1746" t="s">
        <v>2593</v>
      </c>
      <c r="AZ1130" s="1746">
        <v>2008</v>
      </c>
      <c r="BA1130" s="1746" t="s">
        <v>4925</v>
      </c>
      <c r="BB1130" s="1747" t="s">
        <v>4926</v>
      </c>
      <c r="BC1130" s="1746">
        <v>1</v>
      </c>
      <c r="BD1130" s="1746" t="s">
        <v>2676</v>
      </c>
      <c r="BE1130" s="1746"/>
      <c r="BF1130" s="1746">
        <v>1E-4</v>
      </c>
      <c r="BG1130" s="1746" t="s">
        <v>2597</v>
      </c>
      <c r="BH1130" s="1744">
        <f t="shared" si="108"/>
        <v>1E-4</v>
      </c>
      <c r="BI1130" s="1745">
        <f t="shared" si="105"/>
        <v>1E-4</v>
      </c>
      <c r="BJ1130" s="1740" t="str">
        <f t="shared" si="106"/>
        <v>tube</v>
      </c>
      <c r="BK1130" s="1740" t="str">
        <f t="shared" si="107"/>
        <v>Tube of ointment</v>
      </c>
    </row>
    <row r="1131" spans="51:63" ht="15.65" customHeight="1">
      <c r="AY1131" s="1746" t="s">
        <v>2588</v>
      </c>
      <c r="AZ1131" s="1746">
        <v>2006</v>
      </c>
      <c r="BA1131" s="1746" t="s">
        <v>4927</v>
      </c>
      <c r="BB1131" s="1747" t="s">
        <v>4928</v>
      </c>
      <c r="BC1131" s="1746">
        <v>1</v>
      </c>
      <c r="BD1131" s="1746" t="s">
        <v>2724</v>
      </c>
      <c r="BE1131" s="1746"/>
      <c r="BF1131" s="1746">
        <v>25</v>
      </c>
      <c r="BG1131" s="1746" t="s">
        <v>2592</v>
      </c>
      <c r="BH1131" s="1744">
        <f t="shared" si="108"/>
        <v>2.5000000000000001E-5</v>
      </c>
      <c r="BI1131" s="1745">
        <f t="shared" si="105"/>
        <v>2.5000000000000001E-5</v>
      </c>
      <c r="BJ1131" s="1740" t="str">
        <f t="shared" si="106"/>
        <v>pce</v>
      </c>
      <c r="BK1131" s="1740" t="str">
        <f t="shared" si="107"/>
        <v>Roll of tape/gauze</v>
      </c>
    </row>
    <row r="1132" spans="51:63" ht="15.65" customHeight="1">
      <c r="AY1132" s="1746" t="s">
        <v>2593</v>
      </c>
      <c r="AZ1132" s="1746">
        <v>2008</v>
      </c>
      <c r="BA1132" s="1746" t="s">
        <v>4929</v>
      </c>
      <c r="BB1132" s="1747" t="s">
        <v>4930</v>
      </c>
      <c r="BC1132" s="1746">
        <v>12</v>
      </c>
      <c r="BD1132" s="1746" t="s">
        <v>2930</v>
      </c>
      <c r="BE1132" s="1746"/>
      <c r="BF1132" s="1746">
        <v>4.2999999999999999E-4</v>
      </c>
      <c r="BG1132" s="1746" t="s">
        <v>2597</v>
      </c>
      <c r="BH1132" s="1744">
        <f t="shared" si="108"/>
        <v>4.2999999999999999E-4</v>
      </c>
      <c r="BI1132" s="1745">
        <f t="shared" si="105"/>
        <v>3.5833333333333335E-5</v>
      </c>
      <c r="BJ1132" s="1740" t="str">
        <f t="shared" si="106"/>
        <v>pieces</v>
      </c>
      <c r="BK1132" s="1740" t="str">
        <f t="shared" si="107"/>
        <v>Medical equipment</v>
      </c>
    </row>
    <row r="1133" spans="51:63" ht="15.65" customHeight="1">
      <c r="AY1133" s="1746" t="s">
        <v>2593</v>
      </c>
      <c r="AZ1133" s="1746">
        <v>2008</v>
      </c>
      <c r="BA1133" s="1746" t="s">
        <v>4931</v>
      </c>
      <c r="BB1133" s="1747" t="s">
        <v>4932</v>
      </c>
      <c r="BC1133" s="1746">
        <v>1</v>
      </c>
      <c r="BD1133" s="1746" t="s">
        <v>2933</v>
      </c>
      <c r="BE1133" s="1746"/>
      <c r="BF1133" s="1746">
        <v>4.0000000000000003E-5</v>
      </c>
      <c r="BG1133" s="1746" t="s">
        <v>2597</v>
      </c>
      <c r="BH1133" s="1744">
        <f t="shared" si="108"/>
        <v>4.0000000000000003E-5</v>
      </c>
      <c r="BI1133" s="1745">
        <f t="shared" si="105"/>
        <v>4.0000000000000003E-5</v>
      </c>
      <c r="BJ1133" s="1740" t="str">
        <f t="shared" si="106"/>
        <v>piece</v>
      </c>
      <c r="BK1133" s="1740" t="str">
        <f t="shared" si="107"/>
        <v>Medical equipment</v>
      </c>
    </row>
    <row r="1134" spans="51:63" ht="15.65" customHeight="1">
      <c r="AY1134" s="1746" t="s">
        <v>2593</v>
      </c>
      <c r="AZ1134" s="1746">
        <v>2008</v>
      </c>
      <c r="BA1134" s="1746" t="s">
        <v>4933</v>
      </c>
      <c r="BB1134" s="1747" t="s">
        <v>4934</v>
      </c>
      <c r="BC1134" s="1746">
        <v>1</v>
      </c>
      <c r="BD1134" s="1746" t="s">
        <v>2933</v>
      </c>
      <c r="BE1134" s="1746"/>
      <c r="BF1134" s="1746">
        <v>1.7000000000000001E-4</v>
      </c>
      <c r="BG1134" s="1746" t="s">
        <v>2597</v>
      </c>
      <c r="BH1134" s="1744">
        <f t="shared" si="108"/>
        <v>1.7000000000000001E-4</v>
      </c>
      <c r="BI1134" s="1745">
        <f t="shared" si="105"/>
        <v>1.7000000000000001E-4</v>
      </c>
      <c r="BJ1134" s="1740" t="str">
        <f t="shared" si="106"/>
        <v>piece</v>
      </c>
      <c r="BK1134" s="1740" t="str">
        <f t="shared" si="107"/>
        <v>Medical equipment</v>
      </c>
    </row>
    <row r="1135" spans="51:63" ht="15.65" customHeight="1">
      <c r="AY1135" s="1746" t="s">
        <v>2575</v>
      </c>
      <c r="AZ1135" s="1746">
        <v>2008</v>
      </c>
      <c r="BA1135" s="1746" t="s">
        <v>4935</v>
      </c>
      <c r="BB1135" s="1747" t="s">
        <v>4936</v>
      </c>
      <c r="BC1135" s="1746" t="s">
        <v>2578</v>
      </c>
      <c r="BD1135" s="1746" t="s">
        <v>2579</v>
      </c>
      <c r="BE1135" s="1746" t="s">
        <v>3651</v>
      </c>
      <c r="BF1135" s="1746">
        <v>1.7999999999999999E-2</v>
      </c>
      <c r="BG1135" s="1746" t="s">
        <v>2581</v>
      </c>
      <c r="BH1135" s="1744">
        <f t="shared" si="108"/>
        <v>1.7999999999999997E-5</v>
      </c>
      <c r="BI1135" s="1745" t="str">
        <f t="shared" si="105"/>
        <v/>
      </c>
      <c r="BJ1135" s="1740" t="str">
        <f t="shared" si="106"/>
        <v>EA-Other diag. equip.</v>
      </c>
      <c r="BK1135" s="1740" t="str">
        <f t="shared" si="107"/>
        <v>Medical equipment</v>
      </c>
    </row>
    <row r="1136" spans="51:63" ht="15.65" customHeight="1">
      <c r="AY1136" s="1746" t="s">
        <v>2575</v>
      </c>
      <c r="AZ1136" s="1746">
        <v>2008</v>
      </c>
      <c r="BA1136" s="1746" t="s">
        <v>4937</v>
      </c>
      <c r="BB1136" s="1747" t="s">
        <v>4938</v>
      </c>
      <c r="BC1136" s="1746" t="s">
        <v>2578</v>
      </c>
      <c r="BD1136" s="1746" t="s">
        <v>2579</v>
      </c>
      <c r="BE1136" s="1746" t="s">
        <v>3651</v>
      </c>
      <c r="BF1136" s="1746">
        <v>1.4999999999999999E-2</v>
      </c>
      <c r="BG1136" s="1746" t="s">
        <v>2581</v>
      </c>
      <c r="BH1136" s="1744">
        <f t="shared" si="108"/>
        <v>1.4999999999999999E-5</v>
      </c>
      <c r="BI1136" s="1745" t="str">
        <f t="shared" si="105"/>
        <v/>
      </c>
      <c r="BJ1136" s="1740" t="str">
        <f t="shared" si="106"/>
        <v>EA-Other diag. equip.</v>
      </c>
      <c r="BK1136" s="1740" t="str">
        <f t="shared" si="107"/>
        <v>Medical equipment</v>
      </c>
    </row>
    <row r="1137" spans="51:63" ht="15.65" customHeight="1">
      <c r="AY1137" s="1746" t="s">
        <v>2593</v>
      </c>
      <c r="AZ1137" s="1746">
        <v>2008</v>
      </c>
      <c r="BA1137" s="1746" t="s">
        <v>4939</v>
      </c>
      <c r="BB1137" s="1747" t="s">
        <v>4940</v>
      </c>
      <c r="BC1137" s="1750">
        <v>1000</v>
      </c>
      <c r="BD1137" s="1746" t="s">
        <v>2601</v>
      </c>
      <c r="BE1137" s="1746"/>
      <c r="BF1137" s="1746">
        <v>9.5E-4</v>
      </c>
      <c r="BG1137" s="1746" t="s">
        <v>2597</v>
      </c>
      <c r="BH1137" s="1744">
        <f t="shared" si="108"/>
        <v>9.5E-4</v>
      </c>
      <c r="BI1137" s="1745">
        <f t="shared" si="105"/>
        <v>9.5000000000000001E-7</v>
      </c>
      <c r="BJ1137" s="1740" t="str">
        <f t="shared" si="106"/>
        <v>tablets</v>
      </c>
      <c r="BK1137" s="1740" t="str">
        <f t="shared" si="107"/>
        <v>Bottle of Tablets</v>
      </c>
    </row>
    <row r="1138" spans="51:63" ht="15.65" customHeight="1">
      <c r="AY1138" s="1746" t="s">
        <v>2575</v>
      </c>
      <c r="AZ1138" s="1746">
        <v>2008</v>
      </c>
      <c r="BA1138" s="1746" t="s">
        <v>4941</v>
      </c>
      <c r="BB1138" s="1747" t="s">
        <v>4942</v>
      </c>
      <c r="BC1138" s="1746" t="s">
        <v>2578</v>
      </c>
      <c r="BD1138" s="1746" t="s">
        <v>2638</v>
      </c>
      <c r="BE1138" s="1746" t="s">
        <v>3074</v>
      </c>
      <c r="BF1138" s="1746">
        <v>9.0999999999999998E-2</v>
      </c>
      <c r="BG1138" s="1746" t="s">
        <v>2581</v>
      </c>
      <c r="BH1138" s="1744">
        <f t="shared" si="108"/>
        <v>9.1000000000000003E-5</v>
      </c>
      <c r="BI1138" s="1745" t="str">
        <f t="shared" si="105"/>
        <v/>
      </c>
      <c r="BJ1138" s="1740" t="str">
        <f t="shared" si="106"/>
        <v>PAC-Minerals &amp; vitamins</v>
      </c>
      <c r="BK1138" s="1740" t="str">
        <f t="shared" si="107"/>
        <v>Bottle of Tablets</v>
      </c>
    </row>
    <row r="1139" spans="51:63" ht="15.65" customHeight="1">
      <c r="AY1139" s="1746" t="s">
        <v>2575</v>
      </c>
      <c r="AZ1139" s="1746">
        <v>2008</v>
      </c>
      <c r="BA1139" s="1746" t="s">
        <v>4943</v>
      </c>
      <c r="BB1139" s="1747" t="s">
        <v>4944</v>
      </c>
      <c r="BC1139" s="1746" t="s">
        <v>2578</v>
      </c>
      <c r="BD1139" s="1746" t="s">
        <v>2903</v>
      </c>
      <c r="BE1139" s="1746" t="s">
        <v>4945</v>
      </c>
      <c r="BF1139" s="1746">
        <v>2.91</v>
      </c>
      <c r="BG1139" s="1746" t="s">
        <v>2581</v>
      </c>
      <c r="BH1139" s="1744">
        <f t="shared" si="108"/>
        <v>2.9100000000000003E-3</v>
      </c>
      <c r="BI1139" s="1745" t="str">
        <f t="shared" si="105"/>
        <v/>
      </c>
      <c r="BJ1139" s="1740" t="str">
        <f t="shared" si="106"/>
        <v>BOX-Anaesthetics</v>
      </c>
      <c r="BK1139" s="1740" t="str">
        <f t="shared" si="107"/>
        <v>Injection Vial</v>
      </c>
    </row>
    <row r="1140" spans="51:63" ht="15.65" customHeight="1">
      <c r="AY1140" s="1746" t="s">
        <v>2588</v>
      </c>
      <c r="AZ1140" s="1746">
        <v>2006</v>
      </c>
      <c r="BA1140" s="1746" t="s">
        <v>4946</v>
      </c>
      <c r="BB1140" s="1747" t="s">
        <v>4947</v>
      </c>
      <c r="BC1140" s="1746">
        <v>50</v>
      </c>
      <c r="BD1140" s="1746" t="s">
        <v>2795</v>
      </c>
      <c r="BE1140" s="1746"/>
      <c r="BF1140" s="1746">
        <v>3484</v>
      </c>
      <c r="BG1140" s="1746" t="s">
        <v>2592</v>
      </c>
      <c r="BH1140" s="1744">
        <f t="shared" si="108"/>
        <v>3.4840000000000001E-3</v>
      </c>
      <c r="BI1140" s="1745">
        <f t="shared" si="105"/>
        <v>6.9679999999999997E-5</v>
      </c>
      <c r="BJ1140" s="1740" t="str">
        <f t="shared" si="106"/>
        <v>vials</v>
      </c>
      <c r="BK1140" s="1740" t="str">
        <f t="shared" si="107"/>
        <v>Injection Vial</v>
      </c>
    </row>
    <row r="1141" spans="51:63" ht="15.65" customHeight="1">
      <c r="AY1141" s="1746" t="s">
        <v>2588</v>
      </c>
      <c r="AZ1141" s="1746">
        <v>2006</v>
      </c>
      <c r="BA1141" s="1746" t="s">
        <v>4948</v>
      </c>
      <c r="BB1141" s="1747" t="s">
        <v>4949</v>
      </c>
      <c r="BC1141" s="1746">
        <v>50</v>
      </c>
      <c r="BD1141" s="1746" t="s">
        <v>2795</v>
      </c>
      <c r="BE1141" s="1746"/>
      <c r="BF1141" s="1746">
        <v>3854</v>
      </c>
      <c r="BG1141" s="1746" t="s">
        <v>2592</v>
      </c>
      <c r="BH1141" s="1744">
        <f t="shared" si="108"/>
        <v>3.8539999999999998E-3</v>
      </c>
      <c r="BI1141" s="1745">
        <f t="shared" si="105"/>
        <v>7.7080000000000001E-5</v>
      </c>
      <c r="BJ1141" s="1740" t="str">
        <f t="shared" si="106"/>
        <v>vials</v>
      </c>
      <c r="BK1141" s="1740" t="str">
        <f t="shared" si="107"/>
        <v>Injection Vial</v>
      </c>
    </row>
    <row r="1142" spans="51:63" ht="15.65" customHeight="1">
      <c r="AY1142" s="1746" t="s">
        <v>2593</v>
      </c>
      <c r="AZ1142" s="1746">
        <v>2008</v>
      </c>
      <c r="BA1142" s="1746" t="s">
        <v>4950</v>
      </c>
      <c r="BB1142" s="1747" t="s">
        <v>4951</v>
      </c>
      <c r="BC1142" s="1746">
        <v>50</v>
      </c>
      <c r="BD1142" s="1746" t="s">
        <v>2795</v>
      </c>
      <c r="BE1142" s="1746"/>
      <c r="BF1142" s="1746">
        <v>4.0699999999999998E-3</v>
      </c>
      <c r="BG1142" s="1746" t="s">
        <v>2597</v>
      </c>
      <c r="BH1142" s="1744">
        <f t="shared" si="108"/>
        <v>4.0699999999999998E-3</v>
      </c>
      <c r="BI1142" s="1745">
        <f t="shared" si="105"/>
        <v>8.14E-5</v>
      </c>
      <c r="BJ1142" s="1740" t="str">
        <f t="shared" si="106"/>
        <v>vials</v>
      </c>
      <c r="BK1142" s="1740" t="str">
        <f t="shared" si="107"/>
        <v>Injection Vial</v>
      </c>
    </row>
    <row r="1143" spans="51:63" ht="15.65" customHeight="1">
      <c r="AY1143" s="1746" t="s">
        <v>2593</v>
      </c>
      <c r="AZ1143" s="1746">
        <v>2008</v>
      </c>
      <c r="BA1143" s="1746" t="s">
        <v>4952</v>
      </c>
      <c r="BB1143" s="1747" t="s">
        <v>4953</v>
      </c>
      <c r="BC1143" s="1746">
        <v>50</v>
      </c>
      <c r="BD1143" s="1746" t="s">
        <v>2795</v>
      </c>
      <c r="BE1143" s="1746"/>
      <c r="BF1143" s="1746">
        <v>4.1200000000000004E-3</v>
      </c>
      <c r="BG1143" s="1746" t="s">
        <v>2597</v>
      </c>
      <c r="BH1143" s="1744">
        <f t="shared" si="108"/>
        <v>4.1200000000000004E-3</v>
      </c>
      <c r="BI1143" s="1745">
        <f t="shared" si="105"/>
        <v>8.2400000000000011E-5</v>
      </c>
      <c r="BJ1143" s="1740" t="str">
        <f t="shared" si="106"/>
        <v>vials</v>
      </c>
      <c r="BK1143" s="1740" t="str">
        <f t="shared" si="107"/>
        <v>Injection Vial</v>
      </c>
    </row>
    <row r="1144" spans="51:63" ht="15.65" customHeight="1">
      <c r="AY1144" s="1746" t="s">
        <v>2593</v>
      </c>
      <c r="AZ1144" s="1746">
        <v>2008</v>
      </c>
      <c r="BA1144" s="1746" t="s">
        <v>4954</v>
      </c>
      <c r="BB1144" s="1747" t="s">
        <v>4955</v>
      </c>
      <c r="BC1144" s="1746">
        <v>1</v>
      </c>
      <c r="BD1144" s="1746" t="s">
        <v>2933</v>
      </c>
      <c r="BE1144" s="1746"/>
      <c r="BF1144" s="1746">
        <v>2.4000000000000001E-4</v>
      </c>
      <c r="BG1144" s="1746" t="s">
        <v>2597</v>
      </c>
      <c r="BH1144" s="1744">
        <f t="shared" si="108"/>
        <v>2.4000000000000001E-4</v>
      </c>
      <c r="BI1144" s="1745">
        <f t="shared" si="105"/>
        <v>2.4000000000000001E-4</v>
      </c>
      <c r="BJ1144" s="1740" t="str">
        <f t="shared" si="106"/>
        <v>piece</v>
      </c>
      <c r="BK1144" s="1740" t="str">
        <f t="shared" si="107"/>
        <v>Medical equipment</v>
      </c>
    </row>
    <row r="1145" spans="51:63" ht="15.65" customHeight="1">
      <c r="AY1145" s="1746" t="s">
        <v>2593</v>
      </c>
      <c r="AZ1145" s="1746">
        <v>2008</v>
      </c>
      <c r="BA1145" s="1746" t="s">
        <v>4956</v>
      </c>
      <c r="BB1145" s="1747" t="s">
        <v>4957</v>
      </c>
      <c r="BC1145" s="1746">
        <v>1</v>
      </c>
      <c r="BD1145" s="1746" t="s">
        <v>2933</v>
      </c>
      <c r="BE1145" s="1746"/>
      <c r="BF1145" s="1746">
        <v>6.3000000000000003E-4</v>
      </c>
      <c r="BG1145" s="1746" t="s">
        <v>2597</v>
      </c>
      <c r="BH1145" s="1744">
        <f t="shared" si="108"/>
        <v>6.3000000000000003E-4</v>
      </c>
      <c r="BI1145" s="1745">
        <f t="shared" si="105"/>
        <v>6.3000000000000003E-4</v>
      </c>
      <c r="BJ1145" s="1740" t="str">
        <f t="shared" si="106"/>
        <v>piece</v>
      </c>
      <c r="BK1145" s="1740" t="str">
        <f t="shared" si="107"/>
        <v>Medical equipment</v>
      </c>
    </row>
    <row r="1146" spans="51:63" ht="15.65" customHeight="1">
      <c r="AY1146" s="1746" t="s">
        <v>2593</v>
      </c>
      <c r="AZ1146" s="1746">
        <v>2008</v>
      </c>
      <c r="BA1146" s="1746" t="s">
        <v>4958</v>
      </c>
      <c r="BB1146" s="1747" t="s">
        <v>4959</v>
      </c>
      <c r="BC1146" s="1746">
        <v>1</v>
      </c>
      <c r="BD1146" s="1746" t="s">
        <v>2933</v>
      </c>
      <c r="BE1146" s="1746"/>
      <c r="BF1146" s="1746">
        <v>3.3700000000000002E-3</v>
      </c>
      <c r="BG1146" s="1746" t="s">
        <v>2597</v>
      </c>
      <c r="BH1146" s="1744">
        <f t="shared" si="108"/>
        <v>3.3700000000000002E-3</v>
      </c>
      <c r="BI1146" s="1745">
        <f t="shared" si="105"/>
        <v>3.3700000000000002E-3</v>
      </c>
      <c r="BJ1146" s="1740" t="str">
        <f t="shared" si="106"/>
        <v>piece</v>
      </c>
      <c r="BK1146" s="1740" t="str">
        <f t="shared" si="107"/>
        <v>Medical equipment</v>
      </c>
    </row>
    <row r="1147" spans="51:63" ht="15.65" customHeight="1">
      <c r="AY1147" s="1746" t="s">
        <v>2593</v>
      </c>
      <c r="AZ1147" s="1746">
        <v>2008</v>
      </c>
      <c r="BA1147" s="1746" t="s">
        <v>4960</v>
      </c>
      <c r="BB1147" s="1747" t="s">
        <v>4961</v>
      </c>
      <c r="BC1147" s="1746">
        <v>1</v>
      </c>
      <c r="BD1147" s="1746" t="s">
        <v>2933</v>
      </c>
      <c r="BE1147" s="1746"/>
      <c r="BF1147" s="1746">
        <v>3.4000000000000002E-4</v>
      </c>
      <c r="BG1147" s="1746" t="s">
        <v>2597</v>
      </c>
      <c r="BH1147" s="1744">
        <f t="shared" si="108"/>
        <v>3.4000000000000002E-4</v>
      </c>
      <c r="BI1147" s="1745">
        <f t="shared" si="105"/>
        <v>3.4000000000000002E-4</v>
      </c>
      <c r="BJ1147" s="1740" t="str">
        <f t="shared" si="106"/>
        <v>piece</v>
      </c>
      <c r="BK1147" s="1740" t="str">
        <f t="shared" si="107"/>
        <v>Medical equipment</v>
      </c>
    </row>
    <row r="1148" spans="51:63" ht="15.65" customHeight="1">
      <c r="AY1148" s="1746" t="s">
        <v>2593</v>
      </c>
      <c r="AZ1148" s="1746">
        <v>2008</v>
      </c>
      <c r="BA1148" s="1746" t="s">
        <v>4962</v>
      </c>
      <c r="BB1148" s="1747" t="s">
        <v>4963</v>
      </c>
      <c r="BC1148" s="1746">
        <v>1</v>
      </c>
      <c r="BD1148" s="1746" t="s">
        <v>2933</v>
      </c>
      <c r="BE1148" s="1746"/>
      <c r="BF1148" s="1746">
        <v>1.2E-4</v>
      </c>
      <c r="BG1148" s="1746" t="s">
        <v>2597</v>
      </c>
      <c r="BH1148" s="1744">
        <f t="shared" si="108"/>
        <v>1.2E-4</v>
      </c>
      <c r="BI1148" s="1745">
        <f t="shared" si="105"/>
        <v>1.2E-4</v>
      </c>
      <c r="BJ1148" s="1740" t="str">
        <f t="shared" si="106"/>
        <v>piece</v>
      </c>
      <c r="BK1148" s="1740" t="str">
        <f t="shared" si="107"/>
        <v>Medical equipment</v>
      </c>
    </row>
    <row r="1149" spans="51:63" ht="15.65" customHeight="1">
      <c r="AY1149" s="1746" t="s">
        <v>2593</v>
      </c>
      <c r="AZ1149" s="1746">
        <v>2008</v>
      </c>
      <c r="BA1149" s="1746" t="s">
        <v>4964</v>
      </c>
      <c r="BB1149" s="1747" t="s">
        <v>4965</v>
      </c>
      <c r="BC1149" s="1746">
        <v>1</v>
      </c>
      <c r="BD1149" s="1746" t="s">
        <v>2933</v>
      </c>
      <c r="BE1149" s="1746"/>
      <c r="BF1149" s="1746">
        <v>3.4000000000000002E-4</v>
      </c>
      <c r="BG1149" s="1746" t="s">
        <v>2597</v>
      </c>
      <c r="BH1149" s="1744">
        <f t="shared" si="108"/>
        <v>3.4000000000000002E-4</v>
      </c>
      <c r="BI1149" s="1745">
        <f t="shared" si="105"/>
        <v>3.4000000000000002E-4</v>
      </c>
      <c r="BJ1149" s="1740" t="str">
        <f t="shared" si="106"/>
        <v>piece</v>
      </c>
      <c r="BK1149" s="1740" t="str">
        <f t="shared" si="107"/>
        <v>Medical equipment</v>
      </c>
    </row>
    <row r="1150" spans="51:63" ht="15.65" customHeight="1">
      <c r="AY1150" s="1746" t="s">
        <v>2588</v>
      </c>
      <c r="AZ1150" s="1746">
        <v>2006</v>
      </c>
      <c r="BA1150" s="1746" t="s">
        <v>4966</v>
      </c>
      <c r="BB1150" s="1747" t="s">
        <v>4967</v>
      </c>
      <c r="BC1150" s="1746">
        <v>1</v>
      </c>
      <c r="BD1150" s="1746" t="s">
        <v>2724</v>
      </c>
      <c r="BE1150" s="1746"/>
      <c r="BF1150" s="1746">
        <v>347</v>
      </c>
      <c r="BG1150" s="1746" t="s">
        <v>2592</v>
      </c>
      <c r="BH1150" s="1744">
        <f t="shared" si="108"/>
        <v>3.4699999999999998E-4</v>
      </c>
      <c r="BI1150" s="1745">
        <f t="shared" si="105"/>
        <v>3.4699999999999998E-4</v>
      </c>
      <c r="BJ1150" s="1740" t="str">
        <f t="shared" si="106"/>
        <v>pce</v>
      </c>
      <c r="BK1150" s="1740" t="str">
        <f t="shared" si="107"/>
        <v>Roll of tape/gauze</v>
      </c>
    </row>
    <row r="1151" spans="51:63" ht="15.65" customHeight="1">
      <c r="AY1151" s="1746" t="s">
        <v>2593</v>
      </c>
      <c r="AZ1151" s="1746">
        <v>2008</v>
      </c>
      <c r="BA1151" s="1746" t="s">
        <v>4968</v>
      </c>
      <c r="BB1151" s="1747" t="s">
        <v>4969</v>
      </c>
      <c r="BC1151" s="1746">
        <v>1</v>
      </c>
      <c r="BD1151" s="1746" t="s">
        <v>2933</v>
      </c>
      <c r="BE1151" s="1746"/>
      <c r="BF1151" s="1746">
        <v>2.5000000000000001E-4</v>
      </c>
      <c r="BG1151" s="1746" t="s">
        <v>2597</v>
      </c>
      <c r="BH1151" s="1744">
        <f t="shared" si="108"/>
        <v>2.5000000000000001E-4</v>
      </c>
      <c r="BI1151" s="1745">
        <f t="shared" si="105"/>
        <v>2.5000000000000001E-4</v>
      </c>
      <c r="BJ1151" s="1740" t="str">
        <f t="shared" si="106"/>
        <v>piece</v>
      </c>
      <c r="BK1151" s="1740" t="str">
        <f t="shared" si="107"/>
        <v>Medical equipment</v>
      </c>
    </row>
    <row r="1152" spans="51:63" ht="15.65" customHeight="1">
      <c r="AY1152" s="1746" t="s">
        <v>2575</v>
      </c>
      <c r="AZ1152" s="1746">
        <v>2008</v>
      </c>
      <c r="BA1152" s="1746" t="s">
        <v>4970</v>
      </c>
      <c r="BB1152" s="1747" t="s">
        <v>4971</v>
      </c>
      <c r="BC1152" s="1746" t="s">
        <v>2578</v>
      </c>
      <c r="BD1152" s="1746" t="s">
        <v>2579</v>
      </c>
      <c r="BE1152" s="1746" t="s">
        <v>4533</v>
      </c>
      <c r="BF1152" s="1746">
        <v>0.873</v>
      </c>
      <c r="BG1152" s="1746" t="s">
        <v>2581</v>
      </c>
      <c r="BH1152" s="1744">
        <f t="shared" si="108"/>
        <v>8.7299999999999997E-4</v>
      </c>
      <c r="BI1152" s="1745" t="str">
        <f t="shared" si="105"/>
        <v/>
      </c>
      <c r="BJ1152" s="1740" t="str">
        <f t="shared" si="106"/>
        <v>EA-Other ster. equip.</v>
      </c>
      <c r="BK1152" s="1740" t="str">
        <f t="shared" si="107"/>
        <v>Medical equipment</v>
      </c>
    </row>
    <row r="1153" spans="51:63" ht="15.65" customHeight="1">
      <c r="AY1153" s="1746" t="s">
        <v>2575</v>
      </c>
      <c r="AZ1153" s="1746">
        <v>2008</v>
      </c>
      <c r="BA1153" s="1746" t="s">
        <v>4972</v>
      </c>
      <c r="BB1153" s="1747" t="s">
        <v>4973</v>
      </c>
      <c r="BC1153" s="1746" t="s">
        <v>2578</v>
      </c>
      <c r="BD1153" s="1746" t="s">
        <v>2579</v>
      </c>
      <c r="BE1153" s="1746" t="s">
        <v>3651</v>
      </c>
      <c r="BF1153" s="1746">
        <v>212.85</v>
      </c>
      <c r="BG1153" s="1746" t="s">
        <v>2592</v>
      </c>
      <c r="BH1153" s="1744">
        <f t="shared" si="108"/>
        <v>2.1285E-4</v>
      </c>
      <c r="BI1153" s="1745" t="str">
        <f t="shared" si="105"/>
        <v/>
      </c>
      <c r="BJ1153" s="1740" t="str">
        <f t="shared" si="106"/>
        <v>EA-Other diag. equip.</v>
      </c>
      <c r="BK1153" s="1740" t="str">
        <f t="shared" si="107"/>
        <v>Medical equipment</v>
      </c>
    </row>
    <row r="1154" spans="51:63" ht="15.65" customHeight="1">
      <c r="AY1154" s="1746" t="s">
        <v>2588</v>
      </c>
      <c r="AZ1154" s="1746">
        <v>2006</v>
      </c>
      <c r="BA1154" s="1746" t="s">
        <v>4974</v>
      </c>
      <c r="BB1154" s="1747" t="s">
        <v>4975</v>
      </c>
      <c r="BC1154" s="1746">
        <v>10</v>
      </c>
      <c r="BD1154" s="1746" t="s">
        <v>2836</v>
      </c>
      <c r="BE1154" s="1746"/>
      <c r="BF1154" s="1746">
        <v>289</v>
      </c>
      <c r="BG1154" s="1746" t="s">
        <v>2592</v>
      </c>
      <c r="BH1154" s="1744">
        <f t="shared" si="108"/>
        <v>2.8899999999999998E-4</v>
      </c>
      <c r="BI1154" s="1745">
        <f t="shared" si="105"/>
        <v>2.8899999999999998E-5</v>
      </c>
      <c r="BJ1154" s="1740" t="str">
        <f t="shared" si="106"/>
        <v>btls</v>
      </c>
      <c r="BK1154" s="1740" t="str">
        <f t="shared" si="107"/>
        <v>Bottle of Liquid</v>
      </c>
    </row>
    <row r="1155" spans="51:63" ht="15.65" customHeight="1">
      <c r="AY1155" s="1746" t="s">
        <v>2593</v>
      </c>
      <c r="AZ1155" s="1746">
        <v>2008</v>
      </c>
      <c r="BA1155" s="1746" t="s">
        <v>4976</v>
      </c>
      <c r="BB1155" s="1747" t="s">
        <v>4977</v>
      </c>
      <c r="BC1155" s="1746">
        <v>1</v>
      </c>
      <c r="BD1155" s="1746" t="s">
        <v>2596</v>
      </c>
      <c r="BE1155" s="1746"/>
      <c r="BF1155" s="1746">
        <v>8.0000000000000007E-5</v>
      </c>
      <c r="BG1155" s="1746" t="s">
        <v>2597</v>
      </c>
      <c r="BH1155" s="1744">
        <f t="shared" si="108"/>
        <v>8.0000000000000007E-5</v>
      </c>
      <c r="BI1155" s="1745">
        <f t="shared" si="105"/>
        <v>8.0000000000000007E-5</v>
      </c>
      <c r="BJ1155" s="1740" t="str">
        <f t="shared" si="106"/>
        <v>bottle</v>
      </c>
      <c r="BK1155" s="1740" t="str">
        <f t="shared" si="107"/>
        <v>Bottle of Liquid</v>
      </c>
    </row>
    <row r="1156" spans="51:63" ht="15.65" customHeight="1">
      <c r="AY1156" s="1746" t="s">
        <v>2588</v>
      </c>
      <c r="AZ1156" s="1746">
        <v>2006</v>
      </c>
      <c r="BA1156" s="1746" t="s">
        <v>4978</v>
      </c>
      <c r="BB1156" s="1747" t="s">
        <v>4979</v>
      </c>
      <c r="BC1156" s="1746">
        <v>10</v>
      </c>
      <c r="BD1156" s="1746" t="s">
        <v>2836</v>
      </c>
      <c r="BE1156" s="1746"/>
      <c r="BF1156" s="1746">
        <v>336</v>
      </c>
      <c r="BG1156" s="1746" t="s">
        <v>2592</v>
      </c>
      <c r="BH1156" s="1744">
        <f t="shared" si="108"/>
        <v>3.3599999999999998E-4</v>
      </c>
      <c r="BI1156" s="1745">
        <f t="shared" si="105"/>
        <v>3.3599999999999997E-5</v>
      </c>
      <c r="BJ1156" s="1740" t="str">
        <f t="shared" si="106"/>
        <v>btls</v>
      </c>
      <c r="BK1156" s="1740" t="str">
        <f t="shared" si="107"/>
        <v>Bottle of Liquid</v>
      </c>
    </row>
    <row r="1157" spans="51:63" ht="15.65" customHeight="1">
      <c r="AY1157" s="1746" t="s">
        <v>2588</v>
      </c>
      <c r="AZ1157" s="1746">
        <v>2006</v>
      </c>
      <c r="BA1157" s="1746" t="s">
        <v>4980</v>
      </c>
      <c r="BB1157" s="1747" t="s">
        <v>4981</v>
      </c>
      <c r="BC1157" s="1746">
        <v>100</v>
      </c>
      <c r="BD1157" s="1746" t="s">
        <v>2615</v>
      </c>
      <c r="BE1157" s="1746"/>
      <c r="BF1157" s="1746">
        <v>456</v>
      </c>
      <c r="BG1157" s="1746" t="s">
        <v>2592</v>
      </c>
      <c r="BH1157" s="1744">
        <f t="shared" si="108"/>
        <v>4.5600000000000003E-4</v>
      </c>
      <c r="BI1157" s="1745">
        <f t="shared" si="105"/>
        <v>4.5600000000000004E-6</v>
      </c>
      <c r="BJ1157" s="1740" t="str">
        <f t="shared" si="106"/>
        <v>tabs</v>
      </c>
      <c r="BK1157" s="1740" t="str">
        <f t="shared" si="107"/>
        <v>Bottle of Tablets</v>
      </c>
    </row>
    <row r="1158" spans="51:63" ht="15.65" customHeight="1">
      <c r="AY1158" s="1746" t="s">
        <v>2575</v>
      </c>
      <c r="AZ1158" s="1746">
        <v>2008</v>
      </c>
      <c r="BA1158" s="1746" t="s">
        <v>4982</v>
      </c>
      <c r="BB1158" s="1747" t="s">
        <v>4983</v>
      </c>
      <c r="BC1158" s="1746" t="s">
        <v>2578</v>
      </c>
      <c r="BD1158" s="1746" t="s">
        <v>2638</v>
      </c>
      <c r="BE1158" s="1746" t="s">
        <v>4984</v>
      </c>
      <c r="BF1158" s="1746">
        <v>6.3E-2</v>
      </c>
      <c r="BG1158" s="1746" t="s">
        <v>2581</v>
      </c>
      <c r="BH1158" s="1744">
        <f t="shared" si="108"/>
        <v>6.3E-5</v>
      </c>
      <c r="BI1158" s="1745" t="str">
        <f t="shared" si="105"/>
        <v/>
      </c>
      <c r="BJ1158" s="1740" t="str">
        <f t="shared" si="106"/>
        <v>PAC-Antiprotozoal</v>
      </c>
      <c r="BK1158" s="1740" t="str">
        <f t="shared" si="107"/>
        <v>Blister Pack of Tablets</v>
      </c>
    </row>
    <row r="1159" spans="51:63" ht="15.65" customHeight="1">
      <c r="AY1159" s="1746" t="s">
        <v>2593</v>
      </c>
      <c r="AZ1159" s="1746">
        <v>2008</v>
      </c>
      <c r="BA1159" s="1746" t="s">
        <v>4985</v>
      </c>
      <c r="BB1159" s="1747" t="s">
        <v>4986</v>
      </c>
      <c r="BC1159" s="1750">
        <v>1000</v>
      </c>
      <c r="BD1159" s="1746" t="s">
        <v>2930</v>
      </c>
      <c r="BE1159" s="1746"/>
      <c r="BF1159" s="1746">
        <v>8.2199999999999999E-3</v>
      </c>
      <c r="BG1159" s="1746" t="s">
        <v>2597</v>
      </c>
      <c r="BH1159" s="1744">
        <f t="shared" si="108"/>
        <v>8.2199999999999999E-3</v>
      </c>
      <c r="BI1159" s="1745">
        <f t="shared" si="105"/>
        <v>8.2199999999999992E-6</v>
      </c>
      <c r="BJ1159" s="1740" t="str">
        <f t="shared" si="106"/>
        <v>pieces</v>
      </c>
      <c r="BK1159" s="1740" t="str">
        <f t="shared" si="107"/>
        <v>Medical equipment</v>
      </c>
    </row>
    <row r="1160" spans="51:63" ht="15.65" customHeight="1">
      <c r="AY1160" s="1746" t="s">
        <v>2593</v>
      </c>
      <c r="AZ1160" s="1746">
        <v>2008</v>
      </c>
      <c r="BA1160" s="1746" t="s">
        <v>4987</v>
      </c>
      <c r="BB1160" s="1747" t="s">
        <v>4988</v>
      </c>
      <c r="BC1160" s="1750">
        <v>1000</v>
      </c>
      <c r="BD1160" s="1746" t="s">
        <v>2930</v>
      </c>
      <c r="BE1160" s="1746"/>
      <c r="BF1160" s="1746">
        <v>3.4299999999999999E-3</v>
      </c>
      <c r="BG1160" s="1746" t="s">
        <v>2597</v>
      </c>
      <c r="BH1160" s="1744">
        <f t="shared" si="108"/>
        <v>3.4299999999999999E-3</v>
      </c>
      <c r="BI1160" s="1745">
        <f t="shared" si="105"/>
        <v>3.4299999999999998E-6</v>
      </c>
      <c r="BJ1160" s="1740" t="str">
        <f t="shared" si="106"/>
        <v>pieces</v>
      </c>
      <c r="BK1160" s="1740" t="str">
        <f t="shared" si="107"/>
        <v>Medical equipment</v>
      </c>
    </row>
    <row r="1161" spans="51:63" ht="15.65" customHeight="1">
      <c r="AY1161" s="1746" t="s">
        <v>2588</v>
      </c>
      <c r="AZ1161" s="1746">
        <v>2006</v>
      </c>
      <c r="BA1161" s="1746" t="s">
        <v>4989</v>
      </c>
      <c r="BB1161" s="1747" t="s">
        <v>4990</v>
      </c>
      <c r="BC1161" s="1746">
        <v>1</v>
      </c>
      <c r="BD1161" s="1746" t="s">
        <v>2724</v>
      </c>
      <c r="BE1161" s="1746"/>
      <c r="BF1161" s="1746">
        <v>238</v>
      </c>
      <c r="BG1161" s="1746" t="s">
        <v>2592</v>
      </c>
      <c r="BH1161" s="1744">
        <f t="shared" si="108"/>
        <v>2.3800000000000001E-4</v>
      </c>
      <c r="BI1161" s="1745">
        <f t="shared" si="105"/>
        <v>2.3800000000000001E-4</v>
      </c>
      <c r="BJ1161" s="1740" t="str">
        <f t="shared" si="106"/>
        <v>pce</v>
      </c>
      <c r="BK1161" s="1740" t="str">
        <f t="shared" si="107"/>
        <v>Roll of tape/gauze</v>
      </c>
    </row>
    <row r="1162" spans="51:63" ht="15.65" customHeight="1">
      <c r="AY1162" s="1746" t="s">
        <v>2593</v>
      </c>
      <c r="AZ1162" s="1746">
        <v>2008</v>
      </c>
      <c r="BA1162" s="1746" t="s">
        <v>4991</v>
      </c>
      <c r="BB1162" s="1747" t="s">
        <v>4992</v>
      </c>
      <c r="BC1162" s="1746">
        <v>100</v>
      </c>
      <c r="BD1162" s="1746" t="s">
        <v>2930</v>
      </c>
      <c r="BE1162" s="1746"/>
      <c r="BF1162" s="1746">
        <v>6.2E-4</v>
      </c>
      <c r="BG1162" s="1746" t="s">
        <v>2597</v>
      </c>
      <c r="BH1162" s="1744">
        <f t="shared" si="108"/>
        <v>6.2E-4</v>
      </c>
      <c r="BI1162" s="1745">
        <f t="shared" si="105"/>
        <v>6.1999999999999999E-6</v>
      </c>
      <c r="BJ1162" s="1740" t="str">
        <f t="shared" si="106"/>
        <v>pieces</v>
      </c>
      <c r="BK1162" s="1740" t="str">
        <f t="shared" si="107"/>
        <v>Medical equipment</v>
      </c>
    </row>
    <row r="1163" spans="51:63" ht="15.65" customHeight="1">
      <c r="AY1163" s="1746" t="s">
        <v>2588</v>
      </c>
      <c r="AZ1163" s="1746">
        <v>2006</v>
      </c>
      <c r="BA1163" s="1746" t="s">
        <v>4993</v>
      </c>
      <c r="BB1163" s="1747" t="s">
        <v>4994</v>
      </c>
      <c r="BC1163" s="1746">
        <v>100</v>
      </c>
      <c r="BD1163" s="1746" t="s">
        <v>2927</v>
      </c>
      <c r="BE1163" s="1746"/>
      <c r="BF1163" s="1746">
        <v>621</v>
      </c>
      <c r="BG1163" s="1746" t="s">
        <v>2592</v>
      </c>
      <c r="BH1163" s="1744">
        <f t="shared" si="108"/>
        <v>6.2100000000000002E-4</v>
      </c>
      <c r="BI1163" s="1745">
        <f t="shared" si="105"/>
        <v>6.2099999999999998E-6</v>
      </c>
      <c r="BJ1163" s="1740" t="str">
        <f t="shared" si="106"/>
        <v>pcs</v>
      </c>
      <c r="BK1163" s="1740" t="str">
        <f t="shared" si="107"/>
        <v>Medical equipment</v>
      </c>
    </row>
    <row r="1164" spans="51:63" ht="15.65" customHeight="1">
      <c r="AY1164" s="1746" t="s">
        <v>2575</v>
      </c>
      <c r="AZ1164" s="1746">
        <v>2008</v>
      </c>
      <c r="BA1164" s="1746" t="s">
        <v>4995</v>
      </c>
      <c r="BB1164" s="1747" t="s">
        <v>4996</v>
      </c>
      <c r="BC1164" s="1746" t="s">
        <v>2578</v>
      </c>
      <c r="BD1164" s="1746" t="s">
        <v>2903</v>
      </c>
      <c r="BE1164" s="1746" t="s">
        <v>3651</v>
      </c>
      <c r="BF1164" s="1746">
        <v>3.2189999999999999</v>
      </c>
      <c r="BG1164" s="1746" t="s">
        <v>2581</v>
      </c>
      <c r="BH1164" s="1744">
        <f t="shared" si="108"/>
        <v>3.2190000000000001E-3</v>
      </c>
      <c r="BI1164" s="1745" t="str">
        <f t="shared" si="105"/>
        <v/>
      </c>
      <c r="BJ1164" s="1740" t="str">
        <f t="shared" si="106"/>
        <v>BOX-Other diag. equip.</v>
      </c>
      <c r="BK1164" s="1740" t="str">
        <f t="shared" si="107"/>
        <v>Medical equipment</v>
      </c>
    </row>
    <row r="1165" spans="51:63" ht="15.65" customHeight="1">
      <c r="AY1165" s="1746" t="s">
        <v>2588</v>
      </c>
      <c r="AZ1165" s="1746">
        <v>2006</v>
      </c>
      <c r="BA1165" s="1746" t="s">
        <v>4997</v>
      </c>
      <c r="BB1165" s="1747" t="s">
        <v>4998</v>
      </c>
      <c r="BC1165" s="1746">
        <v>1</v>
      </c>
      <c r="BD1165" s="1746" t="s">
        <v>2724</v>
      </c>
      <c r="BE1165" s="1746"/>
      <c r="BF1165" s="1746">
        <v>174</v>
      </c>
      <c r="BG1165" s="1746" t="s">
        <v>2592</v>
      </c>
      <c r="BH1165" s="1744">
        <f t="shared" si="108"/>
        <v>1.74E-4</v>
      </c>
      <c r="BI1165" s="1745">
        <f t="shared" si="105"/>
        <v>1.74E-4</v>
      </c>
      <c r="BJ1165" s="1740" t="str">
        <f t="shared" si="106"/>
        <v>pce</v>
      </c>
      <c r="BK1165" s="1740" t="str">
        <f t="shared" si="107"/>
        <v>Roll of tape/gauze</v>
      </c>
    </row>
    <row r="1166" spans="51:63" ht="15.65" customHeight="1">
      <c r="AY1166" s="1746" t="s">
        <v>2593</v>
      </c>
      <c r="AZ1166" s="1746">
        <v>2008</v>
      </c>
      <c r="BA1166" s="1746" t="s">
        <v>4999</v>
      </c>
      <c r="BB1166" s="1747" t="s">
        <v>5000</v>
      </c>
      <c r="BC1166" s="1746">
        <v>1</v>
      </c>
      <c r="BD1166" s="1746" t="s">
        <v>2933</v>
      </c>
      <c r="BE1166" s="1746"/>
      <c r="BF1166" s="1746">
        <v>1.9000000000000001E-4</v>
      </c>
      <c r="BG1166" s="1746" t="s">
        <v>2597</v>
      </c>
      <c r="BH1166" s="1744">
        <f t="shared" si="108"/>
        <v>1.9000000000000001E-4</v>
      </c>
      <c r="BI1166" s="1745">
        <f t="shared" si="105"/>
        <v>1.9000000000000001E-4</v>
      </c>
      <c r="BJ1166" s="1740" t="str">
        <f t="shared" si="106"/>
        <v>piece</v>
      </c>
      <c r="BK1166" s="1740" t="str">
        <f t="shared" si="107"/>
        <v>Medical equipment</v>
      </c>
    </row>
    <row r="1167" spans="51:63" ht="15.65" customHeight="1">
      <c r="AY1167" s="1746" t="s">
        <v>2588</v>
      </c>
      <c r="AZ1167" s="1746">
        <v>2006</v>
      </c>
      <c r="BA1167" s="1746" t="s">
        <v>5001</v>
      </c>
      <c r="BB1167" s="1747" t="s">
        <v>5002</v>
      </c>
      <c r="BC1167" s="1746">
        <v>1</v>
      </c>
      <c r="BD1167" s="1746" t="s">
        <v>2724</v>
      </c>
      <c r="BE1167" s="1746"/>
      <c r="BF1167" s="1746">
        <v>150</v>
      </c>
      <c r="BG1167" s="1746" t="s">
        <v>2592</v>
      </c>
      <c r="BH1167" s="1744">
        <f t="shared" si="108"/>
        <v>1.4999999999999999E-4</v>
      </c>
      <c r="BI1167" s="1745">
        <f t="shared" si="105"/>
        <v>1.4999999999999999E-4</v>
      </c>
      <c r="BJ1167" s="1740" t="str">
        <f t="shared" si="106"/>
        <v>pce</v>
      </c>
      <c r="BK1167" s="1740" t="str">
        <f t="shared" si="107"/>
        <v>Roll of tape/gauze</v>
      </c>
    </row>
    <row r="1168" spans="51:63" ht="15.65" customHeight="1">
      <c r="AY1168" s="1746" t="s">
        <v>2593</v>
      </c>
      <c r="AZ1168" s="1746">
        <v>2008</v>
      </c>
      <c r="BA1168" s="1746" t="s">
        <v>5003</v>
      </c>
      <c r="BB1168" s="1747" t="s">
        <v>5004</v>
      </c>
      <c r="BC1168" s="1746">
        <v>1</v>
      </c>
      <c r="BD1168" s="1746" t="s">
        <v>2933</v>
      </c>
      <c r="BE1168" s="1746"/>
      <c r="BF1168" s="1746">
        <v>2.0000000000000002E-5</v>
      </c>
      <c r="BG1168" s="1746" t="s">
        <v>2597</v>
      </c>
      <c r="BH1168" s="1744">
        <f t="shared" si="108"/>
        <v>2.0000000000000002E-5</v>
      </c>
      <c r="BI1168" s="1745">
        <f t="shared" si="105"/>
        <v>2.0000000000000002E-5</v>
      </c>
      <c r="BJ1168" s="1740" t="str">
        <f t="shared" si="106"/>
        <v>piece</v>
      </c>
      <c r="BK1168" s="1740" t="str">
        <f t="shared" si="107"/>
        <v>Medical equipment</v>
      </c>
    </row>
    <row r="1169" spans="51:63" ht="15.65" customHeight="1">
      <c r="AY1169" s="1746" t="s">
        <v>2575</v>
      </c>
      <c r="AZ1169" s="1746">
        <v>2008</v>
      </c>
      <c r="BA1169" s="1746" t="s">
        <v>5005</v>
      </c>
      <c r="BB1169" s="1747" t="s">
        <v>5006</v>
      </c>
      <c r="BC1169" s="1746" t="s">
        <v>2578</v>
      </c>
      <c r="BD1169" s="1746" t="s">
        <v>2579</v>
      </c>
      <c r="BE1169" s="1746" t="s">
        <v>3133</v>
      </c>
      <c r="BF1169" s="1746">
        <v>39.375</v>
      </c>
      <c r="BG1169" s="1746" t="s">
        <v>2592</v>
      </c>
      <c r="BH1169" s="1744">
        <f t="shared" si="108"/>
        <v>3.9375000000000002E-5</v>
      </c>
      <c r="BI1169" s="1745" t="str">
        <f t="shared" si="105"/>
        <v/>
      </c>
      <c r="BJ1169" s="1740" t="str">
        <f t="shared" si="106"/>
        <v>EA-Misc. renew. plastic</v>
      </c>
      <c r="BK1169" s="1740" t="str">
        <f t="shared" si="107"/>
        <v>Medical equipment</v>
      </c>
    </row>
    <row r="1170" spans="51:63" ht="15.65" customHeight="1">
      <c r="AY1170" s="1746" t="s">
        <v>2588</v>
      </c>
      <c r="AZ1170" s="1746">
        <v>2006</v>
      </c>
      <c r="BA1170" s="1746" t="s">
        <v>5007</v>
      </c>
      <c r="BB1170" s="1747" t="s">
        <v>5008</v>
      </c>
      <c r="BC1170" s="1746">
        <v>100</v>
      </c>
      <c r="BD1170" s="1746" t="s">
        <v>2790</v>
      </c>
      <c r="BE1170" s="1746"/>
      <c r="BF1170" s="1746">
        <v>2754.4</v>
      </c>
      <c r="BG1170" s="1746" t="s">
        <v>2592</v>
      </c>
      <c r="BH1170" s="1744">
        <f t="shared" si="108"/>
        <v>2.7544000000000002E-3</v>
      </c>
      <c r="BI1170" s="1745">
        <f t="shared" si="105"/>
        <v>2.7544000000000003E-5</v>
      </c>
      <c r="BJ1170" s="1740" t="str">
        <f t="shared" si="106"/>
        <v>amps</v>
      </c>
      <c r="BK1170" s="1740" t="str">
        <f t="shared" si="107"/>
        <v>Injection Vial</v>
      </c>
    </row>
    <row r="1171" spans="51:63" ht="15.65" customHeight="1">
      <c r="AY1171" s="1746" t="s">
        <v>2593</v>
      </c>
      <c r="AZ1171" s="1746">
        <v>2008</v>
      </c>
      <c r="BA1171" s="1746" t="s">
        <v>5009</v>
      </c>
      <c r="BB1171" s="1747" t="s">
        <v>5010</v>
      </c>
      <c r="BC1171" s="1746">
        <v>100</v>
      </c>
      <c r="BD1171" s="1746" t="s">
        <v>2864</v>
      </c>
      <c r="BE1171" s="1746"/>
      <c r="BF1171" s="1746">
        <v>1.4300000000000001E-3</v>
      </c>
      <c r="BG1171" s="1746" t="s">
        <v>2597</v>
      </c>
      <c r="BH1171" s="1744">
        <f t="shared" si="108"/>
        <v>1.4300000000000001E-3</v>
      </c>
      <c r="BI1171" s="1745">
        <f t="shared" ref="BI1171:BI1234" si="109">IFERROR(BH1171/BC1171,"")</f>
        <v>1.43E-5</v>
      </c>
      <c r="BJ1171" s="1740" t="str">
        <f t="shared" ref="BJ1171:BJ1234" si="110">IF(BE1171="",BD1171,BD1171&amp;"-"&amp;BE1171)</f>
        <v>capsules</v>
      </c>
      <c r="BK1171" s="1740" t="str">
        <f t="shared" si="107"/>
        <v>Bottle of Tablets</v>
      </c>
    </row>
    <row r="1172" spans="51:63" ht="15.65" customHeight="1">
      <c r="AY1172" s="1746" t="s">
        <v>2593</v>
      </c>
      <c r="AZ1172" s="1746">
        <v>2008</v>
      </c>
      <c r="BA1172" s="1746" t="s">
        <v>5011</v>
      </c>
      <c r="BB1172" s="1747" t="s">
        <v>5012</v>
      </c>
      <c r="BC1172" s="1746">
        <v>100</v>
      </c>
      <c r="BD1172" s="1746" t="s">
        <v>2727</v>
      </c>
      <c r="BE1172" s="1746"/>
      <c r="BF1172" s="1746">
        <v>1.6199999999999999E-3</v>
      </c>
      <c r="BG1172" s="1746" t="s">
        <v>2597</v>
      </c>
      <c r="BH1172" s="1744">
        <f t="shared" si="108"/>
        <v>1.6199999999999999E-3</v>
      </c>
      <c r="BI1172" s="1745">
        <f t="shared" si="109"/>
        <v>1.6200000000000001E-5</v>
      </c>
      <c r="BJ1172" s="1740" t="str">
        <f t="shared" si="110"/>
        <v>ampoules</v>
      </c>
      <c r="BK1172" s="1740" t="str">
        <f t="shared" ref="BK1172:BK1235" si="111">IFERROR(INDEX($BO$18:$BO$136,MATCH(BJ1172,$BN$18:$BN$136,0)),"")</f>
        <v>Injection Vial</v>
      </c>
    </row>
    <row r="1173" spans="51:63" ht="15.65" customHeight="1">
      <c r="AY1173" s="1746" t="s">
        <v>2575</v>
      </c>
      <c r="AZ1173" s="1746">
        <v>2008</v>
      </c>
      <c r="BA1173" s="1746" t="s">
        <v>5013</v>
      </c>
      <c r="BB1173" s="1747" t="s">
        <v>5014</v>
      </c>
      <c r="BC1173" s="1746" t="s">
        <v>2578</v>
      </c>
      <c r="BD1173" s="1746" t="s">
        <v>2579</v>
      </c>
      <c r="BE1173" s="1746" t="s">
        <v>3172</v>
      </c>
      <c r="BF1173" s="1746">
        <v>0.9</v>
      </c>
      <c r="BG1173" s="1746" t="s">
        <v>2581</v>
      </c>
      <c r="BH1173" s="1744">
        <f t="shared" si="108"/>
        <v>8.9999999999999998E-4</v>
      </c>
      <c r="BI1173" s="1745" t="str">
        <f t="shared" si="109"/>
        <v/>
      </c>
      <c r="BJ1173" s="1740" t="str">
        <f t="shared" si="110"/>
        <v>EA-Steel utensils</v>
      </c>
      <c r="BK1173" s="1740" t="str">
        <f t="shared" si="111"/>
        <v>Medical equipment</v>
      </c>
    </row>
    <row r="1174" spans="51:63" ht="15.65" customHeight="1">
      <c r="AY1174" s="1746" t="s">
        <v>2575</v>
      </c>
      <c r="AZ1174" s="1746">
        <v>2008</v>
      </c>
      <c r="BA1174" s="1746" t="s">
        <v>5015</v>
      </c>
      <c r="BB1174" s="1747" t="s">
        <v>5016</v>
      </c>
      <c r="BC1174" s="1746" t="s">
        <v>2578</v>
      </c>
      <c r="BD1174" s="1746" t="s">
        <v>2579</v>
      </c>
      <c r="BE1174" s="1746" t="s">
        <v>3172</v>
      </c>
      <c r="BF1174" s="1746">
        <v>1.75</v>
      </c>
      <c r="BG1174" s="1746" t="s">
        <v>2581</v>
      </c>
      <c r="BH1174" s="1744">
        <f t="shared" si="108"/>
        <v>1.75E-3</v>
      </c>
      <c r="BI1174" s="1745" t="str">
        <f t="shared" si="109"/>
        <v/>
      </c>
      <c r="BJ1174" s="1740" t="str">
        <f t="shared" si="110"/>
        <v>EA-Steel utensils</v>
      </c>
      <c r="BK1174" s="1740" t="str">
        <f t="shared" si="111"/>
        <v>Medical equipment</v>
      </c>
    </row>
    <row r="1175" spans="51:63" ht="15.65" customHeight="1">
      <c r="AY1175" s="1746" t="s">
        <v>2575</v>
      </c>
      <c r="AZ1175" s="1746">
        <v>2008</v>
      </c>
      <c r="BA1175" s="1746" t="s">
        <v>5017</v>
      </c>
      <c r="BB1175" s="1747" t="s">
        <v>5018</v>
      </c>
      <c r="BC1175" s="1746" t="s">
        <v>2578</v>
      </c>
      <c r="BD1175" s="1746" t="s">
        <v>2579</v>
      </c>
      <c r="BE1175" s="1746" t="s">
        <v>3172</v>
      </c>
      <c r="BF1175" s="1746">
        <v>4.0999999999999996</v>
      </c>
      <c r="BG1175" s="1746" t="s">
        <v>2581</v>
      </c>
      <c r="BH1175" s="1744">
        <f t="shared" si="108"/>
        <v>4.0999999999999995E-3</v>
      </c>
      <c r="BI1175" s="1745" t="str">
        <f t="shared" si="109"/>
        <v/>
      </c>
      <c r="BJ1175" s="1740" t="str">
        <f t="shared" si="110"/>
        <v>EA-Steel utensils</v>
      </c>
      <c r="BK1175" s="1740" t="str">
        <f t="shared" si="111"/>
        <v>Medical equipment</v>
      </c>
    </row>
    <row r="1176" spans="51:63" ht="15.65" customHeight="1">
      <c r="AY1176" s="1746" t="s">
        <v>2575</v>
      </c>
      <c r="AZ1176" s="1746">
        <v>2008</v>
      </c>
      <c r="BA1176" s="1746" t="s">
        <v>5019</v>
      </c>
      <c r="BB1176" s="1747" t="s">
        <v>5020</v>
      </c>
      <c r="BC1176" s="1746" t="s">
        <v>2578</v>
      </c>
      <c r="BD1176" s="1746" t="s">
        <v>2579</v>
      </c>
      <c r="BE1176" s="1746" t="s">
        <v>3172</v>
      </c>
      <c r="BF1176" s="1746">
        <v>0.66600000000000004</v>
      </c>
      <c r="BG1176" s="1746" t="s">
        <v>2581</v>
      </c>
      <c r="BH1176" s="1744">
        <f t="shared" si="108"/>
        <v>6.6600000000000003E-4</v>
      </c>
      <c r="BI1176" s="1745" t="str">
        <f t="shared" si="109"/>
        <v/>
      </c>
      <c r="BJ1176" s="1740" t="str">
        <f t="shared" si="110"/>
        <v>EA-Steel utensils</v>
      </c>
      <c r="BK1176" s="1740" t="str">
        <f t="shared" si="111"/>
        <v>Medical equipment</v>
      </c>
    </row>
    <row r="1177" spans="51:63" ht="15.65" customHeight="1">
      <c r="AY1177" s="1746" t="s">
        <v>2575</v>
      </c>
      <c r="AZ1177" s="1746">
        <v>2008</v>
      </c>
      <c r="BA1177" s="1746" t="s">
        <v>5021</v>
      </c>
      <c r="BB1177" s="1747" t="s">
        <v>5022</v>
      </c>
      <c r="BC1177" s="1746" t="s">
        <v>2578</v>
      </c>
      <c r="BD1177" s="1746" t="s">
        <v>3892</v>
      </c>
      <c r="BE1177" s="1746" t="s">
        <v>3893</v>
      </c>
      <c r="BF1177" s="1746">
        <v>4</v>
      </c>
      <c r="BG1177" s="1746" t="s">
        <v>2581</v>
      </c>
      <c r="BH1177" s="1744">
        <f t="shared" ref="BH1177:BH1240" si="112">IF(BG1177="CCM",BF1177/1000000,IF(BG1177="CDM",BF1177/1000, IF(BG1177="M3",BF1177,"")))</f>
        <v>4.0000000000000001E-3</v>
      </c>
      <c r="BI1177" s="1745" t="str">
        <f t="shared" si="109"/>
        <v/>
      </c>
      <c r="BJ1177" s="1740" t="str">
        <f t="shared" si="110"/>
        <v>KG-Pharma raw materials</v>
      </c>
      <c r="BK1177" s="1740" t="str">
        <f t="shared" si="111"/>
        <v>Medical equipment</v>
      </c>
    </row>
    <row r="1178" spans="51:63" ht="15.65" customHeight="1">
      <c r="AY1178" s="1746" t="s">
        <v>2575</v>
      </c>
      <c r="AZ1178" s="1746">
        <v>2008</v>
      </c>
      <c r="BA1178" s="1746" t="s">
        <v>5023</v>
      </c>
      <c r="BB1178" s="1747" t="s">
        <v>5024</v>
      </c>
      <c r="BC1178" s="1746" t="s">
        <v>2578</v>
      </c>
      <c r="BD1178" s="1746" t="s">
        <v>2579</v>
      </c>
      <c r="BE1178" s="1746" t="s">
        <v>3196</v>
      </c>
      <c r="BF1178" s="1746">
        <v>0.08</v>
      </c>
      <c r="BG1178" s="1746" t="s">
        <v>2597</v>
      </c>
      <c r="BH1178" s="1744">
        <f t="shared" si="112"/>
        <v>0.08</v>
      </c>
      <c r="BI1178" s="1745" t="str">
        <f t="shared" si="109"/>
        <v/>
      </c>
      <c r="BJ1178" s="1740" t="str">
        <f t="shared" si="110"/>
        <v>EA-Other hosp. equip.</v>
      </c>
      <c r="BK1178" s="1740" t="str">
        <f t="shared" si="111"/>
        <v>Medical equipment</v>
      </c>
    </row>
    <row r="1179" spans="51:63" ht="15.65" customHeight="1">
      <c r="AY1179" s="1746" t="s">
        <v>2575</v>
      </c>
      <c r="AZ1179" s="1746">
        <v>2008</v>
      </c>
      <c r="BA1179" s="1746" t="s">
        <v>5025</v>
      </c>
      <c r="BB1179" s="1747" t="s">
        <v>5026</v>
      </c>
      <c r="BC1179" s="1746" t="s">
        <v>2578</v>
      </c>
      <c r="BD1179" s="1746" t="s">
        <v>2579</v>
      </c>
      <c r="BE1179" s="1746" t="s">
        <v>3196</v>
      </c>
      <c r="BF1179" s="1746">
        <v>0.153</v>
      </c>
      <c r="BG1179" s="1746" t="s">
        <v>2597</v>
      </c>
      <c r="BH1179" s="1744">
        <f t="shared" si="112"/>
        <v>0.153</v>
      </c>
      <c r="BI1179" s="1745" t="str">
        <f t="shared" si="109"/>
        <v/>
      </c>
      <c r="BJ1179" s="1740" t="str">
        <f t="shared" si="110"/>
        <v>EA-Other hosp. equip.</v>
      </c>
      <c r="BK1179" s="1740" t="str">
        <f t="shared" si="111"/>
        <v>Medical equipment</v>
      </c>
    </row>
    <row r="1180" spans="51:63" ht="15.65" customHeight="1">
      <c r="AY1180" s="1746" t="s">
        <v>2575</v>
      </c>
      <c r="AZ1180" s="1746">
        <v>2008</v>
      </c>
      <c r="BA1180" s="1746" t="s">
        <v>5027</v>
      </c>
      <c r="BB1180" s="1747" t="s">
        <v>5028</v>
      </c>
      <c r="BC1180" s="1746" t="s">
        <v>2578</v>
      </c>
      <c r="BD1180" s="1746" t="s">
        <v>2579</v>
      </c>
      <c r="BE1180" s="1746" t="s">
        <v>3196</v>
      </c>
      <c r="BF1180" s="1746">
        <v>0.24299999999999999</v>
      </c>
      <c r="BG1180" s="1746" t="s">
        <v>2597</v>
      </c>
      <c r="BH1180" s="1744">
        <f t="shared" si="112"/>
        <v>0.24299999999999999</v>
      </c>
      <c r="BI1180" s="1745" t="str">
        <f t="shared" si="109"/>
        <v/>
      </c>
      <c r="BJ1180" s="1740" t="str">
        <f t="shared" si="110"/>
        <v>EA-Other hosp. equip.</v>
      </c>
      <c r="BK1180" s="1740" t="str">
        <f t="shared" si="111"/>
        <v>Medical equipment</v>
      </c>
    </row>
    <row r="1181" spans="51:63" ht="15.65" customHeight="1">
      <c r="AY1181" s="1746" t="s">
        <v>2588</v>
      </c>
      <c r="AZ1181" s="1746">
        <v>2006</v>
      </c>
      <c r="BA1181" s="1746" t="s">
        <v>5029</v>
      </c>
      <c r="BB1181" s="1747" t="s">
        <v>5030</v>
      </c>
      <c r="BC1181" s="1746">
        <v>10</v>
      </c>
      <c r="BD1181" s="1746" t="s">
        <v>2836</v>
      </c>
      <c r="BE1181" s="1746"/>
      <c r="BF1181" s="1746">
        <v>278</v>
      </c>
      <c r="BG1181" s="1746" t="s">
        <v>2592</v>
      </c>
      <c r="BH1181" s="1744">
        <f t="shared" si="112"/>
        <v>2.7799999999999998E-4</v>
      </c>
      <c r="BI1181" s="1745">
        <f t="shared" si="109"/>
        <v>2.7799999999999998E-5</v>
      </c>
      <c r="BJ1181" s="1740" t="str">
        <f t="shared" si="110"/>
        <v>btls</v>
      </c>
      <c r="BK1181" s="1740" t="str">
        <f t="shared" si="111"/>
        <v>Bottle of Liquid</v>
      </c>
    </row>
    <row r="1182" spans="51:63" ht="15.65" customHeight="1">
      <c r="AY1182" s="1746" t="s">
        <v>2593</v>
      </c>
      <c r="AZ1182" s="1746">
        <v>2008</v>
      </c>
      <c r="BA1182" s="1746" t="s">
        <v>5031</v>
      </c>
      <c r="BB1182" s="1747" t="s">
        <v>5032</v>
      </c>
      <c r="BC1182" s="1746">
        <v>1</v>
      </c>
      <c r="BD1182" s="1746" t="s">
        <v>5033</v>
      </c>
      <c r="BE1182" s="1746"/>
      <c r="BF1182" s="1746">
        <v>3.3E-4</v>
      </c>
      <c r="BG1182" s="1746" t="s">
        <v>2597</v>
      </c>
      <c r="BH1182" s="1744">
        <f t="shared" si="112"/>
        <v>3.3E-4</v>
      </c>
      <c r="BI1182" s="1745">
        <f t="shared" si="109"/>
        <v>3.3E-4</v>
      </c>
      <c r="BJ1182" s="1740" t="str">
        <f t="shared" si="110"/>
        <v>pair</v>
      </c>
      <c r="BK1182" s="1740" t="str">
        <f t="shared" si="111"/>
        <v>Medical equipment</v>
      </c>
    </row>
    <row r="1183" spans="51:63" ht="15.65" customHeight="1">
      <c r="AY1183" s="1746" t="s">
        <v>2588</v>
      </c>
      <c r="AZ1183" s="1746">
        <v>2006</v>
      </c>
      <c r="BA1183" s="1746" t="s">
        <v>5034</v>
      </c>
      <c r="BB1183" s="1747" t="s">
        <v>5035</v>
      </c>
      <c r="BC1183" s="1746">
        <v>300</v>
      </c>
      <c r="BD1183" s="1746" t="s">
        <v>2927</v>
      </c>
      <c r="BE1183" s="1746"/>
      <c r="BF1183" s="1746">
        <v>450</v>
      </c>
      <c r="BG1183" s="1746" t="s">
        <v>2592</v>
      </c>
      <c r="BH1183" s="1744">
        <f t="shared" si="112"/>
        <v>4.4999999999999999E-4</v>
      </c>
      <c r="BI1183" s="1745">
        <f t="shared" si="109"/>
        <v>1.5E-6</v>
      </c>
      <c r="BJ1183" s="1740" t="str">
        <f t="shared" si="110"/>
        <v>pcs</v>
      </c>
      <c r="BK1183" s="1740" t="str">
        <f t="shared" si="111"/>
        <v>Medical equipment</v>
      </c>
    </row>
    <row r="1184" spans="51:63" ht="15.65" customHeight="1">
      <c r="AY1184" s="1746" t="s">
        <v>2588</v>
      </c>
      <c r="AZ1184" s="1746">
        <v>2006</v>
      </c>
      <c r="BA1184" s="1746" t="s">
        <v>5036</v>
      </c>
      <c r="BB1184" s="1747" t="s">
        <v>5037</v>
      </c>
      <c r="BC1184" s="1746">
        <v>100</v>
      </c>
      <c r="BD1184" s="1746" t="s">
        <v>4850</v>
      </c>
      <c r="BE1184" s="1746"/>
      <c r="BF1184" s="1746">
        <v>100</v>
      </c>
      <c r="BG1184" s="1746" t="s">
        <v>2592</v>
      </c>
      <c r="BH1184" s="1744">
        <f t="shared" si="112"/>
        <v>1E-4</v>
      </c>
      <c r="BI1184" s="1745">
        <f t="shared" si="109"/>
        <v>9.9999999999999995E-7</v>
      </c>
      <c r="BJ1184" s="1740" t="str">
        <f t="shared" si="110"/>
        <v>strips</v>
      </c>
      <c r="BK1184" s="1740" t="str">
        <f t="shared" si="111"/>
        <v>Rapid Test</v>
      </c>
    </row>
    <row r="1185" spans="51:63" ht="15.65" customHeight="1">
      <c r="AY1185" s="1746" t="s">
        <v>2575</v>
      </c>
      <c r="AZ1185" s="1746">
        <v>2008</v>
      </c>
      <c r="BA1185" s="1746" t="s">
        <v>5038</v>
      </c>
      <c r="BB1185" s="1747" t="s">
        <v>5039</v>
      </c>
      <c r="BC1185" s="1746" t="s">
        <v>2578</v>
      </c>
      <c r="BD1185" s="1746" t="s">
        <v>2579</v>
      </c>
      <c r="BE1185" s="1746" t="s">
        <v>3179</v>
      </c>
      <c r="BF1185" s="1746">
        <v>0</v>
      </c>
      <c r="BG1185" s="1746"/>
      <c r="BH1185" s="1744" t="str">
        <f t="shared" si="112"/>
        <v/>
      </c>
      <c r="BI1185" s="1745" t="str">
        <f t="shared" si="109"/>
        <v/>
      </c>
      <c r="BJ1185" s="1740" t="str">
        <f t="shared" si="110"/>
        <v>EA-EPI vaccines</v>
      </c>
      <c r="BK1185" s="1740" t="str">
        <f t="shared" si="111"/>
        <v>Vaccine Vial</v>
      </c>
    </row>
    <row r="1186" spans="51:63" ht="15.65" customHeight="1">
      <c r="AY1186" s="1746" t="s">
        <v>2575</v>
      </c>
      <c r="AZ1186" s="1746">
        <v>2008</v>
      </c>
      <c r="BA1186" s="1746" t="s">
        <v>5040</v>
      </c>
      <c r="BB1186" s="1747" t="s">
        <v>5041</v>
      </c>
      <c r="BC1186" s="1746" t="s">
        <v>2578</v>
      </c>
      <c r="BD1186" s="1746" t="s">
        <v>2579</v>
      </c>
      <c r="BE1186" s="1746" t="s">
        <v>3179</v>
      </c>
      <c r="BF1186" s="1746">
        <v>0</v>
      </c>
      <c r="BG1186" s="1746"/>
      <c r="BH1186" s="1744" t="str">
        <f t="shared" si="112"/>
        <v/>
      </c>
      <c r="BI1186" s="1745" t="str">
        <f t="shared" si="109"/>
        <v/>
      </c>
      <c r="BJ1186" s="1740" t="str">
        <f t="shared" si="110"/>
        <v>EA-EPI vaccines</v>
      </c>
      <c r="BK1186" s="1740" t="str">
        <f t="shared" si="111"/>
        <v>Vaccine Vial</v>
      </c>
    </row>
    <row r="1187" spans="51:63" ht="15.65" customHeight="1">
      <c r="AY1187" s="1746" t="s">
        <v>2575</v>
      </c>
      <c r="AZ1187" s="1746">
        <v>2008</v>
      </c>
      <c r="BA1187" s="1746" t="s">
        <v>5042</v>
      </c>
      <c r="BB1187" s="1747" t="s">
        <v>5043</v>
      </c>
      <c r="BC1187" s="1746" t="s">
        <v>2578</v>
      </c>
      <c r="BD1187" s="1746" t="s">
        <v>2579</v>
      </c>
      <c r="BE1187" s="1746" t="s">
        <v>4218</v>
      </c>
      <c r="BF1187" s="1746">
        <v>0.16</v>
      </c>
      <c r="BG1187" s="1746" t="s">
        <v>2581</v>
      </c>
      <c r="BH1187" s="1744">
        <f t="shared" si="112"/>
        <v>1.6000000000000001E-4</v>
      </c>
      <c r="BI1187" s="1745" t="str">
        <f t="shared" si="109"/>
        <v/>
      </c>
      <c r="BJ1187" s="1740" t="str">
        <f t="shared" si="110"/>
        <v>EA-Misc. surg. instrum.</v>
      </c>
      <c r="BK1187" s="1740" t="str">
        <f t="shared" si="111"/>
        <v>Medical equipment</v>
      </c>
    </row>
    <row r="1188" spans="51:63" ht="15.65" customHeight="1">
      <c r="AY1188" s="1746" t="s">
        <v>2593</v>
      </c>
      <c r="AZ1188" s="1746">
        <v>2008</v>
      </c>
      <c r="BA1188" s="1746" t="s">
        <v>5044</v>
      </c>
      <c r="BB1188" s="1747" t="s">
        <v>5045</v>
      </c>
      <c r="BC1188" s="1746">
        <v>1</v>
      </c>
      <c r="BD1188" s="1746" t="s">
        <v>2933</v>
      </c>
      <c r="BE1188" s="1746"/>
      <c r="BF1188" s="1746">
        <v>2.2000000000000001E-4</v>
      </c>
      <c r="BG1188" s="1746" t="s">
        <v>2597</v>
      </c>
      <c r="BH1188" s="1744">
        <f t="shared" si="112"/>
        <v>2.2000000000000001E-4</v>
      </c>
      <c r="BI1188" s="1745">
        <f t="shared" si="109"/>
        <v>2.2000000000000001E-4</v>
      </c>
      <c r="BJ1188" s="1740" t="str">
        <f t="shared" si="110"/>
        <v>piece</v>
      </c>
      <c r="BK1188" s="1740" t="str">
        <f t="shared" si="111"/>
        <v>Medical equipment</v>
      </c>
    </row>
    <row r="1189" spans="51:63" ht="15.65" customHeight="1">
      <c r="AY1189" s="1746" t="s">
        <v>2593</v>
      </c>
      <c r="AZ1189" s="1746">
        <v>2008</v>
      </c>
      <c r="BA1189" s="1746" t="s">
        <v>5046</v>
      </c>
      <c r="BB1189" s="1747" t="s">
        <v>5047</v>
      </c>
      <c r="BC1189" s="1746">
        <v>1</v>
      </c>
      <c r="BD1189" s="1746" t="s">
        <v>2933</v>
      </c>
      <c r="BE1189" s="1746"/>
      <c r="BF1189" s="1746">
        <v>2.3000000000000001E-4</v>
      </c>
      <c r="BG1189" s="1746" t="s">
        <v>2597</v>
      </c>
      <c r="BH1189" s="1744">
        <f t="shared" si="112"/>
        <v>2.3000000000000001E-4</v>
      </c>
      <c r="BI1189" s="1745">
        <f t="shared" si="109"/>
        <v>2.3000000000000001E-4</v>
      </c>
      <c r="BJ1189" s="1740" t="str">
        <f t="shared" si="110"/>
        <v>piece</v>
      </c>
      <c r="BK1189" s="1740" t="str">
        <f t="shared" si="111"/>
        <v>Medical equipment</v>
      </c>
    </row>
    <row r="1190" spans="51:63" ht="15.65" customHeight="1">
      <c r="AY1190" s="1746" t="s">
        <v>2593</v>
      </c>
      <c r="AZ1190" s="1746">
        <v>2008</v>
      </c>
      <c r="BA1190" s="1746" t="s">
        <v>5048</v>
      </c>
      <c r="BB1190" s="1747" t="s">
        <v>5049</v>
      </c>
      <c r="BC1190" s="1746">
        <v>1</v>
      </c>
      <c r="BD1190" s="1746" t="s">
        <v>2933</v>
      </c>
      <c r="BE1190" s="1746"/>
      <c r="BF1190" s="1746">
        <v>2.7999999999999998E-4</v>
      </c>
      <c r="BG1190" s="1746" t="s">
        <v>2597</v>
      </c>
      <c r="BH1190" s="1744">
        <f t="shared" si="112"/>
        <v>2.7999999999999998E-4</v>
      </c>
      <c r="BI1190" s="1745">
        <f t="shared" si="109"/>
        <v>2.7999999999999998E-4</v>
      </c>
      <c r="BJ1190" s="1740" t="str">
        <f t="shared" si="110"/>
        <v>piece</v>
      </c>
      <c r="BK1190" s="1740" t="str">
        <f t="shared" si="111"/>
        <v>Medical equipment</v>
      </c>
    </row>
    <row r="1191" spans="51:63" ht="15.65" customHeight="1">
      <c r="AY1191" s="1746" t="s">
        <v>2593</v>
      </c>
      <c r="AZ1191" s="1746">
        <v>2008</v>
      </c>
      <c r="BA1191" s="1746" t="s">
        <v>5050</v>
      </c>
      <c r="BB1191" s="1747" t="s">
        <v>5051</v>
      </c>
      <c r="BC1191" s="1746">
        <v>1</v>
      </c>
      <c r="BD1191" s="1746" t="s">
        <v>2933</v>
      </c>
      <c r="BE1191" s="1746"/>
      <c r="BF1191" s="1746">
        <v>2.2000000000000001E-4</v>
      </c>
      <c r="BG1191" s="1746" t="s">
        <v>2597</v>
      </c>
      <c r="BH1191" s="1744">
        <f t="shared" si="112"/>
        <v>2.2000000000000001E-4</v>
      </c>
      <c r="BI1191" s="1745">
        <f t="shared" si="109"/>
        <v>2.2000000000000001E-4</v>
      </c>
      <c r="BJ1191" s="1740" t="str">
        <f t="shared" si="110"/>
        <v>piece</v>
      </c>
      <c r="BK1191" s="1740" t="str">
        <f t="shared" si="111"/>
        <v>Medical equipment</v>
      </c>
    </row>
    <row r="1192" spans="51:63" ht="15.65" customHeight="1">
      <c r="AY1192" s="1746" t="s">
        <v>2593</v>
      </c>
      <c r="AZ1192" s="1746">
        <v>2008</v>
      </c>
      <c r="BA1192" s="1746" t="s">
        <v>5052</v>
      </c>
      <c r="BB1192" s="1747" t="s">
        <v>5053</v>
      </c>
      <c r="BC1192" s="1746">
        <v>1</v>
      </c>
      <c r="BD1192" s="1746" t="s">
        <v>2933</v>
      </c>
      <c r="BE1192" s="1746"/>
      <c r="BF1192" s="1746">
        <v>1.2999999999999999E-4</v>
      </c>
      <c r="BG1192" s="1746" t="s">
        <v>2597</v>
      </c>
      <c r="BH1192" s="1744">
        <f t="shared" si="112"/>
        <v>1.2999999999999999E-4</v>
      </c>
      <c r="BI1192" s="1745">
        <f t="shared" si="109"/>
        <v>1.2999999999999999E-4</v>
      </c>
      <c r="BJ1192" s="1740" t="str">
        <f t="shared" si="110"/>
        <v>piece</v>
      </c>
      <c r="BK1192" s="1740" t="str">
        <f t="shared" si="111"/>
        <v>Medical equipment</v>
      </c>
    </row>
    <row r="1193" spans="51:63" ht="15.65" customHeight="1">
      <c r="AY1193" s="1746" t="s">
        <v>2593</v>
      </c>
      <c r="AZ1193" s="1746">
        <v>2008</v>
      </c>
      <c r="BA1193" s="1746" t="s">
        <v>5054</v>
      </c>
      <c r="BB1193" s="1747" t="s">
        <v>5055</v>
      </c>
      <c r="BC1193" s="1746">
        <v>1</v>
      </c>
      <c r="BD1193" s="1746" t="s">
        <v>2933</v>
      </c>
      <c r="BE1193" s="1746"/>
      <c r="BF1193" s="1746">
        <v>9.0000000000000006E-5</v>
      </c>
      <c r="BG1193" s="1746" t="s">
        <v>2597</v>
      </c>
      <c r="BH1193" s="1744">
        <f t="shared" si="112"/>
        <v>9.0000000000000006E-5</v>
      </c>
      <c r="BI1193" s="1745">
        <f t="shared" si="109"/>
        <v>9.0000000000000006E-5</v>
      </c>
      <c r="BJ1193" s="1740" t="str">
        <f t="shared" si="110"/>
        <v>piece</v>
      </c>
      <c r="BK1193" s="1740" t="str">
        <f t="shared" si="111"/>
        <v>Medical equipment</v>
      </c>
    </row>
    <row r="1194" spans="51:63" ht="15.65" customHeight="1">
      <c r="AY1194" s="1746" t="s">
        <v>2593</v>
      </c>
      <c r="AZ1194" s="1746">
        <v>2008</v>
      </c>
      <c r="BA1194" s="1746" t="s">
        <v>5056</v>
      </c>
      <c r="BB1194" s="1747" t="s">
        <v>5057</v>
      </c>
      <c r="BC1194" s="1746">
        <v>1</v>
      </c>
      <c r="BD1194" s="1746" t="s">
        <v>2933</v>
      </c>
      <c r="BE1194" s="1746"/>
      <c r="BF1194" s="1746">
        <v>1.2999999999999999E-4</v>
      </c>
      <c r="BG1194" s="1746" t="s">
        <v>2597</v>
      </c>
      <c r="BH1194" s="1744">
        <f t="shared" si="112"/>
        <v>1.2999999999999999E-4</v>
      </c>
      <c r="BI1194" s="1745">
        <f t="shared" si="109"/>
        <v>1.2999999999999999E-4</v>
      </c>
      <c r="BJ1194" s="1740" t="str">
        <f t="shared" si="110"/>
        <v>piece</v>
      </c>
      <c r="BK1194" s="1740" t="str">
        <f t="shared" si="111"/>
        <v>Medical equipment</v>
      </c>
    </row>
    <row r="1195" spans="51:63" ht="15.65" customHeight="1">
      <c r="AY1195" s="1746" t="s">
        <v>2593</v>
      </c>
      <c r="AZ1195" s="1746">
        <v>2008</v>
      </c>
      <c r="BA1195" s="1746" t="s">
        <v>5058</v>
      </c>
      <c r="BB1195" s="1747" t="s">
        <v>5059</v>
      </c>
      <c r="BC1195" s="1746">
        <v>1</v>
      </c>
      <c r="BD1195" s="1746" t="s">
        <v>2933</v>
      </c>
      <c r="BE1195" s="1746"/>
      <c r="BF1195" s="1746">
        <v>9.0000000000000006E-5</v>
      </c>
      <c r="BG1195" s="1746" t="s">
        <v>2597</v>
      </c>
      <c r="BH1195" s="1744">
        <f t="shared" si="112"/>
        <v>9.0000000000000006E-5</v>
      </c>
      <c r="BI1195" s="1745">
        <f t="shared" si="109"/>
        <v>9.0000000000000006E-5</v>
      </c>
      <c r="BJ1195" s="1740" t="str">
        <f t="shared" si="110"/>
        <v>piece</v>
      </c>
      <c r="BK1195" s="1740" t="str">
        <f t="shared" si="111"/>
        <v>Medical equipment</v>
      </c>
    </row>
    <row r="1196" spans="51:63" ht="15.65" customHeight="1">
      <c r="AY1196" s="1746" t="s">
        <v>2593</v>
      </c>
      <c r="AZ1196" s="1746">
        <v>2008</v>
      </c>
      <c r="BA1196" s="1746" t="s">
        <v>5060</v>
      </c>
      <c r="BB1196" s="1747" t="s">
        <v>5061</v>
      </c>
      <c r="BC1196" s="1746">
        <v>100</v>
      </c>
      <c r="BD1196" s="1746" t="s">
        <v>2930</v>
      </c>
      <c r="BE1196" s="1746"/>
      <c r="BF1196" s="1746">
        <v>3.1E-4</v>
      </c>
      <c r="BG1196" s="1746" t="s">
        <v>2597</v>
      </c>
      <c r="BH1196" s="1744">
        <f t="shared" si="112"/>
        <v>3.1E-4</v>
      </c>
      <c r="BI1196" s="1745">
        <f t="shared" si="109"/>
        <v>3.1E-6</v>
      </c>
      <c r="BJ1196" s="1740" t="str">
        <f t="shared" si="110"/>
        <v>pieces</v>
      </c>
      <c r="BK1196" s="1740" t="str">
        <f t="shared" si="111"/>
        <v>Medical equipment</v>
      </c>
    </row>
    <row r="1197" spans="51:63" ht="15.65" customHeight="1">
      <c r="AY1197" s="1746" t="s">
        <v>2575</v>
      </c>
      <c r="AZ1197" s="1746">
        <v>2008</v>
      </c>
      <c r="BA1197" s="1746" t="s">
        <v>5062</v>
      </c>
      <c r="BB1197" s="1747" t="s">
        <v>5063</v>
      </c>
      <c r="BC1197" s="1746" t="s">
        <v>2578</v>
      </c>
      <c r="BD1197" s="1746" t="s">
        <v>2579</v>
      </c>
      <c r="BE1197" s="1746" t="s">
        <v>2730</v>
      </c>
      <c r="BF1197" s="1746">
        <v>0.10100000000000001</v>
      </c>
      <c r="BG1197" s="1746" t="s">
        <v>2581</v>
      </c>
      <c r="BH1197" s="1744">
        <f t="shared" si="112"/>
        <v>1.01E-4</v>
      </c>
      <c r="BI1197" s="1745" t="str">
        <f t="shared" si="109"/>
        <v/>
      </c>
      <c r="BJ1197" s="1740" t="str">
        <f t="shared" si="110"/>
        <v>EA-Tube/catheter/drain</v>
      </c>
      <c r="BK1197" s="1740" t="str">
        <f t="shared" si="111"/>
        <v>Medical equipment</v>
      </c>
    </row>
    <row r="1198" spans="51:63" ht="15.65" customHeight="1">
      <c r="AY1198" s="1746" t="s">
        <v>2575</v>
      </c>
      <c r="AZ1198" s="1746">
        <v>2008</v>
      </c>
      <c r="BA1198" s="1746" t="s">
        <v>5064</v>
      </c>
      <c r="BB1198" s="1747" t="s">
        <v>5065</v>
      </c>
      <c r="BC1198" s="1746" t="s">
        <v>2578</v>
      </c>
      <c r="BD1198" s="1746" t="s">
        <v>2579</v>
      </c>
      <c r="BE1198" s="1746" t="s">
        <v>2730</v>
      </c>
      <c r="BF1198" s="1746">
        <v>0.23200000000000001</v>
      </c>
      <c r="BG1198" s="1746" t="s">
        <v>2581</v>
      </c>
      <c r="BH1198" s="1744">
        <f t="shared" si="112"/>
        <v>2.32E-4</v>
      </c>
      <c r="BI1198" s="1745" t="str">
        <f t="shared" si="109"/>
        <v/>
      </c>
      <c r="BJ1198" s="1740" t="str">
        <f t="shared" si="110"/>
        <v>EA-Tube/catheter/drain</v>
      </c>
      <c r="BK1198" s="1740" t="str">
        <f t="shared" si="111"/>
        <v>Medical equipment</v>
      </c>
    </row>
    <row r="1199" spans="51:63" ht="15.65" customHeight="1">
      <c r="AY1199" s="1746" t="s">
        <v>2575</v>
      </c>
      <c r="AZ1199" s="1746">
        <v>2008</v>
      </c>
      <c r="BA1199" s="1746" t="s">
        <v>5066</v>
      </c>
      <c r="BB1199" s="1747" t="s">
        <v>5067</v>
      </c>
      <c r="BC1199" s="1746" t="s">
        <v>2578</v>
      </c>
      <c r="BD1199" s="1746" t="s">
        <v>2579</v>
      </c>
      <c r="BE1199" s="1746" t="s">
        <v>2730</v>
      </c>
      <c r="BF1199" s="1746">
        <v>0.23200000000000001</v>
      </c>
      <c r="BG1199" s="1746" t="s">
        <v>2581</v>
      </c>
      <c r="BH1199" s="1744">
        <f t="shared" si="112"/>
        <v>2.32E-4</v>
      </c>
      <c r="BI1199" s="1745" t="str">
        <f t="shared" si="109"/>
        <v/>
      </c>
      <c r="BJ1199" s="1740" t="str">
        <f t="shared" si="110"/>
        <v>EA-Tube/catheter/drain</v>
      </c>
      <c r="BK1199" s="1740" t="str">
        <f t="shared" si="111"/>
        <v>Medical equipment</v>
      </c>
    </row>
    <row r="1200" spans="51:63" ht="15.65" customHeight="1">
      <c r="AY1200" s="1746" t="s">
        <v>2575</v>
      </c>
      <c r="AZ1200" s="1746">
        <v>2008</v>
      </c>
      <c r="BA1200" s="1746" t="s">
        <v>5068</v>
      </c>
      <c r="BB1200" s="1747" t="s">
        <v>5069</v>
      </c>
      <c r="BC1200" s="1746" t="s">
        <v>2578</v>
      </c>
      <c r="BD1200" s="1746" t="s">
        <v>2579</v>
      </c>
      <c r="BE1200" s="1746" t="s">
        <v>2730</v>
      </c>
      <c r="BF1200" s="1746">
        <v>0.3</v>
      </c>
      <c r="BG1200" s="1746" t="s">
        <v>2581</v>
      </c>
      <c r="BH1200" s="1744">
        <f t="shared" si="112"/>
        <v>2.9999999999999997E-4</v>
      </c>
      <c r="BI1200" s="1745" t="str">
        <f t="shared" si="109"/>
        <v/>
      </c>
      <c r="BJ1200" s="1740" t="str">
        <f t="shared" si="110"/>
        <v>EA-Tube/catheter/drain</v>
      </c>
      <c r="BK1200" s="1740" t="str">
        <f t="shared" si="111"/>
        <v>Medical equipment</v>
      </c>
    </row>
    <row r="1201" spans="51:63" ht="15.65" customHeight="1">
      <c r="AY1201" s="1746" t="s">
        <v>2575</v>
      </c>
      <c r="AZ1201" s="1746">
        <v>2008</v>
      </c>
      <c r="BA1201" s="1746" t="s">
        <v>5070</v>
      </c>
      <c r="BB1201" s="1747" t="s">
        <v>5071</v>
      </c>
      <c r="BC1201" s="1746" t="s">
        <v>2578</v>
      </c>
      <c r="BD1201" s="1746" t="s">
        <v>2579</v>
      </c>
      <c r="BE1201" s="1746" t="s">
        <v>2730</v>
      </c>
      <c r="BF1201" s="1746">
        <v>6</v>
      </c>
      <c r="BG1201" s="1746" t="s">
        <v>2581</v>
      </c>
      <c r="BH1201" s="1744">
        <f t="shared" si="112"/>
        <v>6.0000000000000001E-3</v>
      </c>
      <c r="BI1201" s="1745" t="str">
        <f t="shared" si="109"/>
        <v/>
      </c>
      <c r="BJ1201" s="1740" t="str">
        <f t="shared" si="110"/>
        <v>EA-Tube/catheter/drain</v>
      </c>
      <c r="BK1201" s="1740" t="str">
        <f t="shared" si="111"/>
        <v>Medical equipment</v>
      </c>
    </row>
    <row r="1202" spans="51:63" ht="15.65" customHeight="1">
      <c r="AY1202" s="1746" t="s">
        <v>2575</v>
      </c>
      <c r="AZ1202" s="1746">
        <v>2008</v>
      </c>
      <c r="BA1202" s="1746" t="s">
        <v>5072</v>
      </c>
      <c r="BB1202" s="1747" t="s">
        <v>5073</v>
      </c>
      <c r="BC1202" s="1746" t="s">
        <v>2578</v>
      </c>
      <c r="BD1202" s="1746" t="s">
        <v>2579</v>
      </c>
      <c r="BE1202" s="1746" t="s">
        <v>2730</v>
      </c>
      <c r="BF1202" s="1746">
        <v>6</v>
      </c>
      <c r="BG1202" s="1746" t="s">
        <v>2581</v>
      </c>
      <c r="BH1202" s="1744">
        <f t="shared" si="112"/>
        <v>6.0000000000000001E-3</v>
      </c>
      <c r="BI1202" s="1745" t="str">
        <f t="shared" si="109"/>
        <v/>
      </c>
      <c r="BJ1202" s="1740" t="str">
        <f t="shared" si="110"/>
        <v>EA-Tube/catheter/drain</v>
      </c>
      <c r="BK1202" s="1740" t="str">
        <f t="shared" si="111"/>
        <v>Medical equipment</v>
      </c>
    </row>
    <row r="1203" spans="51:63" ht="15.65" customHeight="1">
      <c r="AY1203" s="1746" t="s">
        <v>2575</v>
      </c>
      <c r="AZ1203" s="1746">
        <v>2008</v>
      </c>
      <c r="BA1203" s="1746" t="s">
        <v>5074</v>
      </c>
      <c r="BB1203" s="1747" t="s">
        <v>5075</v>
      </c>
      <c r="BC1203" s="1746" t="s">
        <v>2578</v>
      </c>
      <c r="BD1203" s="1746" t="s">
        <v>2579</v>
      </c>
      <c r="BE1203" s="1746" t="s">
        <v>2730</v>
      </c>
      <c r="BF1203" s="1746">
        <v>558.6</v>
      </c>
      <c r="BG1203" s="1746" t="s">
        <v>2592</v>
      </c>
      <c r="BH1203" s="1744">
        <f t="shared" si="112"/>
        <v>5.5860000000000003E-4</v>
      </c>
      <c r="BI1203" s="1745" t="str">
        <f t="shared" si="109"/>
        <v/>
      </c>
      <c r="BJ1203" s="1740" t="str">
        <f t="shared" si="110"/>
        <v>EA-Tube/catheter/drain</v>
      </c>
      <c r="BK1203" s="1740" t="str">
        <f t="shared" si="111"/>
        <v>Medical equipment</v>
      </c>
    </row>
    <row r="1204" spans="51:63" ht="15.65" customHeight="1">
      <c r="AY1204" s="1746" t="s">
        <v>2575</v>
      </c>
      <c r="AZ1204" s="1746">
        <v>2008</v>
      </c>
      <c r="BA1204" s="1746" t="s">
        <v>5076</v>
      </c>
      <c r="BB1204" s="1747" t="s">
        <v>5077</v>
      </c>
      <c r="BC1204" s="1746" t="s">
        <v>2578</v>
      </c>
      <c r="BD1204" s="1746" t="s">
        <v>2579</v>
      </c>
      <c r="BE1204" s="1746" t="s">
        <v>2730</v>
      </c>
      <c r="BF1204" s="1746">
        <v>6</v>
      </c>
      <c r="BG1204" s="1746" t="s">
        <v>2581</v>
      </c>
      <c r="BH1204" s="1744">
        <f t="shared" si="112"/>
        <v>6.0000000000000001E-3</v>
      </c>
      <c r="BI1204" s="1745" t="str">
        <f t="shared" si="109"/>
        <v/>
      </c>
      <c r="BJ1204" s="1740" t="str">
        <f t="shared" si="110"/>
        <v>EA-Tube/catheter/drain</v>
      </c>
      <c r="BK1204" s="1740" t="str">
        <f t="shared" si="111"/>
        <v>Medical equipment</v>
      </c>
    </row>
    <row r="1205" spans="51:63" ht="15.65" customHeight="1">
      <c r="AY1205" s="1746" t="s">
        <v>2575</v>
      </c>
      <c r="AZ1205" s="1746">
        <v>2008</v>
      </c>
      <c r="BA1205" s="1746" t="s">
        <v>5078</v>
      </c>
      <c r="BB1205" s="1747" t="s">
        <v>5079</v>
      </c>
      <c r="BC1205" s="1746" t="s">
        <v>2578</v>
      </c>
      <c r="BD1205" s="1746" t="s">
        <v>2579</v>
      </c>
      <c r="BE1205" s="1746" t="s">
        <v>2730</v>
      </c>
      <c r="BF1205" s="1746">
        <v>6</v>
      </c>
      <c r="BG1205" s="1746" t="s">
        <v>2581</v>
      </c>
      <c r="BH1205" s="1744">
        <f t="shared" si="112"/>
        <v>6.0000000000000001E-3</v>
      </c>
      <c r="BI1205" s="1745" t="str">
        <f t="shared" si="109"/>
        <v/>
      </c>
      <c r="BJ1205" s="1740" t="str">
        <f t="shared" si="110"/>
        <v>EA-Tube/catheter/drain</v>
      </c>
      <c r="BK1205" s="1740" t="str">
        <f t="shared" si="111"/>
        <v>Medical equipment</v>
      </c>
    </row>
    <row r="1206" spans="51:63" ht="15.65" customHeight="1">
      <c r="AY1206" s="1746" t="s">
        <v>2575</v>
      </c>
      <c r="AZ1206" s="1746">
        <v>2008</v>
      </c>
      <c r="BA1206" s="1746" t="s">
        <v>5080</v>
      </c>
      <c r="BB1206" s="1747" t="s">
        <v>5081</v>
      </c>
      <c r="BC1206" s="1746" t="s">
        <v>2578</v>
      </c>
      <c r="BD1206" s="1746" t="s">
        <v>2579</v>
      </c>
      <c r="BE1206" s="1746" t="s">
        <v>2730</v>
      </c>
      <c r="BF1206" s="1746">
        <v>6</v>
      </c>
      <c r="BG1206" s="1746" t="s">
        <v>2581</v>
      </c>
      <c r="BH1206" s="1744">
        <f t="shared" si="112"/>
        <v>6.0000000000000001E-3</v>
      </c>
      <c r="BI1206" s="1745" t="str">
        <f t="shared" si="109"/>
        <v/>
      </c>
      <c r="BJ1206" s="1740" t="str">
        <f t="shared" si="110"/>
        <v>EA-Tube/catheter/drain</v>
      </c>
      <c r="BK1206" s="1740" t="str">
        <f t="shared" si="111"/>
        <v>Medical equipment</v>
      </c>
    </row>
    <row r="1207" spans="51:63" ht="15.65" customHeight="1">
      <c r="AY1207" s="1746" t="s">
        <v>2575</v>
      </c>
      <c r="AZ1207" s="1746">
        <v>2008</v>
      </c>
      <c r="BA1207" s="1746" t="s">
        <v>5082</v>
      </c>
      <c r="BB1207" s="1747" t="s">
        <v>5083</v>
      </c>
      <c r="BC1207" s="1746" t="s">
        <v>2578</v>
      </c>
      <c r="BD1207" s="1746" t="s">
        <v>2579</v>
      </c>
      <c r="BE1207" s="1746" t="s">
        <v>2730</v>
      </c>
      <c r="BF1207" s="1746">
        <v>9.9000000000000005E-2</v>
      </c>
      <c r="BG1207" s="1746" t="s">
        <v>2581</v>
      </c>
      <c r="BH1207" s="1744">
        <f t="shared" si="112"/>
        <v>9.9000000000000008E-5</v>
      </c>
      <c r="BI1207" s="1745" t="str">
        <f t="shared" si="109"/>
        <v/>
      </c>
      <c r="BJ1207" s="1740" t="str">
        <f t="shared" si="110"/>
        <v>EA-Tube/catheter/drain</v>
      </c>
      <c r="BK1207" s="1740" t="str">
        <f t="shared" si="111"/>
        <v>Medical equipment</v>
      </c>
    </row>
    <row r="1208" spans="51:63" ht="15.65" customHeight="1">
      <c r="AY1208" s="1746" t="s">
        <v>2575</v>
      </c>
      <c r="AZ1208" s="1746">
        <v>2008</v>
      </c>
      <c r="BA1208" s="1746" t="s">
        <v>5084</v>
      </c>
      <c r="BB1208" s="1747" t="s">
        <v>5085</v>
      </c>
      <c r="BC1208" s="1746" t="s">
        <v>2578</v>
      </c>
      <c r="BD1208" s="1746" t="s">
        <v>2579</v>
      </c>
      <c r="BE1208" s="1746" t="s">
        <v>2730</v>
      </c>
      <c r="BF1208" s="1746">
        <v>0.10100000000000001</v>
      </c>
      <c r="BG1208" s="1746" t="s">
        <v>2581</v>
      </c>
      <c r="BH1208" s="1744">
        <f t="shared" si="112"/>
        <v>1.01E-4</v>
      </c>
      <c r="BI1208" s="1745" t="str">
        <f t="shared" si="109"/>
        <v/>
      </c>
      <c r="BJ1208" s="1740" t="str">
        <f t="shared" si="110"/>
        <v>EA-Tube/catheter/drain</v>
      </c>
      <c r="BK1208" s="1740" t="str">
        <f t="shared" si="111"/>
        <v>Medical equipment</v>
      </c>
    </row>
    <row r="1209" spans="51:63" ht="15.65" customHeight="1">
      <c r="AY1209" s="1746" t="s">
        <v>2575</v>
      </c>
      <c r="AZ1209" s="1746">
        <v>2008</v>
      </c>
      <c r="BA1209" s="1746" t="s">
        <v>5086</v>
      </c>
      <c r="BB1209" s="1747" t="s">
        <v>5087</v>
      </c>
      <c r="BC1209" s="1746" t="s">
        <v>2578</v>
      </c>
      <c r="BD1209" s="1746" t="s">
        <v>2579</v>
      </c>
      <c r="BE1209" s="1746" t="s">
        <v>2730</v>
      </c>
      <c r="BF1209" s="1746">
        <v>0.28799999999999998</v>
      </c>
      <c r="BG1209" s="1746" t="s">
        <v>2581</v>
      </c>
      <c r="BH1209" s="1744">
        <f t="shared" si="112"/>
        <v>2.8799999999999995E-4</v>
      </c>
      <c r="BI1209" s="1745" t="str">
        <f t="shared" si="109"/>
        <v/>
      </c>
      <c r="BJ1209" s="1740" t="str">
        <f t="shared" si="110"/>
        <v>EA-Tube/catheter/drain</v>
      </c>
      <c r="BK1209" s="1740" t="str">
        <f t="shared" si="111"/>
        <v>Medical equipment</v>
      </c>
    </row>
    <row r="1210" spans="51:63" ht="15.65" customHeight="1">
      <c r="AY1210" s="1746" t="s">
        <v>2575</v>
      </c>
      <c r="AZ1210" s="1746">
        <v>2008</v>
      </c>
      <c r="BA1210" s="1746" t="s">
        <v>5088</v>
      </c>
      <c r="BB1210" s="1747" t="s">
        <v>5089</v>
      </c>
      <c r="BC1210" s="1746" t="s">
        <v>2578</v>
      </c>
      <c r="BD1210" s="1746" t="s">
        <v>2579</v>
      </c>
      <c r="BE1210" s="1746" t="s">
        <v>2730</v>
      </c>
      <c r="BF1210" s="1746">
        <v>0.28799999999999998</v>
      </c>
      <c r="BG1210" s="1746" t="s">
        <v>2581</v>
      </c>
      <c r="BH1210" s="1744">
        <f t="shared" si="112"/>
        <v>2.8799999999999995E-4</v>
      </c>
      <c r="BI1210" s="1745" t="str">
        <f t="shared" si="109"/>
        <v/>
      </c>
      <c r="BJ1210" s="1740" t="str">
        <f t="shared" si="110"/>
        <v>EA-Tube/catheter/drain</v>
      </c>
      <c r="BK1210" s="1740" t="str">
        <f t="shared" si="111"/>
        <v>Medical equipment</v>
      </c>
    </row>
    <row r="1211" spans="51:63" ht="15.65" customHeight="1">
      <c r="AY1211" s="1746" t="s">
        <v>2575</v>
      </c>
      <c r="AZ1211" s="1746">
        <v>2008</v>
      </c>
      <c r="BA1211" s="1746" t="s">
        <v>5090</v>
      </c>
      <c r="BB1211" s="1747" t="s">
        <v>5091</v>
      </c>
      <c r="BC1211" s="1746" t="s">
        <v>2578</v>
      </c>
      <c r="BD1211" s="1746" t="s">
        <v>2579</v>
      </c>
      <c r="BE1211" s="1746" t="s">
        <v>2730</v>
      </c>
      <c r="BF1211" s="1746">
        <v>0.59499999999999997</v>
      </c>
      <c r="BG1211" s="1746" t="s">
        <v>2581</v>
      </c>
      <c r="BH1211" s="1744">
        <f t="shared" si="112"/>
        <v>5.9499999999999993E-4</v>
      </c>
      <c r="BI1211" s="1745" t="str">
        <f t="shared" si="109"/>
        <v/>
      </c>
      <c r="BJ1211" s="1740" t="str">
        <f t="shared" si="110"/>
        <v>EA-Tube/catheter/drain</v>
      </c>
      <c r="BK1211" s="1740" t="str">
        <f t="shared" si="111"/>
        <v>Medical equipment</v>
      </c>
    </row>
    <row r="1212" spans="51:63" ht="15.65" customHeight="1">
      <c r="AY1212" s="1746" t="s">
        <v>2575</v>
      </c>
      <c r="AZ1212" s="1746">
        <v>2008</v>
      </c>
      <c r="BA1212" s="1746" t="s">
        <v>5092</v>
      </c>
      <c r="BB1212" s="1747" t="s">
        <v>5093</v>
      </c>
      <c r="BC1212" s="1746" t="s">
        <v>2578</v>
      </c>
      <c r="BD1212" s="1746" t="s">
        <v>2579</v>
      </c>
      <c r="BE1212" s="1746" t="s">
        <v>2730</v>
      </c>
      <c r="BF1212" s="1746">
        <v>0.09</v>
      </c>
      <c r="BG1212" s="1746" t="s">
        <v>2581</v>
      </c>
      <c r="BH1212" s="1744">
        <f t="shared" si="112"/>
        <v>8.9999999999999992E-5</v>
      </c>
      <c r="BI1212" s="1745" t="str">
        <f t="shared" si="109"/>
        <v/>
      </c>
      <c r="BJ1212" s="1740" t="str">
        <f t="shared" si="110"/>
        <v>EA-Tube/catheter/drain</v>
      </c>
      <c r="BK1212" s="1740" t="str">
        <f t="shared" si="111"/>
        <v>Medical equipment</v>
      </c>
    </row>
    <row r="1213" spans="51:63" ht="15.65" customHeight="1">
      <c r="AY1213" s="1746" t="s">
        <v>2575</v>
      </c>
      <c r="AZ1213" s="1746">
        <v>2008</v>
      </c>
      <c r="BA1213" s="1746" t="s">
        <v>5094</v>
      </c>
      <c r="BB1213" s="1747" t="s">
        <v>5095</v>
      </c>
      <c r="BC1213" s="1746" t="s">
        <v>2578</v>
      </c>
      <c r="BD1213" s="1746" t="s">
        <v>2579</v>
      </c>
      <c r="BE1213" s="1746" t="s">
        <v>2730</v>
      </c>
      <c r="BF1213" s="1746">
        <v>0.09</v>
      </c>
      <c r="BG1213" s="1746" t="s">
        <v>2581</v>
      </c>
      <c r="BH1213" s="1744">
        <f t="shared" si="112"/>
        <v>8.9999999999999992E-5</v>
      </c>
      <c r="BI1213" s="1745" t="str">
        <f t="shared" si="109"/>
        <v/>
      </c>
      <c r="BJ1213" s="1740" t="str">
        <f t="shared" si="110"/>
        <v>EA-Tube/catheter/drain</v>
      </c>
      <c r="BK1213" s="1740" t="str">
        <f t="shared" si="111"/>
        <v>Medical equipment</v>
      </c>
    </row>
    <row r="1214" spans="51:63" ht="15.65" customHeight="1">
      <c r="AY1214" s="1746" t="s">
        <v>2575</v>
      </c>
      <c r="AZ1214" s="1746">
        <v>2008</v>
      </c>
      <c r="BA1214" s="1746" t="s">
        <v>5096</v>
      </c>
      <c r="BB1214" s="1747" t="s">
        <v>5097</v>
      </c>
      <c r="BC1214" s="1746" t="s">
        <v>2578</v>
      </c>
      <c r="BD1214" s="1746" t="s">
        <v>2579</v>
      </c>
      <c r="BE1214" s="1746" t="s">
        <v>2730</v>
      </c>
      <c r="BF1214" s="1746">
        <v>0.09</v>
      </c>
      <c r="BG1214" s="1746" t="s">
        <v>2581</v>
      </c>
      <c r="BH1214" s="1744">
        <f t="shared" si="112"/>
        <v>8.9999999999999992E-5</v>
      </c>
      <c r="BI1214" s="1745" t="str">
        <f t="shared" si="109"/>
        <v/>
      </c>
      <c r="BJ1214" s="1740" t="str">
        <f t="shared" si="110"/>
        <v>EA-Tube/catheter/drain</v>
      </c>
      <c r="BK1214" s="1740" t="str">
        <f t="shared" si="111"/>
        <v>Medical equipment</v>
      </c>
    </row>
    <row r="1215" spans="51:63" ht="15.65" customHeight="1">
      <c r="AY1215" s="1746" t="s">
        <v>2575</v>
      </c>
      <c r="AZ1215" s="1746">
        <v>2008</v>
      </c>
      <c r="BA1215" s="1746" t="s">
        <v>5098</v>
      </c>
      <c r="BB1215" s="1747" t="s">
        <v>5099</v>
      </c>
      <c r="BC1215" s="1746" t="s">
        <v>2578</v>
      </c>
      <c r="BD1215" s="1746" t="s">
        <v>2579</v>
      </c>
      <c r="BE1215" s="1746" t="s">
        <v>2730</v>
      </c>
      <c r="BF1215" s="1746">
        <v>0.09</v>
      </c>
      <c r="BG1215" s="1746" t="s">
        <v>2581</v>
      </c>
      <c r="BH1215" s="1744">
        <f t="shared" si="112"/>
        <v>8.9999999999999992E-5</v>
      </c>
      <c r="BI1215" s="1745" t="str">
        <f t="shared" si="109"/>
        <v/>
      </c>
      <c r="BJ1215" s="1740" t="str">
        <f t="shared" si="110"/>
        <v>EA-Tube/catheter/drain</v>
      </c>
      <c r="BK1215" s="1740" t="str">
        <f t="shared" si="111"/>
        <v>Medical equipment</v>
      </c>
    </row>
    <row r="1216" spans="51:63" ht="15.65" customHeight="1">
      <c r="AY1216" s="1746" t="s">
        <v>2588</v>
      </c>
      <c r="AZ1216" s="1746">
        <v>2006</v>
      </c>
      <c r="BA1216" s="1746" t="s">
        <v>5100</v>
      </c>
      <c r="BB1216" s="1747" t="s">
        <v>5101</v>
      </c>
      <c r="BC1216" s="1746">
        <v>1</v>
      </c>
      <c r="BD1216" s="1746" t="s">
        <v>2591</v>
      </c>
      <c r="BE1216" s="1746"/>
      <c r="BF1216" s="1746">
        <v>32</v>
      </c>
      <c r="BG1216" s="1746" t="s">
        <v>2592</v>
      </c>
      <c r="BH1216" s="1744">
        <f t="shared" si="112"/>
        <v>3.1999999999999999E-5</v>
      </c>
      <c r="BI1216" s="1745">
        <f t="shared" si="109"/>
        <v>3.1999999999999999E-5</v>
      </c>
      <c r="BJ1216" s="1740" t="str">
        <f t="shared" si="110"/>
        <v>vial</v>
      </c>
      <c r="BK1216" s="1740" t="str">
        <f t="shared" si="111"/>
        <v>Injection Vial</v>
      </c>
    </row>
    <row r="1217" spans="51:63" ht="15.65" customHeight="1">
      <c r="AY1217" s="1746" t="s">
        <v>2593</v>
      </c>
      <c r="AZ1217" s="1746">
        <v>2008</v>
      </c>
      <c r="BA1217" s="1746" t="s">
        <v>5102</v>
      </c>
      <c r="BB1217" s="1747" t="s">
        <v>5103</v>
      </c>
      <c r="BC1217" s="1746">
        <v>1</v>
      </c>
      <c r="BD1217" s="1746" t="s">
        <v>2596</v>
      </c>
      <c r="BE1217" s="1746"/>
      <c r="BF1217" s="1746">
        <v>2.5100000000000001E-3</v>
      </c>
      <c r="BG1217" s="1746" t="s">
        <v>2597</v>
      </c>
      <c r="BH1217" s="1744">
        <f t="shared" si="112"/>
        <v>2.5100000000000001E-3</v>
      </c>
      <c r="BI1217" s="1745">
        <f t="shared" si="109"/>
        <v>2.5100000000000001E-3</v>
      </c>
      <c r="BJ1217" s="1740" t="str">
        <f t="shared" si="110"/>
        <v>bottle</v>
      </c>
      <c r="BK1217" s="1740" t="str">
        <f t="shared" si="111"/>
        <v>Bottle of Liquid</v>
      </c>
    </row>
    <row r="1218" spans="51:63" ht="15.65" customHeight="1">
      <c r="AY1218" s="1746" t="s">
        <v>2588</v>
      </c>
      <c r="AZ1218" s="1746">
        <v>2006</v>
      </c>
      <c r="BA1218" s="1746" t="s">
        <v>5104</v>
      </c>
      <c r="BB1218" s="1747" t="s">
        <v>5105</v>
      </c>
      <c r="BC1218" s="1746">
        <v>50</v>
      </c>
      <c r="BD1218" s="1746" t="s">
        <v>2927</v>
      </c>
      <c r="BE1218" s="1746"/>
      <c r="BF1218" s="1746">
        <v>1633.5</v>
      </c>
      <c r="BG1218" s="1746" t="s">
        <v>2592</v>
      </c>
      <c r="BH1218" s="1744">
        <f t="shared" si="112"/>
        <v>1.6335E-3</v>
      </c>
      <c r="BI1218" s="1745">
        <f t="shared" si="109"/>
        <v>3.2669999999999997E-5</v>
      </c>
      <c r="BJ1218" s="1740" t="str">
        <f t="shared" si="110"/>
        <v>pcs</v>
      </c>
      <c r="BK1218" s="1740" t="str">
        <f t="shared" si="111"/>
        <v>Medical equipment</v>
      </c>
    </row>
    <row r="1219" spans="51:63" ht="15.65" customHeight="1">
      <c r="AY1219" s="1746" t="s">
        <v>2588</v>
      </c>
      <c r="AZ1219" s="1746">
        <v>2006</v>
      </c>
      <c r="BA1219" s="1746" t="s">
        <v>5106</v>
      </c>
      <c r="BB1219" s="1747" t="s">
        <v>5107</v>
      </c>
      <c r="BC1219" s="1746">
        <v>1</v>
      </c>
      <c r="BD1219" s="1746" t="s">
        <v>2689</v>
      </c>
      <c r="BE1219" s="1746"/>
      <c r="BF1219" s="1746">
        <v>493.2</v>
      </c>
      <c r="BG1219" s="1746" t="s">
        <v>2592</v>
      </c>
      <c r="BH1219" s="1744">
        <f t="shared" si="112"/>
        <v>4.9319999999999995E-4</v>
      </c>
      <c r="BI1219" s="1745">
        <f t="shared" si="109"/>
        <v>4.9319999999999995E-4</v>
      </c>
      <c r="BJ1219" s="1740" t="str">
        <f t="shared" si="110"/>
        <v>roll</v>
      </c>
      <c r="BK1219" s="1740" t="str">
        <f t="shared" si="111"/>
        <v>Roll of tape/gauze</v>
      </c>
    </row>
    <row r="1220" spans="51:63" ht="15.65" customHeight="1">
      <c r="AY1220" s="1746" t="s">
        <v>2588</v>
      </c>
      <c r="AZ1220" s="1746">
        <v>2006</v>
      </c>
      <c r="BA1220" s="1746" t="s">
        <v>5108</v>
      </c>
      <c r="BB1220" s="1747" t="s">
        <v>5109</v>
      </c>
      <c r="BC1220" s="1746">
        <v>12</v>
      </c>
      <c r="BD1220" s="1746" t="s">
        <v>2927</v>
      </c>
      <c r="BE1220" s="1746"/>
      <c r="BF1220" s="1746">
        <v>7000</v>
      </c>
      <c r="BG1220" s="1746" t="s">
        <v>2592</v>
      </c>
      <c r="BH1220" s="1744">
        <f t="shared" si="112"/>
        <v>7.0000000000000001E-3</v>
      </c>
      <c r="BI1220" s="1745">
        <f t="shared" si="109"/>
        <v>5.8333333333333338E-4</v>
      </c>
      <c r="BJ1220" s="1740" t="str">
        <f t="shared" si="110"/>
        <v>pcs</v>
      </c>
      <c r="BK1220" s="1740" t="str">
        <f t="shared" si="111"/>
        <v>Medical equipment</v>
      </c>
    </row>
    <row r="1221" spans="51:63" ht="15.65" customHeight="1">
      <c r="AY1221" s="1746" t="s">
        <v>2593</v>
      </c>
      <c r="AZ1221" s="1746">
        <v>2008</v>
      </c>
      <c r="BA1221" s="1746" t="s">
        <v>5110</v>
      </c>
      <c r="BB1221" s="1747" t="s">
        <v>5111</v>
      </c>
      <c r="BC1221" s="1746">
        <v>1</v>
      </c>
      <c r="BD1221" s="1746" t="s">
        <v>2933</v>
      </c>
      <c r="BE1221" s="1746"/>
      <c r="BF1221" s="1746">
        <v>5.1000000000000004E-3</v>
      </c>
      <c r="BG1221" s="1746" t="s">
        <v>2597</v>
      </c>
      <c r="BH1221" s="1744">
        <f t="shared" si="112"/>
        <v>5.1000000000000004E-3</v>
      </c>
      <c r="BI1221" s="1745">
        <f t="shared" si="109"/>
        <v>5.1000000000000004E-3</v>
      </c>
      <c r="BJ1221" s="1740" t="str">
        <f t="shared" si="110"/>
        <v>piece</v>
      </c>
      <c r="BK1221" s="1740" t="str">
        <f t="shared" si="111"/>
        <v>Medical equipment</v>
      </c>
    </row>
    <row r="1222" spans="51:63" ht="15.65" customHeight="1">
      <c r="AY1222" s="1746" t="s">
        <v>2588</v>
      </c>
      <c r="AZ1222" s="1746">
        <v>2006</v>
      </c>
      <c r="BA1222" s="1746" t="s">
        <v>5112</v>
      </c>
      <c r="BB1222" s="1747" t="s">
        <v>5113</v>
      </c>
      <c r="BC1222" s="1746">
        <v>100</v>
      </c>
      <c r="BD1222" s="1746" t="s">
        <v>4850</v>
      </c>
      <c r="BE1222" s="1746"/>
      <c r="BF1222" s="1746">
        <v>460</v>
      </c>
      <c r="BG1222" s="1746" t="s">
        <v>2592</v>
      </c>
      <c r="BH1222" s="1744">
        <f t="shared" si="112"/>
        <v>4.6000000000000001E-4</v>
      </c>
      <c r="BI1222" s="1745">
        <f t="shared" si="109"/>
        <v>4.6E-6</v>
      </c>
      <c r="BJ1222" s="1740" t="str">
        <f t="shared" si="110"/>
        <v>strips</v>
      </c>
      <c r="BK1222" s="1740" t="str">
        <f t="shared" si="111"/>
        <v>Rapid Test</v>
      </c>
    </row>
    <row r="1223" spans="51:63" ht="15.65" customHeight="1">
      <c r="AY1223" s="1746" t="s">
        <v>2588</v>
      </c>
      <c r="AZ1223" s="1746">
        <v>2006</v>
      </c>
      <c r="BA1223" s="1746" t="s">
        <v>5114</v>
      </c>
      <c r="BB1223" s="1747" t="s">
        <v>5115</v>
      </c>
      <c r="BC1223" s="1746">
        <v>50</v>
      </c>
      <c r="BD1223" s="1746" t="s">
        <v>4850</v>
      </c>
      <c r="BE1223" s="1746"/>
      <c r="BF1223" s="1746">
        <v>240</v>
      </c>
      <c r="BG1223" s="1746" t="s">
        <v>2592</v>
      </c>
      <c r="BH1223" s="1744">
        <f t="shared" si="112"/>
        <v>2.4000000000000001E-4</v>
      </c>
      <c r="BI1223" s="1745">
        <f t="shared" si="109"/>
        <v>4.7999999999999998E-6</v>
      </c>
      <c r="BJ1223" s="1740" t="str">
        <f t="shared" si="110"/>
        <v>strips</v>
      </c>
      <c r="BK1223" s="1740" t="str">
        <f t="shared" si="111"/>
        <v>Rapid Test</v>
      </c>
    </row>
    <row r="1224" spans="51:63" ht="15.65" customHeight="1">
      <c r="AY1224" s="1746" t="s">
        <v>2593</v>
      </c>
      <c r="AZ1224" s="1746">
        <v>2008</v>
      </c>
      <c r="BA1224" s="1746" t="s">
        <v>5116</v>
      </c>
      <c r="BB1224" s="1747" t="s">
        <v>5117</v>
      </c>
      <c r="BC1224" s="1746">
        <v>1</v>
      </c>
      <c r="BD1224" s="1746" t="s">
        <v>2933</v>
      </c>
      <c r="BE1224" s="1746"/>
      <c r="BF1224" s="1746">
        <v>2.7999999999999998E-4</v>
      </c>
      <c r="BG1224" s="1746" t="s">
        <v>2597</v>
      </c>
      <c r="BH1224" s="1744">
        <f t="shared" si="112"/>
        <v>2.7999999999999998E-4</v>
      </c>
      <c r="BI1224" s="1745">
        <f t="shared" si="109"/>
        <v>2.7999999999999998E-4</v>
      </c>
      <c r="BJ1224" s="1740" t="str">
        <f t="shared" si="110"/>
        <v>piece</v>
      </c>
      <c r="BK1224" s="1740" t="str">
        <f t="shared" si="111"/>
        <v>Medical equipment</v>
      </c>
    </row>
    <row r="1225" spans="51:63" ht="15.65" customHeight="1">
      <c r="AY1225" s="1746" t="s">
        <v>2588</v>
      </c>
      <c r="AZ1225" s="1746">
        <v>2006</v>
      </c>
      <c r="BA1225" s="1746" t="s">
        <v>5118</v>
      </c>
      <c r="BB1225" s="1747" t="s">
        <v>5119</v>
      </c>
      <c r="BC1225" s="1746">
        <v>10</v>
      </c>
      <c r="BD1225" s="1746" t="s">
        <v>2927</v>
      </c>
      <c r="BE1225" s="1746"/>
      <c r="BF1225" s="1746">
        <v>3786.75</v>
      </c>
      <c r="BG1225" s="1746" t="s">
        <v>2592</v>
      </c>
      <c r="BH1225" s="1744">
        <f t="shared" si="112"/>
        <v>3.7867500000000002E-3</v>
      </c>
      <c r="BI1225" s="1745">
        <f t="shared" si="109"/>
        <v>3.7867500000000003E-4</v>
      </c>
      <c r="BJ1225" s="1740" t="str">
        <f t="shared" si="110"/>
        <v>pcs</v>
      </c>
      <c r="BK1225" s="1740" t="str">
        <f t="shared" si="111"/>
        <v>Medical equipment</v>
      </c>
    </row>
    <row r="1226" spans="51:63" ht="15.65" customHeight="1">
      <c r="AY1226" s="1746" t="s">
        <v>2588</v>
      </c>
      <c r="AZ1226" s="1746">
        <v>2006</v>
      </c>
      <c r="BA1226" s="1746" t="s">
        <v>5120</v>
      </c>
      <c r="BB1226" s="1747" t="s">
        <v>5121</v>
      </c>
      <c r="BC1226" s="1746">
        <v>500</v>
      </c>
      <c r="BD1226" s="1746" t="s">
        <v>2927</v>
      </c>
      <c r="BE1226" s="1746"/>
      <c r="BF1226" s="1746">
        <v>91368</v>
      </c>
      <c r="BG1226" s="1746" t="s">
        <v>2592</v>
      </c>
      <c r="BH1226" s="1744">
        <f t="shared" si="112"/>
        <v>9.1368000000000005E-2</v>
      </c>
      <c r="BI1226" s="1745">
        <f t="shared" si="109"/>
        <v>1.8273600000000002E-4</v>
      </c>
      <c r="BJ1226" s="1740" t="str">
        <f t="shared" si="110"/>
        <v>pcs</v>
      </c>
      <c r="BK1226" s="1740" t="str">
        <f t="shared" si="111"/>
        <v>Medical equipment</v>
      </c>
    </row>
    <row r="1227" spans="51:63" ht="15.65" customHeight="1">
      <c r="AY1227" s="1746" t="s">
        <v>2588</v>
      </c>
      <c r="AZ1227" s="1746">
        <v>2006</v>
      </c>
      <c r="BA1227" s="1746" t="s">
        <v>5122</v>
      </c>
      <c r="BB1227" s="1747" t="s">
        <v>5123</v>
      </c>
      <c r="BC1227" s="1746">
        <v>100</v>
      </c>
      <c r="BD1227" s="1746" t="s">
        <v>4850</v>
      </c>
      <c r="BE1227" s="1746"/>
      <c r="BF1227" s="1746">
        <v>289</v>
      </c>
      <c r="BG1227" s="1746" t="s">
        <v>2592</v>
      </c>
      <c r="BH1227" s="1744">
        <f t="shared" si="112"/>
        <v>2.8899999999999998E-4</v>
      </c>
      <c r="BI1227" s="1745">
        <f t="shared" si="109"/>
        <v>2.8899999999999999E-6</v>
      </c>
      <c r="BJ1227" s="1740" t="str">
        <f t="shared" si="110"/>
        <v>strips</v>
      </c>
      <c r="BK1227" s="1740" t="str">
        <f t="shared" si="111"/>
        <v>Rapid Test</v>
      </c>
    </row>
    <row r="1228" spans="51:63" ht="15.65" customHeight="1">
      <c r="AY1228" s="1746" t="s">
        <v>2588</v>
      </c>
      <c r="AZ1228" s="1746">
        <v>2006</v>
      </c>
      <c r="BA1228" s="1746" t="s">
        <v>5124</v>
      </c>
      <c r="BB1228" s="1747" t="s">
        <v>5125</v>
      </c>
      <c r="BC1228" s="1746">
        <v>100</v>
      </c>
      <c r="BD1228" s="1746" t="s">
        <v>4850</v>
      </c>
      <c r="BE1228" s="1746"/>
      <c r="BF1228" s="1746">
        <v>333</v>
      </c>
      <c r="BG1228" s="1746" t="s">
        <v>2592</v>
      </c>
      <c r="BH1228" s="1744">
        <f t="shared" si="112"/>
        <v>3.3300000000000002E-4</v>
      </c>
      <c r="BI1228" s="1745">
        <f t="shared" si="109"/>
        <v>3.3300000000000003E-6</v>
      </c>
      <c r="BJ1228" s="1740" t="str">
        <f t="shared" si="110"/>
        <v>strips</v>
      </c>
      <c r="BK1228" s="1740" t="str">
        <f t="shared" si="111"/>
        <v>Rapid Test</v>
      </c>
    </row>
    <row r="1229" spans="51:63" ht="15.65" customHeight="1">
      <c r="AY1229" s="1746" t="s">
        <v>2588</v>
      </c>
      <c r="AZ1229" s="1746">
        <v>2006</v>
      </c>
      <c r="BA1229" s="1746" t="s">
        <v>5126</v>
      </c>
      <c r="BB1229" s="1747" t="s">
        <v>5127</v>
      </c>
      <c r="BC1229" s="1746">
        <v>100</v>
      </c>
      <c r="BD1229" s="1746" t="s">
        <v>4850</v>
      </c>
      <c r="BE1229" s="1746"/>
      <c r="BF1229" s="1746">
        <v>307</v>
      </c>
      <c r="BG1229" s="1746" t="s">
        <v>2592</v>
      </c>
      <c r="BH1229" s="1744">
        <f t="shared" si="112"/>
        <v>3.0699999999999998E-4</v>
      </c>
      <c r="BI1229" s="1745">
        <f t="shared" si="109"/>
        <v>3.0699999999999998E-6</v>
      </c>
      <c r="BJ1229" s="1740" t="str">
        <f t="shared" si="110"/>
        <v>strips</v>
      </c>
      <c r="BK1229" s="1740" t="str">
        <f t="shared" si="111"/>
        <v>Rapid Test</v>
      </c>
    </row>
    <row r="1230" spans="51:63" ht="15.65" customHeight="1">
      <c r="AY1230" s="1746" t="s">
        <v>2588</v>
      </c>
      <c r="AZ1230" s="1746">
        <v>2006</v>
      </c>
      <c r="BA1230" s="1746" t="s">
        <v>5128</v>
      </c>
      <c r="BB1230" s="1747" t="s">
        <v>5129</v>
      </c>
      <c r="BC1230" s="1746">
        <v>100</v>
      </c>
      <c r="BD1230" s="1746" t="s">
        <v>4850</v>
      </c>
      <c r="BE1230" s="1746"/>
      <c r="BF1230" s="1746">
        <v>296</v>
      </c>
      <c r="BG1230" s="1746" t="s">
        <v>2592</v>
      </c>
      <c r="BH1230" s="1744">
        <f t="shared" si="112"/>
        <v>2.9599999999999998E-4</v>
      </c>
      <c r="BI1230" s="1745">
        <f t="shared" si="109"/>
        <v>2.96E-6</v>
      </c>
      <c r="BJ1230" s="1740" t="str">
        <f t="shared" si="110"/>
        <v>strips</v>
      </c>
      <c r="BK1230" s="1740" t="str">
        <f t="shared" si="111"/>
        <v>Rapid Test</v>
      </c>
    </row>
    <row r="1231" spans="51:63" ht="15.65" customHeight="1">
      <c r="AY1231" s="1746" t="s">
        <v>2588</v>
      </c>
      <c r="AZ1231" s="1746">
        <v>2006</v>
      </c>
      <c r="BA1231" s="1746" t="s">
        <v>5130</v>
      </c>
      <c r="BB1231" s="1747" t="s">
        <v>5131</v>
      </c>
      <c r="BC1231" s="1746">
        <v>100</v>
      </c>
      <c r="BD1231" s="1746" t="s">
        <v>4850</v>
      </c>
      <c r="BE1231" s="1746"/>
      <c r="BF1231" s="1746">
        <v>319</v>
      </c>
      <c r="BG1231" s="1746" t="s">
        <v>2592</v>
      </c>
      <c r="BH1231" s="1744">
        <f t="shared" si="112"/>
        <v>3.19E-4</v>
      </c>
      <c r="BI1231" s="1745">
        <f t="shared" si="109"/>
        <v>3.19E-6</v>
      </c>
      <c r="BJ1231" s="1740" t="str">
        <f t="shared" si="110"/>
        <v>strips</v>
      </c>
      <c r="BK1231" s="1740" t="str">
        <f t="shared" si="111"/>
        <v>Rapid Test</v>
      </c>
    </row>
    <row r="1232" spans="51:63" ht="15.65" customHeight="1">
      <c r="AY1232" s="1746" t="s">
        <v>2593</v>
      </c>
      <c r="AZ1232" s="1746">
        <v>2008</v>
      </c>
      <c r="BA1232" s="1746" t="s">
        <v>5132</v>
      </c>
      <c r="BB1232" s="1747" t="s">
        <v>5133</v>
      </c>
      <c r="BC1232" s="1746">
        <v>1</v>
      </c>
      <c r="BD1232" s="1746" t="s">
        <v>2933</v>
      </c>
      <c r="BE1232" s="1746"/>
      <c r="BF1232" s="1746">
        <v>0.23086000000000001</v>
      </c>
      <c r="BG1232" s="1746" t="s">
        <v>2597</v>
      </c>
      <c r="BH1232" s="1744">
        <f t="shared" si="112"/>
        <v>0.23086000000000001</v>
      </c>
      <c r="BI1232" s="1745">
        <f t="shared" si="109"/>
        <v>0.23086000000000001</v>
      </c>
      <c r="BJ1232" s="1740" t="str">
        <f t="shared" si="110"/>
        <v>piece</v>
      </c>
      <c r="BK1232" s="1740" t="str">
        <f t="shared" si="111"/>
        <v>Medical equipment</v>
      </c>
    </row>
    <row r="1233" spans="51:63" ht="15.65" customHeight="1">
      <c r="AY1233" s="1746" t="s">
        <v>2593</v>
      </c>
      <c r="AZ1233" s="1746">
        <v>2008</v>
      </c>
      <c r="BA1233" s="1746" t="s">
        <v>5134</v>
      </c>
      <c r="BB1233" s="1747" t="s">
        <v>5135</v>
      </c>
      <c r="BC1233" s="1746">
        <v>1</v>
      </c>
      <c r="BD1233" s="1746" t="s">
        <v>2933</v>
      </c>
      <c r="BE1233" s="1746"/>
      <c r="BF1233" s="1746">
        <v>0.01</v>
      </c>
      <c r="BG1233" s="1746" t="s">
        <v>2597</v>
      </c>
      <c r="BH1233" s="1744">
        <f t="shared" si="112"/>
        <v>0.01</v>
      </c>
      <c r="BI1233" s="1745">
        <f t="shared" si="109"/>
        <v>0.01</v>
      </c>
      <c r="BJ1233" s="1740" t="str">
        <f t="shared" si="110"/>
        <v>piece</v>
      </c>
      <c r="BK1233" s="1740" t="str">
        <f t="shared" si="111"/>
        <v>Medical equipment</v>
      </c>
    </row>
    <row r="1234" spans="51:63" ht="15.65" customHeight="1">
      <c r="AY1234" s="1746" t="s">
        <v>2593</v>
      </c>
      <c r="AZ1234" s="1746">
        <v>2008</v>
      </c>
      <c r="BA1234" s="1746" t="s">
        <v>5136</v>
      </c>
      <c r="BB1234" s="1747" t="s">
        <v>5137</v>
      </c>
      <c r="BC1234" s="1746">
        <v>1</v>
      </c>
      <c r="BD1234" s="1746" t="s">
        <v>2933</v>
      </c>
      <c r="BE1234" s="1746"/>
      <c r="BF1234" s="1746">
        <v>0.09</v>
      </c>
      <c r="BG1234" s="1746" t="s">
        <v>2597</v>
      </c>
      <c r="BH1234" s="1744">
        <f t="shared" si="112"/>
        <v>0.09</v>
      </c>
      <c r="BI1234" s="1745">
        <f t="shared" si="109"/>
        <v>0.09</v>
      </c>
      <c r="BJ1234" s="1740" t="str">
        <f t="shared" si="110"/>
        <v>piece</v>
      </c>
      <c r="BK1234" s="1740" t="str">
        <f t="shared" si="111"/>
        <v>Medical equipment</v>
      </c>
    </row>
    <row r="1235" spans="51:63" ht="15.65" customHeight="1">
      <c r="AY1235" s="1746" t="s">
        <v>2593</v>
      </c>
      <c r="AZ1235" s="1746">
        <v>2008</v>
      </c>
      <c r="BA1235" s="1746" t="s">
        <v>5138</v>
      </c>
      <c r="BB1235" s="1747" t="s">
        <v>5139</v>
      </c>
      <c r="BC1235" s="1746">
        <v>1</v>
      </c>
      <c r="BD1235" s="1746" t="s">
        <v>2933</v>
      </c>
      <c r="BE1235" s="1746"/>
      <c r="BF1235" s="1746">
        <v>0.26</v>
      </c>
      <c r="BG1235" s="1746" t="s">
        <v>2597</v>
      </c>
      <c r="BH1235" s="1744">
        <f t="shared" si="112"/>
        <v>0.26</v>
      </c>
      <c r="BI1235" s="1745">
        <f t="shared" ref="BI1235:BI1298" si="113">IFERROR(BH1235/BC1235,"")</f>
        <v>0.26</v>
      </c>
      <c r="BJ1235" s="1740" t="str">
        <f t="shared" ref="BJ1235:BJ1298" si="114">IF(BE1235="",BD1235,BD1235&amp;"-"&amp;BE1235)</f>
        <v>piece</v>
      </c>
      <c r="BK1235" s="1740" t="str">
        <f t="shared" si="111"/>
        <v>Medical equipment</v>
      </c>
    </row>
    <row r="1236" spans="51:63" ht="15.65" customHeight="1">
      <c r="AY1236" s="1746" t="s">
        <v>2593</v>
      </c>
      <c r="AZ1236" s="1746">
        <v>2008</v>
      </c>
      <c r="BA1236" s="1746" t="s">
        <v>5140</v>
      </c>
      <c r="BB1236" s="1747" t="s">
        <v>5141</v>
      </c>
      <c r="BC1236" s="1746">
        <v>1</v>
      </c>
      <c r="BD1236" s="1746" t="s">
        <v>2591</v>
      </c>
      <c r="BE1236" s="1746"/>
      <c r="BF1236" s="1746">
        <v>2.0000000000000001E-4</v>
      </c>
      <c r="BG1236" s="1746" t="s">
        <v>2597</v>
      </c>
      <c r="BH1236" s="1744">
        <f t="shared" si="112"/>
        <v>2.0000000000000001E-4</v>
      </c>
      <c r="BI1236" s="1745">
        <f t="shared" si="113"/>
        <v>2.0000000000000001E-4</v>
      </c>
      <c r="BJ1236" s="1740" t="str">
        <f t="shared" si="114"/>
        <v>vial</v>
      </c>
      <c r="BK1236" s="1740" t="str">
        <f t="shared" ref="BK1236:BK1299" si="115">IFERROR(INDEX($BO$18:$BO$136,MATCH(BJ1236,$BN$18:$BN$136,0)),"")</f>
        <v>Injection Vial</v>
      </c>
    </row>
    <row r="1237" spans="51:63" ht="15.65" customHeight="1">
      <c r="AY1237" s="1746" t="s">
        <v>2593</v>
      </c>
      <c r="AZ1237" s="1746">
        <v>2008</v>
      </c>
      <c r="BA1237" s="1746" t="s">
        <v>5142</v>
      </c>
      <c r="BB1237" s="1747" t="s">
        <v>5143</v>
      </c>
      <c r="BC1237" s="1746">
        <v>5</v>
      </c>
      <c r="BD1237" s="1746" t="s">
        <v>2795</v>
      </c>
      <c r="BE1237" s="1746"/>
      <c r="BF1237" s="1746">
        <v>1.8E-3</v>
      </c>
      <c r="BG1237" s="1746" t="s">
        <v>2597</v>
      </c>
      <c r="BH1237" s="1744">
        <f t="shared" si="112"/>
        <v>1.8E-3</v>
      </c>
      <c r="BI1237" s="1745">
        <f t="shared" si="113"/>
        <v>3.5999999999999997E-4</v>
      </c>
      <c r="BJ1237" s="1740" t="str">
        <f t="shared" si="114"/>
        <v>vials</v>
      </c>
      <c r="BK1237" s="1740" t="str">
        <f t="shared" si="115"/>
        <v>Injection Vial</v>
      </c>
    </row>
    <row r="1238" spans="51:63" ht="15.65" customHeight="1">
      <c r="AY1238" s="1746" t="s">
        <v>2593</v>
      </c>
      <c r="AZ1238" s="1746">
        <v>2008</v>
      </c>
      <c r="BA1238" s="1746" t="s">
        <v>5144</v>
      </c>
      <c r="BB1238" s="1747" t="s">
        <v>5145</v>
      </c>
      <c r="BC1238" s="1746">
        <v>1</v>
      </c>
      <c r="BD1238" s="1746" t="s">
        <v>2591</v>
      </c>
      <c r="BE1238" s="1746"/>
      <c r="BF1238" s="1746">
        <v>5.0000000000000002E-5</v>
      </c>
      <c r="BG1238" s="1746" t="s">
        <v>2597</v>
      </c>
      <c r="BH1238" s="1744">
        <f t="shared" si="112"/>
        <v>5.0000000000000002E-5</v>
      </c>
      <c r="BI1238" s="1745">
        <f t="shared" si="113"/>
        <v>5.0000000000000002E-5</v>
      </c>
      <c r="BJ1238" s="1740" t="str">
        <f t="shared" si="114"/>
        <v>vial</v>
      </c>
      <c r="BK1238" s="1740" t="str">
        <f t="shared" si="115"/>
        <v>Injection Vial</v>
      </c>
    </row>
    <row r="1239" spans="51:63" ht="15.65" customHeight="1">
      <c r="AY1239" s="1746" t="s">
        <v>2588</v>
      </c>
      <c r="AZ1239" s="1746">
        <v>2006</v>
      </c>
      <c r="BA1239" s="1746" t="s">
        <v>5146</v>
      </c>
      <c r="BB1239" s="1747" t="s">
        <v>5147</v>
      </c>
      <c r="BC1239" s="1746">
        <v>1</v>
      </c>
      <c r="BD1239" s="1746" t="s">
        <v>2724</v>
      </c>
      <c r="BE1239" s="1746"/>
      <c r="BF1239" s="1746">
        <v>25338</v>
      </c>
      <c r="BG1239" s="1746" t="s">
        <v>2592</v>
      </c>
      <c r="BH1239" s="1744">
        <f t="shared" si="112"/>
        <v>2.5337999999999999E-2</v>
      </c>
      <c r="BI1239" s="1745">
        <f t="shared" si="113"/>
        <v>2.5337999999999999E-2</v>
      </c>
      <c r="BJ1239" s="1740" t="str">
        <f t="shared" si="114"/>
        <v>pce</v>
      </c>
      <c r="BK1239" s="1740" t="str">
        <f t="shared" si="115"/>
        <v>Roll of tape/gauze</v>
      </c>
    </row>
    <row r="1240" spans="51:63" ht="15.65" customHeight="1">
      <c r="AY1240" s="1746" t="s">
        <v>2575</v>
      </c>
      <c r="AZ1240" s="1746">
        <v>2008</v>
      </c>
      <c r="BA1240" s="1746" t="s">
        <v>5148</v>
      </c>
      <c r="BB1240" s="1747" t="s">
        <v>5149</v>
      </c>
      <c r="BC1240" s="1746" t="s">
        <v>2578</v>
      </c>
      <c r="BD1240" s="1746" t="s">
        <v>2579</v>
      </c>
      <c r="BE1240" s="1746" t="s">
        <v>4218</v>
      </c>
      <c r="BF1240" s="1746">
        <v>24.969000000000001</v>
      </c>
      <c r="BG1240" s="1746" t="s">
        <v>2581</v>
      </c>
      <c r="BH1240" s="1744">
        <f t="shared" si="112"/>
        <v>2.4969000000000002E-2</v>
      </c>
      <c r="BI1240" s="1745" t="str">
        <f t="shared" si="113"/>
        <v/>
      </c>
      <c r="BJ1240" s="1740" t="str">
        <f t="shared" si="114"/>
        <v>EA-Misc. surg. instrum.</v>
      </c>
      <c r="BK1240" s="1740" t="str">
        <f t="shared" si="115"/>
        <v>Medical equipment</v>
      </c>
    </row>
    <row r="1241" spans="51:63" ht="15.65" customHeight="1">
      <c r="AY1241" s="1746" t="s">
        <v>2588</v>
      </c>
      <c r="AZ1241" s="1746">
        <v>2006</v>
      </c>
      <c r="BA1241" s="1746" t="s">
        <v>5150</v>
      </c>
      <c r="BB1241" s="1747" t="s">
        <v>5151</v>
      </c>
      <c r="BC1241" s="1746">
        <v>100</v>
      </c>
      <c r="BD1241" s="1746" t="s">
        <v>2839</v>
      </c>
      <c r="BE1241" s="1746"/>
      <c r="BF1241" s="1746">
        <v>296</v>
      </c>
      <c r="BG1241" s="1746" t="s">
        <v>2592</v>
      </c>
      <c r="BH1241" s="1744">
        <f t="shared" ref="BH1241:BH1304" si="116">IF(BG1241="CCM",BF1241/1000000,IF(BG1241="CDM",BF1241/1000, IF(BG1241="M3",BF1241,"")))</f>
        <v>2.9599999999999998E-4</v>
      </c>
      <c r="BI1241" s="1745">
        <f t="shared" si="113"/>
        <v>2.96E-6</v>
      </c>
      <c r="BJ1241" s="1740" t="str">
        <f t="shared" si="114"/>
        <v>caps</v>
      </c>
      <c r="BK1241" s="1740" t="str">
        <f t="shared" si="115"/>
        <v>Bottle of Tablets</v>
      </c>
    </row>
    <row r="1242" spans="51:63" ht="15.65" customHeight="1">
      <c r="AY1242" s="1746" t="s">
        <v>2593</v>
      </c>
      <c r="AZ1242" s="1746">
        <v>2008</v>
      </c>
      <c r="BA1242" s="1746" t="s">
        <v>5152</v>
      </c>
      <c r="BB1242" s="1747" t="s">
        <v>5153</v>
      </c>
      <c r="BC1242" s="1746">
        <v>1</v>
      </c>
      <c r="BD1242" s="1746" t="s">
        <v>3224</v>
      </c>
      <c r="BE1242" s="1746"/>
      <c r="BF1242" s="1746">
        <v>1.2600000000000001E-3</v>
      </c>
      <c r="BG1242" s="1746" t="s">
        <v>2597</v>
      </c>
      <c r="BH1242" s="1744">
        <f t="shared" si="116"/>
        <v>1.2600000000000001E-3</v>
      </c>
      <c r="BI1242" s="1745">
        <f t="shared" si="113"/>
        <v>1.2600000000000001E-3</v>
      </c>
      <c r="BJ1242" s="1740" t="str">
        <f t="shared" si="114"/>
        <v>jar</v>
      </c>
      <c r="BK1242" s="1740" t="str">
        <f t="shared" si="115"/>
        <v>Bottle of liquid</v>
      </c>
    </row>
    <row r="1243" spans="51:63" ht="15.65" customHeight="1">
      <c r="AY1243" s="1746" t="s">
        <v>2588</v>
      </c>
      <c r="AZ1243" s="1746">
        <v>2006</v>
      </c>
      <c r="BA1243" s="1746" t="s">
        <v>5154</v>
      </c>
      <c r="BB1243" s="1747" t="s">
        <v>5155</v>
      </c>
      <c r="BC1243" s="1746">
        <v>1</v>
      </c>
      <c r="BD1243" s="1746" t="s">
        <v>5156</v>
      </c>
      <c r="BE1243" s="1746"/>
      <c r="BF1243" s="1746">
        <v>54</v>
      </c>
      <c r="BG1243" s="1746" t="s">
        <v>2592</v>
      </c>
      <c r="BH1243" s="1744">
        <f t="shared" si="116"/>
        <v>5.3999999999999998E-5</v>
      </c>
      <c r="BI1243" s="1745">
        <f t="shared" si="113"/>
        <v>5.3999999999999998E-5</v>
      </c>
      <c r="BJ1243" s="1740" t="str">
        <f t="shared" si="114"/>
        <v>amp</v>
      </c>
      <c r="BK1243" s="1740" t="str">
        <f t="shared" si="115"/>
        <v>Injection Vial</v>
      </c>
    </row>
    <row r="1244" spans="51:63" ht="15.65" customHeight="1">
      <c r="AY1244" s="1746" t="s">
        <v>2593</v>
      </c>
      <c r="AZ1244" s="1746">
        <v>2008</v>
      </c>
      <c r="BA1244" s="1746" t="s">
        <v>5157</v>
      </c>
      <c r="BB1244" s="1747" t="s">
        <v>5158</v>
      </c>
      <c r="BC1244" s="1746">
        <v>10</v>
      </c>
      <c r="BD1244" s="1746" t="s">
        <v>2795</v>
      </c>
      <c r="BE1244" s="1746"/>
      <c r="BF1244" s="1746">
        <v>6.2E-4</v>
      </c>
      <c r="BG1244" s="1746" t="s">
        <v>2597</v>
      </c>
      <c r="BH1244" s="1744">
        <f t="shared" si="116"/>
        <v>6.2E-4</v>
      </c>
      <c r="BI1244" s="1745">
        <f t="shared" si="113"/>
        <v>6.2000000000000003E-5</v>
      </c>
      <c r="BJ1244" s="1740" t="str">
        <f t="shared" si="114"/>
        <v>vials</v>
      </c>
      <c r="BK1244" s="1740" t="str">
        <f t="shared" si="115"/>
        <v>Injection Vial</v>
      </c>
    </row>
    <row r="1245" spans="51:63" ht="15.65" customHeight="1">
      <c r="AY1245" s="1746" t="s">
        <v>2588</v>
      </c>
      <c r="AZ1245" s="1746">
        <v>2006</v>
      </c>
      <c r="BA1245" s="1746" t="s">
        <v>5159</v>
      </c>
      <c r="BB1245" s="1747" t="s">
        <v>5160</v>
      </c>
      <c r="BC1245" s="1746">
        <v>5</v>
      </c>
      <c r="BD1245" s="1746" t="s">
        <v>2795</v>
      </c>
      <c r="BE1245" s="1746"/>
      <c r="BF1245" s="1746">
        <v>201</v>
      </c>
      <c r="BG1245" s="1746" t="s">
        <v>2592</v>
      </c>
      <c r="BH1245" s="1744">
        <f t="shared" si="116"/>
        <v>2.0100000000000001E-4</v>
      </c>
      <c r="BI1245" s="1745">
        <f t="shared" si="113"/>
        <v>4.0200000000000001E-5</v>
      </c>
      <c r="BJ1245" s="1740" t="str">
        <f t="shared" si="114"/>
        <v>vials</v>
      </c>
      <c r="BK1245" s="1740" t="str">
        <f t="shared" si="115"/>
        <v>Injection Vial</v>
      </c>
    </row>
    <row r="1246" spans="51:63" ht="15.65" customHeight="1">
      <c r="AY1246" s="1746" t="s">
        <v>2593</v>
      </c>
      <c r="AZ1246" s="1746">
        <v>2008</v>
      </c>
      <c r="BA1246" s="1746" t="s">
        <v>5161</v>
      </c>
      <c r="BB1246" s="1747" t="s">
        <v>5162</v>
      </c>
      <c r="BC1246" s="1746">
        <v>50</v>
      </c>
      <c r="BD1246" s="1746" t="s">
        <v>2795</v>
      </c>
      <c r="BE1246" s="1746"/>
      <c r="BF1246" s="1746">
        <v>4.47E-3</v>
      </c>
      <c r="BG1246" s="1746" t="s">
        <v>2597</v>
      </c>
      <c r="BH1246" s="1744">
        <f t="shared" si="116"/>
        <v>4.47E-3</v>
      </c>
      <c r="BI1246" s="1745">
        <f t="shared" si="113"/>
        <v>8.9400000000000005E-5</v>
      </c>
      <c r="BJ1246" s="1740" t="str">
        <f t="shared" si="114"/>
        <v>vials</v>
      </c>
      <c r="BK1246" s="1740" t="str">
        <f t="shared" si="115"/>
        <v>Injection Vial</v>
      </c>
    </row>
    <row r="1247" spans="51:63" ht="15.65" customHeight="1">
      <c r="AY1247" s="1746" t="s">
        <v>2588</v>
      </c>
      <c r="AZ1247" s="1746">
        <v>2006</v>
      </c>
      <c r="BA1247" s="1746" t="s">
        <v>5163</v>
      </c>
      <c r="BB1247" s="1747" t="s">
        <v>5164</v>
      </c>
      <c r="BC1247" s="1746">
        <v>25</v>
      </c>
      <c r="BD1247" s="1746" t="s">
        <v>2795</v>
      </c>
      <c r="BE1247" s="1746"/>
      <c r="BF1247" s="1746">
        <v>405</v>
      </c>
      <c r="BG1247" s="1746" t="s">
        <v>2592</v>
      </c>
      <c r="BH1247" s="1744">
        <f t="shared" si="116"/>
        <v>4.0499999999999998E-4</v>
      </c>
      <c r="BI1247" s="1745">
        <f t="shared" si="113"/>
        <v>1.6200000000000001E-5</v>
      </c>
      <c r="BJ1247" s="1740" t="str">
        <f t="shared" si="114"/>
        <v>vials</v>
      </c>
      <c r="BK1247" s="1740" t="str">
        <f t="shared" si="115"/>
        <v>Injection Vial</v>
      </c>
    </row>
    <row r="1248" spans="51:63" ht="15.65" customHeight="1">
      <c r="AY1248" s="1746" t="s">
        <v>2588</v>
      </c>
      <c r="AZ1248" s="1746">
        <v>2006</v>
      </c>
      <c r="BA1248" s="1746" t="s">
        <v>5165</v>
      </c>
      <c r="BB1248" s="1747" t="s">
        <v>5166</v>
      </c>
      <c r="BC1248" s="1746">
        <v>100</v>
      </c>
      <c r="BD1248" s="1746" t="s">
        <v>2615</v>
      </c>
      <c r="BE1248" s="1746"/>
      <c r="BF1248" s="1746">
        <v>62</v>
      </c>
      <c r="BG1248" s="1746" t="s">
        <v>2592</v>
      </c>
      <c r="BH1248" s="1744">
        <f t="shared" si="116"/>
        <v>6.2000000000000003E-5</v>
      </c>
      <c r="BI1248" s="1745">
        <f t="shared" si="113"/>
        <v>6.1999999999999999E-7</v>
      </c>
      <c r="BJ1248" s="1740" t="str">
        <f t="shared" si="114"/>
        <v>tabs</v>
      </c>
      <c r="BK1248" s="1740" t="str">
        <f t="shared" si="115"/>
        <v>Bottle of Tablets</v>
      </c>
    </row>
    <row r="1249" spans="51:63" ht="15.65" customHeight="1">
      <c r="AY1249" s="1746" t="s">
        <v>2593</v>
      </c>
      <c r="AZ1249" s="1746">
        <v>2008</v>
      </c>
      <c r="BA1249" s="1746" t="s">
        <v>5167</v>
      </c>
      <c r="BB1249" s="1747" t="s">
        <v>5168</v>
      </c>
      <c r="BC1249" s="1746">
        <v>100</v>
      </c>
      <c r="BD1249" s="1746" t="s">
        <v>2601</v>
      </c>
      <c r="BE1249" s="1746"/>
      <c r="BF1249" s="1746">
        <v>1.4999999999999999E-4</v>
      </c>
      <c r="BG1249" s="1746" t="s">
        <v>2597</v>
      </c>
      <c r="BH1249" s="1744">
        <f t="shared" si="116"/>
        <v>1.4999999999999999E-4</v>
      </c>
      <c r="BI1249" s="1745">
        <f t="shared" si="113"/>
        <v>1.4999999999999998E-6</v>
      </c>
      <c r="BJ1249" s="1740" t="str">
        <f t="shared" si="114"/>
        <v>tablets</v>
      </c>
      <c r="BK1249" s="1740" t="str">
        <f t="shared" si="115"/>
        <v>Bottle of Tablets</v>
      </c>
    </row>
    <row r="1250" spans="51:63" ht="15.65" customHeight="1">
      <c r="AY1250" s="1746" t="s">
        <v>2588</v>
      </c>
      <c r="AZ1250" s="1746">
        <v>2006</v>
      </c>
      <c r="BA1250" s="1746" t="s">
        <v>5169</v>
      </c>
      <c r="BB1250" s="1747" t="s">
        <v>5170</v>
      </c>
      <c r="BC1250" s="1746">
        <v>5</v>
      </c>
      <c r="BD1250" s="1746" t="s">
        <v>2795</v>
      </c>
      <c r="BE1250" s="1746"/>
      <c r="BF1250" s="1746">
        <v>245</v>
      </c>
      <c r="BG1250" s="1746" t="s">
        <v>2592</v>
      </c>
      <c r="BH1250" s="1744">
        <f t="shared" si="116"/>
        <v>2.4499999999999999E-4</v>
      </c>
      <c r="BI1250" s="1745">
        <f t="shared" si="113"/>
        <v>4.8999999999999998E-5</v>
      </c>
      <c r="BJ1250" s="1740" t="str">
        <f t="shared" si="114"/>
        <v>vials</v>
      </c>
      <c r="BK1250" s="1740" t="str">
        <f t="shared" si="115"/>
        <v>Injection Vial</v>
      </c>
    </row>
    <row r="1251" spans="51:63" ht="15.65" customHeight="1">
      <c r="AY1251" s="1746" t="s">
        <v>2593</v>
      </c>
      <c r="AZ1251" s="1746">
        <v>2008</v>
      </c>
      <c r="BA1251" s="1746" t="s">
        <v>5171</v>
      </c>
      <c r="BB1251" s="1747" t="s">
        <v>5172</v>
      </c>
      <c r="BC1251" s="1746">
        <v>1</v>
      </c>
      <c r="BD1251" s="1746" t="s">
        <v>2591</v>
      </c>
      <c r="BE1251" s="1746"/>
      <c r="BF1251" s="1746">
        <v>6.4000000000000005E-4</v>
      </c>
      <c r="BG1251" s="1746" t="s">
        <v>2597</v>
      </c>
      <c r="BH1251" s="1744">
        <f t="shared" si="116"/>
        <v>6.4000000000000005E-4</v>
      </c>
      <c r="BI1251" s="1745">
        <f t="shared" si="113"/>
        <v>6.4000000000000005E-4</v>
      </c>
      <c r="BJ1251" s="1740" t="str">
        <f t="shared" si="114"/>
        <v>vial</v>
      </c>
      <c r="BK1251" s="1740" t="str">
        <f t="shared" si="115"/>
        <v>Injection Vial</v>
      </c>
    </row>
    <row r="1252" spans="51:63" ht="15.65" customHeight="1">
      <c r="AY1252" s="1746" t="s">
        <v>2593</v>
      </c>
      <c r="AZ1252" s="1746">
        <v>2008</v>
      </c>
      <c r="BA1252" s="1746" t="s">
        <v>5173</v>
      </c>
      <c r="BB1252" s="1747" t="s">
        <v>5174</v>
      </c>
      <c r="BC1252" s="1746">
        <v>1</v>
      </c>
      <c r="BD1252" s="1746" t="s">
        <v>2591</v>
      </c>
      <c r="BE1252" s="1746"/>
      <c r="BF1252" s="1746">
        <v>2.5000000000000001E-4</v>
      </c>
      <c r="BG1252" s="1746" t="s">
        <v>2597</v>
      </c>
      <c r="BH1252" s="1744">
        <f t="shared" si="116"/>
        <v>2.5000000000000001E-4</v>
      </c>
      <c r="BI1252" s="1745">
        <f t="shared" si="113"/>
        <v>2.5000000000000001E-4</v>
      </c>
      <c r="BJ1252" s="1740" t="str">
        <f t="shared" si="114"/>
        <v>vial</v>
      </c>
      <c r="BK1252" s="1740" t="str">
        <f t="shared" si="115"/>
        <v>Injection Vial</v>
      </c>
    </row>
    <row r="1253" spans="51:63" ht="15.65" customHeight="1">
      <c r="AY1253" s="1746" t="s">
        <v>2575</v>
      </c>
      <c r="AZ1253" s="1746">
        <v>2008</v>
      </c>
      <c r="BA1253" s="1746" t="s">
        <v>5175</v>
      </c>
      <c r="BB1253" s="1747" t="s">
        <v>5176</v>
      </c>
      <c r="BC1253" s="1746" t="s">
        <v>2578</v>
      </c>
      <c r="BD1253" s="1746" t="s">
        <v>2579</v>
      </c>
      <c r="BE1253" s="1746" t="s">
        <v>5177</v>
      </c>
      <c r="BF1253" s="1746">
        <v>0</v>
      </c>
      <c r="BG1253" s="1746"/>
      <c r="BH1253" s="1744" t="str">
        <f t="shared" si="116"/>
        <v/>
      </c>
      <c r="BI1253" s="1745" t="str">
        <f t="shared" si="113"/>
        <v/>
      </c>
      <c r="BJ1253" s="1740" t="str">
        <f t="shared" si="114"/>
        <v>EA-Antineoplastics</v>
      </c>
      <c r="BK1253" s="1740" t="str">
        <f t="shared" si="115"/>
        <v>Injection Vial</v>
      </c>
    </row>
    <row r="1254" spans="51:63" ht="15.65" customHeight="1">
      <c r="AY1254" s="1746" t="s">
        <v>2575</v>
      </c>
      <c r="AZ1254" s="1746">
        <v>2008</v>
      </c>
      <c r="BA1254" s="1746" t="s">
        <v>5178</v>
      </c>
      <c r="BB1254" s="1747" t="s">
        <v>5179</v>
      </c>
      <c r="BC1254" s="1746" t="s">
        <v>2578</v>
      </c>
      <c r="BD1254" s="1746" t="s">
        <v>2579</v>
      </c>
      <c r="BE1254" s="1746" t="s">
        <v>5177</v>
      </c>
      <c r="BF1254" s="1746">
        <v>0</v>
      </c>
      <c r="BG1254" s="1746"/>
      <c r="BH1254" s="1744" t="str">
        <f t="shared" si="116"/>
        <v/>
      </c>
      <c r="BI1254" s="1745" t="str">
        <f t="shared" si="113"/>
        <v/>
      </c>
      <c r="BJ1254" s="1740" t="str">
        <f t="shared" si="114"/>
        <v>EA-Antineoplastics</v>
      </c>
      <c r="BK1254" s="1740" t="str">
        <f t="shared" si="115"/>
        <v>Injection Vial</v>
      </c>
    </row>
    <row r="1255" spans="51:63" ht="15.65" customHeight="1">
      <c r="AY1255" s="1746" t="s">
        <v>2588</v>
      </c>
      <c r="AZ1255" s="1746">
        <v>2006</v>
      </c>
      <c r="BA1255" s="1746" t="s">
        <v>5180</v>
      </c>
      <c r="BB1255" s="1747" t="s">
        <v>5181</v>
      </c>
      <c r="BC1255" s="1746">
        <v>1</v>
      </c>
      <c r="BD1255" s="1746" t="s">
        <v>2591</v>
      </c>
      <c r="BE1255" s="1746"/>
      <c r="BF1255" s="1746">
        <v>200</v>
      </c>
      <c r="BG1255" s="1746" t="s">
        <v>2592</v>
      </c>
      <c r="BH1255" s="1744">
        <f t="shared" si="116"/>
        <v>2.0000000000000001E-4</v>
      </c>
      <c r="BI1255" s="1745">
        <f t="shared" si="113"/>
        <v>2.0000000000000001E-4</v>
      </c>
      <c r="BJ1255" s="1740" t="str">
        <f t="shared" si="114"/>
        <v>vial</v>
      </c>
      <c r="BK1255" s="1740" t="str">
        <f t="shared" si="115"/>
        <v>Injection Vial</v>
      </c>
    </row>
    <row r="1256" spans="51:63" ht="15.65" customHeight="1">
      <c r="AY1256" s="1746" t="s">
        <v>2588</v>
      </c>
      <c r="AZ1256" s="1746">
        <v>2006</v>
      </c>
      <c r="BA1256" s="1746" t="s">
        <v>5182</v>
      </c>
      <c r="BB1256" s="1747" t="s">
        <v>5183</v>
      </c>
      <c r="BC1256" s="1746">
        <v>1000</v>
      </c>
      <c r="BD1256" s="1746" t="s">
        <v>2839</v>
      </c>
      <c r="BE1256" s="1746"/>
      <c r="BF1256" s="1746">
        <v>1840.08</v>
      </c>
      <c r="BG1256" s="1746" t="s">
        <v>2592</v>
      </c>
      <c r="BH1256" s="1744">
        <f t="shared" si="116"/>
        <v>1.84008E-3</v>
      </c>
      <c r="BI1256" s="1745">
        <f t="shared" si="113"/>
        <v>1.84008E-6</v>
      </c>
      <c r="BJ1256" s="1740" t="str">
        <f t="shared" si="114"/>
        <v>caps</v>
      </c>
      <c r="BK1256" s="1740" t="str">
        <f t="shared" si="115"/>
        <v>Bottle of Tablets</v>
      </c>
    </row>
    <row r="1257" spans="51:63" ht="15.65" customHeight="1">
      <c r="AY1257" s="1746" t="s">
        <v>2588</v>
      </c>
      <c r="AZ1257" s="1746">
        <v>2006</v>
      </c>
      <c r="BA1257" s="1746" t="s">
        <v>5184</v>
      </c>
      <c r="BB1257" s="1747" t="s">
        <v>5185</v>
      </c>
      <c r="BC1257" s="1746">
        <v>1000</v>
      </c>
      <c r="BD1257" s="1746" t="s">
        <v>2839</v>
      </c>
      <c r="BE1257" s="1746"/>
      <c r="BF1257" s="1746">
        <v>1725.6</v>
      </c>
      <c r="BG1257" s="1746" t="s">
        <v>2592</v>
      </c>
      <c r="BH1257" s="1744">
        <f t="shared" si="116"/>
        <v>1.7255999999999999E-3</v>
      </c>
      <c r="BI1257" s="1745">
        <f t="shared" si="113"/>
        <v>1.7255999999999998E-6</v>
      </c>
      <c r="BJ1257" s="1740" t="str">
        <f t="shared" si="114"/>
        <v>caps</v>
      </c>
      <c r="BK1257" s="1740" t="str">
        <f t="shared" si="115"/>
        <v>Bottle of Tablets</v>
      </c>
    </row>
    <row r="1258" spans="51:63" ht="15.65" customHeight="1">
      <c r="AY1258" s="1746" t="s">
        <v>2588</v>
      </c>
      <c r="AZ1258" s="1746">
        <v>2006</v>
      </c>
      <c r="BA1258" s="1746" t="s">
        <v>5186</v>
      </c>
      <c r="BB1258" s="1747" t="s">
        <v>5187</v>
      </c>
      <c r="BC1258" s="1746">
        <v>1000</v>
      </c>
      <c r="BD1258" s="1746" t="s">
        <v>2839</v>
      </c>
      <c r="BE1258" s="1746"/>
      <c r="BF1258" s="1746">
        <v>1626.88</v>
      </c>
      <c r="BG1258" s="1746" t="s">
        <v>2592</v>
      </c>
      <c r="BH1258" s="1744">
        <f t="shared" si="116"/>
        <v>1.62688E-3</v>
      </c>
      <c r="BI1258" s="1745">
        <f t="shared" si="113"/>
        <v>1.6268800000000001E-6</v>
      </c>
      <c r="BJ1258" s="1740" t="str">
        <f t="shared" si="114"/>
        <v>caps</v>
      </c>
      <c r="BK1258" s="1740" t="str">
        <f t="shared" si="115"/>
        <v>Bottle of Tablets</v>
      </c>
    </row>
    <row r="1259" spans="51:63" ht="15.65" customHeight="1">
      <c r="AY1259" s="1746" t="s">
        <v>2593</v>
      </c>
      <c r="AZ1259" s="1746">
        <v>2008</v>
      </c>
      <c r="BA1259" s="1746" t="s">
        <v>5188</v>
      </c>
      <c r="BB1259" s="1747" t="s">
        <v>5189</v>
      </c>
      <c r="BC1259" s="1750">
        <v>1000</v>
      </c>
      <c r="BD1259" s="1746" t="s">
        <v>2864</v>
      </c>
      <c r="BE1259" s="1746"/>
      <c r="BF1259" s="1746">
        <v>7.6000000000000004E-4</v>
      </c>
      <c r="BG1259" s="1746" t="s">
        <v>2597</v>
      </c>
      <c r="BH1259" s="1744">
        <f t="shared" si="116"/>
        <v>7.6000000000000004E-4</v>
      </c>
      <c r="BI1259" s="1745">
        <f t="shared" si="113"/>
        <v>7.6000000000000003E-7</v>
      </c>
      <c r="BJ1259" s="1740" t="str">
        <f t="shared" si="114"/>
        <v>capsules</v>
      </c>
      <c r="BK1259" s="1740" t="str">
        <f t="shared" si="115"/>
        <v>Bottle of Tablets</v>
      </c>
    </row>
    <row r="1260" spans="51:63" ht="15.65" customHeight="1">
      <c r="AY1260" s="1746" t="s">
        <v>2593</v>
      </c>
      <c r="AZ1260" s="1746">
        <v>2008</v>
      </c>
      <c r="BA1260" s="1746" t="s">
        <v>5190</v>
      </c>
      <c r="BB1260" s="1747" t="s">
        <v>5191</v>
      </c>
      <c r="BC1260" s="1750">
        <v>1000</v>
      </c>
      <c r="BD1260" s="1746" t="s">
        <v>2864</v>
      </c>
      <c r="BE1260" s="1746"/>
      <c r="BF1260" s="1746">
        <v>1.7700000000000001E-3</v>
      </c>
      <c r="BG1260" s="1746" t="s">
        <v>2597</v>
      </c>
      <c r="BH1260" s="1744">
        <f t="shared" si="116"/>
        <v>1.7700000000000001E-3</v>
      </c>
      <c r="BI1260" s="1745">
        <f t="shared" si="113"/>
        <v>1.77E-6</v>
      </c>
      <c r="BJ1260" s="1740" t="str">
        <f t="shared" si="114"/>
        <v>capsules</v>
      </c>
      <c r="BK1260" s="1740" t="str">
        <f t="shared" si="115"/>
        <v>Bottle of Tablets</v>
      </c>
    </row>
    <row r="1261" spans="51:63" ht="15.65" customHeight="1">
      <c r="AY1261" s="1746" t="s">
        <v>2588</v>
      </c>
      <c r="AZ1261" s="1746">
        <v>2006</v>
      </c>
      <c r="BA1261" s="1746" t="s">
        <v>5192</v>
      </c>
      <c r="BB1261" s="1747" t="s">
        <v>5193</v>
      </c>
      <c r="BC1261" s="1746">
        <v>1000</v>
      </c>
      <c r="BD1261" s="1746" t="s">
        <v>2615</v>
      </c>
      <c r="BE1261" s="1746"/>
      <c r="BF1261" s="1746">
        <v>440</v>
      </c>
      <c r="BG1261" s="1746" t="s">
        <v>2592</v>
      </c>
      <c r="BH1261" s="1744">
        <f t="shared" si="116"/>
        <v>4.4000000000000002E-4</v>
      </c>
      <c r="BI1261" s="1745">
        <f t="shared" si="113"/>
        <v>4.4000000000000002E-7</v>
      </c>
      <c r="BJ1261" s="1740" t="str">
        <f t="shared" si="114"/>
        <v>tabs</v>
      </c>
      <c r="BK1261" s="1740" t="str">
        <f t="shared" si="115"/>
        <v>Bottle of Tablets</v>
      </c>
    </row>
    <row r="1262" spans="51:63" ht="15.65" customHeight="1">
      <c r="AY1262" s="1746" t="s">
        <v>2593</v>
      </c>
      <c r="AZ1262" s="1746">
        <v>2008</v>
      </c>
      <c r="BA1262" s="1746" t="s">
        <v>5194</v>
      </c>
      <c r="BB1262" s="1747" t="s">
        <v>5195</v>
      </c>
      <c r="BC1262" s="1750">
        <v>1000</v>
      </c>
      <c r="BD1262" s="1746" t="s">
        <v>2601</v>
      </c>
      <c r="BE1262" s="1746"/>
      <c r="BF1262" s="1746">
        <v>5.6999999999999998E-4</v>
      </c>
      <c r="BG1262" s="1746" t="s">
        <v>2597</v>
      </c>
      <c r="BH1262" s="1744">
        <f t="shared" si="116"/>
        <v>5.6999999999999998E-4</v>
      </c>
      <c r="BI1262" s="1745">
        <f t="shared" si="113"/>
        <v>5.6999999999999994E-7</v>
      </c>
      <c r="BJ1262" s="1740" t="str">
        <f t="shared" si="114"/>
        <v>tablets</v>
      </c>
      <c r="BK1262" s="1740" t="str">
        <f t="shared" si="115"/>
        <v>Bottle of Tablets</v>
      </c>
    </row>
    <row r="1263" spans="51:63" ht="15.65" customHeight="1">
      <c r="AY1263" s="1746" t="s">
        <v>2593</v>
      </c>
      <c r="AZ1263" s="1746">
        <v>2008</v>
      </c>
      <c r="BA1263" s="1746" t="s">
        <v>5196</v>
      </c>
      <c r="BB1263" s="1747" t="s">
        <v>5197</v>
      </c>
      <c r="BC1263" s="1746">
        <v>100</v>
      </c>
      <c r="BD1263" s="1746" t="s">
        <v>2727</v>
      </c>
      <c r="BE1263" s="1746"/>
      <c r="BF1263" s="1746">
        <v>3.2599999999999999E-3</v>
      </c>
      <c r="BG1263" s="1746" t="s">
        <v>2597</v>
      </c>
      <c r="BH1263" s="1744">
        <f t="shared" si="116"/>
        <v>3.2599999999999999E-3</v>
      </c>
      <c r="BI1263" s="1745">
        <f t="shared" si="113"/>
        <v>3.26E-5</v>
      </c>
      <c r="BJ1263" s="1740" t="str">
        <f t="shared" si="114"/>
        <v>ampoules</v>
      </c>
      <c r="BK1263" s="1740" t="str">
        <f t="shared" si="115"/>
        <v>Injection Vial</v>
      </c>
    </row>
    <row r="1264" spans="51:63" ht="15.65" customHeight="1">
      <c r="AY1264" s="1746" t="s">
        <v>2588</v>
      </c>
      <c r="AZ1264" s="1746">
        <v>2006</v>
      </c>
      <c r="BA1264" s="1746" t="s">
        <v>5198</v>
      </c>
      <c r="BB1264" s="1747" t="s">
        <v>5199</v>
      </c>
      <c r="BC1264" s="1746">
        <v>100</v>
      </c>
      <c r="BD1264" s="1746" t="s">
        <v>2790</v>
      </c>
      <c r="BE1264" s="1746"/>
      <c r="BF1264" s="1746">
        <v>2300</v>
      </c>
      <c r="BG1264" s="1746" t="s">
        <v>2592</v>
      </c>
      <c r="BH1264" s="1744">
        <f t="shared" si="116"/>
        <v>2.3E-3</v>
      </c>
      <c r="BI1264" s="1745">
        <f t="shared" si="113"/>
        <v>2.3E-5</v>
      </c>
      <c r="BJ1264" s="1740" t="str">
        <f t="shared" si="114"/>
        <v>amps</v>
      </c>
      <c r="BK1264" s="1740" t="str">
        <f t="shared" si="115"/>
        <v>Injection Vial</v>
      </c>
    </row>
    <row r="1265" spans="51:63" ht="15.65" customHeight="1">
      <c r="AY1265" s="1746" t="s">
        <v>2593</v>
      </c>
      <c r="AZ1265" s="1746">
        <v>2008</v>
      </c>
      <c r="BA1265" s="1746" t="s">
        <v>5200</v>
      </c>
      <c r="BB1265" s="1747" t="s">
        <v>5201</v>
      </c>
      <c r="BC1265" s="1750">
        <v>1000</v>
      </c>
      <c r="BD1265" s="1746" t="s">
        <v>2601</v>
      </c>
      <c r="BE1265" s="1746"/>
      <c r="BF1265" s="1746">
        <v>5.6999999999999998E-4</v>
      </c>
      <c r="BG1265" s="1746" t="s">
        <v>2597</v>
      </c>
      <c r="BH1265" s="1744">
        <f t="shared" si="116"/>
        <v>5.6999999999999998E-4</v>
      </c>
      <c r="BI1265" s="1745">
        <f t="shared" si="113"/>
        <v>5.6999999999999994E-7</v>
      </c>
      <c r="BJ1265" s="1740" t="str">
        <f t="shared" si="114"/>
        <v>tablets</v>
      </c>
      <c r="BK1265" s="1740" t="str">
        <f t="shared" si="115"/>
        <v>Bottle of Tablets</v>
      </c>
    </row>
    <row r="1266" spans="51:63" ht="15.65" customHeight="1">
      <c r="AY1266" s="1746" t="s">
        <v>2593</v>
      </c>
      <c r="AZ1266" s="1746">
        <v>2008</v>
      </c>
      <c r="BA1266" s="1746" t="s">
        <v>5202</v>
      </c>
      <c r="BB1266" s="1747" t="s">
        <v>5203</v>
      </c>
      <c r="BC1266" s="1746">
        <v>100</v>
      </c>
      <c r="BD1266" s="1746" t="s">
        <v>2727</v>
      </c>
      <c r="BE1266" s="1746"/>
      <c r="BF1266" s="1746">
        <v>2.2399999999999998E-3</v>
      </c>
      <c r="BG1266" s="1746" t="s">
        <v>2597</v>
      </c>
      <c r="BH1266" s="1744">
        <f t="shared" si="116"/>
        <v>2.2399999999999998E-3</v>
      </c>
      <c r="BI1266" s="1745">
        <f t="shared" si="113"/>
        <v>2.2399999999999999E-5</v>
      </c>
      <c r="BJ1266" s="1740" t="str">
        <f t="shared" si="114"/>
        <v>ampoules</v>
      </c>
      <c r="BK1266" s="1740" t="str">
        <f t="shared" si="115"/>
        <v>Injection Vial</v>
      </c>
    </row>
    <row r="1267" spans="51:63" ht="15.65" customHeight="1">
      <c r="AY1267" s="1746" t="s">
        <v>2588</v>
      </c>
      <c r="AZ1267" s="1746">
        <v>2006</v>
      </c>
      <c r="BA1267" s="1746" t="s">
        <v>5204</v>
      </c>
      <c r="BB1267" s="1747" t="s">
        <v>5205</v>
      </c>
      <c r="BC1267" s="1746">
        <v>100</v>
      </c>
      <c r="BD1267" s="1746" t="s">
        <v>2790</v>
      </c>
      <c r="BE1267" s="1746"/>
      <c r="BF1267" s="1746">
        <v>1845.6</v>
      </c>
      <c r="BG1267" s="1746" t="s">
        <v>2592</v>
      </c>
      <c r="BH1267" s="1744">
        <f t="shared" si="116"/>
        <v>1.8456E-3</v>
      </c>
      <c r="BI1267" s="1745">
        <f t="shared" si="113"/>
        <v>1.8456000000000001E-5</v>
      </c>
      <c r="BJ1267" s="1740" t="str">
        <f t="shared" si="114"/>
        <v>amps</v>
      </c>
      <c r="BK1267" s="1740" t="str">
        <f t="shared" si="115"/>
        <v>Injection Vial</v>
      </c>
    </row>
    <row r="1268" spans="51:63" ht="15.65" customHeight="1">
      <c r="AY1268" s="1746" t="s">
        <v>2593</v>
      </c>
      <c r="AZ1268" s="1746">
        <v>2008</v>
      </c>
      <c r="BA1268" s="1746" t="s">
        <v>5206</v>
      </c>
      <c r="BB1268" s="1747" t="s">
        <v>5207</v>
      </c>
      <c r="BC1268" s="1746">
        <v>100</v>
      </c>
      <c r="BD1268" s="1746" t="s">
        <v>2727</v>
      </c>
      <c r="BE1268" s="1746"/>
      <c r="BF1268" s="1746">
        <v>1.5100000000000001E-3</v>
      </c>
      <c r="BG1268" s="1746" t="s">
        <v>2597</v>
      </c>
      <c r="BH1268" s="1744">
        <f t="shared" si="116"/>
        <v>1.5100000000000001E-3</v>
      </c>
      <c r="BI1268" s="1745">
        <f t="shared" si="113"/>
        <v>1.5100000000000001E-5</v>
      </c>
      <c r="BJ1268" s="1740" t="str">
        <f t="shared" si="114"/>
        <v>ampoules</v>
      </c>
      <c r="BK1268" s="1740" t="str">
        <f t="shared" si="115"/>
        <v>Injection Vial</v>
      </c>
    </row>
    <row r="1269" spans="51:63" ht="15.65" customHeight="1">
      <c r="AY1269" s="1746" t="s">
        <v>2588</v>
      </c>
      <c r="AZ1269" s="1746">
        <v>2006</v>
      </c>
      <c r="BA1269" s="1746" t="s">
        <v>5208</v>
      </c>
      <c r="BB1269" s="1747" t="s">
        <v>5209</v>
      </c>
      <c r="BC1269" s="1746">
        <v>100</v>
      </c>
      <c r="BD1269" s="1746" t="s">
        <v>2790</v>
      </c>
      <c r="BE1269" s="1746"/>
      <c r="BF1269" s="1746">
        <v>2524</v>
      </c>
      <c r="BG1269" s="1746" t="s">
        <v>2592</v>
      </c>
      <c r="BH1269" s="1744">
        <f t="shared" si="116"/>
        <v>2.5240000000000002E-3</v>
      </c>
      <c r="BI1269" s="1745">
        <f t="shared" si="113"/>
        <v>2.5240000000000002E-5</v>
      </c>
      <c r="BJ1269" s="1740" t="str">
        <f t="shared" si="114"/>
        <v>amps</v>
      </c>
      <c r="BK1269" s="1740" t="str">
        <f t="shared" si="115"/>
        <v>Injection Vial</v>
      </c>
    </row>
    <row r="1270" spans="51:63" ht="15.65" customHeight="1">
      <c r="AY1270" s="1746" t="s">
        <v>2588</v>
      </c>
      <c r="AZ1270" s="1746">
        <v>2006</v>
      </c>
      <c r="BA1270" s="1746" t="s">
        <v>5210</v>
      </c>
      <c r="BB1270" s="1747" t="s">
        <v>5211</v>
      </c>
      <c r="BC1270" s="1746">
        <v>1000</v>
      </c>
      <c r="BD1270" s="1746" t="s">
        <v>2615</v>
      </c>
      <c r="BE1270" s="1746"/>
      <c r="BF1270" s="1746">
        <v>335</v>
      </c>
      <c r="BG1270" s="1746" t="s">
        <v>2592</v>
      </c>
      <c r="BH1270" s="1744">
        <f t="shared" si="116"/>
        <v>3.3500000000000001E-4</v>
      </c>
      <c r="BI1270" s="1745">
        <f t="shared" si="113"/>
        <v>3.3500000000000002E-7</v>
      </c>
      <c r="BJ1270" s="1740" t="str">
        <f t="shared" si="114"/>
        <v>tabs</v>
      </c>
      <c r="BK1270" s="1740" t="str">
        <f t="shared" si="115"/>
        <v>Bottle of Tablets</v>
      </c>
    </row>
    <row r="1271" spans="51:63" ht="15.65" customHeight="1">
      <c r="AY1271" s="1746" t="s">
        <v>2593</v>
      </c>
      <c r="AZ1271" s="1746">
        <v>2008</v>
      </c>
      <c r="BA1271" s="1746" t="s">
        <v>5212</v>
      </c>
      <c r="BB1271" s="1747" t="s">
        <v>5213</v>
      </c>
      <c r="BC1271" s="1750">
        <v>1000</v>
      </c>
      <c r="BD1271" s="1746" t="s">
        <v>2601</v>
      </c>
      <c r="BE1271" s="1746"/>
      <c r="BF1271" s="1746">
        <v>5.6999999999999998E-4</v>
      </c>
      <c r="BG1271" s="1746" t="s">
        <v>2597</v>
      </c>
      <c r="BH1271" s="1744">
        <f t="shared" si="116"/>
        <v>5.6999999999999998E-4</v>
      </c>
      <c r="BI1271" s="1745">
        <f t="shared" si="113"/>
        <v>5.6999999999999994E-7</v>
      </c>
      <c r="BJ1271" s="1740" t="str">
        <f t="shared" si="114"/>
        <v>tablets</v>
      </c>
      <c r="BK1271" s="1740" t="str">
        <f t="shared" si="115"/>
        <v>Bottle of Tablets</v>
      </c>
    </row>
    <row r="1272" spans="51:63" ht="15.65" customHeight="1">
      <c r="AY1272" s="1746" t="s">
        <v>2593</v>
      </c>
      <c r="AZ1272" s="1746">
        <v>2008</v>
      </c>
      <c r="BA1272" s="1746" t="s">
        <v>5214</v>
      </c>
      <c r="BB1272" s="1747" t="s">
        <v>5215</v>
      </c>
      <c r="BC1272" s="1746">
        <v>100</v>
      </c>
      <c r="BD1272" s="1746" t="s">
        <v>2727</v>
      </c>
      <c r="BE1272" s="1746"/>
      <c r="BF1272" s="1746">
        <v>2.6199999999999999E-3</v>
      </c>
      <c r="BG1272" s="1746" t="s">
        <v>2597</v>
      </c>
      <c r="BH1272" s="1744">
        <f t="shared" si="116"/>
        <v>2.6199999999999999E-3</v>
      </c>
      <c r="BI1272" s="1745">
        <f t="shared" si="113"/>
        <v>2.62E-5</v>
      </c>
      <c r="BJ1272" s="1740" t="str">
        <f t="shared" si="114"/>
        <v>ampoules</v>
      </c>
      <c r="BK1272" s="1740" t="str">
        <f t="shared" si="115"/>
        <v>Injection Vial</v>
      </c>
    </row>
    <row r="1273" spans="51:63" ht="15.65" customHeight="1">
      <c r="AY1273" s="1746" t="s">
        <v>2593</v>
      </c>
      <c r="AZ1273" s="1746">
        <v>2008</v>
      </c>
      <c r="BA1273" s="1746" t="s">
        <v>5216</v>
      </c>
      <c r="BB1273" s="1747" t="s">
        <v>5217</v>
      </c>
      <c r="BC1273" s="1746">
        <v>100</v>
      </c>
      <c r="BD1273" s="1746" t="s">
        <v>2727</v>
      </c>
      <c r="BE1273" s="1746"/>
      <c r="BF1273" s="1746">
        <v>2.5999999999999999E-3</v>
      </c>
      <c r="BG1273" s="1746" t="s">
        <v>2597</v>
      </c>
      <c r="BH1273" s="1744">
        <f t="shared" si="116"/>
        <v>2.5999999999999999E-3</v>
      </c>
      <c r="BI1273" s="1745">
        <f t="shared" si="113"/>
        <v>2.5999999999999998E-5</v>
      </c>
      <c r="BJ1273" s="1740" t="str">
        <f t="shared" si="114"/>
        <v>ampoules</v>
      </c>
      <c r="BK1273" s="1740" t="str">
        <f t="shared" si="115"/>
        <v>Injection Vial</v>
      </c>
    </row>
    <row r="1274" spans="51:63" ht="15.65" customHeight="1">
      <c r="AY1274" s="1746" t="s">
        <v>2588</v>
      </c>
      <c r="AZ1274" s="1746">
        <v>2006</v>
      </c>
      <c r="BA1274" s="1746" t="s">
        <v>5218</v>
      </c>
      <c r="BB1274" s="1747" t="s">
        <v>5219</v>
      </c>
      <c r="BC1274" s="1746">
        <v>1000</v>
      </c>
      <c r="BD1274" s="1746" t="s">
        <v>2615</v>
      </c>
      <c r="BE1274" s="1746"/>
      <c r="BF1274" s="1746">
        <v>850</v>
      </c>
      <c r="BG1274" s="1746" t="s">
        <v>2592</v>
      </c>
      <c r="BH1274" s="1744">
        <f t="shared" si="116"/>
        <v>8.4999999999999995E-4</v>
      </c>
      <c r="BI1274" s="1745">
        <f t="shared" si="113"/>
        <v>8.4999999999999991E-7</v>
      </c>
      <c r="BJ1274" s="1740" t="str">
        <f t="shared" si="114"/>
        <v>tabs</v>
      </c>
      <c r="BK1274" s="1740" t="str">
        <f t="shared" si="115"/>
        <v>Bottle of Tablets</v>
      </c>
    </row>
    <row r="1275" spans="51:63" ht="15.65" customHeight="1">
      <c r="AY1275" s="1746" t="s">
        <v>2593</v>
      </c>
      <c r="AZ1275" s="1746">
        <v>2008</v>
      </c>
      <c r="BA1275" s="1746" t="s">
        <v>5220</v>
      </c>
      <c r="BB1275" s="1747" t="s">
        <v>5221</v>
      </c>
      <c r="BC1275" s="1750">
        <v>1000</v>
      </c>
      <c r="BD1275" s="1746" t="s">
        <v>2601</v>
      </c>
      <c r="BE1275" s="1746"/>
      <c r="BF1275" s="1746">
        <v>8.9999999999999998E-4</v>
      </c>
      <c r="BG1275" s="1746" t="s">
        <v>2597</v>
      </c>
      <c r="BH1275" s="1744">
        <f t="shared" si="116"/>
        <v>8.9999999999999998E-4</v>
      </c>
      <c r="BI1275" s="1745">
        <f t="shared" si="113"/>
        <v>8.9999999999999996E-7</v>
      </c>
      <c r="BJ1275" s="1740" t="str">
        <f t="shared" si="114"/>
        <v>tablets</v>
      </c>
      <c r="BK1275" s="1740" t="str">
        <f t="shared" si="115"/>
        <v>Bottle of Tablets</v>
      </c>
    </row>
    <row r="1276" spans="51:63" ht="15.65" customHeight="1">
      <c r="AY1276" s="1746" t="s">
        <v>2593</v>
      </c>
      <c r="AZ1276" s="1746">
        <v>2008</v>
      </c>
      <c r="BA1276" s="1746" t="s">
        <v>5222</v>
      </c>
      <c r="BB1276" s="1747" t="s">
        <v>5223</v>
      </c>
      <c r="BC1276" s="1750">
        <v>1000</v>
      </c>
      <c r="BD1276" s="1746" t="s">
        <v>2601</v>
      </c>
      <c r="BE1276" s="1746"/>
      <c r="BF1276" s="1746">
        <v>6.5799999999999999E-3</v>
      </c>
      <c r="BG1276" s="1746" t="s">
        <v>2597</v>
      </c>
      <c r="BH1276" s="1744">
        <f t="shared" si="116"/>
        <v>6.5799999999999999E-3</v>
      </c>
      <c r="BI1276" s="1745">
        <f t="shared" si="113"/>
        <v>6.5799999999999997E-6</v>
      </c>
      <c r="BJ1276" s="1740" t="str">
        <f t="shared" si="114"/>
        <v>tablets</v>
      </c>
      <c r="BK1276" s="1740" t="str">
        <f t="shared" si="115"/>
        <v>Bottle of Tablets</v>
      </c>
    </row>
    <row r="1277" spans="51:63" ht="15.65" customHeight="1">
      <c r="AY1277" s="1746" t="s">
        <v>2593</v>
      </c>
      <c r="AZ1277" s="1746">
        <v>2008</v>
      </c>
      <c r="BA1277" s="1746" t="s">
        <v>5224</v>
      </c>
      <c r="BB1277" s="1747" t="s">
        <v>5225</v>
      </c>
      <c r="BC1277" s="1746">
        <v>100</v>
      </c>
      <c r="BD1277" s="1746" t="s">
        <v>2727</v>
      </c>
      <c r="BE1277" s="1746"/>
      <c r="BF1277" s="1746">
        <v>3.0300000000000001E-3</v>
      </c>
      <c r="BG1277" s="1746" t="s">
        <v>2597</v>
      </c>
      <c r="BH1277" s="1744">
        <f t="shared" si="116"/>
        <v>3.0300000000000001E-3</v>
      </c>
      <c r="BI1277" s="1745">
        <f t="shared" si="113"/>
        <v>3.0300000000000001E-5</v>
      </c>
      <c r="BJ1277" s="1740" t="str">
        <f t="shared" si="114"/>
        <v>ampoules</v>
      </c>
      <c r="BK1277" s="1740" t="str">
        <f t="shared" si="115"/>
        <v>Injection Vial</v>
      </c>
    </row>
    <row r="1278" spans="51:63" ht="15.65" customHeight="1">
      <c r="AY1278" s="1746" t="s">
        <v>2593</v>
      </c>
      <c r="AZ1278" s="1746">
        <v>2008</v>
      </c>
      <c r="BA1278" s="1746" t="s">
        <v>5226</v>
      </c>
      <c r="BB1278" s="1747" t="s">
        <v>5227</v>
      </c>
      <c r="BC1278" s="1746">
        <v>100</v>
      </c>
      <c r="BD1278" s="1746" t="s">
        <v>2727</v>
      </c>
      <c r="BE1278" s="1746"/>
      <c r="BF1278" s="1746">
        <v>1.3699999999999999E-3</v>
      </c>
      <c r="BG1278" s="1746" t="s">
        <v>2597</v>
      </c>
      <c r="BH1278" s="1744">
        <f t="shared" si="116"/>
        <v>1.3699999999999999E-3</v>
      </c>
      <c r="BI1278" s="1745">
        <f t="shared" si="113"/>
        <v>1.3699999999999999E-5</v>
      </c>
      <c r="BJ1278" s="1740" t="str">
        <f t="shared" si="114"/>
        <v>ampoules</v>
      </c>
      <c r="BK1278" s="1740" t="str">
        <f t="shared" si="115"/>
        <v>Injection Vial</v>
      </c>
    </row>
    <row r="1279" spans="51:63" ht="15.65" customHeight="1">
      <c r="AY1279" s="1746" t="s">
        <v>2588</v>
      </c>
      <c r="AZ1279" s="1746">
        <v>2006</v>
      </c>
      <c r="BA1279" s="1746" t="s">
        <v>5228</v>
      </c>
      <c r="BB1279" s="1747" t="s">
        <v>5229</v>
      </c>
      <c r="BC1279" s="1746">
        <v>100</v>
      </c>
      <c r="BD1279" s="1746" t="s">
        <v>2790</v>
      </c>
      <c r="BE1279" s="1746"/>
      <c r="BF1279" s="1746">
        <v>1500</v>
      </c>
      <c r="BG1279" s="1746" t="s">
        <v>2592</v>
      </c>
      <c r="BH1279" s="1744">
        <f t="shared" si="116"/>
        <v>1.5E-3</v>
      </c>
      <c r="BI1279" s="1745">
        <f t="shared" si="113"/>
        <v>1.5E-5</v>
      </c>
      <c r="BJ1279" s="1740" t="str">
        <f t="shared" si="114"/>
        <v>amps</v>
      </c>
      <c r="BK1279" s="1740" t="str">
        <f t="shared" si="115"/>
        <v>Injection Vial</v>
      </c>
    </row>
    <row r="1280" spans="51:63" ht="15.65" customHeight="1">
      <c r="AY1280" s="1746" t="s">
        <v>2593</v>
      </c>
      <c r="AZ1280" s="1746">
        <v>2008</v>
      </c>
      <c r="BA1280" s="1746" t="s">
        <v>5230</v>
      </c>
      <c r="BB1280" s="1747" t="s">
        <v>5231</v>
      </c>
      <c r="BC1280" s="1746">
        <v>100</v>
      </c>
      <c r="BD1280" s="1746" t="s">
        <v>2601</v>
      </c>
      <c r="BE1280" s="1746"/>
      <c r="BF1280" s="1746">
        <v>1.2E-4</v>
      </c>
      <c r="BG1280" s="1746" t="s">
        <v>2597</v>
      </c>
      <c r="BH1280" s="1744">
        <f t="shared" si="116"/>
        <v>1.2E-4</v>
      </c>
      <c r="BI1280" s="1745">
        <f t="shared" si="113"/>
        <v>1.1999999999999999E-6</v>
      </c>
      <c r="BJ1280" s="1740" t="str">
        <f t="shared" si="114"/>
        <v>tablets</v>
      </c>
      <c r="BK1280" s="1740" t="str">
        <f t="shared" si="115"/>
        <v>Bottle of Tablets</v>
      </c>
    </row>
    <row r="1281" spans="51:63" ht="15.65" customHeight="1">
      <c r="AY1281" s="1746" t="s">
        <v>2588</v>
      </c>
      <c r="AZ1281" s="1746">
        <v>2006</v>
      </c>
      <c r="BA1281" s="1746" t="s">
        <v>5232</v>
      </c>
      <c r="BB1281" s="1747" t="s">
        <v>5233</v>
      </c>
      <c r="BC1281" s="1746" t="s">
        <v>4023</v>
      </c>
      <c r="BD1281" s="1746" t="s">
        <v>2615</v>
      </c>
      <c r="BE1281" s="1746"/>
      <c r="BF1281" s="1746">
        <v>185.6</v>
      </c>
      <c r="BG1281" s="1746" t="s">
        <v>2592</v>
      </c>
      <c r="BH1281" s="1744">
        <f t="shared" si="116"/>
        <v>1.8559999999999998E-4</v>
      </c>
      <c r="BI1281" s="1745" t="str">
        <f t="shared" si="113"/>
        <v/>
      </c>
      <c r="BJ1281" s="1740" t="str">
        <f t="shared" si="114"/>
        <v>tabs</v>
      </c>
      <c r="BK1281" s="1740" t="str">
        <f t="shared" si="115"/>
        <v>Bottle of Tablets</v>
      </c>
    </row>
    <row r="1282" spans="51:63" ht="15.65" customHeight="1">
      <c r="AY1282" s="1746" t="s">
        <v>2575</v>
      </c>
      <c r="AZ1282" s="1746">
        <v>2008</v>
      </c>
      <c r="BA1282" s="1746" t="s">
        <v>5234</v>
      </c>
      <c r="BB1282" s="1747" t="s">
        <v>5235</v>
      </c>
      <c r="BC1282" s="1746" t="s">
        <v>2578</v>
      </c>
      <c r="BD1282" s="1746" t="s">
        <v>2579</v>
      </c>
      <c r="BE1282" s="1746" t="s">
        <v>3462</v>
      </c>
      <c r="BF1282" s="1746">
        <v>37</v>
      </c>
      <c r="BG1282" s="1746" t="s">
        <v>2581</v>
      </c>
      <c r="BH1282" s="1744">
        <f t="shared" si="116"/>
        <v>3.6999999999999998E-2</v>
      </c>
      <c r="BI1282" s="1745" t="str">
        <f t="shared" si="113"/>
        <v/>
      </c>
      <c r="BJ1282" s="1740" t="str">
        <f t="shared" si="114"/>
        <v>EA-Electrical equipment</v>
      </c>
      <c r="BK1282" s="1740" t="str">
        <f t="shared" si="115"/>
        <v>Medical equipment</v>
      </c>
    </row>
    <row r="1283" spans="51:63" ht="15.65" customHeight="1">
      <c r="AY1283" s="1746" t="s">
        <v>2588</v>
      </c>
      <c r="AZ1283" s="1746">
        <v>2006</v>
      </c>
      <c r="BA1283" s="1746" t="s">
        <v>5236</v>
      </c>
      <c r="BB1283" s="1747" t="s">
        <v>5237</v>
      </c>
      <c r="BC1283" s="1746">
        <v>1</v>
      </c>
      <c r="BD1283" s="1746" t="s">
        <v>2724</v>
      </c>
      <c r="BE1283" s="1746"/>
      <c r="BF1283" s="1746">
        <v>1008</v>
      </c>
      <c r="BG1283" s="1746" t="s">
        <v>2592</v>
      </c>
      <c r="BH1283" s="1744">
        <f t="shared" si="116"/>
        <v>1.008E-3</v>
      </c>
      <c r="BI1283" s="1745">
        <f t="shared" si="113"/>
        <v>1.008E-3</v>
      </c>
      <c r="BJ1283" s="1740" t="str">
        <f t="shared" si="114"/>
        <v>pce</v>
      </c>
      <c r="BK1283" s="1740" t="str">
        <f t="shared" si="115"/>
        <v>Roll of tape/gauze</v>
      </c>
    </row>
    <row r="1284" spans="51:63" ht="15.65" customHeight="1">
      <c r="AY1284" s="1746" t="s">
        <v>2593</v>
      </c>
      <c r="AZ1284" s="1746">
        <v>2008</v>
      </c>
      <c r="BA1284" s="1746" t="s">
        <v>5238</v>
      </c>
      <c r="BB1284" s="1747" t="s">
        <v>5239</v>
      </c>
      <c r="BC1284" s="1746">
        <v>1</v>
      </c>
      <c r="BD1284" s="1746" t="s">
        <v>2933</v>
      </c>
      <c r="BE1284" s="1746"/>
      <c r="BF1284" s="1746">
        <v>7.714E-2</v>
      </c>
      <c r="BG1284" s="1746" t="s">
        <v>2597</v>
      </c>
      <c r="BH1284" s="1744">
        <f t="shared" si="116"/>
        <v>7.714E-2</v>
      </c>
      <c r="BI1284" s="1745">
        <f t="shared" si="113"/>
        <v>7.714E-2</v>
      </c>
      <c r="BJ1284" s="1740" t="str">
        <f t="shared" si="114"/>
        <v>piece</v>
      </c>
      <c r="BK1284" s="1740" t="str">
        <f t="shared" si="115"/>
        <v>Medical equipment</v>
      </c>
    </row>
    <row r="1285" spans="51:63" ht="15.65" customHeight="1">
      <c r="AY1285" s="1746" t="s">
        <v>2593</v>
      </c>
      <c r="AZ1285" s="1746">
        <v>2008</v>
      </c>
      <c r="BA1285" s="1746" t="s">
        <v>5240</v>
      </c>
      <c r="BB1285" s="1747" t="s">
        <v>5241</v>
      </c>
      <c r="BC1285" s="1746">
        <v>1</v>
      </c>
      <c r="BD1285" s="1746" t="s">
        <v>2933</v>
      </c>
      <c r="BE1285" s="1746"/>
      <c r="BF1285" s="1746">
        <v>2.1000000000000001E-2</v>
      </c>
      <c r="BG1285" s="1746" t="s">
        <v>2597</v>
      </c>
      <c r="BH1285" s="1744">
        <f t="shared" si="116"/>
        <v>2.1000000000000001E-2</v>
      </c>
      <c r="BI1285" s="1745">
        <f t="shared" si="113"/>
        <v>2.1000000000000001E-2</v>
      </c>
      <c r="BJ1285" s="1740" t="str">
        <f t="shared" si="114"/>
        <v>piece</v>
      </c>
      <c r="BK1285" s="1740" t="str">
        <f t="shared" si="115"/>
        <v>Medical equipment</v>
      </c>
    </row>
    <row r="1286" spans="51:63" ht="15.65" customHeight="1">
      <c r="AY1286" s="1746" t="s">
        <v>2593</v>
      </c>
      <c r="AZ1286" s="1746">
        <v>2008</v>
      </c>
      <c r="BA1286" s="1746" t="s">
        <v>5242</v>
      </c>
      <c r="BB1286" s="1747" t="s">
        <v>5243</v>
      </c>
      <c r="BC1286" s="1746">
        <v>1</v>
      </c>
      <c r="BD1286" s="1746" t="s">
        <v>2933</v>
      </c>
      <c r="BE1286" s="1746"/>
      <c r="BF1286" s="1746">
        <v>2.0740000000000001E-2</v>
      </c>
      <c r="BG1286" s="1746" t="s">
        <v>2597</v>
      </c>
      <c r="BH1286" s="1744">
        <f t="shared" si="116"/>
        <v>2.0740000000000001E-2</v>
      </c>
      <c r="BI1286" s="1745">
        <f t="shared" si="113"/>
        <v>2.0740000000000001E-2</v>
      </c>
      <c r="BJ1286" s="1740" t="str">
        <f t="shared" si="114"/>
        <v>piece</v>
      </c>
      <c r="BK1286" s="1740" t="str">
        <f t="shared" si="115"/>
        <v>Medical equipment</v>
      </c>
    </row>
    <row r="1287" spans="51:63" ht="15.65" customHeight="1">
      <c r="AY1287" s="1746" t="s">
        <v>2588</v>
      </c>
      <c r="AZ1287" s="1746">
        <v>2006</v>
      </c>
      <c r="BA1287" s="1746" t="s">
        <v>5244</v>
      </c>
      <c r="BB1287" s="1747" t="s">
        <v>5245</v>
      </c>
      <c r="BC1287" s="1746">
        <v>1</v>
      </c>
      <c r="BD1287" s="1746" t="s">
        <v>2724</v>
      </c>
      <c r="BE1287" s="1746"/>
      <c r="BF1287" s="1746">
        <v>25344</v>
      </c>
      <c r="BG1287" s="1746" t="s">
        <v>2592</v>
      </c>
      <c r="BH1287" s="1744">
        <f t="shared" si="116"/>
        <v>2.5343999999999998E-2</v>
      </c>
      <c r="BI1287" s="1745">
        <f t="shared" si="113"/>
        <v>2.5343999999999998E-2</v>
      </c>
      <c r="BJ1287" s="1740" t="str">
        <f t="shared" si="114"/>
        <v>pce</v>
      </c>
      <c r="BK1287" s="1740" t="str">
        <f t="shared" si="115"/>
        <v>Roll of tape/gauze</v>
      </c>
    </row>
    <row r="1288" spans="51:63" ht="15.65" customHeight="1">
      <c r="AY1288" s="1746" t="s">
        <v>2575</v>
      </c>
      <c r="AZ1288" s="1746">
        <v>2008</v>
      </c>
      <c r="BA1288" s="1746" t="s">
        <v>5246</v>
      </c>
      <c r="BB1288" s="1747" t="s">
        <v>5247</v>
      </c>
      <c r="BC1288" s="1746" t="s">
        <v>2578</v>
      </c>
      <c r="BD1288" s="1746" t="s">
        <v>2903</v>
      </c>
      <c r="BE1288" s="1746" t="s">
        <v>3582</v>
      </c>
      <c r="BF1288" s="1746">
        <v>3.234</v>
      </c>
      <c r="BG1288" s="1746" t="s">
        <v>2581</v>
      </c>
      <c r="BH1288" s="1744">
        <f t="shared" si="116"/>
        <v>3.2339999999999999E-3</v>
      </c>
      <c r="BI1288" s="1745" t="str">
        <f t="shared" si="113"/>
        <v/>
      </c>
      <c r="BJ1288" s="1740" t="str">
        <f t="shared" si="114"/>
        <v>BOX-Water &amp; electrolytes</v>
      </c>
      <c r="BK1288" s="1740" t="str">
        <f t="shared" si="115"/>
        <v>Sachet of Powder</v>
      </c>
    </row>
    <row r="1289" spans="51:63" ht="15.65" customHeight="1">
      <c r="AY1289" s="1746" t="s">
        <v>2575</v>
      </c>
      <c r="AZ1289" s="1746">
        <v>2008</v>
      </c>
      <c r="BA1289" s="1746" t="s">
        <v>5248</v>
      </c>
      <c r="BB1289" s="1747" t="s">
        <v>5249</v>
      </c>
      <c r="BC1289" s="1746" t="s">
        <v>2578</v>
      </c>
      <c r="BD1289" s="1746" t="s">
        <v>2903</v>
      </c>
      <c r="BE1289" s="1746" t="s">
        <v>3582</v>
      </c>
      <c r="BF1289" s="1746">
        <v>0.49299999999999999</v>
      </c>
      <c r="BG1289" s="1746" t="s">
        <v>2581</v>
      </c>
      <c r="BH1289" s="1744">
        <f t="shared" si="116"/>
        <v>4.9299999999999995E-4</v>
      </c>
      <c r="BI1289" s="1745" t="str">
        <f t="shared" si="113"/>
        <v/>
      </c>
      <c r="BJ1289" s="1740" t="str">
        <f t="shared" si="114"/>
        <v>BOX-Water &amp; electrolytes</v>
      </c>
      <c r="BK1289" s="1740" t="str">
        <f t="shared" si="115"/>
        <v>Sachet of Powder</v>
      </c>
    </row>
    <row r="1290" spans="51:63" ht="15.65" customHeight="1">
      <c r="AY1290" s="1746" t="s">
        <v>2575</v>
      </c>
      <c r="AZ1290" s="1746">
        <v>2008</v>
      </c>
      <c r="BA1290" s="1746" t="s">
        <v>5250</v>
      </c>
      <c r="BB1290" s="1747" t="s">
        <v>5251</v>
      </c>
      <c r="BC1290" s="1746" t="s">
        <v>2578</v>
      </c>
      <c r="BD1290" s="1746" t="s">
        <v>2903</v>
      </c>
      <c r="BE1290" s="1746" t="s">
        <v>3582</v>
      </c>
      <c r="BF1290" s="1746">
        <v>2.36</v>
      </c>
      <c r="BG1290" s="1746" t="s">
        <v>2581</v>
      </c>
      <c r="BH1290" s="1744">
        <f t="shared" si="116"/>
        <v>2.3599999999999997E-3</v>
      </c>
      <c r="BI1290" s="1745" t="str">
        <f t="shared" si="113"/>
        <v/>
      </c>
      <c r="BJ1290" s="1740" t="str">
        <f t="shared" si="114"/>
        <v>BOX-Water &amp; electrolytes</v>
      </c>
      <c r="BK1290" s="1740" t="str">
        <f t="shared" si="115"/>
        <v>Sachet of Powder</v>
      </c>
    </row>
    <row r="1291" spans="51:63" ht="15.65" customHeight="1">
      <c r="AY1291" s="1746" t="s">
        <v>2593</v>
      </c>
      <c r="AZ1291" s="1746">
        <v>2008</v>
      </c>
      <c r="BA1291" s="1746" t="s">
        <v>5252</v>
      </c>
      <c r="BB1291" s="1747" t="s">
        <v>5253</v>
      </c>
      <c r="BC1291" s="1746">
        <v>50</v>
      </c>
      <c r="BD1291" s="1746" t="s">
        <v>2727</v>
      </c>
      <c r="BE1291" s="1746"/>
      <c r="BF1291" s="1746">
        <v>1.5E-3</v>
      </c>
      <c r="BG1291" s="1746" t="s">
        <v>2597</v>
      </c>
      <c r="BH1291" s="1744">
        <f t="shared" si="116"/>
        <v>1.5E-3</v>
      </c>
      <c r="BI1291" s="1745">
        <f t="shared" si="113"/>
        <v>3.0000000000000001E-5</v>
      </c>
      <c r="BJ1291" s="1740" t="str">
        <f t="shared" si="114"/>
        <v>ampoules</v>
      </c>
      <c r="BK1291" s="1740" t="str">
        <f t="shared" si="115"/>
        <v>Injection Vial</v>
      </c>
    </row>
    <row r="1292" spans="51:63" ht="15.65" customHeight="1">
      <c r="AY1292" s="1746" t="s">
        <v>2593</v>
      </c>
      <c r="AZ1292" s="1746">
        <v>2008</v>
      </c>
      <c r="BA1292" s="1746" t="s">
        <v>5254</v>
      </c>
      <c r="BB1292" s="1747" t="s">
        <v>5255</v>
      </c>
      <c r="BC1292" s="1746">
        <v>50</v>
      </c>
      <c r="BD1292" s="1746" t="s">
        <v>2727</v>
      </c>
      <c r="BE1292" s="1746"/>
      <c r="BF1292" s="1746">
        <v>8.8000000000000003E-4</v>
      </c>
      <c r="BG1292" s="1746" t="s">
        <v>2597</v>
      </c>
      <c r="BH1292" s="1744">
        <f t="shared" si="116"/>
        <v>8.8000000000000003E-4</v>
      </c>
      <c r="BI1292" s="1745">
        <f t="shared" si="113"/>
        <v>1.7600000000000001E-5</v>
      </c>
      <c r="BJ1292" s="1740" t="str">
        <f t="shared" si="114"/>
        <v>ampoules</v>
      </c>
      <c r="BK1292" s="1740" t="str">
        <f t="shared" si="115"/>
        <v>Injection Vial</v>
      </c>
    </row>
    <row r="1293" spans="51:63" ht="15.65" customHeight="1">
      <c r="AY1293" s="1746" t="s">
        <v>2588</v>
      </c>
      <c r="AZ1293" s="1746">
        <v>2006</v>
      </c>
      <c r="BA1293" s="1746" t="s">
        <v>5256</v>
      </c>
      <c r="BB1293" s="1747" t="s">
        <v>5257</v>
      </c>
      <c r="BC1293" s="1746">
        <v>50</v>
      </c>
      <c r="BD1293" s="1746" t="s">
        <v>2790</v>
      </c>
      <c r="BE1293" s="1746"/>
      <c r="BF1293" s="1746">
        <v>846</v>
      </c>
      <c r="BG1293" s="1746" t="s">
        <v>2592</v>
      </c>
      <c r="BH1293" s="1744">
        <f t="shared" si="116"/>
        <v>8.4599999999999996E-4</v>
      </c>
      <c r="BI1293" s="1745">
        <f t="shared" si="113"/>
        <v>1.6920000000000001E-5</v>
      </c>
      <c r="BJ1293" s="1740" t="str">
        <f t="shared" si="114"/>
        <v>amps</v>
      </c>
      <c r="BK1293" s="1740" t="str">
        <f t="shared" si="115"/>
        <v>Injection Vial</v>
      </c>
    </row>
    <row r="1294" spans="51:63" ht="15.65" customHeight="1">
      <c r="AY1294" s="1746" t="s">
        <v>2588</v>
      </c>
      <c r="AZ1294" s="1746">
        <v>2006</v>
      </c>
      <c r="BA1294" s="1746" t="s">
        <v>5258</v>
      </c>
      <c r="BB1294" s="1747" t="s">
        <v>5259</v>
      </c>
      <c r="BC1294" s="1746">
        <v>50</v>
      </c>
      <c r="BD1294" s="1746" t="s">
        <v>2790</v>
      </c>
      <c r="BE1294" s="1746"/>
      <c r="BF1294" s="1746">
        <v>1800</v>
      </c>
      <c r="BG1294" s="1746" t="s">
        <v>2592</v>
      </c>
      <c r="BH1294" s="1744">
        <f t="shared" si="116"/>
        <v>1.8E-3</v>
      </c>
      <c r="BI1294" s="1745">
        <f t="shared" si="113"/>
        <v>3.6000000000000001E-5</v>
      </c>
      <c r="BJ1294" s="1740" t="str">
        <f t="shared" si="114"/>
        <v>amps</v>
      </c>
      <c r="BK1294" s="1740" t="str">
        <f t="shared" si="115"/>
        <v>Injection Vial</v>
      </c>
    </row>
    <row r="1295" spans="51:63" ht="15.65" customHeight="1">
      <c r="AY1295" s="1746" t="s">
        <v>2593</v>
      </c>
      <c r="AZ1295" s="1746">
        <v>2008</v>
      </c>
      <c r="BA1295" s="1746" t="s">
        <v>5260</v>
      </c>
      <c r="BB1295" s="1747" t="s">
        <v>5261</v>
      </c>
      <c r="BC1295" s="1746">
        <v>200</v>
      </c>
      <c r="BD1295" s="1746" t="s">
        <v>2601</v>
      </c>
      <c r="BE1295" s="1746"/>
      <c r="BF1295" s="1746">
        <v>1.06E-3</v>
      </c>
      <c r="BG1295" s="1746" t="s">
        <v>2597</v>
      </c>
      <c r="BH1295" s="1744">
        <f t="shared" si="116"/>
        <v>1.06E-3</v>
      </c>
      <c r="BI1295" s="1745">
        <f t="shared" si="113"/>
        <v>5.3000000000000001E-6</v>
      </c>
      <c r="BJ1295" s="1740" t="str">
        <f t="shared" si="114"/>
        <v>tablets</v>
      </c>
      <c r="BK1295" s="1740" t="str">
        <f t="shared" si="115"/>
        <v>Bottle of Tablets</v>
      </c>
    </row>
    <row r="1296" spans="51:63" ht="15.65" customHeight="1">
      <c r="AY1296" s="1746" t="s">
        <v>2593</v>
      </c>
      <c r="AZ1296" s="1746">
        <v>2008</v>
      </c>
      <c r="BA1296" s="1746" t="s">
        <v>5262</v>
      </c>
      <c r="BB1296" s="1747" t="s">
        <v>5263</v>
      </c>
      <c r="BC1296" s="1750">
        <v>1000</v>
      </c>
      <c r="BD1296" s="1746" t="s">
        <v>2601</v>
      </c>
      <c r="BE1296" s="1746"/>
      <c r="BF1296" s="1746">
        <v>4.0999999999999999E-4</v>
      </c>
      <c r="BG1296" s="1746" t="s">
        <v>2597</v>
      </c>
      <c r="BH1296" s="1744">
        <f t="shared" si="116"/>
        <v>4.0999999999999999E-4</v>
      </c>
      <c r="BI1296" s="1745">
        <f t="shared" si="113"/>
        <v>4.0999999999999999E-7</v>
      </c>
      <c r="BJ1296" s="1740" t="str">
        <f t="shared" si="114"/>
        <v>tablets</v>
      </c>
      <c r="BK1296" s="1740" t="str">
        <f t="shared" si="115"/>
        <v>Bottle of Tablets</v>
      </c>
    </row>
    <row r="1297" spans="51:63" ht="15.65" customHeight="1">
      <c r="AY1297" s="1746" t="s">
        <v>2593</v>
      </c>
      <c r="AZ1297" s="1746">
        <v>2008</v>
      </c>
      <c r="BA1297" s="1746" t="s">
        <v>5264</v>
      </c>
      <c r="BB1297" s="1747" t="s">
        <v>5265</v>
      </c>
      <c r="BC1297" s="1746">
        <v>10</v>
      </c>
      <c r="BD1297" s="1746" t="s">
        <v>2601</v>
      </c>
      <c r="BE1297" s="1746"/>
      <c r="BF1297" s="1746">
        <v>1.0000000000000001E-5</v>
      </c>
      <c r="BG1297" s="1746" t="s">
        <v>2597</v>
      </c>
      <c r="BH1297" s="1744">
        <f t="shared" si="116"/>
        <v>1.0000000000000001E-5</v>
      </c>
      <c r="BI1297" s="1745">
        <f t="shared" si="113"/>
        <v>1.0000000000000002E-6</v>
      </c>
      <c r="BJ1297" s="1740" t="str">
        <f t="shared" si="114"/>
        <v>tablets</v>
      </c>
      <c r="BK1297" s="1740" t="str">
        <f t="shared" si="115"/>
        <v>Bottle of Tablets</v>
      </c>
    </row>
    <row r="1298" spans="51:63" ht="15.65" customHeight="1">
      <c r="AY1298" s="1746" t="s">
        <v>2588</v>
      </c>
      <c r="AZ1298" s="1746">
        <v>2006</v>
      </c>
      <c r="BA1298" s="1746" t="s">
        <v>5266</v>
      </c>
      <c r="BB1298" s="1747" t="s">
        <v>5267</v>
      </c>
      <c r="BC1298" s="1746">
        <v>1</v>
      </c>
      <c r="BD1298" s="1746" t="s">
        <v>2724</v>
      </c>
      <c r="BE1298" s="1746"/>
      <c r="BF1298" s="1746">
        <v>3496</v>
      </c>
      <c r="BG1298" s="1746" t="s">
        <v>2592</v>
      </c>
      <c r="BH1298" s="1744">
        <f t="shared" si="116"/>
        <v>3.496E-3</v>
      </c>
      <c r="BI1298" s="1745">
        <f t="shared" si="113"/>
        <v>3.496E-3</v>
      </c>
      <c r="BJ1298" s="1740" t="str">
        <f t="shared" si="114"/>
        <v>pce</v>
      </c>
      <c r="BK1298" s="1740" t="str">
        <f t="shared" si="115"/>
        <v>Roll of tape/gauze</v>
      </c>
    </row>
    <row r="1299" spans="51:63" ht="15.65" customHeight="1">
      <c r="AY1299" s="1746" t="s">
        <v>2575</v>
      </c>
      <c r="AZ1299" s="1746">
        <v>2008</v>
      </c>
      <c r="BA1299" s="1746" t="s">
        <v>5268</v>
      </c>
      <c r="BB1299" s="1747" t="s">
        <v>5269</v>
      </c>
      <c r="BC1299" s="1746" t="s">
        <v>2578</v>
      </c>
      <c r="BD1299" s="1746" t="s">
        <v>2579</v>
      </c>
      <c r="BE1299" s="1746" t="s">
        <v>3196</v>
      </c>
      <c r="BF1299" s="1746">
        <v>0.28999999999999998</v>
      </c>
      <c r="BG1299" s="1746" t="s">
        <v>2597</v>
      </c>
      <c r="BH1299" s="1744">
        <f t="shared" si="116"/>
        <v>0.28999999999999998</v>
      </c>
      <c r="BI1299" s="1745" t="str">
        <f t="shared" ref="BI1299:BI1362" si="117">IFERROR(BH1299/BC1299,"")</f>
        <v/>
      </c>
      <c r="BJ1299" s="1740" t="str">
        <f t="shared" ref="BJ1299:BJ1364" si="118">IF(BE1299="",BD1299,BD1299&amp;"-"&amp;BE1299)</f>
        <v>EA-Other hosp. equip.</v>
      </c>
      <c r="BK1299" s="1740" t="str">
        <f t="shared" si="115"/>
        <v>Medical equipment</v>
      </c>
    </row>
    <row r="1300" spans="51:63" ht="15.65" customHeight="1">
      <c r="AY1300" s="1746" t="s">
        <v>2588</v>
      </c>
      <c r="AZ1300" s="1746">
        <v>2006</v>
      </c>
      <c r="BA1300" s="1746" t="s">
        <v>5270</v>
      </c>
      <c r="BB1300" s="1747" t="s">
        <v>5271</v>
      </c>
      <c r="BC1300" s="1746">
        <v>1</v>
      </c>
      <c r="BD1300" s="1746" t="s">
        <v>2724</v>
      </c>
      <c r="BE1300" s="1746"/>
      <c r="BF1300" s="1746">
        <v>15450</v>
      </c>
      <c r="BG1300" s="1746" t="s">
        <v>2592</v>
      </c>
      <c r="BH1300" s="1744">
        <f t="shared" si="116"/>
        <v>1.545E-2</v>
      </c>
      <c r="BI1300" s="1745">
        <f t="shared" si="117"/>
        <v>1.545E-2</v>
      </c>
      <c r="BJ1300" s="1740" t="str">
        <f t="shared" si="118"/>
        <v>pce</v>
      </c>
      <c r="BK1300" s="1740" t="str">
        <f t="shared" ref="BK1300:BK1363" si="119">IFERROR(INDEX($BO$18:$BO$136,MATCH(BJ1300,$BN$18:$BN$136,0)),"")</f>
        <v>Roll of tape/gauze</v>
      </c>
    </row>
    <row r="1301" spans="51:63" ht="15.65" customHeight="1">
      <c r="AY1301" s="1746" t="s">
        <v>2593</v>
      </c>
      <c r="AZ1301" s="1746">
        <v>2008</v>
      </c>
      <c r="BA1301" s="1746" t="s">
        <v>5272</v>
      </c>
      <c r="BB1301" s="1747" t="s">
        <v>5273</v>
      </c>
      <c r="BC1301" s="1746">
        <v>1</v>
      </c>
      <c r="BD1301" s="1746" t="s">
        <v>2933</v>
      </c>
      <c r="BE1301" s="1746"/>
      <c r="BF1301" s="1746">
        <v>1.33E-3</v>
      </c>
      <c r="BG1301" s="1746" t="s">
        <v>2597</v>
      </c>
      <c r="BH1301" s="1744">
        <f t="shared" si="116"/>
        <v>1.33E-3</v>
      </c>
      <c r="BI1301" s="1745">
        <f t="shared" si="117"/>
        <v>1.33E-3</v>
      </c>
      <c r="BJ1301" s="1740" t="str">
        <f t="shared" si="118"/>
        <v>piece</v>
      </c>
      <c r="BK1301" s="1740" t="str">
        <f t="shared" si="119"/>
        <v>Medical equipment</v>
      </c>
    </row>
    <row r="1302" spans="51:63" ht="15.65" customHeight="1">
      <c r="AY1302" s="1746" t="s">
        <v>2593</v>
      </c>
      <c r="AZ1302" s="1746">
        <v>2008</v>
      </c>
      <c r="BA1302" s="1746" t="s">
        <v>5274</v>
      </c>
      <c r="BB1302" s="1747" t="s">
        <v>5275</v>
      </c>
      <c r="BC1302" s="1746">
        <v>1</v>
      </c>
      <c r="BD1302" s="1746" t="s">
        <v>2933</v>
      </c>
      <c r="BE1302" s="1746"/>
      <c r="BF1302" s="1746">
        <v>0</v>
      </c>
      <c r="BG1302" s="1746" t="s">
        <v>2597</v>
      </c>
      <c r="BH1302" s="1744">
        <f t="shared" si="116"/>
        <v>0</v>
      </c>
      <c r="BI1302" s="1745">
        <f t="shared" si="117"/>
        <v>0</v>
      </c>
      <c r="BJ1302" s="1740" t="str">
        <f t="shared" si="118"/>
        <v>piece</v>
      </c>
      <c r="BK1302" s="1740" t="str">
        <f t="shared" si="119"/>
        <v>Medical equipment</v>
      </c>
    </row>
    <row r="1303" spans="51:63" ht="15.65" customHeight="1">
      <c r="AY1303" s="1746" t="s">
        <v>2593</v>
      </c>
      <c r="AZ1303" s="1746">
        <v>2008</v>
      </c>
      <c r="BA1303" s="1746" t="s">
        <v>5276</v>
      </c>
      <c r="BB1303" s="1747" t="s">
        <v>5277</v>
      </c>
      <c r="BC1303" s="1746">
        <v>1</v>
      </c>
      <c r="BD1303" s="1746" t="s">
        <v>2933</v>
      </c>
      <c r="BE1303" s="1746"/>
      <c r="BF1303" s="1746">
        <v>2.3900000000000002E-3</v>
      </c>
      <c r="BG1303" s="1746" t="s">
        <v>2597</v>
      </c>
      <c r="BH1303" s="1744">
        <f t="shared" si="116"/>
        <v>2.3900000000000002E-3</v>
      </c>
      <c r="BI1303" s="1745">
        <f t="shared" si="117"/>
        <v>2.3900000000000002E-3</v>
      </c>
      <c r="BJ1303" s="1740" t="str">
        <f t="shared" si="118"/>
        <v>piece</v>
      </c>
      <c r="BK1303" s="1740" t="str">
        <f t="shared" si="119"/>
        <v>Medical equipment</v>
      </c>
    </row>
    <row r="1304" spans="51:63" ht="15.65" customHeight="1">
      <c r="AY1304" s="1746" t="s">
        <v>2593</v>
      </c>
      <c r="AZ1304" s="1746">
        <v>2008</v>
      </c>
      <c r="BA1304" s="1746" t="s">
        <v>5278</v>
      </c>
      <c r="BB1304" s="1747" t="s">
        <v>5279</v>
      </c>
      <c r="BC1304" s="1746">
        <v>1</v>
      </c>
      <c r="BD1304" s="1746" t="s">
        <v>2933</v>
      </c>
      <c r="BE1304" s="1746"/>
      <c r="BF1304" s="1746">
        <v>0</v>
      </c>
      <c r="BG1304" s="1746" t="s">
        <v>2597</v>
      </c>
      <c r="BH1304" s="1744">
        <f t="shared" si="116"/>
        <v>0</v>
      </c>
      <c r="BI1304" s="1745">
        <f t="shared" si="117"/>
        <v>0</v>
      </c>
      <c r="BJ1304" s="1740" t="str">
        <f t="shared" si="118"/>
        <v>piece</v>
      </c>
      <c r="BK1304" s="1740" t="str">
        <f t="shared" si="119"/>
        <v>Medical equipment</v>
      </c>
    </row>
    <row r="1305" spans="51:63" ht="15.65" customHeight="1">
      <c r="AY1305" s="1746" t="s">
        <v>2593</v>
      </c>
      <c r="AZ1305" s="1746">
        <v>2008</v>
      </c>
      <c r="BA1305" s="1746" t="s">
        <v>5280</v>
      </c>
      <c r="BB1305" s="1747" t="s">
        <v>5281</v>
      </c>
      <c r="BC1305" s="1746">
        <v>1</v>
      </c>
      <c r="BD1305" s="1746" t="s">
        <v>2933</v>
      </c>
      <c r="BE1305" s="1746"/>
      <c r="BF1305" s="1746">
        <v>4.5799999999999999E-3</v>
      </c>
      <c r="BG1305" s="1746" t="s">
        <v>2597</v>
      </c>
      <c r="BH1305" s="1744">
        <f t="shared" ref="BH1305:BH1363" si="120">IF(BG1305="CCM",BF1305/1000000,IF(BG1305="CDM",BF1305/1000, IF(BG1305="M3",BF1305,"")))</f>
        <v>4.5799999999999999E-3</v>
      </c>
      <c r="BI1305" s="1745">
        <f t="shared" si="117"/>
        <v>4.5799999999999999E-3</v>
      </c>
      <c r="BJ1305" s="1740" t="str">
        <f t="shared" si="118"/>
        <v>piece</v>
      </c>
      <c r="BK1305" s="1740" t="str">
        <f t="shared" si="119"/>
        <v>Medical equipment</v>
      </c>
    </row>
    <row r="1306" spans="51:63" ht="15.65" customHeight="1">
      <c r="AY1306" s="1746" t="s">
        <v>2593</v>
      </c>
      <c r="AZ1306" s="1746">
        <v>2008</v>
      </c>
      <c r="BA1306" s="1746" t="s">
        <v>5282</v>
      </c>
      <c r="BB1306" s="1747" t="s">
        <v>5283</v>
      </c>
      <c r="BC1306" s="1746">
        <v>1</v>
      </c>
      <c r="BD1306" s="1746" t="s">
        <v>2933</v>
      </c>
      <c r="BE1306" s="1746"/>
      <c r="BF1306" s="1746">
        <v>3.8300000000000001E-3</v>
      </c>
      <c r="BG1306" s="1746" t="s">
        <v>2597</v>
      </c>
      <c r="BH1306" s="1744">
        <f t="shared" si="120"/>
        <v>3.8300000000000001E-3</v>
      </c>
      <c r="BI1306" s="1745">
        <f t="shared" si="117"/>
        <v>3.8300000000000001E-3</v>
      </c>
      <c r="BJ1306" s="1740" t="str">
        <f t="shared" si="118"/>
        <v>piece</v>
      </c>
      <c r="BK1306" s="1740" t="str">
        <f t="shared" si="119"/>
        <v>Medical equipment</v>
      </c>
    </row>
    <row r="1307" spans="51:63" ht="15.65" customHeight="1">
      <c r="AY1307" s="1746" t="s">
        <v>2588</v>
      </c>
      <c r="AZ1307" s="1746">
        <v>2006</v>
      </c>
      <c r="BA1307" s="1746" t="s">
        <v>5284</v>
      </c>
      <c r="BB1307" s="1747" t="s">
        <v>5285</v>
      </c>
      <c r="BC1307" s="1746" t="s">
        <v>5286</v>
      </c>
      <c r="BD1307" s="1746" t="s">
        <v>3161</v>
      </c>
      <c r="BE1307" s="1746"/>
      <c r="BF1307" s="1746">
        <v>3475</v>
      </c>
      <c r="BG1307" s="1746" t="s">
        <v>2592</v>
      </c>
      <c r="BH1307" s="1744">
        <f t="shared" si="120"/>
        <v>3.4749999999999998E-3</v>
      </c>
      <c r="BI1307" s="1745">
        <f t="shared" si="117"/>
        <v>1.3365384615384615E-3</v>
      </c>
      <c r="BJ1307" s="1740" t="str">
        <f t="shared" si="118"/>
        <v>kg</v>
      </c>
      <c r="BK1307" s="1740" t="str">
        <f t="shared" si="119"/>
        <v>Medical equipment</v>
      </c>
    </row>
    <row r="1308" spans="51:63" ht="15.65" customHeight="1">
      <c r="AY1308" s="1746" t="s">
        <v>2593</v>
      </c>
      <c r="AZ1308" s="1746">
        <v>2008</v>
      </c>
      <c r="BA1308" s="1746" t="s">
        <v>5287</v>
      </c>
      <c r="BB1308" s="1747" t="s">
        <v>5288</v>
      </c>
      <c r="BC1308" s="1746">
        <v>1</v>
      </c>
      <c r="BD1308" s="1746" t="s">
        <v>5289</v>
      </c>
      <c r="BE1308" s="1746"/>
      <c r="BF1308" s="1746">
        <v>1.8780000000000002E-2</v>
      </c>
      <c r="BG1308" s="1746" t="s">
        <v>2597</v>
      </c>
      <c r="BH1308" s="1744">
        <f t="shared" si="120"/>
        <v>1.8780000000000002E-2</v>
      </c>
      <c r="BI1308" s="1745">
        <f t="shared" si="117"/>
        <v>1.8780000000000002E-2</v>
      </c>
      <c r="BJ1308" s="1740" t="str">
        <f t="shared" si="118"/>
        <v>box</v>
      </c>
      <c r="BK1308" s="1740" t="str">
        <f t="shared" si="119"/>
        <v>Medical equipment</v>
      </c>
    </row>
    <row r="1309" spans="51:63" ht="15.65" customHeight="1">
      <c r="AY1309" s="1746" t="s">
        <v>2593</v>
      </c>
      <c r="AZ1309" s="1746">
        <v>2008</v>
      </c>
      <c r="BA1309" s="1746" t="s">
        <v>5290</v>
      </c>
      <c r="BB1309" s="1747" t="s">
        <v>5291</v>
      </c>
      <c r="BC1309" s="1746">
        <v>1</v>
      </c>
      <c r="BD1309" s="1746" t="s">
        <v>4398</v>
      </c>
      <c r="BE1309" s="1746"/>
      <c r="BF1309" s="1746">
        <v>2.4150000000000001E-2</v>
      </c>
      <c r="BG1309" s="1746" t="s">
        <v>2597</v>
      </c>
      <c r="BH1309" s="1744">
        <f t="shared" si="120"/>
        <v>2.4150000000000001E-2</v>
      </c>
      <c r="BI1309" s="1745">
        <f t="shared" si="117"/>
        <v>2.4150000000000001E-2</v>
      </c>
      <c r="BJ1309" s="1740" t="str">
        <f t="shared" si="118"/>
        <v>set</v>
      </c>
      <c r="BK1309" s="1740" t="str">
        <f t="shared" si="119"/>
        <v>Medical equipment</v>
      </c>
    </row>
    <row r="1310" spans="51:63" ht="15.65" customHeight="1">
      <c r="AY1310" s="1746" t="s">
        <v>2588</v>
      </c>
      <c r="AZ1310" s="1746">
        <v>2006</v>
      </c>
      <c r="BA1310" s="1746" t="s">
        <v>5292</v>
      </c>
      <c r="BB1310" s="1747" t="s">
        <v>5293</v>
      </c>
      <c r="BC1310" s="1746">
        <v>100</v>
      </c>
      <c r="BD1310" s="1746" t="s">
        <v>2927</v>
      </c>
      <c r="BE1310" s="1746"/>
      <c r="BF1310" s="1746">
        <v>1739</v>
      </c>
      <c r="BG1310" s="1746" t="s">
        <v>2592</v>
      </c>
      <c r="BH1310" s="1744">
        <f t="shared" si="120"/>
        <v>1.7390000000000001E-3</v>
      </c>
      <c r="BI1310" s="1745">
        <f t="shared" si="117"/>
        <v>1.7390000000000001E-5</v>
      </c>
      <c r="BJ1310" s="1740" t="str">
        <f t="shared" si="118"/>
        <v>pcs</v>
      </c>
      <c r="BK1310" s="1740" t="str">
        <f t="shared" si="119"/>
        <v>Medical equipment</v>
      </c>
    </row>
    <row r="1311" spans="51:63" ht="15.65" customHeight="1">
      <c r="AY1311" s="1746" t="s">
        <v>2588</v>
      </c>
      <c r="AZ1311" s="1746">
        <v>2006</v>
      </c>
      <c r="BA1311" s="1746" t="s">
        <v>5294</v>
      </c>
      <c r="BB1311" s="1747" t="s">
        <v>5295</v>
      </c>
      <c r="BC1311" s="1746">
        <v>100</v>
      </c>
      <c r="BD1311" s="1746" t="s">
        <v>2927</v>
      </c>
      <c r="BE1311" s="1746"/>
      <c r="BF1311" s="1746">
        <v>1938</v>
      </c>
      <c r="BG1311" s="1746" t="s">
        <v>2592</v>
      </c>
      <c r="BH1311" s="1744">
        <f t="shared" si="120"/>
        <v>1.9380000000000001E-3</v>
      </c>
      <c r="BI1311" s="1745">
        <f t="shared" si="117"/>
        <v>1.9380000000000001E-5</v>
      </c>
      <c r="BJ1311" s="1740" t="str">
        <f t="shared" si="118"/>
        <v>pcs</v>
      </c>
      <c r="BK1311" s="1740" t="str">
        <f t="shared" si="119"/>
        <v>Medical equipment</v>
      </c>
    </row>
    <row r="1312" spans="51:63" ht="15.65" customHeight="1">
      <c r="AY1312" s="1746" t="s">
        <v>2588</v>
      </c>
      <c r="AZ1312" s="1746">
        <v>2006</v>
      </c>
      <c r="BA1312" s="1746" t="s">
        <v>5296</v>
      </c>
      <c r="BB1312" s="1747" t="s">
        <v>5297</v>
      </c>
      <c r="BC1312" s="1746">
        <v>100</v>
      </c>
      <c r="BD1312" s="1746" t="s">
        <v>2927</v>
      </c>
      <c r="BE1312" s="1746"/>
      <c r="BF1312" s="1746">
        <v>2816</v>
      </c>
      <c r="BG1312" s="1746" t="s">
        <v>2592</v>
      </c>
      <c r="BH1312" s="1744">
        <f t="shared" si="120"/>
        <v>2.8159999999999999E-3</v>
      </c>
      <c r="BI1312" s="1745">
        <f t="shared" si="117"/>
        <v>2.8159999999999998E-5</v>
      </c>
      <c r="BJ1312" s="1740" t="str">
        <f t="shared" si="118"/>
        <v>pcs</v>
      </c>
      <c r="BK1312" s="1740" t="str">
        <f t="shared" si="119"/>
        <v>Medical equipment</v>
      </c>
    </row>
    <row r="1313" spans="51:63" ht="15.65" customHeight="1">
      <c r="AY1313" s="1746" t="s">
        <v>2588</v>
      </c>
      <c r="AZ1313" s="1746">
        <v>2006</v>
      </c>
      <c r="BA1313" s="1746" t="s">
        <v>5298</v>
      </c>
      <c r="BB1313" s="1747" t="s">
        <v>5299</v>
      </c>
      <c r="BC1313" s="1746">
        <v>100</v>
      </c>
      <c r="BD1313" s="1746" t="s">
        <v>2927</v>
      </c>
      <c r="BE1313" s="1746"/>
      <c r="BF1313" s="1746">
        <v>3609</v>
      </c>
      <c r="BG1313" s="1746" t="s">
        <v>2592</v>
      </c>
      <c r="BH1313" s="1744">
        <f t="shared" si="120"/>
        <v>3.6089999999999998E-3</v>
      </c>
      <c r="BI1313" s="1745">
        <f t="shared" si="117"/>
        <v>3.6089999999999995E-5</v>
      </c>
      <c r="BJ1313" s="1740" t="str">
        <f t="shared" si="118"/>
        <v>pcs</v>
      </c>
      <c r="BK1313" s="1740" t="str">
        <f t="shared" si="119"/>
        <v>Medical equipment</v>
      </c>
    </row>
    <row r="1314" spans="51:63" ht="15.65" customHeight="1">
      <c r="AY1314" s="1746" t="s">
        <v>2588</v>
      </c>
      <c r="AZ1314" s="1746">
        <v>2006</v>
      </c>
      <c r="BA1314" s="1746" t="s">
        <v>5300</v>
      </c>
      <c r="BB1314" s="1747" t="s">
        <v>5301</v>
      </c>
      <c r="BC1314" s="1746">
        <v>100</v>
      </c>
      <c r="BD1314" s="1746" t="s">
        <v>2927</v>
      </c>
      <c r="BE1314" s="1746"/>
      <c r="BF1314" s="1746">
        <v>4488</v>
      </c>
      <c r="BG1314" s="1746" t="s">
        <v>2592</v>
      </c>
      <c r="BH1314" s="1744">
        <f t="shared" si="120"/>
        <v>4.4879999999999998E-3</v>
      </c>
      <c r="BI1314" s="1745">
        <f t="shared" si="117"/>
        <v>4.4879999999999997E-5</v>
      </c>
      <c r="BJ1314" s="1740" t="str">
        <f t="shared" si="118"/>
        <v>pcs</v>
      </c>
      <c r="BK1314" s="1740" t="str">
        <f t="shared" si="119"/>
        <v>Medical equipment</v>
      </c>
    </row>
    <row r="1315" spans="51:63" ht="15.65" customHeight="1">
      <c r="AY1315" s="1746" t="s">
        <v>2588</v>
      </c>
      <c r="AZ1315" s="1746">
        <v>2006</v>
      </c>
      <c r="BA1315" s="1746" t="s">
        <v>5302</v>
      </c>
      <c r="BB1315" s="1747" t="s">
        <v>5303</v>
      </c>
      <c r="BC1315" s="1746">
        <v>100</v>
      </c>
      <c r="BD1315" s="1746" t="s">
        <v>2927</v>
      </c>
      <c r="BE1315" s="1746"/>
      <c r="BF1315" s="1746">
        <v>5906</v>
      </c>
      <c r="BG1315" s="1746" t="s">
        <v>2592</v>
      </c>
      <c r="BH1315" s="1744">
        <f t="shared" si="120"/>
        <v>5.9059999999999998E-3</v>
      </c>
      <c r="BI1315" s="1745">
        <f t="shared" si="117"/>
        <v>5.906E-5</v>
      </c>
      <c r="BJ1315" s="1740" t="str">
        <f t="shared" si="118"/>
        <v>pcs</v>
      </c>
      <c r="BK1315" s="1740" t="str">
        <f t="shared" si="119"/>
        <v>Medical equipment</v>
      </c>
    </row>
    <row r="1316" spans="51:63" ht="15.65" customHeight="1">
      <c r="AY1316" s="1746" t="s">
        <v>2588</v>
      </c>
      <c r="AZ1316" s="1746">
        <v>2006</v>
      </c>
      <c r="BA1316" s="1746" t="s">
        <v>5304</v>
      </c>
      <c r="BB1316" s="1747" t="s">
        <v>5305</v>
      </c>
      <c r="BC1316" s="1746">
        <v>100</v>
      </c>
      <c r="BD1316" s="1746" t="s">
        <v>2927</v>
      </c>
      <c r="BE1316" s="1746"/>
      <c r="BF1316" s="1746">
        <v>4682</v>
      </c>
      <c r="BG1316" s="1746" t="s">
        <v>2592</v>
      </c>
      <c r="BH1316" s="1744">
        <f t="shared" si="120"/>
        <v>4.6820000000000004E-3</v>
      </c>
      <c r="BI1316" s="1745">
        <f t="shared" si="117"/>
        <v>4.6820000000000002E-5</v>
      </c>
      <c r="BJ1316" s="1740" t="str">
        <f t="shared" si="118"/>
        <v>pcs</v>
      </c>
      <c r="BK1316" s="1740" t="str">
        <f t="shared" si="119"/>
        <v>Medical equipment</v>
      </c>
    </row>
    <row r="1317" spans="51:63" ht="15.65" customHeight="1">
      <c r="AY1317" s="1746" t="s">
        <v>2588</v>
      </c>
      <c r="AZ1317" s="1746">
        <v>2006</v>
      </c>
      <c r="BA1317" s="1746" t="s">
        <v>5306</v>
      </c>
      <c r="BB1317" s="1747" t="s">
        <v>5307</v>
      </c>
      <c r="BC1317" s="1746">
        <v>100</v>
      </c>
      <c r="BD1317" s="1746" t="s">
        <v>2927</v>
      </c>
      <c r="BE1317" s="1746"/>
      <c r="BF1317" s="1746">
        <v>4995</v>
      </c>
      <c r="BG1317" s="1746" t="s">
        <v>2592</v>
      </c>
      <c r="BH1317" s="1744">
        <f t="shared" si="120"/>
        <v>4.9950000000000003E-3</v>
      </c>
      <c r="BI1317" s="1745">
        <f t="shared" si="117"/>
        <v>4.9950000000000001E-5</v>
      </c>
      <c r="BJ1317" s="1740" t="str">
        <f t="shared" si="118"/>
        <v>pcs</v>
      </c>
      <c r="BK1317" s="1740" t="str">
        <f t="shared" si="119"/>
        <v>Medical equipment</v>
      </c>
    </row>
    <row r="1318" spans="51:63" ht="15.65" customHeight="1">
      <c r="AY1318" s="1746" t="s">
        <v>2588</v>
      </c>
      <c r="AZ1318" s="1746">
        <v>2006</v>
      </c>
      <c r="BA1318" s="1746" t="s">
        <v>5308</v>
      </c>
      <c r="BB1318" s="1747" t="s">
        <v>5309</v>
      </c>
      <c r="BC1318" s="1746">
        <v>100</v>
      </c>
      <c r="BD1318" s="1746" t="s">
        <v>2927</v>
      </c>
      <c r="BE1318" s="1746"/>
      <c r="BF1318" s="1746">
        <v>6210</v>
      </c>
      <c r="BG1318" s="1746" t="s">
        <v>2592</v>
      </c>
      <c r="BH1318" s="1744">
        <f t="shared" si="120"/>
        <v>6.2100000000000002E-3</v>
      </c>
      <c r="BI1318" s="1745">
        <f t="shared" si="117"/>
        <v>6.2100000000000005E-5</v>
      </c>
      <c r="BJ1318" s="1740" t="str">
        <f t="shared" si="118"/>
        <v>pcs</v>
      </c>
      <c r="BK1318" s="1740" t="str">
        <f t="shared" si="119"/>
        <v>Medical equipment</v>
      </c>
    </row>
    <row r="1319" spans="51:63" ht="15.65" customHeight="1">
      <c r="AY1319" s="1746" t="s">
        <v>2588</v>
      </c>
      <c r="AZ1319" s="1746">
        <v>2006</v>
      </c>
      <c r="BA1319" s="1746" t="s">
        <v>5310</v>
      </c>
      <c r="BB1319" s="1747" t="s">
        <v>5311</v>
      </c>
      <c r="BC1319" s="1746">
        <v>100</v>
      </c>
      <c r="BD1319" s="1746" t="s">
        <v>2927</v>
      </c>
      <c r="BE1319" s="1746"/>
      <c r="BF1319" s="1746">
        <v>4995</v>
      </c>
      <c r="BG1319" s="1746" t="s">
        <v>2592</v>
      </c>
      <c r="BH1319" s="1744">
        <f t="shared" si="120"/>
        <v>4.9950000000000003E-3</v>
      </c>
      <c r="BI1319" s="1745">
        <f t="shared" si="117"/>
        <v>4.9950000000000001E-5</v>
      </c>
      <c r="BJ1319" s="1740" t="str">
        <f t="shared" si="118"/>
        <v>pcs</v>
      </c>
      <c r="BK1319" s="1740" t="str">
        <f t="shared" si="119"/>
        <v>Medical equipment</v>
      </c>
    </row>
    <row r="1320" spans="51:63" ht="15.65" customHeight="1">
      <c r="AY1320" s="1746" t="s">
        <v>2593</v>
      </c>
      <c r="AZ1320" s="1746">
        <v>2008</v>
      </c>
      <c r="BA1320" s="1746" t="s">
        <v>5312</v>
      </c>
      <c r="BB1320" s="1747" t="s">
        <v>5313</v>
      </c>
      <c r="BC1320" s="1746">
        <v>100</v>
      </c>
      <c r="BD1320" s="1746" t="s">
        <v>2930</v>
      </c>
      <c r="BE1320" s="1746"/>
      <c r="BF1320" s="1746">
        <v>8.9999999999999998E-4</v>
      </c>
      <c r="BG1320" s="1746" t="s">
        <v>2597</v>
      </c>
      <c r="BH1320" s="1744">
        <f t="shared" si="120"/>
        <v>8.9999999999999998E-4</v>
      </c>
      <c r="BI1320" s="1745">
        <f t="shared" si="117"/>
        <v>9.0000000000000002E-6</v>
      </c>
      <c r="BJ1320" s="1740" t="str">
        <f t="shared" si="118"/>
        <v>pieces</v>
      </c>
      <c r="BK1320" s="1740" t="str">
        <f t="shared" si="119"/>
        <v>Medical equipment</v>
      </c>
    </row>
    <row r="1321" spans="51:63" ht="15.65" customHeight="1">
      <c r="AY1321" s="1746" t="s">
        <v>2593</v>
      </c>
      <c r="AZ1321" s="1746">
        <v>2008</v>
      </c>
      <c r="BA1321" s="1746" t="s">
        <v>5314</v>
      </c>
      <c r="BB1321" s="1747" t="s">
        <v>5315</v>
      </c>
      <c r="BC1321" s="1746">
        <v>100</v>
      </c>
      <c r="BD1321" s="1746" t="s">
        <v>2930</v>
      </c>
      <c r="BE1321" s="1746"/>
      <c r="BF1321" s="1746">
        <v>1.6299999999999999E-3</v>
      </c>
      <c r="BG1321" s="1746" t="s">
        <v>2597</v>
      </c>
      <c r="BH1321" s="1744">
        <f t="shared" si="120"/>
        <v>1.6299999999999999E-3</v>
      </c>
      <c r="BI1321" s="1745">
        <f t="shared" si="117"/>
        <v>1.63E-5</v>
      </c>
      <c r="BJ1321" s="1740" t="str">
        <f t="shared" si="118"/>
        <v>pieces</v>
      </c>
      <c r="BK1321" s="1740" t="str">
        <f t="shared" si="119"/>
        <v>Medical equipment</v>
      </c>
    </row>
    <row r="1322" spans="51:63" ht="15.65" customHeight="1">
      <c r="AY1322" s="1746" t="s">
        <v>2593</v>
      </c>
      <c r="AZ1322" s="1746">
        <v>2008</v>
      </c>
      <c r="BA1322" s="1746" t="s">
        <v>5316</v>
      </c>
      <c r="BB1322" s="1747" t="s">
        <v>5317</v>
      </c>
      <c r="BC1322" s="1746">
        <v>100</v>
      </c>
      <c r="BD1322" s="1746" t="s">
        <v>2930</v>
      </c>
      <c r="BE1322" s="1746"/>
      <c r="BF1322" s="1746">
        <v>0</v>
      </c>
      <c r="BG1322" s="1746" t="s">
        <v>2597</v>
      </c>
      <c r="BH1322" s="1744">
        <f t="shared" si="120"/>
        <v>0</v>
      </c>
      <c r="BI1322" s="1745">
        <f t="shared" si="117"/>
        <v>0</v>
      </c>
      <c r="BJ1322" s="1740" t="str">
        <f t="shared" si="118"/>
        <v>pieces</v>
      </c>
      <c r="BK1322" s="1740" t="str">
        <f t="shared" si="119"/>
        <v>Medical equipment</v>
      </c>
    </row>
    <row r="1323" spans="51:63" ht="15.65" customHeight="1">
      <c r="AY1323" s="1746" t="s">
        <v>2593</v>
      </c>
      <c r="AZ1323" s="1746">
        <v>2008</v>
      </c>
      <c r="BA1323" s="1746" t="s">
        <v>5318</v>
      </c>
      <c r="BB1323" s="1747" t="s">
        <v>5319</v>
      </c>
      <c r="BC1323" s="1746">
        <v>100</v>
      </c>
      <c r="BD1323" s="1746" t="s">
        <v>2930</v>
      </c>
      <c r="BE1323" s="1746"/>
      <c r="BF1323" s="1746">
        <v>2.7100000000000002E-3</v>
      </c>
      <c r="BG1323" s="1746" t="s">
        <v>2597</v>
      </c>
      <c r="BH1323" s="1744">
        <f t="shared" si="120"/>
        <v>2.7100000000000002E-3</v>
      </c>
      <c r="BI1323" s="1745">
        <f t="shared" si="117"/>
        <v>2.7100000000000001E-5</v>
      </c>
      <c r="BJ1323" s="1740" t="str">
        <f t="shared" si="118"/>
        <v>pieces</v>
      </c>
      <c r="BK1323" s="1740" t="str">
        <f t="shared" si="119"/>
        <v>Medical equipment</v>
      </c>
    </row>
    <row r="1324" spans="51:63" ht="15.65" customHeight="1">
      <c r="AY1324" s="1746" t="s">
        <v>2593</v>
      </c>
      <c r="AZ1324" s="1746">
        <v>2008</v>
      </c>
      <c r="BA1324" s="1746" t="s">
        <v>5320</v>
      </c>
      <c r="BB1324" s="1747" t="s">
        <v>5321</v>
      </c>
      <c r="BC1324" s="1746">
        <v>100</v>
      </c>
      <c r="BD1324" s="1746" t="s">
        <v>2930</v>
      </c>
      <c r="BE1324" s="1746"/>
      <c r="BF1324" s="1746">
        <v>1.99E-3</v>
      </c>
      <c r="BG1324" s="1746" t="s">
        <v>2597</v>
      </c>
      <c r="BH1324" s="1744">
        <f t="shared" si="120"/>
        <v>1.99E-3</v>
      </c>
      <c r="BI1324" s="1745">
        <f t="shared" si="117"/>
        <v>1.9899999999999999E-5</v>
      </c>
      <c r="BJ1324" s="1740" t="str">
        <f t="shared" si="118"/>
        <v>pieces</v>
      </c>
      <c r="BK1324" s="1740" t="str">
        <f t="shared" si="119"/>
        <v>Medical equipment</v>
      </c>
    </row>
    <row r="1325" spans="51:63" ht="15.65" customHeight="1">
      <c r="AY1325" s="1746" t="s">
        <v>2593</v>
      </c>
      <c r="AZ1325" s="1746">
        <v>2008</v>
      </c>
      <c r="BA1325" s="1746" t="s">
        <v>5322</v>
      </c>
      <c r="BB1325" s="1747" t="s">
        <v>5323</v>
      </c>
      <c r="BC1325" s="1746">
        <v>100</v>
      </c>
      <c r="BD1325" s="1746" t="s">
        <v>2930</v>
      </c>
      <c r="BE1325" s="1746"/>
      <c r="BF1325" s="1746">
        <v>2E-3</v>
      </c>
      <c r="BG1325" s="1746" t="s">
        <v>2597</v>
      </c>
      <c r="BH1325" s="1744">
        <f t="shared" si="120"/>
        <v>2E-3</v>
      </c>
      <c r="BI1325" s="1745">
        <f t="shared" si="117"/>
        <v>2.0000000000000002E-5</v>
      </c>
      <c r="BJ1325" s="1740" t="str">
        <f t="shared" si="118"/>
        <v>pieces</v>
      </c>
      <c r="BK1325" s="1740" t="str">
        <f t="shared" si="119"/>
        <v>Medical equipment</v>
      </c>
    </row>
    <row r="1326" spans="51:63" ht="15.65" customHeight="1">
      <c r="AY1326" s="1746" t="s">
        <v>2593</v>
      </c>
      <c r="AZ1326" s="1746">
        <v>2008</v>
      </c>
      <c r="BA1326" s="1746" t="s">
        <v>5324</v>
      </c>
      <c r="BB1326" s="1747" t="s">
        <v>5325</v>
      </c>
      <c r="BC1326" s="1746">
        <v>100</v>
      </c>
      <c r="BD1326" s="1746" t="s">
        <v>2930</v>
      </c>
      <c r="BE1326" s="1746"/>
      <c r="BF1326" s="1746">
        <v>1.2800000000000001E-3</v>
      </c>
      <c r="BG1326" s="1746" t="s">
        <v>2597</v>
      </c>
      <c r="BH1326" s="1744">
        <f t="shared" si="120"/>
        <v>1.2800000000000001E-3</v>
      </c>
      <c r="BI1326" s="1745">
        <f t="shared" si="117"/>
        <v>1.2800000000000001E-5</v>
      </c>
      <c r="BJ1326" s="1740" t="str">
        <f t="shared" si="118"/>
        <v>pieces</v>
      </c>
      <c r="BK1326" s="1740" t="str">
        <f t="shared" si="119"/>
        <v>Medical equipment</v>
      </c>
    </row>
    <row r="1327" spans="51:63" ht="15.65" customHeight="1">
      <c r="AY1327" s="1746" t="s">
        <v>2593</v>
      </c>
      <c r="AZ1327" s="1746">
        <v>2008</v>
      </c>
      <c r="BA1327" s="1746" t="s">
        <v>5326</v>
      </c>
      <c r="BB1327" s="1747" t="s">
        <v>5327</v>
      </c>
      <c r="BC1327" s="1746">
        <v>100</v>
      </c>
      <c r="BD1327" s="1746" t="s">
        <v>2930</v>
      </c>
      <c r="BE1327" s="1746"/>
      <c r="BF1327" s="1746">
        <v>3.5100000000000001E-3</v>
      </c>
      <c r="BG1327" s="1746" t="s">
        <v>2597</v>
      </c>
      <c r="BH1327" s="1744">
        <f t="shared" si="120"/>
        <v>3.5100000000000001E-3</v>
      </c>
      <c r="BI1327" s="1745">
        <f t="shared" si="117"/>
        <v>3.5099999999999999E-5</v>
      </c>
      <c r="BJ1327" s="1740" t="str">
        <f t="shared" si="118"/>
        <v>pieces</v>
      </c>
      <c r="BK1327" s="1740" t="str">
        <f t="shared" si="119"/>
        <v>Medical equipment</v>
      </c>
    </row>
    <row r="1328" spans="51:63" ht="15.65" customHeight="1">
      <c r="AY1328" s="1746" t="s">
        <v>2593</v>
      </c>
      <c r="AZ1328" s="1746">
        <v>2008</v>
      </c>
      <c r="BA1328" s="1746" t="s">
        <v>5328</v>
      </c>
      <c r="BB1328" s="1747" t="s">
        <v>5329</v>
      </c>
      <c r="BC1328" s="1746">
        <v>100</v>
      </c>
      <c r="BD1328" s="1746" t="s">
        <v>2930</v>
      </c>
      <c r="BE1328" s="1746"/>
      <c r="BF1328" s="1746">
        <v>0</v>
      </c>
      <c r="BG1328" s="1746" t="s">
        <v>2597</v>
      </c>
      <c r="BH1328" s="1744">
        <f t="shared" si="120"/>
        <v>0</v>
      </c>
      <c r="BI1328" s="1745">
        <f t="shared" si="117"/>
        <v>0</v>
      </c>
      <c r="BJ1328" s="1740" t="str">
        <f t="shared" si="118"/>
        <v>pieces</v>
      </c>
      <c r="BK1328" s="1740" t="str">
        <f t="shared" si="119"/>
        <v>Medical equipment</v>
      </c>
    </row>
    <row r="1329" spans="51:63" ht="15.65" customHeight="1">
      <c r="AY1329" s="1746" t="s">
        <v>2593</v>
      </c>
      <c r="AZ1329" s="1746">
        <v>2008</v>
      </c>
      <c r="BA1329" s="1746" t="s">
        <v>5330</v>
      </c>
      <c r="BB1329" s="1747" t="s">
        <v>5331</v>
      </c>
      <c r="BC1329" s="1746">
        <v>100</v>
      </c>
      <c r="BD1329" s="1746" t="s">
        <v>2930</v>
      </c>
      <c r="BE1329" s="1746"/>
      <c r="BF1329" s="1746">
        <v>3.0999999999999999E-3</v>
      </c>
      <c r="BG1329" s="1746" t="s">
        <v>2597</v>
      </c>
      <c r="BH1329" s="1744">
        <f t="shared" si="120"/>
        <v>3.0999999999999999E-3</v>
      </c>
      <c r="BI1329" s="1745">
        <f t="shared" si="117"/>
        <v>3.1000000000000001E-5</v>
      </c>
      <c r="BJ1329" s="1740" t="str">
        <f t="shared" si="118"/>
        <v>pieces</v>
      </c>
      <c r="BK1329" s="1740" t="str">
        <f t="shared" si="119"/>
        <v>Medical equipment</v>
      </c>
    </row>
    <row r="1330" spans="51:63" ht="15.65" customHeight="1">
      <c r="AY1330" s="1746" t="s">
        <v>2593</v>
      </c>
      <c r="AZ1330" s="1746">
        <v>2008</v>
      </c>
      <c r="BA1330" s="1746" t="s">
        <v>5332</v>
      </c>
      <c r="BB1330" s="1747" t="s">
        <v>5333</v>
      </c>
      <c r="BC1330" s="1746">
        <v>100</v>
      </c>
      <c r="BD1330" s="1746" t="s">
        <v>2930</v>
      </c>
      <c r="BE1330" s="1746"/>
      <c r="BF1330" s="1746">
        <v>2.0600000000000002E-3</v>
      </c>
      <c r="BG1330" s="1746" t="s">
        <v>2597</v>
      </c>
      <c r="BH1330" s="1744">
        <f t="shared" si="120"/>
        <v>2.0600000000000002E-3</v>
      </c>
      <c r="BI1330" s="1745">
        <f t="shared" si="117"/>
        <v>2.0600000000000003E-5</v>
      </c>
      <c r="BJ1330" s="1740" t="str">
        <f t="shared" si="118"/>
        <v>pieces</v>
      </c>
      <c r="BK1330" s="1740" t="str">
        <f t="shared" si="119"/>
        <v>Medical equipment</v>
      </c>
    </row>
    <row r="1331" spans="51:63" ht="15.65" customHeight="1">
      <c r="AY1331" s="1746" t="s">
        <v>2593</v>
      </c>
      <c r="AZ1331" s="1746">
        <v>2008</v>
      </c>
      <c r="BA1331" s="1746" t="s">
        <v>5334</v>
      </c>
      <c r="BB1331" s="1747" t="s">
        <v>5335</v>
      </c>
      <c r="BC1331" s="1746">
        <v>150</v>
      </c>
      <c r="BD1331" s="1746" t="s">
        <v>2930</v>
      </c>
      <c r="BE1331" s="1746"/>
      <c r="BF1331" s="1746">
        <v>5.6999999999999998E-4</v>
      </c>
      <c r="BG1331" s="1746" t="s">
        <v>2597</v>
      </c>
      <c r="BH1331" s="1744">
        <f t="shared" si="120"/>
        <v>5.6999999999999998E-4</v>
      </c>
      <c r="BI1331" s="1745">
        <f t="shared" si="117"/>
        <v>3.8E-6</v>
      </c>
      <c r="BJ1331" s="1740" t="str">
        <f t="shared" si="118"/>
        <v>pieces</v>
      </c>
      <c r="BK1331" s="1740" t="str">
        <f t="shared" si="119"/>
        <v>Medical equipment</v>
      </c>
    </row>
    <row r="1332" spans="51:63" ht="15.65" customHeight="1">
      <c r="AY1332" s="1746" t="s">
        <v>2593</v>
      </c>
      <c r="AZ1332" s="1746">
        <v>2008</v>
      </c>
      <c r="BA1332" s="1746" t="s">
        <v>5336</v>
      </c>
      <c r="BB1332" s="1747" t="s">
        <v>5337</v>
      </c>
      <c r="BC1332" s="1746">
        <v>100</v>
      </c>
      <c r="BD1332" s="1746" t="s">
        <v>2930</v>
      </c>
      <c r="BE1332" s="1746"/>
      <c r="BF1332" s="1746">
        <v>5.5399999999999998E-3</v>
      </c>
      <c r="BG1332" s="1746" t="s">
        <v>2597</v>
      </c>
      <c r="BH1332" s="1744">
        <f t="shared" si="120"/>
        <v>5.5399999999999998E-3</v>
      </c>
      <c r="BI1332" s="1745">
        <f t="shared" si="117"/>
        <v>5.5399999999999998E-5</v>
      </c>
      <c r="BJ1332" s="1740" t="str">
        <f t="shared" si="118"/>
        <v>pieces</v>
      </c>
      <c r="BK1332" s="1740" t="str">
        <f t="shared" si="119"/>
        <v>Medical equipment</v>
      </c>
    </row>
    <row r="1333" spans="51:63" ht="15.65" customHeight="1">
      <c r="AY1333" s="1746" t="s">
        <v>2593</v>
      </c>
      <c r="AZ1333" s="1746">
        <v>2008</v>
      </c>
      <c r="BA1333" s="1746" t="s">
        <v>5338</v>
      </c>
      <c r="BB1333" s="1747" t="s">
        <v>5339</v>
      </c>
      <c r="BC1333" s="1746">
        <v>100</v>
      </c>
      <c r="BD1333" s="1746" t="s">
        <v>2930</v>
      </c>
      <c r="BE1333" s="1746"/>
      <c r="BF1333" s="1746">
        <v>3.3300000000000001E-3</v>
      </c>
      <c r="BG1333" s="1746" t="s">
        <v>2597</v>
      </c>
      <c r="BH1333" s="1744">
        <f t="shared" si="120"/>
        <v>3.3300000000000001E-3</v>
      </c>
      <c r="BI1333" s="1745">
        <f t="shared" si="117"/>
        <v>3.3300000000000003E-5</v>
      </c>
      <c r="BJ1333" s="1740" t="str">
        <f t="shared" si="118"/>
        <v>pieces</v>
      </c>
      <c r="BK1333" s="1740" t="str">
        <f t="shared" si="119"/>
        <v>Medical equipment</v>
      </c>
    </row>
    <row r="1334" spans="51:63" ht="15.65" customHeight="1">
      <c r="AY1334" s="1746" t="s">
        <v>2593</v>
      </c>
      <c r="AZ1334" s="1746">
        <v>2008</v>
      </c>
      <c r="BA1334" s="1746" t="s">
        <v>5340</v>
      </c>
      <c r="BB1334" s="1747" t="s">
        <v>5341</v>
      </c>
      <c r="BC1334" s="1746">
        <v>100</v>
      </c>
      <c r="BD1334" s="1746" t="s">
        <v>2930</v>
      </c>
      <c r="BE1334" s="1746"/>
      <c r="BF1334" s="1746">
        <v>5.3E-3</v>
      </c>
      <c r="BG1334" s="1746" t="s">
        <v>2597</v>
      </c>
      <c r="BH1334" s="1744">
        <f t="shared" si="120"/>
        <v>5.3E-3</v>
      </c>
      <c r="BI1334" s="1745">
        <f t="shared" si="117"/>
        <v>5.3000000000000001E-5</v>
      </c>
      <c r="BJ1334" s="1740" t="str">
        <f t="shared" si="118"/>
        <v>pieces</v>
      </c>
      <c r="BK1334" s="1740" t="str">
        <f t="shared" si="119"/>
        <v>Medical equipment</v>
      </c>
    </row>
    <row r="1335" spans="51:63" ht="15.65" customHeight="1">
      <c r="AY1335" s="1746" t="s">
        <v>2593</v>
      </c>
      <c r="AZ1335" s="1746">
        <v>2008</v>
      </c>
      <c r="BA1335" s="1746" t="s">
        <v>5342</v>
      </c>
      <c r="BB1335" s="1747" t="s">
        <v>5343</v>
      </c>
      <c r="BC1335" s="1746">
        <v>100</v>
      </c>
      <c r="BD1335" s="1746" t="s">
        <v>2930</v>
      </c>
      <c r="BE1335" s="1746"/>
      <c r="BF1335" s="1746">
        <v>4.3800000000000002E-3</v>
      </c>
      <c r="BG1335" s="1746" t="s">
        <v>2597</v>
      </c>
      <c r="BH1335" s="1744">
        <f t="shared" si="120"/>
        <v>4.3800000000000002E-3</v>
      </c>
      <c r="BI1335" s="1745">
        <f t="shared" si="117"/>
        <v>4.3800000000000001E-5</v>
      </c>
      <c r="BJ1335" s="1740" t="str">
        <f t="shared" si="118"/>
        <v>pieces</v>
      </c>
      <c r="BK1335" s="1740" t="str">
        <f t="shared" si="119"/>
        <v>Medical equipment</v>
      </c>
    </row>
    <row r="1336" spans="51:63" ht="15.65" customHeight="1">
      <c r="AY1336" s="1746" t="s">
        <v>2593</v>
      </c>
      <c r="AZ1336" s="1746">
        <v>2008</v>
      </c>
      <c r="BA1336" s="1746" t="s">
        <v>5344</v>
      </c>
      <c r="BB1336" s="1747" t="s">
        <v>5345</v>
      </c>
      <c r="BC1336" s="1746">
        <v>100</v>
      </c>
      <c r="BD1336" s="1746" t="s">
        <v>2930</v>
      </c>
      <c r="BE1336" s="1746"/>
      <c r="BF1336" s="1746">
        <v>6.3E-3</v>
      </c>
      <c r="BG1336" s="1746" t="s">
        <v>2597</v>
      </c>
      <c r="BH1336" s="1744">
        <f t="shared" si="120"/>
        <v>6.3E-3</v>
      </c>
      <c r="BI1336" s="1745">
        <f t="shared" si="117"/>
        <v>6.3E-5</v>
      </c>
      <c r="BJ1336" s="1740" t="str">
        <f t="shared" si="118"/>
        <v>pieces</v>
      </c>
      <c r="BK1336" s="1740" t="str">
        <f t="shared" si="119"/>
        <v>Medical equipment</v>
      </c>
    </row>
    <row r="1337" spans="51:63" ht="15.65" customHeight="1">
      <c r="AY1337" s="1746" t="s">
        <v>2593</v>
      </c>
      <c r="AZ1337" s="1746">
        <v>2008</v>
      </c>
      <c r="BA1337" s="1746" t="s">
        <v>5346</v>
      </c>
      <c r="BB1337" s="1747" t="s">
        <v>5347</v>
      </c>
      <c r="BC1337" s="1746">
        <v>100</v>
      </c>
      <c r="BD1337" s="1746" t="s">
        <v>2930</v>
      </c>
      <c r="BE1337" s="1746"/>
      <c r="BF1337" s="1746">
        <v>5.62E-3</v>
      </c>
      <c r="BG1337" s="1746" t="s">
        <v>2597</v>
      </c>
      <c r="BH1337" s="1744">
        <f t="shared" si="120"/>
        <v>5.62E-3</v>
      </c>
      <c r="BI1337" s="1745">
        <f t="shared" si="117"/>
        <v>5.6199999999999997E-5</v>
      </c>
      <c r="BJ1337" s="1740" t="str">
        <f t="shared" si="118"/>
        <v>pieces</v>
      </c>
      <c r="BK1337" s="1740" t="str">
        <f t="shared" si="119"/>
        <v>Medical equipment</v>
      </c>
    </row>
    <row r="1338" spans="51:63" ht="15.65" customHeight="1">
      <c r="AY1338" s="1746" t="s">
        <v>2588</v>
      </c>
      <c r="AZ1338" s="1746">
        <v>2006</v>
      </c>
      <c r="BA1338" s="1746" t="s">
        <v>5348</v>
      </c>
      <c r="BB1338" s="1747" t="s">
        <v>5349</v>
      </c>
      <c r="BC1338" s="1746" t="s">
        <v>5350</v>
      </c>
      <c r="BD1338" s="1746" t="s">
        <v>3161</v>
      </c>
      <c r="BE1338" s="1746"/>
      <c r="BF1338" s="1746">
        <v>4291</v>
      </c>
      <c r="BG1338" s="1746" t="s">
        <v>2592</v>
      </c>
      <c r="BH1338" s="1744">
        <f t="shared" si="120"/>
        <v>4.2909999999999997E-3</v>
      </c>
      <c r="BI1338" s="1745">
        <f t="shared" si="117"/>
        <v>1.3003030303030303E-3</v>
      </c>
      <c r="BJ1338" s="1740" t="str">
        <f t="shared" si="118"/>
        <v>kg</v>
      </c>
      <c r="BK1338" s="1740" t="str">
        <f t="shared" si="119"/>
        <v>Medical equipment</v>
      </c>
    </row>
    <row r="1339" spans="51:63" ht="15.65" customHeight="1">
      <c r="AY1339" s="1746" t="s">
        <v>2593</v>
      </c>
      <c r="AZ1339" s="1746">
        <v>2008</v>
      </c>
      <c r="BA1339" s="1746" t="s">
        <v>5351</v>
      </c>
      <c r="BB1339" s="1747" t="s">
        <v>5352</v>
      </c>
      <c r="BC1339" s="1746">
        <v>1</v>
      </c>
      <c r="BD1339" s="1746" t="s">
        <v>5353</v>
      </c>
      <c r="BE1339" s="1746"/>
      <c r="BF1339" s="1746">
        <v>4.0800000000000003E-3</v>
      </c>
      <c r="BG1339" s="1746" t="s">
        <v>2597</v>
      </c>
      <c r="BH1339" s="1744">
        <f t="shared" si="120"/>
        <v>4.0800000000000003E-3</v>
      </c>
      <c r="BI1339" s="1745">
        <f t="shared" si="117"/>
        <v>4.0800000000000003E-3</v>
      </c>
      <c r="BJ1339" s="1740" t="str">
        <f t="shared" si="118"/>
        <v>bag</v>
      </c>
      <c r="BK1339" s="1740" t="str">
        <f t="shared" si="119"/>
        <v>Medical equipment</v>
      </c>
    </row>
    <row r="1340" spans="51:63" ht="15.65" customHeight="1">
      <c r="AY1340" s="1746" t="s">
        <v>2593</v>
      </c>
      <c r="AZ1340" s="1746">
        <v>2008</v>
      </c>
      <c r="BA1340" s="1746" t="s">
        <v>5354</v>
      </c>
      <c r="BB1340" s="1747" t="s">
        <v>5355</v>
      </c>
      <c r="BC1340" s="1746">
        <v>1</v>
      </c>
      <c r="BD1340" s="1746" t="s">
        <v>5289</v>
      </c>
      <c r="BE1340" s="1746"/>
      <c r="BF1340" s="1746">
        <v>3.81E-3</v>
      </c>
      <c r="BG1340" s="1746" t="s">
        <v>2597</v>
      </c>
      <c r="BH1340" s="1744">
        <f t="shared" si="120"/>
        <v>3.81E-3</v>
      </c>
      <c r="BI1340" s="1745">
        <f t="shared" si="117"/>
        <v>3.81E-3</v>
      </c>
      <c r="BJ1340" s="1740" t="str">
        <f t="shared" si="118"/>
        <v>box</v>
      </c>
      <c r="BK1340" s="1740" t="str">
        <f t="shared" si="119"/>
        <v>Medical equipment</v>
      </c>
    </row>
    <row r="1341" spans="51:63" ht="15.65" customHeight="1">
      <c r="AY1341" s="1746" t="s">
        <v>2593</v>
      </c>
      <c r="AZ1341" s="1746">
        <v>2008</v>
      </c>
      <c r="BA1341" s="1746" t="s">
        <v>5356</v>
      </c>
      <c r="BB1341" s="1747" t="s">
        <v>5357</v>
      </c>
      <c r="BC1341" s="1746">
        <v>1</v>
      </c>
      <c r="BD1341" s="1746" t="s">
        <v>4398</v>
      </c>
      <c r="BE1341" s="1746"/>
      <c r="BF1341" s="1746">
        <v>2.5870000000000001E-2</v>
      </c>
      <c r="BG1341" s="1746" t="s">
        <v>2597</v>
      </c>
      <c r="BH1341" s="1744">
        <f t="shared" si="120"/>
        <v>2.5870000000000001E-2</v>
      </c>
      <c r="BI1341" s="1745">
        <f t="shared" si="117"/>
        <v>2.5870000000000001E-2</v>
      </c>
      <c r="BJ1341" s="1740" t="str">
        <f t="shared" si="118"/>
        <v>set</v>
      </c>
      <c r="BK1341" s="1740" t="str">
        <f t="shared" si="119"/>
        <v>Medical equipment</v>
      </c>
    </row>
    <row r="1342" spans="51:63" ht="15.65" customHeight="1">
      <c r="AY1342" s="1746" t="s">
        <v>2593</v>
      </c>
      <c r="AZ1342" s="1746">
        <v>2008</v>
      </c>
      <c r="BA1342" s="1746" t="s">
        <v>5358</v>
      </c>
      <c r="BB1342" s="1747" t="s">
        <v>5359</v>
      </c>
      <c r="BC1342" s="1746">
        <v>1</v>
      </c>
      <c r="BD1342" s="1746" t="s">
        <v>4398</v>
      </c>
      <c r="BE1342" s="1746"/>
      <c r="BF1342" s="1746">
        <v>1.277E-2</v>
      </c>
      <c r="BG1342" s="1746" t="s">
        <v>2597</v>
      </c>
      <c r="BH1342" s="1744">
        <f t="shared" si="120"/>
        <v>1.277E-2</v>
      </c>
      <c r="BI1342" s="1745">
        <f t="shared" si="117"/>
        <v>1.277E-2</v>
      </c>
      <c r="BJ1342" s="1740" t="str">
        <f t="shared" si="118"/>
        <v>set</v>
      </c>
      <c r="BK1342" s="1740" t="str">
        <f t="shared" si="119"/>
        <v>Medical equipment</v>
      </c>
    </row>
    <row r="1343" spans="51:63" ht="15.65" customHeight="1">
      <c r="AY1343" s="1746" t="s">
        <v>2575</v>
      </c>
      <c r="AZ1343" s="1746">
        <v>2008</v>
      </c>
      <c r="BA1343" s="1746" t="s">
        <v>5360</v>
      </c>
      <c r="BB1343" s="1747" t="s">
        <v>5361</v>
      </c>
      <c r="BC1343" s="1746" t="s">
        <v>2578</v>
      </c>
      <c r="BD1343" s="1746" t="s">
        <v>2579</v>
      </c>
      <c r="BE1343" s="1746" t="s">
        <v>5362</v>
      </c>
      <c r="BF1343" s="1746">
        <v>0</v>
      </c>
      <c r="BG1343" s="1746"/>
      <c r="BH1343" s="1744" t="str">
        <f t="shared" si="120"/>
        <v/>
      </c>
      <c r="BI1343" s="1745" t="str">
        <f t="shared" si="117"/>
        <v/>
      </c>
      <c r="BJ1343" s="1740" t="str">
        <f t="shared" si="118"/>
        <v>EA-Non-EPI vaccines</v>
      </c>
      <c r="BK1343" s="1740" t="str">
        <f t="shared" si="119"/>
        <v>Vaccine Vial</v>
      </c>
    </row>
    <row r="1344" spans="51:63" ht="15.65" customHeight="1">
      <c r="AY1344" s="1746" t="s">
        <v>2575</v>
      </c>
      <c r="AZ1344" s="1746">
        <v>2008</v>
      </c>
      <c r="BA1344" s="1746" t="s">
        <v>5363</v>
      </c>
      <c r="BB1344" s="1747" t="s">
        <v>5364</v>
      </c>
      <c r="BC1344" s="1746" t="s">
        <v>2578</v>
      </c>
      <c r="BD1344" s="1746" t="s">
        <v>2579</v>
      </c>
      <c r="BE1344" s="1746" t="s">
        <v>5362</v>
      </c>
      <c r="BF1344" s="1746">
        <v>0</v>
      </c>
      <c r="BG1344" s="1746"/>
      <c r="BH1344" s="1744" t="str">
        <f t="shared" si="120"/>
        <v/>
      </c>
      <c r="BI1344" s="1745" t="str">
        <f t="shared" si="117"/>
        <v/>
      </c>
      <c r="BJ1344" s="1740" t="str">
        <f t="shared" si="118"/>
        <v>EA-Non-EPI vaccines</v>
      </c>
      <c r="BK1344" s="1740" t="str">
        <f t="shared" si="119"/>
        <v>Vaccine Vial</v>
      </c>
    </row>
    <row r="1345" spans="51:63" ht="15.65" customHeight="1">
      <c r="AY1345" s="1746" t="s">
        <v>2575</v>
      </c>
      <c r="AZ1345" s="1746">
        <v>2008</v>
      </c>
      <c r="BA1345" s="1746" t="s">
        <v>5365</v>
      </c>
      <c r="BB1345" s="1747" t="s">
        <v>5366</v>
      </c>
      <c r="BC1345" s="1746" t="s">
        <v>2578</v>
      </c>
      <c r="BD1345" s="1746" t="s">
        <v>2579</v>
      </c>
      <c r="BE1345" s="1746" t="s">
        <v>5362</v>
      </c>
      <c r="BF1345" s="1746">
        <v>0</v>
      </c>
      <c r="BG1345" s="1746"/>
      <c r="BH1345" s="1744" t="str">
        <f t="shared" si="120"/>
        <v/>
      </c>
      <c r="BI1345" s="1745" t="str">
        <f t="shared" si="117"/>
        <v/>
      </c>
      <c r="BJ1345" s="1740" t="str">
        <f t="shared" si="118"/>
        <v>EA-Non-EPI vaccines</v>
      </c>
      <c r="BK1345" s="1740" t="str">
        <f t="shared" si="119"/>
        <v>Vaccine Vial</v>
      </c>
    </row>
    <row r="1346" spans="51:63" ht="15.65" customHeight="1">
      <c r="AY1346" s="1746" t="s">
        <v>2575</v>
      </c>
      <c r="AZ1346" s="1746">
        <v>2008</v>
      </c>
      <c r="BA1346" s="1746" t="s">
        <v>5367</v>
      </c>
      <c r="BB1346" s="1747" t="s">
        <v>5368</v>
      </c>
      <c r="BC1346" s="1746" t="s">
        <v>2578</v>
      </c>
      <c r="BD1346" s="1746" t="s">
        <v>2579</v>
      </c>
      <c r="BE1346" s="1746" t="s">
        <v>5362</v>
      </c>
      <c r="BF1346" s="1746">
        <v>0</v>
      </c>
      <c r="BG1346" s="1746"/>
      <c r="BH1346" s="1744" t="str">
        <f t="shared" si="120"/>
        <v/>
      </c>
      <c r="BI1346" s="1745" t="str">
        <f t="shared" si="117"/>
        <v/>
      </c>
      <c r="BJ1346" s="1740" t="str">
        <f t="shared" si="118"/>
        <v>EA-Non-EPI vaccines</v>
      </c>
      <c r="BK1346" s="1740" t="str">
        <f t="shared" si="119"/>
        <v>Vaccine Vial</v>
      </c>
    </row>
    <row r="1347" spans="51:63" ht="15.65" customHeight="1">
      <c r="AY1347" s="1746" t="s">
        <v>2575</v>
      </c>
      <c r="AZ1347" s="1746">
        <v>2008</v>
      </c>
      <c r="BA1347" s="1746" t="s">
        <v>5369</v>
      </c>
      <c r="BB1347" s="1747" t="s">
        <v>5370</v>
      </c>
      <c r="BC1347" s="1746" t="s">
        <v>2578</v>
      </c>
      <c r="BD1347" s="1746" t="s">
        <v>2579</v>
      </c>
      <c r="BE1347" s="1746" t="s">
        <v>2580</v>
      </c>
      <c r="BF1347" s="1746">
        <v>0</v>
      </c>
      <c r="BG1347" s="1746"/>
      <c r="BH1347" s="1744" t="str">
        <f t="shared" si="120"/>
        <v/>
      </c>
      <c r="BI1347" s="1745" t="str">
        <f t="shared" si="117"/>
        <v/>
      </c>
      <c r="BJ1347" s="1740" t="str">
        <f t="shared" si="118"/>
        <v>EA-Antiretrovirals</v>
      </c>
      <c r="BK1347" s="1740" t="str">
        <f t="shared" si="119"/>
        <v>Bottle of Tablets</v>
      </c>
    </row>
    <row r="1348" spans="51:63" ht="15.65" customHeight="1">
      <c r="AY1348" s="1746" t="s">
        <v>2575</v>
      </c>
      <c r="AZ1348" s="1746">
        <v>2008</v>
      </c>
      <c r="BA1348" s="1746" t="s">
        <v>5371</v>
      </c>
      <c r="BB1348" s="1747" t="s">
        <v>5372</v>
      </c>
      <c r="BC1348" s="1746" t="s">
        <v>2578</v>
      </c>
      <c r="BD1348" s="1746" t="s">
        <v>2579</v>
      </c>
      <c r="BE1348" s="1746" t="s">
        <v>2580</v>
      </c>
      <c r="BF1348" s="1746">
        <v>0</v>
      </c>
      <c r="BG1348" s="1746"/>
      <c r="BH1348" s="1744" t="str">
        <f t="shared" si="120"/>
        <v/>
      </c>
      <c r="BI1348" s="1745" t="str">
        <f t="shared" si="117"/>
        <v/>
      </c>
      <c r="BJ1348" s="1740" t="str">
        <f t="shared" si="118"/>
        <v>EA-Antiretrovirals</v>
      </c>
      <c r="BK1348" s="1740" t="str">
        <f t="shared" si="119"/>
        <v>Bottle of Tablets</v>
      </c>
    </row>
    <row r="1349" spans="51:63" ht="15.65" customHeight="1">
      <c r="AY1349" s="1746" t="s">
        <v>2593</v>
      </c>
      <c r="AZ1349" s="1746">
        <v>2008</v>
      </c>
      <c r="BA1349" s="1746" t="s">
        <v>5373</v>
      </c>
      <c r="BB1349" s="1747" t="s">
        <v>5374</v>
      </c>
      <c r="BC1349" s="1746">
        <v>100</v>
      </c>
      <c r="BD1349" s="1746" t="s">
        <v>2864</v>
      </c>
      <c r="BE1349" s="1746"/>
      <c r="BF1349" s="1746">
        <v>3.8999999999999999E-4</v>
      </c>
      <c r="BG1349" s="1746" t="s">
        <v>2597</v>
      </c>
      <c r="BH1349" s="1744">
        <f t="shared" si="120"/>
        <v>3.8999999999999999E-4</v>
      </c>
      <c r="BI1349" s="1745">
        <f t="shared" si="117"/>
        <v>3.8999999999999999E-6</v>
      </c>
      <c r="BJ1349" s="1740" t="str">
        <f t="shared" si="118"/>
        <v>capsules</v>
      </c>
      <c r="BK1349" s="1740" t="str">
        <f t="shared" si="119"/>
        <v>Bottle of Tablets</v>
      </c>
    </row>
    <row r="1350" spans="51:63" ht="15.65" customHeight="1">
      <c r="AY1350" s="1746" t="s">
        <v>2575</v>
      </c>
      <c r="AZ1350" s="1746">
        <v>2008</v>
      </c>
      <c r="BA1350" s="1746" t="s">
        <v>5375</v>
      </c>
      <c r="BB1350" s="1747" t="s">
        <v>5376</v>
      </c>
      <c r="BC1350" s="1746" t="s">
        <v>2578</v>
      </c>
      <c r="BD1350" s="1746" t="s">
        <v>2579</v>
      </c>
      <c r="BE1350" s="1746" t="s">
        <v>2580</v>
      </c>
      <c r="BF1350" s="1746">
        <v>0</v>
      </c>
      <c r="BG1350" s="1746"/>
      <c r="BH1350" s="1744" t="str">
        <f t="shared" si="120"/>
        <v/>
      </c>
      <c r="BI1350" s="1745" t="str">
        <f t="shared" si="117"/>
        <v/>
      </c>
      <c r="BJ1350" s="1740" t="str">
        <f t="shared" si="118"/>
        <v>EA-Antiretrovirals</v>
      </c>
      <c r="BK1350" s="1740" t="str">
        <f t="shared" si="119"/>
        <v>Bottle of Tablets</v>
      </c>
    </row>
    <row r="1351" spans="51:63" ht="15.65" customHeight="1">
      <c r="AY1351" s="1746" t="s">
        <v>2575</v>
      </c>
      <c r="AZ1351" s="1746">
        <v>2008</v>
      </c>
      <c r="BA1351" s="1746" t="s">
        <v>5377</v>
      </c>
      <c r="BB1351" s="1747" t="s">
        <v>5378</v>
      </c>
      <c r="BC1351" s="1746" t="s">
        <v>2578</v>
      </c>
      <c r="BD1351" s="1746" t="s">
        <v>2579</v>
      </c>
      <c r="BE1351" s="1746" t="s">
        <v>2580</v>
      </c>
      <c r="BF1351" s="1746">
        <v>0</v>
      </c>
      <c r="BG1351" s="1746"/>
      <c r="BH1351" s="1744" t="str">
        <f t="shared" si="120"/>
        <v/>
      </c>
      <c r="BI1351" s="1745" t="str">
        <f t="shared" si="117"/>
        <v/>
      </c>
      <c r="BJ1351" s="1740" t="str">
        <f t="shared" si="118"/>
        <v>EA-Antiretrovirals</v>
      </c>
      <c r="BK1351" s="1740" t="str">
        <f t="shared" si="119"/>
        <v>Bottle of Tablets</v>
      </c>
    </row>
    <row r="1352" spans="51:63" ht="15.65" customHeight="1">
      <c r="AY1352" s="1746" t="s">
        <v>2593</v>
      </c>
      <c r="AZ1352" s="1746">
        <v>2008</v>
      </c>
      <c r="BA1352" s="1746" t="s">
        <v>5379</v>
      </c>
      <c r="BB1352" s="1747" t="s">
        <v>5380</v>
      </c>
      <c r="BC1352" s="1746">
        <v>60</v>
      </c>
      <c r="BD1352" s="1746" t="s">
        <v>2601</v>
      </c>
      <c r="BE1352" s="1746"/>
      <c r="BF1352" s="1746">
        <v>1.9000000000000001E-4</v>
      </c>
      <c r="BG1352" s="1746" t="s">
        <v>2597</v>
      </c>
      <c r="BH1352" s="1744">
        <f t="shared" si="120"/>
        <v>1.9000000000000001E-4</v>
      </c>
      <c r="BI1352" s="1745">
        <f t="shared" si="117"/>
        <v>3.1666666666666667E-6</v>
      </c>
      <c r="BJ1352" s="1740" t="str">
        <f t="shared" si="118"/>
        <v>tablets</v>
      </c>
      <c r="BK1352" s="1740" t="str">
        <f t="shared" si="119"/>
        <v>Bottle of Tablets</v>
      </c>
    </row>
    <row r="1353" spans="51:63" ht="15.65" customHeight="1">
      <c r="AY1353" s="1746" t="s">
        <v>2575</v>
      </c>
      <c r="AZ1353" s="1746">
        <v>2008</v>
      </c>
      <c r="BA1353" s="1746" t="s">
        <v>5381</v>
      </c>
      <c r="BB1353" s="1747" t="s">
        <v>5382</v>
      </c>
      <c r="BC1353" s="1746" t="s">
        <v>2578</v>
      </c>
      <c r="BD1353" s="1746" t="s">
        <v>2579</v>
      </c>
      <c r="BE1353" s="1746" t="s">
        <v>2580</v>
      </c>
      <c r="BF1353" s="1746">
        <v>0.28000000000000003</v>
      </c>
      <c r="BG1353" s="1746" t="s">
        <v>2581</v>
      </c>
      <c r="BH1353" s="1744">
        <f t="shared" si="120"/>
        <v>2.8000000000000003E-4</v>
      </c>
      <c r="BI1353" s="1745" t="str">
        <f t="shared" si="117"/>
        <v/>
      </c>
      <c r="BJ1353" s="1740" t="str">
        <f t="shared" si="118"/>
        <v>EA-Antiretrovirals</v>
      </c>
      <c r="BK1353" s="1740" t="str">
        <f t="shared" si="119"/>
        <v>Bottle of Tablets</v>
      </c>
    </row>
    <row r="1354" spans="51:63" ht="15.65" customHeight="1">
      <c r="AY1354" s="1746" t="s">
        <v>2593</v>
      </c>
      <c r="AZ1354" s="1746">
        <v>2008</v>
      </c>
      <c r="BA1354" s="1746" t="s">
        <v>5383</v>
      </c>
      <c r="BB1354" s="1747" t="s">
        <v>5384</v>
      </c>
      <c r="BC1354" s="1746">
        <v>1</v>
      </c>
      <c r="BD1354" s="1746" t="s">
        <v>2596</v>
      </c>
      <c r="BE1354" s="1746"/>
      <c r="BF1354" s="1746">
        <v>5.4000000000000001E-4</v>
      </c>
      <c r="BG1354" s="1746" t="s">
        <v>2597</v>
      </c>
      <c r="BH1354" s="1744">
        <f t="shared" si="120"/>
        <v>5.4000000000000001E-4</v>
      </c>
      <c r="BI1354" s="1745">
        <f t="shared" si="117"/>
        <v>5.4000000000000001E-4</v>
      </c>
      <c r="BJ1354" s="1740" t="str">
        <f t="shared" si="118"/>
        <v>bottle</v>
      </c>
      <c r="BK1354" s="1740" t="str">
        <f t="shared" si="119"/>
        <v>Bottle of Liquid</v>
      </c>
    </row>
    <row r="1355" spans="51:63" ht="15.65" customHeight="1">
      <c r="AY1355" s="1746" t="s">
        <v>2593</v>
      </c>
      <c r="AZ1355" s="1746">
        <v>2008</v>
      </c>
      <c r="BA1355" s="1746" t="s">
        <v>5385</v>
      </c>
      <c r="BB1355" s="1747" t="s">
        <v>5386</v>
      </c>
      <c r="BC1355" s="1746">
        <v>1</v>
      </c>
      <c r="BD1355" s="1746" t="s">
        <v>2596</v>
      </c>
      <c r="BE1355" s="1746"/>
      <c r="BF1355" s="1746">
        <v>7.3999999999999999E-4</v>
      </c>
      <c r="BG1355" s="1746" t="s">
        <v>2597</v>
      </c>
      <c r="BH1355" s="1744">
        <f t="shared" si="120"/>
        <v>7.3999999999999999E-4</v>
      </c>
      <c r="BI1355" s="1745">
        <f t="shared" si="117"/>
        <v>7.3999999999999999E-4</v>
      </c>
      <c r="BJ1355" s="1740" t="str">
        <f t="shared" si="118"/>
        <v>bottle</v>
      </c>
      <c r="BK1355" s="1740" t="str">
        <f t="shared" si="119"/>
        <v>Bottle of Liquid</v>
      </c>
    </row>
    <row r="1356" spans="51:63" ht="15.65" customHeight="1">
      <c r="AY1356" s="1746" t="s">
        <v>2575</v>
      </c>
      <c r="AZ1356" s="1746">
        <v>2008</v>
      </c>
      <c r="BA1356" s="1746" t="s">
        <v>5387</v>
      </c>
      <c r="BB1356" s="1747" t="s">
        <v>5388</v>
      </c>
      <c r="BC1356" s="1746" t="s">
        <v>2578</v>
      </c>
      <c r="BD1356" s="1746" t="s">
        <v>2579</v>
      </c>
      <c r="BE1356" s="1746" t="s">
        <v>2580</v>
      </c>
      <c r="BF1356" s="1746">
        <v>0</v>
      </c>
      <c r="BG1356" s="1746" t="s">
        <v>2581</v>
      </c>
      <c r="BH1356" s="1744">
        <f t="shared" si="120"/>
        <v>0</v>
      </c>
      <c r="BI1356" s="1745" t="str">
        <f t="shared" si="117"/>
        <v/>
      </c>
      <c r="BJ1356" s="1740" t="str">
        <f t="shared" si="118"/>
        <v>EA-Antiretrovirals</v>
      </c>
      <c r="BK1356" s="1740" t="str">
        <f t="shared" si="119"/>
        <v>Bottle of Tablets</v>
      </c>
    </row>
    <row r="1357" spans="51:63" ht="15.65" customHeight="1">
      <c r="AY1357" s="1746" t="s">
        <v>2575</v>
      </c>
      <c r="AZ1357" s="1746">
        <v>2008</v>
      </c>
      <c r="BA1357" s="1746" t="s">
        <v>5389</v>
      </c>
      <c r="BB1357" s="1747" t="s">
        <v>5390</v>
      </c>
      <c r="BC1357" s="1746" t="s">
        <v>2578</v>
      </c>
      <c r="BD1357" s="1746" t="s">
        <v>2579</v>
      </c>
      <c r="BE1357" s="1746" t="s">
        <v>2580</v>
      </c>
      <c r="BF1357" s="1746">
        <v>0</v>
      </c>
      <c r="BG1357" s="1746"/>
      <c r="BH1357" s="1744" t="str">
        <f t="shared" si="120"/>
        <v/>
      </c>
      <c r="BI1357" s="1745" t="str">
        <f t="shared" si="117"/>
        <v/>
      </c>
      <c r="BJ1357" s="1740" t="str">
        <f t="shared" si="118"/>
        <v>EA-Antiretrovirals</v>
      </c>
      <c r="BK1357" s="1740" t="str">
        <f t="shared" si="119"/>
        <v>Bottle of Tablets</v>
      </c>
    </row>
    <row r="1358" spans="51:63" ht="15.65" customHeight="1">
      <c r="AY1358" s="1746" t="s">
        <v>2593</v>
      </c>
      <c r="AZ1358" s="1746">
        <v>2008</v>
      </c>
      <c r="BA1358" s="1746" t="s">
        <v>5391</v>
      </c>
      <c r="BB1358" s="1747" t="s">
        <v>5392</v>
      </c>
      <c r="BC1358" s="1746">
        <v>1</v>
      </c>
      <c r="BD1358" s="1746" t="s">
        <v>2596</v>
      </c>
      <c r="BE1358" s="1746"/>
      <c r="BF1358" s="1746">
        <v>2.0999999999999999E-3</v>
      </c>
      <c r="BG1358" s="1746" t="s">
        <v>2597</v>
      </c>
      <c r="BH1358" s="1744">
        <f t="shared" si="120"/>
        <v>2.0999999999999999E-3</v>
      </c>
      <c r="BI1358" s="1745">
        <f t="shared" si="117"/>
        <v>2.0999999999999999E-3</v>
      </c>
      <c r="BJ1358" s="1740" t="str">
        <f t="shared" si="118"/>
        <v>bottle</v>
      </c>
      <c r="BK1358" s="1740" t="str">
        <f t="shared" si="119"/>
        <v>Bottle of Liquid</v>
      </c>
    </row>
    <row r="1359" spans="51:63" ht="15.65" customHeight="1">
      <c r="AY1359" s="1746" t="s">
        <v>2575</v>
      </c>
      <c r="AZ1359" s="1746">
        <v>2008</v>
      </c>
      <c r="BA1359" s="1746" t="s">
        <v>5393</v>
      </c>
      <c r="BB1359" s="1747" t="s">
        <v>5394</v>
      </c>
      <c r="BC1359" s="1746" t="s">
        <v>2578</v>
      </c>
      <c r="BD1359" s="1746" t="s">
        <v>2638</v>
      </c>
      <c r="BE1359" s="1746" t="s">
        <v>3074</v>
      </c>
      <c r="BF1359" s="1746">
        <v>267.75</v>
      </c>
      <c r="BG1359" s="1746" t="s">
        <v>2592</v>
      </c>
      <c r="BH1359" s="1744">
        <f t="shared" si="120"/>
        <v>2.6774999999999998E-4</v>
      </c>
      <c r="BI1359" s="1745" t="str">
        <f t="shared" si="117"/>
        <v/>
      </c>
      <c r="BJ1359" s="1740" t="str">
        <f t="shared" si="118"/>
        <v>PAC-Minerals &amp; vitamins</v>
      </c>
      <c r="BK1359" s="1740" t="str">
        <f t="shared" si="119"/>
        <v>Bottle of Tablets</v>
      </c>
    </row>
    <row r="1360" spans="51:63" ht="15.65" customHeight="1">
      <c r="AY1360" s="1746" t="s">
        <v>2588</v>
      </c>
      <c r="AZ1360" s="1746">
        <v>2006</v>
      </c>
      <c r="BA1360" s="1746" t="s">
        <v>5395</v>
      </c>
      <c r="BB1360" s="1747" t="s">
        <v>5396</v>
      </c>
      <c r="BC1360" s="1746" t="s">
        <v>4023</v>
      </c>
      <c r="BD1360" s="1746" t="s">
        <v>2615</v>
      </c>
      <c r="BE1360" s="1746"/>
      <c r="BF1360" s="1746">
        <v>242</v>
      </c>
      <c r="BG1360" s="1746" t="s">
        <v>2592</v>
      </c>
      <c r="BH1360" s="1744">
        <f t="shared" si="120"/>
        <v>2.42E-4</v>
      </c>
      <c r="BI1360" s="1745" t="str">
        <f t="shared" si="117"/>
        <v/>
      </c>
      <c r="BJ1360" s="1740" t="str">
        <f t="shared" si="118"/>
        <v>tabs</v>
      </c>
      <c r="BK1360" s="1740" t="str">
        <f t="shared" si="119"/>
        <v>Bottle of Tablets</v>
      </c>
    </row>
    <row r="1361" spans="51:63" ht="15.65" customHeight="1">
      <c r="AY1361" s="1746" t="s">
        <v>2593</v>
      </c>
      <c r="AZ1361" s="1746">
        <v>2008</v>
      </c>
      <c r="BA1361" s="1746" t="s">
        <v>5397</v>
      </c>
      <c r="BB1361" s="1747" t="s">
        <v>5398</v>
      </c>
      <c r="BC1361" s="1746">
        <v>1</v>
      </c>
      <c r="BD1361" s="1746" t="s">
        <v>3224</v>
      </c>
      <c r="BE1361" s="1746"/>
      <c r="BF1361" s="1746">
        <v>1.6000000000000001E-3</v>
      </c>
      <c r="BG1361" s="1746" t="s">
        <v>2597</v>
      </c>
      <c r="BH1361" s="1744">
        <f t="shared" si="120"/>
        <v>1.6000000000000001E-3</v>
      </c>
      <c r="BI1361" s="1745">
        <f t="shared" si="117"/>
        <v>1.6000000000000001E-3</v>
      </c>
      <c r="BJ1361" s="1740" t="str">
        <f t="shared" si="118"/>
        <v>jar</v>
      </c>
      <c r="BK1361" s="1740" t="str">
        <f t="shared" si="119"/>
        <v>Bottle of liquid</v>
      </c>
    </row>
    <row r="1362" spans="51:63" ht="15.65" customHeight="1">
      <c r="AY1362" s="1746" t="s">
        <v>2588</v>
      </c>
      <c r="AZ1362" s="1746">
        <v>2006</v>
      </c>
      <c r="BA1362" s="1746" t="s">
        <v>5399</v>
      </c>
      <c r="BB1362" s="1747" t="s">
        <v>5400</v>
      </c>
      <c r="BC1362" s="1746">
        <v>10</v>
      </c>
      <c r="BD1362" s="1746" t="s">
        <v>2671</v>
      </c>
      <c r="BE1362" s="1746"/>
      <c r="BF1362" s="1746">
        <v>5416.7</v>
      </c>
      <c r="BG1362" s="1746" t="s">
        <v>2592</v>
      </c>
      <c r="BH1362" s="1744">
        <f t="shared" si="120"/>
        <v>5.4167E-3</v>
      </c>
      <c r="BI1362" s="1745">
        <f t="shared" si="117"/>
        <v>5.4166999999999996E-4</v>
      </c>
      <c r="BJ1362" s="1740" t="str">
        <f t="shared" si="118"/>
        <v>tubes</v>
      </c>
      <c r="BK1362" s="1740" t="str">
        <f t="shared" si="119"/>
        <v>Tube of ointment</v>
      </c>
    </row>
    <row r="1363" spans="51:63" ht="15.65" customHeight="1">
      <c r="AY1363" s="1746" t="s">
        <v>2588</v>
      </c>
      <c r="AZ1363" s="1746">
        <v>2006</v>
      </c>
      <c r="BA1363" s="1746" t="s">
        <v>5401</v>
      </c>
      <c r="BB1363" s="1747" t="s">
        <v>5402</v>
      </c>
      <c r="BC1363" s="1746">
        <v>1</v>
      </c>
      <c r="BD1363" s="1746" t="s">
        <v>3224</v>
      </c>
      <c r="BE1363" s="1746"/>
      <c r="BF1363" s="1746">
        <v>2062.5</v>
      </c>
      <c r="BG1363" s="1746" t="s">
        <v>2592</v>
      </c>
      <c r="BH1363" s="1744">
        <f t="shared" si="120"/>
        <v>2.0625000000000001E-3</v>
      </c>
      <c r="BI1363" s="1745">
        <f>IFERROR(BH1363/BC1363,"")</f>
        <v>2.0625000000000001E-3</v>
      </c>
      <c r="BJ1363" s="1740" t="str">
        <f t="shared" si="118"/>
        <v>jar</v>
      </c>
      <c r="BK1363" s="1740" t="str">
        <f t="shared" si="119"/>
        <v>Bottle of liquid</v>
      </c>
    </row>
    <row r="1364" spans="51:63" ht="15.65" customHeight="1">
      <c r="AY1364" s="1746" t="s">
        <v>2575</v>
      </c>
      <c r="AZ1364" s="1746">
        <v>2008</v>
      </c>
      <c r="BA1364" s="1746" t="s">
        <v>5403</v>
      </c>
      <c r="BB1364" s="1747" t="s">
        <v>5404</v>
      </c>
      <c r="BC1364" s="1746" t="s">
        <v>2578</v>
      </c>
      <c r="BD1364" s="1746" t="s">
        <v>2680</v>
      </c>
      <c r="BE1364" s="1746" t="s">
        <v>3209</v>
      </c>
      <c r="BF1364" s="1746">
        <v>0.34499999999999997</v>
      </c>
      <c r="BG1364" s="1746" t="s">
        <v>2581</v>
      </c>
      <c r="BH1364" s="1744">
        <f>IF(BG1364="CCM",BF1364/1000000,IF(BG1364="CDM",BF1364/1000, IF(BG1364="M3",BF1364,"")))</f>
        <v>3.4499999999999998E-4</v>
      </c>
      <c r="BI1364" s="1745" t="str">
        <f>IFERROR(BH1364/BC1364,"")</f>
        <v/>
      </c>
      <c r="BJ1364" s="1740" t="str">
        <f t="shared" si="118"/>
        <v>TBE-Dermatological drugs</v>
      </c>
      <c r="BK1364" s="1740" t="str">
        <f>IFERROR(INDEX($BO$18:$BO$136,MATCH(BJ1364,$BN$18:$BN$136,0)),"")</f>
        <v>Tube of ointment</v>
      </c>
    </row>
    <row r="1365" spans="51:63" ht="15.65" customHeight="1">
      <c r="AY1365" s="1755"/>
      <c r="AZ1365" s="1755"/>
      <c r="BA1365" s="1755"/>
      <c r="BB1365" s="1756"/>
      <c r="BC1365" s="1755"/>
      <c r="BD1365" s="1755"/>
      <c r="BE1365" s="1755"/>
      <c r="BF1365" s="1755"/>
      <c r="BG1365" s="1755"/>
      <c r="BH1365" s="1755"/>
      <c r="BI1365" s="1757"/>
    </row>
    <row r="1366" spans="51:63" ht="15.65" customHeight="1">
      <c r="AY1366" s="1758">
        <v>39814</v>
      </c>
      <c r="AZ1366" s="1727"/>
      <c r="BA1366" s="1727"/>
      <c r="BB1366" s="1727"/>
      <c r="BC1366" s="1727"/>
      <c r="BD1366" s="1727"/>
      <c r="BE1366" s="1727"/>
      <c r="BF1366" s="1727"/>
      <c r="BG1366" s="1727"/>
      <c r="BH1366" s="1727"/>
      <c r="BI1366" s="1728"/>
    </row>
    <row r="1367" spans="51:63" ht="15.65" customHeight="1">
      <c r="AY1367" s="1759" t="s">
        <v>5405</v>
      </c>
      <c r="AZ1367" s="1727"/>
      <c r="BA1367" s="1727"/>
      <c r="BB1367" s="1727"/>
      <c r="BC1367" s="1727"/>
      <c r="BD1367" s="1727"/>
      <c r="BE1367" s="1727"/>
      <c r="BF1367" s="1727"/>
      <c r="BG1367" s="1727"/>
      <c r="BH1367" s="1727"/>
      <c r="BI1367" s="1728"/>
    </row>
    <row r="1368" spans="51:63" ht="15.65" customHeight="1">
      <c r="AY1368" s="1760" t="s">
        <v>5406</v>
      </c>
      <c r="AZ1368" s="1727"/>
      <c r="BA1368" s="1727"/>
      <c r="BB1368" s="1727"/>
      <c r="BC1368" s="1727"/>
      <c r="BD1368" s="1727"/>
      <c r="BE1368" s="1727"/>
      <c r="BF1368" s="1727"/>
      <c r="BG1368" s="1727"/>
      <c r="BH1368" s="1727"/>
      <c r="BI1368" s="1728"/>
    </row>
    <row r="1369" spans="51:63" ht="15.65" customHeight="1">
      <c r="AY1369" s="1727"/>
      <c r="AZ1369" s="1727"/>
      <c r="BA1369" s="1727"/>
      <c r="BB1369" s="1727"/>
      <c r="BC1369" s="1727"/>
      <c r="BD1369" s="1727"/>
      <c r="BE1369" s="1727"/>
      <c r="BF1369" s="1727"/>
      <c r="BG1369" s="1727"/>
      <c r="BH1369" s="1727"/>
      <c r="BI1369" s="1728"/>
    </row>
    <row r="1370" spans="51:63" ht="15.65" customHeight="1">
      <c r="AY1370" s="1727"/>
      <c r="AZ1370" s="1727"/>
      <c r="BA1370" s="1727"/>
      <c r="BB1370" s="1727"/>
      <c r="BC1370" s="1727"/>
      <c r="BD1370" s="1727"/>
      <c r="BE1370" s="1727"/>
      <c r="BF1370" s="1727"/>
      <c r="BG1370" s="1727"/>
      <c r="BH1370" s="1727"/>
      <c r="BI1370" s="1728"/>
    </row>
    <row r="1371" spans="51:63" ht="15.65" customHeight="1">
      <c r="AY1371" s="1727"/>
      <c r="AZ1371" s="1727"/>
      <c r="BA1371" s="1727"/>
      <c r="BB1371" s="1727"/>
      <c r="BC1371" s="1727"/>
      <c r="BD1371" s="1727"/>
      <c r="BE1371" s="1727"/>
      <c r="BF1371" s="1727"/>
      <c r="BG1371" s="1727"/>
      <c r="BH1371" s="1727"/>
      <c r="BI1371" s="1728"/>
    </row>
    <row r="1372" spans="51:63" ht="15.65" customHeight="1">
      <c r="AY1372" s="1727"/>
      <c r="AZ1372" s="1727"/>
      <c r="BA1372" s="1727"/>
      <c r="BB1372" s="1727"/>
      <c r="BC1372" s="1727"/>
      <c r="BD1372" s="1727"/>
      <c r="BE1372" s="1727"/>
      <c r="BF1372" s="1727"/>
      <c r="BG1372" s="1727"/>
      <c r="BH1372" s="1727"/>
      <c r="BI1372" s="1728"/>
    </row>
    <row r="1373" spans="51:63" ht="15.65" customHeight="1">
      <c r="AY1373" s="1727"/>
      <c r="AZ1373" s="1727"/>
      <c r="BA1373" s="1727"/>
      <c r="BB1373" s="1727"/>
      <c r="BC1373" s="1727"/>
      <c r="BD1373" s="1727"/>
      <c r="BE1373" s="1727"/>
      <c r="BF1373" s="1727"/>
      <c r="BG1373" s="1727"/>
      <c r="BH1373" s="1727"/>
      <c r="BI1373" s="1728"/>
    </row>
    <row r="1374" spans="51:63" ht="15.65" customHeight="1">
      <c r="AY1374" s="1727"/>
      <c r="AZ1374" s="1727"/>
      <c r="BA1374" s="1727"/>
      <c r="BB1374" s="1727"/>
      <c r="BC1374" s="1727"/>
      <c r="BD1374" s="1727"/>
      <c r="BE1374" s="1727"/>
      <c r="BF1374" s="1727"/>
      <c r="BG1374" s="1727"/>
      <c r="BH1374" s="1727"/>
      <c r="BI1374" s="1728"/>
    </row>
    <row r="1375" spans="51:63" ht="15.65" customHeight="1">
      <c r="AY1375" s="1727"/>
      <c r="AZ1375" s="1727"/>
      <c r="BA1375" s="1727"/>
      <c r="BB1375" s="1727"/>
      <c r="BC1375" s="1727"/>
      <c r="BD1375" s="1727"/>
      <c r="BE1375" s="1727"/>
      <c r="BF1375" s="1727"/>
      <c r="BG1375" s="1727"/>
      <c r="BH1375" s="1727"/>
      <c r="BI1375" s="1728"/>
    </row>
  </sheetData>
  <sheetProtection algorithmName="SHA-512" hashValue="cPLTLBeUtiPPWS9/ryDNRvd1Gg7C+NLXWYofyR88yA+A2mQMMVqDstZ6Y9+pSSY6zasuW9lHx4SiLkKKj8YR4A==" saltValue="9mXz6idt0byosaiYk3ee4Q==" spinCount="100000" sheet="1" objects="1" scenarios="1" formatColumns="0" formatRows="0"/>
  <protectedRanges>
    <protectedRange sqref="C11:F356 K38:K42 N11:N42 V11:V356" name="Range1"/>
  </protectedRanges>
  <autoFilter ref="AY18:BI1364" xr:uid="{00000000-0009-0000-0000-000011000000}"/>
  <mergeCells count="15">
    <mergeCell ref="AA11:AA13"/>
    <mergeCell ref="AB11:AB13"/>
    <mergeCell ref="BK17:BK18"/>
    <mergeCell ref="AA14:AA16"/>
    <mergeCell ref="AB14:AB16"/>
    <mergeCell ref="AY11:BG12"/>
    <mergeCell ref="AY13:BG13"/>
    <mergeCell ref="AA17:AA19"/>
    <mergeCell ref="AB17:AB19"/>
    <mergeCell ref="AY14:BG15"/>
    <mergeCell ref="BC17:BD17"/>
    <mergeCell ref="BF17:BG17"/>
    <mergeCell ref="BH17:BH18"/>
    <mergeCell ref="BI17:BI18"/>
    <mergeCell ref="BJ17:BJ18"/>
  </mergeCells>
  <dataValidations count="3">
    <dataValidation type="list" allowBlank="1" showInputMessage="1" showErrorMessage="1" sqref="E11:E356" xr:uid="{00000000-0002-0000-1100-000000000000}">
      <formula1>$K$10:$K$42</formula1>
    </dataValidation>
    <dataValidation type="list" allowBlank="1" showInputMessage="1" showErrorMessage="1" sqref="E10" xr:uid="{00000000-0002-0000-1100-000001000000}">
      <formula1>$K$11:$K$42</formula1>
    </dataValidation>
    <dataValidation type="list" allowBlank="1" showInputMessage="1" showErrorMessage="1" sqref="F11:F356" xr:uid="{00000000-0002-0000-1100-000002000000}">
      <formula1>"Yes"</formula1>
    </dataValidation>
  </dataValidation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sheetPr>
  <dimension ref="B1:I37"/>
  <sheetViews>
    <sheetView showGridLines="0" topLeftCell="A11" zoomScale="90" zoomScaleNormal="90" workbookViewId="0"/>
  </sheetViews>
  <sheetFormatPr defaultRowHeight="14.6"/>
  <cols>
    <col min="1" max="1" width="14.84375" customWidth="1"/>
    <col min="2" max="2" width="78.15234375" customWidth="1"/>
    <col min="3" max="3" width="20.69140625" customWidth="1"/>
    <col min="4" max="4" width="20.53515625" customWidth="1"/>
    <col min="8" max="8" width="77.84375" customWidth="1"/>
    <col min="9" max="9" width="21.3046875" customWidth="1"/>
  </cols>
  <sheetData>
    <row r="1" spans="2:9" ht="15" customHeight="1">
      <c r="B1" s="2843" t="s">
        <v>5644</v>
      </c>
      <c r="C1" s="2843"/>
      <c r="D1" s="2843"/>
      <c r="E1" s="2843"/>
      <c r="F1" s="2843"/>
      <c r="G1" s="2843"/>
    </row>
    <row r="2" spans="2:9" ht="34.5" customHeight="1">
      <c r="B2" s="2843"/>
      <c r="C2" s="2843"/>
      <c r="D2" s="2843"/>
      <c r="E2" s="2843"/>
      <c r="F2" s="2843"/>
      <c r="G2" s="2843"/>
    </row>
    <row r="3" spans="2:9" ht="31.5" customHeight="1">
      <c r="B3" s="2843"/>
      <c r="C3" s="2843"/>
      <c r="D3" s="2843"/>
      <c r="E3" s="2843"/>
      <c r="F3" s="2843"/>
      <c r="G3" s="2843"/>
    </row>
    <row r="4" spans="2:9">
      <c r="B4" s="2843"/>
      <c r="C4" s="2843"/>
      <c r="D4" s="2843"/>
      <c r="E4" s="2843"/>
      <c r="F4" s="2843"/>
      <c r="G4" s="2843"/>
    </row>
    <row r="13" spans="2:9" ht="18.45">
      <c r="B13" s="277" t="s">
        <v>5636</v>
      </c>
      <c r="H13" s="277" t="s">
        <v>5637</v>
      </c>
    </row>
    <row r="14" spans="2:9" ht="30" customHeight="1">
      <c r="C14" s="1959" t="s">
        <v>5632</v>
      </c>
      <c r="D14" s="1957"/>
      <c r="I14" s="1959" t="s">
        <v>5632</v>
      </c>
    </row>
    <row r="15" spans="2:9" ht="87" customHeight="1">
      <c r="B15" s="1965" t="s">
        <v>5633</v>
      </c>
      <c r="C15" s="1961">
        <v>250</v>
      </c>
      <c r="D15" s="1958"/>
      <c r="H15" s="1968" t="s">
        <v>5638</v>
      </c>
      <c r="I15" s="1961">
        <v>150</v>
      </c>
    </row>
    <row r="16" spans="2:9" ht="57.75" customHeight="1">
      <c r="B16" s="1956" t="s">
        <v>5643</v>
      </c>
      <c r="C16" s="1960">
        <v>0.1</v>
      </c>
      <c r="D16" s="1958"/>
      <c r="H16" s="1965" t="s">
        <v>5640</v>
      </c>
      <c r="I16" s="1960">
        <v>0.9</v>
      </c>
    </row>
    <row r="17" spans="2:9" ht="33" customHeight="1">
      <c r="B17" s="1966" t="s">
        <v>5634</v>
      </c>
      <c r="C17" s="1971">
        <f>C15*(1-C16)</f>
        <v>225</v>
      </c>
      <c r="D17" s="1958"/>
      <c r="H17" s="2841" t="s">
        <v>5642</v>
      </c>
      <c r="I17" s="2842">
        <v>1.2</v>
      </c>
    </row>
    <row r="18" spans="2:9" ht="13.5" customHeight="1">
      <c r="B18" s="1962"/>
      <c r="C18" s="1964"/>
      <c r="D18" s="1963"/>
      <c r="H18" s="2841"/>
      <c r="I18" s="2842"/>
    </row>
    <row r="19" spans="2:9" ht="36" customHeight="1">
      <c r="B19" s="1968" t="s">
        <v>5641</v>
      </c>
      <c r="C19" s="1961">
        <v>3</v>
      </c>
      <c r="H19" s="1969" t="s">
        <v>5645</v>
      </c>
      <c r="I19" s="1970">
        <f>I15*I16*I17</f>
        <v>162</v>
      </c>
    </row>
    <row r="20" spans="2:9" ht="86.25" customHeight="1">
      <c r="B20" s="1968" t="s">
        <v>5635</v>
      </c>
      <c r="C20" s="1960">
        <v>0.25</v>
      </c>
      <c r="D20" s="460"/>
    </row>
    <row r="21" spans="2:9" ht="74.25" customHeight="1">
      <c r="B21" s="1965" t="s">
        <v>5639</v>
      </c>
      <c r="C21" s="1960">
        <v>0.85</v>
      </c>
      <c r="D21" s="460"/>
    </row>
    <row r="22" spans="2:9" ht="21.75" customHeight="1">
      <c r="B22" s="1969" t="s">
        <v>5645</v>
      </c>
      <c r="C22" s="1970">
        <f>C17*C19*C20*C21</f>
        <v>143.4375</v>
      </c>
      <c r="D22" s="1339"/>
    </row>
    <row r="37" spans="2:2">
      <c r="B37" s="1"/>
    </row>
  </sheetData>
  <sheetProtection algorithmName="SHA-512" hashValue="ALJEobcMkSalHlSmrnSzbZ731kB+E977CwHHWz+0tqH2QHi6+lC/6ZYJHsPmmui4MBHaq3wB3vlnjWMHcgiAww==" saltValue="wMUIUYfz4LbsTb0pYTbIrw==" spinCount="100000" sheet="1" objects="1" scenarios="1" formatColumns="0" formatRows="0"/>
  <protectedRanges>
    <protectedRange sqref="C15:C16 C19:C21 I15:I18" name="Range1"/>
  </protectedRanges>
  <mergeCells count="3">
    <mergeCell ref="H17:H18"/>
    <mergeCell ref="I17:I18"/>
    <mergeCell ref="B1:G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theme="0" tint="-0.14999847407452621"/>
  </sheetPr>
  <dimension ref="A1:S98"/>
  <sheetViews>
    <sheetView showGridLines="0" zoomScale="80" zoomScaleNormal="80" workbookViewId="0"/>
  </sheetViews>
  <sheetFormatPr defaultColWidth="8.84375" defaultRowHeight="14.6"/>
  <cols>
    <col min="2" max="2" width="12.3046875" customWidth="1"/>
    <col min="3" max="3" width="19.69140625" customWidth="1"/>
    <col min="4" max="4" width="8.84375" style="8" bestFit="1" customWidth="1"/>
    <col min="5" max="5" width="15.15234375" style="8" customWidth="1"/>
    <col min="6" max="6" width="14.3828125" customWidth="1"/>
    <col min="7" max="7" width="16.69140625" customWidth="1"/>
    <col min="10" max="10" width="8.84375" bestFit="1" customWidth="1"/>
    <col min="11" max="11" width="8.3828125" bestFit="1" customWidth="1"/>
    <col min="12" max="12" width="14.3828125" bestFit="1" customWidth="1"/>
    <col min="13" max="13" width="12" bestFit="1" customWidth="1"/>
  </cols>
  <sheetData>
    <row r="1" spans="1:19" ht="15" customHeight="1">
      <c r="B1" s="2843" t="s">
        <v>5646</v>
      </c>
      <c r="C1" s="2843"/>
      <c r="D1" s="2843"/>
      <c r="E1" s="2843"/>
      <c r="F1" s="2843"/>
      <c r="G1" s="2843"/>
      <c r="H1" s="2843"/>
      <c r="I1" s="2843"/>
      <c r="J1" s="2843"/>
      <c r="K1" s="2843"/>
      <c r="L1" s="2843"/>
      <c r="M1" s="2843"/>
      <c r="N1" s="2843"/>
      <c r="O1" s="2843"/>
      <c r="P1" s="2843"/>
      <c r="Q1" s="2843"/>
      <c r="R1" s="2843"/>
      <c r="S1" s="2843"/>
    </row>
    <row r="2" spans="1:19" ht="33" customHeight="1">
      <c r="B2" s="2843"/>
      <c r="C2" s="2843"/>
      <c r="D2" s="2843"/>
      <c r="E2" s="2843"/>
      <c r="F2" s="2843"/>
      <c r="G2" s="2843"/>
      <c r="H2" s="2843"/>
      <c r="I2" s="2843"/>
      <c r="J2" s="2843"/>
      <c r="K2" s="2843"/>
      <c r="L2" s="2843"/>
      <c r="M2" s="2843"/>
      <c r="N2" s="2843"/>
      <c r="O2" s="2843"/>
      <c r="P2" s="2843"/>
      <c r="Q2" s="2843"/>
      <c r="R2" s="2843"/>
      <c r="S2" s="2843"/>
    </row>
    <row r="3" spans="1:19" ht="36.75" customHeight="1">
      <c r="B3" s="2843"/>
      <c r="C3" s="2843"/>
      <c r="D3" s="2843"/>
      <c r="E3" s="2843"/>
      <c r="F3" s="2843"/>
      <c r="G3" s="2843"/>
      <c r="H3" s="2843"/>
      <c r="I3" s="2843"/>
      <c r="J3" s="2843"/>
      <c r="K3" s="2843"/>
      <c r="L3" s="2843"/>
      <c r="M3" s="2843"/>
      <c r="N3" s="2843"/>
      <c r="O3" s="2843"/>
      <c r="P3" s="2843"/>
      <c r="Q3" s="2843"/>
      <c r="R3" s="2843"/>
      <c r="S3" s="2843"/>
    </row>
    <row r="4" spans="1:19" ht="39.75" customHeight="1">
      <c r="B4" s="2843"/>
      <c r="C4" s="2843"/>
      <c r="D4" s="2843"/>
      <c r="E4" s="2843"/>
      <c r="F4" s="2843"/>
      <c r="G4" s="2843"/>
      <c r="H4" s="2843"/>
      <c r="I4" s="2843"/>
      <c r="J4" s="2843"/>
      <c r="K4" s="2843"/>
      <c r="L4" s="2843"/>
      <c r="M4" s="2843"/>
      <c r="N4" s="2843"/>
      <c r="O4" s="2843"/>
      <c r="P4" s="2843"/>
      <c r="Q4" s="2843"/>
      <c r="R4" s="2843"/>
      <c r="S4" s="2843"/>
    </row>
    <row r="5" spans="1:19" ht="33.75" customHeight="1">
      <c r="B5" s="2843"/>
      <c r="C5" s="2843"/>
      <c r="D5" s="2843"/>
      <c r="E5" s="2843"/>
      <c r="F5" s="2843"/>
      <c r="G5" s="2843"/>
      <c r="H5" s="2843"/>
      <c r="I5" s="2843"/>
      <c r="J5" s="2843"/>
      <c r="K5" s="2843"/>
      <c r="L5" s="2843"/>
      <c r="M5" s="2843"/>
      <c r="N5" s="2843"/>
      <c r="O5" s="2843"/>
      <c r="P5" s="2843"/>
      <c r="Q5" s="2843"/>
      <c r="R5" s="2843"/>
      <c r="S5" s="2843"/>
    </row>
    <row r="6" spans="1:19">
      <c r="D6" s="1954"/>
      <c r="E6" s="1954"/>
    </row>
    <row r="7" spans="1:19">
      <c r="D7" s="1954"/>
      <c r="E7" s="1954"/>
    </row>
    <row r="8" spans="1:19">
      <c r="D8" s="1954"/>
      <c r="E8" s="1954"/>
    </row>
    <row r="9" spans="1:19">
      <c r="D9" s="1954"/>
      <c r="E9" s="1954"/>
    </row>
    <row r="10" spans="1:19" ht="20.6">
      <c r="A10" s="461" t="s">
        <v>822</v>
      </c>
    </row>
    <row r="11" spans="1:19">
      <c r="B11" s="1" t="s">
        <v>773</v>
      </c>
      <c r="C11" s="1" t="s">
        <v>772</v>
      </c>
      <c r="D11" s="81" t="s">
        <v>771</v>
      </c>
      <c r="E11" s="81" t="s">
        <v>770</v>
      </c>
      <c r="F11" s="1" t="s">
        <v>769</v>
      </c>
      <c r="G11" s="1" t="s">
        <v>768</v>
      </c>
    </row>
    <row r="12" spans="1:19">
      <c r="B12" t="s">
        <v>821</v>
      </c>
      <c r="C12" t="s">
        <v>816</v>
      </c>
      <c r="D12" s="8">
        <v>856</v>
      </c>
      <c r="E12" s="8">
        <v>650</v>
      </c>
      <c r="F12" t="s">
        <v>820</v>
      </c>
      <c r="G12" s="67">
        <f t="shared" ref="G12:G50" si="0">D12/E12</f>
        <v>1.3169230769230769</v>
      </c>
    </row>
    <row r="13" spans="1:19">
      <c r="B13" t="s">
        <v>816</v>
      </c>
      <c r="C13" t="s">
        <v>813</v>
      </c>
      <c r="D13" s="8">
        <v>169</v>
      </c>
      <c r="E13" s="8">
        <v>112.35</v>
      </c>
      <c r="F13" t="s">
        <v>762</v>
      </c>
      <c r="G13" s="67">
        <f t="shared" si="0"/>
        <v>1.5042278593680463</v>
      </c>
      <c r="J13" s="330" t="s">
        <v>777</v>
      </c>
      <c r="K13" s="330" t="s">
        <v>776</v>
      </c>
      <c r="L13" s="330" t="s">
        <v>775</v>
      </c>
      <c r="M13" s="330" t="s">
        <v>774</v>
      </c>
    </row>
    <row r="14" spans="1:19">
      <c r="B14" t="s">
        <v>816</v>
      </c>
      <c r="C14" t="s">
        <v>810</v>
      </c>
      <c r="D14" s="8">
        <v>399</v>
      </c>
      <c r="E14" s="8">
        <v>257</v>
      </c>
      <c r="F14" t="s">
        <v>762</v>
      </c>
      <c r="G14" s="67">
        <f t="shared" si="0"/>
        <v>1.5525291828793775</v>
      </c>
      <c r="J14" s="778" t="s">
        <v>819</v>
      </c>
      <c r="K14" s="2">
        <f>D12</f>
        <v>856</v>
      </c>
      <c r="L14" s="2">
        <f>E12</f>
        <v>650</v>
      </c>
      <c r="M14" s="1906">
        <f>K14/L14</f>
        <v>1.3169230769230769</v>
      </c>
    </row>
    <row r="15" spans="1:19">
      <c r="B15" t="s">
        <v>816</v>
      </c>
      <c r="C15" t="s">
        <v>807</v>
      </c>
      <c r="D15" s="8">
        <v>169</v>
      </c>
      <c r="E15" s="8">
        <v>154</v>
      </c>
      <c r="F15" t="s">
        <v>762</v>
      </c>
      <c r="G15" s="67">
        <f t="shared" si="0"/>
        <v>1.0974025974025974</v>
      </c>
      <c r="J15" s="778" t="s">
        <v>818</v>
      </c>
      <c r="K15" s="2">
        <f>SUM(D13:D24)</f>
        <v>2808</v>
      </c>
      <c r="L15" s="2">
        <f>SUM(E13:E24)</f>
        <v>1854.35</v>
      </c>
      <c r="M15" s="1906">
        <f>K15/L15</f>
        <v>1.5142772400032356</v>
      </c>
    </row>
    <row r="16" spans="1:19">
      <c r="B16" t="s">
        <v>816</v>
      </c>
      <c r="C16" t="s">
        <v>804</v>
      </c>
      <c r="D16" s="8">
        <v>204</v>
      </c>
      <c r="E16" s="8">
        <v>162</v>
      </c>
      <c r="F16" t="s">
        <v>762</v>
      </c>
      <c r="G16" s="67">
        <f t="shared" si="0"/>
        <v>1.2592592592592593</v>
      </c>
      <c r="J16" s="778" t="s">
        <v>737</v>
      </c>
      <c r="K16" s="2">
        <f>SUM(D25:D50)</f>
        <v>2263.9</v>
      </c>
      <c r="L16" s="2">
        <f>SUM(E25:E50)</f>
        <v>1467.14</v>
      </c>
      <c r="M16" s="1906">
        <f>K16/L16</f>
        <v>1.5430701909838189</v>
      </c>
    </row>
    <row r="17" spans="2:13">
      <c r="B17" t="s">
        <v>816</v>
      </c>
      <c r="C17" t="s">
        <v>801</v>
      </c>
      <c r="D17" s="8">
        <v>214</v>
      </c>
      <c r="E17" s="8">
        <v>179</v>
      </c>
      <c r="F17" t="s">
        <v>762</v>
      </c>
      <c r="G17" s="67">
        <f t="shared" si="0"/>
        <v>1.1955307262569832</v>
      </c>
      <c r="J17" s="778" t="s">
        <v>473</v>
      </c>
      <c r="K17" s="1904">
        <f>SUM(D12:D50)</f>
        <v>5927.9000000000005</v>
      </c>
      <c r="L17" s="1904">
        <f>SUM(E12:E50)</f>
        <v>3971.4899999999993</v>
      </c>
      <c r="M17" s="1906">
        <f>K17/L17</f>
        <v>1.4926136034586519</v>
      </c>
    </row>
    <row r="18" spans="2:13">
      <c r="B18" t="s">
        <v>816</v>
      </c>
      <c r="C18" t="s">
        <v>798</v>
      </c>
      <c r="D18" s="8">
        <v>292</v>
      </c>
      <c r="E18" s="8">
        <v>102</v>
      </c>
      <c r="F18" t="s">
        <v>762</v>
      </c>
      <c r="G18" s="67">
        <f t="shared" si="0"/>
        <v>2.8627450980392157</v>
      </c>
    </row>
    <row r="19" spans="2:13">
      <c r="B19" t="s">
        <v>816</v>
      </c>
      <c r="C19" t="s">
        <v>795</v>
      </c>
      <c r="D19" s="8">
        <v>215</v>
      </c>
      <c r="E19" s="8">
        <v>158</v>
      </c>
      <c r="F19" t="s">
        <v>762</v>
      </c>
      <c r="G19" s="67">
        <f t="shared" si="0"/>
        <v>1.360759493670886</v>
      </c>
    </row>
    <row r="20" spans="2:13">
      <c r="B20" t="s">
        <v>816</v>
      </c>
      <c r="C20" t="s">
        <v>792</v>
      </c>
      <c r="D20" s="8">
        <v>211</v>
      </c>
      <c r="E20" s="8">
        <v>176</v>
      </c>
      <c r="F20" t="s">
        <v>762</v>
      </c>
      <c r="G20" s="67">
        <f t="shared" si="0"/>
        <v>1.1988636363636365</v>
      </c>
    </row>
    <row r="21" spans="2:13">
      <c r="B21" t="s">
        <v>816</v>
      </c>
      <c r="C21" t="s">
        <v>789</v>
      </c>
      <c r="D21" s="8">
        <v>160</v>
      </c>
      <c r="E21" s="8">
        <v>138</v>
      </c>
      <c r="F21" t="s">
        <v>762</v>
      </c>
      <c r="G21" s="67">
        <f t="shared" si="0"/>
        <v>1.1594202898550725</v>
      </c>
    </row>
    <row r="22" spans="2:13">
      <c r="B22" t="s">
        <v>816</v>
      </c>
      <c r="C22" t="s">
        <v>786</v>
      </c>
      <c r="D22" s="8">
        <v>544</v>
      </c>
      <c r="E22" s="8">
        <v>249</v>
      </c>
      <c r="F22" t="s">
        <v>762</v>
      </c>
      <c r="G22" s="67">
        <f t="shared" si="0"/>
        <v>2.1847389558232932</v>
      </c>
    </row>
    <row r="23" spans="2:13">
      <c r="B23" t="s">
        <v>816</v>
      </c>
      <c r="C23" t="s">
        <v>783</v>
      </c>
      <c r="D23" s="8">
        <v>27</v>
      </c>
      <c r="E23" s="8">
        <v>20</v>
      </c>
      <c r="F23" t="s">
        <v>762</v>
      </c>
      <c r="G23" s="67">
        <f t="shared" si="0"/>
        <v>1.35</v>
      </c>
    </row>
    <row r="24" spans="2:13">
      <c r="B24" t="s">
        <v>816</v>
      </c>
      <c r="C24" t="s">
        <v>780</v>
      </c>
      <c r="D24" s="8">
        <v>204</v>
      </c>
      <c r="E24" s="8">
        <v>147</v>
      </c>
      <c r="F24" t="s">
        <v>762</v>
      </c>
      <c r="G24" s="67">
        <f t="shared" si="0"/>
        <v>1.3877551020408163</v>
      </c>
    </row>
    <row r="25" spans="2:13">
      <c r="B25" t="s">
        <v>816</v>
      </c>
      <c r="C25" t="s">
        <v>817</v>
      </c>
      <c r="D25" s="8">
        <v>71.900000000000006</v>
      </c>
      <c r="E25" s="8">
        <v>53.6</v>
      </c>
      <c r="F25" t="s">
        <v>737</v>
      </c>
      <c r="G25" s="67">
        <f t="shared" si="0"/>
        <v>1.3414179104477613</v>
      </c>
    </row>
    <row r="26" spans="2:13">
      <c r="B26" t="s">
        <v>816</v>
      </c>
      <c r="C26" t="s">
        <v>815</v>
      </c>
      <c r="D26" s="8">
        <v>24.6</v>
      </c>
      <c r="E26" s="8">
        <v>20</v>
      </c>
      <c r="F26" t="s">
        <v>737</v>
      </c>
      <c r="G26" s="67">
        <f t="shared" si="0"/>
        <v>1.23</v>
      </c>
    </row>
    <row r="27" spans="2:13">
      <c r="B27" t="s">
        <v>813</v>
      </c>
      <c r="C27" t="s">
        <v>814</v>
      </c>
      <c r="D27" s="8">
        <v>113</v>
      </c>
      <c r="E27" s="8">
        <v>66.040000000000006</v>
      </c>
      <c r="F27" t="s">
        <v>737</v>
      </c>
      <c r="G27" s="67">
        <f t="shared" si="0"/>
        <v>1.7110841913991519</v>
      </c>
    </row>
    <row r="28" spans="2:13">
      <c r="B28" t="s">
        <v>813</v>
      </c>
      <c r="C28" t="s">
        <v>812</v>
      </c>
      <c r="D28" s="8">
        <v>92.1</v>
      </c>
      <c r="E28" s="8">
        <v>79.7</v>
      </c>
      <c r="F28" t="s">
        <v>737</v>
      </c>
      <c r="G28" s="67">
        <f t="shared" si="0"/>
        <v>1.1555834378920953</v>
      </c>
    </row>
    <row r="29" spans="2:13">
      <c r="B29" t="s">
        <v>810</v>
      </c>
      <c r="C29" t="s">
        <v>811</v>
      </c>
      <c r="D29" s="8">
        <v>118</v>
      </c>
      <c r="E29" s="8">
        <v>90</v>
      </c>
      <c r="F29" t="s">
        <v>737</v>
      </c>
      <c r="G29" s="67">
        <f t="shared" si="0"/>
        <v>1.3111111111111111</v>
      </c>
    </row>
    <row r="30" spans="2:13">
      <c r="B30" t="s">
        <v>810</v>
      </c>
      <c r="C30" t="s">
        <v>809</v>
      </c>
      <c r="D30" s="8">
        <v>156</v>
      </c>
      <c r="E30" s="8">
        <v>36</v>
      </c>
      <c r="F30" t="s">
        <v>737</v>
      </c>
      <c r="G30" s="67">
        <f t="shared" si="0"/>
        <v>4.333333333333333</v>
      </c>
    </row>
    <row r="31" spans="2:13">
      <c r="B31" t="s">
        <v>807</v>
      </c>
      <c r="C31" t="s">
        <v>808</v>
      </c>
      <c r="D31" s="8">
        <v>94</v>
      </c>
      <c r="E31" s="8">
        <v>69</v>
      </c>
      <c r="F31" t="s">
        <v>737</v>
      </c>
      <c r="G31" s="67">
        <f t="shared" si="0"/>
        <v>1.3623188405797102</v>
      </c>
    </row>
    <row r="32" spans="2:13">
      <c r="B32" t="s">
        <v>807</v>
      </c>
      <c r="C32" t="s">
        <v>806</v>
      </c>
      <c r="D32" s="8">
        <v>64.599999999999994</v>
      </c>
      <c r="E32" s="8">
        <v>59.4</v>
      </c>
      <c r="F32" t="s">
        <v>737</v>
      </c>
      <c r="G32" s="67">
        <f t="shared" si="0"/>
        <v>1.0875420875420874</v>
      </c>
    </row>
    <row r="33" spans="2:7">
      <c r="B33" t="s">
        <v>804</v>
      </c>
      <c r="C33" t="s">
        <v>805</v>
      </c>
      <c r="D33" s="8">
        <v>121</v>
      </c>
      <c r="E33" s="8">
        <v>61</v>
      </c>
      <c r="F33" t="s">
        <v>737</v>
      </c>
      <c r="G33" s="67">
        <f t="shared" si="0"/>
        <v>1.9836065573770492</v>
      </c>
    </row>
    <row r="34" spans="2:7">
      <c r="B34" t="s">
        <v>804</v>
      </c>
      <c r="C34" t="s">
        <v>803</v>
      </c>
      <c r="D34" s="8">
        <v>67</v>
      </c>
      <c r="E34" s="8">
        <v>29</v>
      </c>
      <c r="F34" t="s">
        <v>737</v>
      </c>
      <c r="G34" s="67">
        <f t="shared" si="0"/>
        <v>2.3103448275862069</v>
      </c>
    </row>
    <row r="35" spans="2:7">
      <c r="B35" t="s">
        <v>801</v>
      </c>
      <c r="C35" t="s">
        <v>802</v>
      </c>
      <c r="D35" s="8">
        <v>114</v>
      </c>
      <c r="E35" s="8">
        <v>91</v>
      </c>
      <c r="F35" t="s">
        <v>737</v>
      </c>
      <c r="G35" s="67">
        <f t="shared" si="0"/>
        <v>1.2527472527472527</v>
      </c>
    </row>
    <row r="36" spans="2:7">
      <c r="B36" t="s">
        <v>801</v>
      </c>
      <c r="C36" t="s">
        <v>800</v>
      </c>
      <c r="D36" s="8">
        <v>148</v>
      </c>
      <c r="E36" s="8">
        <v>87</v>
      </c>
      <c r="F36" t="s">
        <v>737</v>
      </c>
      <c r="G36" s="67">
        <f t="shared" si="0"/>
        <v>1.7011494252873562</v>
      </c>
    </row>
    <row r="37" spans="2:7">
      <c r="B37" t="s">
        <v>798</v>
      </c>
      <c r="C37" t="s">
        <v>799</v>
      </c>
      <c r="D37" s="8">
        <v>105</v>
      </c>
      <c r="E37" s="8">
        <v>81</v>
      </c>
      <c r="F37" t="s">
        <v>737</v>
      </c>
      <c r="G37" s="67">
        <f t="shared" si="0"/>
        <v>1.2962962962962963</v>
      </c>
    </row>
    <row r="38" spans="2:7">
      <c r="B38" t="s">
        <v>798</v>
      </c>
      <c r="C38" t="s">
        <v>797</v>
      </c>
      <c r="D38" s="8">
        <v>68</v>
      </c>
      <c r="E38" s="8">
        <v>58</v>
      </c>
      <c r="F38" t="s">
        <v>737</v>
      </c>
      <c r="G38" s="67">
        <f t="shared" si="0"/>
        <v>1.1724137931034482</v>
      </c>
    </row>
    <row r="39" spans="2:7">
      <c r="B39" t="s">
        <v>795</v>
      </c>
      <c r="C39" t="s">
        <v>796</v>
      </c>
      <c r="D39" s="8">
        <v>11.9</v>
      </c>
      <c r="E39" s="8">
        <v>8.6999999999999993</v>
      </c>
      <c r="F39" t="s">
        <v>737</v>
      </c>
      <c r="G39" s="67">
        <f t="shared" si="0"/>
        <v>1.3678160919540232</v>
      </c>
    </row>
    <row r="40" spans="2:7">
      <c r="B40" t="s">
        <v>795</v>
      </c>
      <c r="C40" t="s">
        <v>794</v>
      </c>
      <c r="D40" s="8">
        <v>59.5</v>
      </c>
      <c r="E40" s="8">
        <v>42</v>
      </c>
      <c r="F40" t="s">
        <v>737</v>
      </c>
      <c r="G40" s="67">
        <f t="shared" si="0"/>
        <v>1.4166666666666667</v>
      </c>
    </row>
    <row r="41" spans="2:7">
      <c r="B41" t="s">
        <v>792</v>
      </c>
      <c r="C41" t="s">
        <v>793</v>
      </c>
      <c r="D41" s="8">
        <v>72</v>
      </c>
      <c r="E41" s="8">
        <v>48</v>
      </c>
      <c r="F41" t="s">
        <v>737</v>
      </c>
      <c r="G41" s="67">
        <f t="shared" si="0"/>
        <v>1.5</v>
      </c>
    </row>
    <row r="42" spans="2:7">
      <c r="B42" t="s">
        <v>792</v>
      </c>
      <c r="C42" t="s">
        <v>791</v>
      </c>
      <c r="D42" s="8">
        <v>30.3</v>
      </c>
      <c r="E42" s="8">
        <v>22.7</v>
      </c>
      <c r="F42" t="s">
        <v>737</v>
      </c>
      <c r="G42" s="67">
        <f t="shared" si="0"/>
        <v>1.3348017621145376</v>
      </c>
    </row>
    <row r="43" spans="2:7">
      <c r="B43" t="s">
        <v>789</v>
      </c>
      <c r="C43" t="s">
        <v>790</v>
      </c>
      <c r="D43" s="8">
        <v>225</v>
      </c>
      <c r="E43" s="8">
        <v>128</v>
      </c>
      <c r="F43" t="s">
        <v>737</v>
      </c>
      <c r="G43" s="67">
        <f t="shared" si="0"/>
        <v>1.7578125</v>
      </c>
    </row>
    <row r="44" spans="2:7">
      <c r="B44" t="s">
        <v>789</v>
      </c>
      <c r="C44" t="s">
        <v>788</v>
      </c>
      <c r="D44" s="8">
        <v>74</v>
      </c>
      <c r="E44" s="8">
        <v>68</v>
      </c>
      <c r="F44" t="s">
        <v>737</v>
      </c>
      <c r="G44" s="67">
        <f t="shared" si="0"/>
        <v>1.088235294117647</v>
      </c>
    </row>
    <row r="45" spans="2:7">
      <c r="B45" t="s">
        <v>786</v>
      </c>
      <c r="C45" t="s">
        <v>787</v>
      </c>
      <c r="D45" s="8">
        <v>129</v>
      </c>
      <c r="E45" s="8">
        <v>64</v>
      </c>
      <c r="F45" t="s">
        <v>737</v>
      </c>
      <c r="G45" s="67">
        <f t="shared" si="0"/>
        <v>2.015625</v>
      </c>
    </row>
    <row r="46" spans="2:7">
      <c r="B46" t="s">
        <v>786</v>
      </c>
      <c r="C46" t="s">
        <v>785</v>
      </c>
      <c r="D46" s="8">
        <v>59</v>
      </c>
      <c r="E46" s="8">
        <v>49</v>
      </c>
      <c r="F46" t="s">
        <v>737</v>
      </c>
      <c r="G46" s="67">
        <f t="shared" si="0"/>
        <v>1.2040816326530612</v>
      </c>
    </row>
    <row r="47" spans="2:7">
      <c r="B47" t="s">
        <v>783</v>
      </c>
      <c r="C47" t="s">
        <v>784</v>
      </c>
      <c r="D47" s="8">
        <v>63</v>
      </c>
      <c r="E47" s="8">
        <v>38</v>
      </c>
      <c r="F47" t="s">
        <v>737</v>
      </c>
      <c r="G47" s="67">
        <f t="shared" si="0"/>
        <v>1.6578947368421053</v>
      </c>
    </row>
    <row r="48" spans="2:7">
      <c r="B48" t="s">
        <v>783</v>
      </c>
      <c r="C48" t="s">
        <v>782</v>
      </c>
      <c r="D48" s="8">
        <v>113</v>
      </c>
      <c r="E48" s="8">
        <v>80</v>
      </c>
      <c r="F48" t="s">
        <v>737</v>
      </c>
      <c r="G48" s="67">
        <f t="shared" si="0"/>
        <v>1.4125000000000001</v>
      </c>
    </row>
    <row r="49" spans="1:13">
      <c r="B49" t="s">
        <v>780</v>
      </c>
      <c r="C49" t="s">
        <v>781</v>
      </c>
      <c r="D49" s="8">
        <v>39</v>
      </c>
      <c r="E49" s="8">
        <v>17</v>
      </c>
      <c r="F49" t="s">
        <v>737</v>
      </c>
      <c r="G49" s="67">
        <f t="shared" si="0"/>
        <v>2.2941176470588234</v>
      </c>
    </row>
    <row r="50" spans="1:13">
      <c r="B50" t="s">
        <v>780</v>
      </c>
      <c r="C50" t="s">
        <v>779</v>
      </c>
      <c r="D50" s="8">
        <v>31</v>
      </c>
      <c r="E50" s="8">
        <v>21</v>
      </c>
      <c r="F50" t="s">
        <v>737</v>
      </c>
      <c r="G50" s="67">
        <f t="shared" si="0"/>
        <v>1.4761904761904763</v>
      </c>
    </row>
    <row r="53" spans="1:13" ht="20.6">
      <c r="A53" s="461" t="s">
        <v>778</v>
      </c>
      <c r="J53" s="330" t="s">
        <v>777</v>
      </c>
      <c r="K53" s="330" t="s">
        <v>776</v>
      </c>
      <c r="L53" s="330" t="s">
        <v>775</v>
      </c>
      <c r="M53" s="330" t="s">
        <v>774</v>
      </c>
    </row>
    <row r="54" spans="1:13">
      <c r="B54" s="1" t="s">
        <v>773</v>
      </c>
      <c r="C54" s="1" t="s">
        <v>772</v>
      </c>
      <c r="D54" s="81" t="s">
        <v>771</v>
      </c>
      <c r="E54" s="81" t="s">
        <v>770</v>
      </c>
      <c r="F54" s="1" t="s">
        <v>769</v>
      </c>
      <c r="G54" s="1" t="s">
        <v>768</v>
      </c>
      <c r="J54" s="2" t="s">
        <v>767</v>
      </c>
      <c r="K54" s="2">
        <v>289</v>
      </c>
      <c r="L54" s="2">
        <v>214</v>
      </c>
      <c r="M54" s="1906">
        <f>G55</f>
        <v>1.3504672897196262</v>
      </c>
    </row>
    <row r="55" spans="1:13">
      <c r="B55" t="s">
        <v>766</v>
      </c>
      <c r="C55" t="s">
        <v>763</v>
      </c>
      <c r="D55" s="8">
        <v>289</v>
      </c>
      <c r="E55" s="8">
        <v>214</v>
      </c>
      <c r="F55" t="s">
        <v>765</v>
      </c>
      <c r="G55" s="79">
        <f t="shared" ref="G55:G79" si="1">D55/E55</f>
        <v>1.3504672897196262</v>
      </c>
      <c r="J55" s="2" t="s">
        <v>764</v>
      </c>
      <c r="K55" s="2">
        <f>SUM(D56:D61)</f>
        <v>834.8</v>
      </c>
      <c r="L55" s="2">
        <f>SUM(E56:E61)</f>
        <v>591.69000000000005</v>
      </c>
      <c r="M55" s="1906">
        <f>K55/L55</f>
        <v>1.4108739373658501</v>
      </c>
    </row>
    <row r="56" spans="1:13">
      <c r="B56" t="s">
        <v>763</v>
      </c>
      <c r="C56" t="s">
        <v>759</v>
      </c>
      <c r="D56" s="8">
        <v>195</v>
      </c>
      <c r="E56" s="8">
        <v>132</v>
      </c>
      <c r="F56" t="s">
        <v>762</v>
      </c>
      <c r="G56" s="79">
        <f t="shared" si="1"/>
        <v>1.4772727272727273</v>
      </c>
      <c r="J56" s="2" t="s">
        <v>737</v>
      </c>
      <c r="K56" s="2">
        <f>SUM(D62:D79)</f>
        <v>1465.8</v>
      </c>
      <c r="L56" s="2">
        <f>SUM(E62:E79)</f>
        <v>933.99999999999977</v>
      </c>
      <c r="M56" s="1906">
        <f>K56/L56</f>
        <v>1.5693790149892937</v>
      </c>
    </row>
    <row r="57" spans="1:13">
      <c r="B57" t="s">
        <v>763</v>
      </c>
      <c r="C57" t="s">
        <v>755</v>
      </c>
      <c r="D57" s="8">
        <v>144</v>
      </c>
      <c r="E57" s="8">
        <v>94</v>
      </c>
      <c r="F57" t="s">
        <v>762</v>
      </c>
      <c r="G57" s="79">
        <f t="shared" si="1"/>
        <v>1.5319148936170213</v>
      </c>
      <c r="J57" s="1905" t="s">
        <v>473</v>
      </c>
      <c r="K57" s="1904">
        <f>SUM(K55:K56)</f>
        <v>2300.6</v>
      </c>
      <c r="L57" s="1904">
        <f>SUM(L55:L56)</f>
        <v>1525.6899999999998</v>
      </c>
      <c r="M57" s="1906">
        <f>K57/L57</f>
        <v>1.5079078974103521</v>
      </c>
    </row>
    <row r="58" spans="1:13">
      <c r="B58" t="s">
        <v>763</v>
      </c>
      <c r="C58" t="s">
        <v>751</v>
      </c>
      <c r="D58" s="8">
        <v>188</v>
      </c>
      <c r="E58" s="8">
        <v>135</v>
      </c>
      <c r="F58" t="s">
        <v>762</v>
      </c>
      <c r="G58" s="79">
        <f t="shared" si="1"/>
        <v>1.3925925925925926</v>
      </c>
    </row>
    <row r="59" spans="1:13">
      <c r="B59" t="s">
        <v>763</v>
      </c>
      <c r="C59" t="s">
        <v>747</v>
      </c>
      <c r="D59" s="8">
        <v>141</v>
      </c>
      <c r="E59" s="8">
        <v>106</v>
      </c>
      <c r="F59" t="s">
        <v>762</v>
      </c>
      <c r="G59" s="79">
        <f t="shared" si="1"/>
        <v>1.3301886792452831</v>
      </c>
    </row>
    <row r="60" spans="1:13">
      <c r="B60" t="s">
        <v>763</v>
      </c>
      <c r="C60" t="s">
        <v>743</v>
      </c>
      <c r="D60" s="8">
        <v>57.8</v>
      </c>
      <c r="E60" s="8">
        <v>40</v>
      </c>
      <c r="F60" t="s">
        <v>762</v>
      </c>
      <c r="G60" s="79">
        <f t="shared" si="1"/>
        <v>1.4449999999999998</v>
      </c>
    </row>
    <row r="61" spans="1:13">
      <c r="B61" t="s">
        <v>763</v>
      </c>
      <c r="C61" t="s">
        <v>739</v>
      </c>
      <c r="D61" s="8">
        <v>109</v>
      </c>
      <c r="E61" s="8">
        <v>84.69</v>
      </c>
      <c r="F61" t="s">
        <v>762</v>
      </c>
      <c r="G61" s="79">
        <f t="shared" si="1"/>
        <v>1.2870468768449641</v>
      </c>
    </row>
    <row r="62" spans="1:13">
      <c r="B62" t="s">
        <v>759</v>
      </c>
      <c r="C62" t="s">
        <v>761</v>
      </c>
      <c r="D62" s="8">
        <v>63.8</v>
      </c>
      <c r="E62" s="8">
        <v>45.7</v>
      </c>
      <c r="F62" t="s">
        <v>737</v>
      </c>
      <c r="G62" s="79">
        <f t="shared" si="1"/>
        <v>1.3960612691466081</v>
      </c>
    </row>
    <row r="63" spans="1:13">
      <c r="B63" t="s">
        <v>759</v>
      </c>
      <c r="C63" t="s">
        <v>760</v>
      </c>
      <c r="D63" s="8">
        <v>129</v>
      </c>
      <c r="E63" s="8">
        <v>86.5</v>
      </c>
      <c r="F63" t="s">
        <v>737</v>
      </c>
      <c r="G63" s="79">
        <f t="shared" si="1"/>
        <v>1.4913294797687862</v>
      </c>
    </row>
    <row r="64" spans="1:13">
      <c r="B64" t="s">
        <v>759</v>
      </c>
      <c r="C64" t="s">
        <v>758</v>
      </c>
      <c r="D64" s="8">
        <v>48</v>
      </c>
      <c r="E64" s="8">
        <v>36</v>
      </c>
      <c r="F64" t="s">
        <v>737</v>
      </c>
      <c r="G64" s="79">
        <f t="shared" si="1"/>
        <v>1.3333333333333333</v>
      </c>
    </row>
    <row r="65" spans="2:7">
      <c r="B65" t="s">
        <v>755</v>
      </c>
      <c r="C65" t="s">
        <v>757</v>
      </c>
      <c r="D65" s="8">
        <v>47</v>
      </c>
      <c r="E65" s="8">
        <v>25</v>
      </c>
      <c r="F65" t="s">
        <v>737</v>
      </c>
      <c r="G65" s="79">
        <f t="shared" si="1"/>
        <v>1.88</v>
      </c>
    </row>
    <row r="66" spans="2:7">
      <c r="B66" t="s">
        <v>755</v>
      </c>
      <c r="C66" t="s">
        <v>756</v>
      </c>
      <c r="D66" s="8">
        <v>68.900000000000006</v>
      </c>
      <c r="E66" s="8">
        <v>46.6</v>
      </c>
      <c r="F66" t="s">
        <v>737</v>
      </c>
      <c r="G66" s="79">
        <f t="shared" si="1"/>
        <v>1.4785407725321889</v>
      </c>
    </row>
    <row r="67" spans="2:7">
      <c r="B67" t="s">
        <v>755</v>
      </c>
      <c r="C67" t="s">
        <v>754</v>
      </c>
      <c r="D67" s="8">
        <v>64.2</v>
      </c>
      <c r="E67" s="8">
        <v>36</v>
      </c>
      <c r="F67" t="s">
        <v>737</v>
      </c>
      <c r="G67" s="79">
        <f t="shared" si="1"/>
        <v>1.7833333333333334</v>
      </c>
    </row>
    <row r="68" spans="2:7">
      <c r="B68" t="s">
        <v>751</v>
      </c>
      <c r="C68" t="s">
        <v>753</v>
      </c>
      <c r="D68" s="8">
        <v>167</v>
      </c>
      <c r="E68" s="8">
        <v>104</v>
      </c>
      <c r="F68" t="s">
        <v>737</v>
      </c>
      <c r="G68" s="79">
        <f t="shared" si="1"/>
        <v>1.6057692307692308</v>
      </c>
    </row>
    <row r="69" spans="2:7">
      <c r="B69" t="s">
        <v>751</v>
      </c>
      <c r="C69" t="s">
        <v>752</v>
      </c>
      <c r="D69" s="8">
        <v>95</v>
      </c>
      <c r="E69" s="8">
        <v>47</v>
      </c>
      <c r="F69" t="s">
        <v>737</v>
      </c>
      <c r="G69" s="79">
        <f t="shared" si="1"/>
        <v>2.021276595744681</v>
      </c>
    </row>
    <row r="70" spans="2:7">
      <c r="B70" t="s">
        <v>751</v>
      </c>
      <c r="C70" t="s">
        <v>750</v>
      </c>
      <c r="D70" s="8">
        <v>59</v>
      </c>
      <c r="E70" s="8">
        <v>29</v>
      </c>
      <c r="F70" t="s">
        <v>737</v>
      </c>
      <c r="G70" s="79">
        <f t="shared" si="1"/>
        <v>2.0344827586206895</v>
      </c>
    </row>
    <row r="71" spans="2:7">
      <c r="B71" t="s">
        <v>747</v>
      </c>
      <c r="C71" t="s">
        <v>749</v>
      </c>
      <c r="D71" s="8">
        <v>28.6</v>
      </c>
      <c r="E71" s="8">
        <v>23</v>
      </c>
      <c r="F71" t="s">
        <v>737</v>
      </c>
      <c r="G71" s="79">
        <f t="shared" si="1"/>
        <v>1.2434782608695654</v>
      </c>
    </row>
    <row r="72" spans="2:7">
      <c r="B72" t="s">
        <v>747</v>
      </c>
      <c r="C72" t="s">
        <v>748</v>
      </c>
      <c r="D72" s="8">
        <v>51.1</v>
      </c>
      <c r="E72" s="8">
        <v>37.799999999999997</v>
      </c>
      <c r="F72" t="s">
        <v>737</v>
      </c>
      <c r="G72" s="79">
        <f t="shared" si="1"/>
        <v>1.3518518518518521</v>
      </c>
    </row>
    <row r="73" spans="2:7">
      <c r="B73" t="s">
        <v>747</v>
      </c>
      <c r="C73" t="s">
        <v>746</v>
      </c>
      <c r="D73" s="8">
        <v>175</v>
      </c>
      <c r="E73" s="8">
        <v>125</v>
      </c>
      <c r="F73" t="s">
        <v>737</v>
      </c>
      <c r="G73" s="79">
        <f t="shared" si="1"/>
        <v>1.4</v>
      </c>
    </row>
    <row r="74" spans="2:7">
      <c r="B74" t="s">
        <v>743</v>
      </c>
      <c r="C74" t="s">
        <v>745</v>
      </c>
      <c r="D74" s="8">
        <v>23.4</v>
      </c>
      <c r="E74" s="8">
        <v>15.8</v>
      </c>
      <c r="F74" t="s">
        <v>737</v>
      </c>
      <c r="G74" s="79">
        <f t="shared" si="1"/>
        <v>1.481012658227848</v>
      </c>
    </row>
    <row r="75" spans="2:7">
      <c r="B75" t="s">
        <v>743</v>
      </c>
      <c r="C75" t="s">
        <v>744</v>
      </c>
      <c r="D75" s="8">
        <v>82.7</v>
      </c>
      <c r="E75" s="8">
        <v>52.8</v>
      </c>
      <c r="F75" t="s">
        <v>737</v>
      </c>
      <c r="G75" s="79">
        <f t="shared" si="1"/>
        <v>1.5662878787878789</v>
      </c>
    </row>
    <row r="76" spans="2:7">
      <c r="B76" t="s">
        <v>743</v>
      </c>
      <c r="C76" t="s">
        <v>742</v>
      </c>
      <c r="D76" s="8">
        <v>74.099999999999994</v>
      </c>
      <c r="E76" s="8">
        <v>36.799999999999997</v>
      </c>
      <c r="F76" t="s">
        <v>737</v>
      </c>
      <c r="G76" s="79">
        <f t="shared" si="1"/>
        <v>2.0135869565217392</v>
      </c>
    </row>
    <row r="77" spans="2:7">
      <c r="B77" t="s">
        <v>739</v>
      </c>
      <c r="C77" t="s">
        <v>741</v>
      </c>
      <c r="D77" s="8">
        <v>55</v>
      </c>
      <c r="E77" s="8">
        <v>37</v>
      </c>
      <c r="F77" t="s">
        <v>737</v>
      </c>
      <c r="G77" s="79">
        <f t="shared" si="1"/>
        <v>1.4864864864864864</v>
      </c>
    </row>
    <row r="78" spans="2:7">
      <c r="B78" t="s">
        <v>739</v>
      </c>
      <c r="C78" t="s">
        <v>740</v>
      </c>
      <c r="D78" s="8">
        <v>134</v>
      </c>
      <c r="E78" s="8">
        <v>66</v>
      </c>
      <c r="F78" t="s">
        <v>737</v>
      </c>
      <c r="G78" s="79">
        <f t="shared" si="1"/>
        <v>2.0303030303030303</v>
      </c>
    </row>
    <row r="79" spans="2:7">
      <c r="B79" t="s">
        <v>739</v>
      </c>
      <c r="C79" t="s">
        <v>738</v>
      </c>
      <c r="D79" s="8">
        <v>100</v>
      </c>
      <c r="E79" s="8">
        <v>84</v>
      </c>
      <c r="F79" t="s">
        <v>737</v>
      </c>
      <c r="G79" s="79">
        <f t="shared" si="1"/>
        <v>1.1904761904761905</v>
      </c>
    </row>
    <row r="83" spans="1:13" ht="20.6">
      <c r="A83" s="461" t="s">
        <v>1614</v>
      </c>
    </row>
    <row r="84" spans="1:13" ht="18.45">
      <c r="A84" s="277"/>
      <c r="B84" s="1" t="s">
        <v>773</v>
      </c>
      <c r="C84" s="1" t="s">
        <v>772</v>
      </c>
      <c r="D84" s="81" t="s">
        <v>771</v>
      </c>
      <c r="E84" s="81" t="s">
        <v>770</v>
      </c>
      <c r="F84" s="1" t="s">
        <v>769</v>
      </c>
      <c r="G84" s="1" t="s">
        <v>768</v>
      </c>
      <c r="J84" s="330" t="s">
        <v>777</v>
      </c>
      <c r="K84" s="330" t="s">
        <v>776</v>
      </c>
      <c r="L84" s="330" t="s">
        <v>775</v>
      </c>
      <c r="M84" s="330" t="s">
        <v>774</v>
      </c>
    </row>
    <row r="85" spans="1:13">
      <c r="B85" t="s">
        <v>5620</v>
      </c>
      <c r="C85" t="s">
        <v>2003</v>
      </c>
      <c r="D85" s="1954">
        <v>0</v>
      </c>
      <c r="E85" s="1954">
        <v>0</v>
      </c>
      <c r="F85" s="1954" t="s">
        <v>765</v>
      </c>
      <c r="G85" s="79">
        <v>0</v>
      </c>
      <c r="J85" s="2" t="s">
        <v>767</v>
      </c>
      <c r="K85" s="2">
        <f>SUM(D85:D98)</f>
        <v>2913.7</v>
      </c>
      <c r="L85" s="2">
        <f>SUM(E85:E98)</f>
        <v>2283.3000000000002</v>
      </c>
      <c r="M85" s="1906">
        <f>K85/L85</f>
        <v>1.2760916217755003</v>
      </c>
    </row>
    <row r="86" spans="1:13">
      <c r="B86" t="s">
        <v>5620</v>
      </c>
      <c r="C86" t="s">
        <v>5621</v>
      </c>
      <c r="D86" s="1954">
        <v>157</v>
      </c>
      <c r="E86" s="1954">
        <v>129.80000000000001</v>
      </c>
      <c r="F86" s="1954" t="s">
        <v>765</v>
      </c>
      <c r="G86" s="79">
        <f>D86/E86</f>
        <v>1.2095531587057009</v>
      </c>
    </row>
    <row r="87" spans="1:13">
      <c r="B87" t="s">
        <v>5620</v>
      </c>
      <c r="C87" t="s">
        <v>5622</v>
      </c>
      <c r="D87" s="1954">
        <v>148</v>
      </c>
      <c r="E87" s="1954">
        <v>118</v>
      </c>
      <c r="F87" s="1954" t="s">
        <v>765</v>
      </c>
      <c r="G87" s="79">
        <f t="shared" ref="G87:G88" si="2">D87/E87</f>
        <v>1.2542372881355932</v>
      </c>
    </row>
    <row r="88" spans="1:13">
      <c r="B88" t="s">
        <v>5620</v>
      </c>
      <c r="C88" t="s">
        <v>5623</v>
      </c>
      <c r="D88" s="1954">
        <v>200</v>
      </c>
      <c r="E88" s="1954">
        <v>160</v>
      </c>
      <c r="F88" s="1954" t="s">
        <v>765</v>
      </c>
      <c r="G88" s="79">
        <f t="shared" si="2"/>
        <v>1.25</v>
      </c>
    </row>
    <row r="89" spans="1:13">
      <c r="B89" t="s">
        <v>5620</v>
      </c>
      <c r="C89" t="s">
        <v>2004</v>
      </c>
      <c r="D89" s="1972" t="s">
        <v>5647</v>
      </c>
      <c r="E89" s="1972" t="s">
        <v>5647</v>
      </c>
      <c r="F89" s="1972" t="s">
        <v>5647</v>
      </c>
      <c r="G89" s="1972" t="s">
        <v>5647</v>
      </c>
    </row>
    <row r="90" spans="1:13">
      <c r="B90" t="s">
        <v>5620</v>
      </c>
      <c r="C90" t="s">
        <v>5624</v>
      </c>
      <c r="D90" s="1954">
        <v>441</v>
      </c>
      <c r="E90" s="1954">
        <v>334</v>
      </c>
      <c r="F90" s="1954" t="s">
        <v>765</v>
      </c>
      <c r="G90" s="79">
        <f>D90/E90</f>
        <v>1.3203592814371257</v>
      </c>
    </row>
    <row r="91" spans="1:13">
      <c r="B91" t="s">
        <v>5620</v>
      </c>
      <c r="C91" t="s">
        <v>2005</v>
      </c>
      <c r="D91" s="1972" t="s">
        <v>5647</v>
      </c>
      <c r="E91" s="1972" t="s">
        <v>5647</v>
      </c>
      <c r="F91" s="1972" t="s">
        <v>5647</v>
      </c>
      <c r="G91" s="1972" t="s">
        <v>5647</v>
      </c>
    </row>
    <row r="92" spans="1:13">
      <c r="B92" t="s">
        <v>5620</v>
      </c>
      <c r="C92" t="s">
        <v>5625</v>
      </c>
      <c r="D92" s="1954">
        <v>193</v>
      </c>
      <c r="E92" s="1954">
        <v>164</v>
      </c>
      <c r="F92" s="1954" t="s">
        <v>765</v>
      </c>
      <c r="G92" s="79">
        <f t="shared" ref="G92:G95" si="3">D92/E92</f>
        <v>1.1768292682926829</v>
      </c>
    </row>
    <row r="93" spans="1:13">
      <c r="B93" t="s">
        <v>5620</v>
      </c>
      <c r="C93" t="s">
        <v>5626</v>
      </c>
      <c r="D93" s="1954">
        <v>521</v>
      </c>
      <c r="E93" s="1954">
        <v>453</v>
      </c>
      <c r="F93" s="1954" t="s">
        <v>765</v>
      </c>
      <c r="G93" s="79">
        <f t="shared" si="3"/>
        <v>1.1501103752759383</v>
      </c>
    </row>
    <row r="94" spans="1:13">
      <c r="B94" t="s">
        <v>5620</v>
      </c>
      <c r="C94" t="s">
        <v>5627</v>
      </c>
      <c r="D94" s="1954">
        <v>262</v>
      </c>
      <c r="E94" s="1954">
        <v>179</v>
      </c>
      <c r="F94" s="1954" t="s">
        <v>765</v>
      </c>
      <c r="G94" s="79">
        <f t="shared" si="3"/>
        <v>1.4636871508379887</v>
      </c>
    </row>
    <row r="95" spans="1:13">
      <c r="B95" t="s">
        <v>5620</v>
      </c>
      <c r="C95" t="s">
        <v>5628</v>
      </c>
      <c r="D95" s="1954">
        <v>475</v>
      </c>
      <c r="E95" s="1954">
        <v>419</v>
      </c>
      <c r="F95" s="1954" t="s">
        <v>765</v>
      </c>
      <c r="G95" s="79">
        <f t="shared" si="3"/>
        <v>1.1336515513126493</v>
      </c>
    </row>
    <row r="96" spans="1:13">
      <c r="B96" t="s">
        <v>5620</v>
      </c>
      <c r="C96" t="s">
        <v>2006</v>
      </c>
      <c r="D96" s="1972" t="s">
        <v>5647</v>
      </c>
      <c r="E96" s="1972" t="s">
        <v>5647</v>
      </c>
      <c r="F96" s="1972" t="s">
        <v>5647</v>
      </c>
      <c r="G96" s="1972" t="s">
        <v>5647</v>
      </c>
    </row>
    <row r="97" spans="2:7">
      <c r="B97" t="s">
        <v>5620</v>
      </c>
      <c r="C97" t="s">
        <v>5629</v>
      </c>
      <c r="D97" s="1954">
        <v>66.7</v>
      </c>
      <c r="E97" s="1954">
        <v>55</v>
      </c>
      <c r="F97" s="1954" t="s">
        <v>765</v>
      </c>
      <c r="G97" s="79">
        <f t="shared" ref="G97:G98" si="4">D97/E97</f>
        <v>1.2127272727272729</v>
      </c>
    </row>
    <row r="98" spans="2:7">
      <c r="B98" t="s">
        <v>5620</v>
      </c>
      <c r="C98" t="s">
        <v>5630</v>
      </c>
      <c r="D98" s="1954">
        <v>450</v>
      </c>
      <c r="E98" s="1954">
        <v>271.5</v>
      </c>
      <c r="F98" s="1954" t="s">
        <v>765</v>
      </c>
      <c r="G98" s="79">
        <f t="shared" si="4"/>
        <v>1.6574585635359116</v>
      </c>
    </row>
  </sheetData>
  <sheetProtection algorithmName="SHA-512" hashValue="6EG4ipfLCHLLXSujE8pqBxKaCutadZdl30mUEYi7FwkgnlB80Ou5NDaMFQ4o/wErqSv+2pvfdCafLfCK6onHiA==" saltValue="1rb1SvuWJvaARJAd79wNBQ==" spinCount="100000" sheet="1" formatColumns="0" formatRows="0"/>
  <mergeCells count="1">
    <mergeCell ref="B1:S5"/>
  </mergeCells>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theme="0" tint="-0.14999847407452621"/>
  </sheetPr>
  <dimension ref="A1:AD132"/>
  <sheetViews>
    <sheetView showGridLines="0" topLeftCell="A6" zoomScale="85" zoomScaleNormal="85" workbookViewId="0"/>
  </sheetViews>
  <sheetFormatPr defaultColWidth="8.84375" defaultRowHeight="14.6"/>
  <cols>
    <col min="2" max="2" width="24.84375" customWidth="1"/>
    <col min="3" max="4" width="26.3828125" customWidth="1"/>
    <col min="5" max="5" width="24.53515625" customWidth="1"/>
    <col min="6" max="6" width="20.84375" customWidth="1"/>
    <col min="7" max="7" width="18.84375" customWidth="1"/>
    <col min="8" max="8" width="11.15234375" customWidth="1"/>
    <col min="9" max="11" width="9.3046875" customWidth="1"/>
    <col min="12" max="12" width="18.53515625" customWidth="1"/>
    <col min="13" max="13" width="16.3046875" customWidth="1"/>
    <col min="14" max="14" width="14.3046875" customWidth="1"/>
    <col min="15" max="15" width="11.15234375" customWidth="1"/>
    <col min="16" max="16" width="24.69140625" customWidth="1"/>
    <col min="17" max="17" width="28" customWidth="1"/>
    <col min="18" max="18" width="26.15234375" customWidth="1"/>
    <col min="19" max="19" width="15.3046875" customWidth="1"/>
    <col min="20" max="20" width="12.15234375" customWidth="1"/>
    <col min="21" max="21" width="23.84375" customWidth="1"/>
    <col min="30" max="30" width="13.15234375" customWidth="1"/>
  </cols>
  <sheetData>
    <row r="1" spans="1:30" ht="15" customHeight="1">
      <c r="B1" s="2843" t="s">
        <v>5800</v>
      </c>
      <c r="C1" s="2843"/>
      <c r="D1" s="2843"/>
      <c r="E1" s="2843"/>
      <c r="F1" s="2843"/>
      <c r="G1" s="1986"/>
      <c r="H1" s="1986"/>
      <c r="I1" s="1986"/>
      <c r="J1" s="1986"/>
      <c r="K1" s="1986"/>
      <c r="L1" s="1986"/>
      <c r="M1" s="1986"/>
    </row>
    <row r="2" spans="1:30">
      <c r="B2" s="2843"/>
      <c r="C2" s="2843"/>
      <c r="D2" s="2843"/>
      <c r="E2" s="2843"/>
      <c r="F2" s="2843"/>
      <c r="G2" s="1986"/>
      <c r="H2" s="1986"/>
      <c r="I2" s="1986"/>
      <c r="J2" s="1986"/>
      <c r="K2" s="1986"/>
      <c r="L2" s="1986"/>
      <c r="M2" s="1986"/>
    </row>
    <row r="3" spans="1:30">
      <c r="B3" s="2843"/>
      <c r="C3" s="2843"/>
      <c r="D3" s="2843"/>
      <c r="E3" s="2843"/>
      <c r="F3" s="2843"/>
      <c r="G3" s="1986"/>
      <c r="H3" s="1986"/>
      <c r="I3" s="1986"/>
      <c r="J3" s="1986"/>
      <c r="K3" s="1986"/>
      <c r="L3" s="1986"/>
      <c r="M3" s="1986"/>
    </row>
    <row r="4" spans="1:30" ht="30" customHeight="1">
      <c r="B4" s="2843"/>
      <c r="C4" s="2843"/>
      <c r="D4" s="2843"/>
      <c r="E4" s="2843"/>
      <c r="F4" s="2843"/>
      <c r="G4" s="1986"/>
      <c r="H4" s="1986"/>
      <c r="I4" s="1986"/>
      <c r="J4" s="1986"/>
      <c r="K4" s="1986"/>
      <c r="L4" s="1986"/>
      <c r="M4" s="1986"/>
    </row>
    <row r="5" spans="1:30" ht="21.75" customHeight="1">
      <c r="B5" s="2843"/>
      <c r="C5" s="2843"/>
      <c r="D5" s="2843"/>
      <c r="E5" s="2843"/>
      <c r="F5" s="2843"/>
    </row>
    <row r="9" spans="1:30" ht="20.6">
      <c r="A9" s="1974" t="s">
        <v>5681</v>
      </c>
    </row>
    <row r="10" spans="1:30" ht="33" customHeight="1">
      <c r="A10" s="2846" t="s">
        <v>5688</v>
      </c>
      <c r="B10" s="2846"/>
      <c r="C10" s="2846"/>
      <c r="D10" s="2846"/>
      <c r="E10" s="2846"/>
      <c r="F10" s="2846"/>
      <c r="G10" s="2846"/>
      <c r="I10" s="277"/>
      <c r="J10" s="277"/>
      <c r="K10" s="277"/>
      <c r="P10" s="1987" t="s">
        <v>5684</v>
      </c>
    </row>
    <row r="11" spans="1:30" ht="31.5" customHeight="1">
      <c r="B11" s="1984" t="s">
        <v>5659</v>
      </c>
      <c r="C11" s="1984" t="s">
        <v>5665</v>
      </c>
      <c r="D11" s="1985" t="s">
        <v>5682</v>
      </c>
      <c r="E11" s="1985" t="s">
        <v>5683</v>
      </c>
      <c r="F11" s="1984" t="s">
        <v>5660</v>
      </c>
      <c r="P11" s="1983" t="s">
        <v>5648</v>
      </c>
      <c r="Q11" s="1983" t="s">
        <v>5650</v>
      </c>
      <c r="R11" s="1983" t="s">
        <v>5664</v>
      </c>
      <c r="S11" s="1983" t="s">
        <v>5663</v>
      </c>
      <c r="T11" s="1983" t="s">
        <v>823</v>
      </c>
      <c r="U11" s="2845" t="s">
        <v>5649</v>
      </c>
      <c r="V11" s="2845"/>
      <c r="W11" s="2845"/>
      <c r="X11" s="2845"/>
      <c r="Y11" s="2845"/>
      <c r="Z11" s="2845"/>
      <c r="AA11" s="2845"/>
      <c r="AB11" s="2845"/>
      <c r="AC11" s="2845"/>
      <c r="AD11" s="2845"/>
    </row>
    <row r="12" spans="1:30" ht="17.25" customHeight="1">
      <c r="B12" s="2000" t="s">
        <v>3</v>
      </c>
      <c r="C12" s="1990">
        <f>AVERAGEIF($Q$12:$Q$29,B12,$R$12:$R$29)</f>
        <v>109.79323740440134</v>
      </c>
      <c r="D12" s="2020">
        <f>C12*AVERAGEIF($Q$12:$Q$29,B12,$S$12:$S$29)</f>
        <v>8.3095870137514929</v>
      </c>
      <c r="E12" s="2020">
        <f>C12*(1-AVERAGEIF($Q$12:$Q$29,B12,$S$12:$S$29))</f>
        <v>101.48365039064984</v>
      </c>
      <c r="F12" s="2017">
        <f>AVERAGEIF($Q$12:$Q$29,B12,$T$12:$T$29)</f>
        <v>6288.9650980392153</v>
      </c>
      <c r="P12" s="1967" t="s">
        <v>1624</v>
      </c>
      <c r="Q12" s="1967" t="s">
        <v>47</v>
      </c>
      <c r="R12" s="1978">
        <v>131.91315285205019</v>
      </c>
      <c r="S12" s="1979"/>
      <c r="T12" s="1980">
        <v>6578.95</v>
      </c>
      <c r="U12" s="2844" t="s">
        <v>5651</v>
      </c>
      <c r="V12" s="2844"/>
      <c r="W12" s="2844"/>
      <c r="X12" s="2844"/>
      <c r="Y12" s="2844"/>
      <c r="Z12" s="2844"/>
      <c r="AA12" s="2844"/>
      <c r="AB12" s="2844"/>
      <c r="AC12" s="2844"/>
      <c r="AD12" s="2844"/>
    </row>
    <row r="13" spans="1:30" ht="17.25" customHeight="1">
      <c r="B13" s="1991" t="s">
        <v>47</v>
      </c>
      <c r="C13" s="1992">
        <f>AVERAGEIF($Q$12:$Q$29,B13,$R$12:$R$29)</f>
        <v>155.89393872637484</v>
      </c>
      <c r="D13" s="2021">
        <f>C13*AVERAGEIF($Q$12:$Q$29,B13,$S$12:$S$29)</f>
        <v>58.907673784727258</v>
      </c>
      <c r="E13" s="2021">
        <f>C13*(1-AVERAGEIF($Q$12:$Q$29,B13,$S$12:$S$29))</f>
        <v>96.986264941647576</v>
      </c>
      <c r="F13" s="2018">
        <f>AVERAGEIF($Q$12:$Q$29,B13,$T$12:$T$29)</f>
        <v>1719.488333333333</v>
      </c>
      <c r="P13" s="1967" t="s">
        <v>1598</v>
      </c>
      <c r="Q13" s="1967" t="s">
        <v>47</v>
      </c>
      <c r="R13" s="1978">
        <v>197.86972927807534</v>
      </c>
      <c r="S13" s="1979"/>
      <c r="T13" s="1980">
        <v>2631.58</v>
      </c>
      <c r="U13" s="2844" t="s">
        <v>5651</v>
      </c>
      <c r="V13" s="2844"/>
      <c r="W13" s="2844"/>
      <c r="X13" s="2844"/>
      <c r="Y13" s="2844"/>
      <c r="Z13" s="2844"/>
      <c r="AA13" s="2844"/>
      <c r="AB13" s="2844"/>
      <c r="AC13" s="2844"/>
      <c r="AD13" s="2844"/>
    </row>
    <row r="14" spans="1:30" ht="17.25" customHeight="1">
      <c r="B14" s="1991" t="s">
        <v>635</v>
      </c>
      <c r="C14" s="1992">
        <f>AVERAGEIF($Q$12:$Q$29,B14,$R$12:$R$29)</f>
        <v>273.43160701754397</v>
      </c>
      <c r="D14" s="2021">
        <f>C14*AVERAGEIF($Q$12:$Q$29,B14,$S$12:$S$29)</f>
        <v>182.0441397102899</v>
      </c>
      <c r="E14" s="2021">
        <f>C14*(1-AVERAGEIF($Q$12:$Q$29,B14,$S$12:$S$29))</f>
        <v>91.387467307254056</v>
      </c>
      <c r="F14" s="2018">
        <f>AVERAGEIF($Q$12:$Q$29,B14,$T$12:$T$29)</f>
        <v>25.866666666666664</v>
      </c>
      <c r="P14" s="1967" t="s">
        <v>1617</v>
      </c>
      <c r="Q14" s="1967" t="s">
        <v>3</v>
      </c>
      <c r="R14" s="1978">
        <v>49.237792365378311</v>
      </c>
      <c r="S14" s="1979"/>
      <c r="T14" s="1980">
        <v>13158</v>
      </c>
      <c r="U14" s="2844" t="s">
        <v>5651</v>
      </c>
      <c r="V14" s="2844"/>
      <c r="W14" s="2844"/>
      <c r="X14" s="2844"/>
      <c r="Y14" s="2844"/>
      <c r="Z14" s="2844"/>
      <c r="AA14" s="2844"/>
      <c r="AB14" s="2844"/>
      <c r="AC14" s="2844"/>
      <c r="AD14" s="2844"/>
    </row>
    <row r="15" spans="1:30" ht="18" customHeight="1">
      <c r="B15" s="1993" t="s">
        <v>2</v>
      </c>
      <c r="C15" s="1994">
        <f>AVERAGEIF($Q$12:$Q$29,B15,$R$12:$R$29)</f>
        <v>238.49141495517406</v>
      </c>
      <c r="D15" s="2022">
        <f>C15*AVERAGEIF($Q$12:$Q$29,B15,$S$12:$S$29)</f>
        <v>112.93771495322774</v>
      </c>
      <c r="E15" s="2022">
        <f>C15*(1-AVERAGEIF($Q$12:$Q$29,B15,$S$12:$S$29))</f>
        <v>125.55370000194631</v>
      </c>
      <c r="F15" s="2019">
        <f>AVERAGEIF($Q$12:$Q$29,B15,$T$12:$T$29)</f>
        <v>4.4249999999999998</v>
      </c>
      <c r="P15" s="1967" t="s">
        <v>1625</v>
      </c>
      <c r="Q15" s="1967" t="s">
        <v>3</v>
      </c>
      <c r="R15" s="1978">
        <v>96.599887731553665</v>
      </c>
      <c r="S15" s="1979"/>
      <c r="T15" s="1980">
        <v>320.66000000000003</v>
      </c>
      <c r="U15" s="2844" t="s">
        <v>5652</v>
      </c>
      <c r="V15" s="2844"/>
      <c r="W15" s="2844"/>
      <c r="X15" s="2844"/>
      <c r="Y15" s="2844"/>
      <c r="Z15" s="2844"/>
      <c r="AA15" s="2844"/>
      <c r="AB15" s="2844"/>
      <c r="AC15" s="2844"/>
      <c r="AD15" s="2844"/>
    </row>
    <row r="16" spans="1:30" ht="18" customHeight="1">
      <c r="L16" s="1976"/>
      <c r="M16" s="1975"/>
      <c r="P16" s="1968" t="s">
        <v>5655</v>
      </c>
      <c r="Q16" s="1999" t="s">
        <v>5661</v>
      </c>
      <c r="R16" s="1981">
        <v>1330.62</v>
      </c>
      <c r="S16" s="1979"/>
      <c r="T16" s="1977">
        <v>145</v>
      </c>
      <c r="U16" s="2844" t="s">
        <v>5656</v>
      </c>
      <c r="V16" s="2844"/>
      <c r="W16" s="2844"/>
      <c r="X16" s="2844"/>
      <c r="Y16" s="2844"/>
      <c r="Z16" s="2844"/>
      <c r="AA16" s="2844"/>
      <c r="AB16" s="2844"/>
      <c r="AC16" s="2844"/>
      <c r="AD16" s="2844"/>
    </row>
    <row r="17" spans="1:30" ht="18" customHeight="1">
      <c r="L17" s="1976"/>
      <c r="M17" s="1975"/>
      <c r="P17" s="1967" t="s">
        <v>1609</v>
      </c>
      <c r="Q17" s="1999" t="s">
        <v>5662</v>
      </c>
      <c r="R17" s="1981">
        <v>58.94</v>
      </c>
      <c r="S17" s="1982">
        <f>1-(54.66/R17)</f>
        <v>7.2616219884628408E-2</v>
      </c>
      <c r="T17" s="1977">
        <v>140</v>
      </c>
      <c r="U17" s="2844" t="s">
        <v>5657</v>
      </c>
      <c r="V17" s="2844"/>
      <c r="W17" s="2844"/>
      <c r="X17" s="2844"/>
      <c r="Y17" s="2844"/>
      <c r="Z17" s="2844"/>
      <c r="AA17" s="2844"/>
      <c r="AB17" s="2844"/>
      <c r="AC17" s="2844"/>
      <c r="AD17" s="2844"/>
    </row>
    <row r="18" spans="1:30" ht="18" customHeight="1">
      <c r="L18" s="1973"/>
      <c r="M18" s="1975"/>
      <c r="P18" s="1967" t="s">
        <v>1609</v>
      </c>
      <c r="Q18" s="1967" t="s">
        <v>47</v>
      </c>
      <c r="R18" s="1978">
        <v>213.57</v>
      </c>
      <c r="S18" s="1982">
        <f>33.33/R18</f>
        <v>0.15606124455681977</v>
      </c>
      <c r="T18" s="1977">
        <v>37.5</v>
      </c>
      <c r="U18" s="2844" t="s">
        <v>5658</v>
      </c>
      <c r="V18" s="2844"/>
      <c r="W18" s="2844"/>
      <c r="X18" s="2844"/>
      <c r="Y18" s="2844"/>
      <c r="Z18" s="2844"/>
      <c r="AA18" s="2844"/>
      <c r="AB18" s="2844"/>
      <c r="AC18" s="2844"/>
      <c r="AD18" s="2844"/>
    </row>
    <row r="19" spans="1:30" ht="18" customHeight="1">
      <c r="L19" s="1973"/>
      <c r="M19" s="1975"/>
      <c r="P19" s="1967" t="s">
        <v>1849</v>
      </c>
      <c r="Q19" s="1967" t="s">
        <v>3</v>
      </c>
      <c r="R19" s="1978">
        <v>183.54203211627205</v>
      </c>
      <c r="S19" s="1982">
        <v>7.5683960234680006E-2</v>
      </c>
      <c r="T19" s="1977">
        <f>916/0.17</f>
        <v>5388.2352941176468</v>
      </c>
      <c r="U19" s="2844"/>
      <c r="V19" s="2844"/>
      <c r="W19" s="2844"/>
      <c r="X19" s="2844"/>
      <c r="Y19" s="2844"/>
      <c r="Z19" s="2844"/>
      <c r="AA19" s="2844"/>
      <c r="AB19" s="2844"/>
      <c r="AC19" s="2844"/>
      <c r="AD19" s="2844"/>
    </row>
    <row r="20" spans="1:30" ht="18" customHeight="1">
      <c r="L20" s="1973"/>
      <c r="M20" s="1975"/>
      <c r="P20" s="1967" t="s">
        <v>1849</v>
      </c>
      <c r="Q20" s="1967" t="s">
        <v>47</v>
      </c>
      <c r="R20" s="1978">
        <v>112.8620660175973</v>
      </c>
      <c r="S20" s="1982">
        <v>0.24944132972122962</v>
      </c>
      <c r="T20" s="1977">
        <v>916</v>
      </c>
      <c r="U20" s="2844"/>
      <c r="V20" s="2844"/>
      <c r="W20" s="2844"/>
      <c r="X20" s="2844"/>
      <c r="Y20" s="2844"/>
      <c r="Z20" s="2844"/>
      <c r="AA20" s="2844"/>
      <c r="AB20" s="2844"/>
      <c r="AC20" s="2844"/>
      <c r="AD20" s="2844"/>
    </row>
    <row r="21" spans="1:30" ht="18" customHeight="1">
      <c r="A21" s="1974" t="s">
        <v>5689</v>
      </c>
      <c r="L21" s="1973"/>
      <c r="M21" s="1975"/>
      <c r="P21" s="1967" t="s">
        <v>1849</v>
      </c>
      <c r="Q21" s="1967" t="s">
        <v>2</v>
      </c>
      <c r="R21" s="1978">
        <v>187.45983087332772</v>
      </c>
      <c r="S21" s="1982">
        <v>0</v>
      </c>
      <c r="T21" s="1977">
        <v>2.7</v>
      </c>
      <c r="U21" s="2844"/>
      <c r="V21" s="2844"/>
      <c r="W21" s="2844"/>
      <c r="X21" s="2844"/>
      <c r="Y21" s="2844"/>
      <c r="Z21" s="2844"/>
      <c r="AA21" s="2844"/>
      <c r="AB21" s="2844"/>
      <c r="AC21" s="2844"/>
      <c r="AD21" s="2844"/>
    </row>
    <row r="22" spans="1:30" ht="18" customHeight="1">
      <c r="B22" s="1989" t="s">
        <v>5667</v>
      </c>
      <c r="C22" s="1989" t="s">
        <v>5668</v>
      </c>
      <c r="D22" s="1989" t="s">
        <v>5669</v>
      </c>
      <c r="E22" s="1989" t="s">
        <v>5687</v>
      </c>
      <c r="L22" s="1973"/>
      <c r="M22" s="1975"/>
      <c r="P22" s="1967" t="s">
        <v>1646</v>
      </c>
      <c r="Q22" s="1967" t="s">
        <v>47</v>
      </c>
      <c r="R22" s="1978">
        <f>77.3223684210526+86.99</f>
        <v>164.31236842105261</v>
      </c>
      <c r="S22" s="1979">
        <f>86.99/R22</f>
        <v>0.52941845361930984</v>
      </c>
      <c r="T22" s="1977">
        <v>60.3</v>
      </c>
      <c r="U22" s="2844"/>
      <c r="V22" s="2844"/>
      <c r="W22" s="2844"/>
      <c r="X22" s="2844"/>
      <c r="Y22" s="2844"/>
      <c r="Z22" s="2844"/>
      <c r="AA22" s="2844"/>
      <c r="AB22" s="2844"/>
      <c r="AC22" s="2844"/>
      <c r="AD22" s="2844"/>
    </row>
    <row r="23" spans="1:30" ht="18" customHeight="1">
      <c r="B23" s="1995" t="s">
        <v>5671</v>
      </c>
      <c r="C23" s="1004" t="s">
        <v>5672</v>
      </c>
      <c r="D23" s="1004" t="s">
        <v>5673</v>
      </c>
      <c r="E23" s="2023">
        <f>AVERAGEIFS($U$36:$U$103,$R$36:$R$103,B23,$S$36:$S$103,C23,$T$36:$T$103,D23)</f>
        <v>3659.5785659374997</v>
      </c>
      <c r="L23" s="1973"/>
      <c r="M23" s="1975"/>
      <c r="P23" s="1967" t="s">
        <v>1646</v>
      </c>
      <c r="Q23" s="1967" t="s">
        <v>635</v>
      </c>
      <c r="R23" s="1978">
        <f>187.593421052632+152.6</f>
        <v>340.193421052632</v>
      </c>
      <c r="S23" s="1979">
        <f>152.6/R23</f>
        <v>0.44856834540721746</v>
      </c>
      <c r="T23" s="1977">
        <v>11</v>
      </c>
      <c r="U23" s="2844" t="s">
        <v>5654</v>
      </c>
      <c r="V23" s="2844"/>
      <c r="W23" s="2844"/>
      <c r="X23" s="2844"/>
      <c r="Y23" s="2844"/>
      <c r="Z23" s="2844"/>
      <c r="AA23" s="2844"/>
      <c r="AB23" s="2844"/>
      <c r="AC23" s="2844"/>
      <c r="AD23" s="2844"/>
    </row>
    <row r="24" spans="1:30" ht="18" customHeight="1">
      <c r="B24" s="1996" t="s">
        <v>5671</v>
      </c>
      <c r="C24" s="1008" t="s">
        <v>5672</v>
      </c>
      <c r="D24" s="1008" t="s">
        <v>5674</v>
      </c>
      <c r="E24" s="2024">
        <f t="shared" ref="E24:E43" si="0">AVERAGEIFS($U$36:$U$103,$R$36:$R$103,B24,$S$36:$S$103,C24,$T$36:$T$103,D24)</f>
        <v>3405.7191540000003</v>
      </c>
      <c r="L24" s="1973"/>
      <c r="M24" s="1975"/>
      <c r="P24" s="1967" t="s">
        <v>1646</v>
      </c>
      <c r="Q24" s="1967" t="s">
        <v>2</v>
      </c>
      <c r="R24" s="1978">
        <f>86.2605263157895+116.91</f>
        <v>203.17052631578952</v>
      </c>
      <c r="S24" s="1979">
        <f>116.91/R24</f>
        <v>0.57542795266615532</v>
      </c>
      <c r="T24" s="1977">
        <v>5.8</v>
      </c>
      <c r="U24" s="2844" t="s">
        <v>5653</v>
      </c>
      <c r="V24" s="2844"/>
      <c r="W24" s="2844"/>
      <c r="X24" s="2844"/>
      <c r="Y24" s="2844"/>
      <c r="Z24" s="2844"/>
      <c r="AA24" s="2844"/>
      <c r="AB24" s="2844"/>
      <c r="AC24" s="2844"/>
      <c r="AD24" s="2844"/>
    </row>
    <row r="25" spans="1:30" ht="18" customHeight="1">
      <c r="B25" s="1996" t="s">
        <v>5671</v>
      </c>
      <c r="C25" s="1008" t="s">
        <v>5672</v>
      </c>
      <c r="D25" s="1008" t="s">
        <v>5675</v>
      </c>
      <c r="E25" s="2024">
        <f t="shared" si="0"/>
        <v>5611.2785137500005</v>
      </c>
      <c r="L25" s="1973"/>
      <c r="M25" s="1975"/>
      <c r="P25" s="1967" t="s">
        <v>1646</v>
      </c>
      <c r="Q25" s="1967" t="s">
        <v>47</v>
      </c>
      <c r="R25" s="1978">
        <f>48.6263157894737+66.21</f>
        <v>114.8363157894737</v>
      </c>
      <c r="S25" s="1979">
        <f>66.21/R25</f>
        <v>0.57655977157418559</v>
      </c>
      <c r="T25" s="1977">
        <v>92.6</v>
      </c>
      <c r="U25" s="2844"/>
      <c r="V25" s="2844"/>
      <c r="W25" s="2844"/>
      <c r="X25" s="2844"/>
      <c r="Y25" s="2844"/>
      <c r="Z25" s="2844"/>
      <c r="AA25" s="2844"/>
      <c r="AB25" s="2844"/>
      <c r="AC25" s="2844"/>
      <c r="AD25" s="2844"/>
    </row>
    <row r="26" spans="1:30" ht="18" customHeight="1">
      <c r="B26" s="1996" t="s">
        <v>5671</v>
      </c>
      <c r="C26" s="1008" t="s">
        <v>5672</v>
      </c>
      <c r="D26" s="1008" t="s">
        <v>5676</v>
      </c>
      <c r="E26" s="2024">
        <f t="shared" si="0"/>
        <v>4184.7693253750003</v>
      </c>
      <c r="L26" s="1973"/>
      <c r="M26" s="1975"/>
      <c r="P26" s="1967" t="s">
        <v>1646</v>
      </c>
      <c r="Q26" s="1967" t="s">
        <v>635</v>
      </c>
      <c r="R26" s="1978">
        <f>31.7+90.97</f>
        <v>122.67</v>
      </c>
      <c r="S26" s="1979">
        <f>90.97/R26</f>
        <v>0.74158310915464254</v>
      </c>
      <c r="T26" s="1977">
        <v>15.4</v>
      </c>
      <c r="U26" s="2844" t="s">
        <v>5654</v>
      </c>
      <c r="V26" s="2844"/>
      <c r="W26" s="2844"/>
      <c r="X26" s="2844"/>
      <c r="Y26" s="2844"/>
      <c r="Z26" s="2844"/>
      <c r="AA26" s="2844"/>
      <c r="AB26" s="2844"/>
      <c r="AC26" s="2844"/>
      <c r="AD26" s="2844"/>
    </row>
    <row r="27" spans="1:30" ht="18" customHeight="1">
      <c r="B27" s="1996" t="s">
        <v>5671</v>
      </c>
      <c r="C27" s="1008" t="s">
        <v>5672</v>
      </c>
      <c r="D27" s="1008" t="s">
        <v>5677</v>
      </c>
      <c r="E27" s="2024">
        <f t="shared" si="0"/>
        <v>4032.9957710833337</v>
      </c>
      <c r="L27" s="1973"/>
      <c r="M27" s="1975"/>
      <c r="P27" s="1967" t="s">
        <v>1646</v>
      </c>
      <c r="Q27" s="1967" t="s">
        <v>2</v>
      </c>
      <c r="R27" s="1978">
        <f>115.596052631579+185.32</f>
        <v>300.91605263157896</v>
      </c>
      <c r="S27" s="1979">
        <f>185.32/R27</f>
        <v>0.61585282134115038</v>
      </c>
      <c r="T27" s="1977">
        <v>2.5</v>
      </c>
      <c r="U27" s="2844" t="s">
        <v>5653</v>
      </c>
      <c r="V27" s="2844"/>
      <c r="W27" s="2844"/>
      <c r="X27" s="2844"/>
      <c r="Y27" s="2844"/>
      <c r="Z27" s="2844"/>
      <c r="AA27" s="2844"/>
      <c r="AB27" s="2844"/>
      <c r="AC27" s="2844"/>
      <c r="AD27" s="2844"/>
    </row>
    <row r="28" spans="1:30" ht="18" customHeight="1">
      <c r="B28" s="1996" t="s">
        <v>5678</v>
      </c>
      <c r="C28" s="1008" t="s">
        <v>5672</v>
      </c>
      <c r="D28" s="1008" t="s">
        <v>5673</v>
      </c>
      <c r="E28" s="2024">
        <f t="shared" si="0"/>
        <v>4977.921950125</v>
      </c>
      <c r="L28" s="1973"/>
      <c r="M28" s="1975"/>
      <c r="P28" s="1967" t="s">
        <v>1637</v>
      </c>
      <c r="Q28" s="1967" t="s">
        <v>635</v>
      </c>
      <c r="R28" s="1978">
        <f>68.9214+288.51</f>
        <v>357.4314</v>
      </c>
      <c r="S28" s="1979">
        <f>288.51/R28</f>
        <v>0.80717586647395834</v>
      </c>
      <c r="T28" s="1977">
        <v>51.2</v>
      </c>
      <c r="U28" s="2844" t="s">
        <v>5654</v>
      </c>
      <c r="V28" s="2844"/>
      <c r="W28" s="2844"/>
      <c r="X28" s="2844"/>
      <c r="Y28" s="2844"/>
      <c r="Z28" s="2844"/>
      <c r="AA28" s="2844"/>
      <c r="AB28" s="2844"/>
      <c r="AC28" s="2844"/>
      <c r="AD28" s="2844"/>
    </row>
    <row r="29" spans="1:30" ht="18" customHeight="1">
      <c r="B29" s="1996" t="s">
        <v>5678</v>
      </c>
      <c r="C29" s="1008" t="s">
        <v>5672</v>
      </c>
      <c r="D29" s="1008" t="s">
        <v>5674</v>
      </c>
      <c r="E29" s="2024">
        <f t="shared" si="0"/>
        <v>4988.7347460000001</v>
      </c>
      <c r="L29" s="1973"/>
      <c r="M29" s="1975"/>
      <c r="P29" s="1967" t="s">
        <v>1637</v>
      </c>
      <c r="Q29" s="1967" t="s">
        <v>2</v>
      </c>
      <c r="R29" s="1978">
        <f>77.95925+184.46</f>
        <v>262.41925000000003</v>
      </c>
      <c r="S29" s="1979">
        <f>184.46/R29</f>
        <v>0.70292099379142337</v>
      </c>
      <c r="T29" s="1977">
        <v>6.7</v>
      </c>
      <c r="U29" s="2844" t="s">
        <v>5653</v>
      </c>
      <c r="V29" s="2844"/>
      <c r="W29" s="2844"/>
      <c r="X29" s="2844"/>
      <c r="Y29" s="2844"/>
      <c r="Z29" s="2844"/>
      <c r="AA29" s="2844"/>
      <c r="AB29" s="2844"/>
      <c r="AC29" s="2844"/>
      <c r="AD29" s="2844"/>
    </row>
    <row r="30" spans="1:30" ht="16.5" customHeight="1">
      <c r="B30" s="1996" t="s">
        <v>5678</v>
      </c>
      <c r="C30" s="1008" t="s">
        <v>5672</v>
      </c>
      <c r="D30" s="1008" t="s">
        <v>5675</v>
      </c>
      <c r="E30" s="2024">
        <f t="shared" si="0"/>
        <v>10127.759830499999</v>
      </c>
    </row>
    <row r="31" spans="1:30">
      <c r="B31" s="1996" t="s">
        <v>5678</v>
      </c>
      <c r="C31" s="1008" t="s">
        <v>5672</v>
      </c>
      <c r="D31" s="1008" t="s">
        <v>5676</v>
      </c>
      <c r="E31" s="2024">
        <f t="shared" si="0"/>
        <v>7103.1935151666667</v>
      </c>
      <c r="F31" s="1975"/>
    </row>
    <row r="32" spans="1:30" ht="15" customHeight="1">
      <c r="B32" s="1997" t="s">
        <v>5679</v>
      </c>
      <c r="C32" s="2025" t="s">
        <v>5672</v>
      </c>
      <c r="D32" s="1008" t="s">
        <v>5673</v>
      </c>
      <c r="E32" s="2024">
        <f t="shared" si="0"/>
        <v>3198.5215113333338</v>
      </c>
      <c r="F32" s="1975"/>
      <c r="G32" s="1955"/>
    </row>
    <row r="33" spans="2:21" ht="15" customHeight="1">
      <c r="B33" s="1997" t="s">
        <v>5679</v>
      </c>
      <c r="C33" s="2025" t="s">
        <v>5672</v>
      </c>
      <c r="D33" s="1008" t="s">
        <v>5674</v>
      </c>
      <c r="E33" s="2024">
        <f t="shared" si="0"/>
        <v>1970</v>
      </c>
      <c r="F33" s="1975"/>
      <c r="G33" s="1955"/>
      <c r="P33" s="1987" t="s">
        <v>5685</v>
      </c>
    </row>
    <row r="34" spans="2:21" ht="15" customHeight="1">
      <c r="B34" s="1996" t="s">
        <v>5671</v>
      </c>
      <c r="C34" s="1008" t="s">
        <v>5680</v>
      </c>
      <c r="D34" s="1008" t="s">
        <v>5673</v>
      </c>
      <c r="E34" s="2024">
        <f t="shared" si="0"/>
        <v>1720.2201584666664</v>
      </c>
      <c r="F34" s="1975"/>
      <c r="G34" s="1955"/>
      <c r="P34" s="1988" t="s">
        <v>5686</v>
      </c>
    </row>
    <row r="35" spans="2:21" ht="15" customHeight="1">
      <c r="B35" s="1996" t="s">
        <v>5671</v>
      </c>
      <c r="C35" s="1008" t="s">
        <v>5680</v>
      </c>
      <c r="D35" s="1008" t="s">
        <v>5674</v>
      </c>
      <c r="E35" s="2024">
        <f t="shared" si="0"/>
        <v>1048.5977422000001</v>
      </c>
      <c r="P35" s="2002" t="s">
        <v>5666</v>
      </c>
      <c r="Q35" s="2002" t="s">
        <v>5767</v>
      </c>
      <c r="R35" s="2002" t="s">
        <v>5667</v>
      </c>
      <c r="S35" s="2002" t="s">
        <v>5668</v>
      </c>
      <c r="T35" s="2002" t="s">
        <v>5669</v>
      </c>
      <c r="U35" s="2003" t="s">
        <v>5670</v>
      </c>
    </row>
    <row r="36" spans="2:21" ht="15" customHeight="1">
      <c r="B36" s="1996" t="s">
        <v>5671</v>
      </c>
      <c r="C36" s="1008" t="s">
        <v>5680</v>
      </c>
      <c r="D36" s="1008" t="s">
        <v>5675</v>
      </c>
      <c r="E36" s="2024">
        <f t="shared" si="0"/>
        <v>843.8438611250001</v>
      </c>
      <c r="P36" s="2004" t="s">
        <v>5690</v>
      </c>
      <c r="Q36" s="2001" t="s">
        <v>5699</v>
      </c>
      <c r="R36" s="2005" t="s">
        <v>5671</v>
      </c>
      <c r="S36" s="2005" t="s">
        <v>5672</v>
      </c>
      <c r="T36" s="2005" t="s">
        <v>5673</v>
      </c>
      <c r="U36" s="2007">
        <v>4908.2817160000004</v>
      </c>
    </row>
    <row r="37" spans="2:21" ht="15" customHeight="1">
      <c r="B37" s="1996" t="s">
        <v>5671</v>
      </c>
      <c r="C37" s="1008" t="s">
        <v>5680</v>
      </c>
      <c r="D37" s="1008" t="s">
        <v>5676</v>
      </c>
      <c r="E37" s="2024">
        <f t="shared" si="0"/>
        <v>1370.0364499999998</v>
      </c>
      <c r="F37" s="1975"/>
      <c r="G37" s="1955"/>
      <c r="P37" s="2004" t="s">
        <v>5691</v>
      </c>
      <c r="Q37" s="2001" t="s">
        <v>5700</v>
      </c>
      <c r="R37" s="2005" t="s">
        <v>5671</v>
      </c>
      <c r="S37" s="2005" t="s">
        <v>5672</v>
      </c>
      <c r="T37" s="2005" t="s">
        <v>5673</v>
      </c>
      <c r="U37" s="2007">
        <v>2834.4264000000003</v>
      </c>
    </row>
    <row r="38" spans="2:21" ht="15" customHeight="1">
      <c r="B38" s="1996" t="s">
        <v>5671</v>
      </c>
      <c r="C38" s="1008" t="s">
        <v>5680</v>
      </c>
      <c r="D38" s="1008" t="s">
        <v>5677</v>
      </c>
      <c r="E38" s="2024">
        <f t="shared" si="0"/>
        <v>1122.5721903666665</v>
      </c>
      <c r="F38" s="1975"/>
      <c r="G38" s="1955"/>
      <c r="P38" s="2006" t="s">
        <v>5692</v>
      </c>
      <c r="Q38" s="2001" t="s">
        <v>5701</v>
      </c>
      <c r="R38" s="2005" t="s">
        <v>5671</v>
      </c>
      <c r="S38" s="2005" t="s">
        <v>5672</v>
      </c>
      <c r="T38" s="2005" t="s">
        <v>5673</v>
      </c>
      <c r="U38" s="2007">
        <v>2130</v>
      </c>
    </row>
    <row r="39" spans="2:21" ht="15" customHeight="1">
      <c r="B39" s="1996" t="s">
        <v>5678</v>
      </c>
      <c r="C39" s="1008" t="s">
        <v>5680</v>
      </c>
      <c r="D39" s="1008" t="s">
        <v>5674</v>
      </c>
      <c r="E39" s="2024">
        <f t="shared" si="0"/>
        <v>1237.1090225</v>
      </c>
      <c r="P39" s="2004" t="s">
        <v>5693</v>
      </c>
      <c r="Q39" s="2001" t="s">
        <v>5702</v>
      </c>
      <c r="R39" s="2005" t="s">
        <v>5671</v>
      </c>
      <c r="S39" s="2005" t="s">
        <v>5672</v>
      </c>
      <c r="T39" s="2005" t="s">
        <v>5673</v>
      </c>
      <c r="U39" s="2007">
        <v>2245</v>
      </c>
    </row>
    <row r="40" spans="2:21" ht="15" customHeight="1">
      <c r="B40" s="1996" t="s">
        <v>5678</v>
      </c>
      <c r="C40" s="1008" t="s">
        <v>5680</v>
      </c>
      <c r="D40" s="1008" t="s">
        <v>5675</v>
      </c>
      <c r="E40" s="2024">
        <f t="shared" si="0"/>
        <v>3786.3212659999999</v>
      </c>
      <c r="P40" s="2004" t="s">
        <v>5694</v>
      </c>
      <c r="Q40" s="2001" t="s">
        <v>5703</v>
      </c>
      <c r="R40" s="2005" t="s">
        <v>5671</v>
      </c>
      <c r="S40" s="2005" t="s">
        <v>5672</v>
      </c>
      <c r="T40" s="2005" t="s">
        <v>5673</v>
      </c>
      <c r="U40" s="2007">
        <v>2780</v>
      </c>
    </row>
    <row r="41" spans="2:21" ht="15" customHeight="1">
      <c r="B41" s="1996" t="s">
        <v>5679</v>
      </c>
      <c r="C41" s="1008" t="s">
        <v>5680</v>
      </c>
      <c r="D41" s="1008" t="s">
        <v>5674</v>
      </c>
      <c r="E41" s="2024">
        <f t="shared" si="0"/>
        <v>546.21758750000004</v>
      </c>
      <c r="P41" s="2006" t="s">
        <v>5695</v>
      </c>
      <c r="Q41" s="2001" t="s">
        <v>5704</v>
      </c>
      <c r="R41" s="2005" t="s">
        <v>5671</v>
      </c>
      <c r="S41" s="2005" t="s">
        <v>5672</v>
      </c>
      <c r="T41" s="2005" t="s">
        <v>5673</v>
      </c>
      <c r="U41" s="2007">
        <v>2759.4322014999998</v>
      </c>
    </row>
    <row r="42" spans="2:21" ht="15" customHeight="1">
      <c r="B42" s="1996" t="s">
        <v>5679</v>
      </c>
      <c r="C42" s="1008" t="s">
        <v>5680</v>
      </c>
      <c r="D42" s="1008" t="s">
        <v>5676</v>
      </c>
      <c r="E42" s="2024">
        <f t="shared" si="0"/>
        <v>1514.4584156666667</v>
      </c>
      <c r="P42" s="2004" t="s">
        <v>5690</v>
      </c>
      <c r="Q42" s="2001" t="s">
        <v>5705</v>
      </c>
      <c r="R42" s="2005" t="s">
        <v>5671</v>
      </c>
      <c r="S42" s="2005" t="s">
        <v>5672</v>
      </c>
      <c r="T42" s="2005" t="s">
        <v>5674</v>
      </c>
      <c r="U42" s="2007">
        <v>5781.0488449999993</v>
      </c>
    </row>
    <row r="43" spans="2:21" ht="15" customHeight="1">
      <c r="B43" s="1998" t="s">
        <v>5679</v>
      </c>
      <c r="C43" s="1013" t="s">
        <v>5680</v>
      </c>
      <c r="D43" s="1013" t="s">
        <v>5677</v>
      </c>
      <c r="E43" s="2026">
        <f t="shared" si="0"/>
        <v>1272.3982086250001</v>
      </c>
      <c r="P43" s="2004" t="s">
        <v>5691</v>
      </c>
      <c r="Q43" s="2001" t="s">
        <v>5706</v>
      </c>
      <c r="R43" s="2005" t="s">
        <v>5671</v>
      </c>
      <c r="S43" s="2005" t="s">
        <v>5672</v>
      </c>
      <c r="T43" s="2005" t="s">
        <v>5674</v>
      </c>
      <c r="U43" s="2007">
        <v>3070.6286</v>
      </c>
    </row>
    <row r="44" spans="2:21" ht="15" customHeight="1">
      <c r="P44" s="2004" t="s">
        <v>5692</v>
      </c>
      <c r="Q44" s="2001" t="s">
        <v>5707</v>
      </c>
      <c r="R44" s="2005" t="s">
        <v>5671</v>
      </c>
      <c r="S44" s="2005" t="s">
        <v>5672</v>
      </c>
      <c r="T44" s="2005" t="s">
        <v>5674</v>
      </c>
      <c r="U44" s="2007">
        <v>2310</v>
      </c>
    </row>
    <row r="45" spans="2:21" ht="15" customHeight="1">
      <c r="P45" s="2004" t="s">
        <v>5693</v>
      </c>
      <c r="Q45" s="2001" t="s">
        <v>5708</v>
      </c>
      <c r="R45" s="2005" t="s">
        <v>5671</v>
      </c>
      <c r="S45" s="2005" t="s">
        <v>5672</v>
      </c>
      <c r="T45" s="2005" t="s">
        <v>5674</v>
      </c>
      <c r="U45" s="2007">
        <v>2945</v>
      </c>
    </row>
    <row r="46" spans="2:21" ht="15" customHeight="1">
      <c r="P46" s="2004" t="s">
        <v>5696</v>
      </c>
      <c r="Q46" s="2001" t="s">
        <v>5709</v>
      </c>
      <c r="R46" s="2005" t="s">
        <v>5671</v>
      </c>
      <c r="S46" s="2005" t="s">
        <v>5672</v>
      </c>
      <c r="T46" s="2005" t="s">
        <v>5674</v>
      </c>
      <c r="U46" s="2007">
        <v>3270</v>
      </c>
    </row>
    <row r="47" spans="2:21" ht="15" customHeight="1">
      <c r="P47" s="2004" t="s">
        <v>5695</v>
      </c>
      <c r="Q47" s="2001" t="s">
        <v>5710</v>
      </c>
      <c r="R47" s="2005" t="s">
        <v>5671</v>
      </c>
      <c r="S47" s="2005" t="s">
        <v>5672</v>
      </c>
      <c r="T47" s="2005" t="s">
        <v>5674</v>
      </c>
      <c r="U47" s="2007">
        <v>3057.637479</v>
      </c>
    </row>
    <row r="48" spans="2:21" ht="15" customHeight="1">
      <c r="P48" s="2004" t="s">
        <v>5690</v>
      </c>
      <c r="Q48" s="2001" t="s">
        <v>5711</v>
      </c>
      <c r="R48" s="2005" t="s">
        <v>5671</v>
      </c>
      <c r="S48" s="2005" t="s">
        <v>5672</v>
      </c>
      <c r="T48" s="2005" t="s">
        <v>5675</v>
      </c>
      <c r="U48" s="2007">
        <v>7029.9679775000004</v>
      </c>
    </row>
    <row r="49" spans="1:21" ht="15" customHeight="1">
      <c r="P49" s="2004" t="s">
        <v>5691</v>
      </c>
      <c r="Q49" s="2001" t="s">
        <v>5712</v>
      </c>
      <c r="R49" s="2005" t="s">
        <v>5671</v>
      </c>
      <c r="S49" s="2005" t="s">
        <v>5672</v>
      </c>
      <c r="T49" s="2005" t="s">
        <v>5675</v>
      </c>
      <c r="U49" s="2007">
        <v>4192.5890500000005</v>
      </c>
    </row>
    <row r="50" spans="1:21" ht="15" customHeight="1">
      <c r="A50" s="1974" t="s">
        <v>5768</v>
      </c>
      <c r="P50" s="2004" t="s">
        <v>5691</v>
      </c>
      <c r="Q50" s="2001" t="s">
        <v>5713</v>
      </c>
      <c r="R50" s="2005" t="s">
        <v>5671</v>
      </c>
      <c r="S50" s="2005" t="s">
        <v>5672</v>
      </c>
      <c r="T50" s="2005" t="s">
        <v>5676</v>
      </c>
      <c r="U50" s="2007">
        <v>4192.5890500000005</v>
      </c>
    </row>
    <row r="51" spans="1:21" ht="15" customHeight="1">
      <c r="A51" s="2846" t="s">
        <v>5794</v>
      </c>
      <c r="B51" s="2846"/>
      <c r="C51" s="2846"/>
      <c r="D51" s="2846"/>
      <c r="E51" s="2846"/>
      <c r="F51" s="2846"/>
      <c r="G51" s="2010"/>
      <c r="P51" s="2004" t="s">
        <v>5694</v>
      </c>
      <c r="Q51" s="2001" t="s">
        <v>5714</v>
      </c>
      <c r="R51" s="2005" t="s">
        <v>5671</v>
      </c>
      <c r="S51" s="2005" t="s">
        <v>5672</v>
      </c>
      <c r="T51" s="2005" t="s">
        <v>5676</v>
      </c>
      <c r="U51" s="2007">
        <v>4615</v>
      </c>
    </row>
    <row r="52" spans="1:21" ht="15" customHeight="1">
      <c r="A52" s="2846"/>
      <c r="B52" s="2846"/>
      <c r="C52" s="2846"/>
      <c r="D52" s="2846"/>
      <c r="E52" s="2846"/>
      <c r="F52" s="2846"/>
      <c r="G52" s="2010"/>
      <c r="P52" s="2004" t="s">
        <v>5696</v>
      </c>
      <c r="Q52" s="2001" t="s">
        <v>5715</v>
      </c>
      <c r="R52" s="2005" t="s">
        <v>5671</v>
      </c>
      <c r="S52" s="2005" t="s">
        <v>5672</v>
      </c>
      <c r="T52" s="2005" t="s">
        <v>5676</v>
      </c>
      <c r="U52" s="2007">
        <v>4522.5</v>
      </c>
    </row>
    <row r="53" spans="1:21" ht="15" customHeight="1">
      <c r="B53" s="2012" t="s">
        <v>5770</v>
      </c>
      <c r="C53" s="2852" t="s">
        <v>5788</v>
      </c>
      <c r="D53" s="2853"/>
      <c r="E53" s="2012" t="s">
        <v>5771</v>
      </c>
      <c r="P53" s="2004" t="s">
        <v>5695</v>
      </c>
      <c r="Q53" s="2001" t="s">
        <v>5716</v>
      </c>
      <c r="R53" s="2005" t="s">
        <v>5671</v>
      </c>
      <c r="S53" s="2005" t="s">
        <v>5672</v>
      </c>
      <c r="T53" s="2005" t="s">
        <v>5676</v>
      </c>
      <c r="U53" s="2007">
        <v>3408.9882514999999</v>
      </c>
    </row>
    <row r="54" spans="1:21" ht="15" customHeight="1">
      <c r="B54" s="1995" t="s">
        <v>36</v>
      </c>
      <c r="C54" s="2622" t="s">
        <v>5789</v>
      </c>
      <c r="D54" s="2854"/>
      <c r="E54" s="2013">
        <f>AVERAGEIF($R$111:$R$128,B54,$S$111:$S$128)</f>
        <v>5265.5</v>
      </c>
      <c r="P54" s="2004" t="s">
        <v>5690</v>
      </c>
      <c r="Q54" s="2001" t="s">
        <v>5717</v>
      </c>
      <c r="R54" s="2005" t="s">
        <v>5671</v>
      </c>
      <c r="S54" s="2005" t="s">
        <v>5672</v>
      </c>
      <c r="T54" s="2005" t="s">
        <v>5677</v>
      </c>
      <c r="U54" s="2007">
        <v>6622.5191825000002</v>
      </c>
    </row>
    <row r="55" spans="1:21" ht="15" customHeight="1">
      <c r="B55" s="1996" t="s">
        <v>5787</v>
      </c>
      <c r="C55" s="2577" t="s">
        <v>5790</v>
      </c>
      <c r="D55" s="2850"/>
      <c r="E55" s="2014">
        <f>AVERAGEIF($R$111:$R$128,B55,$S$111:$S$128)</f>
        <v>48671.069265842139</v>
      </c>
      <c r="P55" s="2004" t="s">
        <v>5691</v>
      </c>
      <c r="Q55" s="2001" t="s">
        <v>5718</v>
      </c>
      <c r="R55" s="2005" t="s">
        <v>5671</v>
      </c>
      <c r="S55" s="2005" t="s">
        <v>5672</v>
      </c>
      <c r="T55" s="2005" t="s">
        <v>5677</v>
      </c>
      <c r="U55" s="2007">
        <v>4487.8418000000001</v>
      </c>
    </row>
    <row r="56" spans="1:21" ht="15" customHeight="1">
      <c r="B56" s="1996" t="s">
        <v>279</v>
      </c>
      <c r="C56" s="2577" t="s">
        <v>5792</v>
      </c>
      <c r="D56" s="2850"/>
      <c r="E56" s="2014">
        <f>AVERAGEIF($R$111:$R$128,B56,$S$111:$S$128)</f>
        <v>95383.207999999999</v>
      </c>
      <c r="P56" s="2004" t="s">
        <v>5694</v>
      </c>
      <c r="Q56" s="2001" t="s">
        <v>5719</v>
      </c>
      <c r="R56" s="2005" t="s">
        <v>5671</v>
      </c>
      <c r="S56" s="2005" t="s">
        <v>5672</v>
      </c>
      <c r="T56" s="2005" t="s">
        <v>5677</v>
      </c>
      <c r="U56" s="2007">
        <v>5075</v>
      </c>
    </row>
    <row r="57" spans="1:21" ht="15" customHeight="1">
      <c r="B57" s="1998" t="s">
        <v>408</v>
      </c>
      <c r="C57" s="2632" t="s">
        <v>5793</v>
      </c>
      <c r="D57" s="2851"/>
      <c r="E57" s="2015">
        <f>AVERAGEIF($R$111:$R$128,B57,$S$111:$S$128)</f>
        <v>150000</v>
      </c>
      <c r="P57" s="2004" t="s">
        <v>5695</v>
      </c>
      <c r="Q57" s="2001" t="s">
        <v>5720</v>
      </c>
      <c r="R57" s="2005" t="s">
        <v>5671</v>
      </c>
      <c r="S57" s="2005" t="s">
        <v>5672</v>
      </c>
      <c r="T57" s="2005" t="s">
        <v>5677</v>
      </c>
      <c r="U57" s="2007">
        <v>4276.4408309999999</v>
      </c>
    </row>
    <row r="58" spans="1:21" ht="15" customHeight="1">
      <c r="P58" s="2004" t="s">
        <v>5690</v>
      </c>
      <c r="Q58" s="2001" t="s">
        <v>5721</v>
      </c>
      <c r="R58" s="2005" t="s">
        <v>5678</v>
      </c>
      <c r="S58" s="2005" t="s">
        <v>5672</v>
      </c>
      <c r="T58" s="2005" t="s">
        <v>5673</v>
      </c>
      <c r="U58" s="2007">
        <v>4945.4835624999996</v>
      </c>
    </row>
    <row r="59" spans="1:21" ht="15" customHeight="1">
      <c r="P59" s="2004" t="s">
        <v>5690</v>
      </c>
      <c r="Q59" s="2001" t="s">
        <v>5722</v>
      </c>
      <c r="R59" s="2005" t="s">
        <v>5678</v>
      </c>
      <c r="S59" s="2005" t="s">
        <v>5672</v>
      </c>
      <c r="T59" s="2005" t="s">
        <v>5674</v>
      </c>
      <c r="U59" s="2007">
        <v>6091.6547380000002</v>
      </c>
    </row>
    <row r="60" spans="1:21" ht="15" customHeight="1">
      <c r="P60" s="2004" t="s">
        <v>5691</v>
      </c>
      <c r="Q60" s="2001" t="s">
        <v>5723</v>
      </c>
      <c r="R60" s="2005" t="s">
        <v>5678</v>
      </c>
      <c r="S60" s="2005" t="s">
        <v>5672</v>
      </c>
      <c r="T60" s="2005" t="s">
        <v>5674</v>
      </c>
      <c r="U60" s="2007">
        <v>5314.5495000000001</v>
      </c>
    </row>
    <row r="61" spans="1:21" ht="15" customHeight="1">
      <c r="P61" s="2004" t="s">
        <v>5692</v>
      </c>
      <c r="Q61" s="2001" t="s">
        <v>5724</v>
      </c>
      <c r="R61" s="2005" t="s">
        <v>5678</v>
      </c>
      <c r="S61" s="2005" t="s">
        <v>5672</v>
      </c>
      <c r="T61" s="2005" t="s">
        <v>5674</v>
      </c>
      <c r="U61" s="2007">
        <v>3560</v>
      </c>
    </row>
    <row r="62" spans="1:21" ht="15" customHeight="1">
      <c r="P62" s="2004" t="s">
        <v>5690</v>
      </c>
      <c r="Q62" s="2001" t="s">
        <v>5725</v>
      </c>
      <c r="R62" s="2005" t="s">
        <v>5678</v>
      </c>
      <c r="S62" s="2005" t="s">
        <v>5672</v>
      </c>
      <c r="T62" s="2005" t="s">
        <v>5675</v>
      </c>
      <c r="U62" s="2007">
        <v>10127.759830499999</v>
      </c>
    </row>
    <row r="63" spans="1:21" ht="15" customHeight="1">
      <c r="P63" s="2004" t="s">
        <v>5690</v>
      </c>
      <c r="Q63" s="2001" t="s">
        <v>5726</v>
      </c>
      <c r="R63" s="2005" t="s">
        <v>5678</v>
      </c>
      <c r="S63" s="2005" t="s">
        <v>5672</v>
      </c>
      <c r="T63" s="2005" t="s">
        <v>5676</v>
      </c>
      <c r="U63" s="2007">
        <v>9820.696970500001</v>
      </c>
    </row>
    <row r="64" spans="1:21" ht="15" customHeight="1">
      <c r="P64" s="2004" t="s">
        <v>5691</v>
      </c>
      <c r="Q64" s="2001" t="s">
        <v>5727</v>
      </c>
      <c r="R64" s="2005" t="s">
        <v>5678</v>
      </c>
      <c r="S64" s="2005" t="s">
        <v>5672</v>
      </c>
      <c r="T64" s="2005" t="s">
        <v>5676</v>
      </c>
      <c r="U64" s="2007">
        <v>6288.8835749999998</v>
      </c>
    </row>
    <row r="65" spans="16:21" ht="15" customHeight="1">
      <c r="P65" s="2004" t="s">
        <v>5692</v>
      </c>
      <c r="Q65" s="2001" t="s">
        <v>5728</v>
      </c>
      <c r="R65" s="2005" t="s">
        <v>5678</v>
      </c>
      <c r="S65" s="2005" t="s">
        <v>5672</v>
      </c>
      <c r="T65" s="2005" t="s">
        <v>5676</v>
      </c>
      <c r="U65" s="2007">
        <v>5200</v>
      </c>
    </row>
    <row r="66" spans="16:21" ht="15" customHeight="1">
      <c r="P66" s="2004" t="s">
        <v>5690</v>
      </c>
      <c r="Q66" s="2001" t="s">
        <v>5729</v>
      </c>
      <c r="R66" s="2005" t="s">
        <v>5679</v>
      </c>
      <c r="S66" s="2005" t="s">
        <v>5672</v>
      </c>
      <c r="T66" s="2005" t="s">
        <v>5673</v>
      </c>
      <c r="U66" s="2007">
        <v>5425.5645340000001</v>
      </c>
    </row>
    <row r="67" spans="16:21" ht="15" customHeight="1">
      <c r="P67" s="2004" t="s">
        <v>5692</v>
      </c>
      <c r="Q67" s="2001" t="s">
        <v>5730</v>
      </c>
      <c r="R67" s="2005" t="s">
        <v>5679</v>
      </c>
      <c r="S67" s="2005" t="s">
        <v>5672</v>
      </c>
      <c r="T67" s="2005" t="s">
        <v>5673</v>
      </c>
      <c r="U67" s="2007">
        <v>2200</v>
      </c>
    </row>
    <row r="68" spans="16:21" ht="15" customHeight="1">
      <c r="P68" s="2004" t="s">
        <v>5692</v>
      </c>
      <c r="Q68" s="2001" t="s">
        <v>5731</v>
      </c>
      <c r="R68" s="2005" t="s">
        <v>5679</v>
      </c>
      <c r="S68" s="2005" t="s">
        <v>5672</v>
      </c>
      <c r="T68" s="2005" t="s">
        <v>5674</v>
      </c>
      <c r="U68" s="2007">
        <v>1970</v>
      </c>
    </row>
    <row r="69" spans="16:21" ht="15" customHeight="1">
      <c r="P69" s="2004" t="s">
        <v>5694</v>
      </c>
      <c r="Q69" s="2001" t="s">
        <v>5732</v>
      </c>
      <c r="R69" s="2005" t="s">
        <v>5671</v>
      </c>
      <c r="S69" s="2005" t="s">
        <v>5680</v>
      </c>
      <c r="T69" s="2005" t="s">
        <v>5673</v>
      </c>
      <c r="U69" s="2008">
        <v>1190.5</v>
      </c>
    </row>
    <row r="70" spans="16:21" ht="15" customHeight="1">
      <c r="P70" s="2004" t="s">
        <v>5697</v>
      </c>
      <c r="Q70" s="2001" t="s">
        <v>5733</v>
      </c>
      <c r="R70" s="2005" t="s">
        <v>5671</v>
      </c>
      <c r="S70" s="2005" t="s">
        <v>5680</v>
      </c>
      <c r="T70" s="2005" t="s">
        <v>5674</v>
      </c>
      <c r="U70" s="2008">
        <v>1330</v>
      </c>
    </row>
    <row r="71" spans="16:21" ht="15" customHeight="1">
      <c r="P71" s="2004" t="s">
        <v>5692</v>
      </c>
      <c r="Q71" s="2001" t="s">
        <v>5734</v>
      </c>
      <c r="R71" s="2005" t="s">
        <v>5671</v>
      </c>
      <c r="S71" s="2005" t="s">
        <v>5680</v>
      </c>
      <c r="T71" s="2005" t="s">
        <v>5674</v>
      </c>
      <c r="U71" s="2008">
        <v>484.1</v>
      </c>
    </row>
    <row r="72" spans="16:21" ht="15" customHeight="1">
      <c r="P72" s="2004" t="s">
        <v>5698</v>
      </c>
      <c r="Q72" s="2001" t="s">
        <v>5735</v>
      </c>
      <c r="R72" s="2005" t="s">
        <v>5671</v>
      </c>
      <c r="S72" s="2005" t="s">
        <v>5680</v>
      </c>
      <c r="T72" s="2005" t="s">
        <v>5674</v>
      </c>
      <c r="U72" s="2008">
        <v>1037.5</v>
      </c>
    </row>
    <row r="73" spans="16:21" ht="15" customHeight="1">
      <c r="P73" s="2004" t="s">
        <v>5698</v>
      </c>
      <c r="Q73" s="2001" t="s">
        <v>5736</v>
      </c>
      <c r="R73" s="2005" t="s">
        <v>5671</v>
      </c>
      <c r="S73" s="2005" t="s">
        <v>5680</v>
      </c>
      <c r="T73" s="2005" t="s">
        <v>5674</v>
      </c>
      <c r="U73" s="2008">
        <v>1563.5</v>
      </c>
    </row>
    <row r="74" spans="16:21" ht="15" customHeight="1">
      <c r="P74" s="2004" t="s">
        <v>5695</v>
      </c>
      <c r="Q74" s="2001" t="s">
        <v>5737</v>
      </c>
      <c r="R74" s="2005" t="s">
        <v>5671</v>
      </c>
      <c r="S74" s="2005" t="s">
        <v>5680</v>
      </c>
      <c r="T74" s="2005" t="s">
        <v>5674</v>
      </c>
      <c r="U74" s="2008">
        <v>827.88871100000006</v>
      </c>
    </row>
    <row r="75" spans="16:21" ht="15" customHeight="1">
      <c r="P75" s="2004" t="s">
        <v>5692</v>
      </c>
      <c r="Q75" s="2001" t="s">
        <v>5738</v>
      </c>
      <c r="R75" s="2005" t="s">
        <v>5671</v>
      </c>
      <c r="S75" s="2005" t="s">
        <v>5680</v>
      </c>
      <c r="T75" s="2005" t="s">
        <v>5675</v>
      </c>
      <c r="U75" s="2008">
        <v>577.5</v>
      </c>
    </row>
    <row r="76" spans="16:21" ht="15" customHeight="1">
      <c r="P76" s="2004" t="s">
        <v>5698</v>
      </c>
      <c r="Q76" s="2001" t="s">
        <v>5739</v>
      </c>
      <c r="R76" s="2005" t="s">
        <v>5671</v>
      </c>
      <c r="S76" s="2005" t="s">
        <v>5680</v>
      </c>
      <c r="T76" s="2005" t="s">
        <v>5675</v>
      </c>
      <c r="U76" s="2008">
        <v>1086</v>
      </c>
    </row>
    <row r="77" spans="16:21" ht="15" customHeight="1">
      <c r="P77" s="2004" t="s">
        <v>5695</v>
      </c>
      <c r="Q77" s="2001" t="s">
        <v>5740</v>
      </c>
      <c r="R77" s="2005" t="s">
        <v>5671</v>
      </c>
      <c r="S77" s="2005" t="s">
        <v>5680</v>
      </c>
      <c r="T77" s="2005" t="s">
        <v>5675</v>
      </c>
      <c r="U77" s="2008">
        <v>829.06972199999996</v>
      </c>
    </row>
    <row r="78" spans="16:21" ht="15" customHeight="1">
      <c r="P78" s="2004" t="s">
        <v>5695</v>
      </c>
      <c r="Q78" s="2001" t="s">
        <v>5741</v>
      </c>
      <c r="R78" s="2005" t="s">
        <v>5671</v>
      </c>
      <c r="S78" s="2005" t="s">
        <v>5680</v>
      </c>
      <c r="T78" s="2005" t="s">
        <v>5675</v>
      </c>
      <c r="U78" s="2008">
        <v>882.8057225</v>
      </c>
    </row>
    <row r="79" spans="16:21" ht="15" customHeight="1">
      <c r="P79" s="2004" t="s">
        <v>5692</v>
      </c>
      <c r="Q79" s="2001" t="s">
        <v>5742</v>
      </c>
      <c r="R79" s="2005" t="s">
        <v>5671</v>
      </c>
      <c r="S79" s="2005" t="s">
        <v>5680</v>
      </c>
      <c r="T79" s="2005" t="s">
        <v>5676</v>
      </c>
      <c r="U79" s="2008">
        <v>611</v>
      </c>
    </row>
    <row r="80" spans="16:21" ht="15" customHeight="1">
      <c r="P80" s="2004" t="s">
        <v>5694</v>
      </c>
      <c r="Q80" s="2001" t="s">
        <v>5743</v>
      </c>
      <c r="R80" s="2005" t="s">
        <v>5671</v>
      </c>
      <c r="S80" s="2005" t="s">
        <v>5680</v>
      </c>
      <c r="T80" s="2005" t="s">
        <v>5676</v>
      </c>
      <c r="U80" s="2008">
        <v>1857</v>
      </c>
    </row>
    <row r="81" spans="16:21" ht="15" customHeight="1">
      <c r="P81" s="2004" t="s">
        <v>5698</v>
      </c>
      <c r="Q81" s="2001" t="s">
        <v>5744</v>
      </c>
      <c r="R81" s="2005" t="s">
        <v>5671</v>
      </c>
      <c r="S81" s="2005" t="s">
        <v>5680</v>
      </c>
      <c r="T81" s="2005" t="s">
        <v>5676</v>
      </c>
      <c r="U81" s="2008">
        <v>1502</v>
      </c>
    </row>
    <row r="82" spans="16:21" ht="15" customHeight="1">
      <c r="P82" s="2004" t="s">
        <v>5698</v>
      </c>
      <c r="Q82" s="2001" t="s">
        <v>5745</v>
      </c>
      <c r="R82" s="2005" t="s">
        <v>5671</v>
      </c>
      <c r="S82" s="2005" t="s">
        <v>5680</v>
      </c>
      <c r="T82" s="2005" t="s">
        <v>5676</v>
      </c>
      <c r="U82" s="2008">
        <v>2242.5</v>
      </c>
    </row>
    <row r="83" spans="16:21" ht="15" customHeight="1">
      <c r="P83" s="2004" t="s">
        <v>5695</v>
      </c>
      <c r="Q83" s="2001" t="s">
        <v>5746</v>
      </c>
      <c r="R83" s="2005" t="s">
        <v>5671</v>
      </c>
      <c r="S83" s="2005" t="s">
        <v>5680</v>
      </c>
      <c r="T83" s="2005" t="s">
        <v>5676</v>
      </c>
      <c r="U83" s="2008">
        <v>986.73469049999994</v>
      </c>
    </row>
    <row r="84" spans="16:21" ht="15" customHeight="1">
      <c r="P84" s="2004" t="s">
        <v>5695</v>
      </c>
      <c r="Q84" s="2001" t="s">
        <v>5747</v>
      </c>
      <c r="R84" s="2005" t="s">
        <v>5671</v>
      </c>
      <c r="S84" s="2005" t="s">
        <v>5680</v>
      </c>
      <c r="T84" s="2005" t="s">
        <v>5676</v>
      </c>
      <c r="U84" s="2008">
        <v>1020.9840095</v>
      </c>
    </row>
    <row r="85" spans="16:21" ht="15" customHeight="1">
      <c r="P85" s="2004" t="s">
        <v>5690</v>
      </c>
      <c r="Q85" s="2001" t="s">
        <v>5748</v>
      </c>
      <c r="R85" s="2005" t="s">
        <v>5671</v>
      </c>
      <c r="S85" s="2005" t="s">
        <v>5680</v>
      </c>
      <c r="T85" s="2005" t="s">
        <v>5677</v>
      </c>
      <c r="U85" s="2008">
        <v>4582.9131855000005</v>
      </c>
    </row>
    <row r="86" spans="16:21" ht="15" customHeight="1">
      <c r="P86" s="2004" t="s">
        <v>5690</v>
      </c>
      <c r="Q86" s="2001" t="s">
        <v>5749</v>
      </c>
      <c r="R86" s="2005" t="s">
        <v>5671</v>
      </c>
      <c r="S86" s="2005" t="s">
        <v>5680</v>
      </c>
      <c r="T86" s="2005" t="s">
        <v>5677</v>
      </c>
      <c r="U86" s="2008">
        <v>3902.6508494999998</v>
      </c>
    </row>
    <row r="87" spans="16:21" ht="15" customHeight="1">
      <c r="P87" s="2004" t="s">
        <v>5691</v>
      </c>
      <c r="Q87" s="2001" t="s">
        <v>5750</v>
      </c>
      <c r="R87" s="2005" t="s">
        <v>5671</v>
      </c>
      <c r="S87" s="2005" t="s">
        <v>5680</v>
      </c>
      <c r="T87" s="2005" t="s">
        <v>5677</v>
      </c>
      <c r="U87" s="2008">
        <v>2952.5275000000001</v>
      </c>
    </row>
    <row r="88" spans="16:21" ht="15" customHeight="1">
      <c r="P88" s="2004" t="s">
        <v>5692</v>
      </c>
      <c r="Q88" s="2001" t="s">
        <v>5751</v>
      </c>
      <c r="R88" s="2005" t="s">
        <v>5671</v>
      </c>
      <c r="S88" s="2005" t="s">
        <v>5680</v>
      </c>
      <c r="T88" s="2005" t="s">
        <v>5677</v>
      </c>
      <c r="U88" s="2008">
        <v>755</v>
      </c>
    </row>
    <row r="89" spans="16:21" ht="15" customHeight="1">
      <c r="P89" s="2004" t="s">
        <v>5692</v>
      </c>
      <c r="Q89" s="2001" t="s">
        <v>5752</v>
      </c>
      <c r="R89" s="2005" t="s">
        <v>5671</v>
      </c>
      <c r="S89" s="2005" t="s">
        <v>5680</v>
      </c>
      <c r="T89" s="2005" t="s">
        <v>5677</v>
      </c>
      <c r="U89" s="2008">
        <v>900</v>
      </c>
    </row>
    <row r="90" spans="16:21" ht="15" customHeight="1">
      <c r="P90" s="2004" t="s">
        <v>5694</v>
      </c>
      <c r="Q90" s="2001" t="s">
        <v>5753</v>
      </c>
      <c r="R90" s="2005" t="s">
        <v>5671</v>
      </c>
      <c r="S90" s="2005" t="s">
        <v>5680</v>
      </c>
      <c r="T90" s="2005" t="s">
        <v>5677</v>
      </c>
      <c r="U90" s="2008">
        <v>2190</v>
      </c>
    </row>
    <row r="91" spans="16:21" ht="15" customHeight="1">
      <c r="P91" s="2004" t="s">
        <v>5698</v>
      </c>
      <c r="Q91" s="2001" t="s">
        <v>5754</v>
      </c>
      <c r="R91" s="2005" t="s">
        <v>5671</v>
      </c>
      <c r="S91" s="2005" t="s">
        <v>5680</v>
      </c>
      <c r="T91" s="2005" t="s">
        <v>5677</v>
      </c>
      <c r="U91" s="2008">
        <v>1818</v>
      </c>
    </row>
    <row r="92" spans="16:21" ht="15" customHeight="1">
      <c r="P92" s="2004" t="s">
        <v>5695</v>
      </c>
      <c r="Q92" s="2001" t="s">
        <v>5755</v>
      </c>
      <c r="R92" s="2005" t="s">
        <v>5671</v>
      </c>
      <c r="S92" s="2005" t="s">
        <v>5680</v>
      </c>
      <c r="T92" s="2005" t="s">
        <v>5677</v>
      </c>
      <c r="U92" s="2008">
        <v>1176.2869559999999</v>
      </c>
    </row>
    <row r="93" spans="16:21" ht="15" customHeight="1">
      <c r="P93" s="2004" t="s">
        <v>5695</v>
      </c>
      <c r="Q93" s="2001" t="s">
        <v>5756</v>
      </c>
      <c r="R93" s="2005" t="s">
        <v>5671</v>
      </c>
      <c r="S93" s="2005" t="s">
        <v>5680</v>
      </c>
      <c r="T93" s="2005" t="s">
        <v>5677</v>
      </c>
      <c r="U93" s="2008">
        <v>1092.4351750000001</v>
      </c>
    </row>
    <row r="94" spans="16:21" ht="15" customHeight="1">
      <c r="P94" s="2004" t="s">
        <v>5695</v>
      </c>
      <c r="Q94" s="2001" t="s">
        <v>5757</v>
      </c>
      <c r="R94" s="2005" t="s">
        <v>5678</v>
      </c>
      <c r="S94" s="2005" t="s">
        <v>5680</v>
      </c>
      <c r="T94" s="2005" t="s">
        <v>5674</v>
      </c>
      <c r="U94" s="2008">
        <v>1237.1090225</v>
      </c>
    </row>
    <row r="95" spans="16:21" ht="15" customHeight="1">
      <c r="P95" s="2004" t="s">
        <v>5690</v>
      </c>
      <c r="Q95" s="2001" t="s">
        <v>5758</v>
      </c>
      <c r="R95" s="2005" t="s">
        <v>5678</v>
      </c>
      <c r="S95" s="2005" t="s">
        <v>5680</v>
      </c>
      <c r="T95" s="2005" t="s">
        <v>5675</v>
      </c>
      <c r="U95" s="2008">
        <v>3786.3212659999999</v>
      </c>
    </row>
    <row r="96" spans="16:21" ht="15" customHeight="1">
      <c r="P96" s="2004" t="s">
        <v>5695</v>
      </c>
      <c r="Q96" s="2001" t="s">
        <v>5759</v>
      </c>
      <c r="R96" s="2005" t="s">
        <v>5679</v>
      </c>
      <c r="S96" s="2005" t="s">
        <v>5680</v>
      </c>
      <c r="T96" s="2005" t="s">
        <v>5674</v>
      </c>
      <c r="U96" s="2008">
        <v>546.21758750000004</v>
      </c>
    </row>
    <row r="97" spans="16:26" ht="15" customHeight="1">
      <c r="P97" s="2004" t="s">
        <v>5690</v>
      </c>
      <c r="Q97" s="2001" t="s">
        <v>5760</v>
      </c>
      <c r="R97" s="2005" t="s">
        <v>5679</v>
      </c>
      <c r="S97" s="2005" t="s">
        <v>5680</v>
      </c>
      <c r="T97" s="2005" t="s">
        <v>5676</v>
      </c>
      <c r="U97" s="2008">
        <v>3481.6204280000002</v>
      </c>
    </row>
    <row r="98" spans="16:26" ht="15" customHeight="1">
      <c r="P98" s="2004" t="s">
        <v>5692</v>
      </c>
      <c r="Q98" s="2001" t="s">
        <v>5761</v>
      </c>
      <c r="R98" s="2005" t="s">
        <v>5679</v>
      </c>
      <c r="S98" s="2005" t="s">
        <v>5680</v>
      </c>
      <c r="T98" s="2005" t="s">
        <v>5676</v>
      </c>
      <c r="U98" s="2008">
        <v>437</v>
      </c>
    </row>
    <row r="99" spans="16:26" ht="15" customHeight="1">
      <c r="P99" s="2004" t="s">
        <v>5695</v>
      </c>
      <c r="Q99" s="2001" t="s">
        <v>5762</v>
      </c>
      <c r="R99" s="2005" t="s">
        <v>5679</v>
      </c>
      <c r="S99" s="2005" t="s">
        <v>5680</v>
      </c>
      <c r="T99" s="2005" t="s">
        <v>5676</v>
      </c>
      <c r="U99" s="2008">
        <v>624.754819</v>
      </c>
    </row>
    <row r="100" spans="16:26" ht="15" customHeight="1">
      <c r="P100" s="2004" t="s">
        <v>5697</v>
      </c>
      <c r="Q100" s="2001" t="s">
        <v>5763</v>
      </c>
      <c r="R100" s="2005" t="s">
        <v>5679</v>
      </c>
      <c r="S100" s="2005" t="s">
        <v>5680</v>
      </c>
      <c r="T100" s="2005" t="s">
        <v>5677</v>
      </c>
      <c r="U100" s="2008">
        <v>500</v>
      </c>
    </row>
    <row r="101" spans="16:26" ht="15" customHeight="1">
      <c r="P101" s="2004" t="s">
        <v>5697</v>
      </c>
      <c r="Q101" s="2001" t="s">
        <v>5764</v>
      </c>
      <c r="R101" s="2005" t="s">
        <v>5679</v>
      </c>
      <c r="S101" s="2005" t="s">
        <v>5680</v>
      </c>
      <c r="T101" s="2005" t="s">
        <v>5677</v>
      </c>
      <c r="U101" s="2008">
        <v>415</v>
      </c>
    </row>
    <row r="102" spans="16:26" ht="15" customHeight="1">
      <c r="P102" s="2004" t="s">
        <v>5692</v>
      </c>
      <c r="Q102" s="2001" t="s">
        <v>5765</v>
      </c>
      <c r="R102" s="2005" t="s">
        <v>5679</v>
      </c>
      <c r="S102" s="2005" t="s">
        <v>5680</v>
      </c>
      <c r="T102" s="2005" t="s">
        <v>5677</v>
      </c>
      <c r="U102" s="2008">
        <v>526</v>
      </c>
    </row>
    <row r="103" spans="16:26" ht="15" customHeight="1">
      <c r="P103" s="2004" t="s">
        <v>5695</v>
      </c>
      <c r="Q103" s="2001" t="s">
        <v>5766</v>
      </c>
      <c r="R103" s="2005" t="s">
        <v>5679</v>
      </c>
      <c r="S103" s="2005" t="s">
        <v>5680</v>
      </c>
      <c r="T103" s="2005" t="s">
        <v>5677</v>
      </c>
      <c r="U103" s="2008">
        <v>720.41670999999997</v>
      </c>
    </row>
    <row r="109" spans="16:26" ht="20.6">
      <c r="P109" s="1987" t="s">
        <v>5769</v>
      </c>
    </row>
    <row r="110" spans="16:26" s="240" customFormat="1" ht="30.75" customHeight="1">
      <c r="P110" s="2009" t="s">
        <v>5648</v>
      </c>
      <c r="Q110" s="2009" t="s">
        <v>5772</v>
      </c>
      <c r="R110" s="2009" t="s">
        <v>5770</v>
      </c>
      <c r="S110" s="2009" t="s">
        <v>5771</v>
      </c>
      <c r="T110" s="2847" t="s">
        <v>405</v>
      </c>
      <c r="U110" s="2847"/>
      <c r="V110" s="2847"/>
      <c r="W110" s="2847"/>
      <c r="X110" s="2847"/>
      <c r="Y110" s="2847"/>
      <c r="Z110" s="2847"/>
    </row>
    <row r="111" spans="16:26">
      <c r="P111" s="1269" t="s">
        <v>1646</v>
      </c>
      <c r="Q111" s="1269" t="s">
        <v>5773</v>
      </c>
      <c r="R111" s="1269" t="s">
        <v>36</v>
      </c>
      <c r="S111" s="2011">
        <v>7125</v>
      </c>
      <c r="T111" s="2848"/>
      <c r="U111" s="2848"/>
      <c r="V111" s="2848"/>
      <c r="W111" s="2848"/>
      <c r="X111" s="2848"/>
      <c r="Y111" s="2848"/>
      <c r="Z111" s="2848"/>
    </row>
    <row r="112" spans="16:26">
      <c r="P112" s="1269" t="s">
        <v>1637</v>
      </c>
      <c r="Q112" s="1269"/>
      <c r="R112" s="1269" t="s">
        <v>36</v>
      </c>
      <c r="S112" s="2011">
        <v>4200</v>
      </c>
      <c r="T112" s="2848"/>
      <c r="U112" s="2848"/>
      <c r="V112" s="2848"/>
      <c r="W112" s="2848"/>
      <c r="X112" s="2848"/>
      <c r="Y112" s="2848"/>
      <c r="Z112" s="2848"/>
    </row>
    <row r="113" spans="16:26">
      <c r="P113" s="1269" t="s">
        <v>5655</v>
      </c>
      <c r="Q113" s="1269"/>
      <c r="R113" s="1269" t="s">
        <v>36</v>
      </c>
      <c r="S113" s="2011">
        <v>4737</v>
      </c>
      <c r="T113" s="2848"/>
      <c r="U113" s="2848"/>
      <c r="V113" s="2848"/>
      <c r="W113" s="2848"/>
      <c r="X113" s="2848"/>
      <c r="Y113" s="2848"/>
      <c r="Z113" s="2848"/>
    </row>
    <row r="114" spans="16:26">
      <c r="P114" s="1269" t="s">
        <v>1609</v>
      </c>
      <c r="Q114" s="1269"/>
      <c r="R114" s="1269" t="s">
        <v>36</v>
      </c>
      <c r="S114" s="2011">
        <v>5000</v>
      </c>
      <c r="T114" s="2848" t="s">
        <v>5774</v>
      </c>
      <c r="U114" s="2848"/>
      <c r="V114" s="2848"/>
      <c r="W114" s="2848"/>
      <c r="X114" s="2848"/>
      <c r="Y114" s="2848"/>
      <c r="Z114" s="2848"/>
    </row>
    <row r="115" spans="16:26">
      <c r="P115" s="1269" t="s">
        <v>1849</v>
      </c>
      <c r="Q115" s="1269" t="s">
        <v>5775</v>
      </c>
      <c r="R115" s="1269" t="s">
        <v>407</v>
      </c>
      <c r="S115" s="2011">
        <v>60939.499795095864</v>
      </c>
      <c r="T115" s="2848"/>
      <c r="U115" s="2848"/>
      <c r="V115" s="2848"/>
      <c r="W115" s="2848"/>
      <c r="X115" s="2848"/>
      <c r="Y115" s="2848"/>
      <c r="Z115" s="2848"/>
    </row>
    <row r="116" spans="16:26">
      <c r="P116" s="1269" t="s">
        <v>1609</v>
      </c>
      <c r="Q116" s="1269" t="s">
        <v>5775</v>
      </c>
      <c r="R116" s="1269" t="s">
        <v>407</v>
      </c>
      <c r="S116" s="2011">
        <v>35000</v>
      </c>
      <c r="T116" s="2848" t="s">
        <v>5776</v>
      </c>
      <c r="U116" s="2848"/>
      <c r="V116" s="2848"/>
      <c r="W116" s="2848"/>
      <c r="X116" s="2848"/>
      <c r="Y116" s="2848"/>
      <c r="Z116" s="2848"/>
    </row>
    <row r="117" spans="16:26">
      <c r="P117" s="1269" t="s">
        <v>1609</v>
      </c>
      <c r="Q117" s="1269" t="s">
        <v>5775</v>
      </c>
      <c r="R117" s="1269" t="s">
        <v>407</v>
      </c>
      <c r="S117" s="2011">
        <v>50000</v>
      </c>
      <c r="T117" s="2848" t="s">
        <v>5777</v>
      </c>
      <c r="U117" s="2848"/>
      <c r="V117" s="2848"/>
      <c r="W117" s="2848"/>
      <c r="X117" s="2848"/>
      <c r="Y117" s="2848"/>
      <c r="Z117" s="2848"/>
    </row>
    <row r="118" spans="16:26">
      <c r="P118" s="1269" t="s">
        <v>5779</v>
      </c>
      <c r="Q118" s="1269" t="s">
        <v>5778</v>
      </c>
      <c r="R118" s="1269" t="s">
        <v>407</v>
      </c>
      <c r="S118" s="2011">
        <v>41666.666666666664</v>
      </c>
      <c r="T118" s="2848"/>
      <c r="U118" s="2848"/>
      <c r="V118" s="2848"/>
      <c r="W118" s="2848"/>
      <c r="X118" s="2848"/>
      <c r="Y118" s="2848"/>
      <c r="Z118" s="2848"/>
    </row>
    <row r="119" spans="16:26">
      <c r="P119" s="1269" t="s">
        <v>5655</v>
      </c>
      <c r="Q119" s="1269"/>
      <c r="R119" s="1269" t="s">
        <v>407</v>
      </c>
      <c r="S119" s="2011">
        <v>46345.177664974617</v>
      </c>
      <c r="T119" s="2848"/>
      <c r="U119" s="2848"/>
      <c r="V119" s="2848"/>
      <c r="W119" s="2848"/>
      <c r="X119" s="2848"/>
      <c r="Y119" s="2848"/>
      <c r="Z119" s="2848"/>
    </row>
    <row r="120" spans="16:26">
      <c r="P120" s="1269" t="s">
        <v>1637</v>
      </c>
      <c r="Q120" s="1269" t="s">
        <v>5780</v>
      </c>
      <c r="R120" s="1269" t="s">
        <v>407</v>
      </c>
      <c r="S120" s="2011">
        <v>62180</v>
      </c>
      <c r="T120" s="2848"/>
      <c r="U120" s="2848"/>
      <c r="V120" s="2848"/>
      <c r="W120" s="2848"/>
      <c r="X120" s="2848"/>
      <c r="Y120" s="2848"/>
      <c r="Z120" s="2848"/>
    </row>
    <row r="121" spans="16:26">
      <c r="P121" s="1269" t="s">
        <v>1646</v>
      </c>
      <c r="Q121" s="1269" t="s">
        <v>5781</v>
      </c>
      <c r="R121" s="1269" t="s">
        <v>407</v>
      </c>
      <c r="S121" s="2011">
        <v>51341.85</v>
      </c>
      <c r="T121" s="2848"/>
      <c r="U121" s="2848"/>
      <c r="V121" s="2848"/>
      <c r="W121" s="2848"/>
      <c r="X121" s="2848"/>
      <c r="Y121" s="2848"/>
      <c r="Z121" s="2848"/>
    </row>
    <row r="122" spans="16:26">
      <c r="P122" s="1269" t="s">
        <v>1646</v>
      </c>
      <c r="Q122" s="1269" t="s">
        <v>5780</v>
      </c>
      <c r="R122" s="1269" t="s">
        <v>407</v>
      </c>
      <c r="S122" s="2011">
        <v>41895.360000000001</v>
      </c>
      <c r="T122" s="2848"/>
      <c r="U122" s="2848"/>
      <c r="V122" s="2848"/>
      <c r="W122" s="2848"/>
      <c r="X122" s="2848"/>
      <c r="Y122" s="2848"/>
      <c r="Z122" s="2848"/>
    </row>
    <row r="123" spans="16:26">
      <c r="P123" s="1269" t="s">
        <v>1646</v>
      </c>
      <c r="Q123" s="1269" t="s">
        <v>5782</v>
      </c>
      <c r="R123" s="1269" t="s">
        <v>279</v>
      </c>
      <c r="S123" s="2011">
        <v>92328.75</v>
      </c>
      <c r="T123" s="2848" t="s">
        <v>5783</v>
      </c>
      <c r="U123" s="2848"/>
      <c r="V123" s="2848"/>
      <c r="W123" s="2848"/>
      <c r="X123" s="2848"/>
      <c r="Y123" s="2848"/>
      <c r="Z123" s="2848"/>
    </row>
    <row r="124" spans="16:26">
      <c r="P124" s="1269" t="s">
        <v>1646</v>
      </c>
      <c r="Q124" s="1269" t="s">
        <v>5791</v>
      </c>
      <c r="R124" s="1269" t="s">
        <v>279</v>
      </c>
      <c r="S124" s="2011">
        <v>164138.29999999999</v>
      </c>
      <c r="T124" s="2848"/>
      <c r="U124" s="2848"/>
      <c r="V124" s="2848"/>
      <c r="W124" s="2848"/>
      <c r="X124" s="2848"/>
      <c r="Y124" s="2848"/>
      <c r="Z124" s="2848"/>
    </row>
    <row r="125" spans="16:26">
      <c r="P125" s="1269" t="s">
        <v>5779</v>
      </c>
      <c r="Q125" s="1269"/>
      <c r="R125" s="1269" t="s">
        <v>279</v>
      </c>
      <c r="S125" s="2011">
        <v>50000</v>
      </c>
      <c r="T125" s="2848" t="s">
        <v>5784</v>
      </c>
      <c r="U125" s="2848"/>
      <c r="V125" s="2848"/>
      <c r="W125" s="2848"/>
      <c r="X125" s="2848"/>
      <c r="Y125" s="2848"/>
      <c r="Z125" s="2848"/>
    </row>
    <row r="126" spans="16:26">
      <c r="P126" s="1269" t="s">
        <v>5779</v>
      </c>
      <c r="Q126" s="1269"/>
      <c r="R126" s="1269" t="s">
        <v>279</v>
      </c>
      <c r="S126" s="2011">
        <v>100000</v>
      </c>
      <c r="T126" s="2848" t="s">
        <v>5785</v>
      </c>
      <c r="U126" s="2848"/>
      <c r="V126" s="2848"/>
      <c r="W126" s="2848"/>
      <c r="X126" s="2848"/>
      <c r="Y126" s="2848"/>
      <c r="Z126" s="2848"/>
    </row>
    <row r="127" spans="16:26">
      <c r="P127" s="1269" t="s">
        <v>1849</v>
      </c>
      <c r="Q127" s="1269" t="s">
        <v>5786</v>
      </c>
      <c r="R127" s="1269" t="s">
        <v>279</v>
      </c>
      <c r="S127" s="2011">
        <v>70448.990000000005</v>
      </c>
      <c r="T127" s="2848"/>
      <c r="U127" s="2848"/>
      <c r="V127" s="2848"/>
      <c r="W127" s="2848"/>
      <c r="X127" s="2848"/>
      <c r="Y127" s="2848"/>
      <c r="Z127" s="2848"/>
    </row>
    <row r="128" spans="16:26">
      <c r="P128" s="1269" t="s">
        <v>1609</v>
      </c>
      <c r="Q128" s="1269"/>
      <c r="R128" s="1269" t="s">
        <v>408</v>
      </c>
      <c r="S128" s="2011">
        <v>150000</v>
      </c>
      <c r="T128" s="2848" t="s">
        <v>5774</v>
      </c>
      <c r="U128" s="2848"/>
      <c r="V128" s="2848"/>
      <c r="W128" s="2848"/>
      <c r="X128" s="2848"/>
      <c r="Y128" s="2848"/>
      <c r="Z128" s="2848"/>
    </row>
    <row r="129" spans="20:26">
      <c r="T129" s="2849"/>
      <c r="U129" s="2849"/>
      <c r="V129" s="2849"/>
      <c r="W129" s="2849"/>
      <c r="X129" s="2849"/>
      <c r="Y129" s="2849"/>
      <c r="Z129" s="2849"/>
    </row>
    <row r="130" spans="20:26">
      <c r="T130" s="2849"/>
      <c r="U130" s="2849"/>
      <c r="V130" s="2849"/>
      <c r="W130" s="2849"/>
      <c r="X130" s="2849"/>
      <c r="Y130" s="2849"/>
      <c r="Z130" s="2849"/>
    </row>
    <row r="131" spans="20:26">
      <c r="T131" s="2849"/>
      <c r="U131" s="2849"/>
      <c r="V131" s="2849"/>
      <c r="W131" s="2849"/>
      <c r="X131" s="2849"/>
      <c r="Y131" s="2849"/>
      <c r="Z131" s="2849"/>
    </row>
    <row r="132" spans="20:26">
      <c r="T132" s="2849"/>
      <c r="U132" s="2849"/>
      <c r="V132" s="2849"/>
      <c r="W132" s="2849"/>
      <c r="X132" s="2849"/>
      <c r="Y132" s="2849"/>
      <c r="Z132" s="2849"/>
    </row>
  </sheetData>
  <sheetProtection algorithmName="SHA-512" hashValue="k39cS/IicZHyAxrdIPwEPAKrx1e3Ukg1ldBJbL8vFYs7tlmCs6Iq5YIfgF6MUiGtZxRPRlCwkyM6J04cYv8wqQ==" saltValue="8zXW7rUAunPObaFRNAr6ww==" spinCount="100000" sheet="1" formatColumns="0" formatRows="0"/>
  <mergeCells count="50">
    <mergeCell ref="C55:D55"/>
    <mergeCell ref="C56:D56"/>
    <mergeCell ref="C57:D57"/>
    <mergeCell ref="C53:D53"/>
    <mergeCell ref="A51:F52"/>
    <mergeCell ref="C54:D54"/>
    <mergeCell ref="T125:Z125"/>
    <mergeCell ref="T126:Z126"/>
    <mergeCell ref="T132:Z132"/>
    <mergeCell ref="T131:Z131"/>
    <mergeCell ref="T130:Z130"/>
    <mergeCell ref="T129:Z129"/>
    <mergeCell ref="T127:Z127"/>
    <mergeCell ref="T128:Z128"/>
    <mergeCell ref="T120:Z120"/>
    <mergeCell ref="T121:Z121"/>
    <mergeCell ref="T122:Z122"/>
    <mergeCell ref="T123:Z123"/>
    <mergeCell ref="T124:Z124"/>
    <mergeCell ref="T116:Z116"/>
    <mergeCell ref="T115:Z115"/>
    <mergeCell ref="T117:Z117"/>
    <mergeCell ref="T118:Z118"/>
    <mergeCell ref="T119:Z119"/>
    <mergeCell ref="T110:Z110"/>
    <mergeCell ref="T111:Z111"/>
    <mergeCell ref="T112:Z112"/>
    <mergeCell ref="T113:Z113"/>
    <mergeCell ref="T114:Z114"/>
    <mergeCell ref="U15:AD15"/>
    <mergeCell ref="U16:AD16"/>
    <mergeCell ref="U17:AD17"/>
    <mergeCell ref="U18:AD18"/>
    <mergeCell ref="A10:G10"/>
    <mergeCell ref="B1:F5"/>
    <mergeCell ref="U11:AD11"/>
    <mergeCell ref="U12:AD12"/>
    <mergeCell ref="U13:AD13"/>
    <mergeCell ref="U14:AD14"/>
    <mergeCell ref="U19:AD19"/>
    <mergeCell ref="U20:AD20"/>
    <mergeCell ref="U21:AD21"/>
    <mergeCell ref="U22:AD22"/>
    <mergeCell ref="U23:AD23"/>
    <mergeCell ref="U29:AD29"/>
    <mergeCell ref="U24:AD24"/>
    <mergeCell ref="U26:AD26"/>
    <mergeCell ref="U25:AD25"/>
    <mergeCell ref="U27:AD27"/>
    <mergeCell ref="U28:AD28"/>
  </mergeCells>
  <pageMargins left="0.7" right="0.7" top="0.75" bottom="0.75" header="0.3" footer="0.3"/>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theme="1" tint="0.34998626667073579"/>
  </sheetPr>
  <dimension ref="A1"/>
  <sheetViews>
    <sheetView showGridLines="0" workbookViewId="0">
      <selection activeCell="K26" sqref="K26"/>
    </sheetView>
  </sheetViews>
  <sheetFormatPr defaultColWidth="8.84375" defaultRowHeight="14.6"/>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14999847407452621"/>
  </sheetPr>
  <dimension ref="A1:AX350"/>
  <sheetViews>
    <sheetView showGridLines="0" zoomScale="80" zoomScaleNormal="80" workbookViewId="0"/>
  </sheetViews>
  <sheetFormatPr defaultColWidth="8.84375" defaultRowHeight="14.6"/>
  <cols>
    <col min="1" max="1" width="9.69140625" customWidth="1"/>
    <col min="2" max="2" width="30.3046875" customWidth="1"/>
    <col min="3" max="3" width="10.69140625" customWidth="1"/>
    <col min="4" max="4" width="24.3046875" customWidth="1"/>
    <col min="5" max="5" width="27.38281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5" max="25" width="11.3828125" bestFit="1" customWidth="1"/>
    <col min="33" max="33" width="19.3046875" customWidth="1"/>
    <col min="41" max="41" width="13" customWidth="1"/>
    <col min="42" max="42" width="15.84375" customWidth="1"/>
    <col min="44" max="44" width="14.69140625" customWidth="1"/>
    <col min="46" max="46" width="18.3046875" customWidth="1"/>
    <col min="47" max="47" width="10" customWidth="1"/>
    <col min="48" max="48" width="18.3828125" customWidth="1"/>
    <col min="49" max="50" width="13.84375" customWidth="1"/>
  </cols>
  <sheetData>
    <row r="1" spans="2:23" ht="101.9" customHeight="1">
      <c r="B1" s="2855" t="s">
        <v>711</v>
      </c>
      <c r="C1" s="2855"/>
      <c r="D1" s="2855"/>
      <c r="E1" s="2855"/>
      <c r="H1" s="771" t="s">
        <v>5470</v>
      </c>
    </row>
    <row r="4" spans="2:23" ht="27" customHeight="1">
      <c r="B4" s="2856" t="s">
        <v>304</v>
      </c>
      <c r="C4" s="2857"/>
      <c r="D4" s="2857"/>
      <c r="E4" s="2858"/>
      <c r="G4" s="25" t="s">
        <v>17</v>
      </c>
      <c r="H4" s="1811" t="s">
        <v>10</v>
      </c>
      <c r="K4" s="2859" t="s">
        <v>405</v>
      </c>
      <c r="L4" s="2859"/>
      <c r="M4" s="2859"/>
      <c r="N4" s="2859"/>
      <c r="O4" s="2859"/>
      <c r="P4" s="2859"/>
      <c r="Q4" s="2859"/>
      <c r="R4" s="2859"/>
      <c r="S4" s="2859"/>
      <c r="T4" s="2859"/>
    </row>
    <row r="5" spans="2:23" ht="15" customHeight="1">
      <c r="B5" s="665" t="s">
        <v>117</v>
      </c>
      <c r="C5" s="664"/>
      <c r="D5" s="664"/>
      <c r="E5" s="663"/>
      <c r="H5" s="521"/>
      <c r="K5" s="2860"/>
      <c r="L5" s="2860"/>
      <c r="M5" s="2860"/>
      <c r="N5" s="2860"/>
      <c r="O5" s="2860"/>
      <c r="P5" s="2860"/>
      <c r="Q5" s="2860"/>
      <c r="R5" s="2860"/>
      <c r="S5" s="2860"/>
      <c r="T5" s="2860"/>
    </row>
    <row r="6" spans="2:23" ht="15" customHeight="1">
      <c r="B6" s="665" t="s">
        <v>165</v>
      </c>
      <c r="C6" s="664"/>
      <c r="D6" s="664"/>
      <c r="E6" s="663"/>
      <c r="F6" s="83"/>
      <c r="G6" s="84"/>
      <c r="H6" s="695"/>
      <c r="K6" s="2860"/>
      <c r="L6" s="2860"/>
      <c r="M6" s="2860"/>
      <c r="N6" s="2860"/>
      <c r="O6" s="2860"/>
      <c r="P6" s="2860"/>
      <c r="Q6" s="2860"/>
      <c r="R6" s="2860"/>
      <c r="S6" s="2860"/>
      <c r="T6" s="2860"/>
    </row>
    <row r="7" spans="2:23" ht="16" customHeight="1">
      <c r="B7" s="662" t="s">
        <v>57</v>
      </c>
      <c r="C7" s="659"/>
      <c r="D7" s="659"/>
      <c r="E7" s="791"/>
      <c r="G7" s="41">
        <v>3</v>
      </c>
      <c r="H7" s="695"/>
      <c r="K7" s="2860"/>
      <c r="L7" s="2860"/>
      <c r="M7" s="2860"/>
      <c r="N7" s="2860"/>
      <c r="O7" s="2860"/>
      <c r="P7" s="2860"/>
      <c r="Q7" s="2860"/>
      <c r="R7" s="2860"/>
      <c r="S7" s="2860"/>
      <c r="T7" s="2860"/>
    </row>
    <row r="8" spans="2:23">
      <c r="B8" s="2861" t="s">
        <v>11</v>
      </c>
      <c r="C8" s="2250"/>
      <c r="D8" s="2250"/>
      <c r="E8" s="2862"/>
      <c r="G8" s="40">
        <v>1.37</v>
      </c>
      <c r="H8" s="1326"/>
      <c r="K8" s="2860"/>
      <c r="L8" s="2860"/>
      <c r="M8" s="2860"/>
      <c r="N8" s="2860"/>
      <c r="O8" s="2860"/>
      <c r="P8" s="2860"/>
      <c r="Q8" s="2860"/>
      <c r="R8" s="2860"/>
      <c r="S8" s="2860"/>
      <c r="T8" s="2860"/>
    </row>
    <row r="9" spans="2:23" ht="18.75" customHeight="1">
      <c r="B9" s="2861" t="s">
        <v>12</v>
      </c>
      <c r="C9" s="2250"/>
      <c r="D9" s="2250"/>
      <c r="E9" s="2862"/>
      <c r="G9" s="41">
        <v>240</v>
      </c>
      <c r="H9" s="695"/>
      <c r="K9" s="2864"/>
      <c r="L9" s="2864"/>
      <c r="M9" s="2864"/>
      <c r="N9" s="2864"/>
      <c r="O9" s="2864"/>
      <c r="P9" s="2864"/>
      <c r="Q9" s="2864"/>
      <c r="R9" s="2864"/>
      <c r="S9" s="2864"/>
      <c r="T9" s="2864"/>
      <c r="U9" s="655"/>
      <c r="V9" s="655"/>
    </row>
    <row r="10" spans="2:23" ht="15" customHeight="1">
      <c r="B10" s="2861" t="s">
        <v>13</v>
      </c>
      <c r="C10" s="2250"/>
      <c r="D10" s="2250"/>
      <c r="E10" s="2862"/>
      <c r="G10" s="41">
        <v>8</v>
      </c>
      <c r="H10" s="695"/>
      <c r="K10" s="2860"/>
      <c r="L10" s="2860"/>
      <c r="M10" s="2860"/>
      <c r="N10" s="2860"/>
      <c r="O10" s="2860"/>
      <c r="P10" s="2860"/>
      <c r="Q10" s="2860"/>
      <c r="R10" s="2860"/>
      <c r="S10" s="2860"/>
      <c r="T10" s="2860"/>
      <c r="U10" s="62"/>
      <c r="V10" s="62"/>
    </row>
    <row r="11" spans="2:23" ht="15" customHeight="1">
      <c r="B11" s="2861" t="s">
        <v>15</v>
      </c>
      <c r="C11" s="2250"/>
      <c r="D11" s="2250"/>
      <c r="E11" s="2862"/>
      <c r="G11" s="41">
        <v>5</v>
      </c>
      <c r="H11" s="695"/>
      <c r="K11" s="2860"/>
      <c r="L11" s="2860"/>
      <c r="M11" s="2860"/>
      <c r="N11" s="2860"/>
      <c r="O11" s="2860"/>
      <c r="P11" s="2860"/>
      <c r="Q11" s="2860"/>
      <c r="R11" s="2860"/>
      <c r="S11" s="2860"/>
      <c r="T11" s="2860"/>
      <c r="U11" s="62"/>
      <c r="V11" s="62"/>
    </row>
    <row r="12" spans="2:23" ht="15" customHeight="1">
      <c r="B12" s="2861" t="s">
        <v>400</v>
      </c>
      <c r="C12" s="2250"/>
      <c r="D12" s="2250"/>
      <c r="E12" s="2862"/>
      <c r="G12" s="42">
        <v>3</v>
      </c>
      <c r="H12" s="702"/>
      <c r="K12" s="2860"/>
      <c r="L12" s="2860"/>
      <c r="M12" s="2860"/>
      <c r="N12" s="2860"/>
      <c r="O12" s="2860"/>
      <c r="P12" s="2860"/>
      <c r="Q12" s="2860"/>
      <c r="R12" s="2860"/>
      <c r="S12" s="2860"/>
      <c r="T12" s="2860"/>
      <c r="U12" s="62"/>
      <c r="V12" s="62"/>
    </row>
    <row r="13" spans="2:23">
      <c r="B13" s="39"/>
      <c r="C13" s="39"/>
      <c r="D13" s="39"/>
      <c r="E13" s="39"/>
      <c r="G13" s="1799"/>
      <c r="H13" s="11"/>
      <c r="S13" s="240"/>
      <c r="T13" s="62"/>
      <c r="U13" s="62"/>
      <c r="V13" s="62"/>
    </row>
    <row r="14" spans="2:23">
      <c r="B14" s="39"/>
      <c r="C14" s="39"/>
      <c r="D14" s="39"/>
      <c r="E14" s="39"/>
      <c r="G14" s="1799"/>
      <c r="H14" s="11"/>
      <c r="T14" s="93"/>
      <c r="U14" s="93"/>
      <c r="V14" s="661"/>
      <c r="W14" s="4"/>
    </row>
    <row r="15" spans="2:23" ht="30" customHeight="1">
      <c r="B15" s="2856" t="s">
        <v>296</v>
      </c>
      <c r="C15" s="2857"/>
      <c r="D15" s="2857"/>
      <c r="E15" s="2858"/>
      <c r="G15" s="25" t="s">
        <v>17</v>
      </c>
      <c r="H15" s="1810" t="s">
        <v>10</v>
      </c>
      <c r="K15" s="2863" t="s">
        <v>405</v>
      </c>
      <c r="L15" s="2863"/>
      <c r="M15" s="2863"/>
      <c r="N15" s="2863"/>
      <c r="O15" s="2863"/>
      <c r="P15" s="2863"/>
      <c r="Q15" s="2863"/>
      <c r="R15" s="2863"/>
      <c r="S15" s="2863"/>
      <c r="T15" s="2863"/>
      <c r="U15" s="62"/>
      <c r="V15" s="62"/>
      <c r="W15" s="4"/>
    </row>
    <row r="16" spans="2:23" ht="15" customHeight="1">
      <c r="B16" s="814"/>
      <c r="C16" s="815"/>
      <c r="D16" s="815"/>
      <c r="E16" s="816"/>
      <c r="G16" s="15"/>
      <c r="H16" s="998"/>
      <c r="I16" s="27"/>
      <c r="J16" s="27"/>
      <c r="K16" s="999"/>
      <c r="L16" s="999"/>
      <c r="M16" s="999"/>
      <c r="N16" s="999"/>
      <c r="O16" s="999"/>
      <c r="P16" s="999"/>
      <c r="Q16" s="999"/>
      <c r="R16" s="999"/>
      <c r="S16" s="999"/>
      <c r="T16" s="999"/>
      <c r="U16" s="62"/>
      <c r="V16" s="62"/>
      <c r="W16" s="4"/>
    </row>
    <row r="17" spans="2:35">
      <c r="B17" s="43" t="s">
        <v>367</v>
      </c>
      <c r="C17" s="44"/>
      <c r="D17" s="44"/>
      <c r="E17" s="45"/>
      <c r="G17" s="46">
        <v>1955</v>
      </c>
      <c r="H17" s="730"/>
      <c r="K17" s="2860"/>
      <c r="L17" s="2860"/>
      <c r="M17" s="2860"/>
      <c r="N17" s="2860"/>
      <c r="O17" s="2860"/>
      <c r="P17" s="2860"/>
      <c r="Q17" s="2860"/>
      <c r="R17" s="2860"/>
      <c r="S17" s="2860"/>
      <c r="T17" s="2860"/>
      <c r="U17" s="95"/>
      <c r="V17" s="95"/>
      <c r="W17" s="4"/>
    </row>
    <row r="18" spans="2:35">
      <c r="B18" s="43" t="s">
        <v>368</v>
      </c>
      <c r="C18" s="44"/>
      <c r="D18" s="44"/>
      <c r="E18" s="45"/>
      <c r="G18" s="41"/>
      <c r="H18" s="695"/>
      <c r="K18" s="2860"/>
      <c r="L18" s="2860"/>
      <c r="M18" s="2860"/>
      <c r="N18" s="2860"/>
      <c r="O18" s="2860"/>
      <c r="P18" s="2860"/>
      <c r="Q18" s="2860"/>
      <c r="R18" s="2860"/>
      <c r="S18" s="2860"/>
      <c r="T18" s="2860"/>
      <c r="U18" s="95"/>
      <c r="V18" s="95"/>
      <c r="W18" s="4"/>
    </row>
    <row r="19" spans="2:35">
      <c r="B19" s="43" t="s">
        <v>130</v>
      </c>
      <c r="C19" s="44"/>
      <c r="D19" s="44"/>
      <c r="E19" s="45"/>
      <c r="G19" s="41"/>
      <c r="H19" s="695"/>
      <c r="K19" s="2860"/>
      <c r="L19" s="2860"/>
      <c r="M19" s="2860"/>
      <c r="N19" s="2860"/>
      <c r="O19" s="2860"/>
      <c r="P19" s="2860"/>
      <c r="Q19" s="2860"/>
      <c r="R19" s="2860"/>
      <c r="S19" s="2860"/>
      <c r="T19" s="2860"/>
      <c r="U19" s="95"/>
      <c r="V19" s="62"/>
      <c r="W19" s="4"/>
    </row>
    <row r="20" spans="2:35">
      <c r="B20" s="660" t="s">
        <v>369</v>
      </c>
      <c r="C20" s="44"/>
      <c r="D20" s="44"/>
      <c r="E20" s="45"/>
      <c r="G20" s="41"/>
      <c r="H20" s="543"/>
      <c r="K20" s="2860"/>
      <c r="L20" s="2860"/>
      <c r="M20" s="2860"/>
      <c r="N20" s="2860"/>
      <c r="O20" s="2860"/>
      <c r="P20" s="2860"/>
      <c r="Q20" s="2860"/>
      <c r="R20" s="2860"/>
      <c r="S20" s="2860"/>
      <c r="T20" s="2860"/>
      <c r="U20" s="95"/>
      <c r="V20" s="62"/>
      <c r="W20" s="4"/>
    </row>
    <row r="21" spans="2:35" ht="16" customHeight="1">
      <c r="B21" s="68" t="s">
        <v>55</v>
      </c>
      <c r="C21" s="44"/>
      <c r="D21" s="44"/>
      <c r="E21" s="45"/>
      <c r="G21" s="55">
        <v>12300000</v>
      </c>
      <c r="H21" s="696"/>
      <c r="K21" s="2860"/>
      <c r="L21" s="2860"/>
      <c r="M21" s="2860"/>
      <c r="N21" s="2860"/>
      <c r="O21" s="2860"/>
      <c r="P21" s="2860"/>
      <c r="Q21" s="2860"/>
      <c r="R21" s="2860"/>
      <c r="S21" s="2860"/>
      <c r="T21" s="2860"/>
      <c r="U21" s="97"/>
      <c r="V21" s="97"/>
      <c r="W21" s="4"/>
    </row>
    <row r="22" spans="2:35" ht="18.45">
      <c r="B22" s="50"/>
      <c r="C22" s="50"/>
      <c r="D22" s="50"/>
      <c r="E22" s="50"/>
      <c r="G22" s="50"/>
      <c r="H22" s="50"/>
      <c r="I22" s="50"/>
      <c r="J22" s="50"/>
      <c r="K22" s="50"/>
      <c r="S22" s="240"/>
      <c r="T22" s="95"/>
      <c r="U22" s="95"/>
      <c r="V22" s="95"/>
    </row>
    <row r="23" spans="2:35">
      <c r="S23" s="1"/>
      <c r="T23" s="272"/>
    </row>
    <row r="24" spans="2:35" ht="27.65" customHeight="1">
      <c r="B24" s="2856" t="s">
        <v>297</v>
      </c>
      <c r="C24" s="2857"/>
      <c r="D24" s="2857"/>
      <c r="E24" s="2858"/>
      <c r="G24" s="2873" t="s">
        <v>72</v>
      </c>
      <c r="H24" s="2874"/>
      <c r="I24" s="697"/>
      <c r="J24" s="2871" t="s">
        <v>24</v>
      </c>
      <c r="K24" s="2871"/>
    </row>
    <row r="25" spans="2:35" ht="15" customHeight="1">
      <c r="B25" s="2865" t="s">
        <v>23</v>
      </c>
      <c r="C25" s="2661"/>
      <c r="D25" s="2661"/>
      <c r="E25" s="2866"/>
      <c r="G25" s="2867" t="s">
        <v>17</v>
      </c>
      <c r="H25" s="2869" t="s">
        <v>10</v>
      </c>
      <c r="J25" s="2871" t="s">
        <v>17</v>
      </c>
      <c r="K25" s="2872" t="s">
        <v>10</v>
      </c>
      <c r="N25" s="2859" t="s">
        <v>405</v>
      </c>
      <c r="O25" s="2859"/>
      <c r="P25" s="2859"/>
      <c r="Q25" s="2859"/>
      <c r="R25" s="2859"/>
      <c r="S25" s="2859"/>
      <c r="T25" s="2859"/>
      <c r="U25" s="2859"/>
      <c r="V25" s="2859"/>
      <c r="W25" s="2859"/>
    </row>
    <row r="26" spans="2:35">
      <c r="B26" s="2611"/>
      <c r="C26" s="2612"/>
      <c r="D26" s="2612"/>
      <c r="E26" s="2613"/>
      <c r="G26" s="2868"/>
      <c r="H26" s="2870"/>
      <c r="J26" s="2871"/>
      <c r="K26" s="2872"/>
      <c r="N26" s="2859"/>
      <c r="O26" s="2859"/>
      <c r="P26" s="2859"/>
      <c r="Q26" s="2859"/>
      <c r="R26" s="2859"/>
      <c r="S26" s="2859"/>
      <c r="T26" s="2859"/>
      <c r="U26" s="2859"/>
      <c r="V26" s="2859"/>
      <c r="W26" s="2859"/>
    </row>
    <row r="27" spans="2:35" ht="15" customHeight="1">
      <c r="B27" s="495" t="s">
        <v>605</v>
      </c>
      <c r="C27" s="1805"/>
      <c r="D27" s="1805"/>
      <c r="E27" s="1808"/>
      <c r="G27" s="1809"/>
      <c r="H27" s="1050"/>
      <c r="I27" s="1051"/>
      <c r="J27" s="1052"/>
      <c r="K27" s="1050"/>
      <c r="N27" s="2860"/>
      <c r="O27" s="2860"/>
      <c r="P27" s="2860"/>
      <c r="Q27" s="2860"/>
      <c r="R27" s="2860"/>
      <c r="S27" s="2860"/>
      <c r="T27" s="2860"/>
      <c r="U27" s="2860"/>
      <c r="V27" s="2860"/>
      <c r="W27" s="2860"/>
      <c r="X27" s="4"/>
      <c r="AE27" s="1"/>
    </row>
    <row r="28" spans="2:35">
      <c r="B28" s="231" t="s">
        <v>19</v>
      </c>
      <c r="C28" s="26"/>
      <c r="D28" s="26"/>
      <c r="E28" s="16"/>
      <c r="G28" s="47" t="e">
        <v>#REF!</v>
      </c>
      <c r="H28" s="524"/>
      <c r="I28" s="705"/>
      <c r="J28" s="706"/>
      <c r="K28" s="524"/>
      <c r="N28" s="2875"/>
      <c r="O28" s="2875"/>
      <c r="P28" s="2875"/>
      <c r="Q28" s="2875"/>
      <c r="R28" s="2875"/>
      <c r="S28" s="2875"/>
      <c r="T28" s="2875"/>
      <c r="U28" s="2875"/>
      <c r="V28" s="2875"/>
      <c r="W28" s="2875"/>
    </row>
    <row r="29" spans="2:35" ht="17.25" customHeight="1">
      <c r="B29" s="231" t="s">
        <v>20</v>
      </c>
      <c r="C29" s="26"/>
      <c r="D29" s="26"/>
      <c r="E29" s="16"/>
      <c r="G29" s="48" t="e">
        <v>#REF!</v>
      </c>
      <c r="H29" s="524"/>
      <c r="I29" s="705"/>
      <c r="J29" s="706"/>
      <c r="K29" s="524"/>
      <c r="N29" s="2876"/>
      <c r="O29" s="2876"/>
      <c r="P29" s="2876"/>
      <c r="Q29" s="2876"/>
      <c r="R29" s="2876"/>
      <c r="S29" s="2876"/>
      <c r="T29" s="2876"/>
      <c r="U29" s="2876"/>
      <c r="V29" s="2876"/>
      <c r="W29" s="2876"/>
      <c r="AI29" s="460"/>
    </row>
    <row r="30" spans="2:35" ht="17.25" customHeight="1">
      <c r="B30" s="231" t="s">
        <v>21</v>
      </c>
      <c r="C30" s="26"/>
      <c r="D30" s="26"/>
      <c r="E30" s="16"/>
      <c r="G30" s="48">
        <v>6.58</v>
      </c>
      <c r="H30" s="524"/>
      <c r="I30" s="705"/>
      <c r="J30" s="706"/>
      <c r="K30" s="524"/>
      <c r="N30" s="2860"/>
      <c r="O30" s="2860"/>
      <c r="P30" s="2860"/>
      <c r="Q30" s="2860"/>
      <c r="R30" s="2860"/>
      <c r="S30" s="2860"/>
      <c r="T30" s="2860"/>
      <c r="U30" s="2860"/>
      <c r="V30" s="2860"/>
      <c r="W30" s="2860"/>
      <c r="AI30" s="460"/>
    </row>
    <row r="31" spans="2:35" ht="17.25" customHeight="1">
      <c r="B31" s="231" t="s">
        <v>22</v>
      </c>
      <c r="C31" s="26"/>
      <c r="D31" s="26"/>
      <c r="E31" s="16"/>
      <c r="G31" s="48">
        <v>5.91</v>
      </c>
      <c r="H31" s="524"/>
      <c r="I31" s="705"/>
      <c r="J31" s="706"/>
      <c r="K31" s="524"/>
      <c r="N31" s="2860"/>
      <c r="O31" s="2860"/>
      <c r="P31" s="2860"/>
      <c r="Q31" s="2860"/>
      <c r="R31" s="2860"/>
      <c r="S31" s="2860"/>
      <c r="T31" s="2860"/>
      <c r="U31" s="2860"/>
      <c r="V31" s="2860"/>
      <c r="W31" s="2860"/>
    </row>
    <row r="32" spans="2:35" ht="17.25" customHeight="1">
      <c r="B32" s="231" t="s">
        <v>402</v>
      </c>
      <c r="C32" s="26"/>
      <c r="D32" s="26"/>
      <c r="E32" s="16"/>
      <c r="G32" s="48" t="e">
        <v>#REF!</v>
      </c>
      <c r="H32" s="524"/>
      <c r="I32" s="705"/>
      <c r="J32" s="706"/>
      <c r="K32" s="524"/>
      <c r="N32" s="2860"/>
      <c r="O32" s="2860"/>
      <c r="P32" s="2860"/>
      <c r="Q32" s="2860"/>
      <c r="R32" s="2860"/>
      <c r="S32" s="2860"/>
      <c r="T32" s="2860"/>
      <c r="U32" s="2860"/>
      <c r="V32" s="2860"/>
      <c r="W32" s="2860"/>
    </row>
    <row r="33" spans="1:25" ht="17.25" customHeight="1">
      <c r="B33" s="231" t="s">
        <v>401</v>
      </c>
      <c r="C33" s="26"/>
      <c r="D33" s="26"/>
      <c r="E33" s="16"/>
      <c r="G33" s="48"/>
      <c r="H33" s="524"/>
      <c r="I33" s="705"/>
      <c r="J33" s="706"/>
      <c r="K33" s="524"/>
      <c r="N33" s="2860"/>
      <c r="O33" s="2860"/>
      <c r="P33" s="2860"/>
      <c r="Q33" s="2860"/>
      <c r="R33" s="2860"/>
      <c r="S33" s="2860"/>
      <c r="T33" s="2860"/>
      <c r="U33" s="2860"/>
      <c r="V33" s="2860"/>
      <c r="W33" s="2860"/>
    </row>
    <row r="34" spans="1:25">
      <c r="B34" s="231" t="s">
        <v>403</v>
      </c>
      <c r="C34" s="26"/>
      <c r="D34" s="26"/>
      <c r="E34" s="16"/>
      <c r="G34" s="48">
        <v>5.91</v>
      </c>
      <c r="H34" s="524"/>
      <c r="I34" s="705"/>
      <c r="J34" s="706"/>
      <c r="K34" s="524"/>
      <c r="N34" s="2860"/>
      <c r="O34" s="2860"/>
      <c r="P34" s="2860"/>
      <c r="Q34" s="2860"/>
      <c r="R34" s="2860"/>
      <c r="S34" s="2860"/>
      <c r="T34" s="2860"/>
      <c r="U34" s="2860"/>
      <c r="V34" s="2860"/>
      <c r="W34" s="2860"/>
    </row>
    <row r="35" spans="1:25">
      <c r="B35" s="232" t="s">
        <v>404</v>
      </c>
      <c r="C35" s="26"/>
      <c r="D35" s="26"/>
      <c r="E35" s="16"/>
      <c r="G35" s="48" t="e">
        <v>#REF!</v>
      </c>
      <c r="H35" s="524"/>
      <c r="I35" s="705"/>
      <c r="J35" s="706"/>
      <c r="K35" s="524"/>
      <c r="N35" s="2860"/>
      <c r="O35" s="2860"/>
      <c r="P35" s="2860"/>
      <c r="Q35" s="2860"/>
      <c r="R35" s="2860"/>
      <c r="S35" s="2860"/>
      <c r="T35" s="2860"/>
      <c r="U35" s="2860"/>
      <c r="V35" s="2860"/>
      <c r="W35" s="2860"/>
    </row>
    <row r="36" spans="1:25">
      <c r="B36" s="232" t="s">
        <v>416</v>
      </c>
      <c r="C36" s="26"/>
      <c r="D36" s="26"/>
      <c r="E36" s="16"/>
      <c r="G36" s="48"/>
      <c r="H36" s="699"/>
      <c r="I36" s="705"/>
      <c r="J36" s="706"/>
      <c r="K36" s="524"/>
      <c r="N36" s="2860"/>
      <c r="O36" s="2860"/>
      <c r="P36" s="2860"/>
      <c r="Q36" s="2860"/>
      <c r="R36" s="2860"/>
      <c r="S36" s="2860"/>
      <c r="T36" s="2860"/>
      <c r="U36" s="2860"/>
      <c r="V36" s="2860"/>
      <c r="W36" s="2860"/>
    </row>
    <row r="37" spans="1:25">
      <c r="B37" s="232" t="s">
        <v>417</v>
      </c>
      <c r="C37" s="26"/>
      <c r="D37" s="26"/>
      <c r="E37" s="16"/>
      <c r="G37" s="48"/>
      <c r="H37" s="699"/>
      <c r="I37" s="705"/>
      <c r="J37" s="706"/>
      <c r="K37" s="524"/>
      <c r="N37" s="2860"/>
      <c r="O37" s="2860"/>
      <c r="P37" s="2860"/>
      <c r="Q37" s="2860"/>
      <c r="R37" s="2860"/>
      <c r="S37" s="2860"/>
      <c r="T37" s="2860"/>
      <c r="U37" s="2860"/>
      <c r="V37" s="2860"/>
      <c r="W37" s="2860"/>
      <c r="Y37" s="37"/>
    </row>
    <row r="38" spans="1:25">
      <c r="B38" s="232" t="s">
        <v>418</v>
      </c>
      <c r="C38" s="27"/>
      <c r="D38" s="27"/>
      <c r="E38" s="17"/>
      <c r="G38" s="49" t="e">
        <v>#REF!</v>
      </c>
      <c r="H38" s="700"/>
      <c r="I38" s="705"/>
      <c r="J38" s="707"/>
      <c r="K38" s="700"/>
      <c r="N38" s="2860"/>
      <c r="O38" s="2860"/>
      <c r="P38" s="2860"/>
      <c r="Q38" s="2860"/>
      <c r="R38" s="2860"/>
      <c r="S38" s="2860"/>
      <c r="T38" s="2860"/>
      <c r="U38" s="2860"/>
      <c r="V38" s="2860"/>
      <c r="W38" s="2860"/>
    </row>
    <row r="40" spans="1:25" ht="18.45">
      <c r="A40" s="10"/>
      <c r="B40" s="1799"/>
      <c r="C40" s="1799"/>
      <c r="S40" s="277"/>
    </row>
    <row r="41" spans="1:25" ht="28" customHeight="1">
      <c r="A41" s="10"/>
      <c r="B41" s="2856" t="s">
        <v>646</v>
      </c>
      <c r="C41" s="2857"/>
      <c r="D41" s="2857"/>
      <c r="E41" s="2858"/>
      <c r="T41" s="1"/>
      <c r="U41" s="1"/>
      <c r="V41" s="1"/>
    </row>
    <row r="42" spans="1:25" ht="32.25" customHeight="1">
      <c r="A42" s="10"/>
      <c r="B42" s="72" t="s">
        <v>34</v>
      </c>
      <c r="C42" s="2880" t="s">
        <v>35</v>
      </c>
      <c r="D42" s="2880"/>
      <c r="E42" s="2881"/>
      <c r="G42" s="15" t="s">
        <v>17</v>
      </c>
      <c r="H42" s="782" t="s">
        <v>10</v>
      </c>
      <c r="K42" s="2859" t="s">
        <v>405</v>
      </c>
      <c r="L42" s="2859"/>
      <c r="M42" s="2859"/>
      <c r="N42" s="2859"/>
      <c r="O42" s="2859"/>
      <c r="P42" s="2859"/>
      <c r="Q42" s="2859"/>
      <c r="R42" s="2859"/>
      <c r="S42" s="2859"/>
      <c r="T42" s="2859"/>
      <c r="U42" s="112"/>
      <c r="V42" s="226"/>
    </row>
    <row r="43" spans="1:25">
      <c r="B43" s="73" t="s">
        <v>136</v>
      </c>
      <c r="C43" s="1812" t="s">
        <v>164</v>
      </c>
      <c r="D43" s="784"/>
      <c r="E43" s="785"/>
      <c r="F43" s="549"/>
      <c r="G43" s="75"/>
      <c r="H43" s="538"/>
      <c r="K43" s="2860"/>
      <c r="L43" s="2860"/>
      <c r="M43" s="2860"/>
      <c r="N43" s="2860"/>
      <c r="O43" s="2860"/>
      <c r="P43" s="2860"/>
      <c r="Q43" s="2860"/>
      <c r="R43" s="2860"/>
      <c r="S43" s="2860"/>
      <c r="T43" s="2860"/>
      <c r="U43" s="6"/>
      <c r="V43" s="6"/>
    </row>
    <row r="44" spans="1:25">
      <c r="A44" s="10"/>
      <c r="B44" s="1800" t="s">
        <v>136</v>
      </c>
      <c r="C44" s="1802" t="s">
        <v>138</v>
      </c>
      <c r="D44" s="81"/>
      <c r="E44" s="82"/>
      <c r="F44" s="549"/>
      <c r="G44" s="75"/>
      <c r="H44" s="539"/>
      <c r="K44" s="2860"/>
      <c r="L44" s="2860"/>
      <c r="M44" s="2860"/>
      <c r="N44" s="2860"/>
      <c r="O44" s="2860"/>
      <c r="P44" s="2860"/>
      <c r="Q44" s="2860"/>
      <c r="R44" s="2860"/>
      <c r="S44" s="2860"/>
      <c r="T44" s="2860"/>
      <c r="U44" s="224"/>
      <c r="V44" s="224"/>
    </row>
    <row r="45" spans="1:25">
      <c r="A45" s="10"/>
      <c r="B45" s="1800" t="s">
        <v>136</v>
      </c>
      <c r="C45" s="1802" t="s">
        <v>161</v>
      </c>
      <c r="D45" s="81"/>
      <c r="E45" s="82"/>
      <c r="F45" s="549"/>
      <c r="G45" s="75"/>
      <c r="H45" s="539"/>
      <c r="K45" s="2860"/>
      <c r="L45" s="2860"/>
      <c r="M45" s="2860"/>
      <c r="N45" s="2860"/>
      <c r="O45" s="2860"/>
      <c r="P45" s="2860"/>
      <c r="Q45" s="2860"/>
      <c r="R45" s="2860"/>
      <c r="S45" s="2860"/>
      <c r="T45" s="2860"/>
      <c r="U45" s="6"/>
      <c r="V45" s="6"/>
    </row>
    <row r="46" spans="1:25">
      <c r="A46" s="10"/>
      <c r="B46" s="73" t="s">
        <v>137</v>
      </c>
      <c r="C46" s="1812" t="s">
        <v>164</v>
      </c>
      <c r="D46" s="784"/>
      <c r="E46" s="785"/>
      <c r="F46" s="549"/>
      <c r="G46" s="75"/>
      <c r="H46" s="538"/>
      <c r="K46" s="2860"/>
      <c r="L46" s="2860"/>
      <c r="M46" s="2860"/>
      <c r="N46" s="2860"/>
      <c r="O46" s="2860"/>
      <c r="P46" s="2860"/>
      <c r="Q46" s="2860"/>
      <c r="R46" s="2860"/>
      <c r="S46" s="2860"/>
      <c r="T46" s="2860"/>
      <c r="U46" s="6"/>
      <c r="V46" s="6"/>
    </row>
    <row r="47" spans="1:25">
      <c r="A47" s="10"/>
      <c r="B47" s="1800" t="s">
        <v>137</v>
      </c>
      <c r="C47" s="1802" t="s">
        <v>138</v>
      </c>
      <c r="D47" s="81"/>
      <c r="E47" s="82"/>
      <c r="F47" s="549"/>
      <c r="G47" s="75"/>
      <c r="H47" s="539"/>
      <c r="K47" s="2860"/>
      <c r="L47" s="2860"/>
      <c r="M47" s="2860"/>
      <c r="N47" s="2860"/>
      <c r="O47" s="2860"/>
      <c r="P47" s="2860"/>
      <c r="Q47" s="2860"/>
      <c r="R47" s="2860"/>
      <c r="S47" s="2860"/>
      <c r="T47" s="2860"/>
      <c r="U47" s="6"/>
      <c r="V47" s="6"/>
    </row>
    <row r="48" spans="1:25">
      <c r="A48" s="10"/>
      <c r="B48" s="1801" t="s">
        <v>137</v>
      </c>
      <c r="C48" s="1813" t="s">
        <v>161</v>
      </c>
      <c r="D48" s="667"/>
      <c r="E48" s="668"/>
      <c r="F48" s="549"/>
      <c r="G48" s="75"/>
      <c r="H48" s="539"/>
      <c r="K48" s="2860"/>
      <c r="L48" s="2860"/>
      <c r="M48" s="2860"/>
      <c r="N48" s="2860"/>
      <c r="O48" s="2860"/>
      <c r="P48" s="2860"/>
      <c r="Q48" s="2860"/>
      <c r="R48" s="2860"/>
      <c r="S48" s="2860"/>
      <c r="T48" s="2860"/>
      <c r="U48" s="658"/>
      <c r="V48" s="658"/>
    </row>
    <row r="49" spans="1:22">
      <c r="A49" s="10"/>
      <c r="B49" s="1800" t="s">
        <v>36</v>
      </c>
      <c r="C49" s="2877" t="s">
        <v>39</v>
      </c>
      <c r="D49" s="2877"/>
      <c r="E49" s="2878"/>
      <c r="F49" s="549" t="str">
        <f t="shared" ref="F49:F66" si="0">B49&amp;C49</f>
        <v>MotorcyclePurchase Price</v>
      </c>
      <c r="G49" s="32">
        <v>15000</v>
      </c>
      <c r="H49" s="540"/>
      <c r="K49" s="2860"/>
      <c r="L49" s="2860"/>
      <c r="M49" s="2860"/>
      <c r="N49" s="2860"/>
      <c r="O49" s="2860"/>
      <c r="P49" s="2860"/>
      <c r="Q49" s="2860"/>
      <c r="R49" s="2860"/>
      <c r="S49" s="2860"/>
      <c r="T49" s="2860"/>
      <c r="U49" s="181"/>
      <c r="V49" s="181"/>
    </row>
    <row r="50" spans="1:22">
      <c r="A50" s="10"/>
      <c r="B50" s="1800" t="s">
        <v>36</v>
      </c>
      <c r="C50" s="2552" t="s">
        <v>40</v>
      </c>
      <c r="D50" s="2552"/>
      <c r="E50" s="2879"/>
      <c r="F50" s="549" t="str">
        <f t="shared" si="0"/>
        <v>MotorcycleDepreciation Cost / yr</v>
      </c>
      <c r="G50" s="30" t="e">
        <f>G49/$H$11</f>
        <v>#DIV/0!</v>
      </c>
      <c r="H50" s="541"/>
      <c r="K50" s="2860"/>
      <c r="L50" s="2860"/>
      <c r="M50" s="2860"/>
      <c r="N50" s="2860"/>
      <c r="O50" s="2860"/>
      <c r="P50" s="2860"/>
      <c r="Q50" s="2860"/>
      <c r="R50" s="2860"/>
      <c r="S50" s="2860"/>
      <c r="T50" s="2860"/>
      <c r="U50" s="181"/>
      <c r="V50" s="181"/>
    </row>
    <row r="51" spans="1:22">
      <c r="A51" s="10"/>
      <c r="B51" s="1800" t="s">
        <v>36</v>
      </c>
      <c r="C51" s="2552" t="s">
        <v>44</v>
      </c>
      <c r="D51" s="2552"/>
      <c r="E51" s="2879"/>
      <c r="F51" s="549" t="str">
        <f t="shared" si="0"/>
        <v>MotorcycleInsurance cost /yr</v>
      </c>
      <c r="G51" s="32">
        <v>1000</v>
      </c>
      <c r="H51" s="542"/>
      <c r="K51" s="2860"/>
      <c r="L51" s="2860"/>
      <c r="M51" s="2860"/>
      <c r="N51" s="2860"/>
      <c r="O51" s="2860"/>
      <c r="P51" s="2860"/>
      <c r="Q51" s="2860"/>
      <c r="R51" s="2860"/>
      <c r="S51" s="2860"/>
      <c r="T51" s="2860"/>
      <c r="U51" t="s">
        <v>700</v>
      </c>
      <c r="V51" s="181"/>
    </row>
    <row r="52" spans="1:22">
      <c r="A52" s="10"/>
      <c r="B52" s="1800" t="s">
        <v>36</v>
      </c>
      <c r="C52" s="2552" t="s">
        <v>42</v>
      </c>
      <c r="D52" s="2552"/>
      <c r="E52" s="2879"/>
      <c r="F52" s="549" t="str">
        <f t="shared" si="0"/>
        <v>MotorcycleMaintenance cost/km</v>
      </c>
      <c r="G52" s="32">
        <v>0.05</v>
      </c>
      <c r="H52" s="542"/>
      <c r="K52" s="2860"/>
      <c r="L52" s="2860"/>
      <c r="M52" s="2860"/>
      <c r="N52" s="2860"/>
      <c r="O52" s="2860"/>
      <c r="P52" s="2860"/>
      <c r="Q52" s="2860"/>
      <c r="R52" s="2860"/>
      <c r="S52" s="2860"/>
      <c r="T52" s="2860"/>
      <c r="U52" t="s">
        <v>700</v>
      </c>
      <c r="V52" s="181"/>
    </row>
    <row r="53" spans="1:22">
      <c r="A53" s="10"/>
      <c r="B53" s="1800" t="s">
        <v>36</v>
      </c>
      <c r="C53" s="2552" t="s">
        <v>41</v>
      </c>
      <c r="D53" s="2552"/>
      <c r="E53" s="2879"/>
      <c r="F53" s="549" t="str">
        <f t="shared" si="0"/>
        <v>MotorcycleFuel Efficiency (km/liter)</v>
      </c>
      <c r="G53" s="31">
        <v>27.5</v>
      </c>
      <c r="H53" s="543"/>
      <c r="K53" s="2860"/>
      <c r="L53" s="2860"/>
      <c r="M53" s="2860"/>
      <c r="N53" s="2860"/>
      <c r="O53" s="2860"/>
      <c r="P53" s="2860"/>
      <c r="Q53" s="2860"/>
      <c r="R53" s="2860"/>
      <c r="S53" s="2860"/>
      <c r="T53" s="2860"/>
      <c r="U53" t="s">
        <v>700</v>
      </c>
      <c r="V53" s="181"/>
    </row>
    <row r="54" spans="1:22">
      <c r="A54" s="10"/>
      <c r="B54" s="1801" t="s">
        <v>36</v>
      </c>
      <c r="C54" s="2882" t="s">
        <v>43</v>
      </c>
      <c r="D54" s="2882"/>
      <c r="E54" s="2883"/>
      <c r="F54" s="549" t="str">
        <f t="shared" si="0"/>
        <v>MotorcycleDelivery Capacity (m^3)</v>
      </c>
      <c r="G54" s="33">
        <v>0.25</v>
      </c>
      <c r="H54" s="544"/>
      <c r="K54" s="2860"/>
      <c r="L54" s="2860"/>
      <c r="M54" s="2860"/>
      <c r="N54" s="2860"/>
      <c r="O54" s="2860"/>
      <c r="P54" s="2860"/>
      <c r="Q54" s="2860"/>
      <c r="R54" s="2860"/>
      <c r="S54" s="2860"/>
      <c r="T54" s="2860"/>
      <c r="U54" t="s">
        <v>699</v>
      </c>
      <c r="V54" s="181"/>
    </row>
    <row r="55" spans="1:22">
      <c r="A55" s="10"/>
      <c r="B55" s="1800" t="s">
        <v>407</v>
      </c>
      <c r="C55" s="2877" t="s">
        <v>39</v>
      </c>
      <c r="D55" s="2877"/>
      <c r="E55" s="2878"/>
      <c r="F55" s="549" t="str">
        <f t="shared" si="0"/>
        <v>Car/Sport Utility/Consumer VehiclePurchase Price</v>
      </c>
      <c r="G55" s="28">
        <v>60939.499795095864</v>
      </c>
      <c r="H55" s="540"/>
      <c r="K55" s="2860"/>
      <c r="L55" s="2860"/>
      <c r="M55" s="2860"/>
      <c r="N55" s="2860"/>
      <c r="O55" s="2860"/>
      <c r="P55" s="2860"/>
      <c r="Q55" s="2860"/>
      <c r="R55" s="2860"/>
      <c r="S55" s="2860"/>
      <c r="T55" s="2860"/>
      <c r="U55" s="181"/>
      <c r="V55" s="181"/>
    </row>
    <row r="56" spans="1:22">
      <c r="A56" s="10"/>
      <c r="B56" s="1800" t="s">
        <v>407</v>
      </c>
      <c r="C56" s="2552" t="s">
        <v>40</v>
      </c>
      <c r="D56" s="2552"/>
      <c r="E56" s="2879"/>
      <c r="F56" s="549" t="str">
        <f t="shared" si="0"/>
        <v>Car/Sport Utility/Consumer VehicleDepreciation Cost / yr</v>
      </c>
      <c r="G56" s="29" t="e">
        <f>G55/$H$11</f>
        <v>#DIV/0!</v>
      </c>
      <c r="H56" s="541"/>
      <c r="K56" s="2860"/>
      <c r="L56" s="2860"/>
      <c r="M56" s="2860"/>
      <c r="N56" s="2860"/>
      <c r="O56" s="2860"/>
      <c r="P56" s="2860"/>
      <c r="Q56" s="2860"/>
      <c r="R56" s="2860"/>
      <c r="S56" s="2860"/>
      <c r="T56" s="2860"/>
      <c r="U56" s="181"/>
      <c r="V56" s="181"/>
    </row>
    <row r="57" spans="1:22">
      <c r="A57" s="10"/>
      <c r="B57" s="1800" t="s">
        <v>407</v>
      </c>
      <c r="C57" s="2552" t="s">
        <v>44</v>
      </c>
      <c r="D57" s="2552"/>
      <c r="E57" s="2879"/>
      <c r="F57" s="549" t="str">
        <f t="shared" si="0"/>
        <v>Car/Sport Utility/Consumer VehicleInsurance cost /yr</v>
      </c>
      <c r="G57" s="28">
        <v>2323.9499999999998</v>
      </c>
      <c r="H57" s="542"/>
      <c r="K57" s="2860"/>
      <c r="L57" s="2860"/>
      <c r="M57" s="2860"/>
      <c r="N57" s="2860"/>
      <c r="O57" s="2860"/>
      <c r="P57" s="2860"/>
      <c r="Q57" s="2860"/>
      <c r="R57" s="2860"/>
      <c r="S57" s="2860"/>
      <c r="T57" s="2860"/>
      <c r="U57" s="181"/>
      <c r="V57" s="181"/>
    </row>
    <row r="58" spans="1:22">
      <c r="A58" s="10"/>
      <c r="B58" s="1800" t="s">
        <v>407</v>
      </c>
      <c r="C58" s="2884" t="s">
        <v>42</v>
      </c>
      <c r="D58" s="2884"/>
      <c r="E58" s="2885"/>
      <c r="F58" s="549" t="str">
        <f t="shared" si="0"/>
        <v>Car/Sport Utility/Consumer VehicleMaintenance cost/km</v>
      </c>
      <c r="G58" s="28">
        <v>0.12</v>
      </c>
      <c r="H58" s="542"/>
      <c r="K58" s="2860"/>
      <c r="L58" s="2860"/>
      <c r="M58" s="2860"/>
      <c r="N58" s="2860"/>
      <c r="O58" s="2860"/>
      <c r="P58" s="2860"/>
      <c r="Q58" s="2860"/>
      <c r="R58" s="2860"/>
      <c r="S58" s="2860"/>
      <c r="T58" s="2860"/>
      <c r="U58" s="181"/>
      <c r="V58" s="181"/>
    </row>
    <row r="59" spans="1:22">
      <c r="A59" s="10"/>
      <c r="B59" s="1800" t="s">
        <v>407</v>
      </c>
      <c r="C59" s="2552" t="s">
        <v>41</v>
      </c>
      <c r="D59" s="2552"/>
      <c r="E59" s="2879"/>
      <c r="F59" s="549" t="str">
        <f t="shared" si="0"/>
        <v>Car/Sport Utility/Consumer VehicleFuel Efficiency (km/liter)</v>
      </c>
      <c r="G59" s="12">
        <v>6.9</v>
      </c>
      <c r="H59" s="543"/>
      <c r="K59" s="2860"/>
      <c r="L59" s="2860"/>
      <c r="M59" s="2860"/>
      <c r="N59" s="2860"/>
      <c r="O59" s="2860"/>
      <c r="P59" s="2860"/>
      <c r="Q59" s="2860"/>
      <c r="R59" s="2860"/>
      <c r="S59" s="2860"/>
      <c r="T59" s="2860"/>
      <c r="U59" s="181"/>
      <c r="V59" s="181"/>
    </row>
    <row r="60" spans="1:22">
      <c r="A60" s="10"/>
      <c r="B60" s="1801" t="s">
        <v>407</v>
      </c>
      <c r="C60" s="2882" t="s">
        <v>43</v>
      </c>
      <c r="D60" s="2882"/>
      <c r="E60" s="2883"/>
      <c r="F60" s="549" t="str">
        <f t="shared" si="0"/>
        <v>Car/Sport Utility/Consumer VehicleDelivery Capacity (m^3)</v>
      </c>
      <c r="G60" s="14">
        <v>2</v>
      </c>
      <c r="H60" s="544"/>
      <c r="K60" s="2860"/>
      <c r="L60" s="2860"/>
      <c r="M60" s="2860"/>
      <c r="N60" s="2860"/>
      <c r="O60" s="2860"/>
      <c r="P60" s="2860"/>
      <c r="Q60" s="2860"/>
      <c r="R60" s="2860"/>
      <c r="S60" s="2860"/>
      <c r="T60" s="2860"/>
      <c r="U60" s="181"/>
      <c r="V60" s="181"/>
    </row>
    <row r="61" spans="1:22">
      <c r="A61" s="10"/>
      <c r="B61" s="1800" t="s">
        <v>279</v>
      </c>
      <c r="C61" s="2877" t="s">
        <v>39</v>
      </c>
      <c r="D61" s="2877"/>
      <c r="E61" s="2878"/>
      <c r="F61" s="803" t="str">
        <f t="shared" si="0"/>
        <v>Commercial TruckPurchase Price</v>
      </c>
      <c r="G61" s="28">
        <v>70448.990000000005</v>
      </c>
      <c r="H61" s="540"/>
      <c r="K61" s="2860"/>
      <c r="L61" s="2860"/>
      <c r="M61" s="2860"/>
      <c r="N61" s="2860"/>
      <c r="O61" s="2860"/>
      <c r="P61" s="2860"/>
      <c r="Q61" s="2860"/>
      <c r="R61" s="2860"/>
      <c r="S61" s="2860"/>
      <c r="T61" s="2860"/>
      <c r="U61" s="104"/>
      <c r="V61" s="104"/>
    </row>
    <row r="62" spans="1:22">
      <c r="A62" s="10"/>
      <c r="B62" s="1800" t="s">
        <v>279</v>
      </c>
      <c r="C62" s="2552" t="s">
        <v>40</v>
      </c>
      <c r="D62" s="2552"/>
      <c r="E62" s="2879"/>
      <c r="F62" s="803" t="str">
        <f t="shared" si="0"/>
        <v>Commercial TruckDepreciation Cost / yr</v>
      </c>
      <c r="G62" s="29" t="e">
        <f>G61/$H$11</f>
        <v>#DIV/0!</v>
      </c>
      <c r="H62" s="541"/>
      <c r="K62" s="2860"/>
      <c r="L62" s="2860"/>
      <c r="M62" s="2860"/>
      <c r="N62" s="2860"/>
      <c r="O62" s="2860"/>
      <c r="P62" s="2860"/>
      <c r="Q62" s="2860"/>
      <c r="R62" s="2860"/>
      <c r="S62" s="2860"/>
      <c r="T62" s="2860"/>
    </row>
    <row r="63" spans="1:22">
      <c r="A63" s="10"/>
      <c r="B63" s="1800" t="s">
        <v>279</v>
      </c>
      <c r="C63" s="2552" t="s">
        <v>44</v>
      </c>
      <c r="D63" s="2552"/>
      <c r="E63" s="2879"/>
      <c r="F63" s="803" t="str">
        <f t="shared" si="0"/>
        <v>Commercial TruckInsurance cost /yr</v>
      </c>
      <c r="G63" s="28">
        <v>2575.86</v>
      </c>
      <c r="H63" s="542"/>
      <c r="K63" s="2860"/>
      <c r="L63" s="2860"/>
      <c r="M63" s="2860"/>
      <c r="N63" s="2860"/>
      <c r="O63" s="2860"/>
      <c r="P63" s="2860"/>
      <c r="Q63" s="2860"/>
      <c r="R63" s="2860"/>
      <c r="S63" s="2860"/>
      <c r="T63" s="2860"/>
    </row>
    <row r="64" spans="1:22">
      <c r="A64" s="10"/>
      <c r="B64" s="1800" t="s">
        <v>279</v>
      </c>
      <c r="C64" s="2552" t="s">
        <v>42</v>
      </c>
      <c r="D64" s="2552"/>
      <c r="E64" s="2879"/>
      <c r="F64" s="803" t="str">
        <f t="shared" si="0"/>
        <v>Commercial TruckMaintenance cost/km</v>
      </c>
      <c r="G64" s="28">
        <v>0.38</v>
      </c>
      <c r="H64" s="542"/>
      <c r="K64" s="2860"/>
      <c r="L64" s="2860"/>
      <c r="M64" s="2860"/>
      <c r="N64" s="2860"/>
      <c r="O64" s="2860"/>
      <c r="P64" s="2860"/>
      <c r="Q64" s="2860"/>
      <c r="R64" s="2860"/>
      <c r="S64" s="2860"/>
      <c r="T64" s="2860"/>
    </row>
    <row r="65" spans="1:23">
      <c r="A65" s="10"/>
      <c r="B65" s="1800" t="s">
        <v>279</v>
      </c>
      <c r="C65" s="2552" t="s">
        <v>41</v>
      </c>
      <c r="D65" s="2552"/>
      <c r="E65" s="2879"/>
      <c r="F65" s="803" t="str">
        <f t="shared" si="0"/>
        <v>Commercial TruckFuel Efficiency (km/liter)</v>
      </c>
      <c r="G65" s="12">
        <v>3.86</v>
      </c>
      <c r="H65" s="543"/>
      <c r="K65" s="2860"/>
      <c r="L65" s="2860"/>
      <c r="M65" s="2860"/>
      <c r="N65" s="2860"/>
      <c r="O65" s="2860"/>
      <c r="P65" s="2860"/>
      <c r="Q65" s="2860"/>
      <c r="R65" s="2860"/>
      <c r="S65" s="2860"/>
      <c r="T65" s="2860"/>
    </row>
    <row r="66" spans="1:23">
      <c r="A66" s="10"/>
      <c r="B66" s="1801" t="s">
        <v>279</v>
      </c>
      <c r="C66" s="2882" t="s">
        <v>43</v>
      </c>
      <c r="D66" s="2882"/>
      <c r="E66" s="2883"/>
      <c r="F66" s="803" t="str">
        <f t="shared" si="0"/>
        <v>Commercial TruckDelivery Capacity (m^3)</v>
      </c>
      <c r="G66" s="14">
        <v>12</v>
      </c>
      <c r="H66" s="544"/>
      <c r="K66" s="2860"/>
      <c r="L66" s="2860"/>
      <c r="M66" s="2860"/>
      <c r="N66" s="2860"/>
      <c r="O66" s="2860"/>
      <c r="P66" s="2860"/>
      <c r="Q66" s="2860"/>
      <c r="R66" s="2860"/>
      <c r="S66" s="2860"/>
      <c r="T66" s="2860"/>
    </row>
    <row r="67" spans="1:23">
      <c r="A67" s="10"/>
      <c r="B67" s="1800" t="s">
        <v>408</v>
      </c>
      <c r="C67" s="2877" t="s">
        <v>39</v>
      </c>
      <c r="D67" s="2877"/>
      <c r="E67" s="2878"/>
      <c r="F67" s="549"/>
      <c r="H67" s="540"/>
      <c r="K67" s="2860"/>
      <c r="L67" s="2860"/>
      <c r="M67" s="2860"/>
      <c r="N67" s="2860"/>
      <c r="O67" s="2860"/>
      <c r="P67" s="2860"/>
      <c r="Q67" s="2860"/>
      <c r="R67" s="2860"/>
      <c r="S67" s="2860"/>
      <c r="T67" s="2860"/>
      <c r="W67" s="37"/>
    </row>
    <row r="68" spans="1:23">
      <c r="A68" s="10"/>
      <c r="B68" s="1800" t="s">
        <v>408</v>
      </c>
      <c r="C68" s="2552" t="s">
        <v>40</v>
      </c>
      <c r="D68" s="2552"/>
      <c r="E68" s="2879"/>
      <c r="F68" s="549"/>
      <c r="H68" s="541"/>
      <c r="K68" s="2860"/>
      <c r="L68" s="2860"/>
      <c r="M68" s="2860"/>
      <c r="N68" s="2860"/>
      <c r="O68" s="2860"/>
      <c r="P68" s="2860"/>
      <c r="Q68" s="2860"/>
      <c r="R68" s="2860"/>
      <c r="S68" s="2860"/>
      <c r="T68" s="2860"/>
    </row>
    <row r="69" spans="1:23">
      <c r="A69" s="10"/>
      <c r="B69" s="1800" t="s">
        <v>408</v>
      </c>
      <c r="C69" s="2552" t="s">
        <v>44</v>
      </c>
      <c r="D69" s="2552"/>
      <c r="E69" s="2879"/>
      <c r="F69" s="549"/>
      <c r="H69" s="542"/>
      <c r="K69" s="2860"/>
      <c r="L69" s="2860"/>
      <c r="M69" s="2860"/>
      <c r="N69" s="2860"/>
      <c r="O69" s="2860"/>
      <c r="P69" s="2860"/>
      <c r="Q69" s="2860"/>
      <c r="R69" s="2860"/>
      <c r="S69" s="2860"/>
      <c r="T69" s="2860"/>
      <c r="U69" s="655"/>
      <c r="V69" s="655"/>
    </row>
    <row r="70" spans="1:23">
      <c r="A70" s="10"/>
      <c r="B70" s="1800" t="s">
        <v>408</v>
      </c>
      <c r="C70" s="2552" t="s">
        <v>42</v>
      </c>
      <c r="D70" s="2552"/>
      <c r="E70" s="2879"/>
      <c r="F70" s="549"/>
      <c r="H70" s="542"/>
      <c r="K70" s="2860"/>
      <c r="L70" s="2860"/>
      <c r="M70" s="2860"/>
      <c r="N70" s="2860"/>
      <c r="O70" s="2860"/>
      <c r="P70" s="2860"/>
      <c r="Q70" s="2860"/>
      <c r="R70" s="2860"/>
      <c r="S70" s="2860"/>
      <c r="T70" s="2860"/>
      <c r="U70" s="37"/>
      <c r="V70" s="654"/>
    </row>
    <row r="71" spans="1:23" ht="15" customHeight="1">
      <c r="A71" s="10"/>
      <c r="B71" s="1800" t="s">
        <v>408</v>
      </c>
      <c r="C71" s="2552" t="s">
        <v>41</v>
      </c>
      <c r="D71" s="2552"/>
      <c r="E71" s="2879"/>
      <c r="F71" s="549"/>
      <c r="H71" s="543"/>
      <c r="K71" s="2860"/>
      <c r="L71" s="2860"/>
      <c r="M71" s="2860"/>
      <c r="N71" s="2860"/>
      <c r="O71" s="2860"/>
      <c r="P71" s="2860"/>
      <c r="Q71" s="2860"/>
      <c r="R71" s="2860"/>
      <c r="S71" s="2860"/>
      <c r="T71" s="2860"/>
      <c r="U71" s="37"/>
      <c r="V71" s="654"/>
    </row>
    <row r="72" spans="1:23">
      <c r="A72" s="10"/>
      <c r="B72" s="1801" t="s">
        <v>408</v>
      </c>
      <c r="C72" s="2882" t="s">
        <v>43</v>
      </c>
      <c r="D72" s="2882"/>
      <c r="E72" s="2883"/>
      <c r="F72" s="549"/>
      <c r="H72" s="544"/>
      <c r="K72" s="2860"/>
      <c r="L72" s="2860"/>
      <c r="M72" s="2860"/>
      <c r="N72" s="2860"/>
      <c r="O72" s="2860"/>
      <c r="P72" s="2860"/>
      <c r="Q72" s="2860"/>
      <c r="R72" s="2860"/>
      <c r="S72" s="2860"/>
      <c r="T72" s="2860"/>
      <c r="U72" s="37"/>
      <c r="V72" s="654"/>
    </row>
    <row r="73" spans="1:23">
      <c r="B73" s="1800" t="s">
        <v>409</v>
      </c>
      <c r="C73" s="2877" t="s">
        <v>39</v>
      </c>
      <c r="D73" s="2877"/>
      <c r="E73" s="2878"/>
      <c r="F73" s="549"/>
      <c r="H73" s="540"/>
      <c r="K73" s="2860"/>
      <c r="L73" s="2860"/>
      <c r="M73" s="2860"/>
      <c r="N73" s="2860"/>
      <c r="O73" s="2860"/>
      <c r="P73" s="2860"/>
      <c r="Q73" s="2860"/>
      <c r="R73" s="2860"/>
      <c r="S73" s="2860"/>
      <c r="T73" s="2860"/>
      <c r="U73" s="37"/>
      <c r="V73" s="654"/>
    </row>
    <row r="74" spans="1:23">
      <c r="A74" s="10"/>
      <c r="B74" s="1800" t="s">
        <v>409</v>
      </c>
      <c r="C74" s="2552" t="s">
        <v>40</v>
      </c>
      <c r="D74" s="2552"/>
      <c r="E74" s="2879"/>
      <c r="F74" s="549"/>
      <c r="H74" s="541"/>
      <c r="K74" s="2860"/>
      <c r="L74" s="2860"/>
      <c r="M74" s="2860"/>
      <c r="N74" s="2860"/>
      <c r="O74" s="2860"/>
      <c r="P74" s="2860"/>
      <c r="Q74" s="2860"/>
      <c r="R74" s="2860"/>
      <c r="S74" s="2860"/>
      <c r="T74" s="2860"/>
      <c r="U74" s="653"/>
      <c r="V74" s="652"/>
    </row>
    <row r="75" spans="1:23">
      <c r="A75" s="10"/>
      <c r="B75" s="1800" t="s">
        <v>409</v>
      </c>
      <c r="C75" s="2552" t="s">
        <v>44</v>
      </c>
      <c r="D75" s="2552"/>
      <c r="E75" s="2879"/>
      <c r="F75" s="549"/>
      <c r="H75" s="542"/>
      <c r="K75" s="2860"/>
      <c r="L75" s="2860"/>
      <c r="M75" s="2860"/>
      <c r="N75" s="2860"/>
      <c r="O75" s="2860"/>
      <c r="P75" s="2860"/>
      <c r="Q75" s="2860"/>
      <c r="R75" s="2860"/>
      <c r="S75" s="2860"/>
      <c r="T75" s="2860"/>
    </row>
    <row r="76" spans="1:23" ht="14.25" customHeight="1">
      <c r="A76" s="10"/>
      <c r="B76" s="1800" t="s">
        <v>409</v>
      </c>
      <c r="C76" s="2552" t="s">
        <v>42</v>
      </c>
      <c r="D76" s="2552"/>
      <c r="E76" s="2879"/>
      <c r="F76" s="549"/>
      <c r="H76" s="542"/>
      <c r="K76" s="2860"/>
      <c r="L76" s="2860"/>
      <c r="M76" s="2860"/>
      <c r="N76" s="2860"/>
      <c r="O76" s="2860"/>
      <c r="P76" s="2860"/>
      <c r="Q76" s="2860"/>
      <c r="R76" s="2860"/>
      <c r="S76" s="2860"/>
      <c r="T76" s="2860"/>
    </row>
    <row r="77" spans="1:23" ht="15.75" customHeight="1">
      <c r="A77" s="10"/>
      <c r="B77" s="1800" t="s">
        <v>409</v>
      </c>
      <c r="C77" s="2552" t="s">
        <v>41</v>
      </c>
      <c r="D77" s="2552"/>
      <c r="E77" s="2879"/>
      <c r="F77" s="549"/>
      <c r="H77" s="543"/>
      <c r="K77" s="2860"/>
      <c r="L77" s="2860"/>
      <c r="M77" s="2860"/>
      <c r="N77" s="2860"/>
      <c r="O77" s="2860"/>
      <c r="P77" s="2860"/>
      <c r="Q77" s="2860"/>
      <c r="R77" s="2860"/>
      <c r="S77" s="2860"/>
      <c r="T77" s="2860"/>
    </row>
    <row r="78" spans="1:23">
      <c r="A78" s="10"/>
      <c r="B78" s="1801" t="s">
        <v>409</v>
      </c>
      <c r="C78" s="2882" t="s">
        <v>43</v>
      </c>
      <c r="D78" s="2882"/>
      <c r="E78" s="2883"/>
      <c r="F78" s="549"/>
      <c r="H78" s="544"/>
      <c r="K78" s="2860"/>
      <c r="L78" s="2860"/>
      <c r="M78" s="2860"/>
      <c r="N78" s="2860"/>
      <c r="O78" s="2860"/>
      <c r="P78" s="2860"/>
      <c r="Q78" s="2860"/>
      <c r="R78" s="2860"/>
      <c r="S78" s="2860"/>
      <c r="T78" s="2860"/>
    </row>
    <row r="79" spans="1:23" ht="30" customHeight="1">
      <c r="A79" s="10"/>
      <c r="B79" s="1799"/>
      <c r="C79" s="1799"/>
    </row>
    <row r="80" spans="1:23">
      <c r="A80" s="10"/>
      <c r="B80" s="1799"/>
      <c r="C80" s="1799"/>
    </row>
    <row r="81" spans="1:50" ht="27.65" customHeight="1">
      <c r="A81" s="2886" t="s">
        <v>607</v>
      </c>
      <c r="B81" s="2886"/>
      <c r="C81" s="2886"/>
      <c r="D81" s="2886"/>
      <c r="E81" s="2886"/>
      <c r="G81" t="s">
        <v>3</v>
      </c>
    </row>
    <row r="82" spans="1:50" ht="15" customHeight="1">
      <c r="A82" s="10"/>
      <c r="B82" s="148"/>
      <c r="C82" s="148"/>
      <c r="D82" s="148"/>
      <c r="E82" s="148"/>
      <c r="G82" s="2887" t="s">
        <v>9</v>
      </c>
      <c r="H82" s="2888"/>
      <c r="I82" s="1799"/>
      <c r="J82" s="2889" t="s">
        <v>6</v>
      </c>
      <c r="K82" s="2890"/>
      <c r="L82" s="1799"/>
      <c r="M82" s="2889" t="s">
        <v>7</v>
      </c>
      <c r="N82" s="2890"/>
      <c r="O82" s="1799"/>
      <c r="P82" s="1814" t="s">
        <v>8</v>
      </c>
      <c r="Q82" s="1814" t="s">
        <v>8</v>
      </c>
      <c r="R82" s="1799"/>
      <c r="S82" s="1799"/>
      <c r="T82" s="1814" t="s">
        <v>411</v>
      </c>
      <c r="U82" s="1799"/>
      <c r="V82" s="1799"/>
      <c r="W82" s="718" t="s">
        <v>412</v>
      </c>
    </row>
    <row r="83" spans="1:50" ht="15" customHeight="1">
      <c r="B83" s="148"/>
      <c r="C83" s="148"/>
      <c r="D83" s="148"/>
      <c r="E83" s="148"/>
      <c r="G83" s="2867" t="s">
        <v>17</v>
      </c>
      <c r="H83" s="2894" t="s">
        <v>10</v>
      </c>
      <c r="I83" s="6"/>
      <c r="J83" s="2637" t="s">
        <v>17</v>
      </c>
      <c r="K83" s="2894" t="s">
        <v>10</v>
      </c>
      <c r="L83" s="6"/>
      <c r="M83" s="2637" t="s">
        <v>17</v>
      </c>
      <c r="N83" s="2894" t="s">
        <v>10</v>
      </c>
      <c r="P83" s="2867" t="s">
        <v>17</v>
      </c>
      <c r="Q83" s="2869" t="s">
        <v>10</v>
      </c>
      <c r="T83" s="2869" t="s">
        <v>10</v>
      </c>
      <c r="W83" s="2869" t="s">
        <v>10</v>
      </c>
      <c r="X83" s="2661"/>
      <c r="Y83" s="2661"/>
      <c r="Z83" s="2661"/>
      <c r="AA83" s="2661"/>
      <c r="AB83" s="2661"/>
      <c r="AC83" s="2661"/>
      <c r="AD83" s="2661"/>
      <c r="AE83" s="2661"/>
      <c r="AF83" s="2661"/>
      <c r="AG83" s="2866"/>
    </row>
    <row r="84" spans="1:50" ht="15" customHeight="1">
      <c r="B84" s="148"/>
      <c r="C84" s="148"/>
      <c r="D84" s="148"/>
      <c r="E84" s="148"/>
      <c r="G84" s="2891"/>
      <c r="H84" s="2895"/>
      <c r="I84" s="6"/>
      <c r="J84" s="2896"/>
      <c r="K84" s="2895"/>
      <c r="L84" s="6"/>
      <c r="M84" s="2896"/>
      <c r="N84" s="2895"/>
      <c r="P84" s="2891"/>
      <c r="Q84" s="2892"/>
      <c r="T84" s="2892"/>
      <c r="W84" s="2892"/>
      <c r="X84" s="2662"/>
      <c r="Y84" s="2662"/>
      <c r="Z84" s="2662"/>
      <c r="AA84" s="2662"/>
      <c r="AB84" s="2662"/>
      <c r="AC84" s="2662"/>
      <c r="AD84" s="2662"/>
      <c r="AE84" s="2662"/>
      <c r="AF84" s="2662"/>
      <c r="AG84" s="2610"/>
    </row>
    <row r="85" spans="1:50" ht="16.75">
      <c r="A85" s="1819"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50" ht="20.2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X86" s="2893"/>
      <c r="Y86" s="2893"/>
      <c r="Z86" s="2893"/>
      <c r="AA86" s="2893"/>
      <c r="AB86" s="2893"/>
      <c r="AC86" s="2893"/>
      <c r="AD86" s="2893"/>
      <c r="AE86" s="2893"/>
      <c r="AF86" s="2893"/>
      <c r="AG86" s="2893"/>
    </row>
    <row r="87" spans="1:50" ht="18" customHeight="1">
      <c r="B87" s="44" t="s">
        <v>0</v>
      </c>
      <c r="C87" s="44"/>
      <c r="D87" s="44"/>
      <c r="E87" s="44"/>
      <c r="F87" s="236"/>
      <c r="G87" s="719" t="s">
        <v>31</v>
      </c>
      <c r="H87" s="482"/>
      <c r="I87" s="466"/>
      <c r="J87" s="501"/>
      <c r="K87" s="482"/>
      <c r="L87" s="466"/>
      <c r="M87" s="501"/>
      <c r="N87" s="482"/>
      <c r="O87" s="466"/>
      <c r="P87" s="501"/>
      <c r="Q87" s="482"/>
      <c r="R87" s="466"/>
      <c r="S87" s="466"/>
      <c r="T87" s="482"/>
      <c r="U87" s="466"/>
      <c r="V87" s="466"/>
      <c r="W87" s="1056"/>
      <c r="X87" s="2893"/>
      <c r="Y87" s="2893"/>
      <c r="Z87" s="2893"/>
      <c r="AA87" s="2893"/>
      <c r="AB87" s="2893"/>
      <c r="AC87" s="2893"/>
      <c r="AD87" s="2893"/>
      <c r="AE87" s="2893"/>
      <c r="AF87" s="2893"/>
      <c r="AG87" s="2893"/>
    </row>
    <row r="88" spans="1:50" ht="18.45">
      <c r="A88" s="6"/>
      <c r="B88" s="723" t="s">
        <v>2264</v>
      </c>
      <c r="C88" s="1806"/>
      <c r="D88" s="1806"/>
      <c r="E88" s="1806"/>
      <c r="F88" s="129"/>
      <c r="G88" s="1165"/>
      <c r="H88" s="766"/>
      <c r="I88" s="1166"/>
      <c r="J88" s="1167"/>
      <c r="K88" s="766"/>
      <c r="L88" s="741"/>
      <c r="M88" s="742"/>
      <c r="N88" s="766"/>
      <c r="O88" s="741"/>
      <c r="P88" s="767"/>
      <c r="Q88" s="766"/>
      <c r="R88" s="720"/>
      <c r="S88" s="720"/>
      <c r="T88" s="766"/>
      <c r="U88" s="720"/>
      <c r="V88" s="720"/>
      <c r="W88" s="761"/>
      <c r="X88" s="2900"/>
      <c r="Y88" s="2900"/>
      <c r="Z88" s="2900"/>
      <c r="AA88" s="2901"/>
      <c r="AB88" s="2901"/>
      <c r="AC88" s="2901"/>
      <c r="AD88" s="2901"/>
      <c r="AE88" s="2901"/>
      <c r="AF88" s="2901"/>
      <c r="AG88" s="2901"/>
      <c r="AH88" s="9"/>
    </row>
    <row r="89" spans="1:50">
      <c r="B89" s="52"/>
      <c r="C89" s="52"/>
      <c r="D89" s="52"/>
      <c r="E89" s="52"/>
      <c r="G89" s="717"/>
      <c r="H89" s="1804"/>
      <c r="J89" s="1804"/>
      <c r="K89" s="1804"/>
      <c r="M89" s="1804"/>
      <c r="N89" s="1804"/>
      <c r="P89" s="1804"/>
      <c r="Q89" s="1804"/>
      <c r="T89" s="1804"/>
      <c r="W89" s="1804"/>
    </row>
    <row r="90" spans="1:50" ht="18.45">
      <c r="A90" s="1819"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c r="AO90" s="1318" t="s">
        <v>2178</v>
      </c>
      <c r="AP90" s="1318" t="s">
        <v>2180</v>
      </c>
      <c r="AQ90" s="1318" t="s">
        <v>2181</v>
      </c>
      <c r="AR90" s="1318" t="s">
        <v>2182</v>
      </c>
      <c r="AT90" s="1323" t="s">
        <v>2183</v>
      </c>
      <c r="AU90" s="1323" t="s">
        <v>2178</v>
      </c>
      <c r="AV90" s="1323" t="s">
        <v>2227</v>
      </c>
      <c r="AW90" s="1323" t="s">
        <v>2224</v>
      </c>
      <c r="AX90" s="1323" t="s">
        <v>2229</v>
      </c>
    </row>
    <row r="91" spans="1:50" ht="18.649999999999999" hidden="1" customHeight="1">
      <c r="A91" s="1"/>
      <c r="B91" s="50"/>
      <c r="C91" s="50"/>
      <c r="D91" s="50"/>
      <c r="E91" s="50"/>
      <c r="G91" s="66"/>
      <c r="H91" s="1816"/>
      <c r="I91" s="6"/>
      <c r="J91" s="1817"/>
      <c r="K91" s="1816"/>
      <c r="L91" s="6"/>
      <c r="M91" s="1817"/>
      <c r="N91" s="1816"/>
      <c r="P91" s="66"/>
      <c r="Q91" s="1815"/>
      <c r="T91" s="1815"/>
      <c r="W91" s="724"/>
      <c r="AO91" s="1270"/>
      <c r="AP91" s="1270"/>
      <c r="AQ91" s="1270"/>
      <c r="AR91" s="1270"/>
    </row>
    <row r="92" spans="1:50" ht="18.45">
      <c r="A92" s="6"/>
      <c r="B92" s="723" t="s">
        <v>16</v>
      </c>
      <c r="C92" s="1806"/>
      <c r="D92" s="1806"/>
      <c r="E92" s="1806"/>
      <c r="F92" s="725"/>
      <c r="G92" s="65"/>
      <c r="H92" s="1313"/>
      <c r="I92" s="1314"/>
      <c r="J92" s="1315"/>
      <c r="K92" s="1313"/>
      <c r="N92" s="553"/>
      <c r="O92" s="710"/>
      <c r="P92" s="712"/>
      <c r="Q92" s="553"/>
      <c r="R92" s="713"/>
      <c r="S92" s="713"/>
      <c r="T92" s="553"/>
      <c r="U92" s="713"/>
      <c r="V92" s="713"/>
      <c r="W92" s="730"/>
      <c r="X92" s="2893"/>
      <c r="Y92" s="2893"/>
      <c r="Z92" s="2893"/>
      <c r="AA92" s="2893"/>
      <c r="AB92" s="2893"/>
      <c r="AC92" s="2893"/>
      <c r="AD92" s="2893"/>
      <c r="AE92" s="2893"/>
      <c r="AF92" s="2893"/>
      <c r="AG92" s="2893"/>
      <c r="AO92" s="1322" t="s">
        <v>2171</v>
      </c>
      <c r="AP92" s="1322" t="s">
        <v>2179</v>
      </c>
      <c r="AQ92" s="1270">
        <v>30</v>
      </c>
      <c r="AR92" s="1270" t="s">
        <v>1265</v>
      </c>
      <c r="AT92" t="s">
        <v>2184</v>
      </c>
      <c r="AU92" t="s">
        <v>2171</v>
      </c>
    </row>
    <row r="93" spans="1:50" ht="18.45">
      <c r="A93" s="6"/>
      <c r="B93" s="726" t="s">
        <v>124</v>
      </c>
      <c r="C93" s="727"/>
      <c r="D93" s="727"/>
      <c r="E93" s="727"/>
      <c r="F93" s="728"/>
      <c r="G93" s="65"/>
      <c r="H93" s="554"/>
      <c r="I93" s="731"/>
      <c r="J93" s="732"/>
      <c r="K93" s="554"/>
      <c r="N93" s="554"/>
      <c r="O93" s="733"/>
      <c r="P93" s="734"/>
      <c r="Q93" s="554"/>
      <c r="R93" s="735"/>
      <c r="S93" s="735"/>
      <c r="T93" s="554"/>
      <c r="U93" s="735"/>
      <c r="V93" s="735"/>
      <c r="W93" s="736"/>
      <c r="X93" s="2893"/>
      <c r="Y93" s="2893"/>
      <c r="Z93" s="2893"/>
      <c r="AA93" s="2893"/>
      <c r="AB93" s="2893"/>
      <c r="AC93" s="2893"/>
      <c r="AD93" s="2893"/>
      <c r="AE93" s="2893"/>
      <c r="AF93" s="2893"/>
      <c r="AG93" s="2893"/>
      <c r="AH93" s="9"/>
      <c r="AO93" s="1322" t="s">
        <v>2172</v>
      </c>
      <c r="AP93" s="1322" t="s">
        <v>2179</v>
      </c>
      <c r="AQ93" s="1270">
        <v>14</v>
      </c>
      <c r="AR93" s="1319">
        <v>36</v>
      </c>
      <c r="AT93" t="s">
        <v>2185</v>
      </c>
      <c r="AU93" t="s">
        <v>2171</v>
      </c>
    </row>
    <row r="94" spans="1:50" ht="18.45">
      <c r="A94" s="6"/>
      <c r="B94" s="726" t="s">
        <v>123</v>
      </c>
      <c r="C94" s="727"/>
      <c r="D94" s="727"/>
      <c r="E94" s="727"/>
      <c r="F94" s="728"/>
      <c r="G94" s="65"/>
      <c r="H94" s="737"/>
      <c r="I94" s="710"/>
      <c r="J94" s="711"/>
      <c r="K94" s="737"/>
      <c r="N94" s="737"/>
      <c r="O94" s="710"/>
      <c r="P94" s="712"/>
      <c r="Q94" s="737"/>
      <c r="R94" s="713"/>
      <c r="S94" s="713"/>
      <c r="T94" s="737"/>
      <c r="U94" s="713"/>
      <c r="V94" s="713"/>
      <c r="W94" s="738"/>
      <c r="X94" s="2893"/>
      <c r="Y94" s="2893"/>
      <c r="Z94" s="2893"/>
      <c r="AA94" s="2893"/>
      <c r="AB94" s="2893"/>
      <c r="AC94" s="2893"/>
      <c r="AD94" s="2893"/>
      <c r="AE94" s="2893"/>
      <c r="AF94" s="2893"/>
      <c r="AG94" s="2893"/>
      <c r="AH94" s="9"/>
      <c r="AO94" s="1270" t="s">
        <v>2173</v>
      </c>
      <c r="AP94" s="1270" t="s">
        <v>120</v>
      </c>
      <c r="AQ94" s="1270">
        <v>28</v>
      </c>
      <c r="AR94" s="1270">
        <v>8</v>
      </c>
      <c r="AT94" t="s">
        <v>2186</v>
      </c>
      <c r="AU94" t="s">
        <v>2171</v>
      </c>
      <c r="AV94">
        <v>10</v>
      </c>
      <c r="AW94" t="s">
        <v>2225</v>
      </c>
    </row>
    <row r="95" spans="1:50" ht="18.45">
      <c r="A95" s="6"/>
      <c r="B95" s="726" t="s">
        <v>56</v>
      </c>
      <c r="C95" s="727"/>
      <c r="D95" s="727"/>
      <c r="E95" s="727"/>
      <c r="F95" s="728"/>
      <c r="G95" s="65">
        <v>1</v>
      </c>
      <c r="H95" s="523"/>
      <c r="I95" s="708"/>
      <c r="J95" s="709"/>
      <c r="K95" s="523"/>
      <c r="N95" s="523"/>
      <c r="O95" s="710"/>
      <c r="P95" s="712"/>
      <c r="Q95" s="523"/>
      <c r="R95" s="713"/>
      <c r="S95" s="713"/>
      <c r="T95" s="523"/>
      <c r="U95" s="713"/>
      <c r="V95" s="713"/>
      <c r="W95" s="695"/>
      <c r="X95" s="2893"/>
      <c r="Y95" s="2893"/>
      <c r="Z95" s="2893"/>
      <c r="AA95" s="2893"/>
      <c r="AB95" s="2893"/>
      <c r="AC95" s="2893"/>
      <c r="AD95" s="2893"/>
      <c r="AE95" s="2893"/>
      <c r="AF95" s="2893"/>
      <c r="AG95" s="2893"/>
      <c r="AH95" s="9"/>
      <c r="AO95" s="1270" t="s">
        <v>2174</v>
      </c>
      <c r="AP95" s="1270" t="s">
        <v>1265</v>
      </c>
      <c r="AQ95" s="1270">
        <v>28</v>
      </c>
      <c r="AR95" s="1270" t="s">
        <v>1265</v>
      </c>
      <c r="AT95" s="177" t="s">
        <v>2187</v>
      </c>
      <c r="AU95" t="s">
        <v>2171</v>
      </c>
      <c r="AV95">
        <v>14</v>
      </c>
      <c r="AW95" t="s">
        <v>2225</v>
      </c>
    </row>
    <row r="96" spans="1:50" ht="21" customHeight="1">
      <c r="A96" s="6"/>
      <c r="B96" s="729" t="s">
        <v>18</v>
      </c>
      <c r="C96" s="727"/>
      <c r="D96" s="727"/>
      <c r="E96" s="727"/>
      <c r="F96" s="728"/>
      <c r="G96" s="65"/>
      <c r="H96" s="523"/>
      <c r="I96" s="710"/>
      <c r="J96" s="711"/>
      <c r="K96" s="1325"/>
      <c r="N96" s="523"/>
      <c r="O96" s="710"/>
      <c r="P96" s="712"/>
      <c r="Q96" s="523"/>
      <c r="R96" s="713"/>
      <c r="S96" s="713"/>
      <c r="T96" s="523"/>
      <c r="U96" s="713"/>
      <c r="V96" s="713"/>
      <c r="W96" s="695"/>
      <c r="X96" s="2893"/>
      <c r="Y96" s="2893"/>
      <c r="Z96" s="2893"/>
      <c r="AA96" s="2893"/>
      <c r="AB96" s="2893"/>
      <c r="AC96" s="2893"/>
      <c r="AD96" s="2893"/>
      <c r="AE96" s="2893"/>
      <c r="AF96" s="2893"/>
      <c r="AG96" s="2893"/>
      <c r="AO96" s="1270" t="s">
        <v>2175</v>
      </c>
      <c r="AP96" s="1270" t="s">
        <v>120</v>
      </c>
      <c r="AQ96" s="1270">
        <v>25</v>
      </c>
      <c r="AR96" s="1319">
        <v>36</v>
      </c>
      <c r="AT96" t="s">
        <v>2188</v>
      </c>
      <c r="AU96" t="s">
        <v>2171</v>
      </c>
      <c r="AV96">
        <v>12</v>
      </c>
      <c r="AW96" t="s">
        <v>2226</v>
      </c>
      <c r="AX96">
        <v>20</v>
      </c>
    </row>
    <row r="97" spans="1:50" ht="21" customHeight="1">
      <c r="A97" s="6"/>
      <c r="B97" s="44" t="s">
        <v>602</v>
      </c>
      <c r="C97" s="727"/>
      <c r="D97" s="727"/>
      <c r="E97" s="727"/>
      <c r="F97" s="728"/>
      <c r="G97" s="65"/>
      <c r="H97" s="523"/>
      <c r="I97" s="710"/>
      <c r="J97" s="711"/>
      <c r="K97" s="523"/>
      <c r="N97" s="523"/>
      <c r="O97" s="710"/>
      <c r="P97" s="712"/>
      <c r="Q97" s="523"/>
      <c r="R97" s="739"/>
      <c r="S97" s="739"/>
      <c r="T97" s="523"/>
      <c r="U97" s="739"/>
      <c r="V97" s="739"/>
      <c r="W97" s="695"/>
      <c r="X97" s="2893"/>
      <c r="Y97" s="2893"/>
      <c r="Z97" s="2893"/>
      <c r="AA97" s="2893"/>
      <c r="AB97" s="2893"/>
      <c r="AC97" s="2893"/>
      <c r="AD97" s="2893"/>
      <c r="AE97" s="2893"/>
      <c r="AF97" s="2893"/>
      <c r="AG97" s="2893"/>
      <c r="AO97" s="1270" t="s">
        <v>2176</v>
      </c>
      <c r="AP97" s="1270" t="s">
        <v>120</v>
      </c>
      <c r="AQ97" s="1270">
        <v>25</v>
      </c>
      <c r="AR97" s="1270">
        <v>10</v>
      </c>
      <c r="AT97" t="s">
        <v>2189</v>
      </c>
      <c r="AU97" t="s">
        <v>2171</v>
      </c>
    </row>
    <row r="98" spans="1:50" s="6" customFormat="1">
      <c r="B98" s="729" t="s">
        <v>45</v>
      </c>
      <c r="C98" s="1803"/>
      <c r="D98" s="1803"/>
      <c r="E98" s="1803"/>
      <c r="F98" s="728"/>
      <c r="G98" s="65"/>
      <c r="H98" s="523"/>
      <c r="I98" s="710"/>
      <c r="J98" s="740"/>
      <c r="K98" s="1327"/>
      <c r="N98" s="523"/>
      <c r="O98" s="710"/>
      <c r="P98" s="711"/>
      <c r="Q98" s="523"/>
      <c r="R98" s="710"/>
      <c r="S98" s="710"/>
      <c r="T98" s="523"/>
      <c r="U98" s="710"/>
      <c r="V98" s="710"/>
      <c r="W98" s="695"/>
      <c r="X98" s="2893"/>
      <c r="Y98" s="2893"/>
      <c r="Z98" s="2893"/>
      <c r="AA98" s="2893"/>
      <c r="AB98" s="2893"/>
      <c r="AC98" s="2893"/>
      <c r="AD98" s="2893"/>
      <c r="AE98" s="2893"/>
      <c r="AF98" s="2893"/>
      <c r="AG98" s="2893"/>
      <c r="AO98" s="1317" t="s">
        <v>2177</v>
      </c>
      <c r="AP98" s="1317" t="s">
        <v>1265</v>
      </c>
      <c r="AQ98" s="1317">
        <v>7</v>
      </c>
      <c r="AR98" s="1317" t="s">
        <v>1265</v>
      </c>
      <c r="AT98" t="s">
        <v>2190</v>
      </c>
      <c r="AU98" t="s">
        <v>2171</v>
      </c>
    </row>
    <row r="99" spans="1:50" s="6" customFormat="1">
      <c r="B99" s="584" t="s">
        <v>46</v>
      </c>
      <c r="C99" s="584"/>
      <c r="D99" s="584"/>
      <c r="E99" s="584"/>
      <c r="F99" s="728"/>
      <c r="G99" s="63"/>
      <c r="H99" s="1807"/>
      <c r="I99" s="741"/>
      <c r="J99" s="743"/>
      <c r="K99" s="1807"/>
      <c r="N99" s="1807"/>
      <c r="O99" s="741"/>
      <c r="P99" s="557"/>
      <c r="Q99" s="1807"/>
      <c r="R99" s="741"/>
      <c r="S99" s="741"/>
      <c r="T99" s="1807"/>
      <c r="U99" s="741"/>
      <c r="V99" s="741"/>
      <c r="W99" s="702"/>
      <c r="X99" s="2893"/>
      <c r="Y99" s="2893"/>
      <c r="Z99" s="2893"/>
      <c r="AA99" s="2893"/>
      <c r="AB99" s="2893"/>
      <c r="AC99" s="2893"/>
      <c r="AD99" s="2893"/>
      <c r="AE99" s="2893"/>
      <c r="AF99" s="2893"/>
      <c r="AG99" s="2893"/>
      <c r="AO99" s="121"/>
      <c r="AP99" s="121"/>
      <c r="AQ99" s="1320" t="s">
        <v>591</v>
      </c>
      <c r="AR99" s="1321">
        <f>SUMPRODUCT(AQ92:AQ98,AR92:AR98)/SUM(AQ92:AQ98)</f>
        <v>11.961783439490446</v>
      </c>
      <c r="AS99" s="1316"/>
      <c r="AT99" s="6" t="s">
        <v>2191</v>
      </c>
      <c r="AU99" t="s">
        <v>2171</v>
      </c>
    </row>
    <row r="100" spans="1:50">
      <c r="A100" s="6"/>
      <c r="B100" s="6"/>
      <c r="C100" s="6"/>
      <c r="D100" s="6"/>
      <c r="E100" s="6"/>
      <c r="F100" s="6"/>
      <c r="G100" s="6"/>
      <c r="H100" s="121"/>
      <c r="I100" s="6"/>
      <c r="J100" s="666"/>
      <c r="K100" s="128"/>
      <c r="N100" s="121"/>
      <c r="O100" s="6"/>
      <c r="P100" s="6"/>
      <c r="Q100" s="121"/>
      <c r="T100" s="121"/>
      <c r="W100" s="121"/>
      <c r="AT100" s="6" t="s">
        <v>2192</v>
      </c>
      <c r="AU100" s="6" t="s">
        <v>2172</v>
      </c>
      <c r="AV100">
        <v>10</v>
      </c>
      <c r="AW100" t="s">
        <v>2228</v>
      </c>
      <c r="AX100">
        <v>24</v>
      </c>
    </row>
    <row r="101" spans="1:50" ht="16.75">
      <c r="A101" s="1819" t="s">
        <v>614</v>
      </c>
      <c r="B101" s="596"/>
      <c r="C101" s="596"/>
      <c r="D101" s="596"/>
      <c r="E101" s="596"/>
      <c r="F101" s="597"/>
      <c r="G101" s="594"/>
      <c r="H101" s="596"/>
      <c r="I101" s="597"/>
      <c r="J101" s="594"/>
      <c r="K101" s="597"/>
      <c r="N101" s="682"/>
      <c r="O101" s="594"/>
      <c r="P101" s="594"/>
      <c r="Q101" s="682"/>
      <c r="T101" s="682"/>
      <c r="U101" s="594"/>
      <c r="V101" s="594"/>
      <c r="W101" s="682"/>
      <c r="X101" s="594"/>
      <c r="Y101" s="594"/>
      <c r="Z101" s="594"/>
      <c r="AA101" s="594"/>
      <c r="AB101" s="594"/>
      <c r="AC101" s="594"/>
      <c r="AD101" s="594"/>
      <c r="AE101" s="594"/>
      <c r="AF101" s="594"/>
      <c r="AG101" s="594"/>
      <c r="AT101" t="s">
        <v>2193</v>
      </c>
      <c r="AU101" s="6" t="s">
        <v>2172</v>
      </c>
      <c r="AV101">
        <v>16</v>
      </c>
      <c r="AW101" t="s">
        <v>2228</v>
      </c>
      <c r="AX101">
        <v>8</v>
      </c>
    </row>
    <row r="102" spans="1:50" ht="14.9" hidden="1" customHeight="1">
      <c r="A102" s="1"/>
      <c r="B102" s="1"/>
      <c r="G102" s="53"/>
      <c r="H102" s="118"/>
      <c r="I102" s="6"/>
      <c r="J102" s="63"/>
      <c r="K102" s="118"/>
      <c r="N102" s="58"/>
      <c r="P102" s="53"/>
      <c r="Q102" s="58"/>
      <c r="T102" s="58"/>
      <c r="W102" s="58"/>
      <c r="AT102" t="s">
        <v>2194</v>
      </c>
      <c r="AU102" s="6" t="s">
        <v>2172</v>
      </c>
    </row>
    <row r="103" spans="1:50" ht="18.649999999999999" hidden="1" customHeight="1">
      <c r="A103" s="2897" t="s">
        <v>341</v>
      </c>
      <c r="B103" s="1398"/>
      <c r="C103" s="1399"/>
      <c r="D103" s="1399"/>
      <c r="E103" s="1399"/>
      <c r="F103" s="1400"/>
      <c r="G103" s="1401"/>
      <c r="H103" s="1389"/>
      <c r="I103" s="1402"/>
      <c r="J103" s="1401"/>
      <c r="K103" s="1389"/>
      <c r="L103" s="1390"/>
      <c r="M103" s="1390"/>
      <c r="N103" s="1389"/>
      <c r="O103" s="1402"/>
      <c r="P103" s="1403"/>
      <c r="Q103" s="1389"/>
      <c r="R103" s="1404"/>
      <c r="S103" s="1404"/>
      <c r="T103" s="1389"/>
      <c r="U103" s="1404"/>
      <c r="V103" s="1404"/>
      <c r="W103" s="1405"/>
      <c r="X103" s="2899"/>
      <c r="Y103" s="2899"/>
      <c r="Z103" s="2899"/>
      <c r="AA103" s="2899"/>
      <c r="AB103" s="2899"/>
      <c r="AC103" s="2899"/>
      <c r="AD103" s="2899"/>
      <c r="AE103" s="2899"/>
      <c r="AF103" s="2899"/>
      <c r="AG103" s="2899"/>
      <c r="AT103" t="s">
        <v>2194</v>
      </c>
      <c r="AU103" s="6" t="s">
        <v>2172</v>
      </c>
    </row>
    <row r="104" spans="1:50" ht="32.25" customHeight="1">
      <c r="A104" s="2898"/>
      <c r="B104" s="726" t="s">
        <v>2373</v>
      </c>
      <c r="C104" s="727"/>
      <c r="D104" s="727"/>
      <c r="E104" s="727"/>
      <c r="F104" s="728"/>
      <c r="G104" s="65">
        <v>6</v>
      </c>
      <c r="H104" s="562"/>
      <c r="I104" s="748"/>
      <c r="J104" s="711"/>
      <c r="K104" s="562"/>
      <c r="N104" s="562"/>
      <c r="O104" s="748"/>
      <c r="P104" s="712"/>
      <c r="Q104" s="562"/>
      <c r="R104" s="762"/>
      <c r="S104" s="762"/>
      <c r="T104" s="562"/>
      <c r="U104" s="762"/>
      <c r="V104" s="762"/>
      <c r="W104" s="747"/>
      <c r="X104" s="2893"/>
      <c r="Y104" s="2893"/>
      <c r="Z104" s="2893"/>
      <c r="AA104" s="2893"/>
      <c r="AB104" s="2893"/>
      <c r="AC104" s="2893"/>
      <c r="AD104" s="2893"/>
      <c r="AE104" s="2893"/>
      <c r="AF104" s="2893"/>
      <c r="AG104" s="2893"/>
      <c r="AT104" t="s">
        <v>2195</v>
      </c>
      <c r="AU104" s="6" t="s">
        <v>2172</v>
      </c>
      <c r="AV104">
        <v>3</v>
      </c>
      <c r="AW104" t="s">
        <v>2228</v>
      </c>
      <c r="AX104">
        <v>13</v>
      </c>
    </row>
    <row r="105" spans="1:50" ht="18.45">
      <c r="A105" s="2902" t="s">
        <v>185</v>
      </c>
      <c r="B105" s="726" t="s">
        <v>231</v>
      </c>
      <c r="C105" s="727"/>
      <c r="D105" s="727"/>
      <c r="E105" s="727"/>
      <c r="F105" s="728"/>
      <c r="G105" s="114">
        <v>19.246910452309116</v>
      </c>
      <c r="H105" s="563"/>
      <c r="I105" s="750"/>
      <c r="J105" s="751"/>
      <c r="K105" s="563"/>
      <c r="N105" s="563"/>
      <c r="O105" s="748"/>
      <c r="P105" s="711"/>
      <c r="Q105" s="563"/>
      <c r="R105" s="762"/>
      <c r="S105" s="762"/>
      <c r="T105" s="563"/>
      <c r="U105" s="762"/>
      <c r="V105" s="762"/>
      <c r="W105" s="752"/>
      <c r="X105" s="2893"/>
      <c r="Y105" s="2893"/>
      <c r="Z105" s="2893"/>
      <c r="AA105" s="2893"/>
      <c r="AB105" s="2893"/>
      <c r="AC105" s="2893"/>
      <c r="AD105" s="2893"/>
      <c r="AE105" s="2893"/>
      <c r="AF105" s="2893"/>
      <c r="AG105" s="2893"/>
      <c r="AT105" t="s">
        <v>2196</v>
      </c>
      <c r="AU105" s="6" t="s">
        <v>2173</v>
      </c>
      <c r="AV105">
        <v>7</v>
      </c>
      <c r="AW105" t="s">
        <v>2225</v>
      </c>
      <c r="AX105">
        <v>13</v>
      </c>
    </row>
    <row r="106" spans="1:50" ht="18.45">
      <c r="A106" s="2897"/>
      <c r="B106" s="726" t="s">
        <v>2247</v>
      </c>
      <c r="C106" s="727"/>
      <c r="D106" s="727"/>
      <c r="E106" s="727"/>
      <c r="F106" s="728"/>
      <c r="H106" s="1074"/>
      <c r="I106" s="763"/>
      <c r="J106" s="763"/>
      <c r="K106" s="1074"/>
      <c r="N106" s="564"/>
      <c r="O106" s="763"/>
      <c r="P106" s="763"/>
      <c r="Q106" s="564"/>
      <c r="R106" s="762"/>
      <c r="S106" s="762"/>
      <c r="T106" s="564"/>
      <c r="U106" s="762"/>
      <c r="V106" s="762"/>
      <c r="W106" s="753"/>
      <c r="X106" s="2893"/>
      <c r="Y106" s="2893"/>
      <c r="Z106" s="2893"/>
      <c r="AA106" s="2893"/>
      <c r="AB106" s="2893"/>
      <c r="AC106" s="2893"/>
      <c r="AD106" s="2893"/>
      <c r="AE106" s="2893"/>
      <c r="AF106" s="2893"/>
      <c r="AG106" s="2893"/>
      <c r="AH106" s="9"/>
      <c r="AT106" t="s">
        <v>2197</v>
      </c>
      <c r="AU106" s="6" t="s">
        <v>2173</v>
      </c>
      <c r="AV106">
        <v>12</v>
      </c>
      <c r="AW106" t="s">
        <v>2225</v>
      </c>
      <c r="AX106">
        <v>40</v>
      </c>
    </row>
    <row r="107" spans="1:50" s="6" customFormat="1" ht="31.5" customHeight="1">
      <c r="A107" s="2898"/>
      <c r="B107" s="2255" t="s">
        <v>340</v>
      </c>
      <c r="C107" s="2255"/>
      <c r="D107" s="2255"/>
      <c r="E107" s="2255"/>
      <c r="F107" s="728"/>
      <c r="G107" s="63"/>
      <c r="H107" s="565"/>
      <c r="I107" s="754"/>
      <c r="J107" s="755"/>
      <c r="K107" s="565"/>
      <c r="N107" s="565"/>
      <c r="O107" s="748"/>
      <c r="P107" s="711"/>
      <c r="Q107" s="565"/>
      <c r="R107" s="748"/>
      <c r="S107" s="748"/>
      <c r="T107" s="565"/>
      <c r="U107" s="748"/>
      <c r="V107" s="748"/>
      <c r="W107" s="756"/>
      <c r="X107" s="2893"/>
      <c r="Y107" s="2893"/>
      <c r="Z107" s="2893"/>
      <c r="AA107" s="2893"/>
      <c r="AB107" s="2893"/>
      <c r="AC107" s="2893"/>
      <c r="AD107" s="2893"/>
      <c r="AE107" s="2893"/>
      <c r="AF107" s="2893"/>
      <c r="AG107" s="2893"/>
      <c r="AT107" t="s">
        <v>2198</v>
      </c>
      <c r="AU107" s="6" t="s">
        <v>2173</v>
      </c>
      <c r="AV107" s="6">
        <v>8</v>
      </c>
      <c r="AW107" s="6" t="s">
        <v>2225</v>
      </c>
      <c r="AX107" s="6">
        <v>85</v>
      </c>
    </row>
    <row r="108" spans="1:50" s="62" customFormat="1" ht="15" customHeight="1">
      <c r="A108" s="2902" t="s">
        <v>394</v>
      </c>
      <c r="B108" s="726" t="s">
        <v>375</v>
      </c>
      <c r="C108" s="727"/>
      <c r="D108" s="727"/>
      <c r="E108" s="727"/>
      <c r="F108" s="728"/>
      <c r="G108" s="115">
        <v>488.75</v>
      </c>
      <c r="H108" s="566"/>
      <c r="I108" s="748"/>
      <c r="J108" s="711"/>
      <c r="K108" s="566"/>
      <c r="N108" s="566"/>
      <c r="O108" s="748"/>
      <c r="P108" s="711"/>
      <c r="Q108" s="566"/>
      <c r="R108" s="762"/>
      <c r="S108" s="762"/>
      <c r="T108" s="566"/>
      <c r="U108" s="762"/>
      <c r="V108" s="762"/>
      <c r="W108" s="757"/>
      <c r="X108" s="2893"/>
      <c r="Y108" s="2893"/>
      <c r="Z108" s="2893"/>
      <c r="AA108" s="2893"/>
      <c r="AB108" s="2893"/>
      <c r="AC108" s="2893"/>
      <c r="AD108" s="2893"/>
      <c r="AE108" s="2893"/>
      <c r="AF108" s="2893"/>
      <c r="AG108" s="2893"/>
      <c r="AT108" s="6" t="s">
        <v>2199</v>
      </c>
      <c r="AU108" s="6" t="s">
        <v>2173</v>
      </c>
      <c r="AV108" s="62">
        <v>7</v>
      </c>
      <c r="AW108" s="62" t="s">
        <v>2225</v>
      </c>
      <c r="AX108" s="62">
        <v>60</v>
      </c>
    </row>
    <row r="109" spans="1:50" ht="29.25" customHeight="1">
      <c r="A109" s="2897"/>
      <c r="B109" s="2255" t="s">
        <v>395</v>
      </c>
      <c r="C109" s="2255"/>
      <c r="D109" s="2255"/>
      <c r="E109" s="2255"/>
      <c r="F109" s="728"/>
      <c r="G109" s="113">
        <v>318.09533298035956</v>
      </c>
      <c r="H109" s="567"/>
      <c r="I109" s="762"/>
      <c r="J109" s="762"/>
      <c r="K109" s="567"/>
      <c r="N109" s="567"/>
      <c r="O109" s="762"/>
      <c r="P109" s="762"/>
      <c r="Q109" s="567"/>
      <c r="R109" s="762"/>
      <c r="S109" s="762"/>
      <c r="T109" s="567"/>
      <c r="U109" s="762"/>
      <c r="V109" s="762"/>
      <c r="W109" s="758"/>
      <c r="X109" s="2893"/>
      <c r="Y109" s="2893"/>
      <c r="Z109" s="2893"/>
      <c r="AA109" s="2893"/>
      <c r="AB109" s="2893"/>
      <c r="AC109" s="2893"/>
      <c r="AD109" s="2893"/>
      <c r="AE109" s="2893"/>
      <c r="AF109" s="2893"/>
      <c r="AG109" s="2893"/>
      <c r="AT109" s="62" t="s">
        <v>2200</v>
      </c>
      <c r="AU109" s="6" t="s">
        <v>2173</v>
      </c>
      <c r="AV109">
        <v>18</v>
      </c>
      <c r="AW109" t="s">
        <v>2225</v>
      </c>
      <c r="AX109">
        <v>58</v>
      </c>
    </row>
    <row r="110" spans="1:50" ht="14.9" customHeight="1">
      <c r="A110" s="2897"/>
      <c r="B110" s="726" t="s">
        <v>396</v>
      </c>
      <c r="C110" s="727"/>
      <c r="D110" s="727"/>
      <c r="E110" s="727"/>
      <c r="F110" s="728"/>
      <c r="G110" s="117">
        <v>26.045977237650551</v>
      </c>
      <c r="H110" s="568"/>
      <c r="I110" s="748"/>
      <c r="J110" s="764"/>
      <c r="K110" s="568"/>
      <c r="N110" s="568"/>
      <c r="O110" s="748"/>
      <c r="P110" s="711"/>
      <c r="Q110" s="568"/>
      <c r="R110" s="762"/>
      <c r="S110" s="762"/>
      <c r="T110" s="568"/>
      <c r="U110" s="762"/>
      <c r="V110" s="765"/>
      <c r="W110" s="542"/>
      <c r="X110" s="2893"/>
      <c r="Y110" s="2893"/>
      <c r="Z110" s="2893"/>
      <c r="AA110" s="2893"/>
      <c r="AB110" s="2893"/>
      <c r="AC110" s="2893"/>
      <c r="AD110" s="2893"/>
      <c r="AE110" s="2893"/>
      <c r="AF110" s="2893"/>
      <c r="AG110" s="2893"/>
      <c r="AT110" t="s">
        <v>2201</v>
      </c>
      <c r="AU110" s="6" t="s">
        <v>2173</v>
      </c>
      <c r="AV110">
        <v>18</v>
      </c>
      <c r="AW110" t="s">
        <v>2225</v>
      </c>
      <c r="AX110">
        <v>45</v>
      </c>
    </row>
    <row r="111" spans="1:50" s="62" customFormat="1" ht="15" customHeight="1">
      <c r="A111" s="2897"/>
      <c r="B111" s="726" t="s">
        <v>397</v>
      </c>
      <c r="C111" s="727"/>
      <c r="D111" s="727"/>
      <c r="E111" s="727"/>
      <c r="F111" s="728"/>
      <c r="G111" s="115"/>
      <c r="H111" s="568"/>
      <c r="I111" s="748"/>
      <c r="J111" s="742"/>
      <c r="K111" s="568"/>
      <c r="N111" s="568"/>
      <c r="O111" s="748"/>
      <c r="P111" s="742"/>
      <c r="Q111" s="568"/>
      <c r="R111" s="762"/>
      <c r="S111" s="762"/>
      <c r="T111" s="568"/>
      <c r="U111" s="762"/>
      <c r="V111" s="762"/>
      <c r="W111" s="542"/>
      <c r="X111" s="2893"/>
      <c r="Y111" s="2893"/>
      <c r="Z111" s="2893"/>
      <c r="AA111" s="2893"/>
      <c r="AB111" s="2893"/>
      <c r="AC111" s="2893"/>
      <c r="AD111" s="2893"/>
      <c r="AE111" s="2893"/>
      <c r="AF111" s="2893"/>
      <c r="AG111" s="2893"/>
      <c r="AT111" t="s">
        <v>2202</v>
      </c>
      <c r="AU111" s="6" t="s">
        <v>2173</v>
      </c>
      <c r="AV111" s="62">
        <v>3</v>
      </c>
      <c r="AW111" s="62" t="s">
        <v>2228</v>
      </c>
      <c r="AX111" s="62">
        <v>38</v>
      </c>
    </row>
    <row r="112" spans="1:50" ht="14.9" customHeight="1">
      <c r="A112" s="2898"/>
      <c r="B112" s="726" t="s">
        <v>398</v>
      </c>
      <c r="C112" s="727"/>
      <c r="D112" s="727"/>
      <c r="E112" s="727"/>
      <c r="F112" s="728"/>
      <c r="H112" s="569"/>
      <c r="I112" s="763"/>
      <c r="J112" s="763"/>
      <c r="K112" s="569"/>
      <c r="N112" s="569"/>
      <c r="O112" s="762"/>
      <c r="P112" s="762"/>
      <c r="Q112" s="569"/>
      <c r="R112" s="762"/>
      <c r="S112" s="762"/>
      <c r="T112" s="569"/>
      <c r="U112" s="762"/>
      <c r="V112" s="762"/>
      <c r="W112" s="759"/>
      <c r="X112" s="2893"/>
      <c r="Y112" s="2893"/>
      <c r="Z112" s="2893"/>
      <c r="AA112" s="2893"/>
      <c r="AB112" s="2893"/>
      <c r="AC112" s="2893"/>
      <c r="AD112" s="2893"/>
      <c r="AE112" s="2893"/>
      <c r="AF112" s="2893"/>
      <c r="AG112" s="2893"/>
      <c r="AT112" s="1802" t="s">
        <v>2204</v>
      </c>
      <c r="AU112" s="62" t="s">
        <v>2203</v>
      </c>
    </row>
    <row r="113" spans="1:50" ht="15" customHeight="1">
      <c r="A113" s="2671" t="s">
        <v>380</v>
      </c>
      <c r="B113" s="2250" t="s">
        <v>825</v>
      </c>
      <c r="C113" s="2250"/>
      <c r="D113" s="2250"/>
      <c r="E113" s="2250"/>
      <c r="F113" s="728"/>
      <c r="H113" s="563"/>
      <c r="I113" s="763"/>
      <c r="J113" s="763"/>
      <c r="K113" s="563"/>
      <c r="N113" s="563"/>
      <c r="O113" s="762"/>
      <c r="P113" s="762"/>
      <c r="Q113" s="563"/>
      <c r="R113" s="762"/>
      <c r="S113" s="762"/>
      <c r="T113" s="563"/>
      <c r="U113" s="762"/>
      <c r="V113" s="762"/>
      <c r="W113" s="752"/>
      <c r="X113" s="2893"/>
      <c r="Y113" s="2893"/>
      <c r="Z113" s="2893"/>
      <c r="AA113" s="2893"/>
      <c r="AB113" s="2893"/>
      <c r="AC113" s="2893"/>
      <c r="AD113" s="2893"/>
      <c r="AE113" s="2893"/>
      <c r="AF113" s="2893"/>
      <c r="AG113" s="2893"/>
      <c r="AT113" t="s">
        <v>2205</v>
      </c>
      <c r="AU113" s="62" t="s">
        <v>2203</v>
      </c>
    </row>
    <row r="114" spans="1:50" ht="15" customHeight="1">
      <c r="A114" s="2672"/>
      <c r="B114" s="2250" t="s">
        <v>826</v>
      </c>
      <c r="C114" s="2250"/>
      <c r="D114" s="2250"/>
      <c r="E114" s="2250"/>
      <c r="F114" s="728"/>
      <c r="H114" s="564"/>
      <c r="I114" s="763"/>
      <c r="J114" s="763"/>
      <c r="K114" s="564"/>
      <c r="N114" s="564"/>
      <c r="O114" s="762"/>
      <c r="P114" s="762"/>
      <c r="Q114" s="564"/>
      <c r="R114" s="762"/>
      <c r="S114" s="762"/>
      <c r="T114" s="564"/>
      <c r="U114" s="762"/>
      <c r="V114" s="762"/>
      <c r="W114" s="753"/>
      <c r="X114" s="2893"/>
      <c r="Y114" s="2893"/>
      <c r="Z114" s="2893"/>
      <c r="AA114" s="2893"/>
      <c r="AB114" s="2893"/>
      <c r="AC114" s="2893"/>
      <c r="AD114" s="2893"/>
      <c r="AE114" s="2893"/>
      <c r="AF114" s="2893"/>
      <c r="AG114" s="2893"/>
      <c r="AT114" t="s">
        <v>2206</v>
      </c>
      <c r="AU114" s="62" t="s">
        <v>2203</v>
      </c>
    </row>
    <row r="115" spans="1:50" ht="26.25" customHeight="1">
      <c r="A115" s="2672"/>
      <c r="B115" s="2250" t="s">
        <v>827</v>
      </c>
      <c r="C115" s="2250"/>
      <c r="D115" s="2250"/>
      <c r="E115" s="2250"/>
      <c r="F115" s="728"/>
      <c r="H115" s="564"/>
      <c r="I115" s="763"/>
      <c r="J115" s="763"/>
      <c r="K115" s="564"/>
      <c r="N115" s="564"/>
      <c r="O115" s="762"/>
      <c r="P115" s="762"/>
      <c r="Q115" s="564"/>
      <c r="R115" s="762"/>
      <c r="S115" s="762"/>
      <c r="T115" s="564"/>
      <c r="U115" s="762"/>
      <c r="V115" s="762"/>
      <c r="W115" s="753"/>
      <c r="X115" s="2893"/>
      <c r="Y115" s="2893"/>
      <c r="Z115" s="2893"/>
      <c r="AA115" s="2893"/>
      <c r="AB115" s="2893"/>
      <c r="AC115" s="2893"/>
      <c r="AD115" s="2893"/>
      <c r="AE115" s="2893"/>
      <c r="AF115" s="2893"/>
      <c r="AG115" s="2893"/>
      <c r="AT115" t="s">
        <v>2207</v>
      </c>
      <c r="AU115" s="62" t="s">
        <v>2203</v>
      </c>
    </row>
    <row r="116" spans="1:50" ht="27" customHeight="1">
      <c r="A116" s="2672"/>
      <c r="B116" s="2250" t="s">
        <v>828</v>
      </c>
      <c r="C116" s="2250"/>
      <c r="D116" s="2250"/>
      <c r="E116" s="2250"/>
      <c r="F116" s="728"/>
      <c r="H116" s="564"/>
      <c r="I116" s="763"/>
      <c r="J116" s="763"/>
      <c r="K116" s="564"/>
      <c r="N116" s="564"/>
      <c r="O116" s="762"/>
      <c r="P116" s="762"/>
      <c r="Q116" s="564"/>
      <c r="R116" s="762"/>
      <c r="S116" s="762"/>
      <c r="T116" s="564"/>
      <c r="U116" s="762"/>
      <c r="V116" s="762"/>
      <c r="W116" s="753"/>
      <c r="X116" s="2893"/>
      <c r="Y116" s="2893"/>
      <c r="Z116" s="2893"/>
      <c r="AA116" s="2893"/>
      <c r="AB116" s="2893"/>
      <c r="AC116" s="2893"/>
      <c r="AD116" s="2893"/>
      <c r="AE116" s="2893"/>
      <c r="AF116" s="2893"/>
      <c r="AG116" s="2893"/>
      <c r="AT116" t="s">
        <v>2208</v>
      </c>
      <c r="AU116" s="62" t="s">
        <v>2203</v>
      </c>
    </row>
    <row r="117" spans="1:50" ht="35.25" customHeight="1">
      <c r="A117" s="2673"/>
      <c r="B117" s="2250" t="s">
        <v>829</v>
      </c>
      <c r="C117" s="2250"/>
      <c r="D117" s="2250"/>
      <c r="E117" s="2250"/>
      <c r="F117" s="728"/>
      <c r="H117" s="766"/>
      <c r="I117" s="760"/>
      <c r="J117" s="760"/>
      <c r="K117" s="766"/>
      <c r="N117" s="766"/>
      <c r="O117" s="760"/>
      <c r="P117" s="760"/>
      <c r="Q117" s="766"/>
      <c r="R117" s="760"/>
      <c r="S117" s="760"/>
      <c r="T117" s="766"/>
      <c r="U117" s="760"/>
      <c r="V117" s="760"/>
      <c r="W117" s="761"/>
      <c r="X117" s="2893"/>
      <c r="Y117" s="2893"/>
      <c r="Z117" s="2893"/>
      <c r="AA117" s="2893"/>
      <c r="AB117" s="2893"/>
      <c r="AC117" s="2893"/>
      <c r="AD117" s="2893"/>
      <c r="AE117" s="2893"/>
      <c r="AF117" s="2893"/>
      <c r="AG117" s="2893"/>
      <c r="AT117" t="s">
        <v>2209</v>
      </c>
      <c r="AU117" s="62" t="s">
        <v>2203</v>
      </c>
    </row>
    <row r="118" spans="1:50">
      <c r="A118" s="6"/>
      <c r="B118" s="6"/>
      <c r="C118" s="6"/>
      <c r="D118" s="6"/>
      <c r="E118" s="6"/>
      <c r="F118" s="6"/>
      <c r="G118" s="113"/>
      <c r="H118" s="116"/>
      <c r="I118" s="6"/>
      <c r="J118" s="63"/>
      <c r="K118" s="118"/>
      <c r="N118" s="60"/>
      <c r="O118" s="6"/>
      <c r="P118" s="63"/>
      <c r="Q118" s="60"/>
      <c r="S118" s="234"/>
      <c r="T118" s="65"/>
      <c r="V118" s="258"/>
      <c r="W118" s="65"/>
      <c r="X118" s="85"/>
      <c r="AT118" t="s">
        <v>2210</v>
      </c>
      <c r="AU118" s="62" t="s">
        <v>2203</v>
      </c>
    </row>
    <row r="119" spans="1:50" ht="16.75">
      <c r="A119" s="600" t="s">
        <v>603</v>
      </c>
      <c r="B119" s="596"/>
      <c r="C119" s="596"/>
      <c r="D119" s="596"/>
      <c r="E119" s="596"/>
      <c r="F119" s="597"/>
      <c r="G119" s="594"/>
      <c r="H119" s="596"/>
      <c r="I119" s="597"/>
      <c r="J119" s="594"/>
      <c r="K119" s="597"/>
      <c r="N119" s="682"/>
      <c r="O119" s="594"/>
      <c r="P119" s="594"/>
      <c r="Q119" s="682"/>
      <c r="S119" s="235"/>
      <c r="T119" s="683"/>
      <c r="U119" s="594"/>
      <c r="V119" s="684"/>
      <c r="W119" s="683"/>
      <c r="X119" s="715"/>
      <c r="Y119" s="594"/>
      <c r="Z119" s="594"/>
      <c r="AA119" s="594"/>
      <c r="AB119" s="594"/>
      <c r="AC119" s="594"/>
      <c r="AD119" s="594"/>
      <c r="AE119" s="594"/>
      <c r="AF119" s="594"/>
      <c r="AG119" s="594"/>
      <c r="AT119" t="s">
        <v>2211</v>
      </c>
      <c r="AU119" t="s">
        <v>2175</v>
      </c>
      <c r="AV119">
        <v>12</v>
      </c>
      <c r="AW119" t="s">
        <v>2228</v>
      </c>
      <c r="AX119">
        <v>6.5</v>
      </c>
    </row>
    <row r="120" spans="1:50" ht="16.75">
      <c r="A120" s="600"/>
      <c r="B120" s="596"/>
      <c r="C120" s="596"/>
      <c r="D120" s="596"/>
      <c r="E120" s="596"/>
      <c r="F120" s="597"/>
      <c r="G120" s="594"/>
      <c r="H120" s="596"/>
      <c r="I120" s="597"/>
      <c r="J120" s="594"/>
      <c r="K120" s="597"/>
      <c r="N120" s="682"/>
      <c r="O120" s="594"/>
      <c r="P120" s="594"/>
      <c r="Q120" s="682"/>
      <c r="S120" s="235"/>
      <c r="T120" s="683"/>
      <c r="U120" s="594"/>
      <c r="V120" s="684"/>
      <c r="W120" s="683"/>
      <c r="X120" s="715"/>
      <c r="Y120" s="594"/>
      <c r="Z120" s="594"/>
      <c r="AA120" s="594"/>
      <c r="AB120" s="594"/>
      <c r="AC120" s="594"/>
      <c r="AD120" s="594"/>
      <c r="AE120" s="594"/>
      <c r="AF120" s="594"/>
      <c r="AG120" s="594"/>
    </row>
    <row r="121" spans="1:50" ht="18.45">
      <c r="A121" s="1"/>
      <c r="B121" s="726" t="s">
        <v>5467</v>
      </c>
      <c r="C121" s="727"/>
      <c r="D121" s="727"/>
      <c r="E121" s="727"/>
      <c r="F121" s="728"/>
      <c r="G121" s="53"/>
      <c r="H121" s="575"/>
      <c r="I121" s="710"/>
      <c r="J121" s="582"/>
      <c r="K121" s="575"/>
      <c r="N121" s="575"/>
      <c r="O121" s="713"/>
      <c r="P121" s="772"/>
      <c r="Q121" s="575"/>
      <c r="R121" s="713"/>
      <c r="S121" s="773"/>
      <c r="T121" s="575"/>
      <c r="U121" s="713"/>
      <c r="V121" s="774"/>
      <c r="W121" s="575"/>
      <c r="X121" s="2893"/>
      <c r="Y121" s="2893"/>
      <c r="Z121" s="2893"/>
      <c r="AA121" s="2893"/>
      <c r="AB121" s="2893"/>
      <c r="AC121" s="2893"/>
      <c r="AD121" s="2893"/>
      <c r="AE121" s="2893"/>
      <c r="AF121" s="2893"/>
      <c r="AG121" s="2893"/>
      <c r="AT121" t="s">
        <v>2212</v>
      </c>
      <c r="AU121" t="s">
        <v>2175</v>
      </c>
      <c r="AV121">
        <v>4</v>
      </c>
      <c r="AW121" t="s">
        <v>2230</v>
      </c>
      <c r="AX121">
        <v>145</v>
      </c>
    </row>
    <row r="122" spans="1:50" ht="18.45">
      <c r="A122" s="6"/>
      <c r="B122" s="726" t="s">
        <v>5466</v>
      </c>
      <c r="C122" s="727"/>
      <c r="D122" s="727"/>
      <c r="E122" s="727"/>
      <c r="F122" s="728"/>
      <c r="G122" s="119">
        <v>35.047741961833388</v>
      </c>
      <c r="H122" s="576"/>
      <c r="I122" s="710"/>
      <c r="J122" s="764"/>
      <c r="K122" s="576"/>
      <c r="N122" s="576"/>
      <c r="O122" s="710"/>
      <c r="P122" s="582"/>
      <c r="Q122" s="576"/>
      <c r="R122" s="713"/>
      <c r="S122" s="773"/>
      <c r="T122" s="576"/>
      <c r="U122" s="713"/>
      <c r="V122" s="774"/>
      <c r="W122" s="576"/>
      <c r="X122" s="2893"/>
      <c r="Y122" s="2893"/>
      <c r="Z122" s="2893"/>
      <c r="AA122" s="2893"/>
      <c r="AB122" s="2893"/>
      <c r="AC122" s="2893"/>
      <c r="AD122" s="2893"/>
      <c r="AE122" s="2893"/>
      <c r="AF122" s="2893"/>
      <c r="AG122" s="2893"/>
      <c r="AT122" t="s">
        <v>2213</v>
      </c>
      <c r="AU122" t="s">
        <v>2175</v>
      </c>
      <c r="AV122">
        <v>16</v>
      </c>
      <c r="AW122" t="s">
        <v>2231</v>
      </c>
      <c r="AX122">
        <v>73</v>
      </c>
    </row>
    <row r="123" spans="1:50" ht="17.25" customHeight="1">
      <c r="A123" s="6"/>
      <c r="B123" s="726" t="s">
        <v>82</v>
      </c>
      <c r="C123" s="727"/>
      <c r="D123" s="727"/>
      <c r="E123" s="727"/>
      <c r="F123" s="728"/>
      <c r="G123" s="120">
        <v>5.5705963849905903E-3</v>
      </c>
      <c r="H123" s="577"/>
      <c r="I123" s="710"/>
      <c r="J123" s="775"/>
      <c r="K123" s="577"/>
      <c r="N123" s="577"/>
      <c r="O123" s="710"/>
      <c r="P123" s="582"/>
      <c r="Q123" s="577"/>
      <c r="R123" s="713"/>
      <c r="S123" s="776"/>
      <c r="T123" s="577"/>
      <c r="U123" s="713"/>
      <c r="V123" s="777"/>
      <c r="W123" s="577"/>
      <c r="X123" s="2893"/>
      <c r="Y123" s="2893"/>
      <c r="Z123" s="2893"/>
      <c r="AA123" s="2893"/>
      <c r="AB123" s="2893"/>
      <c r="AC123" s="2893"/>
      <c r="AD123" s="2893"/>
      <c r="AE123" s="2893"/>
      <c r="AF123" s="2893"/>
      <c r="AG123" s="2893"/>
      <c r="AT123" t="s">
        <v>2214</v>
      </c>
      <c r="AU123" t="s">
        <v>2175</v>
      </c>
      <c r="AV123">
        <v>12</v>
      </c>
      <c r="AW123" t="s">
        <v>2225</v>
      </c>
      <c r="AX123">
        <v>70</v>
      </c>
    </row>
    <row r="124" spans="1:50"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c r="AT124" t="s">
        <v>2215</v>
      </c>
      <c r="AU124" t="s">
        <v>2175</v>
      </c>
      <c r="AV124">
        <v>4</v>
      </c>
      <c r="AW124" t="s">
        <v>2225</v>
      </c>
      <c r="AX124">
        <v>185</v>
      </c>
    </row>
    <row r="125" spans="1:50"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c r="AT125" t="s">
        <v>2216</v>
      </c>
      <c r="AU125" t="s">
        <v>2176</v>
      </c>
      <c r="AV125">
        <v>20</v>
      </c>
      <c r="AW125" t="s">
        <v>2232</v>
      </c>
      <c r="AX125">
        <v>4</v>
      </c>
    </row>
    <row r="126" spans="1:50"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c r="AT126" t="s">
        <v>2217</v>
      </c>
      <c r="AU126" t="s">
        <v>2176</v>
      </c>
      <c r="AV126">
        <v>22</v>
      </c>
      <c r="AW126" t="s">
        <v>2225</v>
      </c>
      <c r="AX126">
        <v>46</v>
      </c>
    </row>
    <row r="127" spans="1:50"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c r="AT127" t="s">
        <v>2218</v>
      </c>
      <c r="AU127" t="s">
        <v>2176</v>
      </c>
      <c r="AV127">
        <v>12</v>
      </c>
      <c r="AW127" t="s">
        <v>2232</v>
      </c>
      <c r="AX127">
        <v>36</v>
      </c>
    </row>
    <row r="128" spans="1:50">
      <c r="A128" s="6"/>
      <c r="B128" s="6"/>
      <c r="C128" s="6"/>
      <c r="D128" s="6"/>
      <c r="E128" s="6"/>
      <c r="F128" s="6"/>
      <c r="G128" s="6"/>
      <c r="H128" s="121"/>
      <c r="I128" s="6"/>
      <c r="J128" s="121"/>
      <c r="K128" s="121"/>
      <c r="L128" s="6"/>
      <c r="M128" s="666"/>
      <c r="N128" s="128"/>
      <c r="O128" s="6"/>
      <c r="P128" s="6"/>
      <c r="Q128" s="121"/>
      <c r="T128" s="121"/>
      <c r="W128" s="121"/>
      <c r="AT128" t="s">
        <v>2219</v>
      </c>
      <c r="AU128" t="s">
        <v>2176</v>
      </c>
      <c r="AV128">
        <v>17</v>
      </c>
      <c r="AW128" t="s">
        <v>2232</v>
      </c>
      <c r="AX128">
        <v>42</v>
      </c>
    </row>
    <row r="129" spans="1:50" ht="32.9" customHeight="1">
      <c r="A129" s="2318" t="s">
        <v>606</v>
      </c>
      <c r="B129" s="2318"/>
      <c r="C129" s="2318"/>
      <c r="D129" s="496"/>
      <c r="E129" s="496"/>
      <c r="F129" s="497"/>
      <c r="G129" s="498"/>
      <c r="H129" s="121"/>
      <c r="I129" s="6"/>
      <c r="J129" s="121"/>
      <c r="K129" s="121"/>
      <c r="L129" s="6"/>
      <c r="M129" s="666"/>
      <c r="N129" s="128"/>
      <c r="O129" s="6"/>
      <c r="P129" s="6"/>
      <c r="Q129" s="121"/>
      <c r="T129" s="121"/>
      <c r="W129" s="121"/>
      <c r="AT129" t="s">
        <v>2220</v>
      </c>
      <c r="AU129" t="s">
        <v>2176</v>
      </c>
      <c r="AV129">
        <v>30</v>
      </c>
      <c r="AW129" t="s">
        <v>2225</v>
      </c>
      <c r="AX129">
        <v>3.5</v>
      </c>
    </row>
    <row r="130" spans="1:50" ht="22" customHeight="1">
      <c r="A130" s="2905" t="s">
        <v>615</v>
      </c>
      <c r="B130" s="2905"/>
      <c r="C130" s="2905"/>
      <c r="D130" s="2905"/>
      <c r="E130" s="2905"/>
      <c r="F130" s="2905"/>
      <c r="G130" s="2905"/>
      <c r="H130" s="601"/>
      <c r="I130" s="602"/>
      <c r="J130" s="602"/>
      <c r="K130" s="601"/>
      <c r="L130" s="602"/>
      <c r="M130" s="602"/>
      <c r="N130" s="685"/>
      <c r="O130" s="594"/>
      <c r="P130" s="686"/>
      <c r="Q130" s="687"/>
      <c r="R130" s="594"/>
      <c r="S130" s="594"/>
      <c r="T130" s="594"/>
      <c r="U130" s="594"/>
      <c r="V130" s="594"/>
      <c r="W130" s="594"/>
      <c r="X130" s="2859"/>
      <c r="Y130" s="2859"/>
      <c r="Z130" s="2859"/>
      <c r="AA130" s="2859"/>
      <c r="AB130" s="2859"/>
      <c r="AC130" s="2859"/>
      <c r="AD130" s="2859"/>
      <c r="AE130" s="2859"/>
      <c r="AF130" s="2859"/>
      <c r="AG130" s="2859"/>
      <c r="AT130" t="s">
        <v>2221</v>
      </c>
      <c r="AU130" t="s">
        <v>2176</v>
      </c>
      <c r="AV130">
        <v>12</v>
      </c>
      <c r="AW130" t="s">
        <v>2232</v>
      </c>
      <c r="AX130">
        <v>32</v>
      </c>
    </row>
    <row r="131" spans="1:50" ht="18.649999999999999" hidden="1" customHeight="1">
      <c r="A131" s="1"/>
      <c r="B131" s="502"/>
      <c r="C131" s="50"/>
      <c r="D131" s="50"/>
      <c r="E131" s="50"/>
      <c r="G131" s="1800"/>
      <c r="H131" s="60"/>
      <c r="I131" s="6"/>
      <c r="J131" s="65"/>
      <c r="K131" s="60"/>
      <c r="L131" s="6"/>
      <c r="M131" s="65"/>
      <c r="N131" s="60"/>
      <c r="P131" s="66"/>
      <c r="Q131" s="1815"/>
      <c r="T131" s="1815"/>
      <c r="W131" s="1815"/>
      <c r="AT131" t="s">
        <v>2222</v>
      </c>
      <c r="AU131" t="s">
        <v>2176</v>
      </c>
    </row>
    <row r="132" spans="1:50" ht="18.649999999999999" hidden="1" customHeight="1">
      <c r="A132" s="1"/>
      <c r="B132" s="502"/>
      <c r="C132" s="50"/>
      <c r="D132" s="50"/>
      <c r="E132" s="50"/>
      <c r="G132" s="1800"/>
      <c r="H132" s="60"/>
      <c r="I132" s="6"/>
      <c r="J132" s="65"/>
      <c r="K132" s="60"/>
      <c r="L132" s="6"/>
      <c r="M132" s="65"/>
      <c r="N132" s="60"/>
      <c r="P132" s="66"/>
      <c r="Q132" s="1815"/>
      <c r="T132" s="1815"/>
      <c r="W132" s="1815"/>
    </row>
    <row r="133" spans="1:50" ht="14.9" customHeight="1">
      <c r="A133" s="1"/>
      <c r="B133" s="2903" t="s">
        <v>207</v>
      </c>
      <c r="C133" s="2903"/>
      <c r="D133" s="2903"/>
      <c r="E133" s="2903"/>
      <c r="G133" s="1800"/>
      <c r="H133" s="792"/>
      <c r="I133" s="710"/>
      <c r="J133" s="711"/>
      <c r="K133" s="579"/>
      <c r="L133" s="710"/>
      <c r="M133" s="711"/>
      <c r="N133" s="579"/>
      <c r="O133" s="713"/>
      <c r="P133" s="714"/>
      <c r="Q133" s="579"/>
      <c r="R133" s="762"/>
      <c r="S133" s="762"/>
      <c r="T133" s="579"/>
      <c r="U133" s="762"/>
      <c r="V133" s="762"/>
      <c r="W133" s="579"/>
      <c r="X133" s="2893"/>
      <c r="Y133" s="2893"/>
      <c r="Z133" s="2893"/>
      <c r="AA133" s="2893"/>
      <c r="AB133" s="2893"/>
      <c r="AC133" s="2893"/>
      <c r="AD133" s="2893"/>
      <c r="AE133" s="2893"/>
      <c r="AF133" s="2893"/>
      <c r="AG133" s="2893"/>
      <c r="AT133" t="s">
        <v>2222</v>
      </c>
      <c r="AU133" t="s">
        <v>2176</v>
      </c>
      <c r="AV133">
        <v>12</v>
      </c>
      <c r="AW133" t="s">
        <v>2232</v>
      </c>
      <c r="AX133">
        <v>32</v>
      </c>
    </row>
    <row r="134" spans="1:50"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c r="AT134" t="s">
        <v>2223</v>
      </c>
      <c r="AU134" t="s">
        <v>2177</v>
      </c>
    </row>
    <row r="135" spans="1:50" ht="15.75" customHeight="1">
      <c r="A135" s="252"/>
      <c r="B135" s="2903" t="s">
        <v>631</v>
      </c>
      <c r="C135" s="2903"/>
      <c r="D135" s="2903"/>
      <c r="E135" s="2903"/>
      <c r="F135" s="6"/>
      <c r="G135" s="65"/>
      <c r="H135" s="793"/>
      <c r="I135" s="710"/>
      <c r="J135" s="711"/>
      <c r="K135" s="581"/>
      <c r="L135" s="708"/>
      <c r="M135" s="709"/>
      <c r="N135" s="581"/>
      <c r="O135" s="710"/>
      <c r="P135" s="712"/>
      <c r="Q135" s="581"/>
      <c r="R135" s="762"/>
      <c r="S135" s="762"/>
      <c r="T135" s="581"/>
      <c r="U135" s="762"/>
      <c r="V135" s="762"/>
      <c r="W135" s="581"/>
      <c r="X135" s="2893"/>
      <c r="Y135" s="2893"/>
      <c r="Z135" s="2893"/>
      <c r="AA135" s="2893"/>
      <c r="AB135" s="2893"/>
      <c r="AC135" s="2893"/>
      <c r="AD135" s="2893"/>
      <c r="AE135" s="2893"/>
      <c r="AF135" s="2893"/>
      <c r="AG135" s="2893"/>
      <c r="AH135" s="9"/>
      <c r="AT135" t="s">
        <v>2177</v>
      </c>
      <c r="AU135" t="s">
        <v>2177</v>
      </c>
      <c r="AV135">
        <v>16</v>
      </c>
      <c r="AW135" t="s">
        <v>2233</v>
      </c>
      <c r="AX135">
        <v>1</v>
      </c>
    </row>
    <row r="136" spans="1:50" ht="15.75" customHeight="1">
      <c r="A136" s="252"/>
      <c r="B136" s="2903" t="s">
        <v>633</v>
      </c>
      <c r="C136" s="2903"/>
      <c r="D136" s="2903"/>
      <c r="E136" s="2903"/>
      <c r="F136" s="6"/>
      <c r="G136" s="65"/>
      <c r="H136" s="480"/>
      <c r="I136" s="710"/>
      <c r="J136" s="711"/>
      <c r="K136" s="526"/>
      <c r="L136" s="710"/>
      <c r="M136" s="711"/>
      <c r="N136" s="526"/>
      <c r="O136" s="710"/>
      <c r="P136" s="712"/>
      <c r="Q136" s="526"/>
      <c r="R136" s="762"/>
      <c r="S136" s="762"/>
      <c r="T136" s="526"/>
      <c r="U136" s="762"/>
      <c r="V136" s="762"/>
      <c r="W136" s="526"/>
      <c r="X136" s="2893"/>
      <c r="Y136" s="2893"/>
      <c r="Z136" s="2893"/>
      <c r="AA136" s="2893"/>
      <c r="AB136" s="2893"/>
      <c r="AC136" s="2893"/>
      <c r="AD136" s="2893"/>
      <c r="AE136" s="2893"/>
      <c r="AF136" s="2893"/>
      <c r="AG136" s="2893"/>
      <c r="AU136" s="1" t="s">
        <v>2234</v>
      </c>
      <c r="AV136" s="1324">
        <f>ROUND(AVERAGE(AV92:AV135),0)</f>
        <v>13</v>
      </c>
      <c r="AW136" s="1"/>
      <c r="AX136" s="1328">
        <f>ROUND(AVERAGE(AX92:AX135),2)</f>
        <v>45</v>
      </c>
    </row>
    <row r="137" spans="1:50" ht="15.75" customHeight="1">
      <c r="A137" s="252"/>
      <c r="B137" s="2903" t="s">
        <v>627</v>
      </c>
      <c r="C137" s="2903"/>
      <c r="D137" s="2903"/>
      <c r="E137" s="2903"/>
      <c r="F137" s="6"/>
      <c r="G137" s="65"/>
      <c r="H137" s="794"/>
      <c r="I137" s="710"/>
      <c r="J137" s="711"/>
      <c r="K137" s="561"/>
      <c r="L137" s="710"/>
      <c r="M137" s="711"/>
      <c r="N137" s="561"/>
      <c r="O137" s="710"/>
      <c r="P137" s="712"/>
      <c r="Q137" s="561"/>
      <c r="R137" s="762"/>
      <c r="S137" s="762"/>
      <c r="T137" s="561"/>
      <c r="U137" s="762"/>
      <c r="V137" s="762"/>
      <c r="W137" s="561"/>
      <c r="X137" s="2893"/>
      <c r="Y137" s="2893"/>
      <c r="Z137" s="2893"/>
      <c r="AA137" s="2893"/>
      <c r="AB137" s="2893"/>
      <c r="AC137" s="2893"/>
      <c r="AD137" s="2893"/>
      <c r="AE137" s="2893"/>
      <c r="AF137" s="2893"/>
      <c r="AG137" s="2893"/>
    </row>
    <row r="138" spans="1:50" ht="15.75" customHeight="1">
      <c r="A138" s="252"/>
      <c r="B138" s="2904" t="s">
        <v>628</v>
      </c>
      <c r="C138" s="2904"/>
      <c r="D138" s="2904"/>
      <c r="E138" s="2904"/>
      <c r="F138" s="6"/>
      <c r="G138" s="65"/>
      <c r="H138" s="480"/>
      <c r="I138" s="710"/>
      <c r="J138" s="711"/>
      <c r="K138" s="526"/>
      <c r="L138" s="710"/>
      <c r="M138" s="711"/>
      <c r="N138" s="526"/>
      <c r="O138" s="710"/>
      <c r="P138" s="712"/>
      <c r="Q138" s="526"/>
      <c r="R138" s="762"/>
      <c r="S138" s="762"/>
      <c r="T138" s="526"/>
      <c r="U138" s="762"/>
      <c r="V138" s="762"/>
      <c r="W138" s="526"/>
      <c r="X138" s="2893"/>
      <c r="Y138" s="2893"/>
      <c r="Z138" s="2893"/>
      <c r="AA138" s="2893"/>
      <c r="AB138" s="2893"/>
      <c r="AC138" s="2893"/>
      <c r="AD138" s="2893"/>
      <c r="AE138" s="2893"/>
      <c r="AF138" s="2893"/>
      <c r="AG138" s="2893"/>
    </row>
    <row r="139" spans="1:50" ht="32.25" customHeight="1">
      <c r="A139" s="252"/>
      <c r="B139" s="2904" t="s">
        <v>629</v>
      </c>
      <c r="C139" s="2904"/>
      <c r="D139" s="2904"/>
      <c r="E139" s="2904"/>
      <c r="F139" s="6"/>
      <c r="G139" s="65"/>
      <c r="H139" s="795"/>
      <c r="I139" s="710"/>
      <c r="J139" s="711"/>
      <c r="K139" s="568"/>
      <c r="L139" s="710"/>
      <c r="M139" s="711"/>
      <c r="N139" s="568"/>
      <c r="O139" s="710"/>
      <c r="P139" s="712"/>
      <c r="Q139" s="568"/>
      <c r="R139" s="762"/>
      <c r="S139" s="762"/>
      <c r="T139" s="568"/>
      <c r="U139" s="762"/>
      <c r="V139" s="762"/>
      <c r="W139" s="568"/>
      <c r="X139" s="2893"/>
      <c r="Y139" s="2893"/>
      <c r="Z139" s="2893"/>
      <c r="AA139" s="2893"/>
      <c r="AB139" s="2893"/>
      <c r="AC139" s="2893"/>
      <c r="AD139" s="2893"/>
      <c r="AE139" s="2893"/>
      <c r="AF139" s="2893"/>
      <c r="AG139" s="2893"/>
    </row>
    <row r="140" spans="1:50" ht="15.75" customHeight="1">
      <c r="A140" s="252"/>
      <c r="B140" s="2903" t="s">
        <v>632</v>
      </c>
      <c r="C140" s="2903"/>
      <c r="D140" s="2903"/>
      <c r="E140" s="2903"/>
      <c r="F140" s="6"/>
      <c r="G140" s="65"/>
      <c r="H140" s="480"/>
      <c r="I140" s="710"/>
      <c r="J140" s="711"/>
      <c r="K140" s="526"/>
      <c r="L140" s="710"/>
      <c r="M140" s="711"/>
      <c r="N140" s="526"/>
      <c r="O140" s="710"/>
      <c r="P140" s="712"/>
      <c r="Q140" s="526"/>
      <c r="R140" s="762"/>
      <c r="S140" s="762"/>
      <c r="T140" s="526"/>
      <c r="U140" s="762"/>
      <c r="V140" s="762"/>
      <c r="W140" s="526"/>
      <c r="X140" s="2893"/>
      <c r="Y140" s="2893"/>
      <c r="Z140" s="2893"/>
      <c r="AA140" s="2893"/>
      <c r="AB140" s="2893"/>
      <c r="AC140" s="2893"/>
      <c r="AD140" s="2893"/>
      <c r="AE140" s="2893"/>
      <c r="AF140" s="2893"/>
      <c r="AG140" s="2893"/>
    </row>
    <row r="141" spans="1:50" ht="26.25" customHeight="1">
      <c r="A141" s="252"/>
      <c r="B141" s="2903" t="s">
        <v>1551</v>
      </c>
      <c r="C141" s="2903"/>
      <c r="D141" s="2903"/>
      <c r="E141" s="2903"/>
      <c r="F141" s="6"/>
      <c r="G141" s="65"/>
      <c r="H141" s="796"/>
      <c r="I141" s="710"/>
      <c r="J141" s="711"/>
      <c r="K141" s="619"/>
      <c r="L141" s="710"/>
      <c r="M141" s="711"/>
      <c r="N141" s="619"/>
      <c r="O141" s="710"/>
      <c r="P141" s="712"/>
      <c r="Q141" s="619"/>
      <c r="R141" s="762"/>
      <c r="S141" s="762"/>
      <c r="T141" s="619"/>
      <c r="U141" s="762"/>
      <c r="V141" s="762"/>
      <c r="W141" s="619"/>
      <c r="X141" s="2893"/>
      <c r="Y141" s="2893"/>
      <c r="Z141" s="2893"/>
      <c r="AA141" s="2893"/>
      <c r="AB141" s="2893"/>
      <c r="AC141" s="2893"/>
      <c r="AD141" s="2893"/>
      <c r="AE141" s="2893"/>
      <c r="AF141" s="2893"/>
      <c r="AG141" s="2893"/>
      <c r="AH141" s="9"/>
    </row>
    <row r="142" spans="1:50" ht="26.25" customHeight="1">
      <c r="A142" s="252"/>
      <c r="B142" s="2903" t="s">
        <v>1552</v>
      </c>
      <c r="C142" s="2903"/>
      <c r="D142" s="2903"/>
      <c r="E142" s="2903"/>
      <c r="F142" s="6"/>
      <c r="G142" s="65"/>
      <c r="H142" s="796"/>
      <c r="I142" s="710"/>
      <c r="J142" s="711"/>
      <c r="K142" s="619"/>
      <c r="L142" s="710"/>
      <c r="M142" s="711"/>
      <c r="N142" s="619"/>
      <c r="O142" s="710"/>
      <c r="P142" s="712"/>
      <c r="Q142" s="619"/>
      <c r="R142" s="762"/>
      <c r="S142" s="762"/>
      <c r="T142" s="619"/>
      <c r="U142" s="762"/>
      <c r="V142" s="762"/>
      <c r="W142" s="619"/>
      <c r="X142" s="2893"/>
      <c r="Y142" s="2893"/>
      <c r="Z142" s="2893"/>
      <c r="AA142" s="2893"/>
      <c r="AB142" s="2893"/>
      <c r="AC142" s="2893"/>
      <c r="AD142" s="2893"/>
      <c r="AE142" s="2893"/>
      <c r="AF142" s="2893"/>
      <c r="AG142" s="2893"/>
      <c r="AH142" s="9"/>
    </row>
    <row r="143" spans="1:50" ht="32.25" customHeight="1">
      <c r="A143" s="252"/>
      <c r="B143" s="2903" t="s">
        <v>331</v>
      </c>
      <c r="C143" s="2903"/>
      <c r="D143" s="2903"/>
      <c r="E143" s="2903"/>
      <c r="F143" s="6"/>
      <c r="G143" s="65"/>
      <c r="H143" s="480"/>
      <c r="I143" s="710"/>
      <c r="J143" s="711"/>
      <c r="K143" s="526"/>
      <c r="L143" s="710"/>
      <c r="M143" s="711"/>
      <c r="N143" s="526"/>
      <c r="O143" s="710"/>
      <c r="P143" s="712"/>
      <c r="Q143" s="526"/>
      <c r="R143" s="762"/>
      <c r="S143" s="762"/>
      <c r="T143" s="526"/>
      <c r="U143" s="762"/>
      <c r="V143" s="762"/>
      <c r="W143" s="526"/>
      <c r="X143" s="2893"/>
      <c r="Y143" s="2893"/>
      <c r="Z143" s="2893"/>
      <c r="AA143" s="2893"/>
      <c r="AB143" s="2893"/>
      <c r="AC143" s="2893"/>
      <c r="AD143" s="2893"/>
      <c r="AE143" s="2893"/>
      <c r="AF143" s="2893"/>
      <c r="AG143" s="2893"/>
    </row>
    <row r="144" spans="1:50" ht="15.75" customHeight="1">
      <c r="A144" s="252"/>
      <c r="B144" s="2904" t="s">
        <v>332</v>
      </c>
      <c r="C144" s="2904"/>
      <c r="D144" s="2904"/>
      <c r="E144" s="2904"/>
      <c r="F144" s="6"/>
      <c r="G144" s="65"/>
      <c r="H144" s="480"/>
      <c r="I144" s="748"/>
      <c r="J144" s="711"/>
      <c r="K144" s="526"/>
      <c r="L144" s="748"/>
      <c r="M144" s="711"/>
      <c r="N144" s="526"/>
      <c r="O144" s="710"/>
      <c r="P144" s="582"/>
      <c r="Q144" s="526"/>
      <c r="R144" s="762"/>
      <c r="S144" s="762"/>
      <c r="T144" s="526"/>
      <c r="U144" s="762"/>
      <c r="V144" s="762"/>
      <c r="W144" s="526"/>
      <c r="X144" s="2893"/>
      <c r="Y144" s="2893"/>
      <c r="Z144" s="2893"/>
      <c r="AA144" s="2893"/>
      <c r="AB144" s="2893"/>
      <c r="AC144" s="2893"/>
      <c r="AD144" s="2893"/>
      <c r="AE144" s="2893"/>
      <c r="AF144" s="2893"/>
      <c r="AG144" s="2893"/>
    </row>
    <row r="145" spans="1:34" ht="15.75" customHeight="1">
      <c r="A145" s="252"/>
      <c r="B145" s="2903" t="s">
        <v>333</v>
      </c>
      <c r="C145" s="2903"/>
      <c r="D145" s="2903"/>
      <c r="E145" s="2903"/>
      <c r="F145" s="6"/>
      <c r="G145" s="63"/>
      <c r="H145" s="480"/>
      <c r="I145" s="713"/>
      <c r="J145" s="713"/>
      <c r="K145" s="526"/>
      <c r="L145" s="713"/>
      <c r="M145" s="713"/>
      <c r="N145" s="526"/>
      <c r="O145" s="713"/>
      <c r="P145" s="713"/>
      <c r="Q145" s="526"/>
      <c r="R145" s="762"/>
      <c r="S145" s="762"/>
      <c r="T145" s="526"/>
      <c r="U145" s="762"/>
      <c r="V145" s="762"/>
      <c r="W145" s="526"/>
      <c r="X145" s="2893"/>
      <c r="Y145" s="2893"/>
      <c r="Z145" s="2893"/>
      <c r="AA145" s="2893"/>
      <c r="AB145" s="2893"/>
      <c r="AC145" s="2893"/>
      <c r="AD145" s="2893"/>
      <c r="AE145" s="2893"/>
      <c r="AF145" s="2893"/>
      <c r="AG145" s="2893"/>
    </row>
    <row r="146" spans="1:34" ht="15.75" customHeight="1">
      <c r="A146" s="252"/>
      <c r="B146" s="2903" t="s">
        <v>334</v>
      </c>
      <c r="C146" s="2903"/>
      <c r="D146" s="2903"/>
      <c r="E146" s="2903"/>
      <c r="H146" s="480"/>
      <c r="I146" s="748"/>
      <c r="J146" s="711"/>
      <c r="K146" s="526"/>
      <c r="L146" s="748"/>
      <c r="M146" s="711"/>
      <c r="N146" s="526"/>
      <c r="O146" s="710"/>
      <c r="P146" s="582"/>
      <c r="Q146" s="526"/>
      <c r="R146" s="762"/>
      <c r="S146" s="762"/>
      <c r="T146" s="526"/>
      <c r="U146" s="762"/>
      <c r="V146" s="762"/>
      <c r="W146" s="526"/>
      <c r="X146" s="2893"/>
      <c r="Y146" s="2893"/>
      <c r="Z146" s="2893"/>
      <c r="AA146" s="2893"/>
      <c r="AB146" s="2893"/>
      <c r="AC146" s="2893"/>
      <c r="AD146" s="2893"/>
      <c r="AE146" s="2893"/>
      <c r="AF146" s="2893"/>
      <c r="AG146" s="2893"/>
    </row>
    <row r="147" spans="1:34" ht="15.75" customHeight="1">
      <c r="A147" s="252"/>
      <c r="B147" s="2904" t="s">
        <v>335</v>
      </c>
      <c r="C147" s="2904"/>
      <c r="D147" s="2904"/>
      <c r="E147" s="2904"/>
      <c r="F147" s="6"/>
      <c r="G147" s="63"/>
      <c r="H147" s="480"/>
      <c r="I147" s="748"/>
      <c r="J147" s="711"/>
      <c r="K147" s="526"/>
      <c r="L147" s="748"/>
      <c r="M147" s="711"/>
      <c r="N147" s="526"/>
      <c r="O147" s="710"/>
      <c r="P147" s="582"/>
      <c r="Q147" s="526"/>
      <c r="R147" s="762"/>
      <c r="S147" s="762"/>
      <c r="T147" s="526"/>
      <c r="U147" s="762"/>
      <c r="V147" s="762"/>
      <c r="W147" s="526"/>
      <c r="X147" s="2893"/>
      <c r="Y147" s="2893"/>
      <c r="Z147" s="2893"/>
      <c r="AA147" s="2893"/>
      <c r="AB147" s="2893"/>
      <c r="AC147" s="2893"/>
      <c r="AD147" s="2893"/>
      <c r="AE147" s="2893"/>
      <c r="AF147" s="2893"/>
      <c r="AG147" s="2893"/>
    </row>
    <row r="148" spans="1:34" ht="15.75" customHeight="1">
      <c r="A148" s="252"/>
      <c r="B148" s="2903" t="s">
        <v>336</v>
      </c>
      <c r="C148" s="2903"/>
      <c r="D148" s="2903"/>
      <c r="E148" s="2903"/>
      <c r="F148" s="6"/>
      <c r="G148" s="63"/>
      <c r="H148" s="480"/>
      <c r="I148" s="748"/>
      <c r="J148" s="711"/>
      <c r="K148" s="526"/>
      <c r="L148" s="748"/>
      <c r="M148" s="711"/>
      <c r="N148" s="526"/>
      <c r="O148" s="710"/>
      <c r="P148" s="582"/>
      <c r="Q148" s="526"/>
      <c r="R148" s="762"/>
      <c r="S148" s="762"/>
      <c r="T148" s="526"/>
      <c r="U148" s="762"/>
      <c r="V148" s="762"/>
      <c r="W148" s="526"/>
      <c r="X148" s="2893"/>
      <c r="Y148" s="2893"/>
      <c r="Z148" s="2893"/>
      <c r="AA148" s="2893"/>
      <c r="AB148" s="2893"/>
      <c r="AC148" s="2893"/>
      <c r="AD148" s="2893"/>
      <c r="AE148" s="2893"/>
      <c r="AF148" s="2893"/>
      <c r="AG148" s="2893"/>
    </row>
    <row r="149" spans="1:34" ht="32.25" customHeight="1">
      <c r="A149" s="252"/>
      <c r="B149" s="2903" t="s">
        <v>337</v>
      </c>
      <c r="C149" s="2903"/>
      <c r="D149" s="2903"/>
      <c r="E149" s="2903"/>
      <c r="F149" s="6"/>
      <c r="G149" s="63"/>
      <c r="H149" s="480"/>
      <c r="I149" s="748"/>
      <c r="J149" s="748"/>
      <c r="K149" s="526"/>
      <c r="L149" s="748"/>
      <c r="M149" s="748"/>
      <c r="N149" s="526"/>
      <c r="O149" s="710"/>
      <c r="P149" s="710"/>
      <c r="Q149" s="526"/>
      <c r="R149" s="762"/>
      <c r="S149" s="762"/>
      <c r="T149" s="526"/>
      <c r="U149" s="762"/>
      <c r="V149" s="762"/>
      <c r="W149" s="526"/>
      <c r="X149" s="2893"/>
      <c r="Y149" s="2893"/>
      <c r="Z149" s="2893"/>
      <c r="AA149" s="2893"/>
      <c r="AB149" s="2893"/>
      <c r="AC149" s="2893"/>
      <c r="AD149" s="2893"/>
      <c r="AE149" s="2893"/>
      <c r="AF149" s="2893"/>
      <c r="AG149" s="2893"/>
      <c r="AH149" s="9"/>
    </row>
    <row r="150" spans="1:34" ht="32.25" customHeight="1">
      <c r="A150" s="252"/>
      <c r="B150" s="2903" t="s">
        <v>338</v>
      </c>
      <c r="C150" s="2903"/>
      <c r="D150" s="2903"/>
      <c r="E150" s="2903"/>
      <c r="F150" s="6"/>
      <c r="G150" s="63"/>
      <c r="H150" s="480"/>
      <c r="I150" s="748"/>
      <c r="J150" s="748"/>
      <c r="K150" s="526"/>
      <c r="L150" s="748"/>
      <c r="M150" s="748"/>
      <c r="N150" s="526"/>
      <c r="O150" s="710"/>
      <c r="P150" s="710"/>
      <c r="Q150" s="526"/>
      <c r="R150" s="762"/>
      <c r="S150" s="762"/>
      <c r="T150" s="526"/>
      <c r="U150" s="762"/>
      <c r="V150" s="762"/>
      <c r="W150" s="526"/>
      <c r="X150" s="2893"/>
      <c r="Y150" s="2893"/>
      <c r="Z150" s="2893"/>
      <c r="AA150" s="2893"/>
      <c r="AB150" s="2893"/>
      <c r="AC150" s="2893"/>
      <c r="AD150" s="2893"/>
      <c r="AE150" s="2893"/>
      <c r="AF150" s="2893"/>
      <c r="AG150" s="2893"/>
      <c r="AH150" s="9"/>
    </row>
    <row r="151" spans="1:34" s="6" customFormat="1" ht="15.75" customHeight="1">
      <c r="A151" s="252"/>
      <c r="B151" s="2903" t="s">
        <v>648</v>
      </c>
      <c r="C151" s="2903"/>
      <c r="D151" s="2903"/>
      <c r="E151" s="2903"/>
      <c r="G151" s="63"/>
      <c r="H151" s="480"/>
      <c r="I151" s="748"/>
      <c r="J151" s="748"/>
      <c r="K151" s="562"/>
      <c r="L151" s="748"/>
      <c r="M151" s="748"/>
      <c r="N151" s="526"/>
      <c r="O151" s="710"/>
      <c r="P151" s="710"/>
      <c r="Q151" s="526"/>
      <c r="R151" s="748"/>
      <c r="S151" s="748"/>
      <c r="T151" s="526"/>
      <c r="U151" s="748"/>
      <c r="V151" s="748"/>
      <c r="W151" s="526"/>
      <c r="X151" s="2893"/>
      <c r="Y151" s="2893"/>
      <c r="Z151" s="2893"/>
      <c r="AA151" s="2893"/>
      <c r="AB151" s="2893"/>
      <c r="AC151" s="2893"/>
      <c r="AD151" s="2893"/>
      <c r="AE151" s="2893"/>
      <c r="AF151" s="2893"/>
      <c r="AG151" s="2893"/>
    </row>
    <row r="152" spans="1:34" ht="15.75" customHeight="1">
      <c r="A152" s="252"/>
      <c r="B152" s="2903" t="s">
        <v>649</v>
      </c>
      <c r="C152" s="2903"/>
      <c r="D152" s="2903"/>
      <c r="E152" s="2903"/>
      <c r="F152" s="6"/>
      <c r="G152" s="63"/>
      <c r="H152" s="797"/>
      <c r="I152" s="748"/>
      <c r="J152" s="711"/>
      <c r="K152" s="562"/>
      <c r="L152" s="748"/>
      <c r="M152" s="711"/>
      <c r="N152" s="562"/>
      <c r="O152" s="710"/>
      <c r="P152" s="582"/>
      <c r="Q152" s="526"/>
      <c r="R152" s="762"/>
      <c r="S152" s="762"/>
      <c r="T152" s="562"/>
      <c r="U152" s="762"/>
      <c r="V152" s="762"/>
      <c r="W152" s="562"/>
      <c r="X152" s="2893"/>
      <c r="Y152" s="2893"/>
      <c r="Z152" s="2893"/>
      <c r="AA152" s="2893"/>
      <c r="AB152" s="2893"/>
      <c r="AC152" s="2893"/>
      <c r="AD152" s="2893"/>
      <c r="AE152" s="2893"/>
      <c r="AF152" s="2893"/>
      <c r="AG152" s="2893"/>
    </row>
    <row r="153" spans="1:34" ht="15.75" customHeight="1">
      <c r="A153" s="237"/>
      <c r="B153" s="2903" t="s">
        <v>415</v>
      </c>
      <c r="C153" s="2903"/>
      <c r="D153" s="2903"/>
      <c r="E153" s="2903"/>
      <c r="F153" s="6"/>
      <c r="G153" s="6"/>
      <c r="H153" s="798"/>
      <c r="I153" s="748"/>
      <c r="J153" s="748"/>
      <c r="K153" s="586"/>
      <c r="L153" s="748"/>
      <c r="M153" s="748"/>
      <c r="N153" s="586"/>
      <c r="O153" s="710"/>
      <c r="P153" s="710"/>
      <c r="Q153" s="586"/>
      <c r="R153" s="762"/>
      <c r="S153" s="762"/>
      <c r="T153" s="586"/>
      <c r="U153" s="762"/>
      <c r="V153" s="762"/>
      <c r="W153" s="586"/>
      <c r="X153" s="2893"/>
      <c r="Y153" s="2893"/>
      <c r="Z153" s="2893"/>
      <c r="AA153" s="2893"/>
      <c r="AB153" s="2893"/>
      <c r="AC153" s="2893"/>
      <c r="AD153" s="2893"/>
      <c r="AE153" s="2893"/>
      <c r="AF153" s="2893"/>
      <c r="AG153" s="2893"/>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903" t="s">
        <v>631</v>
      </c>
      <c r="C155" s="2903"/>
      <c r="D155" s="2903"/>
      <c r="E155" s="2903"/>
      <c r="F155" s="6"/>
      <c r="G155" s="65"/>
      <c r="H155" s="799"/>
      <c r="I155" s="710"/>
      <c r="J155" s="711"/>
      <c r="K155" s="628"/>
      <c r="L155" s="708"/>
      <c r="M155" s="709"/>
      <c r="N155" s="628"/>
      <c r="O155" s="710"/>
      <c r="P155" s="712"/>
      <c r="Q155" s="628"/>
      <c r="R155" s="762"/>
      <c r="S155" s="762"/>
      <c r="T155" s="628"/>
      <c r="U155" s="762"/>
      <c r="V155" s="762"/>
      <c r="W155" s="628"/>
      <c r="X155" s="2893"/>
      <c r="Y155" s="2893"/>
      <c r="Z155" s="2893"/>
      <c r="AA155" s="2893"/>
      <c r="AB155" s="2893"/>
      <c r="AC155" s="2893"/>
      <c r="AD155" s="2893"/>
      <c r="AE155" s="2893"/>
      <c r="AF155" s="2893"/>
      <c r="AG155" s="2893"/>
      <c r="AH155" s="9"/>
    </row>
    <row r="156" spans="1:34" ht="15.75" customHeight="1">
      <c r="A156" s="252"/>
      <c r="B156" s="2903" t="s">
        <v>633</v>
      </c>
      <c r="C156" s="2903"/>
      <c r="D156" s="2903"/>
      <c r="E156" s="2903"/>
      <c r="F156" s="6"/>
      <c r="G156" s="65"/>
      <c r="H156" s="480"/>
      <c r="I156" s="710"/>
      <c r="J156" s="711"/>
      <c r="K156" s="526"/>
      <c r="L156" s="710"/>
      <c r="M156" s="711"/>
      <c r="N156" s="526"/>
      <c r="O156" s="710"/>
      <c r="P156" s="712"/>
      <c r="Q156" s="526"/>
      <c r="R156" s="762"/>
      <c r="S156" s="762"/>
      <c r="T156" s="526"/>
      <c r="U156" s="762"/>
      <c r="V156" s="762"/>
      <c r="W156" s="526"/>
      <c r="X156" s="2893"/>
      <c r="Y156" s="2893"/>
      <c r="Z156" s="2893"/>
      <c r="AA156" s="2893"/>
      <c r="AB156" s="2893"/>
      <c r="AC156" s="2893"/>
      <c r="AD156" s="2893"/>
      <c r="AE156" s="2893"/>
      <c r="AF156" s="2893"/>
      <c r="AG156" s="2893"/>
    </row>
    <row r="157" spans="1:34" ht="15.75" customHeight="1">
      <c r="A157" s="252"/>
      <c r="B157" s="2903" t="s">
        <v>627</v>
      </c>
      <c r="C157" s="2903"/>
      <c r="D157" s="2903"/>
      <c r="E157" s="2903"/>
      <c r="F157" s="6"/>
      <c r="G157" s="63"/>
      <c r="H157" s="794"/>
      <c r="I157" s="748"/>
      <c r="J157" s="711"/>
      <c r="K157" s="561"/>
      <c r="L157" s="748"/>
      <c r="M157" s="711"/>
      <c r="N157" s="561"/>
      <c r="O157" s="710"/>
      <c r="P157" s="582"/>
      <c r="Q157" s="561"/>
      <c r="R157" s="762"/>
      <c r="S157" s="762"/>
      <c r="T157" s="561"/>
      <c r="U157" s="762"/>
      <c r="V157" s="762"/>
      <c r="W157" s="561"/>
      <c r="X157" s="2893"/>
      <c r="Y157" s="2893"/>
      <c r="Z157" s="2893"/>
      <c r="AA157" s="2893"/>
      <c r="AB157" s="2893"/>
      <c r="AC157" s="2893"/>
      <c r="AD157" s="2893"/>
      <c r="AE157" s="2893"/>
      <c r="AF157" s="2893"/>
      <c r="AG157" s="2893"/>
    </row>
    <row r="158" spans="1:34" ht="15.75" customHeight="1">
      <c r="A158" s="252"/>
      <c r="B158" s="2904" t="s">
        <v>628</v>
      </c>
      <c r="C158" s="2904"/>
      <c r="D158" s="2904"/>
      <c r="E158" s="2904"/>
      <c r="F158" s="6"/>
      <c r="G158" s="63"/>
      <c r="H158" s="480"/>
      <c r="I158" s="748"/>
      <c r="J158" s="711"/>
      <c r="K158" s="526"/>
      <c r="L158" s="748"/>
      <c r="M158" s="711"/>
      <c r="N158" s="526"/>
      <c r="O158" s="710"/>
      <c r="P158" s="582"/>
      <c r="Q158" s="526"/>
      <c r="R158" s="762"/>
      <c r="S158" s="762"/>
      <c r="T158" s="526"/>
      <c r="U158" s="762"/>
      <c r="V158" s="762"/>
      <c r="W158" s="526"/>
      <c r="X158" s="2893"/>
      <c r="Y158" s="2893"/>
      <c r="Z158" s="2893"/>
      <c r="AA158" s="2893"/>
      <c r="AB158" s="2893"/>
      <c r="AC158" s="2893"/>
      <c r="AD158" s="2893"/>
      <c r="AE158" s="2893"/>
      <c r="AF158" s="2893"/>
      <c r="AG158" s="2893"/>
    </row>
    <row r="159" spans="1:34" ht="31.5" customHeight="1">
      <c r="A159" s="252"/>
      <c r="B159" s="2904" t="s">
        <v>629</v>
      </c>
      <c r="C159" s="2904"/>
      <c r="D159" s="2904"/>
      <c r="E159" s="2904"/>
      <c r="F159" s="6"/>
      <c r="G159" s="63"/>
      <c r="H159" s="795"/>
      <c r="I159" s="748"/>
      <c r="J159" s="711"/>
      <c r="K159" s="568"/>
      <c r="L159" s="748"/>
      <c r="M159" s="711"/>
      <c r="N159" s="568"/>
      <c r="O159" s="710"/>
      <c r="P159" s="582"/>
      <c r="Q159" s="568"/>
      <c r="R159" s="762"/>
      <c r="S159" s="762"/>
      <c r="T159" s="568"/>
      <c r="U159" s="762"/>
      <c r="V159" s="762"/>
      <c r="W159" s="568"/>
      <c r="X159" s="2893"/>
      <c r="Y159" s="2893"/>
      <c r="Z159" s="2893"/>
      <c r="AA159" s="2893"/>
      <c r="AB159" s="2893"/>
      <c r="AC159" s="2893"/>
      <c r="AD159" s="2893"/>
      <c r="AE159" s="2893"/>
      <c r="AF159" s="2893"/>
      <c r="AG159" s="2893"/>
    </row>
    <row r="160" spans="1:34" ht="15.75" customHeight="1">
      <c r="A160" s="252"/>
      <c r="B160" s="2903" t="s">
        <v>632</v>
      </c>
      <c r="C160" s="2903"/>
      <c r="D160" s="2903"/>
      <c r="E160" s="2903"/>
      <c r="F160" s="6"/>
      <c r="G160" s="65"/>
      <c r="H160" s="480"/>
      <c r="I160" s="710"/>
      <c r="J160" s="711"/>
      <c r="K160" s="526"/>
      <c r="L160" s="710"/>
      <c r="M160" s="711"/>
      <c r="N160" s="526"/>
      <c r="O160" s="710"/>
      <c r="P160" s="712"/>
      <c r="Q160" s="526"/>
      <c r="R160" s="762"/>
      <c r="S160" s="762"/>
      <c r="T160" s="526"/>
      <c r="U160" s="762"/>
      <c r="V160" s="762"/>
      <c r="W160" s="526"/>
      <c r="X160" s="2893"/>
      <c r="Y160" s="2893"/>
      <c r="Z160" s="2893"/>
      <c r="AA160" s="2893"/>
      <c r="AB160" s="2893"/>
      <c r="AC160" s="2893"/>
      <c r="AD160" s="2893"/>
      <c r="AE160" s="2893"/>
      <c r="AF160" s="2893"/>
      <c r="AG160" s="2893"/>
    </row>
    <row r="161" spans="1:34" ht="29.9" customHeight="1">
      <c r="A161" s="252"/>
      <c r="B161" s="2903" t="s">
        <v>1551</v>
      </c>
      <c r="C161" s="2903"/>
      <c r="D161" s="2903"/>
      <c r="E161" s="2903"/>
      <c r="F161" s="6"/>
      <c r="G161" s="65"/>
      <c r="H161" s="796"/>
      <c r="I161" s="710"/>
      <c r="J161" s="711"/>
      <c r="K161" s="619"/>
      <c r="L161" s="710"/>
      <c r="M161" s="711"/>
      <c r="N161" s="619"/>
      <c r="O161" s="710"/>
      <c r="P161" s="712"/>
      <c r="Q161" s="619"/>
      <c r="R161" s="762"/>
      <c r="S161" s="762"/>
      <c r="T161" s="619"/>
      <c r="U161" s="762"/>
      <c r="V161" s="762"/>
      <c r="W161" s="619"/>
      <c r="X161" s="2893"/>
      <c r="Y161" s="2893"/>
      <c r="Z161" s="2893"/>
      <c r="AA161" s="2893"/>
      <c r="AB161" s="2893"/>
      <c r="AC161" s="2893"/>
      <c r="AD161" s="2893"/>
      <c r="AE161" s="2893"/>
      <c r="AF161" s="2893"/>
      <c r="AG161" s="2893"/>
      <c r="AH161" s="9"/>
    </row>
    <row r="162" spans="1:34" ht="29.9" customHeight="1">
      <c r="A162" s="252"/>
      <c r="B162" s="2903" t="s">
        <v>1552</v>
      </c>
      <c r="C162" s="2903"/>
      <c r="D162" s="2903"/>
      <c r="E162" s="2903"/>
      <c r="F162" s="6"/>
      <c r="G162" s="65"/>
      <c r="H162" s="796"/>
      <c r="I162" s="710"/>
      <c r="J162" s="711"/>
      <c r="K162" s="619"/>
      <c r="L162" s="710"/>
      <c r="M162" s="711"/>
      <c r="N162" s="619"/>
      <c r="O162" s="710"/>
      <c r="P162" s="712"/>
      <c r="Q162" s="619"/>
      <c r="R162" s="762"/>
      <c r="S162" s="762"/>
      <c r="T162" s="619"/>
      <c r="U162" s="762"/>
      <c r="V162" s="762"/>
      <c r="W162" s="619"/>
      <c r="X162" s="2893"/>
      <c r="Y162" s="2893"/>
      <c r="Z162" s="2893"/>
      <c r="AA162" s="2893"/>
      <c r="AB162" s="2893"/>
      <c r="AC162" s="2893"/>
      <c r="AD162" s="2893"/>
      <c r="AE162" s="2893"/>
      <c r="AF162" s="2893"/>
      <c r="AG162" s="2893"/>
      <c r="AH162" s="9"/>
    </row>
    <row r="163" spans="1:34" ht="31.5" customHeight="1">
      <c r="A163" s="252"/>
      <c r="B163" s="2903" t="s">
        <v>331</v>
      </c>
      <c r="C163" s="2903"/>
      <c r="D163" s="2903"/>
      <c r="E163" s="2903"/>
      <c r="F163" s="6"/>
      <c r="G163" s="65"/>
      <c r="H163" s="480"/>
      <c r="I163" s="710"/>
      <c r="J163" s="711"/>
      <c r="K163" s="526"/>
      <c r="L163" s="710"/>
      <c r="M163" s="711"/>
      <c r="N163" s="526"/>
      <c r="O163" s="710"/>
      <c r="P163" s="712"/>
      <c r="Q163" s="526"/>
      <c r="R163" s="762"/>
      <c r="S163" s="762"/>
      <c r="T163" s="526"/>
      <c r="U163" s="762"/>
      <c r="V163" s="762"/>
      <c r="W163" s="526"/>
      <c r="X163" s="2893"/>
      <c r="Y163" s="2893"/>
      <c r="Z163" s="2893"/>
      <c r="AA163" s="2893"/>
      <c r="AB163" s="2893"/>
      <c r="AC163" s="2893"/>
      <c r="AD163" s="2893"/>
      <c r="AE163" s="2893"/>
      <c r="AF163" s="2893"/>
      <c r="AG163" s="2893"/>
    </row>
    <row r="164" spans="1:34" ht="15.75" customHeight="1">
      <c r="A164" s="252"/>
      <c r="B164" s="2904" t="s">
        <v>332</v>
      </c>
      <c r="C164" s="2904"/>
      <c r="D164" s="2904"/>
      <c r="E164" s="2904"/>
      <c r="F164" s="6"/>
      <c r="G164" s="65"/>
      <c r="H164" s="480"/>
      <c r="I164" s="748"/>
      <c r="J164" s="711"/>
      <c r="K164" s="526"/>
      <c r="L164" s="748"/>
      <c r="M164" s="711"/>
      <c r="N164" s="526"/>
      <c r="O164" s="710"/>
      <c r="P164" s="582"/>
      <c r="Q164" s="526"/>
      <c r="R164" s="762"/>
      <c r="S164" s="762"/>
      <c r="T164" s="526"/>
      <c r="U164" s="762"/>
      <c r="V164" s="762"/>
      <c r="W164" s="526"/>
      <c r="X164" s="2893"/>
      <c r="Y164" s="2893"/>
      <c r="Z164" s="2893"/>
      <c r="AA164" s="2893"/>
      <c r="AB164" s="2893"/>
      <c r="AC164" s="2893"/>
      <c r="AD164" s="2893"/>
      <c r="AE164" s="2893"/>
      <c r="AF164" s="2893"/>
      <c r="AG164" s="2893"/>
    </row>
    <row r="165" spans="1:34" ht="15.75" customHeight="1">
      <c r="A165" s="252"/>
      <c r="B165" s="2903" t="s">
        <v>333</v>
      </c>
      <c r="C165" s="2903"/>
      <c r="D165" s="2903"/>
      <c r="E165" s="2903"/>
      <c r="F165" s="6"/>
      <c r="G165" s="65"/>
      <c r="H165" s="480"/>
      <c r="I165" s="710"/>
      <c r="J165" s="711"/>
      <c r="K165" s="526"/>
      <c r="L165" s="710"/>
      <c r="M165" s="711"/>
      <c r="N165" s="526"/>
      <c r="O165" s="710"/>
      <c r="P165" s="712"/>
      <c r="Q165" s="526"/>
      <c r="R165" s="762"/>
      <c r="S165" s="762"/>
      <c r="T165" s="526"/>
      <c r="U165" s="762"/>
      <c r="V165" s="762"/>
      <c r="W165" s="526"/>
      <c r="X165" s="2893"/>
      <c r="Y165" s="2893"/>
      <c r="Z165" s="2893"/>
      <c r="AA165" s="2893"/>
      <c r="AB165" s="2893"/>
      <c r="AC165" s="2893"/>
      <c r="AD165" s="2893"/>
      <c r="AE165" s="2893"/>
      <c r="AF165" s="2893"/>
      <c r="AG165" s="2893"/>
    </row>
    <row r="166" spans="1:34" ht="15.75" customHeight="1">
      <c r="A166" s="252"/>
      <c r="B166" s="2903" t="s">
        <v>334</v>
      </c>
      <c r="C166" s="2903"/>
      <c r="D166" s="2903"/>
      <c r="E166" s="2903"/>
      <c r="F166" s="6"/>
      <c r="G166" s="65"/>
      <c r="H166" s="480"/>
      <c r="I166" s="710"/>
      <c r="J166" s="711"/>
      <c r="K166" s="526"/>
      <c r="L166" s="710"/>
      <c r="M166" s="711"/>
      <c r="N166" s="526"/>
      <c r="O166" s="710"/>
      <c r="P166" s="712"/>
      <c r="Q166" s="526"/>
      <c r="R166" s="762"/>
      <c r="S166" s="762"/>
      <c r="T166" s="526"/>
      <c r="U166" s="762"/>
      <c r="V166" s="762"/>
      <c r="W166" s="526"/>
      <c r="X166" s="2893"/>
      <c r="Y166" s="2893"/>
      <c r="Z166" s="2893"/>
      <c r="AA166" s="2893"/>
      <c r="AB166" s="2893"/>
      <c r="AC166" s="2893"/>
      <c r="AD166" s="2893"/>
      <c r="AE166" s="2893"/>
      <c r="AF166" s="2893"/>
      <c r="AG166" s="2893"/>
    </row>
    <row r="167" spans="1:34" ht="15.75" customHeight="1">
      <c r="A167" s="252"/>
      <c r="B167" s="2904" t="s">
        <v>335</v>
      </c>
      <c r="C167" s="2904"/>
      <c r="D167" s="2904"/>
      <c r="E167" s="2904"/>
      <c r="F167" s="6"/>
      <c r="G167" s="65"/>
      <c r="H167" s="480"/>
      <c r="I167" s="710"/>
      <c r="J167" s="711"/>
      <c r="K167" s="526"/>
      <c r="L167" s="710"/>
      <c r="M167" s="711"/>
      <c r="N167" s="526"/>
      <c r="O167" s="710"/>
      <c r="P167" s="712"/>
      <c r="Q167" s="526"/>
      <c r="R167" s="762"/>
      <c r="S167" s="762"/>
      <c r="T167" s="526"/>
      <c r="U167" s="762"/>
      <c r="V167" s="762"/>
      <c r="W167" s="526"/>
      <c r="X167" s="2893"/>
      <c r="Y167" s="2893"/>
      <c r="Z167" s="2893"/>
      <c r="AA167" s="2893"/>
      <c r="AB167" s="2893"/>
      <c r="AC167" s="2893"/>
      <c r="AD167" s="2893"/>
      <c r="AE167" s="2893"/>
      <c r="AF167" s="2893"/>
      <c r="AG167" s="2893"/>
    </row>
    <row r="168" spans="1:34" ht="15.75" customHeight="1">
      <c r="A168" s="252"/>
      <c r="B168" s="2903" t="s">
        <v>336</v>
      </c>
      <c r="C168" s="2903"/>
      <c r="D168" s="2903"/>
      <c r="E168" s="2903"/>
      <c r="F168" s="6"/>
      <c r="G168" s="65"/>
      <c r="H168" s="480"/>
      <c r="I168" s="710"/>
      <c r="J168" s="711"/>
      <c r="K168" s="526"/>
      <c r="L168" s="710"/>
      <c r="M168" s="711"/>
      <c r="N168" s="526"/>
      <c r="O168" s="710"/>
      <c r="P168" s="712"/>
      <c r="Q168" s="526"/>
      <c r="R168" s="762"/>
      <c r="S168" s="762"/>
      <c r="T168" s="526"/>
      <c r="U168" s="762"/>
      <c r="V168" s="762"/>
      <c r="W168" s="526"/>
      <c r="X168" s="2893"/>
      <c r="Y168" s="2893"/>
      <c r="Z168" s="2893"/>
      <c r="AA168" s="2893"/>
      <c r="AB168" s="2893"/>
      <c r="AC168" s="2893"/>
      <c r="AD168" s="2893"/>
      <c r="AE168" s="2893"/>
      <c r="AF168" s="2893"/>
      <c r="AG168" s="2893"/>
    </row>
    <row r="169" spans="1:34" ht="31.5" customHeight="1">
      <c r="A169" s="252"/>
      <c r="B169" s="2903" t="s">
        <v>337</v>
      </c>
      <c r="C169" s="2903"/>
      <c r="D169" s="2903"/>
      <c r="E169" s="2903"/>
      <c r="F169" s="6"/>
      <c r="G169" s="65"/>
      <c r="H169" s="480"/>
      <c r="I169" s="710"/>
      <c r="J169" s="711"/>
      <c r="K169" s="526"/>
      <c r="L169" s="710"/>
      <c r="M169" s="711"/>
      <c r="N169" s="526"/>
      <c r="O169" s="710"/>
      <c r="P169" s="712"/>
      <c r="Q169" s="526"/>
      <c r="R169" s="762"/>
      <c r="S169" s="762"/>
      <c r="T169" s="526"/>
      <c r="U169" s="762"/>
      <c r="V169" s="762"/>
      <c r="W169" s="526"/>
      <c r="X169" s="2893"/>
      <c r="Y169" s="2893"/>
      <c r="Z169" s="2893"/>
      <c r="AA169" s="2893"/>
      <c r="AB169" s="2893"/>
      <c r="AC169" s="2893"/>
      <c r="AD169" s="2893"/>
      <c r="AE169" s="2893"/>
      <c r="AF169" s="2893"/>
      <c r="AG169" s="2893"/>
      <c r="AH169" s="9"/>
    </row>
    <row r="170" spans="1:34" ht="31.5" customHeight="1">
      <c r="A170" s="252"/>
      <c r="B170" s="2903" t="s">
        <v>338</v>
      </c>
      <c r="C170" s="2903"/>
      <c r="D170" s="2903"/>
      <c r="E170" s="2903"/>
      <c r="F170" s="6"/>
      <c r="G170" s="65"/>
      <c r="H170" s="480"/>
      <c r="I170" s="710"/>
      <c r="J170" s="711"/>
      <c r="K170" s="526"/>
      <c r="L170" s="710"/>
      <c r="M170" s="711"/>
      <c r="N170" s="526"/>
      <c r="O170" s="710"/>
      <c r="P170" s="712"/>
      <c r="Q170" s="526"/>
      <c r="R170" s="762"/>
      <c r="S170" s="762"/>
      <c r="T170" s="526"/>
      <c r="U170" s="762"/>
      <c r="V170" s="762"/>
      <c r="W170" s="526"/>
      <c r="X170" s="2893"/>
      <c r="Y170" s="2893"/>
      <c r="Z170" s="2893"/>
      <c r="AA170" s="2893"/>
      <c r="AB170" s="2893"/>
      <c r="AC170" s="2893"/>
      <c r="AD170" s="2893"/>
      <c r="AE170" s="2893"/>
      <c r="AF170" s="2893"/>
      <c r="AG170" s="2893"/>
      <c r="AH170" s="9"/>
    </row>
    <row r="171" spans="1:34" ht="15.75" customHeight="1">
      <c r="A171" s="252"/>
      <c r="B171" s="2903" t="s">
        <v>648</v>
      </c>
      <c r="C171" s="2903"/>
      <c r="D171" s="2903"/>
      <c r="E171" s="2903"/>
      <c r="F171" s="6"/>
      <c r="G171" s="65"/>
      <c r="H171" s="480"/>
      <c r="I171" s="710"/>
      <c r="J171" s="711"/>
      <c r="K171" s="526"/>
      <c r="L171" s="710"/>
      <c r="M171" s="711"/>
      <c r="N171" s="526"/>
      <c r="O171" s="710"/>
      <c r="P171" s="712"/>
      <c r="Q171" s="526"/>
      <c r="R171" s="762"/>
      <c r="S171" s="762"/>
      <c r="T171" s="526"/>
      <c r="U171" s="762"/>
      <c r="V171" s="762"/>
      <c r="W171" s="526"/>
      <c r="X171" s="2893"/>
      <c r="Y171" s="2893"/>
      <c r="Z171" s="2893"/>
      <c r="AA171" s="2893"/>
      <c r="AB171" s="2893"/>
      <c r="AC171" s="2893"/>
      <c r="AD171" s="2893"/>
      <c r="AE171" s="2893"/>
      <c r="AF171" s="2893"/>
      <c r="AG171" s="2893"/>
    </row>
    <row r="172" spans="1:34" ht="15.75" customHeight="1">
      <c r="A172" s="252"/>
      <c r="B172" s="2903" t="s">
        <v>649</v>
      </c>
      <c r="C172" s="2903"/>
      <c r="D172" s="2903"/>
      <c r="E172" s="2903"/>
      <c r="F172" s="6"/>
      <c r="G172" s="65"/>
      <c r="H172" s="797"/>
      <c r="I172" s="710"/>
      <c r="J172" s="711"/>
      <c r="K172" s="562"/>
      <c r="L172" s="710"/>
      <c r="M172" s="711"/>
      <c r="N172" s="562"/>
      <c r="O172" s="710"/>
      <c r="P172" s="712"/>
      <c r="Q172" s="562"/>
      <c r="R172" s="762"/>
      <c r="S172" s="762"/>
      <c r="T172" s="562"/>
      <c r="U172" s="762"/>
      <c r="V172" s="762"/>
      <c r="W172" s="562"/>
      <c r="X172" s="2893"/>
      <c r="Y172" s="2893"/>
      <c r="Z172" s="2893"/>
      <c r="AA172" s="2893"/>
      <c r="AB172" s="2893"/>
      <c r="AC172" s="2893"/>
      <c r="AD172" s="2893"/>
      <c r="AE172" s="2893"/>
      <c r="AF172" s="2893"/>
      <c r="AG172" s="2893"/>
    </row>
    <row r="173" spans="1:34" ht="15.75" customHeight="1">
      <c r="A173" s="237"/>
      <c r="B173" s="2903" t="s">
        <v>415</v>
      </c>
      <c r="C173" s="2903"/>
      <c r="D173" s="2903"/>
      <c r="E173" s="2903"/>
      <c r="F173" s="6"/>
      <c r="G173" s="65"/>
      <c r="H173" s="798"/>
      <c r="I173" s="710"/>
      <c r="J173" s="711"/>
      <c r="K173" s="586"/>
      <c r="L173" s="710"/>
      <c r="M173" s="711"/>
      <c r="N173" s="586"/>
      <c r="O173" s="710"/>
      <c r="P173" s="712"/>
      <c r="Q173" s="586"/>
      <c r="R173" s="762"/>
      <c r="S173" s="762"/>
      <c r="T173" s="586"/>
      <c r="U173" s="762"/>
      <c r="V173" s="762"/>
      <c r="W173" s="586"/>
      <c r="X173" s="2893"/>
      <c r="Y173" s="2893"/>
      <c r="Z173" s="2893"/>
      <c r="AA173" s="2893"/>
      <c r="AB173" s="2893"/>
      <c r="AC173" s="2893"/>
      <c r="AD173" s="2893"/>
      <c r="AE173" s="2893"/>
      <c r="AF173" s="2893"/>
      <c r="AG173" s="2893"/>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903" t="s">
        <v>631</v>
      </c>
      <c r="C175" s="2903"/>
      <c r="D175" s="2903"/>
      <c r="E175" s="2903"/>
      <c r="F175" s="6"/>
      <c r="G175" s="65"/>
      <c r="H175" s="799"/>
      <c r="I175" s="710"/>
      <c r="J175" s="711"/>
      <c r="K175" s="628"/>
      <c r="L175" s="710"/>
      <c r="M175" s="711"/>
      <c r="N175" s="628"/>
      <c r="O175" s="710"/>
      <c r="P175" s="712"/>
      <c r="Q175" s="628"/>
      <c r="R175" s="762"/>
      <c r="S175" s="762"/>
      <c r="T175" s="628"/>
      <c r="U175" s="762"/>
      <c r="V175" s="762"/>
      <c r="W175" s="628"/>
      <c r="X175" s="2893"/>
      <c r="Y175" s="2893"/>
      <c r="Z175" s="2893"/>
      <c r="AA175" s="2893"/>
      <c r="AB175" s="2893"/>
      <c r="AC175" s="2893"/>
      <c r="AD175" s="2893"/>
      <c r="AE175" s="2893"/>
      <c r="AF175" s="2893"/>
      <c r="AG175" s="2893"/>
      <c r="AH175" s="9"/>
    </row>
    <row r="176" spans="1:34" ht="15.75" customHeight="1">
      <c r="A176" s="252"/>
      <c r="B176" s="2903" t="s">
        <v>633</v>
      </c>
      <c r="C176" s="2903"/>
      <c r="D176" s="2903"/>
      <c r="E176" s="2903"/>
      <c r="F176" s="6"/>
      <c r="G176" s="65"/>
      <c r="H176" s="480"/>
      <c r="I176" s="710"/>
      <c r="J176" s="711"/>
      <c r="K176" s="526"/>
      <c r="L176" s="710"/>
      <c r="M176" s="711"/>
      <c r="N176" s="526"/>
      <c r="O176" s="710"/>
      <c r="P176" s="712"/>
      <c r="Q176" s="526"/>
      <c r="R176" s="762"/>
      <c r="S176" s="762"/>
      <c r="T176" s="526"/>
      <c r="U176" s="762"/>
      <c r="V176" s="762"/>
      <c r="W176" s="526"/>
      <c r="X176" s="2893"/>
      <c r="Y176" s="2893"/>
      <c r="Z176" s="2893"/>
      <c r="AA176" s="2893"/>
      <c r="AB176" s="2893"/>
      <c r="AC176" s="2893"/>
      <c r="AD176" s="2893"/>
      <c r="AE176" s="2893"/>
      <c r="AF176" s="2893"/>
      <c r="AG176" s="2893"/>
    </row>
    <row r="177" spans="1:33" ht="15.75" customHeight="1">
      <c r="A177" s="252"/>
      <c r="B177" s="2903" t="s">
        <v>627</v>
      </c>
      <c r="C177" s="2903"/>
      <c r="D177" s="2903"/>
      <c r="E177" s="2903"/>
      <c r="F177" s="6"/>
      <c r="G177" s="63"/>
      <c r="H177" s="794"/>
      <c r="I177" s="748"/>
      <c r="J177" s="711"/>
      <c r="K177" s="561"/>
      <c r="L177" s="748"/>
      <c r="M177" s="711"/>
      <c r="N177" s="561"/>
      <c r="O177" s="710"/>
      <c r="P177" s="582"/>
      <c r="Q177" s="561"/>
      <c r="R177" s="762"/>
      <c r="S177" s="762"/>
      <c r="T177" s="561"/>
      <c r="U177" s="762"/>
      <c r="V177" s="762"/>
      <c r="W177" s="561"/>
      <c r="X177" s="2893"/>
      <c r="Y177" s="2893"/>
      <c r="Z177" s="2893"/>
      <c r="AA177" s="2893"/>
      <c r="AB177" s="2893"/>
      <c r="AC177" s="2893"/>
      <c r="AD177" s="2893"/>
      <c r="AE177" s="2893"/>
      <c r="AF177" s="2893"/>
      <c r="AG177" s="2893"/>
    </row>
    <row r="178" spans="1:33" ht="15.75" customHeight="1">
      <c r="A178" s="252"/>
      <c r="B178" s="2904" t="s">
        <v>628</v>
      </c>
      <c r="C178" s="2904"/>
      <c r="D178" s="2904"/>
      <c r="E178" s="2904"/>
      <c r="F178" s="6"/>
      <c r="G178" s="63"/>
      <c r="H178" s="480"/>
      <c r="I178" s="748"/>
      <c r="J178" s="711"/>
      <c r="K178" s="526"/>
      <c r="L178" s="748"/>
      <c r="M178" s="711"/>
      <c r="N178" s="526"/>
      <c r="O178" s="710"/>
      <c r="P178" s="582"/>
      <c r="Q178" s="526"/>
      <c r="R178" s="762"/>
      <c r="S178" s="762"/>
      <c r="T178" s="526"/>
      <c r="U178" s="762"/>
      <c r="V178" s="762"/>
      <c r="W178" s="526"/>
      <c r="X178" s="2893"/>
      <c r="Y178" s="2893"/>
      <c r="Z178" s="2893"/>
      <c r="AA178" s="2893"/>
      <c r="AB178" s="2893"/>
      <c r="AC178" s="2893"/>
      <c r="AD178" s="2893"/>
      <c r="AE178" s="2893"/>
      <c r="AF178" s="2893"/>
      <c r="AG178" s="2893"/>
    </row>
    <row r="179" spans="1:33" ht="33" customHeight="1">
      <c r="A179" s="252"/>
      <c r="B179" s="2904" t="s">
        <v>629</v>
      </c>
      <c r="C179" s="2904"/>
      <c r="D179" s="2904"/>
      <c r="E179" s="2904"/>
      <c r="F179" s="6"/>
      <c r="G179" s="63"/>
      <c r="H179" s="795"/>
      <c r="I179" s="748"/>
      <c r="J179" s="711"/>
      <c r="K179" s="568"/>
      <c r="L179" s="748"/>
      <c r="M179" s="711"/>
      <c r="N179" s="568"/>
      <c r="O179" s="710"/>
      <c r="P179" s="582"/>
      <c r="Q179" s="568"/>
      <c r="R179" s="762"/>
      <c r="S179" s="762"/>
      <c r="T179" s="568"/>
      <c r="U179" s="762"/>
      <c r="V179" s="762"/>
      <c r="W179" s="568"/>
      <c r="X179" s="2893"/>
      <c r="Y179" s="2893"/>
      <c r="Z179" s="2893"/>
      <c r="AA179" s="2893"/>
      <c r="AB179" s="2893"/>
      <c r="AC179" s="2893"/>
      <c r="AD179" s="2893"/>
      <c r="AE179" s="2893"/>
      <c r="AF179" s="2893"/>
      <c r="AG179" s="2893"/>
    </row>
    <row r="180" spans="1:33" ht="15.75" customHeight="1">
      <c r="A180" s="252"/>
      <c r="B180" s="2903" t="s">
        <v>632</v>
      </c>
      <c r="C180" s="2903"/>
      <c r="D180" s="2903"/>
      <c r="E180" s="2903"/>
      <c r="F180" s="6"/>
      <c r="G180" s="65"/>
      <c r="H180" s="480"/>
      <c r="I180" s="710"/>
      <c r="J180" s="711"/>
      <c r="K180" s="526"/>
      <c r="L180" s="710"/>
      <c r="M180" s="711"/>
      <c r="N180" s="526"/>
      <c r="O180" s="710"/>
      <c r="P180" s="712"/>
      <c r="Q180" s="526"/>
      <c r="R180" s="762"/>
      <c r="S180" s="762"/>
      <c r="T180" s="526"/>
      <c r="U180" s="762"/>
      <c r="V180" s="762"/>
      <c r="W180" s="526"/>
      <c r="X180" s="2893"/>
      <c r="Y180" s="2893"/>
      <c r="Z180" s="2893"/>
      <c r="AA180" s="2893"/>
      <c r="AB180" s="2893"/>
      <c r="AC180" s="2893"/>
      <c r="AD180" s="2893"/>
      <c r="AE180" s="2893"/>
      <c r="AF180" s="2893"/>
      <c r="AG180" s="2893"/>
    </row>
    <row r="181" spans="1:33" ht="34.5" customHeight="1">
      <c r="A181" s="252"/>
      <c r="B181" s="2903" t="s">
        <v>1551</v>
      </c>
      <c r="C181" s="2903"/>
      <c r="D181" s="2903"/>
      <c r="E181" s="2903"/>
      <c r="F181" s="6"/>
      <c r="G181" s="65"/>
      <c r="H181" s="796"/>
      <c r="I181" s="710"/>
      <c r="J181" s="711"/>
      <c r="K181" s="619"/>
      <c r="L181" s="710"/>
      <c r="M181" s="711"/>
      <c r="N181" s="619"/>
      <c r="O181" s="710"/>
      <c r="P181" s="712"/>
      <c r="Q181" s="619"/>
      <c r="R181" s="762"/>
      <c r="S181" s="762"/>
      <c r="T181" s="619"/>
      <c r="U181" s="762"/>
      <c r="V181" s="762"/>
      <c r="W181" s="619"/>
      <c r="X181" s="2893"/>
      <c r="Y181" s="2893"/>
      <c r="Z181" s="2893"/>
      <c r="AA181" s="2893"/>
      <c r="AB181" s="2893"/>
      <c r="AC181" s="2893"/>
      <c r="AD181" s="2893"/>
      <c r="AE181" s="2893"/>
      <c r="AF181" s="2893"/>
      <c r="AG181" s="2893"/>
    </row>
    <row r="182" spans="1:33" ht="34.5" customHeight="1">
      <c r="A182" s="252"/>
      <c r="B182" s="2903" t="s">
        <v>1552</v>
      </c>
      <c r="C182" s="2903"/>
      <c r="D182" s="2903"/>
      <c r="E182" s="2903"/>
      <c r="F182" s="6"/>
      <c r="G182" s="65"/>
      <c r="H182" s="796"/>
      <c r="I182" s="710"/>
      <c r="J182" s="711"/>
      <c r="K182" s="619"/>
      <c r="L182" s="710"/>
      <c r="M182" s="711"/>
      <c r="N182" s="619"/>
      <c r="O182" s="710"/>
      <c r="P182" s="712"/>
      <c r="Q182" s="619"/>
      <c r="R182" s="762"/>
      <c r="S182" s="762"/>
      <c r="T182" s="619"/>
      <c r="U182" s="762"/>
      <c r="V182" s="762"/>
      <c r="W182" s="619"/>
      <c r="X182" s="2893"/>
      <c r="Y182" s="2893"/>
      <c r="Z182" s="2893"/>
      <c r="AA182" s="2893"/>
      <c r="AB182" s="2893"/>
      <c r="AC182" s="2893"/>
      <c r="AD182" s="2893"/>
      <c r="AE182" s="2893"/>
      <c r="AF182" s="2893"/>
      <c r="AG182" s="2893"/>
    </row>
    <row r="183" spans="1:33" ht="33" customHeight="1">
      <c r="A183" s="252"/>
      <c r="B183" s="2903" t="s">
        <v>331</v>
      </c>
      <c r="C183" s="2903"/>
      <c r="D183" s="2903"/>
      <c r="E183" s="2903"/>
      <c r="F183" s="6"/>
      <c r="G183" s="65"/>
      <c r="H183" s="480"/>
      <c r="I183" s="710"/>
      <c r="J183" s="711"/>
      <c r="K183" s="526"/>
      <c r="L183" s="710"/>
      <c r="M183" s="711"/>
      <c r="N183" s="526"/>
      <c r="O183" s="710"/>
      <c r="P183" s="712"/>
      <c r="Q183" s="526"/>
      <c r="R183" s="762"/>
      <c r="S183" s="762"/>
      <c r="T183" s="526"/>
      <c r="U183" s="762"/>
      <c r="V183" s="762"/>
      <c r="W183" s="526"/>
      <c r="X183" s="2893"/>
      <c r="Y183" s="2893"/>
      <c r="Z183" s="2893"/>
      <c r="AA183" s="2893"/>
      <c r="AB183" s="2893"/>
      <c r="AC183" s="2893"/>
      <c r="AD183" s="2893"/>
      <c r="AE183" s="2893"/>
      <c r="AF183" s="2893"/>
      <c r="AG183" s="2893"/>
    </row>
    <row r="184" spans="1:33" ht="15.75" customHeight="1">
      <c r="A184" s="252"/>
      <c r="B184" s="2904" t="s">
        <v>332</v>
      </c>
      <c r="C184" s="2904"/>
      <c r="D184" s="2904"/>
      <c r="E184" s="2904"/>
      <c r="F184" s="6"/>
      <c r="G184" s="65"/>
      <c r="H184" s="480"/>
      <c r="I184" s="748"/>
      <c r="J184" s="711"/>
      <c r="K184" s="526"/>
      <c r="L184" s="748"/>
      <c r="M184" s="711"/>
      <c r="N184" s="526"/>
      <c r="O184" s="710"/>
      <c r="P184" s="582"/>
      <c r="Q184" s="526"/>
      <c r="R184" s="762"/>
      <c r="S184" s="762"/>
      <c r="T184" s="526"/>
      <c r="U184" s="762"/>
      <c r="V184" s="762"/>
      <c r="W184" s="526"/>
      <c r="X184" s="2893"/>
      <c r="Y184" s="2893"/>
      <c r="Z184" s="2893"/>
      <c r="AA184" s="2893"/>
      <c r="AB184" s="2893"/>
      <c r="AC184" s="2893"/>
      <c r="AD184" s="2893"/>
      <c r="AE184" s="2893"/>
      <c r="AF184" s="2893"/>
      <c r="AG184" s="2893"/>
    </row>
    <row r="185" spans="1:33" ht="15.75" customHeight="1">
      <c r="A185" s="252"/>
      <c r="B185" s="2903" t="s">
        <v>333</v>
      </c>
      <c r="C185" s="2903"/>
      <c r="D185" s="2903"/>
      <c r="E185" s="2903"/>
      <c r="F185" s="6"/>
      <c r="G185" s="65"/>
      <c r="H185" s="480"/>
      <c r="I185" s="710"/>
      <c r="J185" s="711"/>
      <c r="K185" s="526"/>
      <c r="L185" s="710"/>
      <c r="M185" s="711"/>
      <c r="N185" s="526"/>
      <c r="O185" s="710"/>
      <c r="P185" s="712"/>
      <c r="Q185" s="526"/>
      <c r="R185" s="762"/>
      <c r="S185" s="762"/>
      <c r="T185" s="526"/>
      <c r="U185" s="762"/>
      <c r="V185" s="762"/>
      <c r="W185" s="526"/>
      <c r="X185" s="2893"/>
      <c r="Y185" s="2893"/>
      <c r="Z185" s="2893"/>
      <c r="AA185" s="2893"/>
      <c r="AB185" s="2893"/>
      <c r="AC185" s="2893"/>
      <c r="AD185" s="2893"/>
      <c r="AE185" s="2893"/>
      <c r="AF185" s="2893"/>
      <c r="AG185" s="2893"/>
    </row>
    <row r="186" spans="1:33" ht="15.75" customHeight="1">
      <c r="A186" s="252"/>
      <c r="B186" s="2903" t="s">
        <v>334</v>
      </c>
      <c r="C186" s="2903"/>
      <c r="D186" s="2903"/>
      <c r="E186" s="2903"/>
      <c r="F186" s="6"/>
      <c r="G186" s="65"/>
      <c r="H186" s="480"/>
      <c r="I186" s="710"/>
      <c r="J186" s="711"/>
      <c r="K186" s="526"/>
      <c r="L186" s="710"/>
      <c r="M186" s="711"/>
      <c r="N186" s="526"/>
      <c r="O186" s="710"/>
      <c r="P186" s="712"/>
      <c r="Q186" s="526"/>
      <c r="R186" s="762"/>
      <c r="S186" s="762"/>
      <c r="T186" s="526"/>
      <c r="U186" s="762"/>
      <c r="V186" s="762"/>
      <c r="W186" s="526"/>
      <c r="X186" s="2893"/>
      <c r="Y186" s="2893"/>
      <c r="Z186" s="2893"/>
      <c r="AA186" s="2893"/>
      <c r="AB186" s="2893"/>
      <c r="AC186" s="2893"/>
      <c r="AD186" s="2893"/>
      <c r="AE186" s="2893"/>
      <c r="AF186" s="2893"/>
      <c r="AG186" s="2893"/>
    </row>
    <row r="187" spans="1:33" ht="15.75" customHeight="1">
      <c r="A187" s="252"/>
      <c r="B187" s="2904" t="s">
        <v>335</v>
      </c>
      <c r="C187" s="2904"/>
      <c r="D187" s="2904"/>
      <c r="E187" s="2904"/>
      <c r="F187" s="6"/>
      <c r="G187" s="65"/>
      <c r="H187" s="480"/>
      <c r="I187" s="710"/>
      <c r="J187" s="711"/>
      <c r="K187" s="526"/>
      <c r="L187" s="710"/>
      <c r="M187" s="711"/>
      <c r="N187" s="526"/>
      <c r="O187" s="710"/>
      <c r="P187" s="712"/>
      <c r="Q187" s="526"/>
      <c r="R187" s="762"/>
      <c r="S187" s="762"/>
      <c r="T187" s="526"/>
      <c r="U187" s="762"/>
      <c r="V187" s="762"/>
      <c r="W187" s="526"/>
      <c r="X187" s="2893"/>
      <c r="Y187" s="2893"/>
      <c r="Z187" s="2893"/>
      <c r="AA187" s="2893"/>
      <c r="AB187" s="2893"/>
      <c r="AC187" s="2893"/>
      <c r="AD187" s="2893"/>
      <c r="AE187" s="2893"/>
      <c r="AF187" s="2893"/>
      <c r="AG187" s="2893"/>
    </row>
    <row r="188" spans="1:33" ht="15.75" customHeight="1">
      <c r="A188" s="252"/>
      <c r="B188" s="2903" t="s">
        <v>336</v>
      </c>
      <c r="C188" s="2903"/>
      <c r="D188" s="2903"/>
      <c r="E188" s="2903"/>
      <c r="F188" s="6"/>
      <c r="G188" s="65"/>
      <c r="H188" s="480"/>
      <c r="I188" s="710"/>
      <c r="J188" s="711"/>
      <c r="K188" s="526"/>
      <c r="L188" s="710"/>
      <c r="M188" s="711"/>
      <c r="N188" s="526"/>
      <c r="O188" s="710"/>
      <c r="P188" s="712"/>
      <c r="Q188" s="526"/>
      <c r="R188" s="762"/>
      <c r="S188" s="762"/>
      <c r="T188" s="526"/>
      <c r="U188" s="762"/>
      <c r="V188" s="762"/>
      <c r="W188" s="526"/>
      <c r="X188" s="2893"/>
      <c r="Y188" s="2893"/>
      <c r="Z188" s="2893"/>
      <c r="AA188" s="2893"/>
      <c r="AB188" s="2893"/>
      <c r="AC188" s="2893"/>
      <c r="AD188" s="2893"/>
      <c r="AE188" s="2893"/>
      <c r="AF188" s="2893"/>
      <c r="AG188" s="2893"/>
    </row>
    <row r="189" spans="1:33" ht="33" customHeight="1">
      <c r="A189" s="252"/>
      <c r="B189" s="2903" t="s">
        <v>337</v>
      </c>
      <c r="C189" s="2903"/>
      <c r="D189" s="2903"/>
      <c r="E189" s="2903"/>
      <c r="F189" s="6"/>
      <c r="G189" s="65"/>
      <c r="H189" s="480"/>
      <c r="I189" s="710"/>
      <c r="J189" s="711"/>
      <c r="K189" s="526"/>
      <c r="L189" s="710"/>
      <c r="M189" s="711"/>
      <c r="N189" s="526"/>
      <c r="O189" s="710"/>
      <c r="P189" s="712"/>
      <c r="Q189" s="526"/>
      <c r="R189" s="762"/>
      <c r="S189" s="762"/>
      <c r="T189" s="526"/>
      <c r="U189" s="762"/>
      <c r="V189" s="762"/>
      <c r="W189" s="526"/>
      <c r="X189" s="2893"/>
      <c r="Y189" s="2893"/>
      <c r="Z189" s="2893"/>
      <c r="AA189" s="2893"/>
      <c r="AB189" s="2893"/>
      <c r="AC189" s="2893"/>
      <c r="AD189" s="2893"/>
      <c r="AE189" s="2893"/>
      <c r="AF189" s="2893"/>
      <c r="AG189" s="2893"/>
    </row>
    <row r="190" spans="1:33" ht="33" customHeight="1">
      <c r="A190" s="252"/>
      <c r="B190" s="2903" t="s">
        <v>338</v>
      </c>
      <c r="C190" s="2903"/>
      <c r="D190" s="2903"/>
      <c r="E190" s="2903"/>
      <c r="F190" s="6"/>
      <c r="G190" s="65"/>
      <c r="H190" s="480"/>
      <c r="I190" s="710"/>
      <c r="J190" s="711"/>
      <c r="K190" s="526"/>
      <c r="L190" s="710"/>
      <c r="M190" s="711"/>
      <c r="N190" s="526"/>
      <c r="O190" s="710"/>
      <c r="P190" s="712"/>
      <c r="Q190" s="526"/>
      <c r="R190" s="762"/>
      <c r="S190" s="762"/>
      <c r="T190" s="526"/>
      <c r="U190" s="762"/>
      <c r="V190" s="762"/>
      <c r="W190" s="526"/>
      <c r="X190" s="2893"/>
      <c r="Y190" s="2893"/>
      <c r="Z190" s="2893"/>
      <c r="AA190" s="2893"/>
      <c r="AB190" s="2893"/>
      <c r="AC190" s="2893"/>
      <c r="AD190" s="2893"/>
      <c r="AE190" s="2893"/>
      <c r="AF190" s="2893"/>
      <c r="AG190" s="2893"/>
    </row>
    <row r="191" spans="1:33" ht="15.75" customHeight="1">
      <c r="A191" s="252"/>
      <c r="B191" s="2903" t="s">
        <v>648</v>
      </c>
      <c r="C191" s="2903"/>
      <c r="D191" s="2903"/>
      <c r="E191" s="2903"/>
      <c r="F191" s="6"/>
      <c r="G191" s="65"/>
      <c r="H191" s="480"/>
      <c r="I191" s="710"/>
      <c r="J191" s="711"/>
      <c r="K191" s="526"/>
      <c r="L191" s="710"/>
      <c r="M191" s="711"/>
      <c r="N191" s="526"/>
      <c r="O191" s="710"/>
      <c r="P191" s="712"/>
      <c r="Q191" s="526"/>
      <c r="R191" s="762"/>
      <c r="S191" s="762"/>
      <c r="T191" s="526"/>
      <c r="U191" s="762"/>
      <c r="V191" s="762"/>
      <c r="W191" s="526"/>
      <c r="X191" s="2893"/>
      <c r="Y191" s="2893"/>
      <c r="Z191" s="2893"/>
      <c r="AA191" s="2893"/>
      <c r="AB191" s="2893"/>
      <c r="AC191" s="2893"/>
      <c r="AD191" s="2893"/>
      <c r="AE191" s="2893"/>
      <c r="AF191" s="2893"/>
      <c r="AG191" s="2893"/>
    </row>
    <row r="192" spans="1:33" ht="15.75" customHeight="1">
      <c r="A192" s="252"/>
      <c r="B192" s="2903" t="s">
        <v>649</v>
      </c>
      <c r="C192" s="2903"/>
      <c r="D192" s="2903"/>
      <c r="E192" s="2903"/>
      <c r="F192" s="6"/>
      <c r="G192" s="65"/>
      <c r="H192" s="797"/>
      <c r="I192" s="710"/>
      <c r="J192" s="711"/>
      <c r="K192" s="562"/>
      <c r="L192" s="710"/>
      <c r="M192" s="711"/>
      <c r="N192" s="562"/>
      <c r="O192" s="710"/>
      <c r="P192" s="712"/>
      <c r="Q192" s="562"/>
      <c r="R192" s="762"/>
      <c r="S192" s="762"/>
      <c r="T192" s="562"/>
      <c r="U192" s="762"/>
      <c r="V192" s="762"/>
      <c r="W192" s="562"/>
      <c r="X192" s="2893"/>
      <c r="Y192" s="2893"/>
      <c r="Z192" s="2893"/>
      <c r="AA192" s="2893"/>
      <c r="AB192" s="2893"/>
      <c r="AC192" s="2893"/>
      <c r="AD192" s="2893"/>
      <c r="AE192" s="2893"/>
      <c r="AF192" s="2893"/>
      <c r="AG192" s="2893"/>
    </row>
    <row r="193" spans="1:33" ht="15.75" customHeight="1">
      <c r="A193" s="237"/>
      <c r="B193" s="2903" t="s">
        <v>415</v>
      </c>
      <c r="C193" s="2903"/>
      <c r="D193" s="2903"/>
      <c r="E193" s="2903"/>
      <c r="F193" s="6"/>
      <c r="G193" s="65"/>
      <c r="H193" s="800"/>
      <c r="I193" s="741"/>
      <c r="J193" s="742"/>
      <c r="K193" s="766"/>
      <c r="L193" s="741"/>
      <c r="M193" s="742"/>
      <c r="N193" s="766"/>
      <c r="O193" s="741"/>
      <c r="P193" s="767"/>
      <c r="Q193" s="766"/>
      <c r="R193" s="768"/>
      <c r="S193" s="768"/>
      <c r="T193" s="766"/>
      <c r="U193" s="768"/>
      <c r="V193" s="768"/>
      <c r="W193" s="766"/>
      <c r="X193" s="2893"/>
      <c r="Y193" s="2893"/>
      <c r="Z193" s="2893"/>
      <c r="AA193" s="2893"/>
      <c r="AB193" s="2893"/>
      <c r="AC193" s="2893"/>
      <c r="AD193" s="2893"/>
      <c r="AE193" s="2893"/>
      <c r="AF193" s="2893"/>
      <c r="AG193" s="2893"/>
    </row>
    <row r="194" spans="1:33" ht="15.75" customHeight="1">
      <c r="A194" s="237"/>
      <c r="B194" s="6"/>
      <c r="C194" s="110"/>
      <c r="D194" s="110"/>
      <c r="E194" s="110"/>
      <c r="F194" s="6"/>
      <c r="G194" s="121"/>
      <c r="H194" s="121"/>
      <c r="I194" s="6"/>
      <c r="J194" s="121"/>
      <c r="K194" s="121"/>
      <c r="L194" s="6"/>
      <c r="M194" s="121"/>
      <c r="N194" s="121"/>
      <c r="O194" s="6"/>
      <c r="P194" s="1818"/>
      <c r="Q194" s="121"/>
      <c r="R194" s="1799"/>
      <c r="S194" s="1799"/>
      <c r="T194" s="121"/>
      <c r="U194" s="1799"/>
      <c r="V194" s="1799"/>
      <c r="W194" s="121"/>
      <c r="X194" s="2906"/>
      <c r="Y194" s="2906"/>
      <c r="Z194" s="2906"/>
      <c r="AA194" s="2906"/>
      <c r="AB194" s="2906"/>
      <c r="AC194" s="2906"/>
      <c r="AD194" s="2906"/>
      <c r="AE194" s="2906"/>
      <c r="AF194" s="2906"/>
      <c r="AG194" s="2906"/>
    </row>
    <row r="195" spans="1:33" ht="22.5" customHeight="1">
      <c r="A195" s="2907" t="s">
        <v>636</v>
      </c>
      <c r="B195" s="2907"/>
      <c r="C195" s="2907"/>
      <c r="D195" s="2907"/>
      <c r="E195" s="2907"/>
      <c r="F195" s="2907"/>
      <c r="G195" s="2907"/>
      <c r="H195" s="693"/>
      <c r="I195" s="597"/>
      <c r="J195" s="594"/>
      <c r="K195" s="693"/>
      <c r="L195" s="2908"/>
      <c r="M195" s="2908"/>
      <c r="N195" s="669"/>
      <c r="O195" s="594"/>
      <c r="P195" s="670"/>
      <c r="Q195" s="671"/>
      <c r="R195" s="682"/>
      <c r="S195" s="682"/>
      <c r="T195" s="682"/>
      <c r="U195" s="682"/>
      <c r="V195" s="682"/>
      <c r="W195" s="682"/>
      <c r="X195" s="2909"/>
      <c r="Y195" s="2909"/>
      <c r="Z195" s="2909"/>
      <c r="AA195" s="2909"/>
      <c r="AB195" s="2909"/>
      <c r="AC195" s="2909"/>
      <c r="AD195" s="2909"/>
      <c r="AE195" s="2909"/>
      <c r="AF195" s="2909"/>
      <c r="AG195" s="2909"/>
    </row>
    <row r="196" spans="1:33" ht="18.649999999999999" hidden="1" customHeight="1">
      <c r="A196" s="1"/>
      <c r="B196" s="51"/>
      <c r="C196" s="110"/>
      <c r="D196" s="110"/>
      <c r="E196" s="110"/>
      <c r="G196" s="1800"/>
      <c r="H196" s="60"/>
      <c r="I196" s="6"/>
      <c r="J196" s="65"/>
      <c r="K196" s="60"/>
      <c r="L196" s="6"/>
      <c r="M196" s="65"/>
      <c r="N196" s="60"/>
      <c r="P196" s="66"/>
      <c r="Q196" s="1815"/>
      <c r="R196" s="1799"/>
      <c r="S196" s="1799"/>
      <c r="T196" s="1815"/>
      <c r="U196" s="1799"/>
      <c r="V196" s="1799"/>
      <c r="W196" s="1815"/>
      <c r="X196" s="2910"/>
      <c r="Y196" s="2910"/>
      <c r="Z196" s="2910"/>
      <c r="AA196" s="2910"/>
      <c r="AB196" s="2910"/>
      <c r="AC196" s="2910"/>
      <c r="AD196" s="2910"/>
      <c r="AE196" s="2910"/>
      <c r="AF196" s="2910"/>
      <c r="AG196" s="2910"/>
    </row>
    <row r="197" spans="1:33" ht="31.5" customHeight="1">
      <c r="A197" s="252"/>
      <c r="B197" s="2903" t="s">
        <v>242</v>
      </c>
      <c r="C197" s="2903"/>
      <c r="D197" s="2903"/>
      <c r="E197" s="2903"/>
      <c r="F197" s="6"/>
      <c r="G197" s="65"/>
      <c r="H197" s="801"/>
      <c r="I197" s="710"/>
      <c r="J197" s="711"/>
      <c r="K197" s="588"/>
      <c r="L197" s="710"/>
      <c r="M197" s="711"/>
      <c r="N197" s="588"/>
      <c r="O197" s="710"/>
      <c r="P197" s="712"/>
      <c r="Q197" s="588"/>
      <c r="R197" s="762"/>
      <c r="S197" s="762"/>
      <c r="T197" s="588"/>
      <c r="U197" s="762"/>
      <c r="V197" s="762"/>
      <c r="W197" s="588"/>
      <c r="X197" s="2893"/>
      <c r="Y197" s="2893"/>
      <c r="Z197" s="2893"/>
      <c r="AA197" s="2893"/>
      <c r="AB197" s="2893"/>
      <c r="AC197" s="2893"/>
      <c r="AD197" s="2893"/>
      <c r="AE197" s="2893"/>
      <c r="AF197" s="2893"/>
      <c r="AG197" s="2893"/>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911"/>
      <c r="Y198" s="2911"/>
      <c r="Z198" s="2911"/>
      <c r="AA198" s="2911"/>
      <c r="AB198" s="2911"/>
      <c r="AC198" s="2911"/>
      <c r="AD198" s="2911"/>
      <c r="AE198" s="2911"/>
      <c r="AF198" s="2911"/>
      <c r="AG198" s="2911"/>
    </row>
    <row r="199" spans="1:33" ht="18.649999999999999" customHeight="1">
      <c r="A199" s="252"/>
      <c r="B199" s="2903" t="s">
        <v>625</v>
      </c>
      <c r="C199" s="2903"/>
      <c r="D199" s="2903"/>
      <c r="E199" s="2903"/>
      <c r="F199" s="6"/>
      <c r="G199" s="65"/>
      <c r="H199" s="799"/>
      <c r="I199" s="710"/>
      <c r="J199" s="711"/>
      <c r="K199" s="628"/>
      <c r="L199" s="710"/>
      <c r="M199" s="711"/>
      <c r="N199" s="628"/>
      <c r="O199" s="710"/>
      <c r="P199" s="712"/>
      <c r="Q199" s="628"/>
      <c r="R199" s="762"/>
      <c r="S199" s="762"/>
      <c r="T199" s="628"/>
      <c r="U199" s="762"/>
      <c r="V199" s="762"/>
      <c r="W199" s="628"/>
      <c r="X199" s="2893"/>
      <c r="Y199" s="2893"/>
      <c r="Z199" s="2893"/>
      <c r="AA199" s="2893"/>
      <c r="AB199" s="2893"/>
      <c r="AC199" s="2893"/>
      <c r="AD199" s="2893"/>
      <c r="AE199" s="2893"/>
      <c r="AF199" s="2893"/>
      <c r="AG199" s="2893"/>
    </row>
    <row r="200" spans="1:33" ht="18.649999999999999" customHeight="1">
      <c r="A200" s="252"/>
      <c r="B200" s="2903" t="s">
        <v>626</v>
      </c>
      <c r="C200" s="2903"/>
      <c r="D200" s="2903"/>
      <c r="E200" s="2903"/>
      <c r="F200" s="6"/>
      <c r="G200" s="65"/>
      <c r="H200" s="480"/>
      <c r="I200" s="710"/>
      <c r="J200" s="711"/>
      <c r="K200" s="526"/>
      <c r="L200" s="710"/>
      <c r="M200" s="711"/>
      <c r="N200" s="526"/>
      <c r="O200" s="710"/>
      <c r="P200" s="712"/>
      <c r="Q200" s="526"/>
      <c r="R200" s="762"/>
      <c r="S200" s="762"/>
      <c r="T200" s="526"/>
      <c r="U200" s="762"/>
      <c r="V200" s="762"/>
      <c r="W200" s="526"/>
      <c r="X200" s="2893"/>
      <c r="Y200" s="2893"/>
      <c r="Z200" s="2893"/>
      <c r="AA200" s="2893"/>
      <c r="AB200" s="2893"/>
      <c r="AC200" s="2893"/>
      <c r="AD200" s="2893"/>
      <c r="AE200" s="2893"/>
      <c r="AF200" s="2893"/>
      <c r="AG200" s="2893"/>
    </row>
    <row r="201" spans="1:33" ht="28.5" customHeight="1">
      <c r="A201" s="252"/>
      <c r="B201" s="2903" t="s">
        <v>627</v>
      </c>
      <c r="C201" s="2903"/>
      <c r="D201" s="2903"/>
      <c r="E201" s="2903"/>
      <c r="F201" s="6"/>
      <c r="G201" s="65"/>
      <c r="H201" s="794"/>
      <c r="I201" s="710"/>
      <c r="J201" s="711"/>
      <c r="K201" s="561"/>
      <c r="L201" s="710"/>
      <c r="M201" s="711"/>
      <c r="N201" s="561"/>
      <c r="O201" s="710"/>
      <c r="P201" s="712"/>
      <c r="Q201" s="561"/>
      <c r="R201" s="762"/>
      <c r="S201" s="762"/>
      <c r="T201" s="561"/>
      <c r="U201" s="762"/>
      <c r="V201" s="762"/>
      <c r="W201" s="561"/>
      <c r="X201" s="2893"/>
      <c r="Y201" s="2893"/>
      <c r="Z201" s="2893"/>
      <c r="AA201" s="2893"/>
      <c r="AB201" s="2893"/>
      <c r="AC201" s="2893"/>
      <c r="AD201" s="2893"/>
      <c r="AE201" s="2893"/>
      <c r="AF201" s="2893"/>
      <c r="AG201" s="2893"/>
    </row>
    <row r="202" spans="1:33" ht="28.5" customHeight="1">
      <c r="A202" s="252"/>
      <c r="B202" s="2904" t="s">
        <v>628</v>
      </c>
      <c r="C202" s="2904"/>
      <c r="D202" s="2904"/>
      <c r="E202" s="2904"/>
      <c r="F202" s="6"/>
      <c r="G202" s="65"/>
      <c r="H202" s="480"/>
      <c r="I202" s="710"/>
      <c r="J202" s="711"/>
      <c r="K202" s="526"/>
      <c r="L202" s="710"/>
      <c r="M202" s="711"/>
      <c r="N202" s="526"/>
      <c r="O202" s="710"/>
      <c r="P202" s="712"/>
      <c r="Q202" s="526"/>
      <c r="R202" s="762"/>
      <c r="S202" s="762"/>
      <c r="T202" s="526"/>
      <c r="U202" s="762"/>
      <c r="V202" s="762"/>
      <c r="W202" s="526"/>
      <c r="X202" s="2893"/>
      <c r="Y202" s="2893"/>
      <c r="Z202" s="2893"/>
      <c r="AA202" s="2893"/>
      <c r="AB202" s="2893"/>
      <c r="AC202" s="2893"/>
      <c r="AD202" s="2893"/>
      <c r="AE202" s="2893"/>
      <c r="AF202" s="2893"/>
      <c r="AG202" s="2893"/>
    </row>
    <row r="203" spans="1:33" ht="32.9" customHeight="1">
      <c r="A203" s="252"/>
      <c r="B203" s="2904" t="s">
        <v>629</v>
      </c>
      <c r="C203" s="2904"/>
      <c r="D203" s="2904"/>
      <c r="E203" s="2904"/>
      <c r="F203" s="6"/>
      <c r="G203" s="65"/>
      <c r="H203" s="795"/>
      <c r="I203" s="710"/>
      <c r="J203" s="711"/>
      <c r="K203" s="568"/>
      <c r="L203" s="710"/>
      <c r="M203" s="711"/>
      <c r="N203" s="568"/>
      <c r="O203" s="710"/>
      <c r="P203" s="712"/>
      <c r="Q203" s="568"/>
      <c r="R203" s="762"/>
      <c r="S203" s="762"/>
      <c r="T203" s="568"/>
      <c r="U203" s="762"/>
      <c r="V203" s="762"/>
      <c r="W203" s="568"/>
      <c r="X203" s="2893"/>
      <c r="Y203" s="2893"/>
      <c r="Z203" s="2893"/>
      <c r="AA203" s="2893"/>
      <c r="AB203" s="2893"/>
      <c r="AC203" s="2893"/>
      <c r="AD203" s="2893"/>
      <c r="AE203" s="2893"/>
      <c r="AF203" s="2893"/>
      <c r="AG203" s="2893"/>
    </row>
    <row r="204" spans="1:33" ht="18.649999999999999" customHeight="1">
      <c r="A204" s="252"/>
      <c r="B204" s="2903" t="s">
        <v>630</v>
      </c>
      <c r="C204" s="2903"/>
      <c r="D204" s="2903"/>
      <c r="E204" s="2903"/>
      <c r="F204" s="6"/>
      <c r="G204" s="65"/>
      <c r="H204" s="480"/>
      <c r="I204" s="710"/>
      <c r="J204" s="711"/>
      <c r="K204" s="526"/>
      <c r="L204" s="710"/>
      <c r="M204" s="711"/>
      <c r="N204" s="526"/>
      <c r="O204" s="710"/>
      <c r="P204" s="712"/>
      <c r="Q204" s="526"/>
      <c r="R204" s="762"/>
      <c r="S204" s="762"/>
      <c r="T204" s="526"/>
      <c r="U204" s="762"/>
      <c r="V204" s="762"/>
      <c r="W204" s="526"/>
      <c r="X204" s="2893"/>
      <c r="Y204" s="2893"/>
      <c r="Z204" s="2893"/>
      <c r="AA204" s="2893"/>
      <c r="AB204" s="2893"/>
      <c r="AC204" s="2893"/>
      <c r="AD204" s="2893"/>
      <c r="AE204" s="2893"/>
      <c r="AF204" s="2893"/>
      <c r="AG204" s="2893"/>
    </row>
    <row r="205" spans="1:33" ht="18.649999999999999" customHeight="1">
      <c r="A205" s="252"/>
      <c r="B205" s="2904" t="s">
        <v>634</v>
      </c>
      <c r="C205" s="2904"/>
      <c r="D205" s="2904"/>
      <c r="E205" s="2904"/>
      <c r="F205" s="6"/>
      <c r="G205" s="65"/>
      <c r="H205" s="481"/>
      <c r="I205" s="710"/>
      <c r="J205" s="711"/>
      <c r="K205" s="553"/>
      <c r="L205" s="710"/>
      <c r="M205" s="711"/>
      <c r="N205" s="553"/>
      <c r="O205" s="710"/>
      <c r="P205" s="712"/>
      <c r="Q205" s="553"/>
      <c r="R205" s="762"/>
      <c r="S205" s="762"/>
      <c r="T205" s="553"/>
      <c r="U205" s="762"/>
      <c r="V205" s="762"/>
      <c r="W205" s="553"/>
      <c r="X205" s="2893"/>
      <c r="Y205" s="2893"/>
      <c r="Z205" s="2893"/>
      <c r="AA205" s="2893"/>
      <c r="AB205" s="2893"/>
      <c r="AC205" s="2893"/>
      <c r="AD205" s="2893"/>
      <c r="AE205" s="2893"/>
      <c r="AF205" s="2893"/>
      <c r="AG205" s="2893"/>
    </row>
    <row r="206" spans="1:33" ht="36.75" customHeight="1">
      <c r="A206" s="252"/>
      <c r="B206" s="2903" t="s">
        <v>1551</v>
      </c>
      <c r="C206" s="2903"/>
      <c r="D206" s="2903"/>
      <c r="E206" s="2903"/>
      <c r="F206" s="6"/>
      <c r="G206" s="65"/>
      <c r="H206" s="796"/>
      <c r="I206" s="710"/>
      <c r="J206" s="711"/>
      <c r="K206" s="619"/>
      <c r="L206" s="710"/>
      <c r="M206" s="711"/>
      <c r="N206" s="619"/>
      <c r="O206" s="710"/>
      <c r="P206" s="712"/>
      <c r="Q206" s="619"/>
      <c r="R206" s="762"/>
      <c r="S206" s="762"/>
      <c r="T206" s="619"/>
      <c r="U206" s="762"/>
      <c r="V206" s="762"/>
      <c r="W206" s="619"/>
      <c r="X206" s="2893"/>
      <c r="Y206" s="2893"/>
      <c r="Z206" s="2893"/>
      <c r="AA206" s="2893"/>
      <c r="AB206" s="2893"/>
      <c r="AC206" s="2893"/>
      <c r="AD206" s="2893"/>
      <c r="AE206" s="2893"/>
      <c r="AF206" s="2893"/>
      <c r="AG206" s="2893"/>
    </row>
    <row r="207" spans="1:33" ht="36.75" customHeight="1">
      <c r="A207" s="252"/>
      <c r="B207" s="2903" t="s">
        <v>1552</v>
      </c>
      <c r="C207" s="2903"/>
      <c r="D207" s="2903"/>
      <c r="E207" s="2903"/>
      <c r="F207" s="6"/>
      <c r="G207" s="65"/>
      <c r="H207" s="796"/>
      <c r="I207" s="710"/>
      <c r="J207" s="711"/>
      <c r="K207" s="619"/>
      <c r="L207" s="710"/>
      <c r="M207" s="711"/>
      <c r="N207" s="619"/>
      <c r="O207" s="710"/>
      <c r="P207" s="712"/>
      <c r="Q207" s="619"/>
      <c r="R207" s="762"/>
      <c r="S207" s="762"/>
      <c r="T207" s="619"/>
      <c r="U207" s="762"/>
      <c r="V207" s="762"/>
      <c r="W207" s="619"/>
      <c r="X207" s="2893"/>
      <c r="Y207" s="2893"/>
      <c r="Z207" s="2893"/>
      <c r="AA207" s="2893"/>
      <c r="AB207" s="2893"/>
      <c r="AC207" s="2893"/>
      <c r="AD207" s="2893"/>
      <c r="AE207" s="2893"/>
      <c r="AF207" s="2893"/>
      <c r="AG207" s="2893"/>
    </row>
    <row r="208" spans="1:33" ht="32.9" customHeight="1">
      <c r="A208" s="252"/>
      <c r="B208" s="2903" t="s">
        <v>331</v>
      </c>
      <c r="C208" s="2903"/>
      <c r="D208" s="2903"/>
      <c r="E208" s="2903"/>
      <c r="F208" s="6"/>
      <c r="G208" s="65"/>
      <c r="H208" s="480"/>
      <c r="I208" s="710"/>
      <c r="J208" s="711"/>
      <c r="K208" s="526"/>
      <c r="L208" s="710"/>
      <c r="M208" s="711"/>
      <c r="N208" s="526"/>
      <c r="O208" s="710"/>
      <c r="P208" s="712"/>
      <c r="Q208" s="526"/>
      <c r="R208" s="762"/>
      <c r="S208" s="762"/>
      <c r="T208" s="526"/>
      <c r="U208" s="762"/>
      <c r="V208" s="762"/>
      <c r="W208" s="526"/>
      <c r="X208" s="2893"/>
      <c r="Y208" s="2893"/>
      <c r="Z208" s="2893"/>
      <c r="AA208" s="2893"/>
      <c r="AB208" s="2893"/>
      <c r="AC208" s="2893"/>
      <c r="AD208" s="2893"/>
      <c r="AE208" s="2893"/>
      <c r="AF208" s="2893"/>
      <c r="AG208" s="2893"/>
    </row>
    <row r="209" spans="1:33" ht="14.9" customHeight="1">
      <c r="A209" s="252"/>
      <c r="B209" s="2904" t="s">
        <v>332</v>
      </c>
      <c r="C209" s="2904"/>
      <c r="D209" s="2904"/>
      <c r="E209" s="2904"/>
      <c r="F209" s="6"/>
      <c r="G209" s="63"/>
      <c r="H209" s="480"/>
      <c r="I209" s="710"/>
      <c r="J209" s="582"/>
      <c r="K209" s="526"/>
      <c r="L209" s="710"/>
      <c r="M209" s="582"/>
      <c r="N209" s="526"/>
      <c r="O209" s="710"/>
      <c r="P209" s="582"/>
      <c r="Q209" s="526"/>
      <c r="R209" s="762"/>
      <c r="S209" s="762"/>
      <c r="T209" s="526"/>
      <c r="U209" s="762"/>
      <c r="V209" s="762"/>
      <c r="W209" s="526"/>
      <c r="X209" s="2893"/>
      <c r="Y209" s="2893"/>
      <c r="Z209" s="2893"/>
      <c r="AA209" s="2893"/>
      <c r="AB209" s="2893"/>
      <c r="AC209" s="2893"/>
      <c r="AD209" s="2893"/>
      <c r="AE209" s="2893"/>
      <c r="AF209" s="2893"/>
      <c r="AG209" s="2893"/>
    </row>
    <row r="210" spans="1:33" ht="18.649999999999999" customHeight="1">
      <c r="A210" s="252"/>
      <c r="B210" s="2903" t="s">
        <v>333</v>
      </c>
      <c r="C210" s="2903"/>
      <c r="D210" s="2903"/>
      <c r="E210" s="2903"/>
      <c r="F210" s="6"/>
      <c r="G210" s="65"/>
      <c r="H210" s="480"/>
      <c r="I210" s="710"/>
      <c r="J210" s="711"/>
      <c r="K210" s="526"/>
      <c r="L210" s="710"/>
      <c r="M210" s="711"/>
      <c r="N210" s="526"/>
      <c r="O210" s="710"/>
      <c r="P210" s="712"/>
      <c r="Q210" s="526"/>
      <c r="R210" s="762"/>
      <c r="S210" s="762"/>
      <c r="T210" s="526"/>
      <c r="U210" s="762"/>
      <c r="V210" s="762"/>
      <c r="W210" s="526"/>
      <c r="X210" s="2893"/>
      <c r="Y210" s="2893"/>
      <c r="Z210" s="2893"/>
      <c r="AA210" s="2893"/>
      <c r="AB210" s="2893"/>
      <c r="AC210" s="2893"/>
      <c r="AD210" s="2893"/>
      <c r="AE210" s="2893"/>
      <c r="AF210" s="2893"/>
      <c r="AG210" s="2893"/>
    </row>
    <row r="211" spans="1:33" ht="14.9" customHeight="1">
      <c r="A211" s="252"/>
      <c r="B211" s="2903" t="s">
        <v>334</v>
      </c>
      <c r="C211" s="2903"/>
      <c r="D211" s="2903"/>
      <c r="E211" s="2903"/>
      <c r="F211" s="6"/>
      <c r="G211" s="63"/>
      <c r="H211" s="480"/>
      <c r="I211" s="710"/>
      <c r="J211" s="582"/>
      <c r="K211" s="526"/>
      <c r="L211" s="710"/>
      <c r="M211" s="582"/>
      <c r="N211" s="526"/>
      <c r="O211" s="710"/>
      <c r="P211" s="582"/>
      <c r="Q211" s="526"/>
      <c r="R211" s="762"/>
      <c r="S211" s="762"/>
      <c r="T211" s="526"/>
      <c r="U211" s="762"/>
      <c r="V211" s="762"/>
      <c r="W211" s="526"/>
      <c r="X211" s="2893"/>
      <c r="Y211" s="2893"/>
      <c r="Z211" s="2893"/>
      <c r="AA211" s="2893"/>
      <c r="AB211" s="2893"/>
      <c r="AC211" s="2893"/>
      <c r="AD211" s="2893"/>
      <c r="AE211" s="2893"/>
      <c r="AF211" s="2893"/>
      <c r="AG211" s="2893"/>
    </row>
    <row r="212" spans="1:33" ht="14.9" customHeight="1">
      <c r="A212" s="252"/>
      <c r="B212" s="2904" t="s">
        <v>335</v>
      </c>
      <c r="C212" s="2904"/>
      <c r="D212" s="2904"/>
      <c r="E212" s="2904"/>
      <c r="H212" s="480"/>
      <c r="I212" s="713"/>
      <c r="J212" s="713"/>
      <c r="K212" s="526"/>
      <c r="L212" s="713"/>
      <c r="M212" s="713"/>
      <c r="N212" s="526"/>
      <c r="O212" s="713"/>
      <c r="P212" s="713"/>
      <c r="Q212" s="526"/>
      <c r="R212" s="762"/>
      <c r="S212" s="762"/>
      <c r="T212" s="526"/>
      <c r="U212" s="762"/>
      <c r="V212" s="762"/>
      <c r="W212" s="526"/>
      <c r="X212" s="2893"/>
      <c r="Y212" s="2893"/>
      <c r="Z212" s="2893"/>
      <c r="AA212" s="2893"/>
      <c r="AB212" s="2893"/>
      <c r="AC212" s="2893"/>
      <c r="AD212" s="2893"/>
      <c r="AE212" s="2893"/>
      <c r="AF212" s="2893"/>
      <c r="AG212" s="2893"/>
    </row>
    <row r="213" spans="1:33" ht="14.9" customHeight="1">
      <c r="A213" s="252"/>
      <c r="B213" s="2903" t="s">
        <v>336</v>
      </c>
      <c r="C213" s="2903"/>
      <c r="D213" s="2903"/>
      <c r="E213" s="2903"/>
      <c r="F213" s="6"/>
      <c r="G213" s="63"/>
      <c r="H213" s="480"/>
      <c r="I213" s="710"/>
      <c r="J213" s="582"/>
      <c r="K213" s="526"/>
      <c r="L213" s="710"/>
      <c r="M213" s="582"/>
      <c r="N213" s="526"/>
      <c r="O213" s="710"/>
      <c r="P213" s="582"/>
      <c r="Q213" s="526"/>
      <c r="R213" s="762"/>
      <c r="S213" s="762"/>
      <c r="T213" s="526"/>
      <c r="U213" s="762"/>
      <c r="V213" s="762"/>
      <c r="W213" s="526"/>
      <c r="X213" s="2893"/>
      <c r="Y213" s="2893"/>
      <c r="Z213" s="2893"/>
      <c r="AA213" s="2893"/>
      <c r="AB213" s="2893"/>
      <c r="AC213" s="2893"/>
      <c r="AD213" s="2893"/>
      <c r="AE213" s="2893"/>
      <c r="AF213" s="2893"/>
      <c r="AG213" s="2893"/>
    </row>
    <row r="214" spans="1:33" ht="32.9" customHeight="1">
      <c r="A214" s="252"/>
      <c r="B214" s="2903" t="s">
        <v>337</v>
      </c>
      <c r="C214" s="2903"/>
      <c r="D214" s="2903"/>
      <c r="E214" s="2903"/>
      <c r="F214" s="6"/>
      <c r="G214" s="63"/>
      <c r="H214" s="480"/>
      <c r="I214" s="710"/>
      <c r="J214" s="582"/>
      <c r="K214" s="526"/>
      <c r="L214" s="710"/>
      <c r="M214" s="582"/>
      <c r="N214" s="526"/>
      <c r="O214" s="710"/>
      <c r="P214" s="582"/>
      <c r="Q214" s="526"/>
      <c r="R214" s="762"/>
      <c r="S214" s="762"/>
      <c r="T214" s="526"/>
      <c r="U214" s="762"/>
      <c r="V214" s="762"/>
      <c r="W214" s="526"/>
      <c r="X214" s="2893"/>
      <c r="Y214" s="2893"/>
      <c r="Z214" s="2893"/>
      <c r="AA214" s="2893"/>
      <c r="AB214" s="2893"/>
      <c r="AC214" s="2893"/>
      <c r="AD214" s="2893"/>
      <c r="AE214" s="2893"/>
      <c r="AF214" s="2893"/>
      <c r="AG214" s="2893"/>
    </row>
    <row r="215" spans="1:33" ht="32.9" customHeight="1">
      <c r="A215" s="252"/>
      <c r="B215" s="2903" t="s">
        <v>338</v>
      </c>
      <c r="C215" s="2903"/>
      <c r="D215" s="2903"/>
      <c r="E215" s="2903"/>
      <c r="F215" s="6"/>
      <c r="G215" s="63"/>
      <c r="H215" s="480"/>
      <c r="I215" s="710"/>
      <c r="J215" s="582"/>
      <c r="K215" s="526"/>
      <c r="L215" s="710"/>
      <c r="M215" s="582"/>
      <c r="N215" s="526"/>
      <c r="O215" s="710"/>
      <c r="P215" s="582"/>
      <c r="Q215" s="526"/>
      <c r="R215" s="762"/>
      <c r="S215" s="762"/>
      <c r="T215" s="526"/>
      <c r="U215" s="762"/>
      <c r="V215" s="762"/>
      <c r="W215" s="526"/>
      <c r="X215" s="2893"/>
      <c r="Y215" s="2893"/>
      <c r="Z215" s="2893"/>
      <c r="AA215" s="2893"/>
      <c r="AB215" s="2893"/>
      <c r="AC215" s="2893"/>
      <c r="AD215" s="2893"/>
      <c r="AE215" s="2893"/>
      <c r="AF215" s="2893"/>
      <c r="AG215" s="2893"/>
    </row>
    <row r="216" spans="1:33" ht="14.9" customHeight="1">
      <c r="A216" s="252"/>
      <c r="B216" s="2903" t="s">
        <v>735</v>
      </c>
      <c r="C216" s="2903"/>
      <c r="D216" s="2903"/>
      <c r="E216" s="2903"/>
      <c r="F216" s="6"/>
      <c r="G216" s="63"/>
      <c r="H216" s="480"/>
      <c r="I216" s="710"/>
      <c r="J216" s="582"/>
      <c r="K216" s="526"/>
      <c r="L216" s="710"/>
      <c r="M216" s="582"/>
      <c r="N216" s="526"/>
      <c r="O216" s="710"/>
      <c r="P216" s="582"/>
      <c r="Q216" s="526"/>
      <c r="R216" s="762"/>
      <c r="S216" s="762"/>
      <c r="T216" s="526"/>
      <c r="U216" s="762"/>
      <c r="V216" s="762"/>
      <c r="W216" s="526"/>
      <c r="X216" s="2893"/>
      <c r="Y216" s="2893"/>
      <c r="Z216" s="2893"/>
      <c r="AA216" s="2893"/>
      <c r="AB216" s="2893"/>
      <c r="AC216" s="2893"/>
      <c r="AD216" s="2893"/>
      <c r="AE216" s="2893"/>
      <c r="AF216" s="2893"/>
      <c r="AG216" s="2893"/>
    </row>
    <row r="217" spans="1:33" ht="15" customHeight="1">
      <c r="A217" s="252"/>
      <c r="B217" s="2903" t="s">
        <v>734</v>
      </c>
      <c r="C217" s="2903"/>
      <c r="D217" s="2903"/>
      <c r="E217" s="2903"/>
      <c r="F217" s="6"/>
      <c r="G217" s="63"/>
      <c r="H217" s="797"/>
      <c r="I217" s="710"/>
      <c r="J217" s="582"/>
      <c r="K217" s="562"/>
      <c r="L217" s="710"/>
      <c r="M217" s="582"/>
      <c r="N217" s="562"/>
      <c r="O217" s="710"/>
      <c r="P217" s="582"/>
      <c r="Q217" s="562"/>
      <c r="R217" s="762"/>
      <c r="S217" s="762"/>
      <c r="T217" s="562"/>
      <c r="U217" s="762"/>
      <c r="V217" s="762"/>
      <c r="W217" s="562"/>
      <c r="X217" s="2893"/>
      <c r="Y217" s="2893"/>
      <c r="Z217" s="2893"/>
      <c r="AA217" s="2893"/>
      <c r="AB217" s="2893"/>
      <c r="AC217" s="2893"/>
      <c r="AD217" s="2893"/>
      <c r="AE217" s="2893"/>
      <c r="AF217" s="2893"/>
      <c r="AG217" s="2893"/>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911"/>
      <c r="Y218" s="2911"/>
      <c r="Z218" s="2911"/>
      <c r="AA218" s="2911"/>
      <c r="AB218" s="2911"/>
      <c r="AC218" s="2911"/>
      <c r="AD218" s="2911"/>
      <c r="AE218" s="2911"/>
      <c r="AF218" s="2911"/>
      <c r="AG218" s="2911"/>
    </row>
    <row r="219" spans="1:33" ht="14.9" customHeight="1">
      <c r="A219" s="252"/>
      <c r="B219" s="2903" t="s">
        <v>625</v>
      </c>
      <c r="C219" s="2903"/>
      <c r="D219" s="2903"/>
      <c r="E219" s="2903"/>
      <c r="F219" s="6"/>
      <c r="G219" s="65"/>
      <c r="H219" s="799"/>
      <c r="I219" s="710"/>
      <c r="J219" s="711"/>
      <c r="K219" s="628"/>
      <c r="L219" s="710"/>
      <c r="M219" s="711"/>
      <c r="N219" s="628"/>
      <c r="O219" s="710"/>
      <c r="P219" s="712"/>
      <c r="Q219" s="628"/>
      <c r="R219" s="762"/>
      <c r="S219" s="762"/>
      <c r="T219" s="628"/>
      <c r="U219" s="762"/>
      <c r="V219" s="762"/>
      <c r="W219" s="628"/>
      <c r="X219" s="2893"/>
      <c r="Y219" s="2893"/>
      <c r="Z219" s="2893"/>
      <c r="AA219" s="2893"/>
      <c r="AB219" s="2893"/>
      <c r="AC219" s="2893"/>
      <c r="AD219" s="2893"/>
      <c r="AE219" s="2893"/>
      <c r="AF219" s="2893"/>
      <c r="AG219" s="2893"/>
    </row>
    <row r="220" spans="1:33" ht="14.9" customHeight="1">
      <c r="A220" s="252"/>
      <c r="B220" s="2903" t="s">
        <v>626</v>
      </c>
      <c r="C220" s="2903"/>
      <c r="D220" s="2903"/>
      <c r="E220" s="2903"/>
      <c r="F220" s="6"/>
      <c r="G220" s="63"/>
      <c r="H220" s="480"/>
      <c r="I220" s="710"/>
      <c r="J220" s="582"/>
      <c r="K220" s="526"/>
      <c r="L220" s="710"/>
      <c r="M220" s="582"/>
      <c r="N220" s="526"/>
      <c r="O220" s="710"/>
      <c r="P220" s="582"/>
      <c r="Q220" s="526"/>
      <c r="R220" s="762"/>
      <c r="S220" s="762"/>
      <c r="T220" s="526"/>
      <c r="U220" s="762"/>
      <c r="V220" s="762"/>
      <c r="W220" s="526"/>
      <c r="X220" s="2893"/>
      <c r="Y220" s="2893"/>
      <c r="Z220" s="2893"/>
      <c r="AA220" s="2893"/>
      <c r="AB220" s="2893"/>
      <c r="AC220" s="2893"/>
      <c r="AD220" s="2893"/>
      <c r="AE220" s="2893"/>
      <c r="AF220" s="2893"/>
      <c r="AG220" s="2893"/>
    </row>
    <row r="221" spans="1:33" ht="14.9" customHeight="1">
      <c r="A221" s="252"/>
      <c r="B221" s="2903" t="s">
        <v>627</v>
      </c>
      <c r="C221" s="2903"/>
      <c r="D221" s="2903"/>
      <c r="E221" s="2903"/>
      <c r="F221" s="6"/>
      <c r="G221" s="63"/>
      <c r="H221" s="794"/>
      <c r="I221" s="710"/>
      <c r="J221" s="582"/>
      <c r="K221" s="561"/>
      <c r="L221" s="710"/>
      <c r="M221" s="582"/>
      <c r="N221" s="561"/>
      <c r="O221" s="710"/>
      <c r="P221" s="582"/>
      <c r="Q221" s="561"/>
      <c r="R221" s="762"/>
      <c r="S221" s="762"/>
      <c r="T221" s="561"/>
      <c r="U221" s="762"/>
      <c r="V221" s="762"/>
      <c r="W221" s="561"/>
      <c r="X221" s="2893"/>
      <c r="Y221" s="2893"/>
      <c r="Z221" s="2893"/>
      <c r="AA221" s="2893"/>
      <c r="AB221" s="2893"/>
      <c r="AC221" s="2893"/>
      <c r="AD221" s="2893"/>
      <c r="AE221" s="2893"/>
      <c r="AF221" s="2893"/>
      <c r="AG221" s="2893"/>
    </row>
    <row r="222" spans="1:33" ht="14.9" customHeight="1">
      <c r="A222" s="252"/>
      <c r="B222" s="2904" t="s">
        <v>628</v>
      </c>
      <c r="C222" s="2904"/>
      <c r="D222" s="2904"/>
      <c r="E222" s="2904"/>
      <c r="F222" s="6"/>
      <c r="G222" s="63"/>
      <c r="H222" s="480"/>
      <c r="I222" s="710"/>
      <c r="J222" s="582"/>
      <c r="K222" s="526"/>
      <c r="L222" s="710"/>
      <c r="M222" s="582"/>
      <c r="N222" s="526"/>
      <c r="O222" s="710"/>
      <c r="P222" s="582"/>
      <c r="Q222" s="526"/>
      <c r="R222" s="762"/>
      <c r="S222" s="762"/>
      <c r="T222" s="526"/>
      <c r="U222" s="762"/>
      <c r="V222" s="762"/>
      <c r="W222" s="526"/>
      <c r="X222" s="2893"/>
      <c r="Y222" s="2893"/>
      <c r="Z222" s="2893"/>
      <c r="AA222" s="2893"/>
      <c r="AB222" s="2893"/>
      <c r="AC222" s="2893"/>
      <c r="AD222" s="2893"/>
      <c r="AE222" s="2893"/>
      <c r="AF222" s="2893"/>
      <c r="AG222" s="2893"/>
    </row>
    <row r="223" spans="1:33" ht="32.9" customHeight="1">
      <c r="A223" s="252"/>
      <c r="B223" s="2904" t="s">
        <v>629</v>
      </c>
      <c r="C223" s="2904"/>
      <c r="D223" s="2904"/>
      <c r="E223" s="2904"/>
      <c r="F223" s="6"/>
      <c r="G223" s="65"/>
      <c r="H223" s="795"/>
      <c r="I223" s="710"/>
      <c r="J223" s="711"/>
      <c r="K223" s="568"/>
      <c r="L223" s="710"/>
      <c r="M223" s="711"/>
      <c r="N223" s="568"/>
      <c r="O223" s="710"/>
      <c r="P223" s="712"/>
      <c r="Q223" s="568"/>
      <c r="R223" s="762"/>
      <c r="S223" s="762"/>
      <c r="T223" s="568"/>
      <c r="U223" s="762"/>
      <c r="V223" s="762"/>
      <c r="W223" s="568"/>
      <c r="X223" s="2893"/>
      <c r="Y223" s="2893"/>
      <c r="Z223" s="2893"/>
      <c r="AA223" s="2893"/>
      <c r="AB223" s="2893"/>
      <c r="AC223" s="2893"/>
      <c r="AD223" s="2893"/>
      <c r="AE223" s="2893"/>
      <c r="AF223" s="2893"/>
      <c r="AG223" s="2893"/>
    </row>
    <row r="224" spans="1:33" ht="14.9" customHeight="1">
      <c r="A224" s="252"/>
      <c r="B224" s="2903" t="s">
        <v>630</v>
      </c>
      <c r="C224" s="2903"/>
      <c r="D224" s="2903"/>
      <c r="E224" s="2903"/>
      <c r="F224" s="6"/>
      <c r="G224" s="65"/>
      <c r="H224" s="480"/>
      <c r="I224" s="710"/>
      <c r="J224" s="711"/>
      <c r="K224" s="526"/>
      <c r="L224" s="710"/>
      <c r="M224" s="711"/>
      <c r="N224" s="526"/>
      <c r="O224" s="710"/>
      <c r="P224" s="712"/>
      <c r="Q224" s="526"/>
      <c r="R224" s="762"/>
      <c r="S224" s="762"/>
      <c r="T224" s="526"/>
      <c r="U224" s="762"/>
      <c r="V224" s="762"/>
      <c r="W224" s="526"/>
      <c r="X224" s="2893"/>
      <c r="Y224" s="2893"/>
      <c r="Z224" s="2893"/>
      <c r="AA224" s="2893"/>
      <c r="AB224" s="2893"/>
      <c r="AC224" s="2893"/>
      <c r="AD224" s="2893"/>
      <c r="AE224" s="2893"/>
      <c r="AF224" s="2893"/>
      <c r="AG224" s="2893"/>
    </row>
    <row r="225" spans="1:33" ht="14.9" customHeight="1">
      <c r="A225" s="252"/>
      <c r="B225" s="2904" t="s">
        <v>634</v>
      </c>
      <c r="C225" s="2904"/>
      <c r="D225" s="2904"/>
      <c r="E225" s="2904"/>
      <c r="F225" s="6"/>
      <c r="G225" s="65"/>
      <c r="H225" s="481"/>
      <c r="I225" s="710"/>
      <c r="J225" s="711"/>
      <c r="K225" s="553"/>
      <c r="L225" s="710"/>
      <c r="M225" s="711"/>
      <c r="N225" s="553"/>
      <c r="O225" s="710"/>
      <c r="P225" s="712"/>
      <c r="Q225" s="553"/>
      <c r="R225" s="762"/>
      <c r="S225" s="762"/>
      <c r="T225" s="553"/>
      <c r="U225" s="762"/>
      <c r="V225" s="762"/>
      <c r="W225" s="553"/>
      <c r="X225" s="2893"/>
      <c r="Y225" s="2893"/>
      <c r="Z225" s="2893"/>
      <c r="AA225" s="2893"/>
      <c r="AB225" s="2893"/>
      <c r="AC225" s="2893"/>
      <c r="AD225" s="2893"/>
      <c r="AE225" s="2893"/>
      <c r="AF225" s="2893"/>
      <c r="AG225" s="2893"/>
    </row>
    <row r="226" spans="1:33" ht="30.75" customHeight="1">
      <c r="A226" s="252"/>
      <c r="B226" s="2903" t="s">
        <v>1551</v>
      </c>
      <c r="C226" s="2903"/>
      <c r="D226" s="2903"/>
      <c r="E226" s="2903"/>
      <c r="F226" s="6"/>
      <c r="G226" s="65"/>
      <c r="H226" s="796"/>
      <c r="I226" s="710"/>
      <c r="J226" s="711"/>
      <c r="K226" s="619"/>
      <c r="L226" s="710"/>
      <c r="M226" s="711"/>
      <c r="N226" s="619"/>
      <c r="O226" s="710"/>
      <c r="P226" s="712"/>
      <c r="Q226" s="619"/>
      <c r="R226" s="762"/>
      <c r="S226" s="762"/>
      <c r="T226" s="619"/>
      <c r="U226" s="762"/>
      <c r="V226" s="762"/>
      <c r="W226" s="619"/>
      <c r="X226" s="2893"/>
      <c r="Y226" s="2893"/>
      <c r="Z226" s="2893"/>
      <c r="AA226" s="2893"/>
      <c r="AB226" s="2893"/>
      <c r="AC226" s="2893"/>
      <c r="AD226" s="2893"/>
      <c r="AE226" s="2893"/>
      <c r="AF226" s="2893"/>
      <c r="AG226" s="2893"/>
    </row>
    <row r="227" spans="1:33" ht="30.75" customHeight="1">
      <c r="A227" s="252"/>
      <c r="B227" s="2903" t="s">
        <v>1552</v>
      </c>
      <c r="C227" s="2903"/>
      <c r="D227" s="2903"/>
      <c r="E227" s="2903"/>
      <c r="F227" s="6"/>
      <c r="G227" s="65"/>
      <c r="H227" s="796"/>
      <c r="I227" s="710"/>
      <c r="J227" s="711"/>
      <c r="K227" s="619"/>
      <c r="L227" s="710"/>
      <c r="M227" s="711"/>
      <c r="N227" s="619"/>
      <c r="O227" s="710"/>
      <c r="P227" s="712"/>
      <c r="Q227" s="619"/>
      <c r="R227" s="762"/>
      <c r="S227" s="762"/>
      <c r="T227" s="619"/>
      <c r="U227" s="762"/>
      <c r="V227" s="762"/>
      <c r="W227" s="619"/>
      <c r="X227" s="2893"/>
      <c r="Y227" s="2893"/>
      <c r="Z227" s="2893"/>
      <c r="AA227" s="2893"/>
      <c r="AB227" s="2893"/>
      <c r="AC227" s="2893"/>
      <c r="AD227" s="2893"/>
      <c r="AE227" s="2893"/>
      <c r="AF227" s="2893"/>
      <c r="AG227" s="2893"/>
    </row>
    <row r="228" spans="1:33" ht="32.9" customHeight="1">
      <c r="A228" s="252"/>
      <c r="B228" s="2903" t="s">
        <v>331</v>
      </c>
      <c r="C228" s="2903"/>
      <c r="D228" s="2903"/>
      <c r="E228" s="2903"/>
      <c r="F228" s="6"/>
      <c r="G228" s="65"/>
      <c r="H228" s="480"/>
      <c r="I228" s="710"/>
      <c r="J228" s="711"/>
      <c r="K228" s="526"/>
      <c r="L228" s="710"/>
      <c r="M228" s="711"/>
      <c r="N228" s="526"/>
      <c r="O228" s="710"/>
      <c r="P228" s="712"/>
      <c r="Q228" s="526"/>
      <c r="R228" s="762"/>
      <c r="S228" s="762"/>
      <c r="T228" s="526"/>
      <c r="U228" s="762"/>
      <c r="V228" s="762"/>
      <c r="W228" s="526"/>
      <c r="X228" s="2893"/>
      <c r="Y228" s="2893"/>
      <c r="Z228" s="2893"/>
      <c r="AA228" s="2893"/>
      <c r="AB228" s="2893"/>
      <c r="AC228" s="2893"/>
      <c r="AD228" s="2893"/>
      <c r="AE228" s="2893"/>
      <c r="AF228" s="2893"/>
      <c r="AG228" s="2893"/>
    </row>
    <row r="229" spans="1:33" ht="14.9" customHeight="1">
      <c r="A229" s="252"/>
      <c r="B229" s="2904" t="s">
        <v>332</v>
      </c>
      <c r="C229" s="2904"/>
      <c r="D229" s="2904"/>
      <c r="E229" s="2904"/>
      <c r="F229" s="6"/>
      <c r="G229" s="63"/>
      <c r="H229" s="480"/>
      <c r="I229" s="710"/>
      <c r="J229" s="582"/>
      <c r="K229" s="526"/>
      <c r="L229" s="710"/>
      <c r="M229" s="582"/>
      <c r="N229" s="526"/>
      <c r="O229" s="710"/>
      <c r="P229" s="582"/>
      <c r="Q229" s="526"/>
      <c r="R229" s="762"/>
      <c r="S229" s="762"/>
      <c r="T229" s="526"/>
      <c r="U229" s="762"/>
      <c r="V229" s="762"/>
      <c r="W229" s="526"/>
      <c r="X229" s="2893"/>
      <c r="Y229" s="2893"/>
      <c r="Z229" s="2893"/>
      <c r="AA229" s="2893"/>
      <c r="AB229" s="2893"/>
      <c r="AC229" s="2893"/>
      <c r="AD229" s="2893"/>
      <c r="AE229" s="2893"/>
      <c r="AF229" s="2893"/>
      <c r="AG229" s="2893"/>
    </row>
    <row r="230" spans="1:33" ht="14.9" customHeight="1">
      <c r="A230" s="252"/>
      <c r="B230" s="2903" t="s">
        <v>333</v>
      </c>
      <c r="C230" s="2903"/>
      <c r="D230" s="2903"/>
      <c r="E230" s="2903"/>
      <c r="F230" s="6"/>
      <c r="G230" s="65"/>
      <c r="H230" s="480"/>
      <c r="I230" s="710"/>
      <c r="J230" s="711"/>
      <c r="K230" s="526"/>
      <c r="L230" s="710"/>
      <c r="M230" s="711"/>
      <c r="N230" s="526"/>
      <c r="O230" s="710"/>
      <c r="P230" s="712"/>
      <c r="Q230" s="526"/>
      <c r="R230" s="762"/>
      <c r="S230" s="762"/>
      <c r="T230" s="526"/>
      <c r="U230" s="762"/>
      <c r="V230" s="762"/>
      <c r="W230" s="526"/>
      <c r="X230" s="2893"/>
      <c r="Y230" s="2893"/>
      <c r="Z230" s="2893"/>
      <c r="AA230" s="2893"/>
      <c r="AB230" s="2893"/>
      <c r="AC230" s="2893"/>
      <c r="AD230" s="2893"/>
      <c r="AE230" s="2893"/>
      <c r="AF230" s="2893"/>
      <c r="AG230" s="2893"/>
    </row>
    <row r="231" spans="1:33" ht="14.9" customHeight="1">
      <c r="A231" s="252"/>
      <c r="B231" s="2903" t="s">
        <v>334</v>
      </c>
      <c r="C231" s="2903"/>
      <c r="D231" s="2903"/>
      <c r="E231" s="2903"/>
      <c r="F231" s="6"/>
      <c r="G231" s="63"/>
      <c r="H231" s="480"/>
      <c r="I231" s="710"/>
      <c r="J231" s="582"/>
      <c r="K231" s="526"/>
      <c r="L231" s="710"/>
      <c r="M231" s="582"/>
      <c r="N231" s="526"/>
      <c r="O231" s="710"/>
      <c r="P231" s="582"/>
      <c r="Q231" s="526"/>
      <c r="R231" s="762"/>
      <c r="S231" s="762"/>
      <c r="T231" s="526"/>
      <c r="U231" s="762"/>
      <c r="V231" s="762"/>
      <c r="W231" s="526"/>
      <c r="X231" s="2893"/>
      <c r="Y231" s="2893"/>
      <c r="Z231" s="2893"/>
      <c r="AA231" s="2893"/>
      <c r="AB231" s="2893"/>
      <c r="AC231" s="2893"/>
      <c r="AD231" s="2893"/>
      <c r="AE231" s="2893"/>
      <c r="AF231" s="2893"/>
      <c r="AG231" s="2893"/>
    </row>
    <row r="232" spans="1:33" ht="14.9" customHeight="1">
      <c r="A232" s="252"/>
      <c r="B232" s="2904" t="s">
        <v>335</v>
      </c>
      <c r="C232" s="2904"/>
      <c r="D232" s="2904"/>
      <c r="E232" s="2904"/>
      <c r="H232" s="480"/>
      <c r="I232" s="713"/>
      <c r="J232" s="713"/>
      <c r="K232" s="526"/>
      <c r="L232" s="713"/>
      <c r="M232" s="713"/>
      <c r="N232" s="526"/>
      <c r="O232" s="713"/>
      <c r="P232" s="713"/>
      <c r="Q232" s="526"/>
      <c r="R232" s="762"/>
      <c r="S232" s="762"/>
      <c r="T232" s="526"/>
      <c r="U232" s="762"/>
      <c r="V232" s="762"/>
      <c r="W232" s="526"/>
      <c r="X232" s="2893"/>
      <c r="Y232" s="2893"/>
      <c r="Z232" s="2893"/>
      <c r="AA232" s="2893"/>
      <c r="AB232" s="2893"/>
      <c r="AC232" s="2893"/>
      <c r="AD232" s="2893"/>
      <c r="AE232" s="2893"/>
      <c r="AF232" s="2893"/>
      <c r="AG232" s="2893"/>
    </row>
    <row r="233" spans="1:33" ht="14.9" customHeight="1">
      <c r="A233" s="252"/>
      <c r="B233" s="2903" t="s">
        <v>336</v>
      </c>
      <c r="C233" s="2903"/>
      <c r="D233" s="2903"/>
      <c r="E233" s="2903"/>
      <c r="F233" s="6"/>
      <c r="G233" s="63"/>
      <c r="H233" s="480"/>
      <c r="I233" s="710"/>
      <c r="J233" s="582"/>
      <c r="K233" s="526"/>
      <c r="L233" s="710"/>
      <c r="M233" s="582"/>
      <c r="N233" s="526"/>
      <c r="O233" s="710"/>
      <c r="P233" s="582"/>
      <c r="Q233" s="526"/>
      <c r="R233" s="762"/>
      <c r="S233" s="762"/>
      <c r="T233" s="526"/>
      <c r="U233" s="762"/>
      <c r="V233" s="762"/>
      <c r="W233" s="526"/>
      <c r="X233" s="2893"/>
      <c r="Y233" s="2893"/>
      <c r="Z233" s="2893"/>
      <c r="AA233" s="2893"/>
      <c r="AB233" s="2893"/>
      <c r="AC233" s="2893"/>
      <c r="AD233" s="2893"/>
      <c r="AE233" s="2893"/>
      <c r="AF233" s="2893"/>
      <c r="AG233" s="2893"/>
    </row>
    <row r="234" spans="1:33" ht="32.9" customHeight="1">
      <c r="A234" s="252"/>
      <c r="B234" s="2903" t="s">
        <v>337</v>
      </c>
      <c r="C234" s="2903"/>
      <c r="D234" s="2903"/>
      <c r="E234" s="2903"/>
      <c r="F234" s="6"/>
      <c r="G234" s="63"/>
      <c r="H234" s="480"/>
      <c r="I234" s="710"/>
      <c r="J234" s="582"/>
      <c r="K234" s="526"/>
      <c r="L234" s="710"/>
      <c r="M234" s="582"/>
      <c r="N234" s="526"/>
      <c r="O234" s="710"/>
      <c r="P234" s="582"/>
      <c r="Q234" s="526"/>
      <c r="R234" s="762"/>
      <c r="S234" s="762"/>
      <c r="T234" s="526"/>
      <c r="U234" s="762"/>
      <c r="V234" s="762"/>
      <c r="W234" s="526"/>
      <c r="X234" s="2893"/>
      <c r="Y234" s="2893"/>
      <c r="Z234" s="2893"/>
      <c r="AA234" s="2893"/>
      <c r="AB234" s="2893"/>
      <c r="AC234" s="2893"/>
      <c r="AD234" s="2893"/>
      <c r="AE234" s="2893"/>
      <c r="AF234" s="2893"/>
      <c r="AG234" s="2893"/>
    </row>
    <row r="235" spans="1:33" ht="32.9" customHeight="1">
      <c r="A235" s="252"/>
      <c r="B235" s="2903" t="s">
        <v>338</v>
      </c>
      <c r="C235" s="2903"/>
      <c r="D235" s="2903"/>
      <c r="E235" s="2903"/>
      <c r="F235" s="6"/>
      <c r="G235" s="63"/>
      <c r="H235" s="480"/>
      <c r="I235" s="710"/>
      <c r="J235" s="582"/>
      <c r="K235" s="526"/>
      <c r="L235" s="710"/>
      <c r="M235" s="582"/>
      <c r="N235" s="526"/>
      <c r="O235" s="710"/>
      <c r="P235" s="582"/>
      <c r="Q235" s="526"/>
      <c r="R235" s="762"/>
      <c r="S235" s="762"/>
      <c r="T235" s="526"/>
      <c r="U235" s="762"/>
      <c r="V235" s="762"/>
      <c r="W235" s="526"/>
      <c r="X235" s="2893"/>
      <c r="Y235" s="2893"/>
      <c r="Z235" s="2893"/>
      <c r="AA235" s="2893"/>
      <c r="AB235" s="2893"/>
      <c r="AC235" s="2893"/>
      <c r="AD235" s="2893"/>
      <c r="AE235" s="2893"/>
      <c r="AF235" s="2893"/>
      <c r="AG235" s="2893"/>
    </row>
    <row r="236" spans="1:33" ht="14.9" customHeight="1">
      <c r="A236" s="252"/>
      <c r="B236" s="2903" t="s">
        <v>735</v>
      </c>
      <c r="C236" s="2903"/>
      <c r="D236" s="2903"/>
      <c r="E236" s="2903"/>
      <c r="F236" s="6"/>
      <c r="G236" s="63"/>
      <c r="H236" s="480"/>
      <c r="I236" s="710"/>
      <c r="J236" s="582"/>
      <c r="K236" s="526"/>
      <c r="L236" s="710"/>
      <c r="M236" s="582"/>
      <c r="N236" s="526"/>
      <c r="O236" s="710"/>
      <c r="P236" s="582"/>
      <c r="Q236" s="526"/>
      <c r="R236" s="762"/>
      <c r="S236" s="762"/>
      <c r="T236" s="526"/>
      <c r="U236" s="762"/>
      <c r="V236" s="762"/>
      <c r="W236" s="526"/>
      <c r="X236" s="2893"/>
      <c r="Y236" s="2893"/>
      <c r="Z236" s="2893"/>
      <c r="AA236" s="2893"/>
      <c r="AB236" s="2893"/>
      <c r="AC236" s="2893"/>
      <c r="AD236" s="2893"/>
      <c r="AE236" s="2893"/>
      <c r="AF236" s="2893"/>
      <c r="AG236" s="2893"/>
    </row>
    <row r="237" spans="1:33" ht="14.9" customHeight="1">
      <c r="A237" s="252"/>
      <c r="B237" s="2903" t="s">
        <v>734</v>
      </c>
      <c r="C237" s="2903"/>
      <c r="D237" s="2903"/>
      <c r="E237" s="2903"/>
      <c r="F237" s="6"/>
      <c r="G237" s="63"/>
      <c r="H237" s="797"/>
      <c r="I237" s="710"/>
      <c r="J237" s="582"/>
      <c r="K237" s="562"/>
      <c r="L237" s="710"/>
      <c r="M237" s="582"/>
      <c r="N237" s="562"/>
      <c r="O237" s="710"/>
      <c r="P237" s="582"/>
      <c r="Q237" s="562"/>
      <c r="R237" s="762"/>
      <c r="S237" s="762"/>
      <c r="T237" s="562"/>
      <c r="U237" s="762"/>
      <c r="V237" s="762"/>
      <c r="W237" s="562"/>
      <c r="X237" s="2893"/>
      <c r="Y237" s="2893"/>
      <c r="Z237" s="2893"/>
      <c r="AA237" s="2893"/>
      <c r="AB237" s="2893"/>
      <c r="AC237" s="2893"/>
      <c r="AD237" s="2893"/>
      <c r="AE237" s="2893"/>
      <c r="AF237" s="2893"/>
      <c r="AG237" s="2893"/>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911"/>
      <c r="Y238" s="2911"/>
      <c r="Z238" s="2911"/>
      <c r="AA238" s="2911"/>
      <c r="AB238" s="2911"/>
      <c r="AC238" s="2911"/>
      <c r="AD238" s="2911"/>
      <c r="AE238" s="2911"/>
      <c r="AF238" s="2911"/>
      <c r="AG238" s="2911"/>
    </row>
    <row r="239" spans="1:33" ht="14.9" customHeight="1">
      <c r="A239" s="252"/>
      <c r="B239" s="2903" t="s">
        <v>625</v>
      </c>
      <c r="C239" s="2903"/>
      <c r="D239" s="2903"/>
      <c r="E239" s="2903"/>
      <c r="F239" s="6"/>
      <c r="G239" s="65"/>
      <c r="H239" s="799"/>
      <c r="I239" s="710"/>
      <c r="J239" s="711"/>
      <c r="K239" s="628"/>
      <c r="L239" s="710"/>
      <c r="M239" s="711"/>
      <c r="N239" s="628"/>
      <c r="O239" s="710"/>
      <c r="P239" s="712"/>
      <c r="Q239" s="628"/>
      <c r="R239" s="762"/>
      <c r="S239" s="762"/>
      <c r="T239" s="628"/>
      <c r="U239" s="762"/>
      <c r="V239" s="762"/>
      <c r="W239" s="628"/>
      <c r="X239" s="2893"/>
      <c r="Y239" s="2893"/>
      <c r="Z239" s="2893"/>
      <c r="AA239" s="2893"/>
      <c r="AB239" s="2893"/>
      <c r="AC239" s="2893"/>
      <c r="AD239" s="2893"/>
      <c r="AE239" s="2893"/>
      <c r="AF239" s="2893"/>
      <c r="AG239" s="2893"/>
    </row>
    <row r="240" spans="1:33" ht="14.9" customHeight="1">
      <c r="A240" s="252"/>
      <c r="B240" s="2903" t="s">
        <v>626</v>
      </c>
      <c r="C240" s="2903"/>
      <c r="D240" s="2903"/>
      <c r="E240" s="2903"/>
      <c r="F240" s="6"/>
      <c r="G240" s="63"/>
      <c r="H240" s="480"/>
      <c r="I240" s="710"/>
      <c r="J240" s="582"/>
      <c r="K240" s="526"/>
      <c r="L240" s="710"/>
      <c r="M240" s="582"/>
      <c r="N240" s="526"/>
      <c r="O240" s="710"/>
      <c r="P240" s="582"/>
      <c r="Q240" s="526"/>
      <c r="R240" s="762"/>
      <c r="S240" s="762"/>
      <c r="T240" s="526"/>
      <c r="U240" s="762"/>
      <c r="V240" s="762"/>
      <c r="W240" s="526"/>
      <c r="X240" s="2893"/>
      <c r="Y240" s="2893"/>
      <c r="Z240" s="2893"/>
      <c r="AA240" s="2893"/>
      <c r="AB240" s="2893"/>
      <c r="AC240" s="2893"/>
      <c r="AD240" s="2893"/>
      <c r="AE240" s="2893"/>
      <c r="AF240" s="2893"/>
      <c r="AG240" s="2893"/>
    </row>
    <row r="241" spans="1:33" ht="14.9" customHeight="1">
      <c r="A241" s="252"/>
      <c r="B241" s="2903" t="s">
        <v>627</v>
      </c>
      <c r="C241" s="2903"/>
      <c r="D241" s="2903"/>
      <c r="E241" s="2903"/>
      <c r="F241" s="6"/>
      <c r="G241" s="63"/>
      <c r="H241" s="794"/>
      <c r="I241" s="710"/>
      <c r="J241" s="582"/>
      <c r="K241" s="561"/>
      <c r="L241" s="710"/>
      <c r="M241" s="582"/>
      <c r="N241" s="561"/>
      <c r="O241" s="710"/>
      <c r="P241" s="582"/>
      <c r="Q241" s="561"/>
      <c r="R241" s="762"/>
      <c r="S241" s="762"/>
      <c r="T241" s="561"/>
      <c r="U241" s="762"/>
      <c r="V241" s="762"/>
      <c r="W241" s="561"/>
      <c r="X241" s="2893"/>
      <c r="Y241" s="2893"/>
      <c r="Z241" s="2893"/>
      <c r="AA241" s="2893"/>
      <c r="AB241" s="2893"/>
      <c r="AC241" s="2893"/>
      <c r="AD241" s="2893"/>
      <c r="AE241" s="2893"/>
      <c r="AF241" s="2893"/>
      <c r="AG241" s="2893"/>
    </row>
    <row r="242" spans="1:33" ht="14.9" customHeight="1">
      <c r="A242" s="252"/>
      <c r="B242" s="2904" t="s">
        <v>628</v>
      </c>
      <c r="C242" s="2904"/>
      <c r="D242" s="2904"/>
      <c r="E242" s="2904"/>
      <c r="F242" s="6"/>
      <c r="G242" s="63"/>
      <c r="H242" s="480"/>
      <c r="I242" s="710"/>
      <c r="J242" s="582"/>
      <c r="K242" s="526"/>
      <c r="L242" s="710"/>
      <c r="M242" s="582"/>
      <c r="N242" s="526"/>
      <c r="O242" s="710"/>
      <c r="P242" s="582"/>
      <c r="Q242" s="526"/>
      <c r="R242" s="762"/>
      <c r="S242" s="762"/>
      <c r="T242" s="526"/>
      <c r="U242" s="762"/>
      <c r="V242" s="762"/>
      <c r="W242" s="526"/>
      <c r="X242" s="2893"/>
      <c r="Y242" s="2893"/>
      <c r="Z242" s="2893"/>
      <c r="AA242" s="2893"/>
      <c r="AB242" s="2893"/>
      <c r="AC242" s="2893"/>
      <c r="AD242" s="2893"/>
      <c r="AE242" s="2893"/>
      <c r="AF242" s="2893"/>
      <c r="AG242" s="2893"/>
    </row>
    <row r="243" spans="1:33" ht="32.9" customHeight="1">
      <c r="A243" s="252"/>
      <c r="B243" s="2904" t="s">
        <v>629</v>
      </c>
      <c r="C243" s="2904"/>
      <c r="D243" s="2904"/>
      <c r="E243" s="2904"/>
      <c r="F243" s="6"/>
      <c r="G243" s="65"/>
      <c r="H243" s="795"/>
      <c r="I243" s="710"/>
      <c r="J243" s="711"/>
      <c r="K243" s="568"/>
      <c r="L243" s="710"/>
      <c r="M243" s="711"/>
      <c r="N243" s="568"/>
      <c r="O243" s="710"/>
      <c r="P243" s="712"/>
      <c r="Q243" s="568"/>
      <c r="R243" s="762"/>
      <c r="S243" s="762"/>
      <c r="T243" s="568"/>
      <c r="U243" s="762"/>
      <c r="V243" s="762"/>
      <c r="W243" s="568"/>
      <c r="X243" s="2893"/>
      <c r="Y243" s="2893"/>
      <c r="Z243" s="2893"/>
      <c r="AA243" s="2893"/>
      <c r="AB243" s="2893"/>
      <c r="AC243" s="2893"/>
      <c r="AD243" s="2893"/>
      <c r="AE243" s="2893"/>
      <c r="AF243" s="2893"/>
      <c r="AG243" s="2893"/>
    </row>
    <row r="244" spans="1:33" ht="14.9" customHeight="1">
      <c r="A244" s="252"/>
      <c r="B244" s="2903" t="s">
        <v>630</v>
      </c>
      <c r="C244" s="2903"/>
      <c r="D244" s="2903"/>
      <c r="E244" s="2903"/>
      <c r="F244" s="6"/>
      <c r="G244" s="65"/>
      <c r="H244" s="480"/>
      <c r="I244" s="710"/>
      <c r="J244" s="711"/>
      <c r="K244" s="526"/>
      <c r="L244" s="710"/>
      <c r="M244" s="711"/>
      <c r="N244" s="526"/>
      <c r="O244" s="710"/>
      <c r="P244" s="712"/>
      <c r="Q244" s="526"/>
      <c r="R244" s="762"/>
      <c r="S244" s="762"/>
      <c r="T244" s="526"/>
      <c r="U244" s="762"/>
      <c r="V244" s="762"/>
      <c r="W244" s="526"/>
      <c r="X244" s="2893"/>
      <c r="Y244" s="2893"/>
      <c r="Z244" s="2893"/>
      <c r="AA244" s="2893"/>
      <c r="AB244" s="2893"/>
      <c r="AC244" s="2893"/>
      <c r="AD244" s="2893"/>
      <c r="AE244" s="2893"/>
      <c r="AF244" s="2893"/>
      <c r="AG244" s="2893"/>
    </row>
    <row r="245" spans="1:33" ht="14.9" customHeight="1">
      <c r="A245" s="252"/>
      <c r="B245" s="2904" t="s">
        <v>634</v>
      </c>
      <c r="C245" s="2904"/>
      <c r="D245" s="2904"/>
      <c r="E245" s="2904"/>
      <c r="F245" s="6"/>
      <c r="G245" s="65"/>
      <c r="H245" s="481"/>
      <c r="I245" s="710"/>
      <c r="J245" s="711"/>
      <c r="K245" s="553"/>
      <c r="L245" s="710"/>
      <c r="M245" s="711"/>
      <c r="N245" s="553"/>
      <c r="O245" s="710"/>
      <c r="P245" s="712"/>
      <c r="Q245" s="553"/>
      <c r="R245" s="762"/>
      <c r="S245" s="762"/>
      <c r="T245" s="553"/>
      <c r="U245" s="762"/>
      <c r="V245" s="762"/>
      <c r="W245" s="553"/>
      <c r="X245" s="2893"/>
      <c r="Y245" s="2893"/>
      <c r="Z245" s="2893"/>
      <c r="AA245" s="2893"/>
      <c r="AB245" s="2893"/>
      <c r="AC245" s="2893"/>
      <c r="AD245" s="2893"/>
      <c r="AE245" s="2893"/>
      <c r="AF245" s="2893"/>
      <c r="AG245" s="2893"/>
    </row>
    <row r="246" spans="1:33" ht="32.15" customHeight="1">
      <c r="A246" s="252"/>
      <c r="B246" s="2903" t="s">
        <v>1551</v>
      </c>
      <c r="C246" s="2903"/>
      <c r="D246" s="2903"/>
      <c r="E246" s="2903"/>
      <c r="F246" s="6"/>
      <c r="G246" s="65"/>
      <c r="H246" s="796"/>
      <c r="I246" s="710"/>
      <c r="J246" s="711"/>
      <c r="K246" s="619"/>
      <c r="L246" s="710"/>
      <c r="M246" s="711"/>
      <c r="N246" s="619"/>
      <c r="O246" s="710"/>
      <c r="P246" s="712"/>
      <c r="Q246" s="619"/>
      <c r="R246" s="762"/>
      <c r="S246" s="762"/>
      <c r="T246" s="619"/>
      <c r="U246" s="762"/>
      <c r="V246" s="762"/>
      <c r="W246" s="619"/>
      <c r="X246" s="2893"/>
      <c r="Y246" s="2893"/>
      <c r="Z246" s="2893"/>
      <c r="AA246" s="2893"/>
      <c r="AB246" s="2893"/>
      <c r="AC246" s="2893"/>
      <c r="AD246" s="2893"/>
      <c r="AE246" s="2893"/>
      <c r="AF246" s="2893"/>
      <c r="AG246" s="2893"/>
    </row>
    <row r="247" spans="1:33" ht="32.15" customHeight="1">
      <c r="A247" s="252"/>
      <c r="B247" s="2903" t="s">
        <v>1552</v>
      </c>
      <c r="C247" s="2903"/>
      <c r="D247" s="2903"/>
      <c r="E247" s="2903"/>
      <c r="F247" s="6"/>
      <c r="G247" s="65"/>
      <c r="H247" s="796"/>
      <c r="I247" s="710"/>
      <c r="J247" s="711"/>
      <c r="K247" s="619"/>
      <c r="L247" s="710"/>
      <c r="M247" s="711"/>
      <c r="N247" s="619"/>
      <c r="O247" s="710"/>
      <c r="P247" s="712"/>
      <c r="Q247" s="619"/>
      <c r="R247" s="762"/>
      <c r="S247" s="762"/>
      <c r="T247" s="619"/>
      <c r="U247" s="762"/>
      <c r="V247" s="762"/>
      <c r="W247" s="619"/>
      <c r="X247" s="2893"/>
      <c r="Y247" s="2893"/>
      <c r="Z247" s="2893"/>
      <c r="AA247" s="2893"/>
      <c r="AB247" s="2893"/>
      <c r="AC247" s="2893"/>
      <c r="AD247" s="2893"/>
      <c r="AE247" s="2893"/>
      <c r="AF247" s="2893"/>
      <c r="AG247" s="2893"/>
    </row>
    <row r="248" spans="1:33" ht="32.9" customHeight="1">
      <c r="A248" s="252"/>
      <c r="B248" s="2903" t="s">
        <v>331</v>
      </c>
      <c r="C248" s="2903"/>
      <c r="D248" s="2903"/>
      <c r="E248" s="2903"/>
      <c r="F248" s="6"/>
      <c r="G248" s="65"/>
      <c r="H248" s="480"/>
      <c r="I248" s="710"/>
      <c r="J248" s="711"/>
      <c r="K248" s="526"/>
      <c r="L248" s="710"/>
      <c r="M248" s="711"/>
      <c r="N248" s="526"/>
      <c r="O248" s="710"/>
      <c r="P248" s="712"/>
      <c r="Q248" s="526"/>
      <c r="R248" s="762"/>
      <c r="S248" s="762"/>
      <c r="T248" s="526"/>
      <c r="U248" s="762"/>
      <c r="V248" s="762"/>
      <c r="W248" s="526"/>
      <c r="X248" s="2893"/>
      <c r="Y248" s="2893"/>
      <c r="Z248" s="2893"/>
      <c r="AA248" s="2893"/>
      <c r="AB248" s="2893"/>
      <c r="AC248" s="2893"/>
      <c r="AD248" s="2893"/>
      <c r="AE248" s="2893"/>
      <c r="AF248" s="2893"/>
      <c r="AG248" s="2893"/>
    </row>
    <row r="249" spans="1:33" ht="14.9" customHeight="1">
      <c r="A249" s="252"/>
      <c r="B249" s="2904" t="s">
        <v>332</v>
      </c>
      <c r="C249" s="2904"/>
      <c r="D249" s="2904"/>
      <c r="E249" s="2904"/>
      <c r="F249" s="6"/>
      <c r="G249" s="63"/>
      <c r="H249" s="480"/>
      <c r="I249" s="710"/>
      <c r="J249" s="582"/>
      <c r="K249" s="526"/>
      <c r="L249" s="710"/>
      <c r="M249" s="582"/>
      <c r="N249" s="526"/>
      <c r="O249" s="710"/>
      <c r="P249" s="582"/>
      <c r="Q249" s="526"/>
      <c r="R249" s="762"/>
      <c r="S249" s="762"/>
      <c r="T249" s="526"/>
      <c r="U249" s="762"/>
      <c r="V249" s="762"/>
      <c r="W249" s="526"/>
      <c r="X249" s="2893"/>
      <c r="Y249" s="2893"/>
      <c r="Z249" s="2893"/>
      <c r="AA249" s="2893"/>
      <c r="AB249" s="2893"/>
      <c r="AC249" s="2893"/>
      <c r="AD249" s="2893"/>
      <c r="AE249" s="2893"/>
      <c r="AF249" s="2893"/>
      <c r="AG249" s="2893"/>
    </row>
    <row r="250" spans="1:33" ht="14.9" customHeight="1">
      <c r="A250" s="252"/>
      <c r="B250" s="2903" t="s">
        <v>333</v>
      </c>
      <c r="C250" s="2903"/>
      <c r="D250" s="2903"/>
      <c r="E250" s="2903"/>
      <c r="F250" s="6"/>
      <c r="G250" s="65"/>
      <c r="H250" s="480"/>
      <c r="I250" s="710"/>
      <c r="J250" s="711"/>
      <c r="K250" s="526"/>
      <c r="L250" s="710"/>
      <c r="M250" s="711"/>
      <c r="N250" s="526"/>
      <c r="O250" s="710"/>
      <c r="P250" s="712"/>
      <c r="Q250" s="526"/>
      <c r="R250" s="762"/>
      <c r="S250" s="762"/>
      <c r="T250" s="526"/>
      <c r="U250" s="762"/>
      <c r="V250" s="762"/>
      <c r="W250" s="526"/>
      <c r="X250" s="2893"/>
      <c r="Y250" s="2893"/>
      <c r="Z250" s="2893"/>
      <c r="AA250" s="2893"/>
      <c r="AB250" s="2893"/>
      <c r="AC250" s="2893"/>
      <c r="AD250" s="2893"/>
      <c r="AE250" s="2893"/>
      <c r="AF250" s="2893"/>
      <c r="AG250" s="2893"/>
    </row>
    <row r="251" spans="1:33" ht="14.9" customHeight="1">
      <c r="A251" s="252"/>
      <c r="B251" s="2903" t="s">
        <v>334</v>
      </c>
      <c r="C251" s="2903"/>
      <c r="D251" s="2903"/>
      <c r="E251" s="2903"/>
      <c r="F251" s="6"/>
      <c r="G251" s="63"/>
      <c r="H251" s="480"/>
      <c r="I251" s="710"/>
      <c r="J251" s="582"/>
      <c r="K251" s="526"/>
      <c r="L251" s="710"/>
      <c r="M251" s="582"/>
      <c r="N251" s="526"/>
      <c r="O251" s="710"/>
      <c r="P251" s="582"/>
      <c r="Q251" s="526"/>
      <c r="R251" s="762"/>
      <c r="S251" s="762"/>
      <c r="T251" s="526"/>
      <c r="U251" s="762"/>
      <c r="V251" s="762"/>
      <c r="W251" s="526"/>
      <c r="X251" s="2893"/>
      <c r="Y251" s="2893"/>
      <c r="Z251" s="2893"/>
      <c r="AA251" s="2893"/>
      <c r="AB251" s="2893"/>
      <c r="AC251" s="2893"/>
      <c r="AD251" s="2893"/>
      <c r="AE251" s="2893"/>
      <c r="AF251" s="2893"/>
      <c r="AG251" s="2893"/>
    </row>
    <row r="252" spans="1:33" ht="14.9" customHeight="1">
      <c r="A252" s="252"/>
      <c r="B252" s="2904" t="s">
        <v>335</v>
      </c>
      <c r="C252" s="2904"/>
      <c r="D252" s="2904"/>
      <c r="E252" s="2904"/>
      <c r="H252" s="480"/>
      <c r="I252" s="713"/>
      <c r="J252" s="713"/>
      <c r="K252" s="526"/>
      <c r="L252" s="713"/>
      <c r="M252" s="713"/>
      <c r="N252" s="526"/>
      <c r="O252" s="713"/>
      <c r="P252" s="713"/>
      <c r="Q252" s="526"/>
      <c r="R252" s="762"/>
      <c r="S252" s="762"/>
      <c r="T252" s="526"/>
      <c r="U252" s="762"/>
      <c r="V252" s="762"/>
      <c r="W252" s="526"/>
      <c r="X252" s="2893"/>
      <c r="Y252" s="2893"/>
      <c r="Z252" s="2893"/>
      <c r="AA252" s="2893"/>
      <c r="AB252" s="2893"/>
      <c r="AC252" s="2893"/>
      <c r="AD252" s="2893"/>
      <c r="AE252" s="2893"/>
      <c r="AF252" s="2893"/>
      <c r="AG252" s="2893"/>
    </row>
    <row r="253" spans="1:33" ht="14.9" customHeight="1">
      <c r="A253" s="252"/>
      <c r="B253" s="2903" t="s">
        <v>336</v>
      </c>
      <c r="C253" s="2903"/>
      <c r="D253" s="2903"/>
      <c r="E253" s="2903"/>
      <c r="F253" s="6"/>
      <c r="G253" s="63"/>
      <c r="H253" s="480"/>
      <c r="I253" s="710"/>
      <c r="J253" s="582"/>
      <c r="K253" s="526"/>
      <c r="L253" s="710"/>
      <c r="M253" s="582"/>
      <c r="N253" s="526"/>
      <c r="O253" s="710"/>
      <c r="P253" s="582"/>
      <c r="Q253" s="526"/>
      <c r="R253" s="762"/>
      <c r="S253" s="762"/>
      <c r="T253" s="526"/>
      <c r="U253" s="762"/>
      <c r="V253" s="762"/>
      <c r="W253" s="526"/>
      <c r="X253" s="2893"/>
      <c r="Y253" s="2893"/>
      <c r="Z253" s="2893"/>
      <c r="AA253" s="2893"/>
      <c r="AB253" s="2893"/>
      <c r="AC253" s="2893"/>
      <c r="AD253" s="2893"/>
      <c r="AE253" s="2893"/>
      <c r="AF253" s="2893"/>
      <c r="AG253" s="2893"/>
    </row>
    <row r="254" spans="1:33" ht="32.9" customHeight="1">
      <c r="A254" s="252"/>
      <c r="B254" s="2903" t="s">
        <v>337</v>
      </c>
      <c r="C254" s="2903"/>
      <c r="D254" s="2903"/>
      <c r="E254" s="2903"/>
      <c r="F254" s="6"/>
      <c r="G254" s="63"/>
      <c r="H254" s="480"/>
      <c r="I254" s="710"/>
      <c r="J254" s="582"/>
      <c r="K254" s="526"/>
      <c r="L254" s="710"/>
      <c r="M254" s="582"/>
      <c r="N254" s="526"/>
      <c r="O254" s="710"/>
      <c r="P254" s="582"/>
      <c r="Q254" s="526"/>
      <c r="R254" s="762"/>
      <c r="S254" s="762"/>
      <c r="T254" s="526"/>
      <c r="U254" s="762"/>
      <c r="V254" s="762"/>
      <c r="W254" s="526"/>
      <c r="X254" s="2893"/>
      <c r="Y254" s="2893"/>
      <c r="Z254" s="2893"/>
      <c r="AA254" s="2893"/>
      <c r="AB254" s="2893"/>
      <c r="AC254" s="2893"/>
      <c r="AD254" s="2893"/>
      <c r="AE254" s="2893"/>
      <c r="AF254" s="2893"/>
      <c r="AG254" s="2893"/>
    </row>
    <row r="255" spans="1:33" ht="32.9" customHeight="1">
      <c r="A255" s="252"/>
      <c r="B255" s="2903" t="s">
        <v>338</v>
      </c>
      <c r="C255" s="2903"/>
      <c r="D255" s="2903"/>
      <c r="E255" s="2903"/>
      <c r="F255" s="6"/>
      <c r="G255" s="63"/>
      <c r="H255" s="480"/>
      <c r="I255" s="710"/>
      <c r="J255" s="582"/>
      <c r="K255" s="526"/>
      <c r="L255" s="710"/>
      <c r="M255" s="582"/>
      <c r="N255" s="526"/>
      <c r="O255" s="710"/>
      <c r="P255" s="582"/>
      <c r="Q255" s="526"/>
      <c r="R255" s="762"/>
      <c r="S255" s="762"/>
      <c r="T255" s="526"/>
      <c r="U255" s="762"/>
      <c r="V255" s="762"/>
      <c r="W255" s="526"/>
      <c r="X255" s="2893"/>
      <c r="Y255" s="2893"/>
      <c r="Z255" s="2893"/>
      <c r="AA255" s="2893"/>
      <c r="AB255" s="2893"/>
      <c r="AC255" s="2893"/>
      <c r="AD255" s="2893"/>
      <c r="AE255" s="2893"/>
      <c r="AF255" s="2893"/>
      <c r="AG255" s="2893"/>
    </row>
    <row r="256" spans="1:33" ht="14.9" customHeight="1">
      <c r="A256" s="252"/>
      <c r="B256" s="2903" t="s">
        <v>735</v>
      </c>
      <c r="C256" s="2903"/>
      <c r="D256" s="2903"/>
      <c r="E256" s="2903"/>
      <c r="F256" s="6"/>
      <c r="G256" s="63"/>
      <c r="H256" s="480"/>
      <c r="I256" s="710"/>
      <c r="J256" s="582"/>
      <c r="K256" s="526"/>
      <c r="L256" s="710"/>
      <c r="M256" s="582"/>
      <c r="N256" s="526"/>
      <c r="O256" s="710"/>
      <c r="P256" s="582"/>
      <c r="Q256" s="526"/>
      <c r="R256" s="762"/>
      <c r="S256" s="762"/>
      <c r="T256" s="526"/>
      <c r="U256" s="762"/>
      <c r="V256" s="762"/>
      <c r="W256" s="526"/>
      <c r="X256" s="2893"/>
      <c r="Y256" s="2893"/>
      <c r="Z256" s="2893"/>
      <c r="AA256" s="2893"/>
      <c r="AB256" s="2893"/>
      <c r="AC256" s="2893"/>
      <c r="AD256" s="2893"/>
      <c r="AE256" s="2893"/>
      <c r="AF256" s="2893"/>
      <c r="AG256" s="2893"/>
    </row>
    <row r="257" spans="1:33" ht="14.9" customHeight="1">
      <c r="A257" s="252"/>
      <c r="B257" s="2903" t="s">
        <v>734</v>
      </c>
      <c r="C257" s="2903"/>
      <c r="D257" s="2903"/>
      <c r="E257" s="2903"/>
      <c r="F257" s="6"/>
      <c r="G257" s="63"/>
      <c r="H257" s="802"/>
      <c r="I257" s="741"/>
      <c r="J257" s="557"/>
      <c r="K257" s="769"/>
      <c r="L257" s="741"/>
      <c r="M257" s="557"/>
      <c r="N257" s="769"/>
      <c r="O257" s="741"/>
      <c r="P257" s="557"/>
      <c r="Q257" s="769"/>
      <c r="R257" s="768"/>
      <c r="S257" s="768"/>
      <c r="T257" s="769"/>
      <c r="U257" s="768"/>
      <c r="V257" s="768"/>
      <c r="W257" s="769"/>
      <c r="X257" s="2893"/>
      <c r="Y257" s="2893"/>
      <c r="Z257" s="2893"/>
      <c r="AA257" s="2893"/>
      <c r="AB257" s="2893"/>
      <c r="AC257" s="2893"/>
      <c r="AD257" s="2893"/>
      <c r="AE257" s="2893"/>
      <c r="AF257" s="2893"/>
      <c r="AG257" s="2893"/>
    </row>
    <row r="258" spans="1:33">
      <c r="A258" s="237"/>
      <c r="B258" s="6"/>
      <c r="C258" s="6"/>
      <c r="D258" s="6"/>
      <c r="E258" s="6"/>
      <c r="F258" s="6"/>
      <c r="G258" s="6"/>
      <c r="H258" s="121"/>
      <c r="I258" s="6"/>
      <c r="J258" s="6"/>
      <c r="K258" s="121"/>
      <c r="L258" s="6"/>
      <c r="M258" s="6"/>
      <c r="N258" s="121"/>
      <c r="O258" s="6"/>
      <c r="P258" s="6"/>
      <c r="Q258" s="1818"/>
      <c r="R258" s="1799"/>
      <c r="S258" s="1799"/>
      <c r="T258" s="1818"/>
      <c r="U258" s="1799"/>
      <c r="V258" s="1799"/>
      <c r="W258" s="1818"/>
      <c r="X258" s="2906"/>
      <c r="Y258" s="2906"/>
      <c r="Z258" s="2906"/>
      <c r="AA258" s="2906"/>
      <c r="AB258" s="2906"/>
      <c r="AC258" s="2906"/>
      <c r="AD258" s="2906"/>
      <c r="AE258" s="2906"/>
      <c r="AF258" s="2906"/>
      <c r="AG258" s="2906"/>
    </row>
    <row r="259" spans="1:33" ht="21.65" customHeight="1">
      <c r="A259" s="2907" t="s">
        <v>733</v>
      </c>
      <c r="B259" s="2907"/>
      <c r="C259" s="2907"/>
      <c r="D259" s="2907"/>
      <c r="E259" s="2907"/>
      <c r="F259" s="2907"/>
      <c r="G259" s="2907"/>
      <c r="H259" s="1820"/>
      <c r="I259" s="597"/>
      <c r="J259" s="594"/>
      <c r="K259" s="1820"/>
      <c r="L259" s="597"/>
      <c r="M259" s="594"/>
      <c r="N259" s="669"/>
      <c r="O259" s="594"/>
      <c r="P259" s="670"/>
      <c r="Q259" s="671"/>
      <c r="R259" s="682"/>
      <c r="S259" s="682"/>
      <c r="T259" s="682"/>
      <c r="U259" s="682"/>
      <c r="V259" s="682"/>
      <c r="W259" s="682"/>
      <c r="X259" s="2909"/>
      <c r="Y259" s="2909"/>
      <c r="Z259" s="2909"/>
      <c r="AA259" s="2909"/>
      <c r="AB259" s="2909"/>
      <c r="AC259" s="2909"/>
      <c r="AD259" s="2909"/>
      <c r="AE259" s="2909"/>
      <c r="AF259" s="2909"/>
      <c r="AG259" s="2909"/>
    </row>
    <row r="260" spans="1:33" ht="18.649999999999999" customHeight="1">
      <c r="A260" s="1"/>
      <c r="B260" s="502"/>
      <c r="C260" s="50"/>
      <c r="D260" s="50"/>
      <c r="E260" s="50"/>
      <c r="G260" s="1800"/>
      <c r="H260" s="60"/>
      <c r="I260" s="6"/>
      <c r="J260" s="65"/>
      <c r="K260" s="60"/>
      <c r="L260" s="6"/>
      <c r="M260" s="65"/>
      <c r="N260" s="60"/>
      <c r="P260" s="66"/>
      <c r="Q260" s="1815"/>
      <c r="R260" s="1799"/>
      <c r="S260" s="1799"/>
      <c r="T260" s="1815"/>
      <c r="U260" s="1799"/>
      <c r="V260" s="1799"/>
      <c r="W260" s="1815"/>
      <c r="X260" s="2910"/>
      <c r="Y260" s="2910"/>
      <c r="Z260" s="2910"/>
      <c r="AA260" s="2910"/>
      <c r="AB260" s="2910"/>
      <c r="AC260" s="2910"/>
      <c r="AD260" s="2910"/>
      <c r="AE260" s="2910"/>
      <c r="AF260" s="2910"/>
      <c r="AG260" s="2910"/>
    </row>
    <row r="261" spans="1:33" ht="30.75" customHeight="1">
      <c r="A261" s="252"/>
      <c r="B261" s="2903" t="s">
        <v>241</v>
      </c>
      <c r="C261" s="2903"/>
      <c r="D261" s="2903"/>
      <c r="E261" s="2903"/>
      <c r="F261" s="6"/>
      <c r="G261" s="65"/>
      <c r="H261" s="801"/>
      <c r="I261" s="710"/>
      <c r="J261" s="711"/>
      <c r="K261" s="588"/>
      <c r="L261" s="710"/>
      <c r="M261" s="711"/>
      <c r="N261" s="588"/>
      <c r="O261" s="710"/>
      <c r="P261" s="712"/>
      <c r="Q261" s="588"/>
      <c r="R261" s="762"/>
      <c r="S261" s="762"/>
      <c r="T261" s="588"/>
      <c r="U261" s="762"/>
      <c r="V261" s="762"/>
      <c r="W261" s="588"/>
      <c r="X261" s="2893"/>
      <c r="Y261" s="2893"/>
      <c r="Z261" s="2893"/>
      <c r="AA261" s="2893"/>
      <c r="AB261" s="2893"/>
      <c r="AC261" s="2893"/>
      <c r="AD261" s="2893"/>
      <c r="AE261" s="2893"/>
      <c r="AF261" s="2893"/>
      <c r="AG261" s="2893"/>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911"/>
      <c r="Y262" s="2911"/>
      <c r="Z262" s="2911"/>
      <c r="AA262" s="2911"/>
      <c r="AB262" s="2911"/>
      <c r="AC262" s="2911"/>
      <c r="AD262" s="2911"/>
      <c r="AE262" s="2911"/>
      <c r="AF262" s="2911"/>
      <c r="AG262" s="2911"/>
    </row>
    <row r="263" spans="1:33" ht="14.9" customHeight="1">
      <c r="A263" s="252"/>
      <c r="B263" s="2903" t="s">
        <v>625</v>
      </c>
      <c r="C263" s="2903"/>
      <c r="D263" s="2903"/>
      <c r="E263" s="2903"/>
      <c r="F263" s="6"/>
      <c r="G263" s="65"/>
      <c r="H263" s="799"/>
      <c r="I263" s="710"/>
      <c r="J263" s="711"/>
      <c r="K263" s="628"/>
      <c r="L263" s="710"/>
      <c r="M263" s="711"/>
      <c r="N263" s="628"/>
      <c r="O263" s="710"/>
      <c r="P263" s="712"/>
      <c r="Q263" s="628"/>
      <c r="R263" s="762"/>
      <c r="S263" s="762"/>
      <c r="T263" s="628"/>
      <c r="U263" s="762"/>
      <c r="V263" s="762"/>
      <c r="W263" s="628"/>
      <c r="X263" s="2893"/>
      <c r="Y263" s="2893"/>
      <c r="Z263" s="2893"/>
      <c r="AA263" s="2893"/>
      <c r="AB263" s="2893"/>
      <c r="AC263" s="2893"/>
      <c r="AD263" s="2893"/>
      <c r="AE263" s="2893"/>
      <c r="AF263" s="2893"/>
      <c r="AG263" s="2893"/>
    </row>
    <row r="264" spans="1:33" ht="14.9" customHeight="1">
      <c r="A264" s="252"/>
      <c r="B264" s="2903" t="s">
        <v>626</v>
      </c>
      <c r="C264" s="2903"/>
      <c r="D264" s="2903"/>
      <c r="E264" s="2903"/>
      <c r="F264" s="6"/>
      <c r="G264" s="65"/>
      <c r="H264" s="480"/>
      <c r="I264" s="710"/>
      <c r="J264" s="711"/>
      <c r="K264" s="526"/>
      <c r="L264" s="710"/>
      <c r="M264" s="711"/>
      <c r="N264" s="526"/>
      <c r="O264" s="710"/>
      <c r="P264" s="712"/>
      <c r="Q264" s="526"/>
      <c r="R264" s="762"/>
      <c r="S264" s="762"/>
      <c r="T264" s="526"/>
      <c r="U264" s="762"/>
      <c r="V264" s="762"/>
      <c r="W264" s="526"/>
      <c r="X264" s="2893"/>
      <c r="Y264" s="2893"/>
      <c r="Z264" s="2893"/>
      <c r="AA264" s="2893"/>
      <c r="AB264" s="2893"/>
      <c r="AC264" s="2893"/>
      <c r="AD264" s="2893"/>
      <c r="AE264" s="2893"/>
      <c r="AF264" s="2893"/>
      <c r="AG264" s="2893"/>
    </row>
    <row r="265" spans="1:33" ht="14.9" customHeight="1">
      <c r="A265" s="252"/>
      <c r="B265" s="2903" t="s">
        <v>627</v>
      </c>
      <c r="C265" s="2903"/>
      <c r="D265" s="2903"/>
      <c r="E265" s="2903"/>
      <c r="F265" s="6"/>
      <c r="G265" s="65"/>
      <c r="H265" s="794"/>
      <c r="I265" s="710"/>
      <c r="J265" s="711"/>
      <c r="K265" s="561"/>
      <c r="L265" s="710"/>
      <c r="M265" s="711"/>
      <c r="N265" s="561"/>
      <c r="O265" s="710"/>
      <c r="P265" s="712"/>
      <c r="Q265" s="561"/>
      <c r="R265" s="762"/>
      <c r="S265" s="762"/>
      <c r="T265" s="561"/>
      <c r="U265" s="762"/>
      <c r="V265" s="762"/>
      <c r="W265" s="561"/>
      <c r="X265" s="2893"/>
      <c r="Y265" s="2893"/>
      <c r="Z265" s="2893"/>
      <c r="AA265" s="2893"/>
      <c r="AB265" s="2893"/>
      <c r="AC265" s="2893"/>
      <c r="AD265" s="2893"/>
      <c r="AE265" s="2893"/>
      <c r="AF265" s="2893"/>
      <c r="AG265" s="2893"/>
    </row>
    <row r="266" spans="1:33" ht="14.9" customHeight="1">
      <c r="A266" s="252"/>
      <c r="B266" s="2904" t="s">
        <v>628</v>
      </c>
      <c r="C266" s="2904"/>
      <c r="D266" s="2904"/>
      <c r="E266" s="2904"/>
      <c r="F266" s="6"/>
      <c r="G266" s="65"/>
      <c r="H266" s="480"/>
      <c r="I266" s="710"/>
      <c r="J266" s="711"/>
      <c r="K266" s="526"/>
      <c r="L266" s="710"/>
      <c r="M266" s="711"/>
      <c r="N266" s="526"/>
      <c r="O266" s="710"/>
      <c r="P266" s="712"/>
      <c r="Q266" s="526"/>
      <c r="R266" s="762"/>
      <c r="S266" s="762"/>
      <c r="T266" s="526"/>
      <c r="U266" s="762"/>
      <c r="V266" s="762"/>
      <c r="W266" s="526"/>
      <c r="X266" s="2893"/>
      <c r="Y266" s="2893"/>
      <c r="Z266" s="2893"/>
      <c r="AA266" s="2893"/>
      <c r="AB266" s="2893"/>
      <c r="AC266" s="2893"/>
      <c r="AD266" s="2893"/>
      <c r="AE266" s="2893"/>
      <c r="AF266" s="2893"/>
      <c r="AG266" s="2893"/>
    </row>
    <row r="267" spans="1:33" ht="32.9" customHeight="1">
      <c r="A267" s="252"/>
      <c r="B267" s="2904" t="s">
        <v>629</v>
      </c>
      <c r="C267" s="2904"/>
      <c r="D267" s="2904"/>
      <c r="E267" s="2904"/>
      <c r="F267" s="6"/>
      <c r="G267" s="65"/>
      <c r="H267" s="795"/>
      <c r="I267" s="710"/>
      <c r="J267" s="711"/>
      <c r="K267" s="568"/>
      <c r="L267" s="710"/>
      <c r="M267" s="711"/>
      <c r="N267" s="568"/>
      <c r="O267" s="710"/>
      <c r="P267" s="712"/>
      <c r="Q267" s="568"/>
      <c r="R267" s="762"/>
      <c r="S267" s="762"/>
      <c r="T267" s="568"/>
      <c r="U267" s="762"/>
      <c r="V267" s="762"/>
      <c r="W267" s="568"/>
      <c r="X267" s="2893"/>
      <c r="Y267" s="2893"/>
      <c r="Z267" s="2893"/>
      <c r="AA267" s="2893"/>
      <c r="AB267" s="2893"/>
      <c r="AC267" s="2893"/>
      <c r="AD267" s="2893"/>
      <c r="AE267" s="2893"/>
      <c r="AF267" s="2893"/>
      <c r="AG267" s="2893"/>
    </row>
    <row r="268" spans="1:33" ht="14.9" customHeight="1">
      <c r="A268" s="252"/>
      <c r="B268" s="2903" t="s">
        <v>630</v>
      </c>
      <c r="C268" s="2903"/>
      <c r="D268" s="2903"/>
      <c r="E268" s="2903"/>
      <c r="F268" s="6"/>
      <c r="G268" s="65"/>
      <c r="H268" s="480"/>
      <c r="I268" s="710"/>
      <c r="J268" s="711"/>
      <c r="K268" s="526"/>
      <c r="L268" s="710"/>
      <c r="M268" s="711"/>
      <c r="N268" s="526"/>
      <c r="O268" s="710"/>
      <c r="P268" s="712"/>
      <c r="Q268" s="526"/>
      <c r="R268" s="762"/>
      <c r="S268" s="762"/>
      <c r="T268" s="526"/>
      <c r="U268" s="762"/>
      <c r="V268" s="762"/>
      <c r="W268" s="526"/>
      <c r="X268" s="2893"/>
      <c r="Y268" s="2893"/>
      <c r="Z268" s="2893"/>
      <c r="AA268" s="2893"/>
      <c r="AB268" s="2893"/>
      <c r="AC268" s="2893"/>
      <c r="AD268" s="2893"/>
      <c r="AE268" s="2893"/>
      <c r="AF268" s="2893"/>
      <c r="AG268" s="2893"/>
    </row>
    <row r="269" spans="1:33" ht="14.9" customHeight="1">
      <c r="A269" s="252"/>
      <c r="B269" s="2904" t="s">
        <v>634</v>
      </c>
      <c r="C269" s="2904"/>
      <c r="D269" s="2904"/>
      <c r="E269" s="2904"/>
      <c r="F269" s="6"/>
      <c r="G269" s="63"/>
      <c r="H269" s="481"/>
      <c r="I269" s="710"/>
      <c r="J269" s="582"/>
      <c r="K269" s="553"/>
      <c r="L269" s="748"/>
      <c r="M269" s="711"/>
      <c r="N269" s="553"/>
      <c r="O269" s="710"/>
      <c r="P269" s="582"/>
      <c r="Q269" s="553"/>
      <c r="R269" s="762"/>
      <c r="S269" s="762"/>
      <c r="T269" s="553"/>
      <c r="U269" s="762"/>
      <c r="V269" s="762"/>
      <c r="W269" s="553"/>
      <c r="X269" s="2893"/>
      <c r="Y269" s="2893"/>
      <c r="Z269" s="2893"/>
      <c r="AA269" s="2893"/>
      <c r="AB269" s="2893"/>
      <c r="AC269" s="2893"/>
      <c r="AD269" s="2893"/>
      <c r="AE269" s="2893"/>
      <c r="AF269" s="2893"/>
      <c r="AG269" s="2893"/>
    </row>
    <row r="270" spans="1:33" ht="29.15" customHeight="1">
      <c r="A270" s="252"/>
      <c r="B270" s="2903" t="s">
        <v>1551</v>
      </c>
      <c r="C270" s="2903"/>
      <c r="D270" s="2903"/>
      <c r="E270" s="2903"/>
      <c r="F270" s="6"/>
      <c r="G270" s="63"/>
      <c r="H270" s="796"/>
      <c r="I270" s="710"/>
      <c r="J270" s="582"/>
      <c r="K270" s="619"/>
      <c r="L270" s="748"/>
      <c r="M270" s="711"/>
      <c r="N270" s="619"/>
      <c r="O270" s="710"/>
      <c r="P270" s="582"/>
      <c r="Q270" s="619"/>
      <c r="R270" s="762"/>
      <c r="S270" s="762"/>
      <c r="T270" s="619"/>
      <c r="U270" s="762"/>
      <c r="V270" s="762"/>
      <c r="W270" s="619"/>
      <c r="X270" s="2893"/>
      <c r="Y270" s="2893"/>
      <c r="Z270" s="2893"/>
      <c r="AA270" s="2893"/>
      <c r="AB270" s="2893"/>
      <c r="AC270" s="2893"/>
      <c r="AD270" s="2893"/>
      <c r="AE270" s="2893"/>
      <c r="AF270" s="2893"/>
      <c r="AG270" s="2893"/>
    </row>
    <row r="271" spans="1:33" ht="29.15" customHeight="1">
      <c r="A271" s="252"/>
      <c r="B271" s="2903" t="s">
        <v>1552</v>
      </c>
      <c r="C271" s="2903"/>
      <c r="D271" s="2903"/>
      <c r="E271" s="2903"/>
      <c r="F271" s="6"/>
      <c r="G271" s="63"/>
      <c r="H271" s="796"/>
      <c r="I271" s="710"/>
      <c r="J271" s="582"/>
      <c r="K271" s="619"/>
      <c r="L271" s="748"/>
      <c r="M271" s="711"/>
      <c r="N271" s="619"/>
      <c r="O271" s="710"/>
      <c r="P271" s="582"/>
      <c r="Q271" s="619"/>
      <c r="R271" s="762"/>
      <c r="S271" s="762"/>
      <c r="T271" s="619"/>
      <c r="U271" s="762"/>
      <c r="V271" s="762"/>
      <c r="W271" s="619"/>
      <c r="X271" s="2893"/>
      <c r="Y271" s="2893"/>
      <c r="Z271" s="2893"/>
      <c r="AA271" s="2893"/>
      <c r="AB271" s="2893"/>
      <c r="AC271" s="2893"/>
      <c r="AD271" s="2893"/>
      <c r="AE271" s="2893"/>
      <c r="AF271" s="2893"/>
      <c r="AG271" s="2893"/>
    </row>
    <row r="272" spans="1:33" ht="32.9" customHeight="1">
      <c r="A272" s="252"/>
      <c r="B272" s="2903" t="s">
        <v>331</v>
      </c>
      <c r="C272" s="2903"/>
      <c r="D272" s="2903"/>
      <c r="E272" s="2903"/>
      <c r="F272" s="6"/>
      <c r="G272" s="65"/>
      <c r="H272" s="480"/>
      <c r="I272" s="710"/>
      <c r="J272" s="711"/>
      <c r="K272" s="526"/>
      <c r="L272" s="710"/>
      <c r="M272" s="711"/>
      <c r="N272" s="526"/>
      <c r="O272" s="710"/>
      <c r="P272" s="712"/>
      <c r="Q272" s="526"/>
      <c r="R272" s="762"/>
      <c r="S272" s="762"/>
      <c r="T272" s="526"/>
      <c r="U272" s="762"/>
      <c r="V272" s="762"/>
      <c r="W272" s="526"/>
      <c r="X272" s="2893"/>
      <c r="Y272" s="2893"/>
      <c r="Z272" s="2893"/>
      <c r="AA272" s="2893"/>
      <c r="AB272" s="2893"/>
      <c r="AC272" s="2893"/>
      <c r="AD272" s="2893"/>
      <c r="AE272" s="2893"/>
      <c r="AF272" s="2893"/>
      <c r="AG272" s="2893"/>
    </row>
    <row r="273" spans="1:33" ht="14.9" customHeight="1">
      <c r="A273" s="252"/>
      <c r="B273" s="2904" t="s">
        <v>332</v>
      </c>
      <c r="C273" s="2904"/>
      <c r="D273" s="2904"/>
      <c r="E273" s="2904"/>
      <c r="F273" s="6"/>
      <c r="G273" s="63"/>
      <c r="H273" s="480"/>
      <c r="I273" s="710"/>
      <c r="J273" s="582"/>
      <c r="K273" s="526"/>
      <c r="L273" s="748"/>
      <c r="M273" s="711"/>
      <c r="N273" s="526"/>
      <c r="O273" s="710"/>
      <c r="P273" s="582"/>
      <c r="Q273" s="526"/>
      <c r="R273" s="762"/>
      <c r="S273" s="762"/>
      <c r="T273" s="526"/>
      <c r="U273" s="762"/>
      <c r="V273" s="762"/>
      <c r="W273" s="526"/>
      <c r="X273" s="2893"/>
      <c r="Y273" s="2893"/>
      <c r="Z273" s="2893"/>
      <c r="AA273" s="2893"/>
      <c r="AB273" s="2893"/>
      <c r="AC273" s="2893"/>
      <c r="AD273" s="2893"/>
      <c r="AE273" s="2893"/>
      <c r="AF273" s="2893"/>
      <c r="AG273" s="2893"/>
    </row>
    <row r="274" spans="1:33" ht="14.9" customHeight="1">
      <c r="A274" s="252"/>
      <c r="B274" s="2903" t="s">
        <v>333</v>
      </c>
      <c r="C274" s="2903"/>
      <c r="D274" s="2903"/>
      <c r="E274" s="2903"/>
      <c r="F274" s="6"/>
      <c r="G274" s="63"/>
      <c r="H274" s="480"/>
      <c r="I274" s="710"/>
      <c r="J274" s="582"/>
      <c r="K274" s="526"/>
      <c r="L274" s="748"/>
      <c r="M274" s="711"/>
      <c r="N274" s="526"/>
      <c r="O274" s="710"/>
      <c r="P274" s="582"/>
      <c r="Q274" s="526"/>
      <c r="R274" s="762"/>
      <c r="S274" s="762"/>
      <c r="T274" s="526"/>
      <c r="U274" s="762"/>
      <c r="V274" s="762"/>
      <c r="W274" s="526"/>
      <c r="X274" s="2893"/>
      <c r="Y274" s="2893"/>
      <c r="Z274" s="2893"/>
      <c r="AA274" s="2893"/>
      <c r="AB274" s="2893"/>
      <c r="AC274" s="2893"/>
      <c r="AD274" s="2893"/>
      <c r="AE274" s="2893"/>
      <c r="AF274" s="2893"/>
      <c r="AG274" s="2893"/>
    </row>
    <row r="275" spans="1:33" ht="14.9" customHeight="1">
      <c r="A275" s="252"/>
      <c r="B275" s="2903" t="s">
        <v>334</v>
      </c>
      <c r="C275" s="2903"/>
      <c r="D275" s="2903"/>
      <c r="E275" s="2903"/>
      <c r="F275" s="6"/>
      <c r="G275" s="63"/>
      <c r="H275" s="480"/>
      <c r="I275" s="710"/>
      <c r="J275" s="582"/>
      <c r="K275" s="526"/>
      <c r="L275" s="748"/>
      <c r="M275" s="711"/>
      <c r="N275" s="526"/>
      <c r="O275" s="710"/>
      <c r="P275" s="582"/>
      <c r="Q275" s="526"/>
      <c r="R275" s="762"/>
      <c r="S275" s="762"/>
      <c r="T275" s="526"/>
      <c r="U275" s="762"/>
      <c r="V275" s="762"/>
      <c r="W275" s="526"/>
      <c r="X275" s="2893"/>
      <c r="Y275" s="2893"/>
      <c r="Z275" s="2893"/>
      <c r="AA275" s="2893"/>
      <c r="AB275" s="2893"/>
      <c r="AC275" s="2893"/>
      <c r="AD275" s="2893"/>
      <c r="AE275" s="2893"/>
      <c r="AF275" s="2893"/>
      <c r="AG275" s="2893"/>
    </row>
    <row r="276" spans="1:33" ht="14.9" customHeight="1">
      <c r="A276" s="252"/>
      <c r="B276" s="2904" t="s">
        <v>335</v>
      </c>
      <c r="C276" s="2904"/>
      <c r="D276" s="2904"/>
      <c r="E276" s="2904"/>
      <c r="F276" s="6"/>
      <c r="G276" s="63"/>
      <c r="H276" s="480"/>
      <c r="I276" s="710"/>
      <c r="J276" s="582"/>
      <c r="K276" s="526"/>
      <c r="L276" s="748"/>
      <c r="M276" s="711"/>
      <c r="N276" s="526"/>
      <c r="O276" s="710"/>
      <c r="P276" s="582"/>
      <c r="Q276" s="526"/>
      <c r="R276" s="762"/>
      <c r="S276" s="762"/>
      <c r="T276" s="526"/>
      <c r="U276" s="762"/>
      <c r="V276" s="762"/>
      <c r="W276" s="526"/>
      <c r="X276" s="2893"/>
      <c r="Y276" s="2893"/>
      <c r="Z276" s="2893"/>
      <c r="AA276" s="2893"/>
      <c r="AB276" s="2893"/>
      <c r="AC276" s="2893"/>
      <c r="AD276" s="2893"/>
      <c r="AE276" s="2893"/>
      <c r="AF276" s="2893"/>
      <c r="AG276" s="2893"/>
    </row>
    <row r="277" spans="1:33" ht="14.9" customHeight="1">
      <c r="A277" s="252"/>
      <c r="B277" s="2903" t="s">
        <v>336</v>
      </c>
      <c r="C277" s="2903"/>
      <c r="D277" s="2903"/>
      <c r="E277" s="2903"/>
      <c r="F277" s="6"/>
      <c r="G277" s="63"/>
      <c r="H277" s="480"/>
      <c r="I277" s="710"/>
      <c r="J277" s="582"/>
      <c r="K277" s="526"/>
      <c r="L277" s="748"/>
      <c r="M277" s="711"/>
      <c r="N277" s="526"/>
      <c r="O277" s="710"/>
      <c r="P277" s="582"/>
      <c r="Q277" s="526"/>
      <c r="R277" s="762"/>
      <c r="S277" s="762"/>
      <c r="T277" s="526"/>
      <c r="U277" s="762"/>
      <c r="V277" s="762"/>
      <c r="W277" s="526"/>
      <c r="X277" s="2893"/>
      <c r="Y277" s="2893"/>
      <c r="Z277" s="2893"/>
      <c r="AA277" s="2893"/>
      <c r="AB277" s="2893"/>
      <c r="AC277" s="2893"/>
      <c r="AD277" s="2893"/>
      <c r="AE277" s="2893"/>
      <c r="AF277" s="2893"/>
      <c r="AG277" s="2893"/>
    </row>
    <row r="278" spans="1:33" ht="32.9" customHeight="1">
      <c r="A278" s="252"/>
      <c r="B278" s="2903" t="s">
        <v>337</v>
      </c>
      <c r="C278" s="2903"/>
      <c r="D278" s="2903"/>
      <c r="E278" s="2903"/>
      <c r="F278" s="6"/>
      <c r="G278" s="63"/>
      <c r="H278" s="480"/>
      <c r="I278" s="710"/>
      <c r="J278" s="582"/>
      <c r="K278" s="526"/>
      <c r="L278" s="748"/>
      <c r="M278" s="711"/>
      <c r="N278" s="526"/>
      <c r="O278" s="710"/>
      <c r="P278" s="582"/>
      <c r="Q278" s="526"/>
      <c r="R278" s="762"/>
      <c r="S278" s="762"/>
      <c r="T278" s="526"/>
      <c r="U278" s="762"/>
      <c r="V278" s="762"/>
      <c r="W278" s="526"/>
      <c r="X278" s="2893"/>
      <c r="Y278" s="2893"/>
      <c r="Z278" s="2893"/>
      <c r="AA278" s="2893"/>
      <c r="AB278" s="2893"/>
      <c r="AC278" s="2893"/>
      <c r="AD278" s="2893"/>
      <c r="AE278" s="2893"/>
      <c r="AF278" s="2893"/>
      <c r="AG278" s="2893"/>
    </row>
    <row r="279" spans="1:33" ht="32.9" customHeight="1">
      <c r="A279" s="252"/>
      <c r="B279" s="2903" t="s">
        <v>338</v>
      </c>
      <c r="C279" s="2903"/>
      <c r="D279" s="2903"/>
      <c r="E279" s="2903"/>
      <c r="F279" s="6"/>
      <c r="G279" s="63"/>
      <c r="H279" s="480"/>
      <c r="I279" s="710"/>
      <c r="J279" s="582"/>
      <c r="K279" s="526"/>
      <c r="L279" s="748"/>
      <c r="M279" s="711"/>
      <c r="N279" s="526"/>
      <c r="O279" s="710"/>
      <c r="P279" s="582"/>
      <c r="Q279" s="526"/>
      <c r="R279" s="762"/>
      <c r="S279" s="762"/>
      <c r="T279" s="526"/>
      <c r="U279" s="762"/>
      <c r="V279" s="762"/>
      <c r="W279" s="526"/>
      <c r="X279" s="2893"/>
      <c r="Y279" s="2893"/>
      <c r="Z279" s="2893"/>
      <c r="AA279" s="2893"/>
      <c r="AB279" s="2893"/>
      <c r="AC279" s="2893"/>
      <c r="AD279" s="2893"/>
      <c r="AE279" s="2893"/>
      <c r="AF279" s="2893"/>
      <c r="AG279" s="2893"/>
    </row>
    <row r="280" spans="1:33" ht="14.9" customHeight="1">
      <c r="A280" s="252"/>
      <c r="B280" s="2903" t="s">
        <v>735</v>
      </c>
      <c r="C280" s="2903"/>
      <c r="D280" s="2903"/>
      <c r="E280" s="2903"/>
      <c r="F280" s="6"/>
      <c r="G280" s="63"/>
      <c r="H280" s="480"/>
      <c r="I280" s="710"/>
      <c r="J280" s="582"/>
      <c r="K280" s="526"/>
      <c r="L280" s="748"/>
      <c r="M280" s="711"/>
      <c r="N280" s="526"/>
      <c r="O280" s="710"/>
      <c r="P280" s="582"/>
      <c r="Q280" s="526"/>
      <c r="R280" s="762"/>
      <c r="S280" s="762"/>
      <c r="T280" s="526"/>
      <c r="U280" s="762"/>
      <c r="V280" s="762"/>
      <c r="W280" s="526"/>
      <c r="X280" s="2893"/>
      <c r="Y280" s="2893"/>
      <c r="Z280" s="2893"/>
      <c r="AA280" s="2893"/>
      <c r="AB280" s="2893"/>
      <c r="AC280" s="2893"/>
      <c r="AD280" s="2893"/>
      <c r="AE280" s="2893"/>
      <c r="AF280" s="2893"/>
      <c r="AG280" s="2893"/>
    </row>
    <row r="281" spans="1:33" ht="14.9" customHeight="1">
      <c r="A281" s="252"/>
      <c r="B281" s="2903" t="s">
        <v>734</v>
      </c>
      <c r="C281" s="2903"/>
      <c r="D281" s="2903"/>
      <c r="E281" s="2903"/>
      <c r="F281" s="6"/>
      <c r="G281" s="63"/>
      <c r="H281" s="797"/>
      <c r="I281" s="710"/>
      <c r="J281" s="582"/>
      <c r="K281" s="562"/>
      <c r="L281" s="748"/>
      <c r="M281" s="711"/>
      <c r="N281" s="562"/>
      <c r="O281" s="710"/>
      <c r="P281" s="582"/>
      <c r="Q281" s="562"/>
      <c r="R281" s="762"/>
      <c r="S281" s="762"/>
      <c r="T281" s="562"/>
      <c r="U281" s="762"/>
      <c r="V281" s="762"/>
      <c r="W281" s="562"/>
      <c r="X281" s="2893"/>
      <c r="Y281" s="2893"/>
      <c r="Z281" s="2893"/>
      <c r="AA281" s="2893"/>
      <c r="AB281" s="2893"/>
      <c r="AC281" s="2893"/>
      <c r="AD281" s="2893"/>
      <c r="AE281" s="2893"/>
      <c r="AF281" s="2893"/>
      <c r="AG281" s="2893"/>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911"/>
      <c r="Y282" s="2911"/>
      <c r="Z282" s="2911"/>
      <c r="AA282" s="2911"/>
      <c r="AB282" s="2911"/>
      <c r="AC282" s="2911"/>
      <c r="AD282" s="2911"/>
      <c r="AE282" s="2911"/>
      <c r="AF282" s="2911"/>
      <c r="AG282" s="2911"/>
    </row>
    <row r="283" spans="1:33" ht="14.9" customHeight="1">
      <c r="A283" s="252"/>
      <c r="B283" s="2903" t="s">
        <v>625</v>
      </c>
      <c r="C283" s="2903"/>
      <c r="D283" s="2903"/>
      <c r="E283" s="2903"/>
      <c r="F283" s="6"/>
      <c r="G283" s="65"/>
      <c r="H283" s="799"/>
      <c r="I283" s="710"/>
      <c r="J283" s="711"/>
      <c r="K283" s="628"/>
      <c r="L283" s="710"/>
      <c r="M283" s="711"/>
      <c r="N283" s="628"/>
      <c r="O283" s="710"/>
      <c r="P283" s="712"/>
      <c r="Q283" s="628"/>
      <c r="R283" s="762"/>
      <c r="S283" s="762"/>
      <c r="T283" s="628"/>
      <c r="U283" s="762"/>
      <c r="V283" s="762"/>
      <c r="W283" s="628"/>
      <c r="X283" s="2893"/>
      <c r="Y283" s="2893"/>
      <c r="Z283" s="2893"/>
      <c r="AA283" s="2893"/>
      <c r="AB283" s="2893"/>
      <c r="AC283" s="2893"/>
      <c r="AD283" s="2893"/>
      <c r="AE283" s="2893"/>
      <c r="AF283" s="2893"/>
      <c r="AG283" s="2893"/>
    </row>
    <row r="284" spans="1:33" ht="14.9" customHeight="1">
      <c r="A284" s="252"/>
      <c r="B284" s="2903" t="s">
        <v>626</v>
      </c>
      <c r="C284" s="2903"/>
      <c r="D284" s="2903"/>
      <c r="E284" s="2903"/>
      <c r="F284" s="6"/>
      <c r="G284" s="63"/>
      <c r="H284" s="480"/>
      <c r="I284" s="710"/>
      <c r="J284" s="582"/>
      <c r="K284" s="526"/>
      <c r="L284" s="748"/>
      <c r="M284" s="711"/>
      <c r="N284" s="526"/>
      <c r="O284" s="710"/>
      <c r="P284" s="582"/>
      <c r="Q284" s="526"/>
      <c r="R284" s="762"/>
      <c r="S284" s="762"/>
      <c r="T284" s="526"/>
      <c r="U284" s="762"/>
      <c r="V284" s="762"/>
      <c r="W284" s="526"/>
      <c r="X284" s="2893"/>
      <c r="Y284" s="2893"/>
      <c r="Z284" s="2893"/>
      <c r="AA284" s="2893"/>
      <c r="AB284" s="2893"/>
      <c r="AC284" s="2893"/>
      <c r="AD284" s="2893"/>
      <c r="AE284" s="2893"/>
      <c r="AF284" s="2893"/>
      <c r="AG284" s="2893"/>
    </row>
    <row r="285" spans="1:33" ht="14.9" customHeight="1">
      <c r="A285" s="252"/>
      <c r="B285" s="2903" t="s">
        <v>627</v>
      </c>
      <c r="C285" s="2903"/>
      <c r="D285" s="2903"/>
      <c r="E285" s="2903"/>
      <c r="F285" s="6"/>
      <c r="G285" s="63"/>
      <c r="H285" s="794"/>
      <c r="I285" s="710"/>
      <c r="J285" s="582"/>
      <c r="K285" s="561"/>
      <c r="L285" s="748"/>
      <c r="M285" s="711"/>
      <c r="N285" s="561"/>
      <c r="O285" s="710"/>
      <c r="P285" s="582"/>
      <c r="Q285" s="561"/>
      <c r="R285" s="762"/>
      <c r="S285" s="762"/>
      <c r="T285" s="561"/>
      <c r="U285" s="762"/>
      <c r="V285" s="762"/>
      <c r="W285" s="561"/>
      <c r="X285" s="2893"/>
      <c r="Y285" s="2893"/>
      <c r="Z285" s="2893"/>
      <c r="AA285" s="2893"/>
      <c r="AB285" s="2893"/>
      <c r="AC285" s="2893"/>
      <c r="AD285" s="2893"/>
      <c r="AE285" s="2893"/>
      <c r="AF285" s="2893"/>
      <c r="AG285" s="2893"/>
    </row>
    <row r="286" spans="1:33" ht="14.9" customHeight="1">
      <c r="A286" s="252"/>
      <c r="B286" s="2904" t="s">
        <v>628</v>
      </c>
      <c r="C286" s="2904"/>
      <c r="D286" s="2904"/>
      <c r="E286" s="2904"/>
      <c r="F286" s="6"/>
      <c r="G286" s="63"/>
      <c r="H286" s="480"/>
      <c r="I286" s="710"/>
      <c r="J286" s="582"/>
      <c r="K286" s="526"/>
      <c r="L286" s="748"/>
      <c r="M286" s="711"/>
      <c r="N286" s="526"/>
      <c r="O286" s="710"/>
      <c r="P286" s="582"/>
      <c r="Q286" s="526"/>
      <c r="R286" s="762"/>
      <c r="S286" s="762"/>
      <c r="T286" s="526"/>
      <c r="U286" s="762"/>
      <c r="V286" s="762"/>
      <c r="W286" s="526"/>
      <c r="X286" s="2893"/>
      <c r="Y286" s="2893"/>
      <c r="Z286" s="2893"/>
      <c r="AA286" s="2893"/>
      <c r="AB286" s="2893"/>
      <c r="AC286" s="2893"/>
      <c r="AD286" s="2893"/>
      <c r="AE286" s="2893"/>
      <c r="AF286" s="2893"/>
      <c r="AG286" s="2893"/>
    </row>
    <row r="287" spans="1:33" ht="33.75" customHeight="1">
      <c r="A287" s="252"/>
      <c r="B287" s="2904" t="s">
        <v>629</v>
      </c>
      <c r="C287" s="2904"/>
      <c r="D287" s="2904"/>
      <c r="E287" s="2904"/>
      <c r="F287" s="6"/>
      <c r="G287" s="65"/>
      <c r="H287" s="795"/>
      <c r="I287" s="710"/>
      <c r="J287" s="711"/>
      <c r="K287" s="568"/>
      <c r="L287" s="710"/>
      <c r="M287" s="711"/>
      <c r="N287" s="568"/>
      <c r="O287" s="710"/>
      <c r="P287" s="712"/>
      <c r="Q287" s="568"/>
      <c r="R287" s="762"/>
      <c r="S287" s="762"/>
      <c r="T287" s="568"/>
      <c r="U287" s="762"/>
      <c r="V287" s="762"/>
      <c r="W287" s="568"/>
      <c r="X287" s="2893"/>
      <c r="Y287" s="2893"/>
      <c r="Z287" s="2893"/>
      <c r="AA287" s="2893"/>
      <c r="AB287" s="2893"/>
      <c r="AC287" s="2893"/>
      <c r="AD287" s="2893"/>
      <c r="AE287" s="2893"/>
      <c r="AF287" s="2893"/>
      <c r="AG287" s="2893"/>
    </row>
    <row r="288" spans="1:33" ht="14.9" customHeight="1">
      <c r="A288" s="252"/>
      <c r="B288" s="2903" t="s">
        <v>630</v>
      </c>
      <c r="C288" s="2903"/>
      <c r="D288" s="2903"/>
      <c r="E288" s="2903"/>
      <c r="F288" s="6"/>
      <c r="G288" s="65"/>
      <c r="H288" s="480"/>
      <c r="I288" s="710"/>
      <c r="J288" s="711"/>
      <c r="K288" s="526"/>
      <c r="L288" s="710"/>
      <c r="M288" s="711"/>
      <c r="N288" s="526"/>
      <c r="O288" s="710"/>
      <c r="P288" s="712"/>
      <c r="Q288" s="526"/>
      <c r="R288" s="762"/>
      <c r="S288" s="762"/>
      <c r="T288" s="526"/>
      <c r="U288" s="762"/>
      <c r="V288" s="762"/>
      <c r="W288" s="526"/>
      <c r="X288" s="2893"/>
      <c r="Y288" s="2893"/>
      <c r="Z288" s="2893"/>
      <c r="AA288" s="2893"/>
      <c r="AB288" s="2893"/>
      <c r="AC288" s="2893"/>
      <c r="AD288" s="2893"/>
      <c r="AE288" s="2893"/>
      <c r="AF288" s="2893"/>
      <c r="AG288" s="2893"/>
    </row>
    <row r="289" spans="1:33" ht="14.9" customHeight="1">
      <c r="A289" s="252"/>
      <c r="B289" s="2904" t="s">
        <v>634</v>
      </c>
      <c r="C289" s="2904"/>
      <c r="D289" s="2904"/>
      <c r="E289" s="2904"/>
      <c r="F289" s="6"/>
      <c r="G289" s="65"/>
      <c r="H289" s="481"/>
      <c r="I289" s="710"/>
      <c r="J289" s="711"/>
      <c r="K289" s="553"/>
      <c r="L289" s="710"/>
      <c r="M289" s="711"/>
      <c r="N289" s="553"/>
      <c r="O289" s="710"/>
      <c r="P289" s="712"/>
      <c r="Q289" s="553"/>
      <c r="R289" s="762"/>
      <c r="S289" s="762"/>
      <c r="T289" s="553"/>
      <c r="U289" s="762"/>
      <c r="V289" s="762"/>
      <c r="W289" s="553"/>
      <c r="X289" s="2893"/>
      <c r="Y289" s="2893"/>
      <c r="Z289" s="2893"/>
      <c r="AA289" s="2893"/>
      <c r="AB289" s="2893"/>
      <c r="AC289" s="2893"/>
      <c r="AD289" s="2893"/>
      <c r="AE289" s="2893"/>
      <c r="AF289" s="2893"/>
      <c r="AG289" s="2893"/>
    </row>
    <row r="290" spans="1:33" ht="29.15" customHeight="1">
      <c r="A290" s="252"/>
      <c r="B290" s="2903" t="s">
        <v>1551</v>
      </c>
      <c r="C290" s="2903"/>
      <c r="D290" s="2903"/>
      <c r="E290" s="2903"/>
      <c r="F290" s="6"/>
      <c r="G290" s="65"/>
      <c r="H290" s="796"/>
      <c r="I290" s="710"/>
      <c r="J290" s="711"/>
      <c r="K290" s="619"/>
      <c r="L290" s="710"/>
      <c r="M290" s="711"/>
      <c r="N290" s="619"/>
      <c r="O290" s="710"/>
      <c r="P290" s="712"/>
      <c r="Q290" s="619"/>
      <c r="R290" s="762"/>
      <c r="S290" s="762"/>
      <c r="T290" s="619"/>
      <c r="U290" s="762"/>
      <c r="V290" s="762"/>
      <c r="W290" s="619"/>
      <c r="X290" s="2893"/>
      <c r="Y290" s="2893"/>
      <c r="Z290" s="2893"/>
      <c r="AA290" s="2893"/>
      <c r="AB290" s="2893"/>
      <c r="AC290" s="2893"/>
      <c r="AD290" s="2893"/>
      <c r="AE290" s="2893"/>
      <c r="AF290" s="2893"/>
      <c r="AG290" s="2893"/>
    </row>
    <row r="291" spans="1:33" ht="29.15" customHeight="1">
      <c r="A291" s="252"/>
      <c r="B291" s="2903" t="s">
        <v>1552</v>
      </c>
      <c r="C291" s="2903"/>
      <c r="D291" s="2903"/>
      <c r="E291" s="2903"/>
      <c r="F291" s="6"/>
      <c r="G291" s="65"/>
      <c r="H291" s="796"/>
      <c r="I291" s="710"/>
      <c r="J291" s="711"/>
      <c r="K291" s="619"/>
      <c r="L291" s="710"/>
      <c r="M291" s="711"/>
      <c r="N291" s="619"/>
      <c r="O291" s="710"/>
      <c r="P291" s="712"/>
      <c r="Q291" s="619"/>
      <c r="R291" s="762"/>
      <c r="S291" s="762"/>
      <c r="T291" s="619"/>
      <c r="U291" s="762"/>
      <c r="V291" s="762"/>
      <c r="W291" s="619"/>
      <c r="X291" s="2893"/>
      <c r="Y291" s="2893"/>
      <c r="Z291" s="2893"/>
      <c r="AA291" s="2893"/>
      <c r="AB291" s="2893"/>
      <c r="AC291" s="2893"/>
      <c r="AD291" s="2893"/>
      <c r="AE291" s="2893"/>
      <c r="AF291" s="2893"/>
      <c r="AG291" s="2893"/>
    </row>
    <row r="292" spans="1:33" ht="33.75" customHeight="1">
      <c r="A292" s="252"/>
      <c r="B292" s="2903" t="s">
        <v>331</v>
      </c>
      <c r="C292" s="2903"/>
      <c r="D292" s="2903"/>
      <c r="E292" s="2903"/>
      <c r="F292" s="6"/>
      <c r="G292" s="65"/>
      <c r="H292" s="480"/>
      <c r="I292" s="710"/>
      <c r="J292" s="711"/>
      <c r="K292" s="526"/>
      <c r="L292" s="710"/>
      <c r="M292" s="711"/>
      <c r="N292" s="526"/>
      <c r="O292" s="710"/>
      <c r="P292" s="712"/>
      <c r="Q292" s="526"/>
      <c r="R292" s="762"/>
      <c r="S292" s="762"/>
      <c r="T292" s="526"/>
      <c r="U292" s="762"/>
      <c r="V292" s="762"/>
      <c r="W292" s="526"/>
      <c r="X292" s="2893"/>
      <c r="Y292" s="2893"/>
      <c r="Z292" s="2893"/>
      <c r="AA292" s="2893"/>
      <c r="AB292" s="2893"/>
      <c r="AC292" s="2893"/>
      <c r="AD292" s="2893"/>
      <c r="AE292" s="2893"/>
      <c r="AF292" s="2893"/>
      <c r="AG292" s="2893"/>
    </row>
    <row r="293" spans="1:33" ht="14.9" customHeight="1">
      <c r="A293" s="252"/>
      <c r="B293" s="2904" t="s">
        <v>332</v>
      </c>
      <c r="C293" s="2904"/>
      <c r="D293" s="2904"/>
      <c r="E293" s="2904"/>
      <c r="F293" s="6"/>
      <c r="G293" s="63"/>
      <c r="H293" s="480"/>
      <c r="I293" s="710"/>
      <c r="J293" s="582"/>
      <c r="K293" s="526"/>
      <c r="L293" s="748"/>
      <c r="M293" s="711"/>
      <c r="N293" s="526"/>
      <c r="O293" s="710"/>
      <c r="P293" s="582"/>
      <c r="Q293" s="526"/>
      <c r="R293" s="762"/>
      <c r="S293" s="762"/>
      <c r="T293" s="526"/>
      <c r="U293" s="762"/>
      <c r="V293" s="762"/>
      <c r="W293" s="526"/>
      <c r="X293" s="2893"/>
      <c r="Y293" s="2893"/>
      <c r="Z293" s="2893"/>
      <c r="AA293" s="2893"/>
      <c r="AB293" s="2893"/>
      <c r="AC293" s="2893"/>
      <c r="AD293" s="2893"/>
      <c r="AE293" s="2893"/>
      <c r="AF293" s="2893"/>
      <c r="AG293" s="2893"/>
    </row>
    <row r="294" spans="1:33" ht="14.9" customHeight="1">
      <c r="A294" s="252"/>
      <c r="B294" s="2903" t="s">
        <v>333</v>
      </c>
      <c r="C294" s="2903"/>
      <c r="D294" s="2903"/>
      <c r="E294" s="2903"/>
      <c r="F294" s="6"/>
      <c r="G294" s="63"/>
      <c r="H294" s="480"/>
      <c r="I294" s="710"/>
      <c r="J294" s="582"/>
      <c r="K294" s="526"/>
      <c r="L294" s="748"/>
      <c r="M294" s="711"/>
      <c r="N294" s="526"/>
      <c r="O294" s="710"/>
      <c r="P294" s="582"/>
      <c r="Q294" s="526"/>
      <c r="R294" s="762"/>
      <c r="S294" s="762"/>
      <c r="T294" s="526"/>
      <c r="U294" s="762"/>
      <c r="V294" s="762"/>
      <c r="W294" s="526"/>
      <c r="X294" s="2893"/>
      <c r="Y294" s="2893"/>
      <c r="Z294" s="2893"/>
      <c r="AA294" s="2893"/>
      <c r="AB294" s="2893"/>
      <c r="AC294" s="2893"/>
      <c r="AD294" s="2893"/>
      <c r="AE294" s="2893"/>
      <c r="AF294" s="2893"/>
      <c r="AG294" s="2893"/>
    </row>
    <row r="295" spans="1:33" ht="14.9" customHeight="1">
      <c r="A295" s="252"/>
      <c r="B295" s="2903" t="s">
        <v>334</v>
      </c>
      <c r="C295" s="2903"/>
      <c r="D295" s="2903"/>
      <c r="E295" s="2903"/>
      <c r="F295" s="6"/>
      <c r="G295" s="63"/>
      <c r="H295" s="480"/>
      <c r="I295" s="710"/>
      <c r="J295" s="582"/>
      <c r="K295" s="526"/>
      <c r="L295" s="748"/>
      <c r="M295" s="711"/>
      <c r="N295" s="526"/>
      <c r="O295" s="710"/>
      <c r="P295" s="582"/>
      <c r="Q295" s="526"/>
      <c r="R295" s="762"/>
      <c r="S295" s="762"/>
      <c r="T295" s="526"/>
      <c r="U295" s="762"/>
      <c r="V295" s="762"/>
      <c r="W295" s="526"/>
      <c r="X295" s="2893"/>
      <c r="Y295" s="2893"/>
      <c r="Z295" s="2893"/>
      <c r="AA295" s="2893"/>
      <c r="AB295" s="2893"/>
      <c r="AC295" s="2893"/>
      <c r="AD295" s="2893"/>
      <c r="AE295" s="2893"/>
      <c r="AF295" s="2893"/>
      <c r="AG295" s="2893"/>
    </row>
    <row r="296" spans="1:33" ht="14.9" customHeight="1">
      <c r="A296" s="252"/>
      <c r="B296" s="2904" t="s">
        <v>335</v>
      </c>
      <c r="C296" s="2904"/>
      <c r="D296" s="2904"/>
      <c r="E296" s="2904"/>
      <c r="F296" s="6"/>
      <c r="G296" s="63"/>
      <c r="H296" s="480"/>
      <c r="I296" s="710"/>
      <c r="J296" s="582"/>
      <c r="K296" s="526"/>
      <c r="L296" s="748"/>
      <c r="M296" s="711"/>
      <c r="N296" s="526"/>
      <c r="O296" s="710"/>
      <c r="P296" s="582"/>
      <c r="Q296" s="526"/>
      <c r="R296" s="762"/>
      <c r="S296" s="762"/>
      <c r="T296" s="526"/>
      <c r="U296" s="762"/>
      <c r="V296" s="762"/>
      <c r="W296" s="526"/>
      <c r="X296" s="2893"/>
      <c r="Y296" s="2893"/>
      <c r="Z296" s="2893"/>
      <c r="AA296" s="2893"/>
      <c r="AB296" s="2893"/>
      <c r="AC296" s="2893"/>
      <c r="AD296" s="2893"/>
      <c r="AE296" s="2893"/>
      <c r="AF296" s="2893"/>
      <c r="AG296" s="2893"/>
    </row>
    <row r="297" spans="1:33" ht="14.9" customHeight="1">
      <c r="A297" s="252"/>
      <c r="B297" s="2903" t="s">
        <v>336</v>
      </c>
      <c r="C297" s="2903"/>
      <c r="D297" s="2903"/>
      <c r="E297" s="2903"/>
      <c r="F297" s="6"/>
      <c r="G297" s="63"/>
      <c r="H297" s="480"/>
      <c r="I297" s="710"/>
      <c r="J297" s="582"/>
      <c r="K297" s="526"/>
      <c r="L297" s="748"/>
      <c r="M297" s="711"/>
      <c r="N297" s="526"/>
      <c r="O297" s="710"/>
      <c r="P297" s="582"/>
      <c r="Q297" s="526"/>
      <c r="R297" s="762"/>
      <c r="S297" s="762"/>
      <c r="T297" s="526"/>
      <c r="U297" s="762"/>
      <c r="V297" s="762"/>
      <c r="W297" s="526"/>
      <c r="X297" s="2893"/>
      <c r="Y297" s="2893"/>
      <c r="Z297" s="2893"/>
      <c r="AA297" s="2893"/>
      <c r="AB297" s="2893"/>
      <c r="AC297" s="2893"/>
      <c r="AD297" s="2893"/>
      <c r="AE297" s="2893"/>
      <c r="AF297" s="2893"/>
      <c r="AG297" s="2893"/>
    </row>
    <row r="298" spans="1:33" ht="33.75" customHeight="1">
      <c r="A298" s="252"/>
      <c r="B298" s="2903" t="s">
        <v>337</v>
      </c>
      <c r="C298" s="2903"/>
      <c r="D298" s="2903"/>
      <c r="E298" s="2903"/>
      <c r="F298" s="6"/>
      <c r="G298" s="63"/>
      <c r="H298" s="480"/>
      <c r="I298" s="710"/>
      <c r="J298" s="582"/>
      <c r="K298" s="526"/>
      <c r="L298" s="748"/>
      <c r="M298" s="711"/>
      <c r="N298" s="526"/>
      <c r="O298" s="710"/>
      <c r="P298" s="582"/>
      <c r="Q298" s="526"/>
      <c r="R298" s="762"/>
      <c r="S298" s="762"/>
      <c r="T298" s="526"/>
      <c r="U298" s="762"/>
      <c r="V298" s="762"/>
      <c r="W298" s="526"/>
      <c r="X298" s="2893"/>
      <c r="Y298" s="2893"/>
      <c r="Z298" s="2893"/>
      <c r="AA298" s="2893"/>
      <c r="AB298" s="2893"/>
      <c r="AC298" s="2893"/>
      <c r="AD298" s="2893"/>
      <c r="AE298" s="2893"/>
      <c r="AF298" s="2893"/>
      <c r="AG298" s="2893"/>
    </row>
    <row r="299" spans="1:33" ht="33.75" customHeight="1">
      <c r="A299" s="252"/>
      <c r="B299" s="2903" t="s">
        <v>338</v>
      </c>
      <c r="C299" s="2903"/>
      <c r="D299" s="2903"/>
      <c r="E299" s="2903"/>
      <c r="F299" s="6"/>
      <c r="G299" s="63"/>
      <c r="H299" s="480"/>
      <c r="I299" s="710"/>
      <c r="J299" s="582"/>
      <c r="K299" s="526"/>
      <c r="L299" s="748"/>
      <c r="M299" s="711"/>
      <c r="N299" s="526"/>
      <c r="O299" s="710"/>
      <c r="P299" s="582"/>
      <c r="Q299" s="526"/>
      <c r="R299" s="762"/>
      <c r="S299" s="762"/>
      <c r="T299" s="526"/>
      <c r="U299" s="762"/>
      <c r="V299" s="762"/>
      <c r="W299" s="526"/>
      <c r="X299" s="2893"/>
      <c r="Y299" s="2893"/>
      <c r="Z299" s="2893"/>
      <c r="AA299" s="2893"/>
      <c r="AB299" s="2893"/>
      <c r="AC299" s="2893"/>
      <c r="AD299" s="2893"/>
      <c r="AE299" s="2893"/>
      <c r="AF299" s="2893"/>
      <c r="AG299" s="2893"/>
    </row>
    <row r="300" spans="1:33" ht="14.9" customHeight="1">
      <c r="A300" s="252"/>
      <c r="B300" s="2903" t="s">
        <v>735</v>
      </c>
      <c r="C300" s="2903"/>
      <c r="D300" s="2903"/>
      <c r="E300" s="2903"/>
      <c r="F300" s="6"/>
      <c r="G300" s="63"/>
      <c r="H300" s="480"/>
      <c r="I300" s="710"/>
      <c r="J300" s="582"/>
      <c r="K300" s="526"/>
      <c r="L300" s="748"/>
      <c r="M300" s="711"/>
      <c r="N300" s="526"/>
      <c r="O300" s="710"/>
      <c r="P300" s="582"/>
      <c r="Q300" s="526"/>
      <c r="R300" s="762"/>
      <c r="S300" s="762"/>
      <c r="T300" s="526"/>
      <c r="U300" s="762"/>
      <c r="V300" s="762"/>
      <c r="W300" s="526"/>
      <c r="X300" s="2893"/>
      <c r="Y300" s="2893"/>
      <c r="Z300" s="2893"/>
      <c r="AA300" s="2893"/>
      <c r="AB300" s="2893"/>
      <c r="AC300" s="2893"/>
      <c r="AD300" s="2893"/>
      <c r="AE300" s="2893"/>
      <c r="AF300" s="2893"/>
      <c r="AG300" s="2893"/>
    </row>
    <row r="301" spans="1:33" ht="14.9" customHeight="1">
      <c r="A301" s="252"/>
      <c r="B301" s="2903" t="s">
        <v>734</v>
      </c>
      <c r="C301" s="2903"/>
      <c r="D301" s="2903"/>
      <c r="E301" s="2903"/>
      <c r="F301" s="6"/>
      <c r="G301" s="63"/>
      <c r="H301" s="797"/>
      <c r="I301" s="710"/>
      <c r="J301" s="582"/>
      <c r="K301" s="562"/>
      <c r="L301" s="748"/>
      <c r="M301" s="711"/>
      <c r="N301" s="562"/>
      <c r="O301" s="710"/>
      <c r="P301" s="582"/>
      <c r="Q301" s="562"/>
      <c r="R301" s="762"/>
      <c r="S301" s="762"/>
      <c r="T301" s="562"/>
      <c r="U301" s="762"/>
      <c r="V301" s="762"/>
      <c r="W301" s="562"/>
      <c r="X301" s="2893"/>
      <c r="Y301" s="2893"/>
      <c r="Z301" s="2893"/>
      <c r="AA301" s="2893"/>
      <c r="AB301" s="2893"/>
      <c r="AC301" s="2893"/>
      <c r="AD301" s="2893"/>
      <c r="AE301" s="2893"/>
      <c r="AF301" s="2893"/>
      <c r="AG301" s="2893"/>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911"/>
      <c r="Y302" s="2911"/>
      <c r="Z302" s="2911"/>
      <c r="AA302" s="2911"/>
      <c r="AB302" s="2911"/>
      <c r="AC302" s="2911"/>
      <c r="AD302" s="2911"/>
      <c r="AE302" s="2911"/>
      <c r="AF302" s="2911"/>
      <c r="AG302" s="2911"/>
    </row>
    <row r="303" spans="1:33" ht="14.9" customHeight="1">
      <c r="A303" s="252"/>
      <c r="B303" s="2903" t="s">
        <v>625</v>
      </c>
      <c r="C303" s="2903"/>
      <c r="D303" s="2903"/>
      <c r="E303" s="2903"/>
      <c r="F303" s="6"/>
      <c r="G303" s="65"/>
      <c r="H303" s="799"/>
      <c r="I303" s="710"/>
      <c r="J303" s="711"/>
      <c r="K303" s="628"/>
      <c r="L303" s="710"/>
      <c r="M303" s="711"/>
      <c r="N303" s="628"/>
      <c r="O303" s="710"/>
      <c r="P303" s="712"/>
      <c r="Q303" s="628"/>
      <c r="R303" s="762"/>
      <c r="S303" s="762"/>
      <c r="T303" s="628"/>
      <c r="U303" s="762"/>
      <c r="V303" s="762"/>
      <c r="W303" s="628"/>
      <c r="X303" s="2893"/>
      <c r="Y303" s="2893"/>
      <c r="Z303" s="2893"/>
      <c r="AA303" s="2893"/>
      <c r="AB303" s="2893"/>
      <c r="AC303" s="2893"/>
      <c r="AD303" s="2893"/>
      <c r="AE303" s="2893"/>
      <c r="AF303" s="2893"/>
      <c r="AG303" s="2893"/>
    </row>
    <row r="304" spans="1:33" ht="14.9" customHeight="1">
      <c r="A304" s="252"/>
      <c r="B304" s="2903" t="s">
        <v>626</v>
      </c>
      <c r="C304" s="2903"/>
      <c r="D304" s="2903"/>
      <c r="E304" s="2903"/>
      <c r="F304" s="6"/>
      <c r="G304" s="63"/>
      <c r="H304" s="480"/>
      <c r="I304" s="710"/>
      <c r="J304" s="582"/>
      <c r="K304" s="526"/>
      <c r="L304" s="748"/>
      <c r="M304" s="711"/>
      <c r="N304" s="526"/>
      <c r="O304" s="710"/>
      <c r="P304" s="582"/>
      <c r="Q304" s="526"/>
      <c r="R304" s="762"/>
      <c r="S304" s="762"/>
      <c r="T304" s="526"/>
      <c r="U304" s="762"/>
      <c r="V304" s="762"/>
      <c r="W304" s="526"/>
      <c r="X304" s="2893"/>
      <c r="Y304" s="2893"/>
      <c r="Z304" s="2893"/>
      <c r="AA304" s="2893"/>
      <c r="AB304" s="2893"/>
      <c r="AC304" s="2893"/>
      <c r="AD304" s="2893"/>
      <c r="AE304" s="2893"/>
      <c r="AF304" s="2893"/>
      <c r="AG304" s="2893"/>
    </row>
    <row r="305" spans="1:33" ht="14.9" customHeight="1">
      <c r="A305" s="252"/>
      <c r="B305" s="2903" t="s">
        <v>627</v>
      </c>
      <c r="C305" s="2903"/>
      <c r="D305" s="2903"/>
      <c r="E305" s="2903"/>
      <c r="F305" s="6"/>
      <c r="G305" s="63"/>
      <c r="H305" s="794"/>
      <c r="I305" s="710"/>
      <c r="J305" s="582"/>
      <c r="K305" s="561"/>
      <c r="L305" s="748"/>
      <c r="M305" s="711"/>
      <c r="N305" s="561"/>
      <c r="O305" s="710"/>
      <c r="P305" s="582"/>
      <c r="Q305" s="561"/>
      <c r="R305" s="762"/>
      <c r="S305" s="762"/>
      <c r="T305" s="561"/>
      <c r="U305" s="762"/>
      <c r="V305" s="762"/>
      <c r="W305" s="561"/>
      <c r="X305" s="2893"/>
      <c r="Y305" s="2893"/>
      <c r="Z305" s="2893"/>
      <c r="AA305" s="2893"/>
      <c r="AB305" s="2893"/>
      <c r="AC305" s="2893"/>
      <c r="AD305" s="2893"/>
      <c r="AE305" s="2893"/>
      <c r="AF305" s="2893"/>
      <c r="AG305" s="2893"/>
    </row>
    <row r="306" spans="1:33" ht="14.9" customHeight="1">
      <c r="A306" s="252"/>
      <c r="B306" s="2904" t="s">
        <v>628</v>
      </c>
      <c r="C306" s="2904"/>
      <c r="D306" s="2904"/>
      <c r="E306" s="2904"/>
      <c r="F306" s="6"/>
      <c r="G306" s="63"/>
      <c r="H306" s="480"/>
      <c r="I306" s="710"/>
      <c r="J306" s="582"/>
      <c r="K306" s="526"/>
      <c r="L306" s="748"/>
      <c r="M306" s="711"/>
      <c r="N306" s="526"/>
      <c r="O306" s="710"/>
      <c r="P306" s="582"/>
      <c r="Q306" s="526"/>
      <c r="R306" s="762"/>
      <c r="S306" s="762"/>
      <c r="T306" s="526"/>
      <c r="U306" s="762"/>
      <c r="V306" s="762"/>
      <c r="W306" s="526"/>
      <c r="X306" s="2893"/>
      <c r="Y306" s="2893"/>
      <c r="Z306" s="2893"/>
      <c r="AA306" s="2893"/>
      <c r="AB306" s="2893"/>
      <c r="AC306" s="2893"/>
      <c r="AD306" s="2893"/>
      <c r="AE306" s="2893"/>
      <c r="AF306" s="2893"/>
      <c r="AG306" s="2893"/>
    </row>
    <row r="307" spans="1:33" ht="33.75" customHeight="1">
      <c r="A307" s="252"/>
      <c r="B307" s="2904" t="s">
        <v>629</v>
      </c>
      <c r="C307" s="2904"/>
      <c r="D307" s="2904"/>
      <c r="E307" s="2904"/>
      <c r="F307" s="6"/>
      <c r="G307" s="65"/>
      <c r="H307" s="795"/>
      <c r="I307" s="710"/>
      <c r="J307" s="711"/>
      <c r="K307" s="568"/>
      <c r="L307" s="710"/>
      <c r="M307" s="711"/>
      <c r="N307" s="568"/>
      <c r="O307" s="710"/>
      <c r="P307" s="712"/>
      <c r="Q307" s="568"/>
      <c r="R307" s="762"/>
      <c r="S307" s="762"/>
      <c r="T307" s="568"/>
      <c r="U307" s="762"/>
      <c r="V307" s="762"/>
      <c r="W307" s="568"/>
      <c r="X307" s="2893"/>
      <c r="Y307" s="2893"/>
      <c r="Z307" s="2893"/>
      <c r="AA307" s="2893"/>
      <c r="AB307" s="2893"/>
      <c r="AC307" s="2893"/>
      <c r="AD307" s="2893"/>
      <c r="AE307" s="2893"/>
      <c r="AF307" s="2893"/>
      <c r="AG307" s="2893"/>
    </row>
    <row r="308" spans="1:33" ht="14.9" customHeight="1">
      <c r="A308" s="252"/>
      <c r="B308" s="2903" t="s">
        <v>630</v>
      </c>
      <c r="C308" s="2903"/>
      <c r="D308" s="2903"/>
      <c r="E308" s="2903"/>
      <c r="F308" s="6"/>
      <c r="G308" s="65"/>
      <c r="H308" s="480"/>
      <c r="I308" s="710"/>
      <c r="J308" s="711"/>
      <c r="K308" s="526"/>
      <c r="L308" s="710"/>
      <c r="M308" s="711"/>
      <c r="N308" s="526"/>
      <c r="O308" s="710"/>
      <c r="P308" s="712"/>
      <c r="Q308" s="526"/>
      <c r="R308" s="762"/>
      <c r="S308" s="762"/>
      <c r="T308" s="526"/>
      <c r="U308" s="762"/>
      <c r="V308" s="762"/>
      <c r="W308" s="526"/>
      <c r="X308" s="2893"/>
      <c r="Y308" s="2893"/>
      <c r="Z308" s="2893"/>
      <c r="AA308" s="2893"/>
      <c r="AB308" s="2893"/>
      <c r="AC308" s="2893"/>
      <c r="AD308" s="2893"/>
      <c r="AE308" s="2893"/>
      <c r="AF308" s="2893"/>
      <c r="AG308" s="2893"/>
    </row>
    <row r="309" spans="1:33" ht="14.9" customHeight="1">
      <c r="A309" s="252"/>
      <c r="B309" s="2904" t="s">
        <v>634</v>
      </c>
      <c r="C309" s="2904"/>
      <c r="D309" s="2904"/>
      <c r="E309" s="2904"/>
      <c r="F309" s="6"/>
      <c r="G309" s="65"/>
      <c r="H309" s="481"/>
      <c r="I309" s="710"/>
      <c r="J309" s="711"/>
      <c r="K309" s="553"/>
      <c r="L309" s="710"/>
      <c r="M309" s="711"/>
      <c r="N309" s="553"/>
      <c r="O309" s="710"/>
      <c r="P309" s="712"/>
      <c r="Q309" s="553"/>
      <c r="R309" s="762"/>
      <c r="S309" s="762"/>
      <c r="T309" s="553"/>
      <c r="U309" s="762"/>
      <c r="V309" s="762"/>
      <c r="W309" s="553"/>
      <c r="X309" s="2893"/>
      <c r="Y309" s="2893"/>
      <c r="Z309" s="2893"/>
      <c r="AA309" s="2893"/>
      <c r="AB309" s="2893"/>
      <c r="AC309" s="2893"/>
      <c r="AD309" s="2893"/>
      <c r="AE309" s="2893"/>
      <c r="AF309" s="2893"/>
      <c r="AG309" s="2893"/>
    </row>
    <row r="310" spans="1:33" ht="29.15" customHeight="1">
      <c r="A310" s="252"/>
      <c r="B310" s="2903" t="s">
        <v>1551</v>
      </c>
      <c r="C310" s="2903"/>
      <c r="D310" s="2903"/>
      <c r="E310" s="2903"/>
      <c r="F310" s="6"/>
      <c r="G310" s="65"/>
      <c r="H310" s="796"/>
      <c r="I310" s="710"/>
      <c r="J310" s="711"/>
      <c r="K310" s="619"/>
      <c r="L310" s="710"/>
      <c r="M310" s="711"/>
      <c r="N310" s="619"/>
      <c r="O310" s="710"/>
      <c r="P310" s="712"/>
      <c r="Q310" s="619"/>
      <c r="R310" s="762"/>
      <c r="S310" s="762"/>
      <c r="T310" s="619"/>
      <c r="U310" s="762"/>
      <c r="V310" s="762"/>
      <c r="W310" s="619"/>
      <c r="X310" s="2893"/>
      <c r="Y310" s="2893"/>
      <c r="Z310" s="2893"/>
      <c r="AA310" s="2893"/>
      <c r="AB310" s="2893"/>
      <c r="AC310" s="2893"/>
      <c r="AD310" s="2893"/>
      <c r="AE310" s="2893"/>
      <c r="AF310" s="2893"/>
      <c r="AG310" s="2893"/>
    </row>
    <row r="311" spans="1:33" ht="29.15" customHeight="1">
      <c r="A311" s="252"/>
      <c r="B311" s="2903" t="s">
        <v>1552</v>
      </c>
      <c r="C311" s="2903"/>
      <c r="D311" s="2903"/>
      <c r="E311" s="2903"/>
      <c r="F311" s="6"/>
      <c r="G311" s="65"/>
      <c r="H311" s="796"/>
      <c r="I311" s="710"/>
      <c r="J311" s="711"/>
      <c r="K311" s="619"/>
      <c r="L311" s="710"/>
      <c r="M311" s="711"/>
      <c r="N311" s="619"/>
      <c r="O311" s="710"/>
      <c r="P311" s="712"/>
      <c r="Q311" s="619"/>
      <c r="R311" s="762"/>
      <c r="S311" s="762"/>
      <c r="T311" s="619"/>
      <c r="U311" s="762"/>
      <c r="V311" s="762"/>
      <c r="W311" s="619"/>
      <c r="X311" s="2893"/>
      <c r="Y311" s="2893"/>
      <c r="Z311" s="2893"/>
      <c r="AA311" s="2893"/>
      <c r="AB311" s="2893"/>
      <c r="AC311" s="2893"/>
      <c r="AD311" s="2893"/>
      <c r="AE311" s="2893"/>
      <c r="AF311" s="2893"/>
      <c r="AG311" s="2893"/>
    </row>
    <row r="312" spans="1:33" ht="33.75" customHeight="1">
      <c r="A312" s="252"/>
      <c r="B312" s="2903" t="s">
        <v>331</v>
      </c>
      <c r="C312" s="2903"/>
      <c r="D312" s="2903"/>
      <c r="E312" s="2903"/>
      <c r="F312" s="6"/>
      <c r="G312" s="65"/>
      <c r="H312" s="480"/>
      <c r="I312" s="710"/>
      <c r="J312" s="711"/>
      <c r="K312" s="526"/>
      <c r="L312" s="710"/>
      <c r="M312" s="711"/>
      <c r="N312" s="526"/>
      <c r="O312" s="710"/>
      <c r="P312" s="712"/>
      <c r="Q312" s="526"/>
      <c r="R312" s="762"/>
      <c r="S312" s="762"/>
      <c r="T312" s="526"/>
      <c r="U312" s="762"/>
      <c r="V312" s="762"/>
      <c r="W312" s="526"/>
      <c r="X312" s="2893"/>
      <c r="Y312" s="2893"/>
      <c r="Z312" s="2893"/>
      <c r="AA312" s="2893"/>
      <c r="AB312" s="2893"/>
      <c r="AC312" s="2893"/>
      <c r="AD312" s="2893"/>
      <c r="AE312" s="2893"/>
      <c r="AF312" s="2893"/>
      <c r="AG312" s="2893"/>
    </row>
    <row r="313" spans="1:33" ht="14.9" customHeight="1">
      <c r="A313" s="252"/>
      <c r="B313" s="2904" t="s">
        <v>332</v>
      </c>
      <c r="C313" s="2904"/>
      <c r="D313" s="2904"/>
      <c r="E313" s="2904"/>
      <c r="F313" s="6"/>
      <c r="G313" s="63"/>
      <c r="H313" s="480"/>
      <c r="I313" s="710"/>
      <c r="J313" s="582"/>
      <c r="K313" s="526"/>
      <c r="L313" s="748"/>
      <c r="M313" s="711"/>
      <c r="N313" s="526"/>
      <c r="O313" s="710"/>
      <c r="P313" s="582"/>
      <c r="Q313" s="526"/>
      <c r="R313" s="762"/>
      <c r="S313" s="762"/>
      <c r="T313" s="526"/>
      <c r="U313" s="762"/>
      <c r="V313" s="762"/>
      <c r="W313" s="526"/>
      <c r="X313" s="2893"/>
      <c r="Y313" s="2893"/>
      <c r="Z313" s="2893"/>
      <c r="AA313" s="2893"/>
      <c r="AB313" s="2893"/>
      <c r="AC313" s="2893"/>
      <c r="AD313" s="2893"/>
      <c r="AE313" s="2893"/>
      <c r="AF313" s="2893"/>
      <c r="AG313" s="2893"/>
    </row>
    <row r="314" spans="1:33" ht="14.9" customHeight="1">
      <c r="A314" s="252"/>
      <c r="B314" s="2903" t="s">
        <v>333</v>
      </c>
      <c r="C314" s="2903"/>
      <c r="D314" s="2903"/>
      <c r="E314" s="2903"/>
      <c r="F314" s="6"/>
      <c r="G314" s="63"/>
      <c r="H314" s="480"/>
      <c r="I314" s="710"/>
      <c r="J314" s="582"/>
      <c r="K314" s="526"/>
      <c r="L314" s="748"/>
      <c r="M314" s="711"/>
      <c r="N314" s="526"/>
      <c r="O314" s="710"/>
      <c r="P314" s="582"/>
      <c r="Q314" s="526"/>
      <c r="R314" s="762"/>
      <c r="S314" s="762"/>
      <c r="T314" s="526"/>
      <c r="U314" s="762"/>
      <c r="V314" s="762"/>
      <c r="W314" s="526"/>
      <c r="X314" s="2893"/>
      <c r="Y314" s="2893"/>
      <c r="Z314" s="2893"/>
      <c r="AA314" s="2893"/>
      <c r="AB314" s="2893"/>
      <c r="AC314" s="2893"/>
      <c r="AD314" s="2893"/>
      <c r="AE314" s="2893"/>
      <c r="AF314" s="2893"/>
      <c r="AG314" s="2893"/>
    </row>
    <row r="315" spans="1:33" ht="14.9" customHeight="1">
      <c r="A315" s="252"/>
      <c r="B315" s="2903" t="s">
        <v>334</v>
      </c>
      <c r="C315" s="2903"/>
      <c r="D315" s="2903"/>
      <c r="E315" s="2903"/>
      <c r="F315" s="6"/>
      <c r="G315" s="63"/>
      <c r="H315" s="480"/>
      <c r="I315" s="710"/>
      <c r="J315" s="582"/>
      <c r="K315" s="526"/>
      <c r="L315" s="748"/>
      <c r="M315" s="711"/>
      <c r="N315" s="526"/>
      <c r="O315" s="710"/>
      <c r="P315" s="582"/>
      <c r="Q315" s="526"/>
      <c r="R315" s="762"/>
      <c r="S315" s="762"/>
      <c r="T315" s="526"/>
      <c r="U315" s="762"/>
      <c r="V315" s="762"/>
      <c r="W315" s="526"/>
      <c r="X315" s="2893"/>
      <c r="Y315" s="2893"/>
      <c r="Z315" s="2893"/>
      <c r="AA315" s="2893"/>
      <c r="AB315" s="2893"/>
      <c r="AC315" s="2893"/>
      <c r="AD315" s="2893"/>
      <c r="AE315" s="2893"/>
      <c r="AF315" s="2893"/>
      <c r="AG315" s="2893"/>
    </row>
    <row r="316" spans="1:33" ht="14.9" customHeight="1">
      <c r="A316" s="252"/>
      <c r="B316" s="2904" t="s">
        <v>335</v>
      </c>
      <c r="C316" s="2904"/>
      <c r="D316" s="2904"/>
      <c r="E316" s="2904"/>
      <c r="F316" s="6"/>
      <c r="G316" s="63"/>
      <c r="H316" s="480"/>
      <c r="I316" s="710"/>
      <c r="J316" s="582"/>
      <c r="K316" s="526"/>
      <c r="L316" s="748"/>
      <c r="M316" s="711"/>
      <c r="N316" s="526"/>
      <c r="O316" s="710"/>
      <c r="P316" s="582"/>
      <c r="Q316" s="526"/>
      <c r="R316" s="762"/>
      <c r="S316" s="762"/>
      <c r="T316" s="526"/>
      <c r="U316" s="762"/>
      <c r="V316" s="762"/>
      <c r="W316" s="526"/>
      <c r="X316" s="2893"/>
      <c r="Y316" s="2893"/>
      <c r="Z316" s="2893"/>
      <c r="AA316" s="2893"/>
      <c r="AB316" s="2893"/>
      <c r="AC316" s="2893"/>
      <c r="AD316" s="2893"/>
      <c r="AE316" s="2893"/>
      <c r="AF316" s="2893"/>
      <c r="AG316" s="2893"/>
    </row>
    <row r="317" spans="1:33" ht="14.9" customHeight="1">
      <c r="A317" s="252"/>
      <c r="B317" s="2903" t="s">
        <v>336</v>
      </c>
      <c r="C317" s="2903"/>
      <c r="D317" s="2903"/>
      <c r="E317" s="2903"/>
      <c r="F317" s="6"/>
      <c r="G317" s="63"/>
      <c r="H317" s="480"/>
      <c r="I317" s="710"/>
      <c r="J317" s="582"/>
      <c r="K317" s="526"/>
      <c r="L317" s="748"/>
      <c r="M317" s="711"/>
      <c r="N317" s="526"/>
      <c r="O317" s="710"/>
      <c r="P317" s="582"/>
      <c r="Q317" s="526"/>
      <c r="R317" s="762"/>
      <c r="S317" s="762"/>
      <c r="T317" s="526"/>
      <c r="U317" s="762"/>
      <c r="V317" s="762"/>
      <c r="W317" s="526"/>
      <c r="X317" s="2893"/>
      <c r="Y317" s="2893"/>
      <c r="Z317" s="2893"/>
      <c r="AA317" s="2893"/>
      <c r="AB317" s="2893"/>
      <c r="AC317" s="2893"/>
      <c r="AD317" s="2893"/>
      <c r="AE317" s="2893"/>
      <c r="AF317" s="2893"/>
      <c r="AG317" s="2893"/>
    </row>
    <row r="318" spans="1:33" ht="33.75" customHeight="1">
      <c r="A318" s="252"/>
      <c r="B318" s="2903" t="s">
        <v>337</v>
      </c>
      <c r="C318" s="2903"/>
      <c r="D318" s="2903"/>
      <c r="E318" s="2903"/>
      <c r="F318" s="6"/>
      <c r="G318" s="63"/>
      <c r="H318" s="480"/>
      <c r="I318" s="710"/>
      <c r="J318" s="582"/>
      <c r="K318" s="526"/>
      <c r="L318" s="748"/>
      <c r="M318" s="711"/>
      <c r="N318" s="526"/>
      <c r="O318" s="710"/>
      <c r="P318" s="582"/>
      <c r="Q318" s="526"/>
      <c r="R318" s="762"/>
      <c r="S318" s="762"/>
      <c r="T318" s="526"/>
      <c r="U318" s="762"/>
      <c r="V318" s="762"/>
      <c r="W318" s="526"/>
      <c r="X318" s="2893"/>
      <c r="Y318" s="2893"/>
      <c r="Z318" s="2893"/>
      <c r="AA318" s="2893"/>
      <c r="AB318" s="2893"/>
      <c r="AC318" s="2893"/>
      <c r="AD318" s="2893"/>
      <c r="AE318" s="2893"/>
      <c r="AF318" s="2893"/>
      <c r="AG318" s="2893"/>
    </row>
    <row r="319" spans="1:33" ht="33.75" customHeight="1">
      <c r="A319" s="252"/>
      <c r="B319" s="2903" t="s">
        <v>338</v>
      </c>
      <c r="C319" s="2903"/>
      <c r="D319" s="2903"/>
      <c r="E319" s="2903"/>
      <c r="F319" s="6"/>
      <c r="G319" s="63"/>
      <c r="H319" s="480"/>
      <c r="I319" s="710"/>
      <c r="J319" s="582"/>
      <c r="K319" s="526"/>
      <c r="L319" s="748"/>
      <c r="M319" s="711"/>
      <c r="N319" s="526"/>
      <c r="O319" s="710"/>
      <c r="P319" s="582"/>
      <c r="Q319" s="526"/>
      <c r="R319" s="762"/>
      <c r="S319" s="762"/>
      <c r="T319" s="526"/>
      <c r="U319" s="762"/>
      <c r="V319" s="762"/>
      <c r="W319" s="526"/>
      <c r="X319" s="2893"/>
      <c r="Y319" s="2893"/>
      <c r="Z319" s="2893"/>
      <c r="AA319" s="2893"/>
      <c r="AB319" s="2893"/>
      <c r="AC319" s="2893"/>
      <c r="AD319" s="2893"/>
      <c r="AE319" s="2893"/>
      <c r="AF319" s="2893"/>
      <c r="AG319" s="2893"/>
    </row>
    <row r="320" spans="1:33" ht="14.9" customHeight="1">
      <c r="A320" s="252"/>
      <c r="B320" s="2903" t="s">
        <v>735</v>
      </c>
      <c r="C320" s="2903"/>
      <c r="D320" s="2903"/>
      <c r="E320" s="2903"/>
      <c r="F320" s="6"/>
      <c r="G320" s="63"/>
      <c r="H320" s="480"/>
      <c r="I320" s="710"/>
      <c r="J320" s="582"/>
      <c r="K320" s="526"/>
      <c r="L320" s="748"/>
      <c r="M320" s="711"/>
      <c r="N320" s="526"/>
      <c r="O320" s="710"/>
      <c r="P320" s="582"/>
      <c r="Q320" s="526"/>
      <c r="R320" s="762"/>
      <c r="S320" s="762"/>
      <c r="T320" s="526"/>
      <c r="U320" s="762"/>
      <c r="V320" s="762"/>
      <c r="W320" s="526"/>
      <c r="X320" s="2893"/>
      <c r="Y320" s="2893"/>
      <c r="Z320" s="2893"/>
      <c r="AA320" s="2893"/>
      <c r="AB320" s="2893"/>
      <c r="AC320" s="2893"/>
      <c r="AD320" s="2893"/>
      <c r="AE320" s="2893"/>
      <c r="AF320" s="2893"/>
      <c r="AG320" s="2893"/>
    </row>
    <row r="321" spans="1:33" ht="14.9" customHeight="1">
      <c r="A321" s="252"/>
      <c r="B321" s="2903" t="s">
        <v>734</v>
      </c>
      <c r="C321" s="2903"/>
      <c r="D321" s="2903"/>
      <c r="E321" s="2903"/>
      <c r="F321" s="6"/>
      <c r="G321" s="63"/>
      <c r="H321" s="802"/>
      <c r="I321" s="741"/>
      <c r="J321" s="557"/>
      <c r="K321" s="769"/>
      <c r="L321" s="770"/>
      <c r="M321" s="742"/>
      <c r="N321" s="769"/>
      <c r="O321" s="741"/>
      <c r="P321" s="557"/>
      <c r="Q321" s="769"/>
      <c r="R321" s="768"/>
      <c r="S321" s="768"/>
      <c r="T321" s="769"/>
      <c r="U321" s="768"/>
      <c r="V321" s="768"/>
      <c r="W321" s="544"/>
      <c r="X321" s="2893"/>
      <c r="Y321" s="2893"/>
      <c r="Z321" s="2893"/>
      <c r="AA321" s="2893"/>
      <c r="AB321" s="2893"/>
      <c r="AC321" s="2893"/>
      <c r="AD321" s="2893"/>
      <c r="AE321" s="2893"/>
      <c r="AF321" s="2893"/>
      <c r="AG321" s="2893"/>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1799"/>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mergeCells count="534">
    <mergeCell ref="B320:E320"/>
    <mergeCell ref="X320:AG320"/>
    <mergeCell ref="B321:E321"/>
    <mergeCell ref="X321:AG321"/>
    <mergeCell ref="B317:E317"/>
    <mergeCell ref="X317:AG317"/>
    <mergeCell ref="B318:E318"/>
    <mergeCell ref="X318:AG318"/>
    <mergeCell ref="B319:E319"/>
    <mergeCell ref="X319:AG319"/>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X116:AG116"/>
    <mergeCell ref="B117:E117"/>
    <mergeCell ref="X117:AG117"/>
    <mergeCell ref="X121:AG121"/>
    <mergeCell ref="X122:AG122"/>
    <mergeCell ref="X123:AG123"/>
    <mergeCell ref="X111:AG111"/>
    <mergeCell ref="X112:AG112"/>
    <mergeCell ref="A113:A117"/>
    <mergeCell ref="B113:E113"/>
    <mergeCell ref="X113:AG113"/>
    <mergeCell ref="B114:E114"/>
    <mergeCell ref="X114:AG114"/>
    <mergeCell ref="B115:E115"/>
    <mergeCell ref="X115:AG115"/>
    <mergeCell ref="B116:E116"/>
    <mergeCell ref="A105:A107"/>
    <mergeCell ref="X105:AG105"/>
    <mergeCell ref="X106:AG106"/>
    <mergeCell ref="B107:E107"/>
    <mergeCell ref="X107:AG107"/>
    <mergeCell ref="A108:A112"/>
    <mergeCell ref="X108:AG108"/>
    <mergeCell ref="B109:E109"/>
    <mergeCell ref="X109:AG109"/>
    <mergeCell ref="X110:AG110"/>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P83:P84"/>
    <mergeCell ref="Q83:Q84"/>
    <mergeCell ref="T83:T84"/>
    <mergeCell ref="W83:W84"/>
    <mergeCell ref="X83:AG84"/>
    <mergeCell ref="X86:AG86"/>
    <mergeCell ref="G83:G84"/>
    <mergeCell ref="H83:H84"/>
    <mergeCell ref="J83:J84"/>
    <mergeCell ref="K83:K84"/>
    <mergeCell ref="M83:M84"/>
    <mergeCell ref="N83:N84"/>
    <mergeCell ref="C78:E78"/>
    <mergeCell ref="K78:T78"/>
    <mergeCell ref="A81:E81"/>
    <mergeCell ref="G82:H82"/>
    <mergeCell ref="J82:K82"/>
    <mergeCell ref="M82:N82"/>
    <mergeCell ref="C75:E75"/>
    <mergeCell ref="K75:T75"/>
    <mergeCell ref="C76:E76"/>
    <mergeCell ref="K76:T76"/>
    <mergeCell ref="C77:E77"/>
    <mergeCell ref="K77:T77"/>
    <mergeCell ref="C72:E72"/>
    <mergeCell ref="K72:T72"/>
    <mergeCell ref="C73:E73"/>
    <mergeCell ref="K73:T73"/>
    <mergeCell ref="C74:E74"/>
    <mergeCell ref="K74:T74"/>
    <mergeCell ref="C69:E69"/>
    <mergeCell ref="K69:T69"/>
    <mergeCell ref="C70:E70"/>
    <mergeCell ref="K70:T70"/>
    <mergeCell ref="C71:E71"/>
    <mergeCell ref="K71:T71"/>
    <mergeCell ref="C66:E66"/>
    <mergeCell ref="K66:T66"/>
    <mergeCell ref="C67:E67"/>
    <mergeCell ref="K67:T67"/>
    <mergeCell ref="C68:E68"/>
    <mergeCell ref="K68:T68"/>
    <mergeCell ref="C63:E63"/>
    <mergeCell ref="K63:T63"/>
    <mergeCell ref="C64:E64"/>
    <mergeCell ref="K64:T64"/>
    <mergeCell ref="C65:E65"/>
    <mergeCell ref="K65:T65"/>
    <mergeCell ref="C60:E60"/>
    <mergeCell ref="K60:T60"/>
    <mergeCell ref="C61:E61"/>
    <mergeCell ref="K61:T61"/>
    <mergeCell ref="C62:E62"/>
    <mergeCell ref="K62:T62"/>
    <mergeCell ref="C57:E57"/>
    <mergeCell ref="K57:T57"/>
    <mergeCell ref="C58:E58"/>
    <mergeCell ref="K58:T58"/>
    <mergeCell ref="C59:E59"/>
    <mergeCell ref="K59:T59"/>
    <mergeCell ref="C54:E54"/>
    <mergeCell ref="K54:T54"/>
    <mergeCell ref="C55:E55"/>
    <mergeCell ref="K55:T55"/>
    <mergeCell ref="C56:E56"/>
    <mergeCell ref="K56:T56"/>
    <mergeCell ref="C51:E51"/>
    <mergeCell ref="K51:T51"/>
    <mergeCell ref="C52:E52"/>
    <mergeCell ref="K52:T52"/>
    <mergeCell ref="C53:E53"/>
    <mergeCell ref="K53:T53"/>
    <mergeCell ref="K46:T46"/>
    <mergeCell ref="K47:T47"/>
    <mergeCell ref="K48:T48"/>
    <mergeCell ref="C49:E49"/>
    <mergeCell ref="K49:T49"/>
    <mergeCell ref="C50:E50"/>
    <mergeCell ref="K50:T50"/>
    <mergeCell ref="B41:E41"/>
    <mergeCell ref="C42:E42"/>
    <mergeCell ref="K42:T42"/>
    <mergeCell ref="K43:T43"/>
    <mergeCell ref="K44:T44"/>
    <mergeCell ref="K45:T45"/>
    <mergeCell ref="N33:W33"/>
    <mergeCell ref="N34:W34"/>
    <mergeCell ref="N35:W35"/>
    <mergeCell ref="N36:W36"/>
    <mergeCell ref="N37:W37"/>
    <mergeCell ref="N38:W38"/>
    <mergeCell ref="N27:W27"/>
    <mergeCell ref="N28:W28"/>
    <mergeCell ref="N29:W29"/>
    <mergeCell ref="N30:W30"/>
    <mergeCell ref="N31:W31"/>
    <mergeCell ref="N32:W3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B1:E1"/>
    <mergeCell ref="B4:E4"/>
    <mergeCell ref="K4:T4"/>
    <mergeCell ref="K5:T5"/>
    <mergeCell ref="K6:T6"/>
    <mergeCell ref="K7:T7"/>
    <mergeCell ref="B11:E11"/>
    <mergeCell ref="K11:T11"/>
    <mergeCell ref="B12:E12"/>
    <mergeCell ref="K12:T12"/>
  </mergeCells>
  <dataValidations count="19">
    <dataValidation type="list" allowBlank="1" showInputMessage="1" showErrorMessage="1" sqref="M289:M291 J180:J182 M245:M247 M205:M207 J136 M225:M227 M136 M156 J156 M176 M160:M162 J176 J160:J162 M180:M182 M309:M311" xr:uid="{00000000-0002-0000-1600-000000000000}">
      <formula1>"Motorcycle,Land Cruiser,Box Truck/Lorry"</formula1>
    </dataValidation>
    <dataValidation type="list" allowBlank="1" showInputMessage="1" showErrorMessage="1" sqref="G87 G89" xr:uid="{00000000-0002-0000-1600-000001000000}">
      <formula1>"Tier 1,Tier 2,Tier 3,Tier 4"</formula1>
    </dataValidation>
    <dataValidation type="list" allowBlank="1" showInputMessage="1" showErrorMessage="1" sqref="G86" xr:uid="{00000000-0002-0000-1600-000002000000}">
      <formula1>"ZimbabweZAPS,TEST"</formula1>
    </dataValidation>
    <dataValidation type="list" allowBlank="1" showInputMessage="1" showErrorMessage="1" sqref="H5 H86 K86 N86 Q86 T86 W86" xr:uid="{00000000-0002-0000-1600-000003000000}">
      <formula1>$N$6:$N$11</formula1>
    </dataValidation>
    <dataValidation type="whole" allowBlank="1" showInputMessage="1" showErrorMessage="1" sqref="H7" xr:uid="{00000000-0002-0000-1600-000004000000}">
      <formula1>1</formula1>
      <formula2>6</formula2>
    </dataValidation>
    <dataValidation type="decimal" operator="greaterThanOrEqual" allowBlank="1" showInputMessage="1" showErrorMessage="1" sqref="H12 H18 H28:H38 H63:H64 H46 H49:H52 H69:H70 H43 N122:N123 H67 H55:H58 H98:H99 K98:K99 Q98:Q99 T98:T99 W98:W99 H103:H104 H106:H107 H109:H113 H115:H116 K103:K104 K106:K107 K109:K113 K115:K116 Q103:Q104 Q106:Q107 Q109:Q113 Q115:Q116 T103:T104 T106:T107 T109:T113 T115:T116 W103:W104 W106:W107 W109:W113 W115:W116 H315 H122:H123 K122:K123 Q122:Q123 T122:T123 W122:W123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K28:K38 N98:N99 N103:N104 N106:N107 N109:N113 N115:N116 H73:H76" xr:uid="{00000000-0002-0000-1600-000005000000}">
      <formula1>0</formula1>
    </dataValidation>
    <dataValidation type="decimal" operator="greaterThan" allowBlank="1" showInputMessage="1" showErrorMessage="1" sqref="H6 H9:H11 H17 H21 H19 H68 H65:H66 N114 H180 H44:H45 H47:H48 H53:H54 K151:K152 H92 Q92 T92 W92 H108 H114 K108 K114 Q108 Q114 T108 T114 W108 W114 K180 K160 H184 H164 H191:H192 H171:H172 K140 H144 H151:H152 N180 N160 K184 K164 K191:K192 K171:K172 N140 K144 Q151:Q152 Q180 Q160 N184 N164 N191:N192 N171:N172 Q140 N144 N151:N152 T180 T160 Q184 Q164 Q191:Q192 Q171:Q172 T140 Q144 H59:H6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K92 H71:H72 N92 N108 H77:H78" xr:uid="{00000000-0002-0000-1600-000006000000}">
      <formula1>0</formula1>
    </dataValidation>
    <dataValidation type="decimal" operator="greaterThanOrEqual" allowBlank="1" showInputMessage="1" showErrorMessage="1" sqref="H97 K97 Q97 T97 W97 N97" xr:uid="{00000000-0002-0000-1600-000007000000}">
      <formula1>1</formula1>
    </dataValidation>
    <dataValidation type="whole" operator="greaterThan" allowBlank="1" showInputMessage="1" showErrorMessage="1" sqref="H95:H96 K95:K96 Q95:Q96 T95:T96 W95:W96 N95:N96" xr:uid="{00000000-0002-0000-1600-000008000000}">
      <formula1>0</formula1>
    </dataValidation>
    <dataValidation type="decimal" allowBlank="1" showInputMessage="1" showErrorMessage="1" sqref="H94 K94 Q94 T94 W94 N94" xr:uid="{00000000-0002-0000-1600-000009000000}">
      <formula1>0</formula1>
      <formula2>99.9999</formula2>
    </dataValidation>
    <dataValidation type="decimal" allowBlank="1" showInputMessage="1" showErrorMessage="1" sqref="H93 K93 Q93 T93 W93 N93" xr:uid="{00000000-0002-0000-1600-00000A000000}">
      <formula1>0.0001</formula1>
      <formula2>2</formula2>
    </dataValidation>
    <dataValidation type="list" allowBlank="1" showInputMessage="1" showErrorMessage="1" sqref="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K105 H105 N105" xr:uid="{00000000-0002-0000-1600-00000B000000}">
      <formula1>$B$27:$B$38</formula1>
    </dataValidation>
    <dataValidation type="list" allowBlank="1" showInputMessage="1" showErrorMessage="1" sqref="H117 K117 Q117 T117 W117 N117" xr:uid="{00000000-0002-0000-1600-00000C000000}">
      <formula1>"Upstream,Downstream"</formula1>
    </dataValidation>
    <dataValidation type="list" allowBlank="1" showInputMessage="1" showErrorMessage="1" sqref="H121 K121 Q121 T121 W121 N121" xr:uid="{00000000-0002-0000-1600-00000D000000}">
      <formula1>"Cost per m^3 delivered, Cost as % commodity value"</formula1>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600-00000E000000}">
      <formula1>0</formula1>
      <formula2>1</formula2>
    </dataValidation>
    <dataValidation type="whole" allowBlank="1" showInputMessage="1" showErrorMessage="1" sqref="H133:H134 K133:K134 N133:N134 Q133:Q134 T133:T134 W133:W134" xr:uid="{00000000-0002-0000-1600-00000F000000}">
      <formula1>0</formula1>
      <formula2>3</formula2>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600-000010000000}">
      <formula1>"Route-based,Point-to-point"</formula1>
    </dataValidation>
    <dataValidation type="list" allowBlank="1" showInputMessage="1" showErrorMessage="1" sqref="H173:H174 H153:H154 H193 K173:K174 K153:K154 K193 N173:N174 W193 N193 Q173:Q174 N153:N154 Q193 T173:T174 T153:T154 T193 W173:W174 W153:W154 Q153:Q154" xr:uid="{00000000-0002-0000-1600-000011000000}">
      <formula1>"Yes,No"</formula1>
    </dataValidation>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600-000012000000}">
      <formula1>"Yes, 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operator="greaterThan" allowBlank="1" showInputMessage="1" showErrorMessage="1" xr:uid="{00000000-0002-0000-1600-000013000000}">
          <x14:formula1>
            <xm:f>'List Values'!$B$3:$B$4</xm:f>
          </x14:formula1>
          <xm:sqref>H20</xm:sqref>
        </x14:dataValidation>
        <x14:dataValidation type="list" allowBlank="1" showInputMessage="1" showErrorMessage="1" xr:uid="{00000000-0002-0000-1600-000014000000}">
          <x14:formula1>
            <xm:f>'List Values'!$B$3:$B$4</xm:f>
          </x14:formula1>
          <xm:sqref>H20</xm:sqref>
        </x14:dataValidation>
        <x14:dataValidation type="list" allowBlank="1" showInputMessage="1" showErrorMessage="1" xr:uid="{00000000-0002-0000-1600-000015000000}">
          <x14:formula1>
            <xm:f>'List Values'!$C$3:$C$8</xm:f>
          </x14:formula1>
          <xm:sqref>K87 N87 Q87 T87 W87 H87</xm:sqref>
        </x14:dataValidation>
        <x14:dataValidation type="list" allowBlank="1" showInputMessage="1" showErrorMessage="1" xr:uid="{00000000-0002-0000-1600-000016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600-000017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600-000018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CC5ED"/>
  </sheetPr>
  <dimension ref="B2:C25"/>
  <sheetViews>
    <sheetView showGridLines="0" zoomScale="110" zoomScaleNormal="110" workbookViewId="0">
      <selection activeCell="C18" sqref="C18"/>
    </sheetView>
  </sheetViews>
  <sheetFormatPr defaultColWidth="9.15234375" defaultRowHeight="14.6"/>
  <cols>
    <col min="1" max="1" width="9.15234375" style="149"/>
    <col min="2" max="2" width="51.3828125" style="149" customWidth="1"/>
    <col min="3" max="3" width="131.84375" style="149" customWidth="1"/>
    <col min="4" max="4" width="130.3828125" style="149" customWidth="1"/>
    <col min="5" max="16384" width="9.15234375" style="149"/>
  </cols>
  <sheetData>
    <row r="2" spans="2:3" ht="10.5" customHeight="1"/>
    <row r="3" spans="2:3" ht="85.5" customHeight="1">
      <c r="B3" s="2102" t="s">
        <v>5797</v>
      </c>
      <c r="C3" s="2103"/>
    </row>
    <row r="6" spans="2:3" ht="18.45">
      <c r="B6" s="2104" t="s">
        <v>5806</v>
      </c>
      <c r="C6" s="2105"/>
    </row>
    <row r="7" spans="2:3" ht="30.75" customHeight="1">
      <c r="B7" s="2027" t="s">
        <v>315</v>
      </c>
      <c r="C7" s="1908" t="s">
        <v>2322</v>
      </c>
    </row>
    <row r="8" spans="2:3" ht="46.5" customHeight="1">
      <c r="B8" s="2027" t="s">
        <v>5543</v>
      </c>
      <c r="C8" s="1908" t="s">
        <v>2323</v>
      </c>
    </row>
    <row r="9" spans="2:3" ht="50.25" customHeight="1">
      <c r="B9" s="2027" t="s">
        <v>5533</v>
      </c>
      <c r="C9" s="1908" t="s">
        <v>2324</v>
      </c>
    </row>
    <row r="10" spans="2:3" ht="45.75" customHeight="1">
      <c r="B10" s="2027" t="s">
        <v>5534</v>
      </c>
      <c r="C10" s="1908" t="s">
        <v>5536</v>
      </c>
    </row>
    <row r="11" spans="2:3" ht="53.25" customHeight="1">
      <c r="B11" s="2027" t="s">
        <v>5535</v>
      </c>
      <c r="C11" s="1908" t="s">
        <v>5537</v>
      </c>
    </row>
    <row r="12" spans="2:3" ht="18.45">
      <c r="B12" s="2106" t="s">
        <v>5807</v>
      </c>
      <c r="C12" s="2107"/>
    </row>
    <row r="13" spans="2:3" ht="29.25" customHeight="1">
      <c r="B13" s="2027" t="s">
        <v>2325</v>
      </c>
      <c r="C13" s="1908" t="s">
        <v>2326</v>
      </c>
    </row>
    <row r="14" spans="2:3" ht="86.25" customHeight="1">
      <c r="B14" s="1909" t="s">
        <v>5801</v>
      </c>
      <c r="C14" s="1908" t="s">
        <v>5528</v>
      </c>
    </row>
    <row r="15" spans="2:3" ht="84.75" customHeight="1">
      <c r="B15" s="1909" t="s">
        <v>5802</v>
      </c>
      <c r="C15" s="1908" t="s">
        <v>5529</v>
      </c>
    </row>
    <row r="16" spans="2:3" ht="18.45">
      <c r="B16" s="2108" t="s">
        <v>5808</v>
      </c>
      <c r="C16" s="2109"/>
    </row>
    <row r="17" spans="2:3" ht="58.5" customHeight="1">
      <c r="B17" s="2027" t="s">
        <v>2328</v>
      </c>
      <c r="C17" s="1908" t="s">
        <v>5530</v>
      </c>
    </row>
    <row r="18" spans="2:3" ht="62.25" customHeight="1">
      <c r="B18" s="2027" t="s">
        <v>2327</v>
      </c>
      <c r="C18" s="1908" t="s">
        <v>5531</v>
      </c>
    </row>
    <row r="19" spans="2:3" ht="51.75" customHeight="1">
      <c r="B19" s="2027" t="s">
        <v>5418</v>
      </c>
      <c r="C19" s="1910" t="s">
        <v>5532</v>
      </c>
    </row>
    <row r="20" spans="2:3" ht="60" customHeight="1">
      <c r="B20" s="2027" t="s">
        <v>5796</v>
      </c>
      <c r="C20" s="1910" t="s">
        <v>5804</v>
      </c>
    </row>
    <row r="21" spans="2:3" ht="48.75" customHeight="1">
      <c r="B21" s="2027" t="s">
        <v>2331</v>
      </c>
      <c r="C21" s="1908" t="s">
        <v>2332</v>
      </c>
    </row>
    <row r="22" spans="2:3" ht="52.5" customHeight="1">
      <c r="B22" s="2027" t="s">
        <v>5795</v>
      </c>
      <c r="C22" s="1908" t="s">
        <v>5805</v>
      </c>
    </row>
    <row r="23" spans="2:3" ht="18.45">
      <c r="B23" s="2110" t="s">
        <v>5809</v>
      </c>
      <c r="C23" s="2111"/>
    </row>
    <row r="24" spans="2:3" ht="63" customHeight="1">
      <c r="B24" s="2030" t="s">
        <v>5468</v>
      </c>
      <c r="C24" s="2028" t="s">
        <v>5469</v>
      </c>
    </row>
    <row r="25" spans="2:3" ht="82.5" customHeight="1">
      <c r="B25" s="2029" t="s">
        <v>5803</v>
      </c>
      <c r="C25" s="1911" t="s">
        <v>2333</v>
      </c>
    </row>
  </sheetData>
  <sheetProtection algorithmName="SHA-512" hashValue="KgPpk1y4oG26cdA9rFvZnqNchBOuYdW61lVuxEg5lx5PyQ6upj6gpZgMDhf54iLzBdDcyfPzGgW7h+ylq46LLg==" saltValue="Qp/aRfLarAj2y6xwne82Rg==" spinCount="100000" sheet="1" formatColumns="0" formatRows="0"/>
  <protectedRanges>
    <protectedRange sqref="B3 B13:C15 B25:C25 B7:C11 B17:C22" name="Range1"/>
  </protectedRanges>
  <mergeCells count="5">
    <mergeCell ref="B3:C3"/>
    <mergeCell ref="B6:C6"/>
    <mergeCell ref="B12:C12"/>
    <mergeCell ref="B16:C16"/>
    <mergeCell ref="B23:C23"/>
  </mergeCells>
  <hyperlinks>
    <hyperlink ref="B8" location="Introduction!A1" display="Background &amp; Methodology" xr:uid="{00000000-0004-0000-0200-000000000000}"/>
    <hyperlink ref="B9" location="'Instructions &amp; Workflow'!A1" display="Instructions &amp; Workflow" xr:uid="{00000000-0004-0000-0200-000001000000}"/>
    <hyperlink ref="B10" location="'Details - Inputs'!A1" display="Details - Input Parameters" xr:uid="{00000000-0004-0000-0200-000002000000}"/>
    <hyperlink ref="B11" location="'Details - Outputs'!A1" display="Details - Output Statistics" xr:uid="{00000000-0004-0000-0200-000003000000}"/>
    <hyperlink ref="B7" location="'Table of Contents'!A1" display="Table of Contents" xr:uid="{00000000-0004-0000-0200-000004000000}"/>
    <hyperlink ref="B13" location="'Scenario Manager'!A1" display="Scenario Manager" xr:uid="{00000000-0004-0000-0200-000005000000}"/>
    <hyperlink ref="B17" location="'Vaccine Demand Volume &amp; Value'!A1" display="Vaccine Demand Volume &amp; Value " xr:uid="{00000000-0004-0000-0200-000006000000}"/>
    <hyperlink ref="B18" location="'RH Demand Volume &amp; Value'!A1" display="RH Demand Volume &amp; Value " xr:uid="{00000000-0004-0000-0200-000007000000}"/>
    <hyperlink ref="B19" location="'General Demand Volume'!A1" display="General Demand Volume " xr:uid="{00000000-0004-0000-0200-000008000000}"/>
    <hyperlink ref="B24" location="'Blank Data Template'!A1" display="Blank Data Template" xr:uid="{00000000-0004-0000-0200-000009000000}"/>
    <hyperlink ref="B21" location="'Circuity Factor Benchmarks'!A1" display="Circuity Factor Benchmarks" xr:uid="{00000000-0004-0000-0200-00000A000000}"/>
    <hyperlink ref="B22" location="'Warehouse-Vehicle-CCE Costs'!A1" display="Warehouse-Vehicle-CCE costs" xr:uid="{00000000-0004-0000-0200-00000B000000}"/>
    <hyperlink ref="B20" location="'Storage Capacity Estimator'!A1" display="Storage Capacity Estimator" xr:uid="{00000000-0004-0000-0200-00000C000000}"/>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5">
    <tabColor theme="0" tint="-0.14999847407452621"/>
  </sheetPr>
  <dimension ref="A1:AX350"/>
  <sheetViews>
    <sheetView showGridLines="0" zoomScale="80" zoomScaleNormal="80" workbookViewId="0">
      <selection activeCell="Z9" sqref="Z9"/>
    </sheetView>
  </sheetViews>
  <sheetFormatPr defaultColWidth="8.84375" defaultRowHeight="14.6"/>
  <cols>
    <col min="1" max="1" width="9.69140625" customWidth="1"/>
    <col min="2" max="2" width="30.3046875" customWidth="1"/>
    <col min="3" max="3" width="10.69140625" customWidth="1"/>
    <col min="4" max="4" width="24.3046875" customWidth="1"/>
    <col min="5" max="5" width="27.3828125" customWidth="1"/>
    <col min="6" max="6" width="0.69140625" customWidth="1"/>
    <col min="7" max="7" width="0.84375" hidden="1" customWidth="1"/>
    <col min="8" max="8" width="18.30468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6.5351562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5" max="25" width="11.3828125" bestFit="1" customWidth="1"/>
    <col min="33" max="33" width="19.3046875" customWidth="1"/>
    <col min="41" max="41" width="13" customWidth="1"/>
    <col min="42" max="42" width="15.84375" customWidth="1"/>
    <col min="44" max="44" width="14.69140625" customWidth="1"/>
    <col min="46" max="46" width="18.3046875" customWidth="1"/>
    <col min="47" max="47" width="10" customWidth="1"/>
    <col min="48" max="48" width="18.3828125" customWidth="1"/>
    <col min="49" max="50" width="13.84375" customWidth="1"/>
  </cols>
  <sheetData>
    <row r="1" spans="2:23" ht="213" customHeight="1">
      <c r="B1" s="2913" t="s">
        <v>5604</v>
      </c>
      <c r="C1" s="2913"/>
      <c r="D1" s="2913"/>
      <c r="E1" s="2913"/>
      <c r="H1" s="771"/>
    </row>
    <row r="4" spans="2:23" ht="27" customHeight="1">
      <c r="B4" s="2856" t="s">
        <v>304</v>
      </c>
      <c r="C4" s="2857"/>
      <c r="D4" s="2857"/>
      <c r="E4" s="2858"/>
      <c r="G4" s="25" t="s">
        <v>17</v>
      </c>
      <c r="H4" s="789" t="s">
        <v>10</v>
      </c>
      <c r="K4" s="2859" t="s">
        <v>405</v>
      </c>
      <c r="L4" s="2859"/>
      <c r="M4" s="2859"/>
      <c r="N4" s="2859"/>
      <c r="O4" s="2859"/>
      <c r="P4" s="2859"/>
      <c r="Q4" s="2859"/>
      <c r="R4" s="2859"/>
      <c r="S4" s="2859"/>
      <c r="T4" s="2859"/>
    </row>
    <row r="5" spans="2:23" ht="15" customHeight="1">
      <c r="B5" s="665" t="s">
        <v>117</v>
      </c>
      <c r="C5" s="664"/>
      <c r="D5" s="664"/>
      <c r="E5" s="663"/>
      <c r="H5" s="521"/>
      <c r="K5" s="2860"/>
      <c r="L5" s="2860"/>
      <c r="M5" s="2860"/>
      <c r="N5" s="2860"/>
      <c r="O5" s="2860"/>
      <c r="P5" s="2860"/>
      <c r="Q5" s="2860"/>
      <c r="R5" s="2860"/>
      <c r="S5" s="2860"/>
      <c r="T5" s="2860"/>
    </row>
    <row r="6" spans="2:23" ht="15" customHeight="1">
      <c r="B6" s="665" t="s">
        <v>165</v>
      </c>
      <c r="C6" s="664"/>
      <c r="D6" s="664"/>
      <c r="E6" s="663"/>
      <c r="F6" s="83"/>
      <c r="G6" s="84"/>
      <c r="H6" s="695">
        <v>1</v>
      </c>
      <c r="K6" s="2860"/>
      <c r="L6" s="2860"/>
      <c r="M6" s="2860"/>
      <c r="N6" s="2860"/>
      <c r="O6" s="2860"/>
      <c r="P6" s="2860"/>
      <c r="Q6" s="2860"/>
      <c r="R6" s="2860"/>
      <c r="S6" s="2860"/>
      <c r="T6" s="2860"/>
    </row>
    <row r="7" spans="2:23" ht="16" customHeight="1">
      <c r="B7" s="662" t="s">
        <v>57</v>
      </c>
      <c r="C7" s="659"/>
      <c r="D7" s="659"/>
      <c r="E7" s="791"/>
      <c r="G7" s="41">
        <v>3</v>
      </c>
      <c r="H7" s="695">
        <v>3</v>
      </c>
      <c r="K7" s="2860"/>
      <c r="L7" s="2860"/>
      <c r="M7" s="2860"/>
      <c r="N7" s="2860"/>
      <c r="O7" s="2860"/>
      <c r="P7" s="2860"/>
      <c r="Q7" s="2860"/>
      <c r="R7" s="2860"/>
      <c r="S7" s="2860"/>
      <c r="T7" s="2860"/>
    </row>
    <row r="8" spans="2:23">
      <c r="B8" s="2861" t="s">
        <v>11</v>
      </c>
      <c r="C8" s="2250"/>
      <c r="D8" s="2250"/>
      <c r="E8" s="2862"/>
      <c r="G8" s="40">
        <v>1.37</v>
      </c>
      <c r="H8" s="1326">
        <f>22.92/7.6</f>
        <v>3.0157894736842108</v>
      </c>
      <c r="K8" s="2860"/>
      <c r="L8" s="2860"/>
      <c r="M8" s="2860"/>
      <c r="N8" s="2860"/>
      <c r="O8" s="2860"/>
      <c r="P8" s="2860"/>
      <c r="Q8" s="2860"/>
      <c r="R8" s="2860"/>
      <c r="S8" s="2860"/>
      <c r="T8" s="2860"/>
    </row>
    <row r="9" spans="2:23" ht="18.75" customHeight="1">
      <c r="B9" s="2861" t="s">
        <v>12</v>
      </c>
      <c r="C9" s="2250"/>
      <c r="D9" s="2250"/>
      <c r="E9" s="2862"/>
      <c r="G9" s="41">
        <v>240</v>
      </c>
      <c r="H9" s="695">
        <v>260</v>
      </c>
      <c r="K9" s="2864" t="s">
        <v>2254</v>
      </c>
      <c r="L9" s="2864"/>
      <c r="M9" s="2864"/>
      <c r="N9" s="2864"/>
      <c r="O9" s="2864"/>
      <c r="P9" s="2864"/>
      <c r="Q9" s="2864"/>
      <c r="R9" s="2864"/>
      <c r="S9" s="2864"/>
      <c r="T9" s="2864"/>
      <c r="U9" s="655"/>
      <c r="V9" s="655"/>
    </row>
    <row r="10" spans="2:23" ht="15" customHeight="1">
      <c r="B10" s="2861" t="s">
        <v>13</v>
      </c>
      <c r="C10" s="2250"/>
      <c r="D10" s="2250"/>
      <c r="E10" s="2862"/>
      <c r="G10" s="41">
        <v>8</v>
      </c>
      <c r="H10" s="695">
        <v>8</v>
      </c>
      <c r="K10" s="2860" t="s">
        <v>2256</v>
      </c>
      <c r="L10" s="2860"/>
      <c r="M10" s="2860"/>
      <c r="N10" s="2860"/>
      <c r="O10" s="2860"/>
      <c r="P10" s="2860"/>
      <c r="Q10" s="2860"/>
      <c r="R10" s="2860"/>
      <c r="S10" s="2860"/>
      <c r="T10" s="2860"/>
      <c r="U10" s="62"/>
      <c r="V10" s="62"/>
    </row>
    <row r="11" spans="2:23" ht="15" customHeight="1">
      <c r="B11" s="2861" t="s">
        <v>15</v>
      </c>
      <c r="C11" s="2250"/>
      <c r="D11" s="2250"/>
      <c r="E11" s="2862"/>
      <c r="G11" s="41">
        <v>5</v>
      </c>
      <c r="H11" s="695">
        <v>5</v>
      </c>
      <c r="K11" s="2860" t="s">
        <v>2255</v>
      </c>
      <c r="L11" s="2860"/>
      <c r="M11" s="2860"/>
      <c r="N11" s="2860"/>
      <c r="O11" s="2860"/>
      <c r="P11" s="2860"/>
      <c r="Q11" s="2860"/>
      <c r="R11" s="2860"/>
      <c r="S11" s="2860"/>
      <c r="T11" s="2860"/>
      <c r="U11" s="62"/>
      <c r="V11" s="62"/>
    </row>
    <row r="12" spans="2:23" ht="15" customHeight="1">
      <c r="B12" s="2861" t="s">
        <v>400</v>
      </c>
      <c r="C12" s="2250"/>
      <c r="D12" s="2250"/>
      <c r="E12" s="2862"/>
      <c r="G12" s="42">
        <v>3</v>
      </c>
      <c r="H12" s="702">
        <v>5</v>
      </c>
      <c r="K12" s="2860"/>
      <c r="L12" s="2860"/>
      <c r="M12" s="2860"/>
      <c r="N12" s="2860"/>
      <c r="O12" s="2860"/>
      <c r="P12" s="2860"/>
      <c r="Q12" s="2860"/>
      <c r="R12" s="2860"/>
      <c r="S12" s="2860"/>
      <c r="T12" s="2860"/>
      <c r="U12" s="62"/>
      <c r="V12" s="62"/>
    </row>
    <row r="13" spans="2:23">
      <c r="B13" s="39"/>
      <c r="C13" s="39"/>
      <c r="D13" s="39"/>
      <c r="E13" s="39"/>
      <c r="G13" s="8"/>
      <c r="H13" s="11"/>
      <c r="S13" s="240"/>
      <c r="T13" s="62"/>
      <c r="U13" s="62"/>
      <c r="V13" s="62"/>
    </row>
    <row r="14" spans="2:23">
      <c r="B14" s="39"/>
      <c r="C14" s="39"/>
      <c r="D14" s="39"/>
      <c r="E14" s="39"/>
      <c r="G14" s="8"/>
      <c r="H14" s="11"/>
      <c r="T14" s="93"/>
      <c r="U14" s="93"/>
      <c r="V14" s="661"/>
      <c r="W14" s="4"/>
    </row>
    <row r="15" spans="2:23" ht="30" customHeight="1">
      <c r="B15" s="2856" t="s">
        <v>296</v>
      </c>
      <c r="C15" s="2857"/>
      <c r="D15" s="2857"/>
      <c r="E15" s="2858"/>
      <c r="G15" s="25" t="s">
        <v>17</v>
      </c>
      <c r="H15" s="818" t="s">
        <v>10</v>
      </c>
      <c r="K15" s="2863" t="s">
        <v>405</v>
      </c>
      <c r="L15" s="2863"/>
      <c r="M15" s="2863"/>
      <c r="N15" s="2863"/>
      <c r="O15" s="2863"/>
      <c r="P15" s="2863"/>
      <c r="Q15" s="2863"/>
      <c r="R15" s="2863"/>
      <c r="S15" s="2863"/>
      <c r="T15" s="2863"/>
      <c r="U15" s="62"/>
      <c r="V15" s="62"/>
      <c r="W15" s="4"/>
    </row>
    <row r="16" spans="2:23" ht="15" customHeight="1">
      <c r="B16" s="814"/>
      <c r="C16" s="815"/>
      <c r="D16" s="815"/>
      <c r="E16" s="816"/>
      <c r="G16" s="15"/>
      <c r="H16" s="998"/>
      <c r="I16" s="27"/>
      <c r="J16" s="27"/>
      <c r="K16" s="999"/>
      <c r="L16" s="999"/>
      <c r="M16" s="999"/>
      <c r="N16" s="999"/>
      <c r="O16" s="999"/>
      <c r="P16" s="999"/>
      <c r="Q16" s="999"/>
      <c r="R16" s="999"/>
      <c r="S16" s="999"/>
      <c r="T16" s="999"/>
      <c r="U16" s="62"/>
      <c r="V16" s="62"/>
      <c r="W16" s="4"/>
    </row>
    <row r="17" spans="2:35">
      <c r="B17" s="43" t="s">
        <v>367</v>
      </c>
      <c r="C17" s="44"/>
      <c r="D17" s="44"/>
      <c r="E17" s="45"/>
      <c r="G17" s="46">
        <v>1955</v>
      </c>
      <c r="H17" s="730">
        <v>536.73</v>
      </c>
      <c r="K17" s="2860" t="s">
        <v>2312</v>
      </c>
      <c r="L17" s="2860"/>
      <c r="M17" s="2860"/>
      <c r="N17" s="2860"/>
      <c r="O17" s="2860"/>
      <c r="P17" s="2860"/>
      <c r="Q17" s="2860"/>
      <c r="R17" s="2860"/>
      <c r="S17" s="2860"/>
      <c r="T17" s="2860"/>
      <c r="U17" s="95"/>
      <c r="V17" s="95"/>
      <c r="W17" s="4"/>
    </row>
    <row r="18" spans="2:35">
      <c r="B18" s="43" t="s">
        <v>368</v>
      </c>
      <c r="C18" s="44"/>
      <c r="D18" s="44"/>
      <c r="E18" s="45"/>
      <c r="G18" s="41"/>
      <c r="H18" s="695">
        <v>0</v>
      </c>
      <c r="K18" s="2860"/>
      <c r="L18" s="2860"/>
      <c r="M18" s="2860"/>
      <c r="N18" s="2860"/>
      <c r="O18" s="2860"/>
      <c r="P18" s="2860"/>
      <c r="Q18" s="2860"/>
      <c r="R18" s="2860"/>
      <c r="S18" s="2860"/>
      <c r="T18" s="2860"/>
      <c r="U18" s="95"/>
      <c r="V18" s="95"/>
      <c r="W18" s="4"/>
    </row>
    <row r="19" spans="2:35">
      <c r="B19" s="43" t="s">
        <v>130</v>
      </c>
      <c r="C19" s="44"/>
      <c r="D19" s="44"/>
      <c r="E19" s="45"/>
      <c r="G19" s="41"/>
      <c r="H19" s="695">
        <v>51</v>
      </c>
      <c r="K19" s="2860"/>
      <c r="L19" s="2860"/>
      <c r="M19" s="2860"/>
      <c r="N19" s="2860"/>
      <c r="O19" s="2860"/>
      <c r="P19" s="2860"/>
      <c r="Q19" s="2860"/>
      <c r="R19" s="2860"/>
      <c r="S19" s="2860"/>
      <c r="T19" s="2860"/>
      <c r="U19" s="95"/>
      <c r="V19" s="62"/>
      <c r="W19" s="4"/>
    </row>
    <row r="20" spans="2:35">
      <c r="B20" s="660" t="s">
        <v>369</v>
      </c>
      <c r="C20" s="44"/>
      <c r="D20" s="44"/>
      <c r="E20" s="45"/>
      <c r="G20" s="41"/>
      <c r="H20" s="543" t="s">
        <v>370</v>
      </c>
      <c r="K20" s="2860"/>
      <c r="L20" s="2860"/>
      <c r="M20" s="2860"/>
      <c r="N20" s="2860"/>
      <c r="O20" s="2860"/>
      <c r="P20" s="2860"/>
      <c r="Q20" s="2860"/>
      <c r="R20" s="2860"/>
      <c r="S20" s="2860"/>
      <c r="T20" s="2860"/>
      <c r="U20" s="95"/>
      <c r="V20" s="62"/>
      <c r="W20" s="4"/>
    </row>
    <row r="21" spans="2:35" ht="16" customHeight="1">
      <c r="B21" s="68" t="s">
        <v>55</v>
      </c>
      <c r="C21" s="44"/>
      <c r="D21" s="44"/>
      <c r="E21" s="45"/>
      <c r="G21" s="55">
        <v>12300000</v>
      </c>
      <c r="H21" s="1888">
        <f>20782296.55/7.6</f>
        <v>2734512.7039473685</v>
      </c>
      <c r="K21" s="2860" t="s">
        <v>2313</v>
      </c>
      <c r="L21" s="2860"/>
      <c r="M21" s="2860"/>
      <c r="N21" s="2860"/>
      <c r="O21" s="2860"/>
      <c r="P21" s="2860"/>
      <c r="Q21" s="2860"/>
      <c r="R21" s="2860"/>
      <c r="S21" s="2860"/>
      <c r="T21" s="2860"/>
      <c r="U21" s="97"/>
      <c r="V21" s="97"/>
      <c r="W21" s="4"/>
    </row>
    <row r="22" spans="2:35" ht="18.45">
      <c r="B22" s="50"/>
      <c r="C22" s="50"/>
      <c r="D22" s="50"/>
      <c r="E22" s="50"/>
      <c r="G22" s="50"/>
      <c r="H22" s="50"/>
      <c r="I22" s="50"/>
      <c r="J22" s="50"/>
      <c r="K22" s="50"/>
      <c r="S22" s="240"/>
      <c r="T22" s="95"/>
      <c r="U22" s="95"/>
      <c r="V22" s="95"/>
    </row>
    <row r="23" spans="2:35">
      <c r="S23" s="1"/>
      <c r="T23" s="272"/>
    </row>
    <row r="24" spans="2:35" ht="27.65" customHeight="1">
      <c r="B24" s="2856" t="s">
        <v>297</v>
      </c>
      <c r="C24" s="2857"/>
      <c r="D24" s="2857"/>
      <c r="E24" s="2858"/>
      <c r="G24" s="2873" t="s">
        <v>72</v>
      </c>
      <c r="H24" s="2874"/>
      <c r="I24" s="697"/>
      <c r="J24" s="2871" t="s">
        <v>24</v>
      </c>
      <c r="K24" s="2871"/>
      <c r="Z24" s="1334"/>
    </row>
    <row r="25" spans="2:35" ht="15" customHeight="1">
      <c r="B25" s="2865" t="s">
        <v>23</v>
      </c>
      <c r="C25" s="2661"/>
      <c r="D25" s="2661"/>
      <c r="E25" s="2866"/>
      <c r="G25" s="2867" t="s">
        <v>17</v>
      </c>
      <c r="H25" s="2869" t="s">
        <v>10</v>
      </c>
      <c r="J25" s="2871" t="s">
        <v>17</v>
      </c>
      <c r="K25" s="2872" t="s">
        <v>10</v>
      </c>
      <c r="N25" s="2859" t="s">
        <v>405</v>
      </c>
      <c r="O25" s="2859"/>
      <c r="P25" s="2859"/>
      <c r="Q25" s="2859"/>
      <c r="R25" s="2859"/>
      <c r="S25" s="2859"/>
      <c r="T25" s="2859"/>
      <c r="U25" s="2859"/>
      <c r="V25" s="2859"/>
      <c r="W25" s="2859"/>
    </row>
    <row r="26" spans="2:35">
      <c r="B26" s="2611"/>
      <c r="C26" s="2612"/>
      <c r="D26" s="2612"/>
      <c r="E26" s="2613"/>
      <c r="G26" s="2868"/>
      <c r="H26" s="2870"/>
      <c r="J26" s="2871"/>
      <c r="K26" s="2872"/>
      <c r="N26" s="2859"/>
      <c r="O26" s="2859"/>
      <c r="P26" s="2859"/>
      <c r="Q26" s="2859"/>
      <c r="R26" s="2859"/>
      <c r="S26" s="2859"/>
      <c r="T26" s="2859"/>
      <c r="U26" s="2859"/>
      <c r="V26" s="2859"/>
      <c r="W26" s="2859"/>
    </row>
    <row r="27" spans="2:35" ht="15" customHeight="1">
      <c r="B27" s="495" t="s">
        <v>605</v>
      </c>
      <c r="C27" s="781"/>
      <c r="D27" s="781"/>
      <c r="E27" s="783"/>
      <c r="G27" s="790"/>
      <c r="H27" s="1050"/>
      <c r="I27" s="1051"/>
      <c r="J27" s="1052"/>
      <c r="K27" s="1050"/>
      <c r="N27" s="2860"/>
      <c r="O27" s="2860"/>
      <c r="P27" s="2860"/>
      <c r="Q27" s="2860"/>
      <c r="R27" s="2860"/>
      <c r="S27" s="2860"/>
      <c r="T27" s="2860"/>
      <c r="U27" s="2860"/>
      <c r="V27" s="2860"/>
      <c r="W27" s="2860"/>
      <c r="X27" s="4"/>
      <c r="AE27" s="1"/>
    </row>
    <row r="28" spans="2:35">
      <c r="B28" s="231" t="s">
        <v>19</v>
      </c>
      <c r="C28" s="26"/>
      <c r="D28" s="26"/>
      <c r="E28" s="16"/>
      <c r="G28" s="47" t="e">
        <v>#REF!</v>
      </c>
      <c r="H28" s="524">
        <f>30.67/7.6</f>
        <v>4.0355263157894745</v>
      </c>
      <c r="I28" s="705"/>
      <c r="J28" s="706"/>
      <c r="K28" s="524">
        <v>0</v>
      </c>
      <c r="N28" s="2875" t="s">
        <v>2274</v>
      </c>
      <c r="O28" s="2875"/>
      <c r="P28" s="2875"/>
      <c r="Q28" s="2875"/>
      <c r="R28" s="2875"/>
      <c r="S28" s="2875"/>
      <c r="T28" s="2875"/>
      <c r="U28" s="2875"/>
      <c r="V28" s="2875"/>
      <c r="W28" s="2875"/>
    </row>
    <row r="29" spans="2:35" ht="17.25" customHeight="1">
      <c r="B29" s="231" t="s">
        <v>20</v>
      </c>
      <c r="C29" s="26"/>
      <c r="D29" s="26"/>
      <c r="E29" s="16"/>
      <c r="G29" s="48" t="e">
        <v>#REF!</v>
      </c>
      <c r="H29" s="524">
        <f>26.89/7.6</f>
        <v>3.5381578947368424</v>
      </c>
      <c r="I29" s="705"/>
      <c r="J29" s="706"/>
      <c r="K29" s="524">
        <v>0</v>
      </c>
      <c r="N29" s="2876" t="s">
        <v>2286</v>
      </c>
      <c r="O29" s="2876"/>
      <c r="P29" s="2876"/>
      <c r="Q29" s="2876"/>
      <c r="R29" s="2876"/>
      <c r="S29" s="2876"/>
      <c r="T29" s="2876"/>
      <c r="U29" s="2876"/>
      <c r="V29" s="2876"/>
      <c r="W29" s="2876"/>
      <c r="AI29" s="460"/>
    </row>
    <row r="30" spans="2:35" ht="17.25" customHeight="1">
      <c r="B30" s="231" t="s">
        <v>21</v>
      </c>
      <c r="C30" s="26"/>
      <c r="D30" s="26"/>
      <c r="E30" s="16"/>
      <c r="G30" s="48">
        <v>6.58</v>
      </c>
      <c r="H30" s="524"/>
      <c r="I30" s="705"/>
      <c r="J30" s="706"/>
      <c r="K30" s="524">
        <v>0</v>
      </c>
      <c r="N30" s="2860"/>
      <c r="O30" s="2860"/>
      <c r="P30" s="2860"/>
      <c r="Q30" s="2860"/>
      <c r="R30" s="2860"/>
      <c r="S30" s="2860"/>
      <c r="T30" s="2860"/>
      <c r="U30" s="2860"/>
      <c r="V30" s="2860"/>
      <c r="W30" s="2860"/>
      <c r="AI30" s="460"/>
    </row>
    <row r="31" spans="2:35" ht="17.25" customHeight="1">
      <c r="B31" s="231" t="s">
        <v>22</v>
      </c>
      <c r="C31" s="26"/>
      <c r="D31" s="26"/>
      <c r="E31" s="16"/>
      <c r="G31" s="48">
        <v>5.91</v>
      </c>
      <c r="H31" s="524">
        <f>20.01/7.6</f>
        <v>2.6328947368421054</v>
      </c>
      <c r="I31" s="705"/>
      <c r="J31" s="706"/>
      <c r="K31" s="524">
        <v>0</v>
      </c>
      <c r="N31" s="2860" t="s">
        <v>2276</v>
      </c>
      <c r="O31" s="2860"/>
      <c r="P31" s="2860"/>
      <c r="Q31" s="2860"/>
      <c r="R31" s="2860"/>
      <c r="S31" s="2860"/>
      <c r="T31" s="2860"/>
      <c r="U31" s="2860"/>
      <c r="V31" s="2860"/>
      <c r="W31" s="2860"/>
    </row>
    <row r="32" spans="2:35" ht="17.25" customHeight="1">
      <c r="B32" s="231" t="s">
        <v>402</v>
      </c>
      <c r="C32" s="26"/>
      <c r="D32" s="26"/>
      <c r="E32" s="16"/>
      <c r="G32" s="48" t="e">
        <v>#REF!</v>
      </c>
      <c r="H32" s="524">
        <f>27.63/7.6</f>
        <v>3.6355263157894737</v>
      </c>
      <c r="I32" s="705"/>
      <c r="J32" s="706"/>
      <c r="K32" s="524">
        <v>0</v>
      </c>
      <c r="N32" s="2860" t="s">
        <v>2297</v>
      </c>
      <c r="O32" s="2860"/>
      <c r="P32" s="2860"/>
      <c r="Q32" s="2860"/>
      <c r="R32" s="2860"/>
      <c r="S32" s="2860"/>
      <c r="T32" s="2860"/>
      <c r="U32" s="2860"/>
      <c r="V32" s="2860"/>
      <c r="W32" s="2860"/>
    </row>
    <row r="33" spans="1:25" ht="17.25" customHeight="1">
      <c r="B33" s="231" t="s">
        <v>401</v>
      </c>
      <c r="C33" s="26"/>
      <c r="D33" s="26"/>
      <c r="E33" s="16"/>
      <c r="G33" s="48"/>
      <c r="H33" s="524">
        <f>34.68/7.6</f>
        <v>4.5631578947368423</v>
      </c>
      <c r="I33" s="705"/>
      <c r="J33" s="706"/>
      <c r="K33" s="524">
        <v>0</v>
      </c>
      <c r="N33" s="2860" t="s">
        <v>2288</v>
      </c>
      <c r="O33" s="2860"/>
      <c r="P33" s="2860"/>
      <c r="Q33" s="2860"/>
      <c r="R33" s="2860"/>
      <c r="S33" s="2860"/>
      <c r="T33" s="2860"/>
      <c r="U33" s="2860"/>
      <c r="V33" s="2860"/>
      <c r="W33" s="2860"/>
    </row>
    <row r="34" spans="1:25">
      <c r="B34" s="231" t="s">
        <v>403</v>
      </c>
      <c r="C34" s="26"/>
      <c r="D34" s="26"/>
      <c r="E34" s="16"/>
      <c r="G34" s="48">
        <v>5.91</v>
      </c>
      <c r="H34" s="524">
        <f>34.08/7.6</f>
        <v>4.4842105263157892</v>
      </c>
      <c r="I34" s="705"/>
      <c r="J34" s="706"/>
      <c r="K34" s="524">
        <v>0</v>
      </c>
      <c r="N34" s="2860" t="s">
        <v>2296</v>
      </c>
      <c r="O34" s="2860"/>
      <c r="P34" s="2860"/>
      <c r="Q34" s="2860"/>
      <c r="R34" s="2860"/>
      <c r="S34" s="2860"/>
      <c r="T34" s="2860"/>
      <c r="U34" s="2860"/>
      <c r="V34" s="2860"/>
      <c r="W34" s="2860"/>
    </row>
    <row r="35" spans="1:25">
      <c r="B35" s="232" t="s">
        <v>404</v>
      </c>
      <c r="C35" s="26"/>
      <c r="D35" s="26"/>
      <c r="E35" s="16"/>
      <c r="G35" s="48" t="e">
        <v>#REF!</v>
      </c>
      <c r="H35" s="524"/>
      <c r="I35" s="705"/>
      <c r="J35" s="706"/>
      <c r="K35" s="524"/>
      <c r="N35" s="2860"/>
      <c r="O35" s="2860"/>
      <c r="P35" s="2860"/>
      <c r="Q35" s="2860"/>
      <c r="R35" s="2860"/>
      <c r="S35" s="2860"/>
      <c r="T35" s="2860"/>
      <c r="U35" s="2860"/>
      <c r="V35" s="2860"/>
      <c r="W35" s="2860"/>
    </row>
    <row r="36" spans="1:25">
      <c r="B36" s="232" t="s">
        <v>416</v>
      </c>
      <c r="C36" s="26"/>
      <c r="D36" s="26"/>
      <c r="E36" s="16"/>
      <c r="G36" s="48"/>
      <c r="H36" s="699">
        <f>27.11/7.6</f>
        <v>3.5671052631578948</v>
      </c>
      <c r="I36" s="705"/>
      <c r="J36" s="706"/>
      <c r="K36" s="524">
        <v>0</v>
      </c>
      <c r="N36" s="2860" t="s">
        <v>2275</v>
      </c>
      <c r="O36" s="2860"/>
      <c r="P36" s="2860"/>
      <c r="Q36" s="2860"/>
      <c r="R36" s="2860"/>
      <c r="S36" s="2860"/>
      <c r="T36" s="2860"/>
      <c r="U36" s="2860"/>
      <c r="V36" s="2860"/>
      <c r="W36" s="2860"/>
    </row>
    <row r="37" spans="1:25">
      <c r="B37" s="232" t="s">
        <v>417</v>
      </c>
      <c r="C37" s="26"/>
      <c r="D37" s="26"/>
      <c r="E37" s="16"/>
      <c r="G37" s="48"/>
      <c r="H37" s="699"/>
      <c r="I37" s="705"/>
      <c r="J37" s="706"/>
      <c r="K37" s="524">
        <v>0</v>
      </c>
      <c r="N37" s="2860"/>
      <c r="O37" s="2860"/>
      <c r="P37" s="2860"/>
      <c r="Q37" s="2860"/>
      <c r="R37" s="2860"/>
      <c r="S37" s="2860"/>
      <c r="T37" s="2860"/>
      <c r="U37" s="2860"/>
      <c r="V37" s="2860"/>
      <c r="W37" s="2860"/>
      <c r="Y37" s="37"/>
    </row>
    <row r="38" spans="1:25">
      <c r="B38" s="232" t="s">
        <v>418</v>
      </c>
      <c r="C38" s="27"/>
      <c r="D38" s="27"/>
      <c r="E38" s="17"/>
      <c r="G38" s="49" t="e">
        <v>#REF!</v>
      </c>
      <c r="H38" s="700"/>
      <c r="I38" s="705"/>
      <c r="J38" s="707"/>
      <c r="K38" s="700">
        <v>0</v>
      </c>
      <c r="N38" s="2860"/>
      <c r="O38" s="2860"/>
      <c r="P38" s="2860"/>
      <c r="Q38" s="2860"/>
      <c r="R38" s="2860"/>
      <c r="S38" s="2860"/>
      <c r="T38" s="2860"/>
      <c r="U38" s="2860"/>
      <c r="V38" s="2860"/>
      <c r="W38" s="2860"/>
    </row>
    <row r="40" spans="1:25" ht="18.45">
      <c r="A40" s="10"/>
      <c r="B40" s="8"/>
      <c r="C40" s="8"/>
      <c r="S40" s="277"/>
    </row>
    <row r="41" spans="1:25" ht="28" customHeight="1">
      <c r="A41" s="10"/>
      <c r="B41" s="2856" t="s">
        <v>646</v>
      </c>
      <c r="C41" s="2857"/>
      <c r="D41" s="2857"/>
      <c r="E41" s="2858"/>
      <c r="T41" s="1"/>
      <c r="U41" s="1"/>
      <c r="V41" s="1"/>
    </row>
    <row r="42" spans="1:25" ht="32.25" customHeight="1">
      <c r="A42" s="10"/>
      <c r="B42" s="72" t="s">
        <v>34</v>
      </c>
      <c r="C42" s="2880" t="s">
        <v>35</v>
      </c>
      <c r="D42" s="2880"/>
      <c r="E42" s="2881"/>
      <c r="G42" s="15" t="s">
        <v>17</v>
      </c>
      <c r="H42" s="782" t="s">
        <v>10</v>
      </c>
      <c r="K42" s="2859" t="s">
        <v>405</v>
      </c>
      <c r="L42" s="2859"/>
      <c r="M42" s="2859"/>
      <c r="N42" s="2859"/>
      <c r="O42" s="2859"/>
      <c r="P42" s="2859"/>
      <c r="Q42" s="2859"/>
      <c r="R42" s="2859"/>
      <c r="S42" s="2859"/>
      <c r="T42" s="2859"/>
      <c r="U42" s="112"/>
      <c r="V42" s="226"/>
    </row>
    <row r="43" spans="1:25" ht="14.7" customHeight="1">
      <c r="B43" s="73" t="s">
        <v>136</v>
      </c>
      <c r="C43" s="74" t="s">
        <v>164</v>
      </c>
      <c r="D43" s="784"/>
      <c r="E43" s="785"/>
      <c r="F43" s="549"/>
      <c r="G43" s="75"/>
      <c r="H43" s="538">
        <f>27.44/7.6</f>
        <v>3.6105263157894738</v>
      </c>
      <c r="K43" s="2860" t="s">
        <v>2299</v>
      </c>
      <c r="L43" s="2860"/>
      <c r="M43" s="2860"/>
      <c r="N43" s="2860"/>
      <c r="O43" s="2860"/>
      <c r="P43" s="2860"/>
      <c r="Q43" s="2860"/>
      <c r="R43" s="2860"/>
      <c r="S43" s="2860"/>
      <c r="T43" s="2860"/>
      <c r="U43" s="6"/>
      <c r="V43" s="6"/>
    </row>
    <row r="44" spans="1:25" ht="14.7" customHeight="1">
      <c r="A44" s="10"/>
      <c r="B44" s="13" t="s">
        <v>136</v>
      </c>
      <c r="C44" s="80" t="s">
        <v>138</v>
      </c>
      <c r="D44" s="81"/>
      <c r="E44" s="82"/>
      <c r="F44" s="549"/>
      <c r="G44" s="75"/>
      <c r="H44" s="539">
        <v>2.08</v>
      </c>
      <c r="K44" s="2860" t="s">
        <v>2298</v>
      </c>
      <c r="L44" s="2860"/>
      <c r="M44" s="2860"/>
      <c r="N44" s="2860"/>
      <c r="O44" s="2860"/>
      <c r="P44" s="2860"/>
      <c r="Q44" s="2860"/>
      <c r="R44" s="2860"/>
      <c r="S44" s="2860"/>
      <c r="T44" s="2860"/>
      <c r="U44" s="224"/>
      <c r="V44" s="224"/>
    </row>
    <row r="45" spans="1:25" ht="14.7" customHeight="1">
      <c r="A45" s="10"/>
      <c r="B45" s="13" t="s">
        <v>136</v>
      </c>
      <c r="C45" s="80" t="s">
        <v>161</v>
      </c>
      <c r="D45" s="81"/>
      <c r="E45" s="82"/>
      <c r="F45" s="549"/>
      <c r="G45" s="75"/>
      <c r="H45" s="539">
        <v>0.05</v>
      </c>
      <c r="K45" s="2860" t="s">
        <v>2259</v>
      </c>
      <c r="L45" s="2860"/>
      <c r="M45" s="2860"/>
      <c r="N45" s="2860"/>
      <c r="O45" s="2860"/>
      <c r="P45" s="2860"/>
      <c r="Q45" s="2860"/>
      <c r="R45" s="2860"/>
      <c r="S45" s="2860"/>
      <c r="T45" s="2860"/>
      <c r="U45" s="6"/>
      <c r="V45" s="6"/>
    </row>
    <row r="46" spans="1:25">
      <c r="A46" s="10"/>
      <c r="B46" s="73" t="s">
        <v>137</v>
      </c>
      <c r="C46" s="74" t="s">
        <v>164</v>
      </c>
      <c r="D46" s="784"/>
      <c r="E46" s="785"/>
      <c r="F46" s="549"/>
      <c r="G46" s="75"/>
      <c r="H46" s="538"/>
      <c r="K46" s="2860"/>
      <c r="L46" s="2860"/>
      <c r="M46" s="2860"/>
      <c r="N46" s="2860"/>
      <c r="O46" s="2860"/>
      <c r="P46" s="2860"/>
      <c r="Q46" s="2860"/>
      <c r="R46" s="2860"/>
      <c r="S46" s="2860"/>
      <c r="T46" s="2860"/>
      <c r="U46" s="6"/>
      <c r="V46" s="6"/>
    </row>
    <row r="47" spans="1:25">
      <c r="A47" s="10"/>
      <c r="B47" s="13" t="s">
        <v>137</v>
      </c>
      <c r="C47" s="80" t="s">
        <v>138</v>
      </c>
      <c r="D47" s="81"/>
      <c r="E47" s="82"/>
      <c r="F47" s="549"/>
      <c r="G47" s="75"/>
      <c r="H47" s="539"/>
      <c r="K47" s="2860"/>
      <c r="L47" s="2860"/>
      <c r="M47" s="2860"/>
      <c r="N47" s="2860"/>
      <c r="O47" s="2860"/>
      <c r="P47" s="2860"/>
      <c r="Q47" s="2860"/>
      <c r="R47" s="2860"/>
      <c r="S47" s="2860"/>
      <c r="T47" s="2860"/>
      <c r="U47" s="6"/>
      <c r="V47" s="6"/>
    </row>
    <row r="48" spans="1:25">
      <c r="A48" s="10"/>
      <c r="B48" s="657" t="s">
        <v>137</v>
      </c>
      <c r="C48" s="656" t="s">
        <v>161</v>
      </c>
      <c r="D48" s="667"/>
      <c r="E48" s="668"/>
      <c r="F48" s="549"/>
      <c r="G48" s="75"/>
      <c r="H48" s="539"/>
      <c r="K48" s="2860"/>
      <c r="L48" s="2860"/>
      <c r="M48" s="2860"/>
      <c r="N48" s="2860"/>
      <c r="O48" s="2860"/>
      <c r="P48" s="2860"/>
      <c r="Q48" s="2860"/>
      <c r="R48" s="2860"/>
      <c r="S48" s="2860"/>
      <c r="T48" s="2860"/>
      <c r="U48" s="658"/>
      <c r="V48" s="658"/>
    </row>
    <row r="49" spans="1:22" ht="14.7" customHeight="1">
      <c r="A49" s="10"/>
      <c r="B49" s="13" t="s">
        <v>36</v>
      </c>
      <c r="C49" s="2877" t="s">
        <v>39</v>
      </c>
      <c r="D49" s="2877"/>
      <c r="E49" s="2878"/>
      <c r="F49" s="549" t="str">
        <f t="shared" ref="F49:F66" si="0">B49&amp;C49</f>
        <v>MotorcyclePurchase Price</v>
      </c>
      <c r="G49" s="32">
        <v>15000</v>
      </c>
      <c r="H49" s="540">
        <f>(7125/0.3)/7.6</f>
        <v>3125</v>
      </c>
      <c r="K49" s="2860" t="s">
        <v>2304</v>
      </c>
      <c r="L49" s="2860"/>
      <c r="M49" s="2860"/>
      <c r="N49" s="2860"/>
      <c r="O49" s="2860"/>
      <c r="P49" s="2860"/>
      <c r="Q49" s="2860"/>
      <c r="R49" s="2860"/>
      <c r="S49" s="2860"/>
      <c r="T49" s="2860"/>
      <c r="U49" s="181"/>
      <c r="V49" s="181"/>
    </row>
    <row r="50" spans="1:22" ht="14.7" customHeight="1">
      <c r="A50" s="10"/>
      <c r="B50" s="13" t="s">
        <v>36</v>
      </c>
      <c r="C50" s="2552" t="s">
        <v>40</v>
      </c>
      <c r="D50" s="2552"/>
      <c r="E50" s="2879"/>
      <c r="F50" s="549" t="str">
        <f t="shared" si="0"/>
        <v>MotorcycleDepreciation Cost / yr</v>
      </c>
      <c r="G50" s="30">
        <f>G49/$H$11</f>
        <v>3000</v>
      </c>
      <c r="H50" s="541">
        <f>H49/5</f>
        <v>625</v>
      </c>
      <c r="K50" s="2860" t="s">
        <v>2305</v>
      </c>
      <c r="L50" s="2860"/>
      <c r="M50" s="2860"/>
      <c r="N50" s="2860"/>
      <c r="O50" s="2860"/>
      <c r="P50" s="2860"/>
      <c r="Q50" s="2860"/>
      <c r="R50" s="2860"/>
      <c r="S50" s="2860"/>
      <c r="T50" s="2860"/>
      <c r="U50" s="181"/>
      <c r="V50" s="181"/>
    </row>
    <row r="51" spans="1:22">
      <c r="A51" s="10"/>
      <c r="B51" s="13" t="s">
        <v>36</v>
      </c>
      <c r="C51" s="2552" t="s">
        <v>44</v>
      </c>
      <c r="D51" s="2552"/>
      <c r="E51" s="2879"/>
      <c r="F51" s="549" t="str">
        <f t="shared" si="0"/>
        <v>MotorcycleInsurance cost /yr</v>
      </c>
      <c r="G51" s="32">
        <v>1000</v>
      </c>
      <c r="H51" s="542">
        <v>0</v>
      </c>
      <c r="K51" s="2860"/>
      <c r="L51" s="2860"/>
      <c r="M51" s="2860"/>
      <c r="N51" s="2860"/>
      <c r="O51" s="2860"/>
      <c r="P51" s="2860"/>
      <c r="Q51" s="2860"/>
      <c r="R51" s="2860"/>
      <c r="S51" s="2860"/>
      <c r="T51" s="2860"/>
      <c r="U51" t="s">
        <v>700</v>
      </c>
      <c r="V51" s="181"/>
    </row>
    <row r="52" spans="1:22" ht="14.7" customHeight="1">
      <c r="A52" s="10"/>
      <c r="B52" s="13" t="s">
        <v>36</v>
      </c>
      <c r="C52" s="2552" t="s">
        <v>42</v>
      </c>
      <c r="D52" s="2552"/>
      <c r="E52" s="2879"/>
      <c r="F52" s="549" t="str">
        <f t="shared" si="0"/>
        <v>MotorcycleMaintenance cost/km</v>
      </c>
      <c r="G52" s="32">
        <v>0.05</v>
      </c>
      <c r="H52" s="542">
        <f>3.99/7.6</f>
        <v>0.52500000000000002</v>
      </c>
      <c r="K52" s="2860" t="s">
        <v>2303</v>
      </c>
      <c r="L52" s="2860"/>
      <c r="M52" s="2860"/>
      <c r="N52" s="2860"/>
      <c r="O52" s="2860"/>
      <c r="P52" s="2860"/>
      <c r="Q52" s="2860"/>
      <c r="R52" s="2860"/>
      <c r="S52" s="2860"/>
      <c r="T52" s="2860"/>
      <c r="U52" t="s">
        <v>700</v>
      </c>
      <c r="V52" s="181"/>
    </row>
    <row r="53" spans="1:22" ht="14.7" customHeight="1">
      <c r="A53" s="10"/>
      <c r="B53" s="13" t="s">
        <v>36</v>
      </c>
      <c r="C53" s="2552" t="s">
        <v>41</v>
      </c>
      <c r="D53" s="2552"/>
      <c r="E53" s="2879"/>
      <c r="F53" s="549" t="str">
        <f t="shared" si="0"/>
        <v>MotorcycleFuel Efficiency (km/liter)</v>
      </c>
      <c r="G53" s="31">
        <v>27.5</v>
      </c>
      <c r="H53" s="543">
        <v>30</v>
      </c>
      <c r="K53" s="2860" t="s">
        <v>2278</v>
      </c>
      <c r="L53" s="2860"/>
      <c r="M53" s="2860"/>
      <c r="N53" s="2860"/>
      <c r="O53" s="2860"/>
      <c r="P53" s="2860"/>
      <c r="Q53" s="2860"/>
      <c r="R53" s="2860"/>
      <c r="S53" s="2860"/>
      <c r="T53" s="2860"/>
      <c r="U53" t="s">
        <v>700</v>
      </c>
      <c r="V53" s="181"/>
    </row>
    <row r="54" spans="1:22" ht="14.7" customHeight="1">
      <c r="A54" s="10"/>
      <c r="B54" s="657" t="s">
        <v>36</v>
      </c>
      <c r="C54" s="2882" t="s">
        <v>43</v>
      </c>
      <c r="D54" s="2882"/>
      <c r="E54" s="2883"/>
      <c r="F54" s="549" t="str">
        <f t="shared" si="0"/>
        <v>MotorcycleDelivery Capacity (m^3)</v>
      </c>
      <c r="G54" s="33">
        <v>0.25</v>
      </c>
      <c r="H54" s="544">
        <v>0.1</v>
      </c>
      <c r="K54" s="2860" t="s">
        <v>2309</v>
      </c>
      <c r="L54" s="2860"/>
      <c r="M54" s="2860"/>
      <c r="N54" s="2860"/>
      <c r="O54" s="2860"/>
      <c r="P54" s="2860"/>
      <c r="Q54" s="2860"/>
      <c r="R54" s="2860"/>
      <c r="S54" s="2860"/>
      <c r="T54" s="2860"/>
      <c r="U54" t="s">
        <v>699</v>
      </c>
      <c r="V54" s="181"/>
    </row>
    <row r="55" spans="1:22" ht="14.7" customHeight="1">
      <c r="A55" s="10"/>
      <c r="B55" s="13" t="s">
        <v>407</v>
      </c>
      <c r="C55" s="2877" t="s">
        <v>39</v>
      </c>
      <c r="D55" s="2877"/>
      <c r="E55" s="2878"/>
      <c r="F55" s="549" t="str">
        <f t="shared" si="0"/>
        <v>Car/Sport Utility/Consumer VehiclePurchase Price</v>
      </c>
      <c r="G55" s="28">
        <v>60939.499795095864</v>
      </c>
      <c r="H55" s="540">
        <f>(41895.36/0.3)/7.6</f>
        <v>18375.157894736843</v>
      </c>
      <c r="K55" s="2860" t="s">
        <v>2277</v>
      </c>
      <c r="L55" s="2860"/>
      <c r="M55" s="2860"/>
      <c r="N55" s="2860"/>
      <c r="O55" s="2860"/>
      <c r="P55" s="2860"/>
      <c r="Q55" s="2860"/>
      <c r="R55" s="2860"/>
      <c r="S55" s="2860"/>
      <c r="T55" s="2860"/>
      <c r="U55" s="181"/>
      <c r="V55" s="181"/>
    </row>
    <row r="56" spans="1:22" ht="14.7" customHeight="1">
      <c r="A56" s="10"/>
      <c r="B56" s="13" t="s">
        <v>407</v>
      </c>
      <c r="C56" s="2552" t="s">
        <v>40</v>
      </c>
      <c r="D56" s="2552"/>
      <c r="E56" s="2879"/>
      <c r="F56" s="549" t="str">
        <f t="shared" si="0"/>
        <v>Car/Sport Utility/Consumer VehicleDepreciation Cost / yr</v>
      </c>
      <c r="G56" s="29">
        <f>G55/$H$11</f>
        <v>12187.899959019172</v>
      </c>
      <c r="H56" s="541">
        <f>H55/5</f>
        <v>3675.0315789473689</v>
      </c>
      <c r="K56" s="2860" t="s">
        <v>2300</v>
      </c>
      <c r="L56" s="2860"/>
      <c r="M56" s="2860"/>
      <c r="N56" s="2860"/>
      <c r="O56" s="2860"/>
      <c r="P56" s="2860"/>
      <c r="Q56" s="2860"/>
      <c r="R56" s="2860"/>
      <c r="S56" s="2860"/>
      <c r="T56" s="2860"/>
      <c r="U56" s="181"/>
      <c r="V56" s="181"/>
    </row>
    <row r="57" spans="1:22">
      <c r="A57" s="10"/>
      <c r="B57" s="13" t="s">
        <v>407</v>
      </c>
      <c r="C57" s="2552" t="s">
        <v>44</v>
      </c>
      <c r="D57" s="2552"/>
      <c r="E57" s="2879"/>
      <c r="F57" s="549" t="str">
        <f t="shared" si="0"/>
        <v>Car/Sport Utility/Consumer VehicleInsurance cost /yr</v>
      </c>
      <c r="G57" s="28">
        <v>2323.9499999999998</v>
      </c>
      <c r="H57" s="542">
        <v>0</v>
      </c>
      <c r="K57" s="2860"/>
      <c r="L57" s="2860"/>
      <c r="M57" s="2860"/>
      <c r="N57" s="2860"/>
      <c r="O57" s="2860"/>
      <c r="P57" s="2860"/>
      <c r="Q57" s="2860"/>
      <c r="R57" s="2860"/>
      <c r="S57" s="2860"/>
      <c r="T57" s="2860"/>
      <c r="U57" s="181"/>
      <c r="V57" s="181"/>
    </row>
    <row r="58" spans="1:22" ht="14.7" customHeight="1">
      <c r="A58" s="10"/>
      <c r="B58" s="13" t="s">
        <v>407</v>
      </c>
      <c r="C58" s="2884" t="s">
        <v>42</v>
      </c>
      <c r="D58" s="2884"/>
      <c r="E58" s="2885"/>
      <c r="F58" s="549" t="str">
        <f t="shared" si="0"/>
        <v>Car/Sport Utility/Consumer VehicleMaintenance cost/km</v>
      </c>
      <c r="G58" s="28">
        <v>0.12</v>
      </c>
      <c r="H58" s="542">
        <f>3.99/7.6</f>
        <v>0.52500000000000002</v>
      </c>
      <c r="K58" s="2860" t="s">
        <v>2303</v>
      </c>
      <c r="L58" s="2860"/>
      <c r="M58" s="2860"/>
      <c r="N58" s="2860"/>
      <c r="O58" s="2860"/>
      <c r="P58" s="2860"/>
      <c r="Q58" s="2860"/>
      <c r="R58" s="2860"/>
      <c r="S58" s="2860"/>
      <c r="T58" s="2860"/>
      <c r="U58" s="181"/>
      <c r="V58" s="181"/>
    </row>
    <row r="59" spans="1:22" ht="14.7" customHeight="1">
      <c r="A59" s="10"/>
      <c r="B59" s="13" t="s">
        <v>407</v>
      </c>
      <c r="C59" s="2552" t="s">
        <v>41</v>
      </c>
      <c r="D59" s="2552"/>
      <c r="E59" s="2879"/>
      <c r="F59" s="549" t="str">
        <f t="shared" si="0"/>
        <v>Car/Sport Utility/Consumer VehicleFuel Efficiency (km/liter)</v>
      </c>
      <c r="G59" s="12">
        <v>6.9</v>
      </c>
      <c r="H59" s="543">
        <v>30</v>
      </c>
      <c r="K59" s="2860" t="s">
        <v>2278</v>
      </c>
      <c r="L59" s="2860"/>
      <c r="M59" s="2860"/>
      <c r="N59" s="2860"/>
      <c r="O59" s="2860"/>
      <c r="P59" s="2860"/>
      <c r="Q59" s="2860"/>
      <c r="R59" s="2860"/>
      <c r="S59" s="2860"/>
      <c r="T59" s="2860"/>
      <c r="U59" s="181"/>
      <c r="V59" s="181"/>
    </row>
    <row r="60" spans="1:22" ht="14.7" customHeight="1">
      <c r="A60" s="10"/>
      <c r="B60" s="657" t="s">
        <v>407</v>
      </c>
      <c r="C60" s="2882" t="s">
        <v>43</v>
      </c>
      <c r="D60" s="2882"/>
      <c r="E60" s="2883"/>
      <c r="F60" s="549" t="str">
        <f t="shared" si="0"/>
        <v>Car/Sport Utility/Consumer VehicleDelivery Capacity (m^3)</v>
      </c>
      <c r="G60" s="14">
        <v>2</v>
      </c>
      <c r="H60" s="544">
        <v>2</v>
      </c>
      <c r="K60" s="2860" t="s">
        <v>2307</v>
      </c>
      <c r="L60" s="2860"/>
      <c r="M60" s="2860"/>
      <c r="N60" s="2860"/>
      <c r="O60" s="2860"/>
      <c r="P60" s="2860"/>
      <c r="Q60" s="2860"/>
      <c r="R60" s="2860"/>
      <c r="S60" s="2860"/>
      <c r="T60" s="2860"/>
      <c r="U60" s="181"/>
      <c r="V60" s="181"/>
    </row>
    <row r="61" spans="1:22">
      <c r="A61" s="10"/>
      <c r="B61" s="13" t="s">
        <v>279</v>
      </c>
      <c r="C61" s="2877" t="s">
        <v>39</v>
      </c>
      <c r="D61" s="2877"/>
      <c r="E61" s="2878"/>
      <c r="F61" s="803" t="str">
        <f t="shared" si="0"/>
        <v>Commercial TruckPurchase Price</v>
      </c>
      <c r="G61" s="28">
        <v>70448.990000000005</v>
      </c>
      <c r="H61" s="540">
        <f>92328.75/0.3/7.6</f>
        <v>40495.065789473687</v>
      </c>
      <c r="K61" s="2860" t="s">
        <v>2301</v>
      </c>
      <c r="L61" s="2860"/>
      <c r="M61" s="2860"/>
      <c r="N61" s="2860"/>
      <c r="O61" s="2860"/>
      <c r="P61" s="2860"/>
      <c r="Q61" s="2860"/>
      <c r="R61" s="2860"/>
      <c r="S61" s="2860"/>
      <c r="T61" s="2860"/>
      <c r="U61" s="104"/>
      <c r="V61" s="104"/>
    </row>
    <row r="62" spans="1:22">
      <c r="A62" s="10"/>
      <c r="B62" s="13" t="s">
        <v>279</v>
      </c>
      <c r="C62" s="2552" t="s">
        <v>40</v>
      </c>
      <c r="D62" s="2552"/>
      <c r="E62" s="2879"/>
      <c r="F62" s="803" t="str">
        <f t="shared" si="0"/>
        <v>Commercial TruckDepreciation Cost / yr</v>
      </c>
      <c r="G62" s="29">
        <f>G61/$H$11</f>
        <v>14089.798000000001</v>
      </c>
      <c r="H62" s="541">
        <f>H61/5</f>
        <v>8099.0131578947376</v>
      </c>
      <c r="K62" s="2860" t="s">
        <v>2302</v>
      </c>
      <c r="L62" s="2860"/>
      <c r="M62" s="2860"/>
      <c r="N62" s="2860"/>
      <c r="O62" s="2860"/>
      <c r="P62" s="2860"/>
      <c r="Q62" s="2860"/>
      <c r="R62" s="2860"/>
      <c r="S62" s="2860"/>
      <c r="T62" s="2860"/>
    </row>
    <row r="63" spans="1:22">
      <c r="A63" s="10"/>
      <c r="B63" s="13" t="s">
        <v>279</v>
      </c>
      <c r="C63" s="2552" t="s">
        <v>44</v>
      </c>
      <c r="D63" s="2552"/>
      <c r="E63" s="2879"/>
      <c r="F63" s="803" t="str">
        <f t="shared" si="0"/>
        <v>Commercial TruckInsurance cost /yr</v>
      </c>
      <c r="G63" s="28">
        <v>2575.86</v>
      </c>
      <c r="H63" s="542">
        <v>0</v>
      </c>
      <c r="K63" s="2860"/>
      <c r="L63" s="2860"/>
      <c r="M63" s="2860"/>
      <c r="N63" s="2860"/>
      <c r="O63" s="2860"/>
      <c r="P63" s="2860"/>
      <c r="Q63" s="2860"/>
      <c r="R63" s="2860"/>
      <c r="S63" s="2860"/>
      <c r="T63" s="2860"/>
    </row>
    <row r="64" spans="1:22">
      <c r="A64" s="10"/>
      <c r="B64" s="13" t="s">
        <v>279</v>
      </c>
      <c r="C64" s="2552" t="s">
        <v>42</v>
      </c>
      <c r="D64" s="2552"/>
      <c r="E64" s="2879"/>
      <c r="F64" s="803" t="str">
        <f t="shared" si="0"/>
        <v>Commercial TruckMaintenance cost/km</v>
      </c>
      <c r="G64" s="28">
        <v>0.38</v>
      </c>
      <c r="H64" s="542">
        <f>3.99/7.6</f>
        <v>0.52500000000000002</v>
      </c>
      <c r="K64" s="2860" t="s">
        <v>2303</v>
      </c>
      <c r="L64" s="2860"/>
      <c r="M64" s="2860"/>
      <c r="N64" s="2860"/>
      <c r="O64" s="2860"/>
      <c r="P64" s="2860"/>
      <c r="Q64" s="2860"/>
      <c r="R64" s="2860"/>
      <c r="S64" s="2860"/>
      <c r="T64" s="2860"/>
    </row>
    <row r="65" spans="1:23">
      <c r="A65" s="10"/>
      <c r="B65" s="13" t="s">
        <v>279</v>
      </c>
      <c r="C65" s="2552" t="s">
        <v>41</v>
      </c>
      <c r="D65" s="2552"/>
      <c r="E65" s="2879"/>
      <c r="F65" s="803" t="str">
        <f t="shared" si="0"/>
        <v>Commercial TruckFuel Efficiency (km/liter)</v>
      </c>
      <c r="G65" s="12">
        <v>3.86</v>
      </c>
      <c r="H65" s="543">
        <v>30</v>
      </c>
      <c r="K65" s="2860" t="s">
        <v>2278</v>
      </c>
      <c r="L65" s="2860"/>
      <c r="M65" s="2860"/>
      <c r="N65" s="2860"/>
      <c r="O65" s="2860"/>
      <c r="P65" s="2860"/>
      <c r="Q65" s="2860"/>
      <c r="R65" s="2860"/>
      <c r="S65" s="2860"/>
      <c r="T65" s="2860"/>
    </row>
    <row r="66" spans="1:23">
      <c r="A66" s="10"/>
      <c r="B66" s="657" t="s">
        <v>279</v>
      </c>
      <c r="C66" s="2882" t="s">
        <v>43</v>
      </c>
      <c r="D66" s="2882"/>
      <c r="E66" s="2883"/>
      <c r="F66" s="803" t="str">
        <f t="shared" si="0"/>
        <v>Commercial TruckDelivery Capacity (m^3)</v>
      </c>
      <c r="G66" s="14">
        <v>12</v>
      </c>
      <c r="H66" s="544">
        <v>12</v>
      </c>
      <c r="K66" s="2860" t="s">
        <v>2306</v>
      </c>
      <c r="L66" s="2860"/>
      <c r="M66" s="2860"/>
      <c r="N66" s="2860"/>
      <c r="O66" s="2860"/>
      <c r="P66" s="2860"/>
      <c r="Q66" s="2860"/>
      <c r="R66" s="2860"/>
      <c r="S66" s="2860"/>
      <c r="T66" s="2860"/>
    </row>
    <row r="67" spans="1:23">
      <c r="A67" s="10"/>
      <c r="B67" s="13" t="s">
        <v>408</v>
      </c>
      <c r="C67" s="2877" t="s">
        <v>39</v>
      </c>
      <c r="D67" s="2877"/>
      <c r="E67" s="2878"/>
      <c r="F67" s="549"/>
      <c r="H67" s="540"/>
      <c r="K67" s="2860"/>
      <c r="L67" s="2860"/>
      <c r="M67" s="2860"/>
      <c r="N67" s="2860"/>
      <c r="O67" s="2860"/>
      <c r="P67" s="2860"/>
      <c r="Q67" s="2860"/>
      <c r="R67" s="2860"/>
      <c r="S67" s="2860"/>
      <c r="T67" s="2860"/>
      <c r="W67" s="37"/>
    </row>
    <row r="68" spans="1:23">
      <c r="A68" s="10"/>
      <c r="B68" s="13" t="s">
        <v>408</v>
      </c>
      <c r="C68" s="2552" t="s">
        <v>40</v>
      </c>
      <c r="D68" s="2552"/>
      <c r="E68" s="2879"/>
      <c r="F68" s="549"/>
      <c r="H68" s="541"/>
      <c r="K68" s="2860"/>
      <c r="L68" s="2860"/>
      <c r="M68" s="2860"/>
      <c r="N68" s="2860"/>
      <c r="O68" s="2860"/>
      <c r="P68" s="2860"/>
      <c r="Q68" s="2860"/>
      <c r="R68" s="2860"/>
      <c r="S68" s="2860"/>
      <c r="T68" s="2860"/>
    </row>
    <row r="69" spans="1:23">
      <c r="A69" s="10"/>
      <c r="B69" s="13" t="s">
        <v>408</v>
      </c>
      <c r="C69" s="2552" t="s">
        <v>44</v>
      </c>
      <c r="D69" s="2552"/>
      <c r="E69" s="2879"/>
      <c r="F69" s="549"/>
      <c r="H69" s="542"/>
      <c r="K69" s="2860"/>
      <c r="L69" s="2860"/>
      <c r="M69" s="2860"/>
      <c r="N69" s="2860"/>
      <c r="O69" s="2860"/>
      <c r="P69" s="2860"/>
      <c r="Q69" s="2860"/>
      <c r="R69" s="2860"/>
      <c r="S69" s="2860"/>
      <c r="T69" s="2860"/>
      <c r="U69" s="655"/>
      <c r="V69" s="655"/>
    </row>
    <row r="70" spans="1:23">
      <c r="A70" s="10"/>
      <c r="B70" s="13" t="s">
        <v>408</v>
      </c>
      <c r="C70" s="2552" t="s">
        <v>42</v>
      </c>
      <c r="D70" s="2552"/>
      <c r="E70" s="2879"/>
      <c r="F70" s="549"/>
      <c r="H70" s="542"/>
      <c r="K70" s="2860"/>
      <c r="L70" s="2860"/>
      <c r="M70" s="2860"/>
      <c r="N70" s="2860"/>
      <c r="O70" s="2860"/>
      <c r="P70" s="2860"/>
      <c r="Q70" s="2860"/>
      <c r="R70" s="2860"/>
      <c r="S70" s="2860"/>
      <c r="T70" s="2860"/>
      <c r="U70" s="37"/>
      <c r="V70" s="654"/>
    </row>
    <row r="71" spans="1:23" ht="15" customHeight="1">
      <c r="A71" s="10"/>
      <c r="B71" s="13" t="s">
        <v>408</v>
      </c>
      <c r="C71" s="2552" t="s">
        <v>41</v>
      </c>
      <c r="D71" s="2552"/>
      <c r="E71" s="2879"/>
      <c r="F71" s="549"/>
      <c r="H71" s="543"/>
      <c r="K71" s="2860"/>
      <c r="L71" s="2860"/>
      <c r="M71" s="2860"/>
      <c r="N71" s="2860"/>
      <c r="O71" s="2860"/>
      <c r="P71" s="2860"/>
      <c r="Q71" s="2860"/>
      <c r="R71" s="2860"/>
      <c r="S71" s="2860"/>
      <c r="T71" s="2860"/>
      <c r="U71" s="37"/>
      <c r="V71" s="654"/>
    </row>
    <row r="72" spans="1:23">
      <c r="A72" s="10"/>
      <c r="B72" s="657" t="s">
        <v>408</v>
      </c>
      <c r="C72" s="2882" t="s">
        <v>43</v>
      </c>
      <c r="D72" s="2882"/>
      <c r="E72" s="2883"/>
      <c r="F72" s="549"/>
      <c r="H72" s="544"/>
      <c r="K72" s="2860"/>
      <c r="L72" s="2860"/>
      <c r="M72" s="2860"/>
      <c r="N72" s="2860"/>
      <c r="O72" s="2860"/>
      <c r="P72" s="2860"/>
      <c r="Q72" s="2860"/>
      <c r="R72" s="2860"/>
      <c r="S72" s="2860"/>
      <c r="T72" s="2860"/>
      <c r="U72" s="37"/>
      <c r="V72" s="654"/>
    </row>
    <row r="73" spans="1:23">
      <c r="B73" s="13" t="s">
        <v>409</v>
      </c>
      <c r="C73" s="2877" t="s">
        <v>39</v>
      </c>
      <c r="D73" s="2877"/>
      <c r="E73" s="2878"/>
      <c r="F73" s="549"/>
      <c r="H73" s="540">
        <f>(51458.7/0.25)/7.6</f>
        <v>27083.526315789473</v>
      </c>
      <c r="K73" s="2860" t="s">
        <v>2308</v>
      </c>
      <c r="L73" s="2860"/>
      <c r="M73" s="2860"/>
      <c r="N73" s="2860"/>
      <c r="O73" s="2860"/>
      <c r="P73" s="2860"/>
      <c r="Q73" s="2860"/>
      <c r="R73" s="2860"/>
      <c r="S73" s="2860"/>
      <c r="T73" s="2860"/>
      <c r="U73" s="37"/>
      <c r="V73" s="654"/>
    </row>
    <row r="74" spans="1:23">
      <c r="A74" s="10"/>
      <c r="B74" s="13" t="s">
        <v>409</v>
      </c>
      <c r="C74" s="2552" t="s">
        <v>40</v>
      </c>
      <c r="D74" s="2552"/>
      <c r="E74" s="2879"/>
      <c r="F74" s="549"/>
      <c r="H74" s="541">
        <f>H73/5</f>
        <v>5416.7052631578945</v>
      </c>
      <c r="K74" s="2860"/>
      <c r="L74" s="2860"/>
      <c r="M74" s="2860"/>
      <c r="N74" s="2860"/>
      <c r="O74" s="2860"/>
      <c r="P74" s="2860"/>
      <c r="Q74" s="2860"/>
      <c r="R74" s="2860"/>
      <c r="S74" s="2860"/>
      <c r="T74" s="2860"/>
      <c r="U74" s="653"/>
      <c r="V74" s="652"/>
    </row>
    <row r="75" spans="1:23">
      <c r="A75" s="10"/>
      <c r="B75" s="13" t="s">
        <v>409</v>
      </c>
      <c r="C75" s="2552" t="s">
        <v>44</v>
      </c>
      <c r="D75" s="2552"/>
      <c r="E75" s="2879"/>
      <c r="F75" s="549"/>
      <c r="H75" s="542"/>
      <c r="K75" s="2860"/>
      <c r="L75" s="2860"/>
      <c r="M75" s="2860"/>
      <c r="N75" s="2860"/>
      <c r="O75" s="2860"/>
      <c r="P75" s="2860"/>
      <c r="Q75" s="2860"/>
      <c r="R75" s="2860"/>
      <c r="S75" s="2860"/>
      <c r="T75" s="2860"/>
    </row>
    <row r="76" spans="1:23" ht="14.25" customHeight="1">
      <c r="A76" s="10"/>
      <c r="B76" s="13" t="s">
        <v>409</v>
      </c>
      <c r="C76" s="2552" t="s">
        <v>42</v>
      </c>
      <c r="D76" s="2552"/>
      <c r="E76" s="2879"/>
      <c r="F76" s="549"/>
      <c r="H76" s="542">
        <f>3.99/7.6</f>
        <v>0.52500000000000002</v>
      </c>
      <c r="K76" s="2860" t="s">
        <v>2303</v>
      </c>
      <c r="L76" s="2860"/>
      <c r="M76" s="2860"/>
      <c r="N76" s="2860"/>
      <c r="O76" s="2860"/>
      <c r="P76" s="2860"/>
      <c r="Q76" s="2860"/>
      <c r="R76" s="2860"/>
      <c r="S76" s="2860"/>
      <c r="T76" s="2860"/>
    </row>
    <row r="77" spans="1:23" ht="15.75" customHeight="1">
      <c r="A77" s="10"/>
      <c r="B77" s="13" t="s">
        <v>409</v>
      </c>
      <c r="C77" s="2552" t="s">
        <v>41</v>
      </c>
      <c r="D77" s="2552"/>
      <c r="E77" s="2879"/>
      <c r="F77" s="549"/>
      <c r="H77" s="543">
        <v>30</v>
      </c>
      <c r="K77" s="2860" t="s">
        <v>2278</v>
      </c>
      <c r="L77" s="2860"/>
      <c r="M77" s="2860"/>
      <c r="N77" s="2860"/>
      <c r="O77" s="2860"/>
      <c r="P77" s="2860"/>
      <c r="Q77" s="2860"/>
      <c r="R77" s="2860"/>
      <c r="S77" s="2860"/>
      <c r="T77" s="2860"/>
    </row>
    <row r="78" spans="1:23">
      <c r="A78" s="10"/>
      <c r="B78" s="657" t="s">
        <v>409</v>
      </c>
      <c r="C78" s="2882" t="s">
        <v>43</v>
      </c>
      <c r="D78" s="2882"/>
      <c r="E78" s="2883"/>
      <c r="F78" s="549"/>
      <c r="H78" s="544">
        <v>2</v>
      </c>
      <c r="K78" s="2860" t="s">
        <v>2307</v>
      </c>
      <c r="L78" s="2860"/>
      <c r="M78" s="2860"/>
      <c r="N78" s="2860"/>
      <c r="O78" s="2860"/>
      <c r="P78" s="2860"/>
      <c r="Q78" s="2860"/>
      <c r="R78" s="2860"/>
      <c r="S78" s="2860"/>
      <c r="T78" s="2860"/>
    </row>
    <row r="79" spans="1:23" ht="30" customHeight="1">
      <c r="A79" s="10"/>
      <c r="B79" s="8"/>
      <c r="C79" s="8"/>
    </row>
    <row r="80" spans="1:23">
      <c r="A80" s="10"/>
      <c r="B80" s="8"/>
      <c r="C80" s="8"/>
    </row>
    <row r="81" spans="1:50" ht="27.65" customHeight="1">
      <c r="A81" s="2886" t="s">
        <v>607</v>
      </c>
      <c r="B81" s="2886"/>
      <c r="C81" s="2886"/>
      <c r="D81" s="2886"/>
      <c r="E81" s="2886"/>
      <c r="G81" t="s">
        <v>3</v>
      </c>
      <c r="H81" t="s">
        <v>692</v>
      </c>
      <c r="J81" t="s">
        <v>47</v>
      </c>
      <c r="K81" t="s">
        <v>695</v>
      </c>
      <c r="M81" t="s">
        <v>96</v>
      </c>
      <c r="N81" t="s">
        <v>694</v>
      </c>
      <c r="Q81" t="s">
        <v>693</v>
      </c>
    </row>
    <row r="82" spans="1:50" ht="15" customHeight="1">
      <c r="A82" s="10"/>
      <c r="B82" s="148"/>
      <c r="C82" s="148"/>
      <c r="D82" s="148"/>
      <c r="E82" s="148"/>
      <c r="G82" s="2887" t="s">
        <v>9</v>
      </c>
      <c r="H82" s="2888"/>
      <c r="I82" s="8"/>
      <c r="J82" s="2889" t="s">
        <v>6</v>
      </c>
      <c r="K82" s="2890"/>
      <c r="L82" s="8"/>
      <c r="M82" s="2889" t="s">
        <v>7</v>
      </c>
      <c r="N82" s="2890"/>
      <c r="O82" s="8"/>
      <c r="P82" s="786" t="s">
        <v>8</v>
      </c>
      <c r="Q82" s="786" t="s">
        <v>8</v>
      </c>
      <c r="R82" s="8"/>
      <c r="S82" s="8"/>
      <c r="T82" s="786" t="s">
        <v>411</v>
      </c>
      <c r="U82" s="8"/>
      <c r="V82" s="8"/>
      <c r="W82" s="718" t="s">
        <v>412</v>
      </c>
    </row>
    <row r="83" spans="1:50" ht="15" customHeight="1">
      <c r="B83" s="148"/>
      <c r="C83" s="148"/>
      <c r="D83" s="148"/>
      <c r="E83" s="148"/>
      <c r="G83" s="2867" t="s">
        <v>17</v>
      </c>
      <c r="H83" s="2894" t="s">
        <v>10</v>
      </c>
      <c r="I83" s="6"/>
      <c r="J83" s="2637" t="s">
        <v>17</v>
      </c>
      <c r="K83" s="2894" t="s">
        <v>10</v>
      </c>
      <c r="L83" s="6"/>
      <c r="M83" s="2637" t="s">
        <v>17</v>
      </c>
      <c r="N83" s="2894" t="s">
        <v>10</v>
      </c>
      <c r="P83" s="2867" t="s">
        <v>17</v>
      </c>
      <c r="Q83" s="2869" t="s">
        <v>10</v>
      </c>
      <c r="T83" s="2869" t="s">
        <v>10</v>
      </c>
      <c r="W83" s="2869" t="s">
        <v>10</v>
      </c>
      <c r="X83" s="2661"/>
      <c r="Y83" s="2661"/>
      <c r="Z83" s="2661"/>
      <c r="AA83" s="2661"/>
      <c r="AB83" s="2661"/>
      <c r="AC83" s="2661"/>
      <c r="AD83" s="2661"/>
      <c r="AE83" s="2661"/>
      <c r="AF83" s="2661"/>
      <c r="AG83" s="2866"/>
    </row>
    <row r="84" spans="1:50" ht="15" customHeight="1">
      <c r="B84" s="148"/>
      <c r="C84" s="148"/>
      <c r="D84" s="148"/>
      <c r="E84" s="148"/>
      <c r="G84" s="2891"/>
      <c r="H84" s="2895"/>
      <c r="I84" s="6"/>
      <c r="J84" s="2896"/>
      <c r="K84" s="2895"/>
      <c r="L84" s="6"/>
      <c r="M84" s="2896"/>
      <c r="N84" s="2895"/>
      <c r="P84" s="2891"/>
      <c r="Q84" s="2892"/>
      <c r="T84" s="2892"/>
      <c r="W84" s="2892"/>
      <c r="X84" s="2662"/>
      <c r="Y84" s="2662"/>
      <c r="Z84" s="2662"/>
      <c r="AA84" s="2662"/>
      <c r="AB84" s="2662"/>
      <c r="AC84" s="2662"/>
      <c r="AD84" s="2662"/>
      <c r="AE84" s="2662"/>
      <c r="AF84" s="2662"/>
      <c r="AG84" s="2610"/>
    </row>
    <row r="85" spans="1:50"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50" ht="20.2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X86" s="2893"/>
      <c r="Y86" s="2893"/>
      <c r="Z86" s="2893"/>
      <c r="AA86" s="2893"/>
      <c r="AB86" s="2893"/>
      <c r="AC86" s="2893"/>
      <c r="AD86" s="2893"/>
      <c r="AE86" s="2893"/>
      <c r="AF86" s="2893"/>
      <c r="AG86" s="2893"/>
    </row>
    <row r="87" spans="1:50" ht="18" customHeight="1">
      <c r="B87" s="44" t="s">
        <v>0</v>
      </c>
      <c r="C87" s="44"/>
      <c r="D87" s="44"/>
      <c r="E87" s="44"/>
      <c r="F87" s="236"/>
      <c r="G87" s="719" t="s">
        <v>31</v>
      </c>
      <c r="H87" s="482"/>
      <c r="I87" s="466"/>
      <c r="J87" s="501"/>
      <c r="K87" s="482"/>
      <c r="L87" s="466"/>
      <c r="M87" s="501"/>
      <c r="N87" s="482"/>
      <c r="O87" s="466"/>
      <c r="P87" s="501"/>
      <c r="Q87" s="482"/>
      <c r="R87" s="466"/>
      <c r="S87" s="466"/>
      <c r="T87" s="482"/>
      <c r="U87" s="466"/>
      <c r="V87" s="466"/>
      <c r="W87" s="1056"/>
      <c r="X87" s="2893"/>
      <c r="Y87" s="2893"/>
      <c r="Z87" s="2893"/>
      <c r="AA87" s="2893"/>
      <c r="AB87" s="2893"/>
      <c r="AC87" s="2893"/>
      <c r="AD87" s="2893"/>
      <c r="AE87" s="2893"/>
      <c r="AF87" s="2893"/>
      <c r="AG87" s="2893"/>
    </row>
    <row r="88" spans="1:50" ht="33.75" customHeight="1">
      <c r="A88" s="6"/>
      <c r="B88" s="723" t="s">
        <v>2264</v>
      </c>
      <c r="C88" s="180"/>
      <c r="D88" s="180"/>
      <c r="E88" s="180"/>
      <c r="F88" s="129"/>
      <c r="G88" s="1165"/>
      <c r="H88" s="766" t="s">
        <v>2283</v>
      </c>
      <c r="I88" s="1166"/>
      <c r="J88" s="1167"/>
      <c r="K88" s="766" t="s">
        <v>2284</v>
      </c>
      <c r="L88" s="741"/>
      <c r="M88" s="742"/>
      <c r="N88" s="766" t="s">
        <v>2285</v>
      </c>
      <c r="O88" s="741"/>
      <c r="P88" s="767"/>
      <c r="Q88" s="766"/>
      <c r="R88" s="720"/>
      <c r="S88" s="720"/>
      <c r="T88" s="766"/>
      <c r="U88" s="720"/>
      <c r="V88" s="720"/>
      <c r="W88" s="761"/>
      <c r="X88" s="2912" t="s">
        <v>5605</v>
      </c>
      <c r="Y88" s="2900"/>
      <c r="Z88" s="2900"/>
      <c r="AA88" s="2901"/>
      <c r="AB88" s="2901"/>
      <c r="AC88" s="2901"/>
      <c r="AD88" s="2901"/>
      <c r="AE88" s="2901"/>
      <c r="AF88" s="2901"/>
      <c r="AG88" s="2901"/>
      <c r="AH88" s="9"/>
    </row>
    <row r="89" spans="1:50">
      <c r="B89" s="52"/>
      <c r="C89" s="52"/>
      <c r="D89" s="52"/>
      <c r="E89" s="52"/>
      <c r="G89" s="717"/>
      <c r="H89" s="780"/>
      <c r="J89" s="780"/>
      <c r="K89" s="780"/>
      <c r="M89" s="780"/>
      <c r="N89" s="780"/>
      <c r="P89" s="780"/>
      <c r="Q89" s="780"/>
      <c r="T89" s="780"/>
      <c r="W89" s="780"/>
    </row>
    <row r="90" spans="1:50"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c r="AO90" s="1329"/>
      <c r="AP90" s="1329"/>
      <c r="AQ90" s="1329"/>
      <c r="AR90" s="1329"/>
      <c r="AS90" s="6"/>
      <c r="AT90" s="1329"/>
      <c r="AU90" s="1329"/>
      <c r="AV90" s="1329"/>
      <c r="AW90" s="1329"/>
      <c r="AX90" s="1329"/>
    </row>
    <row r="91" spans="1:50" ht="18.649999999999999" hidden="1" customHeight="1">
      <c r="A91" s="1"/>
      <c r="B91" s="50"/>
      <c r="C91" s="50"/>
      <c r="D91" s="50"/>
      <c r="E91" s="50"/>
      <c r="G91" s="66"/>
      <c r="H91" s="787"/>
      <c r="I91" s="6"/>
      <c r="J91" s="111"/>
      <c r="K91" s="787"/>
      <c r="L91" s="6"/>
      <c r="M91" s="111"/>
      <c r="N91" s="787"/>
      <c r="P91" s="66"/>
      <c r="Q91" s="788"/>
      <c r="T91" s="788"/>
      <c r="W91" s="724"/>
      <c r="AO91" s="121"/>
      <c r="AP91" s="121"/>
      <c r="AQ91" s="121"/>
      <c r="AR91" s="121"/>
      <c r="AS91" s="6"/>
      <c r="AT91" s="6"/>
      <c r="AU91" s="6"/>
      <c r="AV91" s="6"/>
      <c r="AW91" s="6"/>
      <c r="AX91" s="6"/>
    </row>
    <row r="92" spans="1:50" ht="18.45">
      <c r="A92" s="6"/>
      <c r="B92" s="723" t="s">
        <v>16</v>
      </c>
      <c r="C92" s="180"/>
      <c r="D92" s="180"/>
      <c r="E92" s="180"/>
      <c r="F92" s="725"/>
      <c r="G92" s="65"/>
      <c r="H92" s="1313">
        <v>8378</v>
      </c>
      <c r="I92" s="1314"/>
      <c r="J92" s="1315"/>
      <c r="K92" s="1313">
        <v>8378</v>
      </c>
      <c r="N92" s="1313">
        <v>8378</v>
      </c>
      <c r="O92" s="710"/>
      <c r="P92" s="712"/>
      <c r="Q92" s="553"/>
      <c r="R92" s="713"/>
      <c r="S92" s="713"/>
      <c r="T92" s="553"/>
      <c r="U92" s="713"/>
      <c r="V92" s="713"/>
      <c r="W92" s="730"/>
      <c r="X92" s="2893" t="s">
        <v>2310</v>
      </c>
      <c r="Y92" s="2893"/>
      <c r="Z92" s="2893"/>
      <c r="AA92" s="2893"/>
      <c r="AB92" s="2893"/>
      <c r="AC92" s="2893"/>
      <c r="AD92" s="2893"/>
      <c r="AE92" s="2893"/>
      <c r="AF92" s="2893"/>
      <c r="AG92" s="2893"/>
      <c r="AO92" s="121"/>
      <c r="AP92" s="121"/>
      <c r="AQ92" s="121"/>
      <c r="AR92" s="121"/>
      <c r="AS92" s="6"/>
      <c r="AT92" s="6"/>
      <c r="AU92" s="6"/>
      <c r="AV92" s="6"/>
      <c r="AW92" s="6"/>
      <c r="AX92" s="6"/>
    </row>
    <row r="93" spans="1:50" ht="18.45">
      <c r="A93" s="6"/>
      <c r="B93" s="726" t="s">
        <v>124</v>
      </c>
      <c r="C93" s="727"/>
      <c r="D93" s="727"/>
      <c r="E93" s="727"/>
      <c r="F93" s="728"/>
      <c r="G93" s="65"/>
      <c r="H93" s="554">
        <v>1</v>
      </c>
      <c r="I93" s="731"/>
      <c r="J93" s="732"/>
      <c r="K93" s="554">
        <v>1</v>
      </c>
      <c r="L93" s="554">
        <v>1</v>
      </c>
      <c r="M93" s="554">
        <v>1</v>
      </c>
      <c r="N93" s="554">
        <v>1</v>
      </c>
      <c r="O93" s="733"/>
      <c r="P93" s="734"/>
      <c r="Q93" s="554"/>
      <c r="R93" s="735"/>
      <c r="S93" s="735"/>
      <c r="T93" s="554"/>
      <c r="U93" s="735"/>
      <c r="V93" s="735"/>
      <c r="W93" s="736"/>
      <c r="X93" s="2893"/>
      <c r="Y93" s="2893"/>
      <c r="Z93" s="2893"/>
      <c r="AA93" s="2893"/>
      <c r="AB93" s="2893"/>
      <c r="AC93" s="2893"/>
      <c r="AD93" s="2893"/>
      <c r="AE93" s="2893"/>
      <c r="AF93" s="2893"/>
      <c r="AG93" s="2893"/>
      <c r="AH93" s="9"/>
      <c r="AO93" s="121"/>
      <c r="AP93" s="121"/>
      <c r="AQ93" s="121"/>
      <c r="AR93" s="121"/>
      <c r="AS93" s="6"/>
      <c r="AT93" s="6"/>
      <c r="AU93" s="6"/>
      <c r="AV93" s="6"/>
      <c r="AW93" s="6"/>
      <c r="AX93" s="6"/>
    </row>
    <row r="94" spans="1:50" ht="18.45">
      <c r="A94" s="6"/>
      <c r="B94" s="726" t="s">
        <v>123</v>
      </c>
      <c r="C94" s="727"/>
      <c r="D94" s="727"/>
      <c r="E94" s="727"/>
      <c r="F94" s="728"/>
      <c r="G94" s="65"/>
      <c r="H94" s="737">
        <v>0</v>
      </c>
      <c r="I94" s="710"/>
      <c r="J94" s="711"/>
      <c r="K94" s="737">
        <v>0</v>
      </c>
      <c r="L94" s="737">
        <v>0</v>
      </c>
      <c r="M94" s="737">
        <v>0</v>
      </c>
      <c r="N94" s="737">
        <v>0</v>
      </c>
      <c r="O94" s="710"/>
      <c r="P94" s="712"/>
      <c r="Q94" s="737"/>
      <c r="R94" s="713"/>
      <c r="S94" s="713"/>
      <c r="T94" s="737"/>
      <c r="U94" s="713"/>
      <c r="V94" s="713"/>
      <c r="W94" s="738"/>
      <c r="X94" s="2893"/>
      <c r="Y94" s="2893"/>
      <c r="Z94" s="2893"/>
      <c r="AA94" s="2893"/>
      <c r="AB94" s="2893"/>
      <c r="AC94" s="2893"/>
      <c r="AD94" s="2893"/>
      <c r="AE94" s="2893"/>
      <c r="AF94" s="2893"/>
      <c r="AG94" s="2893"/>
      <c r="AH94" s="9"/>
      <c r="AO94" s="121"/>
      <c r="AP94" s="121"/>
      <c r="AQ94" s="121"/>
      <c r="AR94" s="121"/>
      <c r="AS94" s="6"/>
      <c r="AT94" s="6"/>
      <c r="AU94" s="6"/>
      <c r="AV94" s="6"/>
      <c r="AW94" s="6"/>
      <c r="AX94" s="6"/>
    </row>
    <row r="95" spans="1:50" ht="18.45">
      <c r="A95" s="6"/>
      <c r="B95" s="726" t="s">
        <v>56</v>
      </c>
      <c r="C95" s="727"/>
      <c r="D95" s="727"/>
      <c r="E95" s="727"/>
      <c r="F95" s="728"/>
      <c r="G95" s="65">
        <v>1</v>
      </c>
      <c r="H95" s="523">
        <v>1</v>
      </c>
      <c r="I95" s="708"/>
      <c r="J95" s="709"/>
      <c r="K95" s="523">
        <v>20</v>
      </c>
      <c r="N95" s="523">
        <v>72</v>
      </c>
      <c r="O95" s="710"/>
      <c r="P95" s="712"/>
      <c r="Q95" s="523"/>
      <c r="R95" s="713"/>
      <c r="S95" s="713"/>
      <c r="T95" s="523"/>
      <c r="U95" s="713"/>
      <c r="V95" s="713"/>
      <c r="W95" s="695"/>
      <c r="X95" s="2893" t="s">
        <v>2311</v>
      </c>
      <c r="Y95" s="2893"/>
      <c r="Z95" s="2893"/>
      <c r="AA95" s="2893"/>
      <c r="AB95" s="2893"/>
      <c r="AC95" s="2893"/>
      <c r="AD95" s="2893"/>
      <c r="AE95" s="2893"/>
      <c r="AF95" s="2893"/>
      <c r="AG95" s="2893"/>
      <c r="AH95" s="9"/>
      <c r="AO95" s="121"/>
      <c r="AP95" s="121"/>
      <c r="AQ95" s="121"/>
      <c r="AR95" s="121"/>
      <c r="AS95" s="6"/>
      <c r="AT95" s="1330"/>
      <c r="AU95" s="6"/>
      <c r="AV95" s="6"/>
      <c r="AW95" s="6"/>
      <c r="AX95" s="6"/>
    </row>
    <row r="96" spans="1:50" ht="21" customHeight="1">
      <c r="A96" s="6"/>
      <c r="B96" s="729" t="s">
        <v>18</v>
      </c>
      <c r="C96" s="727"/>
      <c r="D96" s="727"/>
      <c r="E96" s="727"/>
      <c r="F96" s="728"/>
      <c r="G96" s="65"/>
      <c r="H96" s="523">
        <v>12</v>
      </c>
      <c r="I96" s="710"/>
      <c r="J96" s="711"/>
      <c r="K96" s="523">
        <v>12</v>
      </c>
      <c r="L96" s="713"/>
      <c r="M96" s="713"/>
      <c r="N96" s="523">
        <v>12</v>
      </c>
      <c r="O96" s="710"/>
      <c r="P96" s="712"/>
      <c r="Q96" s="523"/>
      <c r="R96" s="713"/>
      <c r="S96" s="713"/>
      <c r="T96" s="523"/>
      <c r="U96" s="713"/>
      <c r="V96" s="713"/>
      <c r="W96" s="695"/>
      <c r="X96" s="2893" t="s">
        <v>2235</v>
      </c>
      <c r="Y96" s="2893"/>
      <c r="Z96" s="2893"/>
      <c r="AA96" s="2893"/>
      <c r="AB96" s="2893"/>
      <c r="AC96" s="2893"/>
      <c r="AD96" s="2893"/>
      <c r="AE96" s="2893"/>
      <c r="AF96" s="2893"/>
      <c r="AG96" s="2893"/>
      <c r="AO96" s="121"/>
      <c r="AP96" s="121"/>
      <c r="AQ96" s="121"/>
      <c r="AR96" s="121"/>
      <c r="AS96" s="6"/>
      <c r="AT96" s="6"/>
      <c r="AU96" s="6"/>
      <c r="AV96" s="6"/>
      <c r="AW96" s="6"/>
      <c r="AX96" s="6"/>
    </row>
    <row r="97" spans="1:50" ht="21" customHeight="1">
      <c r="A97" s="6"/>
      <c r="B97" s="44" t="s">
        <v>602</v>
      </c>
      <c r="C97" s="727"/>
      <c r="D97" s="727"/>
      <c r="E97" s="727"/>
      <c r="F97" s="728"/>
      <c r="G97" s="65"/>
      <c r="H97" s="523">
        <v>1.3</v>
      </c>
      <c r="I97" s="710"/>
      <c r="J97" s="711"/>
      <c r="K97" s="523">
        <v>1.3</v>
      </c>
      <c r="L97" s="523">
        <v>1.3</v>
      </c>
      <c r="M97" s="523">
        <v>1.3</v>
      </c>
      <c r="N97" s="523">
        <v>1.3</v>
      </c>
      <c r="O97" s="710"/>
      <c r="P97" s="712"/>
      <c r="Q97" s="523"/>
      <c r="R97" s="739"/>
      <c r="S97" s="739"/>
      <c r="T97" s="523"/>
      <c r="U97" s="739"/>
      <c r="V97" s="739"/>
      <c r="W97" s="695"/>
      <c r="X97" s="2893"/>
      <c r="Y97" s="2893"/>
      <c r="Z97" s="2893"/>
      <c r="AA97" s="2893"/>
      <c r="AB97" s="2893"/>
      <c r="AC97" s="2893"/>
      <c r="AD97" s="2893"/>
      <c r="AE97" s="2893"/>
      <c r="AF97" s="2893"/>
      <c r="AG97" s="2893"/>
      <c r="AO97" s="121"/>
      <c r="AP97" s="121"/>
      <c r="AQ97" s="121"/>
      <c r="AR97" s="121"/>
      <c r="AS97" s="6"/>
      <c r="AT97" s="6"/>
      <c r="AU97" s="6"/>
      <c r="AV97" s="6"/>
      <c r="AW97" s="6"/>
      <c r="AX97" s="6"/>
    </row>
    <row r="98" spans="1:50" s="6" customFormat="1">
      <c r="B98" s="729" t="s">
        <v>45</v>
      </c>
      <c r="C98" s="694"/>
      <c r="D98" s="694"/>
      <c r="E98" s="694"/>
      <c r="F98" s="728"/>
      <c r="G98" s="65"/>
      <c r="H98" s="523"/>
      <c r="I98" s="710"/>
      <c r="J98" s="740"/>
      <c r="K98" s="1327"/>
      <c r="L98" s="710"/>
      <c r="M98" s="710"/>
      <c r="N98" s="523"/>
      <c r="O98" s="710"/>
      <c r="P98" s="711"/>
      <c r="Q98" s="523"/>
      <c r="R98" s="710"/>
      <c r="S98" s="710"/>
      <c r="T98" s="523"/>
      <c r="U98" s="710"/>
      <c r="V98" s="710"/>
      <c r="W98" s="695"/>
      <c r="X98" s="2893" t="s">
        <v>2252</v>
      </c>
      <c r="Y98" s="2893"/>
      <c r="Z98" s="2893"/>
      <c r="AA98" s="2893"/>
      <c r="AB98" s="2893"/>
      <c r="AC98" s="2893"/>
      <c r="AD98" s="2893"/>
      <c r="AE98" s="2893"/>
      <c r="AF98" s="2893"/>
      <c r="AG98" s="2893"/>
      <c r="AO98" s="121"/>
      <c r="AP98" s="121"/>
      <c r="AQ98" s="121"/>
      <c r="AR98" s="121"/>
    </row>
    <row r="99" spans="1:50" s="6" customFormat="1">
      <c r="B99" s="584" t="s">
        <v>46</v>
      </c>
      <c r="C99" s="584"/>
      <c r="D99" s="584"/>
      <c r="E99" s="584"/>
      <c r="F99" s="728"/>
      <c r="G99" s="63"/>
      <c r="H99" s="1887"/>
      <c r="I99" s="741"/>
      <c r="J99" s="743"/>
      <c r="K99" s="1887"/>
      <c r="L99" s="710"/>
      <c r="M99" s="710"/>
      <c r="N99" s="1887"/>
      <c r="O99" s="741"/>
      <c r="P99" s="557"/>
      <c r="Q99" s="525"/>
      <c r="R99" s="741"/>
      <c r="S99" s="741"/>
      <c r="T99" s="525"/>
      <c r="U99" s="741"/>
      <c r="V99" s="741"/>
      <c r="W99" s="702"/>
      <c r="X99" s="2893"/>
      <c r="Y99" s="2893"/>
      <c r="Z99" s="2893"/>
      <c r="AA99" s="2893"/>
      <c r="AB99" s="2893"/>
      <c r="AC99" s="2893"/>
      <c r="AD99" s="2893"/>
      <c r="AE99" s="2893"/>
      <c r="AF99" s="2893"/>
      <c r="AG99" s="2893"/>
      <c r="AO99" s="121"/>
      <c r="AP99" s="121"/>
      <c r="AQ99" s="1329"/>
      <c r="AR99" s="1329"/>
      <c r="AS99" s="1316"/>
    </row>
    <row r="100" spans="1:50">
      <c r="A100" s="6"/>
      <c r="B100" s="6"/>
      <c r="C100" s="6"/>
      <c r="D100" s="6"/>
      <c r="E100" s="6"/>
      <c r="F100" s="6"/>
      <c r="G100" s="6"/>
      <c r="H100" s="121"/>
      <c r="I100" s="6"/>
      <c r="J100" s="666"/>
      <c r="K100" s="128"/>
      <c r="N100" s="121"/>
      <c r="O100" s="6"/>
      <c r="P100" s="6"/>
      <c r="Q100" s="121"/>
      <c r="T100" s="121"/>
      <c r="W100" s="121"/>
      <c r="AO100" s="6"/>
      <c r="AP100" s="6"/>
      <c r="AQ100" s="6"/>
      <c r="AR100" s="6"/>
      <c r="AS100" s="6"/>
      <c r="AT100" s="6"/>
      <c r="AU100" s="6"/>
      <c r="AV100" s="6"/>
      <c r="AW100" s="6"/>
      <c r="AX100" s="6"/>
    </row>
    <row r="101" spans="1:50" ht="16.75">
      <c r="A101" s="591" t="s">
        <v>614</v>
      </c>
      <c r="B101" s="596"/>
      <c r="C101" s="596"/>
      <c r="D101" s="596"/>
      <c r="E101" s="596"/>
      <c r="F101" s="597"/>
      <c r="G101" s="594"/>
      <c r="H101" s="596"/>
      <c r="I101" s="597"/>
      <c r="J101" s="594"/>
      <c r="K101" s="597"/>
      <c r="N101" s="682"/>
      <c r="O101" s="594"/>
      <c r="P101" s="594"/>
      <c r="Q101" s="682"/>
      <c r="T101" s="682"/>
      <c r="U101" s="594"/>
      <c r="V101" s="594"/>
      <c r="W101" s="682"/>
      <c r="X101" s="594"/>
      <c r="Y101" s="594"/>
      <c r="Z101" s="594"/>
      <c r="AA101" s="594"/>
      <c r="AB101" s="594"/>
      <c r="AC101" s="594"/>
      <c r="AD101" s="594"/>
      <c r="AE101" s="594"/>
      <c r="AF101" s="594"/>
      <c r="AG101" s="594"/>
      <c r="AO101" s="6"/>
      <c r="AP101" s="6"/>
      <c r="AQ101" s="6"/>
      <c r="AR101" s="6"/>
      <c r="AS101" s="6"/>
      <c r="AT101" s="6"/>
      <c r="AU101" s="6"/>
      <c r="AV101" s="6"/>
      <c r="AW101" s="6"/>
      <c r="AX101" s="6"/>
    </row>
    <row r="102" spans="1:50" ht="14.9" hidden="1" customHeight="1">
      <c r="A102" s="1"/>
      <c r="B102" s="1"/>
      <c r="G102" s="53"/>
      <c r="H102" s="118"/>
      <c r="I102" s="6"/>
      <c r="J102" s="63"/>
      <c r="K102" s="118"/>
      <c r="N102" s="58"/>
      <c r="P102" s="53"/>
      <c r="Q102" s="58"/>
      <c r="T102" s="58"/>
      <c r="W102" s="58"/>
      <c r="AO102" s="6"/>
      <c r="AP102" s="6"/>
      <c r="AQ102" s="6"/>
      <c r="AR102" s="6"/>
      <c r="AS102" s="6"/>
      <c r="AT102" s="6"/>
      <c r="AU102" s="6"/>
      <c r="AV102" s="6"/>
      <c r="AW102" s="6"/>
      <c r="AX102" s="6"/>
    </row>
    <row r="103" spans="1:50" ht="18.649999999999999" hidden="1" customHeight="1">
      <c r="A103" s="2897" t="s">
        <v>341</v>
      </c>
      <c r="B103" s="1398"/>
      <c r="C103" s="1399"/>
      <c r="D103" s="1399"/>
      <c r="E103" s="1399"/>
      <c r="F103" s="1400"/>
      <c r="G103" s="1401"/>
      <c r="H103" s="1389"/>
      <c r="I103" s="1402"/>
      <c r="J103" s="1401"/>
      <c r="K103" s="1389"/>
      <c r="L103" s="1389"/>
      <c r="M103" s="1389"/>
      <c r="N103" s="1389"/>
      <c r="O103" s="1402"/>
      <c r="P103" s="1403"/>
      <c r="Q103" s="1389"/>
      <c r="R103" s="1404"/>
      <c r="S103" s="1404"/>
      <c r="T103" s="1389"/>
      <c r="U103" s="1404"/>
      <c r="V103" s="1404"/>
      <c r="W103" s="1405"/>
      <c r="X103" s="2899"/>
      <c r="Y103" s="2899"/>
      <c r="Z103" s="2899"/>
      <c r="AA103" s="2899"/>
      <c r="AB103" s="2899"/>
      <c r="AC103" s="2899"/>
      <c r="AD103" s="2899"/>
      <c r="AE103" s="2899"/>
      <c r="AF103" s="2899"/>
      <c r="AG103" s="2899"/>
      <c r="AO103" s="6"/>
      <c r="AP103" s="6"/>
      <c r="AQ103" s="6"/>
      <c r="AR103" s="6"/>
      <c r="AS103" s="6"/>
      <c r="AT103" s="6"/>
      <c r="AU103" s="6"/>
      <c r="AV103" s="6"/>
      <c r="AW103" s="6"/>
      <c r="AX103" s="6"/>
    </row>
    <row r="104" spans="1:50" ht="38.25" customHeight="1">
      <c r="A104" s="2898"/>
      <c r="B104" s="726" t="s">
        <v>2373</v>
      </c>
      <c r="C104" s="727"/>
      <c r="D104" s="727"/>
      <c r="E104" s="727"/>
      <c r="F104" s="728"/>
      <c r="G104" s="65">
        <v>6</v>
      </c>
      <c r="H104" s="562">
        <v>1</v>
      </c>
      <c r="I104" s="748"/>
      <c r="J104" s="711"/>
      <c r="K104" s="562">
        <v>1</v>
      </c>
      <c r="L104" s="562">
        <v>2</v>
      </c>
      <c r="M104" s="562">
        <v>2</v>
      </c>
      <c r="N104" s="562">
        <v>1</v>
      </c>
      <c r="O104" s="748"/>
      <c r="P104" s="712"/>
      <c r="Q104" s="562"/>
      <c r="R104" s="762"/>
      <c r="S104" s="762"/>
      <c r="T104" s="562"/>
      <c r="U104" s="762"/>
      <c r="V104" s="762"/>
      <c r="W104" s="747"/>
      <c r="X104" s="2893"/>
      <c r="Y104" s="2893"/>
      <c r="Z104" s="2893"/>
      <c r="AA104" s="2893"/>
      <c r="AB104" s="2893"/>
      <c r="AC104" s="2893"/>
      <c r="AD104" s="2893"/>
      <c r="AE104" s="2893"/>
      <c r="AF104" s="2893"/>
      <c r="AG104" s="2893"/>
      <c r="AO104" s="6"/>
      <c r="AP104" s="6"/>
      <c r="AQ104" s="6"/>
      <c r="AR104" s="6"/>
      <c r="AS104" s="6"/>
      <c r="AT104" s="6"/>
      <c r="AU104" s="6"/>
      <c r="AV104" s="6"/>
      <c r="AW104" s="6"/>
      <c r="AX104" s="6"/>
    </row>
    <row r="105" spans="1:50" ht="29.15">
      <c r="A105" s="2902" t="s">
        <v>185</v>
      </c>
      <c r="B105" s="726" t="s">
        <v>231</v>
      </c>
      <c r="C105" s="727"/>
      <c r="D105" s="727"/>
      <c r="E105" s="727"/>
      <c r="F105" s="728"/>
      <c r="G105" s="114">
        <v>19.246910452309116</v>
      </c>
      <c r="H105" s="563" t="s">
        <v>401</v>
      </c>
      <c r="I105" s="750"/>
      <c r="J105" s="751"/>
      <c r="K105" s="563" t="s">
        <v>402</v>
      </c>
      <c r="L105" s="713"/>
      <c r="M105" s="713"/>
      <c r="N105" s="563" t="s">
        <v>416</v>
      </c>
      <c r="O105" s="748"/>
      <c r="P105" s="711"/>
      <c r="Q105" s="563"/>
      <c r="R105" s="762"/>
      <c r="S105" s="762"/>
      <c r="T105" s="563"/>
      <c r="U105" s="762"/>
      <c r="V105" s="762"/>
      <c r="W105" s="752"/>
      <c r="X105" s="2893"/>
      <c r="Y105" s="2893"/>
      <c r="Z105" s="2893"/>
      <c r="AA105" s="2893"/>
      <c r="AB105" s="2893"/>
      <c r="AC105" s="2893"/>
      <c r="AD105" s="2893"/>
      <c r="AE105" s="2893"/>
      <c r="AF105" s="2893"/>
      <c r="AG105" s="2893"/>
      <c r="AO105" s="6"/>
      <c r="AP105" s="6"/>
      <c r="AQ105" s="6"/>
      <c r="AR105" s="6"/>
      <c r="AS105" s="6"/>
      <c r="AT105" s="6"/>
      <c r="AU105" s="6"/>
      <c r="AV105" s="6"/>
      <c r="AW105" s="6"/>
      <c r="AX105" s="6"/>
    </row>
    <row r="106" spans="1:50" ht="18.45">
      <c r="A106" s="2897"/>
      <c r="B106" s="726" t="s">
        <v>2247</v>
      </c>
      <c r="C106" s="727"/>
      <c r="D106" s="727"/>
      <c r="E106" s="727"/>
      <c r="F106" s="728"/>
      <c r="H106" s="1074">
        <v>2.6070000000000002</v>
      </c>
      <c r="I106" s="763"/>
      <c r="J106" s="763"/>
      <c r="K106" s="1074">
        <v>0.43</v>
      </c>
      <c r="L106" s="713"/>
      <c r="M106" s="713"/>
      <c r="N106" s="1074">
        <v>0.193</v>
      </c>
      <c r="O106" s="763"/>
      <c r="P106" s="763"/>
      <c r="Q106" s="564"/>
      <c r="R106" s="762"/>
      <c r="S106" s="762"/>
      <c r="T106" s="564"/>
      <c r="U106" s="762"/>
      <c r="V106" s="762"/>
      <c r="W106" s="753"/>
      <c r="X106" s="2893" t="s">
        <v>2248</v>
      </c>
      <c r="Y106" s="2893"/>
      <c r="Z106" s="2893"/>
      <c r="AA106" s="2893"/>
      <c r="AB106" s="2893"/>
      <c r="AC106" s="2893"/>
      <c r="AD106" s="2893"/>
      <c r="AE106" s="2893"/>
      <c r="AF106" s="2893"/>
      <c r="AG106" s="2893"/>
      <c r="AH106" s="9"/>
      <c r="AO106" s="6"/>
      <c r="AP106" s="6"/>
      <c r="AQ106" s="6"/>
      <c r="AR106" s="6"/>
      <c r="AS106" s="6"/>
      <c r="AT106" s="6"/>
      <c r="AU106" s="6"/>
      <c r="AV106" s="6"/>
      <c r="AW106" s="6"/>
      <c r="AX106" s="6"/>
    </row>
    <row r="107" spans="1:50" s="6" customFormat="1" ht="31.5" customHeight="1">
      <c r="A107" s="2898"/>
      <c r="B107" s="2255" t="s">
        <v>340</v>
      </c>
      <c r="C107" s="2255"/>
      <c r="D107" s="2255"/>
      <c r="E107" s="2255"/>
      <c r="F107" s="728"/>
      <c r="G107" s="63"/>
      <c r="H107" s="571">
        <v>0.75</v>
      </c>
      <c r="I107" s="754"/>
      <c r="J107" s="755"/>
      <c r="K107" s="571">
        <v>0.75</v>
      </c>
      <c r="L107" s="571">
        <v>0.5</v>
      </c>
      <c r="M107" s="571">
        <v>0.5</v>
      </c>
      <c r="N107" s="571">
        <v>0.75</v>
      </c>
      <c r="O107" s="748"/>
      <c r="P107" s="711"/>
      <c r="Q107" s="565"/>
      <c r="R107" s="748"/>
      <c r="S107" s="748"/>
      <c r="T107" s="565"/>
      <c r="U107" s="748"/>
      <c r="V107" s="748"/>
      <c r="W107" s="756"/>
      <c r="X107" s="2893"/>
      <c r="Y107" s="2893"/>
      <c r="Z107" s="2893"/>
      <c r="AA107" s="2893"/>
      <c r="AB107" s="2893"/>
      <c r="AC107" s="2893"/>
      <c r="AD107" s="2893"/>
      <c r="AE107" s="2893"/>
      <c r="AF107" s="2893"/>
      <c r="AG107" s="2893"/>
    </row>
    <row r="108" spans="1:50" s="62" customFormat="1" ht="15" customHeight="1">
      <c r="A108" s="2902" t="s">
        <v>394</v>
      </c>
      <c r="B108" s="726" t="s">
        <v>375</v>
      </c>
      <c r="C108" s="727"/>
      <c r="D108" s="727"/>
      <c r="E108" s="727"/>
      <c r="F108" s="728"/>
      <c r="G108" s="115">
        <v>488.75</v>
      </c>
      <c r="H108" s="566">
        <v>60.3</v>
      </c>
      <c r="I108" s="748"/>
      <c r="J108" s="711"/>
      <c r="K108" s="566">
        <v>11</v>
      </c>
      <c r="N108" s="566">
        <v>5.8</v>
      </c>
      <c r="O108" s="748"/>
      <c r="P108" s="711"/>
      <c r="Q108" s="566"/>
      <c r="R108" s="762"/>
      <c r="S108" s="762"/>
      <c r="T108" s="566"/>
      <c r="U108" s="762"/>
      <c r="V108" s="762"/>
      <c r="W108" s="757"/>
      <c r="X108" s="2893"/>
      <c r="Y108" s="2893"/>
      <c r="Z108" s="2893"/>
      <c r="AA108" s="2893"/>
      <c r="AB108" s="2893"/>
      <c r="AC108" s="2893"/>
      <c r="AD108" s="2893"/>
      <c r="AE108" s="2893"/>
      <c r="AF108" s="2893"/>
      <c r="AG108" s="2893"/>
      <c r="AO108" s="1335"/>
      <c r="AP108" s="1335"/>
      <c r="AQ108" s="1335"/>
      <c r="AR108" s="1335"/>
      <c r="AS108" s="1335"/>
      <c r="AT108" s="6"/>
      <c r="AU108" s="6"/>
      <c r="AV108" s="1335"/>
      <c r="AW108" s="1335"/>
      <c r="AX108" s="1335"/>
    </row>
    <row r="109" spans="1:50" ht="29.25" customHeight="1">
      <c r="A109" s="2897"/>
      <c r="B109" s="2255" t="s">
        <v>395</v>
      </c>
      <c r="C109" s="2255"/>
      <c r="D109" s="2255"/>
      <c r="E109" s="2255"/>
      <c r="F109" s="728"/>
      <c r="G109" s="113">
        <v>318.09533298035956</v>
      </c>
      <c r="H109" s="567">
        <v>0</v>
      </c>
      <c r="I109" s="762"/>
      <c r="J109" s="762"/>
      <c r="K109" s="567">
        <v>0</v>
      </c>
      <c r="N109" s="567">
        <v>0</v>
      </c>
      <c r="O109" s="762"/>
      <c r="P109" s="762"/>
      <c r="Q109" s="567"/>
      <c r="R109" s="762"/>
      <c r="S109" s="762"/>
      <c r="T109" s="567"/>
      <c r="U109" s="762"/>
      <c r="V109" s="762"/>
      <c r="W109" s="758"/>
      <c r="X109" s="2893"/>
      <c r="Y109" s="2893"/>
      <c r="Z109" s="2893"/>
      <c r="AA109" s="2893"/>
      <c r="AB109" s="2893"/>
      <c r="AC109" s="2893"/>
      <c r="AD109" s="2893"/>
      <c r="AE109" s="2893"/>
      <c r="AF109" s="2893"/>
      <c r="AG109" s="2893"/>
      <c r="AO109" s="6"/>
      <c r="AP109" s="6"/>
      <c r="AQ109" s="6"/>
      <c r="AR109" s="6"/>
      <c r="AS109" s="6"/>
      <c r="AT109" s="1335"/>
      <c r="AU109" s="6"/>
      <c r="AV109" s="6"/>
      <c r="AW109" s="6"/>
      <c r="AX109" s="6"/>
    </row>
    <row r="110" spans="1:50" ht="14.9" customHeight="1">
      <c r="A110" s="2897"/>
      <c r="B110" s="726" t="s">
        <v>396</v>
      </c>
      <c r="C110" s="727"/>
      <c r="D110" s="727"/>
      <c r="E110" s="727"/>
      <c r="F110" s="728"/>
      <c r="G110" s="117">
        <v>26.045977237650551</v>
      </c>
      <c r="H110" s="568">
        <f>587.65/7.6</f>
        <v>77.32236842105263</v>
      </c>
      <c r="I110" s="748"/>
      <c r="J110" s="764"/>
      <c r="K110" s="568">
        <f>1425.71/7.6</f>
        <v>187.59342105263158</v>
      </c>
      <c r="N110" s="568">
        <f>655.58/7.6</f>
        <v>86.260526315789477</v>
      </c>
      <c r="O110" s="748"/>
      <c r="P110" s="711"/>
      <c r="Q110" s="568"/>
      <c r="R110" s="762"/>
      <c r="S110" s="762"/>
      <c r="T110" s="568"/>
      <c r="U110" s="762"/>
      <c r="V110" s="765"/>
      <c r="W110" s="542"/>
      <c r="X110" s="2893" t="s">
        <v>2271</v>
      </c>
      <c r="Y110" s="2893"/>
      <c r="Z110" s="2893"/>
      <c r="AA110" s="2893"/>
      <c r="AB110" s="2893"/>
      <c r="AC110" s="2893"/>
      <c r="AD110" s="2893"/>
      <c r="AE110" s="2893"/>
      <c r="AF110" s="2893"/>
      <c r="AG110" s="2893"/>
      <c r="AO110" s="6"/>
      <c r="AP110" s="6"/>
      <c r="AQ110" s="6"/>
      <c r="AR110" s="6"/>
      <c r="AS110" s="6"/>
      <c r="AT110" s="6"/>
      <c r="AU110" s="6"/>
      <c r="AV110" s="6"/>
      <c r="AW110" s="6"/>
      <c r="AX110" s="6"/>
    </row>
    <row r="111" spans="1:50" s="62" customFormat="1" ht="15" customHeight="1">
      <c r="A111" s="2897"/>
      <c r="B111" s="726" t="s">
        <v>397</v>
      </c>
      <c r="C111" s="727"/>
      <c r="D111" s="727"/>
      <c r="E111" s="727"/>
      <c r="F111" s="728"/>
      <c r="G111" s="115"/>
      <c r="H111" s="568">
        <f>661.15/7.6</f>
        <v>86.993421052631575</v>
      </c>
      <c r="I111" s="748"/>
      <c r="J111" s="742"/>
      <c r="K111" s="568">
        <f>1159.74/7.6</f>
        <v>152.59736842105264</v>
      </c>
      <c r="N111" s="568">
        <f>888.51/7.6</f>
        <v>116.90921052631579</v>
      </c>
      <c r="O111" s="748"/>
      <c r="P111" s="742"/>
      <c r="Q111" s="568"/>
      <c r="R111" s="762"/>
      <c r="S111" s="762"/>
      <c r="T111" s="568"/>
      <c r="U111" s="762"/>
      <c r="V111" s="762"/>
      <c r="W111" s="542"/>
      <c r="X111" s="2893" t="s">
        <v>2289</v>
      </c>
      <c r="Y111" s="2893"/>
      <c r="Z111" s="2893"/>
      <c r="AA111" s="2893"/>
      <c r="AB111" s="2893"/>
      <c r="AC111" s="2893"/>
      <c r="AD111" s="2893"/>
      <c r="AE111" s="2893"/>
      <c r="AF111" s="2893"/>
      <c r="AG111" s="2893"/>
      <c r="AO111" s="1335"/>
      <c r="AP111" s="1335"/>
      <c r="AQ111" s="1335"/>
      <c r="AR111" s="1335"/>
      <c r="AS111" s="1335"/>
      <c r="AT111" s="6"/>
      <c r="AU111" s="6"/>
      <c r="AV111" s="1335"/>
      <c r="AW111" s="1335"/>
      <c r="AX111" s="1335"/>
    </row>
    <row r="112" spans="1:50" ht="14.9" customHeight="1">
      <c r="A112" s="2898"/>
      <c r="B112" s="726" t="s">
        <v>398</v>
      </c>
      <c r="C112" s="727"/>
      <c r="D112" s="727"/>
      <c r="E112" s="727"/>
      <c r="F112" s="728"/>
      <c r="H112" s="569">
        <v>0</v>
      </c>
      <c r="I112" s="763"/>
      <c r="J112" s="763"/>
      <c r="K112" s="569">
        <v>0</v>
      </c>
      <c r="N112" s="569">
        <v>0</v>
      </c>
      <c r="O112" s="762"/>
      <c r="P112" s="762"/>
      <c r="Q112" s="569"/>
      <c r="R112" s="762"/>
      <c r="S112" s="762"/>
      <c r="T112" s="569"/>
      <c r="U112" s="762"/>
      <c r="V112" s="762"/>
      <c r="W112" s="759"/>
      <c r="X112" s="2893"/>
      <c r="Y112" s="2893"/>
      <c r="Z112" s="2893"/>
      <c r="AA112" s="2893"/>
      <c r="AB112" s="2893"/>
      <c r="AC112" s="2893"/>
      <c r="AD112" s="2893"/>
      <c r="AE112" s="2893"/>
      <c r="AF112" s="2893"/>
      <c r="AG112" s="2893"/>
      <c r="AO112" s="6"/>
      <c r="AP112" s="6"/>
      <c r="AQ112" s="6"/>
      <c r="AR112" s="6"/>
      <c r="AS112" s="6"/>
      <c r="AT112" s="1330"/>
      <c r="AU112" s="1335"/>
      <c r="AV112" s="6"/>
      <c r="AW112" s="6"/>
      <c r="AX112" s="6"/>
    </row>
    <row r="113" spans="1:50" ht="15" customHeight="1">
      <c r="A113" s="2671" t="s">
        <v>380</v>
      </c>
      <c r="B113" s="2250" t="s">
        <v>825</v>
      </c>
      <c r="C113" s="2250"/>
      <c r="D113" s="2250"/>
      <c r="E113" s="2250"/>
      <c r="F113" s="728"/>
      <c r="H113" s="563"/>
      <c r="I113" s="763"/>
      <c r="J113" s="763"/>
      <c r="K113" s="563"/>
      <c r="N113" s="563"/>
      <c r="O113" s="762"/>
      <c r="P113" s="762"/>
      <c r="Q113" s="563"/>
      <c r="R113" s="762"/>
      <c r="S113" s="762"/>
      <c r="T113" s="563"/>
      <c r="U113" s="762"/>
      <c r="V113" s="762"/>
      <c r="W113" s="752"/>
      <c r="X113" s="2893"/>
      <c r="Y113" s="2893"/>
      <c r="Z113" s="2893"/>
      <c r="AA113" s="2893"/>
      <c r="AB113" s="2893"/>
      <c r="AC113" s="2893"/>
      <c r="AD113" s="2893"/>
      <c r="AE113" s="2893"/>
      <c r="AF113" s="2893"/>
      <c r="AG113" s="2893"/>
      <c r="AO113" s="6"/>
      <c r="AP113" s="6"/>
      <c r="AQ113" s="6"/>
      <c r="AR113" s="6"/>
      <c r="AS113" s="6"/>
      <c r="AT113" s="6"/>
      <c r="AU113" s="1335"/>
      <c r="AV113" s="6"/>
      <c r="AW113" s="6"/>
      <c r="AX113" s="6"/>
    </row>
    <row r="114" spans="1:50" ht="15" customHeight="1">
      <c r="A114" s="2672"/>
      <c r="B114" s="2250" t="s">
        <v>826</v>
      </c>
      <c r="C114" s="2250"/>
      <c r="D114" s="2250"/>
      <c r="E114" s="2250"/>
      <c r="F114" s="728"/>
      <c r="H114" s="564"/>
      <c r="I114" s="763"/>
      <c r="J114" s="763"/>
      <c r="K114" s="564"/>
      <c r="N114" s="564"/>
      <c r="O114" s="762"/>
      <c r="P114" s="762"/>
      <c r="Q114" s="564"/>
      <c r="R114" s="762"/>
      <c r="S114" s="762"/>
      <c r="T114" s="564"/>
      <c r="U114" s="762"/>
      <c r="V114" s="762"/>
      <c r="W114" s="753"/>
      <c r="X114" s="2893"/>
      <c r="Y114" s="2893"/>
      <c r="Z114" s="2893"/>
      <c r="AA114" s="2893"/>
      <c r="AB114" s="2893"/>
      <c r="AC114" s="2893"/>
      <c r="AD114" s="2893"/>
      <c r="AE114" s="2893"/>
      <c r="AF114" s="2893"/>
      <c r="AG114" s="2893"/>
      <c r="AO114" s="6"/>
      <c r="AP114" s="6"/>
      <c r="AQ114" s="6"/>
      <c r="AR114" s="6"/>
      <c r="AS114" s="6"/>
      <c r="AT114" s="6"/>
      <c r="AU114" s="1335"/>
      <c r="AV114" s="6"/>
      <c r="AW114" s="6"/>
      <c r="AX114" s="6"/>
    </row>
    <row r="115" spans="1:50" ht="26.25" customHeight="1">
      <c r="A115" s="2672"/>
      <c r="B115" s="2250" t="s">
        <v>827</v>
      </c>
      <c r="C115" s="2250"/>
      <c r="D115" s="2250"/>
      <c r="E115" s="2250"/>
      <c r="F115" s="728"/>
      <c r="H115" s="564"/>
      <c r="I115" s="763"/>
      <c r="J115" s="763"/>
      <c r="K115" s="564"/>
      <c r="N115" s="564"/>
      <c r="O115" s="762"/>
      <c r="P115" s="762"/>
      <c r="Q115" s="564"/>
      <c r="R115" s="762"/>
      <c r="S115" s="762"/>
      <c r="T115" s="564"/>
      <c r="U115" s="762"/>
      <c r="V115" s="762"/>
      <c r="W115" s="753"/>
      <c r="X115" s="2893"/>
      <c r="Y115" s="2893"/>
      <c r="Z115" s="2893"/>
      <c r="AA115" s="2893"/>
      <c r="AB115" s="2893"/>
      <c r="AC115" s="2893"/>
      <c r="AD115" s="2893"/>
      <c r="AE115" s="2893"/>
      <c r="AF115" s="2893"/>
      <c r="AG115" s="2893"/>
      <c r="AO115" s="6"/>
      <c r="AP115" s="6"/>
      <c r="AQ115" s="6"/>
      <c r="AR115" s="6"/>
      <c r="AS115" s="6"/>
      <c r="AT115" s="6"/>
      <c r="AU115" s="1335"/>
      <c r="AV115" s="6"/>
      <c r="AW115" s="6"/>
      <c r="AX115" s="6"/>
    </row>
    <row r="116" spans="1:50" ht="27" customHeight="1">
      <c r="A116" s="2672"/>
      <c r="B116" s="2250" t="s">
        <v>828</v>
      </c>
      <c r="C116" s="2250"/>
      <c r="D116" s="2250"/>
      <c r="E116" s="2250"/>
      <c r="F116" s="728"/>
      <c r="H116" s="564"/>
      <c r="I116" s="763"/>
      <c r="J116" s="763"/>
      <c r="K116" s="564"/>
      <c r="N116" s="564"/>
      <c r="O116" s="762"/>
      <c r="P116" s="762"/>
      <c r="Q116" s="564"/>
      <c r="R116" s="762"/>
      <c r="S116" s="762"/>
      <c r="T116" s="564"/>
      <c r="U116" s="762"/>
      <c r="V116" s="762"/>
      <c r="W116" s="753"/>
      <c r="X116" s="2893"/>
      <c r="Y116" s="2893"/>
      <c r="Z116" s="2893"/>
      <c r="AA116" s="2893"/>
      <c r="AB116" s="2893"/>
      <c r="AC116" s="2893"/>
      <c r="AD116" s="2893"/>
      <c r="AE116" s="2893"/>
      <c r="AF116" s="2893"/>
      <c r="AG116" s="2893"/>
      <c r="AO116" s="6"/>
      <c r="AP116" s="6"/>
      <c r="AQ116" s="6"/>
      <c r="AR116" s="6"/>
      <c r="AS116" s="6"/>
      <c r="AT116" s="6"/>
      <c r="AU116" s="1335"/>
      <c r="AV116" s="6"/>
      <c r="AW116" s="6"/>
      <c r="AX116" s="6"/>
    </row>
    <row r="117" spans="1:50" ht="35.25" customHeight="1">
      <c r="A117" s="2673"/>
      <c r="B117" s="2250" t="s">
        <v>829</v>
      </c>
      <c r="C117" s="2250"/>
      <c r="D117" s="2250"/>
      <c r="E117" s="2250"/>
      <c r="F117" s="728"/>
      <c r="H117" s="766"/>
      <c r="I117" s="760"/>
      <c r="J117" s="760"/>
      <c r="K117" s="766"/>
      <c r="N117" s="766"/>
      <c r="O117" s="760"/>
      <c r="P117" s="760"/>
      <c r="Q117" s="766"/>
      <c r="R117" s="760"/>
      <c r="S117" s="760"/>
      <c r="T117" s="766"/>
      <c r="U117" s="760"/>
      <c r="V117" s="760"/>
      <c r="W117" s="761"/>
      <c r="X117" s="2893"/>
      <c r="Y117" s="2893"/>
      <c r="Z117" s="2893"/>
      <c r="AA117" s="2893"/>
      <c r="AB117" s="2893"/>
      <c r="AC117" s="2893"/>
      <c r="AD117" s="2893"/>
      <c r="AE117" s="2893"/>
      <c r="AF117" s="2893"/>
      <c r="AG117" s="2893"/>
      <c r="AO117" s="6"/>
      <c r="AP117" s="6"/>
      <c r="AQ117" s="6"/>
      <c r="AR117" s="6"/>
      <c r="AS117" s="6"/>
      <c r="AT117" s="6"/>
      <c r="AU117" s="1335"/>
      <c r="AV117" s="6"/>
      <c r="AW117" s="6"/>
      <c r="AX117" s="6"/>
    </row>
    <row r="118" spans="1:50">
      <c r="A118" s="6"/>
      <c r="B118" s="6"/>
      <c r="C118" s="6"/>
      <c r="D118" s="6"/>
      <c r="E118" s="6"/>
      <c r="F118" s="6"/>
      <c r="G118" s="113"/>
      <c r="H118" s="116"/>
      <c r="I118" s="6"/>
      <c r="J118" s="63"/>
      <c r="K118" s="118"/>
      <c r="N118" s="60"/>
      <c r="O118" s="6"/>
      <c r="P118" s="63"/>
      <c r="Q118" s="60"/>
      <c r="S118" s="234"/>
      <c r="T118" s="65"/>
      <c r="V118" s="258"/>
      <c r="W118" s="65"/>
      <c r="X118" s="85"/>
      <c r="AO118" s="6"/>
      <c r="AP118" s="6"/>
      <c r="AQ118" s="6"/>
      <c r="AR118" s="6"/>
      <c r="AS118" s="6"/>
      <c r="AT118" s="6"/>
      <c r="AU118" s="1335"/>
      <c r="AV118" s="6"/>
      <c r="AW118" s="6"/>
      <c r="AX118" s="6"/>
    </row>
    <row r="119" spans="1:50" ht="16.75">
      <c r="A119" s="600" t="s">
        <v>603</v>
      </c>
      <c r="B119" s="596"/>
      <c r="C119" s="596"/>
      <c r="D119" s="596"/>
      <c r="E119" s="596"/>
      <c r="F119" s="597"/>
      <c r="G119" s="594"/>
      <c r="H119" s="596"/>
      <c r="I119" s="597"/>
      <c r="J119" s="594"/>
      <c r="K119" s="597"/>
      <c r="N119" s="682"/>
      <c r="O119" s="594"/>
      <c r="P119" s="594"/>
      <c r="Q119" s="682"/>
      <c r="S119" s="235"/>
      <c r="T119" s="683"/>
      <c r="U119" s="594"/>
      <c r="V119" s="684"/>
      <c r="W119" s="683"/>
      <c r="X119" s="715"/>
      <c r="Y119" s="594"/>
      <c r="Z119" s="594"/>
      <c r="AA119" s="594"/>
      <c r="AB119" s="594"/>
      <c r="AC119" s="594"/>
      <c r="AD119" s="594"/>
      <c r="AE119" s="594"/>
      <c r="AF119" s="594"/>
      <c r="AG119" s="594"/>
      <c r="AO119" s="6"/>
      <c r="AP119" s="6"/>
      <c r="AQ119" s="6"/>
      <c r="AR119" s="6"/>
      <c r="AS119" s="6"/>
      <c r="AT119" s="6"/>
      <c r="AU119" s="6"/>
      <c r="AV119" s="6"/>
      <c r="AW119" s="6"/>
      <c r="AX119" s="6"/>
    </row>
    <row r="120" spans="1:50" ht="16.75">
      <c r="A120" s="600"/>
      <c r="B120" s="596"/>
      <c r="C120" s="596"/>
      <c r="D120" s="596"/>
      <c r="E120" s="596"/>
      <c r="F120" s="597"/>
      <c r="G120" s="594"/>
      <c r="H120" s="596"/>
      <c r="I120" s="597"/>
      <c r="J120" s="594"/>
      <c r="K120" s="597"/>
      <c r="N120" s="682"/>
      <c r="O120" s="594"/>
      <c r="P120" s="594"/>
      <c r="Q120" s="682"/>
      <c r="S120" s="235"/>
      <c r="T120" s="683"/>
      <c r="U120" s="594"/>
      <c r="V120" s="684"/>
      <c r="W120" s="683"/>
      <c r="X120" s="715"/>
      <c r="Y120" s="594"/>
      <c r="Z120" s="594"/>
      <c r="AA120" s="594"/>
      <c r="AB120" s="594"/>
      <c r="AC120" s="594"/>
      <c r="AD120" s="594"/>
      <c r="AE120" s="594"/>
      <c r="AF120" s="594"/>
      <c r="AG120" s="594"/>
      <c r="AO120" s="6"/>
      <c r="AP120" s="6"/>
      <c r="AQ120" s="6"/>
      <c r="AR120" s="6"/>
      <c r="AS120" s="6"/>
      <c r="AT120" s="6"/>
      <c r="AU120" s="6"/>
      <c r="AV120" s="6"/>
      <c r="AW120" s="6"/>
      <c r="AX120" s="6"/>
    </row>
    <row r="121" spans="1:50" ht="29.15">
      <c r="A121" s="1"/>
      <c r="B121" s="726" t="s">
        <v>5467</v>
      </c>
      <c r="C121" s="727"/>
      <c r="D121" s="727"/>
      <c r="E121" s="727"/>
      <c r="F121" s="728"/>
      <c r="G121" s="53"/>
      <c r="H121" s="575" t="s">
        <v>2249</v>
      </c>
      <c r="I121" s="710"/>
      <c r="J121" s="582"/>
      <c r="K121" s="575" t="s">
        <v>2249</v>
      </c>
      <c r="N121" s="575" t="s">
        <v>2249</v>
      </c>
      <c r="O121" s="713"/>
      <c r="P121" s="772"/>
      <c r="Q121" s="575"/>
      <c r="R121" s="713"/>
      <c r="S121" s="773"/>
      <c r="T121" s="575"/>
      <c r="U121" s="713"/>
      <c r="V121" s="774"/>
      <c r="W121" s="575"/>
      <c r="X121" s="2893"/>
      <c r="Y121" s="2893"/>
      <c r="Z121" s="2893"/>
      <c r="AA121" s="2893"/>
      <c r="AB121" s="2893"/>
      <c r="AC121" s="2893"/>
      <c r="AD121" s="2893"/>
      <c r="AE121" s="2893"/>
      <c r="AF121" s="2893"/>
      <c r="AG121" s="2893"/>
      <c r="AO121" s="6"/>
      <c r="AP121" s="6"/>
      <c r="AQ121" s="6"/>
      <c r="AR121" s="6"/>
      <c r="AS121" s="6"/>
      <c r="AT121" s="6"/>
      <c r="AU121" s="6"/>
      <c r="AV121" s="6"/>
      <c r="AW121" s="6"/>
      <c r="AX121" s="6"/>
    </row>
    <row r="122" spans="1:50" ht="18.45">
      <c r="A122" s="6"/>
      <c r="B122" s="726" t="s">
        <v>5466</v>
      </c>
      <c r="C122" s="727"/>
      <c r="D122" s="727"/>
      <c r="E122" s="727"/>
      <c r="F122" s="728"/>
      <c r="G122" s="119">
        <v>35.047741961833388</v>
      </c>
      <c r="H122" s="576"/>
      <c r="I122" s="710"/>
      <c r="J122" s="764"/>
      <c r="K122" s="576"/>
      <c r="N122" s="576"/>
      <c r="O122" s="710"/>
      <c r="P122" s="582"/>
      <c r="Q122" s="576"/>
      <c r="R122" s="713"/>
      <c r="S122" s="773"/>
      <c r="T122" s="576"/>
      <c r="U122" s="713"/>
      <c r="V122" s="774"/>
      <c r="W122" s="576"/>
      <c r="X122" s="2893"/>
      <c r="Y122" s="2893"/>
      <c r="Z122" s="2893"/>
      <c r="AA122" s="2893"/>
      <c r="AB122" s="2893"/>
      <c r="AC122" s="2893"/>
      <c r="AD122" s="2893"/>
      <c r="AE122" s="2893"/>
      <c r="AF122" s="2893"/>
      <c r="AG122" s="2893"/>
      <c r="AO122" s="6"/>
      <c r="AP122" s="6"/>
      <c r="AQ122" s="6"/>
      <c r="AR122" s="6"/>
      <c r="AS122" s="6"/>
      <c r="AT122" s="6"/>
      <c r="AU122" s="6"/>
      <c r="AV122" s="6"/>
      <c r="AW122" s="6"/>
      <c r="AX122" s="6"/>
    </row>
    <row r="123" spans="1:50" ht="17.25" customHeight="1">
      <c r="A123" s="6"/>
      <c r="B123" s="726" t="s">
        <v>82</v>
      </c>
      <c r="C123" s="727"/>
      <c r="D123" s="727"/>
      <c r="E123" s="727"/>
      <c r="F123" s="728"/>
      <c r="G123" s="120">
        <v>5.5705963849905903E-3</v>
      </c>
      <c r="H123" s="577">
        <v>1.8E-3</v>
      </c>
      <c r="I123" s="710"/>
      <c r="J123" s="775"/>
      <c r="K123" s="577">
        <v>5.7999999999999996E-3</v>
      </c>
      <c r="N123" s="577">
        <v>5.8999999999999999E-3</v>
      </c>
      <c r="O123" s="710"/>
      <c r="P123" s="582"/>
      <c r="Q123" s="577"/>
      <c r="R123" s="713"/>
      <c r="S123" s="776"/>
      <c r="T123" s="577"/>
      <c r="U123" s="713"/>
      <c r="V123" s="777"/>
      <c r="W123" s="577"/>
      <c r="X123" s="2893" t="s">
        <v>2251</v>
      </c>
      <c r="Y123" s="2893"/>
      <c r="Z123" s="2893"/>
      <c r="AA123" s="2893"/>
      <c r="AB123" s="2893"/>
      <c r="AC123" s="2893"/>
      <c r="AD123" s="2893"/>
      <c r="AE123" s="2893"/>
      <c r="AF123" s="2893"/>
      <c r="AG123" s="2893"/>
      <c r="AO123" s="6"/>
      <c r="AP123" s="6"/>
      <c r="AQ123" s="6"/>
      <c r="AR123" s="6"/>
      <c r="AS123" s="6"/>
      <c r="AT123" s="6"/>
      <c r="AU123" s="6"/>
      <c r="AV123" s="6"/>
      <c r="AW123" s="6"/>
      <c r="AX123" s="6"/>
    </row>
    <row r="124" spans="1:50"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c r="AO124" s="6"/>
      <c r="AP124" s="6"/>
      <c r="AQ124" s="6"/>
      <c r="AR124" s="6"/>
      <c r="AS124" s="6"/>
      <c r="AT124" s="6"/>
      <c r="AU124" s="6"/>
      <c r="AV124" s="6"/>
      <c r="AW124" s="6"/>
      <c r="AX124" s="6"/>
    </row>
    <row r="125" spans="1:50"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c r="AO125" s="6"/>
      <c r="AP125" s="6"/>
      <c r="AQ125" s="6"/>
      <c r="AR125" s="6"/>
      <c r="AS125" s="6"/>
      <c r="AT125" s="6"/>
      <c r="AU125" s="6"/>
      <c r="AV125" s="6"/>
      <c r="AW125" s="6"/>
      <c r="AX125" s="6"/>
    </row>
    <row r="126" spans="1:50"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c r="AO126" s="6"/>
      <c r="AP126" s="6"/>
      <c r="AQ126" s="6"/>
      <c r="AR126" s="6"/>
      <c r="AS126" s="6"/>
      <c r="AT126" s="6"/>
      <c r="AU126" s="6"/>
      <c r="AV126" s="6"/>
      <c r="AW126" s="6"/>
      <c r="AX126" s="6"/>
    </row>
    <row r="127" spans="1:50"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c r="AO127" s="6"/>
      <c r="AP127" s="6"/>
      <c r="AQ127" s="6"/>
      <c r="AR127" s="6"/>
      <c r="AS127" s="6"/>
      <c r="AT127" s="6"/>
      <c r="AU127" s="6"/>
      <c r="AV127" s="6"/>
      <c r="AW127" s="6"/>
      <c r="AX127" s="6"/>
    </row>
    <row r="128" spans="1:50">
      <c r="A128" s="6"/>
      <c r="B128" s="6"/>
      <c r="C128" s="6"/>
      <c r="D128" s="6"/>
      <c r="E128" s="6"/>
      <c r="F128" s="6"/>
      <c r="G128" s="6"/>
      <c r="H128" s="121"/>
      <c r="I128" s="6"/>
      <c r="J128" s="121"/>
      <c r="K128" s="121"/>
      <c r="L128" s="6"/>
      <c r="M128" s="666"/>
      <c r="N128" s="128"/>
      <c r="O128" s="6"/>
      <c r="P128" s="6"/>
      <c r="Q128" s="121"/>
      <c r="T128" s="121"/>
      <c r="W128" s="121"/>
      <c r="AO128" s="6"/>
      <c r="AP128" s="6"/>
      <c r="AQ128" s="6"/>
      <c r="AR128" s="6"/>
      <c r="AS128" s="6"/>
      <c r="AT128" s="6"/>
      <c r="AU128" s="6"/>
      <c r="AV128" s="6"/>
      <c r="AW128" s="6"/>
      <c r="AX128" s="6"/>
    </row>
    <row r="129" spans="1:50" ht="32.9" customHeight="1">
      <c r="A129" s="2318" t="s">
        <v>606</v>
      </c>
      <c r="B129" s="2318"/>
      <c r="C129" s="2318"/>
      <c r="D129" s="496"/>
      <c r="E129" s="496"/>
      <c r="F129" s="497"/>
      <c r="G129" s="498"/>
      <c r="H129" s="121"/>
      <c r="I129" s="6"/>
      <c r="J129" s="121"/>
      <c r="K129" s="121"/>
      <c r="L129" s="6"/>
      <c r="M129" s="666"/>
      <c r="N129" s="128"/>
      <c r="O129" s="6"/>
      <c r="P129" s="6"/>
      <c r="Q129" s="121"/>
      <c r="T129" s="121"/>
      <c r="W129" s="121"/>
      <c r="AO129" s="6"/>
      <c r="AP129" s="6"/>
      <c r="AQ129" s="6"/>
      <c r="AR129" s="6"/>
      <c r="AS129" s="6"/>
      <c r="AT129" s="6"/>
      <c r="AU129" s="6"/>
      <c r="AV129" s="6"/>
      <c r="AW129" s="6"/>
      <c r="AX129" s="6"/>
    </row>
    <row r="130" spans="1:50" ht="22" customHeight="1">
      <c r="A130" s="2905" t="s">
        <v>615</v>
      </c>
      <c r="B130" s="2905"/>
      <c r="C130" s="2905"/>
      <c r="D130" s="2905"/>
      <c r="E130" s="2905"/>
      <c r="F130" s="2905"/>
      <c r="G130" s="2905"/>
      <c r="H130" s="601"/>
      <c r="I130" s="602"/>
      <c r="J130" s="602"/>
      <c r="K130" s="601"/>
      <c r="L130" s="602"/>
      <c r="M130" s="602"/>
      <c r="N130" s="685"/>
      <c r="O130" s="594"/>
      <c r="P130" s="686"/>
      <c r="Q130" s="687"/>
      <c r="R130" s="594"/>
      <c r="S130" s="594"/>
      <c r="T130" s="594"/>
      <c r="U130" s="594"/>
      <c r="V130" s="594"/>
      <c r="W130" s="594"/>
      <c r="X130" s="2859"/>
      <c r="Y130" s="2859"/>
      <c r="Z130" s="2859"/>
      <c r="AA130" s="2859"/>
      <c r="AB130" s="2859"/>
      <c r="AC130" s="2859"/>
      <c r="AD130" s="2859"/>
      <c r="AE130" s="2859"/>
      <c r="AF130" s="2859"/>
      <c r="AG130" s="2859"/>
      <c r="AO130" s="6"/>
      <c r="AP130" s="6"/>
      <c r="AQ130" s="6"/>
      <c r="AR130" s="6"/>
      <c r="AS130" s="6"/>
      <c r="AT130" s="6"/>
      <c r="AU130" s="6"/>
      <c r="AV130" s="6"/>
      <c r="AW130" s="6"/>
      <c r="AX130" s="6"/>
    </row>
    <row r="131" spans="1:50" ht="18.649999999999999" hidden="1" customHeight="1">
      <c r="A131" s="1"/>
      <c r="B131" s="502"/>
      <c r="C131" s="50"/>
      <c r="D131" s="50"/>
      <c r="E131" s="50"/>
      <c r="G131" s="13"/>
      <c r="H131" s="60"/>
      <c r="I131" s="6"/>
      <c r="J131" s="65"/>
      <c r="K131" s="60"/>
      <c r="L131" s="6"/>
      <c r="M131" s="65"/>
      <c r="N131" s="60"/>
      <c r="P131" s="66"/>
      <c r="Q131" s="788"/>
      <c r="T131" s="788"/>
      <c r="W131" s="788"/>
      <c r="AO131" s="6"/>
      <c r="AP131" s="6"/>
      <c r="AQ131" s="6"/>
      <c r="AR131" s="6"/>
      <c r="AS131" s="6"/>
      <c r="AT131" s="6"/>
      <c r="AU131" s="6"/>
      <c r="AV131" s="6"/>
      <c r="AW131" s="6"/>
      <c r="AX131" s="6"/>
    </row>
    <row r="132" spans="1:50" ht="18.649999999999999" hidden="1" customHeight="1">
      <c r="A132" s="1"/>
      <c r="B132" s="502"/>
      <c r="C132" s="50"/>
      <c r="D132" s="50"/>
      <c r="E132" s="50"/>
      <c r="G132" s="13"/>
      <c r="H132" s="60"/>
      <c r="I132" s="6"/>
      <c r="J132" s="65"/>
      <c r="K132" s="60"/>
      <c r="L132" s="6"/>
      <c r="M132" s="65"/>
      <c r="N132" s="60"/>
      <c r="P132" s="66"/>
      <c r="Q132" s="788"/>
      <c r="T132" s="788"/>
      <c r="W132" s="788"/>
      <c r="AO132" s="6"/>
      <c r="AP132" s="6"/>
      <c r="AQ132" s="6"/>
      <c r="AR132" s="6"/>
      <c r="AS132" s="6"/>
      <c r="AT132" s="6"/>
      <c r="AU132" s="6"/>
      <c r="AV132" s="6"/>
      <c r="AW132" s="6"/>
      <c r="AX132" s="6"/>
    </row>
    <row r="133" spans="1:50" ht="14.9" customHeight="1">
      <c r="A133" s="1"/>
      <c r="B133" s="2903" t="s">
        <v>207</v>
      </c>
      <c r="C133" s="2903"/>
      <c r="D133" s="2903"/>
      <c r="E133" s="2903"/>
      <c r="G133" s="13"/>
      <c r="H133" s="792"/>
      <c r="I133" s="710"/>
      <c r="J133" s="711"/>
      <c r="K133" s="579">
        <v>2</v>
      </c>
      <c r="L133" s="710"/>
      <c r="M133" s="711"/>
      <c r="N133" s="579">
        <v>1</v>
      </c>
      <c r="O133" s="713"/>
      <c r="P133" s="714"/>
      <c r="Q133" s="579"/>
      <c r="R133" s="762"/>
      <c r="S133" s="762"/>
      <c r="T133" s="579"/>
      <c r="U133" s="762"/>
      <c r="V133" s="762"/>
      <c r="W133" s="579"/>
      <c r="X133" s="2893"/>
      <c r="Y133" s="2893"/>
      <c r="Z133" s="2893"/>
      <c r="AA133" s="2893"/>
      <c r="AB133" s="2893"/>
      <c r="AC133" s="2893"/>
      <c r="AD133" s="2893"/>
      <c r="AE133" s="2893"/>
      <c r="AF133" s="2893"/>
      <c r="AG133" s="2893"/>
      <c r="AO133" s="6"/>
      <c r="AP133" s="6"/>
      <c r="AQ133" s="6"/>
      <c r="AR133" s="6"/>
      <c r="AS133" s="6"/>
      <c r="AT133" s="6"/>
      <c r="AU133" s="6"/>
      <c r="AV133" s="6"/>
      <c r="AW133" s="6"/>
      <c r="AX133" s="6"/>
    </row>
    <row r="134" spans="1:50"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c r="AO134" s="6"/>
      <c r="AP134" s="6"/>
      <c r="AQ134" s="6"/>
      <c r="AR134" s="6"/>
      <c r="AS134" s="6"/>
      <c r="AT134" s="6"/>
      <c r="AU134" s="6"/>
      <c r="AV134" s="6"/>
      <c r="AW134" s="6"/>
      <c r="AX134" s="6"/>
    </row>
    <row r="135" spans="1:50" ht="15.75" customHeight="1">
      <c r="A135" s="252"/>
      <c r="B135" s="2903" t="s">
        <v>631</v>
      </c>
      <c r="C135" s="2903"/>
      <c r="D135" s="2903"/>
      <c r="E135" s="2903"/>
      <c r="F135" s="6"/>
      <c r="G135" s="65"/>
      <c r="H135" s="793"/>
      <c r="I135" s="710"/>
      <c r="J135" s="711"/>
      <c r="K135" s="581">
        <v>0.79</v>
      </c>
      <c r="L135" s="708"/>
      <c r="M135" s="709"/>
      <c r="N135" s="581">
        <v>1</v>
      </c>
      <c r="O135" s="710"/>
      <c r="P135" s="712"/>
      <c r="Q135" s="581"/>
      <c r="R135" s="762"/>
      <c r="S135" s="762"/>
      <c r="T135" s="581"/>
      <c r="U135" s="762"/>
      <c r="V135" s="762"/>
      <c r="W135" s="581"/>
      <c r="X135" s="2893"/>
      <c r="Y135" s="2893"/>
      <c r="Z135" s="2893"/>
      <c r="AA135" s="2893"/>
      <c r="AB135" s="2893"/>
      <c r="AC135" s="2893"/>
      <c r="AD135" s="2893"/>
      <c r="AE135" s="2893"/>
      <c r="AF135" s="2893"/>
      <c r="AG135" s="2893"/>
      <c r="AH135" s="9"/>
      <c r="AO135" s="6"/>
      <c r="AP135" s="6"/>
      <c r="AQ135" s="6"/>
      <c r="AR135" s="6"/>
      <c r="AS135" s="6"/>
      <c r="AT135" s="6"/>
      <c r="AU135" s="6"/>
      <c r="AV135" s="6"/>
      <c r="AW135" s="6"/>
      <c r="AX135" s="6"/>
    </row>
    <row r="136" spans="1:50" ht="15.75" customHeight="1">
      <c r="A136" s="252"/>
      <c r="B136" s="2903" t="s">
        <v>633</v>
      </c>
      <c r="C136" s="2903"/>
      <c r="D136" s="2903"/>
      <c r="E136" s="2903"/>
      <c r="F136" s="6"/>
      <c r="G136" s="65"/>
      <c r="H136" s="480"/>
      <c r="I136" s="710"/>
      <c r="J136" s="711"/>
      <c r="K136" s="526" t="s">
        <v>407</v>
      </c>
      <c r="L136" s="710"/>
      <c r="M136" s="711"/>
      <c r="N136" s="526" t="s">
        <v>136</v>
      </c>
      <c r="O136" s="710"/>
      <c r="P136" s="712"/>
      <c r="Q136" s="526"/>
      <c r="R136" s="762"/>
      <c r="S136" s="762"/>
      <c r="T136" s="526"/>
      <c r="U136" s="762"/>
      <c r="V136" s="762"/>
      <c r="W136" s="526"/>
      <c r="X136" s="2893"/>
      <c r="Y136" s="2893"/>
      <c r="Z136" s="2893"/>
      <c r="AA136" s="2893"/>
      <c r="AB136" s="2893"/>
      <c r="AC136" s="2893"/>
      <c r="AD136" s="2893"/>
      <c r="AE136" s="2893"/>
      <c r="AF136" s="2893"/>
      <c r="AG136" s="2893"/>
      <c r="AO136" s="6"/>
      <c r="AP136" s="6"/>
      <c r="AQ136" s="6"/>
      <c r="AR136" s="6"/>
      <c r="AS136" s="6"/>
      <c r="AT136" s="6"/>
      <c r="AU136" s="1336"/>
      <c r="AV136" s="1337"/>
      <c r="AW136" s="1336"/>
      <c r="AX136" s="1338"/>
    </row>
    <row r="137" spans="1:50" ht="15.75" customHeight="1">
      <c r="A137" s="252"/>
      <c r="B137" s="2903" t="s">
        <v>627</v>
      </c>
      <c r="C137" s="2903"/>
      <c r="D137" s="2903"/>
      <c r="E137" s="2903"/>
      <c r="F137" s="6"/>
      <c r="G137" s="65"/>
      <c r="H137" s="794"/>
      <c r="I137" s="710"/>
      <c r="J137" s="711"/>
      <c r="K137" s="561" t="s">
        <v>218</v>
      </c>
      <c r="L137" s="710"/>
      <c r="M137" s="711"/>
      <c r="N137" s="561"/>
      <c r="O137" s="710"/>
      <c r="P137" s="712"/>
      <c r="Q137" s="561"/>
      <c r="R137" s="762"/>
      <c r="S137" s="762"/>
      <c r="T137" s="561"/>
      <c r="U137" s="762"/>
      <c r="V137" s="762"/>
      <c r="W137" s="561"/>
      <c r="X137" s="2893"/>
      <c r="Y137" s="2893"/>
      <c r="Z137" s="2893"/>
      <c r="AA137" s="2893"/>
      <c r="AB137" s="2893"/>
      <c r="AC137" s="2893"/>
      <c r="AD137" s="2893"/>
      <c r="AE137" s="2893"/>
      <c r="AF137" s="2893"/>
      <c r="AG137" s="2893"/>
      <c r="AO137" s="6"/>
      <c r="AP137" s="6"/>
      <c r="AQ137" s="6"/>
      <c r="AR137" s="6"/>
      <c r="AS137" s="6"/>
      <c r="AT137" s="6"/>
      <c r="AU137" s="6"/>
      <c r="AV137" s="6"/>
      <c r="AW137" s="6"/>
      <c r="AX137" s="6"/>
    </row>
    <row r="138" spans="1:50" ht="15.75" customHeight="1">
      <c r="A138" s="252"/>
      <c r="B138" s="2904" t="s">
        <v>628</v>
      </c>
      <c r="C138" s="2904"/>
      <c r="D138" s="2904"/>
      <c r="E138" s="2904"/>
      <c r="F138" s="6"/>
      <c r="G138" s="65"/>
      <c r="H138" s="480"/>
      <c r="I138" s="710"/>
      <c r="J138" s="711"/>
      <c r="K138" s="526"/>
      <c r="L138" s="710"/>
      <c r="M138" s="711"/>
      <c r="N138" s="526"/>
      <c r="O138" s="710"/>
      <c r="P138" s="712"/>
      <c r="Q138" s="526"/>
      <c r="R138" s="762"/>
      <c r="S138" s="762"/>
      <c r="T138" s="526"/>
      <c r="U138" s="762"/>
      <c r="V138" s="762"/>
      <c r="W138" s="526"/>
      <c r="X138" s="2893"/>
      <c r="Y138" s="2893"/>
      <c r="Z138" s="2893"/>
      <c r="AA138" s="2893"/>
      <c r="AB138" s="2893"/>
      <c r="AC138" s="2893"/>
      <c r="AD138" s="2893"/>
      <c r="AE138" s="2893"/>
      <c r="AF138" s="2893"/>
      <c r="AG138" s="2893"/>
      <c r="AO138" s="6"/>
      <c r="AP138" s="6"/>
      <c r="AQ138" s="6"/>
      <c r="AR138" s="6"/>
      <c r="AS138" s="6"/>
      <c r="AT138" s="6"/>
      <c r="AU138" s="6"/>
      <c r="AV138" s="6"/>
      <c r="AW138" s="6"/>
      <c r="AX138" s="6"/>
    </row>
    <row r="139" spans="1:50" ht="32.25" customHeight="1">
      <c r="A139" s="252"/>
      <c r="B139" s="2904" t="s">
        <v>629</v>
      </c>
      <c r="C139" s="2904"/>
      <c r="D139" s="2904"/>
      <c r="E139" s="2904"/>
      <c r="F139" s="6"/>
      <c r="G139" s="65"/>
      <c r="H139" s="795"/>
      <c r="I139" s="710"/>
      <c r="J139" s="711"/>
      <c r="K139" s="568"/>
      <c r="L139" s="710"/>
      <c r="M139" s="711"/>
      <c r="N139" s="568"/>
      <c r="O139" s="710"/>
      <c r="P139" s="712"/>
      <c r="Q139" s="568"/>
      <c r="R139" s="762"/>
      <c r="S139" s="762"/>
      <c r="T139" s="568"/>
      <c r="U139" s="762"/>
      <c r="V139" s="762"/>
      <c r="W139" s="568"/>
      <c r="X139" s="2893"/>
      <c r="Y139" s="2893"/>
      <c r="Z139" s="2893"/>
      <c r="AA139" s="2893"/>
      <c r="AB139" s="2893"/>
      <c r="AC139" s="2893"/>
      <c r="AD139" s="2893"/>
      <c r="AE139" s="2893"/>
      <c r="AF139" s="2893"/>
      <c r="AG139" s="2893"/>
      <c r="AO139" s="6"/>
      <c r="AP139" s="6"/>
      <c r="AQ139" s="6"/>
      <c r="AR139" s="6"/>
      <c r="AS139" s="6"/>
      <c r="AT139" s="6"/>
      <c r="AU139" s="6"/>
      <c r="AV139" s="6"/>
      <c r="AW139" s="6"/>
      <c r="AX139" s="6"/>
    </row>
    <row r="140" spans="1:50" ht="15.75" customHeight="1">
      <c r="A140" s="252"/>
      <c r="B140" s="2903" t="s">
        <v>632</v>
      </c>
      <c r="C140" s="2903"/>
      <c r="D140" s="2903"/>
      <c r="E140" s="2903"/>
      <c r="F140" s="6"/>
      <c r="G140" s="65"/>
      <c r="H140" s="480"/>
      <c r="I140" s="710"/>
      <c r="J140" s="711"/>
      <c r="K140" s="526">
        <f>24*2</f>
        <v>48</v>
      </c>
      <c r="L140" s="710"/>
      <c r="M140" s="711"/>
      <c r="N140" s="526"/>
      <c r="O140" s="710"/>
      <c r="P140" s="712"/>
      <c r="Q140" s="526"/>
      <c r="R140" s="762"/>
      <c r="S140" s="762"/>
      <c r="T140" s="526"/>
      <c r="U140" s="762"/>
      <c r="V140" s="762"/>
      <c r="W140" s="526"/>
      <c r="X140" s="2893"/>
      <c r="Y140" s="2893"/>
      <c r="Z140" s="2893"/>
      <c r="AA140" s="2893"/>
      <c r="AB140" s="2893"/>
      <c r="AC140" s="2893"/>
      <c r="AD140" s="2893"/>
      <c r="AE140" s="2893"/>
      <c r="AF140" s="2893"/>
      <c r="AG140" s="2893"/>
      <c r="AO140" s="6"/>
      <c r="AP140" s="6"/>
      <c r="AQ140" s="6"/>
      <c r="AR140" s="6"/>
      <c r="AS140" s="6"/>
      <c r="AT140" s="6"/>
      <c r="AU140" s="6"/>
      <c r="AV140" s="6"/>
      <c r="AW140" s="6"/>
      <c r="AX140" s="6"/>
    </row>
    <row r="141" spans="1:50" ht="26.25" customHeight="1">
      <c r="A141" s="252"/>
      <c r="B141" s="2903" t="s">
        <v>1551</v>
      </c>
      <c r="C141" s="2903"/>
      <c r="D141" s="2903"/>
      <c r="E141" s="2903"/>
      <c r="F141" s="6"/>
      <c r="G141" s="65"/>
      <c r="H141" s="796"/>
      <c r="I141" s="710"/>
      <c r="J141" s="711"/>
      <c r="K141" s="619">
        <v>0.7</v>
      </c>
      <c r="L141" s="710"/>
      <c r="M141" s="711"/>
      <c r="N141" s="619">
        <v>0</v>
      </c>
      <c r="O141" s="710"/>
      <c r="P141" s="712"/>
      <c r="Q141" s="619"/>
      <c r="R141" s="762"/>
      <c r="S141" s="762"/>
      <c r="T141" s="619"/>
      <c r="U141" s="762"/>
      <c r="V141" s="762"/>
      <c r="W141" s="619"/>
      <c r="X141" s="2893"/>
      <c r="Y141" s="2893"/>
      <c r="Z141" s="2893"/>
      <c r="AA141" s="2893"/>
      <c r="AB141" s="2893"/>
      <c r="AC141" s="2893"/>
      <c r="AD141" s="2893"/>
      <c r="AE141" s="2893"/>
      <c r="AF141" s="2893"/>
      <c r="AG141" s="2893"/>
      <c r="AH141" s="9"/>
      <c r="AO141" s="6"/>
      <c r="AP141" s="6"/>
      <c r="AQ141" s="6"/>
      <c r="AR141" s="6"/>
      <c r="AS141" s="6"/>
      <c r="AT141" s="6"/>
      <c r="AU141" s="6"/>
      <c r="AV141" s="6"/>
      <c r="AW141" s="6"/>
      <c r="AX141" s="6"/>
    </row>
    <row r="142" spans="1:50" ht="26.25" customHeight="1">
      <c r="A142" s="252"/>
      <c r="B142" s="2903" t="s">
        <v>1552</v>
      </c>
      <c r="C142" s="2903"/>
      <c r="D142" s="2903"/>
      <c r="E142" s="2903"/>
      <c r="F142" s="6"/>
      <c r="G142" s="65"/>
      <c r="H142" s="796"/>
      <c r="I142" s="710"/>
      <c r="J142" s="711"/>
      <c r="K142" s="619">
        <v>0</v>
      </c>
      <c r="L142" s="710"/>
      <c r="M142" s="711"/>
      <c r="N142" s="619">
        <v>0</v>
      </c>
      <c r="O142" s="710"/>
      <c r="P142" s="712"/>
      <c r="Q142" s="619"/>
      <c r="R142" s="762"/>
      <c r="S142" s="762"/>
      <c r="T142" s="619"/>
      <c r="U142" s="762"/>
      <c r="V142" s="762"/>
      <c r="W142" s="619"/>
      <c r="X142" s="2893"/>
      <c r="Y142" s="2893"/>
      <c r="Z142" s="2893"/>
      <c r="AA142" s="2893"/>
      <c r="AB142" s="2893"/>
      <c r="AC142" s="2893"/>
      <c r="AD142" s="2893"/>
      <c r="AE142" s="2893"/>
      <c r="AF142" s="2893"/>
      <c r="AG142" s="2893"/>
      <c r="AH142" s="9"/>
      <c r="AO142" s="6"/>
      <c r="AP142" s="6"/>
      <c r="AQ142" s="6"/>
      <c r="AR142" s="6"/>
      <c r="AS142" s="6"/>
      <c r="AT142" s="6"/>
      <c r="AU142" s="6"/>
      <c r="AV142" s="6"/>
      <c r="AW142" s="6"/>
      <c r="AX142" s="6"/>
    </row>
    <row r="143" spans="1:50" ht="32.25" customHeight="1">
      <c r="A143" s="252"/>
      <c r="B143" s="2903" t="s">
        <v>331</v>
      </c>
      <c r="C143" s="2903"/>
      <c r="D143" s="2903"/>
      <c r="E143" s="2903"/>
      <c r="F143" s="6"/>
      <c r="G143" s="65"/>
      <c r="H143" s="480"/>
      <c r="I143" s="710"/>
      <c r="J143" s="711"/>
      <c r="K143" s="526" t="s">
        <v>132</v>
      </c>
      <c r="L143" s="710"/>
      <c r="M143" s="711"/>
      <c r="N143" s="526" t="s">
        <v>132</v>
      </c>
      <c r="O143" s="710"/>
      <c r="P143" s="712"/>
      <c r="Q143" s="526"/>
      <c r="R143" s="762"/>
      <c r="S143" s="762"/>
      <c r="T143" s="526"/>
      <c r="U143" s="762"/>
      <c r="V143" s="762"/>
      <c r="W143" s="526"/>
      <c r="X143" s="2893"/>
      <c r="Y143" s="2893"/>
      <c r="Z143" s="2893"/>
      <c r="AA143" s="2893"/>
      <c r="AB143" s="2893"/>
      <c r="AC143" s="2893"/>
      <c r="AD143" s="2893"/>
      <c r="AE143" s="2893"/>
      <c r="AF143" s="2893"/>
      <c r="AG143" s="2893"/>
      <c r="AO143" s="6"/>
      <c r="AP143" s="6"/>
      <c r="AQ143" s="6"/>
      <c r="AR143" s="6"/>
      <c r="AS143" s="6"/>
      <c r="AT143" s="6"/>
      <c r="AU143" s="6"/>
      <c r="AV143" s="6"/>
      <c r="AW143" s="6"/>
      <c r="AX143" s="6"/>
    </row>
    <row r="144" spans="1:50" ht="15.75" customHeight="1">
      <c r="A144" s="252"/>
      <c r="B144" s="2904" t="s">
        <v>332</v>
      </c>
      <c r="C144" s="2904"/>
      <c r="D144" s="2904"/>
      <c r="E144" s="2904"/>
      <c r="F144" s="6"/>
      <c r="G144" s="65"/>
      <c r="H144" s="480"/>
      <c r="I144" s="748"/>
      <c r="J144" s="711"/>
      <c r="K144" s="526"/>
      <c r="L144" s="748"/>
      <c r="M144" s="711"/>
      <c r="N144" s="526"/>
      <c r="O144" s="710"/>
      <c r="P144" s="582"/>
      <c r="Q144" s="526"/>
      <c r="R144" s="762"/>
      <c r="S144" s="762"/>
      <c r="T144" s="526"/>
      <c r="U144" s="762"/>
      <c r="V144" s="762"/>
      <c r="W144" s="526"/>
      <c r="X144" s="2893"/>
      <c r="Y144" s="2893"/>
      <c r="Z144" s="2893"/>
      <c r="AA144" s="2893"/>
      <c r="AB144" s="2893"/>
      <c r="AC144" s="2893"/>
      <c r="AD144" s="2893"/>
      <c r="AE144" s="2893"/>
      <c r="AF144" s="2893"/>
      <c r="AG144" s="2893"/>
      <c r="AO144" s="6"/>
      <c r="AP144" s="6"/>
      <c r="AQ144" s="6"/>
      <c r="AR144" s="6"/>
      <c r="AS144" s="6"/>
      <c r="AT144" s="6"/>
      <c r="AU144" s="6"/>
      <c r="AV144" s="6"/>
      <c r="AW144" s="6"/>
      <c r="AX144" s="6"/>
    </row>
    <row r="145" spans="1:50" ht="15.75" customHeight="1">
      <c r="A145" s="252"/>
      <c r="B145" s="2903" t="s">
        <v>333</v>
      </c>
      <c r="C145" s="2903"/>
      <c r="D145" s="2903"/>
      <c r="E145" s="2903"/>
      <c r="F145" s="6"/>
      <c r="G145" s="63"/>
      <c r="H145" s="480"/>
      <c r="I145" s="713"/>
      <c r="J145" s="713"/>
      <c r="K145" s="526" t="s">
        <v>20</v>
      </c>
      <c r="L145" s="713"/>
      <c r="M145" s="713"/>
      <c r="N145" s="526" t="s">
        <v>20</v>
      </c>
      <c r="O145" s="713"/>
      <c r="P145" s="713"/>
      <c r="Q145" s="526"/>
      <c r="R145" s="762"/>
      <c r="S145" s="762"/>
      <c r="T145" s="526"/>
      <c r="U145" s="762"/>
      <c r="V145" s="762"/>
      <c r="W145" s="526"/>
      <c r="X145" s="2893"/>
      <c r="Y145" s="2893"/>
      <c r="Z145" s="2893"/>
      <c r="AA145" s="2893"/>
      <c r="AB145" s="2893"/>
      <c r="AC145" s="2893"/>
      <c r="AD145" s="2893"/>
      <c r="AE145" s="2893"/>
      <c r="AF145" s="2893"/>
      <c r="AG145" s="2893"/>
      <c r="AO145" s="6"/>
      <c r="AP145" s="6"/>
      <c r="AQ145" s="6"/>
      <c r="AR145" s="6"/>
      <c r="AS145" s="6"/>
      <c r="AT145" s="6"/>
      <c r="AU145" s="6"/>
      <c r="AV145" s="6"/>
      <c r="AW145" s="6"/>
      <c r="AX145" s="6"/>
    </row>
    <row r="146" spans="1:50" ht="15.75" customHeight="1">
      <c r="A146" s="252"/>
      <c r="B146" s="2903" t="s">
        <v>334</v>
      </c>
      <c r="C146" s="2903"/>
      <c r="D146" s="2903"/>
      <c r="E146" s="2903"/>
      <c r="H146" s="480"/>
      <c r="I146" s="748"/>
      <c r="J146" s="711"/>
      <c r="K146" s="526">
        <v>0</v>
      </c>
      <c r="L146" s="748"/>
      <c r="M146" s="711"/>
      <c r="N146" s="526">
        <v>0</v>
      </c>
      <c r="O146" s="710"/>
      <c r="P146" s="582"/>
      <c r="Q146" s="526"/>
      <c r="R146" s="762"/>
      <c r="S146" s="762"/>
      <c r="T146" s="526"/>
      <c r="U146" s="762"/>
      <c r="V146" s="762"/>
      <c r="W146" s="526"/>
      <c r="X146" s="2893"/>
      <c r="Y146" s="2893"/>
      <c r="Z146" s="2893"/>
      <c r="AA146" s="2893"/>
      <c r="AB146" s="2893"/>
      <c r="AC146" s="2893"/>
      <c r="AD146" s="2893"/>
      <c r="AE146" s="2893"/>
      <c r="AF146" s="2893"/>
      <c r="AG146" s="2893"/>
      <c r="AO146" s="6"/>
      <c r="AP146" s="6"/>
      <c r="AQ146" s="6"/>
      <c r="AR146" s="6"/>
      <c r="AS146" s="6"/>
      <c r="AT146" s="6"/>
      <c r="AU146" s="6"/>
      <c r="AV146" s="6"/>
      <c r="AW146" s="6"/>
      <c r="AX146" s="6"/>
    </row>
    <row r="147" spans="1:50" ht="15.75" customHeight="1">
      <c r="A147" s="252"/>
      <c r="B147" s="2904" t="s">
        <v>335</v>
      </c>
      <c r="C147" s="2904"/>
      <c r="D147" s="2904"/>
      <c r="E147" s="2904"/>
      <c r="F147" s="6"/>
      <c r="G147" s="63"/>
      <c r="H147" s="480"/>
      <c r="I147" s="748"/>
      <c r="J147" s="711"/>
      <c r="K147" s="526"/>
      <c r="L147" s="748"/>
      <c r="M147" s="711"/>
      <c r="N147" s="526"/>
      <c r="O147" s="710"/>
      <c r="P147" s="582"/>
      <c r="Q147" s="526"/>
      <c r="R147" s="762"/>
      <c r="S147" s="762"/>
      <c r="T147" s="526"/>
      <c r="U147" s="762"/>
      <c r="V147" s="762"/>
      <c r="W147" s="526"/>
      <c r="X147" s="2893"/>
      <c r="Y147" s="2893"/>
      <c r="Z147" s="2893"/>
      <c r="AA147" s="2893"/>
      <c r="AB147" s="2893"/>
      <c r="AC147" s="2893"/>
      <c r="AD147" s="2893"/>
      <c r="AE147" s="2893"/>
      <c r="AF147" s="2893"/>
      <c r="AG147" s="2893"/>
      <c r="AO147" s="6"/>
      <c r="AP147" s="6"/>
      <c r="AQ147" s="6"/>
      <c r="AR147" s="6"/>
      <c r="AS147" s="6"/>
      <c r="AT147" s="6"/>
      <c r="AU147" s="6"/>
      <c r="AV147" s="6"/>
      <c r="AW147" s="6"/>
      <c r="AX147" s="6"/>
    </row>
    <row r="148" spans="1:50" ht="15.75" customHeight="1">
      <c r="A148" s="252"/>
      <c r="B148" s="2903" t="s">
        <v>336</v>
      </c>
      <c r="C148" s="2903"/>
      <c r="D148" s="2903"/>
      <c r="E148" s="2903"/>
      <c r="F148" s="6"/>
      <c r="G148" s="63"/>
      <c r="H148" s="480"/>
      <c r="I148" s="748"/>
      <c r="J148" s="711"/>
      <c r="K148" s="526">
        <v>45</v>
      </c>
      <c r="L148" s="748"/>
      <c r="M148" s="711"/>
      <c r="N148" s="526">
        <v>45</v>
      </c>
      <c r="O148" s="710"/>
      <c r="P148" s="582"/>
      <c r="Q148" s="526"/>
      <c r="R148" s="762"/>
      <c r="S148" s="762"/>
      <c r="T148" s="526"/>
      <c r="U148" s="762"/>
      <c r="V148" s="762"/>
      <c r="W148" s="526"/>
      <c r="X148" s="2893"/>
      <c r="Y148" s="2893"/>
      <c r="Z148" s="2893"/>
      <c r="AA148" s="2893"/>
      <c r="AB148" s="2893"/>
      <c r="AC148" s="2893"/>
      <c r="AD148" s="2893"/>
      <c r="AE148" s="2893"/>
      <c r="AF148" s="2893"/>
      <c r="AG148" s="2893"/>
      <c r="AO148" s="6"/>
      <c r="AP148" s="6"/>
      <c r="AQ148" s="6"/>
      <c r="AR148" s="6"/>
      <c r="AS148" s="6"/>
      <c r="AT148" s="6"/>
      <c r="AU148" s="6"/>
      <c r="AV148" s="6"/>
      <c r="AW148" s="6"/>
      <c r="AX148" s="6"/>
    </row>
    <row r="149" spans="1:50" ht="32.25" customHeight="1">
      <c r="A149" s="252"/>
      <c r="B149" s="2903" t="s">
        <v>337</v>
      </c>
      <c r="C149" s="2903"/>
      <c r="D149" s="2903"/>
      <c r="E149" s="2903"/>
      <c r="F149" s="6"/>
      <c r="G149" s="63"/>
      <c r="H149" s="480"/>
      <c r="I149" s="748"/>
      <c r="J149" s="748"/>
      <c r="K149" s="526">
        <v>0</v>
      </c>
      <c r="L149" s="748"/>
      <c r="M149" s="748"/>
      <c r="N149" s="526">
        <v>0</v>
      </c>
      <c r="O149" s="710"/>
      <c r="P149" s="710"/>
      <c r="Q149" s="526"/>
      <c r="R149" s="762"/>
      <c r="S149" s="762"/>
      <c r="T149" s="526"/>
      <c r="U149" s="762"/>
      <c r="V149" s="762"/>
      <c r="W149" s="526"/>
      <c r="X149" s="2893"/>
      <c r="Y149" s="2893"/>
      <c r="Z149" s="2893"/>
      <c r="AA149" s="2893"/>
      <c r="AB149" s="2893"/>
      <c r="AC149" s="2893"/>
      <c r="AD149" s="2893"/>
      <c r="AE149" s="2893"/>
      <c r="AF149" s="2893"/>
      <c r="AG149" s="2893"/>
      <c r="AH149" s="9"/>
      <c r="AO149" s="6"/>
      <c r="AP149" s="6"/>
      <c r="AQ149" s="6"/>
      <c r="AR149" s="6"/>
      <c r="AS149" s="6"/>
      <c r="AT149" s="6"/>
      <c r="AU149" s="6"/>
      <c r="AV149" s="6"/>
      <c r="AW149" s="6"/>
      <c r="AX149" s="6"/>
    </row>
    <row r="150" spans="1:50" ht="32.25" customHeight="1">
      <c r="A150" s="252"/>
      <c r="B150" s="2903" t="s">
        <v>338</v>
      </c>
      <c r="C150" s="2903"/>
      <c r="D150" s="2903"/>
      <c r="E150" s="2903"/>
      <c r="F150" s="6"/>
      <c r="G150" s="63"/>
      <c r="H150" s="480"/>
      <c r="I150" s="748"/>
      <c r="J150" s="748"/>
      <c r="K150" s="526">
        <v>0</v>
      </c>
      <c r="L150" s="748"/>
      <c r="M150" s="748"/>
      <c r="N150" s="526">
        <v>0</v>
      </c>
      <c r="O150" s="710"/>
      <c r="P150" s="710"/>
      <c r="Q150" s="526"/>
      <c r="R150" s="762"/>
      <c r="S150" s="762"/>
      <c r="T150" s="526"/>
      <c r="U150" s="762"/>
      <c r="V150" s="762"/>
      <c r="W150" s="526"/>
      <c r="X150" s="2893"/>
      <c r="Y150" s="2893"/>
      <c r="Z150" s="2893"/>
      <c r="AA150" s="2893"/>
      <c r="AB150" s="2893"/>
      <c r="AC150" s="2893"/>
      <c r="AD150" s="2893"/>
      <c r="AE150" s="2893"/>
      <c r="AF150" s="2893"/>
      <c r="AG150" s="2893"/>
      <c r="AH150" s="9"/>
      <c r="AO150" s="6"/>
      <c r="AP150" s="6"/>
      <c r="AQ150" s="6"/>
      <c r="AR150" s="6"/>
      <c r="AS150" s="6"/>
      <c r="AT150" s="6"/>
      <c r="AU150" s="6"/>
      <c r="AV150" s="6"/>
      <c r="AW150" s="6"/>
      <c r="AX150" s="6"/>
    </row>
    <row r="151" spans="1:50" s="6" customFormat="1" ht="15.75" customHeight="1">
      <c r="A151" s="252"/>
      <c r="B151" s="2903" t="s">
        <v>648</v>
      </c>
      <c r="C151" s="2903"/>
      <c r="D151" s="2903"/>
      <c r="E151" s="2903"/>
      <c r="G151" s="63"/>
      <c r="H151" s="480"/>
      <c r="I151" s="748"/>
      <c r="J151" s="748"/>
      <c r="K151" s="562">
        <v>60</v>
      </c>
      <c r="L151" s="748"/>
      <c r="M151" s="748"/>
      <c r="N151" s="562"/>
      <c r="O151" s="710"/>
      <c r="P151" s="710"/>
      <c r="Q151" s="526"/>
      <c r="R151" s="748"/>
      <c r="S151" s="748"/>
      <c r="T151" s="526"/>
      <c r="U151" s="748"/>
      <c r="V151" s="748"/>
      <c r="W151" s="526"/>
      <c r="X151" s="2893"/>
      <c r="Y151" s="2893"/>
      <c r="Z151" s="2893"/>
      <c r="AA151" s="2893"/>
      <c r="AB151" s="2893"/>
      <c r="AC151" s="2893"/>
      <c r="AD151" s="2893"/>
      <c r="AE151" s="2893"/>
      <c r="AF151" s="2893"/>
      <c r="AG151" s="2893"/>
    </row>
    <row r="152" spans="1:50" ht="15.75" customHeight="1">
      <c r="A152" s="252"/>
      <c r="B152" s="2903" t="s">
        <v>649</v>
      </c>
      <c r="C152" s="2903"/>
      <c r="D152" s="2903"/>
      <c r="E152" s="2903"/>
      <c r="F152" s="6"/>
      <c r="G152" s="63"/>
      <c r="H152" s="797"/>
      <c r="I152" s="748"/>
      <c r="J152" s="711"/>
      <c r="K152" s="562">
        <v>60</v>
      </c>
      <c r="L152" s="748"/>
      <c r="M152" s="711"/>
      <c r="N152" s="562"/>
      <c r="O152" s="710"/>
      <c r="P152" s="582"/>
      <c r="Q152" s="526"/>
      <c r="R152" s="762"/>
      <c r="S152" s="762"/>
      <c r="T152" s="562"/>
      <c r="U152" s="762"/>
      <c r="V152" s="762"/>
      <c r="W152" s="562"/>
      <c r="X152" s="2893"/>
      <c r="Y152" s="2893"/>
      <c r="Z152" s="2893"/>
      <c r="AA152" s="2893"/>
      <c r="AB152" s="2893"/>
      <c r="AC152" s="2893"/>
      <c r="AD152" s="2893"/>
      <c r="AE152" s="2893"/>
      <c r="AF152" s="2893"/>
      <c r="AG152" s="2893"/>
      <c r="AO152" s="6"/>
      <c r="AP152" s="6"/>
      <c r="AQ152" s="6"/>
      <c r="AR152" s="6"/>
      <c r="AS152" s="6"/>
      <c r="AT152" s="6"/>
      <c r="AU152" s="6"/>
      <c r="AV152" s="6"/>
      <c r="AW152" s="6"/>
      <c r="AX152" s="6"/>
    </row>
    <row r="153" spans="1:50" ht="15.75" customHeight="1">
      <c r="A153" s="237"/>
      <c r="B153" s="2903" t="s">
        <v>415</v>
      </c>
      <c r="C153" s="2903"/>
      <c r="D153" s="2903"/>
      <c r="E153" s="2903"/>
      <c r="F153" s="6"/>
      <c r="G153" s="6"/>
      <c r="H153" s="798"/>
      <c r="I153" s="748"/>
      <c r="J153" s="748"/>
      <c r="K153" s="586" t="s">
        <v>5</v>
      </c>
      <c r="L153" s="748"/>
      <c r="M153" s="748"/>
      <c r="N153" s="586" t="s">
        <v>5</v>
      </c>
      <c r="O153" s="710"/>
      <c r="P153" s="710"/>
      <c r="Q153" s="586"/>
      <c r="R153" s="762"/>
      <c r="S153" s="762"/>
      <c r="T153" s="586"/>
      <c r="U153" s="762"/>
      <c r="V153" s="762"/>
      <c r="W153" s="586"/>
      <c r="X153" s="2893"/>
      <c r="Y153" s="2893"/>
      <c r="Z153" s="2893"/>
      <c r="AA153" s="2893"/>
      <c r="AB153" s="2893"/>
      <c r="AC153" s="2893"/>
      <c r="AD153" s="2893"/>
      <c r="AE153" s="2893"/>
      <c r="AF153" s="2893"/>
      <c r="AG153" s="2893"/>
      <c r="AO153" s="6"/>
      <c r="AP153" s="6"/>
      <c r="AQ153" s="6"/>
      <c r="AR153" s="6"/>
      <c r="AS153" s="6"/>
      <c r="AT153" s="6"/>
      <c r="AU153" s="6"/>
      <c r="AV153" s="6"/>
      <c r="AW153" s="6"/>
      <c r="AX153" s="6"/>
    </row>
    <row r="154" spans="1:50"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c r="AO154" s="6"/>
      <c r="AP154" s="6"/>
      <c r="AQ154" s="6"/>
      <c r="AR154" s="6"/>
      <c r="AS154" s="6"/>
      <c r="AT154" s="6"/>
      <c r="AU154" s="6"/>
      <c r="AV154" s="6"/>
      <c r="AW154" s="6"/>
      <c r="AX154" s="6"/>
    </row>
    <row r="155" spans="1:50" ht="15.75" customHeight="1">
      <c r="A155" s="252"/>
      <c r="B155" s="2903" t="s">
        <v>631</v>
      </c>
      <c r="C155" s="2903"/>
      <c r="D155" s="2903"/>
      <c r="E155" s="2903"/>
      <c r="F155" s="6"/>
      <c r="G155" s="65"/>
      <c r="H155" s="799"/>
      <c r="I155" s="710"/>
      <c r="J155" s="711"/>
      <c r="K155" s="628">
        <v>0.21</v>
      </c>
      <c r="L155" s="708"/>
      <c r="M155" s="709"/>
      <c r="N155" s="628"/>
      <c r="O155" s="710"/>
      <c r="P155" s="712"/>
      <c r="Q155" s="628"/>
      <c r="R155" s="762"/>
      <c r="S155" s="762"/>
      <c r="T155" s="628"/>
      <c r="U155" s="762"/>
      <c r="V155" s="762"/>
      <c r="W155" s="628"/>
      <c r="X155" s="2893"/>
      <c r="Y155" s="2893"/>
      <c r="Z155" s="2893"/>
      <c r="AA155" s="2893"/>
      <c r="AB155" s="2893"/>
      <c r="AC155" s="2893"/>
      <c r="AD155" s="2893"/>
      <c r="AE155" s="2893"/>
      <c r="AF155" s="2893"/>
      <c r="AG155" s="2893"/>
      <c r="AH155" s="9"/>
      <c r="AO155" s="6"/>
      <c r="AP155" s="6"/>
      <c r="AQ155" s="6"/>
      <c r="AR155" s="6"/>
      <c r="AS155" s="6"/>
      <c r="AT155" s="6"/>
      <c r="AU155" s="6"/>
      <c r="AV155" s="6"/>
      <c r="AW155" s="6"/>
      <c r="AX155" s="6"/>
    </row>
    <row r="156" spans="1:50" ht="15.75" customHeight="1">
      <c r="A156" s="252"/>
      <c r="B156" s="2903" t="s">
        <v>633</v>
      </c>
      <c r="C156" s="2903"/>
      <c r="D156" s="2903"/>
      <c r="E156" s="2903"/>
      <c r="F156" s="6"/>
      <c r="G156" s="65"/>
      <c r="H156" s="480"/>
      <c r="I156" s="710"/>
      <c r="J156" s="711"/>
      <c r="K156" s="526" t="s">
        <v>279</v>
      </c>
      <c r="L156" s="710"/>
      <c r="M156" s="711"/>
      <c r="N156" s="526"/>
      <c r="O156" s="710"/>
      <c r="P156" s="712"/>
      <c r="Q156" s="526"/>
      <c r="R156" s="762"/>
      <c r="S156" s="762"/>
      <c r="T156" s="526"/>
      <c r="U156" s="762"/>
      <c r="V156" s="762"/>
      <c r="W156" s="526"/>
      <c r="X156" s="2893"/>
      <c r="Y156" s="2893"/>
      <c r="Z156" s="2893"/>
      <c r="AA156" s="2893"/>
      <c r="AB156" s="2893"/>
      <c r="AC156" s="2893"/>
      <c r="AD156" s="2893"/>
      <c r="AE156" s="2893"/>
      <c r="AF156" s="2893"/>
      <c r="AG156" s="2893"/>
      <c r="AO156" s="6"/>
      <c r="AP156" s="6"/>
      <c r="AQ156" s="6"/>
      <c r="AR156" s="6"/>
      <c r="AS156" s="6"/>
      <c r="AT156" s="6"/>
      <c r="AU156" s="6"/>
      <c r="AV156" s="6"/>
      <c r="AW156" s="6"/>
      <c r="AX156" s="6"/>
    </row>
    <row r="157" spans="1:50" ht="15.75" customHeight="1">
      <c r="A157" s="252"/>
      <c r="B157" s="2903" t="s">
        <v>627</v>
      </c>
      <c r="C157" s="2903"/>
      <c r="D157" s="2903"/>
      <c r="E157" s="2903"/>
      <c r="F157" s="6"/>
      <c r="G157" s="63"/>
      <c r="H157" s="794"/>
      <c r="I157" s="748"/>
      <c r="J157" s="711"/>
      <c r="K157" s="561" t="s">
        <v>218</v>
      </c>
      <c r="L157" s="748"/>
      <c r="M157" s="711"/>
      <c r="N157" s="561"/>
      <c r="O157" s="710"/>
      <c r="P157" s="582"/>
      <c r="Q157" s="561"/>
      <c r="R157" s="762"/>
      <c r="S157" s="762"/>
      <c r="T157" s="561"/>
      <c r="U157" s="762"/>
      <c r="V157" s="762"/>
      <c r="W157" s="561"/>
      <c r="X157" s="2893"/>
      <c r="Y157" s="2893"/>
      <c r="Z157" s="2893"/>
      <c r="AA157" s="2893"/>
      <c r="AB157" s="2893"/>
      <c r="AC157" s="2893"/>
      <c r="AD157" s="2893"/>
      <c r="AE157" s="2893"/>
      <c r="AF157" s="2893"/>
      <c r="AG157" s="2893"/>
      <c r="AO157" s="6"/>
      <c r="AP157" s="6"/>
      <c r="AQ157" s="6"/>
      <c r="AR157" s="6"/>
      <c r="AS157" s="6"/>
      <c r="AT157" s="6"/>
      <c r="AU157" s="6"/>
      <c r="AV157" s="6"/>
      <c r="AW157" s="6"/>
      <c r="AX157" s="6"/>
    </row>
    <row r="158" spans="1:50" ht="15.75" customHeight="1">
      <c r="A158" s="252"/>
      <c r="B158" s="2904" t="s">
        <v>628</v>
      </c>
      <c r="C158" s="2904"/>
      <c r="D158" s="2904"/>
      <c r="E158" s="2904"/>
      <c r="F158" s="6"/>
      <c r="G158" s="63"/>
      <c r="H158" s="480"/>
      <c r="I158" s="748"/>
      <c r="J158" s="711"/>
      <c r="K158" s="526"/>
      <c r="L158" s="748"/>
      <c r="M158" s="711"/>
      <c r="N158" s="526"/>
      <c r="O158" s="710"/>
      <c r="P158" s="582"/>
      <c r="Q158" s="526"/>
      <c r="R158" s="762"/>
      <c r="S158" s="762"/>
      <c r="T158" s="526"/>
      <c r="U158" s="762"/>
      <c r="V158" s="762"/>
      <c r="W158" s="526"/>
      <c r="X158" s="2893"/>
      <c r="Y158" s="2893"/>
      <c r="Z158" s="2893"/>
      <c r="AA158" s="2893"/>
      <c r="AB158" s="2893"/>
      <c r="AC158" s="2893"/>
      <c r="AD158" s="2893"/>
      <c r="AE158" s="2893"/>
      <c r="AF158" s="2893"/>
      <c r="AG158" s="2893"/>
      <c r="AO158" s="6"/>
      <c r="AP158" s="6"/>
      <c r="AQ158" s="6"/>
      <c r="AR158" s="6"/>
      <c r="AS158" s="6"/>
      <c r="AT158" s="6"/>
      <c r="AU158" s="6"/>
      <c r="AV158" s="6"/>
      <c r="AW158" s="6"/>
      <c r="AX158" s="6"/>
    </row>
    <row r="159" spans="1:50" ht="31.5" customHeight="1">
      <c r="A159" s="252"/>
      <c r="B159" s="2904" t="s">
        <v>629</v>
      </c>
      <c r="C159" s="2904"/>
      <c r="D159" s="2904"/>
      <c r="E159" s="2904"/>
      <c r="F159" s="6"/>
      <c r="G159" s="63"/>
      <c r="H159" s="795"/>
      <c r="I159" s="748"/>
      <c r="J159" s="711"/>
      <c r="K159" s="568"/>
      <c r="L159" s="748"/>
      <c r="M159" s="711"/>
      <c r="N159" s="568"/>
      <c r="O159" s="710"/>
      <c r="P159" s="582"/>
      <c r="Q159" s="568"/>
      <c r="R159" s="762"/>
      <c r="S159" s="762"/>
      <c r="T159" s="568"/>
      <c r="U159" s="762"/>
      <c r="V159" s="762"/>
      <c r="W159" s="568"/>
      <c r="X159" s="2893"/>
      <c r="Y159" s="2893"/>
      <c r="Z159" s="2893"/>
      <c r="AA159" s="2893"/>
      <c r="AB159" s="2893"/>
      <c r="AC159" s="2893"/>
      <c r="AD159" s="2893"/>
      <c r="AE159" s="2893"/>
      <c r="AF159" s="2893"/>
      <c r="AG159" s="2893"/>
      <c r="AO159" s="6"/>
      <c r="AP159" s="6"/>
      <c r="AQ159" s="6"/>
      <c r="AR159" s="6"/>
      <c r="AS159" s="6"/>
      <c r="AT159" s="6"/>
      <c r="AU159" s="6"/>
      <c r="AV159" s="6"/>
      <c r="AW159" s="6"/>
      <c r="AX159" s="6"/>
    </row>
    <row r="160" spans="1:50" ht="15.75" customHeight="1">
      <c r="A160" s="252"/>
      <c r="B160" s="2903" t="s">
        <v>632</v>
      </c>
      <c r="C160" s="2903"/>
      <c r="D160" s="2903"/>
      <c r="E160" s="2903"/>
      <c r="F160" s="6"/>
      <c r="G160" s="65"/>
      <c r="H160" s="480"/>
      <c r="I160" s="710"/>
      <c r="J160" s="711"/>
      <c r="K160" s="526">
        <f>1*2</f>
        <v>2</v>
      </c>
      <c r="L160" s="710"/>
      <c r="M160" s="711"/>
      <c r="N160" s="526"/>
      <c r="O160" s="710"/>
      <c r="P160" s="712"/>
      <c r="Q160" s="526"/>
      <c r="R160" s="762"/>
      <c r="S160" s="762"/>
      <c r="T160" s="526"/>
      <c r="U160" s="762"/>
      <c r="V160" s="762"/>
      <c r="W160" s="526"/>
      <c r="X160" s="2893"/>
      <c r="Y160" s="2893"/>
      <c r="Z160" s="2893"/>
      <c r="AA160" s="2893"/>
      <c r="AB160" s="2893"/>
      <c r="AC160" s="2893"/>
      <c r="AD160" s="2893"/>
      <c r="AE160" s="2893"/>
      <c r="AF160" s="2893"/>
      <c r="AG160" s="2893"/>
      <c r="AO160" s="6"/>
      <c r="AP160" s="6"/>
      <c r="AQ160" s="6"/>
      <c r="AR160" s="6"/>
      <c r="AS160" s="6"/>
      <c r="AT160" s="6"/>
      <c r="AU160" s="6"/>
      <c r="AV160" s="6"/>
      <c r="AW160" s="6"/>
      <c r="AX160" s="6"/>
    </row>
    <row r="161" spans="1:50" ht="29.9" customHeight="1">
      <c r="A161" s="252"/>
      <c r="B161" s="2903" t="s">
        <v>1551</v>
      </c>
      <c r="C161" s="2903"/>
      <c r="D161" s="2903"/>
      <c r="E161" s="2903"/>
      <c r="F161" s="6"/>
      <c r="G161" s="65"/>
      <c r="H161" s="796"/>
      <c r="I161" s="710"/>
      <c r="J161" s="711"/>
      <c r="K161" s="619">
        <v>0.7</v>
      </c>
      <c r="L161" s="710"/>
      <c r="M161" s="711"/>
      <c r="N161" s="619"/>
      <c r="O161" s="710"/>
      <c r="P161" s="712"/>
      <c r="Q161" s="619"/>
      <c r="R161" s="762"/>
      <c r="S161" s="762"/>
      <c r="T161" s="619"/>
      <c r="U161" s="762"/>
      <c r="V161" s="762"/>
      <c r="W161" s="619"/>
      <c r="X161" s="2893"/>
      <c r="Y161" s="2893"/>
      <c r="Z161" s="2893"/>
      <c r="AA161" s="2893"/>
      <c r="AB161" s="2893"/>
      <c r="AC161" s="2893"/>
      <c r="AD161" s="2893"/>
      <c r="AE161" s="2893"/>
      <c r="AF161" s="2893"/>
      <c r="AG161" s="2893"/>
      <c r="AH161" s="9"/>
      <c r="AO161" s="6"/>
      <c r="AP161" s="6"/>
      <c r="AQ161" s="6"/>
      <c r="AR161" s="6"/>
      <c r="AS161" s="6"/>
      <c r="AT161" s="6"/>
      <c r="AU161" s="6"/>
      <c r="AV161" s="6"/>
      <c r="AW161" s="6"/>
      <c r="AX161" s="6"/>
    </row>
    <row r="162" spans="1:50" ht="29.9" customHeight="1">
      <c r="A162" s="252"/>
      <c r="B162" s="2903" t="s">
        <v>1552</v>
      </c>
      <c r="C162" s="2903"/>
      <c r="D162" s="2903"/>
      <c r="E162" s="2903"/>
      <c r="F162" s="6"/>
      <c r="G162" s="65"/>
      <c r="H162" s="796"/>
      <c r="I162" s="710"/>
      <c r="J162" s="711"/>
      <c r="K162" s="619">
        <v>0</v>
      </c>
      <c r="L162" s="710"/>
      <c r="M162" s="711"/>
      <c r="N162" s="619"/>
      <c r="O162" s="710"/>
      <c r="P162" s="712"/>
      <c r="Q162" s="619"/>
      <c r="R162" s="762"/>
      <c r="S162" s="762"/>
      <c r="T162" s="619"/>
      <c r="U162" s="762"/>
      <c r="V162" s="762"/>
      <c r="W162" s="619"/>
      <c r="X162" s="2893"/>
      <c r="Y162" s="2893"/>
      <c r="Z162" s="2893"/>
      <c r="AA162" s="2893"/>
      <c r="AB162" s="2893"/>
      <c r="AC162" s="2893"/>
      <c r="AD162" s="2893"/>
      <c r="AE162" s="2893"/>
      <c r="AF162" s="2893"/>
      <c r="AG162" s="2893"/>
      <c r="AH162" s="9"/>
      <c r="AO162" s="6"/>
      <c r="AP162" s="6"/>
      <c r="AQ162" s="6"/>
      <c r="AR162" s="6"/>
      <c r="AS162" s="6"/>
      <c r="AT162" s="6"/>
      <c r="AU162" s="6"/>
      <c r="AV162" s="6"/>
      <c r="AW162" s="6"/>
      <c r="AX162" s="6"/>
    </row>
    <row r="163" spans="1:50" ht="31.5" customHeight="1">
      <c r="A163" s="252"/>
      <c r="B163" s="2903" t="s">
        <v>331</v>
      </c>
      <c r="C163" s="2903"/>
      <c r="D163" s="2903"/>
      <c r="E163" s="2903"/>
      <c r="F163" s="6"/>
      <c r="G163" s="65"/>
      <c r="H163" s="480"/>
      <c r="I163" s="710"/>
      <c r="J163" s="711"/>
      <c r="K163" s="526" t="s">
        <v>132</v>
      </c>
      <c r="L163" s="710"/>
      <c r="M163" s="711"/>
      <c r="N163" s="526"/>
      <c r="O163" s="710"/>
      <c r="P163" s="712"/>
      <c r="Q163" s="526"/>
      <c r="R163" s="762"/>
      <c r="S163" s="762"/>
      <c r="T163" s="526"/>
      <c r="U163" s="762"/>
      <c r="V163" s="762"/>
      <c r="W163" s="526"/>
      <c r="X163" s="2893"/>
      <c r="Y163" s="2893"/>
      <c r="Z163" s="2893"/>
      <c r="AA163" s="2893"/>
      <c r="AB163" s="2893"/>
      <c r="AC163" s="2893"/>
      <c r="AD163" s="2893"/>
      <c r="AE163" s="2893"/>
      <c r="AF163" s="2893"/>
      <c r="AG163" s="2893"/>
      <c r="AO163" s="6"/>
      <c r="AP163" s="6"/>
      <c r="AQ163" s="6"/>
      <c r="AR163" s="6"/>
      <c r="AS163" s="6"/>
      <c r="AT163" s="6"/>
      <c r="AU163" s="6"/>
      <c r="AV163" s="6"/>
      <c r="AW163" s="6"/>
      <c r="AX163" s="6"/>
    </row>
    <row r="164" spans="1:50" ht="15.75" customHeight="1">
      <c r="A164" s="252"/>
      <c r="B164" s="2904" t="s">
        <v>332</v>
      </c>
      <c r="C164" s="2904"/>
      <c r="D164" s="2904"/>
      <c r="E164" s="2904"/>
      <c r="F164" s="6"/>
      <c r="G164" s="65"/>
      <c r="H164" s="480"/>
      <c r="I164" s="748"/>
      <c r="J164" s="711"/>
      <c r="K164" s="526"/>
      <c r="L164" s="748"/>
      <c r="M164" s="711"/>
      <c r="N164" s="526"/>
      <c r="O164" s="710"/>
      <c r="P164" s="582"/>
      <c r="Q164" s="526"/>
      <c r="R164" s="762"/>
      <c r="S164" s="762"/>
      <c r="T164" s="526"/>
      <c r="U164" s="762"/>
      <c r="V164" s="762"/>
      <c r="W164" s="526"/>
      <c r="X164" s="2893"/>
      <c r="Y164" s="2893"/>
      <c r="Z164" s="2893"/>
      <c r="AA164" s="2893"/>
      <c r="AB164" s="2893"/>
      <c r="AC164" s="2893"/>
      <c r="AD164" s="2893"/>
      <c r="AE164" s="2893"/>
      <c r="AF164" s="2893"/>
      <c r="AG164" s="2893"/>
      <c r="AO164" s="6"/>
      <c r="AP164" s="6"/>
      <c r="AQ164" s="6"/>
      <c r="AR164" s="6"/>
      <c r="AS164" s="6"/>
      <c r="AT164" s="6"/>
      <c r="AU164" s="6"/>
      <c r="AV164" s="6"/>
      <c r="AW164" s="6"/>
      <c r="AX164" s="6"/>
    </row>
    <row r="165" spans="1:50" ht="15.75" customHeight="1">
      <c r="A165" s="252"/>
      <c r="B165" s="2903" t="s">
        <v>333</v>
      </c>
      <c r="C165" s="2903"/>
      <c r="D165" s="2903"/>
      <c r="E165" s="2903"/>
      <c r="F165" s="6"/>
      <c r="G165" s="65"/>
      <c r="H165" s="480"/>
      <c r="I165" s="710"/>
      <c r="J165" s="711"/>
      <c r="K165" s="526" t="s">
        <v>22</v>
      </c>
      <c r="L165" s="710"/>
      <c r="M165" s="711"/>
      <c r="N165" s="526"/>
      <c r="O165" s="710"/>
      <c r="P165" s="712"/>
      <c r="Q165" s="526"/>
      <c r="R165" s="762"/>
      <c r="S165" s="762"/>
      <c r="T165" s="526"/>
      <c r="U165" s="762"/>
      <c r="V165" s="762"/>
      <c r="W165" s="526"/>
      <c r="X165" s="2893"/>
      <c r="Y165" s="2893"/>
      <c r="Z165" s="2893"/>
      <c r="AA165" s="2893"/>
      <c r="AB165" s="2893"/>
      <c r="AC165" s="2893"/>
      <c r="AD165" s="2893"/>
      <c r="AE165" s="2893"/>
      <c r="AF165" s="2893"/>
      <c r="AG165" s="2893"/>
      <c r="AO165" s="6"/>
      <c r="AP165" s="6"/>
      <c r="AQ165" s="6"/>
      <c r="AR165" s="6"/>
      <c r="AS165" s="6"/>
      <c r="AT165" s="6"/>
      <c r="AU165" s="6"/>
      <c r="AV165" s="6"/>
      <c r="AW165" s="6"/>
      <c r="AX165" s="6"/>
    </row>
    <row r="166" spans="1:50" ht="15.75" customHeight="1">
      <c r="A166" s="252"/>
      <c r="B166" s="2903" t="s">
        <v>334</v>
      </c>
      <c r="C166" s="2903"/>
      <c r="D166" s="2903"/>
      <c r="E166" s="2903"/>
      <c r="F166" s="6"/>
      <c r="G166" s="65"/>
      <c r="H166" s="480"/>
      <c r="I166" s="710"/>
      <c r="J166" s="711"/>
      <c r="K166" s="526">
        <v>0</v>
      </c>
      <c r="L166" s="710"/>
      <c r="M166" s="711"/>
      <c r="N166" s="526"/>
      <c r="O166" s="710"/>
      <c r="P166" s="712"/>
      <c r="Q166" s="526"/>
      <c r="R166" s="762"/>
      <c r="S166" s="762"/>
      <c r="T166" s="526"/>
      <c r="U166" s="762"/>
      <c r="V166" s="762"/>
      <c r="W166" s="526"/>
      <c r="X166" s="2893"/>
      <c r="Y166" s="2893"/>
      <c r="Z166" s="2893"/>
      <c r="AA166" s="2893"/>
      <c r="AB166" s="2893"/>
      <c r="AC166" s="2893"/>
      <c r="AD166" s="2893"/>
      <c r="AE166" s="2893"/>
      <c r="AF166" s="2893"/>
      <c r="AG166" s="2893"/>
      <c r="AO166" s="6"/>
      <c r="AP166" s="6"/>
      <c r="AQ166" s="6"/>
      <c r="AR166" s="6"/>
      <c r="AS166" s="6"/>
      <c r="AT166" s="6"/>
      <c r="AU166" s="6"/>
      <c r="AV166" s="6"/>
      <c r="AW166" s="6"/>
      <c r="AX166" s="6"/>
    </row>
    <row r="167" spans="1:50" ht="15.75" customHeight="1">
      <c r="A167" s="252"/>
      <c r="B167" s="2904" t="s">
        <v>335</v>
      </c>
      <c r="C167" s="2904"/>
      <c r="D167" s="2904"/>
      <c r="E167" s="2904"/>
      <c r="F167" s="6"/>
      <c r="G167" s="65"/>
      <c r="H167" s="480"/>
      <c r="I167" s="710"/>
      <c r="J167" s="711"/>
      <c r="K167" s="526"/>
      <c r="L167" s="710"/>
      <c r="M167" s="711"/>
      <c r="N167" s="526"/>
      <c r="O167" s="710"/>
      <c r="P167" s="712"/>
      <c r="Q167" s="526"/>
      <c r="R167" s="762"/>
      <c r="S167" s="762"/>
      <c r="T167" s="526"/>
      <c r="U167" s="762"/>
      <c r="V167" s="762"/>
      <c r="W167" s="526"/>
      <c r="X167" s="2893"/>
      <c r="Y167" s="2893"/>
      <c r="Z167" s="2893"/>
      <c r="AA167" s="2893"/>
      <c r="AB167" s="2893"/>
      <c r="AC167" s="2893"/>
      <c r="AD167" s="2893"/>
      <c r="AE167" s="2893"/>
      <c r="AF167" s="2893"/>
      <c r="AG167" s="2893"/>
      <c r="AO167" s="6"/>
      <c r="AP167" s="6"/>
      <c r="AQ167" s="6"/>
      <c r="AR167" s="6"/>
      <c r="AS167" s="6"/>
      <c r="AT167" s="6"/>
      <c r="AU167" s="6"/>
      <c r="AV167" s="6"/>
      <c r="AW167" s="6"/>
      <c r="AX167" s="6"/>
    </row>
    <row r="168" spans="1:50" ht="15.75" customHeight="1">
      <c r="A168" s="252"/>
      <c r="B168" s="2903" t="s">
        <v>336</v>
      </c>
      <c r="C168" s="2903"/>
      <c r="D168" s="2903"/>
      <c r="E168" s="2903"/>
      <c r="F168" s="6"/>
      <c r="G168" s="65"/>
      <c r="H168" s="480"/>
      <c r="I168" s="710"/>
      <c r="J168" s="711"/>
      <c r="K168" s="526">
        <v>45</v>
      </c>
      <c r="L168" s="710"/>
      <c r="M168" s="711"/>
      <c r="N168" s="526"/>
      <c r="O168" s="710"/>
      <c r="P168" s="712"/>
      <c r="Q168" s="526"/>
      <c r="R168" s="762"/>
      <c r="S168" s="762"/>
      <c r="T168" s="526"/>
      <c r="U168" s="762"/>
      <c r="V168" s="762"/>
      <c r="W168" s="526"/>
      <c r="X168" s="2893"/>
      <c r="Y168" s="2893"/>
      <c r="Z168" s="2893"/>
      <c r="AA168" s="2893"/>
      <c r="AB168" s="2893"/>
      <c r="AC168" s="2893"/>
      <c r="AD168" s="2893"/>
      <c r="AE168" s="2893"/>
      <c r="AF168" s="2893"/>
      <c r="AG168" s="2893"/>
      <c r="AO168" s="6"/>
      <c r="AP168" s="6"/>
      <c r="AQ168" s="6"/>
      <c r="AR168" s="6"/>
      <c r="AS168" s="6"/>
      <c r="AT168" s="6"/>
      <c r="AU168" s="6"/>
      <c r="AV168" s="6"/>
      <c r="AW168" s="6"/>
      <c r="AX168" s="6"/>
    </row>
    <row r="169" spans="1:50" ht="31.5" customHeight="1">
      <c r="A169" s="252"/>
      <c r="B169" s="2903" t="s">
        <v>337</v>
      </c>
      <c r="C169" s="2903"/>
      <c r="D169" s="2903"/>
      <c r="E169" s="2903"/>
      <c r="F169" s="6"/>
      <c r="G169" s="65"/>
      <c r="H169" s="480"/>
      <c r="I169" s="710"/>
      <c r="J169" s="711"/>
      <c r="K169" s="526">
        <v>0</v>
      </c>
      <c r="L169" s="710"/>
      <c r="M169" s="711"/>
      <c r="N169" s="526"/>
      <c r="O169" s="710"/>
      <c r="P169" s="712"/>
      <c r="Q169" s="526"/>
      <c r="R169" s="762"/>
      <c r="S169" s="762"/>
      <c r="T169" s="526"/>
      <c r="U169" s="762"/>
      <c r="V169" s="762"/>
      <c r="W169" s="526"/>
      <c r="X169" s="2893"/>
      <c r="Y169" s="2893"/>
      <c r="Z169" s="2893"/>
      <c r="AA169" s="2893"/>
      <c r="AB169" s="2893"/>
      <c r="AC169" s="2893"/>
      <c r="AD169" s="2893"/>
      <c r="AE169" s="2893"/>
      <c r="AF169" s="2893"/>
      <c r="AG169" s="2893"/>
      <c r="AH169" s="9"/>
      <c r="AO169" s="6"/>
      <c r="AP169" s="6"/>
      <c r="AQ169" s="6"/>
      <c r="AR169" s="6"/>
      <c r="AS169" s="6"/>
      <c r="AT169" s="6"/>
      <c r="AU169" s="6"/>
      <c r="AV169" s="6"/>
      <c r="AW169" s="6"/>
      <c r="AX169" s="6"/>
    </row>
    <row r="170" spans="1:50" ht="31.5" customHeight="1">
      <c r="A170" s="252"/>
      <c r="B170" s="2903" t="s">
        <v>338</v>
      </c>
      <c r="C170" s="2903"/>
      <c r="D170" s="2903"/>
      <c r="E170" s="2903"/>
      <c r="F170" s="6"/>
      <c r="G170" s="65"/>
      <c r="H170" s="480"/>
      <c r="I170" s="710"/>
      <c r="J170" s="711"/>
      <c r="K170" s="526">
        <v>0</v>
      </c>
      <c r="L170" s="710"/>
      <c r="M170" s="711"/>
      <c r="N170" s="526"/>
      <c r="O170" s="710"/>
      <c r="P170" s="712"/>
      <c r="Q170" s="526"/>
      <c r="R170" s="762"/>
      <c r="S170" s="762"/>
      <c r="T170" s="526"/>
      <c r="U170" s="762"/>
      <c r="V170" s="762"/>
      <c r="W170" s="526"/>
      <c r="X170" s="2893"/>
      <c r="Y170" s="2893"/>
      <c r="Z170" s="2893"/>
      <c r="AA170" s="2893"/>
      <c r="AB170" s="2893"/>
      <c r="AC170" s="2893"/>
      <c r="AD170" s="2893"/>
      <c r="AE170" s="2893"/>
      <c r="AF170" s="2893"/>
      <c r="AG170" s="2893"/>
      <c r="AH170" s="9"/>
      <c r="AO170" s="6"/>
      <c r="AP170" s="6"/>
      <c r="AQ170" s="6"/>
      <c r="AR170" s="6"/>
      <c r="AS170" s="6"/>
      <c r="AT170" s="6"/>
      <c r="AU170" s="6"/>
      <c r="AV170" s="6"/>
      <c r="AW170" s="6"/>
      <c r="AX170" s="6"/>
    </row>
    <row r="171" spans="1:50" ht="15.75" customHeight="1">
      <c r="A171" s="252"/>
      <c r="B171" s="2903" t="s">
        <v>648</v>
      </c>
      <c r="C171" s="2903"/>
      <c r="D171" s="2903"/>
      <c r="E171" s="2903"/>
      <c r="F171" s="6"/>
      <c r="G171" s="65"/>
      <c r="H171" s="480"/>
      <c r="I171" s="710"/>
      <c r="J171" s="711"/>
      <c r="K171" s="526">
        <v>60</v>
      </c>
      <c r="L171" s="710"/>
      <c r="M171" s="711"/>
      <c r="N171" s="526"/>
      <c r="O171" s="710"/>
      <c r="P171" s="712"/>
      <c r="Q171" s="526"/>
      <c r="R171" s="762"/>
      <c r="S171" s="762"/>
      <c r="T171" s="526"/>
      <c r="U171" s="762"/>
      <c r="V171" s="762"/>
      <c r="W171" s="526"/>
      <c r="X171" s="2893"/>
      <c r="Y171" s="2893"/>
      <c r="Z171" s="2893"/>
      <c r="AA171" s="2893"/>
      <c r="AB171" s="2893"/>
      <c r="AC171" s="2893"/>
      <c r="AD171" s="2893"/>
      <c r="AE171" s="2893"/>
      <c r="AF171" s="2893"/>
      <c r="AG171" s="2893"/>
      <c r="AO171" s="6"/>
      <c r="AP171" s="6"/>
      <c r="AQ171" s="6"/>
      <c r="AR171" s="6"/>
      <c r="AS171" s="6"/>
      <c r="AT171" s="6"/>
      <c r="AU171" s="6"/>
      <c r="AV171" s="6"/>
      <c r="AW171" s="6"/>
      <c r="AX171" s="6"/>
    </row>
    <row r="172" spans="1:50" ht="15.75" customHeight="1">
      <c r="A172" s="252"/>
      <c r="B172" s="2903" t="s">
        <v>649</v>
      </c>
      <c r="C172" s="2903"/>
      <c r="D172" s="2903"/>
      <c r="E172" s="2903"/>
      <c r="F172" s="6"/>
      <c r="G172" s="65"/>
      <c r="H172" s="797"/>
      <c r="I172" s="710"/>
      <c r="J172" s="711"/>
      <c r="K172" s="562">
        <v>60</v>
      </c>
      <c r="L172" s="710"/>
      <c r="M172" s="711"/>
      <c r="N172" s="562"/>
      <c r="O172" s="710"/>
      <c r="P172" s="712"/>
      <c r="Q172" s="562"/>
      <c r="R172" s="762"/>
      <c r="S172" s="762"/>
      <c r="T172" s="562"/>
      <c r="U172" s="762"/>
      <c r="V172" s="762"/>
      <c r="W172" s="562"/>
      <c r="X172" s="2893"/>
      <c r="Y172" s="2893"/>
      <c r="Z172" s="2893"/>
      <c r="AA172" s="2893"/>
      <c r="AB172" s="2893"/>
      <c r="AC172" s="2893"/>
      <c r="AD172" s="2893"/>
      <c r="AE172" s="2893"/>
      <c r="AF172" s="2893"/>
      <c r="AG172" s="2893"/>
      <c r="AO172" s="6"/>
      <c r="AP172" s="6"/>
      <c r="AQ172" s="6"/>
      <c r="AR172" s="6"/>
      <c r="AS172" s="6"/>
      <c r="AT172" s="6"/>
      <c r="AU172" s="6"/>
      <c r="AV172" s="6"/>
      <c r="AW172" s="6"/>
      <c r="AX172" s="6"/>
    </row>
    <row r="173" spans="1:50" ht="15.75" customHeight="1">
      <c r="A173" s="237"/>
      <c r="B173" s="2903" t="s">
        <v>415</v>
      </c>
      <c r="C173" s="2903"/>
      <c r="D173" s="2903"/>
      <c r="E173" s="2903"/>
      <c r="F173" s="6"/>
      <c r="G173" s="65"/>
      <c r="H173" s="798"/>
      <c r="I173" s="710"/>
      <c r="J173" s="711"/>
      <c r="K173" s="586" t="s">
        <v>5</v>
      </c>
      <c r="L173" s="710"/>
      <c r="M173" s="711"/>
      <c r="N173" s="586"/>
      <c r="O173" s="710"/>
      <c r="P173" s="712"/>
      <c r="Q173" s="586"/>
      <c r="R173" s="762"/>
      <c r="S173" s="762"/>
      <c r="T173" s="586"/>
      <c r="U173" s="762"/>
      <c r="V173" s="762"/>
      <c r="W173" s="586"/>
      <c r="X173" s="2893"/>
      <c r="Y173" s="2893"/>
      <c r="Z173" s="2893"/>
      <c r="AA173" s="2893"/>
      <c r="AB173" s="2893"/>
      <c r="AC173" s="2893"/>
      <c r="AD173" s="2893"/>
      <c r="AE173" s="2893"/>
      <c r="AF173" s="2893"/>
      <c r="AG173" s="2893"/>
      <c r="AO173" s="6"/>
      <c r="AP173" s="6"/>
      <c r="AQ173" s="6"/>
      <c r="AR173" s="6"/>
      <c r="AS173" s="6"/>
      <c r="AT173" s="6"/>
      <c r="AU173" s="6"/>
      <c r="AV173" s="6"/>
      <c r="AW173" s="6"/>
      <c r="AX173" s="6"/>
    </row>
    <row r="174" spans="1:50"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c r="AO174" s="6"/>
      <c r="AP174" s="6"/>
      <c r="AQ174" s="6"/>
      <c r="AR174" s="6"/>
      <c r="AS174" s="6"/>
      <c r="AT174" s="6"/>
      <c r="AU174" s="6"/>
      <c r="AV174" s="6"/>
      <c r="AW174" s="6"/>
      <c r="AX174" s="6"/>
    </row>
    <row r="175" spans="1:50" ht="15.75" customHeight="1">
      <c r="A175" s="252"/>
      <c r="B175" s="2903" t="s">
        <v>631</v>
      </c>
      <c r="C175" s="2903"/>
      <c r="D175" s="2903"/>
      <c r="E175" s="2903"/>
      <c r="F175" s="6"/>
      <c r="G175" s="65"/>
      <c r="H175" s="799"/>
      <c r="I175" s="710"/>
      <c r="J175" s="711"/>
      <c r="K175" s="628"/>
      <c r="L175" s="710"/>
      <c r="M175" s="711"/>
      <c r="N175" s="628"/>
      <c r="O175" s="710"/>
      <c r="P175" s="712"/>
      <c r="Q175" s="628"/>
      <c r="R175" s="762"/>
      <c r="S175" s="762"/>
      <c r="T175" s="628"/>
      <c r="U175" s="762"/>
      <c r="V175" s="762"/>
      <c r="W175" s="628"/>
      <c r="X175" s="2893"/>
      <c r="Y175" s="2893"/>
      <c r="Z175" s="2893"/>
      <c r="AA175" s="2893"/>
      <c r="AB175" s="2893"/>
      <c r="AC175" s="2893"/>
      <c r="AD175" s="2893"/>
      <c r="AE175" s="2893"/>
      <c r="AF175" s="2893"/>
      <c r="AG175" s="2893"/>
      <c r="AH175" s="9"/>
      <c r="AO175" s="6"/>
      <c r="AP175" s="6"/>
      <c r="AQ175" s="6"/>
      <c r="AR175" s="6"/>
      <c r="AS175" s="6"/>
      <c r="AT175" s="6"/>
      <c r="AU175" s="6"/>
      <c r="AV175" s="6"/>
      <c r="AW175" s="6"/>
      <c r="AX175" s="6"/>
    </row>
    <row r="176" spans="1:50" ht="15.75" customHeight="1">
      <c r="A176" s="252"/>
      <c r="B176" s="2903" t="s">
        <v>633</v>
      </c>
      <c r="C176" s="2903"/>
      <c r="D176" s="2903"/>
      <c r="E176" s="2903"/>
      <c r="F176" s="6"/>
      <c r="G176" s="65"/>
      <c r="H176" s="480"/>
      <c r="I176" s="710"/>
      <c r="J176" s="711"/>
      <c r="K176" s="526"/>
      <c r="L176" s="710"/>
      <c r="M176" s="711"/>
      <c r="N176" s="526"/>
      <c r="O176" s="710"/>
      <c r="P176" s="712"/>
      <c r="Q176" s="526"/>
      <c r="R176" s="762"/>
      <c r="S176" s="762"/>
      <c r="T176" s="526"/>
      <c r="U176" s="762"/>
      <c r="V176" s="762"/>
      <c r="W176" s="526"/>
      <c r="X176" s="2893"/>
      <c r="Y176" s="2893"/>
      <c r="Z176" s="2893"/>
      <c r="AA176" s="2893"/>
      <c r="AB176" s="2893"/>
      <c r="AC176" s="2893"/>
      <c r="AD176" s="2893"/>
      <c r="AE176" s="2893"/>
      <c r="AF176" s="2893"/>
      <c r="AG176" s="2893"/>
      <c r="AO176" s="6"/>
      <c r="AP176" s="6"/>
      <c r="AQ176" s="6"/>
      <c r="AR176" s="6"/>
      <c r="AS176" s="6"/>
      <c r="AT176" s="6"/>
      <c r="AU176" s="6"/>
      <c r="AV176" s="6"/>
      <c r="AW176" s="6"/>
      <c r="AX176" s="6"/>
    </row>
    <row r="177" spans="1:50" ht="15.75" customHeight="1">
      <c r="A177" s="252"/>
      <c r="B177" s="2903" t="s">
        <v>627</v>
      </c>
      <c r="C177" s="2903"/>
      <c r="D177" s="2903"/>
      <c r="E177" s="2903"/>
      <c r="F177" s="6"/>
      <c r="G177" s="63"/>
      <c r="H177" s="794"/>
      <c r="I177" s="748"/>
      <c r="J177" s="711"/>
      <c r="K177" s="561"/>
      <c r="L177" s="748"/>
      <c r="M177" s="711"/>
      <c r="N177" s="561"/>
      <c r="O177" s="710"/>
      <c r="P177" s="582"/>
      <c r="Q177" s="561"/>
      <c r="R177" s="762"/>
      <c r="S177" s="762"/>
      <c r="T177" s="561"/>
      <c r="U177" s="762"/>
      <c r="V177" s="762"/>
      <c r="W177" s="561"/>
      <c r="X177" s="2893"/>
      <c r="Y177" s="2893"/>
      <c r="Z177" s="2893"/>
      <c r="AA177" s="2893"/>
      <c r="AB177" s="2893"/>
      <c r="AC177" s="2893"/>
      <c r="AD177" s="2893"/>
      <c r="AE177" s="2893"/>
      <c r="AF177" s="2893"/>
      <c r="AG177" s="2893"/>
      <c r="AO177" s="6"/>
      <c r="AP177" s="6"/>
      <c r="AQ177" s="6"/>
      <c r="AR177" s="6"/>
      <c r="AS177" s="6"/>
      <c r="AT177" s="6"/>
      <c r="AU177" s="6"/>
      <c r="AV177" s="6"/>
      <c r="AW177" s="6"/>
      <c r="AX177" s="6"/>
    </row>
    <row r="178" spans="1:50" ht="15.75" customHeight="1">
      <c r="A178" s="252"/>
      <c r="B178" s="2904" t="s">
        <v>628</v>
      </c>
      <c r="C178" s="2904"/>
      <c r="D178" s="2904"/>
      <c r="E178" s="2904"/>
      <c r="F178" s="6"/>
      <c r="G178" s="63"/>
      <c r="H178" s="480"/>
      <c r="I178" s="748"/>
      <c r="J178" s="711"/>
      <c r="K178" s="526"/>
      <c r="L178" s="748"/>
      <c r="M178" s="711"/>
      <c r="N178" s="526"/>
      <c r="O178" s="710"/>
      <c r="P178" s="582"/>
      <c r="Q178" s="526"/>
      <c r="R178" s="762"/>
      <c r="S178" s="762"/>
      <c r="T178" s="526"/>
      <c r="U178" s="762"/>
      <c r="V178" s="762"/>
      <c r="W178" s="526"/>
      <c r="X178" s="2893"/>
      <c r="Y178" s="2893"/>
      <c r="Z178" s="2893"/>
      <c r="AA178" s="2893"/>
      <c r="AB178" s="2893"/>
      <c r="AC178" s="2893"/>
      <c r="AD178" s="2893"/>
      <c r="AE178" s="2893"/>
      <c r="AF178" s="2893"/>
      <c r="AG178" s="2893"/>
      <c r="AO178" s="6"/>
      <c r="AP178" s="6"/>
      <c r="AQ178" s="6"/>
      <c r="AR178" s="6"/>
      <c r="AS178" s="6"/>
      <c r="AT178" s="6"/>
      <c r="AU178" s="6"/>
      <c r="AV178" s="6"/>
      <c r="AW178" s="6"/>
      <c r="AX178" s="6"/>
    </row>
    <row r="179" spans="1:50" ht="33" customHeight="1">
      <c r="A179" s="252"/>
      <c r="B179" s="2904" t="s">
        <v>629</v>
      </c>
      <c r="C179" s="2904"/>
      <c r="D179" s="2904"/>
      <c r="E179" s="2904"/>
      <c r="F179" s="6"/>
      <c r="G179" s="63"/>
      <c r="H179" s="795"/>
      <c r="I179" s="748"/>
      <c r="J179" s="711"/>
      <c r="K179" s="568"/>
      <c r="L179" s="748"/>
      <c r="M179" s="711"/>
      <c r="N179" s="568"/>
      <c r="O179" s="710"/>
      <c r="P179" s="582"/>
      <c r="Q179" s="568"/>
      <c r="R179" s="762"/>
      <c r="S179" s="762"/>
      <c r="T179" s="568"/>
      <c r="U179" s="762"/>
      <c r="V179" s="762"/>
      <c r="W179" s="568"/>
      <c r="X179" s="2893"/>
      <c r="Y179" s="2893"/>
      <c r="Z179" s="2893"/>
      <c r="AA179" s="2893"/>
      <c r="AB179" s="2893"/>
      <c r="AC179" s="2893"/>
      <c r="AD179" s="2893"/>
      <c r="AE179" s="2893"/>
      <c r="AF179" s="2893"/>
      <c r="AG179" s="2893"/>
      <c r="AO179" s="6"/>
      <c r="AP179" s="6"/>
      <c r="AQ179" s="6"/>
      <c r="AR179" s="6"/>
      <c r="AS179" s="6"/>
      <c r="AT179" s="6"/>
      <c r="AU179" s="6"/>
      <c r="AV179" s="6"/>
      <c r="AW179" s="6"/>
      <c r="AX179" s="6"/>
    </row>
    <row r="180" spans="1:50" ht="15.75" customHeight="1">
      <c r="A180" s="252"/>
      <c r="B180" s="2903" t="s">
        <v>632</v>
      </c>
      <c r="C180" s="2903"/>
      <c r="D180" s="2903"/>
      <c r="E180" s="2903"/>
      <c r="F180" s="6"/>
      <c r="G180" s="65"/>
      <c r="H180" s="480"/>
      <c r="I180" s="710"/>
      <c r="J180" s="711"/>
      <c r="K180" s="526"/>
      <c r="L180" s="710"/>
      <c r="M180" s="711"/>
      <c r="N180" s="526"/>
      <c r="O180" s="710"/>
      <c r="P180" s="712"/>
      <c r="Q180" s="526"/>
      <c r="R180" s="762"/>
      <c r="S180" s="762"/>
      <c r="T180" s="526"/>
      <c r="U180" s="762"/>
      <c r="V180" s="762"/>
      <c r="W180" s="526"/>
      <c r="X180" s="2893"/>
      <c r="Y180" s="2893"/>
      <c r="Z180" s="2893"/>
      <c r="AA180" s="2893"/>
      <c r="AB180" s="2893"/>
      <c r="AC180" s="2893"/>
      <c r="AD180" s="2893"/>
      <c r="AE180" s="2893"/>
      <c r="AF180" s="2893"/>
      <c r="AG180" s="2893"/>
      <c r="AO180" s="6"/>
      <c r="AP180" s="6"/>
      <c r="AQ180" s="6"/>
      <c r="AR180" s="6"/>
      <c r="AS180" s="6"/>
      <c r="AT180" s="6"/>
      <c r="AU180" s="6"/>
      <c r="AV180" s="6"/>
      <c r="AW180" s="6"/>
      <c r="AX180" s="6"/>
    </row>
    <row r="181" spans="1:50" ht="34.5" customHeight="1">
      <c r="A181" s="252"/>
      <c r="B181" s="2903" t="s">
        <v>1551</v>
      </c>
      <c r="C181" s="2903"/>
      <c r="D181" s="2903"/>
      <c r="E181" s="2903"/>
      <c r="F181" s="6"/>
      <c r="G181" s="65"/>
      <c r="H181" s="796"/>
      <c r="I181" s="710"/>
      <c r="J181" s="711"/>
      <c r="K181" s="619"/>
      <c r="L181" s="710"/>
      <c r="M181" s="711"/>
      <c r="N181" s="619"/>
      <c r="O181" s="710"/>
      <c r="P181" s="712"/>
      <c r="Q181" s="619"/>
      <c r="R181" s="762"/>
      <c r="S181" s="762"/>
      <c r="T181" s="619"/>
      <c r="U181" s="762"/>
      <c r="V181" s="762"/>
      <c r="W181" s="619"/>
      <c r="X181" s="2893"/>
      <c r="Y181" s="2893"/>
      <c r="Z181" s="2893"/>
      <c r="AA181" s="2893"/>
      <c r="AB181" s="2893"/>
      <c r="AC181" s="2893"/>
      <c r="AD181" s="2893"/>
      <c r="AE181" s="2893"/>
      <c r="AF181" s="2893"/>
      <c r="AG181" s="2893"/>
      <c r="AO181" s="6"/>
      <c r="AP181" s="6"/>
      <c r="AQ181" s="6"/>
      <c r="AR181" s="6"/>
      <c r="AS181" s="6"/>
      <c r="AT181" s="6"/>
      <c r="AU181" s="6"/>
      <c r="AV181" s="6"/>
      <c r="AW181" s="6"/>
      <c r="AX181" s="6"/>
    </row>
    <row r="182" spans="1:50" ht="34.5" customHeight="1">
      <c r="A182" s="252"/>
      <c r="B182" s="2903" t="s">
        <v>1552</v>
      </c>
      <c r="C182" s="2903"/>
      <c r="D182" s="2903"/>
      <c r="E182" s="2903"/>
      <c r="F182" s="6"/>
      <c r="G182" s="65"/>
      <c r="H182" s="796"/>
      <c r="I182" s="710"/>
      <c r="J182" s="711"/>
      <c r="K182" s="619"/>
      <c r="L182" s="710"/>
      <c r="M182" s="711"/>
      <c r="N182" s="619"/>
      <c r="O182" s="710"/>
      <c r="P182" s="712"/>
      <c r="Q182" s="619"/>
      <c r="R182" s="762"/>
      <c r="S182" s="762"/>
      <c r="T182" s="619"/>
      <c r="U182" s="762"/>
      <c r="V182" s="762"/>
      <c r="W182" s="619"/>
      <c r="X182" s="2893"/>
      <c r="Y182" s="2893"/>
      <c r="Z182" s="2893"/>
      <c r="AA182" s="2893"/>
      <c r="AB182" s="2893"/>
      <c r="AC182" s="2893"/>
      <c r="AD182" s="2893"/>
      <c r="AE182" s="2893"/>
      <c r="AF182" s="2893"/>
      <c r="AG182" s="2893"/>
      <c r="AO182" s="6"/>
      <c r="AP182" s="6"/>
      <c r="AQ182" s="6"/>
      <c r="AR182" s="6"/>
      <c r="AS182" s="6"/>
      <c r="AT182" s="6"/>
      <c r="AU182" s="6"/>
      <c r="AV182" s="6"/>
      <c r="AW182" s="6"/>
      <c r="AX182" s="6"/>
    </row>
    <row r="183" spans="1:50" ht="33" customHeight="1">
      <c r="A183" s="252"/>
      <c r="B183" s="2903" t="s">
        <v>331</v>
      </c>
      <c r="C183" s="2903"/>
      <c r="D183" s="2903"/>
      <c r="E183" s="2903"/>
      <c r="F183" s="6"/>
      <c r="G183" s="65"/>
      <c r="H183" s="480"/>
      <c r="I183" s="710"/>
      <c r="J183" s="711"/>
      <c r="K183" s="526"/>
      <c r="L183" s="710"/>
      <c r="M183" s="711"/>
      <c r="N183" s="526"/>
      <c r="O183" s="710"/>
      <c r="P183" s="712"/>
      <c r="Q183" s="526"/>
      <c r="R183" s="762"/>
      <c r="S183" s="762"/>
      <c r="T183" s="526"/>
      <c r="U183" s="762"/>
      <c r="V183" s="762"/>
      <c r="W183" s="526"/>
      <c r="X183" s="2893"/>
      <c r="Y183" s="2893"/>
      <c r="Z183" s="2893"/>
      <c r="AA183" s="2893"/>
      <c r="AB183" s="2893"/>
      <c r="AC183" s="2893"/>
      <c r="AD183" s="2893"/>
      <c r="AE183" s="2893"/>
      <c r="AF183" s="2893"/>
      <c r="AG183" s="2893"/>
      <c r="AO183" s="6"/>
      <c r="AP183" s="6"/>
      <c r="AQ183" s="6"/>
      <c r="AR183" s="6"/>
      <c r="AS183" s="6"/>
      <c r="AT183" s="6"/>
      <c r="AU183" s="6"/>
      <c r="AV183" s="6"/>
      <c r="AW183" s="6"/>
      <c r="AX183" s="6"/>
    </row>
    <row r="184" spans="1:50" ht="15.75" customHeight="1">
      <c r="A184" s="252"/>
      <c r="B184" s="2904" t="s">
        <v>332</v>
      </c>
      <c r="C184" s="2904"/>
      <c r="D184" s="2904"/>
      <c r="E184" s="2904"/>
      <c r="F184" s="6"/>
      <c r="G184" s="65"/>
      <c r="H184" s="480"/>
      <c r="I184" s="748"/>
      <c r="J184" s="711"/>
      <c r="K184" s="526"/>
      <c r="L184" s="748"/>
      <c r="M184" s="711"/>
      <c r="N184" s="526"/>
      <c r="O184" s="710"/>
      <c r="P184" s="582"/>
      <c r="Q184" s="526"/>
      <c r="R184" s="762"/>
      <c r="S184" s="762"/>
      <c r="T184" s="526"/>
      <c r="U184" s="762"/>
      <c r="V184" s="762"/>
      <c r="W184" s="526"/>
      <c r="X184" s="2893"/>
      <c r="Y184" s="2893"/>
      <c r="Z184" s="2893"/>
      <c r="AA184" s="2893"/>
      <c r="AB184" s="2893"/>
      <c r="AC184" s="2893"/>
      <c r="AD184" s="2893"/>
      <c r="AE184" s="2893"/>
      <c r="AF184" s="2893"/>
      <c r="AG184" s="2893"/>
      <c r="AO184" s="6"/>
      <c r="AP184" s="6"/>
      <c r="AQ184" s="6"/>
      <c r="AR184" s="6"/>
      <c r="AS184" s="6"/>
      <c r="AT184" s="6"/>
      <c r="AU184" s="6"/>
      <c r="AV184" s="6"/>
      <c r="AW184" s="6"/>
      <c r="AX184" s="6"/>
    </row>
    <row r="185" spans="1:50" ht="15.75" customHeight="1">
      <c r="A185" s="252"/>
      <c r="B185" s="2903" t="s">
        <v>333</v>
      </c>
      <c r="C185" s="2903"/>
      <c r="D185" s="2903"/>
      <c r="E185" s="2903"/>
      <c r="F185" s="6"/>
      <c r="G185" s="65"/>
      <c r="H185" s="480"/>
      <c r="I185" s="710"/>
      <c r="J185" s="711"/>
      <c r="K185" s="526"/>
      <c r="L185" s="710"/>
      <c r="M185" s="711"/>
      <c r="N185" s="526"/>
      <c r="O185" s="710"/>
      <c r="P185" s="712"/>
      <c r="Q185" s="526"/>
      <c r="R185" s="762"/>
      <c r="S185" s="762"/>
      <c r="T185" s="526"/>
      <c r="U185" s="762"/>
      <c r="V185" s="762"/>
      <c r="W185" s="526"/>
      <c r="X185" s="2893"/>
      <c r="Y185" s="2893"/>
      <c r="Z185" s="2893"/>
      <c r="AA185" s="2893"/>
      <c r="AB185" s="2893"/>
      <c r="AC185" s="2893"/>
      <c r="AD185" s="2893"/>
      <c r="AE185" s="2893"/>
      <c r="AF185" s="2893"/>
      <c r="AG185" s="2893"/>
      <c r="AO185" s="6"/>
      <c r="AP185" s="6"/>
      <c r="AQ185" s="6"/>
      <c r="AR185" s="6"/>
      <c r="AS185" s="6"/>
      <c r="AT185" s="6"/>
      <c r="AU185" s="6"/>
      <c r="AV185" s="6"/>
      <c r="AW185" s="6"/>
      <c r="AX185" s="6"/>
    </row>
    <row r="186" spans="1:50" ht="15.75" customHeight="1">
      <c r="A186" s="252"/>
      <c r="B186" s="2903" t="s">
        <v>334</v>
      </c>
      <c r="C186" s="2903"/>
      <c r="D186" s="2903"/>
      <c r="E186" s="2903"/>
      <c r="F186" s="6"/>
      <c r="G186" s="65"/>
      <c r="H186" s="480"/>
      <c r="I186" s="710"/>
      <c r="J186" s="711"/>
      <c r="K186" s="526"/>
      <c r="L186" s="710"/>
      <c r="M186" s="711"/>
      <c r="N186" s="526"/>
      <c r="O186" s="710"/>
      <c r="P186" s="712"/>
      <c r="Q186" s="526"/>
      <c r="R186" s="762"/>
      <c r="S186" s="762"/>
      <c r="T186" s="526"/>
      <c r="U186" s="762"/>
      <c r="V186" s="762"/>
      <c r="W186" s="526"/>
      <c r="X186" s="2893"/>
      <c r="Y186" s="2893"/>
      <c r="Z186" s="2893"/>
      <c r="AA186" s="2893"/>
      <c r="AB186" s="2893"/>
      <c r="AC186" s="2893"/>
      <c r="AD186" s="2893"/>
      <c r="AE186" s="2893"/>
      <c r="AF186" s="2893"/>
      <c r="AG186" s="2893"/>
      <c r="AO186" s="6"/>
      <c r="AP186" s="6"/>
      <c r="AQ186" s="6"/>
      <c r="AR186" s="6"/>
      <c r="AS186" s="6"/>
      <c r="AT186" s="6"/>
      <c r="AU186" s="6"/>
      <c r="AV186" s="6"/>
      <c r="AW186" s="6"/>
      <c r="AX186" s="6"/>
    </row>
    <row r="187" spans="1:50" ht="15.75" customHeight="1">
      <c r="A187" s="252"/>
      <c r="B187" s="2904" t="s">
        <v>335</v>
      </c>
      <c r="C187" s="2904"/>
      <c r="D187" s="2904"/>
      <c r="E187" s="2904"/>
      <c r="F187" s="6"/>
      <c r="G187" s="65"/>
      <c r="H187" s="480"/>
      <c r="I187" s="710"/>
      <c r="J187" s="711"/>
      <c r="K187" s="526"/>
      <c r="L187" s="710"/>
      <c r="M187" s="711"/>
      <c r="N187" s="526"/>
      <c r="O187" s="710"/>
      <c r="P187" s="712"/>
      <c r="Q187" s="526"/>
      <c r="R187" s="762"/>
      <c r="S187" s="762"/>
      <c r="T187" s="526"/>
      <c r="U187" s="762"/>
      <c r="V187" s="762"/>
      <c r="W187" s="526"/>
      <c r="X187" s="2893"/>
      <c r="Y187" s="2893"/>
      <c r="Z187" s="2893"/>
      <c r="AA187" s="2893"/>
      <c r="AB187" s="2893"/>
      <c r="AC187" s="2893"/>
      <c r="AD187" s="2893"/>
      <c r="AE187" s="2893"/>
      <c r="AF187" s="2893"/>
      <c r="AG187" s="2893"/>
      <c r="AO187" s="6"/>
      <c r="AP187" s="6"/>
      <c r="AQ187" s="6"/>
      <c r="AR187" s="6"/>
      <c r="AS187" s="6"/>
      <c r="AT187" s="6"/>
      <c r="AU187" s="6"/>
      <c r="AV187" s="6"/>
      <c r="AW187" s="6"/>
      <c r="AX187" s="6"/>
    </row>
    <row r="188" spans="1:50" ht="15.75" customHeight="1">
      <c r="A188" s="252"/>
      <c r="B188" s="2903" t="s">
        <v>336</v>
      </c>
      <c r="C188" s="2903"/>
      <c r="D188" s="2903"/>
      <c r="E188" s="2903"/>
      <c r="F188" s="6"/>
      <c r="G188" s="65"/>
      <c r="H188" s="480"/>
      <c r="I188" s="710"/>
      <c r="J188" s="711"/>
      <c r="K188" s="526"/>
      <c r="L188" s="710"/>
      <c r="M188" s="711"/>
      <c r="N188" s="526"/>
      <c r="O188" s="710"/>
      <c r="P188" s="712"/>
      <c r="Q188" s="526"/>
      <c r="R188" s="762"/>
      <c r="S188" s="762"/>
      <c r="T188" s="526"/>
      <c r="U188" s="762"/>
      <c r="V188" s="762"/>
      <c r="W188" s="526"/>
      <c r="X188" s="2893"/>
      <c r="Y188" s="2893"/>
      <c r="Z188" s="2893"/>
      <c r="AA188" s="2893"/>
      <c r="AB188" s="2893"/>
      <c r="AC188" s="2893"/>
      <c r="AD188" s="2893"/>
      <c r="AE188" s="2893"/>
      <c r="AF188" s="2893"/>
      <c r="AG188" s="2893"/>
      <c r="AO188" s="6"/>
      <c r="AP188" s="6"/>
      <c r="AQ188" s="6"/>
      <c r="AR188" s="6"/>
      <c r="AS188" s="6"/>
      <c r="AT188" s="6"/>
      <c r="AU188" s="6"/>
      <c r="AV188" s="6"/>
      <c r="AW188" s="6"/>
      <c r="AX188" s="6"/>
    </row>
    <row r="189" spans="1:50" ht="33" customHeight="1">
      <c r="A189" s="252"/>
      <c r="B189" s="2903" t="s">
        <v>337</v>
      </c>
      <c r="C189" s="2903"/>
      <c r="D189" s="2903"/>
      <c r="E189" s="2903"/>
      <c r="F189" s="6"/>
      <c r="G189" s="65"/>
      <c r="H189" s="480"/>
      <c r="I189" s="710"/>
      <c r="J189" s="711"/>
      <c r="K189" s="526"/>
      <c r="L189" s="710"/>
      <c r="M189" s="711"/>
      <c r="N189" s="526"/>
      <c r="O189" s="710"/>
      <c r="P189" s="712"/>
      <c r="Q189" s="526"/>
      <c r="R189" s="762"/>
      <c r="S189" s="762"/>
      <c r="T189" s="526"/>
      <c r="U189" s="762"/>
      <c r="V189" s="762"/>
      <c r="W189" s="526"/>
      <c r="X189" s="2893"/>
      <c r="Y189" s="2893"/>
      <c r="Z189" s="2893"/>
      <c r="AA189" s="2893"/>
      <c r="AB189" s="2893"/>
      <c r="AC189" s="2893"/>
      <c r="AD189" s="2893"/>
      <c r="AE189" s="2893"/>
      <c r="AF189" s="2893"/>
      <c r="AG189" s="2893"/>
      <c r="AO189" s="6"/>
      <c r="AP189" s="6"/>
      <c r="AQ189" s="6"/>
      <c r="AR189" s="6"/>
      <c r="AS189" s="6"/>
      <c r="AT189" s="6"/>
      <c r="AU189" s="6"/>
      <c r="AV189" s="6"/>
      <c r="AW189" s="6"/>
      <c r="AX189" s="6"/>
    </row>
    <row r="190" spans="1:50" ht="33" customHeight="1">
      <c r="A190" s="252"/>
      <c r="B190" s="2903" t="s">
        <v>338</v>
      </c>
      <c r="C190" s="2903"/>
      <c r="D190" s="2903"/>
      <c r="E190" s="2903"/>
      <c r="F190" s="6"/>
      <c r="G190" s="65"/>
      <c r="H190" s="480"/>
      <c r="I190" s="710"/>
      <c r="J190" s="711"/>
      <c r="K190" s="526"/>
      <c r="L190" s="710"/>
      <c r="M190" s="711"/>
      <c r="N190" s="526"/>
      <c r="O190" s="710"/>
      <c r="P190" s="712"/>
      <c r="Q190" s="526"/>
      <c r="R190" s="762"/>
      <c r="S190" s="762"/>
      <c r="T190" s="526"/>
      <c r="U190" s="762"/>
      <c r="V190" s="762"/>
      <c r="W190" s="526"/>
      <c r="X190" s="2893"/>
      <c r="Y190" s="2893"/>
      <c r="Z190" s="2893"/>
      <c r="AA190" s="2893"/>
      <c r="AB190" s="2893"/>
      <c r="AC190" s="2893"/>
      <c r="AD190" s="2893"/>
      <c r="AE190" s="2893"/>
      <c r="AF190" s="2893"/>
      <c r="AG190" s="2893"/>
      <c r="AO190" s="6"/>
      <c r="AP190" s="6"/>
      <c r="AQ190" s="6"/>
      <c r="AR190" s="6"/>
      <c r="AS190" s="6"/>
      <c r="AT190" s="6"/>
      <c r="AU190" s="6"/>
      <c r="AV190" s="6"/>
      <c r="AW190" s="6"/>
      <c r="AX190" s="6"/>
    </row>
    <row r="191" spans="1:50" ht="15.75" customHeight="1">
      <c r="A191" s="252"/>
      <c r="B191" s="2903" t="s">
        <v>648</v>
      </c>
      <c r="C191" s="2903"/>
      <c r="D191" s="2903"/>
      <c r="E191" s="2903"/>
      <c r="F191" s="6"/>
      <c r="G191" s="65"/>
      <c r="H191" s="480"/>
      <c r="I191" s="710"/>
      <c r="J191" s="711"/>
      <c r="K191" s="526"/>
      <c r="L191" s="710"/>
      <c r="M191" s="711"/>
      <c r="N191" s="526"/>
      <c r="O191" s="710"/>
      <c r="P191" s="712"/>
      <c r="Q191" s="526"/>
      <c r="R191" s="762"/>
      <c r="S191" s="762"/>
      <c r="T191" s="526"/>
      <c r="U191" s="762"/>
      <c r="V191" s="762"/>
      <c r="W191" s="526"/>
      <c r="X191" s="2893"/>
      <c r="Y191" s="2893"/>
      <c r="Z191" s="2893"/>
      <c r="AA191" s="2893"/>
      <c r="AB191" s="2893"/>
      <c r="AC191" s="2893"/>
      <c r="AD191" s="2893"/>
      <c r="AE191" s="2893"/>
      <c r="AF191" s="2893"/>
      <c r="AG191" s="2893"/>
      <c r="AO191" s="6"/>
      <c r="AP191" s="6"/>
      <c r="AQ191" s="6"/>
      <c r="AR191" s="6"/>
      <c r="AS191" s="6"/>
      <c r="AT191" s="6"/>
      <c r="AU191" s="6"/>
      <c r="AV191" s="6"/>
      <c r="AW191" s="6"/>
      <c r="AX191" s="6"/>
    </row>
    <row r="192" spans="1:50" ht="15.75" customHeight="1">
      <c r="A192" s="252"/>
      <c r="B192" s="2903" t="s">
        <v>649</v>
      </c>
      <c r="C192" s="2903"/>
      <c r="D192" s="2903"/>
      <c r="E192" s="2903"/>
      <c r="F192" s="6"/>
      <c r="G192" s="65"/>
      <c r="H192" s="797"/>
      <c r="I192" s="710"/>
      <c r="J192" s="711"/>
      <c r="K192" s="562"/>
      <c r="L192" s="710"/>
      <c r="M192" s="711"/>
      <c r="N192" s="562"/>
      <c r="O192" s="710"/>
      <c r="P192" s="712"/>
      <c r="Q192" s="562"/>
      <c r="R192" s="762"/>
      <c r="S192" s="762"/>
      <c r="T192" s="562"/>
      <c r="U192" s="762"/>
      <c r="V192" s="762"/>
      <c r="W192" s="562"/>
      <c r="X192" s="2893"/>
      <c r="Y192" s="2893"/>
      <c r="Z192" s="2893"/>
      <c r="AA192" s="2893"/>
      <c r="AB192" s="2893"/>
      <c r="AC192" s="2893"/>
      <c r="AD192" s="2893"/>
      <c r="AE192" s="2893"/>
      <c r="AF192" s="2893"/>
      <c r="AG192" s="2893"/>
      <c r="AO192" s="6"/>
      <c r="AP192" s="6"/>
      <c r="AQ192" s="6"/>
      <c r="AR192" s="6"/>
      <c r="AS192" s="6"/>
      <c r="AT192" s="6"/>
      <c r="AU192" s="6"/>
      <c r="AV192" s="6"/>
      <c r="AW192" s="6"/>
      <c r="AX192" s="6"/>
    </row>
    <row r="193" spans="1:50" ht="15.75" customHeight="1">
      <c r="A193" s="237"/>
      <c r="B193" s="2903" t="s">
        <v>415</v>
      </c>
      <c r="C193" s="2903"/>
      <c r="D193" s="2903"/>
      <c r="E193" s="2903"/>
      <c r="F193" s="6"/>
      <c r="G193" s="65"/>
      <c r="H193" s="800"/>
      <c r="I193" s="741"/>
      <c r="J193" s="742"/>
      <c r="K193" s="766"/>
      <c r="L193" s="741"/>
      <c r="M193" s="742"/>
      <c r="N193" s="766"/>
      <c r="O193" s="741"/>
      <c r="P193" s="767"/>
      <c r="Q193" s="766"/>
      <c r="R193" s="768"/>
      <c r="S193" s="768"/>
      <c r="T193" s="766"/>
      <c r="U193" s="768"/>
      <c r="V193" s="768"/>
      <c r="W193" s="766"/>
      <c r="X193" s="2893"/>
      <c r="Y193" s="2893"/>
      <c r="Z193" s="2893"/>
      <c r="AA193" s="2893"/>
      <c r="AB193" s="2893"/>
      <c r="AC193" s="2893"/>
      <c r="AD193" s="2893"/>
      <c r="AE193" s="2893"/>
      <c r="AF193" s="2893"/>
      <c r="AG193" s="2893"/>
      <c r="AO193" s="6"/>
      <c r="AP193" s="6"/>
      <c r="AQ193" s="6"/>
      <c r="AR193" s="6"/>
      <c r="AS193" s="6"/>
      <c r="AT193" s="6"/>
      <c r="AU193" s="6"/>
      <c r="AV193" s="6"/>
      <c r="AW193" s="6"/>
      <c r="AX193" s="6"/>
    </row>
    <row r="194" spans="1:50"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906"/>
      <c r="Y194" s="2906"/>
      <c r="Z194" s="2906"/>
      <c r="AA194" s="2906"/>
      <c r="AB194" s="2906"/>
      <c r="AC194" s="2906"/>
      <c r="AD194" s="2906"/>
      <c r="AE194" s="2906"/>
      <c r="AF194" s="2906"/>
      <c r="AG194" s="2906"/>
      <c r="AO194" s="6"/>
      <c r="AP194" s="6"/>
      <c r="AQ194" s="6"/>
      <c r="AR194" s="6"/>
      <c r="AS194" s="6"/>
      <c r="AT194" s="6"/>
      <c r="AU194" s="6"/>
      <c r="AV194" s="6"/>
      <c r="AW194" s="6"/>
      <c r="AX194" s="6"/>
    </row>
    <row r="195" spans="1:50" ht="22.5" customHeight="1">
      <c r="A195" s="2907" t="s">
        <v>636</v>
      </c>
      <c r="B195" s="2907"/>
      <c r="C195" s="2907"/>
      <c r="D195" s="2907"/>
      <c r="E195" s="2907"/>
      <c r="F195" s="2907"/>
      <c r="G195" s="2907"/>
      <c r="H195" s="693"/>
      <c r="I195" s="597"/>
      <c r="J195" s="594"/>
      <c r="K195" s="693"/>
      <c r="L195" s="2908"/>
      <c r="M195" s="2908"/>
      <c r="N195" s="669"/>
      <c r="O195" s="594"/>
      <c r="P195" s="670"/>
      <c r="Q195" s="671"/>
      <c r="R195" s="682"/>
      <c r="S195" s="682"/>
      <c r="T195" s="682"/>
      <c r="U195" s="682"/>
      <c r="V195" s="682"/>
      <c r="W195" s="682"/>
      <c r="X195" s="2909"/>
      <c r="Y195" s="2909"/>
      <c r="Z195" s="2909"/>
      <c r="AA195" s="2909"/>
      <c r="AB195" s="2909"/>
      <c r="AC195" s="2909"/>
      <c r="AD195" s="2909"/>
      <c r="AE195" s="2909"/>
      <c r="AF195" s="2909"/>
      <c r="AG195" s="2909"/>
      <c r="AO195" s="6"/>
      <c r="AP195" s="6"/>
      <c r="AQ195" s="6"/>
      <c r="AR195" s="6"/>
      <c r="AS195" s="6"/>
      <c r="AT195" s="6"/>
      <c r="AU195" s="6"/>
      <c r="AV195" s="6"/>
      <c r="AW195" s="6"/>
      <c r="AX195" s="6"/>
    </row>
    <row r="196" spans="1:50"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910"/>
      <c r="Y196" s="2910"/>
      <c r="Z196" s="2910"/>
      <c r="AA196" s="2910"/>
      <c r="AB196" s="2910"/>
      <c r="AC196" s="2910"/>
      <c r="AD196" s="2910"/>
      <c r="AE196" s="2910"/>
      <c r="AF196" s="2910"/>
      <c r="AG196" s="2910"/>
      <c r="AO196" s="6"/>
      <c r="AP196" s="6"/>
      <c r="AQ196" s="6"/>
      <c r="AR196" s="6"/>
      <c r="AS196" s="6"/>
      <c r="AT196" s="6"/>
      <c r="AU196" s="6"/>
      <c r="AV196" s="6"/>
      <c r="AW196" s="6"/>
      <c r="AX196" s="6"/>
    </row>
    <row r="197" spans="1:50" ht="31.5" customHeight="1">
      <c r="A197" s="252"/>
      <c r="B197" s="2903" t="s">
        <v>242</v>
      </c>
      <c r="C197" s="2903"/>
      <c r="D197" s="2903"/>
      <c r="E197" s="2903"/>
      <c r="F197" s="6"/>
      <c r="G197" s="65"/>
      <c r="H197" s="801"/>
      <c r="I197" s="710"/>
      <c r="J197" s="711"/>
      <c r="K197" s="588"/>
      <c r="L197" s="710"/>
      <c r="M197" s="711"/>
      <c r="N197" s="588"/>
      <c r="O197" s="710"/>
      <c r="P197" s="712"/>
      <c r="Q197" s="588"/>
      <c r="R197" s="762"/>
      <c r="S197" s="762"/>
      <c r="T197" s="588"/>
      <c r="U197" s="762"/>
      <c r="V197" s="762"/>
      <c r="W197" s="588"/>
      <c r="X197" s="2893"/>
      <c r="Y197" s="2893"/>
      <c r="Z197" s="2893"/>
      <c r="AA197" s="2893"/>
      <c r="AB197" s="2893"/>
      <c r="AC197" s="2893"/>
      <c r="AD197" s="2893"/>
      <c r="AE197" s="2893"/>
      <c r="AF197" s="2893"/>
      <c r="AG197" s="2893"/>
      <c r="AO197" s="6"/>
      <c r="AP197" s="6"/>
      <c r="AQ197" s="6"/>
      <c r="AR197" s="6"/>
      <c r="AS197" s="6"/>
      <c r="AT197" s="6"/>
      <c r="AU197" s="6"/>
      <c r="AV197" s="6"/>
      <c r="AW197" s="6"/>
      <c r="AX197" s="6"/>
    </row>
    <row r="198" spans="1:50"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911"/>
      <c r="Y198" s="2911"/>
      <c r="Z198" s="2911"/>
      <c r="AA198" s="2911"/>
      <c r="AB198" s="2911"/>
      <c r="AC198" s="2911"/>
      <c r="AD198" s="2911"/>
      <c r="AE198" s="2911"/>
      <c r="AF198" s="2911"/>
      <c r="AG198" s="2911"/>
      <c r="AO198" s="6"/>
      <c r="AP198" s="6"/>
      <c r="AQ198" s="6"/>
      <c r="AR198" s="6"/>
      <c r="AS198" s="6"/>
      <c r="AT198" s="6"/>
      <c r="AU198" s="6"/>
      <c r="AV198" s="6"/>
      <c r="AW198" s="6"/>
      <c r="AX198" s="6"/>
    </row>
    <row r="199" spans="1:50" ht="18.649999999999999" customHeight="1">
      <c r="A199" s="252"/>
      <c r="B199" s="2903" t="s">
        <v>625</v>
      </c>
      <c r="C199" s="2903"/>
      <c r="D199" s="2903"/>
      <c r="E199" s="2903"/>
      <c r="F199" s="6"/>
      <c r="G199" s="65"/>
      <c r="H199" s="799"/>
      <c r="I199" s="710"/>
      <c r="J199" s="711"/>
      <c r="K199" s="628"/>
      <c r="L199" s="710"/>
      <c r="M199" s="711"/>
      <c r="N199" s="628"/>
      <c r="O199" s="710"/>
      <c r="P199" s="712"/>
      <c r="Q199" s="628"/>
      <c r="R199" s="762"/>
      <c r="S199" s="762"/>
      <c r="T199" s="628"/>
      <c r="U199" s="762"/>
      <c r="V199" s="762"/>
      <c r="W199" s="628"/>
      <c r="X199" s="2893"/>
      <c r="Y199" s="2893"/>
      <c r="Z199" s="2893"/>
      <c r="AA199" s="2893"/>
      <c r="AB199" s="2893"/>
      <c r="AC199" s="2893"/>
      <c r="AD199" s="2893"/>
      <c r="AE199" s="2893"/>
      <c r="AF199" s="2893"/>
      <c r="AG199" s="2893"/>
      <c r="AO199" s="6"/>
      <c r="AP199" s="6"/>
      <c r="AQ199" s="6"/>
      <c r="AR199" s="6"/>
      <c r="AS199" s="6"/>
      <c r="AT199" s="6"/>
      <c r="AU199" s="6"/>
      <c r="AV199" s="6"/>
      <c r="AW199" s="6"/>
      <c r="AX199" s="6"/>
    </row>
    <row r="200" spans="1:50" ht="18.649999999999999" customHeight="1">
      <c r="A200" s="252"/>
      <c r="B200" s="2903" t="s">
        <v>626</v>
      </c>
      <c r="C200" s="2903"/>
      <c r="D200" s="2903"/>
      <c r="E200" s="2903"/>
      <c r="F200" s="6"/>
      <c r="G200" s="65"/>
      <c r="H200" s="480"/>
      <c r="I200" s="710"/>
      <c r="J200" s="711"/>
      <c r="K200" s="526"/>
      <c r="L200" s="710"/>
      <c r="M200" s="711"/>
      <c r="N200" s="526"/>
      <c r="O200" s="710"/>
      <c r="P200" s="712"/>
      <c r="Q200" s="526"/>
      <c r="R200" s="762"/>
      <c r="S200" s="762"/>
      <c r="T200" s="526"/>
      <c r="U200" s="762"/>
      <c r="V200" s="762"/>
      <c r="W200" s="526"/>
      <c r="X200" s="2893"/>
      <c r="Y200" s="2893"/>
      <c r="Z200" s="2893"/>
      <c r="AA200" s="2893"/>
      <c r="AB200" s="2893"/>
      <c r="AC200" s="2893"/>
      <c r="AD200" s="2893"/>
      <c r="AE200" s="2893"/>
      <c r="AF200" s="2893"/>
      <c r="AG200" s="2893"/>
      <c r="AO200" s="6"/>
      <c r="AP200" s="6"/>
      <c r="AQ200" s="6"/>
      <c r="AR200" s="6"/>
      <c r="AS200" s="6"/>
      <c r="AT200" s="6"/>
      <c r="AU200" s="6"/>
      <c r="AV200" s="6"/>
      <c r="AW200" s="6"/>
      <c r="AX200" s="6"/>
    </row>
    <row r="201" spans="1:50" ht="28.5" customHeight="1">
      <c r="A201" s="252"/>
      <c r="B201" s="2903" t="s">
        <v>627</v>
      </c>
      <c r="C201" s="2903"/>
      <c r="D201" s="2903"/>
      <c r="E201" s="2903"/>
      <c r="F201" s="6"/>
      <c r="G201" s="65"/>
      <c r="H201" s="794"/>
      <c r="I201" s="710"/>
      <c r="J201" s="711"/>
      <c r="K201" s="561"/>
      <c r="L201" s="710"/>
      <c r="M201" s="711"/>
      <c r="N201" s="561"/>
      <c r="O201" s="710"/>
      <c r="P201" s="712"/>
      <c r="Q201" s="561"/>
      <c r="R201" s="762"/>
      <c r="S201" s="762"/>
      <c r="T201" s="561"/>
      <c r="U201" s="762"/>
      <c r="V201" s="762"/>
      <c r="W201" s="561"/>
      <c r="X201" s="2893"/>
      <c r="Y201" s="2893"/>
      <c r="Z201" s="2893"/>
      <c r="AA201" s="2893"/>
      <c r="AB201" s="2893"/>
      <c r="AC201" s="2893"/>
      <c r="AD201" s="2893"/>
      <c r="AE201" s="2893"/>
      <c r="AF201" s="2893"/>
      <c r="AG201" s="2893"/>
      <c r="AO201" s="6"/>
      <c r="AP201" s="6"/>
      <c r="AQ201" s="6"/>
      <c r="AR201" s="6"/>
      <c r="AS201" s="6"/>
      <c r="AT201" s="6"/>
      <c r="AU201" s="6"/>
      <c r="AV201" s="6"/>
      <c r="AW201" s="6"/>
      <c r="AX201" s="6"/>
    </row>
    <row r="202" spans="1:50" ht="28.5" customHeight="1">
      <c r="A202" s="252"/>
      <c r="B202" s="2904" t="s">
        <v>628</v>
      </c>
      <c r="C202" s="2904"/>
      <c r="D202" s="2904"/>
      <c r="E202" s="2904"/>
      <c r="F202" s="6"/>
      <c r="G202" s="65"/>
      <c r="H202" s="480"/>
      <c r="I202" s="710"/>
      <c r="J202" s="711"/>
      <c r="K202" s="526"/>
      <c r="L202" s="710"/>
      <c r="M202" s="711"/>
      <c r="N202" s="526"/>
      <c r="O202" s="710"/>
      <c r="P202" s="712"/>
      <c r="Q202" s="526"/>
      <c r="R202" s="762"/>
      <c r="S202" s="762"/>
      <c r="T202" s="526"/>
      <c r="U202" s="762"/>
      <c r="V202" s="762"/>
      <c r="W202" s="526"/>
      <c r="X202" s="2893"/>
      <c r="Y202" s="2893"/>
      <c r="Z202" s="2893"/>
      <c r="AA202" s="2893"/>
      <c r="AB202" s="2893"/>
      <c r="AC202" s="2893"/>
      <c r="AD202" s="2893"/>
      <c r="AE202" s="2893"/>
      <c r="AF202" s="2893"/>
      <c r="AG202" s="2893"/>
      <c r="AO202" s="6"/>
      <c r="AP202" s="6"/>
      <c r="AQ202" s="6"/>
      <c r="AR202" s="6"/>
      <c r="AS202" s="6"/>
      <c r="AT202" s="6"/>
      <c r="AU202" s="6"/>
      <c r="AV202" s="6"/>
      <c r="AW202" s="6"/>
      <c r="AX202" s="6"/>
    </row>
    <row r="203" spans="1:50" ht="32.9" customHeight="1">
      <c r="A203" s="252"/>
      <c r="B203" s="2904" t="s">
        <v>629</v>
      </c>
      <c r="C203" s="2904"/>
      <c r="D203" s="2904"/>
      <c r="E203" s="2904"/>
      <c r="F203" s="6"/>
      <c r="G203" s="65"/>
      <c r="H203" s="795"/>
      <c r="I203" s="710"/>
      <c r="J203" s="711"/>
      <c r="K203" s="568"/>
      <c r="L203" s="710"/>
      <c r="M203" s="711"/>
      <c r="N203" s="568"/>
      <c r="O203" s="710"/>
      <c r="P203" s="712"/>
      <c r="Q203" s="568"/>
      <c r="R203" s="762"/>
      <c r="S203" s="762"/>
      <c r="T203" s="568"/>
      <c r="U203" s="762"/>
      <c r="V203" s="762"/>
      <c r="W203" s="568"/>
      <c r="X203" s="2893"/>
      <c r="Y203" s="2893"/>
      <c r="Z203" s="2893"/>
      <c r="AA203" s="2893"/>
      <c r="AB203" s="2893"/>
      <c r="AC203" s="2893"/>
      <c r="AD203" s="2893"/>
      <c r="AE203" s="2893"/>
      <c r="AF203" s="2893"/>
      <c r="AG203" s="2893"/>
      <c r="AO203" s="6"/>
      <c r="AP203" s="6"/>
      <c r="AQ203" s="6"/>
      <c r="AR203" s="6"/>
      <c r="AS203" s="6"/>
      <c r="AT203" s="6"/>
      <c r="AU203" s="6"/>
      <c r="AV203" s="6"/>
      <c r="AW203" s="6"/>
      <c r="AX203" s="6"/>
    </row>
    <row r="204" spans="1:50" ht="18.649999999999999" customHeight="1">
      <c r="A204" s="252"/>
      <c r="B204" s="2903" t="s">
        <v>630</v>
      </c>
      <c r="C204" s="2903"/>
      <c r="D204" s="2903"/>
      <c r="E204" s="2903"/>
      <c r="F204" s="6"/>
      <c r="G204" s="65"/>
      <c r="H204" s="480"/>
      <c r="I204" s="710"/>
      <c r="J204" s="711"/>
      <c r="K204" s="526"/>
      <c r="L204" s="710"/>
      <c r="M204" s="711"/>
      <c r="N204" s="526"/>
      <c r="O204" s="710"/>
      <c r="P204" s="712"/>
      <c r="Q204" s="526"/>
      <c r="R204" s="762"/>
      <c r="S204" s="762"/>
      <c r="T204" s="526"/>
      <c r="U204" s="762"/>
      <c r="V204" s="762"/>
      <c r="W204" s="526"/>
      <c r="X204" s="2893"/>
      <c r="Y204" s="2893"/>
      <c r="Z204" s="2893"/>
      <c r="AA204" s="2893"/>
      <c r="AB204" s="2893"/>
      <c r="AC204" s="2893"/>
      <c r="AD204" s="2893"/>
      <c r="AE204" s="2893"/>
      <c r="AF204" s="2893"/>
      <c r="AG204" s="2893"/>
      <c r="AO204" s="6"/>
      <c r="AP204" s="6"/>
      <c r="AQ204" s="6"/>
      <c r="AR204" s="6"/>
      <c r="AS204" s="6"/>
      <c r="AT204" s="6"/>
      <c r="AU204" s="6"/>
      <c r="AV204" s="6"/>
      <c r="AW204" s="6"/>
      <c r="AX204" s="6"/>
    </row>
    <row r="205" spans="1:50" ht="18.649999999999999" customHeight="1">
      <c r="A205" s="252"/>
      <c r="B205" s="2904" t="s">
        <v>634</v>
      </c>
      <c r="C205" s="2904"/>
      <c r="D205" s="2904"/>
      <c r="E205" s="2904"/>
      <c r="F205" s="6"/>
      <c r="G205" s="65"/>
      <c r="H205" s="481"/>
      <c r="I205" s="710"/>
      <c r="J205" s="711"/>
      <c r="K205" s="553"/>
      <c r="L205" s="710"/>
      <c r="M205" s="711"/>
      <c r="N205" s="553"/>
      <c r="O205" s="710"/>
      <c r="P205" s="712"/>
      <c r="Q205" s="553"/>
      <c r="R205" s="762"/>
      <c r="S205" s="762"/>
      <c r="T205" s="553"/>
      <c r="U205" s="762"/>
      <c r="V205" s="762"/>
      <c r="W205" s="553"/>
      <c r="X205" s="2893"/>
      <c r="Y205" s="2893"/>
      <c r="Z205" s="2893"/>
      <c r="AA205" s="2893"/>
      <c r="AB205" s="2893"/>
      <c r="AC205" s="2893"/>
      <c r="AD205" s="2893"/>
      <c r="AE205" s="2893"/>
      <c r="AF205" s="2893"/>
      <c r="AG205" s="2893"/>
      <c r="AO205" s="6"/>
      <c r="AP205" s="6"/>
      <c r="AQ205" s="6"/>
      <c r="AR205" s="6"/>
      <c r="AS205" s="6"/>
      <c r="AT205" s="6"/>
      <c r="AU205" s="6"/>
      <c r="AV205" s="6"/>
      <c r="AW205" s="6"/>
      <c r="AX205" s="6"/>
    </row>
    <row r="206" spans="1:50" ht="36.75" customHeight="1">
      <c r="A206" s="252"/>
      <c r="B206" s="2903" t="s">
        <v>1551</v>
      </c>
      <c r="C206" s="2903"/>
      <c r="D206" s="2903"/>
      <c r="E206" s="2903"/>
      <c r="F206" s="6"/>
      <c r="G206" s="65"/>
      <c r="H206" s="796"/>
      <c r="I206" s="710"/>
      <c r="J206" s="711"/>
      <c r="K206" s="619"/>
      <c r="L206" s="710"/>
      <c r="M206" s="711"/>
      <c r="N206" s="619"/>
      <c r="O206" s="710"/>
      <c r="P206" s="712"/>
      <c r="Q206" s="619"/>
      <c r="R206" s="762"/>
      <c r="S206" s="762"/>
      <c r="T206" s="619"/>
      <c r="U206" s="762"/>
      <c r="V206" s="762"/>
      <c r="W206" s="619"/>
      <c r="X206" s="2893"/>
      <c r="Y206" s="2893"/>
      <c r="Z206" s="2893"/>
      <c r="AA206" s="2893"/>
      <c r="AB206" s="2893"/>
      <c r="AC206" s="2893"/>
      <c r="AD206" s="2893"/>
      <c r="AE206" s="2893"/>
      <c r="AF206" s="2893"/>
      <c r="AG206" s="2893"/>
      <c r="AO206" s="6"/>
      <c r="AP206" s="6"/>
      <c r="AQ206" s="6"/>
      <c r="AR206" s="6"/>
      <c r="AS206" s="6"/>
      <c r="AT206" s="6"/>
      <c r="AU206" s="6"/>
      <c r="AV206" s="6"/>
      <c r="AW206" s="6"/>
      <c r="AX206" s="6"/>
    </row>
    <row r="207" spans="1:50" ht="36.75" customHeight="1">
      <c r="A207" s="252"/>
      <c r="B207" s="2903" t="s">
        <v>1552</v>
      </c>
      <c r="C207" s="2903"/>
      <c r="D207" s="2903"/>
      <c r="E207" s="2903"/>
      <c r="F207" s="6"/>
      <c r="G207" s="65"/>
      <c r="H207" s="796"/>
      <c r="I207" s="710"/>
      <c r="J207" s="711"/>
      <c r="K207" s="619"/>
      <c r="L207" s="710"/>
      <c r="M207" s="711"/>
      <c r="N207" s="619"/>
      <c r="O207" s="710"/>
      <c r="P207" s="712"/>
      <c r="Q207" s="619"/>
      <c r="R207" s="762"/>
      <c r="S207" s="762"/>
      <c r="T207" s="619"/>
      <c r="U207" s="762"/>
      <c r="V207" s="762"/>
      <c r="W207" s="619"/>
      <c r="X207" s="2893"/>
      <c r="Y207" s="2893"/>
      <c r="Z207" s="2893"/>
      <c r="AA207" s="2893"/>
      <c r="AB207" s="2893"/>
      <c r="AC207" s="2893"/>
      <c r="AD207" s="2893"/>
      <c r="AE207" s="2893"/>
      <c r="AF207" s="2893"/>
      <c r="AG207" s="2893"/>
      <c r="AO207" s="6"/>
      <c r="AP207" s="6"/>
      <c r="AQ207" s="6"/>
      <c r="AR207" s="6"/>
      <c r="AS207" s="6"/>
      <c r="AT207" s="6"/>
      <c r="AU207" s="6"/>
      <c r="AV207" s="6"/>
      <c r="AW207" s="6"/>
      <c r="AX207" s="6"/>
    </row>
    <row r="208" spans="1:50" ht="32.9" customHeight="1">
      <c r="A208" s="252"/>
      <c r="B208" s="2903" t="s">
        <v>331</v>
      </c>
      <c r="C208" s="2903"/>
      <c r="D208" s="2903"/>
      <c r="E208" s="2903"/>
      <c r="F208" s="6"/>
      <c r="G208" s="65"/>
      <c r="H208" s="480"/>
      <c r="I208" s="710"/>
      <c r="J208" s="711"/>
      <c r="K208" s="526"/>
      <c r="L208" s="710"/>
      <c r="M208" s="711"/>
      <c r="N208" s="526"/>
      <c r="O208" s="710"/>
      <c r="P208" s="712"/>
      <c r="Q208" s="526"/>
      <c r="R208" s="762"/>
      <c r="S208" s="762"/>
      <c r="T208" s="526"/>
      <c r="U208" s="762"/>
      <c r="V208" s="762"/>
      <c r="W208" s="526"/>
      <c r="X208" s="2893"/>
      <c r="Y208" s="2893"/>
      <c r="Z208" s="2893"/>
      <c r="AA208" s="2893"/>
      <c r="AB208" s="2893"/>
      <c r="AC208" s="2893"/>
      <c r="AD208" s="2893"/>
      <c r="AE208" s="2893"/>
      <c r="AF208" s="2893"/>
      <c r="AG208" s="2893"/>
      <c r="AO208" s="6"/>
      <c r="AP208" s="6"/>
      <c r="AQ208" s="6"/>
      <c r="AR208" s="6"/>
      <c r="AS208" s="6"/>
      <c r="AT208" s="6"/>
      <c r="AU208" s="6"/>
      <c r="AV208" s="6"/>
      <c r="AW208" s="6"/>
      <c r="AX208" s="6"/>
    </row>
    <row r="209" spans="1:50" ht="14.9" customHeight="1">
      <c r="A209" s="252"/>
      <c r="B209" s="2904" t="s">
        <v>332</v>
      </c>
      <c r="C209" s="2904"/>
      <c r="D209" s="2904"/>
      <c r="E209" s="2904"/>
      <c r="F209" s="6"/>
      <c r="G209" s="63"/>
      <c r="H209" s="480"/>
      <c r="I209" s="710"/>
      <c r="J209" s="582"/>
      <c r="K209" s="526"/>
      <c r="L209" s="710"/>
      <c r="M209" s="582"/>
      <c r="N209" s="526"/>
      <c r="O209" s="710"/>
      <c r="P209" s="582"/>
      <c r="Q209" s="526"/>
      <c r="R209" s="762"/>
      <c r="S209" s="762"/>
      <c r="T209" s="526"/>
      <c r="U209" s="762"/>
      <c r="V209" s="762"/>
      <c r="W209" s="526"/>
      <c r="X209" s="2893"/>
      <c r="Y209" s="2893"/>
      <c r="Z209" s="2893"/>
      <c r="AA209" s="2893"/>
      <c r="AB209" s="2893"/>
      <c r="AC209" s="2893"/>
      <c r="AD209" s="2893"/>
      <c r="AE209" s="2893"/>
      <c r="AF209" s="2893"/>
      <c r="AG209" s="2893"/>
      <c r="AO209" s="6"/>
      <c r="AP209" s="6"/>
      <c r="AQ209" s="6"/>
      <c r="AR209" s="6"/>
      <c r="AS209" s="6"/>
      <c r="AT209" s="6"/>
      <c r="AU209" s="6"/>
      <c r="AV209" s="6"/>
      <c r="AW209" s="6"/>
      <c r="AX209" s="6"/>
    </row>
    <row r="210" spans="1:50" ht="18.649999999999999" customHeight="1">
      <c r="A210" s="252"/>
      <c r="B210" s="2903" t="s">
        <v>333</v>
      </c>
      <c r="C210" s="2903"/>
      <c r="D210" s="2903"/>
      <c r="E210" s="2903"/>
      <c r="F210" s="6"/>
      <c r="G210" s="65"/>
      <c r="H210" s="480"/>
      <c r="I210" s="710"/>
      <c r="J210" s="711"/>
      <c r="K210" s="526"/>
      <c r="L210" s="710"/>
      <c r="M210" s="711"/>
      <c r="N210" s="526"/>
      <c r="O210" s="710"/>
      <c r="P210" s="712"/>
      <c r="Q210" s="526"/>
      <c r="R210" s="762"/>
      <c r="S210" s="762"/>
      <c r="T210" s="526"/>
      <c r="U210" s="762"/>
      <c r="V210" s="762"/>
      <c r="W210" s="526"/>
      <c r="X210" s="2893"/>
      <c r="Y210" s="2893"/>
      <c r="Z210" s="2893"/>
      <c r="AA210" s="2893"/>
      <c r="AB210" s="2893"/>
      <c r="AC210" s="2893"/>
      <c r="AD210" s="2893"/>
      <c r="AE210" s="2893"/>
      <c r="AF210" s="2893"/>
      <c r="AG210" s="2893"/>
      <c r="AO210" s="6"/>
      <c r="AP210" s="6"/>
      <c r="AQ210" s="6"/>
      <c r="AR210" s="6"/>
      <c r="AS210" s="6"/>
      <c r="AT210" s="6"/>
      <c r="AU210" s="6"/>
      <c r="AV210" s="6"/>
      <c r="AW210" s="6"/>
      <c r="AX210" s="6"/>
    </row>
    <row r="211" spans="1:50" ht="14.9" customHeight="1">
      <c r="A211" s="252"/>
      <c r="B211" s="2903" t="s">
        <v>334</v>
      </c>
      <c r="C211" s="2903"/>
      <c r="D211" s="2903"/>
      <c r="E211" s="2903"/>
      <c r="F211" s="6"/>
      <c r="G211" s="63"/>
      <c r="H211" s="480"/>
      <c r="I211" s="710"/>
      <c r="J211" s="582"/>
      <c r="K211" s="526"/>
      <c r="L211" s="710"/>
      <c r="M211" s="582"/>
      <c r="N211" s="526"/>
      <c r="O211" s="710"/>
      <c r="P211" s="582"/>
      <c r="Q211" s="526"/>
      <c r="R211" s="762"/>
      <c r="S211" s="762"/>
      <c r="T211" s="526"/>
      <c r="U211" s="762"/>
      <c r="V211" s="762"/>
      <c r="W211" s="526"/>
      <c r="X211" s="2893"/>
      <c r="Y211" s="2893"/>
      <c r="Z211" s="2893"/>
      <c r="AA211" s="2893"/>
      <c r="AB211" s="2893"/>
      <c r="AC211" s="2893"/>
      <c r="AD211" s="2893"/>
      <c r="AE211" s="2893"/>
      <c r="AF211" s="2893"/>
      <c r="AG211" s="2893"/>
      <c r="AO211" s="6"/>
      <c r="AP211" s="6"/>
      <c r="AQ211" s="6"/>
      <c r="AR211" s="6"/>
      <c r="AS211" s="6"/>
      <c r="AT211" s="6"/>
      <c r="AU211" s="6"/>
      <c r="AV211" s="6"/>
      <c r="AW211" s="6"/>
      <c r="AX211" s="6"/>
    </row>
    <row r="212" spans="1:50" ht="14.9" customHeight="1">
      <c r="A212" s="252"/>
      <c r="B212" s="2904" t="s">
        <v>335</v>
      </c>
      <c r="C212" s="2904"/>
      <c r="D212" s="2904"/>
      <c r="E212" s="2904"/>
      <c r="H212" s="480"/>
      <c r="I212" s="713"/>
      <c r="J212" s="713"/>
      <c r="K212" s="526"/>
      <c r="L212" s="713"/>
      <c r="M212" s="713"/>
      <c r="N212" s="526"/>
      <c r="O212" s="713"/>
      <c r="P212" s="713"/>
      <c r="Q212" s="526"/>
      <c r="R212" s="762"/>
      <c r="S212" s="762"/>
      <c r="T212" s="526"/>
      <c r="U212" s="762"/>
      <c r="V212" s="762"/>
      <c r="W212" s="526"/>
      <c r="X212" s="2893"/>
      <c r="Y212" s="2893"/>
      <c r="Z212" s="2893"/>
      <c r="AA212" s="2893"/>
      <c r="AB212" s="2893"/>
      <c r="AC212" s="2893"/>
      <c r="AD212" s="2893"/>
      <c r="AE212" s="2893"/>
      <c r="AF212" s="2893"/>
      <c r="AG212" s="2893"/>
      <c r="AO212" s="6"/>
      <c r="AP212" s="6"/>
      <c r="AQ212" s="6"/>
      <c r="AR212" s="6"/>
      <c r="AS212" s="6"/>
      <c r="AT212" s="6"/>
      <c r="AU212" s="6"/>
      <c r="AV212" s="6"/>
      <c r="AW212" s="6"/>
      <c r="AX212" s="6"/>
    </row>
    <row r="213" spans="1:50" ht="14.9" customHeight="1">
      <c r="A213" s="252"/>
      <c r="B213" s="2903" t="s">
        <v>336</v>
      </c>
      <c r="C213" s="2903"/>
      <c r="D213" s="2903"/>
      <c r="E213" s="2903"/>
      <c r="F213" s="6"/>
      <c r="G213" s="63"/>
      <c r="H213" s="480"/>
      <c r="I213" s="710"/>
      <c r="J213" s="582"/>
      <c r="K213" s="526"/>
      <c r="L213" s="710"/>
      <c r="M213" s="582"/>
      <c r="N213" s="526"/>
      <c r="O213" s="710"/>
      <c r="P213" s="582"/>
      <c r="Q213" s="526"/>
      <c r="R213" s="762"/>
      <c r="S213" s="762"/>
      <c r="T213" s="526"/>
      <c r="U213" s="762"/>
      <c r="V213" s="762"/>
      <c r="W213" s="526"/>
      <c r="X213" s="2893"/>
      <c r="Y213" s="2893"/>
      <c r="Z213" s="2893"/>
      <c r="AA213" s="2893"/>
      <c r="AB213" s="2893"/>
      <c r="AC213" s="2893"/>
      <c r="AD213" s="2893"/>
      <c r="AE213" s="2893"/>
      <c r="AF213" s="2893"/>
      <c r="AG213" s="2893"/>
      <c r="AO213" s="6"/>
      <c r="AP213" s="6"/>
      <c r="AQ213" s="6"/>
      <c r="AR213" s="6"/>
      <c r="AS213" s="6"/>
      <c r="AT213" s="6"/>
      <c r="AU213" s="6"/>
      <c r="AV213" s="6"/>
      <c r="AW213" s="6"/>
      <c r="AX213" s="6"/>
    </row>
    <row r="214" spans="1:50" ht="32.9" customHeight="1">
      <c r="A214" s="252"/>
      <c r="B214" s="2903" t="s">
        <v>337</v>
      </c>
      <c r="C214" s="2903"/>
      <c r="D214" s="2903"/>
      <c r="E214" s="2903"/>
      <c r="F214" s="6"/>
      <c r="G214" s="63"/>
      <c r="H214" s="480"/>
      <c r="I214" s="710"/>
      <c r="J214" s="582"/>
      <c r="K214" s="526"/>
      <c r="L214" s="710"/>
      <c r="M214" s="582"/>
      <c r="N214" s="526"/>
      <c r="O214" s="710"/>
      <c r="P214" s="582"/>
      <c r="Q214" s="526"/>
      <c r="R214" s="762"/>
      <c r="S214" s="762"/>
      <c r="T214" s="526"/>
      <c r="U214" s="762"/>
      <c r="V214" s="762"/>
      <c r="W214" s="526"/>
      <c r="X214" s="2893"/>
      <c r="Y214" s="2893"/>
      <c r="Z214" s="2893"/>
      <c r="AA214" s="2893"/>
      <c r="AB214" s="2893"/>
      <c r="AC214" s="2893"/>
      <c r="AD214" s="2893"/>
      <c r="AE214" s="2893"/>
      <c r="AF214" s="2893"/>
      <c r="AG214" s="2893"/>
      <c r="AO214" s="6"/>
      <c r="AP214" s="6"/>
      <c r="AQ214" s="6"/>
      <c r="AR214" s="6"/>
      <c r="AS214" s="6"/>
      <c r="AT214" s="6"/>
      <c r="AU214" s="6"/>
      <c r="AV214" s="6"/>
      <c r="AW214" s="6"/>
      <c r="AX214" s="6"/>
    </row>
    <row r="215" spans="1:50" ht="32.9" customHeight="1">
      <c r="A215" s="252"/>
      <c r="B215" s="2903" t="s">
        <v>338</v>
      </c>
      <c r="C215" s="2903"/>
      <c r="D215" s="2903"/>
      <c r="E215" s="2903"/>
      <c r="F215" s="6"/>
      <c r="G215" s="63"/>
      <c r="H215" s="480"/>
      <c r="I215" s="710"/>
      <c r="J215" s="582"/>
      <c r="K215" s="526"/>
      <c r="L215" s="710"/>
      <c r="M215" s="582"/>
      <c r="N215" s="526"/>
      <c r="O215" s="710"/>
      <c r="P215" s="582"/>
      <c r="Q215" s="526"/>
      <c r="R215" s="762"/>
      <c r="S215" s="762"/>
      <c r="T215" s="526"/>
      <c r="U215" s="762"/>
      <c r="V215" s="762"/>
      <c r="W215" s="526"/>
      <c r="X215" s="2893"/>
      <c r="Y215" s="2893"/>
      <c r="Z215" s="2893"/>
      <c r="AA215" s="2893"/>
      <c r="AB215" s="2893"/>
      <c r="AC215" s="2893"/>
      <c r="AD215" s="2893"/>
      <c r="AE215" s="2893"/>
      <c r="AF215" s="2893"/>
      <c r="AG215" s="2893"/>
      <c r="AO215" s="6"/>
      <c r="AP215" s="6"/>
      <c r="AQ215" s="6"/>
      <c r="AR215" s="6"/>
      <c r="AS215" s="6"/>
      <c r="AT215" s="6"/>
      <c r="AU215" s="6"/>
      <c r="AV215" s="6"/>
      <c r="AW215" s="6"/>
      <c r="AX215" s="6"/>
    </row>
    <row r="216" spans="1:50" ht="14.9" customHeight="1">
      <c r="A216" s="252"/>
      <c r="B216" s="2903" t="s">
        <v>735</v>
      </c>
      <c r="C216" s="2903"/>
      <c r="D216" s="2903"/>
      <c r="E216" s="2903"/>
      <c r="F216" s="6"/>
      <c r="G216" s="63"/>
      <c r="H216" s="480"/>
      <c r="I216" s="710"/>
      <c r="J216" s="582"/>
      <c r="K216" s="526"/>
      <c r="L216" s="710"/>
      <c r="M216" s="582"/>
      <c r="N216" s="526"/>
      <c r="O216" s="710"/>
      <c r="P216" s="582"/>
      <c r="Q216" s="526"/>
      <c r="R216" s="762"/>
      <c r="S216" s="762"/>
      <c r="T216" s="526"/>
      <c r="U216" s="762"/>
      <c r="V216" s="762"/>
      <c r="W216" s="526"/>
      <c r="X216" s="2893"/>
      <c r="Y216" s="2893"/>
      <c r="Z216" s="2893"/>
      <c r="AA216" s="2893"/>
      <c r="AB216" s="2893"/>
      <c r="AC216" s="2893"/>
      <c r="AD216" s="2893"/>
      <c r="AE216" s="2893"/>
      <c r="AF216" s="2893"/>
      <c r="AG216" s="2893"/>
      <c r="AO216" s="6"/>
      <c r="AP216" s="6"/>
      <c r="AQ216" s="6"/>
      <c r="AR216" s="6"/>
      <c r="AS216" s="6"/>
      <c r="AT216" s="6"/>
      <c r="AU216" s="6"/>
      <c r="AV216" s="6"/>
      <c r="AW216" s="6"/>
      <c r="AX216" s="6"/>
    </row>
    <row r="217" spans="1:50" ht="15" customHeight="1">
      <c r="A217" s="252"/>
      <c r="B217" s="2903" t="s">
        <v>734</v>
      </c>
      <c r="C217" s="2903"/>
      <c r="D217" s="2903"/>
      <c r="E217" s="2903"/>
      <c r="F217" s="6"/>
      <c r="G217" s="63"/>
      <c r="H217" s="797"/>
      <c r="I217" s="710"/>
      <c r="J217" s="582"/>
      <c r="K217" s="562"/>
      <c r="L217" s="710"/>
      <c r="M217" s="582"/>
      <c r="N217" s="562"/>
      <c r="O217" s="710"/>
      <c r="P217" s="582"/>
      <c r="Q217" s="562"/>
      <c r="R217" s="762"/>
      <c r="S217" s="762"/>
      <c r="T217" s="562"/>
      <c r="U217" s="762"/>
      <c r="V217" s="762"/>
      <c r="W217" s="562"/>
      <c r="X217" s="2893"/>
      <c r="Y217" s="2893"/>
      <c r="Z217" s="2893"/>
      <c r="AA217" s="2893"/>
      <c r="AB217" s="2893"/>
      <c r="AC217" s="2893"/>
      <c r="AD217" s="2893"/>
      <c r="AE217" s="2893"/>
      <c r="AF217" s="2893"/>
      <c r="AG217" s="2893"/>
      <c r="AO217" s="6"/>
      <c r="AP217" s="6"/>
      <c r="AQ217" s="6"/>
      <c r="AR217" s="6"/>
      <c r="AS217" s="6"/>
      <c r="AT217" s="6"/>
      <c r="AU217" s="6"/>
      <c r="AV217" s="6"/>
      <c r="AW217" s="6"/>
      <c r="AX217" s="6"/>
    </row>
    <row r="218" spans="1:50"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911"/>
      <c r="Y218" s="2911"/>
      <c r="Z218" s="2911"/>
      <c r="AA218" s="2911"/>
      <c r="AB218" s="2911"/>
      <c r="AC218" s="2911"/>
      <c r="AD218" s="2911"/>
      <c r="AE218" s="2911"/>
      <c r="AF218" s="2911"/>
      <c r="AG218" s="2911"/>
      <c r="AO218" s="6"/>
      <c r="AP218" s="6"/>
      <c r="AQ218" s="6"/>
      <c r="AR218" s="6"/>
      <c r="AS218" s="6"/>
      <c r="AT218" s="6"/>
      <c r="AU218" s="6"/>
      <c r="AV218" s="6"/>
      <c r="AW218" s="6"/>
      <c r="AX218" s="6"/>
    </row>
    <row r="219" spans="1:50" ht="14.9" customHeight="1">
      <c r="A219" s="252"/>
      <c r="B219" s="2903" t="s">
        <v>625</v>
      </c>
      <c r="C219" s="2903"/>
      <c r="D219" s="2903"/>
      <c r="E219" s="2903"/>
      <c r="F219" s="6"/>
      <c r="G219" s="65"/>
      <c r="H219" s="799"/>
      <c r="I219" s="710"/>
      <c r="J219" s="711"/>
      <c r="K219" s="628"/>
      <c r="L219" s="710"/>
      <c r="M219" s="711"/>
      <c r="N219" s="628"/>
      <c r="O219" s="710"/>
      <c r="P219" s="712"/>
      <c r="Q219" s="628"/>
      <c r="R219" s="762"/>
      <c r="S219" s="762"/>
      <c r="T219" s="628"/>
      <c r="U219" s="762"/>
      <c r="V219" s="762"/>
      <c r="W219" s="628"/>
      <c r="X219" s="2893"/>
      <c r="Y219" s="2893"/>
      <c r="Z219" s="2893"/>
      <c r="AA219" s="2893"/>
      <c r="AB219" s="2893"/>
      <c r="AC219" s="2893"/>
      <c r="AD219" s="2893"/>
      <c r="AE219" s="2893"/>
      <c r="AF219" s="2893"/>
      <c r="AG219" s="2893"/>
      <c r="AO219" s="6"/>
      <c r="AP219" s="6"/>
      <c r="AQ219" s="6"/>
      <c r="AR219" s="6"/>
      <c r="AS219" s="6"/>
      <c r="AT219" s="6"/>
      <c r="AU219" s="6"/>
      <c r="AV219" s="6"/>
      <c r="AW219" s="6"/>
      <c r="AX219" s="6"/>
    </row>
    <row r="220" spans="1:50" ht="14.9" customHeight="1">
      <c r="A220" s="252"/>
      <c r="B220" s="2903" t="s">
        <v>626</v>
      </c>
      <c r="C220" s="2903"/>
      <c r="D220" s="2903"/>
      <c r="E220" s="2903"/>
      <c r="F220" s="6"/>
      <c r="G220" s="63"/>
      <c r="H220" s="480"/>
      <c r="I220" s="710"/>
      <c r="J220" s="582"/>
      <c r="K220" s="526"/>
      <c r="L220" s="710"/>
      <c r="M220" s="582"/>
      <c r="N220" s="526"/>
      <c r="O220" s="710"/>
      <c r="P220" s="582"/>
      <c r="Q220" s="526"/>
      <c r="R220" s="762"/>
      <c r="S220" s="762"/>
      <c r="T220" s="526"/>
      <c r="U220" s="762"/>
      <c r="V220" s="762"/>
      <c r="W220" s="526"/>
      <c r="X220" s="2893"/>
      <c r="Y220" s="2893"/>
      <c r="Z220" s="2893"/>
      <c r="AA220" s="2893"/>
      <c r="AB220" s="2893"/>
      <c r="AC220" s="2893"/>
      <c r="AD220" s="2893"/>
      <c r="AE220" s="2893"/>
      <c r="AF220" s="2893"/>
      <c r="AG220" s="2893"/>
      <c r="AO220" s="6"/>
      <c r="AP220" s="6"/>
      <c r="AQ220" s="6"/>
      <c r="AR220" s="6"/>
      <c r="AS220" s="6"/>
      <c r="AT220" s="6"/>
      <c r="AU220" s="6"/>
      <c r="AV220" s="6"/>
      <c r="AW220" s="6"/>
      <c r="AX220" s="6"/>
    </row>
    <row r="221" spans="1:50" ht="14.9" customHeight="1">
      <c r="A221" s="252"/>
      <c r="B221" s="2903" t="s">
        <v>627</v>
      </c>
      <c r="C221" s="2903"/>
      <c r="D221" s="2903"/>
      <c r="E221" s="2903"/>
      <c r="F221" s="6"/>
      <c r="G221" s="63"/>
      <c r="H221" s="794"/>
      <c r="I221" s="710"/>
      <c r="J221" s="582"/>
      <c r="K221" s="561"/>
      <c r="L221" s="710"/>
      <c r="M221" s="582"/>
      <c r="N221" s="561"/>
      <c r="O221" s="710"/>
      <c r="P221" s="582"/>
      <c r="Q221" s="561"/>
      <c r="R221" s="762"/>
      <c r="S221" s="762"/>
      <c r="T221" s="561"/>
      <c r="U221" s="762"/>
      <c r="V221" s="762"/>
      <c r="W221" s="561"/>
      <c r="X221" s="2893"/>
      <c r="Y221" s="2893"/>
      <c r="Z221" s="2893"/>
      <c r="AA221" s="2893"/>
      <c r="AB221" s="2893"/>
      <c r="AC221" s="2893"/>
      <c r="AD221" s="2893"/>
      <c r="AE221" s="2893"/>
      <c r="AF221" s="2893"/>
      <c r="AG221" s="2893"/>
      <c r="AO221" s="6"/>
      <c r="AP221" s="6"/>
      <c r="AQ221" s="6"/>
      <c r="AR221" s="6"/>
      <c r="AS221" s="6"/>
      <c r="AT221" s="6"/>
      <c r="AU221" s="6"/>
      <c r="AV221" s="6"/>
      <c r="AW221" s="6"/>
      <c r="AX221" s="6"/>
    </row>
    <row r="222" spans="1:50" ht="14.9" customHeight="1">
      <c r="A222" s="252"/>
      <c r="B222" s="2904" t="s">
        <v>628</v>
      </c>
      <c r="C222" s="2904"/>
      <c r="D222" s="2904"/>
      <c r="E222" s="2904"/>
      <c r="F222" s="6"/>
      <c r="G222" s="63"/>
      <c r="H222" s="480"/>
      <c r="I222" s="710"/>
      <c r="J222" s="582"/>
      <c r="K222" s="526"/>
      <c r="L222" s="710"/>
      <c r="M222" s="582"/>
      <c r="N222" s="526"/>
      <c r="O222" s="710"/>
      <c r="P222" s="582"/>
      <c r="Q222" s="526"/>
      <c r="R222" s="762"/>
      <c r="S222" s="762"/>
      <c r="T222" s="526"/>
      <c r="U222" s="762"/>
      <c r="V222" s="762"/>
      <c r="W222" s="526"/>
      <c r="X222" s="2893"/>
      <c r="Y222" s="2893"/>
      <c r="Z222" s="2893"/>
      <c r="AA222" s="2893"/>
      <c r="AB222" s="2893"/>
      <c r="AC222" s="2893"/>
      <c r="AD222" s="2893"/>
      <c r="AE222" s="2893"/>
      <c r="AF222" s="2893"/>
      <c r="AG222" s="2893"/>
      <c r="AO222" s="6"/>
      <c r="AP222" s="6"/>
      <c r="AQ222" s="6"/>
      <c r="AR222" s="6"/>
      <c r="AS222" s="6"/>
      <c r="AT222" s="6"/>
      <c r="AU222" s="6"/>
      <c r="AV222" s="6"/>
      <c r="AW222" s="6"/>
      <c r="AX222" s="6"/>
    </row>
    <row r="223" spans="1:50" ht="32.9" customHeight="1">
      <c r="A223" s="252"/>
      <c r="B223" s="2904" t="s">
        <v>629</v>
      </c>
      <c r="C223" s="2904"/>
      <c r="D223" s="2904"/>
      <c r="E223" s="2904"/>
      <c r="F223" s="6"/>
      <c r="G223" s="65"/>
      <c r="H223" s="795"/>
      <c r="I223" s="710"/>
      <c r="J223" s="711"/>
      <c r="K223" s="568"/>
      <c r="L223" s="710"/>
      <c r="M223" s="711"/>
      <c r="N223" s="568"/>
      <c r="O223" s="710"/>
      <c r="P223" s="712"/>
      <c r="Q223" s="568"/>
      <c r="R223" s="762"/>
      <c r="S223" s="762"/>
      <c r="T223" s="568"/>
      <c r="U223" s="762"/>
      <c r="V223" s="762"/>
      <c r="W223" s="568"/>
      <c r="X223" s="2893"/>
      <c r="Y223" s="2893"/>
      <c r="Z223" s="2893"/>
      <c r="AA223" s="2893"/>
      <c r="AB223" s="2893"/>
      <c r="AC223" s="2893"/>
      <c r="AD223" s="2893"/>
      <c r="AE223" s="2893"/>
      <c r="AF223" s="2893"/>
      <c r="AG223" s="2893"/>
      <c r="AO223" s="6"/>
      <c r="AP223" s="6"/>
      <c r="AQ223" s="6"/>
      <c r="AR223" s="6"/>
      <c r="AS223" s="6"/>
      <c r="AT223" s="6"/>
      <c r="AU223" s="6"/>
      <c r="AV223" s="6"/>
      <c r="AW223" s="6"/>
      <c r="AX223" s="6"/>
    </row>
    <row r="224" spans="1:50" ht="14.9" customHeight="1">
      <c r="A224" s="252"/>
      <c r="B224" s="2903" t="s">
        <v>630</v>
      </c>
      <c r="C224" s="2903"/>
      <c r="D224" s="2903"/>
      <c r="E224" s="2903"/>
      <c r="F224" s="6"/>
      <c r="G224" s="65"/>
      <c r="H224" s="480"/>
      <c r="I224" s="710"/>
      <c r="J224" s="711"/>
      <c r="K224" s="526"/>
      <c r="L224" s="710"/>
      <c r="M224" s="711"/>
      <c r="N224" s="526"/>
      <c r="O224" s="710"/>
      <c r="P224" s="712"/>
      <c r="Q224" s="526"/>
      <c r="R224" s="762"/>
      <c r="S224" s="762"/>
      <c r="T224" s="526"/>
      <c r="U224" s="762"/>
      <c r="V224" s="762"/>
      <c r="W224" s="526"/>
      <c r="X224" s="2893"/>
      <c r="Y224" s="2893"/>
      <c r="Z224" s="2893"/>
      <c r="AA224" s="2893"/>
      <c r="AB224" s="2893"/>
      <c r="AC224" s="2893"/>
      <c r="AD224" s="2893"/>
      <c r="AE224" s="2893"/>
      <c r="AF224" s="2893"/>
      <c r="AG224" s="2893"/>
      <c r="AO224" s="6"/>
      <c r="AP224" s="6"/>
      <c r="AQ224" s="6"/>
      <c r="AR224" s="6"/>
      <c r="AS224" s="6"/>
      <c r="AT224" s="6"/>
      <c r="AU224" s="6"/>
      <c r="AV224" s="6"/>
      <c r="AW224" s="6"/>
      <c r="AX224" s="6"/>
    </row>
    <row r="225" spans="1:50" ht="14.9" customHeight="1">
      <c r="A225" s="252"/>
      <c r="B225" s="2904" t="s">
        <v>634</v>
      </c>
      <c r="C225" s="2904"/>
      <c r="D225" s="2904"/>
      <c r="E225" s="2904"/>
      <c r="F225" s="6"/>
      <c r="G225" s="65"/>
      <c r="H225" s="481"/>
      <c r="I225" s="710"/>
      <c r="J225" s="711"/>
      <c r="K225" s="553"/>
      <c r="L225" s="710"/>
      <c r="M225" s="711"/>
      <c r="N225" s="553"/>
      <c r="O225" s="710"/>
      <c r="P225" s="712"/>
      <c r="Q225" s="553"/>
      <c r="R225" s="762"/>
      <c r="S225" s="762"/>
      <c r="T225" s="553"/>
      <c r="U225" s="762"/>
      <c r="V225" s="762"/>
      <c r="W225" s="553"/>
      <c r="X225" s="2893"/>
      <c r="Y225" s="2893"/>
      <c r="Z225" s="2893"/>
      <c r="AA225" s="2893"/>
      <c r="AB225" s="2893"/>
      <c r="AC225" s="2893"/>
      <c r="AD225" s="2893"/>
      <c r="AE225" s="2893"/>
      <c r="AF225" s="2893"/>
      <c r="AG225" s="2893"/>
      <c r="AO225" s="6"/>
      <c r="AP225" s="6"/>
      <c r="AQ225" s="6"/>
      <c r="AR225" s="6"/>
      <c r="AS225" s="6"/>
      <c r="AT225" s="6"/>
      <c r="AU225" s="6"/>
      <c r="AV225" s="6"/>
      <c r="AW225" s="6"/>
      <c r="AX225" s="6"/>
    </row>
    <row r="226" spans="1:50" ht="30.75" customHeight="1">
      <c r="A226" s="252"/>
      <c r="B226" s="2903" t="s">
        <v>1551</v>
      </c>
      <c r="C226" s="2903"/>
      <c r="D226" s="2903"/>
      <c r="E226" s="2903"/>
      <c r="F226" s="6"/>
      <c r="G226" s="65"/>
      <c r="H226" s="796"/>
      <c r="I226" s="710"/>
      <c r="J226" s="711"/>
      <c r="K226" s="619"/>
      <c r="L226" s="710"/>
      <c r="M226" s="711"/>
      <c r="N226" s="619"/>
      <c r="O226" s="710"/>
      <c r="P226" s="712"/>
      <c r="Q226" s="619"/>
      <c r="R226" s="762"/>
      <c r="S226" s="762"/>
      <c r="T226" s="619"/>
      <c r="U226" s="762"/>
      <c r="V226" s="762"/>
      <c r="W226" s="619"/>
      <c r="X226" s="2893"/>
      <c r="Y226" s="2893"/>
      <c r="Z226" s="2893"/>
      <c r="AA226" s="2893"/>
      <c r="AB226" s="2893"/>
      <c r="AC226" s="2893"/>
      <c r="AD226" s="2893"/>
      <c r="AE226" s="2893"/>
      <c r="AF226" s="2893"/>
      <c r="AG226" s="2893"/>
      <c r="AO226" s="6"/>
      <c r="AP226" s="6"/>
      <c r="AQ226" s="6"/>
      <c r="AR226" s="6"/>
      <c r="AS226" s="6"/>
      <c r="AT226" s="6"/>
      <c r="AU226" s="6"/>
      <c r="AV226" s="6"/>
      <c r="AW226" s="6"/>
      <c r="AX226" s="6"/>
    </row>
    <row r="227" spans="1:50" ht="30.75" customHeight="1">
      <c r="A227" s="252"/>
      <c r="B227" s="2903" t="s">
        <v>1552</v>
      </c>
      <c r="C227" s="2903"/>
      <c r="D227" s="2903"/>
      <c r="E227" s="2903"/>
      <c r="F227" s="6"/>
      <c r="G227" s="65"/>
      <c r="H227" s="796"/>
      <c r="I227" s="710"/>
      <c r="J227" s="711"/>
      <c r="K227" s="619"/>
      <c r="L227" s="710"/>
      <c r="M227" s="711"/>
      <c r="N227" s="619"/>
      <c r="O227" s="710"/>
      <c r="P227" s="712"/>
      <c r="Q227" s="619"/>
      <c r="R227" s="762"/>
      <c r="S227" s="762"/>
      <c r="T227" s="619"/>
      <c r="U227" s="762"/>
      <c r="V227" s="762"/>
      <c r="W227" s="619"/>
      <c r="X227" s="2893"/>
      <c r="Y227" s="2893"/>
      <c r="Z227" s="2893"/>
      <c r="AA227" s="2893"/>
      <c r="AB227" s="2893"/>
      <c r="AC227" s="2893"/>
      <c r="AD227" s="2893"/>
      <c r="AE227" s="2893"/>
      <c r="AF227" s="2893"/>
      <c r="AG227" s="2893"/>
      <c r="AO227" s="6"/>
      <c r="AP227" s="6"/>
      <c r="AQ227" s="6"/>
      <c r="AR227" s="6"/>
      <c r="AS227" s="6"/>
      <c r="AT227" s="6"/>
      <c r="AU227" s="6"/>
      <c r="AV227" s="6"/>
      <c r="AW227" s="6"/>
      <c r="AX227" s="6"/>
    </row>
    <row r="228" spans="1:50" ht="32.9" customHeight="1">
      <c r="A228" s="252"/>
      <c r="B228" s="2903" t="s">
        <v>331</v>
      </c>
      <c r="C228" s="2903"/>
      <c r="D228" s="2903"/>
      <c r="E228" s="2903"/>
      <c r="F228" s="6"/>
      <c r="G228" s="65"/>
      <c r="H228" s="480"/>
      <c r="I228" s="710"/>
      <c r="J228" s="711"/>
      <c r="K228" s="526"/>
      <c r="L228" s="710"/>
      <c r="M228" s="711"/>
      <c r="N228" s="526"/>
      <c r="O228" s="710"/>
      <c r="P228" s="712"/>
      <c r="Q228" s="526"/>
      <c r="R228" s="762"/>
      <c r="S228" s="762"/>
      <c r="T228" s="526"/>
      <c r="U228" s="762"/>
      <c r="V228" s="762"/>
      <c r="W228" s="526"/>
      <c r="X228" s="2893"/>
      <c r="Y228" s="2893"/>
      <c r="Z228" s="2893"/>
      <c r="AA228" s="2893"/>
      <c r="AB228" s="2893"/>
      <c r="AC228" s="2893"/>
      <c r="AD228" s="2893"/>
      <c r="AE228" s="2893"/>
      <c r="AF228" s="2893"/>
      <c r="AG228" s="2893"/>
      <c r="AO228" s="6"/>
      <c r="AP228" s="6"/>
      <c r="AQ228" s="6"/>
      <c r="AR228" s="6"/>
      <c r="AS228" s="6"/>
      <c r="AT228" s="6"/>
      <c r="AU228" s="6"/>
      <c r="AV228" s="6"/>
      <c r="AW228" s="6"/>
      <c r="AX228" s="6"/>
    </row>
    <row r="229" spans="1:50" ht="14.9" customHeight="1">
      <c r="A229" s="252"/>
      <c r="B229" s="2904" t="s">
        <v>332</v>
      </c>
      <c r="C229" s="2904"/>
      <c r="D229" s="2904"/>
      <c r="E229" s="2904"/>
      <c r="F229" s="6"/>
      <c r="G229" s="63"/>
      <c r="H229" s="480"/>
      <c r="I229" s="710"/>
      <c r="J229" s="582"/>
      <c r="K229" s="526"/>
      <c r="L229" s="710"/>
      <c r="M229" s="582"/>
      <c r="N229" s="526"/>
      <c r="O229" s="710"/>
      <c r="P229" s="582"/>
      <c r="Q229" s="526"/>
      <c r="R229" s="762"/>
      <c r="S229" s="762"/>
      <c r="T229" s="526"/>
      <c r="U229" s="762"/>
      <c r="V229" s="762"/>
      <c r="W229" s="526"/>
      <c r="X229" s="2893"/>
      <c r="Y229" s="2893"/>
      <c r="Z229" s="2893"/>
      <c r="AA229" s="2893"/>
      <c r="AB229" s="2893"/>
      <c r="AC229" s="2893"/>
      <c r="AD229" s="2893"/>
      <c r="AE229" s="2893"/>
      <c r="AF229" s="2893"/>
      <c r="AG229" s="2893"/>
      <c r="AO229" s="6"/>
      <c r="AP229" s="6"/>
      <c r="AQ229" s="6"/>
      <c r="AR229" s="6"/>
      <c r="AS229" s="6"/>
      <c r="AT229" s="6"/>
      <c r="AU229" s="6"/>
      <c r="AV229" s="6"/>
      <c r="AW229" s="6"/>
      <c r="AX229" s="6"/>
    </row>
    <row r="230" spans="1:50" ht="14.9" customHeight="1">
      <c r="A230" s="252"/>
      <c r="B230" s="2903" t="s">
        <v>333</v>
      </c>
      <c r="C230" s="2903"/>
      <c r="D230" s="2903"/>
      <c r="E230" s="2903"/>
      <c r="F230" s="6"/>
      <c r="G230" s="65"/>
      <c r="H230" s="480"/>
      <c r="I230" s="710"/>
      <c r="J230" s="711"/>
      <c r="K230" s="526"/>
      <c r="L230" s="710"/>
      <c r="M230" s="711"/>
      <c r="N230" s="526"/>
      <c r="O230" s="710"/>
      <c r="P230" s="712"/>
      <c r="Q230" s="526"/>
      <c r="R230" s="762"/>
      <c r="S230" s="762"/>
      <c r="T230" s="526"/>
      <c r="U230" s="762"/>
      <c r="V230" s="762"/>
      <c r="W230" s="526"/>
      <c r="X230" s="2893"/>
      <c r="Y230" s="2893"/>
      <c r="Z230" s="2893"/>
      <c r="AA230" s="2893"/>
      <c r="AB230" s="2893"/>
      <c r="AC230" s="2893"/>
      <c r="AD230" s="2893"/>
      <c r="AE230" s="2893"/>
      <c r="AF230" s="2893"/>
      <c r="AG230" s="2893"/>
      <c r="AO230" s="6"/>
      <c r="AP230" s="6"/>
      <c r="AQ230" s="6"/>
      <c r="AR230" s="6"/>
      <c r="AS230" s="6"/>
      <c r="AT230" s="6"/>
      <c r="AU230" s="6"/>
      <c r="AV230" s="6"/>
      <c r="AW230" s="6"/>
      <c r="AX230" s="6"/>
    </row>
    <row r="231" spans="1:50" ht="14.9" customHeight="1">
      <c r="A231" s="252"/>
      <c r="B231" s="2903" t="s">
        <v>334</v>
      </c>
      <c r="C231" s="2903"/>
      <c r="D231" s="2903"/>
      <c r="E231" s="2903"/>
      <c r="F231" s="6"/>
      <c r="G231" s="63"/>
      <c r="H231" s="480"/>
      <c r="I231" s="710"/>
      <c r="J231" s="582"/>
      <c r="K231" s="526"/>
      <c r="L231" s="710"/>
      <c r="M231" s="582"/>
      <c r="N231" s="526"/>
      <c r="O231" s="710"/>
      <c r="P231" s="582"/>
      <c r="Q231" s="526"/>
      <c r="R231" s="762"/>
      <c r="S231" s="762"/>
      <c r="T231" s="526"/>
      <c r="U231" s="762"/>
      <c r="V231" s="762"/>
      <c r="W231" s="526"/>
      <c r="X231" s="2893"/>
      <c r="Y231" s="2893"/>
      <c r="Z231" s="2893"/>
      <c r="AA231" s="2893"/>
      <c r="AB231" s="2893"/>
      <c r="AC231" s="2893"/>
      <c r="AD231" s="2893"/>
      <c r="AE231" s="2893"/>
      <c r="AF231" s="2893"/>
      <c r="AG231" s="2893"/>
    </row>
    <row r="232" spans="1:50" ht="14.9" customHeight="1">
      <c r="A232" s="252"/>
      <c r="B232" s="2904" t="s">
        <v>335</v>
      </c>
      <c r="C232" s="2904"/>
      <c r="D232" s="2904"/>
      <c r="E232" s="2904"/>
      <c r="H232" s="480"/>
      <c r="I232" s="713"/>
      <c r="J232" s="713"/>
      <c r="K232" s="526"/>
      <c r="L232" s="713"/>
      <c r="M232" s="713"/>
      <c r="N232" s="526"/>
      <c r="O232" s="713"/>
      <c r="P232" s="713"/>
      <c r="Q232" s="526"/>
      <c r="R232" s="762"/>
      <c r="S232" s="762"/>
      <c r="T232" s="526"/>
      <c r="U232" s="762"/>
      <c r="V232" s="762"/>
      <c r="W232" s="526"/>
      <c r="X232" s="2893"/>
      <c r="Y232" s="2893"/>
      <c r="Z232" s="2893"/>
      <c r="AA232" s="2893"/>
      <c r="AB232" s="2893"/>
      <c r="AC232" s="2893"/>
      <c r="AD232" s="2893"/>
      <c r="AE232" s="2893"/>
      <c r="AF232" s="2893"/>
      <c r="AG232" s="2893"/>
    </row>
    <row r="233" spans="1:50" ht="14.9" customHeight="1">
      <c r="A233" s="252"/>
      <c r="B233" s="2903" t="s">
        <v>336</v>
      </c>
      <c r="C233" s="2903"/>
      <c r="D233" s="2903"/>
      <c r="E233" s="2903"/>
      <c r="F233" s="6"/>
      <c r="G233" s="63"/>
      <c r="H233" s="480"/>
      <c r="I233" s="710"/>
      <c r="J233" s="582"/>
      <c r="K233" s="526"/>
      <c r="L233" s="710"/>
      <c r="M233" s="582"/>
      <c r="N233" s="526"/>
      <c r="O233" s="710"/>
      <c r="P233" s="582"/>
      <c r="Q233" s="526"/>
      <c r="R233" s="762"/>
      <c r="S233" s="762"/>
      <c r="T233" s="526"/>
      <c r="U233" s="762"/>
      <c r="V233" s="762"/>
      <c r="W233" s="526"/>
      <c r="X233" s="2893"/>
      <c r="Y233" s="2893"/>
      <c r="Z233" s="2893"/>
      <c r="AA233" s="2893"/>
      <c r="AB233" s="2893"/>
      <c r="AC233" s="2893"/>
      <c r="AD233" s="2893"/>
      <c r="AE233" s="2893"/>
      <c r="AF233" s="2893"/>
      <c r="AG233" s="2893"/>
    </row>
    <row r="234" spans="1:50" ht="32.9" customHeight="1">
      <c r="A234" s="252"/>
      <c r="B234" s="2903" t="s">
        <v>337</v>
      </c>
      <c r="C234" s="2903"/>
      <c r="D234" s="2903"/>
      <c r="E234" s="2903"/>
      <c r="F234" s="6"/>
      <c r="G234" s="63"/>
      <c r="H234" s="480"/>
      <c r="I234" s="710"/>
      <c r="J234" s="582"/>
      <c r="K234" s="526"/>
      <c r="L234" s="710"/>
      <c r="M234" s="582"/>
      <c r="N234" s="526"/>
      <c r="O234" s="710"/>
      <c r="P234" s="582"/>
      <c r="Q234" s="526"/>
      <c r="R234" s="762"/>
      <c r="S234" s="762"/>
      <c r="T234" s="526"/>
      <c r="U234" s="762"/>
      <c r="V234" s="762"/>
      <c r="W234" s="526"/>
      <c r="X234" s="2893"/>
      <c r="Y234" s="2893"/>
      <c r="Z234" s="2893"/>
      <c r="AA234" s="2893"/>
      <c r="AB234" s="2893"/>
      <c r="AC234" s="2893"/>
      <c r="AD234" s="2893"/>
      <c r="AE234" s="2893"/>
      <c r="AF234" s="2893"/>
      <c r="AG234" s="2893"/>
    </row>
    <row r="235" spans="1:50" ht="32.9" customHeight="1">
      <c r="A235" s="252"/>
      <c r="B235" s="2903" t="s">
        <v>338</v>
      </c>
      <c r="C235" s="2903"/>
      <c r="D235" s="2903"/>
      <c r="E235" s="2903"/>
      <c r="F235" s="6"/>
      <c r="G235" s="63"/>
      <c r="H235" s="480"/>
      <c r="I235" s="710"/>
      <c r="J235" s="582"/>
      <c r="K235" s="526"/>
      <c r="L235" s="710"/>
      <c r="M235" s="582"/>
      <c r="N235" s="526"/>
      <c r="O235" s="710"/>
      <c r="P235" s="582"/>
      <c r="Q235" s="526"/>
      <c r="R235" s="762"/>
      <c r="S235" s="762"/>
      <c r="T235" s="526"/>
      <c r="U235" s="762"/>
      <c r="V235" s="762"/>
      <c r="W235" s="526"/>
      <c r="X235" s="2893"/>
      <c r="Y235" s="2893"/>
      <c r="Z235" s="2893"/>
      <c r="AA235" s="2893"/>
      <c r="AB235" s="2893"/>
      <c r="AC235" s="2893"/>
      <c r="AD235" s="2893"/>
      <c r="AE235" s="2893"/>
      <c r="AF235" s="2893"/>
      <c r="AG235" s="2893"/>
    </row>
    <row r="236" spans="1:50" ht="14.9" customHeight="1">
      <c r="A236" s="252"/>
      <c r="B236" s="2903" t="s">
        <v>735</v>
      </c>
      <c r="C236" s="2903"/>
      <c r="D236" s="2903"/>
      <c r="E236" s="2903"/>
      <c r="F236" s="6"/>
      <c r="G236" s="63"/>
      <c r="H236" s="480"/>
      <c r="I236" s="710"/>
      <c r="J236" s="582"/>
      <c r="K236" s="526"/>
      <c r="L236" s="710"/>
      <c r="M236" s="582"/>
      <c r="N236" s="526"/>
      <c r="O236" s="710"/>
      <c r="P236" s="582"/>
      <c r="Q236" s="526"/>
      <c r="R236" s="762"/>
      <c r="S236" s="762"/>
      <c r="T236" s="526"/>
      <c r="U236" s="762"/>
      <c r="V236" s="762"/>
      <c r="W236" s="526"/>
      <c r="X236" s="2893"/>
      <c r="Y236" s="2893"/>
      <c r="Z236" s="2893"/>
      <c r="AA236" s="2893"/>
      <c r="AB236" s="2893"/>
      <c r="AC236" s="2893"/>
      <c r="AD236" s="2893"/>
      <c r="AE236" s="2893"/>
      <c r="AF236" s="2893"/>
      <c r="AG236" s="2893"/>
    </row>
    <row r="237" spans="1:50" ht="14.9" customHeight="1">
      <c r="A237" s="252"/>
      <c r="B237" s="2903" t="s">
        <v>734</v>
      </c>
      <c r="C237" s="2903"/>
      <c r="D237" s="2903"/>
      <c r="E237" s="2903"/>
      <c r="F237" s="6"/>
      <c r="G237" s="63"/>
      <c r="H237" s="797"/>
      <c r="I237" s="710"/>
      <c r="J237" s="582"/>
      <c r="K237" s="562"/>
      <c r="L237" s="710"/>
      <c r="M237" s="582"/>
      <c r="N237" s="562"/>
      <c r="O237" s="710"/>
      <c r="P237" s="582"/>
      <c r="Q237" s="562"/>
      <c r="R237" s="762"/>
      <c r="S237" s="762"/>
      <c r="T237" s="562"/>
      <c r="U237" s="762"/>
      <c r="V237" s="762"/>
      <c r="W237" s="562"/>
      <c r="X237" s="2893"/>
      <c r="Y237" s="2893"/>
      <c r="Z237" s="2893"/>
      <c r="AA237" s="2893"/>
      <c r="AB237" s="2893"/>
      <c r="AC237" s="2893"/>
      <c r="AD237" s="2893"/>
      <c r="AE237" s="2893"/>
      <c r="AF237" s="2893"/>
      <c r="AG237" s="2893"/>
    </row>
    <row r="238" spans="1:50"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911"/>
      <c r="Y238" s="2911"/>
      <c r="Z238" s="2911"/>
      <c r="AA238" s="2911"/>
      <c r="AB238" s="2911"/>
      <c r="AC238" s="2911"/>
      <c r="AD238" s="2911"/>
      <c r="AE238" s="2911"/>
      <c r="AF238" s="2911"/>
      <c r="AG238" s="2911"/>
    </row>
    <row r="239" spans="1:50" ht="14.9" customHeight="1">
      <c r="A239" s="252"/>
      <c r="B239" s="2903" t="s">
        <v>625</v>
      </c>
      <c r="C239" s="2903"/>
      <c r="D239" s="2903"/>
      <c r="E239" s="2903"/>
      <c r="F239" s="6"/>
      <c r="G239" s="65"/>
      <c r="H239" s="799"/>
      <c r="I239" s="710"/>
      <c r="J239" s="711"/>
      <c r="K239" s="628"/>
      <c r="L239" s="710"/>
      <c r="M239" s="711"/>
      <c r="N239" s="628"/>
      <c r="O239" s="710"/>
      <c r="P239" s="712"/>
      <c r="Q239" s="628"/>
      <c r="R239" s="762"/>
      <c r="S239" s="762"/>
      <c r="T239" s="628"/>
      <c r="U239" s="762"/>
      <c r="V239" s="762"/>
      <c r="W239" s="628"/>
      <c r="X239" s="2893"/>
      <c r="Y239" s="2893"/>
      <c r="Z239" s="2893"/>
      <c r="AA239" s="2893"/>
      <c r="AB239" s="2893"/>
      <c r="AC239" s="2893"/>
      <c r="AD239" s="2893"/>
      <c r="AE239" s="2893"/>
      <c r="AF239" s="2893"/>
      <c r="AG239" s="2893"/>
    </row>
    <row r="240" spans="1:50" ht="14.9" customHeight="1">
      <c r="A240" s="252"/>
      <c r="B240" s="2903" t="s">
        <v>626</v>
      </c>
      <c r="C240" s="2903"/>
      <c r="D240" s="2903"/>
      <c r="E240" s="2903"/>
      <c r="F240" s="6"/>
      <c r="G240" s="63"/>
      <c r="H240" s="480"/>
      <c r="I240" s="710"/>
      <c r="J240" s="582"/>
      <c r="K240" s="526"/>
      <c r="L240" s="710"/>
      <c r="M240" s="582"/>
      <c r="N240" s="526"/>
      <c r="O240" s="710"/>
      <c r="P240" s="582"/>
      <c r="Q240" s="526"/>
      <c r="R240" s="762"/>
      <c r="S240" s="762"/>
      <c r="T240" s="526"/>
      <c r="U240" s="762"/>
      <c r="V240" s="762"/>
      <c r="W240" s="526"/>
      <c r="X240" s="2893"/>
      <c r="Y240" s="2893"/>
      <c r="Z240" s="2893"/>
      <c r="AA240" s="2893"/>
      <c r="AB240" s="2893"/>
      <c r="AC240" s="2893"/>
      <c r="AD240" s="2893"/>
      <c r="AE240" s="2893"/>
      <c r="AF240" s="2893"/>
      <c r="AG240" s="2893"/>
    </row>
    <row r="241" spans="1:33" ht="14.9" customHeight="1">
      <c r="A241" s="252"/>
      <c r="B241" s="2903" t="s">
        <v>627</v>
      </c>
      <c r="C241" s="2903"/>
      <c r="D241" s="2903"/>
      <c r="E241" s="2903"/>
      <c r="F241" s="6"/>
      <c r="G241" s="63"/>
      <c r="H241" s="794"/>
      <c r="I241" s="710"/>
      <c r="J241" s="582"/>
      <c r="K241" s="561"/>
      <c r="L241" s="710"/>
      <c r="M241" s="582"/>
      <c r="N241" s="561"/>
      <c r="O241" s="710"/>
      <c r="P241" s="582"/>
      <c r="Q241" s="561"/>
      <c r="R241" s="762"/>
      <c r="S241" s="762"/>
      <c r="T241" s="561"/>
      <c r="U241" s="762"/>
      <c r="V241" s="762"/>
      <c r="W241" s="561"/>
      <c r="X241" s="2893"/>
      <c r="Y241" s="2893"/>
      <c r="Z241" s="2893"/>
      <c r="AA241" s="2893"/>
      <c r="AB241" s="2893"/>
      <c r="AC241" s="2893"/>
      <c r="AD241" s="2893"/>
      <c r="AE241" s="2893"/>
      <c r="AF241" s="2893"/>
      <c r="AG241" s="2893"/>
    </row>
    <row r="242" spans="1:33" ht="14.9" customHeight="1">
      <c r="A242" s="252"/>
      <c r="B242" s="2904" t="s">
        <v>628</v>
      </c>
      <c r="C242" s="2904"/>
      <c r="D242" s="2904"/>
      <c r="E242" s="2904"/>
      <c r="F242" s="6"/>
      <c r="G242" s="63"/>
      <c r="H242" s="480"/>
      <c r="I242" s="710"/>
      <c r="J242" s="582"/>
      <c r="K242" s="526"/>
      <c r="L242" s="710"/>
      <c r="M242" s="582"/>
      <c r="N242" s="526"/>
      <c r="O242" s="710"/>
      <c r="P242" s="582"/>
      <c r="Q242" s="526"/>
      <c r="R242" s="762"/>
      <c r="S242" s="762"/>
      <c r="T242" s="526"/>
      <c r="U242" s="762"/>
      <c r="V242" s="762"/>
      <c r="W242" s="526"/>
      <c r="X242" s="2893"/>
      <c r="Y242" s="2893"/>
      <c r="Z242" s="2893"/>
      <c r="AA242" s="2893"/>
      <c r="AB242" s="2893"/>
      <c r="AC242" s="2893"/>
      <c r="AD242" s="2893"/>
      <c r="AE242" s="2893"/>
      <c r="AF242" s="2893"/>
      <c r="AG242" s="2893"/>
    </row>
    <row r="243" spans="1:33" ht="32.9" customHeight="1">
      <c r="A243" s="252"/>
      <c r="B243" s="2904" t="s">
        <v>629</v>
      </c>
      <c r="C243" s="2904"/>
      <c r="D243" s="2904"/>
      <c r="E243" s="2904"/>
      <c r="F243" s="6"/>
      <c r="G243" s="65"/>
      <c r="H243" s="795"/>
      <c r="I243" s="710"/>
      <c r="J243" s="711"/>
      <c r="K243" s="568"/>
      <c r="L243" s="710"/>
      <c r="M243" s="711"/>
      <c r="N243" s="568"/>
      <c r="O243" s="710"/>
      <c r="P243" s="712"/>
      <c r="Q243" s="568"/>
      <c r="R243" s="762"/>
      <c r="S243" s="762"/>
      <c r="T243" s="568"/>
      <c r="U243" s="762"/>
      <c r="V243" s="762"/>
      <c r="W243" s="568"/>
      <c r="X243" s="2893"/>
      <c r="Y243" s="2893"/>
      <c r="Z243" s="2893"/>
      <c r="AA243" s="2893"/>
      <c r="AB243" s="2893"/>
      <c r="AC243" s="2893"/>
      <c r="AD243" s="2893"/>
      <c r="AE243" s="2893"/>
      <c r="AF243" s="2893"/>
      <c r="AG243" s="2893"/>
    </row>
    <row r="244" spans="1:33" ht="14.9" customHeight="1">
      <c r="A244" s="252"/>
      <c r="B244" s="2903" t="s">
        <v>630</v>
      </c>
      <c r="C244" s="2903"/>
      <c r="D244" s="2903"/>
      <c r="E244" s="2903"/>
      <c r="F244" s="6"/>
      <c r="G244" s="65"/>
      <c r="H244" s="480"/>
      <c r="I244" s="710"/>
      <c r="J244" s="711"/>
      <c r="K244" s="526"/>
      <c r="L244" s="710"/>
      <c r="M244" s="711"/>
      <c r="N244" s="526"/>
      <c r="O244" s="710"/>
      <c r="P244" s="712"/>
      <c r="Q244" s="526"/>
      <c r="R244" s="762"/>
      <c r="S244" s="762"/>
      <c r="T244" s="526"/>
      <c r="U244" s="762"/>
      <c r="V244" s="762"/>
      <c r="W244" s="526"/>
      <c r="X244" s="2893"/>
      <c r="Y244" s="2893"/>
      <c r="Z244" s="2893"/>
      <c r="AA244" s="2893"/>
      <c r="AB244" s="2893"/>
      <c r="AC244" s="2893"/>
      <c r="AD244" s="2893"/>
      <c r="AE244" s="2893"/>
      <c r="AF244" s="2893"/>
      <c r="AG244" s="2893"/>
    </row>
    <row r="245" spans="1:33" ht="14.9" customHeight="1">
      <c r="A245" s="252"/>
      <c r="B245" s="2904" t="s">
        <v>634</v>
      </c>
      <c r="C245" s="2904"/>
      <c r="D245" s="2904"/>
      <c r="E245" s="2904"/>
      <c r="F245" s="6"/>
      <c r="G245" s="65"/>
      <c r="H245" s="481"/>
      <c r="I245" s="710"/>
      <c r="J245" s="711"/>
      <c r="K245" s="553"/>
      <c r="L245" s="710"/>
      <c r="M245" s="711"/>
      <c r="N245" s="553"/>
      <c r="O245" s="710"/>
      <c r="P245" s="712"/>
      <c r="Q245" s="553"/>
      <c r="R245" s="762"/>
      <c r="S245" s="762"/>
      <c r="T245" s="553"/>
      <c r="U245" s="762"/>
      <c r="V245" s="762"/>
      <c r="W245" s="553"/>
      <c r="X245" s="2893"/>
      <c r="Y245" s="2893"/>
      <c r="Z245" s="2893"/>
      <c r="AA245" s="2893"/>
      <c r="AB245" s="2893"/>
      <c r="AC245" s="2893"/>
      <c r="AD245" s="2893"/>
      <c r="AE245" s="2893"/>
      <c r="AF245" s="2893"/>
      <c r="AG245" s="2893"/>
    </row>
    <row r="246" spans="1:33" ht="32.15" customHeight="1">
      <c r="A246" s="252"/>
      <c r="B246" s="2903" t="s">
        <v>1551</v>
      </c>
      <c r="C246" s="2903"/>
      <c r="D246" s="2903"/>
      <c r="E246" s="2903"/>
      <c r="F246" s="6"/>
      <c r="G246" s="65"/>
      <c r="H246" s="796"/>
      <c r="I246" s="710"/>
      <c r="J246" s="711"/>
      <c r="K246" s="619"/>
      <c r="L246" s="710"/>
      <c r="M246" s="711"/>
      <c r="N246" s="619"/>
      <c r="O246" s="710"/>
      <c r="P246" s="712"/>
      <c r="Q246" s="619"/>
      <c r="R246" s="762"/>
      <c r="S246" s="762"/>
      <c r="T246" s="619"/>
      <c r="U246" s="762"/>
      <c r="V246" s="762"/>
      <c r="W246" s="619"/>
      <c r="X246" s="2893"/>
      <c r="Y246" s="2893"/>
      <c r="Z246" s="2893"/>
      <c r="AA246" s="2893"/>
      <c r="AB246" s="2893"/>
      <c r="AC246" s="2893"/>
      <c r="AD246" s="2893"/>
      <c r="AE246" s="2893"/>
      <c r="AF246" s="2893"/>
      <c r="AG246" s="2893"/>
    </row>
    <row r="247" spans="1:33" ht="32.15" customHeight="1">
      <c r="A247" s="252"/>
      <c r="B247" s="2903" t="s">
        <v>1552</v>
      </c>
      <c r="C247" s="2903"/>
      <c r="D247" s="2903"/>
      <c r="E247" s="2903"/>
      <c r="F247" s="6"/>
      <c r="G247" s="65"/>
      <c r="H247" s="796"/>
      <c r="I247" s="710"/>
      <c r="J247" s="711"/>
      <c r="K247" s="619"/>
      <c r="L247" s="710"/>
      <c r="M247" s="711"/>
      <c r="N247" s="619"/>
      <c r="O247" s="710"/>
      <c r="P247" s="712"/>
      <c r="Q247" s="619"/>
      <c r="R247" s="762"/>
      <c r="S247" s="762"/>
      <c r="T247" s="619"/>
      <c r="U247" s="762"/>
      <c r="V247" s="762"/>
      <c r="W247" s="619"/>
      <c r="X247" s="2893"/>
      <c r="Y247" s="2893"/>
      <c r="Z247" s="2893"/>
      <c r="AA247" s="2893"/>
      <c r="AB247" s="2893"/>
      <c r="AC247" s="2893"/>
      <c r="AD247" s="2893"/>
      <c r="AE247" s="2893"/>
      <c r="AF247" s="2893"/>
      <c r="AG247" s="2893"/>
    </row>
    <row r="248" spans="1:33" ht="32.9" customHeight="1">
      <c r="A248" s="252"/>
      <c r="B248" s="2903" t="s">
        <v>331</v>
      </c>
      <c r="C248" s="2903"/>
      <c r="D248" s="2903"/>
      <c r="E248" s="2903"/>
      <c r="F248" s="6"/>
      <c r="G248" s="65"/>
      <c r="H248" s="480"/>
      <c r="I248" s="710"/>
      <c r="J248" s="711"/>
      <c r="K248" s="526"/>
      <c r="L248" s="710"/>
      <c r="M248" s="711"/>
      <c r="N248" s="526"/>
      <c r="O248" s="710"/>
      <c r="P248" s="712"/>
      <c r="Q248" s="526"/>
      <c r="R248" s="762"/>
      <c r="S248" s="762"/>
      <c r="T248" s="526"/>
      <c r="U248" s="762"/>
      <c r="V248" s="762"/>
      <c r="W248" s="526"/>
      <c r="X248" s="2893"/>
      <c r="Y248" s="2893"/>
      <c r="Z248" s="2893"/>
      <c r="AA248" s="2893"/>
      <c r="AB248" s="2893"/>
      <c r="AC248" s="2893"/>
      <c r="AD248" s="2893"/>
      <c r="AE248" s="2893"/>
      <c r="AF248" s="2893"/>
      <c r="AG248" s="2893"/>
    </row>
    <row r="249" spans="1:33" ht="14.9" customHeight="1">
      <c r="A249" s="252"/>
      <c r="B249" s="2904" t="s">
        <v>332</v>
      </c>
      <c r="C249" s="2904"/>
      <c r="D249" s="2904"/>
      <c r="E249" s="2904"/>
      <c r="F249" s="6"/>
      <c r="G249" s="63"/>
      <c r="H249" s="480"/>
      <c r="I249" s="710"/>
      <c r="J249" s="582"/>
      <c r="K249" s="526"/>
      <c r="L249" s="710"/>
      <c r="M249" s="582"/>
      <c r="N249" s="526"/>
      <c r="O249" s="710"/>
      <c r="P249" s="582"/>
      <c r="Q249" s="526"/>
      <c r="R249" s="762"/>
      <c r="S249" s="762"/>
      <c r="T249" s="526"/>
      <c r="U249" s="762"/>
      <c r="V249" s="762"/>
      <c r="W249" s="526"/>
      <c r="X249" s="2893"/>
      <c r="Y249" s="2893"/>
      <c r="Z249" s="2893"/>
      <c r="AA249" s="2893"/>
      <c r="AB249" s="2893"/>
      <c r="AC249" s="2893"/>
      <c r="AD249" s="2893"/>
      <c r="AE249" s="2893"/>
      <c r="AF249" s="2893"/>
      <c r="AG249" s="2893"/>
    </row>
    <row r="250" spans="1:33" ht="14.9" customHeight="1">
      <c r="A250" s="252"/>
      <c r="B250" s="2903" t="s">
        <v>333</v>
      </c>
      <c r="C250" s="2903"/>
      <c r="D250" s="2903"/>
      <c r="E250" s="2903"/>
      <c r="F250" s="6"/>
      <c r="G250" s="65"/>
      <c r="H250" s="480"/>
      <c r="I250" s="710"/>
      <c r="J250" s="711"/>
      <c r="K250" s="526"/>
      <c r="L250" s="710"/>
      <c r="M250" s="711"/>
      <c r="N250" s="526"/>
      <c r="O250" s="710"/>
      <c r="P250" s="712"/>
      <c r="Q250" s="526"/>
      <c r="R250" s="762"/>
      <c r="S250" s="762"/>
      <c r="T250" s="526"/>
      <c r="U250" s="762"/>
      <c r="V250" s="762"/>
      <c r="W250" s="526"/>
      <c r="X250" s="2893"/>
      <c r="Y250" s="2893"/>
      <c r="Z250" s="2893"/>
      <c r="AA250" s="2893"/>
      <c r="AB250" s="2893"/>
      <c r="AC250" s="2893"/>
      <c r="AD250" s="2893"/>
      <c r="AE250" s="2893"/>
      <c r="AF250" s="2893"/>
      <c r="AG250" s="2893"/>
    </row>
    <row r="251" spans="1:33" ht="14.9" customHeight="1">
      <c r="A251" s="252"/>
      <c r="B251" s="2903" t="s">
        <v>334</v>
      </c>
      <c r="C251" s="2903"/>
      <c r="D251" s="2903"/>
      <c r="E251" s="2903"/>
      <c r="F251" s="6"/>
      <c r="G251" s="63"/>
      <c r="H251" s="480"/>
      <c r="I251" s="710"/>
      <c r="J251" s="582"/>
      <c r="K251" s="526"/>
      <c r="L251" s="710"/>
      <c r="M251" s="582"/>
      <c r="N251" s="526"/>
      <c r="O251" s="710"/>
      <c r="P251" s="582"/>
      <c r="Q251" s="526"/>
      <c r="R251" s="762"/>
      <c r="S251" s="762"/>
      <c r="T251" s="526"/>
      <c r="U251" s="762"/>
      <c r="V251" s="762"/>
      <c r="W251" s="526"/>
      <c r="X251" s="2893"/>
      <c r="Y251" s="2893"/>
      <c r="Z251" s="2893"/>
      <c r="AA251" s="2893"/>
      <c r="AB251" s="2893"/>
      <c r="AC251" s="2893"/>
      <c r="AD251" s="2893"/>
      <c r="AE251" s="2893"/>
      <c r="AF251" s="2893"/>
      <c r="AG251" s="2893"/>
    </row>
    <row r="252" spans="1:33" ht="14.9" customHeight="1">
      <c r="A252" s="252"/>
      <c r="B252" s="2904" t="s">
        <v>335</v>
      </c>
      <c r="C252" s="2904"/>
      <c r="D252" s="2904"/>
      <c r="E252" s="2904"/>
      <c r="H252" s="480"/>
      <c r="I252" s="713"/>
      <c r="J252" s="713"/>
      <c r="K252" s="526"/>
      <c r="L252" s="713"/>
      <c r="M252" s="713"/>
      <c r="N252" s="526"/>
      <c r="O252" s="713"/>
      <c r="P252" s="713"/>
      <c r="Q252" s="526"/>
      <c r="R252" s="762"/>
      <c r="S252" s="762"/>
      <c r="T252" s="526"/>
      <c r="U252" s="762"/>
      <c r="V252" s="762"/>
      <c r="W252" s="526"/>
      <c r="X252" s="2893"/>
      <c r="Y252" s="2893"/>
      <c r="Z252" s="2893"/>
      <c r="AA252" s="2893"/>
      <c r="AB252" s="2893"/>
      <c r="AC252" s="2893"/>
      <c r="AD252" s="2893"/>
      <c r="AE252" s="2893"/>
      <c r="AF252" s="2893"/>
      <c r="AG252" s="2893"/>
    </row>
    <row r="253" spans="1:33" ht="14.9" customHeight="1">
      <c r="A253" s="252"/>
      <c r="B253" s="2903" t="s">
        <v>336</v>
      </c>
      <c r="C253" s="2903"/>
      <c r="D253" s="2903"/>
      <c r="E253" s="2903"/>
      <c r="F253" s="6"/>
      <c r="G253" s="63"/>
      <c r="H253" s="480"/>
      <c r="I253" s="710"/>
      <c r="J253" s="582"/>
      <c r="K253" s="526"/>
      <c r="L253" s="710"/>
      <c r="M253" s="582"/>
      <c r="N253" s="526"/>
      <c r="O253" s="710"/>
      <c r="P253" s="582"/>
      <c r="Q253" s="526"/>
      <c r="R253" s="762"/>
      <c r="S253" s="762"/>
      <c r="T253" s="526"/>
      <c r="U253" s="762"/>
      <c r="V253" s="762"/>
      <c r="W253" s="526"/>
      <c r="X253" s="2893"/>
      <c r="Y253" s="2893"/>
      <c r="Z253" s="2893"/>
      <c r="AA253" s="2893"/>
      <c r="AB253" s="2893"/>
      <c r="AC253" s="2893"/>
      <c r="AD253" s="2893"/>
      <c r="AE253" s="2893"/>
      <c r="AF253" s="2893"/>
      <c r="AG253" s="2893"/>
    </row>
    <row r="254" spans="1:33" ht="32.9" customHeight="1">
      <c r="A254" s="252"/>
      <c r="B254" s="2903" t="s">
        <v>337</v>
      </c>
      <c r="C254" s="2903"/>
      <c r="D254" s="2903"/>
      <c r="E254" s="2903"/>
      <c r="F254" s="6"/>
      <c r="G254" s="63"/>
      <c r="H254" s="480"/>
      <c r="I254" s="710"/>
      <c r="J254" s="582"/>
      <c r="K254" s="526"/>
      <c r="L254" s="710"/>
      <c r="M254" s="582"/>
      <c r="N254" s="526"/>
      <c r="O254" s="710"/>
      <c r="P254" s="582"/>
      <c r="Q254" s="526"/>
      <c r="R254" s="762"/>
      <c r="S254" s="762"/>
      <c r="T254" s="526"/>
      <c r="U254" s="762"/>
      <c r="V254" s="762"/>
      <c r="W254" s="526"/>
      <c r="X254" s="2893"/>
      <c r="Y254" s="2893"/>
      <c r="Z254" s="2893"/>
      <c r="AA254" s="2893"/>
      <c r="AB254" s="2893"/>
      <c r="AC254" s="2893"/>
      <c r="AD254" s="2893"/>
      <c r="AE254" s="2893"/>
      <c r="AF254" s="2893"/>
      <c r="AG254" s="2893"/>
    </row>
    <row r="255" spans="1:33" ht="32.9" customHeight="1">
      <c r="A255" s="252"/>
      <c r="B255" s="2903" t="s">
        <v>338</v>
      </c>
      <c r="C255" s="2903"/>
      <c r="D255" s="2903"/>
      <c r="E255" s="2903"/>
      <c r="F255" s="6"/>
      <c r="G255" s="63"/>
      <c r="H255" s="480"/>
      <c r="I255" s="710"/>
      <c r="J255" s="582"/>
      <c r="K255" s="526"/>
      <c r="L255" s="710"/>
      <c r="M255" s="582"/>
      <c r="N255" s="526"/>
      <c r="O255" s="710"/>
      <c r="P255" s="582"/>
      <c r="Q255" s="526"/>
      <c r="R255" s="762"/>
      <c r="S255" s="762"/>
      <c r="T255" s="526"/>
      <c r="U255" s="762"/>
      <c r="V255" s="762"/>
      <c r="W255" s="526"/>
      <c r="X255" s="2893"/>
      <c r="Y255" s="2893"/>
      <c r="Z255" s="2893"/>
      <c r="AA255" s="2893"/>
      <c r="AB255" s="2893"/>
      <c r="AC255" s="2893"/>
      <c r="AD255" s="2893"/>
      <c r="AE255" s="2893"/>
      <c r="AF255" s="2893"/>
      <c r="AG255" s="2893"/>
    </row>
    <row r="256" spans="1:33" ht="14.9" customHeight="1">
      <c r="A256" s="252"/>
      <c r="B256" s="2903" t="s">
        <v>735</v>
      </c>
      <c r="C256" s="2903"/>
      <c r="D256" s="2903"/>
      <c r="E256" s="2903"/>
      <c r="F256" s="6"/>
      <c r="G256" s="63"/>
      <c r="H256" s="480"/>
      <c r="I256" s="710"/>
      <c r="J256" s="582"/>
      <c r="K256" s="526"/>
      <c r="L256" s="710"/>
      <c r="M256" s="582"/>
      <c r="N256" s="526"/>
      <c r="O256" s="710"/>
      <c r="P256" s="582"/>
      <c r="Q256" s="526"/>
      <c r="R256" s="762"/>
      <c r="S256" s="762"/>
      <c r="T256" s="526"/>
      <c r="U256" s="762"/>
      <c r="V256" s="762"/>
      <c r="W256" s="526"/>
      <c r="X256" s="2893"/>
      <c r="Y256" s="2893"/>
      <c r="Z256" s="2893"/>
      <c r="AA256" s="2893"/>
      <c r="AB256" s="2893"/>
      <c r="AC256" s="2893"/>
      <c r="AD256" s="2893"/>
      <c r="AE256" s="2893"/>
      <c r="AF256" s="2893"/>
      <c r="AG256" s="2893"/>
    </row>
    <row r="257" spans="1:33" ht="14.9" customHeight="1">
      <c r="A257" s="252"/>
      <c r="B257" s="2903" t="s">
        <v>734</v>
      </c>
      <c r="C257" s="2903"/>
      <c r="D257" s="2903"/>
      <c r="E257" s="2903"/>
      <c r="F257" s="6"/>
      <c r="G257" s="63"/>
      <c r="H257" s="802"/>
      <c r="I257" s="741"/>
      <c r="J257" s="557"/>
      <c r="K257" s="769"/>
      <c r="L257" s="741"/>
      <c r="M257" s="557"/>
      <c r="N257" s="769"/>
      <c r="O257" s="741"/>
      <c r="P257" s="557"/>
      <c r="Q257" s="769"/>
      <c r="R257" s="768"/>
      <c r="S257" s="768"/>
      <c r="T257" s="769"/>
      <c r="U257" s="768"/>
      <c r="V257" s="768"/>
      <c r="W257" s="769"/>
      <c r="X257" s="2893"/>
      <c r="Y257" s="2893"/>
      <c r="Z257" s="2893"/>
      <c r="AA257" s="2893"/>
      <c r="AB257" s="2893"/>
      <c r="AC257" s="2893"/>
      <c r="AD257" s="2893"/>
      <c r="AE257" s="2893"/>
      <c r="AF257" s="2893"/>
      <c r="AG257" s="2893"/>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906"/>
      <c r="Y258" s="2906"/>
      <c r="Z258" s="2906"/>
      <c r="AA258" s="2906"/>
      <c r="AB258" s="2906"/>
      <c r="AC258" s="2906"/>
      <c r="AD258" s="2906"/>
      <c r="AE258" s="2906"/>
      <c r="AF258" s="2906"/>
      <c r="AG258" s="2906"/>
    </row>
    <row r="259" spans="1:33" ht="21.65" customHeight="1">
      <c r="A259" s="2907" t="s">
        <v>733</v>
      </c>
      <c r="B259" s="2907"/>
      <c r="C259" s="2907"/>
      <c r="D259" s="2907"/>
      <c r="E259" s="2907"/>
      <c r="F259" s="2907"/>
      <c r="G259" s="2907"/>
      <c r="H259" s="779"/>
      <c r="I259" s="597"/>
      <c r="J259" s="594"/>
      <c r="K259" s="779"/>
      <c r="L259" s="597"/>
      <c r="M259" s="594"/>
      <c r="N259" s="669"/>
      <c r="O259" s="594"/>
      <c r="P259" s="670"/>
      <c r="Q259" s="671"/>
      <c r="R259" s="682"/>
      <c r="S259" s="682"/>
      <c r="T259" s="682"/>
      <c r="U259" s="682"/>
      <c r="V259" s="682"/>
      <c r="W259" s="682"/>
      <c r="X259" s="2909"/>
      <c r="Y259" s="2909"/>
      <c r="Z259" s="2909"/>
      <c r="AA259" s="2909"/>
      <c r="AB259" s="2909"/>
      <c r="AC259" s="2909"/>
      <c r="AD259" s="2909"/>
      <c r="AE259" s="2909"/>
      <c r="AF259" s="2909"/>
      <c r="AG259" s="2909"/>
    </row>
    <row r="260" spans="1:33" ht="18.649999999999999" customHeight="1">
      <c r="A260" s="1"/>
      <c r="B260" s="502"/>
      <c r="C260" s="50"/>
      <c r="D260" s="50"/>
      <c r="E260" s="50"/>
      <c r="G260" s="13"/>
      <c r="H260" s="60"/>
      <c r="I260" s="6"/>
      <c r="J260" s="65"/>
      <c r="K260" s="60"/>
      <c r="L260" s="6"/>
      <c r="M260" s="65"/>
      <c r="N260" s="60"/>
      <c r="P260" s="66"/>
      <c r="Q260" s="788"/>
      <c r="R260" s="8"/>
      <c r="S260" s="8"/>
      <c r="T260" s="788"/>
      <c r="U260" s="8"/>
      <c r="V260" s="8"/>
      <c r="W260" s="788"/>
      <c r="X260" s="2910"/>
      <c r="Y260" s="2910"/>
      <c r="Z260" s="2910"/>
      <c r="AA260" s="2910"/>
      <c r="AB260" s="2910"/>
      <c r="AC260" s="2910"/>
      <c r="AD260" s="2910"/>
      <c r="AE260" s="2910"/>
      <c r="AF260" s="2910"/>
      <c r="AG260" s="2910"/>
    </row>
    <row r="261" spans="1:33" ht="30.75" customHeight="1">
      <c r="A261" s="252"/>
      <c r="B261" s="2903" t="s">
        <v>241</v>
      </c>
      <c r="C261" s="2903"/>
      <c r="D261" s="2903"/>
      <c r="E261" s="2903"/>
      <c r="F261" s="6"/>
      <c r="G261" s="65"/>
      <c r="H261" s="801"/>
      <c r="I261" s="710"/>
      <c r="J261" s="711"/>
      <c r="K261" s="588"/>
      <c r="L261" s="710"/>
      <c r="M261" s="711"/>
      <c r="N261" s="588"/>
      <c r="O261" s="710"/>
      <c r="P261" s="712"/>
      <c r="Q261" s="588"/>
      <c r="R261" s="762"/>
      <c r="S261" s="762"/>
      <c r="T261" s="588"/>
      <c r="U261" s="762"/>
      <c r="V261" s="762"/>
      <c r="W261" s="588"/>
      <c r="X261" s="2893"/>
      <c r="Y261" s="2893"/>
      <c r="Z261" s="2893"/>
      <c r="AA261" s="2893"/>
      <c r="AB261" s="2893"/>
      <c r="AC261" s="2893"/>
      <c r="AD261" s="2893"/>
      <c r="AE261" s="2893"/>
      <c r="AF261" s="2893"/>
      <c r="AG261" s="2893"/>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911"/>
      <c r="Y262" s="2911"/>
      <c r="Z262" s="2911"/>
      <c r="AA262" s="2911"/>
      <c r="AB262" s="2911"/>
      <c r="AC262" s="2911"/>
      <c r="AD262" s="2911"/>
      <c r="AE262" s="2911"/>
      <c r="AF262" s="2911"/>
      <c r="AG262" s="2911"/>
    </row>
    <row r="263" spans="1:33" ht="14.9" customHeight="1">
      <c r="A263" s="252"/>
      <c r="B263" s="2903" t="s">
        <v>625</v>
      </c>
      <c r="C263" s="2903"/>
      <c r="D263" s="2903"/>
      <c r="E263" s="2903"/>
      <c r="F263" s="6"/>
      <c r="G263" s="65"/>
      <c r="H263" s="799"/>
      <c r="I263" s="710"/>
      <c r="J263" s="711"/>
      <c r="K263" s="628"/>
      <c r="L263" s="710"/>
      <c r="M263" s="711"/>
      <c r="N263" s="628"/>
      <c r="O263" s="710"/>
      <c r="P263" s="712"/>
      <c r="Q263" s="628"/>
      <c r="R263" s="762"/>
      <c r="S263" s="762"/>
      <c r="T263" s="628"/>
      <c r="U263" s="762"/>
      <c r="V263" s="762"/>
      <c r="W263" s="628"/>
      <c r="X263" s="2893"/>
      <c r="Y263" s="2893"/>
      <c r="Z263" s="2893"/>
      <c r="AA263" s="2893"/>
      <c r="AB263" s="2893"/>
      <c r="AC263" s="2893"/>
      <c r="AD263" s="2893"/>
      <c r="AE263" s="2893"/>
      <c r="AF263" s="2893"/>
      <c r="AG263" s="2893"/>
    </row>
    <row r="264" spans="1:33" ht="14.9" customHeight="1">
      <c r="A264" s="252"/>
      <c r="B264" s="2903" t="s">
        <v>626</v>
      </c>
      <c r="C264" s="2903"/>
      <c r="D264" s="2903"/>
      <c r="E264" s="2903"/>
      <c r="F264" s="6"/>
      <c r="G264" s="65"/>
      <c r="H264" s="480"/>
      <c r="I264" s="710"/>
      <c r="J264" s="711"/>
      <c r="K264" s="526"/>
      <c r="L264" s="710"/>
      <c r="M264" s="711"/>
      <c r="N264" s="526"/>
      <c r="O264" s="710"/>
      <c r="P264" s="712"/>
      <c r="Q264" s="526"/>
      <c r="R264" s="762"/>
      <c r="S264" s="762"/>
      <c r="T264" s="526"/>
      <c r="U264" s="762"/>
      <c r="V264" s="762"/>
      <c r="W264" s="526"/>
      <c r="X264" s="2893"/>
      <c r="Y264" s="2893"/>
      <c r="Z264" s="2893"/>
      <c r="AA264" s="2893"/>
      <c r="AB264" s="2893"/>
      <c r="AC264" s="2893"/>
      <c r="AD264" s="2893"/>
      <c r="AE264" s="2893"/>
      <c r="AF264" s="2893"/>
      <c r="AG264" s="2893"/>
    </row>
    <row r="265" spans="1:33" ht="14.9" customHeight="1">
      <c r="A265" s="252"/>
      <c r="B265" s="2903" t="s">
        <v>627</v>
      </c>
      <c r="C265" s="2903"/>
      <c r="D265" s="2903"/>
      <c r="E265" s="2903"/>
      <c r="F265" s="6"/>
      <c r="G265" s="65"/>
      <c r="H265" s="794"/>
      <c r="I265" s="710"/>
      <c r="J265" s="711"/>
      <c r="K265" s="561"/>
      <c r="L265" s="710"/>
      <c r="M265" s="711"/>
      <c r="N265" s="561"/>
      <c r="O265" s="710"/>
      <c r="P265" s="712"/>
      <c r="Q265" s="561"/>
      <c r="R265" s="762"/>
      <c r="S265" s="762"/>
      <c r="T265" s="561"/>
      <c r="U265" s="762"/>
      <c r="V265" s="762"/>
      <c r="W265" s="561"/>
      <c r="X265" s="2893"/>
      <c r="Y265" s="2893"/>
      <c r="Z265" s="2893"/>
      <c r="AA265" s="2893"/>
      <c r="AB265" s="2893"/>
      <c r="AC265" s="2893"/>
      <c r="AD265" s="2893"/>
      <c r="AE265" s="2893"/>
      <c r="AF265" s="2893"/>
      <c r="AG265" s="2893"/>
    </row>
    <row r="266" spans="1:33" ht="14.9" customHeight="1">
      <c r="A266" s="252"/>
      <c r="B266" s="2904" t="s">
        <v>628</v>
      </c>
      <c r="C266" s="2904"/>
      <c r="D266" s="2904"/>
      <c r="E266" s="2904"/>
      <c r="F266" s="6"/>
      <c r="G266" s="65"/>
      <c r="H266" s="480"/>
      <c r="I266" s="710"/>
      <c r="J266" s="711"/>
      <c r="K266" s="526"/>
      <c r="L266" s="710"/>
      <c r="M266" s="711"/>
      <c r="N266" s="526"/>
      <c r="O266" s="710"/>
      <c r="P266" s="712"/>
      <c r="Q266" s="526"/>
      <c r="R266" s="762"/>
      <c r="S266" s="762"/>
      <c r="T266" s="526"/>
      <c r="U266" s="762"/>
      <c r="V266" s="762"/>
      <c r="W266" s="526"/>
      <c r="X266" s="2893"/>
      <c r="Y266" s="2893"/>
      <c r="Z266" s="2893"/>
      <c r="AA266" s="2893"/>
      <c r="AB266" s="2893"/>
      <c r="AC266" s="2893"/>
      <c r="AD266" s="2893"/>
      <c r="AE266" s="2893"/>
      <c r="AF266" s="2893"/>
      <c r="AG266" s="2893"/>
    </row>
    <row r="267" spans="1:33" ht="32.9" customHeight="1">
      <c r="A267" s="252"/>
      <c r="B267" s="2904" t="s">
        <v>629</v>
      </c>
      <c r="C267" s="2904"/>
      <c r="D267" s="2904"/>
      <c r="E267" s="2904"/>
      <c r="F267" s="6"/>
      <c r="G267" s="65"/>
      <c r="H267" s="795"/>
      <c r="I267" s="710"/>
      <c r="J267" s="711"/>
      <c r="K267" s="568"/>
      <c r="L267" s="710"/>
      <c r="M267" s="711"/>
      <c r="N267" s="568"/>
      <c r="O267" s="710"/>
      <c r="P267" s="712"/>
      <c r="Q267" s="568"/>
      <c r="R267" s="762"/>
      <c r="S267" s="762"/>
      <c r="T267" s="568"/>
      <c r="U267" s="762"/>
      <c r="V267" s="762"/>
      <c r="W267" s="568"/>
      <c r="X267" s="2893"/>
      <c r="Y267" s="2893"/>
      <c r="Z267" s="2893"/>
      <c r="AA267" s="2893"/>
      <c r="AB267" s="2893"/>
      <c r="AC267" s="2893"/>
      <c r="AD267" s="2893"/>
      <c r="AE267" s="2893"/>
      <c r="AF267" s="2893"/>
      <c r="AG267" s="2893"/>
    </row>
    <row r="268" spans="1:33" ht="14.9" customHeight="1">
      <c r="A268" s="252"/>
      <c r="B268" s="2903" t="s">
        <v>630</v>
      </c>
      <c r="C268" s="2903"/>
      <c r="D268" s="2903"/>
      <c r="E268" s="2903"/>
      <c r="F268" s="6"/>
      <c r="G268" s="65"/>
      <c r="H268" s="480"/>
      <c r="I268" s="710"/>
      <c r="J268" s="711"/>
      <c r="K268" s="526"/>
      <c r="L268" s="710"/>
      <c r="M268" s="711"/>
      <c r="N268" s="526"/>
      <c r="O268" s="710"/>
      <c r="P268" s="712"/>
      <c r="Q268" s="526"/>
      <c r="R268" s="762"/>
      <c r="S268" s="762"/>
      <c r="T268" s="526"/>
      <c r="U268" s="762"/>
      <c r="V268" s="762"/>
      <c r="W268" s="526"/>
      <c r="X268" s="2893"/>
      <c r="Y268" s="2893"/>
      <c r="Z268" s="2893"/>
      <c r="AA268" s="2893"/>
      <c r="AB268" s="2893"/>
      <c r="AC268" s="2893"/>
      <c r="AD268" s="2893"/>
      <c r="AE268" s="2893"/>
      <c r="AF268" s="2893"/>
      <c r="AG268" s="2893"/>
    </row>
    <row r="269" spans="1:33" ht="14.9" customHeight="1">
      <c r="A269" s="252"/>
      <c r="B269" s="2904" t="s">
        <v>634</v>
      </c>
      <c r="C269" s="2904"/>
      <c r="D269" s="2904"/>
      <c r="E269" s="2904"/>
      <c r="F269" s="6"/>
      <c r="G269" s="63"/>
      <c r="H269" s="481"/>
      <c r="I269" s="710"/>
      <c r="J269" s="582"/>
      <c r="K269" s="553"/>
      <c r="L269" s="748"/>
      <c r="M269" s="711"/>
      <c r="N269" s="553"/>
      <c r="O269" s="710"/>
      <c r="P269" s="582"/>
      <c r="Q269" s="553"/>
      <c r="R269" s="762"/>
      <c r="S269" s="762"/>
      <c r="T269" s="553"/>
      <c r="U269" s="762"/>
      <c r="V269" s="762"/>
      <c r="W269" s="553"/>
      <c r="X269" s="2893"/>
      <c r="Y269" s="2893"/>
      <c r="Z269" s="2893"/>
      <c r="AA269" s="2893"/>
      <c r="AB269" s="2893"/>
      <c r="AC269" s="2893"/>
      <c r="AD269" s="2893"/>
      <c r="AE269" s="2893"/>
      <c r="AF269" s="2893"/>
      <c r="AG269" s="2893"/>
    </row>
    <row r="270" spans="1:33" ht="29.15" customHeight="1">
      <c r="A270" s="252"/>
      <c r="B270" s="2903" t="s">
        <v>1551</v>
      </c>
      <c r="C270" s="2903"/>
      <c r="D270" s="2903"/>
      <c r="E270" s="2903"/>
      <c r="F270" s="6"/>
      <c r="G270" s="63"/>
      <c r="H270" s="796"/>
      <c r="I270" s="710"/>
      <c r="J270" s="582"/>
      <c r="K270" s="619"/>
      <c r="L270" s="748"/>
      <c r="M270" s="711"/>
      <c r="N270" s="619"/>
      <c r="O270" s="710"/>
      <c r="P270" s="582"/>
      <c r="Q270" s="619"/>
      <c r="R270" s="762"/>
      <c r="S270" s="762"/>
      <c r="T270" s="619"/>
      <c r="U270" s="762"/>
      <c r="V270" s="762"/>
      <c r="W270" s="619"/>
      <c r="X270" s="2893"/>
      <c r="Y270" s="2893"/>
      <c r="Z270" s="2893"/>
      <c r="AA270" s="2893"/>
      <c r="AB270" s="2893"/>
      <c r="AC270" s="2893"/>
      <c r="AD270" s="2893"/>
      <c r="AE270" s="2893"/>
      <c r="AF270" s="2893"/>
      <c r="AG270" s="2893"/>
    </row>
    <row r="271" spans="1:33" ht="29.15" customHeight="1">
      <c r="A271" s="252"/>
      <c r="B271" s="2903" t="s">
        <v>1552</v>
      </c>
      <c r="C271" s="2903"/>
      <c r="D271" s="2903"/>
      <c r="E271" s="2903"/>
      <c r="F271" s="6"/>
      <c r="G271" s="63"/>
      <c r="H271" s="796"/>
      <c r="I271" s="710"/>
      <c r="J271" s="582"/>
      <c r="K271" s="619"/>
      <c r="L271" s="748"/>
      <c r="M271" s="711"/>
      <c r="N271" s="619"/>
      <c r="O271" s="710"/>
      <c r="P271" s="582"/>
      <c r="Q271" s="619"/>
      <c r="R271" s="762"/>
      <c r="S271" s="762"/>
      <c r="T271" s="619"/>
      <c r="U271" s="762"/>
      <c r="V271" s="762"/>
      <c r="W271" s="619"/>
      <c r="X271" s="2893"/>
      <c r="Y271" s="2893"/>
      <c r="Z271" s="2893"/>
      <c r="AA271" s="2893"/>
      <c r="AB271" s="2893"/>
      <c r="AC271" s="2893"/>
      <c r="AD271" s="2893"/>
      <c r="AE271" s="2893"/>
      <c r="AF271" s="2893"/>
      <c r="AG271" s="2893"/>
    </row>
    <row r="272" spans="1:33" ht="32.9" customHeight="1">
      <c r="A272" s="252"/>
      <c r="B272" s="2903" t="s">
        <v>331</v>
      </c>
      <c r="C272" s="2903"/>
      <c r="D272" s="2903"/>
      <c r="E272" s="2903"/>
      <c r="F272" s="6"/>
      <c r="G272" s="65"/>
      <c r="H272" s="480"/>
      <c r="I272" s="710"/>
      <c r="J272" s="711"/>
      <c r="K272" s="526"/>
      <c r="L272" s="710"/>
      <c r="M272" s="711"/>
      <c r="N272" s="526"/>
      <c r="O272" s="710"/>
      <c r="P272" s="712"/>
      <c r="Q272" s="526"/>
      <c r="R272" s="762"/>
      <c r="S272" s="762"/>
      <c r="T272" s="526"/>
      <c r="U272" s="762"/>
      <c r="V272" s="762"/>
      <c r="W272" s="526"/>
      <c r="X272" s="2893"/>
      <c r="Y272" s="2893"/>
      <c r="Z272" s="2893"/>
      <c r="AA272" s="2893"/>
      <c r="AB272" s="2893"/>
      <c r="AC272" s="2893"/>
      <c r="AD272" s="2893"/>
      <c r="AE272" s="2893"/>
      <c r="AF272" s="2893"/>
      <c r="AG272" s="2893"/>
    </row>
    <row r="273" spans="1:33" ht="14.9" customHeight="1">
      <c r="A273" s="252"/>
      <c r="B273" s="2904" t="s">
        <v>332</v>
      </c>
      <c r="C273" s="2904"/>
      <c r="D273" s="2904"/>
      <c r="E273" s="2904"/>
      <c r="F273" s="6"/>
      <c r="G273" s="63"/>
      <c r="H273" s="480"/>
      <c r="I273" s="710"/>
      <c r="J273" s="582"/>
      <c r="K273" s="526"/>
      <c r="L273" s="748"/>
      <c r="M273" s="711"/>
      <c r="N273" s="526"/>
      <c r="O273" s="710"/>
      <c r="P273" s="582"/>
      <c r="Q273" s="526"/>
      <c r="R273" s="762"/>
      <c r="S273" s="762"/>
      <c r="T273" s="526"/>
      <c r="U273" s="762"/>
      <c r="V273" s="762"/>
      <c r="W273" s="526"/>
      <c r="X273" s="2893"/>
      <c r="Y273" s="2893"/>
      <c r="Z273" s="2893"/>
      <c r="AA273" s="2893"/>
      <c r="AB273" s="2893"/>
      <c r="AC273" s="2893"/>
      <c r="AD273" s="2893"/>
      <c r="AE273" s="2893"/>
      <c r="AF273" s="2893"/>
      <c r="AG273" s="2893"/>
    </row>
    <row r="274" spans="1:33" ht="14.9" customHeight="1">
      <c r="A274" s="252"/>
      <c r="B274" s="2903" t="s">
        <v>333</v>
      </c>
      <c r="C274" s="2903"/>
      <c r="D274" s="2903"/>
      <c r="E274" s="2903"/>
      <c r="F274" s="6"/>
      <c r="G274" s="63"/>
      <c r="H274" s="480"/>
      <c r="I274" s="710"/>
      <c r="J274" s="582"/>
      <c r="K274" s="526"/>
      <c r="L274" s="748"/>
      <c r="M274" s="711"/>
      <c r="N274" s="526"/>
      <c r="O274" s="710"/>
      <c r="P274" s="582"/>
      <c r="Q274" s="526"/>
      <c r="R274" s="762"/>
      <c r="S274" s="762"/>
      <c r="T274" s="526"/>
      <c r="U274" s="762"/>
      <c r="V274" s="762"/>
      <c r="W274" s="526"/>
      <c r="X274" s="2893"/>
      <c r="Y274" s="2893"/>
      <c r="Z274" s="2893"/>
      <c r="AA274" s="2893"/>
      <c r="AB274" s="2893"/>
      <c r="AC274" s="2893"/>
      <c r="AD274" s="2893"/>
      <c r="AE274" s="2893"/>
      <c r="AF274" s="2893"/>
      <c r="AG274" s="2893"/>
    </row>
    <row r="275" spans="1:33" ht="14.9" customHeight="1">
      <c r="A275" s="252"/>
      <c r="B275" s="2903" t="s">
        <v>334</v>
      </c>
      <c r="C275" s="2903"/>
      <c r="D275" s="2903"/>
      <c r="E275" s="2903"/>
      <c r="F275" s="6"/>
      <c r="G275" s="63"/>
      <c r="H275" s="480"/>
      <c r="I275" s="710"/>
      <c r="J275" s="582"/>
      <c r="K275" s="526"/>
      <c r="L275" s="748"/>
      <c r="M275" s="711"/>
      <c r="N275" s="526"/>
      <c r="O275" s="710"/>
      <c r="P275" s="582"/>
      <c r="Q275" s="526"/>
      <c r="R275" s="762"/>
      <c r="S275" s="762"/>
      <c r="T275" s="526"/>
      <c r="U275" s="762"/>
      <c r="V275" s="762"/>
      <c r="W275" s="526"/>
      <c r="X275" s="2893"/>
      <c r="Y275" s="2893"/>
      <c r="Z275" s="2893"/>
      <c r="AA275" s="2893"/>
      <c r="AB275" s="2893"/>
      <c r="AC275" s="2893"/>
      <c r="AD275" s="2893"/>
      <c r="AE275" s="2893"/>
      <c r="AF275" s="2893"/>
      <c r="AG275" s="2893"/>
    </row>
    <row r="276" spans="1:33" ht="14.9" customHeight="1">
      <c r="A276" s="252"/>
      <c r="B276" s="2904" t="s">
        <v>335</v>
      </c>
      <c r="C276" s="2904"/>
      <c r="D276" s="2904"/>
      <c r="E276" s="2904"/>
      <c r="F276" s="6"/>
      <c r="G276" s="63"/>
      <c r="H276" s="480"/>
      <c r="I276" s="710"/>
      <c r="J276" s="582"/>
      <c r="K276" s="526"/>
      <c r="L276" s="748"/>
      <c r="M276" s="711"/>
      <c r="N276" s="526"/>
      <c r="O276" s="710"/>
      <c r="P276" s="582"/>
      <c r="Q276" s="526"/>
      <c r="R276" s="762"/>
      <c r="S276" s="762"/>
      <c r="T276" s="526"/>
      <c r="U276" s="762"/>
      <c r="V276" s="762"/>
      <c r="W276" s="526"/>
      <c r="X276" s="2893"/>
      <c r="Y276" s="2893"/>
      <c r="Z276" s="2893"/>
      <c r="AA276" s="2893"/>
      <c r="AB276" s="2893"/>
      <c r="AC276" s="2893"/>
      <c r="AD276" s="2893"/>
      <c r="AE276" s="2893"/>
      <c r="AF276" s="2893"/>
      <c r="AG276" s="2893"/>
    </row>
    <row r="277" spans="1:33" ht="14.9" customHeight="1">
      <c r="A277" s="252"/>
      <c r="B277" s="2903" t="s">
        <v>336</v>
      </c>
      <c r="C277" s="2903"/>
      <c r="D277" s="2903"/>
      <c r="E277" s="2903"/>
      <c r="F277" s="6"/>
      <c r="G277" s="63"/>
      <c r="H277" s="480"/>
      <c r="I277" s="710"/>
      <c r="J277" s="582"/>
      <c r="K277" s="526"/>
      <c r="L277" s="748"/>
      <c r="M277" s="711"/>
      <c r="N277" s="526"/>
      <c r="O277" s="710"/>
      <c r="P277" s="582"/>
      <c r="Q277" s="526"/>
      <c r="R277" s="762"/>
      <c r="S277" s="762"/>
      <c r="T277" s="526"/>
      <c r="U277" s="762"/>
      <c r="V277" s="762"/>
      <c r="W277" s="526"/>
      <c r="X277" s="2893"/>
      <c r="Y277" s="2893"/>
      <c r="Z277" s="2893"/>
      <c r="AA277" s="2893"/>
      <c r="AB277" s="2893"/>
      <c r="AC277" s="2893"/>
      <c r="AD277" s="2893"/>
      <c r="AE277" s="2893"/>
      <c r="AF277" s="2893"/>
      <c r="AG277" s="2893"/>
    </row>
    <row r="278" spans="1:33" ht="32.9" customHeight="1">
      <c r="A278" s="252"/>
      <c r="B278" s="2903" t="s">
        <v>337</v>
      </c>
      <c r="C278" s="2903"/>
      <c r="D278" s="2903"/>
      <c r="E278" s="2903"/>
      <c r="F278" s="6"/>
      <c r="G278" s="63"/>
      <c r="H278" s="480"/>
      <c r="I278" s="710"/>
      <c r="J278" s="582"/>
      <c r="K278" s="526"/>
      <c r="L278" s="748"/>
      <c r="M278" s="711"/>
      <c r="N278" s="526"/>
      <c r="O278" s="710"/>
      <c r="P278" s="582"/>
      <c r="Q278" s="526"/>
      <c r="R278" s="762"/>
      <c r="S278" s="762"/>
      <c r="T278" s="526"/>
      <c r="U278" s="762"/>
      <c r="V278" s="762"/>
      <c r="W278" s="526"/>
      <c r="X278" s="2893"/>
      <c r="Y278" s="2893"/>
      <c r="Z278" s="2893"/>
      <c r="AA278" s="2893"/>
      <c r="AB278" s="2893"/>
      <c r="AC278" s="2893"/>
      <c r="AD278" s="2893"/>
      <c r="AE278" s="2893"/>
      <c r="AF278" s="2893"/>
      <c r="AG278" s="2893"/>
    </row>
    <row r="279" spans="1:33" ht="32.9" customHeight="1">
      <c r="A279" s="252"/>
      <c r="B279" s="2903" t="s">
        <v>338</v>
      </c>
      <c r="C279" s="2903"/>
      <c r="D279" s="2903"/>
      <c r="E279" s="2903"/>
      <c r="F279" s="6"/>
      <c r="G279" s="63"/>
      <c r="H279" s="480"/>
      <c r="I279" s="710"/>
      <c r="J279" s="582"/>
      <c r="K279" s="526"/>
      <c r="L279" s="748"/>
      <c r="M279" s="711"/>
      <c r="N279" s="526"/>
      <c r="O279" s="710"/>
      <c r="P279" s="582"/>
      <c r="Q279" s="526"/>
      <c r="R279" s="762"/>
      <c r="S279" s="762"/>
      <c r="T279" s="526"/>
      <c r="U279" s="762"/>
      <c r="V279" s="762"/>
      <c r="W279" s="526"/>
      <c r="X279" s="2893"/>
      <c r="Y279" s="2893"/>
      <c r="Z279" s="2893"/>
      <c r="AA279" s="2893"/>
      <c r="AB279" s="2893"/>
      <c r="AC279" s="2893"/>
      <c r="AD279" s="2893"/>
      <c r="AE279" s="2893"/>
      <c r="AF279" s="2893"/>
      <c r="AG279" s="2893"/>
    </row>
    <row r="280" spans="1:33" ht="14.9" customHeight="1">
      <c r="A280" s="252"/>
      <c r="B280" s="2903" t="s">
        <v>735</v>
      </c>
      <c r="C280" s="2903"/>
      <c r="D280" s="2903"/>
      <c r="E280" s="2903"/>
      <c r="F280" s="6"/>
      <c r="G280" s="63"/>
      <c r="H280" s="480"/>
      <c r="I280" s="710"/>
      <c r="J280" s="582"/>
      <c r="K280" s="526"/>
      <c r="L280" s="748"/>
      <c r="M280" s="711"/>
      <c r="N280" s="526"/>
      <c r="O280" s="710"/>
      <c r="P280" s="582"/>
      <c r="Q280" s="526"/>
      <c r="R280" s="762"/>
      <c r="S280" s="762"/>
      <c r="T280" s="526"/>
      <c r="U280" s="762"/>
      <c r="V280" s="762"/>
      <c r="W280" s="526"/>
      <c r="X280" s="2893"/>
      <c r="Y280" s="2893"/>
      <c r="Z280" s="2893"/>
      <c r="AA280" s="2893"/>
      <c r="AB280" s="2893"/>
      <c r="AC280" s="2893"/>
      <c r="AD280" s="2893"/>
      <c r="AE280" s="2893"/>
      <c r="AF280" s="2893"/>
      <c r="AG280" s="2893"/>
    </row>
    <row r="281" spans="1:33" ht="14.9" customHeight="1">
      <c r="A281" s="252"/>
      <c r="B281" s="2903" t="s">
        <v>734</v>
      </c>
      <c r="C281" s="2903"/>
      <c r="D281" s="2903"/>
      <c r="E281" s="2903"/>
      <c r="F281" s="6"/>
      <c r="G281" s="63"/>
      <c r="H281" s="797"/>
      <c r="I281" s="710"/>
      <c r="J281" s="582"/>
      <c r="K281" s="562"/>
      <c r="L281" s="748"/>
      <c r="M281" s="711"/>
      <c r="N281" s="562"/>
      <c r="O281" s="710"/>
      <c r="P281" s="582"/>
      <c r="Q281" s="562"/>
      <c r="R281" s="762"/>
      <c r="S281" s="762"/>
      <c r="T281" s="562"/>
      <c r="U281" s="762"/>
      <c r="V281" s="762"/>
      <c r="W281" s="562"/>
      <c r="X281" s="2893"/>
      <c r="Y281" s="2893"/>
      <c r="Z281" s="2893"/>
      <c r="AA281" s="2893"/>
      <c r="AB281" s="2893"/>
      <c r="AC281" s="2893"/>
      <c r="AD281" s="2893"/>
      <c r="AE281" s="2893"/>
      <c r="AF281" s="2893"/>
      <c r="AG281" s="2893"/>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911"/>
      <c r="Y282" s="2911"/>
      <c r="Z282" s="2911"/>
      <c r="AA282" s="2911"/>
      <c r="AB282" s="2911"/>
      <c r="AC282" s="2911"/>
      <c r="AD282" s="2911"/>
      <c r="AE282" s="2911"/>
      <c r="AF282" s="2911"/>
      <c r="AG282" s="2911"/>
    </row>
    <row r="283" spans="1:33" ht="14.9" customHeight="1">
      <c r="A283" s="252"/>
      <c r="B283" s="2903" t="s">
        <v>625</v>
      </c>
      <c r="C283" s="2903"/>
      <c r="D283" s="2903"/>
      <c r="E283" s="2903"/>
      <c r="F283" s="6"/>
      <c r="G283" s="65"/>
      <c r="H283" s="799"/>
      <c r="I283" s="710"/>
      <c r="J283" s="711"/>
      <c r="K283" s="628"/>
      <c r="L283" s="710"/>
      <c r="M283" s="711"/>
      <c r="N283" s="628"/>
      <c r="O283" s="710"/>
      <c r="P283" s="712"/>
      <c r="Q283" s="628"/>
      <c r="R283" s="762"/>
      <c r="S283" s="762"/>
      <c r="T283" s="628"/>
      <c r="U283" s="762"/>
      <c r="V283" s="762"/>
      <c r="W283" s="628"/>
      <c r="X283" s="2893"/>
      <c r="Y283" s="2893"/>
      <c r="Z283" s="2893"/>
      <c r="AA283" s="2893"/>
      <c r="AB283" s="2893"/>
      <c r="AC283" s="2893"/>
      <c r="AD283" s="2893"/>
      <c r="AE283" s="2893"/>
      <c r="AF283" s="2893"/>
      <c r="AG283" s="2893"/>
    </row>
    <row r="284" spans="1:33" ht="14.9" customHeight="1">
      <c r="A284" s="252"/>
      <c r="B284" s="2903" t="s">
        <v>626</v>
      </c>
      <c r="C284" s="2903"/>
      <c r="D284" s="2903"/>
      <c r="E284" s="2903"/>
      <c r="F284" s="6"/>
      <c r="G284" s="63"/>
      <c r="H284" s="480"/>
      <c r="I284" s="710"/>
      <c r="J284" s="582"/>
      <c r="K284" s="526"/>
      <c r="L284" s="748"/>
      <c r="M284" s="711"/>
      <c r="N284" s="526"/>
      <c r="O284" s="710"/>
      <c r="P284" s="582"/>
      <c r="Q284" s="526"/>
      <c r="R284" s="762"/>
      <c r="S284" s="762"/>
      <c r="T284" s="526"/>
      <c r="U284" s="762"/>
      <c r="V284" s="762"/>
      <c r="W284" s="526"/>
      <c r="X284" s="2893"/>
      <c r="Y284" s="2893"/>
      <c r="Z284" s="2893"/>
      <c r="AA284" s="2893"/>
      <c r="AB284" s="2893"/>
      <c r="AC284" s="2893"/>
      <c r="AD284" s="2893"/>
      <c r="AE284" s="2893"/>
      <c r="AF284" s="2893"/>
      <c r="AG284" s="2893"/>
    </row>
    <row r="285" spans="1:33" ht="14.9" customHeight="1">
      <c r="A285" s="252"/>
      <c r="B285" s="2903" t="s">
        <v>627</v>
      </c>
      <c r="C285" s="2903"/>
      <c r="D285" s="2903"/>
      <c r="E285" s="2903"/>
      <c r="F285" s="6"/>
      <c r="G285" s="63"/>
      <c r="H285" s="794"/>
      <c r="I285" s="710"/>
      <c r="J285" s="582"/>
      <c r="K285" s="561"/>
      <c r="L285" s="748"/>
      <c r="M285" s="711"/>
      <c r="N285" s="561"/>
      <c r="O285" s="710"/>
      <c r="P285" s="582"/>
      <c r="Q285" s="561"/>
      <c r="R285" s="762"/>
      <c r="S285" s="762"/>
      <c r="T285" s="561"/>
      <c r="U285" s="762"/>
      <c r="V285" s="762"/>
      <c r="W285" s="561"/>
      <c r="X285" s="2893"/>
      <c r="Y285" s="2893"/>
      <c r="Z285" s="2893"/>
      <c r="AA285" s="2893"/>
      <c r="AB285" s="2893"/>
      <c r="AC285" s="2893"/>
      <c r="AD285" s="2893"/>
      <c r="AE285" s="2893"/>
      <c r="AF285" s="2893"/>
      <c r="AG285" s="2893"/>
    </row>
    <row r="286" spans="1:33" ht="14.9" customHeight="1">
      <c r="A286" s="252"/>
      <c r="B286" s="2904" t="s">
        <v>628</v>
      </c>
      <c r="C286" s="2904"/>
      <c r="D286" s="2904"/>
      <c r="E286" s="2904"/>
      <c r="F286" s="6"/>
      <c r="G286" s="63"/>
      <c r="H286" s="480"/>
      <c r="I286" s="710"/>
      <c r="J286" s="582"/>
      <c r="K286" s="526"/>
      <c r="L286" s="748"/>
      <c r="M286" s="711"/>
      <c r="N286" s="526"/>
      <c r="O286" s="710"/>
      <c r="P286" s="582"/>
      <c r="Q286" s="526"/>
      <c r="R286" s="762"/>
      <c r="S286" s="762"/>
      <c r="T286" s="526"/>
      <c r="U286" s="762"/>
      <c r="V286" s="762"/>
      <c r="W286" s="526"/>
      <c r="X286" s="2893"/>
      <c r="Y286" s="2893"/>
      <c r="Z286" s="2893"/>
      <c r="AA286" s="2893"/>
      <c r="AB286" s="2893"/>
      <c r="AC286" s="2893"/>
      <c r="AD286" s="2893"/>
      <c r="AE286" s="2893"/>
      <c r="AF286" s="2893"/>
      <c r="AG286" s="2893"/>
    </row>
    <row r="287" spans="1:33" ht="33.75" customHeight="1">
      <c r="A287" s="252"/>
      <c r="B287" s="2904" t="s">
        <v>629</v>
      </c>
      <c r="C287" s="2904"/>
      <c r="D287" s="2904"/>
      <c r="E287" s="2904"/>
      <c r="F287" s="6"/>
      <c r="G287" s="65"/>
      <c r="H287" s="795"/>
      <c r="I287" s="710"/>
      <c r="J287" s="711"/>
      <c r="K287" s="568"/>
      <c r="L287" s="710"/>
      <c r="M287" s="711"/>
      <c r="N287" s="568"/>
      <c r="O287" s="710"/>
      <c r="P287" s="712"/>
      <c r="Q287" s="568"/>
      <c r="R287" s="762"/>
      <c r="S287" s="762"/>
      <c r="T287" s="568"/>
      <c r="U287" s="762"/>
      <c r="V287" s="762"/>
      <c r="W287" s="568"/>
      <c r="X287" s="2893"/>
      <c r="Y287" s="2893"/>
      <c r="Z287" s="2893"/>
      <c r="AA287" s="2893"/>
      <c r="AB287" s="2893"/>
      <c r="AC287" s="2893"/>
      <c r="AD287" s="2893"/>
      <c r="AE287" s="2893"/>
      <c r="AF287" s="2893"/>
      <c r="AG287" s="2893"/>
    </row>
    <row r="288" spans="1:33" ht="14.9" customHeight="1">
      <c r="A288" s="252"/>
      <c r="B288" s="2903" t="s">
        <v>630</v>
      </c>
      <c r="C288" s="2903"/>
      <c r="D288" s="2903"/>
      <c r="E288" s="2903"/>
      <c r="F288" s="6"/>
      <c r="G288" s="65"/>
      <c r="H288" s="480"/>
      <c r="I288" s="710"/>
      <c r="J288" s="711"/>
      <c r="K288" s="526"/>
      <c r="L288" s="710"/>
      <c r="M288" s="711"/>
      <c r="N288" s="526"/>
      <c r="O288" s="710"/>
      <c r="P288" s="712"/>
      <c r="Q288" s="526"/>
      <c r="R288" s="762"/>
      <c r="S288" s="762"/>
      <c r="T288" s="526"/>
      <c r="U288" s="762"/>
      <c r="V288" s="762"/>
      <c r="W288" s="526"/>
      <c r="X288" s="2893"/>
      <c r="Y288" s="2893"/>
      <c r="Z288" s="2893"/>
      <c r="AA288" s="2893"/>
      <c r="AB288" s="2893"/>
      <c r="AC288" s="2893"/>
      <c r="AD288" s="2893"/>
      <c r="AE288" s="2893"/>
      <c r="AF288" s="2893"/>
      <c r="AG288" s="2893"/>
    </row>
    <row r="289" spans="1:33" ht="14.9" customHeight="1">
      <c r="A289" s="252"/>
      <c r="B289" s="2904" t="s">
        <v>634</v>
      </c>
      <c r="C289" s="2904"/>
      <c r="D289" s="2904"/>
      <c r="E289" s="2904"/>
      <c r="F289" s="6"/>
      <c r="G289" s="65"/>
      <c r="H289" s="481"/>
      <c r="I289" s="710"/>
      <c r="J289" s="711"/>
      <c r="K289" s="553"/>
      <c r="L289" s="710"/>
      <c r="M289" s="711"/>
      <c r="N289" s="553"/>
      <c r="O289" s="710"/>
      <c r="P289" s="712"/>
      <c r="Q289" s="553"/>
      <c r="R289" s="762"/>
      <c r="S289" s="762"/>
      <c r="T289" s="553"/>
      <c r="U289" s="762"/>
      <c r="V289" s="762"/>
      <c r="W289" s="553"/>
      <c r="X289" s="2893"/>
      <c r="Y289" s="2893"/>
      <c r="Z289" s="2893"/>
      <c r="AA289" s="2893"/>
      <c r="AB289" s="2893"/>
      <c r="AC289" s="2893"/>
      <c r="AD289" s="2893"/>
      <c r="AE289" s="2893"/>
      <c r="AF289" s="2893"/>
      <c r="AG289" s="2893"/>
    </row>
    <row r="290" spans="1:33" ht="29.15" customHeight="1">
      <c r="A290" s="252"/>
      <c r="B290" s="2903" t="s">
        <v>1551</v>
      </c>
      <c r="C290" s="2903"/>
      <c r="D290" s="2903"/>
      <c r="E290" s="2903"/>
      <c r="F290" s="6"/>
      <c r="G290" s="65"/>
      <c r="H290" s="796"/>
      <c r="I290" s="710"/>
      <c r="J290" s="711"/>
      <c r="K290" s="619"/>
      <c r="L290" s="710"/>
      <c r="M290" s="711"/>
      <c r="N290" s="619"/>
      <c r="O290" s="710"/>
      <c r="P290" s="712"/>
      <c r="Q290" s="619"/>
      <c r="R290" s="762"/>
      <c r="S290" s="762"/>
      <c r="T290" s="619"/>
      <c r="U290" s="762"/>
      <c r="V290" s="762"/>
      <c r="W290" s="619"/>
      <c r="X290" s="2893"/>
      <c r="Y290" s="2893"/>
      <c r="Z290" s="2893"/>
      <c r="AA290" s="2893"/>
      <c r="AB290" s="2893"/>
      <c r="AC290" s="2893"/>
      <c r="AD290" s="2893"/>
      <c r="AE290" s="2893"/>
      <c r="AF290" s="2893"/>
      <c r="AG290" s="2893"/>
    </row>
    <row r="291" spans="1:33" ht="29.15" customHeight="1">
      <c r="A291" s="252"/>
      <c r="B291" s="2903" t="s">
        <v>1552</v>
      </c>
      <c r="C291" s="2903"/>
      <c r="D291" s="2903"/>
      <c r="E291" s="2903"/>
      <c r="F291" s="6"/>
      <c r="G291" s="65"/>
      <c r="H291" s="796"/>
      <c r="I291" s="710"/>
      <c r="J291" s="711"/>
      <c r="K291" s="619"/>
      <c r="L291" s="710"/>
      <c r="M291" s="711"/>
      <c r="N291" s="619"/>
      <c r="O291" s="710"/>
      <c r="P291" s="712"/>
      <c r="Q291" s="619"/>
      <c r="R291" s="762"/>
      <c r="S291" s="762"/>
      <c r="T291" s="619"/>
      <c r="U291" s="762"/>
      <c r="V291" s="762"/>
      <c r="W291" s="619"/>
      <c r="X291" s="2893"/>
      <c r="Y291" s="2893"/>
      <c r="Z291" s="2893"/>
      <c r="AA291" s="2893"/>
      <c r="AB291" s="2893"/>
      <c r="AC291" s="2893"/>
      <c r="AD291" s="2893"/>
      <c r="AE291" s="2893"/>
      <c r="AF291" s="2893"/>
      <c r="AG291" s="2893"/>
    </row>
    <row r="292" spans="1:33" ht="33.75" customHeight="1">
      <c r="A292" s="252"/>
      <c r="B292" s="2903" t="s">
        <v>331</v>
      </c>
      <c r="C292" s="2903"/>
      <c r="D292" s="2903"/>
      <c r="E292" s="2903"/>
      <c r="F292" s="6"/>
      <c r="G292" s="65"/>
      <c r="H292" s="480"/>
      <c r="I292" s="710"/>
      <c r="J292" s="711"/>
      <c r="K292" s="526"/>
      <c r="L292" s="710"/>
      <c r="M292" s="711"/>
      <c r="N292" s="526"/>
      <c r="O292" s="710"/>
      <c r="P292" s="712"/>
      <c r="Q292" s="526"/>
      <c r="R292" s="762"/>
      <c r="S292" s="762"/>
      <c r="T292" s="526"/>
      <c r="U292" s="762"/>
      <c r="V292" s="762"/>
      <c r="W292" s="526"/>
      <c r="X292" s="2893"/>
      <c r="Y292" s="2893"/>
      <c r="Z292" s="2893"/>
      <c r="AA292" s="2893"/>
      <c r="AB292" s="2893"/>
      <c r="AC292" s="2893"/>
      <c r="AD292" s="2893"/>
      <c r="AE292" s="2893"/>
      <c r="AF292" s="2893"/>
      <c r="AG292" s="2893"/>
    </row>
    <row r="293" spans="1:33" ht="14.9" customHeight="1">
      <c r="A293" s="252"/>
      <c r="B293" s="2904" t="s">
        <v>332</v>
      </c>
      <c r="C293" s="2904"/>
      <c r="D293" s="2904"/>
      <c r="E293" s="2904"/>
      <c r="F293" s="6"/>
      <c r="G293" s="63"/>
      <c r="H293" s="480"/>
      <c r="I293" s="710"/>
      <c r="J293" s="582"/>
      <c r="K293" s="526"/>
      <c r="L293" s="748"/>
      <c r="M293" s="711"/>
      <c r="N293" s="526"/>
      <c r="O293" s="710"/>
      <c r="P293" s="582"/>
      <c r="Q293" s="526"/>
      <c r="R293" s="762"/>
      <c r="S293" s="762"/>
      <c r="T293" s="526"/>
      <c r="U293" s="762"/>
      <c r="V293" s="762"/>
      <c r="W293" s="526"/>
      <c r="X293" s="2893"/>
      <c r="Y293" s="2893"/>
      <c r="Z293" s="2893"/>
      <c r="AA293" s="2893"/>
      <c r="AB293" s="2893"/>
      <c r="AC293" s="2893"/>
      <c r="AD293" s="2893"/>
      <c r="AE293" s="2893"/>
      <c r="AF293" s="2893"/>
      <c r="AG293" s="2893"/>
    </row>
    <row r="294" spans="1:33" ht="14.9" customHeight="1">
      <c r="A294" s="252"/>
      <c r="B294" s="2903" t="s">
        <v>333</v>
      </c>
      <c r="C294" s="2903"/>
      <c r="D294" s="2903"/>
      <c r="E294" s="2903"/>
      <c r="F294" s="6"/>
      <c r="G294" s="63"/>
      <c r="H294" s="480"/>
      <c r="I294" s="710"/>
      <c r="J294" s="582"/>
      <c r="K294" s="526"/>
      <c r="L294" s="748"/>
      <c r="M294" s="711"/>
      <c r="N294" s="526"/>
      <c r="O294" s="710"/>
      <c r="P294" s="582"/>
      <c r="Q294" s="526"/>
      <c r="R294" s="762"/>
      <c r="S294" s="762"/>
      <c r="T294" s="526"/>
      <c r="U294" s="762"/>
      <c r="V294" s="762"/>
      <c r="W294" s="526"/>
      <c r="X294" s="2893"/>
      <c r="Y294" s="2893"/>
      <c r="Z294" s="2893"/>
      <c r="AA294" s="2893"/>
      <c r="AB294" s="2893"/>
      <c r="AC294" s="2893"/>
      <c r="AD294" s="2893"/>
      <c r="AE294" s="2893"/>
      <c r="AF294" s="2893"/>
      <c r="AG294" s="2893"/>
    </row>
    <row r="295" spans="1:33" ht="14.9" customHeight="1">
      <c r="A295" s="252"/>
      <c r="B295" s="2903" t="s">
        <v>334</v>
      </c>
      <c r="C295" s="2903"/>
      <c r="D295" s="2903"/>
      <c r="E295" s="2903"/>
      <c r="F295" s="6"/>
      <c r="G295" s="63"/>
      <c r="H295" s="480"/>
      <c r="I295" s="710"/>
      <c r="J295" s="582"/>
      <c r="K295" s="526"/>
      <c r="L295" s="748"/>
      <c r="M295" s="711"/>
      <c r="N295" s="526"/>
      <c r="O295" s="710"/>
      <c r="P295" s="582"/>
      <c r="Q295" s="526"/>
      <c r="R295" s="762"/>
      <c r="S295" s="762"/>
      <c r="T295" s="526"/>
      <c r="U295" s="762"/>
      <c r="V295" s="762"/>
      <c r="W295" s="526"/>
      <c r="X295" s="2893"/>
      <c r="Y295" s="2893"/>
      <c r="Z295" s="2893"/>
      <c r="AA295" s="2893"/>
      <c r="AB295" s="2893"/>
      <c r="AC295" s="2893"/>
      <c r="AD295" s="2893"/>
      <c r="AE295" s="2893"/>
      <c r="AF295" s="2893"/>
      <c r="AG295" s="2893"/>
    </row>
    <row r="296" spans="1:33" ht="14.9" customHeight="1">
      <c r="A296" s="252"/>
      <c r="B296" s="2904" t="s">
        <v>335</v>
      </c>
      <c r="C296" s="2904"/>
      <c r="D296" s="2904"/>
      <c r="E296" s="2904"/>
      <c r="F296" s="6"/>
      <c r="G296" s="63"/>
      <c r="H296" s="480"/>
      <c r="I296" s="710"/>
      <c r="J296" s="582"/>
      <c r="K296" s="526"/>
      <c r="L296" s="748"/>
      <c r="M296" s="711"/>
      <c r="N296" s="526"/>
      <c r="O296" s="710"/>
      <c r="P296" s="582"/>
      <c r="Q296" s="526"/>
      <c r="R296" s="762"/>
      <c r="S296" s="762"/>
      <c r="T296" s="526"/>
      <c r="U296" s="762"/>
      <c r="V296" s="762"/>
      <c r="W296" s="526"/>
      <c r="X296" s="2893"/>
      <c r="Y296" s="2893"/>
      <c r="Z296" s="2893"/>
      <c r="AA296" s="2893"/>
      <c r="AB296" s="2893"/>
      <c r="AC296" s="2893"/>
      <c r="AD296" s="2893"/>
      <c r="AE296" s="2893"/>
      <c r="AF296" s="2893"/>
      <c r="AG296" s="2893"/>
    </row>
    <row r="297" spans="1:33" ht="14.9" customHeight="1">
      <c r="A297" s="252"/>
      <c r="B297" s="2903" t="s">
        <v>336</v>
      </c>
      <c r="C297" s="2903"/>
      <c r="D297" s="2903"/>
      <c r="E297" s="2903"/>
      <c r="F297" s="6"/>
      <c r="G297" s="63"/>
      <c r="H297" s="480"/>
      <c r="I297" s="710"/>
      <c r="J297" s="582"/>
      <c r="K297" s="526"/>
      <c r="L297" s="748"/>
      <c r="M297" s="711"/>
      <c r="N297" s="526"/>
      <c r="O297" s="710"/>
      <c r="P297" s="582"/>
      <c r="Q297" s="526"/>
      <c r="R297" s="762"/>
      <c r="S297" s="762"/>
      <c r="T297" s="526"/>
      <c r="U297" s="762"/>
      <c r="V297" s="762"/>
      <c r="W297" s="526"/>
      <c r="X297" s="2893"/>
      <c r="Y297" s="2893"/>
      <c r="Z297" s="2893"/>
      <c r="AA297" s="2893"/>
      <c r="AB297" s="2893"/>
      <c r="AC297" s="2893"/>
      <c r="AD297" s="2893"/>
      <c r="AE297" s="2893"/>
      <c r="AF297" s="2893"/>
      <c r="AG297" s="2893"/>
    </row>
    <row r="298" spans="1:33" ht="33.75" customHeight="1">
      <c r="A298" s="252"/>
      <c r="B298" s="2903" t="s">
        <v>337</v>
      </c>
      <c r="C298" s="2903"/>
      <c r="D298" s="2903"/>
      <c r="E298" s="2903"/>
      <c r="F298" s="6"/>
      <c r="G298" s="63"/>
      <c r="H298" s="480"/>
      <c r="I298" s="710"/>
      <c r="J298" s="582"/>
      <c r="K298" s="526"/>
      <c r="L298" s="748"/>
      <c r="M298" s="711"/>
      <c r="N298" s="526"/>
      <c r="O298" s="710"/>
      <c r="P298" s="582"/>
      <c r="Q298" s="526"/>
      <c r="R298" s="762"/>
      <c r="S298" s="762"/>
      <c r="T298" s="526"/>
      <c r="U298" s="762"/>
      <c r="V298" s="762"/>
      <c r="W298" s="526"/>
      <c r="X298" s="2893"/>
      <c r="Y298" s="2893"/>
      <c r="Z298" s="2893"/>
      <c r="AA298" s="2893"/>
      <c r="AB298" s="2893"/>
      <c r="AC298" s="2893"/>
      <c r="AD298" s="2893"/>
      <c r="AE298" s="2893"/>
      <c r="AF298" s="2893"/>
      <c r="AG298" s="2893"/>
    </row>
    <row r="299" spans="1:33" ht="33.75" customHeight="1">
      <c r="A299" s="252"/>
      <c r="B299" s="2903" t="s">
        <v>338</v>
      </c>
      <c r="C299" s="2903"/>
      <c r="D299" s="2903"/>
      <c r="E299" s="2903"/>
      <c r="F299" s="6"/>
      <c r="G299" s="63"/>
      <c r="H299" s="480"/>
      <c r="I299" s="710"/>
      <c r="J299" s="582"/>
      <c r="K299" s="526"/>
      <c r="L299" s="748"/>
      <c r="M299" s="711"/>
      <c r="N299" s="526"/>
      <c r="O299" s="710"/>
      <c r="P299" s="582"/>
      <c r="Q299" s="526"/>
      <c r="R299" s="762"/>
      <c r="S299" s="762"/>
      <c r="T299" s="526"/>
      <c r="U299" s="762"/>
      <c r="V299" s="762"/>
      <c r="W299" s="526"/>
      <c r="X299" s="2893"/>
      <c r="Y299" s="2893"/>
      <c r="Z299" s="2893"/>
      <c r="AA299" s="2893"/>
      <c r="AB299" s="2893"/>
      <c r="AC299" s="2893"/>
      <c r="AD299" s="2893"/>
      <c r="AE299" s="2893"/>
      <c r="AF299" s="2893"/>
      <c r="AG299" s="2893"/>
    </row>
    <row r="300" spans="1:33" ht="14.9" customHeight="1">
      <c r="A300" s="252"/>
      <c r="B300" s="2903" t="s">
        <v>735</v>
      </c>
      <c r="C300" s="2903"/>
      <c r="D300" s="2903"/>
      <c r="E300" s="2903"/>
      <c r="F300" s="6"/>
      <c r="G300" s="63"/>
      <c r="H300" s="480"/>
      <c r="I300" s="710"/>
      <c r="J300" s="582"/>
      <c r="K300" s="526"/>
      <c r="L300" s="748"/>
      <c r="M300" s="711"/>
      <c r="N300" s="526"/>
      <c r="O300" s="710"/>
      <c r="P300" s="582"/>
      <c r="Q300" s="526"/>
      <c r="R300" s="762"/>
      <c r="S300" s="762"/>
      <c r="T300" s="526"/>
      <c r="U300" s="762"/>
      <c r="V300" s="762"/>
      <c r="W300" s="526"/>
      <c r="X300" s="2893"/>
      <c r="Y300" s="2893"/>
      <c r="Z300" s="2893"/>
      <c r="AA300" s="2893"/>
      <c r="AB300" s="2893"/>
      <c r="AC300" s="2893"/>
      <c r="AD300" s="2893"/>
      <c r="AE300" s="2893"/>
      <c r="AF300" s="2893"/>
      <c r="AG300" s="2893"/>
    </row>
    <row r="301" spans="1:33" ht="14.9" customHeight="1">
      <c r="A301" s="252"/>
      <c r="B301" s="2903" t="s">
        <v>734</v>
      </c>
      <c r="C301" s="2903"/>
      <c r="D301" s="2903"/>
      <c r="E301" s="2903"/>
      <c r="F301" s="6"/>
      <c r="G301" s="63"/>
      <c r="H301" s="797"/>
      <c r="I301" s="710"/>
      <c r="J301" s="582"/>
      <c r="K301" s="562"/>
      <c r="L301" s="748"/>
      <c r="M301" s="711"/>
      <c r="N301" s="562"/>
      <c r="O301" s="710"/>
      <c r="P301" s="582"/>
      <c r="Q301" s="562"/>
      <c r="R301" s="762"/>
      <c r="S301" s="762"/>
      <c r="T301" s="562"/>
      <c r="U301" s="762"/>
      <c r="V301" s="762"/>
      <c r="W301" s="562"/>
      <c r="X301" s="2893"/>
      <c r="Y301" s="2893"/>
      <c r="Z301" s="2893"/>
      <c r="AA301" s="2893"/>
      <c r="AB301" s="2893"/>
      <c r="AC301" s="2893"/>
      <c r="AD301" s="2893"/>
      <c r="AE301" s="2893"/>
      <c r="AF301" s="2893"/>
      <c r="AG301" s="2893"/>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911"/>
      <c r="Y302" s="2911"/>
      <c r="Z302" s="2911"/>
      <c r="AA302" s="2911"/>
      <c r="AB302" s="2911"/>
      <c r="AC302" s="2911"/>
      <c r="AD302" s="2911"/>
      <c r="AE302" s="2911"/>
      <c r="AF302" s="2911"/>
      <c r="AG302" s="2911"/>
    </row>
    <row r="303" spans="1:33" ht="14.9" customHeight="1">
      <c r="A303" s="252"/>
      <c r="B303" s="2903" t="s">
        <v>625</v>
      </c>
      <c r="C303" s="2903"/>
      <c r="D303" s="2903"/>
      <c r="E303" s="2903"/>
      <c r="F303" s="6"/>
      <c r="G303" s="65"/>
      <c r="H303" s="799"/>
      <c r="I303" s="710"/>
      <c r="J303" s="711"/>
      <c r="K303" s="628"/>
      <c r="L303" s="710"/>
      <c r="M303" s="711"/>
      <c r="N303" s="628"/>
      <c r="O303" s="710"/>
      <c r="P303" s="712"/>
      <c r="Q303" s="628"/>
      <c r="R303" s="762"/>
      <c r="S303" s="762"/>
      <c r="T303" s="628"/>
      <c r="U303" s="762"/>
      <c r="V303" s="762"/>
      <c r="W303" s="628"/>
      <c r="X303" s="2893"/>
      <c r="Y303" s="2893"/>
      <c r="Z303" s="2893"/>
      <c r="AA303" s="2893"/>
      <c r="AB303" s="2893"/>
      <c r="AC303" s="2893"/>
      <c r="AD303" s="2893"/>
      <c r="AE303" s="2893"/>
      <c r="AF303" s="2893"/>
      <c r="AG303" s="2893"/>
    </row>
    <row r="304" spans="1:33" ht="14.9" customHeight="1">
      <c r="A304" s="252"/>
      <c r="B304" s="2903" t="s">
        <v>626</v>
      </c>
      <c r="C304" s="2903"/>
      <c r="D304" s="2903"/>
      <c r="E304" s="2903"/>
      <c r="F304" s="6"/>
      <c r="G304" s="63"/>
      <c r="H304" s="480"/>
      <c r="I304" s="710"/>
      <c r="J304" s="582"/>
      <c r="K304" s="526"/>
      <c r="L304" s="748"/>
      <c r="M304" s="711"/>
      <c r="N304" s="526"/>
      <c r="O304" s="710"/>
      <c r="P304" s="582"/>
      <c r="Q304" s="526"/>
      <c r="R304" s="762"/>
      <c r="S304" s="762"/>
      <c r="T304" s="526"/>
      <c r="U304" s="762"/>
      <c r="V304" s="762"/>
      <c r="W304" s="526"/>
      <c r="X304" s="2893"/>
      <c r="Y304" s="2893"/>
      <c r="Z304" s="2893"/>
      <c r="AA304" s="2893"/>
      <c r="AB304" s="2893"/>
      <c r="AC304" s="2893"/>
      <c r="AD304" s="2893"/>
      <c r="AE304" s="2893"/>
      <c r="AF304" s="2893"/>
      <c r="AG304" s="2893"/>
    </row>
    <row r="305" spans="1:33" ht="14.9" customHeight="1">
      <c r="A305" s="252"/>
      <c r="B305" s="2903" t="s">
        <v>627</v>
      </c>
      <c r="C305" s="2903"/>
      <c r="D305" s="2903"/>
      <c r="E305" s="2903"/>
      <c r="F305" s="6"/>
      <c r="G305" s="63"/>
      <c r="H305" s="794"/>
      <c r="I305" s="710"/>
      <c r="J305" s="582"/>
      <c r="K305" s="561"/>
      <c r="L305" s="748"/>
      <c r="M305" s="711"/>
      <c r="N305" s="561"/>
      <c r="O305" s="710"/>
      <c r="P305" s="582"/>
      <c r="Q305" s="561"/>
      <c r="R305" s="762"/>
      <c r="S305" s="762"/>
      <c r="T305" s="561"/>
      <c r="U305" s="762"/>
      <c r="V305" s="762"/>
      <c r="W305" s="561"/>
      <c r="X305" s="2893"/>
      <c r="Y305" s="2893"/>
      <c r="Z305" s="2893"/>
      <c r="AA305" s="2893"/>
      <c r="AB305" s="2893"/>
      <c r="AC305" s="2893"/>
      <c r="AD305" s="2893"/>
      <c r="AE305" s="2893"/>
      <c r="AF305" s="2893"/>
      <c r="AG305" s="2893"/>
    </row>
    <row r="306" spans="1:33" ht="14.9" customHeight="1">
      <c r="A306" s="252"/>
      <c r="B306" s="2904" t="s">
        <v>628</v>
      </c>
      <c r="C306" s="2904"/>
      <c r="D306" s="2904"/>
      <c r="E306" s="2904"/>
      <c r="F306" s="6"/>
      <c r="G306" s="63"/>
      <c r="H306" s="480"/>
      <c r="I306" s="710"/>
      <c r="J306" s="582"/>
      <c r="K306" s="526"/>
      <c r="L306" s="748"/>
      <c r="M306" s="711"/>
      <c r="N306" s="526"/>
      <c r="O306" s="710"/>
      <c r="P306" s="582"/>
      <c r="Q306" s="526"/>
      <c r="R306" s="762"/>
      <c r="S306" s="762"/>
      <c r="T306" s="526"/>
      <c r="U306" s="762"/>
      <c r="V306" s="762"/>
      <c r="W306" s="526"/>
      <c r="X306" s="2893"/>
      <c r="Y306" s="2893"/>
      <c r="Z306" s="2893"/>
      <c r="AA306" s="2893"/>
      <c r="AB306" s="2893"/>
      <c r="AC306" s="2893"/>
      <c r="AD306" s="2893"/>
      <c r="AE306" s="2893"/>
      <c r="AF306" s="2893"/>
      <c r="AG306" s="2893"/>
    </row>
    <row r="307" spans="1:33" ht="33.75" customHeight="1">
      <c r="A307" s="252"/>
      <c r="B307" s="2904" t="s">
        <v>629</v>
      </c>
      <c r="C307" s="2904"/>
      <c r="D307" s="2904"/>
      <c r="E307" s="2904"/>
      <c r="F307" s="6"/>
      <c r="G307" s="65"/>
      <c r="H307" s="795"/>
      <c r="I307" s="710"/>
      <c r="J307" s="711"/>
      <c r="K307" s="568"/>
      <c r="L307" s="710"/>
      <c r="M307" s="711"/>
      <c r="N307" s="568"/>
      <c r="O307" s="710"/>
      <c r="P307" s="712"/>
      <c r="Q307" s="568"/>
      <c r="R307" s="762"/>
      <c r="S307" s="762"/>
      <c r="T307" s="568"/>
      <c r="U307" s="762"/>
      <c r="V307" s="762"/>
      <c r="W307" s="568"/>
      <c r="X307" s="2893"/>
      <c r="Y307" s="2893"/>
      <c r="Z307" s="2893"/>
      <c r="AA307" s="2893"/>
      <c r="AB307" s="2893"/>
      <c r="AC307" s="2893"/>
      <c r="AD307" s="2893"/>
      <c r="AE307" s="2893"/>
      <c r="AF307" s="2893"/>
      <c r="AG307" s="2893"/>
    </row>
    <row r="308" spans="1:33" ht="14.9" customHeight="1">
      <c r="A308" s="252"/>
      <c r="B308" s="2903" t="s">
        <v>630</v>
      </c>
      <c r="C308" s="2903"/>
      <c r="D308" s="2903"/>
      <c r="E308" s="2903"/>
      <c r="F308" s="6"/>
      <c r="G308" s="65"/>
      <c r="H308" s="480"/>
      <c r="I308" s="710"/>
      <c r="J308" s="711"/>
      <c r="K308" s="526"/>
      <c r="L308" s="710"/>
      <c r="M308" s="711"/>
      <c r="N308" s="526"/>
      <c r="O308" s="710"/>
      <c r="P308" s="712"/>
      <c r="Q308" s="526"/>
      <c r="R308" s="762"/>
      <c r="S308" s="762"/>
      <c r="T308" s="526"/>
      <c r="U308" s="762"/>
      <c r="V308" s="762"/>
      <c r="W308" s="526"/>
      <c r="X308" s="2893"/>
      <c r="Y308" s="2893"/>
      <c r="Z308" s="2893"/>
      <c r="AA308" s="2893"/>
      <c r="AB308" s="2893"/>
      <c r="AC308" s="2893"/>
      <c r="AD308" s="2893"/>
      <c r="AE308" s="2893"/>
      <c r="AF308" s="2893"/>
      <c r="AG308" s="2893"/>
    </row>
    <row r="309" spans="1:33" ht="14.9" customHeight="1">
      <c r="A309" s="252"/>
      <c r="B309" s="2904" t="s">
        <v>634</v>
      </c>
      <c r="C309" s="2904"/>
      <c r="D309" s="2904"/>
      <c r="E309" s="2904"/>
      <c r="F309" s="6"/>
      <c r="G309" s="65"/>
      <c r="H309" s="481"/>
      <c r="I309" s="710"/>
      <c r="J309" s="711"/>
      <c r="K309" s="553"/>
      <c r="L309" s="710"/>
      <c r="M309" s="711"/>
      <c r="N309" s="553"/>
      <c r="O309" s="710"/>
      <c r="P309" s="712"/>
      <c r="Q309" s="553"/>
      <c r="R309" s="762"/>
      <c r="S309" s="762"/>
      <c r="T309" s="553"/>
      <c r="U309" s="762"/>
      <c r="V309" s="762"/>
      <c r="W309" s="553"/>
      <c r="X309" s="2893"/>
      <c r="Y309" s="2893"/>
      <c r="Z309" s="2893"/>
      <c r="AA309" s="2893"/>
      <c r="AB309" s="2893"/>
      <c r="AC309" s="2893"/>
      <c r="AD309" s="2893"/>
      <c r="AE309" s="2893"/>
      <c r="AF309" s="2893"/>
      <c r="AG309" s="2893"/>
    </row>
    <row r="310" spans="1:33" ht="29.15" customHeight="1">
      <c r="A310" s="252"/>
      <c r="B310" s="2903" t="s">
        <v>1551</v>
      </c>
      <c r="C310" s="2903"/>
      <c r="D310" s="2903"/>
      <c r="E310" s="2903"/>
      <c r="F310" s="6"/>
      <c r="G310" s="65"/>
      <c r="H310" s="796"/>
      <c r="I310" s="710"/>
      <c r="J310" s="711"/>
      <c r="K310" s="619"/>
      <c r="L310" s="710"/>
      <c r="M310" s="711"/>
      <c r="N310" s="619"/>
      <c r="O310" s="710"/>
      <c r="P310" s="712"/>
      <c r="Q310" s="619"/>
      <c r="R310" s="762"/>
      <c r="S310" s="762"/>
      <c r="T310" s="619"/>
      <c r="U310" s="762"/>
      <c r="V310" s="762"/>
      <c r="W310" s="619"/>
      <c r="X310" s="2893"/>
      <c r="Y310" s="2893"/>
      <c r="Z310" s="2893"/>
      <c r="AA310" s="2893"/>
      <c r="AB310" s="2893"/>
      <c r="AC310" s="2893"/>
      <c r="AD310" s="2893"/>
      <c r="AE310" s="2893"/>
      <c r="AF310" s="2893"/>
      <c r="AG310" s="2893"/>
    </row>
    <row r="311" spans="1:33" ht="29.15" customHeight="1">
      <c r="A311" s="252"/>
      <c r="B311" s="2903" t="s">
        <v>1552</v>
      </c>
      <c r="C311" s="2903"/>
      <c r="D311" s="2903"/>
      <c r="E311" s="2903"/>
      <c r="F311" s="6"/>
      <c r="G311" s="65"/>
      <c r="H311" s="796"/>
      <c r="I311" s="710"/>
      <c r="J311" s="711"/>
      <c r="K311" s="619"/>
      <c r="L311" s="710"/>
      <c r="M311" s="711"/>
      <c r="N311" s="619"/>
      <c r="O311" s="710"/>
      <c r="P311" s="712"/>
      <c r="Q311" s="619"/>
      <c r="R311" s="762"/>
      <c r="S311" s="762"/>
      <c r="T311" s="619"/>
      <c r="U311" s="762"/>
      <c r="V311" s="762"/>
      <c r="W311" s="619"/>
      <c r="X311" s="2893"/>
      <c r="Y311" s="2893"/>
      <c r="Z311" s="2893"/>
      <c r="AA311" s="2893"/>
      <c r="AB311" s="2893"/>
      <c r="AC311" s="2893"/>
      <c r="AD311" s="2893"/>
      <c r="AE311" s="2893"/>
      <c r="AF311" s="2893"/>
      <c r="AG311" s="2893"/>
    </row>
    <row r="312" spans="1:33" ht="33.75" customHeight="1">
      <c r="A312" s="252"/>
      <c r="B312" s="2903" t="s">
        <v>331</v>
      </c>
      <c r="C312" s="2903"/>
      <c r="D312" s="2903"/>
      <c r="E312" s="2903"/>
      <c r="F312" s="6"/>
      <c r="G312" s="65"/>
      <c r="H312" s="480"/>
      <c r="I312" s="710"/>
      <c r="J312" s="711"/>
      <c r="K312" s="526"/>
      <c r="L312" s="710"/>
      <c r="M312" s="711"/>
      <c r="N312" s="526"/>
      <c r="O312" s="710"/>
      <c r="P312" s="712"/>
      <c r="Q312" s="526"/>
      <c r="R312" s="762"/>
      <c r="S312" s="762"/>
      <c r="T312" s="526"/>
      <c r="U312" s="762"/>
      <c r="V312" s="762"/>
      <c r="W312" s="526"/>
      <c r="X312" s="2893"/>
      <c r="Y312" s="2893"/>
      <c r="Z312" s="2893"/>
      <c r="AA312" s="2893"/>
      <c r="AB312" s="2893"/>
      <c r="AC312" s="2893"/>
      <c r="AD312" s="2893"/>
      <c r="AE312" s="2893"/>
      <c r="AF312" s="2893"/>
      <c r="AG312" s="2893"/>
    </row>
    <row r="313" spans="1:33" ht="14.9" customHeight="1">
      <c r="A313" s="252"/>
      <c r="B313" s="2904" t="s">
        <v>332</v>
      </c>
      <c r="C313" s="2904"/>
      <c r="D313" s="2904"/>
      <c r="E313" s="2904"/>
      <c r="F313" s="6"/>
      <c r="G313" s="63"/>
      <c r="H313" s="480"/>
      <c r="I313" s="710"/>
      <c r="J313" s="582"/>
      <c r="K313" s="526"/>
      <c r="L313" s="748"/>
      <c r="M313" s="711"/>
      <c r="N313" s="526"/>
      <c r="O313" s="710"/>
      <c r="P313" s="582"/>
      <c r="Q313" s="526"/>
      <c r="R313" s="762"/>
      <c r="S313" s="762"/>
      <c r="T313" s="526"/>
      <c r="U313" s="762"/>
      <c r="V313" s="762"/>
      <c r="W313" s="526"/>
      <c r="X313" s="2893"/>
      <c r="Y313" s="2893"/>
      <c r="Z313" s="2893"/>
      <c r="AA313" s="2893"/>
      <c r="AB313" s="2893"/>
      <c r="AC313" s="2893"/>
      <c r="AD313" s="2893"/>
      <c r="AE313" s="2893"/>
      <c r="AF313" s="2893"/>
      <c r="AG313" s="2893"/>
    </row>
    <row r="314" spans="1:33" ht="14.9" customHeight="1">
      <c r="A314" s="252"/>
      <c r="B314" s="2903" t="s">
        <v>333</v>
      </c>
      <c r="C314" s="2903"/>
      <c r="D314" s="2903"/>
      <c r="E314" s="2903"/>
      <c r="F314" s="6"/>
      <c r="G314" s="63"/>
      <c r="H314" s="480"/>
      <c r="I314" s="710"/>
      <c r="J314" s="582"/>
      <c r="K314" s="526"/>
      <c r="L314" s="748"/>
      <c r="M314" s="711"/>
      <c r="N314" s="526"/>
      <c r="O314" s="710"/>
      <c r="P314" s="582"/>
      <c r="Q314" s="526"/>
      <c r="R314" s="762"/>
      <c r="S314" s="762"/>
      <c r="T314" s="526"/>
      <c r="U314" s="762"/>
      <c r="V314" s="762"/>
      <c r="W314" s="526"/>
      <c r="X314" s="2893"/>
      <c r="Y314" s="2893"/>
      <c r="Z314" s="2893"/>
      <c r="AA314" s="2893"/>
      <c r="AB314" s="2893"/>
      <c r="AC314" s="2893"/>
      <c r="AD314" s="2893"/>
      <c r="AE314" s="2893"/>
      <c r="AF314" s="2893"/>
      <c r="AG314" s="2893"/>
    </row>
    <row r="315" spans="1:33" ht="14.9" customHeight="1">
      <c r="A315" s="252"/>
      <c r="B315" s="2903" t="s">
        <v>334</v>
      </c>
      <c r="C315" s="2903"/>
      <c r="D315" s="2903"/>
      <c r="E315" s="2903"/>
      <c r="F315" s="6"/>
      <c r="G315" s="63"/>
      <c r="H315" s="480"/>
      <c r="I315" s="710"/>
      <c r="J315" s="582"/>
      <c r="K315" s="526"/>
      <c r="L315" s="748"/>
      <c r="M315" s="711"/>
      <c r="N315" s="526"/>
      <c r="O315" s="710"/>
      <c r="P315" s="582"/>
      <c r="Q315" s="526"/>
      <c r="R315" s="762"/>
      <c r="S315" s="762"/>
      <c r="T315" s="526"/>
      <c r="U315" s="762"/>
      <c r="V315" s="762"/>
      <c r="W315" s="526"/>
      <c r="X315" s="2893"/>
      <c r="Y315" s="2893"/>
      <c r="Z315" s="2893"/>
      <c r="AA315" s="2893"/>
      <c r="AB315" s="2893"/>
      <c r="AC315" s="2893"/>
      <c r="AD315" s="2893"/>
      <c r="AE315" s="2893"/>
      <c r="AF315" s="2893"/>
      <c r="AG315" s="2893"/>
    </row>
    <row r="316" spans="1:33" ht="14.9" customHeight="1">
      <c r="A316" s="252"/>
      <c r="B316" s="2904" t="s">
        <v>335</v>
      </c>
      <c r="C316" s="2904"/>
      <c r="D316" s="2904"/>
      <c r="E316" s="2904"/>
      <c r="F316" s="6"/>
      <c r="G316" s="63"/>
      <c r="H316" s="480"/>
      <c r="I316" s="710"/>
      <c r="J316" s="582"/>
      <c r="K316" s="526"/>
      <c r="L316" s="748"/>
      <c r="M316" s="711"/>
      <c r="N316" s="526"/>
      <c r="O316" s="710"/>
      <c r="P316" s="582"/>
      <c r="Q316" s="526"/>
      <c r="R316" s="762"/>
      <c r="S316" s="762"/>
      <c r="T316" s="526"/>
      <c r="U316" s="762"/>
      <c r="V316" s="762"/>
      <c r="W316" s="526"/>
      <c r="X316" s="2893"/>
      <c r="Y316" s="2893"/>
      <c r="Z316" s="2893"/>
      <c r="AA316" s="2893"/>
      <c r="AB316" s="2893"/>
      <c r="AC316" s="2893"/>
      <c r="AD316" s="2893"/>
      <c r="AE316" s="2893"/>
      <c r="AF316" s="2893"/>
      <c r="AG316" s="2893"/>
    </row>
    <row r="317" spans="1:33" ht="14.9" customHeight="1">
      <c r="A317" s="252"/>
      <c r="B317" s="2903" t="s">
        <v>336</v>
      </c>
      <c r="C317" s="2903"/>
      <c r="D317" s="2903"/>
      <c r="E317" s="2903"/>
      <c r="F317" s="6"/>
      <c r="G317" s="63"/>
      <c r="H317" s="480"/>
      <c r="I317" s="710"/>
      <c r="J317" s="582"/>
      <c r="K317" s="526"/>
      <c r="L317" s="748"/>
      <c r="M317" s="711"/>
      <c r="N317" s="526"/>
      <c r="O317" s="710"/>
      <c r="P317" s="582"/>
      <c r="Q317" s="526"/>
      <c r="R317" s="762"/>
      <c r="S317" s="762"/>
      <c r="T317" s="526"/>
      <c r="U317" s="762"/>
      <c r="V317" s="762"/>
      <c r="W317" s="526"/>
      <c r="X317" s="2893"/>
      <c r="Y317" s="2893"/>
      <c r="Z317" s="2893"/>
      <c r="AA317" s="2893"/>
      <c r="AB317" s="2893"/>
      <c r="AC317" s="2893"/>
      <c r="AD317" s="2893"/>
      <c r="AE317" s="2893"/>
      <c r="AF317" s="2893"/>
      <c r="AG317" s="2893"/>
    </row>
    <row r="318" spans="1:33" ht="33.75" customHeight="1">
      <c r="A318" s="252"/>
      <c r="B318" s="2903" t="s">
        <v>337</v>
      </c>
      <c r="C318" s="2903"/>
      <c r="D318" s="2903"/>
      <c r="E318" s="2903"/>
      <c r="F318" s="6"/>
      <c r="G318" s="63"/>
      <c r="H318" s="480"/>
      <c r="I318" s="710"/>
      <c r="J318" s="582"/>
      <c r="K318" s="526"/>
      <c r="L318" s="748"/>
      <c r="M318" s="711"/>
      <c r="N318" s="526"/>
      <c r="O318" s="710"/>
      <c r="P318" s="582"/>
      <c r="Q318" s="526"/>
      <c r="R318" s="762"/>
      <c r="S318" s="762"/>
      <c r="T318" s="526"/>
      <c r="U318" s="762"/>
      <c r="V318" s="762"/>
      <c r="W318" s="526"/>
      <c r="X318" s="2893"/>
      <c r="Y318" s="2893"/>
      <c r="Z318" s="2893"/>
      <c r="AA318" s="2893"/>
      <c r="AB318" s="2893"/>
      <c r="AC318" s="2893"/>
      <c r="AD318" s="2893"/>
      <c r="AE318" s="2893"/>
      <c r="AF318" s="2893"/>
      <c r="AG318" s="2893"/>
    </row>
    <row r="319" spans="1:33" ht="33.75" customHeight="1">
      <c r="A319" s="252"/>
      <c r="B319" s="2903" t="s">
        <v>338</v>
      </c>
      <c r="C319" s="2903"/>
      <c r="D319" s="2903"/>
      <c r="E319" s="2903"/>
      <c r="F319" s="6"/>
      <c r="G319" s="63"/>
      <c r="H319" s="480"/>
      <c r="I319" s="710"/>
      <c r="J319" s="582"/>
      <c r="K319" s="526"/>
      <c r="L319" s="748"/>
      <c r="M319" s="711"/>
      <c r="N319" s="526"/>
      <c r="O319" s="710"/>
      <c r="P319" s="582"/>
      <c r="Q319" s="526"/>
      <c r="R319" s="762"/>
      <c r="S319" s="762"/>
      <c r="T319" s="526"/>
      <c r="U319" s="762"/>
      <c r="V319" s="762"/>
      <c r="W319" s="526"/>
      <c r="X319" s="2893"/>
      <c r="Y319" s="2893"/>
      <c r="Z319" s="2893"/>
      <c r="AA319" s="2893"/>
      <c r="AB319" s="2893"/>
      <c r="AC319" s="2893"/>
      <c r="AD319" s="2893"/>
      <c r="AE319" s="2893"/>
      <c r="AF319" s="2893"/>
      <c r="AG319" s="2893"/>
    </row>
    <row r="320" spans="1:33" ht="14.9" customHeight="1">
      <c r="A320" s="252"/>
      <c r="B320" s="2903" t="s">
        <v>735</v>
      </c>
      <c r="C320" s="2903"/>
      <c r="D320" s="2903"/>
      <c r="E320" s="2903"/>
      <c r="F320" s="6"/>
      <c r="G320" s="63"/>
      <c r="H320" s="480"/>
      <c r="I320" s="710"/>
      <c r="J320" s="582"/>
      <c r="K320" s="526"/>
      <c r="L320" s="748"/>
      <c r="M320" s="711"/>
      <c r="N320" s="526"/>
      <c r="O320" s="710"/>
      <c r="P320" s="582"/>
      <c r="Q320" s="526"/>
      <c r="R320" s="762"/>
      <c r="S320" s="762"/>
      <c r="T320" s="526"/>
      <c r="U320" s="762"/>
      <c r="V320" s="762"/>
      <c r="W320" s="526"/>
      <c r="X320" s="2893"/>
      <c r="Y320" s="2893"/>
      <c r="Z320" s="2893"/>
      <c r="AA320" s="2893"/>
      <c r="AB320" s="2893"/>
      <c r="AC320" s="2893"/>
      <c r="AD320" s="2893"/>
      <c r="AE320" s="2893"/>
      <c r="AF320" s="2893"/>
      <c r="AG320" s="2893"/>
    </row>
    <row r="321" spans="1:33" ht="14.9" customHeight="1">
      <c r="A321" s="252"/>
      <c r="B321" s="2903" t="s">
        <v>734</v>
      </c>
      <c r="C321" s="2903"/>
      <c r="D321" s="2903"/>
      <c r="E321" s="2903"/>
      <c r="F321" s="6"/>
      <c r="G321" s="63"/>
      <c r="H321" s="802"/>
      <c r="I321" s="741"/>
      <c r="J321" s="557"/>
      <c r="K321" s="769"/>
      <c r="L321" s="770"/>
      <c r="M321" s="742"/>
      <c r="N321" s="769"/>
      <c r="O321" s="741"/>
      <c r="P321" s="557"/>
      <c r="Q321" s="769"/>
      <c r="R321" s="768"/>
      <c r="S321" s="768"/>
      <c r="T321" s="769"/>
      <c r="U321" s="768"/>
      <c r="V321" s="768"/>
      <c r="W321" s="544"/>
      <c r="X321" s="2893"/>
      <c r="Y321" s="2893"/>
      <c r="Z321" s="2893"/>
      <c r="AA321" s="2893"/>
      <c r="AB321" s="2893"/>
      <c r="AC321" s="2893"/>
      <c r="AD321" s="2893"/>
      <c r="AE321" s="2893"/>
      <c r="AF321" s="2893"/>
      <c r="AG321" s="2893"/>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N3UzvEuoqYM4yXYsLzEzQHEiNzq4oz48yjSeRGzRPq0aOeEs2LnyvHa4tFSnMMJ/kESW5+1wR9sYNibjmimm5w==" saltValue="I8Dv9SvwldiDP7Fgu180gQ==" spinCount="100000" sheet="1" objects="1" scenarios="1" formatColumns="0" formatRows="0"/>
  <mergeCells count="534">
    <mergeCell ref="B1:E1"/>
    <mergeCell ref="B4:E4"/>
    <mergeCell ref="K4:T4"/>
    <mergeCell ref="K5:T5"/>
    <mergeCell ref="K6:T6"/>
    <mergeCell ref="K7:T7"/>
    <mergeCell ref="B11:E11"/>
    <mergeCell ref="K11:T11"/>
    <mergeCell ref="B12:E12"/>
    <mergeCell ref="K12:T1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N33:W33"/>
    <mergeCell ref="N34:W34"/>
    <mergeCell ref="N35:W35"/>
    <mergeCell ref="N36:W36"/>
    <mergeCell ref="N37:W37"/>
    <mergeCell ref="N38:W38"/>
    <mergeCell ref="N27:W27"/>
    <mergeCell ref="N28:W28"/>
    <mergeCell ref="N29:W29"/>
    <mergeCell ref="N30:W30"/>
    <mergeCell ref="N31:W31"/>
    <mergeCell ref="N32:W32"/>
    <mergeCell ref="K46:T46"/>
    <mergeCell ref="K47:T47"/>
    <mergeCell ref="K48:T48"/>
    <mergeCell ref="C49:E49"/>
    <mergeCell ref="K49:T49"/>
    <mergeCell ref="C50:E50"/>
    <mergeCell ref="K50:T50"/>
    <mergeCell ref="B41:E41"/>
    <mergeCell ref="C42:E42"/>
    <mergeCell ref="K42:T42"/>
    <mergeCell ref="K43:T43"/>
    <mergeCell ref="K44:T44"/>
    <mergeCell ref="K45:T45"/>
    <mergeCell ref="C54:E54"/>
    <mergeCell ref="K54:T54"/>
    <mergeCell ref="C55:E55"/>
    <mergeCell ref="K55:T55"/>
    <mergeCell ref="C56:E56"/>
    <mergeCell ref="K56:T56"/>
    <mergeCell ref="C51:E51"/>
    <mergeCell ref="K51:T51"/>
    <mergeCell ref="C52:E52"/>
    <mergeCell ref="K52:T52"/>
    <mergeCell ref="C53:E53"/>
    <mergeCell ref="K53:T53"/>
    <mergeCell ref="C60:E60"/>
    <mergeCell ref="K60:T60"/>
    <mergeCell ref="C61:E61"/>
    <mergeCell ref="K61:T61"/>
    <mergeCell ref="C62:E62"/>
    <mergeCell ref="K62:T62"/>
    <mergeCell ref="C57:E57"/>
    <mergeCell ref="K57:T57"/>
    <mergeCell ref="C58:E58"/>
    <mergeCell ref="K58:T58"/>
    <mergeCell ref="C59:E59"/>
    <mergeCell ref="K59:T59"/>
    <mergeCell ref="C66:E66"/>
    <mergeCell ref="K66:T66"/>
    <mergeCell ref="C67:E67"/>
    <mergeCell ref="K67:T67"/>
    <mergeCell ref="C68:E68"/>
    <mergeCell ref="K68:T68"/>
    <mergeCell ref="C63:E63"/>
    <mergeCell ref="K63:T63"/>
    <mergeCell ref="C64:E64"/>
    <mergeCell ref="K64:T64"/>
    <mergeCell ref="C65:E65"/>
    <mergeCell ref="K65:T65"/>
    <mergeCell ref="C72:E72"/>
    <mergeCell ref="K72:T72"/>
    <mergeCell ref="C73:E73"/>
    <mergeCell ref="K73:T73"/>
    <mergeCell ref="C74:E74"/>
    <mergeCell ref="K74:T74"/>
    <mergeCell ref="C69:E69"/>
    <mergeCell ref="K69:T69"/>
    <mergeCell ref="C70:E70"/>
    <mergeCell ref="K70:T70"/>
    <mergeCell ref="C71:E71"/>
    <mergeCell ref="K71:T71"/>
    <mergeCell ref="C78:E78"/>
    <mergeCell ref="K78:T78"/>
    <mergeCell ref="A81:E81"/>
    <mergeCell ref="G82:H82"/>
    <mergeCell ref="J82:K82"/>
    <mergeCell ref="M82:N82"/>
    <mergeCell ref="C75:E75"/>
    <mergeCell ref="K75:T75"/>
    <mergeCell ref="C76:E76"/>
    <mergeCell ref="K76:T76"/>
    <mergeCell ref="C77:E77"/>
    <mergeCell ref="K77:T77"/>
    <mergeCell ref="P83:P84"/>
    <mergeCell ref="Q83:Q84"/>
    <mergeCell ref="T83:T84"/>
    <mergeCell ref="W83:W84"/>
    <mergeCell ref="X83:AG84"/>
    <mergeCell ref="X86:AG86"/>
    <mergeCell ref="G83:G84"/>
    <mergeCell ref="H83:H84"/>
    <mergeCell ref="J83:J84"/>
    <mergeCell ref="K83:K84"/>
    <mergeCell ref="M83:M84"/>
    <mergeCell ref="N83:N84"/>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A105:A107"/>
    <mergeCell ref="X105:AG105"/>
    <mergeCell ref="X106:AG106"/>
    <mergeCell ref="B107:E107"/>
    <mergeCell ref="X107:AG107"/>
    <mergeCell ref="A108:A112"/>
    <mergeCell ref="X108:AG108"/>
    <mergeCell ref="B109:E109"/>
    <mergeCell ref="X109:AG109"/>
    <mergeCell ref="X110:AG110"/>
    <mergeCell ref="X116:AG116"/>
    <mergeCell ref="B117:E117"/>
    <mergeCell ref="X117:AG117"/>
    <mergeCell ref="X121:AG121"/>
    <mergeCell ref="X122:AG122"/>
    <mergeCell ref="X123:AG123"/>
    <mergeCell ref="X111:AG111"/>
    <mergeCell ref="X112:AG112"/>
    <mergeCell ref="A113:A117"/>
    <mergeCell ref="B113:E113"/>
    <mergeCell ref="X113:AG113"/>
    <mergeCell ref="B114:E114"/>
    <mergeCell ref="X114:AG114"/>
    <mergeCell ref="B115:E115"/>
    <mergeCell ref="X115:AG115"/>
    <mergeCell ref="B116:E116"/>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20:E320"/>
    <mergeCell ref="X320:AG320"/>
    <mergeCell ref="B321:E321"/>
    <mergeCell ref="X321:AG321"/>
    <mergeCell ref="B317:E317"/>
    <mergeCell ref="X317:AG317"/>
    <mergeCell ref="B318:E318"/>
    <mergeCell ref="X318:AG318"/>
    <mergeCell ref="B319:E319"/>
    <mergeCell ref="X319:AG319"/>
  </mergeCells>
  <dataValidations count="19">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700-000000000000}">
      <formula1>"Yes, No"</formula1>
    </dataValidation>
    <dataValidation type="list" allowBlank="1" showInputMessage="1" showErrorMessage="1" sqref="H173:H174 H153:H154 H193 K173:K174 K153:K154 K193 N173:N174 W193 N193 Q173:Q174 Q153:Q154 Q193 T173:T174 T153:T154 T193 W173:W174 W153:W154 N153:N154" xr:uid="{00000000-0002-0000-1700-000001000000}">
      <formula1>"Yes,No"</formula1>
    </dataValidation>
    <dataValidation type="list" allowBlank="1" showInputMessage="1" showErrorMessage="1" sqref="H183 H163 H143 K183 K163 K143 N183 N163 H272 Q183 Q163 Q143 T183 T163 T143 W183 W163 W143 Q248 Q228 Q208 K248 K228 K208 H248 H228 H208 N248 N228 N208 T248 T228 T208 W248 W228 W208 W312 W292 W272 T312 T292 T272 Q312 Q292 Q272 N312 N292 N272 K312 K292 K272 H312 H292 N143" xr:uid="{00000000-0002-0000-1700-000002000000}">
      <formula1>"Route-based,Point-to-point"</formula1>
    </dataValidation>
    <dataValidation type="whole" allowBlank="1" showInputMessage="1" showErrorMessage="1" sqref="H133:H134 K133:K134 N133:N134 Q133:Q134 T133:T134 W133:W134" xr:uid="{00000000-0002-0000-1700-000003000000}">
      <formula1>0</formula1>
      <formula2>3</formula2>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700-000004000000}">
      <formula1>0</formula1>
      <formula2>1</formula2>
    </dataValidation>
    <dataValidation type="list" allowBlank="1" showInputMessage="1" showErrorMessage="1" sqref="H121 K121 Q121 T121 W121 N121" xr:uid="{00000000-0002-0000-1700-000005000000}">
      <formula1>"Cost per m^3 delivered, Cost as % commodity value"</formula1>
    </dataValidation>
    <dataValidation type="list" allowBlank="1" showInputMessage="1" showErrorMessage="1" sqref="H117 K117 Q117 T117 W117 N117" xr:uid="{00000000-0002-0000-1700-000006000000}">
      <formula1>"Upstream,Downstream"</formula1>
    </dataValidation>
    <dataValidation type="list" allowBlank="1" showInputMessage="1" showErrorMessage="1" sqref="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05 K185 K187 K165 K167 K145 K147 H185 H187 H165 H167 H145 H147 W105 T105 Q105 K105 H105 N147" xr:uid="{00000000-0002-0000-1700-000007000000}">
      <formula1>$B$27:$B$38</formula1>
    </dataValidation>
    <dataValidation type="decimal" allowBlank="1" showInputMessage="1" showErrorMessage="1" sqref="H93 K93:N93 Q93 T93 W93" xr:uid="{00000000-0002-0000-1700-000008000000}">
      <formula1>0.0001</formula1>
      <formula2>2</formula2>
    </dataValidation>
    <dataValidation type="decimal" allowBlank="1" showInputMessage="1" showErrorMessage="1" sqref="H94 K94:N94 Q94 T94 W94" xr:uid="{00000000-0002-0000-1700-000009000000}">
      <formula1>0</formula1>
      <formula2>99.9999</formula2>
    </dataValidation>
    <dataValidation type="whole" operator="greaterThan" allowBlank="1" showInputMessage="1" showErrorMessage="1" sqref="H95:H96 K95:K96 Q95:Q96 T95:T96 W95:W96 N95:N96" xr:uid="{00000000-0002-0000-1700-00000A000000}">
      <formula1>0</formula1>
    </dataValidation>
    <dataValidation type="decimal" operator="greaterThanOrEqual" allowBlank="1" showInputMessage="1" showErrorMessage="1" sqref="H97 K97:N97 Q97 T97 W97" xr:uid="{00000000-0002-0000-1700-00000B000000}">
      <formula1>1</formula1>
    </dataValidation>
    <dataValidation type="decimal" operator="greaterThan" allowBlank="1" showInputMessage="1" showErrorMessage="1" sqref="H6 H9:H11 H17 H21 H19 H313 H268 N114 H180 H288 K92 N108 K151:K152 H92 Q92 T92 W92 H108 H114 K108 K114 Q108 Q114 T108 T114 W108 W114 K180 K160 H184 H164 H191:H192 H171:H172 K140 H144 H151:H152 N180 N160 K184 K164 K191:K192 K171:K172 N140 K144 Q151:Q152 Q180 Q160 N184 N164 N191:N192 N171:N172 Q140 N144 N92 T180 T160 Q184 Q164 Q191:Q192 Q171:Q172 T140 Q144 H71:H7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68 H65:H66 H44:H45 H47:H48 H53:H54 H59:H62 H77:H78 N151:N152" xr:uid="{00000000-0002-0000-1700-00000C000000}">
      <formula1>0</formula1>
    </dataValidation>
    <dataValidation type="decimal" operator="greaterThanOrEqual" allowBlank="1" showInputMessage="1" showErrorMessage="1" sqref="H12 H18 H28:H38 H295 K28:K38 N98:N99 H49:H52 H55:H58 N122:N123 N109:N113 N115:N116 H98:H99 K98:K99 Q98:Q99 T98:T99 W98:W99 H103:H104 H106:H107 H109:H113 H115:H116 K103:N104 K106:K107 K109:K113 K115:K116 Q103:Q104 Q106:Q107 Q109:Q113 Q115:Q116 T103:T104 T106:T107 T109:T113 T115:T116 W103:W104 W106:W107 W109:W113 W115:W116 H315 H122:H123 K122:K123 Q122:Q123 T122:T123 W122:W123 H186 H188:H190 H166 H168:H170 H139 H146 H148:H150 H159 H179 K186 K188:K190 K166 K168:K170 K139 K146 K148:K150 K159 K179 N186 N188:N190 N166 N168:N170 N139 N106:N107 L107:M107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63:H64 H46 H73:H76 H69:H70 H43 H67 N146 N148:N150" xr:uid="{00000000-0002-0000-1700-00000D000000}">
      <formula1>0</formula1>
    </dataValidation>
    <dataValidation type="whole" allowBlank="1" showInputMessage="1" showErrorMessage="1" sqref="H7" xr:uid="{00000000-0002-0000-1700-00000E000000}">
      <formula1>1</formula1>
      <formula2>6</formula2>
    </dataValidation>
    <dataValidation type="list" allowBlank="1" showInputMessage="1" showErrorMessage="1" sqref="H5 H86 K86 N86 Q86 T86 W86" xr:uid="{00000000-0002-0000-1700-00000F000000}">
      <formula1>$N$6:$N$11</formula1>
    </dataValidation>
    <dataValidation type="list" allowBlank="1" showInputMessage="1" showErrorMessage="1" sqref="G86" xr:uid="{00000000-0002-0000-1700-000010000000}">
      <formula1>"ZimbabweZAPS,TEST"</formula1>
    </dataValidation>
    <dataValidation type="list" allowBlank="1" showInputMessage="1" showErrorMessage="1" sqref="G87 G89" xr:uid="{00000000-0002-0000-1700-000011000000}">
      <formula1>"Tier 1,Tier 2,Tier 3,Tier 4"</formula1>
    </dataValidation>
    <dataValidation type="list" allowBlank="1" showInputMessage="1" showErrorMessage="1" sqref="M289:M291 J180:J182 M245:M247 M205:M207 J136 M225:M227 M136 M156 J156 M176 M160:M162 J176 J160:J162 M180:M182 M309:M311" xr:uid="{00000000-0002-0000-1700-000012000000}">
      <formula1>"Motorcycle,Land Cruiser,Box Truck/Lorry"</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700-000013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 type="list" allowBlank="1" showInputMessage="1" showErrorMessage="1" xr:uid="{00000000-0002-0000-1700-000014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700-000015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700-000016000000}">
          <x14:formula1>
            <xm:f>'List Values'!$C$3:$C$8</xm:f>
          </x14:formula1>
          <xm:sqref>K87 N87 Q87 T87 W87 H87</xm:sqref>
        </x14:dataValidation>
        <x14:dataValidation type="list" allowBlank="1" showInputMessage="1" showErrorMessage="1" xr:uid="{00000000-0002-0000-1700-000017000000}">
          <x14:formula1>
            <xm:f>'List Values'!$B$3:$B$4</xm:f>
          </x14:formula1>
          <xm:sqref>H20</xm:sqref>
        </x14:dataValidation>
        <x14:dataValidation type="list" operator="greaterThan" allowBlank="1" showInputMessage="1" showErrorMessage="1" xr:uid="{00000000-0002-0000-1700-000018000000}">
          <x14:formula1>
            <xm:f>'List Values'!$B$3:$B$4</xm:f>
          </x14:formula1>
          <xm:sqref>H20</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6">
    <tabColor theme="0" tint="-0.14999847407452621"/>
  </sheetPr>
  <dimension ref="A1:AX350"/>
  <sheetViews>
    <sheetView showGridLines="0" zoomScale="80" zoomScaleNormal="80" workbookViewId="0">
      <selection activeCell="H108" sqref="H108:N108"/>
    </sheetView>
  </sheetViews>
  <sheetFormatPr defaultColWidth="8.84375" defaultRowHeight="14.6"/>
  <cols>
    <col min="1" max="1" width="9.69140625" customWidth="1"/>
    <col min="2" max="2" width="30.3046875" customWidth="1"/>
    <col min="3" max="3" width="10.69140625" customWidth="1"/>
    <col min="4" max="4" width="24.3046875" customWidth="1"/>
    <col min="5" max="5" width="31.8437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5" max="25" width="11.3828125" bestFit="1" customWidth="1"/>
    <col min="27" max="27" width="13" customWidth="1"/>
    <col min="33" max="33" width="19.3046875" customWidth="1"/>
    <col min="41" max="41" width="13" customWidth="1"/>
    <col min="42" max="42" width="15.84375" customWidth="1"/>
    <col min="44" max="44" width="14.69140625" customWidth="1"/>
    <col min="46" max="46" width="18.3046875" customWidth="1"/>
    <col min="47" max="47" width="10" customWidth="1"/>
    <col min="48" max="48" width="18.3828125" customWidth="1"/>
    <col min="49" max="50" width="13.84375" customWidth="1"/>
  </cols>
  <sheetData>
    <row r="1" spans="2:23" ht="225" customHeight="1">
      <c r="B1" s="2913" t="s">
        <v>5606</v>
      </c>
      <c r="C1" s="2913"/>
      <c r="D1" s="2913"/>
      <c r="E1" s="2913"/>
      <c r="H1" s="771"/>
    </row>
    <row r="4" spans="2:23" ht="27" customHeight="1">
      <c r="B4" s="2856" t="s">
        <v>304</v>
      </c>
      <c r="C4" s="2857"/>
      <c r="D4" s="2857"/>
      <c r="E4" s="2858"/>
      <c r="G4" s="25" t="s">
        <v>17</v>
      </c>
      <c r="H4" s="789" t="s">
        <v>10</v>
      </c>
      <c r="K4" s="2859" t="s">
        <v>405</v>
      </c>
      <c r="L4" s="2859"/>
      <c r="M4" s="2859"/>
      <c r="N4" s="2859"/>
      <c r="O4" s="2859"/>
      <c r="P4" s="2859"/>
      <c r="Q4" s="2859"/>
      <c r="R4" s="2859"/>
      <c r="S4" s="2859"/>
      <c r="T4" s="2859"/>
    </row>
    <row r="5" spans="2:23" ht="15" customHeight="1">
      <c r="B5" s="665" t="s">
        <v>117</v>
      </c>
      <c r="C5" s="664"/>
      <c r="D5" s="664"/>
      <c r="E5" s="663"/>
      <c r="H5" s="521"/>
      <c r="K5" s="2860"/>
      <c r="L5" s="2860"/>
      <c r="M5" s="2860"/>
      <c r="N5" s="2860"/>
      <c r="O5" s="2860"/>
      <c r="P5" s="2860"/>
      <c r="Q5" s="2860"/>
      <c r="R5" s="2860"/>
      <c r="S5" s="2860"/>
      <c r="T5" s="2860"/>
    </row>
    <row r="6" spans="2:23" ht="15" customHeight="1">
      <c r="B6" s="665" t="s">
        <v>165</v>
      </c>
      <c r="C6" s="664"/>
      <c r="D6" s="664"/>
      <c r="E6" s="663"/>
      <c r="F6" s="83"/>
      <c r="G6" s="84"/>
      <c r="H6" s="695">
        <v>1</v>
      </c>
      <c r="K6" s="2860"/>
      <c r="L6" s="2860"/>
      <c r="M6" s="2860"/>
      <c r="N6" s="2860"/>
      <c r="O6" s="2860"/>
      <c r="P6" s="2860"/>
      <c r="Q6" s="2860"/>
      <c r="R6" s="2860"/>
      <c r="S6" s="2860"/>
      <c r="T6" s="2860"/>
    </row>
    <row r="7" spans="2:23" ht="16" customHeight="1">
      <c r="B7" s="662" t="s">
        <v>57</v>
      </c>
      <c r="C7" s="659"/>
      <c r="D7" s="659"/>
      <c r="E7" s="791"/>
      <c r="G7" s="41">
        <v>3</v>
      </c>
      <c r="H7" s="695">
        <v>3</v>
      </c>
      <c r="K7" s="2860"/>
      <c r="L7" s="2860"/>
      <c r="M7" s="2860"/>
      <c r="N7" s="2860"/>
      <c r="O7" s="2860"/>
      <c r="P7" s="2860"/>
      <c r="Q7" s="2860"/>
      <c r="R7" s="2860"/>
      <c r="S7" s="2860"/>
      <c r="T7" s="2860"/>
    </row>
    <row r="8" spans="2:23">
      <c r="B8" s="2861" t="s">
        <v>11</v>
      </c>
      <c r="C8" s="2250"/>
      <c r="D8" s="2250"/>
      <c r="E8" s="2862"/>
      <c r="G8" s="40">
        <v>1.37</v>
      </c>
      <c r="H8" s="1331">
        <f>24.07/7.6</f>
        <v>3.1671052631578949</v>
      </c>
      <c r="K8" s="2860" t="s">
        <v>2272</v>
      </c>
      <c r="L8" s="2860"/>
      <c r="M8" s="2860"/>
      <c r="N8" s="2860"/>
      <c r="O8" s="2860"/>
      <c r="P8" s="2860"/>
      <c r="Q8" s="2860"/>
      <c r="R8" s="2860"/>
      <c r="S8" s="2860"/>
      <c r="T8" s="2860"/>
    </row>
    <row r="9" spans="2:23" ht="18.75" customHeight="1">
      <c r="B9" s="2861" t="s">
        <v>12</v>
      </c>
      <c r="C9" s="2250"/>
      <c r="D9" s="2250"/>
      <c r="E9" s="2862"/>
      <c r="G9" s="41">
        <v>240</v>
      </c>
      <c r="H9" s="695">
        <v>260</v>
      </c>
      <c r="K9" s="2864" t="s">
        <v>2254</v>
      </c>
      <c r="L9" s="2864"/>
      <c r="M9" s="2864"/>
      <c r="N9" s="2864"/>
      <c r="O9" s="2864"/>
      <c r="P9" s="2864"/>
      <c r="Q9" s="2864"/>
      <c r="R9" s="2864"/>
      <c r="S9" s="2864"/>
      <c r="T9" s="2864"/>
      <c r="U9" s="655"/>
      <c r="V9" s="655"/>
    </row>
    <row r="10" spans="2:23" ht="15" customHeight="1">
      <c r="B10" s="2861" t="s">
        <v>13</v>
      </c>
      <c r="C10" s="2250"/>
      <c r="D10" s="2250"/>
      <c r="E10" s="2862"/>
      <c r="G10" s="41">
        <v>8</v>
      </c>
      <c r="H10" s="695">
        <v>8</v>
      </c>
      <c r="K10" s="2860" t="s">
        <v>2256</v>
      </c>
      <c r="L10" s="2860"/>
      <c r="M10" s="2860"/>
      <c r="N10" s="2860"/>
      <c r="O10" s="2860"/>
      <c r="P10" s="2860"/>
      <c r="Q10" s="2860"/>
      <c r="R10" s="2860"/>
      <c r="S10" s="2860"/>
      <c r="T10" s="2860"/>
      <c r="U10" s="62"/>
      <c r="V10" s="62"/>
    </row>
    <row r="11" spans="2:23" ht="15" customHeight="1">
      <c r="B11" s="2861" t="s">
        <v>15</v>
      </c>
      <c r="C11" s="2250"/>
      <c r="D11" s="2250"/>
      <c r="E11" s="2862"/>
      <c r="G11" s="41">
        <v>5</v>
      </c>
      <c r="H11" s="695">
        <v>4.8099999999999996</v>
      </c>
      <c r="K11" s="2860" t="s">
        <v>2255</v>
      </c>
      <c r="L11" s="2860"/>
      <c r="M11" s="2860"/>
      <c r="N11" s="2860"/>
      <c r="O11" s="2860"/>
      <c r="P11" s="2860"/>
      <c r="Q11" s="2860"/>
      <c r="R11" s="2860"/>
      <c r="S11" s="2860"/>
      <c r="T11" s="2860"/>
      <c r="U11" s="62"/>
      <c r="V11" s="62"/>
    </row>
    <row r="12" spans="2:23" ht="15" customHeight="1">
      <c r="B12" s="2861" t="s">
        <v>400</v>
      </c>
      <c r="C12" s="2250"/>
      <c r="D12" s="2250"/>
      <c r="E12" s="2862"/>
      <c r="G12" s="42">
        <v>3</v>
      </c>
      <c r="H12" s="702">
        <v>5</v>
      </c>
      <c r="K12" s="2860" t="s">
        <v>2256</v>
      </c>
      <c r="L12" s="2860"/>
      <c r="M12" s="2860"/>
      <c r="N12" s="2860"/>
      <c r="O12" s="2860"/>
      <c r="P12" s="2860"/>
      <c r="Q12" s="2860"/>
      <c r="R12" s="2860"/>
      <c r="S12" s="2860"/>
      <c r="T12" s="2860"/>
      <c r="U12" s="62"/>
      <c r="V12" s="62"/>
    </row>
    <row r="13" spans="2:23">
      <c r="B13" s="39"/>
      <c r="C13" s="39"/>
      <c r="D13" s="39"/>
      <c r="E13" s="39"/>
      <c r="G13" s="8"/>
      <c r="H13" s="11"/>
      <c r="S13" s="240"/>
      <c r="T13" s="62"/>
      <c r="U13" s="62"/>
      <c r="V13" s="62"/>
    </row>
    <row r="14" spans="2:23">
      <c r="B14" s="39"/>
      <c r="C14" s="39"/>
      <c r="D14" s="39"/>
      <c r="E14" s="39"/>
      <c r="G14" s="8"/>
      <c r="H14" s="11"/>
      <c r="T14" s="93"/>
      <c r="U14" s="93"/>
      <c r="V14" s="661"/>
      <c r="W14" s="4"/>
    </row>
    <row r="15" spans="2:23" ht="30" customHeight="1">
      <c r="B15" s="2856" t="s">
        <v>296</v>
      </c>
      <c r="C15" s="2857"/>
      <c r="D15" s="2857"/>
      <c r="E15" s="2858"/>
      <c r="G15" s="25" t="s">
        <v>17</v>
      </c>
      <c r="H15" s="818" t="s">
        <v>10</v>
      </c>
      <c r="K15" s="2863" t="s">
        <v>405</v>
      </c>
      <c r="L15" s="2863"/>
      <c r="M15" s="2863"/>
      <c r="N15" s="2863"/>
      <c r="O15" s="2863"/>
      <c r="P15" s="2863"/>
      <c r="Q15" s="2863"/>
      <c r="R15" s="2863"/>
      <c r="S15" s="2863"/>
      <c r="T15" s="2863"/>
      <c r="U15" s="62"/>
      <c r="V15" s="62"/>
      <c r="W15" s="4"/>
    </row>
    <row r="16" spans="2:23" ht="15" customHeight="1">
      <c r="B16" s="814"/>
      <c r="C16" s="815"/>
      <c r="D16" s="815"/>
      <c r="E16" s="816"/>
      <c r="G16" s="15"/>
      <c r="H16" s="998"/>
      <c r="I16" s="27"/>
      <c r="J16" s="27"/>
      <c r="K16" s="999"/>
      <c r="L16" s="999"/>
      <c r="M16" s="999"/>
      <c r="N16" s="999"/>
      <c r="O16" s="999"/>
      <c r="P16" s="999"/>
      <c r="Q16" s="999"/>
      <c r="R16" s="999"/>
      <c r="S16" s="999"/>
      <c r="T16" s="999"/>
      <c r="U16" s="62"/>
      <c r="V16" s="62"/>
      <c r="W16" s="4"/>
    </row>
    <row r="17" spans="2:35">
      <c r="B17" s="43" t="s">
        <v>367</v>
      </c>
      <c r="C17" s="44"/>
      <c r="D17" s="44"/>
      <c r="E17" s="45"/>
      <c r="G17" s="46">
        <v>1955</v>
      </c>
      <c r="H17" s="730">
        <v>166.17</v>
      </c>
      <c r="K17" s="2860" t="s">
        <v>2314</v>
      </c>
      <c r="L17" s="2860"/>
      <c r="M17" s="2860"/>
      <c r="N17" s="2860"/>
      <c r="O17" s="2860"/>
      <c r="P17" s="2860"/>
      <c r="Q17" s="2860"/>
      <c r="R17" s="2860"/>
      <c r="S17" s="2860"/>
      <c r="T17" s="2860"/>
      <c r="U17" s="95"/>
      <c r="V17" s="95"/>
      <c r="W17" s="4"/>
    </row>
    <row r="18" spans="2:35">
      <c r="B18" s="43" t="s">
        <v>368</v>
      </c>
      <c r="C18" s="44"/>
      <c r="D18" s="44"/>
      <c r="E18" s="45"/>
      <c r="G18" s="41"/>
      <c r="H18" s="695">
        <v>0</v>
      </c>
      <c r="K18" s="2860"/>
      <c r="L18" s="2860"/>
      <c r="M18" s="2860"/>
      <c r="N18" s="2860"/>
      <c r="O18" s="2860"/>
      <c r="P18" s="2860"/>
      <c r="Q18" s="2860"/>
      <c r="R18" s="2860"/>
      <c r="S18" s="2860"/>
      <c r="T18" s="2860"/>
      <c r="U18" s="95"/>
      <c r="V18" s="95"/>
      <c r="W18" s="4"/>
    </row>
    <row r="19" spans="2:35">
      <c r="B19" s="43" t="s">
        <v>130</v>
      </c>
      <c r="C19" s="44"/>
      <c r="D19" s="44"/>
      <c r="E19" s="45"/>
      <c r="G19" s="41"/>
      <c r="H19" s="695">
        <v>51</v>
      </c>
      <c r="K19" s="2860"/>
      <c r="L19" s="2860"/>
      <c r="M19" s="2860"/>
      <c r="N19" s="2860"/>
      <c r="O19" s="2860"/>
      <c r="P19" s="2860"/>
      <c r="Q19" s="2860"/>
      <c r="R19" s="2860"/>
      <c r="S19" s="2860"/>
      <c r="T19" s="2860"/>
      <c r="U19" s="95"/>
      <c r="V19" s="62"/>
      <c r="W19" s="4"/>
    </row>
    <row r="20" spans="2:35">
      <c r="B20" s="660" t="s">
        <v>369</v>
      </c>
      <c r="C20" s="44"/>
      <c r="D20" s="44"/>
      <c r="E20" s="45"/>
      <c r="G20" s="41"/>
      <c r="H20" s="543" t="s">
        <v>370</v>
      </c>
      <c r="K20" s="2860"/>
      <c r="L20" s="2860"/>
      <c r="M20" s="2860"/>
      <c r="N20" s="2860"/>
      <c r="O20" s="2860"/>
      <c r="P20" s="2860"/>
      <c r="Q20" s="2860"/>
      <c r="R20" s="2860"/>
      <c r="S20" s="2860"/>
      <c r="T20" s="2860"/>
      <c r="U20" s="95"/>
      <c r="V20" s="62"/>
      <c r="W20" s="4"/>
    </row>
    <row r="21" spans="2:35" ht="16" customHeight="1">
      <c r="B21" s="68" t="s">
        <v>55</v>
      </c>
      <c r="C21" s="44"/>
      <c r="D21" s="44"/>
      <c r="E21" s="45"/>
      <c r="G21" s="55">
        <v>12300000</v>
      </c>
      <c r="H21" s="1332">
        <f>29119797.4937437/7.6</f>
        <v>3831552.3018083815</v>
      </c>
      <c r="K21" s="2860" t="s">
        <v>2315</v>
      </c>
      <c r="L21" s="2860"/>
      <c r="M21" s="2860"/>
      <c r="N21" s="2860"/>
      <c r="O21" s="2860"/>
      <c r="P21" s="2860"/>
      <c r="Q21" s="2860"/>
      <c r="R21" s="2860"/>
      <c r="S21" s="2860"/>
      <c r="T21" s="2860"/>
      <c r="U21" s="97"/>
      <c r="V21" s="97"/>
      <c r="W21" s="4"/>
    </row>
    <row r="22" spans="2:35" ht="18.45">
      <c r="B22" s="50"/>
      <c r="C22" s="50"/>
      <c r="D22" s="50"/>
      <c r="E22" s="50"/>
      <c r="G22" s="50"/>
      <c r="H22" s="50"/>
      <c r="I22" s="50"/>
      <c r="J22" s="50"/>
      <c r="K22" s="50"/>
      <c r="S22" s="240"/>
      <c r="T22" s="95"/>
      <c r="U22" s="95"/>
      <c r="V22" s="95"/>
    </row>
    <row r="23" spans="2:35">
      <c r="S23" s="1"/>
      <c r="T23" s="272"/>
    </row>
    <row r="24" spans="2:35" ht="27.65" customHeight="1">
      <c r="B24" s="2856" t="s">
        <v>297</v>
      </c>
      <c r="C24" s="2857"/>
      <c r="D24" s="2857"/>
      <c r="E24" s="2858"/>
      <c r="G24" s="2873" t="s">
        <v>72</v>
      </c>
      <c r="H24" s="2874"/>
      <c r="I24" s="697"/>
      <c r="J24" s="2871" t="s">
        <v>24</v>
      </c>
      <c r="K24" s="2871"/>
    </row>
    <row r="25" spans="2:35" ht="15" customHeight="1">
      <c r="B25" s="2865" t="s">
        <v>23</v>
      </c>
      <c r="C25" s="2661"/>
      <c r="D25" s="2661"/>
      <c r="E25" s="2866"/>
      <c r="G25" s="2867" t="s">
        <v>17</v>
      </c>
      <c r="H25" s="2869" t="s">
        <v>10</v>
      </c>
      <c r="J25" s="2871" t="s">
        <v>17</v>
      </c>
      <c r="K25" s="2872" t="s">
        <v>10</v>
      </c>
      <c r="N25" s="2859" t="s">
        <v>405</v>
      </c>
      <c r="O25" s="2859"/>
      <c r="P25" s="2859"/>
      <c r="Q25" s="2859"/>
      <c r="R25" s="2859"/>
      <c r="S25" s="2859"/>
      <c r="T25" s="2859"/>
      <c r="U25" s="2859"/>
      <c r="V25" s="2859"/>
      <c r="W25" s="2859"/>
    </row>
    <row r="26" spans="2:35">
      <c r="B26" s="2611"/>
      <c r="C26" s="2612"/>
      <c r="D26" s="2612"/>
      <c r="E26" s="2613"/>
      <c r="G26" s="2868"/>
      <c r="H26" s="2870"/>
      <c r="J26" s="2871"/>
      <c r="K26" s="2872"/>
      <c r="N26" s="2859"/>
      <c r="O26" s="2859"/>
      <c r="P26" s="2859"/>
      <c r="Q26" s="2859"/>
      <c r="R26" s="2859"/>
      <c r="S26" s="2859"/>
      <c r="T26" s="2859"/>
      <c r="U26" s="2859"/>
      <c r="V26" s="2859"/>
      <c r="W26" s="2859"/>
    </row>
    <row r="27" spans="2:35" ht="15" customHeight="1">
      <c r="B27" s="495" t="s">
        <v>605</v>
      </c>
      <c r="C27" s="781"/>
      <c r="D27" s="781"/>
      <c r="E27" s="783"/>
      <c r="G27" s="790"/>
      <c r="H27" s="1050"/>
      <c r="I27" s="1051"/>
      <c r="J27" s="1052"/>
      <c r="K27" s="1050"/>
      <c r="N27" s="2860"/>
      <c r="O27" s="2860"/>
      <c r="P27" s="2860"/>
      <c r="Q27" s="2860"/>
      <c r="R27" s="2860"/>
      <c r="S27" s="2860"/>
      <c r="T27" s="2860"/>
      <c r="U27" s="2860"/>
      <c r="V27" s="2860"/>
      <c r="W27" s="2860"/>
      <c r="X27" s="4"/>
      <c r="AE27" s="1"/>
    </row>
    <row r="28" spans="2:35">
      <c r="B28" s="231" t="s">
        <v>19</v>
      </c>
      <c r="C28" s="26"/>
      <c r="D28" s="26"/>
      <c r="E28" s="16"/>
      <c r="G28" s="47" t="e">
        <v>#REF!</v>
      </c>
      <c r="H28" s="524">
        <f>26.56/7.6</f>
        <v>3.4947368421052634</v>
      </c>
      <c r="I28" s="705"/>
      <c r="J28" s="706"/>
      <c r="K28" s="524">
        <v>0</v>
      </c>
      <c r="N28" s="2875" t="s">
        <v>2274</v>
      </c>
      <c r="O28" s="2875"/>
      <c r="P28" s="2875"/>
      <c r="Q28" s="2875"/>
      <c r="R28" s="2875"/>
      <c r="S28" s="2875"/>
      <c r="T28" s="2875"/>
      <c r="U28" s="2875"/>
      <c r="V28" s="2875"/>
      <c r="W28" s="2875"/>
    </row>
    <row r="29" spans="2:35" ht="17.25" customHeight="1">
      <c r="B29" s="231" t="s">
        <v>20</v>
      </c>
      <c r="C29" s="26"/>
      <c r="D29" s="26"/>
      <c r="E29" s="16"/>
      <c r="G29" s="48" t="e">
        <v>#REF!</v>
      </c>
      <c r="H29" s="524">
        <f>22.19/7.6</f>
        <v>2.9197368421052636</v>
      </c>
      <c r="I29" s="705"/>
      <c r="J29" s="706"/>
      <c r="K29" s="524">
        <v>0</v>
      </c>
      <c r="N29" s="2876" t="s">
        <v>2286</v>
      </c>
      <c r="O29" s="2876"/>
      <c r="P29" s="2876"/>
      <c r="Q29" s="2876"/>
      <c r="R29" s="2876"/>
      <c r="S29" s="2876"/>
      <c r="T29" s="2876"/>
      <c r="U29" s="2876"/>
      <c r="V29" s="2876"/>
      <c r="W29" s="2876"/>
      <c r="AI29" s="460"/>
    </row>
    <row r="30" spans="2:35" ht="17.25" customHeight="1">
      <c r="B30" s="231" t="s">
        <v>21</v>
      </c>
      <c r="C30" s="26"/>
      <c r="D30" s="26"/>
      <c r="E30" s="16"/>
      <c r="G30" s="48">
        <v>6.58</v>
      </c>
      <c r="H30" s="524"/>
      <c r="I30" s="705"/>
      <c r="J30" s="706"/>
      <c r="K30" s="524">
        <v>0</v>
      </c>
      <c r="N30" s="2860"/>
      <c r="O30" s="2860"/>
      <c r="P30" s="2860"/>
      <c r="Q30" s="2860"/>
      <c r="R30" s="2860"/>
      <c r="S30" s="2860"/>
      <c r="T30" s="2860"/>
      <c r="U30" s="2860"/>
      <c r="V30" s="2860"/>
      <c r="W30" s="2860"/>
      <c r="AI30" s="460"/>
    </row>
    <row r="31" spans="2:35" ht="17.25" customHeight="1">
      <c r="B31" s="231" t="s">
        <v>22</v>
      </c>
      <c r="C31" s="26"/>
      <c r="D31" s="26"/>
      <c r="E31" s="16"/>
      <c r="G31" s="48">
        <v>5.91</v>
      </c>
      <c r="H31" s="524">
        <f>29.05/7.6</f>
        <v>3.8223684210526319</v>
      </c>
      <c r="I31" s="705"/>
      <c r="J31" s="706"/>
      <c r="K31" s="524">
        <v>0</v>
      </c>
      <c r="N31" s="2860" t="s">
        <v>2276</v>
      </c>
      <c r="O31" s="2860"/>
      <c r="P31" s="2860"/>
      <c r="Q31" s="2860"/>
      <c r="R31" s="2860"/>
      <c r="S31" s="2860"/>
      <c r="T31" s="2860"/>
      <c r="U31" s="2860"/>
      <c r="V31" s="2860"/>
      <c r="W31" s="2860"/>
    </row>
    <row r="32" spans="2:35" ht="17.25" customHeight="1">
      <c r="B32" s="231" t="s">
        <v>402</v>
      </c>
      <c r="C32" s="26"/>
      <c r="D32" s="26"/>
      <c r="E32" s="16"/>
      <c r="G32" s="48" t="e">
        <v>#REF!</v>
      </c>
      <c r="H32" s="524">
        <f>24.84/7.6</f>
        <v>3.2684210526315791</v>
      </c>
      <c r="I32" s="705"/>
      <c r="J32" s="706"/>
      <c r="K32" s="524">
        <v>0</v>
      </c>
      <c r="N32" s="2860" t="s">
        <v>2287</v>
      </c>
      <c r="O32" s="2860"/>
      <c r="P32" s="2860"/>
      <c r="Q32" s="2860"/>
      <c r="R32" s="2860"/>
      <c r="S32" s="2860"/>
      <c r="T32" s="2860"/>
      <c r="U32" s="2860"/>
      <c r="V32" s="2860"/>
      <c r="W32" s="2860"/>
    </row>
    <row r="33" spans="1:25" ht="17.25" customHeight="1">
      <c r="B33" s="231" t="s">
        <v>401</v>
      </c>
      <c r="C33" s="26"/>
      <c r="D33" s="26"/>
      <c r="E33" s="16"/>
      <c r="G33" s="48"/>
      <c r="H33" s="524">
        <f>26.59/7.6</f>
        <v>3.4986842105263158</v>
      </c>
      <c r="I33" s="705"/>
      <c r="J33" s="706"/>
      <c r="K33" s="524">
        <v>0</v>
      </c>
      <c r="N33" s="2860" t="s">
        <v>2288</v>
      </c>
      <c r="O33" s="2860"/>
      <c r="P33" s="2860"/>
      <c r="Q33" s="2860"/>
      <c r="R33" s="2860"/>
      <c r="S33" s="2860"/>
      <c r="T33" s="2860"/>
      <c r="U33" s="2860"/>
      <c r="V33" s="2860"/>
      <c r="W33" s="2860"/>
    </row>
    <row r="34" spans="1:25">
      <c r="B34" s="231" t="s">
        <v>403</v>
      </c>
      <c r="C34" s="26"/>
      <c r="D34" s="26"/>
      <c r="E34" s="16"/>
      <c r="G34" s="48">
        <v>5.91</v>
      </c>
      <c r="H34" s="524">
        <f>27.2/7.6</f>
        <v>3.5789473684210527</v>
      </c>
      <c r="I34" s="705"/>
      <c r="J34" s="706"/>
      <c r="K34" s="524">
        <v>0</v>
      </c>
      <c r="N34" s="2860" t="s">
        <v>2273</v>
      </c>
      <c r="O34" s="2860"/>
      <c r="P34" s="2860"/>
      <c r="Q34" s="2860"/>
      <c r="R34" s="2860"/>
      <c r="S34" s="2860"/>
      <c r="T34" s="2860"/>
      <c r="U34" s="2860"/>
      <c r="V34" s="2860"/>
      <c r="W34" s="2860"/>
    </row>
    <row r="35" spans="1:25">
      <c r="B35" s="232" t="s">
        <v>404</v>
      </c>
      <c r="C35" s="26"/>
      <c r="D35" s="26"/>
      <c r="E35" s="16"/>
      <c r="G35" s="48" t="e">
        <v>#REF!</v>
      </c>
      <c r="H35" s="524"/>
      <c r="I35" s="705"/>
      <c r="J35" s="706"/>
      <c r="K35" s="524"/>
      <c r="N35" s="2860"/>
      <c r="O35" s="2860"/>
      <c r="P35" s="2860"/>
      <c r="Q35" s="2860"/>
      <c r="R35" s="2860"/>
      <c r="S35" s="2860"/>
      <c r="T35" s="2860"/>
      <c r="U35" s="2860"/>
      <c r="V35" s="2860"/>
      <c r="W35" s="2860"/>
    </row>
    <row r="36" spans="1:25">
      <c r="B36" s="232" t="s">
        <v>416</v>
      </c>
      <c r="C36" s="26"/>
      <c r="D36" s="26"/>
      <c r="E36" s="16"/>
      <c r="G36" s="48"/>
      <c r="H36" s="699">
        <f>28.97/7.6</f>
        <v>3.8118421052631581</v>
      </c>
      <c r="I36" s="705"/>
      <c r="J36" s="706"/>
      <c r="K36" s="524">
        <v>0</v>
      </c>
      <c r="N36" s="2860" t="s">
        <v>2275</v>
      </c>
      <c r="O36" s="2860"/>
      <c r="P36" s="2860"/>
      <c r="Q36" s="2860"/>
      <c r="R36" s="2860"/>
      <c r="S36" s="2860"/>
      <c r="T36" s="2860"/>
      <c r="U36" s="2860"/>
      <c r="V36" s="2860"/>
      <c r="W36" s="2860"/>
    </row>
    <row r="37" spans="1:25">
      <c r="B37" s="232" t="s">
        <v>417</v>
      </c>
      <c r="C37" s="26"/>
      <c r="D37" s="26"/>
      <c r="E37" s="16"/>
      <c r="G37" s="48"/>
      <c r="H37" s="699"/>
      <c r="I37" s="705"/>
      <c r="J37" s="706"/>
      <c r="K37" s="524">
        <v>0</v>
      </c>
      <c r="N37" s="2860"/>
      <c r="O37" s="2860"/>
      <c r="P37" s="2860"/>
      <c r="Q37" s="2860"/>
      <c r="R37" s="2860"/>
      <c r="S37" s="2860"/>
      <c r="T37" s="2860"/>
      <c r="U37" s="2860"/>
      <c r="V37" s="2860"/>
      <c r="W37" s="2860"/>
      <c r="Y37" s="37"/>
    </row>
    <row r="38" spans="1:25">
      <c r="B38" s="232" t="s">
        <v>418</v>
      </c>
      <c r="C38" s="27"/>
      <c r="D38" s="27"/>
      <c r="E38" s="17"/>
      <c r="G38" s="49" t="e">
        <v>#REF!</v>
      </c>
      <c r="H38" s="700"/>
      <c r="I38" s="705"/>
      <c r="J38" s="707"/>
      <c r="K38" s="700">
        <v>0</v>
      </c>
      <c r="N38" s="2860"/>
      <c r="O38" s="2860"/>
      <c r="P38" s="2860"/>
      <c r="Q38" s="2860"/>
      <c r="R38" s="2860"/>
      <c r="S38" s="2860"/>
      <c r="T38" s="2860"/>
      <c r="U38" s="2860"/>
      <c r="V38" s="2860"/>
      <c r="W38" s="2860"/>
    </row>
    <row r="40" spans="1:25" ht="18.45">
      <c r="A40" s="10"/>
      <c r="B40" s="8"/>
      <c r="C40" s="8"/>
      <c r="S40" s="277"/>
    </row>
    <row r="41" spans="1:25" ht="28" customHeight="1">
      <c r="A41" s="10"/>
      <c r="B41" s="2856" t="s">
        <v>646</v>
      </c>
      <c r="C41" s="2857"/>
      <c r="D41" s="2857"/>
      <c r="E41" s="2858"/>
      <c r="T41" s="1"/>
      <c r="U41" s="1"/>
      <c r="V41" s="1"/>
    </row>
    <row r="42" spans="1:25" ht="32.25" customHeight="1">
      <c r="A42" s="10"/>
      <c r="B42" s="72" t="s">
        <v>34</v>
      </c>
      <c r="C42" s="2880" t="s">
        <v>35</v>
      </c>
      <c r="D42" s="2880"/>
      <c r="E42" s="2881"/>
      <c r="G42" s="15" t="s">
        <v>17</v>
      </c>
      <c r="H42" s="782" t="s">
        <v>10</v>
      </c>
      <c r="K42" s="2859" t="s">
        <v>405</v>
      </c>
      <c r="L42" s="2859"/>
      <c r="M42" s="2859"/>
      <c r="N42" s="2859"/>
      <c r="O42" s="2859"/>
      <c r="P42" s="2859"/>
      <c r="Q42" s="2859"/>
      <c r="R42" s="2859"/>
      <c r="S42" s="2859"/>
      <c r="T42" s="2859"/>
      <c r="U42" s="112"/>
      <c r="V42" s="226"/>
    </row>
    <row r="43" spans="1:25">
      <c r="B43" s="73" t="s">
        <v>136</v>
      </c>
      <c r="C43" s="74" t="s">
        <v>164</v>
      </c>
      <c r="D43" s="784"/>
      <c r="E43" s="785"/>
      <c r="F43" s="549"/>
      <c r="G43" s="75"/>
      <c r="H43" s="538">
        <f>38.87/7.6</f>
        <v>5.1144736842105258</v>
      </c>
      <c r="K43" s="2860" t="s">
        <v>2261</v>
      </c>
      <c r="L43" s="2860"/>
      <c r="M43" s="2860"/>
      <c r="N43" s="2860"/>
      <c r="O43" s="2860"/>
      <c r="P43" s="2860"/>
      <c r="Q43" s="2860"/>
      <c r="R43" s="2860"/>
      <c r="S43" s="2860"/>
      <c r="T43" s="2860"/>
      <c r="U43" s="6"/>
      <c r="V43" s="6"/>
    </row>
    <row r="44" spans="1:25">
      <c r="A44" s="10"/>
      <c r="B44" s="13" t="s">
        <v>136</v>
      </c>
      <c r="C44" s="80" t="s">
        <v>138</v>
      </c>
      <c r="D44" s="81"/>
      <c r="E44" s="82"/>
      <c r="F44" s="549"/>
      <c r="G44" s="75"/>
      <c r="H44" s="1903">
        <f>166.05/60</f>
        <v>2.7675000000000001</v>
      </c>
      <c r="K44" s="2860" t="s">
        <v>2316</v>
      </c>
      <c r="L44" s="2860"/>
      <c r="M44" s="2860"/>
      <c r="N44" s="2860"/>
      <c r="O44" s="2860"/>
      <c r="P44" s="2860"/>
      <c r="Q44" s="2860"/>
      <c r="R44" s="2860"/>
      <c r="S44" s="2860"/>
      <c r="T44" s="2860"/>
      <c r="U44" s="224"/>
      <c r="V44" s="224"/>
    </row>
    <row r="45" spans="1:25">
      <c r="A45" s="10"/>
      <c r="B45" s="13" t="s">
        <v>136</v>
      </c>
      <c r="C45" s="80" t="s">
        <v>161</v>
      </c>
      <c r="D45" s="81"/>
      <c r="E45" s="82"/>
      <c r="F45" s="549"/>
      <c r="G45" s="75"/>
      <c r="H45" s="539">
        <v>0.05</v>
      </c>
      <c r="K45" s="2860" t="s">
        <v>2259</v>
      </c>
      <c r="L45" s="2860"/>
      <c r="M45" s="2860"/>
      <c r="N45" s="2860"/>
      <c r="O45" s="2860"/>
      <c r="P45" s="2860"/>
      <c r="Q45" s="2860"/>
      <c r="R45" s="2860"/>
      <c r="S45" s="2860"/>
      <c r="T45" s="2860"/>
      <c r="U45" s="6"/>
      <c r="V45" s="6"/>
    </row>
    <row r="46" spans="1:25">
      <c r="A46" s="10"/>
      <c r="B46" s="73" t="s">
        <v>137</v>
      </c>
      <c r="C46" s="74" t="s">
        <v>164</v>
      </c>
      <c r="D46" s="784"/>
      <c r="E46" s="785"/>
      <c r="F46" s="549"/>
      <c r="G46" s="75"/>
      <c r="H46" s="538"/>
      <c r="K46" s="2860"/>
      <c r="L46" s="2860"/>
      <c r="M46" s="2860"/>
      <c r="N46" s="2860"/>
      <c r="O46" s="2860"/>
      <c r="P46" s="2860"/>
      <c r="Q46" s="2860"/>
      <c r="R46" s="2860"/>
      <c r="S46" s="2860"/>
      <c r="T46" s="2860"/>
      <c r="U46" s="6"/>
      <c r="V46" s="6"/>
    </row>
    <row r="47" spans="1:25">
      <c r="A47" s="10"/>
      <c r="B47" s="13" t="s">
        <v>137</v>
      </c>
      <c r="C47" s="80" t="s">
        <v>138</v>
      </c>
      <c r="D47" s="81"/>
      <c r="E47" s="82"/>
      <c r="F47" s="549"/>
      <c r="G47" s="75"/>
      <c r="H47" s="539"/>
      <c r="K47" s="2860"/>
      <c r="L47" s="2860"/>
      <c r="M47" s="2860"/>
      <c r="N47" s="2860"/>
      <c r="O47" s="2860"/>
      <c r="P47" s="2860"/>
      <c r="Q47" s="2860"/>
      <c r="R47" s="2860"/>
      <c r="S47" s="2860"/>
      <c r="T47" s="2860"/>
      <c r="U47" s="6"/>
      <c r="V47" s="6"/>
    </row>
    <row r="48" spans="1:25">
      <c r="A48" s="10"/>
      <c r="B48" s="657" t="s">
        <v>137</v>
      </c>
      <c r="C48" s="656" t="s">
        <v>161</v>
      </c>
      <c r="D48" s="667"/>
      <c r="E48" s="668"/>
      <c r="F48" s="549"/>
      <c r="G48" s="75"/>
      <c r="H48" s="539"/>
      <c r="K48" s="2860"/>
      <c r="L48" s="2860"/>
      <c r="M48" s="2860"/>
      <c r="N48" s="2860"/>
      <c r="O48" s="2860"/>
      <c r="P48" s="2860"/>
      <c r="Q48" s="2860"/>
      <c r="R48" s="2860"/>
      <c r="S48" s="2860"/>
      <c r="T48" s="2860"/>
      <c r="U48" s="658"/>
      <c r="V48" s="658"/>
    </row>
    <row r="49" spans="1:22">
      <c r="A49" s="10"/>
      <c r="B49" s="13" t="s">
        <v>36</v>
      </c>
      <c r="C49" s="2877" t="s">
        <v>39</v>
      </c>
      <c r="D49" s="2877"/>
      <c r="E49" s="2878"/>
      <c r="F49" s="549" t="str">
        <f t="shared" ref="F49:F66" si="0">B49&amp;C49</f>
        <v>MotorcyclePurchase Price</v>
      </c>
      <c r="G49" s="32">
        <v>15000</v>
      </c>
      <c r="H49" s="540"/>
      <c r="K49" s="2860"/>
      <c r="L49" s="2860"/>
      <c r="M49" s="2860"/>
      <c r="N49" s="2860"/>
      <c r="O49" s="2860"/>
      <c r="P49" s="2860"/>
      <c r="Q49" s="2860"/>
      <c r="R49" s="2860"/>
      <c r="S49" s="2860"/>
      <c r="T49" s="2860"/>
      <c r="U49" s="181"/>
      <c r="V49" s="181"/>
    </row>
    <row r="50" spans="1:22">
      <c r="A50" s="10"/>
      <c r="B50" s="13" t="s">
        <v>36</v>
      </c>
      <c r="C50" s="2552" t="s">
        <v>40</v>
      </c>
      <c r="D50" s="2552"/>
      <c r="E50" s="2879"/>
      <c r="F50" s="549" t="str">
        <f t="shared" si="0"/>
        <v>MotorcycleDepreciation Cost / yr</v>
      </c>
      <c r="G50" s="30">
        <f>G49/$H$11</f>
        <v>3118.5031185031189</v>
      </c>
      <c r="H50" s="541"/>
      <c r="K50" s="2860"/>
      <c r="L50" s="2860"/>
      <c r="M50" s="2860"/>
      <c r="N50" s="2860"/>
      <c r="O50" s="2860"/>
      <c r="P50" s="2860"/>
      <c r="Q50" s="2860"/>
      <c r="R50" s="2860"/>
      <c r="S50" s="2860"/>
      <c r="T50" s="2860"/>
      <c r="U50" s="181"/>
      <c r="V50" s="181"/>
    </row>
    <row r="51" spans="1:22">
      <c r="A51" s="10"/>
      <c r="B51" s="13" t="s">
        <v>36</v>
      </c>
      <c r="C51" s="2552" t="s">
        <v>44</v>
      </c>
      <c r="D51" s="2552"/>
      <c r="E51" s="2879"/>
      <c r="F51" s="549" t="str">
        <f t="shared" si="0"/>
        <v>MotorcycleInsurance cost /yr</v>
      </c>
      <c r="G51" s="32">
        <v>1000</v>
      </c>
      <c r="H51" s="542"/>
      <c r="K51" s="2860"/>
      <c r="L51" s="2860"/>
      <c r="M51" s="2860"/>
      <c r="N51" s="2860"/>
      <c r="O51" s="2860"/>
      <c r="P51" s="2860"/>
      <c r="Q51" s="2860"/>
      <c r="R51" s="2860"/>
      <c r="S51" s="2860"/>
      <c r="T51" s="2860"/>
      <c r="U51" t="s">
        <v>700</v>
      </c>
      <c r="V51" s="181"/>
    </row>
    <row r="52" spans="1:22" ht="14.7" customHeight="1">
      <c r="A52" s="10"/>
      <c r="B52" s="13" t="s">
        <v>36</v>
      </c>
      <c r="C52" s="2552" t="s">
        <v>42</v>
      </c>
      <c r="D52" s="2552"/>
      <c r="E52" s="2879"/>
      <c r="F52" s="549" t="str">
        <f t="shared" si="0"/>
        <v>MotorcycleMaintenance cost/km</v>
      </c>
      <c r="G52" s="32">
        <v>0.05</v>
      </c>
      <c r="H52" s="542"/>
      <c r="K52" s="2914"/>
      <c r="L52" s="2915"/>
      <c r="M52" s="2915"/>
      <c r="N52" s="2915"/>
      <c r="O52" s="2915"/>
      <c r="P52" s="2915"/>
      <c r="Q52" s="2915"/>
      <c r="R52" s="2915"/>
      <c r="S52" s="2915"/>
      <c r="T52" s="2916"/>
      <c r="U52" t="s">
        <v>700</v>
      </c>
      <c r="V52" s="181"/>
    </row>
    <row r="53" spans="1:22">
      <c r="A53" s="10"/>
      <c r="B53" s="13" t="s">
        <v>36</v>
      </c>
      <c r="C53" s="2552" t="s">
        <v>41</v>
      </c>
      <c r="D53" s="2552"/>
      <c r="E53" s="2879"/>
      <c r="F53" s="549" t="str">
        <f t="shared" si="0"/>
        <v>MotorcycleFuel Efficiency (km/liter)</v>
      </c>
      <c r="G53" s="31">
        <v>27.5</v>
      </c>
      <c r="H53" s="543"/>
      <c r="K53" s="2860"/>
      <c r="L53" s="2860"/>
      <c r="M53" s="2860"/>
      <c r="N53" s="2860"/>
      <c r="O53" s="2860"/>
      <c r="P53" s="2860"/>
      <c r="Q53" s="2860"/>
      <c r="R53" s="2860"/>
      <c r="S53" s="2860"/>
      <c r="T53" s="2860"/>
      <c r="U53" t="s">
        <v>700</v>
      </c>
      <c r="V53" s="181"/>
    </row>
    <row r="54" spans="1:22">
      <c r="A54" s="10"/>
      <c r="B54" s="657" t="s">
        <v>36</v>
      </c>
      <c r="C54" s="2882" t="s">
        <v>43</v>
      </c>
      <c r="D54" s="2882"/>
      <c r="E54" s="2883"/>
      <c r="F54" s="549" t="str">
        <f t="shared" si="0"/>
        <v>MotorcycleDelivery Capacity (m^3)</v>
      </c>
      <c r="G54" s="33">
        <v>0.25</v>
      </c>
      <c r="H54" s="544"/>
      <c r="K54" s="2860"/>
      <c r="L54" s="2860"/>
      <c r="M54" s="2860"/>
      <c r="N54" s="2860"/>
      <c r="O54" s="2860"/>
      <c r="P54" s="2860"/>
      <c r="Q54" s="2860"/>
      <c r="R54" s="2860"/>
      <c r="S54" s="2860"/>
      <c r="T54" s="2860"/>
      <c r="U54" t="s">
        <v>699</v>
      </c>
      <c r="V54" s="181"/>
    </row>
    <row r="55" spans="1:22">
      <c r="A55" s="10"/>
      <c r="B55" s="13" t="s">
        <v>407</v>
      </c>
      <c r="C55" s="2877" t="s">
        <v>39</v>
      </c>
      <c r="D55" s="2877"/>
      <c r="E55" s="2878"/>
      <c r="F55" s="549" t="str">
        <f t="shared" si="0"/>
        <v>Car/Sport Utility/Consumer VehiclePurchase Price</v>
      </c>
      <c r="G55" s="28">
        <v>60939.499795095864</v>
      </c>
      <c r="H55" s="540">
        <f>135000/7.6</f>
        <v>17763.157894736843</v>
      </c>
      <c r="K55" s="2860" t="s">
        <v>2277</v>
      </c>
      <c r="L55" s="2860"/>
      <c r="M55" s="2860"/>
      <c r="N55" s="2860"/>
      <c r="O55" s="2860"/>
      <c r="P55" s="2860"/>
      <c r="Q55" s="2860"/>
      <c r="R55" s="2860"/>
      <c r="S55" s="2860"/>
      <c r="T55" s="2860"/>
      <c r="U55" s="181"/>
      <c r="V55" s="181"/>
    </row>
    <row r="56" spans="1:22">
      <c r="A56" s="10"/>
      <c r="B56" s="13" t="s">
        <v>407</v>
      </c>
      <c r="C56" s="2552" t="s">
        <v>40</v>
      </c>
      <c r="D56" s="2552"/>
      <c r="E56" s="2879"/>
      <c r="F56" s="549" t="str">
        <f t="shared" si="0"/>
        <v>Car/Sport Utility/Consumer VehicleDepreciation Cost / yr</v>
      </c>
      <c r="G56" s="29">
        <f>G55/$H$11</f>
        <v>12669.334676735109</v>
      </c>
      <c r="H56" s="541">
        <f>H55/4.71</f>
        <v>3771.3711029165274</v>
      </c>
      <c r="K56" s="2860" t="s">
        <v>2280</v>
      </c>
      <c r="L56" s="2860"/>
      <c r="M56" s="2860"/>
      <c r="N56" s="2860"/>
      <c r="O56" s="2860"/>
      <c r="P56" s="2860"/>
      <c r="Q56" s="2860"/>
      <c r="R56" s="2860"/>
      <c r="S56" s="2860"/>
      <c r="T56" s="2860"/>
      <c r="U56" s="181"/>
      <c r="V56" s="181"/>
    </row>
    <row r="57" spans="1:22">
      <c r="A57" s="10"/>
      <c r="B57" s="13" t="s">
        <v>407</v>
      </c>
      <c r="C57" s="2552" t="s">
        <v>44</v>
      </c>
      <c r="D57" s="2552"/>
      <c r="E57" s="2879"/>
      <c r="F57" s="549" t="str">
        <f t="shared" si="0"/>
        <v>Car/Sport Utility/Consumer VehicleInsurance cost /yr</v>
      </c>
      <c r="G57" s="28">
        <v>2323.9499999999998</v>
      </c>
      <c r="H57" s="542">
        <v>0</v>
      </c>
      <c r="K57" s="2860"/>
      <c r="L57" s="2860"/>
      <c r="M57" s="2860"/>
      <c r="N57" s="2860"/>
      <c r="O57" s="2860"/>
      <c r="P57" s="2860"/>
      <c r="Q57" s="2860"/>
      <c r="R57" s="2860"/>
      <c r="S57" s="2860"/>
      <c r="T57" s="2860"/>
      <c r="U57" s="181"/>
      <c r="V57" s="181"/>
    </row>
    <row r="58" spans="1:22">
      <c r="A58" s="10"/>
      <c r="B58" s="13" t="s">
        <v>407</v>
      </c>
      <c r="C58" s="2884" t="s">
        <v>42</v>
      </c>
      <c r="D58" s="2884"/>
      <c r="E58" s="2885"/>
      <c r="F58" s="549" t="str">
        <f t="shared" si="0"/>
        <v>Car/Sport Utility/Consumer VehicleMaintenance cost/km</v>
      </c>
      <c r="G58" s="28">
        <v>0.12</v>
      </c>
      <c r="H58" s="542">
        <f>0.87/7.6</f>
        <v>0.11447368421052632</v>
      </c>
      <c r="K58" s="2860" t="s">
        <v>2265</v>
      </c>
      <c r="L58" s="2860"/>
      <c r="M58" s="2860"/>
      <c r="N58" s="2860"/>
      <c r="O58" s="2860"/>
      <c r="P58" s="2860"/>
      <c r="Q58" s="2860"/>
      <c r="R58" s="2860"/>
      <c r="S58" s="2860"/>
      <c r="T58" s="2860"/>
      <c r="U58" s="181"/>
      <c r="V58" s="181"/>
    </row>
    <row r="59" spans="1:22">
      <c r="A59" s="10"/>
      <c r="B59" s="13" t="s">
        <v>407</v>
      </c>
      <c r="C59" s="2552" t="s">
        <v>41</v>
      </c>
      <c r="D59" s="2552"/>
      <c r="E59" s="2879"/>
      <c r="F59" s="549" t="str">
        <f t="shared" si="0"/>
        <v>Car/Sport Utility/Consumer VehicleFuel Efficiency (km/liter)</v>
      </c>
      <c r="G59" s="12">
        <v>6.9</v>
      </c>
      <c r="H59" s="543">
        <v>30</v>
      </c>
      <c r="K59" s="2860" t="s">
        <v>2278</v>
      </c>
      <c r="L59" s="2860"/>
      <c r="M59" s="2860"/>
      <c r="N59" s="2860"/>
      <c r="O59" s="2860"/>
      <c r="P59" s="2860"/>
      <c r="Q59" s="2860"/>
      <c r="R59" s="2860"/>
      <c r="S59" s="2860"/>
      <c r="T59" s="2860"/>
      <c r="U59" s="181"/>
      <c r="V59" s="181"/>
    </row>
    <row r="60" spans="1:22">
      <c r="A60" s="10"/>
      <c r="B60" s="657" t="s">
        <v>407</v>
      </c>
      <c r="C60" s="2882" t="s">
        <v>43</v>
      </c>
      <c r="D60" s="2882"/>
      <c r="E60" s="2883"/>
      <c r="F60" s="549" t="str">
        <f t="shared" si="0"/>
        <v>Car/Sport Utility/Consumer VehicleDelivery Capacity (m^3)</v>
      </c>
      <c r="G60" s="14">
        <v>2</v>
      </c>
      <c r="H60" s="544">
        <v>2</v>
      </c>
      <c r="K60" s="2860" t="s">
        <v>2270</v>
      </c>
      <c r="L60" s="2860"/>
      <c r="M60" s="2860"/>
      <c r="N60" s="2860"/>
      <c r="O60" s="2860"/>
      <c r="P60" s="2860"/>
      <c r="Q60" s="2860"/>
      <c r="R60" s="2860"/>
      <c r="S60" s="2860"/>
      <c r="T60" s="2860"/>
      <c r="U60" s="181"/>
      <c r="V60" s="181"/>
    </row>
    <row r="61" spans="1:22">
      <c r="A61" s="10"/>
      <c r="B61" s="13" t="s">
        <v>279</v>
      </c>
      <c r="C61" s="2877" t="s">
        <v>39</v>
      </c>
      <c r="D61" s="2877"/>
      <c r="E61" s="2878"/>
      <c r="F61" s="803" t="str">
        <f t="shared" si="0"/>
        <v>Commercial TruckPurchase Price</v>
      </c>
      <c r="G61" s="28">
        <v>70448.990000000005</v>
      </c>
      <c r="H61" s="540">
        <f>164138.3/7.6</f>
        <v>21597.144736842103</v>
      </c>
      <c r="K61" s="2860" t="s">
        <v>2281</v>
      </c>
      <c r="L61" s="2860"/>
      <c r="M61" s="2860"/>
      <c r="N61" s="2860"/>
      <c r="O61" s="2860"/>
      <c r="P61" s="2860"/>
      <c r="Q61" s="2860"/>
      <c r="R61" s="2860"/>
      <c r="S61" s="2860"/>
      <c r="T61" s="2860"/>
      <c r="U61" s="104"/>
      <c r="V61" s="104"/>
    </row>
    <row r="62" spans="1:22">
      <c r="A62" s="10"/>
      <c r="B62" s="13" t="s">
        <v>279</v>
      </c>
      <c r="C62" s="2552" t="s">
        <v>40</v>
      </c>
      <c r="D62" s="2552"/>
      <c r="E62" s="2879"/>
      <c r="F62" s="803" t="str">
        <f t="shared" si="0"/>
        <v>Commercial TruckDepreciation Cost / yr</v>
      </c>
      <c r="G62" s="29">
        <f>G61/$H$11</f>
        <v>14646.359667359669</v>
      </c>
      <c r="H62" s="541">
        <f>H61/5</f>
        <v>4319.4289473684203</v>
      </c>
      <c r="K62" s="2860"/>
      <c r="L62" s="2860"/>
      <c r="M62" s="2860"/>
      <c r="N62" s="2860"/>
      <c r="O62" s="2860"/>
      <c r="P62" s="2860"/>
      <c r="Q62" s="2860"/>
      <c r="R62" s="2860"/>
      <c r="S62" s="2860"/>
      <c r="T62" s="2860"/>
    </row>
    <row r="63" spans="1:22">
      <c r="A63" s="10"/>
      <c r="B63" s="13" t="s">
        <v>279</v>
      </c>
      <c r="C63" s="2552" t="s">
        <v>44</v>
      </c>
      <c r="D63" s="2552"/>
      <c r="E63" s="2879"/>
      <c r="F63" s="803" t="str">
        <f t="shared" si="0"/>
        <v>Commercial TruckInsurance cost /yr</v>
      </c>
      <c r="G63" s="28">
        <v>2575.86</v>
      </c>
      <c r="H63" s="542">
        <v>0</v>
      </c>
      <c r="K63" s="2860"/>
      <c r="L63" s="2860"/>
      <c r="M63" s="2860"/>
      <c r="N63" s="2860"/>
      <c r="O63" s="2860"/>
      <c r="P63" s="2860"/>
      <c r="Q63" s="2860"/>
      <c r="R63" s="2860"/>
      <c r="S63" s="2860"/>
      <c r="T63" s="2860"/>
    </row>
    <row r="64" spans="1:22">
      <c r="A64" s="10"/>
      <c r="B64" s="13" t="s">
        <v>279</v>
      </c>
      <c r="C64" s="2552" t="s">
        <v>42</v>
      </c>
      <c r="D64" s="2552"/>
      <c r="E64" s="2879"/>
      <c r="F64" s="803" t="str">
        <f t="shared" si="0"/>
        <v>Commercial TruckMaintenance cost/km</v>
      </c>
      <c r="G64" s="28">
        <v>0.38</v>
      </c>
      <c r="H64" s="542">
        <f>0.87/7.6</f>
        <v>0.11447368421052632</v>
      </c>
      <c r="K64" s="2860" t="s">
        <v>2265</v>
      </c>
      <c r="L64" s="2860"/>
      <c r="M64" s="2860"/>
      <c r="N64" s="2860"/>
      <c r="O64" s="2860"/>
      <c r="P64" s="2860"/>
      <c r="Q64" s="2860"/>
      <c r="R64" s="2860"/>
      <c r="S64" s="2860"/>
      <c r="T64" s="2860"/>
    </row>
    <row r="65" spans="1:23">
      <c r="A65" s="10"/>
      <c r="B65" s="13" t="s">
        <v>279</v>
      </c>
      <c r="C65" s="2552" t="s">
        <v>41</v>
      </c>
      <c r="D65" s="2552"/>
      <c r="E65" s="2879"/>
      <c r="F65" s="803" t="str">
        <f t="shared" si="0"/>
        <v>Commercial TruckFuel Efficiency (km/liter)</v>
      </c>
      <c r="G65" s="12">
        <v>3.86</v>
      </c>
      <c r="H65" s="543">
        <v>30</v>
      </c>
      <c r="K65" s="2860" t="s">
        <v>2278</v>
      </c>
      <c r="L65" s="2860"/>
      <c r="M65" s="2860"/>
      <c r="N65" s="2860"/>
      <c r="O65" s="2860"/>
      <c r="P65" s="2860"/>
      <c r="Q65" s="2860"/>
      <c r="R65" s="2860"/>
      <c r="S65" s="2860"/>
      <c r="T65" s="2860"/>
    </row>
    <row r="66" spans="1:23">
      <c r="A66" s="10"/>
      <c r="B66" s="657" t="s">
        <v>279</v>
      </c>
      <c r="C66" s="2882" t="s">
        <v>43</v>
      </c>
      <c r="D66" s="2882"/>
      <c r="E66" s="2883"/>
      <c r="F66" s="803" t="str">
        <f t="shared" si="0"/>
        <v>Commercial TruckDelivery Capacity (m^3)</v>
      </c>
      <c r="G66" s="14">
        <v>12</v>
      </c>
      <c r="H66" s="544">
        <v>12</v>
      </c>
      <c r="K66" s="2860" t="s">
        <v>2279</v>
      </c>
      <c r="L66" s="2860"/>
      <c r="M66" s="2860"/>
      <c r="N66" s="2860"/>
      <c r="O66" s="2860"/>
      <c r="P66" s="2860"/>
      <c r="Q66" s="2860"/>
      <c r="R66" s="2860"/>
      <c r="S66" s="2860"/>
      <c r="T66" s="2860"/>
    </row>
    <row r="67" spans="1:23">
      <c r="A67" s="10"/>
      <c r="B67" s="13" t="s">
        <v>408</v>
      </c>
      <c r="C67" s="2877" t="s">
        <v>39</v>
      </c>
      <c r="D67" s="2877"/>
      <c r="E67" s="2878"/>
      <c r="F67" s="549"/>
      <c r="H67" s="540"/>
      <c r="K67" s="2860"/>
      <c r="L67" s="2860"/>
      <c r="M67" s="2860"/>
      <c r="N67" s="2860"/>
      <c r="O67" s="2860"/>
      <c r="P67" s="2860"/>
      <c r="Q67" s="2860"/>
      <c r="R67" s="2860"/>
      <c r="S67" s="2860"/>
      <c r="T67" s="2860"/>
      <c r="W67" s="37"/>
    </row>
    <row r="68" spans="1:23">
      <c r="A68" s="10"/>
      <c r="B68" s="13" t="s">
        <v>408</v>
      </c>
      <c r="C68" s="2552" t="s">
        <v>40</v>
      </c>
      <c r="D68" s="2552"/>
      <c r="E68" s="2879"/>
      <c r="F68" s="549"/>
      <c r="H68" s="541"/>
      <c r="K68" s="2860"/>
      <c r="L68" s="2860"/>
      <c r="M68" s="2860"/>
      <c r="N68" s="2860"/>
      <c r="O68" s="2860"/>
      <c r="P68" s="2860"/>
      <c r="Q68" s="2860"/>
      <c r="R68" s="2860"/>
      <c r="S68" s="2860"/>
      <c r="T68" s="2860"/>
    </row>
    <row r="69" spans="1:23">
      <c r="A69" s="10"/>
      <c r="B69" s="13" t="s">
        <v>408</v>
      </c>
      <c r="C69" s="2552" t="s">
        <v>44</v>
      </c>
      <c r="D69" s="2552"/>
      <c r="E69" s="2879"/>
      <c r="F69" s="549"/>
      <c r="H69" s="542"/>
      <c r="K69" s="2860"/>
      <c r="L69" s="2860"/>
      <c r="M69" s="2860"/>
      <c r="N69" s="2860"/>
      <c r="O69" s="2860"/>
      <c r="P69" s="2860"/>
      <c r="Q69" s="2860"/>
      <c r="R69" s="2860"/>
      <c r="S69" s="2860"/>
      <c r="T69" s="2860"/>
      <c r="U69" s="655"/>
      <c r="V69" s="655"/>
    </row>
    <row r="70" spans="1:23">
      <c r="A70" s="10"/>
      <c r="B70" s="13" t="s">
        <v>408</v>
      </c>
      <c r="C70" s="2552" t="s">
        <v>42</v>
      </c>
      <c r="D70" s="2552"/>
      <c r="E70" s="2879"/>
      <c r="F70" s="549"/>
      <c r="H70" s="542"/>
      <c r="K70" s="2860"/>
      <c r="L70" s="2860"/>
      <c r="M70" s="2860"/>
      <c r="N70" s="2860"/>
      <c r="O70" s="2860"/>
      <c r="P70" s="2860"/>
      <c r="Q70" s="2860"/>
      <c r="R70" s="2860"/>
      <c r="S70" s="2860"/>
      <c r="T70" s="2860"/>
      <c r="U70" s="37"/>
      <c r="V70" s="654"/>
    </row>
    <row r="71" spans="1:23" ht="15" customHeight="1">
      <c r="A71" s="10"/>
      <c r="B71" s="13" t="s">
        <v>408</v>
      </c>
      <c r="C71" s="2552" t="s">
        <v>41</v>
      </c>
      <c r="D71" s="2552"/>
      <c r="E71" s="2879"/>
      <c r="F71" s="549"/>
      <c r="H71" s="543"/>
      <c r="K71" s="2860"/>
      <c r="L71" s="2860"/>
      <c r="M71" s="2860"/>
      <c r="N71" s="2860"/>
      <c r="O71" s="2860"/>
      <c r="P71" s="2860"/>
      <c r="Q71" s="2860"/>
      <c r="R71" s="2860"/>
      <c r="S71" s="2860"/>
      <c r="T71" s="2860"/>
      <c r="U71" s="37"/>
      <c r="V71" s="654"/>
    </row>
    <row r="72" spans="1:23">
      <c r="A72" s="10"/>
      <c r="B72" s="657" t="s">
        <v>408</v>
      </c>
      <c r="C72" s="2882" t="s">
        <v>43</v>
      </c>
      <c r="D72" s="2882"/>
      <c r="E72" s="2883"/>
      <c r="F72" s="549"/>
      <c r="H72" s="544"/>
      <c r="K72" s="2860"/>
      <c r="L72" s="2860"/>
      <c r="M72" s="2860"/>
      <c r="N72" s="2860"/>
      <c r="O72" s="2860"/>
      <c r="P72" s="2860"/>
      <c r="Q72" s="2860"/>
      <c r="R72" s="2860"/>
      <c r="S72" s="2860"/>
      <c r="T72" s="2860"/>
      <c r="U72" s="37"/>
      <c r="V72" s="654"/>
    </row>
    <row r="73" spans="1:23">
      <c r="B73" s="13" t="s">
        <v>409</v>
      </c>
      <c r="C73" s="2877" t="s">
        <v>39</v>
      </c>
      <c r="D73" s="2877"/>
      <c r="E73" s="2878"/>
      <c r="F73" s="549"/>
      <c r="H73" s="540">
        <f>218224/7.6</f>
        <v>28713.684210526317</v>
      </c>
      <c r="K73" s="2860" t="s">
        <v>2282</v>
      </c>
      <c r="L73" s="2860"/>
      <c r="M73" s="2860"/>
      <c r="N73" s="2860"/>
      <c r="O73" s="2860"/>
      <c r="P73" s="2860"/>
      <c r="Q73" s="2860"/>
      <c r="R73" s="2860"/>
      <c r="S73" s="2860"/>
      <c r="T73" s="2860"/>
      <c r="U73" s="37"/>
      <c r="V73" s="654"/>
    </row>
    <row r="74" spans="1:23">
      <c r="A74" s="10"/>
      <c r="B74" s="13" t="s">
        <v>409</v>
      </c>
      <c r="C74" s="2552" t="s">
        <v>40</v>
      </c>
      <c r="D74" s="2552"/>
      <c r="E74" s="2879"/>
      <c r="F74" s="549"/>
      <c r="H74" s="541">
        <f>H73/5</f>
        <v>5742.7368421052633</v>
      </c>
      <c r="K74" s="2860"/>
      <c r="L74" s="2860"/>
      <c r="M74" s="2860"/>
      <c r="N74" s="2860"/>
      <c r="O74" s="2860"/>
      <c r="P74" s="2860"/>
      <c r="Q74" s="2860"/>
      <c r="R74" s="2860"/>
      <c r="S74" s="2860"/>
      <c r="T74" s="2860"/>
      <c r="U74" s="653"/>
      <c r="V74" s="652"/>
    </row>
    <row r="75" spans="1:23">
      <c r="A75" s="10"/>
      <c r="B75" s="13" t="s">
        <v>409</v>
      </c>
      <c r="C75" s="2552" t="s">
        <v>44</v>
      </c>
      <c r="D75" s="2552"/>
      <c r="E75" s="2879"/>
      <c r="F75" s="549"/>
      <c r="H75" s="542"/>
      <c r="K75" s="2860"/>
      <c r="L75" s="2860"/>
      <c r="M75" s="2860"/>
      <c r="N75" s="2860"/>
      <c r="O75" s="2860"/>
      <c r="P75" s="2860"/>
      <c r="Q75" s="2860"/>
      <c r="R75" s="2860"/>
      <c r="S75" s="2860"/>
      <c r="T75" s="2860"/>
    </row>
    <row r="76" spans="1:23" ht="14.25" customHeight="1">
      <c r="A76" s="10"/>
      <c r="B76" s="13" t="s">
        <v>409</v>
      </c>
      <c r="C76" s="2552" t="s">
        <v>42</v>
      </c>
      <c r="D76" s="2552"/>
      <c r="E76" s="2879"/>
      <c r="F76" s="549"/>
      <c r="H76" s="542">
        <f>0.87/7.6</f>
        <v>0.11447368421052632</v>
      </c>
      <c r="K76" s="2860" t="s">
        <v>2265</v>
      </c>
      <c r="L76" s="2860"/>
      <c r="M76" s="2860"/>
      <c r="N76" s="2860"/>
      <c r="O76" s="2860"/>
      <c r="P76" s="2860"/>
      <c r="Q76" s="2860"/>
      <c r="R76" s="2860"/>
      <c r="S76" s="2860"/>
      <c r="T76" s="2860"/>
    </row>
    <row r="77" spans="1:23" ht="15.75" customHeight="1">
      <c r="A77" s="10"/>
      <c r="B77" s="13" t="s">
        <v>409</v>
      </c>
      <c r="C77" s="2552" t="s">
        <v>41</v>
      </c>
      <c r="D77" s="2552"/>
      <c r="E77" s="2879"/>
      <c r="F77" s="549"/>
      <c r="H77" s="543">
        <v>30</v>
      </c>
      <c r="K77" s="2860" t="s">
        <v>2278</v>
      </c>
      <c r="L77" s="2860"/>
      <c r="M77" s="2860"/>
      <c r="N77" s="2860"/>
      <c r="O77" s="2860"/>
      <c r="P77" s="2860"/>
      <c r="Q77" s="2860"/>
      <c r="R77" s="2860"/>
      <c r="S77" s="2860"/>
      <c r="T77" s="2860"/>
    </row>
    <row r="78" spans="1:23">
      <c r="A78" s="10"/>
      <c r="B78" s="657" t="s">
        <v>409</v>
      </c>
      <c r="C78" s="2882" t="s">
        <v>43</v>
      </c>
      <c r="D78" s="2882"/>
      <c r="E78" s="2883"/>
      <c r="F78" s="549"/>
      <c r="H78" s="544">
        <v>2</v>
      </c>
      <c r="K78" s="2860" t="s">
        <v>2270</v>
      </c>
      <c r="L78" s="2860"/>
      <c r="M78" s="2860"/>
      <c r="N78" s="2860"/>
      <c r="O78" s="2860"/>
      <c r="P78" s="2860"/>
      <c r="Q78" s="2860"/>
      <c r="R78" s="2860"/>
      <c r="S78" s="2860"/>
      <c r="T78" s="2860"/>
    </row>
    <row r="79" spans="1:23" ht="30" customHeight="1">
      <c r="A79" s="10"/>
      <c r="B79" s="8"/>
      <c r="C79" s="8"/>
    </row>
    <row r="80" spans="1:23">
      <c r="A80" s="10"/>
      <c r="B80" s="8"/>
      <c r="C80" s="8"/>
    </row>
    <row r="81" spans="1:50" ht="27.65" customHeight="1">
      <c r="A81" s="2886" t="s">
        <v>607</v>
      </c>
      <c r="B81" s="2886"/>
      <c r="C81" s="2886"/>
      <c r="D81" s="2886"/>
      <c r="E81" s="2886"/>
      <c r="G81" t="s">
        <v>3</v>
      </c>
      <c r="H81" t="s">
        <v>692</v>
      </c>
      <c r="J81" t="s">
        <v>47</v>
      </c>
      <c r="K81" t="s">
        <v>695</v>
      </c>
      <c r="M81" t="s">
        <v>96</v>
      </c>
      <c r="N81" t="s">
        <v>694</v>
      </c>
      <c r="Q81" t="s">
        <v>693</v>
      </c>
    </row>
    <row r="82" spans="1:50" ht="15" customHeight="1">
      <c r="A82" s="10"/>
      <c r="B82" s="148"/>
      <c r="C82" s="148"/>
      <c r="D82" s="148"/>
      <c r="E82" s="148"/>
      <c r="G82" s="2887" t="s">
        <v>9</v>
      </c>
      <c r="H82" s="2888"/>
      <c r="I82" s="8"/>
      <c r="J82" s="2889" t="s">
        <v>6</v>
      </c>
      <c r="K82" s="2890"/>
      <c r="L82" s="8"/>
      <c r="M82" s="2889" t="s">
        <v>7</v>
      </c>
      <c r="N82" s="2890"/>
      <c r="O82" s="8"/>
      <c r="P82" s="786" t="s">
        <v>8</v>
      </c>
      <c r="Q82" s="786" t="s">
        <v>8</v>
      </c>
      <c r="R82" s="8"/>
      <c r="S82" s="8"/>
      <c r="T82" s="786" t="s">
        <v>411</v>
      </c>
      <c r="U82" s="8"/>
      <c r="V82" s="8"/>
      <c r="W82" s="718" t="s">
        <v>412</v>
      </c>
    </row>
    <row r="83" spans="1:50" ht="15" customHeight="1">
      <c r="B83" s="148"/>
      <c r="C83" s="148"/>
      <c r="D83" s="148"/>
      <c r="E83" s="148"/>
      <c r="G83" s="2867" t="s">
        <v>17</v>
      </c>
      <c r="H83" s="2894" t="s">
        <v>10</v>
      </c>
      <c r="I83" s="6"/>
      <c r="J83" s="2637" t="s">
        <v>17</v>
      </c>
      <c r="K83" s="2894" t="s">
        <v>10</v>
      </c>
      <c r="L83" s="6"/>
      <c r="M83" s="2637" t="s">
        <v>17</v>
      </c>
      <c r="N83" s="2894" t="s">
        <v>10</v>
      </c>
      <c r="P83" s="2867" t="s">
        <v>17</v>
      </c>
      <c r="Q83" s="2869" t="s">
        <v>10</v>
      </c>
      <c r="T83" s="2869" t="s">
        <v>10</v>
      </c>
      <c r="W83" s="2869" t="s">
        <v>10</v>
      </c>
      <c r="X83" s="2661"/>
      <c r="Y83" s="2661"/>
      <c r="Z83" s="2661"/>
      <c r="AA83" s="2661"/>
      <c r="AB83" s="2661"/>
      <c r="AC83" s="2661"/>
      <c r="AD83" s="2661"/>
      <c r="AE83" s="2661"/>
      <c r="AF83" s="2661"/>
      <c r="AG83" s="2866"/>
    </row>
    <row r="84" spans="1:50" ht="15" customHeight="1">
      <c r="B84" s="148"/>
      <c r="C84" s="148"/>
      <c r="D84" s="148"/>
      <c r="E84" s="148"/>
      <c r="G84" s="2891"/>
      <c r="H84" s="2895"/>
      <c r="I84" s="6"/>
      <c r="J84" s="2896"/>
      <c r="K84" s="2895"/>
      <c r="L84" s="6"/>
      <c r="M84" s="2896"/>
      <c r="N84" s="2895"/>
      <c r="P84" s="2891"/>
      <c r="Q84" s="2892"/>
      <c r="T84" s="2892"/>
      <c r="W84" s="2892"/>
      <c r="X84" s="2662"/>
      <c r="Y84" s="2662"/>
      <c r="Z84" s="2662"/>
      <c r="AA84" s="2662"/>
      <c r="AB84" s="2662"/>
      <c r="AC84" s="2662"/>
      <c r="AD84" s="2662"/>
      <c r="AE84" s="2662"/>
      <c r="AF84" s="2662"/>
      <c r="AG84" s="2610"/>
    </row>
    <row r="85" spans="1:50"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50" ht="20.2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X86" s="2893"/>
      <c r="Y86" s="2893"/>
      <c r="Z86" s="2893"/>
      <c r="AA86" s="2893"/>
      <c r="AB86" s="2893"/>
      <c r="AC86" s="2893"/>
      <c r="AD86" s="2893"/>
      <c r="AE86" s="2893"/>
      <c r="AF86" s="2893"/>
      <c r="AG86" s="2893"/>
    </row>
    <row r="87" spans="1:50" ht="18" customHeight="1">
      <c r="B87" s="44" t="s">
        <v>0</v>
      </c>
      <c r="C87" s="44"/>
      <c r="D87" s="44"/>
      <c r="E87" s="44"/>
      <c r="F87" s="236"/>
      <c r="G87" s="719" t="s">
        <v>31</v>
      </c>
      <c r="H87" s="482"/>
      <c r="I87" s="466"/>
      <c r="J87" s="501"/>
      <c r="K87" s="482"/>
      <c r="L87" s="466"/>
      <c r="M87" s="501"/>
      <c r="N87" s="482"/>
      <c r="O87" s="466"/>
      <c r="P87" s="501"/>
      <c r="Q87" s="482"/>
      <c r="R87" s="466"/>
      <c r="S87" s="466"/>
      <c r="T87" s="482"/>
      <c r="U87" s="466"/>
      <c r="V87" s="466"/>
      <c r="W87" s="1056"/>
      <c r="X87" s="2893"/>
      <c r="Y87" s="2893"/>
      <c r="Z87" s="2893"/>
      <c r="AA87" s="2893"/>
      <c r="AB87" s="2893"/>
      <c r="AC87" s="2893"/>
      <c r="AD87" s="2893"/>
      <c r="AE87" s="2893"/>
      <c r="AF87" s="2893"/>
      <c r="AG87" s="2893"/>
    </row>
    <row r="88" spans="1:50" ht="36.75" customHeight="1">
      <c r="A88" s="6"/>
      <c r="B88" s="723" t="s">
        <v>2264</v>
      </c>
      <c r="C88" s="180"/>
      <c r="D88" s="180"/>
      <c r="E88" s="180"/>
      <c r="F88" s="129"/>
      <c r="G88" s="1165"/>
      <c r="H88" s="766" t="s">
        <v>2283</v>
      </c>
      <c r="I88" s="1166"/>
      <c r="J88" s="1167"/>
      <c r="K88" s="766" t="s">
        <v>2284</v>
      </c>
      <c r="L88" s="741"/>
      <c r="M88" s="742"/>
      <c r="N88" s="766" t="s">
        <v>2285</v>
      </c>
      <c r="O88" s="741"/>
      <c r="P88" s="767"/>
      <c r="Q88" s="766"/>
      <c r="R88" s="720"/>
      <c r="S88" s="720"/>
      <c r="T88" s="766"/>
      <c r="U88" s="720"/>
      <c r="V88" s="720"/>
      <c r="W88" s="761"/>
      <c r="X88" s="2912" t="s">
        <v>5605</v>
      </c>
      <c r="Y88" s="2900"/>
      <c r="Z88" s="2900"/>
      <c r="AA88" s="2901"/>
      <c r="AB88" s="2901"/>
      <c r="AC88" s="2901"/>
      <c r="AD88" s="2901"/>
      <c r="AE88" s="2901"/>
      <c r="AF88" s="2901"/>
      <c r="AG88" s="2901"/>
      <c r="AH88" s="9"/>
    </row>
    <row r="89" spans="1:50">
      <c r="B89" s="52"/>
      <c r="C89" s="52"/>
      <c r="D89" s="52"/>
      <c r="E89" s="52"/>
      <c r="G89" s="717"/>
      <c r="H89" s="780"/>
      <c r="J89" s="780"/>
      <c r="K89" s="780"/>
      <c r="M89" s="780"/>
      <c r="N89" s="780"/>
      <c r="P89" s="780"/>
      <c r="Q89" s="780"/>
      <c r="T89" s="780"/>
      <c r="W89" s="780"/>
    </row>
    <row r="90" spans="1:50"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c r="AO90" s="81"/>
      <c r="AP90" s="81"/>
      <c r="AQ90" s="81"/>
      <c r="AR90" s="81"/>
      <c r="AT90" s="81"/>
      <c r="AU90" s="81"/>
      <c r="AV90" s="81"/>
      <c r="AW90" s="81"/>
      <c r="AX90" s="81"/>
    </row>
    <row r="91" spans="1:50" ht="18.649999999999999" hidden="1" customHeight="1">
      <c r="A91" s="1"/>
      <c r="B91" s="50"/>
      <c r="C91" s="50"/>
      <c r="D91" s="50"/>
      <c r="E91" s="50"/>
      <c r="G91" s="66"/>
      <c r="H91" s="787"/>
      <c r="I91" s="6"/>
      <c r="J91" s="111"/>
      <c r="K91" s="787"/>
      <c r="L91" s="6"/>
      <c r="M91" s="111"/>
      <c r="N91" s="787"/>
      <c r="P91" s="66"/>
      <c r="Q91" s="788"/>
      <c r="T91" s="788"/>
      <c r="W91" s="724"/>
      <c r="AO91" s="8"/>
      <c r="AP91" s="8"/>
      <c r="AQ91" s="8"/>
      <c r="AR91" s="8"/>
    </row>
    <row r="92" spans="1:50" ht="18.45">
      <c r="A92" s="6"/>
      <c r="B92" s="723" t="s">
        <v>16</v>
      </c>
      <c r="C92" s="180"/>
      <c r="D92" s="180"/>
      <c r="E92" s="180"/>
      <c r="F92" s="725"/>
      <c r="G92" s="65"/>
      <c r="H92" s="1313">
        <v>8686</v>
      </c>
      <c r="I92" s="1314"/>
      <c r="J92" s="1315"/>
      <c r="K92" s="1313">
        <v>8686</v>
      </c>
      <c r="N92" s="1313">
        <v>8686</v>
      </c>
      <c r="O92" s="710"/>
      <c r="P92" s="712"/>
      <c r="Q92" s="553"/>
      <c r="R92" s="713"/>
      <c r="S92" s="713"/>
      <c r="T92" s="553"/>
      <c r="U92" s="713"/>
      <c r="V92" s="713"/>
      <c r="W92" s="730"/>
      <c r="X92" s="2893"/>
      <c r="Y92" s="2893"/>
      <c r="Z92" s="2893"/>
      <c r="AA92" s="2893"/>
      <c r="AB92" s="2893"/>
      <c r="AC92" s="2893"/>
      <c r="AD92" s="2893"/>
      <c r="AE92" s="2893"/>
      <c r="AF92" s="2893"/>
      <c r="AG92" s="2893"/>
      <c r="AO92" s="8"/>
      <c r="AP92" s="8"/>
      <c r="AQ92" s="8"/>
      <c r="AR92" s="8"/>
    </row>
    <row r="93" spans="1:50" ht="18.45">
      <c r="A93" s="6"/>
      <c r="B93" s="726" t="s">
        <v>124</v>
      </c>
      <c r="C93" s="727"/>
      <c r="D93" s="727"/>
      <c r="E93" s="727"/>
      <c r="F93" s="728"/>
      <c r="G93" s="65"/>
      <c r="H93" s="554">
        <v>1</v>
      </c>
      <c r="I93" s="731"/>
      <c r="J93" s="732"/>
      <c r="K93" s="554">
        <v>1</v>
      </c>
      <c r="N93" s="554">
        <v>1</v>
      </c>
      <c r="O93" s="733"/>
      <c r="P93" s="734"/>
      <c r="Q93" s="554"/>
      <c r="R93" s="735"/>
      <c r="S93" s="735"/>
      <c r="T93" s="554"/>
      <c r="U93" s="735"/>
      <c r="V93" s="735"/>
      <c r="W93" s="736"/>
      <c r="X93" s="2893"/>
      <c r="Y93" s="2893"/>
      <c r="Z93" s="2893"/>
      <c r="AA93" s="2893"/>
      <c r="AB93" s="2893"/>
      <c r="AC93" s="2893"/>
      <c r="AD93" s="2893"/>
      <c r="AE93" s="2893"/>
      <c r="AF93" s="2893"/>
      <c r="AG93" s="2893"/>
      <c r="AH93" s="9"/>
      <c r="AO93" s="8"/>
      <c r="AP93" s="8"/>
      <c r="AQ93" s="8"/>
      <c r="AR93" s="1251"/>
    </row>
    <row r="94" spans="1:50" ht="18.45">
      <c r="A94" s="6"/>
      <c r="B94" s="726" t="s">
        <v>123</v>
      </c>
      <c r="C94" s="727"/>
      <c r="D94" s="727"/>
      <c r="E94" s="727"/>
      <c r="F94" s="728"/>
      <c r="G94" s="65"/>
      <c r="H94" s="737">
        <v>0</v>
      </c>
      <c r="I94" s="710"/>
      <c r="J94" s="711"/>
      <c r="K94" s="737">
        <v>0</v>
      </c>
      <c r="N94" s="737">
        <v>0</v>
      </c>
      <c r="O94" s="710"/>
      <c r="P94" s="712"/>
      <c r="Q94" s="737"/>
      <c r="R94" s="713"/>
      <c r="S94" s="713"/>
      <c r="T94" s="737"/>
      <c r="U94" s="713"/>
      <c r="V94" s="713"/>
      <c r="W94" s="738"/>
      <c r="X94" s="2893"/>
      <c r="Y94" s="2893"/>
      <c r="Z94" s="2893"/>
      <c r="AA94" s="2893"/>
      <c r="AB94" s="2893"/>
      <c r="AC94" s="2893"/>
      <c r="AD94" s="2893"/>
      <c r="AE94" s="2893"/>
      <c r="AF94" s="2893"/>
      <c r="AG94" s="2893"/>
      <c r="AH94" s="9"/>
      <c r="AO94" s="8"/>
      <c r="AP94" s="8"/>
      <c r="AQ94" s="8"/>
      <c r="AR94" s="8"/>
    </row>
    <row r="95" spans="1:50" ht="18.45">
      <c r="A95" s="6"/>
      <c r="B95" s="726" t="s">
        <v>56</v>
      </c>
      <c r="C95" s="727"/>
      <c r="D95" s="727"/>
      <c r="E95" s="727"/>
      <c r="F95" s="728"/>
      <c r="G95" s="65">
        <v>1</v>
      </c>
      <c r="H95" s="523">
        <v>1</v>
      </c>
      <c r="I95" s="708"/>
      <c r="J95" s="709"/>
      <c r="K95" s="523">
        <v>19</v>
      </c>
      <c r="N95" s="523">
        <v>271</v>
      </c>
      <c r="O95" s="710"/>
      <c r="P95" s="712"/>
      <c r="Q95" s="523"/>
      <c r="R95" s="713"/>
      <c r="S95" s="713"/>
      <c r="T95" s="523"/>
      <c r="U95" s="713"/>
      <c r="V95" s="713"/>
      <c r="W95" s="695"/>
      <c r="X95" s="2893"/>
      <c r="Y95" s="2893"/>
      <c r="Z95" s="2893"/>
      <c r="AA95" s="2893"/>
      <c r="AB95" s="2893"/>
      <c r="AC95" s="2893"/>
      <c r="AD95" s="2893"/>
      <c r="AE95" s="2893"/>
      <c r="AF95" s="2893"/>
      <c r="AG95" s="2893"/>
      <c r="AH95" s="9"/>
      <c r="AO95" s="8"/>
      <c r="AP95" s="8"/>
      <c r="AQ95" s="8"/>
      <c r="AR95" s="8"/>
      <c r="AT95" s="80"/>
    </row>
    <row r="96" spans="1:50" ht="21" customHeight="1">
      <c r="A96" s="6"/>
      <c r="B96" s="729" t="s">
        <v>18</v>
      </c>
      <c r="C96" s="727"/>
      <c r="D96" s="727"/>
      <c r="E96" s="727"/>
      <c r="F96" s="728"/>
      <c r="G96" s="65"/>
      <c r="H96" s="523">
        <v>12</v>
      </c>
      <c r="I96" s="710"/>
      <c r="J96" s="711"/>
      <c r="K96" s="1325">
        <v>12</v>
      </c>
      <c r="L96" s="713"/>
      <c r="M96" s="713"/>
      <c r="N96" s="523">
        <v>12</v>
      </c>
      <c r="O96" s="710"/>
      <c r="P96" s="712"/>
      <c r="Q96" s="523"/>
      <c r="R96" s="713"/>
      <c r="S96" s="713"/>
      <c r="T96" s="523"/>
      <c r="U96" s="713"/>
      <c r="V96" s="713"/>
      <c r="W96" s="695"/>
      <c r="X96" s="2893"/>
      <c r="Y96" s="2893"/>
      <c r="Z96" s="2893"/>
      <c r="AA96" s="2893"/>
      <c r="AB96" s="2893"/>
      <c r="AC96" s="2893"/>
      <c r="AD96" s="2893"/>
      <c r="AE96" s="2893"/>
      <c r="AF96" s="2893"/>
      <c r="AG96" s="2893"/>
      <c r="AO96" s="8"/>
      <c r="AP96" s="8"/>
      <c r="AQ96" s="8"/>
      <c r="AR96" s="1251"/>
    </row>
    <row r="97" spans="1:47" ht="21" customHeight="1">
      <c r="A97" s="6"/>
      <c r="B97" s="44" t="s">
        <v>602</v>
      </c>
      <c r="C97" s="727"/>
      <c r="D97" s="727"/>
      <c r="E97" s="727"/>
      <c r="F97" s="728"/>
      <c r="G97" s="65"/>
      <c r="H97" s="523">
        <v>1.3</v>
      </c>
      <c r="I97" s="710"/>
      <c r="J97" s="711"/>
      <c r="K97" s="523">
        <v>1.3</v>
      </c>
      <c r="L97" s="710"/>
      <c r="M97" s="711"/>
      <c r="N97" s="523">
        <v>1.3</v>
      </c>
      <c r="O97" s="710"/>
      <c r="P97" s="712"/>
      <c r="Q97" s="523"/>
      <c r="R97" s="739"/>
      <c r="S97" s="739"/>
      <c r="T97" s="523"/>
      <c r="U97" s="739"/>
      <c r="V97" s="739"/>
      <c r="W97" s="695"/>
      <c r="X97" s="2893"/>
      <c r="Y97" s="2893"/>
      <c r="Z97" s="2893"/>
      <c r="AA97" s="2893"/>
      <c r="AB97" s="2893"/>
      <c r="AC97" s="2893"/>
      <c r="AD97" s="2893"/>
      <c r="AE97" s="2893"/>
      <c r="AF97" s="2893"/>
      <c r="AG97" s="2893"/>
      <c r="AO97" s="8"/>
      <c r="AP97" s="8"/>
      <c r="AQ97" s="8"/>
      <c r="AR97" s="8"/>
    </row>
    <row r="98" spans="1:47" s="6" customFormat="1">
      <c r="B98" s="729" t="s">
        <v>45</v>
      </c>
      <c r="C98" s="694"/>
      <c r="D98" s="694"/>
      <c r="E98" s="694"/>
      <c r="F98" s="728"/>
      <c r="G98" s="65"/>
      <c r="H98" s="523"/>
      <c r="I98" s="710"/>
      <c r="J98" s="740"/>
      <c r="K98" s="1327"/>
      <c r="L98" s="710"/>
      <c r="M98" s="710"/>
      <c r="N98" s="523"/>
      <c r="O98" s="710"/>
      <c r="P98" s="711"/>
      <c r="Q98" s="523"/>
      <c r="R98" s="710"/>
      <c r="S98" s="710"/>
      <c r="T98" s="523"/>
      <c r="U98" s="710"/>
      <c r="V98" s="710"/>
      <c r="W98" s="695"/>
      <c r="X98" s="2893"/>
      <c r="Y98" s="2893"/>
      <c r="Z98" s="2893"/>
      <c r="AA98" s="2893"/>
      <c r="AB98" s="2893"/>
      <c r="AC98" s="2893"/>
      <c r="AD98" s="2893"/>
      <c r="AE98" s="2893"/>
      <c r="AF98" s="2893"/>
      <c r="AG98" s="2893"/>
      <c r="AO98" s="121"/>
      <c r="AP98" s="121"/>
      <c r="AQ98" s="121"/>
      <c r="AR98" s="121"/>
      <c r="AT98"/>
      <c r="AU98"/>
    </row>
    <row r="99" spans="1:47" s="6" customFormat="1">
      <c r="B99" s="584" t="s">
        <v>46</v>
      </c>
      <c r="C99" s="584"/>
      <c r="D99" s="584"/>
      <c r="E99" s="584"/>
      <c r="F99" s="728"/>
      <c r="G99" s="63"/>
      <c r="H99" s="1887"/>
      <c r="I99" s="741"/>
      <c r="J99" s="743"/>
      <c r="K99" s="1887"/>
      <c r="L99" s="710"/>
      <c r="M99" s="710"/>
      <c r="N99" s="1887"/>
      <c r="O99" s="741"/>
      <c r="P99" s="557"/>
      <c r="Q99" s="525"/>
      <c r="R99" s="741"/>
      <c r="S99" s="741"/>
      <c r="T99" s="525"/>
      <c r="U99" s="741"/>
      <c r="V99" s="741"/>
      <c r="W99" s="702"/>
      <c r="X99" s="2893"/>
      <c r="Y99" s="2893"/>
      <c r="Z99" s="2893"/>
      <c r="AA99" s="2893"/>
      <c r="AB99" s="2893"/>
      <c r="AC99" s="2893"/>
      <c r="AD99" s="2893"/>
      <c r="AE99" s="2893"/>
      <c r="AF99" s="2893"/>
      <c r="AG99" s="2893"/>
      <c r="AO99" s="121"/>
      <c r="AP99" s="121"/>
      <c r="AQ99" s="1333"/>
      <c r="AR99" s="1333"/>
      <c r="AS99" s="1316"/>
      <c r="AU99"/>
    </row>
    <row r="100" spans="1:47">
      <c r="A100" s="6"/>
      <c r="B100" s="6"/>
      <c r="C100" s="6"/>
      <c r="D100" s="6"/>
      <c r="E100" s="6"/>
      <c r="F100" s="6"/>
      <c r="G100" s="6"/>
      <c r="H100" s="121"/>
      <c r="I100" s="6"/>
      <c r="J100" s="666"/>
      <c r="K100" s="128"/>
      <c r="N100" s="121"/>
      <c r="O100" s="6"/>
      <c r="P100" s="6"/>
      <c r="Q100" s="121"/>
      <c r="T100" s="121"/>
      <c r="W100" s="121"/>
      <c r="AT100" s="6"/>
      <c r="AU100" s="6"/>
    </row>
    <row r="101" spans="1:47" ht="16.75">
      <c r="A101" s="591" t="s">
        <v>614</v>
      </c>
      <c r="B101" s="596"/>
      <c r="C101" s="596"/>
      <c r="D101" s="596"/>
      <c r="E101" s="596"/>
      <c r="F101" s="597"/>
      <c r="G101" s="594"/>
      <c r="H101" s="596"/>
      <c r="I101" s="597"/>
      <c r="J101" s="594"/>
      <c r="K101" s="597"/>
      <c r="N101" s="682"/>
      <c r="O101" s="594"/>
      <c r="P101" s="594"/>
      <c r="Q101" s="682"/>
      <c r="T101" s="682"/>
      <c r="U101" s="594"/>
      <c r="V101" s="594"/>
      <c r="W101" s="682"/>
      <c r="X101" s="594"/>
      <c r="Y101" s="594"/>
      <c r="Z101" s="594"/>
      <c r="AA101" s="594"/>
      <c r="AB101" s="594"/>
      <c r="AC101" s="594"/>
      <c r="AD101" s="594"/>
      <c r="AE101" s="594"/>
      <c r="AF101" s="594"/>
      <c r="AG101" s="594"/>
      <c r="AU101" s="6"/>
    </row>
    <row r="102" spans="1:47" ht="14.9" hidden="1" customHeight="1">
      <c r="A102" s="1"/>
      <c r="B102" s="1"/>
      <c r="G102" s="53"/>
      <c r="H102" s="118"/>
      <c r="I102" s="6"/>
      <c r="J102" s="63"/>
      <c r="K102" s="118"/>
      <c r="N102" s="58"/>
      <c r="P102" s="53"/>
      <c r="Q102" s="58"/>
      <c r="T102" s="58"/>
      <c r="W102" s="58"/>
      <c r="AU102" s="6"/>
    </row>
    <row r="103" spans="1:47" ht="18.649999999999999" hidden="1" customHeight="1">
      <c r="A103" s="2897" t="s">
        <v>341</v>
      </c>
      <c r="B103" s="1398"/>
      <c r="C103" s="1399"/>
      <c r="D103" s="1399"/>
      <c r="E103" s="1399"/>
      <c r="F103" s="1400"/>
      <c r="G103" s="1401"/>
      <c r="H103" s="1389"/>
      <c r="I103" s="1402"/>
      <c r="J103" s="1401"/>
      <c r="K103" s="1389"/>
      <c r="L103" s="1389"/>
      <c r="M103" s="1389"/>
      <c r="N103" s="1389"/>
      <c r="O103" s="1402"/>
      <c r="P103" s="1403"/>
      <c r="Q103" s="1389"/>
      <c r="R103" s="1404"/>
      <c r="S103" s="1404"/>
      <c r="T103" s="1389"/>
      <c r="U103" s="1404"/>
      <c r="V103" s="1404"/>
      <c r="W103" s="1405"/>
      <c r="X103" s="2899"/>
      <c r="Y103" s="2899"/>
      <c r="Z103" s="2899"/>
      <c r="AA103" s="2899"/>
      <c r="AB103" s="2899"/>
      <c r="AC103" s="2899"/>
      <c r="AD103" s="2899"/>
      <c r="AE103" s="2899"/>
      <c r="AF103" s="2899"/>
      <c r="AG103" s="2899"/>
      <c r="AU103" s="6"/>
    </row>
    <row r="104" spans="1:47" ht="37.5" customHeight="1">
      <c r="A104" s="2898"/>
      <c r="B104" s="726" t="s">
        <v>2373</v>
      </c>
      <c r="C104" s="727"/>
      <c r="D104" s="727"/>
      <c r="E104" s="727"/>
      <c r="F104" s="728"/>
      <c r="G104" s="65">
        <v>6</v>
      </c>
      <c r="H104" s="562">
        <v>1</v>
      </c>
      <c r="I104" s="748"/>
      <c r="J104" s="711"/>
      <c r="K104" s="562">
        <v>1</v>
      </c>
      <c r="L104" s="562">
        <v>2</v>
      </c>
      <c r="M104" s="562">
        <v>2</v>
      </c>
      <c r="N104" s="562">
        <v>1</v>
      </c>
      <c r="O104" s="748"/>
      <c r="P104" s="712"/>
      <c r="Q104" s="562"/>
      <c r="R104" s="762"/>
      <c r="S104" s="762"/>
      <c r="T104" s="562"/>
      <c r="U104" s="762"/>
      <c r="V104" s="762"/>
      <c r="W104" s="747"/>
      <c r="X104" s="2893"/>
      <c r="Y104" s="2893"/>
      <c r="Z104" s="2893"/>
      <c r="AA104" s="2893"/>
      <c r="AB104" s="2893"/>
      <c r="AC104" s="2893"/>
      <c r="AD104" s="2893"/>
      <c r="AE104" s="2893"/>
      <c r="AF104" s="2893"/>
      <c r="AG104" s="2893"/>
      <c r="AU104" s="6"/>
    </row>
    <row r="105" spans="1:47" ht="43.75">
      <c r="A105" s="2902" t="s">
        <v>185</v>
      </c>
      <c r="B105" s="726" t="s">
        <v>231</v>
      </c>
      <c r="C105" s="727"/>
      <c r="D105" s="727"/>
      <c r="E105" s="727"/>
      <c r="F105" s="728"/>
      <c r="G105" s="114">
        <v>19.246910452309116</v>
      </c>
      <c r="H105" s="563" t="s">
        <v>401</v>
      </c>
      <c r="I105" s="750"/>
      <c r="J105" s="751"/>
      <c r="K105" s="563" t="s">
        <v>402</v>
      </c>
      <c r="N105" s="563" t="s">
        <v>20</v>
      </c>
      <c r="O105" s="748"/>
      <c r="P105" s="711"/>
      <c r="Q105" s="563"/>
      <c r="R105" s="762"/>
      <c r="S105" s="762"/>
      <c r="T105" s="563"/>
      <c r="U105" s="762"/>
      <c r="V105" s="762"/>
      <c r="W105" s="752"/>
      <c r="X105" s="2893"/>
      <c r="Y105" s="2893"/>
      <c r="Z105" s="2893"/>
      <c r="AA105" s="2893"/>
      <c r="AB105" s="2893"/>
      <c r="AC105" s="2893"/>
      <c r="AD105" s="2893"/>
      <c r="AE105" s="2893"/>
      <c r="AF105" s="2893"/>
      <c r="AG105" s="2893"/>
      <c r="AU105" s="6"/>
    </row>
    <row r="106" spans="1:47" ht="18.45">
      <c r="A106" s="2897"/>
      <c r="B106" s="726" t="s">
        <v>2247</v>
      </c>
      <c r="C106" s="727"/>
      <c r="D106" s="727"/>
      <c r="E106" s="727"/>
      <c r="F106" s="728"/>
      <c r="H106" s="1074">
        <v>1.0549999999999999</v>
      </c>
      <c r="I106" s="763"/>
      <c r="J106" s="763"/>
      <c r="K106" s="1074">
        <v>0.49299999999999999</v>
      </c>
      <c r="N106" s="564">
        <v>0.127</v>
      </c>
      <c r="O106" s="763"/>
      <c r="P106" s="763"/>
      <c r="Q106" s="564"/>
      <c r="R106" s="762"/>
      <c r="S106" s="762"/>
      <c r="T106" s="564"/>
      <c r="U106" s="762"/>
      <c r="V106" s="762"/>
      <c r="W106" s="753"/>
      <c r="X106" s="2893" t="s">
        <v>2248</v>
      </c>
      <c r="Y106" s="2893"/>
      <c r="Z106" s="2893"/>
      <c r="AA106" s="2893"/>
      <c r="AB106" s="2893"/>
      <c r="AC106" s="2893"/>
      <c r="AD106" s="2893"/>
      <c r="AE106" s="2893"/>
      <c r="AF106" s="2893"/>
      <c r="AG106" s="2893"/>
      <c r="AH106" s="9"/>
      <c r="AU106" s="6"/>
    </row>
    <row r="107" spans="1:47" s="6" customFormat="1" ht="31.5" customHeight="1">
      <c r="A107" s="2898"/>
      <c r="B107" s="2255" t="s">
        <v>340</v>
      </c>
      <c r="C107" s="2255"/>
      <c r="D107" s="2255"/>
      <c r="E107" s="2255"/>
      <c r="F107" s="728"/>
      <c r="G107" s="63"/>
      <c r="H107" s="571">
        <v>0.75</v>
      </c>
      <c r="I107" s="754"/>
      <c r="J107" s="755"/>
      <c r="K107" s="571">
        <v>0.75</v>
      </c>
      <c r="L107" s="571">
        <v>0.5</v>
      </c>
      <c r="M107" s="571">
        <v>0.5</v>
      </c>
      <c r="N107" s="571">
        <v>0.75</v>
      </c>
      <c r="O107" s="748"/>
      <c r="P107" s="711"/>
      <c r="Q107" s="565"/>
      <c r="R107" s="748"/>
      <c r="S107" s="748"/>
      <c r="T107" s="565"/>
      <c r="U107" s="748"/>
      <c r="V107" s="748"/>
      <c r="W107" s="756"/>
      <c r="X107" s="2893"/>
      <c r="Y107" s="2893"/>
      <c r="Z107" s="2893"/>
      <c r="AA107" s="2893"/>
      <c r="AB107" s="2893"/>
      <c r="AC107" s="2893"/>
      <c r="AD107" s="2893"/>
      <c r="AE107" s="2893"/>
      <c r="AF107" s="2893"/>
      <c r="AG107" s="2893"/>
      <c r="AT107"/>
    </row>
    <row r="108" spans="1:47" s="62" customFormat="1" ht="15" customHeight="1">
      <c r="A108" s="2902" t="s">
        <v>394</v>
      </c>
      <c r="B108" s="726" t="s">
        <v>375</v>
      </c>
      <c r="C108" s="727"/>
      <c r="D108" s="727"/>
      <c r="E108" s="727"/>
      <c r="F108" s="728"/>
      <c r="G108" s="115">
        <v>488.75</v>
      </c>
      <c r="H108" s="566">
        <v>92.6</v>
      </c>
      <c r="I108" s="748"/>
      <c r="J108" s="711"/>
      <c r="K108" s="566">
        <v>15.4</v>
      </c>
      <c r="N108" s="566">
        <v>2.5</v>
      </c>
      <c r="O108" s="748"/>
      <c r="P108" s="711"/>
      <c r="Q108" s="566"/>
      <c r="R108" s="762"/>
      <c r="S108" s="762"/>
      <c r="T108" s="566"/>
      <c r="U108" s="762"/>
      <c r="V108" s="762"/>
      <c r="W108" s="757"/>
      <c r="X108" s="2893"/>
      <c r="Y108" s="2893"/>
      <c r="Z108" s="2893"/>
      <c r="AA108" s="2893"/>
      <c r="AB108" s="2893"/>
      <c r="AC108" s="2893"/>
      <c r="AD108" s="2893"/>
      <c r="AE108" s="2893"/>
      <c r="AF108" s="2893"/>
      <c r="AG108" s="2893"/>
      <c r="AT108" s="6"/>
      <c r="AU108" s="6"/>
    </row>
    <row r="109" spans="1:47" ht="29.25" customHeight="1">
      <c r="A109" s="2897"/>
      <c r="B109" s="2255" t="s">
        <v>395</v>
      </c>
      <c r="C109" s="2255"/>
      <c r="D109" s="2255"/>
      <c r="E109" s="2255"/>
      <c r="F109" s="728"/>
      <c r="G109" s="113">
        <v>318.09533298035956</v>
      </c>
      <c r="H109" s="567">
        <v>0</v>
      </c>
      <c r="I109" s="762"/>
      <c r="J109" s="762"/>
      <c r="K109" s="567">
        <v>0</v>
      </c>
      <c r="N109" s="567">
        <v>0</v>
      </c>
      <c r="O109" s="762"/>
      <c r="P109" s="762"/>
      <c r="Q109" s="567"/>
      <c r="R109" s="762"/>
      <c r="S109" s="762"/>
      <c r="T109" s="567"/>
      <c r="U109" s="762"/>
      <c r="V109" s="762"/>
      <c r="W109" s="758"/>
      <c r="X109" s="2893"/>
      <c r="Y109" s="2893"/>
      <c r="Z109" s="2893"/>
      <c r="AA109" s="2893"/>
      <c r="AB109" s="2893"/>
      <c r="AC109" s="2893"/>
      <c r="AD109" s="2893"/>
      <c r="AE109" s="2893"/>
      <c r="AF109" s="2893"/>
      <c r="AG109" s="2893"/>
      <c r="AT109" s="62"/>
      <c r="AU109" s="6"/>
    </row>
    <row r="110" spans="1:47" ht="14.9" customHeight="1">
      <c r="A110" s="2897"/>
      <c r="B110" s="726" t="s">
        <v>396</v>
      </c>
      <c r="C110" s="727"/>
      <c r="D110" s="727"/>
      <c r="E110" s="727"/>
      <c r="F110" s="728"/>
      <c r="G110" s="117">
        <v>26.045977237650551</v>
      </c>
      <c r="H110" s="568">
        <f>369.56/7.6</f>
        <v>48.626315789473686</v>
      </c>
      <c r="I110" s="748"/>
      <c r="J110" s="764"/>
      <c r="K110" s="568">
        <f>240.92/7.6</f>
        <v>31.7</v>
      </c>
      <c r="N110" s="568">
        <f>878.53/7.6</f>
        <v>115.59605263157894</v>
      </c>
      <c r="O110" s="748"/>
      <c r="P110" s="711"/>
      <c r="Q110" s="568"/>
      <c r="R110" s="762"/>
      <c r="S110" s="762"/>
      <c r="T110" s="568"/>
      <c r="U110" s="762"/>
      <c r="V110" s="765"/>
      <c r="W110" s="542"/>
      <c r="X110" s="2893" t="s">
        <v>2271</v>
      </c>
      <c r="Y110" s="2893"/>
      <c r="Z110" s="2893"/>
      <c r="AA110" s="2893"/>
      <c r="AB110" s="2893"/>
      <c r="AC110" s="2893"/>
      <c r="AD110" s="2893"/>
      <c r="AE110" s="2893"/>
      <c r="AF110" s="2893"/>
      <c r="AG110" s="2893"/>
      <c r="AU110" s="6"/>
    </row>
    <row r="111" spans="1:47" s="62" customFormat="1" ht="15" customHeight="1">
      <c r="A111" s="2897"/>
      <c r="B111" s="726" t="s">
        <v>397</v>
      </c>
      <c r="C111" s="727"/>
      <c r="D111" s="727"/>
      <c r="E111" s="727"/>
      <c r="F111" s="728"/>
      <c r="G111" s="115"/>
      <c r="H111" s="568">
        <f>503.22/7.6</f>
        <v>66.213157894736852</v>
      </c>
      <c r="I111" s="748"/>
      <c r="J111" s="742"/>
      <c r="K111" s="568">
        <f>691.34/7.6</f>
        <v>90.965789473684225</v>
      </c>
      <c r="N111" s="568">
        <f>1408.42/7.6</f>
        <v>185.31842105263161</v>
      </c>
      <c r="O111" s="748"/>
      <c r="P111" s="742"/>
      <c r="Q111" s="568"/>
      <c r="R111" s="762"/>
      <c r="S111" s="762"/>
      <c r="T111" s="568"/>
      <c r="U111" s="762"/>
      <c r="V111" s="762"/>
      <c r="W111" s="542"/>
      <c r="X111" s="2893" t="s">
        <v>2289</v>
      </c>
      <c r="Y111" s="2893"/>
      <c r="Z111" s="2893"/>
      <c r="AA111" s="2893"/>
      <c r="AB111" s="2893"/>
      <c r="AC111" s="2893"/>
      <c r="AD111" s="2893"/>
      <c r="AE111" s="2893"/>
      <c r="AF111" s="2893"/>
      <c r="AG111" s="2893"/>
      <c r="AT111"/>
      <c r="AU111" s="6"/>
    </row>
    <row r="112" spans="1:47" ht="14.9" customHeight="1">
      <c r="A112" s="2898"/>
      <c r="B112" s="726" t="s">
        <v>398</v>
      </c>
      <c r="C112" s="727"/>
      <c r="D112" s="727"/>
      <c r="E112" s="727"/>
      <c r="F112" s="728"/>
      <c r="H112" s="569">
        <v>0</v>
      </c>
      <c r="I112" s="763"/>
      <c r="J112" s="763"/>
      <c r="K112" s="569">
        <v>0</v>
      </c>
      <c r="N112" s="569">
        <v>0</v>
      </c>
      <c r="O112" s="762"/>
      <c r="P112" s="762"/>
      <c r="Q112" s="569"/>
      <c r="R112" s="762"/>
      <c r="S112" s="762"/>
      <c r="T112" s="569"/>
      <c r="U112" s="762"/>
      <c r="V112" s="762"/>
      <c r="W112" s="759"/>
      <c r="X112" s="2893"/>
      <c r="Y112" s="2893"/>
      <c r="Z112" s="2893"/>
      <c r="AA112" s="2893"/>
      <c r="AB112" s="2893"/>
      <c r="AC112" s="2893"/>
      <c r="AD112" s="2893"/>
      <c r="AE112" s="2893"/>
      <c r="AF112" s="2893"/>
      <c r="AG112" s="2893"/>
      <c r="AT112" s="80"/>
      <c r="AU112" s="62"/>
    </row>
    <row r="113" spans="1:47" ht="15" customHeight="1">
      <c r="A113" s="2671" t="s">
        <v>380</v>
      </c>
      <c r="B113" s="2250" t="s">
        <v>825</v>
      </c>
      <c r="C113" s="2250"/>
      <c r="D113" s="2250"/>
      <c r="E113" s="2250"/>
      <c r="F113" s="728"/>
      <c r="H113" s="563"/>
      <c r="I113" s="763"/>
      <c r="J113" s="763"/>
      <c r="K113" s="563"/>
      <c r="N113" s="563"/>
      <c r="O113" s="762"/>
      <c r="P113" s="762"/>
      <c r="Q113" s="563"/>
      <c r="R113" s="762"/>
      <c r="S113" s="762"/>
      <c r="T113" s="563"/>
      <c r="U113" s="762"/>
      <c r="V113" s="762"/>
      <c r="W113" s="752"/>
      <c r="X113" s="2893"/>
      <c r="Y113" s="2893"/>
      <c r="Z113" s="2893"/>
      <c r="AA113" s="2893"/>
      <c r="AB113" s="2893"/>
      <c r="AC113" s="2893"/>
      <c r="AD113" s="2893"/>
      <c r="AE113" s="2893"/>
      <c r="AF113" s="2893"/>
      <c r="AG113" s="2893"/>
      <c r="AU113" s="62"/>
    </row>
    <row r="114" spans="1:47" ht="15" customHeight="1">
      <c r="A114" s="2672"/>
      <c r="B114" s="2250" t="s">
        <v>826</v>
      </c>
      <c r="C114" s="2250"/>
      <c r="D114" s="2250"/>
      <c r="E114" s="2250"/>
      <c r="F114" s="728"/>
      <c r="H114" s="564"/>
      <c r="I114" s="763"/>
      <c r="J114" s="763"/>
      <c r="K114" s="564"/>
      <c r="N114" s="564"/>
      <c r="O114" s="762"/>
      <c r="P114" s="762"/>
      <c r="Q114" s="564"/>
      <c r="R114" s="762"/>
      <c r="S114" s="762"/>
      <c r="T114" s="564"/>
      <c r="U114" s="762"/>
      <c r="V114" s="762"/>
      <c r="W114" s="753"/>
      <c r="X114" s="2893"/>
      <c r="Y114" s="2893"/>
      <c r="Z114" s="2893"/>
      <c r="AA114" s="2893"/>
      <c r="AB114" s="2893"/>
      <c r="AC114" s="2893"/>
      <c r="AD114" s="2893"/>
      <c r="AE114" s="2893"/>
      <c r="AF114" s="2893"/>
      <c r="AG114" s="2893"/>
      <c r="AU114" s="62"/>
    </row>
    <row r="115" spans="1:47" ht="26.25" customHeight="1">
      <c r="A115" s="2672"/>
      <c r="B115" s="2250" t="s">
        <v>827</v>
      </c>
      <c r="C115" s="2250"/>
      <c r="D115" s="2250"/>
      <c r="E115" s="2250"/>
      <c r="F115" s="728"/>
      <c r="H115" s="564"/>
      <c r="I115" s="763"/>
      <c r="J115" s="763"/>
      <c r="K115" s="564"/>
      <c r="N115" s="564"/>
      <c r="O115" s="762"/>
      <c r="P115" s="762"/>
      <c r="Q115" s="564"/>
      <c r="R115" s="762"/>
      <c r="S115" s="762"/>
      <c r="T115" s="564"/>
      <c r="U115" s="762"/>
      <c r="V115" s="762"/>
      <c r="W115" s="753"/>
      <c r="X115" s="2893"/>
      <c r="Y115" s="2893"/>
      <c r="Z115" s="2893"/>
      <c r="AA115" s="2893"/>
      <c r="AB115" s="2893"/>
      <c r="AC115" s="2893"/>
      <c r="AD115" s="2893"/>
      <c r="AE115" s="2893"/>
      <c r="AF115" s="2893"/>
      <c r="AG115" s="2893"/>
      <c r="AU115" s="62"/>
    </row>
    <row r="116" spans="1:47" ht="27" customHeight="1">
      <c r="A116" s="2672"/>
      <c r="B116" s="2250" t="s">
        <v>828</v>
      </c>
      <c r="C116" s="2250"/>
      <c r="D116" s="2250"/>
      <c r="E116" s="2250"/>
      <c r="F116" s="728"/>
      <c r="H116" s="564"/>
      <c r="I116" s="763"/>
      <c r="J116" s="763"/>
      <c r="K116" s="564"/>
      <c r="N116" s="564"/>
      <c r="O116" s="762"/>
      <c r="P116" s="762"/>
      <c r="Q116" s="564"/>
      <c r="R116" s="762"/>
      <c r="S116" s="762"/>
      <c r="T116" s="564"/>
      <c r="U116" s="762"/>
      <c r="V116" s="762"/>
      <c r="W116" s="753"/>
      <c r="X116" s="2893"/>
      <c r="Y116" s="2893"/>
      <c r="Z116" s="2893"/>
      <c r="AA116" s="2893"/>
      <c r="AB116" s="2893"/>
      <c r="AC116" s="2893"/>
      <c r="AD116" s="2893"/>
      <c r="AE116" s="2893"/>
      <c r="AF116" s="2893"/>
      <c r="AG116" s="2893"/>
      <c r="AU116" s="62"/>
    </row>
    <row r="117" spans="1:47" ht="35.25" customHeight="1">
      <c r="A117" s="2673"/>
      <c r="B117" s="2250" t="s">
        <v>829</v>
      </c>
      <c r="C117" s="2250"/>
      <c r="D117" s="2250"/>
      <c r="E117" s="2250"/>
      <c r="F117" s="728"/>
      <c r="H117" s="766"/>
      <c r="I117" s="760"/>
      <c r="J117" s="760"/>
      <c r="K117" s="766"/>
      <c r="N117" s="766"/>
      <c r="O117" s="760"/>
      <c r="P117" s="760"/>
      <c r="Q117" s="766"/>
      <c r="R117" s="760"/>
      <c r="S117" s="760"/>
      <c r="T117" s="766"/>
      <c r="U117" s="760"/>
      <c r="V117" s="760"/>
      <c r="W117" s="761"/>
      <c r="X117" s="2893"/>
      <c r="Y117" s="2893"/>
      <c r="Z117" s="2893"/>
      <c r="AA117" s="2893"/>
      <c r="AB117" s="2893"/>
      <c r="AC117" s="2893"/>
      <c r="AD117" s="2893"/>
      <c r="AE117" s="2893"/>
      <c r="AF117" s="2893"/>
      <c r="AG117" s="2893"/>
      <c r="AU117" s="62"/>
    </row>
    <row r="118" spans="1:47">
      <c r="A118" s="6"/>
      <c r="B118" s="6"/>
      <c r="C118" s="6"/>
      <c r="D118" s="6"/>
      <c r="E118" s="6"/>
      <c r="F118" s="6"/>
      <c r="G118" s="113"/>
      <c r="H118" s="116"/>
      <c r="I118" s="6"/>
      <c r="J118" s="63"/>
      <c r="K118" s="118"/>
      <c r="N118" s="60"/>
      <c r="O118" s="6"/>
      <c r="P118" s="63"/>
      <c r="Q118" s="60"/>
      <c r="S118" s="234"/>
      <c r="T118" s="65"/>
      <c r="V118" s="258"/>
      <c r="W118" s="65"/>
      <c r="X118" s="85"/>
      <c r="AU118" s="62"/>
    </row>
    <row r="119" spans="1:47" ht="16.75">
      <c r="A119" s="600" t="s">
        <v>603</v>
      </c>
      <c r="B119" s="596"/>
      <c r="C119" s="596"/>
      <c r="D119" s="596"/>
      <c r="E119" s="596"/>
      <c r="F119" s="597"/>
      <c r="G119" s="594"/>
      <c r="H119" s="596"/>
      <c r="I119" s="597"/>
      <c r="J119" s="594"/>
      <c r="K119" s="597"/>
      <c r="N119" s="682"/>
      <c r="O119" s="594"/>
      <c r="P119" s="594"/>
      <c r="Q119" s="682"/>
      <c r="S119" s="235"/>
      <c r="T119" s="683"/>
      <c r="U119" s="594"/>
      <c r="V119" s="684"/>
      <c r="W119" s="683"/>
      <c r="X119" s="715"/>
      <c r="Y119" s="594"/>
      <c r="Z119" s="594"/>
      <c r="AA119" s="594"/>
      <c r="AB119" s="594"/>
      <c r="AC119" s="594"/>
      <c r="AD119" s="594"/>
      <c r="AE119" s="594"/>
      <c r="AF119" s="594"/>
      <c r="AG119" s="594"/>
    </row>
    <row r="120" spans="1:47" ht="16.75">
      <c r="A120" s="600"/>
      <c r="B120" s="596"/>
      <c r="C120" s="596"/>
      <c r="D120" s="596"/>
      <c r="E120" s="596"/>
      <c r="F120" s="597"/>
      <c r="G120" s="594"/>
      <c r="H120" s="596"/>
      <c r="I120" s="597"/>
      <c r="J120" s="594"/>
      <c r="K120" s="597"/>
      <c r="N120" s="682"/>
      <c r="O120" s="594"/>
      <c r="P120" s="594"/>
      <c r="Q120" s="682"/>
      <c r="S120" s="235"/>
      <c r="T120" s="683"/>
      <c r="U120" s="594"/>
      <c r="V120" s="684"/>
      <c r="W120" s="683"/>
      <c r="X120" s="715"/>
      <c r="Y120" s="594"/>
      <c r="Z120" s="594"/>
      <c r="AA120" s="594"/>
      <c r="AB120" s="594"/>
      <c r="AC120" s="594"/>
      <c r="AD120" s="594"/>
      <c r="AE120" s="594"/>
      <c r="AF120" s="594"/>
      <c r="AG120" s="594"/>
    </row>
    <row r="121" spans="1:47" ht="37.4" customHeight="1">
      <c r="A121" s="1"/>
      <c r="B121" s="726" t="s">
        <v>5467</v>
      </c>
      <c r="C121" s="727"/>
      <c r="D121" s="727"/>
      <c r="E121" s="727"/>
      <c r="F121" s="728"/>
      <c r="G121" s="53"/>
      <c r="H121" s="575" t="s">
        <v>2249</v>
      </c>
      <c r="I121" s="710"/>
      <c r="J121" s="582"/>
      <c r="K121" s="575" t="s">
        <v>2249</v>
      </c>
      <c r="N121" s="575" t="s">
        <v>2249</v>
      </c>
      <c r="O121" s="713"/>
      <c r="P121" s="772"/>
      <c r="Q121" s="575"/>
      <c r="R121" s="713"/>
      <c r="S121" s="773"/>
      <c r="T121" s="575"/>
      <c r="U121" s="713"/>
      <c r="V121" s="774"/>
      <c r="W121" s="575"/>
      <c r="X121" s="2893"/>
      <c r="Y121" s="2893"/>
      <c r="Z121" s="2893"/>
      <c r="AA121" s="2893"/>
      <c r="AB121" s="2893"/>
      <c r="AC121" s="2893"/>
      <c r="AD121" s="2893"/>
      <c r="AE121" s="2893"/>
      <c r="AF121" s="2893"/>
      <c r="AG121" s="2893"/>
    </row>
    <row r="122" spans="1:47" ht="18.45">
      <c r="A122" s="6"/>
      <c r="B122" s="726" t="s">
        <v>5466</v>
      </c>
      <c r="C122" s="727"/>
      <c r="D122" s="727"/>
      <c r="E122" s="727"/>
      <c r="F122" s="728"/>
      <c r="G122" s="119">
        <v>35.047741961833388</v>
      </c>
      <c r="H122" s="576"/>
      <c r="I122" s="710"/>
      <c r="J122" s="764"/>
      <c r="K122" s="576"/>
      <c r="N122" s="576"/>
      <c r="O122" s="710"/>
      <c r="P122" s="582"/>
      <c r="Q122" s="576"/>
      <c r="R122" s="713"/>
      <c r="S122" s="773"/>
      <c r="T122" s="576"/>
      <c r="U122" s="713"/>
      <c r="V122" s="774"/>
      <c r="W122" s="576"/>
      <c r="X122" s="2893"/>
      <c r="Y122" s="2893"/>
      <c r="Z122" s="2893"/>
      <c r="AA122" s="2893"/>
      <c r="AB122" s="2893"/>
      <c r="AC122" s="2893"/>
      <c r="AD122" s="2893"/>
      <c r="AE122" s="2893"/>
      <c r="AF122" s="2893"/>
      <c r="AG122" s="2893"/>
    </row>
    <row r="123" spans="1:47" ht="17.25" customHeight="1">
      <c r="A123" s="6"/>
      <c r="B123" s="726" t="s">
        <v>82</v>
      </c>
      <c r="C123" s="727"/>
      <c r="D123" s="727"/>
      <c r="E123" s="727"/>
      <c r="F123" s="728"/>
      <c r="G123" s="120">
        <v>5.5705963849905903E-3</v>
      </c>
      <c r="H123" s="577">
        <v>6.8999999999999999E-3</v>
      </c>
      <c r="I123" s="710"/>
      <c r="J123" s="775"/>
      <c r="K123" s="577">
        <v>1.8519999999999998E-2</v>
      </c>
      <c r="N123" s="577">
        <v>8.7100000000000007E-3</v>
      </c>
      <c r="O123" s="710"/>
      <c r="P123" s="582"/>
      <c r="Q123" s="577"/>
      <c r="R123" s="713"/>
      <c r="S123" s="776"/>
      <c r="T123" s="577"/>
      <c r="U123" s="713"/>
      <c r="V123" s="777"/>
      <c r="W123" s="577"/>
      <c r="X123" s="2893" t="s">
        <v>2251</v>
      </c>
      <c r="Y123" s="2893"/>
      <c r="Z123" s="2893"/>
      <c r="AA123" s="2893"/>
      <c r="AB123" s="2893"/>
      <c r="AC123" s="2893"/>
      <c r="AD123" s="2893"/>
      <c r="AE123" s="2893"/>
      <c r="AF123" s="2893"/>
      <c r="AG123" s="2893"/>
    </row>
    <row r="124" spans="1:47"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row>
    <row r="125" spans="1:47"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row>
    <row r="126" spans="1:47"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row>
    <row r="127" spans="1:47"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row>
    <row r="128" spans="1:47">
      <c r="A128" s="6"/>
      <c r="B128" s="6"/>
      <c r="C128" s="6"/>
      <c r="D128" s="6"/>
      <c r="E128" s="6"/>
      <c r="F128" s="6"/>
      <c r="G128" s="6"/>
      <c r="H128" s="121"/>
      <c r="I128" s="6"/>
      <c r="J128" s="121"/>
      <c r="K128" s="121"/>
      <c r="L128" s="6"/>
      <c r="M128" s="666"/>
      <c r="N128" s="128"/>
      <c r="O128" s="6"/>
      <c r="P128" s="6"/>
      <c r="Q128" s="121"/>
      <c r="T128" s="121"/>
      <c r="W128" s="121"/>
    </row>
    <row r="129" spans="1:50" ht="32.9" customHeight="1">
      <c r="A129" s="2318" t="s">
        <v>606</v>
      </c>
      <c r="B129" s="2318"/>
      <c r="C129" s="2318"/>
      <c r="D129" s="496"/>
      <c r="E129" s="496"/>
      <c r="F129" s="497"/>
      <c r="G129" s="498"/>
      <c r="H129" s="121"/>
      <c r="I129" s="6"/>
      <c r="J129" s="121"/>
      <c r="K129" s="121"/>
      <c r="L129" s="6"/>
      <c r="M129" s="666"/>
      <c r="N129" s="128"/>
      <c r="O129" s="6"/>
      <c r="P129" s="6"/>
      <c r="Q129" s="121"/>
      <c r="T129" s="121"/>
      <c r="W129" s="121"/>
    </row>
    <row r="130" spans="1:50" ht="22" customHeight="1">
      <c r="A130" s="2905" t="s">
        <v>615</v>
      </c>
      <c r="B130" s="2905"/>
      <c r="C130" s="2905"/>
      <c r="D130" s="2905"/>
      <c r="E130" s="2905"/>
      <c r="F130" s="2905"/>
      <c r="G130" s="2905"/>
      <c r="H130" s="601"/>
      <c r="I130" s="602"/>
      <c r="J130" s="602"/>
      <c r="K130" s="601"/>
      <c r="L130" s="602"/>
      <c r="M130" s="602"/>
      <c r="N130" s="685"/>
      <c r="O130" s="594"/>
      <c r="P130" s="686"/>
      <c r="Q130" s="687"/>
      <c r="R130" s="594"/>
      <c r="S130" s="594"/>
      <c r="T130" s="594"/>
      <c r="U130" s="594"/>
      <c r="V130" s="594"/>
      <c r="W130" s="594"/>
      <c r="X130" s="2859"/>
      <c r="Y130" s="2859"/>
      <c r="Z130" s="2859"/>
      <c r="AA130" s="2859"/>
      <c r="AB130" s="2859"/>
      <c r="AC130" s="2859"/>
      <c r="AD130" s="2859"/>
      <c r="AE130" s="2859"/>
      <c r="AF130" s="2859"/>
      <c r="AG130" s="2859"/>
    </row>
    <row r="131" spans="1:50" ht="18.649999999999999" hidden="1" customHeight="1">
      <c r="A131" s="1"/>
      <c r="B131" s="502"/>
      <c r="C131" s="50"/>
      <c r="D131" s="50"/>
      <c r="E131" s="50"/>
      <c r="G131" s="13"/>
      <c r="H131" s="60"/>
      <c r="I131" s="6"/>
      <c r="J131" s="65"/>
      <c r="K131" s="60"/>
      <c r="L131" s="6"/>
      <c r="M131" s="65"/>
      <c r="N131" s="60"/>
      <c r="P131" s="66"/>
      <c r="Q131" s="788"/>
      <c r="T131" s="788"/>
      <c r="W131" s="788"/>
    </row>
    <row r="132" spans="1:50" ht="18.649999999999999" hidden="1" customHeight="1">
      <c r="A132" s="1"/>
      <c r="B132" s="502"/>
      <c r="C132" s="50"/>
      <c r="D132" s="50"/>
      <c r="E132" s="50"/>
      <c r="G132" s="13"/>
      <c r="H132" s="60"/>
      <c r="I132" s="6"/>
      <c r="J132" s="65"/>
      <c r="K132" s="60"/>
      <c r="L132" s="6"/>
      <c r="M132" s="65"/>
      <c r="N132" s="60"/>
      <c r="P132" s="66"/>
      <c r="Q132" s="788"/>
      <c r="T132" s="788"/>
      <c r="W132" s="788"/>
    </row>
    <row r="133" spans="1:50" ht="14.9" customHeight="1">
      <c r="A133" s="1"/>
      <c r="B133" s="2903" t="s">
        <v>207</v>
      </c>
      <c r="C133" s="2903"/>
      <c r="D133" s="2903"/>
      <c r="E133" s="2903"/>
      <c r="G133" s="13"/>
      <c r="H133" s="792"/>
      <c r="I133" s="710"/>
      <c r="J133" s="711"/>
      <c r="K133" s="579">
        <v>2</v>
      </c>
      <c r="L133" s="710"/>
      <c r="M133" s="711"/>
      <c r="N133" s="579">
        <v>1</v>
      </c>
      <c r="O133" s="713"/>
      <c r="P133" s="714"/>
      <c r="Q133" s="579"/>
      <c r="R133" s="762"/>
      <c r="S133" s="762"/>
      <c r="T133" s="579"/>
      <c r="U133" s="762"/>
      <c r="V133" s="762"/>
      <c r="W133" s="579"/>
      <c r="X133" s="2893"/>
      <c r="Y133" s="2893"/>
      <c r="Z133" s="2893"/>
      <c r="AA133" s="2893"/>
      <c r="AB133" s="2893"/>
      <c r="AC133" s="2893"/>
      <c r="AD133" s="2893"/>
      <c r="AE133" s="2893"/>
      <c r="AF133" s="2893"/>
      <c r="AG133" s="2893"/>
    </row>
    <row r="134" spans="1:50"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50" ht="15.75" customHeight="1">
      <c r="A135" s="252"/>
      <c r="B135" s="2903" t="s">
        <v>631</v>
      </c>
      <c r="C135" s="2903"/>
      <c r="D135" s="2903"/>
      <c r="E135" s="2903"/>
      <c r="F135" s="6"/>
      <c r="G135" s="65"/>
      <c r="H135" s="793"/>
      <c r="I135" s="710"/>
      <c r="J135" s="711"/>
      <c r="K135" s="581">
        <v>0.83</v>
      </c>
      <c r="L135" s="708"/>
      <c r="M135" s="709"/>
      <c r="N135" s="581">
        <v>1</v>
      </c>
      <c r="O135" s="710"/>
      <c r="P135" s="712"/>
      <c r="Q135" s="581"/>
      <c r="R135" s="762"/>
      <c r="S135" s="762"/>
      <c r="T135" s="581"/>
      <c r="U135" s="762"/>
      <c r="V135" s="762"/>
      <c r="W135" s="581"/>
      <c r="X135" s="2893" t="s">
        <v>2295</v>
      </c>
      <c r="Y135" s="2893"/>
      <c r="Z135" s="2893"/>
      <c r="AA135" s="2893"/>
      <c r="AB135" s="2893"/>
      <c r="AC135" s="2893"/>
      <c r="AD135" s="2893"/>
      <c r="AE135" s="2893"/>
      <c r="AF135" s="2893"/>
      <c r="AG135" s="2893"/>
      <c r="AH135" s="9"/>
    </row>
    <row r="136" spans="1:50" ht="15.75" customHeight="1">
      <c r="A136" s="252"/>
      <c r="B136" s="2903" t="s">
        <v>633</v>
      </c>
      <c r="C136" s="2903"/>
      <c r="D136" s="2903"/>
      <c r="E136" s="2903"/>
      <c r="F136" s="6"/>
      <c r="G136" s="65"/>
      <c r="H136" s="480"/>
      <c r="I136" s="710"/>
      <c r="J136" s="711"/>
      <c r="K136" s="526" t="s">
        <v>407</v>
      </c>
      <c r="L136" s="710"/>
      <c r="M136" s="711"/>
      <c r="N136" s="526" t="s">
        <v>136</v>
      </c>
      <c r="O136" s="710"/>
      <c r="P136" s="712"/>
      <c r="Q136" s="526"/>
      <c r="R136" s="762"/>
      <c r="S136" s="762"/>
      <c r="T136" s="526"/>
      <c r="U136" s="762"/>
      <c r="V136" s="762"/>
      <c r="W136" s="526"/>
      <c r="X136" s="2893"/>
      <c r="Y136" s="2893"/>
      <c r="Z136" s="2893"/>
      <c r="AA136" s="2893"/>
      <c r="AB136" s="2893"/>
      <c r="AC136" s="2893"/>
      <c r="AD136" s="2893"/>
      <c r="AE136" s="2893"/>
      <c r="AF136" s="2893"/>
      <c r="AG136" s="2893"/>
      <c r="AU136" s="1"/>
      <c r="AV136" s="1324"/>
      <c r="AW136" s="1"/>
      <c r="AX136" s="1328"/>
    </row>
    <row r="137" spans="1:50" ht="15.75" customHeight="1">
      <c r="A137" s="252"/>
      <c r="B137" s="2903" t="s">
        <v>627</v>
      </c>
      <c r="C137" s="2903"/>
      <c r="D137" s="2903"/>
      <c r="E137" s="2903"/>
      <c r="F137" s="6"/>
      <c r="G137" s="65"/>
      <c r="H137" s="794"/>
      <c r="I137" s="710"/>
      <c r="J137" s="711"/>
      <c r="K137" s="561" t="s">
        <v>218</v>
      </c>
      <c r="L137" s="710"/>
      <c r="M137" s="711"/>
      <c r="N137" s="561"/>
      <c r="O137" s="710"/>
      <c r="P137" s="712"/>
      <c r="Q137" s="561"/>
      <c r="R137" s="762"/>
      <c r="S137" s="762"/>
      <c r="T137" s="561"/>
      <c r="U137" s="762"/>
      <c r="V137" s="762"/>
      <c r="W137" s="561"/>
      <c r="X137" s="2893"/>
      <c r="Y137" s="2893"/>
      <c r="Z137" s="2893"/>
      <c r="AA137" s="2893"/>
      <c r="AB137" s="2893"/>
      <c r="AC137" s="2893"/>
      <c r="AD137" s="2893"/>
      <c r="AE137" s="2893"/>
      <c r="AF137" s="2893"/>
      <c r="AG137" s="2893"/>
    </row>
    <row r="138" spans="1:50" ht="23.7" customHeight="1">
      <c r="A138" s="252"/>
      <c r="B138" s="2904" t="s">
        <v>628</v>
      </c>
      <c r="C138" s="2904"/>
      <c r="D138" s="2904"/>
      <c r="E138" s="2904"/>
      <c r="F138" s="6"/>
      <c r="G138" s="65"/>
      <c r="H138" s="480"/>
      <c r="I138" s="710"/>
      <c r="J138" s="711"/>
      <c r="K138" s="526"/>
      <c r="L138" s="710"/>
      <c r="M138" s="711"/>
      <c r="N138" s="526"/>
      <c r="O138" s="710"/>
      <c r="P138" s="712"/>
      <c r="Q138" s="526"/>
      <c r="R138" s="762"/>
      <c r="S138" s="762"/>
      <c r="T138" s="526"/>
      <c r="U138" s="762"/>
      <c r="V138" s="762"/>
      <c r="W138" s="526"/>
      <c r="X138" s="2893"/>
      <c r="Y138" s="2893"/>
      <c r="Z138" s="2893"/>
      <c r="AA138" s="2893"/>
      <c r="AB138" s="2893"/>
      <c r="AC138" s="2893"/>
      <c r="AD138" s="2893"/>
      <c r="AE138" s="2893"/>
      <c r="AF138" s="2893"/>
      <c r="AG138" s="2893"/>
    </row>
    <row r="139" spans="1:50" ht="32.25" customHeight="1">
      <c r="A139" s="252"/>
      <c r="B139" s="2904" t="s">
        <v>629</v>
      </c>
      <c r="C139" s="2904"/>
      <c r="D139" s="2904"/>
      <c r="E139" s="2904"/>
      <c r="F139" s="6"/>
      <c r="G139" s="65"/>
      <c r="H139" s="795"/>
      <c r="I139" s="710"/>
      <c r="J139" s="711"/>
      <c r="K139" s="568"/>
      <c r="L139" s="710"/>
      <c r="M139" s="711"/>
      <c r="N139" s="568"/>
      <c r="O139" s="710"/>
      <c r="P139" s="712"/>
      <c r="Q139" s="568"/>
      <c r="R139" s="762"/>
      <c r="S139" s="762"/>
      <c r="T139" s="568"/>
      <c r="U139" s="762"/>
      <c r="V139" s="762"/>
      <c r="W139" s="568"/>
      <c r="X139" s="2893"/>
      <c r="Y139" s="2893"/>
      <c r="Z139" s="2893"/>
      <c r="AA139" s="2893"/>
      <c r="AB139" s="2893"/>
      <c r="AC139" s="2893"/>
      <c r="AD139" s="2893"/>
      <c r="AE139" s="2893"/>
      <c r="AF139" s="2893"/>
      <c r="AG139" s="2893"/>
    </row>
    <row r="140" spans="1:50" ht="15.75" customHeight="1">
      <c r="A140" s="252"/>
      <c r="B140" s="2903" t="s">
        <v>632</v>
      </c>
      <c r="C140" s="2903"/>
      <c r="D140" s="2903"/>
      <c r="E140" s="2903"/>
      <c r="F140" s="6"/>
      <c r="G140" s="65"/>
      <c r="H140" s="480"/>
      <c r="I140" s="710"/>
      <c r="J140" s="711"/>
      <c r="K140" s="526">
        <f>ROUND(25/(11/19),0)</f>
        <v>43</v>
      </c>
      <c r="L140" s="710"/>
      <c r="M140" s="711"/>
      <c r="N140" s="526"/>
      <c r="O140" s="710"/>
      <c r="P140" s="712"/>
      <c r="Q140" s="526"/>
      <c r="R140" s="762"/>
      <c r="S140" s="762"/>
      <c r="T140" s="526"/>
      <c r="U140" s="762"/>
      <c r="V140" s="762"/>
      <c r="W140" s="526"/>
      <c r="X140" s="2893"/>
      <c r="Y140" s="2893"/>
      <c r="Z140" s="2893"/>
      <c r="AA140" s="2893"/>
      <c r="AB140" s="2893"/>
      <c r="AC140" s="2893"/>
      <c r="AD140" s="2893"/>
      <c r="AE140" s="2893"/>
      <c r="AF140" s="2893"/>
      <c r="AG140" s="2893"/>
    </row>
    <row r="141" spans="1:50" ht="26.25" customHeight="1">
      <c r="A141" s="252"/>
      <c r="B141" s="2903" t="s">
        <v>1551</v>
      </c>
      <c r="C141" s="2903"/>
      <c r="D141" s="2903"/>
      <c r="E141" s="2903"/>
      <c r="F141" s="6"/>
      <c r="G141" s="65"/>
      <c r="H141" s="796"/>
      <c r="I141" s="710"/>
      <c r="J141" s="711"/>
      <c r="K141" s="619">
        <v>0.67</v>
      </c>
      <c r="L141" s="710"/>
      <c r="M141" s="711"/>
      <c r="N141" s="619">
        <v>0</v>
      </c>
      <c r="O141" s="710"/>
      <c r="P141" s="712"/>
      <c r="Q141" s="619"/>
      <c r="R141" s="762"/>
      <c r="S141" s="762"/>
      <c r="T141" s="619"/>
      <c r="U141" s="762"/>
      <c r="V141" s="762"/>
      <c r="W141" s="619"/>
      <c r="X141" s="2893"/>
      <c r="Y141" s="2893"/>
      <c r="Z141" s="2893"/>
      <c r="AA141" s="2893"/>
      <c r="AB141" s="2893"/>
      <c r="AC141" s="2893"/>
      <c r="AD141" s="2893"/>
      <c r="AE141" s="2893"/>
      <c r="AF141" s="2893"/>
      <c r="AG141" s="2893"/>
      <c r="AH141" s="9"/>
    </row>
    <row r="142" spans="1:50" ht="26.25" customHeight="1">
      <c r="A142" s="252"/>
      <c r="B142" s="2903" t="s">
        <v>1552</v>
      </c>
      <c r="C142" s="2903"/>
      <c r="D142" s="2903"/>
      <c r="E142" s="2903"/>
      <c r="F142" s="6"/>
      <c r="G142" s="65"/>
      <c r="H142" s="796"/>
      <c r="I142" s="710"/>
      <c r="J142" s="711"/>
      <c r="K142" s="619">
        <v>0</v>
      </c>
      <c r="L142" s="710"/>
      <c r="M142" s="711"/>
      <c r="N142" s="619">
        <v>0</v>
      </c>
      <c r="O142" s="710"/>
      <c r="P142" s="712"/>
      <c r="Q142" s="619"/>
      <c r="R142" s="762"/>
      <c r="S142" s="762"/>
      <c r="T142" s="619"/>
      <c r="U142" s="762"/>
      <c r="V142" s="762"/>
      <c r="W142" s="619"/>
      <c r="X142" s="2893"/>
      <c r="Y142" s="2893"/>
      <c r="Z142" s="2893"/>
      <c r="AA142" s="2893"/>
      <c r="AB142" s="2893"/>
      <c r="AC142" s="2893"/>
      <c r="AD142" s="2893"/>
      <c r="AE142" s="2893"/>
      <c r="AF142" s="2893"/>
      <c r="AG142" s="2893"/>
      <c r="AH142" s="9"/>
    </row>
    <row r="143" spans="1:50" ht="32.25" customHeight="1">
      <c r="A143" s="252"/>
      <c r="B143" s="2903" t="s">
        <v>331</v>
      </c>
      <c r="C143" s="2903"/>
      <c r="D143" s="2903"/>
      <c r="E143" s="2903"/>
      <c r="F143" s="6"/>
      <c r="G143" s="65"/>
      <c r="H143" s="480"/>
      <c r="I143" s="710"/>
      <c r="J143" s="711"/>
      <c r="K143" s="526" t="s">
        <v>132</v>
      </c>
      <c r="L143" s="710"/>
      <c r="M143" s="711"/>
      <c r="N143" s="526" t="s">
        <v>132</v>
      </c>
      <c r="O143" s="710"/>
      <c r="P143" s="712"/>
      <c r="Q143" s="526"/>
      <c r="R143" s="762"/>
      <c r="S143" s="762"/>
      <c r="T143" s="526"/>
      <c r="U143" s="762"/>
      <c r="V143" s="762"/>
      <c r="W143" s="526"/>
      <c r="X143" s="2893"/>
      <c r="Y143" s="2893"/>
      <c r="Z143" s="2893"/>
      <c r="AA143" s="2893"/>
      <c r="AB143" s="2893"/>
      <c r="AC143" s="2893"/>
      <c r="AD143" s="2893"/>
      <c r="AE143" s="2893"/>
      <c r="AF143" s="2893"/>
      <c r="AG143" s="2893"/>
    </row>
    <row r="144" spans="1:50" ht="15.75" customHeight="1">
      <c r="A144" s="252"/>
      <c r="B144" s="2904" t="s">
        <v>332</v>
      </c>
      <c r="C144" s="2904"/>
      <c r="D144" s="2904"/>
      <c r="E144" s="2904"/>
      <c r="F144" s="6"/>
      <c r="G144" s="65"/>
      <c r="H144" s="480"/>
      <c r="I144" s="748"/>
      <c r="J144" s="711"/>
      <c r="K144" s="526"/>
      <c r="L144" s="748"/>
      <c r="M144" s="711"/>
      <c r="N144" s="526"/>
      <c r="O144" s="710"/>
      <c r="P144" s="582"/>
      <c r="Q144" s="526"/>
      <c r="R144" s="762"/>
      <c r="S144" s="762"/>
      <c r="T144" s="526"/>
      <c r="U144" s="762"/>
      <c r="V144" s="762"/>
      <c r="W144" s="526"/>
      <c r="X144" s="2893"/>
      <c r="Y144" s="2893"/>
      <c r="Z144" s="2893"/>
      <c r="AA144" s="2893"/>
      <c r="AB144" s="2893"/>
      <c r="AC144" s="2893"/>
      <c r="AD144" s="2893"/>
      <c r="AE144" s="2893"/>
      <c r="AF144" s="2893"/>
      <c r="AG144" s="2893"/>
    </row>
    <row r="145" spans="1:34" ht="15.75" customHeight="1">
      <c r="A145" s="252"/>
      <c r="B145" s="2903" t="s">
        <v>333</v>
      </c>
      <c r="C145" s="2903"/>
      <c r="D145" s="2903"/>
      <c r="E145" s="2903"/>
      <c r="F145" s="6"/>
      <c r="G145" s="63"/>
      <c r="H145" s="480"/>
      <c r="I145" s="713"/>
      <c r="J145" s="713"/>
      <c r="K145" s="526" t="s">
        <v>19</v>
      </c>
      <c r="L145" s="713"/>
      <c r="M145" s="713"/>
      <c r="N145" s="526" t="s">
        <v>19</v>
      </c>
      <c r="O145" s="713"/>
      <c r="P145" s="713"/>
      <c r="Q145" s="526"/>
      <c r="R145" s="762"/>
      <c r="S145" s="762"/>
      <c r="T145" s="526"/>
      <c r="U145" s="762"/>
      <c r="V145" s="762"/>
      <c r="W145" s="526"/>
      <c r="X145" s="2893" t="s">
        <v>2290</v>
      </c>
      <c r="Y145" s="2893"/>
      <c r="Z145" s="2893"/>
      <c r="AA145" s="2893"/>
      <c r="AB145" s="2893"/>
      <c r="AC145" s="2893"/>
      <c r="AD145" s="2893"/>
      <c r="AE145" s="2893"/>
      <c r="AF145" s="2893"/>
      <c r="AG145" s="2893"/>
    </row>
    <row r="146" spans="1:34" ht="15.75" customHeight="1">
      <c r="A146" s="252"/>
      <c r="B146" s="2903" t="s">
        <v>334</v>
      </c>
      <c r="C146" s="2903"/>
      <c r="D146" s="2903"/>
      <c r="E146" s="2903"/>
      <c r="H146" s="480"/>
      <c r="I146" s="748"/>
      <c r="J146" s="711"/>
      <c r="K146" s="526">
        <v>2</v>
      </c>
      <c r="L146" s="748"/>
      <c r="M146" s="711"/>
      <c r="N146" s="526">
        <v>0</v>
      </c>
      <c r="O146" s="710"/>
      <c r="P146" s="582"/>
      <c r="Q146" s="526"/>
      <c r="R146" s="762"/>
      <c r="S146" s="762"/>
      <c r="T146" s="526"/>
      <c r="U146" s="762"/>
      <c r="V146" s="762"/>
      <c r="W146" s="526"/>
      <c r="X146" s="2893"/>
      <c r="Y146" s="2893"/>
      <c r="Z146" s="2893"/>
      <c r="AA146" s="2893"/>
      <c r="AB146" s="2893"/>
      <c r="AC146" s="2893"/>
      <c r="AD146" s="2893"/>
      <c r="AE146" s="2893"/>
      <c r="AF146" s="2893"/>
      <c r="AG146" s="2893"/>
    </row>
    <row r="147" spans="1:34" ht="15.75" customHeight="1">
      <c r="A147" s="252"/>
      <c r="B147" s="2904" t="s">
        <v>335</v>
      </c>
      <c r="C147" s="2904"/>
      <c r="D147" s="2904"/>
      <c r="E147" s="2904"/>
      <c r="F147" s="6"/>
      <c r="G147" s="63"/>
      <c r="H147" s="480"/>
      <c r="I147" s="748"/>
      <c r="J147" s="711"/>
      <c r="K147" s="526" t="s">
        <v>19</v>
      </c>
      <c r="L147" s="748"/>
      <c r="M147" s="711"/>
      <c r="N147" s="526"/>
      <c r="O147" s="710"/>
      <c r="P147" s="582"/>
      <c r="Q147" s="526"/>
      <c r="R147" s="762"/>
      <c r="S147" s="762"/>
      <c r="T147" s="526"/>
      <c r="U147" s="762"/>
      <c r="V147" s="762"/>
      <c r="W147" s="526"/>
      <c r="X147" s="2893"/>
      <c r="Y147" s="2893"/>
      <c r="Z147" s="2893"/>
      <c r="AA147" s="2893"/>
      <c r="AB147" s="2893"/>
      <c r="AC147" s="2893"/>
      <c r="AD147" s="2893"/>
      <c r="AE147" s="2893"/>
      <c r="AF147" s="2893"/>
      <c r="AG147" s="2893"/>
    </row>
    <row r="148" spans="1:34" ht="15.75" customHeight="1">
      <c r="A148" s="252"/>
      <c r="B148" s="2903" t="s">
        <v>336</v>
      </c>
      <c r="C148" s="2903"/>
      <c r="D148" s="2903"/>
      <c r="E148" s="2903"/>
      <c r="F148" s="6"/>
      <c r="G148" s="63"/>
      <c r="H148" s="480"/>
      <c r="I148" s="748"/>
      <c r="J148" s="711"/>
      <c r="K148" s="526">
        <v>45</v>
      </c>
      <c r="L148" s="748"/>
      <c r="M148" s="711"/>
      <c r="N148" s="526">
        <v>45</v>
      </c>
      <c r="O148" s="710"/>
      <c r="P148" s="582"/>
      <c r="Q148" s="526"/>
      <c r="R148" s="762"/>
      <c r="S148" s="762"/>
      <c r="T148" s="526"/>
      <c r="U148" s="762"/>
      <c r="V148" s="762"/>
      <c r="W148" s="526"/>
      <c r="X148" s="2893" t="s">
        <v>2291</v>
      </c>
      <c r="Y148" s="2893"/>
      <c r="Z148" s="2893"/>
      <c r="AA148" s="2893"/>
      <c r="AB148" s="2893"/>
      <c r="AC148" s="2893"/>
      <c r="AD148" s="2893"/>
      <c r="AE148" s="2893"/>
      <c r="AF148" s="2893"/>
      <c r="AG148" s="2893"/>
    </row>
    <row r="149" spans="1:34" ht="32.25" customHeight="1">
      <c r="A149" s="252"/>
      <c r="B149" s="2903" t="s">
        <v>337</v>
      </c>
      <c r="C149" s="2903"/>
      <c r="D149" s="2903"/>
      <c r="E149" s="2903"/>
      <c r="F149" s="6"/>
      <c r="G149" s="63"/>
      <c r="H149" s="480"/>
      <c r="I149" s="748"/>
      <c r="J149" s="748"/>
      <c r="K149" s="526">
        <v>0</v>
      </c>
      <c r="L149" s="748"/>
      <c r="M149" s="748"/>
      <c r="N149" s="526">
        <v>0</v>
      </c>
      <c r="O149" s="710"/>
      <c r="P149" s="710"/>
      <c r="Q149" s="526"/>
      <c r="R149" s="762"/>
      <c r="S149" s="762"/>
      <c r="T149" s="526"/>
      <c r="U149" s="762"/>
      <c r="V149" s="762"/>
      <c r="W149" s="526"/>
      <c r="X149" s="2893"/>
      <c r="Y149" s="2893"/>
      <c r="Z149" s="2893"/>
      <c r="AA149" s="2893"/>
      <c r="AB149" s="2893"/>
      <c r="AC149" s="2893"/>
      <c r="AD149" s="2893"/>
      <c r="AE149" s="2893"/>
      <c r="AF149" s="2893"/>
      <c r="AG149" s="2893"/>
      <c r="AH149" s="9"/>
    </row>
    <row r="150" spans="1:34" ht="32.25" customHeight="1">
      <c r="A150" s="252"/>
      <c r="B150" s="2903" t="s">
        <v>338</v>
      </c>
      <c r="C150" s="2903"/>
      <c r="D150" s="2903"/>
      <c r="E150" s="2903"/>
      <c r="F150" s="6"/>
      <c r="G150" s="63"/>
      <c r="H150" s="480"/>
      <c r="I150" s="748"/>
      <c r="J150" s="748"/>
      <c r="K150" s="526">
        <v>0</v>
      </c>
      <c r="L150" s="748"/>
      <c r="M150" s="748"/>
      <c r="N150" s="526">
        <v>0</v>
      </c>
      <c r="O150" s="710"/>
      <c r="P150" s="710"/>
      <c r="Q150" s="526"/>
      <c r="R150" s="762"/>
      <c r="S150" s="762"/>
      <c r="T150" s="526"/>
      <c r="U150" s="762"/>
      <c r="V150" s="762"/>
      <c r="W150" s="526"/>
      <c r="X150" s="2893"/>
      <c r="Y150" s="2893"/>
      <c r="Z150" s="2893"/>
      <c r="AA150" s="2893"/>
      <c r="AB150" s="2893"/>
      <c r="AC150" s="2893"/>
      <c r="AD150" s="2893"/>
      <c r="AE150" s="2893"/>
      <c r="AF150" s="2893"/>
      <c r="AG150" s="2893"/>
      <c r="AH150" s="9"/>
    </row>
    <row r="151" spans="1:34" s="6" customFormat="1" ht="15.75" customHeight="1">
      <c r="A151" s="252"/>
      <c r="B151" s="2903" t="s">
        <v>648</v>
      </c>
      <c r="C151" s="2903"/>
      <c r="D151" s="2903"/>
      <c r="E151" s="2903"/>
      <c r="G151" s="63"/>
      <c r="H151" s="480"/>
      <c r="I151" s="748"/>
      <c r="J151" s="748"/>
      <c r="K151" s="562">
        <v>60</v>
      </c>
      <c r="L151" s="748"/>
      <c r="M151" s="748"/>
      <c r="N151" s="526"/>
      <c r="O151" s="710"/>
      <c r="P151" s="710"/>
      <c r="Q151" s="526"/>
      <c r="R151" s="748"/>
      <c r="S151" s="748"/>
      <c r="T151" s="526"/>
      <c r="U151" s="748"/>
      <c r="V151" s="748"/>
      <c r="W151" s="526"/>
      <c r="X151" s="2893" t="s">
        <v>2293</v>
      </c>
      <c r="Y151" s="2893"/>
      <c r="Z151" s="2893"/>
      <c r="AA151" s="2893"/>
      <c r="AB151" s="2893"/>
      <c r="AC151" s="2893"/>
      <c r="AD151" s="2893"/>
      <c r="AE151" s="2893"/>
      <c r="AF151" s="2893"/>
      <c r="AG151" s="2893"/>
    </row>
    <row r="152" spans="1:34" ht="15.75" customHeight="1">
      <c r="A152" s="252"/>
      <c r="B152" s="2903" t="s">
        <v>649</v>
      </c>
      <c r="C152" s="2903"/>
      <c r="D152" s="2903"/>
      <c r="E152" s="2903"/>
      <c r="F152" s="6"/>
      <c r="G152" s="63"/>
      <c r="H152" s="797"/>
      <c r="I152" s="748"/>
      <c r="J152" s="711"/>
      <c r="K152" s="562">
        <v>60</v>
      </c>
      <c r="L152" s="748"/>
      <c r="M152" s="711"/>
      <c r="N152" s="562"/>
      <c r="O152" s="710"/>
      <c r="P152" s="582"/>
      <c r="Q152" s="526"/>
      <c r="R152" s="762"/>
      <c r="S152" s="762"/>
      <c r="T152" s="562"/>
      <c r="U152" s="762"/>
      <c r="V152" s="762"/>
      <c r="W152" s="562"/>
      <c r="X152" s="2893" t="s">
        <v>2292</v>
      </c>
      <c r="Y152" s="2893"/>
      <c r="Z152" s="2893"/>
      <c r="AA152" s="2893"/>
      <c r="AB152" s="2893"/>
      <c r="AC152" s="2893"/>
      <c r="AD152" s="2893"/>
      <c r="AE152" s="2893"/>
      <c r="AF152" s="2893"/>
      <c r="AG152" s="2893"/>
    </row>
    <row r="153" spans="1:34" ht="15.75" customHeight="1">
      <c r="A153" s="237"/>
      <c r="B153" s="2903" t="s">
        <v>415</v>
      </c>
      <c r="C153" s="2903"/>
      <c r="D153" s="2903"/>
      <c r="E153" s="2903"/>
      <c r="F153" s="6"/>
      <c r="G153" s="6"/>
      <c r="H153" s="798"/>
      <c r="I153" s="748"/>
      <c r="J153" s="748"/>
      <c r="K153" s="586" t="s">
        <v>5</v>
      </c>
      <c r="L153" s="748"/>
      <c r="M153" s="748"/>
      <c r="N153" s="586" t="s">
        <v>5</v>
      </c>
      <c r="O153" s="710"/>
      <c r="P153" s="710"/>
      <c r="Q153" s="586"/>
      <c r="R153" s="762"/>
      <c r="S153" s="762"/>
      <c r="T153" s="586"/>
      <c r="U153" s="762"/>
      <c r="V153" s="762"/>
      <c r="W153" s="586"/>
      <c r="X153" s="2893"/>
      <c r="Y153" s="2893"/>
      <c r="Z153" s="2893"/>
      <c r="AA153" s="2893"/>
      <c r="AB153" s="2893"/>
      <c r="AC153" s="2893"/>
      <c r="AD153" s="2893"/>
      <c r="AE153" s="2893"/>
      <c r="AF153" s="2893"/>
      <c r="AG153" s="2893"/>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903" t="s">
        <v>631</v>
      </c>
      <c r="C155" s="2903"/>
      <c r="D155" s="2903"/>
      <c r="E155" s="2903"/>
      <c r="F155" s="6"/>
      <c r="G155" s="65"/>
      <c r="H155" s="799"/>
      <c r="I155" s="710"/>
      <c r="J155" s="711"/>
      <c r="K155" s="628">
        <v>0.17</v>
      </c>
      <c r="L155" s="708"/>
      <c r="M155" s="709"/>
      <c r="N155" s="628"/>
      <c r="O155" s="710"/>
      <c r="P155" s="712"/>
      <c r="Q155" s="628"/>
      <c r="R155" s="762"/>
      <c r="S155" s="762"/>
      <c r="T155" s="628"/>
      <c r="U155" s="762"/>
      <c r="V155" s="762"/>
      <c r="W155" s="628"/>
      <c r="X155" s="2893" t="s">
        <v>2295</v>
      </c>
      <c r="Y155" s="2893"/>
      <c r="Z155" s="2893"/>
      <c r="AA155" s="2893"/>
      <c r="AB155" s="2893"/>
      <c r="AC155" s="2893"/>
      <c r="AD155" s="2893"/>
      <c r="AE155" s="2893"/>
      <c r="AF155" s="2893"/>
      <c r="AG155" s="2893"/>
      <c r="AH155" s="9"/>
    </row>
    <row r="156" spans="1:34" ht="15.75" customHeight="1">
      <c r="A156" s="252"/>
      <c r="B156" s="2903" t="s">
        <v>633</v>
      </c>
      <c r="C156" s="2903"/>
      <c r="D156" s="2903"/>
      <c r="E156" s="2903"/>
      <c r="F156" s="6"/>
      <c r="G156" s="65"/>
      <c r="H156" s="480"/>
      <c r="I156" s="710"/>
      <c r="J156" s="711"/>
      <c r="K156" s="526" t="s">
        <v>279</v>
      </c>
      <c r="L156" s="710"/>
      <c r="M156" s="711"/>
      <c r="N156" s="526"/>
      <c r="O156" s="710"/>
      <c r="P156" s="712"/>
      <c r="Q156" s="526"/>
      <c r="R156" s="762"/>
      <c r="S156" s="762"/>
      <c r="T156" s="526"/>
      <c r="U156" s="762"/>
      <c r="V156" s="762"/>
      <c r="W156" s="526"/>
      <c r="X156" s="2893"/>
      <c r="Y156" s="2893"/>
      <c r="Z156" s="2893"/>
      <c r="AA156" s="2893"/>
      <c r="AB156" s="2893"/>
      <c r="AC156" s="2893"/>
      <c r="AD156" s="2893"/>
      <c r="AE156" s="2893"/>
      <c r="AF156" s="2893"/>
      <c r="AG156" s="2893"/>
    </row>
    <row r="157" spans="1:34" ht="15.75" customHeight="1">
      <c r="A157" s="252"/>
      <c r="B157" s="2903" t="s">
        <v>627</v>
      </c>
      <c r="C157" s="2903"/>
      <c r="D157" s="2903"/>
      <c r="E157" s="2903"/>
      <c r="F157" s="6"/>
      <c r="G157" s="63"/>
      <c r="H157" s="794"/>
      <c r="I157" s="748"/>
      <c r="J157" s="711"/>
      <c r="K157" s="561" t="s">
        <v>218</v>
      </c>
      <c r="L157" s="748"/>
      <c r="M157" s="711"/>
      <c r="N157" s="561"/>
      <c r="O157" s="710"/>
      <c r="P157" s="582"/>
      <c r="Q157" s="561"/>
      <c r="R157" s="762"/>
      <c r="S157" s="762"/>
      <c r="T157" s="561"/>
      <c r="U157" s="762"/>
      <c r="V157" s="762"/>
      <c r="W157" s="561"/>
      <c r="X157" s="2893"/>
      <c r="Y157" s="2893"/>
      <c r="Z157" s="2893"/>
      <c r="AA157" s="2893"/>
      <c r="AB157" s="2893"/>
      <c r="AC157" s="2893"/>
      <c r="AD157" s="2893"/>
      <c r="AE157" s="2893"/>
      <c r="AF157" s="2893"/>
      <c r="AG157" s="2893"/>
    </row>
    <row r="158" spans="1:34" ht="15.75" customHeight="1">
      <c r="A158" s="252"/>
      <c r="B158" s="2904" t="s">
        <v>628</v>
      </c>
      <c r="C158" s="2904"/>
      <c r="D158" s="2904"/>
      <c r="E158" s="2904"/>
      <c r="F158" s="6"/>
      <c r="G158" s="63"/>
      <c r="H158" s="480"/>
      <c r="I158" s="748"/>
      <c r="J158" s="711"/>
      <c r="K158" s="526"/>
      <c r="L158" s="748"/>
      <c r="M158" s="711"/>
      <c r="N158" s="526"/>
      <c r="O158" s="710"/>
      <c r="P158" s="582"/>
      <c r="Q158" s="526"/>
      <c r="R158" s="762"/>
      <c r="S158" s="762"/>
      <c r="T158" s="526"/>
      <c r="U158" s="762"/>
      <c r="V158" s="762"/>
      <c r="W158" s="526"/>
      <c r="X158" s="2893"/>
      <c r="Y158" s="2893"/>
      <c r="Z158" s="2893"/>
      <c r="AA158" s="2893"/>
      <c r="AB158" s="2893"/>
      <c r="AC158" s="2893"/>
      <c r="AD158" s="2893"/>
      <c r="AE158" s="2893"/>
      <c r="AF158" s="2893"/>
      <c r="AG158" s="2893"/>
    </row>
    <row r="159" spans="1:34" ht="31.5" customHeight="1">
      <c r="A159" s="252"/>
      <c r="B159" s="2904" t="s">
        <v>629</v>
      </c>
      <c r="C159" s="2904"/>
      <c r="D159" s="2904"/>
      <c r="E159" s="2904"/>
      <c r="F159" s="6"/>
      <c r="G159" s="63"/>
      <c r="H159" s="795"/>
      <c r="I159" s="748"/>
      <c r="J159" s="711"/>
      <c r="K159" s="568"/>
      <c r="L159" s="748"/>
      <c r="M159" s="711"/>
      <c r="N159" s="568"/>
      <c r="O159" s="710"/>
      <c r="P159" s="582"/>
      <c r="Q159" s="568"/>
      <c r="R159" s="762"/>
      <c r="S159" s="762"/>
      <c r="T159" s="568"/>
      <c r="U159" s="762"/>
      <c r="V159" s="762"/>
      <c r="W159" s="568"/>
      <c r="X159" s="2893"/>
      <c r="Y159" s="2893"/>
      <c r="Z159" s="2893"/>
      <c r="AA159" s="2893"/>
      <c r="AB159" s="2893"/>
      <c r="AC159" s="2893"/>
      <c r="AD159" s="2893"/>
      <c r="AE159" s="2893"/>
      <c r="AF159" s="2893"/>
      <c r="AG159" s="2893"/>
    </row>
    <row r="160" spans="1:34" ht="15.75" customHeight="1">
      <c r="A160" s="252"/>
      <c r="B160" s="2903" t="s">
        <v>632</v>
      </c>
      <c r="C160" s="2903"/>
      <c r="D160" s="2903"/>
      <c r="E160" s="2903"/>
      <c r="F160" s="6"/>
      <c r="G160" s="65"/>
      <c r="H160" s="480"/>
      <c r="I160" s="710"/>
      <c r="J160" s="711"/>
      <c r="K160" s="526">
        <f>ROUND(1/(11/19),0)</f>
        <v>2</v>
      </c>
      <c r="L160" s="710"/>
      <c r="M160" s="711"/>
      <c r="N160" s="526"/>
      <c r="O160" s="710"/>
      <c r="P160" s="712"/>
      <c r="Q160" s="526"/>
      <c r="R160" s="762"/>
      <c r="S160" s="762"/>
      <c r="T160" s="526"/>
      <c r="U160" s="762"/>
      <c r="V160" s="762"/>
      <c r="W160" s="526"/>
      <c r="X160" s="2893"/>
      <c r="Y160" s="2893"/>
      <c r="Z160" s="2893"/>
      <c r="AA160" s="2893"/>
      <c r="AB160" s="2893"/>
      <c r="AC160" s="2893"/>
      <c r="AD160" s="2893"/>
      <c r="AE160" s="2893"/>
      <c r="AF160" s="2893"/>
      <c r="AG160" s="2893"/>
    </row>
    <row r="161" spans="1:34" ht="29.9" customHeight="1">
      <c r="A161" s="252"/>
      <c r="B161" s="2903" t="s">
        <v>1551</v>
      </c>
      <c r="C161" s="2903"/>
      <c r="D161" s="2903"/>
      <c r="E161" s="2903"/>
      <c r="F161" s="6"/>
      <c r="G161" s="65"/>
      <c r="H161" s="796"/>
      <c r="I161" s="710"/>
      <c r="J161" s="711"/>
      <c r="K161" s="619">
        <v>0.67</v>
      </c>
      <c r="L161" s="710"/>
      <c r="M161" s="711"/>
      <c r="N161" s="619"/>
      <c r="O161" s="710"/>
      <c r="P161" s="712"/>
      <c r="Q161" s="619"/>
      <c r="R161" s="762"/>
      <c r="S161" s="762"/>
      <c r="T161" s="619"/>
      <c r="U161" s="762"/>
      <c r="V161" s="762"/>
      <c r="W161" s="619"/>
      <c r="X161" s="2893"/>
      <c r="Y161" s="2893"/>
      <c r="Z161" s="2893"/>
      <c r="AA161" s="2893"/>
      <c r="AB161" s="2893"/>
      <c r="AC161" s="2893"/>
      <c r="AD161" s="2893"/>
      <c r="AE161" s="2893"/>
      <c r="AF161" s="2893"/>
      <c r="AG161" s="2893"/>
      <c r="AH161" s="9"/>
    </row>
    <row r="162" spans="1:34" ht="29.9" customHeight="1">
      <c r="A162" s="252"/>
      <c r="B162" s="2903" t="s">
        <v>1552</v>
      </c>
      <c r="C162" s="2903"/>
      <c r="D162" s="2903"/>
      <c r="E162" s="2903"/>
      <c r="F162" s="6"/>
      <c r="G162" s="65"/>
      <c r="H162" s="796"/>
      <c r="I162" s="710"/>
      <c r="J162" s="711"/>
      <c r="K162" s="619">
        <v>0</v>
      </c>
      <c r="L162" s="710"/>
      <c r="M162" s="711"/>
      <c r="N162" s="619"/>
      <c r="O162" s="710"/>
      <c r="P162" s="712"/>
      <c r="Q162" s="619"/>
      <c r="R162" s="762"/>
      <c r="S162" s="762"/>
      <c r="T162" s="619"/>
      <c r="U162" s="762"/>
      <c r="V162" s="762"/>
      <c r="W162" s="619"/>
      <c r="X162" s="2893"/>
      <c r="Y162" s="2893"/>
      <c r="Z162" s="2893"/>
      <c r="AA162" s="2893"/>
      <c r="AB162" s="2893"/>
      <c r="AC162" s="2893"/>
      <c r="AD162" s="2893"/>
      <c r="AE162" s="2893"/>
      <c r="AF162" s="2893"/>
      <c r="AG162" s="2893"/>
      <c r="AH162" s="9"/>
    </row>
    <row r="163" spans="1:34" ht="31.5" customHeight="1">
      <c r="A163" s="252"/>
      <c r="B163" s="2903" t="s">
        <v>331</v>
      </c>
      <c r="C163" s="2903"/>
      <c r="D163" s="2903"/>
      <c r="E163" s="2903"/>
      <c r="F163" s="6"/>
      <c r="G163" s="65"/>
      <c r="H163" s="480"/>
      <c r="I163" s="710"/>
      <c r="J163" s="711"/>
      <c r="K163" s="526" t="s">
        <v>132</v>
      </c>
      <c r="L163" s="710"/>
      <c r="M163" s="711"/>
      <c r="N163" s="526"/>
      <c r="O163" s="710"/>
      <c r="P163" s="712"/>
      <c r="Q163" s="526"/>
      <c r="R163" s="762"/>
      <c r="S163" s="762"/>
      <c r="T163" s="526"/>
      <c r="U163" s="762"/>
      <c r="V163" s="762"/>
      <c r="W163" s="526"/>
      <c r="X163" s="2893"/>
      <c r="Y163" s="2893"/>
      <c r="Z163" s="2893"/>
      <c r="AA163" s="2893"/>
      <c r="AB163" s="2893"/>
      <c r="AC163" s="2893"/>
      <c r="AD163" s="2893"/>
      <c r="AE163" s="2893"/>
      <c r="AF163" s="2893"/>
      <c r="AG163" s="2893"/>
    </row>
    <row r="164" spans="1:34" ht="15.75" customHeight="1">
      <c r="A164" s="252"/>
      <c r="B164" s="2904" t="s">
        <v>332</v>
      </c>
      <c r="C164" s="2904"/>
      <c r="D164" s="2904"/>
      <c r="E164" s="2904"/>
      <c r="F164" s="6"/>
      <c r="G164" s="65"/>
      <c r="H164" s="480"/>
      <c r="I164" s="748"/>
      <c r="J164" s="711"/>
      <c r="K164" s="526"/>
      <c r="L164" s="748"/>
      <c r="M164" s="711"/>
      <c r="N164" s="526"/>
      <c r="O164" s="710"/>
      <c r="P164" s="582"/>
      <c r="Q164" s="526"/>
      <c r="R164" s="762"/>
      <c r="S164" s="762"/>
      <c r="T164" s="526"/>
      <c r="U164" s="762"/>
      <c r="V164" s="762"/>
      <c r="W164" s="526"/>
      <c r="X164" s="2893"/>
      <c r="Y164" s="2893"/>
      <c r="Z164" s="2893"/>
      <c r="AA164" s="2893"/>
      <c r="AB164" s="2893"/>
      <c r="AC164" s="2893"/>
      <c r="AD164" s="2893"/>
      <c r="AE164" s="2893"/>
      <c r="AF164" s="2893"/>
      <c r="AG164" s="2893"/>
    </row>
    <row r="165" spans="1:34" ht="15.75" customHeight="1">
      <c r="A165" s="252"/>
      <c r="B165" s="2903" t="s">
        <v>333</v>
      </c>
      <c r="C165" s="2903"/>
      <c r="D165" s="2903"/>
      <c r="E165" s="2903"/>
      <c r="F165" s="6"/>
      <c r="G165" s="65"/>
      <c r="H165" s="480"/>
      <c r="I165" s="710"/>
      <c r="J165" s="711"/>
      <c r="K165" s="526" t="s">
        <v>19</v>
      </c>
      <c r="L165" s="710"/>
      <c r="M165" s="711"/>
      <c r="N165" s="526"/>
      <c r="O165" s="710"/>
      <c r="P165" s="712"/>
      <c r="Q165" s="526"/>
      <c r="R165" s="762"/>
      <c r="S165" s="762"/>
      <c r="T165" s="526"/>
      <c r="U165" s="762"/>
      <c r="V165" s="762"/>
      <c r="W165" s="526"/>
      <c r="X165" s="2893" t="s">
        <v>2290</v>
      </c>
      <c r="Y165" s="2893"/>
      <c r="Z165" s="2893"/>
      <c r="AA165" s="2893"/>
      <c r="AB165" s="2893"/>
      <c r="AC165" s="2893"/>
      <c r="AD165" s="2893"/>
      <c r="AE165" s="2893"/>
      <c r="AF165" s="2893"/>
      <c r="AG165" s="2893"/>
    </row>
    <row r="166" spans="1:34" ht="15.75" customHeight="1">
      <c r="A166" s="252"/>
      <c r="B166" s="2903" t="s">
        <v>334</v>
      </c>
      <c r="C166" s="2903"/>
      <c r="D166" s="2903"/>
      <c r="E166" s="2903"/>
      <c r="F166" s="6"/>
      <c r="G166" s="65"/>
      <c r="H166" s="480"/>
      <c r="I166" s="710"/>
      <c r="J166" s="711"/>
      <c r="K166" s="526">
        <v>2</v>
      </c>
      <c r="L166" s="710"/>
      <c r="M166" s="711"/>
      <c r="N166" s="526"/>
      <c r="O166" s="710"/>
      <c r="P166" s="712"/>
      <c r="Q166" s="526"/>
      <c r="R166" s="762"/>
      <c r="S166" s="762"/>
      <c r="T166" s="526"/>
      <c r="U166" s="762"/>
      <c r="V166" s="762"/>
      <c r="W166" s="526"/>
      <c r="X166" s="2893"/>
      <c r="Y166" s="2893"/>
      <c r="Z166" s="2893"/>
      <c r="AA166" s="2893"/>
      <c r="AB166" s="2893"/>
      <c r="AC166" s="2893"/>
      <c r="AD166" s="2893"/>
      <c r="AE166" s="2893"/>
      <c r="AF166" s="2893"/>
      <c r="AG166" s="2893"/>
    </row>
    <row r="167" spans="1:34" ht="15.75" customHeight="1">
      <c r="A167" s="252"/>
      <c r="B167" s="2904" t="s">
        <v>335</v>
      </c>
      <c r="C167" s="2904"/>
      <c r="D167" s="2904"/>
      <c r="E167" s="2904"/>
      <c r="F167" s="6"/>
      <c r="G167" s="65"/>
      <c r="H167" s="480"/>
      <c r="I167" s="710"/>
      <c r="J167" s="711"/>
      <c r="K167" s="526" t="s">
        <v>19</v>
      </c>
      <c r="L167" s="710"/>
      <c r="M167" s="711"/>
      <c r="N167" s="526"/>
      <c r="O167" s="710"/>
      <c r="P167" s="712"/>
      <c r="Q167" s="526"/>
      <c r="R167" s="762"/>
      <c r="S167" s="762"/>
      <c r="T167" s="526"/>
      <c r="U167" s="762"/>
      <c r="V167" s="762"/>
      <c r="W167" s="526"/>
      <c r="X167" s="2893"/>
      <c r="Y167" s="2893"/>
      <c r="Z167" s="2893"/>
      <c r="AA167" s="2893"/>
      <c r="AB167" s="2893"/>
      <c r="AC167" s="2893"/>
      <c r="AD167" s="2893"/>
      <c r="AE167" s="2893"/>
      <c r="AF167" s="2893"/>
      <c r="AG167" s="2893"/>
    </row>
    <row r="168" spans="1:34" ht="15.75" customHeight="1">
      <c r="A168" s="252"/>
      <c r="B168" s="2903" t="s">
        <v>336</v>
      </c>
      <c r="C168" s="2903"/>
      <c r="D168" s="2903"/>
      <c r="E168" s="2903"/>
      <c r="F168" s="6"/>
      <c r="G168" s="65"/>
      <c r="H168" s="480"/>
      <c r="I168" s="710"/>
      <c r="J168" s="711"/>
      <c r="K168" s="526">
        <v>45</v>
      </c>
      <c r="L168" s="710"/>
      <c r="M168" s="711"/>
      <c r="N168" s="526"/>
      <c r="O168" s="710"/>
      <c r="P168" s="712"/>
      <c r="Q168" s="526"/>
      <c r="R168" s="762"/>
      <c r="S168" s="762"/>
      <c r="T168" s="526"/>
      <c r="U168" s="762"/>
      <c r="V168" s="762"/>
      <c r="W168" s="526"/>
      <c r="X168" s="2893" t="s">
        <v>2291</v>
      </c>
      <c r="Y168" s="2893"/>
      <c r="Z168" s="2893"/>
      <c r="AA168" s="2893"/>
      <c r="AB168" s="2893"/>
      <c r="AC168" s="2893"/>
      <c r="AD168" s="2893"/>
      <c r="AE168" s="2893"/>
      <c r="AF168" s="2893"/>
      <c r="AG168" s="2893"/>
    </row>
    <row r="169" spans="1:34" ht="31.5" customHeight="1">
      <c r="A169" s="252"/>
      <c r="B169" s="2903" t="s">
        <v>337</v>
      </c>
      <c r="C169" s="2903"/>
      <c r="D169" s="2903"/>
      <c r="E169" s="2903"/>
      <c r="F169" s="6"/>
      <c r="G169" s="65"/>
      <c r="H169" s="480"/>
      <c r="I169" s="710"/>
      <c r="J169" s="711"/>
      <c r="K169" s="526">
        <v>0</v>
      </c>
      <c r="L169" s="710"/>
      <c r="M169" s="711"/>
      <c r="N169" s="526"/>
      <c r="O169" s="710"/>
      <c r="P169" s="712"/>
      <c r="Q169" s="526"/>
      <c r="R169" s="762"/>
      <c r="S169" s="762"/>
      <c r="T169" s="526"/>
      <c r="U169" s="762"/>
      <c r="V169" s="762"/>
      <c r="W169" s="526"/>
      <c r="X169" s="2893"/>
      <c r="Y169" s="2893"/>
      <c r="Z169" s="2893"/>
      <c r="AA169" s="2893"/>
      <c r="AB169" s="2893"/>
      <c r="AC169" s="2893"/>
      <c r="AD169" s="2893"/>
      <c r="AE169" s="2893"/>
      <c r="AF169" s="2893"/>
      <c r="AG169" s="2893"/>
      <c r="AH169" s="9"/>
    </row>
    <row r="170" spans="1:34" ht="31.5" customHeight="1">
      <c r="A170" s="252"/>
      <c r="B170" s="2903" t="s">
        <v>338</v>
      </c>
      <c r="C170" s="2903"/>
      <c r="D170" s="2903"/>
      <c r="E170" s="2903"/>
      <c r="F170" s="6"/>
      <c r="G170" s="65"/>
      <c r="H170" s="480"/>
      <c r="I170" s="710"/>
      <c r="J170" s="711"/>
      <c r="K170" s="526">
        <v>0</v>
      </c>
      <c r="L170" s="710"/>
      <c r="M170" s="711"/>
      <c r="N170" s="526"/>
      <c r="O170" s="710"/>
      <c r="P170" s="712"/>
      <c r="Q170" s="526"/>
      <c r="R170" s="762"/>
      <c r="S170" s="762"/>
      <c r="T170" s="526"/>
      <c r="U170" s="762"/>
      <c r="V170" s="762"/>
      <c r="W170" s="526"/>
      <c r="X170" s="2893"/>
      <c r="Y170" s="2893"/>
      <c r="Z170" s="2893"/>
      <c r="AA170" s="2893"/>
      <c r="AB170" s="2893"/>
      <c r="AC170" s="2893"/>
      <c r="AD170" s="2893"/>
      <c r="AE170" s="2893"/>
      <c r="AF170" s="2893"/>
      <c r="AG170" s="2893"/>
      <c r="AH170" s="9"/>
    </row>
    <row r="171" spans="1:34" ht="15.75" customHeight="1">
      <c r="A171" s="252"/>
      <c r="B171" s="2903" t="s">
        <v>648</v>
      </c>
      <c r="C171" s="2903"/>
      <c r="D171" s="2903"/>
      <c r="E171" s="2903"/>
      <c r="F171" s="6"/>
      <c r="G171" s="65"/>
      <c r="H171" s="480"/>
      <c r="I171" s="710"/>
      <c r="J171" s="711"/>
      <c r="K171" s="526">
        <v>50</v>
      </c>
      <c r="L171" s="710"/>
      <c r="M171" s="711"/>
      <c r="N171" s="526"/>
      <c r="O171" s="710"/>
      <c r="P171" s="712"/>
      <c r="Q171" s="526"/>
      <c r="R171" s="762"/>
      <c r="S171" s="762"/>
      <c r="T171" s="526"/>
      <c r="U171" s="762"/>
      <c r="V171" s="762"/>
      <c r="W171" s="526"/>
      <c r="X171" s="2893" t="s">
        <v>2294</v>
      </c>
      <c r="Y171" s="2893"/>
      <c r="Z171" s="2893"/>
      <c r="AA171" s="2893"/>
      <c r="AB171" s="2893"/>
      <c r="AC171" s="2893"/>
      <c r="AD171" s="2893"/>
      <c r="AE171" s="2893"/>
      <c r="AF171" s="2893"/>
      <c r="AG171" s="2893"/>
    </row>
    <row r="172" spans="1:34" ht="15.75" customHeight="1">
      <c r="A172" s="252"/>
      <c r="B172" s="2903" t="s">
        <v>649</v>
      </c>
      <c r="C172" s="2903"/>
      <c r="D172" s="2903"/>
      <c r="E172" s="2903"/>
      <c r="F172" s="6"/>
      <c r="G172" s="65"/>
      <c r="H172" s="797"/>
      <c r="I172" s="710"/>
      <c r="J172" s="711"/>
      <c r="K172" s="562">
        <v>50</v>
      </c>
      <c r="L172" s="710"/>
      <c r="M172" s="711"/>
      <c r="N172" s="562"/>
      <c r="O172" s="710"/>
      <c r="P172" s="712"/>
      <c r="Q172" s="562"/>
      <c r="R172" s="762"/>
      <c r="S172" s="762"/>
      <c r="T172" s="562"/>
      <c r="U172" s="762"/>
      <c r="V172" s="762"/>
      <c r="W172" s="562"/>
      <c r="X172" s="2893" t="s">
        <v>2294</v>
      </c>
      <c r="Y172" s="2893"/>
      <c r="Z172" s="2893"/>
      <c r="AA172" s="2893"/>
      <c r="AB172" s="2893"/>
      <c r="AC172" s="2893"/>
      <c r="AD172" s="2893"/>
      <c r="AE172" s="2893"/>
      <c r="AF172" s="2893"/>
      <c r="AG172" s="2893"/>
    </row>
    <row r="173" spans="1:34" ht="15.75" customHeight="1">
      <c r="A173" s="237"/>
      <c r="B173" s="2903" t="s">
        <v>415</v>
      </c>
      <c r="C173" s="2903"/>
      <c r="D173" s="2903"/>
      <c r="E173" s="2903"/>
      <c r="F173" s="6"/>
      <c r="G173" s="65"/>
      <c r="H173" s="798"/>
      <c r="I173" s="710"/>
      <c r="J173" s="711"/>
      <c r="K173" s="586" t="s">
        <v>5</v>
      </c>
      <c r="L173" s="710"/>
      <c r="M173" s="711"/>
      <c r="N173" s="586"/>
      <c r="O173" s="710"/>
      <c r="P173" s="712"/>
      <c r="Q173" s="586"/>
      <c r="R173" s="762"/>
      <c r="S173" s="762"/>
      <c r="T173" s="586"/>
      <c r="U173" s="762"/>
      <c r="V173" s="762"/>
      <c r="W173" s="586"/>
      <c r="X173" s="2893"/>
      <c r="Y173" s="2893"/>
      <c r="Z173" s="2893"/>
      <c r="AA173" s="2893"/>
      <c r="AB173" s="2893"/>
      <c r="AC173" s="2893"/>
      <c r="AD173" s="2893"/>
      <c r="AE173" s="2893"/>
      <c r="AF173" s="2893"/>
      <c r="AG173" s="2893"/>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903" t="s">
        <v>631</v>
      </c>
      <c r="C175" s="2903"/>
      <c r="D175" s="2903"/>
      <c r="E175" s="2903"/>
      <c r="F175" s="6"/>
      <c r="G175" s="65"/>
      <c r="H175" s="799"/>
      <c r="I175" s="710"/>
      <c r="J175" s="711"/>
      <c r="K175" s="628"/>
      <c r="L175" s="710"/>
      <c r="M175" s="711"/>
      <c r="N175" s="628"/>
      <c r="O175" s="710"/>
      <c r="P175" s="712"/>
      <c r="Q175" s="628"/>
      <c r="R175" s="762"/>
      <c r="S175" s="762"/>
      <c r="T175" s="628"/>
      <c r="U175" s="762"/>
      <c r="V175" s="762"/>
      <c r="W175" s="628"/>
      <c r="X175" s="2893"/>
      <c r="Y175" s="2893"/>
      <c r="Z175" s="2893"/>
      <c r="AA175" s="2893"/>
      <c r="AB175" s="2893"/>
      <c r="AC175" s="2893"/>
      <c r="AD175" s="2893"/>
      <c r="AE175" s="2893"/>
      <c r="AF175" s="2893"/>
      <c r="AG175" s="2893"/>
      <c r="AH175" s="9"/>
    </row>
    <row r="176" spans="1:34" ht="15.75" customHeight="1">
      <c r="A176" s="252"/>
      <c r="B176" s="2903" t="s">
        <v>633</v>
      </c>
      <c r="C176" s="2903"/>
      <c r="D176" s="2903"/>
      <c r="E176" s="2903"/>
      <c r="F176" s="6"/>
      <c r="G176" s="65"/>
      <c r="H176" s="480"/>
      <c r="I176" s="710"/>
      <c r="J176" s="711"/>
      <c r="K176" s="526"/>
      <c r="L176" s="710"/>
      <c r="M176" s="711"/>
      <c r="N176" s="526"/>
      <c r="O176" s="710"/>
      <c r="P176" s="712"/>
      <c r="Q176" s="526"/>
      <c r="R176" s="762"/>
      <c r="S176" s="762"/>
      <c r="T176" s="526"/>
      <c r="U176" s="762"/>
      <c r="V176" s="762"/>
      <c r="W176" s="526"/>
      <c r="X176" s="2893"/>
      <c r="Y176" s="2893"/>
      <c r="Z176" s="2893"/>
      <c r="AA176" s="2893"/>
      <c r="AB176" s="2893"/>
      <c r="AC176" s="2893"/>
      <c r="AD176" s="2893"/>
      <c r="AE176" s="2893"/>
      <c r="AF176" s="2893"/>
      <c r="AG176" s="2893"/>
    </row>
    <row r="177" spans="1:33" ht="15.75" customHeight="1">
      <c r="A177" s="252"/>
      <c r="B177" s="2903" t="s">
        <v>627</v>
      </c>
      <c r="C177" s="2903"/>
      <c r="D177" s="2903"/>
      <c r="E177" s="2903"/>
      <c r="F177" s="6"/>
      <c r="G177" s="63"/>
      <c r="H177" s="794"/>
      <c r="I177" s="748"/>
      <c r="J177" s="711"/>
      <c r="K177" s="561"/>
      <c r="L177" s="748"/>
      <c r="M177" s="711"/>
      <c r="N177" s="561"/>
      <c r="O177" s="710"/>
      <c r="P177" s="582"/>
      <c r="Q177" s="561"/>
      <c r="R177" s="762"/>
      <c r="S177" s="762"/>
      <c r="T177" s="561"/>
      <c r="U177" s="762"/>
      <c r="V177" s="762"/>
      <c r="W177" s="561"/>
      <c r="X177" s="2893"/>
      <c r="Y177" s="2893"/>
      <c r="Z177" s="2893"/>
      <c r="AA177" s="2893"/>
      <c r="AB177" s="2893"/>
      <c r="AC177" s="2893"/>
      <c r="AD177" s="2893"/>
      <c r="AE177" s="2893"/>
      <c r="AF177" s="2893"/>
      <c r="AG177" s="2893"/>
    </row>
    <row r="178" spans="1:33" ht="15.75" customHeight="1">
      <c r="A178" s="252"/>
      <c r="B178" s="2904" t="s">
        <v>628</v>
      </c>
      <c r="C178" s="2904"/>
      <c r="D178" s="2904"/>
      <c r="E178" s="2904"/>
      <c r="F178" s="6"/>
      <c r="G178" s="63"/>
      <c r="H178" s="480"/>
      <c r="I178" s="748"/>
      <c r="J178" s="711"/>
      <c r="K178" s="526"/>
      <c r="L178" s="748"/>
      <c r="M178" s="711"/>
      <c r="N178" s="526"/>
      <c r="O178" s="710"/>
      <c r="P178" s="582"/>
      <c r="Q178" s="526"/>
      <c r="R178" s="762"/>
      <c r="S178" s="762"/>
      <c r="T178" s="526"/>
      <c r="U178" s="762"/>
      <c r="V178" s="762"/>
      <c r="W178" s="526"/>
      <c r="X178" s="2893"/>
      <c r="Y178" s="2893"/>
      <c r="Z178" s="2893"/>
      <c r="AA178" s="2893"/>
      <c r="AB178" s="2893"/>
      <c r="AC178" s="2893"/>
      <c r="AD178" s="2893"/>
      <c r="AE178" s="2893"/>
      <c r="AF178" s="2893"/>
      <c r="AG178" s="2893"/>
    </row>
    <row r="179" spans="1:33" ht="33" customHeight="1">
      <c r="A179" s="252"/>
      <c r="B179" s="2904" t="s">
        <v>629</v>
      </c>
      <c r="C179" s="2904"/>
      <c r="D179" s="2904"/>
      <c r="E179" s="2904"/>
      <c r="F179" s="6"/>
      <c r="G179" s="63"/>
      <c r="H179" s="795"/>
      <c r="I179" s="748"/>
      <c r="J179" s="711"/>
      <c r="K179" s="568"/>
      <c r="L179" s="748"/>
      <c r="M179" s="711"/>
      <c r="N179" s="568"/>
      <c r="O179" s="710"/>
      <c r="P179" s="582"/>
      <c r="Q179" s="568"/>
      <c r="R179" s="762"/>
      <c r="S179" s="762"/>
      <c r="T179" s="568"/>
      <c r="U179" s="762"/>
      <c r="V179" s="762"/>
      <c r="W179" s="568"/>
      <c r="X179" s="2893"/>
      <c r="Y179" s="2893"/>
      <c r="Z179" s="2893"/>
      <c r="AA179" s="2893"/>
      <c r="AB179" s="2893"/>
      <c r="AC179" s="2893"/>
      <c r="AD179" s="2893"/>
      <c r="AE179" s="2893"/>
      <c r="AF179" s="2893"/>
      <c r="AG179" s="2893"/>
    </row>
    <row r="180" spans="1:33" ht="15.75" customHeight="1">
      <c r="A180" s="252"/>
      <c r="B180" s="2903" t="s">
        <v>632</v>
      </c>
      <c r="C180" s="2903"/>
      <c r="D180" s="2903"/>
      <c r="E180" s="2903"/>
      <c r="F180" s="6"/>
      <c r="G180" s="65"/>
      <c r="H180" s="480"/>
      <c r="I180" s="710"/>
      <c r="J180" s="711"/>
      <c r="K180" s="526"/>
      <c r="L180" s="710"/>
      <c r="M180" s="711"/>
      <c r="N180" s="526"/>
      <c r="O180" s="710"/>
      <c r="P180" s="712"/>
      <c r="Q180" s="526"/>
      <c r="R180" s="762"/>
      <c r="S180" s="762"/>
      <c r="T180" s="526"/>
      <c r="U180" s="762"/>
      <c r="V180" s="762"/>
      <c r="W180" s="526"/>
      <c r="X180" s="2893"/>
      <c r="Y180" s="2893"/>
      <c r="Z180" s="2893"/>
      <c r="AA180" s="2893"/>
      <c r="AB180" s="2893"/>
      <c r="AC180" s="2893"/>
      <c r="AD180" s="2893"/>
      <c r="AE180" s="2893"/>
      <c r="AF180" s="2893"/>
      <c r="AG180" s="2893"/>
    </row>
    <row r="181" spans="1:33" ht="34.5" customHeight="1">
      <c r="A181" s="252"/>
      <c r="B181" s="2903" t="s">
        <v>1551</v>
      </c>
      <c r="C181" s="2903"/>
      <c r="D181" s="2903"/>
      <c r="E181" s="2903"/>
      <c r="F181" s="6"/>
      <c r="G181" s="65"/>
      <c r="H181" s="796"/>
      <c r="I181" s="710"/>
      <c r="J181" s="711"/>
      <c r="K181" s="619"/>
      <c r="L181" s="710"/>
      <c r="M181" s="711"/>
      <c r="N181" s="619"/>
      <c r="O181" s="710"/>
      <c r="P181" s="712"/>
      <c r="Q181" s="619"/>
      <c r="R181" s="762"/>
      <c r="S181" s="762"/>
      <c r="T181" s="619"/>
      <c r="U181" s="762"/>
      <c r="V181" s="762"/>
      <c r="W181" s="619"/>
      <c r="X181" s="2893"/>
      <c r="Y181" s="2893"/>
      <c r="Z181" s="2893"/>
      <c r="AA181" s="2893"/>
      <c r="AB181" s="2893"/>
      <c r="AC181" s="2893"/>
      <c r="AD181" s="2893"/>
      <c r="AE181" s="2893"/>
      <c r="AF181" s="2893"/>
      <c r="AG181" s="2893"/>
    </row>
    <row r="182" spans="1:33" ht="34.5" customHeight="1">
      <c r="A182" s="252"/>
      <c r="B182" s="2903" t="s">
        <v>1552</v>
      </c>
      <c r="C182" s="2903"/>
      <c r="D182" s="2903"/>
      <c r="E182" s="2903"/>
      <c r="F182" s="6"/>
      <c r="G182" s="65"/>
      <c r="H182" s="796"/>
      <c r="I182" s="710"/>
      <c r="J182" s="711"/>
      <c r="K182" s="619"/>
      <c r="L182" s="710"/>
      <c r="M182" s="711"/>
      <c r="N182" s="619"/>
      <c r="O182" s="710"/>
      <c r="P182" s="712"/>
      <c r="Q182" s="619"/>
      <c r="R182" s="762"/>
      <c r="S182" s="762"/>
      <c r="T182" s="619"/>
      <c r="U182" s="762"/>
      <c r="V182" s="762"/>
      <c r="W182" s="619"/>
      <c r="X182" s="2893"/>
      <c r="Y182" s="2893"/>
      <c r="Z182" s="2893"/>
      <c r="AA182" s="2893"/>
      <c r="AB182" s="2893"/>
      <c r="AC182" s="2893"/>
      <c r="AD182" s="2893"/>
      <c r="AE182" s="2893"/>
      <c r="AF182" s="2893"/>
      <c r="AG182" s="2893"/>
    </row>
    <row r="183" spans="1:33" ht="33" customHeight="1">
      <c r="A183" s="252"/>
      <c r="B183" s="2903" t="s">
        <v>331</v>
      </c>
      <c r="C183" s="2903"/>
      <c r="D183" s="2903"/>
      <c r="E183" s="2903"/>
      <c r="F183" s="6"/>
      <c r="G183" s="65"/>
      <c r="H183" s="480"/>
      <c r="I183" s="710"/>
      <c r="J183" s="711"/>
      <c r="K183" s="526"/>
      <c r="L183" s="710"/>
      <c r="M183" s="711"/>
      <c r="N183" s="526"/>
      <c r="O183" s="710"/>
      <c r="P183" s="712"/>
      <c r="Q183" s="526"/>
      <c r="R183" s="762"/>
      <c r="S183" s="762"/>
      <c r="T183" s="526"/>
      <c r="U183" s="762"/>
      <c r="V183" s="762"/>
      <c r="W183" s="526"/>
      <c r="X183" s="2893"/>
      <c r="Y183" s="2893"/>
      <c r="Z183" s="2893"/>
      <c r="AA183" s="2893"/>
      <c r="AB183" s="2893"/>
      <c r="AC183" s="2893"/>
      <c r="AD183" s="2893"/>
      <c r="AE183" s="2893"/>
      <c r="AF183" s="2893"/>
      <c r="AG183" s="2893"/>
    </row>
    <row r="184" spans="1:33" ht="15.75" customHeight="1">
      <c r="A184" s="252"/>
      <c r="B184" s="2904" t="s">
        <v>332</v>
      </c>
      <c r="C184" s="2904"/>
      <c r="D184" s="2904"/>
      <c r="E184" s="2904"/>
      <c r="F184" s="6"/>
      <c r="G184" s="65"/>
      <c r="H184" s="480"/>
      <c r="I184" s="748"/>
      <c r="J184" s="711"/>
      <c r="K184" s="526"/>
      <c r="L184" s="748"/>
      <c r="M184" s="711"/>
      <c r="N184" s="526"/>
      <c r="O184" s="710"/>
      <c r="P184" s="582"/>
      <c r="Q184" s="526"/>
      <c r="R184" s="762"/>
      <c r="S184" s="762"/>
      <c r="T184" s="526"/>
      <c r="U184" s="762"/>
      <c r="V184" s="762"/>
      <c r="W184" s="526"/>
      <c r="X184" s="2893"/>
      <c r="Y184" s="2893"/>
      <c r="Z184" s="2893"/>
      <c r="AA184" s="2893"/>
      <c r="AB184" s="2893"/>
      <c r="AC184" s="2893"/>
      <c r="AD184" s="2893"/>
      <c r="AE184" s="2893"/>
      <c r="AF184" s="2893"/>
      <c r="AG184" s="2893"/>
    </row>
    <row r="185" spans="1:33" ht="15.75" customHeight="1">
      <c r="A185" s="252"/>
      <c r="B185" s="2903" t="s">
        <v>333</v>
      </c>
      <c r="C185" s="2903"/>
      <c r="D185" s="2903"/>
      <c r="E185" s="2903"/>
      <c r="F185" s="6"/>
      <c r="G185" s="65"/>
      <c r="H185" s="480"/>
      <c r="I185" s="710"/>
      <c r="J185" s="711"/>
      <c r="K185" s="526"/>
      <c r="L185" s="710"/>
      <c r="M185" s="711"/>
      <c r="N185" s="526"/>
      <c r="O185" s="710"/>
      <c r="P185" s="712"/>
      <c r="Q185" s="526"/>
      <c r="R185" s="762"/>
      <c r="S185" s="762"/>
      <c r="T185" s="526"/>
      <c r="U185" s="762"/>
      <c r="V185" s="762"/>
      <c r="W185" s="526"/>
      <c r="X185" s="2893"/>
      <c r="Y185" s="2893"/>
      <c r="Z185" s="2893"/>
      <c r="AA185" s="2893"/>
      <c r="AB185" s="2893"/>
      <c r="AC185" s="2893"/>
      <c r="AD185" s="2893"/>
      <c r="AE185" s="2893"/>
      <c r="AF185" s="2893"/>
      <c r="AG185" s="2893"/>
    </row>
    <row r="186" spans="1:33" ht="15.75" customHeight="1">
      <c r="A186" s="252"/>
      <c r="B186" s="2903" t="s">
        <v>334</v>
      </c>
      <c r="C186" s="2903"/>
      <c r="D186" s="2903"/>
      <c r="E186" s="2903"/>
      <c r="F186" s="6"/>
      <c r="G186" s="65"/>
      <c r="H186" s="480"/>
      <c r="I186" s="710"/>
      <c r="J186" s="711"/>
      <c r="K186" s="526"/>
      <c r="L186" s="710"/>
      <c r="M186" s="711"/>
      <c r="N186" s="526"/>
      <c r="O186" s="710"/>
      <c r="P186" s="712"/>
      <c r="Q186" s="526"/>
      <c r="R186" s="762"/>
      <c r="S186" s="762"/>
      <c r="T186" s="526"/>
      <c r="U186" s="762"/>
      <c r="V186" s="762"/>
      <c r="W186" s="526"/>
      <c r="X186" s="2893"/>
      <c r="Y186" s="2893"/>
      <c r="Z186" s="2893"/>
      <c r="AA186" s="2893"/>
      <c r="AB186" s="2893"/>
      <c r="AC186" s="2893"/>
      <c r="AD186" s="2893"/>
      <c r="AE186" s="2893"/>
      <c r="AF186" s="2893"/>
      <c r="AG186" s="2893"/>
    </row>
    <row r="187" spans="1:33" ht="15.75" customHeight="1">
      <c r="A187" s="252"/>
      <c r="B187" s="2904" t="s">
        <v>335</v>
      </c>
      <c r="C187" s="2904"/>
      <c r="D187" s="2904"/>
      <c r="E187" s="2904"/>
      <c r="F187" s="6"/>
      <c r="G187" s="65"/>
      <c r="H187" s="480"/>
      <c r="I187" s="710"/>
      <c r="J187" s="711"/>
      <c r="K187" s="526"/>
      <c r="L187" s="710"/>
      <c r="M187" s="711"/>
      <c r="N187" s="526"/>
      <c r="O187" s="710"/>
      <c r="P187" s="712"/>
      <c r="Q187" s="526"/>
      <c r="R187" s="762"/>
      <c r="S187" s="762"/>
      <c r="T187" s="526"/>
      <c r="U187" s="762"/>
      <c r="V187" s="762"/>
      <c r="W187" s="526"/>
      <c r="X187" s="2893"/>
      <c r="Y187" s="2893"/>
      <c r="Z187" s="2893"/>
      <c r="AA187" s="2893"/>
      <c r="AB187" s="2893"/>
      <c r="AC187" s="2893"/>
      <c r="AD187" s="2893"/>
      <c r="AE187" s="2893"/>
      <c r="AF187" s="2893"/>
      <c r="AG187" s="2893"/>
    </row>
    <row r="188" spans="1:33" ht="15.75" customHeight="1">
      <c r="A188" s="252"/>
      <c r="B188" s="2903" t="s">
        <v>336</v>
      </c>
      <c r="C188" s="2903"/>
      <c r="D188" s="2903"/>
      <c r="E188" s="2903"/>
      <c r="F188" s="6"/>
      <c r="G188" s="65"/>
      <c r="H188" s="480"/>
      <c r="I188" s="710"/>
      <c r="J188" s="711"/>
      <c r="K188" s="526"/>
      <c r="L188" s="710"/>
      <c r="M188" s="711"/>
      <c r="N188" s="526"/>
      <c r="O188" s="710"/>
      <c r="P188" s="712"/>
      <c r="Q188" s="526"/>
      <c r="R188" s="762"/>
      <c r="S188" s="762"/>
      <c r="T188" s="526"/>
      <c r="U188" s="762"/>
      <c r="V188" s="762"/>
      <c r="W188" s="526"/>
      <c r="X188" s="2893"/>
      <c r="Y188" s="2893"/>
      <c r="Z188" s="2893"/>
      <c r="AA188" s="2893"/>
      <c r="AB188" s="2893"/>
      <c r="AC188" s="2893"/>
      <c r="AD188" s="2893"/>
      <c r="AE188" s="2893"/>
      <c r="AF188" s="2893"/>
      <c r="AG188" s="2893"/>
    </row>
    <row r="189" spans="1:33" ht="33" customHeight="1">
      <c r="A189" s="252"/>
      <c r="B189" s="2903" t="s">
        <v>337</v>
      </c>
      <c r="C189" s="2903"/>
      <c r="D189" s="2903"/>
      <c r="E189" s="2903"/>
      <c r="F189" s="6"/>
      <c r="G189" s="65"/>
      <c r="H189" s="480"/>
      <c r="I189" s="710"/>
      <c r="J189" s="711"/>
      <c r="K189" s="526"/>
      <c r="L189" s="710"/>
      <c r="M189" s="711"/>
      <c r="N189" s="526"/>
      <c r="O189" s="710"/>
      <c r="P189" s="712"/>
      <c r="Q189" s="526"/>
      <c r="R189" s="762"/>
      <c r="S189" s="762"/>
      <c r="T189" s="526"/>
      <c r="U189" s="762"/>
      <c r="V189" s="762"/>
      <c r="W189" s="526"/>
      <c r="X189" s="2893"/>
      <c r="Y189" s="2893"/>
      <c r="Z189" s="2893"/>
      <c r="AA189" s="2893"/>
      <c r="AB189" s="2893"/>
      <c r="AC189" s="2893"/>
      <c r="AD189" s="2893"/>
      <c r="AE189" s="2893"/>
      <c r="AF189" s="2893"/>
      <c r="AG189" s="2893"/>
    </row>
    <row r="190" spans="1:33" ht="33" customHeight="1">
      <c r="A190" s="252"/>
      <c r="B190" s="2903" t="s">
        <v>338</v>
      </c>
      <c r="C190" s="2903"/>
      <c r="D190" s="2903"/>
      <c r="E190" s="2903"/>
      <c r="F190" s="6"/>
      <c r="G190" s="65"/>
      <c r="H190" s="480"/>
      <c r="I190" s="710"/>
      <c r="J190" s="711"/>
      <c r="K190" s="526"/>
      <c r="L190" s="710"/>
      <c r="M190" s="711"/>
      <c r="N190" s="526"/>
      <c r="O190" s="710"/>
      <c r="P190" s="712"/>
      <c r="Q190" s="526"/>
      <c r="R190" s="762"/>
      <c r="S190" s="762"/>
      <c r="T190" s="526"/>
      <c r="U190" s="762"/>
      <c r="V190" s="762"/>
      <c r="W190" s="526"/>
      <c r="X190" s="2893"/>
      <c r="Y190" s="2893"/>
      <c r="Z190" s="2893"/>
      <c r="AA190" s="2893"/>
      <c r="AB190" s="2893"/>
      <c r="AC190" s="2893"/>
      <c r="AD190" s="2893"/>
      <c r="AE190" s="2893"/>
      <c r="AF190" s="2893"/>
      <c r="AG190" s="2893"/>
    </row>
    <row r="191" spans="1:33" ht="15.75" customHeight="1">
      <c r="A191" s="252"/>
      <c r="B191" s="2903" t="s">
        <v>648</v>
      </c>
      <c r="C191" s="2903"/>
      <c r="D191" s="2903"/>
      <c r="E191" s="2903"/>
      <c r="F191" s="6"/>
      <c r="G191" s="65"/>
      <c r="H191" s="480"/>
      <c r="I191" s="710"/>
      <c r="J191" s="711"/>
      <c r="K191" s="526"/>
      <c r="L191" s="710"/>
      <c r="M191" s="711"/>
      <c r="N191" s="526"/>
      <c r="O191" s="710"/>
      <c r="P191" s="712"/>
      <c r="Q191" s="526"/>
      <c r="R191" s="762"/>
      <c r="S191" s="762"/>
      <c r="T191" s="526"/>
      <c r="U191" s="762"/>
      <c r="V191" s="762"/>
      <c r="W191" s="526"/>
      <c r="X191" s="2893"/>
      <c r="Y191" s="2893"/>
      <c r="Z191" s="2893"/>
      <c r="AA191" s="2893"/>
      <c r="AB191" s="2893"/>
      <c r="AC191" s="2893"/>
      <c r="AD191" s="2893"/>
      <c r="AE191" s="2893"/>
      <c r="AF191" s="2893"/>
      <c r="AG191" s="2893"/>
    </row>
    <row r="192" spans="1:33" ht="15.75" customHeight="1">
      <c r="A192" s="252"/>
      <c r="B192" s="2903" t="s">
        <v>649</v>
      </c>
      <c r="C192" s="2903"/>
      <c r="D192" s="2903"/>
      <c r="E192" s="2903"/>
      <c r="F192" s="6"/>
      <c r="G192" s="65"/>
      <c r="H192" s="797"/>
      <c r="I192" s="710"/>
      <c r="J192" s="711"/>
      <c r="K192" s="562"/>
      <c r="L192" s="710"/>
      <c r="M192" s="711"/>
      <c r="N192" s="562"/>
      <c r="O192" s="710"/>
      <c r="P192" s="712"/>
      <c r="Q192" s="562"/>
      <c r="R192" s="762"/>
      <c r="S192" s="762"/>
      <c r="T192" s="562"/>
      <c r="U192" s="762"/>
      <c r="V192" s="762"/>
      <c r="W192" s="562"/>
      <c r="X192" s="2893"/>
      <c r="Y192" s="2893"/>
      <c r="Z192" s="2893"/>
      <c r="AA192" s="2893"/>
      <c r="AB192" s="2893"/>
      <c r="AC192" s="2893"/>
      <c r="AD192" s="2893"/>
      <c r="AE192" s="2893"/>
      <c r="AF192" s="2893"/>
      <c r="AG192" s="2893"/>
    </row>
    <row r="193" spans="1:33" ht="15.75" customHeight="1">
      <c r="A193" s="237"/>
      <c r="B193" s="2903" t="s">
        <v>415</v>
      </c>
      <c r="C193" s="2903"/>
      <c r="D193" s="2903"/>
      <c r="E193" s="2903"/>
      <c r="F193" s="6"/>
      <c r="G193" s="65"/>
      <c r="H193" s="800"/>
      <c r="I193" s="741"/>
      <c r="J193" s="742"/>
      <c r="K193" s="766"/>
      <c r="L193" s="741"/>
      <c r="M193" s="742"/>
      <c r="N193" s="766"/>
      <c r="O193" s="741"/>
      <c r="P193" s="767"/>
      <c r="Q193" s="766"/>
      <c r="R193" s="768"/>
      <c r="S193" s="768"/>
      <c r="T193" s="766"/>
      <c r="U193" s="768"/>
      <c r="V193" s="768"/>
      <c r="W193" s="766"/>
      <c r="X193" s="2893"/>
      <c r="Y193" s="2893"/>
      <c r="Z193" s="2893"/>
      <c r="AA193" s="2893"/>
      <c r="AB193" s="2893"/>
      <c r="AC193" s="2893"/>
      <c r="AD193" s="2893"/>
      <c r="AE193" s="2893"/>
      <c r="AF193" s="2893"/>
      <c r="AG193" s="2893"/>
    </row>
    <row r="194" spans="1:33"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906"/>
      <c r="Y194" s="2906"/>
      <c r="Z194" s="2906"/>
      <c r="AA194" s="2906"/>
      <c r="AB194" s="2906"/>
      <c r="AC194" s="2906"/>
      <c r="AD194" s="2906"/>
      <c r="AE194" s="2906"/>
      <c r="AF194" s="2906"/>
      <c r="AG194" s="2906"/>
    </row>
    <row r="195" spans="1:33" ht="22.5" customHeight="1">
      <c r="A195" s="2907" t="s">
        <v>636</v>
      </c>
      <c r="B195" s="2907"/>
      <c r="C195" s="2907"/>
      <c r="D195" s="2907"/>
      <c r="E195" s="2907"/>
      <c r="F195" s="2907"/>
      <c r="G195" s="2907"/>
      <c r="H195" s="693"/>
      <c r="I195" s="597"/>
      <c r="J195" s="594"/>
      <c r="K195" s="693"/>
      <c r="L195" s="2908"/>
      <c r="M195" s="2908"/>
      <c r="N195" s="669"/>
      <c r="O195" s="594"/>
      <c r="P195" s="670"/>
      <c r="Q195" s="671"/>
      <c r="R195" s="682"/>
      <c r="S195" s="682"/>
      <c r="T195" s="682"/>
      <c r="U195" s="682"/>
      <c r="V195" s="682"/>
      <c r="W195" s="682"/>
      <c r="X195" s="2909"/>
      <c r="Y195" s="2909"/>
      <c r="Z195" s="2909"/>
      <c r="AA195" s="2909"/>
      <c r="AB195" s="2909"/>
      <c r="AC195" s="2909"/>
      <c r="AD195" s="2909"/>
      <c r="AE195" s="2909"/>
      <c r="AF195" s="2909"/>
      <c r="AG195" s="2909"/>
    </row>
    <row r="196" spans="1:33"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910"/>
      <c r="Y196" s="2910"/>
      <c r="Z196" s="2910"/>
      <c r="AA196" s="2910"/>
      <c r="AB196" s="2910"/>
      <c r="AC196" s="2910"/>
      <c r="AD196" s="2910"/>
      <c r="AE196" s="2910"/>
      <c r="AF196" s="2910"/>
      <c r="AG196" s="2910"/>
    </row>
    <row r="197" spans="1:33" ht="31.5" customHeight="1">
      <c r="A197" s="252"/>
      <c r="B197" s="2903" t="s">
        <v>242</v>
      </c>
      <c r="C197" s="2903"/>
      <c r="D197" s="2903"/>
      <c r="E197" s="2903"/>
      <c r="F197" s="6"/>
      <c r="G197" s="65"/>
      <c r="H197" s="801"/>
      <c r="I197" s="710"/>
      <c r="J197" s="711"/>
      <c r="K197" s="588"/>
      <c r="L197" s="710"/>
      <c r="M197" s="711"/>
      <c r="N197" s="588"/>
      <c r="O197" s="710"/>
      <c r="P197" s="712"/>
      <c r="Q197" s="588"/>
      <c r="R197" s="762"/>
      <c r="S197" s="762"/>
      <c r="T197" s="588"/>
      <c r="U197" s="762"/>
      <c r="V197" s="762"/>
      <c r="W197" s="588"/>
      <c r="X197" s="2893"/>
      <c r="Y197" s="2893"/>
      <c r="Z197" s="2893"/>
      <c r="AA197" s="2893"/>
      <c r="AB197" s="2893"/>
      <c r="AC197" s="2893"/>
      <c r="AD197" s="2893"/>
      <c r="AE197" s="2893"/>
      <c r="AF197" s="2893"/>
      <c r="AG197" s="2893"/>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911"/>
      <c r="Y198" s="2911"/>
      <c r="Z198" s="2911"/>
      <c r="AA198" s="2911"/>
      <c r="AB198" s="2911"/>
      <c r="AC198" s="2911"/>
      <c r="AD198" s="2911"/>
      <c r="AE198" s="2911"/>
      <c r="AF198" s="2911"/>
      <c r="AG198" s="2911"/>
    </row>
    <row r="199" spans="1:33" ht="18.649999999999999" customHeight="1">
      <c r="A199" s="252"/>
      <c r="B199" s="2903" t="s">
        <v>625</v>
      </c>
      <c r="C199" s="2903"/>
      <c r="D199" s="2903"/>
      <c r="E199" s="2903"/>
      <c r="F199" s="6"/>
      <c r="G199" s="65"/>
      <c r="H199" s="799"/>
      <c r="I199" s="710"/>
      <c r="J199" s="711"/>
      <c r="K199" s="628"/>
      <c r="L199" s="710"/>
      <c r="M199" s="711"/>
      <c r="N199" s="628"/>
      <c r="O199" s="710"/>
      <c r="P199" s="712"/>
      <c r="Q199" s="628"/>
      <c r="R199" s="762"/>
      <c r="S199" s="762"/>
      <c r="T199" s="628"/>
      <c r="U199" s="762"/>
      <c r="V199" s="762"/>
      <c r="W199" s="628"/>
      <c r="X199" s="2893"/>
      <c r="Y199" s="2893"/>
      <c r="Z199" s="2893"/>
      <c r="AA199" s="2893"/>
      <c r="AB199" s="2893"/>
      <c r="AC199" s="2893"/>
      <c r="AD199" s="2893"/>
      <c r="AE199" s="2893"/>
      <c r="AF199" s="2893"/>
      <c r="AG199" s="2893"/>
    </row>
    <row r="200" spans="1:33" ht="18.649999999999999" customHeight="1">
      <c r="A200" s="252"/>
      <c r="B200" s="2903" t="s">
        <v>626</v>
      </c>
      <c r="C200" s="2903"/>
      <c r="D200" s="2903"/>
      <c r="E200" s="2903"/>
      <c r="F200" s="6"/>
      <c r="G200" s="65"/>
      <c r="H200" s="480"/>
      <c r="I200" s="710"/>
      <c r="J200" s="711"/>
      <c r="K200" s="526"/>
      <c r="L200" s="710"/>
      <c r="M200" s="711"/>
      <c r="N200" s="526"/>
      <c r="O200" s="710"/>
      <c r="P200" s="712"/>
      <c r="Q200" s="526"/>
      <c r="R200" s="762"/>
      <c r="S200" s="762"/>
      <c r="T200" s="526"/>
      <c r="U200" s="762"/>
      <c r="V200" s="762"/>
      <c r="W200" s="526"/>
      <c r="X200" s="2893"/>
      <c r="Y200" s="2893"/>
      <c r="Z200" s="2893"/>
      <c r="AA200" s="2893"/>
      <c r="AB200" s="2893"/>
      <c r="AC200" s="2893"/>
      <c r="AD200" s="2893"/>
      <c r="AE200" s="2893"/>
      <c r="AF200" s="2893"/>
      <c r="AG200" s="2893"/>
    </row>
    <row r="201" spans="1:33" ht="28.5" customHeight="1">
      <c r="A201" s="252"/>
      <c r="B201" s="2903" t="s">
        <v>627</v>
      </c>
      <c r="C201" s="2903"/>
      <c r="D201" s="2903"/>
      <c r="E201" s="2903"/>
      <c r="F201" s="6"/>
      <c r="G201" s="65"/>
      <c r="H201" s="794"/>
      <c r="I201" s="710"/>
      <c r="J201" s="711"/>
      <c r="K201" s="561"/>
      <c r="L201" s="710"/>
      <c r="M201" s="711"/>
      <c r="N201" s="561"/>
      <c r="O201" s="710"/>
      <c r="P201" s="712"/>
      <c r="Q201" s="561"/>
      <c r="R201" s="762"/>
      <c r="S201" s="762"/>
      <c r="T201" s="561"/>
      <c r="U201" s="762"/>
      <c r="V201" s="762"/>
      <c r="W201" s="561"/>
      <c r="X201" s="2893"/>
      <c r="Y201" s="2893"/>
      <c r="Z201" s="2893"/>
      <c r="AA201" s="2893"/>
      <c r="AB201" s="2893"/>
      <c r="AC201" s="2893"/>
      <c r="AD201" s="2893"/>
      <c r="AE201" s="2893"/>
      <c r="AF201" s="2893"/>
      <c r="AG201" s="2893"/>
    </row>
    <row r="202" spans="1:33" ht="28.5" customHeight="1">
      <c r="A202" s="252"/>
      <c r="B202" s="2904" t="s">
        <v>628</v>
      </c>
      <c r="C202" s="2904"/>
      <c r="D202" s="2904"/>
      <c r="E202" s="2904"/>
      <c r="F202" s="6"/>
      <c r="G202" s="65"/>
      <c r="H202" s="480"/>
      <c r="I202" s="710"/>
      <c r="J202" s="711"/>
      <c r="K202" s="526"/>
      <c r="L202" s="710"/>
      <c r="M202" s="711"/>
      <c r="N202" s="526"/>
      <c r="O202" s="710"/>
      <c r="P202" s="712"/>
      <c r="Q202" s="526"/>
      <c r="R202" s="762"/>
      <c r="S202" s="762"/>
      <c r="T202" s="526"/>
      <c r="U202" s="762"/>
      <c r="V202" s="762"/>
      <c r="W202" s="526"/>
      <c r="X202" s="2893"/>
      <c r="Y202" s="2893"/>
      <c r="Z202" s="2893"/>
      <c r="AA202" s="2893"/>
      <c r="AB202" s="2893"/>
      <c r="AC202" s="2893"/>
      <c r="AD202" s="2893"/>
      <c r="AE202" s="2893"/>
      <c r="AF202" s="2893"/>
      <c r="AG202" s="2893"/>
    </row>
    <row r="203" spans="1:33" ht="32.9" customHeight="1">
      <c r="A203" s="252"/>
      <c r="B203" s="2904" t="s">
        <v>629</v>
      </c>
      <c r="C203" s="2904"/>
      <c r="D203" s="2904"/>
      <c r="E203" s="2904"/>
      <c r="F203" s="6"/>
      <c r="G203" s="65"/>
      <c r="H203" s="795"/>
      <c r="I203" s="710"/>
      <c r="J203" s="711"/>
      <c r="K203" s="568"/>
      <c r="L203" s="710"/>
      <c r="M203" s="711"/>
      <c r="N203" s="568"/>
      <c r="O203" s="710"/>
      <c r="P203" s="712"/>
      <c r="Q203" s="568"/>
      <c r="R203" s="762"/>
      <c r="S203" s="762"/>
      <c r="T203" s="568"/>
      <c r="U203" s="762"/>
      <c r="V203" s="762"/>
      <c r="W203" s="568"/>
      <c r="X203" s="2893"/>
      <c r="Y203" s="2893"/>
      <c r="Z203" s="2893"/>
      <c r="AA203" s="2893"/>
      <c r="AB203" s="2893"/>
      <c r="AC203" s="2893"/>
      <c r="AD203" s="2893"/>
      <c r="AE203" s="2893"/>
      <c r="AF203" s="2893"/>
      <c r="AG203" s="2893"/>
    </row>
    <row r="204" spans="1:33" ht="18.649999999999999" customHeight="1">
      <c r="A204" s="252"/>
      <c r="B204" s="2903" t="s">
        <v>630</v>
      </c>
      <c r="C204" s="2903"/>
      <c r="D204" s="2903"/>
      <c r="E204" s="2903"/>
      <c r="F204" s="6"/>
      <c r="G204" s="65"/>
      <c r="H204" s="480"/>
      <c r="I204" s="710"/>
      <c r="J204" s="711"/>
      <c r="K204" s="526"/>
      <c r="L204" s="710"/>
      <c r="M204" s="711"/>
      <c r="N204" s="526"/>
      <c r="O204" s="710"/>
      <c r="P204" s="712"/>
      <c r="Q204" s="526"/>
      <c r="R204" s="762"/>
      <c r="S204" s="762"/>
      <c r="T204" s="526"/>
      <c r="U204" s="762"/>
      <c r="V204" s="762"/>
      <c r="W204" s="526"/>
      <c r="X204" s="2893"/>
      <c r="Y204" s="2893"/>
      <c r="Z204" s="2893"/>
      <c r="AA204" s="2893"/>
      <c r="AB204" s="2893"/>
      <c r="AC204" s="2893"/>
      <c r="AD204" s="2893"/>
      <c r="AE204" s="2893"/>
      <c r="AF204" s="2893"/>
      <c r="AG204" s="2893"/>
    </row>
    <row r="205" spans="1:33" ht="18.649999999999999" customHeight="1">
      <c r="A205" s="252"/>
      <c r="B205" s="2904" t="s">
        <v>634</v>
      </c>
      <c r="C205" s="2904"/>
      <c r="D205" s="2904"/>
      <c r="E205" s="2904"/>
      <c r="F205" s="6"/>
      <c r="G205" s="65"/>
      <c r="H205" s="481"/>
      <c r="I205" s="710"/>
      <c r="J205" s="711"/>
      <c r="K205" s="553"/>
      <c r="L205" s="710"/>
      <c r="M205" s="711"/>
      <c r="N205" s="553"/>
      <c r="O205" s="710"/>
      <c r="P205" s="712"/>
      <c r="Q205" s="553"/>
      <c r="R205" s="762"/>
      <c r="S205" s="762"/>
      <c r="T205" s="553"/>
      <c r="U205" s="762"/>
      <c r="V205" s="762"/>
      <c r="W205" s="553"/>
      <c r="X205" s="2893"/>
      <c r="Y205" s="2893"/>
      <c r="Z205" s="2893"/>
      <c r="AA205" s="2893"/>
      <c r="AB205" s="2893"/>
      <c r="AC205" s="2893"/>
      <c r="AD205" s="2893"/>
      <c r="AE205" s="2893"/>
      <c r="AF205" s="2893"/>
      <c r="AG205" s="2893"/>
    </row>
    <row r="206" spans="1:33" ht="36.75" customHeight="1">
      <c r="A206" s="252"/>
      <c r="B206" s="2903" t="s">
        <v>1551</v>
      </c>
      <c r="C206" s="2903"/>
      <c r="D206" s="2903"/>
      <c r="E206" s="2903"/>
      <c r="F206" s="6"/>
      <c r="G206" s="65"/>
      <c r="H206" s="796"/>
      <c r="I206" s="710"/>
      <c r="J206" s="711"/>
      <c r="K206" s="619"/>
      <c r="L206" s="710"/>
      <c r="M206" s="711"/>
      <c r="N206" s="619"/>
      <c r="O206" s="710"/>
      <c r="P206" s="712"/>
      <c r="Q206" s="619"/>
      <c r="R206" s="762"/>
      <c r="S206" s="762"/>
      <c r="T206" s="619"/>
      <c r="U206" s="762"/>
      <c r="V206" s="762"/>
      <c r="W206" s="619"/>
      <c r="X206" s="2893"/>
      <c r="Y206" s="2893"/>
      <c r="Z206" s="2893"/>
      <c r="AA206" s="2893"/>
      <c r="AB206" s="2893"/>
      <c r="AC206" s="2893"/>
      <c r="AD206" s="2893"/>
      <c r="AE206" s="2893"/>
      <c r="AF206" s="2893"/>
      <c r="AG206" s="2893"/>
    </row>
    <row r="207" spans="1:33" ht="36.75" customHeight="1">
      <c r="A207" s="252"/>
      <c r="B207" s="2903" t="s">
        <v>1552</v>
      </c>
      <c r="C207" s="2903"/>
      <c r="D207" s="2903"/>
      <c r="E207" s="2903"/>
      <c r="F207" s="6"/>
      <c r="G207" s="65"/>
      <c r="H207" s="796"/>
      <c r="I207" s="710"/>
      <c r="J207" s="711"/>
      <c r="K207" s="619"/>
      <c r="L207" s="710"/>
      <c r="M207" s="711"/>
      <c r="N207" s="619"/>
      <c r="O207" s="710"/>
      <c r="P207" s="712"/>
      <c r="Q207" s="619"/>
      <c r="R207" s="762"/>
      <c r="S207" s="762"/>
      <c r="T207" s="619"/>
      <c r="U207" s="762"/>
      <c r="V207" s="762"/>
      <c r="W207" s="619"/>
      <c r="X207" s="2893"/>
      <c r="Y207" s="2893"/>
      <c r="Z207" s="2893"/>
      <c r="AA207" s="2893"/>
      <c r="AB207" s="2893"/>
      <c r="AC207" s="2893"/>
      <c r="AD207" s="2893"/>
      <c r="AE207" s="2893"/>
      <c r="AF207" s="2893"/>
      <c r="AG207" s="2893"/>
    </row>
    <row r="208" spans="1:33" ht="32.9" customHeight="1">
      <c r="A208" s="252"/>
      <c r="B208" s="2903" t="s">
        <v>331</v>
      </c>
      <c r="C208" s="2903"/>
      <c r="D208" s="2903"/>
      <c r="E208" s="2903"/>
      <c r="F208" s="6"/>
      <c r="G208" s="65"/>
      <c r="H208" s="480"/>
      <c r="I208" s="710"/>
      <c r="J208" s="711"/>
      <c r="K208" s="526"/>
      <c r="L208" s="710"/>
      <c r="M208" s="711"/>
      <c r="N208" s="526"/>
      <c r="O208" s="710"/>
      <c r="P208" s="712"/>
      <c r="Q208" s="526"/>
      <c r="R208" s="762"/>
      <c r="S208" s="762"/>
      <c r="T208" s="526"/>
      <c r="U208" s="762"/>
      <c r="V208" s="762"/>
      <c r="W208" s="526"/>
      <c r="X208" s="2893"/>
      <c r="Y208" s="2893"/>
      <c r="Z208" s="2893"/>
      <c r="AA208" s="2893"/>
      <c r="AB208" s="2893"/>
      <c r="AC208" s="2893"/>
      <c r="AD208" s="2893"/>
      <c r="AE208" s="2893"/>
      <c r="AF208" s="2893"/>
      <c r="AG208" s="2893"/>
    </row>
    <row r="209" spans="1:33" ht="14.9" customHeight="1">
      <c r="A209" s="252"/>
      <c r="B209" s="2904" t="s">
        <v>332</v>
      </c>
      <c r="C209" s="2904"/>
      <c r="D209" s="2904"/>
      <c r="E209" s="2904"/>
      <c r="F209" s="6"/>
      <c r="G209" s="63"/>
      <c r="H209" s="480"/>
      <c r="I209" s="710"/>
      <c r="J209" s="582"/>
      <c r="K209" s="526"/>
      <c r="L209" s="710"/>
      <c r="M209" s="582"/>
      <c r="N209" s="526"/>
      <c r="O209" s="710"/>
      <c r="P209" s="582"/>
      <c r="Q209" s="526"/>
      <c r="R209" s="762"/>
      <c r="S209" s="762"/>
      <c r="T209" s="526"/>
      <c r="U209" s="762"/>
      <c r="V209" s="762"/>
      <c r="W209" s="526"/>
      <c r="X209" s="2893"/>
      <c r="Y209" s="2893"/>
      <c r="Z209" s="2893"/>
      <c r="AA209" s="2893"/>
      <c r="AB209" s="2893"/>
      <c r="AC209" s="2893"/>
      <c r="AD209" s="2893"/>
      <c r="AE209" s="2893"/>
      <c r="AF209" s="2893"/>
      <c r="AG209" s="2893"/>
    </row>
    <row r="210" spans="1:33" ht="18.649999999999999" customHeight="1">
      <c r="A210" s="252"/>
      <c r="B210" s="2903" t="s">
        <v>333</v>
      </c>
      <c r="C210" s="2903"/>
      <c r="D210" s="2903"/>
      <c r="E210" s="2903"/>
      <c r="F210" s="6"/>
      <c r="G210" s="65"/>
      <c r="H210" s="480"/>
      <c r="I210" s="710"/>
      <c r="J210" s="711"/>
      <c r="K210" s="526"/>
      <c r="L210" s="710"/>
      <c r="M210" s="711"/>
      <c r="N210" s="526"/>
      <c r="O210" s="710"/>
      <c r="P210" s="712"/>
      <c r="Q210" s="526"/>
      <c r="R210" s="762"/>
      <c r="S210" s="762"/>
      <c r="T210" s="526"/>
      <c r="U210" s="762"/>
      <c r="V210" s="762"/>
      <c r="W210" s="526"/>
      <c r="X210" s="2893"/>
      <c r="Y210" s="2893"/>
      <c r="Z210" s="2893"/>
      <c r="AA210" s="2893"/>
      <c r="AB210" s="2893"/>
      <c r="AC210" s="2893"/>
      <c r="AD210" s="2893"/>
      <c r="AE210" s="2893"/>
      <c r="AF210" s="2893"/>
      <c r="AG210" s="2893"/>
    </row>
    <row r="211" spans="1:33" ht="14.9" customHeight="1">
      <c r="A211" s="252"/>
      <c r="B211" s="2903" t="s">
        <v>334</v>
      </c>
      <c r="C211" s="2903"/>
      <c r="D211" s="2903"/>
      <c r="E211" s="2903"/>
      <c r="F211" s="6"/>
      <c r="G211" s="63"/>
      <c r="H211" s="480"/>
      <c r="I211" s="710"/>
      <c r="J211" s="582"/>
      <c r="K211" s="526"/>
      <c r="L211" s="710"/>
      <c r="M211" s="582"/>
      <c r="N211" s="526"/>
      <c r="O211" s="710"/>
      <c r="P211" s="582"/>
      <c r="Q211" s="526"/>
      <c r="R211" s="762"/>
      <c r="S211" s="762"/>
      <c r="T211" s="526"/>
      <c r="U211" s="762"/>
      <c r="V211" s="762"/>
      <c r="W211" s="526"/>
      <c r="X211" s="2893"/>
      <c r="Y211" s="2893"/>
      <c r="Z211" s="2893"/>
      <c r="AA211" s="2893"/>
      <c r="AB211" s="2893"/>
      <c r="AC211" s="2893"/>
      <c r="AD211" s="2893"/>
      <c r="AE211" s="2893"/>
      <c r="AF211" s="2893"/>
      <c r="AG211" s="2893"/>
    </row>
    <row r="212" spans="1:33" ht="14.9" customHeight="1">
      <c r="A212" s="252"/>
      <c r="B212" s="2904" t="s">
        <v>335</v>
      </c>
      <c r="C212" s="2904"/>
      <c r="D212" s="2904"/>
      <c r="E212" s="2904"/>
      <c r="H212" s="480"/>
      <c r="I212" s="713"/>
      <c r="J212" s="713"/>
      <c r="K212" s="526"/>
      <c r="L212" s="713"/>
      <c r="M212" s="713"/>
      <c r="N212" s="526"/>
      <c r="O212" s="713"/>
      <c r="P212" s="713"/>
      <c r="Q212" s="526"/>
      <c r="R212" s="762"/>
      <c r="S212" s="762"/>
      <c r="T212" s="526"/>
      <c r="U212" s="762"/>
      <c r="V212" s="762"/>
      <c r="W212" s="526"/>
      <c r="X212" s="2893"/>
      <c r="Y212" s="2893"/>
      <c r="Z212" s="2893"/>
      <c r="AA212" s="2893"/>
      <c r="AB212" s="2893"/>
      <c r="AC212" s="2893"/>
      <c r="AD212" s="2893"/>
      <c r="AE212" s="2893"/>
      <c r="AF212" s="2893"/>
      <c r="AG212" s="2893"/>
    </row>
    <row r="213" spans="1:33" ht="14.9" customHeight="1">
      <c r="A213" s="252"/>
      <c r="B213" s="2903" t="s">
        <v>336</v>
      </c>
      <c r="C213" s="2903"/>
      <c r="D213" s="2903"/>
      <c r="E213" s="2903"/>
      <c r="F213" s="6"/>
      <c r="G213" s="63"/>
      <c r="H213" s="480"/>
      <c r="I213" s="710"/>
      <c r="J213" s="582"/>
      <c r="K213" s="526"/>
      <c r="L213" s="710"/>
      <c r="M213" s="582"/>
      <c r="N213" s="526"/>
      <c r="O213" s="710"/>
      <c r="P213" s="582"/>
      <c r="Q213" s="526"/>
      <c r="R213" s="762"/>
      <c r="S213" s="762"/>
      <c r="T213" s="526"/>
      <c r="U213" s="762"/>
      <c r="V213" s="762"/>
      <c r="W213" s="526"/>
      <c r="X213" s="2893"/>
      <c r="Y213" s="2893"/>
      <c r="Z213" s="2893"/>
      <c r="AA213" s="2893"/>
      <c r="AB213" s="2893"/>
      <c r="AC213" s="2893"/>
      <c r="AD213" s="2893"/>
      <c r="AE213" s="2893"/>
      <c r="AF213" s="2893"/>
      <c r="AG213" s="2893"/>
    </row>
    <row r="214" spans="1:33" ht="32.9" customHeight="1">
      <c r="A214" s="252"/>
      <c r="B214" s="2903" t="s">
        <v>337</v>
      </c>
      <c r="C214" s="2903"/>
      <c r="D214" s="2903"/>
      <c r="E214" s="2903"/>
      <c r="F214" s="6"/>
      <c r="G214" s="63"/>
      <c r="H214" s="480"/>
      <c r="I214" s="710"/>
      <c r="J214" s="582"/>
      <c r="K214" s="526"/>
      <c r="L214" s="710"/>
      <c r="M214" s="582"/>
      <c r="N214" s="526"/>
      <c r="O214" s="710"/>
      <c r="P214" s="582"/>
      <c r="Q214" s="526"/>
      <c r="R214" s="762"/>
      <c r="S214" s="762"/>
      <c r="T214" s="526"/>
      <c r="U214" s="762"/>
      <c r="V214" s="762"/>
      <c r="W214" s="526"/>
      <c r="X214" s="2893"/>
      <c r="Y214" s="2893"/>
      <c r="Z214" s="2893"/>
      <c r="AA214" s="2893"/>
      <c r="AB214" s="2893"/>
      <c r="AC214" s="2893"/>
      <c r="AD214" s="2893"/>
      <c r="AE214" s="2893"/>
      <c r="AF214" s="2893"/>
      <c r="AG214" s="2893"/>
    </row>
    <row r="215" spans="1:33" ht="32.9" customHeight="1">
      <c r="A215" s="252"/>
      <c r="B215" s="2903" t="s">
        <v>338</v>
      </c>
      <c r="C215" s="2903"/>
      <c r="D215" s="2903"/>
      <c r="E215" s="2903"/>
      <c r="F215" s="6"/>
      <c r="G215" s="63"/>
      <c r="H215" s="480"/>
      <c r="I215" s="710"/>
      <c r="J215" s="582"/>
      <c r="K215" s="526"/>
      <c r="L215" s="710"/>
      <c r="M215" s="582"/>
      <c r="N215" s="526"/>
      <c r="O215" s="710"/>
      <c r="P215" s="582"/>
      <c r="Q215" s="526"/>
      <c r="R215" s="762"/>
      <c r="S215" s="762"/>
      <c r="T215" s="526"/>
      <c r="U215" s="762"/>
      <c r="V215" s="762"/>
      <c r="W215" s="526"/>
      <c r="X215" s="2893"/>
      <c r="Y215" s="2893"/>
      <c r="Z215" s="2893"/>
      <c r="AA215" s="2893"/>
      <c r="AB215" s="2893"/>
      <c r="AC215" s="2893"/>
      <c r="AD215" s="2893"/>
      <c r="AE215" s="2893"/>
      <c r="AF215" s="2893"/>
      <c r="AG215" s="2893"/>
    </row>
    <row r="216" spans="1:33" ht="14.9" customHeight="1">
      <c r="A216" s="252"/>
      <c r="B216" s="2903" t="s">
        <v>735</v>
      </c>
      <c r="C216" s="2903"/>
      <c r="D216" s="2903"/>
      <c r="E216" s="2903"/>
      <c r="F216" s="6"/>
      <c r="G216" s="63"/>
      <c r="H216" s="480"/>
      <c r="I216" s="710"/>
      <c r="J216" s="582"/>
      <c r="K216" s="526"/>
      <c r="L216" s="710"/>
      <c r="M216" s="582"/>
      <c r="N216" s="526"/>
      <c r="O216" s="710"/>
      <c r="P216" s="582"/>
      <c r="Q216" s="526"/>
      <c r="R216" s="762"/>
      <c r="S216" s="762"/>
      <c r="T216" s="526"/>
      <c r="U216" s="762"/>
      <c r="V216" s="762"/>
      <c r="W216" s="526"/>
      <c r="X216" s="2893"/>
      <c r="Y216" s="2893"/>
      <c r="Z216" s="2893"/>
      <c r="AA216" s="2893"/>
      <c r="AB216" s="2893"/>
      <c r="AC216" s="2893"/>
      <c r="AD216" s="2893"/>
      <c r="AE216" s="2893"/>
      <c r="AF216" s="2893"/>
      <c r="AG216" s="2893"/>
    </row>
    <row r="217" spans="1:33" ht="15" customHeight="1">
      <c r="A217" s="252"/>
      <c r="B217" s="2903" t="s">
        <v>734</v>
      </c>
      <c r="C217" s="2903"/>
      <c r="D217" s="2903"/>
      <c r="E217" s="2903"/>
      <c r="F217" s="6"/>
      <c r="G217" s="63"/>
      <c r="H217" s="797"/>
      <c r="I217" s="710"/>
      <c r="J217" s="582"/>
      <c r="K217" s="562"/>
      <c r="L217" s="710"/>
      <c r="M217" s="582"/>
      <c r="N217" s="562"/>
      <c r="O217" s="710"/>
      <c r="P217" s="582"/>
      <c r="Q217" s="562"/>
      <c r="R217" s="762"/>
      <c r="S217" s="762"/>
      <c r="T217" s="562"/>
      <c r="U217" s="762"/>
      <c r="V217" s="762"/>
      <c r="W217" s="562"/>
      <c r="X217" s="2893"/>
      <c r="Y217" s="2893"/>
      <c r="Z217" s="2893"/>
      <c r="AA217" s="2893"/>
      <c r="AB217" s="2893"/>
      <c r="AC217" s="2893"/>
      <c r="AD217" s="2893"/>
      <c r="AE217" s="2893"/>
      <c r="AF217" s="2893"/>
      <c r="AG217" s="2893"/>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911"/>
      <c r="Y218" s="2911"/>
      <c r="Z218" s="2911"/>
      <c r="AA218" s="2911"/>
      <c r="AB218" s="2911"/>
      <c r="AC218" s="2911"/>
      <c r="AD218" s="2911"/>
      <c r="AE218" s="2911"/>
      <c r="AF218" s="2911"/>
      <c r="AG218" s="2911"/>
    </row>
    <row r="219" spans="1:33" ht="14.9" customHeight="1">
      <c r="A219" s="252"/>
      <c r="B219" s="2903" t="s">
        <v>625</v>
      </c>
      <c r="C219" s="2903"/>
      <c r="D219" s="2903"/>
      <c r="E219" s="2903"/>
      <c r="F219" s="6"/>
      <c r="G219" s="65"/>
      <c r="H219" s="799"/>
      <c r="I219" s="710"/>
      <c r="J219" s="711"/>
      <c r="K219" s="628"/>
      <c r="L219" s="710"/>
      <c r="M219" s="711"/>
      <c r="N219" s="628"/>
      <c r="O219" s="710"/>
      <c r="P219" s="712"/>
      <c r="Q219" s="628"/>
      <c r="R219" s="762"/>
      <c r="S219" s="762"/>
      <c r="T219" s="628"/>
      <c r="U219" s="762"/>
      <c r="V219" s="762"/>
      <c r="W219" s="628"/>
      <c r="X219" s="2893"/>
      <c r="Y219" s="2893"/>
      <c r="Z219" s="2893"/>
      <c r="AA219" s="2893"/>
      <c r="AB219" s="2893"/>
      <c r="AC219" s="2893"/>
      <c r="AD219" s="2893"/>
      <c r="AE219" s="2893"/>
      <c r="AF219" s="2893"/>
      <c r="AG219" s="2893"/>
    </row>
    <row r="220" spans="1:33" ht="14.9" customHeight="1">
      <c r="A220" s="252"/>
      <c r="B220" s="2903" t="s">
        <v>626</v>
      </c>
      <c r="C220" s="2903"/>
      <c r="D220" s="2903"/>
      <c r="E220" s="2903"/>
      <c r="F220" s="6"/>
      <c r="G220" s="63"/>
      <c r="H220" s="480"/>
      <c r="I220" s="710"/>
      <c r="J220" s="582"/>
      <c r="K220" s="526"/>
      <c r="L220" s="710"/>
      <c r="M220" s="582"/>
      <c r="N220" s="526"/>
      <c r="O220" s="710"/>
      <c r="P220" s="582"/>
      <c r="Q220" s="526"/>
      <c r="R220" s="762"/>
      <c r="S220" s="762"/>
      <c r="T220" s="526"/>
      <c r="U220" s="762"/>
      <c r="V220" s="762"/>
      <c r="W220" s="526"/>
      <c r="X220" s="2893"/>
      <c r="Y220" s="2893"/>
      <c r="Z220" s="2893"/>
      <c r="AA220" s="2893"/>
      <c r="AB220" s="2893"/>
      <c r="AC220" s="2893"/>
      <c r="AD220" s="2893"/>
      <c r="AE220" s="2893"/>
      <c r="AF220" s="2893"/>
      <c r="AG220" s="2893"/>
    </row>
    <row r="221" spans="1:33" ht="14.9" customHeight="1">
      <c r="A221" s="252"/>
      <c r="B221" s="2903" t="s">
        <v>627</v>
      </c>
      <c r="C221" s="2903"/>
      <c r="D221" s="2903"/>
      <c r="E221" s="2903"/>
      <c r="F221" s="6"/>
      <c r="G221" s="63"/>
      <c r="H221" s="794"/>
      <c r="I221" s="710"/>
      <c r="J221" s="582"/>
      <c r="K221" s="561"/>
      <c r="L221" s="710"/>
      <c r="M221" s="582"/>
      <c r="N221" s="561"/>
      <c r="O221" s="710"/>
      <c r="P221" s="582"/>
      <c r="Q221" s="561"/>
      <c r="R221" s="762"/>
      <c r="S221" s="762"/>
      <c r="T221" s="561"/>
      <c r="U221" s="762"/>
      <c r="V221" s="762"/>
      <c r="W221" s="561"/>
      <c r="X221" s="2893"/>
      <c r="Y221" s="2893"/>
      <c r="Z221" s="2893"/>
      <c r="AA221" s="2893"/>
      <c r="AB221" s="2893"/>
      <c r="AC221" s="2893"/>
      <c r="AD221" s="2893"/>
      <c r="AE221" s="2893"/>
      <c r="AF221" s="2893"/>
      <c r="AG221" s="2893"/>
    </row>
    <row r="222" spans="1:33" ht="14.9" customHeight="1">
      <c r="A222" s="252"/>
      <c r="B222" s="2904" t="s">
        <v>628</v>
      </c>
      <c r="C222" s="2904"/>
      <c r="D222" s="2904"/>
      <c r="E222" s="2904"/>
      <c r="F222" s="6"/>
      <c r="G222" s="63"/>
      <c r="H222" s="480"/>
      <c r="I222" s="710"/>
      <c r="J222" s="582"/>
      <c r="K222" s="526"/>
      <c r="L222" s="710"/>
      <c r="M222" s="582"/>
      <c r="N222" s="526"/>
      <c r="O222" s="710"/>
      <c r="P222" s="582"/>
      <c r="Q222" s="526"/>
      <c r="R222" s="762"/>
      <c r="S222" s="762"/>
      <c r="T222" s="526"/>
      <c r="U222" s="762"/>
      <c r="V222" s="762"/>
      <c r="W222" s="526"/>
      <c r="X222" s="2893"/>
      <c r="Y222" s="2893"/>
      <c r="Z222" s="2893"/>
      <c r="AA222" s="2893"/>
      <c r="AB222" s="2893"/>
      <c r="AC222" s="2893"/>
      <c r="AD222" s="2893"/>
      <c r="AE222" s="2893"/>
      <c r="AF222" s="2893"/>
      <c r="AG222" s="2893"/>
    </row>
    <row r="223" spans="1:33" ht="32.9" customHeight="1">
      <c r="A223" s="252"/>
      <c r="B223" s="2904" t="s">
        <v>629</v>
      </c>
      <c r="C223" s="2904"/>
      <c r="D223" s="2904"/>
      <c r="E223" s="2904"/>
      <c r="F223" s="6"/>
      <c r="G223" s="65"/>
      <c r="H223" s="795"/>
      <c r="I223" s="710"/>
      <c r="J223" s="711"/>
      <c r="K223" s="568"/>
      <c r="L223" s="710"/>
      <c r="M223" s="711"/>
      <c r="N223" s="568"/>
      <c r="O223" s="710"/>
      <c r="P223" s="712"/>
      <c r="Q223" s="568"/>
      <c r="R223" s="762"/>
      <c r="S223" s="762"/>
      <c r="T223" s="568"/>
      <c r="U223" s="762"/>
      <c r="V223" s="762"/>
      <c r="W223" s="568"/>
      <c r="X223" s="2893"/>
      <c r="Y223" s="2893"/>
      <c r="Z223" s="2893"/>
      <c r="AA223" s="2893"/>
      <c r="AB223" s="2893"/>
      <c r="AC223" s="2893"/>
      <c r="AD223" s="2893"/>
      <c r="AE223" s="2893"/>
      <c r="AF223" s="2893"/>
      <c r="AG223" s="2893"/>
    </row>
    <row r="224" spans="1:33" ht="14.9" customHeight="1">
      <c r="A224" s="252"/>
      <c r="B224" s="2903" t="s">
        <v>630</v>
      </c>
      <c r="C224" s="2903"/>
      <c r="D224" s="2903"/>
      <c r="E224" s="2903"/>
      <c r="F224" s="6"/>
      <c r="G224" s="65"/>
      <c r="H224" s="480"/>
      <c r="I224" s="710"/>
      <c r="J224" s="711"/>
      <c r="K224" s="526"/>
      <c r="L224" s="710"/>
      <c r="M224" s="711"/>
      <c r="N224" s="526"/>
      <c r="O224" s="710"/>
      <c r="P224" s="712"/>
      <c r="Q224" s="526"/>
      <c r="R224" s="762"/>
      <c r="S224" s="762"/>
      <c r="T224" s="526"/>
      <c r="U224" s="762"/>
      <c r="V224" s="762"/>
      <c r="W224" s="526"/>
      <c r="X224" s="2893"/>
      <c r="Y224" s="2893"/>
      <c r="Z224" s="2893"/>
      <c r="AA224" s="2893"/>
      <c r="AB224" s="2893"/>
      <c r="AC224" s="2893"/>
      <c r="AD224" s="2893"/>
      <c r="AE224" s="2893"/>
      <c r="AF224" s="2893"/>
      <c r="AG224" s="2893"/>
    </row>
    <row r="225" spans="1:33" ht="14.9" customHeight="1">
      <c r="A225" s="252"/>
      <c r="B225" s="2904" t="s">
        <v>634</v>
      </c>
      <c r="C225" s="2904"/>
      <c r="D225" s="2904"/>
      <c r="E225" s="2904"/>
      <c r="F225" s="6"/>
      <c r="G225" s="65"/>
      <c r="H225" s="481"/>
      <c r="I225" s="710"/>
      <c r="J225" s="711"/>
      <c r="K225" s="553"/>
      <c r="L225" s="710"/>
      <c r="M225" s="711"/>
      <c r="N225" s="553"/>
      <c r="O225" s="710"/>
      <c r="P225" s="712"/>
      <c r="Q225" s="553"/>
      <c r="R225" s="762"/>
      <c r="S225" s="762"/>
      <c r="T225" s="553"/>
      <c r="U225" s="762"/>
      <c r="V225" s="762"/>
      <c r="W225" s="553"/>
      <c r="X225" s="2893"/>
      <c r="Y225" s="2893"/>
      <c r="Z225" s="2893"/>
      <c r="AA225" s="2893"/>
      <c r="AB225" s="2893"/>
      <c r="AC225" s="2893"/>
      <c r="AD225" s="2893"/>
      <c r="AE225" s="2893"/>
      <c r="AF225" s="2893"/>
      <c r="AG225" s="2893"/>
    </row>
    <row r="226" spans="1:33" ht="30.75" customHeight="1">
      <c r="A226" s="252"/>
      <c r="B226" s="2903" t="s">
        <v>1551</v>
      </c>
      <c r="C226" s="2903"/>
      <c r="D226" s="2903"/>
      <c r="E226" s="2903"/>
      <c r="F226" s="6"/>
      <c r="G226" s="65"/>
      <c r="H226" s="796"/>
      <c r="I226" s="710"/>
      <c r="J226" s="711"/>
      <c r="K226" s="619"/>
      <c r="L226" s="710"/>
      <c r="M226" s="711"/>
      <c r="N226" s="619"/>
      <c r="O226" s="710"/>
      <c r="P226" s="712"/>
      <c r="Q226" s="619"/>
      <c r="R226" s="762"/>
      <c r="S226" s="762"/>
      <c r="T226" s="619"/>
      <c r="U226" s="762"/>
      <c r="V226" s="762"/>
      <c r="W226" s="619"/>
      <c r="X226" s="2893"/>
      <c r="Y226" s="2893"/>
      <c r="Z226" s="2893"/>
      <c r="AA226" s="2893"/>
      <c r="AB226" s="2893"/>
      <c r="AC226" s="2893"/>
      <c r="AD226" s="2893"/>
      <c r="AE226" s="2893"/>
      <c r="AF226" s="2893"/>
      <c r="AG226" s="2893"/>
    </row>
    <row r="227" spans="1:33" ht="30.75" customHeight="1">
      <c r="A227" s="252"/>
      <c r="B227" s="2903" t="s">
        <v>1552</v>
      </c>
      <c r="C227" s="2903"/>
      <c r="D227" s="2903"/>
      <c r="E227" s="2903"/>
      <c r="F227" s="6"/>
      <c r="G227" s="65"/>
      <c r="H227" s="796"/>
      <c r="I227" s="710"/>
      <c r="J227" s="711"/>
      <c r="K227" s="619"/>
      <c r="L227" s="710"/>
      <c r="M227" s="711"/>
      <c r="N227" s="619"/>
      <c r="O227" s="710"/>
      <c r="P227" s="712"/>
      <c r="Q227" s="619"/>
      <c r="R227" s="762"/>
      <c r="S227" s="762"/>
      <c r="T227" s="619"/>
      <c r="U227" s="762"/>
      <c r="V227" s="762"/>
      <c r="W227" s="619"/>
      <c r="X227" s="2893"/>
      <c r="Y227" s="2893"/>
      <c r="Z227" s="2893"/>
      <c r="AA227" s="2893"/>
      <c r="AB227" s="2893"/>
      <c r="AC227" s="2893"/>
      <c r="AD227" s="2893"/>
      <c r="AE227" s="2893"/>
      <c r="AF227" s="2893"/>
      <c r="AG227" s="2893"/>
    </row>
    <row r="228" spans="1:33" ht="32.9" customHeight="1">
      <c r="A228" s="252"/>
      <c r="B228" s="2903" t="s">
        <v>331</v>
      </c>
      <c r="C228" s="2903"/>
      <c r="D228" s="2903"/>
      <c r="E228" s="2903"/>
      <c r="F228" s="6"/>
      <c r="G228" s="65"/>
      <c r="H228" s="480"/>
      <c r="I228" s="710"/>
      <c r="J228" s="711"/>
      <c r="K228" s="526"/>
      <c r="L228" s="710"/>
      <c r="M228" s="711"/>
      <c r="N228" s="526"/>
      <c r="O228" s="710"/>
      <c r="P228" s="712"/>
      <c r="Q228" s="526"/>
      <c r="R228" s="762"/>
      <c r="S228" s="762"/>
      <c r="T228" s="526"/>
      <c r="U228" s="762"/>
      <c r="V228" s="762"/>
      <c r="W228" s="526"/>
      <c r="X228" s="2893"/>
      <c r="Y228" s="2893"/>
      <c r="Z228" s="2893"/>
      <c r="AA228" s="2893"/>
      <c r="AB228" s="2893"/>
      <c r="AC228" s="2893"/>
      <c r="AD228" s="2893"/>
      <c r="AE228" s="2893"/>
      <c r="AF228" s="2893"/>
      <c r="AG228" s="2893"/>
    </row>
    <row r="229" spans="1:33" ht="14.9" customHeight="1">
      <c r="A229" s="252"/>
      <c r="B229" s="2904" t="s">
        <v>332</v>
      </c>
      <c r="C229" s="2904"/>
      <c r="D229" s="2904"/>
      <c r="E229" s="2904"/>
      <c r="F229" s="6"/>
      <c r="G229" s="63"/>
      <c r="H229" s="480"/>
      <c r="I229" s="710"/>
      <c r="J229" s="582"/>
      <c r="K229" s="526"/>
      <c r="L229" s="710"/>
      <c r="M229" s="582"/>
      <c r="N229" s="526"/>
      <c r="O229" s="710"/>
      <c r="P229" s="582"/>
      <c r="Q229" s="526"/>
      <c r="R229" s="762"/>
      <c r="S229" s="762"/>
      <c r="T229" s="526"/>
      <c r="U229" s="762"/>
      <c r="V229" s="762"/>
      <c r="W229" s="526"/>
      <c r="X229" s="2893"/>
      <c r="Y229" s="2893"/>
      <c r="Z229" s="2893"/>
      <c r="AA229" s="2893"/>
      <c r="AB229" s="2893"/>
      <c r="AC229" s="2893"/>
      <c r="AD229" s="2893"/>
      <c r="AE229" s="2893"/>
      <c r="AF229" s="2893"/>
      <c r="AG229" s="2893"/>
    </row>
    <row r="230" spans="1:33" ht="14.9" customHeight="1">
      <c r="A230" s="252"/>
      <c r="B230" s="2903" t="s">
        <v>333</v>
      </c>
      <c r="C230" s="2903"/>
      <c r="D230" s="2903"/>
      <c r="E230" s="2903"/>
      <c r="F230" s="6"/>
      <c r="G230" s="65"/>
      <c r="H230" s="480"/>
      <c r="I230" s="710"/>
      <c r="J230" s="711"/>
      <c r="K230" s="526"/>
      <c r="L230" s="710"/>
      <c r="M230" s="711"/>
      <c r="N230" s="526"/>
      <c r="O230" s="710"/>
      <c r="P230" s="712"/>
      <c r="Q230" s="526"/>
      <c r="R230" s="762"/>
      <c r="S230" s="762"/>
      <c r="T230" s="526"/>
      <c r="U230" s="762"/>
      <c r="V230" s="762"/>
      <c r="W230" s="526"/>
      <c r="X230" s="2893"/>
      <c r="Y230" s="2893"/>
      <c r="Z230" s="2893"/>
      <c r="AA230" s="2893"/>
      <c r="AB230" s="2893"/>
      <c r="AC230" s="2893"/>
      <c r="AD230" s="2893"/>
      <c r="AE230" s="2893"/>
      <c r="AF230" s="2893"/>
      <c r="AG230" s="2893"/>
    </row>
    <row r="231" spans="1:33" ht="14.9" customHeight="1">
      <c r="A231" s="252"/>
      <c r="B231" s="2903" t="s">
        <v>334</v>
      </c>
      <c r="C231" s="2903"/>
      <c r="D231" s="2903"/>
      <c r="E231" s="2903"/>
      <c r="F231" s="6"/>
      <c r="G231" s="63"/>
      <c r="H231" s="480"/>
      <c r="I231" s="710"/>
      <c r="J231" s="582"/>
      <c r="K231" s="526"/>
      <c r="L231" s="710"/>
      <c r="M231" s="582"/>
      <c r="N231" s="526"/>
      <c r="O231" s="710"/>
      <c r="P231" s="582"/>
      <c r="Q231" s="526"/>
      <c r="R231" s="762"/>
      <c r="S231" s="762"/>
      <c r="T231" s="526"/>
      <c r="U231" s="762"/>
      <c r="V231" s="762"/>
      <c r="W231" s="526"/>
      <c r="X231" s="2893"/>
      <c r="Y231" s="2893"/>
      <c r="Z231" s="2893"/>
      <c r="AA231" s="2893"/>
      <c r="AB231" s="2893"/>
      <c r="AC231" s="2893"/>
      <c r="AD231" s="2893"/>
      <c r="AE231" s="2893"/>
      <c r="AF231" s="2893"/>
      <c r="AG231" s="2893"/>
    </row>
    <row r="232" spans="1:33" ht="14.9" customHeight="1">
      <c r="A232" s="252"/>
      <c r="B232" s="2904" t="s">
        <v>335</v>
      </c>
      <c r="C232" s="2904"/>
      <c r="D232" s="2904"/>
      <c r="E232" s="2904"/>
      <c r="H232" s="480"/>
      <c r="I232" s="713"/>
      <c r="J232" s="713"/>
      <c r="K232" s="526"/>
      <c r="L232" s="713"/>
      <c r="M232" s="713"/>
      <c r="N232" s="526"/>
      <c r="O232" s="713"/>
      <c r="P232" s="713"/>
      <c r="Q232" s="526"/>
      <c r="R232" s="762"/>
      <c r="S232" s="762"/>
      <c r="T232" s="526"/>
      <c r="U232" s="762"/>
      <c r="V232" s="762"/>
      <c r="W232" s="526"/>
      <c r="X232" s="2893"/>
      <c r="Y232" s="2893"/>
      <c r="Z232" s="2893"/>
      <c r="AA232" s="2893"/>
      <c r="AB232" s="2893"/>
      <c r="AC232" s="2893"/>
      <c r="AD232" s="2893"/>
      <c r="AE232" s="2893"/>
      <c r="AF232" s="2893"/>
      <c r="AG232" s="2893"/>
    </row>
    <row r="233" spans="1:33" ht="14.9" customHeight="1">
      <c r="A233" s="252"/>
      <c r="B233" s="2903" t="s">
        <v>336</v>
      </c>
      <c r="C233" s="2903"/>
      <c r="D233" s="2903"/>
      <c r="E233" s="2903"/>
      <c r="F233" s="6"/>
      <c r="G233" s="63"/>
      <c r="H233" s="480"/>
      <c r="I233" s="710"/>
      <c r="J233" s="582"/>
      <c r="K233" s="526"/>
      <c r="L233" s="710"/>
      <c r="M233" s="582"/>
      <c r="N233" s="526"/>
      <c r="O233" s="710"/>
      <c r="P233" s="582"/>
      <c r="Q233" s="526"/>
      <c r="R233" s="762"/>
      <c r="S233" s="762"/>
      <c r="T233" s="526"/>
      <c r="U233" s="762"/>
      <c r="V233" s="762"/>
      <c r="W233" s="526"/>
      <c r="X233" s="2893"/>
      <c r="Y233" s="2893"/>
      <c r="Z233" s="2893"/>
      <c r="AA233" s="2893"/>
      <c r="AB233" s="2893"/>
      <c r="AC233" s="2893"/>
      <c r="AD233" s="2893"/>
      <c r="AE233" s="2893"/>
      <c r="AF233" s="2893"/>
      <c r="AG233" s="2893"/>
    </row>
    <row r="234" spans="1:33" ht="32.9" customHeight="1">
      <c r="A234" s="252"/>
      <c r="B234" s="2903" t="s">
        <v>337</v>
      </c>
      <c r="C234" s="2903"/>
      <c r="D234" s="2903"/>
      <c r="E234" s="2903"/>
      <c r="F234" s="6"/>
      <c r="G234" s="63"/>
      <c r="H234" s="480"/>
      <c r="I234" s="710"/>
      <c r="J234" s="582"/>
      <c r="K234" s="526"/>
      <c r="L234" s="710"/>
      <c r="M234" s="582"/>
      <c r="N234" s="526"/>
      <c r="O234" s="710"/>
      <c r="P234" s="582"/>
      <c r="Q234" s="526"/>
      <c r="R234" s="762"/>
      <c r="S234" s="762"/>
      <c r="T234" s="526"/>
      <c r="U234" s="762"/>
      <c r="V234" s="762"/>
      <c r="W234" s="526"/>
      <c r="X234" s="2893"/>
      <c r="Y234" s="2893"/>
      <c r="Z234" s="2893"/>
      <c r="AA234" s="2893"/>
      <c r="AB234" s="2893"/>
      <c r="AC234" s="2893"/>
      <c r="AD234" s="2893"/>
      <c r="AE234" s="2893"/>
      <c r="AF234" s="2893"/>
      <c r="AG234" s="2893"/>
    </row>
    <row r="235" spans="1:33" ht="32.9" customHeight="1">
      <c r="A235" s="252"/>
      <c r="B235" s="2903" t="s">
        <v>338</v>
      </c>
      <c r="C235" s="2903"/>
      <c r="D235" s="2903"/>
      <c r="E235" s="2903"/>
      <c r="F235" s="6"/>
      <c r="G235" s="63"/>
      <c r="H235" s="480"/>
      <c r="I235" s="710"/>
      <c r="J235" s="582"/>
      <c r="K235" s="526"/>
      <c r="L235" s="710"/>
      <c r="M235" s="582"/>
      <c r="N235" s="526"/>
      <c r="O235" s="710"/>
      <c r="P235" s="582"/>
      <c r="Q235" s="526"/>
      <c r="R235" s="762"/>
      <c r="S235" s="762"/>
      <c r="T235" s="526"/>
      <c r="U235" s="762"/>
      <c r="V235" s="762"/>
      <c r="W235" s="526"/>
      <c r="X235" s="2893"/>
      <c r="Y235" s="2893"/>
      <c r="Z235" s="2893"/>
      <c r="AA235" s="2893"/>
      <c r="AB235" s="2893"/>
      <c r="AC235" s="2893"/>
      <c r="AD235" s="2893"/>
      <c r="AE235" s="2893"/>
      <c r="AF235" s="2893"/>
      <c r="AG235" s="2893"/>
    </row>
    <row r="236" spans="1:33" ht="14.9" customHeight="1">
      <c r="A236" s="252"/>
      <c r="B236" s="2903" t="s">
        <v>735</v>
      </c>
      <c r="C236" s="2903"/>
      <c r="D236" s="2903"/>
      <c r="E236" s="2903"/>
      <c r="F236" s="6"/>
      <c r="G236" s="63"/>
      <c r="H236" s="480"/>
      <c r="I236" s="710"/>
      <c r="J236" s="582"/>
      <c r="K236" s="526"/>
      <c r="L236" s="710"/>
      <c r="M236" s="582"/>
      <c r="N236" s="526"/>
      <c r="O236" s="710"/>
      <c r="P236" s="582"/>
      <c r="Q236" s="526"/>
      <c r="R236" s="762"/>
      <c r="S236" s="762"/>
      <c r="T236" s="526"/>
      <c r="U236" s="762"/>
      <c r="V236" s="762"/>
      <c r="W236" s="526"/>
      <c r="X236" s="2893"/>
      <c r="Y236" s="2893"/>
      <c r="Z236" s="2893"/>
      <c r="AA236" s="2893"/>
      <c r="AB236" s="2893"/>
      <c r="AC236" s="2893"/>
      <c r="AD236" s="2893"/>
      <c r="AE236" s="2893"/>
      <c r="AF236" s="2893"/>
      <c r="AG236" s="2893"/>
    </row>
    <row r="237" spans="1:33" ht="14.9" customHeight="1">
      <c r="A237" s="252"/>
      <c r="B237" s="2903" t="s">
        <v>734</v>
      </c>
      <c r="C237" s="2903"/>
      <c r="D237" s="2903"/>
      <c r="E237" s="2903"/>
      <c r="F237" s="6"/>
      <c r="G237" s="63"/>
      <c r="H237" s="797"/>
      <c r="I237" s="710"/>
      <c r="J237" s="582"/>
      <c r="K237" s="562"/>
      <c r="L237" s="710"/>
      <c r="M237" s="582"/>
      <c r="N237" s="562"/>
      <c r="O237" s="710"/>
      <c r="P237" s="582"/>
      <c r="Q237" s="562"/>
      <c r="R237" s="762"/>
      <c r="S237" s="762"/>
      <c r="T237" s="562"/>
      <c r="U237" s="762"/>
      <c r="V237" s="762"/>
      <c r="W237" s="562"/>
      <c r="X237" s="2893"/>
      <c r="Y237" s="2893"/>
      <c r="Z237" s="2893"/>
      <c r="AA237" s="2893"/>
      <c r="AB237" s="2893"/>
      <c r="AC237" s="2893"/>
      <c r="AD237" s="2893"/>
      <c r="AE237" s="2893"/>
      <c r="AF237" s="2893"/>
      <c r="AG237" s="2893"/>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911"/>
      <c r="Y238" s="2911"/>
      <c r="Z238" s="2911"/>
      <c r="AA238" s="2911"/>
      <c r="AB238" s="2911"/>
      <c r="AC238" s="2911"/>
      <c r="AD238" s="2911"/>
      <c r="AE238" s="2911"/>
      <c r="AF238" s="2911"/>
      <c r="AG238" s="2911"/>
    </row>
    <row r="239" spans="1:33" ht="14.9" customHeight="1">
      <c r="A239" s="252"/>
      <c r="B239" s="2903" t="s">
        <v>625</v>
      </c>
      <c r="C239" s="2903"/>
      <c r="D239" s="2903"/>
      <c r="E239" s="2903"/>
      <c r="F239" s="6"/>
      <c r="G239" s="65"/>
      <c r="H239" s="799"/>
      <c r="I239" s="710"/>
      <c r="J239" s="711"/>
      <c r="K239" s="628"/>
      <c r="L239" s="710"/>
      <c r="M239" s="711"/>
      <c r="N239" s="628"/>
      <c r="O239" s="710"/>
      <c r="P239" s="712"/>
      <c r="Q239" s="628"/>
      <c r="R239" s="762"/>
      <c r="S239" s="762"/>
      <c r="T239" s="628"/>
      <c r="U239" s="762"/>
      <c r="V239" s="762"/>
      <c r="W239" s="628"/>
      <c r="X239" s="2893"/>
      <c r="Y239" s="2893"/>
      <c r="Z239" s="2893"/>
      <c r="AA239" s="2893"/>
      <c r="AB239" s="2893"/>
      <c r="AC239" s="2893"/>
      <c r="AD239" s="2893"/>
      <c r="AE239" s="2893"/>
      <c r="AF239" s="2893"/>
      <c r="AG239" s="2893"/>
    </row>
    <row r="240" spans="1:33" ht="14.9" customHeight="1">
      <c r="A240" s="252"/>
      <c r="B240" s="2903" t="s">
        <v>626</v>
      </c>
      <c r="C240" s="2903"/>
      <c r="D240" s="2903"/>
      <c r="E240" s="2903"/>
      <c r="F240" s="6"/>
      <c r="G240" s="63"/>
      <c r="H240" s="480"/>
      <c r="I240" s="710"/>
      <c r="J240" s="582"/>
      <c r="K240" s="526"/>
      <c r="L240" s="710"/>
      <c r="M240" s="582"/>
      <c r="N240" s="526"/>
      <c r="O240" s="710"/>
      <c r="P240" s="582"/>
      <c r="Q240" s="526"/>
      <c r="R240" s="762"/>
      <c r="S240" s="762"/>
      <c r="T240" s="526"/>
      <c r="U240" s="762"/>
      <c r="V240" s="762"/>
      <c r="W240" s="526"/>
      <c r="X240" s="2893"/>
      <c r="Y240" s="2893"/>
      <c r="Z240" s="2893"/>
      <c r="AA240" s="2893"/>
      <c r="AB240" s="2893"/>
      <c r="AC240" s="2893"/>
      <c r="AD240" s="2893"/>
      <c r="AE240" s="2893"/>
      <c r="AF240" s="2893"/>
      <c r="AG240" s="2893"/>
    </row>
    <row r="241" spans="1:33" ht="14.9" customHeight="1">
      <c r="A241" s="252"/>
      <c r="B241" s="2903" t="s">
        <v>627</v>
      </c>
      <c r="C241" s="2903"/>
      <c r="D241" s="2903"/>
      <c r="E241" s="2903"/>
      <c r="F241" s="6"/>
      <c r="G241" s="63"/>
      <c r="H241" s="794"/>
      <c r="I241" s="710"/>
      <c r="J241" s="582"/>
      <c r="K241" s="561"/>
      <c r="L241" s="710"/>
      <c r="M241" s="582"/>
      <c r="N241" s="561"/>
      <c r="O241" s="710"/>
      <c r="P241" s="582"/>
      <c r="Q241" s="561"/>
      <c r="R241" s="762"/>
      <c r="S241" s="762"/>
      <c r="T241" s="561"/>
      <c r="U241" s="762"/>
      <c r="V241" s="762"/>
      <c r="W241" s="561"/>
      <c r="X241" s="2893"/>
      <c r="Y241" s="2893"/>
      <c r="Z241" s="2893"/>
      <c r="AA241" s="2893"/>
      <c r="AB241" s="2893"/>
      <c r="AC241" s="2893"/>
      <c r="AD241" s="2893"/>
      <c r="AE241" s="2893"/>
      <c r="AF241" s="2893"/>
      <c r="AG241" s="2893"/>
    </row>
    <row r="242" spans="1:33" ht="14.9" customHeight="1">
      <c r="A242" s="252"/>
      <c r="B242" s="2904" t="s">
        <v>628</v>
      </c>
      <c r="C242" s="2904"/>
      <c r="D242" s="2904"/>
      <c r="E242" s="2904"/>
      <c r="F242" s="6"/>
      <c r="G242" s="63"/>
      <c r="H242" s="480"/>
      <c r="I242" s="710"/>
      <c r="J242" s="582"/>
      <c r="K242" s="526"/>
      <c r="L242" s="710"/>
      <c r="M242" s="582"/>
      <c r="N242" s="526"/>
      <c r="O242" s="710"/>
      <c r="P242" s="582"/>
      <c r="Q242" s="526"/>
      <c r="R242" s="762"/>
      <c r="S242" s="762"/>
      <c r="T242" s="526"/>
      <c r="U242" s="762"/>
      <c r="V242" s="762"/>
      <c r="W242" s="526"/>
      <c r="X242" s="2893"/>
      <c r="Y242" s="2893"/>
      <c r="Z242" s="2893"/>
      <c r="AA242" s="2893"/>
      <c r="AB242" s="2893"/>
      <c r="AC242" s="2893"/>
      <c r="AD242" s="2893"/>
      <c r="AE242" s="2893"/>
      <c r="AF242" s="2893"/>
      <c r="AG242" s="2893"/>
    </row>
    <row r="243" spans="1:33" ht="32.9" customHeight="1">
      <c r="A243" s="252"/>
      <c r="B243" s="2904" t="s">
        <v>629</v>
      </c>
      <c r="C243" s="2904"/>
      <c r="D243" s="2904"/>
      <c r="E243" s="2904"/>
      <c r="F243" s="6"/>
      <c r="G243" s="65"/>
      <c r="H243" s="795"/>
      <c r="I243" s="710"/>
      <c r="J243" s="711"/>
      <c r="K243" s="568"/>
      <c r="L243" s="710"/>
      <c r="M243" s="711"/>
      <c r="N243" s="568"/>
      <c r="O243" s="710"/>
      <c r="P243" s="712"/>
      <c r="Q243" s="568"/>
      <c r="R243" s="762"/>
      <c r="S243" s="762"/>
      <c r="T243" s="568"/>
      <c r="U243" s="762"/>
      <c r="V243" s="762"/>
      <c r="W243" s="568"/>
      <c r="X243" s="2893"/>
      <c r="Y243" s="2893"/>
      <c r="Z243" s="2893"/>
      <c r="AA243" s="2893"/>
      <c r="AB243" s="2893"/>
      <c r="AC243" s="2893"/>
      <c r="AD243" s="2893"/>
      <c r="AE243" s="2893"/>
      <c r="AF243" s="2893"/>
      <c r="AG243" s="2893"/>
    </row>
    <row r="244" spans="1:33" ht="14.9" customHeight="1">
      <c r="A244" s="252"/>
      <c r="B244" s="2903" t="s">
        <v>630</v>
      </c>
      <c r="C244" s="2903"/>
      <c r="D244" s="2903"/>
      <c r="E244" s="2903"/>
      <c r="F244" s="6"/>
      <c r="G244" s="65"/>
      <c r="H244" s="480"/>
      <c r="I244" s="710"/>
      <c r="J244" s="711"/>
      <c r="K244" s="526"/>
      <c r="L244" s="710"/>
      <c r="M244" s="711"/>
      <c r="N244" s="526"/>
      <c r="O244" s="710"/>
      <c r="P244" s="712"/>
      <c r="Q244" s="526"/>
      <c r="R244" s="762"/>
      <c r="S244" s="762"/>
      <c r="T244" s="526"/>
      <c r="U244" s="762"/>
      <c r="V244" s="762"/>
      <c r="W244" s="526"/>
      <c r="X244" s="2893"/>
      <c r="Y244" s="2893"/>
      <c r="Z244" s="2893"/>
      <c r="AA244" s="2893"/>
      <c r="AB244" s="2893"/>
      <c r="AC244" s="2893"/>
      <c r="AD244" s="2893"/>
      <c r="AE244" s="2893"/>
      <c r="AF244" s="2893"/>
      <c r="AG244" s="2893"/>
    </row>
    <row r="245" spans="1:33" ht="14.9" customHeight="1">
      <c r="A245" s="252"/>
      <c r="B245" s="2904" t="s">
        <v>634</v>
      </c>
      <c r="C245" s="2904"/>
      <c r="D245" s="2904"/>
      <c r="E245" s="2904"/>
      <c r="F245" s="6"/>
      <c r="G245" s="65"/>
      <c r="H245" s="481"/>
      <c r="I245" s="710"/>
      <c r="J245" s="711"/>
      <c r="K245" s="553"/>
      <c r="L245" s="710"/>
      <c r="M245" s="711"/>
      <c r="N245" s="553"/>
      <c r="O245" s="710"/>
      <c r="P245" s="712"/>
      <c r="Q245" s="553"/>
      <c r="R245" s="762"/>
      <c r="S245" s="762"/>
      <c r="T245" s="553"/>
      <c r="U245" s="762"/>
      <c r="V245" s="762"/>
      <c r="W245" s="553"/>
      <c r="X245" s="2893"/>
      <c r="Y245" s="2893"/>
      <c r="Z245" s="2893"/>
      <c r="AA245" s="2893"/>
      <c r="AB245" s="2893"/>
      <c r="AC245" s="2893"/>
      <c r="AD245" s="2893"/>
      <c r="AE245" s="2893"/>
      <c r="AF245" s="2893"/>
      <c r="AG245" s="2893"/>
    </row>
    <row r="246" spans="1:33" ht="32.15" customHeight="1">
      <c r="A246" s="252"/>
      <c r="B246" s="2903" t="s">
        <v>1551</v>
      </c>
      <c r="C246" s="2903"/>
      <c r="D246" s="2903"/>
      <c r="E246" s="2903"/>
      <c r="F246" s="6"/>
      <c r="G246" s="65"/>
      <c r="H246" s="796"/>
      <c r="I246" s="710"/>
      <c r="J246" s="711"/>
      <c r="K246" s="619"/>
      <c r="L246" s="710"/>
      <c r="M246" s="711"/>
      <c r="N246" s="619"/>
      <c r="O246" s="710"/>
      <c r="P246" s="712"/>
      <c r="Q246" s="619"/>
      <c r="R246" s="762"/>
      <c r="S246" s="762"/>
      <c r="T246" s="619"/>
      <c r="U246" s="762"/>
      <c r="V246" s="762"/>
      <c r="W246" s="619"/>
      <c r="X246" s="2893"/>
      <c r="Y246" s="2893"/>
      <c r="Z246" s="2893"/>
      <c r="AA246" s="2893"/>
      <c r="AB246" s="2893"/>
      <c r="AC246" s="2893"/>
      <c r="AD246" s="2893"/>
      <c r="AE246" s="2893"/>
      <c r="AF246" s="2893"/>
      <c r="AG246" s="2893"/>
    </row>
    <row r="247" spans="1:33" ht="32.15" customHeight="1">
      <c r="A247" s="252"/>
      <c r="B247" s="2903" t="s">
        <v>1552</v>
      </c>
      <c r="C247" s="2903"/>
      <c r="D247" s="2903"/>
      <c r="E247" s="2903"/>
      <c r="F247" s="6"/>
      <c r="G247" s="65"/>
      <c r="H247" s="796"/>
      <c r="I247" s="710"/>
      <c r="J247" s="711"/>
      <c r="K247" s="619"/>
      <c r="L247" s="710"/>
      <c r="M247" s="711"/>
      <c r="N247" s="619"/>
      <c r="O247" s="710"/>
      <c r="P247" s="712"/>
      <c r="Q247" s="619"/>
      <c r="R247" s="762"/>
      <c r="S247" s="762"/>
      <c r="T247" s="619"/>
      <c r="U247" s="762"/>
      <c r="V247" s="762"/>
      <c r="W247" s="619"/>
      <c r="X247" s="2893"/>
      <c r="Y247" s="2893"/>
      <c r="Z247" s="2893"/>
      <c r="AA247" s="2893"/>
      <c r="AB247" s="2893"/>
      <c r="AC247" s="2893"/>
      <c r="AD247" s="2893"/>
      <c r="AE247" s="2893"/>
      <c r="AF247" s="2893"/>
      <c r="AG247" s="2893"/>
    </row>
    <row r="248" spans="1:33" ht="32.9" customHeight="1">
      <c r="A248" s="252"/>
      <c r="B248" s="2903" t="s">
        <v>331</v>
      </c>
      <c r="C248" s="2903"/>
      <c r="D248" s="2903"/>
      <c r="E248" s="2903"/>
      <c r="F248" s="6"/>
      <c r="G248" s="65"/>
      <c r="H248" s="480"/>
      <c r="I248" s="710"/>
      <c r="J248" s="711"/>
      <c r="K248" s="526"/>
      <c r="L248" s="710"/>
      <c r="M248" s="711"/>
      <c r="N248" s="526"/>
      <c r="O248" s="710"/>
      <c r="P248" s="712"/>
      <c r="Q248" s="526"/>
      <c r="R248" s="762"/>
      <c r="S248" s="762"/>
      <c r="T248" s="526"/>
      <c r="U248" s="762"/>
      <c r="V248" s="762"/>
      <c r="W248" s="526"/>
      <c r="X248" s="2893"/>
      <c r="Y248" s="2893"/>
      <c r="Z248" s="2893"/>
      <c r="AA248" s="2893"/>
      <c r="AB248" s="2893"/>
      <c r="AC248" s="2893"/>
      <c r="AD248" s="2893"/>
      <c r="AE248" s="2893"/>
      <c r="AF248" s="2893"/>
      <c r="AG248" s="2893"/>
    </row>
    <row r="249" spans="1:33" ht="14.9" customHeight="1">
      <c r="A249" s="252"/>
      <c r="B249" s="2904" t="s">
        <v>332</v>
      </c>
      <c r="C249" s="2904"/>
      <c r="D249" s="2904"/>
      <c r="E249" s="2904"/>
      <c r="F249" s="6"/>
      <c r="G249" s="63"/>
      <c r="H249" s="480"/>
      <c r="I249" s="710"/>
      <c r="J249" s="582"/>
      <c r="K249" s="526"/>
      <c r="L249" s="710"/>
      <c r="M249" s="582"/>
      <c r="N249" s="526"/>
      <c r="O249" s="710"/>
      <c r="P249" s="582"/>
      <c r="Q249" s="526"/>
      <c r="R249" s="762"/>
      <c r="S249" s="762"/>
      <c r="T249" s="526"/>
      <c r="U249" s="762"/>
      <c r="V249" s="762"/>
      <c r="W249" s="526"/>
      <c r="X249" s="2893"/>
      <c r="Y249" s="2893"/>
      <c r="Z249" s="2893"/>
      <c r="AA249" s="2893"/>
      <c r="AB249" s="2893"/>
      <c r="AC249" s="2893"/>
      <c r="AD249" s="2893"/>
      <c r="AE249" s="2893"/>
      <c r="AF249" s="2893"/>
      <c r="AG249" s="2893"/>
    </row>
    <row r="250" spans="1:33" ht="14.9" customHeight="1">
      <c r="A250" s="252"/>
      <c r="B250" s="2903" t="s">
        <v>333</v>
      </c>
      <c r="C250" s="2903"/>
      <c r="D250" s="2903"/>
      <c r="E250" s="2903"/>
      <c r="F250" s="6"/>
      <c r="G250" s="65"/>
      <c r="H250" s="480"/>
      <c r="I250" s="710"/>
      <c r="J250" s="711"/>
      <c r="K250" s="526"/>
      <c r="L250" s="710"/>
      <c r="M250" s="711"/>
      <c r="N250" s="526"/>
      <c r="O250" s="710"/>
      <c r="P250" s="712"/>
      <c r="Q250" s="526"/>
      <c r="R250" s="762"/>
      <c r="S250" s="762"/>
      <c r="T250" s="526"/>
      <c r="U250" s="762"/>
      <c r="V250" s="762"/>
      <c r="W250" s="526"/>
      <c r="X250" s="2893"/>
      <c r="Y250" s="2893"/>
      <c r="Z250" s="2893"/>
      <c r="AA250" s="2893"/>
      <c r="AB250" s="2893"/>
      <c r="AC250" s="2893"/>
      <c r="AD250" s="2893"/>
      <c r="AE250" s="2893"/>
      <c r="AF250" s="2893"/>
      <c r="AG250" s="2893"/>
    </row>
    <row r="251" spans="1:33" ht="14.9" customHeight="1">
      <c r="A251" s="252"/>
      <c r="B251" s="2903" t="s">
        <v>334</v>
      </c>
      <c r="C251" s="2903"/>
      <c r="D251" s="2903"/>
      <c r="E251" s="2903"/>
      <c r="F251" s="6"/>
      <c r="G251" s="63"/>
      <c r="H251" s="480"/>
      <c r="I251" s="710"/>
      <c r="J251" s="582"/>
      <c r="K251" s="526"/>
      <c r="L251" s="710"/>
      <c r="M251" s="582"/>
      <c r="N251" s="526"/>
      <c r="O251" s="710"/>
      <c r="P251" s="582"/>
      <c r="Q251" s="526"/>
      <c r="R251" s="762"/>
      <c r="S251" s="762"/>
      <c r="T251" s="526"/>
      <c r="U251" s="762"/>
      <c r="V251" s="762"/>
      <c r="W251" s="526"/>
      <c r="X251" s="2893"/>
      <c r="Y251" s="2893"/>
      <c r="Z251" s="2893"/>
      <c r="AA251" s="2893"/>
      <c r="AB251" s="2893"/>
      <c r="AC251" s="2893"/>
      <c r="AD251" s="2893"/>
      <c r="AE251" s="2893"/>
      <c r="AF251" s="2893"/>
      <c r="AG251" s="2893"/>
    </row>
    <row r="252" spans="1:33" ht="14.9" customHeight="1">
      <c r="A252" s="252"/>
      <c r="B252" s="2904" t="s">
        <v>335</v>
      </c>
      <c r="C252" s="2904"/>
      <c r="D252" s="2904"/>
      <c r="E252" s="2904"/>
      <c r="H252" s="480"/>
      <c r="I252" s="713"/>
      <c r="J252" s="713"/>
      <c r="K252" s="526"/>
      <c r="L252" s="713"/>
      <c r="M252" s="713"/>
      <c r="N252" s="526"/>
      <c r="O252" s="713"/>
      <c r="P252" s="713"/>
      <c r="Q252" s="526"/>
      <c r="R252" s="762"/>
      <c r="S252" s="762"/>
      <c r="T252" s="526"/>
      <c r="U252" s="762"/>
      <c r="V252" s="762"/>
      <c r="W252" s="526"/>
      <c r="X252" s="2893"/>
      <c r="Y252" s="2893"/>
      <c r="Z252" s="2893"/>
      <c r="AA252" s="2893"/>
      <c r="AB252" s="2893"/>
      <c r="AC252" s="2893"/>
      <c r="AD252" s="2893"/>
      <c r="AE252" s="2893"/>
      <c r="AF252" s="2893"/>
      <c r="AG252" s="2893"/>
    </row>
    <row r="253" spans="1:33" ht="14.9" customHeight="1">
      <c r="A253" s="252"/>
      <c r="B253" s="2903" t="s">
        <v>336</v>
      </c>
      <c r="C253" s="2903"/>
      <c r="D253" s="2903"/>
      <c r="E253" s="2903"/>
      <c r="F253" s="6"/>
      <c r="G253" s="63"/>
      <c r="H253" s="480"/>
      <c r="I253" s="710"/>
      <c r="J253" s="582"/>
      <c r="K253" s="526"/>
      <c r="L253" s="710"/>
      <c r="M253" s="582"/>
      <c r="N253" s="526"/>
      <c r="O253" s="710"/>
      <c r="P253" s="582"/>
      <c r="Q253" s="526"/>
      <c r="R253" s="762"/>
      <c r="S253" s="762"/>
      <c r="T253" s="526"/>
      <c r="U253" s="762"/>
      <c r="V253" s="762"/>
      <c r="W253" s="526"/>
      <c r="X253" s="2893"/>
      <c r="Y253" s="2893"/>
      <c r="Z253" s="2893"/>
      <c r="AA253" s="2893"/>
      <c r="AB253" s="2893"/>
      <c r="AC253" s="2893"/>
      <c r="AD253" s="2893"/>
      <c r="AE253" s="2893"/>
      <c r="AF253" s="2893"/>
      <c r="AG253" s="2893"/>
    </row>
    <row r="254" spans="1:33" ht="32.9" customHeight="1">
      <c r="A254" s="252"/>
      <c r="B254" s="2903" t="s">
        <v>337</v>
      </c>
      <c r="C254" s="2903"/>
      <c r="D254" s="2903"/>
      <c r="E254" s="2903"/>
      <c r="F254" s="6"/>
      <c r="G254" s="63"/>
      <c r="H254" s="480"/>
      <c r="I254" s="710"/>
      <c r="J254" s="582"/>
      <c r="K254" s="526"/>
      <c r="L254" s="710"/>
      <c r="M254" s="582"/>
      <c r="N254" s="526"/>
      <c r="O254" s="710"/>
      <c r="P254" s="582"/>
      <c r="Q254" s="526"/>
      <c r="R254" s="762"/>
      <c r="S254" s="762"/>
      <c r="T254" s="526"/>
      <c r="U254" s="762"/>
      <c r="V254" s="762"/>
      <c r="W254" s="526"/>
      <c r="X254" s="2893"/>
      <c r="Y254" s="2893"/>
      <c r="Z254" s="2893"/>
      <c r="AA254" s="2893"/>
      <c r="AB254" s="2893"/>
      <c r="AC254" s="2893"/>
      <c r="AD254" s="2893"/>
      <c r="AE254" s="2893"/>
      <c r="AF254" s="2893"/>
      <c r="AG254" s="2893"/>
    </row>
    <row r="255" spans="1:33" ht="32.9" customHeight="1">
      <c r="A255" s="252"/>
      <c r="B255" s="2903" t="s">
        <v>338</v>
      </c>
      <c r="C255" s="2903"/>
      <c r="D255" s="2903"/>
      <c r="E255" s="2903"/>
      <c r="F255" s="6"/>
      <c r="G255" s="63"/>
      <c r="H255" s="480"/>
      <c r="I255" s="710"/>
      <c r="J255" s="582"/>
      <c r="K255" s="526"/>
      <c r="L255" s="710"/>
      <c r="M255" s="582"/>
      <c r="N255" s="526"/>
      <c r="O255" s="710"/>
      <c r="P255" s="582"/>
      <c r="Q255" s="526"/>
      <c r="R255" s="762"/>
      <c r="S255" s="762"/>
      <c r="T255" s="526"/>
      <c r="U255" s="762"/>
      <c r="V255" s="762"/>
      <c r="W255" s="526"/>
      <c r="X255" s="2893"/>
      <c r="Y255" s="2893"/>
      <c r="Z255" s="2893"/>
      <c r="AA255" s="2893"/>
      <c r="AB255" s="2893"/>
      <c r="AC255" s="2893"/>
      <c r="AD255" s="2893"/>
      <c r="AE255" s="2893"/>
      <c r="AF255" s="2893"/>
      <c r="AG255" s="2893"/>
    </row>
    <row r="256" spans="1:33" ht="14.9" customHeight="1">
      <c r="A256" s="252"/>
      <c r="B256" s="2903" t="s">
        <v>735</v>
      </c>
      <c r="C256" s="2903"/>
      <c r="D256" s="2903"/>
      <c r="E256" s="2903"/>
      <c r="F256" s="6"/>
      <c r="G256" s="63"/>
      <c r="H256" s="480"/>
      <c r="I256" s="710"/>
      <c r="J256" s="582"/>
      <c r="K256" s="526"/>
      <c r="L256" s="710"/>
      <c r="M256" s="582"/>
      <c r="N256" s="526"/>
      <c r="O256" s="710"/>
      <c r="P256" s="582"/>
      <c r="Q256" s="526"/>
      <c r="R256" s="762"/>
      <c r="S256" s="762"/>
      <c r="T256" s="526"/>
      <c r="U256" s="762"/>
      <c r="V256" s="762"/>
      <c r="W256" s="526"/>
      <c r="X256" s="2893"/>
      <c r="Y256" s="2893"/>
      <c r="Z256" s="2893"/>
      <c r="AA256" s="2893"/>
      <c r="AB256" s="2893"/>
      <c r="AC256" s="2893"/>
      <c r="AD256" s="2893"/>
      <c r="AE256" s="2893"/>
      <c r="AF256" s="2893"/>
      <c r="AG256" s="2893"/>
    </row>
    <row r="257" spans="1:33" ht="14.9" customHeight="1">
      <c r="A257" s="252"/>
      <c r="B257" s="2903" t="s">
        <v>734</v>
      </c>
      <c r="C257" s="2903"/>
      <c r="D257" s="2903"/>
      <c r="E257" s="2903"/>
      <c r="F257" s="6"/>
      <c r="G257" s="63"/>
      <c r="H257" s="802"/>
      <c r="I257" s="741"/>
      <c r="J257" s="557"/>
      <c r="K257" s="769"/>
      <c r="L257" s="741"/>
      <c r="M257" s="557"/>
      <c r="N257" s="769"/>
      <c r="O257" s="741"/>
      <c r="P257" s="557"/>
      <c r="Q257" s="769"/>
      <c r="R257" s="768"/>
      <c r="S257" s="768"/>
      <c r="T257" s="769"/>
      <c r="U257" s="768"/>
      <c r="V257" s="768"/>
      <c r="W257" s="769"/>
      <c r="X257" s="2893"/>
      <c r="Y257" s="2893"/>
      <c r="Z257" s="2893"/>
      <c r="AA257" s="2893"/>
      <c r="AB257" s="2893"/>
      <c r="AC257" s="2893"/>
      <c r="AD257" s="2893"/>
      <c r="AE257" s="2893"/>
      <c r="AF257" s="2893"/>
      <c r="AG257" s="2893"/>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906"/>
      <c r="Y258" s="2906"/>
      <c r="Z258" s="2906"/>
      <c r="AA258" s="2906"/>
      <c r="AB258" s="2906"/>
      <c r="AC258" s="2906"/>
      <c r="AD258" s="2906"/>
      <c r="AE258" s="2906"/>
      <c r="AF258" s="2906"/>
      <c r="AG258" s="2906"/>
    </row>
    <row r="259" spans="1:33" ht="21.65" customHeight="1">
      <c r="A259" s="2907" t="s">
        <v>733</v>
      </c>
      <c r="B259" s="2907"/>
      <c r="C259" s="2907"/>
      <c r="D259" s="2907"/>
      <c r="E259" s="2907"/>
      <c r="F259" s="2907"/>
      <c r="G259" s="2907"/>
      <c r="H259" s="779"/>
      <c r="I259" s="597"/>
      <c r="J259" s="594"/>
      <c r="K259" s="779"/>
      <c r="L259" s="597"/>
      <c r="M259" s="594"/>
      <c r="N259" s="669"/>
      <c r="O259" s="594"/>
      <c r="P259" s="670"/>
      <c r="Q259" s="671"/>
      <c r="R259" s="682"/>
      <c r="S259" s="682"/>
      <c r="T259" s="682"/>
      <c r="U259" s="682"/>
      <c r="V259" s="682"/>
      <c r="W259" s="682"/>
      <c r="X259" s="2909"/>
      <c r="Y259" s="2909"/>
      <c r="Z259" s="2909"/>
      <c r="AA259" s="2909"/>
      <c r="AB259" s="2909"/>
      <c r="AC259" s="2909"/>
      <c r="AD259" s="2909"/>
      <c r="AE259" s="2909"/>
      <c r="AF259" s="2909"/>
      <c r="AG259" s="2909"/>
    </row>
    <row r="260" spans="1:33" ht="18.649999999999999" customHeight="1">
      <c r="A260" s="1"/>
      <c r="B260" s="502"/>
      <c r="C260" s="50"/>
      <c r="D260" s="50"/>
      <c r="E260" s="50"/>
      <c r="G260" s="13"/>
      <c r="H260" s="60"/>
      <c r="I260" s="6"/>
      <c r="J260" s="65"/>
      <c r="K260" s="60"/>
      <c r="L260" s="6"/>
      <c r="M260" s="65"/>
      <c r="N260" s="60"/>
      <c r="P260" s="66"/>
      <c r="Q260" s="788"/>
      <c r="R260" s="8"/>
      <c r="S260" s="8"/>
      <c r="T260" s="788"/>
      <c r="U260" s="8"/>
      <c r="V260" s="8"/>
      <c r="W260" s="788"/>
      <c r="X260" s="2910"/>
      <c r="Y260" s="2910"/>
      <c r="Z260" s="2910"/>
      <c r="AA260" s="2910"/>
      <c r="AB260" s="2910"/>
      <c r="AC260" s="2910"/>
      <c r="AD260" s="2910"/>
      <c r="AE260" s="2910"/>
      <c r="AF260" s="2910"/>
      <c r="AG260" s="2910"/>
    </row>
    <row r="261" spans="1:33" ht="30.75" customHeight="1">
      <c r="A261" s="252"/>
      <c r="B261" s="2903" t="s">
        <v>241</v>
      </c>
      <c r="C261" s="2903"/>
      <c r="D261" s="2903"/>
      <c r="E261" s="2903"/>
      <c r="F261" s="6"/>
      <c r="G261" s="65"/>
      <c r="H261" s="801"/>
      <c r="I261" s="710"/>
      <c r="J261" s="711"/>
      <c r="K261" s="588"/>
      <c r="L261" s="710"/>
      <c r="M261" s="711"/>
      <c r="N261" s="588"/>
      <c r="O261" s="710"/>
      <c r="P261" s="712"/>
      <c r="Q261" s="588"/>
      <c r="R261" s="762"/>
      <c r="S261" s="762"/>
      <c r="T261" s="588"/>
      <c r="U261" s="762"/>
      <c r="V261" s="762"/>
      <c r="W261" s="588"/>
      <c r="X261" s="2893"/>
      <c r="Y261" s="2893"/>
      <c r="Z261" s="2893"/>
      <c r="AA261" s="2893"/>
      <c r="AB261" s="2893"/>
      <c r="AC261" s="2893"/>
      <c r="AD261" s="2893"/>
      <c r="AE261" s="2893"/>
      <c r="AF261" s="2893"/>
      <c r="AG261" s="2893"/>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911"/>
      <c r="Y262" s="2911"/>
      <c r="Z262" s="2911"/>
      <c r="AA262" s="2911"/>
      <c r="AB262" s="2911"/>
      <c r="AC262" s="2911"/>
      <c r="AD262" s="2911"/>
      <c r="AE262" s="2911"/>
      <c r="AF262" s="2911"/>
      <c r="AG262" s="2911"/>
    </row>
    <row r="263" spans="1:33" ht="14.9" customHeight="1">
      <c r="A263" s="252"/>
      <c r="B263" s="2903" t="s">
        <v>625</v>
      </c>
      <c r="C263" s="2903"/>
      <c r="D263" s="2903"/>
      <c r="E263" s="2903"/>
      <c r="F263" s="6"/>
      <c r="G263" s="65"/>
      <c r="H263" s="799"/>
      <c r="I263" s="710"/>
      <c r="J263" s="711"/>
      <c r="K263" s="628"/>
      <c r="L263" s="710"/>
      <c r="M263" s="711"/>
      <c r="N263" s="628"/>
      <c r="O263" s="710"/>
      <c r="P263" s="712"/>
      <c r="Q263" s="628"/>
      <c r="R263" s="762"/>
      <c r="S263" s="762"/>
      <c r="T263" s="628"/>
      <c r="U263" s="762"/>
      <c r="V263" s="762"/>
      <c r="W263" s="628"/>
      <c r="X263" s="2893"/>
      <c r="Y263" s="2893"/>
      <c r="Z263" s="2893"/>
      <c r="AA263" s="2893"/>
      <c r="AB263" s="2893"/>
      <c r="AC263" s="2893"/>
      <c r="AD263" s="2893"/>
      <c r="AE263" s="2893"/>
      <c r="AF263" s="2893"/>
      <c r="AG263" s="2893"/>
    </row>
    <row r="264" spans="1:33" ht="14.9" customHeight="1">
      <c r="A264" s="252"/>
      <c r="B264" s="2903" t="s">
        <v>626</v>
      </c>
      <c r="C264" s="2903"/>
      <c r="D264" s="2903"/>
      <c r="E264" s="2903"/>
      <c r="F264" s="6"/>
      <c r="G264" s="65"/>
      <c r="H264" s="480"/>
      <c r="I264" s="710"/>
      <c r="J264" s="711"/>
      <c r="K264" s="526"/>
      <c r="L264" s="710"/>
      <c r="M264" s="711"/>
      <c r="N264" s="526"/>
      <c r="O264" s="710"/>
      <c r="P264" s="712"/>
      <c r="Q264" s="526"/>
      <c r="R264" s="762"/>
      <c r="S264" s="762"/>
      <c r="T264" s="526"/>
      <c r="U264" s="762"/>
      <c r="V264" s="762"/>
      <c r="W264" s="526"/>
      <c r="X264" s="2893"/>
      <c r="Y264" s="2893"/>
      <c r="Z264" s="2893"/>
      <c r="AA264" s="2893"/>
      <c r="AB264" s="2893"/>
      <c r="AC264" s="2893"/>
      <c r="AD264" s="2893"/>
      <c r="AE264" s="2893"/>
      <c r="AF264" s="2893"/>
      <c r="AG264" s="2893"/>
    </row>
    <row r="265" spans="1:33" ht="14.9" customHeight="1">
      <c r="A265" s="252"/>
      <c r="B265" s="2903" t="s">
        <v>627</v>
      </c>
      <c r="C265" s="2903"/>
      <c r="D265" s="2903"/>
      <c r="E265" s="2903"/>
      <c r="F265" s="6"/>
      <c r="G265" s="65"/>
      <c r="H265" s="794"/>
      <c r="I265" s="710"/>
      <c r="J265" s="711"/>
      <c r="K265" s="561"/>
      <c r="L265" s="710"/>
      <c r="M265" s="711"/>
      <c r="N265" s="561"/>
      <c r="O265" s="710"/>
      <c r="P265" s="712"/>
      <c r="Q265" s="561"/>
      <c r="R265" s="762"/>
      <c r="S265" s="762"/>
      <c r="T265" s="561"/>
      <c r="U265" s="762"/>
      <c r="V265" s="762"/>
      <c r="W265" s="561"/>
      <c r="X265" s="2893"/>
      <c r="Y265" s="2893"/>
      <c r="Z265" s="2893"/>
      <c r="AA265" s="2893"/>
      <c r="AB265" s="2893"/>
      <c r="AC265" s="2893"/>
      <c r="AD265" s="2893"/>
      <c r="AE265" s="2893"/>
      <c r="AF265" s="2893"/>
      <c r="AG265" s="2893"/>
    </row>
    <row r="266" spans="1:33" ht="14.9" customHeight="1">
      <c r="A266" s="252"/>
      <c r="B266" s="2904" t="s">
        <v>628</v>
      </c>
      <c r="C266" s="2904"/>
      <c r="D266" s="2904"/>
      <c r="E266" s="2904"/>
      <c r="F266" s="6"/>
      <c r="G266" s="65"/>
      <c r="H266" s="480"/>
      <c r="I266" s="710"/>
      <c r="J266" s="711"/>
      <c r="K266" s="526"/>
      <c r="L266" s="710"/>
      <c r="M266" s="711"/>
      <c r="N266" s="526"/>
      <c r="O266" s="710"/>
      <c r="P266" s="712"/>
      <c r="Q266" s="526"/>
      <c r="R266" s="762"/>
      <c r="S266" s="762"/>
      <c r="T266" s="526"/>
      <c r="U266" s="762"/>
      <c r="V266" s="762"/>
      <c r="W266" s="526"/>
      <c r="X266" s="2893"/>
      <c r="Y266" s="2893"/>
      <c r="Z266" s="2893"/>
      <c r="AA266" s="2893"/>
      <c r="AB266" s="2893"/>
      <c r="AC266" s="2893"/>
      <c r="AD266" s="2893"/>
      <c r="AE266" s="2893"/>
      <c r="AF266" s="2893"/>
      <c r="AG266" s="2893"/>
    </row>
    <row r="267" spans="1:33" ht="32.9" customHeight="1">
      <c r="A267" s="252"/>
      <c r="B267" s="2904" t="s">
        <v>629</v>
      </c>
      <c r="C267" s="2904"/>
      <c r="D267" s="2904"/>
      <c r="E267" s="2904"/>
      <c r="F267" s="6"/>
      <c r="G267" s="65"/>
      <c r="H267" s="795"/>
      <c r="I267" s="710"/>
      <c r="J267" s="711"/>
      <c r="K267" s="568"/>
      <c r="L267" s="710"/>
      <c r="M267" s="711"/>
      <c r="N267" s="568"/>
      <c r="O267" s="710"/>
      <c r="P267" s="712"/>
      <c r="Q267" s="568"/>
      <c r="R267" s="762"/>
      <c r="S267" s="762"/>
      <c r="T267" s="568"/>
      <c r="U267" s="762"/>
      <c r="V267" s="762"/>
      <c r="W267" s="568"/>
      <c r="X267" s="2893"/>
      <c r="Y267" s="2893"/>
      <c r="Z267" s="2893"/>
      <c r="AA267" s="2893"/>
      <c r="AB267" s="2893"/>
      <c r="AC267" s="2893"/>
      <c r="AD267" s="2893"/>
      <c r="AE267" s="2893"/>
      <c r="AF267" s="2893"/>
      <c r="AG267" s="2893"/>
    </row>
    <row r="268" spans="1:33" ht="14.9" customHeight="1">
      <c r="A268" s="252"/>
      <c r="B268" s="2903" t="s">
        <v>630</v>
      </c>
      <c r="C268" s="2903"/>
      <c r="D268" s="2903"/>
      <c r="E268" s="2903"/>
      <c r="F268" s="6"/>
      <c r="G268" s="65"/>
      <c r="H268" s="480"/>
      <c r="I268" s="710"/>
      <c r="J268" s="711"/>
      <c r="K268" s="526"/>
      <c r="L268" s="710"/>
      <c r="M268" s="711"/>
      <c r="N268" s="526"/>
      <c r="O268" s="710"/>
      <c r="P268" s="712"/>
      <c r="Q268" s="526"/>
      <c r="R268" s="762"/>
      <c r="S268" s="762"/>
      <c r="T268" s="526"/>
      <c r="U268" s="762"/>
      <c r="V268" s="762"/>
      <c r="W268" s="526"/>
      <c r="X268" s="2893"/>
      <c r="Y268" s="2893"/>
      <c r="Z268" s="2893"/>
      <c r="AA268" s="2893"/>
      <c r="AB268" s="2893"/>
      <c r="AC268" s="2893"/>
      <c r="AD268" s="2893"/>
      <c r="AE268" s="2893"/>
      <c r="AF268" s="2893"/>
      <c r="AG268" s="2893"/>
    </row>
    <row r="269" spans="1:33" ht="14.9" customHeight="1">
      <c r="A269" s="252"/>
      <c r="B269" s="2904" t="s">
        <v>634</v>
      </c>
      <c r="C269" s="2904"/>
      <c r="D269" s="2904"/>
      <c r="E269" s="2904"/>
      <c r="F269" s="6"/>
      <c r="G269" s="63"/>
      <c r="H269" s="481"/>
      <c r="I269" s="710"/>
      <c r="J269" s="582"/>
      <c r="K269" s="553"/>
      <c r="L269" s="748"/>
      <c r="M269" s="711"/>
      <c r="N269" s="553"/>
      <c r="O269" s="710"/>
      <c r="P269" s="582"/>
      <c r="Q269" s="553"/>
      <c r="R269" s="762"/>
      <c r="S269" s="762"/>
      <c r="T269" s="553"/>
      <c r="U269" s="762"/>
      <c r="V269" s="762"/>
      <c r="W269" s="553"/>
      <c r="X269" s="2893"/>
      <c r="Y269" s="2893"/>
      <c r="Z269" s="2893"/>
      <c r="AA269" s="2893"/>
      <c r="AB269" s="2893"/>
      <c r="AC269" s="2893"/>
      <c r="AD269" s="2893"/>
      <c r="AE269" s="2893"/>
      <c r="AF269" s="2893"/>
      <c r="AG269" s="2893"/>
    </row>
    <row r="270" spans="1:33" ht="29.15" customHeight="1">
      <c r="A270" s="252"/>
      <c r="B270" s="2903" t="s">
        <v>1551</v>
      </c>
      <c r="C270" s="2903"/>
      <c r="D270" s="2903"/>
      <c r="E270" s="2903"/>
      <c r="F270" s="6"/>
      <c r="G270" s="63"/>
      <c r="H270" s="796"/>
      <c r="I270" s="710"/>
      <c r="J270" s="582"/>
      <c r="K270" s="619"/>
      <c r="L270" s="748"/>
      <c r="M270" s="711"/>
      <c r="N270" s="619"/>
      <c r="O270" s="710"/>
      <c r="P270" s="582"/>
      <c r="Q270" s="619"/>
      <c r="R270" s="762"/>
      <c r="S270" s="762"/>
      <c r="T270" s="619"/>
      <c r="U270" s="762"/>
      <c r="V270" s="762"/>
      <c r="W270" s="619"/>
      <c r="X270" s="2893"/>
      <c r="Y270" s="2893"/>
      <c r="Z270" s="2893"/>
      <c r="AA270" s="2893"/>
      <c r="AB270" s="2893"/>
      <c r="AC270" s="2893"/>
      <c r="AD270" s="2893"/>
      <c r="AE270" s="2893"/>
      <c r="AF270" s="2893"/>
      <c r="AG270" s="2893"/>
    </row>
    <row r="271" spans="1:33" ht="29.15" customHeight="1">
      <c r="A271" s="252"/>
      <c r="B271" s="2903" t="s">
        <v>1552</v>
      </c>
      <c r="C271" s="2903"/>
      <c r="D271" s="2903"/>
      <c r="E271" s="2903"/>
      <c r="F271" s="6"/>
      <c r="G271" s="63"/>
      <c r="H271" s="796"/>
      <c r="I271" s="710"/>
      <c r="J271" s="582"/>
      <c r="K271" s="619"/>
      <c r="L271" s="748"/>
      <c r="M271" s="711"/>
      <c r="N271" s="619"/>
      <c r="O271" s="710"/>
      <c r="P271" s="582"/>
      <c r="Q271" s="619"/>
      <c r="R271" s="762"/>
      <c r="S271" s="762"/>
      <c r="T271" s="619"/>
      <c r="U271" s="762"/>
      <c r="V271" s="762"/>
      <c r="W271" s="619"/>
      <c r="X271" s="2893"/>
      <c r="Y271" s="2893"/>
      <c r="Z271" s="2893"/>
      <c r="AA271" s="2893"/>
      <c r="AB271" s="2893"/>
      <c r="AC271" s="2893"/>
      <c r="AD271" s="2893"/>
      <c r="AE271" s="2893"/>
      <c r="AF271" s="2893"/>
      <c r="AG271" s="2893"/>
    </row>
    <row r="272" spans="1:33" ht="32.9" customHeight="1">
      <c r="A272" s="252"/>
      <c r="B272" s="2903" t="s">
        <v>331</v>
      </c>
      <c r="C272" s="2903"/>
      <c r="D272" s="2903"/>
      <c r="E272" s="2903"/>
      <c r="F272" s="6"/>
      <c r="G272" s="65"/>
      <c r="H272" s="480"/>
      <c r="I272" s="710"/>
      <c r="J272" s="711"/>
      <c r="K272" s="526"/>
      <c r="L272" s="710"/>
      <c r="M272" s="711"/>
      <c r="N272" s="526"/>
      <c r="O272" s="710"/>
      <c r="P272" s="712"/>
      <c r="Q272" s="526"/>
      <c r="R272" s="762"/>
      <c r="S272" s="762"/>
      <c r="T272" s="526"/>
      <c r="U272" s="762"/>
      <c r="V272" s="762"/>
      <c r="W272" s="526"/>
      <c r="X272" s="2893"/>
      <c r="Y272" s="2893"/>
      <c r="Z272" s="2893"/>
      <c r="AA272" s="2893"/>
      <c r="AB272" s="2893"/>
      <c r="AC272" s="2893"/>
      <c r="AD272" s="2893"/>
      <c r="AE272" s="2893"/>
      <c r="AF272" s="2893"/>
      <c r="AG272" s="2893"/>
    </row>
    <row r="273" spans="1:33" ht="14.9" customHeight="1">
      <c r="A273" s="252"/>
      <c r="B273" s="2904" t="s">
        <v>332</v>
      </c>
      <c r="C273" s="2904"/>
      <c r="D273" s="2904"/>
      <c r="E273" s="2904"/>
      <c r="F273" s="6"/>
      <c r="G273" s="63"/>
      <c r="H273" s="480"/>
      <c r="I273" s="710"/>
      <c r="J273" s="582"/>
      <c r="K273" s="526"/>
      <c r="L273" s="748"/>
      <c r="M273" s="711"/>
      <c r="N273" s="526"/>
      <c r="O273" s="710"/>
      <c r="P273" s="582"/>
      <c r="Q273" s="526"/>
      <c r="R273" s="762"/>
      <c r="S273" s="762"/>
      <c r="T273" s="526"/>
      <c r="U273" s="762"/>
      <c r="V273" s="762"/>
      <c r="W273" s="526"/>
      <c r="X273" s="2893"/>
      <c r="Y273" s="2893"/>
      <c r="Z273" s="2893"/>
      <c r="AA273" s="2893"/>
      <c r="AB273" s="2893"/>
      <c r="AC273" s="2893"/>
      <c r="AD273" s="2893"/>
      <c r="AE273" s="2893"/>
      <c r="AF273" s="2893"/>
      <c r="AG273" s="2893"/>
    </row>
    <row r="274" spans="1:33" ht="14.9" customHeight="1">
      <c r="A274" s="252"/>
      <c r="B274" s="2903" t="s">
        <v>333</v>
      </c>
      <c r="C274" s="2903"/>
      <c r="D274" s="2903"/>
      <c r="E274" s="2903"/>
      <c r="F274" s="6"/>
      <c r="G274" s="63"/>
      <c r="H274" s="480"/>
      <c r="I274" s="710"/>
      <c r="J274" s="582"/>
      <c r="K274" s="526"/>
      <c r="L274" s="748"/>
      <c r="M274" s="711"/>
      <c r="N274" s="526"/>
      <c r="O274" s="710"/>
      <c r="P274" s="582"/>
      <c r="Q274" s="526"/>
      <c r="R274" s="762"/>
      <c r="S274" s="762"/>
      <c r="T274" s="526"/>
      <c r="U274" s="762"/>
      <c r="V274" s="762"/>
      <c r="W274" s="526"/>
      <c r="X274" s="2893"/>
      <c r="Y274" s="2893"/>
      <c r="Z274" s="2893"/>
      <c r="AA274" s="2893"/>
      <c r="AB274" s="2893"/>
      <c r="AC274" s="2893"/>
      <c r="AD274" s="2893"/>
      <c r="AE274" s="2893"/>
      <c r="AF274" s="2893"/>
      <c r="AG274" s="2893"/>
    </row>
    <row r="275" spans="1:33" ht="14.9" customHeight="1">
      <c r="A275" s="252"/>
      <c r="B275" s="2903" t="s">
        <v>334</v>
      </c>
      <c r="C275" s="2903"/>
      <c r="D275" s="2903"/>
      <c r="E275" s="2903"/>
      <c r="F275" s="6"/>
      <c r="G275" s="63"/>
      <c r="H275" s="480"/>
      <c r="I275" s="710"/>
      <c r="J275" s="582"/>
      <c r="K275" s="526"/>
      <c r="L275" s="748"/>
      <c r="M275" s="711"/>
      <c r="N275" s="526"/>
      <c r="O275" s="710"/>
      <c r="P275" s="582"/>
      <c r="Q275" s="526"/>
      <c r="R275" s="762"/>
      <c r="S275" s="762"/>
      <c r="T275" s="526"/>
      <c r="U275" s="762"/>
      <c r="V275" s="762"/>
      <c r="W275" s="526"/>
      <c r="X275" s="2893"/>
      <c r="Y275" s="2893"/>
      <c r="Z275" s="2893"/>
      <c r="AA275" s="2893"/>
      <c r="AB275" s="2893"/>
      <c r="AC275" s="2893"/>
      <c r="AD275" s="2893"/>
      <c r="AE275" s="2893"/>
      <c r="AF275" s="2893"/>
      <c r="AG275" s="2893"/>
    </row>
    <row r="276" spans="1:33" ht="14.9" customHeight="1">
      <c r="A276" s="252"/>
      <c r="B276" s="2904" t="s">
        <v>335</v>
      </c>
      <c r="C276" s="2904"/>
      <c r="D276" s="2904"/>
      <c r="E276" s="2904"/>
      <c r="F276" s="6"/>
      <c r="G276" s="63"/>
      <c r="H276" s="480"/>
      <c r="I276" s="710"/>
      <c r="J276" s="582"/>
      <c r="K276" s="526"/>
      <c r="L276" s="748"/>
      <c r="M276" s="711"/>
      <c r="N276" s="526"/>
      <c r="O276" s="710"/>
      <c r="P276" s="582"/>
      <c r="Q276" s="526"/>
      <c r="R276" s="762"/>
      <c r="S276" s="762"/>
      <c r="T276" s="526"/>
      <c r="U276" s="762"/>
      <c r="V276" s="762"/>
      <c r="W276" s="526"/>
      <c r="X276" s="2893"/>
      <c r="Y276" s="2893"/>
      <c r="Z276" s="2893"/>
      <c r="AA276" s="2893"/>
      <c r="AB276" s="2893"/>
      <c r="AC276" s="2893"/>
      <c r="AD276" s="2893"/>
      <c r="AE276" s="2893"/>
      <c r="AF276" s="2893"/>
      <c r="AG276" s="2893"/>
    </row>
    <row r="277" spans="1:33" ht="14.9" customHeight="1">
      <c r="A277" s="252"/>
      <c r="B277" s="2903" t="s">
        <v>336</v>
      </c>
      <c r="C277" s="2903"/>
      <c r="D277" s="2903"/>
      <c r="E277" s="2903"/>
      <c r="F277" s="6"/>
      <c r="G277" s="63"/>
      <c r="H277" s="480"/>
      <c r="I277" s="710"/>
      <c r="J277" s="582"/>
      <c r="K277" s="526"/>
      <c r="L277" s="748"/>
      <c r="M277" s="711"/>
      <c r="N277" s="526"/>
      <c r="O277" s="710"/>
      <c r="P277" s="582"/>
      <c r="Q277" s="526"/>
      <c r="R277" s="762"/>
      <c r="S277" s="762"/>
      <c r="T277" s="526"/>
      <c r="U277" s="762"/>
      <c r="V277" s="762"/>
      <c r="W277" s="526"/>
      <c r="X277" s="2893"/>
      <c r="Y277" s="2893"/>
      <c r="Z277" s="2893"/>
      <c r="AA277" s="2893"/>
      <c r="AB277" s="2893"/>
      <c r="AC277" s="2893"/>
      <c r="AD277" s="2893"/>
      <c r="AE277" s="2893"/>
      <c r="AF277" s="2893"/>
      <c r="AG277" s="2893"/>
    </row>
    <row r="278" spans="1:33" ht="32.9" customHeight="1">
      <c r="A278" s="252"/>
      <c r="B278" s="2903" t="s">
        <v>337</v>
      </c>
      <c r="C278" s="2903"/>
      <c r="D278" s="2903"/>
      <c r="E278" s="2903"/>
      <c r="F278" s="6"/>
      <c r="G278" s="63"/>
      <c r="H278" s="480"/>
      <c r="I278" s="710"/>
      <c r="J278" s="582"/>
      <c r="K278" s="526"/>
      <c r="L278" s="748"/>
      <c r="M278" s="711"/>
      <c r="N278" s="526"/>
      <c r="O278" s="710"/>
      <c r="P278" s="582"/>
      <c r="Q278" s="526"/>
      <c r="R278" s="762"/>
      <c r="S278" s="762"/>
      <c r="T278" s="526"/>
      <c r="U278" s="762"/>
      <c r="V278" s="762"/>
      <c r="W278" s="526"/>
      <c r="X278" s="2893"/>
      <c r="Y278" s="2893"/>
      <c r="Z278" s="2893"/>
      <c r="AA278" s="2893"/>
      <c r="AB278" s="2893"/>
      <c r="AC278" s="2893"/>
      <c r="AD278" s="2893"/>
      <c r="AE278" s="2893"/>
      <c r="AF278" s="2893"/>
      <c r="AG278" s="2893"/>
    </row>
    <row r="279" spans="1:33" ht="32.9" customHeight="1">
      <c r="A279" s="252"/>
      <c r="B279" s="2903" t="s">
        <v>338</v>
      </c>
      <c r="C279" s="2903"/>
      <c r="D279" s="2903"/>
      <c r="E279" s="2903"/>
      <c r="F279" s="6"/>
      <c r="G279" s="63"/>
      <c r="H279" s="480"/>
      <c r="I279" s="710"/>
      <c r="J279" s="582"/>
      <c r="K279" s="526"/>
      <c r="L279" s="748"/>
      <c r="M279" s="711"/>
      <c r="N279" s="526"/>
      <c r="O279" s="710"/>
      <c r="P279" s="582"/>
      <c r="Q279" s="526"/>
      <c r="R279" s="762"/>
      <c r="S279" s="762"/>
      <c r="T279" s="526"/>
      <c r="U279" s="762"/>
      <c r="V279" s="762"/>
      <c r="W279" s="526"/>
      <c r="X279" s="2893"/>
      <c r="Y279" s="2893"/>
      <c r="Z279" s="2893"/>
      <c r="AA279" s="2893"/>
      <c r="AB279" s="2893"/>
      <c r="AC279" s="2893"/>
      <c r="AD279" s="2893"/>
      <c r="AE279" s="2893"/>
      <c r="AF279" s="2893"/>
      <c r="AG279" s="2893"/>
    </row>
    <row r="280" spans="1:33" ht="14.9" customHeight="1">
      <c r="A280" s="252"/>
      <c r="B280" s="2903" t="s">
        <v>735</v>
      </c>
      <c r="C280" s="2903"/>
      <c r="D280" s="2903"/>
      <c r="E280" s="2903"/>
      <c r="F280" s="6"/>
      <c r="G280" s="63"/>
      <c r="H280" s="480"/>
      <c r="I280" s="710"/>
      <c r="J280" s="582"/>
      <c r="K280" s="526"/>
      <c r="L280" s="748"/>
      <c r="M280" s="711"/>
      <c r="N280" s="526"/>
      <c r="O280" s="710"/>
      <c r="P280" s="582"/>
      <c r="Q280" s="526"/>
      <c r="R280" s="762"/>
      <c r="S280" s="762"/>
      <c r="T280" s="526"/>
      <c r="U280" s="762"/>
      <c r="V280" s="762"/>
      <c r="W280" s="526"/>
      <c r="X280" s="2893"/>
      <c r="Y280" s="2893"/>
      <c r="Z280" s="2893"/>
      <c r="AA280" s="2893"/>
      <c r="AB280" s="2893"/>
      <c r="AC280" s="2893"/>
      <c r="AD280" s="2893"/>
      <c r="AE280" s="2893"/>
      <c r="AF280" s="2893"/>
      <c r="AG280" s="2893"/>
    </row>
    <row r="281" spans="1:33" ht="14.9" customHeight="1">
      <c r="A281" s="252"/>
      <c r="B281" s="2903" t="s">
        <v>734</v>
      </c>
      <c r="C281" s="2903"/>
      <c r="D281" s="2903"/>
      <c r="E281" s="2903"/>
      <c r="F281" s="6"/>
      <c r="G281" s="63"/>
      <c r="H281" s="797"/>
      <c r="I281" s="710"/>
      <c r="J281" s="582"/>
      <c r="K281" s="562"/>
      <c r="L281" s="748"/>
      <c r="M281" s="711"/>
      <c r="N281" s="562"/>
      <c r="O281" s="710"/>
      <c r="P281" s="582"/>
      <c r="Q281" s="562"/>
      <c r="R281" s="762"/>
      <c r="S281" s="762"/>
      <c r="T281" s="562"/>
      <c r="U281" s="762"/>
      <c r="V281" s="762"/>
      <c r="W281" s="562"/>
      <c r="X281" s="2893"/>
      <c r="Y281" s="2893"/>
      <c r="Z281" s="2893"/>
      <c r="AA281" s="2893"/>
      <c r="AB281" s="2893"/>
      <c r="AC281" s="2893"/>
      <c r="AD281" s="2893"/>
      <c r="AE281" s="2893"/>
      <c r="AF281" s="2893"/>
      <c r="AG281" s="2893"/>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911"/>
      <c r="Y282" s="2911"/>
      <c r="Z282" s="2911"/>
      <c r="AA282" s="2911"/>
      <c r="AB282" s="2911"/>
      <c r="AC282" s="2911"/>
      <c r="AD282" s="2911"/>
      <c r="AE282" s="2911"/>
      <c r="AF282" s="2911"/>
      <c r="AG282" s="2911"/>
    </row>
    <row r="283" spans="1:33" ht="14.9" customHeight="1">
      <c r="A283" s="252"/>
      <c r="B283" s="2903" t="s">
        <v>625</v>
      </c>
      <c r="C283" s="2903"/>
      <c r="D283" s="2903"/>
      <c r="E283" s="2903"/>
      <c r="F283" s="6"/>
      <c r="G283" s="65"/>
      <c r="H283" s="799"/>
      <c r="I283" s="710"/>
      <c r="J283" s="711"/>
      <c r="K283" s="628"/>
      <c r="L283" s="710"/>
      <c r="M283" s="711"/>
      <c r="N283" s="628"/>
      <c r="O283" s="710"/>
      <c r="P283" s="712"/>
      <c r="Q283" s="628"/>
      <c r="R283" s="762"/>
      <c r="S283" s="762"/>
      <c r="T283" s="628"/>
      <c r="U283" s="762"/>
      <c r="V283" s="762"/>
      <c r="W283" s="628"/>
      <c r="X283" s="2893"/>
      <c r="Y283" s="2893"/>
      <c r="Z283" s="2893"/>
      <c r="AA283" s="2893"/>
      <c r="AB283" s="2893"/>
      <c r="AC283" s="2893"/>
      <c r="AD283" s="2893"/>
      <c r="AE283" s="2893"/>
      <c r="AF283" s="2893"/>
      <c r="AG283" s="2893"/>
    </row>
    <row r="284" spans="1:33" ht="14.9" customHeight="1">
      <c r="A284" s="252"/>
      <c r="B284" s="2903" t="s">
        <v>626</v>
      </c>
      <c r="C284" s="2903"/>
      <c r="D284" s="2903"/>
      <c r="E284" s="2903"/>
      <c r="F284" s="6"/>
      <c r="G284" s="63"/>
      <c r="H284" s="480"/>
      <c r="I284" s="710"/>
      <c r="J284" s="582"/>
      <c r="K284" s="526"/>
      <c r="L284" s="748"/>
      <c r="M284" s="711"/>
      <c r="N284" s="526"/>
      <c r="O284" s="710"/>
      <c r="P284" s="582"/>
      <c r="Q284" s="526"/>
      <c r="R284" s="762"/>
      <c r="S284" s="762"/>
      <c r="T284" s="526"/>
      <c r="U284" s="762"/>
      <c r="V284" s="762"/>
      <c r="W284" s="526"/>
      <c r="X284" s="2893"/>
      <c r="Y284" s="2893"/>
      <c r="Z284" s="2893"/>
      <c r="AA284" s="2893"/>
      <c r="AB284" s="2893"/>
      <c r="AC284" s="2893"/>
      <c r="AD284" s="2893"/>
      <c r="AE284" s="2893"/>
      <c r="AF284" s="2893"/>
      <c r="AG284" s="2893"/>
    </row>
    <row r="285" spans="1:33" ht="14.9" customHeight="1">
      <c r="A285" s="252"/>
      <c r="B285" s="2903" t="s">
        <v>627</v>
      </c>
      <c r="C285" s="2903"/>
      <c r="D285" s="2903"/>
      <c r="E285" s="2903"/>
      <c r="F285" s="6"/>
      <c r="G285" s="63"/>
      <c r="H285" s="794"/>
      <c r="I285" s="710"/>
      <c r="J285" s="582"/>
      <c r="K285" s="561"/>
      <c r="L285" s="748"/>
      <c r="M285" s="711"/>
      <c r="N285" s="561"/>
      <c r="O285" s="710"/>
      <c r="P285" s="582"/>
      <c r="Q285" s="561"/>
      <c r="R285" s="762"/>
      <c r="S285" s="762"/>
      <c r="T285" s="561"/>
      <c r="U285" s="762"/>
      <c r="V285" s="762"/>
      <c r="W285" s="561"/>
      <c r="X285" s="2893"/>
      <c r="Y285" s="2893"/>
      <c r="Z285" s="2893"/>
      <c r="AA285" s="2893"/>
      <c r="AB285" s="2893"/>
      <c r="AC285" s="2893"/>
      <c r="AD285" s="2893"/>
      <c r="AE285" s="2893"/>
      <c r="AF285" s="2893"/>
      <c r="AG285" s="2893"/>
    </row>
    <row r="286" spans="1:33" ht="14.9" customHeight="1">
      <c r="A286" s="252"/>
      <c r="B286" s="2904" t="s">
        <v>628</v>
      </c>
      <c r="C286" s="2904"/>
      <c r="D286" s="2904"/>
      <c r="E286" s="2904"/>
      <c r="F286" s="6"/>
      <c r="G286" s="63"/>
      <c r="H286" s="480"/>
      <c r="I286" s="710"/>
      <c r="J286" s="582"/>
      <c r="K286" s="526"/>
      <c r="L286" s="748"/>
      <c r="M286" s="711"/>
      <c r="N286" s="526"/>
      <c r="O286" s="710"/>
      <c r="P286" s="582"/>
      <c r="Q286" s="526"/>
      <c r="R286" s="762"/>
      <c r="S286" s="762"/>
      <c r="T286" s="526"/>
      <c r="U286" s="762"/>
      <c r="V286" s="762"/>
      <c r="W286" s="526"/>
      <c r="X286" s="2893"/>
      <c r="Y286" s="2893"/>
      <c r="Z286" s="2893"/>
      <c r="AA286" s="2893"/>
      <c r="AB286" s="2893"/>
      <c r="AC286" s="2893"/>
      <c r="AD286" s="2893"/>
      <c r="AE286" s="2893"/>
      <c r="AF286" s="2893"/>
      <c r="AG286" s="2893"/>
    </row>
    <row r="287" spans="1:33" ht="33.75" customHeight="1">
      <c r="A287" s="252"/>
      <c r="B287" s="2904" t="s">
        <v>629</v>
      </c>
      <c r="C287" s="2904"/>
      <c r="D287" s="2904"/>
      <c r="E287" s="2904"/>
      <c r="F287" s="6"/>
      <c r="G287" s="65"/>
      <c r="H287" s="795"/>
      <c r="I287" s="710"/>
      <c r="J287" s="711"/>
      <c r="K287" s="568"/>
      <c r="L287" s="710"/>
      <c r="M287" s="711"/>
      <c r="N287" s="568"/>
      <c r="O287" s="710"/>
      <c r="P287" s="712"/>
      <c r="Q287" s="568"/>
      <c r="R287" s="762"/>
      <c r="S287" s="762"/>
      <c r="T287" s="568"/>
      <c r="U287" s="762"/>
      <c r="V287" s="762"/>
      <c r="W287" s="568"/>
      <c r="X287" s="2893"/>
      <c r="Y287" s="2893"/>
      <c r="Z287" s="2893"/>
      <c r="AA287" s="2893"/>
      <c r="AB287" s="2893"/>
      <c r="AC287" s="2893"/>
      <c r="AD287" s="2893"/>
      <c r="AE287" s="2893"/>
      <c r="AF287" s="2893"/>
      <c r="AG287" s="2893"/>
    </row>
    <row r="288" spans="1:33" ht="14.9" customHeight="1">
      <c r="A288" s="252"/>
      <c r="B288" s="2903" t="s">
        <v>630</v>
      </c>
      <c r="C288" s="2903"/>
      <c r="D288" s="2903"/>
      <c r="E288" s="2903"/>
      <c r="F288" s="6"/>
      <c r="G288" s="65"/>
      <c r="H288" s="480"/>
      <c r="I288" s="710"/>
      <c r="J288" s="711"/>
      <c r="K288" s="526"/>
      <c r="L288" s="710"/>
      <c r="M288" s="711"/>
      <c r="N288" s="526"/>
      <c r="O288" s="710"/>
      <c r="P288" s="712"/>
      <c r="Q288" s="526"/>
      <c r="R288" s="762"/>
      <c r="S288" s="762"/>
      <c r="T288" s="526"/>
      <c r="U288" s="762"/>
      <c r="V288" s="762"/>
      <c r="W288" s="526"/>
      <c r="X288" s="2893"/>
      <c r="Y288" s="2893"/>
      <c r="Z288" s="2893"/>
      <c r="AA288" s="2893"/>
      <c r="AB288" s="2893"/>
      <c r="AC288" s="2893"/>
      <c r="AD288" s="2893"/>
      <c r="AE288" s="2893"/>
      <c r="AF288" s="2893"/>
      <c r="AG288" s="2893"/>
    </row>
    <row r="289" spans="1:33" ht="14.9" customHeight="1">
      <c r="A289" s="252"/>
      <c r="B289" s="2904" t="s">
        <v>634</v>
      </c>
      <c r="C289" s="2904"/>
      <c r="D289" s="2904"/>
      <c r="E289" s="2904"/>
      <c r="F289" s="6"/>
      <c r="G289" s="65"/>
      <c r="H289" s="481"/>
      <c r="I289" s="710"/>
      <c r="J289" s="711"/>
      <c r="K289" s="553"/>
      <c r="L289" s="710"/>
      <c r="M289" s="711"/>
      <c r="N289" s="553"/>
      <c r="O289" s="710"/>
      <c r="P289" s="712"/>
      <c r="Q289" s="553"/>
      <c r="R289" s="762"/>
      <c r="S289" s="762"/>
      <c r="T289" s="553"/>
      <c r="U289" s="762"/>
      <c r="V289" s="762"/>
      <c r="W289" s="553"/>
      <c r="X289" s="2893"/>
      <c r="Y289" s="2893"/>
      <c r="Z289" s="2893"/>
      <c r="AA289" s="2893"/>
      <c r="AB289" s="2893"/>
      <c r="AC289" s="2893"/>
      <c r="AD289" s="2893"/>
      <c r="AE289" s="2893"/>
      <c r="AF289" s="2893"/>
      <c r="AG289" s="2893"/>
    </row>
    <row r="290" spans="1:33" ht="29.15" customHeight="1">
      <c r="A290" s="252"/>
      <c r="B290" s="2903" t="s">
        <v>1551</v>
      </c>
      <c r="C290" s="2903"/>
      <c r="D290" s="2903"/>
      <c r="E290" s="2903"/>
      <c r="F290" s="6"/>
      <c r="G290" s="65"/>
      <c r="H290" s="796"/>
      <c r="I290" s="710"/>
      <c r="J290" s="711"/>
      <c r="K290" s="619"/>
      <c r="L290" s="710"/>
      <c r="M290" s="711"/>
      <c r="N290" s="619"/>
      <c r="O290" s="710"/>
      <c r="P290" s="712"/>
      <c r="Q290" s="619"/>
      <c r="R290" s="762"/>
      <c r="S290" s="762"/>
      <c r="T290" s="619"/>
      <c r="U290" s="762"/>
      <c r="V290" s="762"/>
      <c r="W290" s="619"/>
      <c r="X290" s="2893"/>
      <c r="Y290" s="2893"/>
      <c r="Z290" s="2893"/>
      <c r="AA290" s="2893"/>
      <c r="AB290" s="2893"/>
      <c r="AC290" s="2893"/>
      <c r="AD290" s="2893"/>
      <c r="AE290" s="2893"/>
      <c r="AF290" s="2893"/>
      <c r="AG290" s="2893"/>
    </row>
    <row r="291" spans="1:33" ht="29.15" customHeight="1">
      <c r="A291" s="252"/>
      <c r="B291" s="2903" t="s">
        <v>1552</v>
      </c>
      <c r="C291" s="2903"/>
      <c r="D291" s="2903"/>
      <c r="E291" s="2903"/>
      <c r="F291" s="6"/>
      <c r="G291" s="65"/>
      <c r="H291" s="796"/>
      <c r="I291" s="710"/>
      <c r="J291" s="711"/>
      <c r="K291" s="619"/>
      <c r="L291" s="710"/>
      <c r="M291" s="711"/>
      <c r="N291" s="619"/>
      <c r="O291" s="710"/>
      <c r="P291" s="712"/>
      <c r="Q291" s="619"/>
      <c r="R291" s="762"/>
      <c r="S291" s="762"/>
      <c r="T291" s="619"/>
      <c r="U291" s="762"/>
      <c r="V291" s="762"/>
      <c r="W291" s="619"/>
      <c r="X291" s="2893"/>
      <c r="Y291" s="2893"/>
      <c r="Z291" s="2893"/>
      <c r="AA291" s="2893"/>
      <c r="AB291" s="2893"/>
      <c r="AC291" s="2893"/>
      <c r="AD291" s="2893"/>
      <c r="AE291" s="2893"/>
      <c r="AF291" s="2893"/>
      <c r="AG291" s="2893"/>
    </row>
    <row r="292" spans="1:33" ht="33.75" customHeight="1">
      <c r="A292" s="252"/>
      <c r="B292" s="2903" t="s">
        <v>331</v>
      </c>
      <c r="C292" s="2903"/>
      <c r="D292" s="2903"/>
      <c r="E292" s="2903"/>
      <c r="F292" s="6"/>
      <c r="G292" s="65"/>
      <c r="H292" s="480"/>
      <c r="I292" s="710"/>
      <c r="J292" s="711"/>
      <c r="K292" s="526"/>
      <c r="L292" s="710"/>
      <c r="M292" s="711"/>
      <c r="N292" s="526"/>
      <c r="O292" s="710"/>
      <c r="P292" s="712"/>
      <c r="Q292" s="526"/>
      <c r="R292" s="762"/>
      <c r="S292" s="762"/>
      <c r="T292" s="526"/>
      <c r="U292" s="762"/>
      <c r="V292" s="762"/>
      <c r="W292" s="526"/>
      <c r="X292" s="2893"/>
      <c r="Y292" s="2893"/>
      <c r="Z292" s="2893"/>
      <c r="AA292" s="2893"/>
      <c r="AB292" s="2893"/>
      <c r="AC292" s="2893"/>
      <c r="AD292" s="2893"/>
      <c r="AE292" s="2893"/>
      <c r="AF292" s="2893"/>
      <c r="AG292" s="2893"/>
    </row>
    <row r="293" spans="1:33" ht="14.9" customHeight="1">
      <c r="A293" s="252"/>
      <c r="B293" s="2904" t="s">
        <v>332</v>
      </c>
      <c r="C293" s="2904"/>
      <c r="D293" s="2904"/>
      <c r="E293" s="2904"/>
      <c r="F293" s="6"/>
      <c r="G293" s="63"/>
      <c r="H293" s="480"/>
      <c r="I293" s="710"/>
      <c r="J293" s="582"/>
      <c r="K293" s="526"/>
      <c r="L293" s="748"/>
      <c r="M293" s="711"/>
      <c r="N293" s="526"/>
      <c r="O293" s="710"/>
      <c r="P293" s="582"/>
      <c r="Q293" s="526"/>
      <c r="R293" s="762"/>
      <c r="S293" s="762"/>
      <c r="T293" s="526"/>
      <c r="U293" s="762"/>
      <c r="V293" s="762"/>
      <c r="W293" s="526"/>
      <c r="X293" s="2893"/>
      <c r="Y293" s="2893"/>
      <c r="Z293" s="2893"/>
      <c r="AA293" s="2893"/>
      <c r="AB293" s="2893"/>
      <c r="AC293" s="2893"/>
      <c r="AD293" s="2893"/>
      <c r="AE293" s="2893"/>
      <c r="AF293" s="2893"/>
      <c r="AG293" s="2893"/>
    </row>
    <row r="294" spans="1:33" ht="14.9" customHeight="1">
      <c r="A294" s="252"/>
      <c r="B294" s="2903" t="s">
        <v>333</v>
      </c>
      <c r="C294" s="2903"/>
      <c r="D294" s="2903"/>
      <c r="E294" s="2903"/>
      <c r="F294" s="6"/>
      <c r="G294" s="63"/>
      <c r="H294" s="480"/>
      <c r="I294" s="710"/>
      <c r="J294" s="582"/>
      <c r="K294" s="526"/>
      <c r="L294" s="748"/>
      <c r="M294" s="711"/>
      <c r="N294" s="526"/>
      <c r="O294" s="710"/>
      <c r="P294" s="582"/>
      <c r="Q294" s="526"/>
      <c r="R294" s="762"/>
      <c r="S294" s="762"/>
      <c r="T294" s="526"/>
      <c r="U294" s="762"/>
      <c r="V294" s="762"/>
      <c r="W294" s="526"/>
      <c r="X294" s="2893"/>
      <c r="Y294" s="2893"/>
      <c r="Z294" s="2893"/>
      <c r="AA294" s="2893"/>
      <c r="AB294" s="2893"/>
      <c r="AC294" s="2893"/>
      <c r="AD294" s="2893"/>
      <c r="AE294" s="2893"/>
      <c r="AF294" s="2893"/>
      <c r="AG294" s="2893"/>
    </row>
    <row r="295" spans="1:33" ht="14.9" customHeight="1">
      <c r="A295" s="252"/>
      <c r="B295" s="2903" t="s">
        <v>334</v>
      </c>
      <c r="C295" s="2903"/>
      <c r="D295" s="2903"/>
      <c r="E295" s="2903"/>
      <c r="F295" s="6"/>
      <c r="G295" s="63"/>
      <c r="H295" s="480"/>
      <c r="I295" s="710"/>
      <c r="J295" s="582"/>
      <c r="K295" s="526"/>
      <c r="L295" s="748"/>
      <c r="M295" s="711"/>
      <c r="N295" s="526"/>
      <c r="O295" s="710"/>
      <c r="P295" s="582"/>
      <c r="Q295" s="526"/>
      <c r="R295" s="762"/>
      <c r="S295" s="762"/>
      <c r="T295" s="526"/>
      <c r="U295" s="762"/>
      <c r="V295" s="762"/>
      <c r="W295" s="526"/>
      <c r="X295" s="2893"/>
      <c r="Y295" s="2893"/>
      <c r="Z295" s="2893"/>
      <c r="AA295" s="2893"/>
      <c r="AB295" s="2893"/>
      <c r="AC295" s="2893"/>
      <c r="AD295" s="2893"/>
      <c r="AE295" s="2893"/>
      <c r="AF295" s="2893"/>
      <c r="AG295" s="2893"/>
    </row>
    <row r="296" spans="1:33" ht="14.9" customHeight="1">
      <c r="A296" s="252"/>
      <c r="B296" s="2904" t="s">
        <v>335</v>
      </c>
      <c r="C296" s="2904"/>
      <c r="D296" s="2904"/>
      <c r="E296" s="2904"/>
      <c r="F296" s="6"/>
      <c r="G296" s="63"/>
      <c r="H296" s="480"/>
      <c r="I296" s="710"/>
      <c r="J296" s="582"/>
      <c r="K296" s="526"/>
      <c r="L296" s="748"/>
      <c r="M296" s="711"/>
      <c r="N296" s="526"/>
      <c r="O296" s="710"/>
      <c r="P296" s="582"/>
      <c r="Q296" s="526"/>
      <c r="R296" s="762"/>
      <c r="S296" s="762"/>
      <c r="T296" s="526"/>
      <c r="U296" s="762"/>
      <c r="V296" s="762"/>
      <c r="W296" s="526"/>
      <c r="X296" s="2893"/>
      <c r="Y296" s="2893"/>
      <c r="Z296" s="2893"/>
      <c r="AA296" s="2893"/>
      <c r="AB296" s="2893"/>
      <c r="AC296" s="2893"/>
      <c r="AD296" s="2893"/>
      <c r="AE296" s="2893"/>
      <c r="AF296" s="2893"/>
      <c r="AG296" s="2893"/>
    </row>
    <row r="297" spans="1:33" ht="14.9" customHeight="1">
      <c r="A297" s="252"/>
      <c r="B297" s="2903" t="s">
        <v>336</v>
      </c>
      <c r="C297" s="2903"/>
      <c r="D297" s="2903"/>
      <c r="E297" s="2903"/>
      <c r="F297" s="6"/>
      <c r="G297" s="63"/>
      <c r="H297" s="480"/>
      <c r="I297" s="710"/>
      <c r="J297" s="582"/>
      <c r="K297" s="526"/>
      <c r="L297" s="748"/>
      <c r="M297" s="711"/>
      <c r="N297" s="526"/>
      <c r="O297" s="710"/>
      <c r="P297" s="582"/>
      <c r="Q297" s="526"/>
      <c r="R297" s="762"/>
      <c r="S297" s="762"/>
      <c r="T297" s="526"/>
      <c r="U297" s="762"/>
      <c r="V297" s="762"/>
      <c r="W297" s="526"/>
      <c r="X297" s="2893"/>
      <c r="Y297" s="2893"/>
      <c r="Z297" s="2893"/>
      <c r="AA297" s="2893"/>
      <c r="AB297" s="2893"/>
      <c r="AC297" s="2893"/>
      <c r="AD297" s="2893"/>
      <c r="AE297" s="2893"/>
      <c r="AF297" s="2893"/>
      <c r="AG297" s="2893"/>
    </row>
    <row r="298" spans="1:33" ht="33.75" customHeight="1">
      <c r="A298" s="252"/>
      <c r="B298" s="2903" t="s">
        <v>337</v>
      </c>
      <c r="C298" s="2903"/>
      <c r="D298" s="2903"/>
      <c r="E298" s="2903"/>
      <c r="F298" s="6"/>
      <c r="G298" s="63"/>
      <c r="H298" s="480"/>
      <c r="I298" s="710"/>
      <c r="J298" s="582"/>
      <c r="K298" s="526"/>
      <c r="L298" s="748"/>
      <c r="M298" s="711"/>
      <c r="N298" s="526"/>
      <c r="O298" s="710"/>
      <c r="P298" s="582"/>
      <c r="Q298" s="526"/>
      <c r="R298" s="762"/>
      <c r="S298" s="762"/>
      <c r="T298" s="526"/>
      <c r="U298" s="762"/>
      <c r="V298" s="762"/>
      <c r="W298" s="526"/>
      <c r="X298" s="2893"/>
      <c r="Y298" s="2893"/>
      <c r="Z298" s="2893"/>
      <c r="AA298" s="2893"/>
      <c r="AB298" s="2893"/>
      <c r="AC298" s="2893"/>
      <c r="AD298" s="2893"/>
      <c r="AE298" s="2893"/>
      <c r="AF298" s="2893"/>
      <c r="AG298" s="2893"/>
    </row>
    <row r="299" spans="1:33" ht="33.75" customHeight="1">
      <c r="A299" s="252"/>
      <c r="B299" s="2903" t="s">
        <v>338</v>
      </c>
      <c r="C299" s="2903"/>
      <c r="D299" s="2903"/>
      <c r="E299" s="2903"/>
      <c r="F299" s="6"/>
      <c r="G299" s="63"/>
      <c r="H299" s="480"/>
      <c r="I299" s="710"/>
      <c r="J299" s="582"/>
      <c r="K299" s="526"/>
      <c r="L299" s="748"/>
      <c r="M299" s="711"/>
      <c r="N299" s="526"/>
      <c r="O299" s="710"/>
      <c r="P299" s="582"/>
      <c r="Q299" s="526"/>
      <c r="R299" s="762"/>
      <c r="S299" s="762"/>
      <c r="T299" s="526"/>
      <c r="U299" s="762"/>
      <c r="V299" s="762"/>
      <c r="W299" s="526"/>
      <c r="X299" s="2893"/>
      <c r="Y299" s="2893"/>
      <c r="Z299" s="2893"/>
      <c r="AA299" s="2893"/>
      <c r="AB299" s="2893"/>
      <c r="AC299" s="2893"/>
      <c r="AD299" s="2893"/>
      <c r="AE299" s="2893"/>
      <c r="AF299" s="2893"/>
      <c r="AG299" s="2893"/>
    </row>
    <row r="300" spans="1:33" ht="14.9" customHeight="1">
      <c r="A300" s="252"/>
      <c r="B300" s="2903" t="s">
        <v>735</v>
      </c>
      <c r="C300" s="2903"/>
      <c r="D300" s="2903"/>
      <c r="E300" s="2903"/>
      <c r="F300" s="6"/>
      <c r="G300" s="63"/>
      <c r="H300" s="480"/>
      <c r="I300" s="710"/>
      <c r="J300" s="582"/>
      <c r="K300" s="526"/>
      <c r="L300" s="748"/>
      <c r="M300" s="711"/>
      <c r="N300" s="526"/>
      <c r="O300" s="710"/>
      <c r="P300" s="582"/>
      <c r="Q300" s="526"/>
      <c r="R300" s="762"/>
      <c r="S300" s="762"/>
      <c r="T300" s="526"/>
      <c r="U300" s="762"/>
      <c r="V300" s="762"/>
      <c r="W300" s="526"/>
      <c r="X300" s="2893"/>
      <c r="Y300" s="2893"/>
      <c r="Z300" s="2893"/>
      <c r="AA300" s="2893"/>
      <c r="AB300" s="2893"/>
      <c r="AC300" s="2893"/>
      <c r="AD300" s="2893"/>
      <c r="AE300" s="2893"/>
      <c r="AF300" s="2893"/>
      <c r="AG300" s="2893"/>
    </row>
    <row r="301" spans="1:33" ht="14.9" customHeight="1">
      <c r="A301" s="252"/>
      <c r="B301" s="2903" t="s">
        <v>734</v>
      </c>
      <c r="C301" s="2903"/>
      <c r="D301" s="2903"/>
      <c r="E301" s="2903"/>
      <c r="F301" s="6"/>
      <c r="G301" s="63"/>
      <c r="H301" s="797"/>
      <c r="I301" s="710"/>
      <c r="J301" s="582"/>
      <c r="K301" s="562"/>
      <c r="L301" s="748"/>
      <c r="M301" s="711"/>
      <c r="N301" s="562"/>
      <c r="O301" s="710"/>
      <c r="P301" s="582"/>
      <c r="Q301" s="562"/>
      <c r="R301" s="762"/>
      <c r="S301" s="762"/>
      <c r="T301" s="562"/>
      <c r="U301" s="762"/>
      <c r="V301" s="762"/>
      <c r="W301" s="562"/>
      <c r="X301" s="2893"/>
      <c r="Y301" s="2893"/>
      <c r="Z301" s="2893"/>
      <c r="AA301" s="2893"/>
      <c r="AB301" s="2893"/>
      <c r="AC301" s="2893"/>
      <c r="AD301" s="2893"/>
      <c r="AE301" s="2893"/>
      <c r="AF301" s="2893"/>
      <c r="AG301" s="2893"/>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911"/>
      <c r="Y302" s="2911"/>
      <c r="Z302" s="2911"/>
      <c r="AA302" s="2911"/>
      <c r="AB302" s="2911"/>
      <c r="AC302" s="2911"/>
      <c r="AD302" s="2911"/>
      <c r="AE302" s="2911"/>
      <c r="AF302" s="2911"/>
      <c r="AG302" s="2911"/>
    </row>
    <row r="303" spans="1:33" ht="14.9" customHeight="1">
      <c r="A303" s="252"/>
      <c r="B303" s="2903" t="s">
        <v>625</v>
      </c>
      <c r="C303" s="2903"/>
      <c r="D303" s="2903"/>
      <c r="E303" s="2903"/>
      <c r="F303" s="6"/>
      <c r="G303" s="65"/>
      <c r="H303" s="799"/>
      <c r="I303" s="710"/>
      <c r="J303" s="711"/>
      <c r="K303" s="628"/>
      <c r="L303" s="710"/>
      <c r="M303" s="711"/>
      <c r="N303" s="628"/>
      <c r="O303" s="710"/>
      <c r="P303" s="712"/>
      <c r="Q303" s="628"/>
      <c r="R303" s="762"/>
      <c r="S303" s="762"/>
      <c r="T303" s="628"/>
      <c r="U303" s="762"/>
      <c r="V303" s="762"/>
      <c r="W303" s="628"/>
      <c r="X303" s="2893"/>
      <c r="Y303" s="2893"/>
      <c r="Z303" s="2893"/>
      <c r="AA303" s="2893"/>
      <c r="AB303" s="2893"/>
      <c r="AC303" s="2893"/>
      <c r="AD303" s="2893"/>
      <c r="AE303" s="2893"/>
      <c r="AF303" s="2893"/>
      <c r="AG303" s="2893"/>
    </row>
    <row r="304" spans="1:33" ht="14.9" customHeight="1">
      <c r="A304" s="252"/>
      <c r="B304" s="2903" t="s">
        <v>626</v>
      </c>
      <c r="C304" s="2903"/>
      <c r="D304" s="2903"/>
      <c r="E304" s="2903"/>
      <c r="F304" s="6"/>
      <c r="G304" s="63"/>
      <c r="H304" s="480"/>
      <c r="I304" s="710"/>
      <c r="J304" s="582"/>
      <c r="K304" s="526"/>
      <c r="L304" s="748"/>
      <c r="M304" s="711"/>
      <c r="N304" s="526"/>
      <c r="O304" s="710"/>
      <c r="P304" s="582"/>
      <c r="Q304" s="526"/>
      <c r="R304" s="762"/>
      <c r="S304" s="762"/>
      <c r="T304" s="526"/>
      <c r="U304" s="762"/>
      <c r="V304" s="762"/>
      <c r="W304" s="526"/>
      <c r="X304" s="2893"/>
      <c r="Y304" s="2893"/>
      <c r="Z304" s="2893"/>
      <c r="AA304" s="2893"/>
      <c r="AB304" s="2893"/>
      <c r="AC304" s="2893"/>
      <c r="AD304" s="2893"/>
      <c r="AE304" s="2893"/>
      <c r="AF304" s="2893"/>
      <c r="AG304" s="2893"/>
    </row>
    <row r="305" spans="1:33" ht="14.9" customHeight="1">
      <c r="A305" s="252"/>
      <c r="B305" s="2903" t="s">
        <v>627</v>
      </c>
      <c r="C305" s="2903"/>
      <c r="D305" s="2903"/>
      <c r="E305" s="2903"/>
      <c r="F305" s="6"/>
      <c r="G305" s="63"/>
      <c r="H305" s="794"/>
      <c r="I305" s="710"/>
      <c r="J305" s="582"/>
      <c r="K305" s="561"/>
      <c r="L305" s="748"/>
      <c r="M305" s="711"/>
      <c r="N305" s="561"/>
      <c r="O305" s="710"/>
      <c r="P305" s="582"/>
      <c r="Q305" s="561"/>
      <c r="R305" s="762"/>
      <c r="S305" s="762"/>
      <c r="T305" s="561"/>
      <c r="U305" s="762"/>
      <c r="V305" s="762"/>
      <c r="W305" s="561"/>
      <c r="X305" s="2893"/>
      <c r="Y305" s="2893"/>
      <c r="Z305" s="2893"/>
      <c r="AA305" s="2893"/>
      <c r="AB305" s="2893"/>
      <c r="AC305" s="2893"/>
      <c r="AD305" s="2893"/>
      <c r="AE305" s="2893"/>
      <c r="AF305" s="2893"/>
      <c r="AG305" s="2893"/>
    </row>
    <row r="306" spans="1:33" ht="14.9" customHeight="1">
      <c r="A306" s="252"/>
      <c r="B306" s="2904" t="s">
        <v>628</v>
      </c>
      <c r="C306" s="2904"/>
      <c r="D306" s="2904"/>
      <c r="E306" s="2904"/>
      <c r="F306" s="6"/>
      <c r="G306" s="63"/>
      <c r="H306" s="480"/>
      <c r="I306" s="710"/>
      <c r="J306" s="582"/>
      <c r="K306" s="526"/>
      <c r="L306" s="748"/>
      <c r="M306" s="711"/>
      <c r="N306" s="526"/>
      <c r="O306" s="710"/>
      <c r="P306" s="582"/>
      <c r="Q306" s="526"/>
      <c r="R306" s="762"/>
      <c r="S306" s="762"/>
      <c r="T306" s="526"/>
      <c r="U306" s="762"/>
      <c r="V306" s="762"/>
      <c r="W306" s="526"/>
      <c r="X306" s="2893"/>
      <c r="Y306" s="2893"/>
      <c r="Z306" s="2893"/>
      <c r="AA306" s="2893"/>
      <c r="AB306" s="2893"/>
      <c r="AC306" s="2893"/>
      <c r="AD306" s="2893"/>
      <c r="AE306" s="2893"/>
      <c r="AF306" s="2893"/>
      <c r="AG306" s="2893"/>
    </row>
    <row r="307" spans="1:33" ht="33.75" customHeight="1">
      <c r="A307" s="252"/>
      <c r="B307" s="2904" t="s">
        <v>629</v>
      </c>
      <c r="C307" s="2904"/>
      <c r="D307" s="2904"/>
      <c r="E307" s="2904"/>
      <c r="F307" s="6"/>
      <c r="G307" s="65"/>
      <c r="H307" s="795"/>
      <c r="I307" s="710"/>
      <c r="J307" s="711"/>
      <c r="K307" s="568"/>
      <c r="L307" s="710"/>
      <c r="M307" s="711"/>
      <c r="N307" s="568"/>
      <c r="O307" s="710"/>
      <c r="P307" s="712"/>
      <c r="Q307" s="568"/>
      <c r="R307" s="762"/>
      <c r="S307" s="762"/>
      <c r="T307" s="568"/>
      <c r="U307" s="762"/>
      <c r="V307" s="762"/>
      <c r="W307" s="568"/>
      <c r="X307" s="2893"/>
      <c r="Y307" s="2893"/>
      <c r="Z307" s="2893"/>
      <c r="AA307" s="2893"/>
      <c r="AB307" s="2893"/>
      <c r="AC307" s="2893"/>
      <c r="AD307" s="2893"/>
      <c r="AE307" s="2893"/>
      <c r="AF307" s="2893"/>
      <c r="AG307" s="2893"/>
    </row>
    <row r="308" spans="1:33" ht="14.9" customHeight="1">
      <c r="A308" s="252"/>
      <c r="B308" s="2903" t="s">
        <v>630</v>
      </c>
      <c r="C308" s="2903"/>
      <c r="D308" s="2903"/>
      <c r="E308" s="2903"/>
      <c r="F308" s="6"/>
      <c r="G308" s="65"/>
      <c r="H308" s="480"/>
      <c r="I308" s="710"/>
      <c r="J308" s="711"/>
      <c r="K308" s="526"/>
      <c r="L308" s="710"/>
      <c r="M308" s="711"/>
      <c r="N308" s="526"/>
      <c r="O308" s="710"/>
      <c r="P308" s="712"/>
      <c r="Q308" s="526"/>
      <c r="R308" s="762"/>
      <c r="S308" s="762"/>
      <c r="T308" s="526"/>
      <c r="U308" s="762"/>
      <c r="V308" s="762"/>
      <c r="W308" s="526"/>
      <c r="X308" s="2893"/>
      <c r="Y308" s="2893"/>
      <c r="Z308" s="2893"/>
      <c r="AA308" s="2893"/>
      <c r="AB308" s="2893"/>
      <c r="AC308" s="2893"/>
      <c r="AD308" s="2893"/>
      <c r="AE308" s="2893"/>
      <c r="AF308" s="2893"/>
      <c r="AG308" s="2893"/>
    </row>
    <row r="309" spans="1:33" ht="14.9" customHeight="1">
      <c r="A309" s="252"/>
      <c r="B309" s="2904" t="s">
        <v>634</v>
      </c>
      <c r="C309" s="2904"/>
      <c r="D309" s="2904"/>
      <c r="E309" s="2904"/>
      <c r="F309" s="6"/>
      <c r="G309" s="65"/>
      <c r="H309" s="481"/>
      <c r="I309" s="710"/>
      <c r="J309" s="711"/>
      <c r="K309" s="553"/>
      <c r="L309" s="710"/>
      <c r="M309" s="711"/>
      <c r="N309" s="553"/>
      <c r="O309" s="710"/>
      <c r="P309" s="712"/>
      <c r="Q309" s="553"/>
      <c r="R309" s="762"/>
      <c r="S309" s="762"/>
      <c r="T309" s="553"/>
      <c r="U309" s="762"/>
      <c r="V309" s="762"/>
      <c r="W309" s="553"/>
      <c r="X309" s="2893"/>
      <c r="Y309" s="2893"/>
      <c r="Z309" s="2893"/>
      <c r="AA309" s="2893"/>
      <c r="AB309" s="2893"/>
      <c r="AC309" s="2893"/>
      <c r="AD309" s="2893"/>
      <c r="AE309" s="2893"/>
      <c r="AF309" s="2893"/>
      <c r="AG309" s="2893"/>
    </row>
    <row r="310" spans="1:33" ht="29.15" customHeight="1">
      <c r="A310" s="252"/>
      <c r="B310" s="2903" t="s">
        <v>1551</v>
      </c>
      <c r="C310" s="2903"/>
      <c r="D310" s="2903"/>
      <c r="E310" s="2903"/>
      <c r="F310" s="6"/>
      <c r="G310" s="65"/>
      <c r="H310" s="796"/>
      <c r="I310" s="710"/>
      <c r="J310" s="711"/>
      <c r="K310" s="619"/>
      <c r="L310" s="710"/>
      <c r="M310" s="711"/>
      <c r="N310" s="619"/>
      <c r="O310" s="710"/>
      <c r="P310" s="712"/>
      <c r="Q310" s="619"/>
      <c r="R310" s="762"/>
      <c r="S310" s="762"/>
      <c r="T310" s="619"/>
      <c r="U310" s="762"/>
      <c r="V310" s="762"/>
      <c r="W310" s="619"/>
      <c r="X310" s="2893"/>
      <c r="Y310" s="2893"/>
      <c r="Z310" s="2893"/>
      <c r="AA310" s="2893"/>
      <c r="AB310" s="2893"/>
      <c r="AC310" s="2893"/>
      <c r="AD310" s="2893"/>
      <c r="AE310" s="2893"/>
      <c r="AF310" s="2893"/>
      <c r="AG310" s="2893"/>
    </row>
    <row r="311" spans="1:33" ht="29.15" customHeight="1">
      <c r="A311" s="252"/>
      <c r="B311" s="2903" t="s">
        <v>1552</v>
      </c>
      <c r="C311" s="2903"/>
      <c r="D311" s="2903"/>
      <c r="E311" s="2903"/>
      <c r="F311" s="6"/>
      <c r="G311" s="65"/>
      <c r="H311" s="796"/>
      <c r="I311" s="710"/>
      <c r="J311" s="711"/>
      <c r="K311" s="619"/>
      <c r="L311" s="710"/>
      <c r="M311" s="711"/>
      <c r="N311" s="619"/>
      <c r="O311" s="710"/>
      <c r="P311" s="712"/>
      <c r="Q311" s="619"/>
      <c r="R311" s="762"/>
      <c r="S311" s="762"/>
      <c r="T311" s="619"/>
      <c r="U311" s="762"/>
      <c r="V311" s="762"/>
      <c r="W311" s="619"/>
      <c r="X311" s="2893"/>
      <c r="Y311" s="2893"/>
      <c r="Z311" s="2893"/>
      <c r="AA311" s="2893"/>
      <c r="AB311" s="2893"/>
      <c r="AC311" s="2893"/>
      <c r="AD311" s="2893"/>
      <c r="AE311" s="2893"/>
      <c r="AF311" s="2893"/>
      <c r="AG311" s="2893"/>
    </row>
    <row r="312" spans="1:33" ht="33.75" customHeight="1">
      <c r="A312" s="252"/>
      <c r="B312" s="2903" t="s">
        <v>331</v>
      </c>
      <c r="C312" s="2903"/>
      <c r="D312" s="2903"/>
      <c r="E312" s="2903"/>
      <c r="F312" s="6"/>
      <c r="G312" s="65"/>
      <c r="H312" s="480"/>
      <c r="I312" s="710"/>
      <c r="J312" s="711"/>
      <c r="K312" s="526"/>
      <c r="L312" s="710"/>
      <c r="M312" s="711"/>
      <c r="N312" s="526"/>
      <c r="O312" s="710"/>
      <c r="P312" s="712"/>
      <c r="Q312" s="526"/>
      <c r="R312" s="762"/>
      <c r="S312" s="762"/>
      <c r="T312" s="526"/>
      <c r="U312" s="762"/>
      <c r="V312" s="762"/>
      <c r="W312" s="526"/>
      <c r="X312" s="2893"/>
      <c r="Y312" s="2893"/>
      <c r="Z312" s="2893"/>
      <c r="AA312" s="2893"/>
      <c r="AB312" s="2893"/>
      <c r="AC312" s="2893"/>
      <c r="AD312" s="2893"/>
      <c r="AE312" s="2893"/>
      <c r="AF312" s="2893"/>
      <c r="AG312" s="2893"/>
    </row>
    <row r="313" spans="1:33" ht="14.9" customHeight="1">
      <c r="A313" s="252"/>
      <c r="B313" s="2904" t="s">
        <v>332</v>
      </c>
      <c r="C313" s="2904"/>
      <c r="D313" s="2904"/>
      <c r="E313" s="2904"/>
      <c r="F313" s="6"/>
      <c r="G313" s="63"/>
      <c r="H313" s="480"/>
      <c r="I313" s="710"/>
      <c r="J313" s="582"/>
      <c r="K313" s="526"/>
      <c r="L313" s="748"/>
      <c r="M313" s="711"/>
      <c r="N313" s="526"/>
      <c r="O313" s="710"/>
      <c r="P313" s="582"/>
      <c r="Q313" s="526"/>
      <c r="R313" s="762"/>
      <c r="S313" s="762"/>
      <c r="T313" s="526"/>
      <c r="U313" s="762"/>
      <c r="V313" s="762"/>
      <c r="W313" s="526"/>
      <c r="X313" s="2893"/>
      <c r="Y313" s="2893"/>
      <c r="Z313" s="2893"/>
      <c r="AA313" s="2893"/>
      <c r="AB313" s="2893"/>
      <c r="AC313" s="2893"/>
      <c r="AD313" s="2893"/>
      <c r="AE313" s="2893"/>
      <c r="AF313" s="2893"/>
      <c r="AG313" s="2893"/>
    </row>
    <row r="314" spans="1:33" ht="14.9" customHeight="1">
      <c r="A314" s="252"/>
      <c r="B314" s="2903" t="s">
        <v>333</v>
      </c>
      <c r="C314" s="2903"/>
      <c r="D314" s="2903"/>
      <c r="E314" s="2903"/>
      <c r="F314" s="6"/>
      <c r="G314" s="63"/>
      <c r="H314" s="480"/>
      <c r="I314" s="710"/>
      <c r="J314" s="582"/>
      <c r="K314" s="526"/>
      <c r="L314" s="748"/>
      <c r="M314" s="711"/>
      <c r="N314" s="526"/>
      <c r="O314" s="710"/>
      <c r="P314" s="582"/>
      <c r="Q314" s="526"/>
      <c r="R314" s="762"/>
      <c r="S314" s="762"/>
      <c r="T314" s="526"/>
      <c r="U314" s="762"/>
      <c r="V314" s="762"/>
      <c r="W314" s="526"/>
      <c r="X314" s="2893"/>
      <c r="Y314" s="2893"/>
      <c r="Z314" s="2893"/>
      <c r="AA314" s="2893"/>
      <c r="AB314" s="2893"/>
      <c r="AC314" s="2893"/>
      <c r="AD314" s="2893"/>
      <c r="AE314" s="2893"/>
      <c r="AF314" s="2893"/>
      <c r="AG314" s="2893"/>
    </row>
    <row r="315" spans="1:33" ht="14.9" customHeight="1">
      <c r="A315" s="252"/>
      <c r="B315" s="2903" t="s">
        <v>334</v>
      </c>
      <c r="C315" s="2903"/>
      <c r="D315" s="2903"/>
      <c r="E315" s="2903"/>
      <c r="F315" s="6"/>
      <c r="G315" s="63"/>
      <c r="H315" s="480"/>
      <c r="I315" s="710"/>
      <c r="J315" s="582"/>
      <c r="K315" s="526"/>
      <c r="L315" s="748"/>
      <c r="M315" s="711"/>
      <c r="N315" s="526"/>
      <c r="O315" s="710"/>
      <c r="P315" s="582"/>
      <c r="Q315" s="526"/>
      <c r="R315" s="762"/>
      <c r="S315" s="762"/>
      <c r="T315" s="526"/>
      <c r="U315" s="762"/>
      <c r="V315" s="762"/>
      <c r="W315" s="526"/>
      <c r="X315" s="2893"/>
      <c r="Y315" s="2893"/>
      <c r="Z315" s="2893"/>
      <c r="AA315" s="2893"/>
      <c r="AB315" s="2893"/>
      <c r="AC315" s="2893"/>
      <c r="AD315" s="2893"/>
      <c r="AE315" s="2893"/>
      <c r="AF315" s="2893"/>
      <c r="AG315" s="2893"/>
    </row>
    <row r="316" spans="1:33" ht="14.9" customHeight="1">
      <c r="A316" s="252"/>
      <c r="B316" s="2904" t="s">
        <v>335</v>
      </c>
      <c r="C316" s="2904"/>
      <c r="D316" s="2904"/>
      <c r="E316" s="2904"/>
      <c r="F316" s="6"/>
      <c r="G316" s="63"/>
      <c r="H316" s="480"/>
      <c r="I316" s="710"/>
      <c r="J316" s="582"/>
      <c r="K316" s="526"/>
      <c r="L316" s="748"/>
      <c r="M316" s="711"/>
      <c r="N316" s="526"/>
      <c r="O316" s="710"/>
      <c r="P316" s="582"/>
      <c r="Q316" s="526"/>
      <c r="R316" s="762"/>
      <c r="S316" s="762"/>
      <c r="T316" s="526"/>
      <c r="U316" s="762"/>
      <c r="V316" s="762"/>
      <c r="W316" s="526"/>
      <c r="X316" s="2893"/>
      <c r="Y316" s="2893"/>
      <c r="Z316" s="2893"/>
      <c r="AA316" s="2893"/>
      <c r="AB316" s="2893"/>
      <c r="AC316" s="2893"/>
      <c r="AD316" s="2893"/>
      <c r="AE316" s="2893"/>
      <c r="AF316" s="2893"/>
      <c r="AG316" s="2893"/>
    </row>
    <row r="317" spans="1:33" ht="14.9" customHeight="1">
      <c r="A317" s="252"/>
      <c r="B317" s="2903" t="s">
        <v>336</v>
      </c>
      <c r="C317" s="2903"/>
      <c r="D317" s="2903"/>
      <c r="E317" s="2903"/>
      <c r="F317" s="6"/>
      <c r="G317" s="63"/>
      <c r="H317" s="480"/>
      <c r="I317" s="710"/>
      <c r="J317" s="582"/>
      <c r="K317" s="526"/>
      <c r="L317" s="748"/>
      <c r="M317" s="711"/>
      <c r="N317" s="526"/>
      <c r="O317" s="710"/>
      <c r="P317" s="582"/>
      <c r="Q317" s="526"/>
      <c r="R317" s="762"/>
      <c r="S317" s="762"/>
      <c r="T317" s="526"/>
      <c r="U317" s="762"/>
      <c r="V317" s="762"/>
      <c r="W317" s="526"/>
      <c r="X317" s="2893"/>
      <c r="Y317" s="2893"/>
      <c r="Z317" s="2893"/>
      <c r="AA317" s="2893"/>
      <c r="AB317" s="2893"/>
      <c r="AC317" s="2893"/>
      <c r="AD317" s="2893"/>
      <c r="AE317" s="2893"/>
      <c r="AF317" s="2893"/>
      <c r="AG317" s="2893"/>
    </row>
    <row r="318" spans="1:33" ht="33.75" customHeight="1">
      <c r="A318" s="252"/>
      <c r="B318" s="2903" t="s">
        <v>337</v>
      </c>
      <c r="C318" s="2903"/>
      <c r="D318" s="2903"/>
      <c r="E318" s="2903"/>
      <c r="F318" s="6"/>
      <c r="G318" s="63"/>
      <c r="H318" s="480"/>
      <c r="I318" s="710"/>
      <c r="J318" s="582"/>
      <c r="K318" s="526"/>
      <c r="L318" s="748"/>
      <c r="M318" s="711"/>
      <c r="N318" s="526"/>
      <c r="O318" s="710"/>
      <c r="P318" s="582"/>
      <c r="Q318" s="526"/>
      <c r="R318" s="762"/>
      <c r="S318" s="762"/>
      <c r="T318" s="526"/>
      <c r="U318" s="762"/>
      <c r="V318" s="762"/>
      <c r="W318" s="526"/>
      <c r="X318" s="2893"/>
      <c r="Y318" s="2893"/>
      <c r="Z318" s="2893"/>
      <c r="AA318" s="2893"/>
      <c r="AB318" s="2893"/>
      <c r="AC318" s="2893"/>
      <c r="AD318" s="2893"/>
      <c r="AE318" s="2893"/>
      <c r="AF318" s="2893"/>
      <c r="AG318" s="2893"/>
    </row>
    <row r="319" spans="1:33" ht="33.75" customHeight="1">
      <c r="A319" s="252"/>
      <c r="B319" s="2903" t="s">
        <v>338</v>
      </c>
      <c r="C319" s="2903"/>
      <c r="D319" s="2903"/>
      <c r="E319" s="2903"/>
      <c r="F319" s="6"/>
      <c r="G319" s="63"/>
      <c r="H319" s="480"/>
      <c r="I319" s="710"/>
      <c r="J319" s="582"/>
      <c r="K319" s="526"/>
      <c r="L319" s="748"/>
      <c r="M319" s="711"/>
      <c r="N319" s="526"/>
      <c r="O319" s="710"/>
      <c r="P319" s="582"/>
      <c r="Q319" s="526"/>
      <c r="R319" s="762"/>
      <c r="S319" s="762"/>
      <c r="T319" s="526"/>
      <c r="U319" s="762"/>
      <c r="V319" s="762"/>
      <c r="W319" s="526"/>
      <c r="X319" s="2893"/>
      <c r="Y319" s="2893"/>
      <c r="Z319" s="2893"/>
      <c r="AA319" s="2893"/>
      <c r="AB319" s="2893"/>
      <c r="AC319" s="2893"/>
      <c r="AD319" s="2893"/>
      <c r="AE319" s="2893"/>
      <c r="AF319" s="2893"/>
      <c r="AG319" s="2893"/>
    </row>
    <row r="320" spans="1:33" ht="14.9" customHeight="1">
      <c r="A320" s="252"/>
      <c r="B320" s="2903" t="s">
        <v>735</v>
      </c>
      <c r="C320" s="2903"/>
      <c r="D320" s="2903"/>
      <c r="E320" s="2903"/>
      <c r="F320" s="6"/>
      <c r="G320" s="63"/>
      <c r="H320" s="480"/>
      <c r="I320" s="710"/>
      <c r="J320" s="582"/>
      <c r="K320" s="526"/>
      <c r="L320" s="748"/>
      <c r="M320" s="711"/>
      <c r="N320" s="526"/>
      <c r="O320" s="710"/>
      <c r="P320" s="582"/>
      <c r="Q320" s="526"/>
      <c r="R320" s="762"/>
      <c r="S320" s="762"/>
      <c r="T320" s="526"/>
      <c r="U320" s="762"/>
      <c r="V320" s="762"/>
      <c r="W320" s="526"/>
      <c r="X320" s="2893"/>
      <c r="Y320" s="2893"/>
      <c r="Z320" s="2893"/>
      <c r="AA320" s="2893"/>
      <c r="AB320" s="2893"/>
      <c r="AC320" s="2893"/>
      <c r="AD320" s="2893"/>
      <c r="AE320" s="2893"/>
      <c r="AF320" s="2893"/>
      <c r="AG320" s="2893"/>
    </row>
    <row r="321" spans="1:33" ht="14.9" customHeight="1">
      <c r="A321" s="252"/>
      <c r="B321" s="2903" t="s">
        <v>734</v>
      </c>
      <c r="C321" s="2903"/>
      <c r="D321" s="2903"/>
      <c r="E321" s="2903"/>
      <c r="F321" s="6"/>
      <c r="G321" s="63"/>
      <c r="H321" s="802"/>
      <c r="I321" s="741"/>
      <c r="J321" s="557"/>
      <c r="K321" s="769"/>
      <c r="L321" s="770"/>
      <c r="M321" s="742"/>
      <c r="N321" s="769"/>
      <c r="O321" s="741"/>
      <c r="P321" s="557"/>
      <c r="Q321" s="769"/>
      <c r="R321" s="768"/>
      <c r="S321" s="768"/>
      <c r="T321" s="769"/>
      <c r="U321" s="768"/>
      <c r="V321" s="768"/>
      <c r="W321" s="544"/>
      <c r="X321" s="2893"/>
      <c r="Y321" s="2893"/>
      <c r="Z321" s="2893"/>
      <c r="AA321" s="2893"/>
      <c r="AB321" s="2893"/>
      <c r="AC321" s="2893"/>
      <c r="AD321" s="2893"/>
      <c r="AE321" s="2893"/>
      <c r="AF321" s="2893"/>
      <c r="AG321" s="2893"/>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wawQgD64JZohzYZjQgGsvDLwBPszgQ8/5HlKHdnjorxJMIlJz/FFJY+UF3bVtb70dbHv/Nphhodt7EOh1wo1sA==" saltValue="kZq/L1ozUuTGWbZMkWbcPw==" spinCount="100000" sheet="1" objects="1" scenarios="1" formatColumns="0" formatRows="0"/>
  <mergeCells count="534">
    <mergeCell ref="B1:E1"/>
    <mergeCell ref="B4:E4"/>
    <mergeCell ref="K4:T4"/>
    <mergeCell ref="K5:T5"/>
    <mergeCell ref="K6:T6"/>
    <mergeCell ref="K7:T7"/>
    <mergeCell ref="B11:E11"/>
    <mergeCell ref="K11:T11"/>
    <mergeCell ref="B12:E12"/>
    <mergeCell ref="K12:T1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N33:W33"/>
    <mergeCell ref="N34:W34"/>
    <mergeCell ref="N35:W35"/>
    <mergeCell ref="N36:W36"/>
    <mergeCell ref="N37:W37"/>
    <mergeCell ref="N38:W38"/>
    <mergeCell ref="N27:W27"/>
    <mergeCell ref="N28:W28"/>
    <mergeCell ref="N29:W29"/>
    <mergeCell ref="N30:W30"/>
    <mergeCell ref="N31:W31"/>
    <mergeCell ref="N32:W32"/>
    <mergeCell ref="K46:T46"/>
    <mergeCell ref="K47:T47"/>
    <mergeCell ref="K48:T48"/>
    <mergeCell ref="C49:E49"/>
    <mergeCell ref="K49:T49"/>
    <mergeCell ref="C50:E50"/>
    <mergeCell ref="K50:T50"/>
    <mergeCell ref="B41:E41"/>
    <mergeCell ref="C42:E42"/>
    <mergeCell ref="K42:T42"/>
    <mergeCell ref="K43:T43"/>
    <mergeCell ref="K44:T44"/>
    <mergeCell ref="K45:T45"/>
    <mergeCell ref="C54:E54"/>
    <mergeCell ref="K54:T54"/>
    <mergeCell ref="C55:E55"/>
    <mergeCell ref="K55:T55"/>
    <mergeCell ref="C56:E56"/>
    <mergeCell ref="K56:T56"/>
    <mergeCell ref="C51:E51"/>
    <mergeCell ref="K51:T51"/>
    <mergeCell ref="C52:E52"/>
    <mergeCell ref="K52:T52"/>
    <mergeCell ref="C53:E53"/>
    <mergeCell ref="K53:T53"/>
    <mergeCell ref="C60:E60"/>
    <mergeCell ref="K60:T60"/>
    <mergeCell ref="C61:E61"/>
    <mergeCell ref="K61:T61"/>
    <mergeCell ref="C62:E62"/>
    <mergeCell ref="K62:T62"/>
    <mergeCell ref="C57:E57"/>
    <mergeCell ref="K57:T57"/>
    <mergeCell ref="C58:E58"/>
    <mergeCell ref="K58:T58"/>
    <mergeCell ref="C59:E59"/>
    <mergeCell ref="K59:T59"/>
    <mergeCell ref="C66:E66"/>
    <mergeCell ref="K66:T66"/>
    <mergeCell ref="C67:E67"/>
    <mergeCell ref="K67:T67"/>
    <mergeCell ref="C68:E68"/>
    <mergeCell ref="K68:T68"/>
    <mergeCell ref="C63:E63"/>
    <mergeCell ref="K63:T63"/>
    <mergeCell ref="C64:E64"/>
    <mergeCell ref="K64:T64"/>
    <mergeCell ref="C65:E65"/>
    <mergeCell ref="K65:T65"/>
    <mergeCell ref="C72:E72"/>
    <mergeCell ref="K72:T72"/>
    <mergeCell ref="C73:E73"/>
    <mergeCell ref="K73:T73"/>
    <mergeCell ref="C74:E74"/>
    <mergeCell ref="K74:T74"/>
    <mergeCell ref="C69:E69"/>
    <mergeCell ref="K69:T69"/>
    <mergeCell ref="C70:E70"/>
    <mergeCell ref="K70:T70"/>
    <mergeCell ref="C71:E71"/>
    <mergeCell ref="K71:T71"/>
    <mergeCell ref="C78:E78"/>
    <mergeCell ref="K78:T78"/>
    <mergeCell ref="A81:E81"/>
    <mergeCell ref="G82:H82"/>
    <mergeCell ref="J82:K82"/>
    <mergeCell ref="M82:N82"/>
    <mergeCell ref="C75:E75"/>
    <mergeCell ref="K75:T75"/>
    <mergeCell ref="C76:E76"/>
    <mergeCell ref="K76:T76"/>
    <mergeCell ref="C77:E77"/>
    <mergeCell ref="K77:T77"/>
    <mergeCell ref="P83:P84"/>
    <mergeCell ref="Q83:Q84"/>
    <mergeCell ref="T83:T84"/>
    <mergeCell ref="W83:W84"/>
    <mergeCell ref="X83:AG84"/>
    <mergeCell ref="X86:AG86"/>
    <mergeCell ref="G83:G84"/>
    <mergeCell ref="H83:H84"/>
    <mergeCell ref="J83:J84"/>
    <mergeCell ref="K83:K84"/>
    <mergeCell ref="M83:M84"/>
    <mergeCell ref="N83:N84"/>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A105:A107"/>
    <mergeCell ref="X105:AG105"/>
    <mergeCell ref="X106:AG106"/>
    <mergeCell ref="B107:E107"/>
    <mergeCell ref="X107:AG107"/>
    <mergeCell ref="A108:A112"/>
    <mergeCell ref="X108:AG108"/>
    <mergeCell ref="B109:E109"/>
    <mergeCell ref="X109:AG109"/>
    <mergeCell ref="X110:AG110"/>
    <mergeCell ref="X116:AG116"/>
    <mergeCell ref="B117:E117"/>
    <mergeCell ref="X117:AG117"/>
    <mergeCell ref="X121:AG121"/>
    <mergeCell ref="X122:AG122"/>
    <mergeCell ref="X123:AG123"/>
    <mergeCell ref="X111:AG111"/>
    <mergeCell ref="X112:AG112"/>
    <mergeCell ref="A113:A117"/>
    <mergeCell ref="B113:E113"/>
    <mergeCell ref="X113:AG113"/>
    <mergeCell ref="B114:E114"/>
    <mergeCell ref="X114:AG114"/>
    <mergeCell ref="B115:E115"/>
    <mergeCell ref="X115:AG115"/>
    <mergeCell ref="B116:E116"/>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20:E320"/>
    <mergeCell ref="X320:AG320"/>
    <mergeCell ref="B321:E321"/>
    <mergeCell ref="X321:AG321"/>
    <mergeCell ref="B317:E317"/>
    <mergeCell ref="X317:AG317"/>
    <mergeCell ref="B318:E318"/>
    <mergeCell ref="X318:AG318"/>
    <mergeCell ref="B319:E319"/>
    <mergeCell ref="X319:AG319"/>
  </mergeCells>
  <dataValidations count="19">
    <dataValidation type="list" allowBlank="1" showInputMessage="1" showErrorMessage="1" sqref="M289:M291 J180:J182 M245:M247 M205:M207 J136 M225:M227 M136 M156 J156 M176 M160:M162 J176 J160:J162 M180:M182 M309:M311" xr:uid="{00000000-0002-0000-1800-000000000000}">
      <formula1>"Motorcycle,Land Cruiser,Box Truck/Lorry"</formula1>
    </dataValidation>
    <dataValidation type="list" allowBlank="1" showInputMessage="1" showErrorMessage="1" sqref="G87 G89" xr:uid="{00000000-0002-0000-1800-000001000000}">
      <formula1>"Tier 1,Tier 2,Tier 3,Tier 4"</formula1>
    </dataValidation>
    <dataValidation type="list" allowBlank="1" showInputMessage="1" showErrorMessage="1" sqref="G86" xr:uid="{00000000-0002-0000-1800-000002000000}">
      <formula1>"ZimbabweZAPS,TEST"</formula1>
    </dataValidation>
    <dataValidation type="list" allowBlank="1" showInputMessage="1" showErrorMessage="1" sqref="H5 H86 K86 N86 Q86 T86 W86" xr:uid="{00000000-0002-0000-1800-000003000000}">
      <formula1>$N$6:$N$11</formula1>
    </dataValidation>
    <dataValidation type="whole" allowBlank="1" showInputMessage="1" showErrorMessage="1" sqref="H7" xr:uid="{00000000-0002-0000-1800-000004000000}">
      <formula1>1</formula1>
      <formula2>6</formula2>
    </dataValidation>
    <dataValidation type="decimal" operator="greaterThanOrEqual" allowBlank="1" showInputMessage="1" showErrorMessage="1" sqref="H12 H18 H28:H38 L107:M107 H46 H49:H52 H69:H70 H43 N122:N123 H67 H55:H58 H98:H99 K98:K99 Q98:Q99 T98:T99 W98:W99 H103:H104 H106:H107 H109:H113 H115:H116 K103:N104 K106:K107 K109:K113 K115:K116 Q103:Q104 Q106:Q107 Q109:Q113 Q115:Q116 T103:T104 T106:T107 T109:T113 T115:T116 W103:W104 W106:W107 W109:W113 W115:W116 H315 H122:H123 K122:K123 Q122:Q123 T122:T123 W122:W123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K28:K38 N98:N99 H63:H64 N115:N116 N109:N113 N106:N107 H73:H76" xr:uid="{00000000-0002-0000-1800-000005000000}">
      <formula1>0</formula1>
    </dataValidation>
    <dataValidation type="decimal" operator="greaterThan" allowBlank="1" showInputMessage="1" showErrorMessage="1" sqref="H6 H9:H11 H17 H21 H19 H68 H65:H66 N114 H180 H44:H45 H47:H48 H53:H54 K151:K152 H92 Q92 T92 W92 H108 H114 K108 K114 Q108 Q114 T108 T114 W108 W114 K180 K160 H184 H164 H191:H192 H171:H172 K140 H144 H151:H152 N180 N160 K184 K164 K191:K192 K171:K172 N140 K144 Q151:Q152 Q180 Q160 N184 N164 N191:N192 N171:N172 Q140 N144 N151:N152 T180 T160 Q184 Q164 Q191:Q192 Q171:Q172 T140 Q144 H59:H6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77:H78 H71:H72 K92 N108 N92" xr:uid="{00000000-0002-0000-1800-000006000000}">
      <formula1>0</formula1>
    </dataValidation>
    <dataValidation type="decimal" operator="greaterThanOrEqual" allowBlank="1" showInputMessage="1" showErrorMessage="1" sqref="H97 W97 Q97 T97 K97 N97" xr:uid="{00000000-0002-0000-1800-000007000000}">
      <formula1>1</formula1>
    </dataValidation>
    <dataValidation type="whole" operator="greaterThan" allowBlank="1" showInputMessage="1" showErrorMessage="1" sqref="H95:H96 K95:K96 Q95:Q96 T95:T96 W95:W96 N95:N96" xr:uid="{00000000-0002-0000-1800-000008000000}">
      <formula1>0</formula1>
    </dataValidation>
    <dataValidation type="decimal" allowBlank="1" showInputMessage="1" showErrorMessage="1" sqref="H94 K94 Q94 T94 W94 N94" xr:uid="{00000000-0002-0000-1800-000009000000}">
      <formula1>0</formula1>
      <formula2>99.9999</formula2>
    </dataValidation>
    <dataValidation type="decimal" allowBlank="1" showInputMessage="1" showErrorMessage="1" sqref="H93 K93 Q93 T93 W93 N93" xr:uid="{00000000-0002-0000-1800-00000A000000}">
      <formula1>0.0001</formula1>
      <formula2>2</formula2>
    </dataValidation>
    <dataValidation type="list" allowBlank="1" showInputMessage="1" showErrorMessage="1" sqref="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K105 H105 N105" xr:uid="{00000000-0002-0000-1800-00000B000000}">
      <formula1>$B$27:$B$38</formula1>
    </dataValidation>
    <dataValidation type="list" allowBlank="1" showInputMessage="1" showErrorMessage="1" sqref="H117 K117 Q117 T117 W117 N117" xr:uid="{00000000-0002-0000-1800-00000C000000}">
      <formula1>"Upstream,Downstream"</formula1>
    </dataValidation>
    <dataValidation type="list" allowBlank="1" showInputMessage="1" showErrorMessage="1" sqref="H121 K121 Q121 T121 W121 N121" xr:uid="{00000000-0002-0000-1800-00000D000000}">
      <formula1>"Cost per m^3 delivered, Cost as % commodity value"</formula1>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800-00000E000000}">
      <formula1>0</formula1>
      <formula2>1</formula2>
    </dataValidation>
    <dataValidation type="whole" allowBlank="1" showInputMessage="1" showErrorMessage="1" sqref="H133:H134 K133:K134 N133:N134 Q133:Q134 T133:T134 W133:W134" xr:uid="{00000000-0002-0000-1800-00000F000000}">
      <formula1>0</formula1>
      <formula2>3</formula2>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800-000010000000}">
      <formula1>"Route-based,Point-to-point"</formula1>
    </dataValidation>
    <dataValidation type="list" allowBlank="1" showInputMessage="1" showErrorMessage="1" sqref="H173:H174 H153:H154 H193 K173:K174 K153:K154 K193 N173:N174 W193 N193 Q173:Q174 N153:N154 Q193 T173:T174 T153:T154 T193 W173:W174 W153:W154 Q153:Q154" xr:uid="{00000000-0002-0000-1800-000011000000}">
      <formula1>"Yes,No"</formula1>
    </dataValidation>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800-000012000000}">
      <formula1>"Yes, 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operator="greaterThan" allowBlank="1" showInputMessage="1" showErrorMessage="1" xr:uid="{00000000-0002-0000-1800-000013000000}">
          <x14:formula1>
            <xm:f>'List Values'!$B$3:$B$4</xm:f>
          </x14:formula1>
          <xm:sqref>H20</xm:sqref>
        </x14:dataValidation>
        <x14:dataValidation type="list" allowBlank="1" showInputMessage="1" showErrorMessage="1" xr:uid="{00000000-0002-0000-1800-000014000000}">
          <x14:formula1>
            <xm:f>'List Values'!$B$3:$B$4</xm:f>
          </x14:formula1>
          <xm:sqref>H20</xm:sqref>
        </x14:dataValidation>
        <x14:dataValidation type="list" allowBlank="1" showInputMessage="1" showErrorMessage="1" xr:uid="{00000000-0002-0000-1800-000015000000}">
          <x14:formula1>
            <xm:f>'List Values'!$C$3:$C$8</xm:f>
          </x14:formula1>
          <xm:sqref>K87 N87 Q87 T87 W87 H87</xm:sqref>
        </x14:dataValidation>
        <x14:dataValidation type="list" allowBlank="1" showInputMessage="1" showErrorMessage="1" xr:uid="{00000000-0002-0000-1800-000016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800-000017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800-000018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theme="0" tint="-0.14999847407452621"/>
  </sheetPr>
  <dimension ref="A1:BC350"/>
  <sheetViews>
    <sheetView showGridLines="0" zoomScale="80" zoomScaleNormal="80" workbookViewId="0">
      <selection activeCell="H108" sqref="H108:K108"/>
    </sheetView>
  </sheetViews>
  <sheetFormatPr defaultColWidth="8.84375" defaultRowHeight="14.6"/>
  <cols>
    <col min="1" max="1" width="9.69140625" customWidth="1"/>
    <col min="2" max="2" width="30.3046875" customWidth="1"/>
    <col min="3" max="3" width="10.69140625" customWidth="1"/>
    <col min="4" max="4" width="24.3046875" customWidth="1"/>
    <col min="5" max="5" width="32.535156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5" max="25" width="11.3828125" bestFit="1" customWidth="1"/>
    <col min="33" max="33" width="19.3046875" customWidth="1"/>
    <col min="41" max="41" width="13" customWidth="1"/>
    <col min="42" max="42" width="15.84375" customWidth="1"/>
    <col min="44" max="44" width="14.69140625" customWidth="1"/>
    <col min="46" max="46" width="18.3046875" customWidth="1"/>
    <col min="47" max="47" width="10" customWidth="1"/>
    <col min="48" max="48" width="18.3828125" customWidth="1"/>
    <col min="49" max="50" width="13.84375" customWidth="1"/>
  </cols>
  <sheetData>
    <row r="1" spans="2:23" ht="212.25" customHeight="1">
      <c r="B1" s="2913" t="s">
        <v>5514</v>
      </c>
      <c r="C1" s="2913"/>
      <c r="D1" s="2913"/>
      <c r="E1" s="2913"/>
      <c r="H1" s="771"/>
    </row>
    <row r="4" spans="2:23" ht="27" customHeight="1">
      <c r="B4" s="2856" t="s">
        <v>304</v>
      </c>
      <c r="C4" s="2857"/>
      <c r="D4" s="2857"/>
      <c r="E4" s="2858"/>
      <c r="G4" s="25" t="s">
        <v>17</v>
      </c>
      <c r="H4" s="789" t="s">
        <v>10</v>
      </c>
      <c r="K4" s="2859" t="s">
        <v>405</v>
      </c>
      <c r="L4" s="2859"/>
      <c r="M4" s="2859"/>
      <c r="N4" s="2859"/>
      <c r="O4" s="2859"/>
      <c r="P4" s="2859"/>
      <c r="Q4" s="2859"/>
      <c r="R4" s="2859"/>
      <c r="S4" s="2859"/>
      <c r="T4" s="2859"/>
    </row>
    <row r="5" spans="2:23" ht="15" customHeight="1">
      <c r="B5" s="665" t="s">
        <v>117</v>
      </c>
      <c r="C5" s="664"/>
      <c r="D5" s="664"/>
      <c r="E5" s="663"/>
      <c r="H5" s="521"/>
      <c r="K5" s="2860"/>
      <c r="L5" s="2860"/>
      <c r="M5" s="2860"/>
      <c r="N5" s="2860"/>
      <c r="O5" s="2860"/>
      <c r="P5" s="2860"/>
      <c r="Q5" s="2860"/>
      <c r="R5" s="2860"/>
      <c r="S5" s="2860"/>
      <c r="T5" s="2860"/>
    </row>
    <row r="6" spans="2:23" ht="15" customHeight="1">
      <c r="B6" s="665" t="s">
        <v>165</v>
      </c>
      <c r="C6" s="664"/>
      <c r="D6" s="664"/>
      <c r="E6" s="663"/>
      <c r="F6" s="83"/>
      <c r="G6" s="84"/>
      <c r="H6" s="695">
        <v>1</v>
      </c>
      <c r="K6" s="2860"/>
      <c r="L6" s="2860"/>
      <c r="M6" s="2860"/>
      <c r="N6" s="2860"/>
      <c r="O6" s="2860"/>
      <c r="P6" s="2860"/>
      <c r="Q6" s="2860"/>
      <c r="R6" s="2860"/>
      <c r="S6" s="2860"/>
      <c r="T6" s="2860"/>
    </row>
    <row r="7" spans="2:23" ht="16" customHeight="1">
      <c r="B7" s="662" t="s">
        <v>57</v>
      </c>
      <c r="C7" s="659"/>
      <c r="D7" s="659"/>
      <c r="E7" s="791"/>
      <c r="G7" s="41">
        <v>3</v>
      </c>
      <c r="H7" s="695">
        <v>2</v>
      </c>
      <c r="K7" s="2860"/>
      <c r="L7" s="2860"/>
      <c r="M7" s="2860"/>
      <c r="N7" s="2860"/>
      <c r="O7" s="2860"/>
      <c r="P7" s="2860"/>
      <c r="Q7" s="2860"/>
      <c r="R7" s="2860"/>
      <c r="S7" s="2860"/>
      <c r="T7" s="2860"/>
    </row>
    <row r="8" spans="2:23">
      <c r="B8" s="2861" t="s">
        <v>11</v>
      </c>
      <c r="C8" s="2250"/>
      <c r="D8" s="2250"/>
      <c r="E8" s="2862"/>
      <c r="G8" s="40">
        <v>1.37</v>
      </c>
      <c r="H8" s="1326">
        <f>3.74*0.145</f>
        <v>0.5423</v>
      </c>
      <c r="K8" s="2860" t="s">
        <v>2236</v>
      </c>
      <c r="L8" s="2860"/>
      <c r="M8" s="2860"/>
      <c r="N8" s="2860"/>
      <c r="O8" s="2860"/>
      <c r="P8" s="2860"/>
      <c r="Q8" s="2860"/>
      <c r="R8" s="2860"/>
      <c r="S8" s="2860"/>
      <c r="T8" s="2860"/>
    </row>
    <row r="9" spans="2:23" ht="18.75" customHeight="1">
      <c r="B9" s="2861" t="s">
        <v>12</v>
      </c>
      <c r="C9" s="2250"/>
      <c r="D9" s="2250"/>
      <c r="E9" s="2862"/>
      <c r="G9" s="41">
        <v>240</v>
      </c>
      <c r="H9" s="695">
        <v>260</v>
      </c>
      <c r="K9" s="2864" t="s">
        <v>2254</v>
      </c>
      <c r="L9" s="2864"/>
      <c r="M9" s="2864"/>
      <c r="N9" s="2864"/>
      <c r="O9" s="2864"/>
      <c r="P9" s="2864"/>
      <c r="Q9" s="2864"/>
      <c r="R9" s="2864"/>
      <c r="S9" s="2864"/>
      <c r="T9" s="2864"/>
      <c r="U9" s="655"/>
      <c r="V9" s="655"/>
    </row>
    <row r="10" spans="2:23" ht="15" customHeight="1">
      <c r="B10" s="2861" t="s">
        <v>13</v>
      </c>
      <c r="C10" s="2250"/>
      <c r="D10" s="2250"/>
      <c r="E10" s="2862"/>
      <c r="G10" s="41">
        <v>8</v>
      </c>
      <c r="H10" s="695">
        <v>8</v>
      </c>
      <c r="K10" s="2860" t="s">
        <v>2256</v>
      </c>
      <c r="L10" s="2860"/>
      <c r="M10" s="2860"/>
      <c r="N10" s="2860"/>
      <c r="O10" s="2860"/>
      <c r="P10" s="2860"/>
      <c r="Q10" s="2860"/>
      <c r="R10" s="2860"/>
      <c r="S10" s="2860"/>
      <c r="T10" s="2860"/>
      <c r="U10" s="62"/>
      <c r="V10" s="62"/>
    </row>
    <row r="11" spans="2:23" ht="15" customHeight="1">
      <c r="B11" s="2861" t="s">
        <v>15</v>
      </c>
      <c r="C11" s="2250"/>
      <c r="D11" s="2250"/>
      <c r="E11" s="2862"/>
      <c r="G11" s="41">
        <v>5</v>
      </c>
      <c r="H11" s="695">
        <v>6.51</v>
      </c>
      <c r="K11" s="2860" t="s">
        <v>2255</v>
      </c>
      <c r="L11" s="2860"/>
      <c r="M11" s="2860"/>
      <c r="N11" s="2860"/>
      <c r="O11" s="2860"/>
      <c r="P11" s="2860"/>
      <c r="Q11" s="2860"/>
      <c r="R11" s="2860"/>
      <c r="S11" s="2860"/>
      <c r="T11" s="2860"/>
      <c r="U11" s="62"/>
      <c r="V11" s="62"/>
    </row>
    <row r="12" spans="2:23" ht="15" customHeight="1">
      <c r="B12" s="2861" t="s">
        <v>400</v>
      </c>
      <c r="C12" s="2250"/>
      <c r="D12" s="2250"/>
      <c r="E12" s="2862"/>
      <c r="G12" s="42">
        <v>3</v>
      </c>
      <c r="H12" s="702">
        <v>5</v>
      </c>
      <c r="K12" s="2860"/>
      <c r="L12" s="2860"/>
      <c r="M12" s="2860"/>
      <c r="N12" s="2860"/>
      <c r="O12" s="2860"/>
      <c r="P12" s="2860"/>
      <c r="Q12" s="2860"/>
      <c r="R12" s="2860"/>
      <c r="S12" s="2860"/>
      <c r="T12" s="2860"/>
      <c r="U12" s="62"/>
      <c r="V12" s="62"/>
    </row>
    <row r="13" spans="2:23">
      <c r="B13" s="39"/>
      <c r="C13" s="39"/>
      <c r="D13" s="39"/>
      <c r="E13" s="39"/>
      <c r="G13" s="8"/>
      <c r="H13" s="11"/>
      <c r="S13" s="240"/>
      <c r="T13" s="62"/>
      <c r="U13" s="62"/>
      <c r="V13" s="62"/>
    </row>
    <row r="14" spans="2:23">
      <c r="B14" s="39"/>
      <c r="C14" s="39"/>
      <c r="D14" s="39"/>
      <c r="E14" s="39"/>
      <c r="G14" s="8"/>
      <c r="H14" s="11"/>
      <c r="T14" s="93"/>
      <c r="U14" s="93"/>
      <c r="V14" s="661"/>
      <c r="W14" s="4"/>
    </row>
    <row r="15" spans="2:23" ht="30" customHeight="1">
      <c r="B15" s="2856" t="s">
        <v>296</v>
      </c>
      <c r="C15" s="2857"/>
      <c r="D15" s="2857"/>
      <c r="E15" s="2858"/>
      <c r="G15" s="25" t="s">
        <v>17</v>
      </c>
      <c r="H15" s="818" t="s">
        <v>10</v>
      </c>
      <c r="K15" s="2863" t="s">
        <v>405</v>
      </c>
      <c r="L15" s="2863"/>
      <c r="M15" s="2863"/>
      <c r="N15" s="2863"/>
      <c r="O15" s="2863"/>
      <c r="P15" s="2863"/>
      <c r="Q15" s="2863"/>
      <c r="R15" s="2863"/>
      <c r="S15" s="2863"/>
      <c r="T15" s="2863"/>
      <c r="U15" s="62"/>
      <c r="V15" s="62"/>
      <c r="W15" s="4"/>
    </row>
    <row r="16" spans="2:23" ht="15" customHeight="1">
      <c r="B16" s="814"/>
      <c r="C16" s="815"/>
      <c r="D16" s="815"/>
      <c r="E16" s="816"/>
      <c r="G16" s="15"/>
      <c r="H16" s="998"/>
      <c r="I16" s="27"/>
      <c r="J16" s="27"/>
      <c r="K16" s="999"/>
      <c r="L16" s="999"/>
      <c r="M16" s="999"/>
      <c r="N16" s="999"/>
      <c r="O16" s="999"/>
      <c r="P16" s="999"/>
      <c r="Q16" s="999"/>
      <c r="R16" s="999"/>
      <c r="S16" s="999"/>
      <c r="T16" s="999"/>
      <c r="U16" s="62"/>
      <c r="V16" s="62"/>
      <c r="W16" s="4"/>
    </row>
    <row r="17" spans="2:35">
      <c r="B17" s="43" t="s">
        <v>367</v>
      </c>
      <c r="C17" s="44"/>
      <c r="D17" s="44"/>
      <c r="E17" s="45"/>
      <c r="G17" s="46">
        <v>1955</v>
      </c>
      <c r="H17" s="730">
        <v>932.07</v>
      </c>
      <c r="K17" s="2860" t="s">
        <v>2258</v>
      </c>
      <c r="L17" s="2860"/>
      <c r="M17" s="2860"/>
      <c r="N17" s="2860"/>
      <c r="O17" s="2860"/>
      <c r="P17" s="2860"/>
      <c r="Q17" s="2860"/>
      <c r="R17" s="2860"/>
      <c r="S17" s="2860"/>
      <c r="T17" s="2860"/>
      <c r="U17" s="95"/>
      <c r="V17" s="95"/>
      <c r="W17" s="4"/>
    </row>
    <row r="18" spans="2:35">
      <c r="B18" s="43" t="s">
        <v>368</v>
      </c>
      <c r="C18" s="44"/>
      <c r="D18" s="44"/>
      <c r="E18" s="45"/>
      <c r="G18" s="41"/>
      <c r="H18" s="695">
        <v>0</v>
      </c>
      <c r="K18" s="2860"/>
      <c r="L18" s="2860"/>
      <c r="M18" s="2860"/>
      <c r="N18" s="2860"/>
      <c r="O18" s="2860"/>
      <c r="P18" s="2860"/>
      <c r="Q18" s="2860"/>
      <c r="R18" s="2860"/>
      <c r="S18" s="2860"/>
      <c r="T18" s="2860"/>
      <c r="U18" s="95"/>
      <c r="V18" s="95"/>
      <c r="W18" s="4"/>
    </row>
    <row r="19" spans="2:35">
      <c r="B19" s="43" t="s">
        <v>130</v>
      </c>
      <c r="C19" s="44"/>
      <c r="D19" s="44"/>
      <c r="E19" s="45"/>
      <c r="G19" s="41"/>
      <c r="H19" s="695">
        <v>221</v>
      </c>
      <c r="K19" s="2860" t="s">
        <v>2257</v>
      </c>
      <c r="L19" s="2860"/>
      <c r="M19" s="2860"/>
      <c r="N19" s="2860"/>
      <c r="O19" s="2860"/>
      <c r="P19" s="2860"/>
      <c r="Q19" s="2860"/>
      <c r="R19" s="2860"/>
      <c r="S19" s="2860"/>
      <c r="T19" s="2860"/>
      <c r="U19" s="95"/>
      <c r="V19" s="62"/>
      <c r="W19" s="4"/>
    </row>
    <row r="20" spans="2:35">
      <c r="B20" s="660" t="s">
        <v>369</v>
      </c>
      <c r="C20" s="44"/>
      <c r="D20" s="44"/>
      <c r="E20" s="45"/>
      <c r="G20" s="41"/>
      <c r="H20" s="543" t="s">
        <v>370</v>
      </c>
      <c r="K20" s="2860"/>
      <c r="L20" s="2860"/>
      <c r="M20" s="2860"/>
      <c r="N20" s="2860"/>
      <c r="O20" s="2860"/>
      <c r="P20" s="2860"/>
      <c r="Q20" s="2860"/>
      <c r="R20" s="2860"/>
      <c r="S20" s="2860"/>
      <c r="T20" s="2860"/>
      <c r="U20" s="95"/>
      <c r="V20" s="62"/>
      <c r="W20" s="4"/>
    </row>
    <row r="21" spans="2:35" ht="16" customHeight="1">
      <c r="B21" s="68" t="s">
        <v>55</v>
      </c>
      <c r="C21" s="44"/>
      <c r="D21" s="44"/>
      <c r="E21" s="45"/>
      <c r="G21" s="55">
        <v>12300000</v>
      </c>
      <c r="H21" s="1332">
        <f>46379548.35*0.145</f>
        <v>6725034.5107499994</v>
      </c>
      <c r="K21" s="2860" t="s">
        <v>2250</v>
      </c>
      <c r="L21" s="2860"/>
      <c r="M21" s="2860"/>
      <c r="N21" s="2860"/>
      <c r="O21" s="2860"/>
      <c r="P21" s="2860"/>
      <c r="Q21" s="2860"/>
      <c r="R21" s="2860"/>
      <c r="S21" s="2860"/>
      <c r="T21" s="2860"/>
      <c r="U21" s="97"/>
      <c r="V21" s="97"/>
      <c r="W21" s="4"/>
    </row>
    <row r="22" spans="2:35" ht="18.45">
      <c r="B22" s="50"/>
      <c r="C22" s="50"/>
      <c r="D22" s="50"/>
      <c r="E22" s="50"/>
      <c r="G22" s="50"/>
      <c r="H22" s="50"/>
      <c r="I22" s="50"/>
      <c r="J22" s="50"/>
      <c r="K22" s="50"/>
      <c r="S22" s="240"/>
      <c r="T22" s="95"/>
      <c r="U22" s="95"/>
      <c r="V22" s="95"/>
    </row>
    <row r="23" spans="2:35">
      <c r="S23" s="1"/>
      <c r="T23" s="272"/>
    </row>
    <row r="24" spans="2:35" ht="27.65" customHeight="1">
      <c r="B24" s="2856" t="s">
        <v>297</v>
      </c>
      <c r="C24" s="2857"/>
      <c r="D24" s="2857"/>
      <c r="E24" s="2858"/>
      <c r="G24" s="2873" t="s">
        <v>72</v>
      </c>
      <c r="H24" s="2874"/>
      <c r="I24" s="697"/>
      <c r="J24" s="2871" t="s">
        <v>24</v>
      </c>
      <c r="K24" s="2871"/>
    </row>
    <row r="25" spans="2:35" ht="15" customHeight="1">
      <c r="B25" s="2865" t="s">
        <v>23</v>
      </c>
      <c r="C25" s="2661"/>
      <c r="D25" s="2661"/>
      <c r="E25" s="2866"/>
      <c r="G25" s="2867" t="s">
        <v>17</v>
      </c>
      <c r="H25" s="2869" t="s">
        <v>10</v>
      </c>
      <c r="J25" s="2871" t="s">
        <v>17</v>
      </c>
      <c r="K25" s="2872" t="s">
        <v>10</v>
      </c>
      <c r="N25" s="2859" t="s">
        <v>405</v>
      </c>
      <c r="O25" s="2859"/>
      <c r="P25" s="2859"/>
      <c r="Q25" s="2859"/>
      <c r="R25" s="2859"/>
      <c r="S25" s="2859"/>
      <c r="T25" s="2859"/>
      <c r="U25" s="2859"/>
      <c r="V25" s="2859"/>
      <c r="W25" s="2859"/>
    </row>
    <row r="26" spans="2:35">
      <c r="B26" s="2611"/>
      <c r="C26" s="2612"/>
      <c r="D26" s="2612"/>
      <c r="E26" s="2613"/>
      <c r="G26" s="2868"/>
      <c r="H26" s="2870"/>
      <c r="J26" s="2871"/>
      <c r="K26" s="2872"/>
      <c r="N26" s="2859"/>
      <c r="O26" s="2859"/>
      <c r="P26" s="2859"/>
      <c r="Q26" s="2859"/>
      <c r="R26" s="2859"/>
      <c r="S26" s="2859"/>
      <c r="T26" s="2859"/>
      <c r="U26" s="2859"/>
      <c r="V26" s="2859"/>
      <c r="W26" s="2859"/>
    </row>
    <row r="27" spans="2:35" ht="15" customHeight="1">
      <c r="B27" s="495" t="s">
        <v>605</v>
      </c>
      <c r="C27" s="781"/>
      <c r="D27" s="781"/>
      <c r="E27" s="783"/>
      <c r="G27" s="790"/>
      <c r="H27" s="1050"/>
      <c r="I27" s="1051"/>
      <c r="J27" s="1052"/>
      <c r="K27" s="1050"/>
      <c r="N27" s="2860"/>
      <c r="O27" s="2860"/>
      <c r="P27" s="2860"/>
      <c r="Q27" s="2860"/>
      <c r="R27" s="2860"/>
      <c r="S27" s="2860"/>
      <c r="T27" s="2860"/>
      <c r="U27" s="2860"/>
      <c r="V27" s="2860"/>
      <c r="W27" s="2860"/>
      <c r="X27" s="4"/>
      <c r="AE27" s="1"/>
    </row>
    <row r="28" spans="2:35">
      <c r="B28" s="231" t="s">
        <v>19</v>
      </c>
      <c r="C28" s="26"/>
      <c r="D28" s="26"/>
      <c r="E28" s="16"/>
      <c r="G28" s="47" t="e">
        <v>#REF!</v>
      </c>
      <c r="H28" s="524">
        <f>24.28*0.145</f>
        <v>3.5206</v>
      </c>
      <c r="I28" s="705"/>
      <c r="J28" s="706"/>
      <c r="K28" s="524">
        <v>0</v>
      </c>
      <c r="N28" s="2875" t="s">
        <v>2237</v>
      </c>
      <c r="O28" s="2875"/>
      <c r="P28" s="2875"/>
      <c r="Q28" s="2875"/>
      <c r="R28" s="2875"/>
      <c r="S28" s="2875"/>
      <c r="T28" s="2875"/>
      <c r="U28" s="2875"/>
      <c r="V28" s="2875"/>
      <c r="W28" s="2875"/>
    </row>
    <row r="29" spans="2:35" ht="17.25" customHeight="1">
      <c r="B29" s="231" t="s">
        <v>20</v>
      </c>
      <c r="C29" s="26"/>
      <c r="D29" s="26"/>
      <c r="E29" s="16"/>
      <c r="G29" s="48" t="e">
        <v>#REF!</v>
      </c>
      <c r="H29" s="524">
        <f>20.08*0.145</f>
        <v>2.9115999999999995</v>
      </c>
      <c r="I29" s="705"/>
      <c r="J29" s="706"/>
      <c r="K29" s="524">
        <v>0</v>
      </c>
      <c r="N29" s="2876" t="s">
        <v>2241</v>
      </c>
      <c r="O29" s="2876"/>
      <c r="P29" s="2876"/>
      <c r="Q29" s="2876"/>
      <c r="R29" s="2876"/>
      <c r="S29" s="2876"/>
      <c r="T29" s="2876"/>
      <c r="U29" s="2876"/>
      <c r="V29" s="2876"/>
      <c r="W29" s="2876"/>
      <c r="AI29" s="460"/>
    </row>
    <row r="30" spans="2:35" ht="17.25" customHeight="1">
      <c r="B30" s="231" t="s">
        <v>21</v>
      </c>
      <c r="C30" s="26"/>
      <c r="D30" s="26"/>
      <c r="E30" s="16"/>
      <c r="G30" s="48">
        <v>6.58</v>
      </c>
      <c r="H30" s="524">
        <f>21.45*0.145</f>
        <v>3.1102499999999997</v>
      </c>
      <c r="I30" s="705"/>
      <c r="J30" s="706"/>
      <c r="K30" s="524">
        <v>0</v>
      </c>
      <c r="N30" s="2860" t="s">
        <v>2242</v>
      </c>
      <c r="O30" s="2860"/>
      <c r="P30" s="2860"/>
      <c r="Q30" s="2860"/>
      <c r="R30" s="2860"/>
      <c r="S30" s="2860"/>
      <c r="T30" s="2860"/>
      <c r="U30" s="2860"/>
      <c r="V30" s="2860"/>
      <c r="W30" s="2860"/>
      <c r="AI30" s="460"/>
    </row>
    <row r="31" spans="2:35" ht="17.25" customHeight="1">
      <c r="B31" s="231" t="s">
        <v>22</v>
      </c>
      <c r="C31" s="26"/>
      <c r="D31" s="26"/>
      <c r="E31" s="16"/>
      <c r="G31" s="48">
        <v>5.91</v>
      </c>
      <c r="H31" s="524">
        <f>16.18*0.145</f>
        <v>2.3460999999999999</v>
      </c>
      <c r="I31" s="705"/>
      <c r="J31" s="706"/>
      <c r="K31" s="524">
        <v>0</v>
      </c>
      <c r="N31" s="2860" t="s">
        <v>2240</v>
      </c>
      <c r="O31" s="2860"/>
      <c r="P31" s="2860"/>
      <c r="Q31" s="2860"/>
      <c r="R31" s="2860"/>
      <c r="S31" s="2860"/>
      <c r="T31" s="2860"/>
      <c r="U31" s="2860"/>
      <c r="V31" s="2860"/>
      <c r="W31" s="2860"/>
    </row>
    <row r="32" spans="2:35" ht="17.25" customHeight="1">
      <c r="B32" s="231" t="s">
        <v>402</v>
      </c>
      <c r="C32" s="26"/>
      <c r="D32" s="26"/>
      <c r="E32" s="16"/>
      <c r="G32" s="48" t="e">
        <v>#REF!</v>
      </c>
      <c r="H32" s="524">
        <f>24.69*0.145</f>
        <v>3.58005</v>
      </c>
      <c r="I32" s="705"/>
      <c r="J32" s="706"/>
      <c r="K32" s="524">
        <v>0</v>
      </c>
      <c r="N32" s="2860" t="s">
        <v>2238</v>
      </c>
      <c r="O32" s="2860"/>
      <c r="P32" s="2860"/>
      <c r="Q32" s="2860"/>
      <c r="R32" s="2860"/>
      <c r="S32" s="2860"/>
      <c r="T32" s="2860"/>
      <c r="U32" s="2860"/>
      <c r="V32" s="2860"/>
      <c r="W32" s="2860"/>
    </row>
    <row r="33" spans="1:25" ht="17.25" customHeight="1">
      <c r="B33" s="231" t="s">
        <v>401</v>
      </c>
      <c r="C33" s="26"/>
      <c r="D33" s="26"/>
      <c r="E33" s="16"/>
      <c r="G33" s="48"/>
      <c r="H33" s="524">
        <f>25.82*0.145</f>
        <v>3.7438999999999996</v>
      </c>
      <c r="I33" s="705"/>
      <c r="J33" s="706"/>
      <c r="K33" s="524">
        <v>0</v>
      </c>
      <c r="N33" s="2860" t="s">
        <v>2239</v>
      </c>
      <c r="O33" s="2860"/>
      <c r="P33" s="2860"/>
      <c r="Q33" s="2860"/>
      <c r="R33" s="2860"/>
      <c r="S33" s="2860"/>
      <c r="T33" s="2860"/>
      <c r="U33" s="2860"/>
      <c r="V33" s="2860"/>
      <c r="W33" s="2860"/>
    </row>
    <row r="34" spans="1:25">
      <c r="B34" s="231" t="s">
        <v>403</v>
      </c>
      <c r="C34" s="26"/>
      <c r="D34" s="26"/>
      <c r="E34" s="16"/>
      <c r="G34" s="48">
        <v>5.91</v>
      </c>
      <c r="H34" s="524">
        <f>28.69*0.145</f>
        <v>4.16005</v>
      </c>
      <c r="I34" s="705"/>
      <c r="J34" s="706"/>
      <c r="K34" s="524">
        <v>0</v>
      </c>
      <c r="N34" s="2860" t="s">
        <v>2243</v>
      </c>
      <c r="O34" s="2860"/>
      <c r="P34" s="2860"/>
      <c r="Q34" s="2860"/>
      <c r="R34" s="2860"/>
      <c r="S34" s="2860"/>
      <c r="T34" s="2860"/>
      <c r="U34" s="2860"/>
      <c r="V34" s="2860"/>
      <c r="W34" s="2860"/>
    </row>
    <row r="35" spans="1:25">
      <c r="B35" s="232" t="s">
        <v>404</v>
      </c>
      <c r="C35" s="26"/>
      <c r="D35" s="26"/>
      <c r="E35" s="16"/>
      <c r="G35" s="48" t="e">
        <v>#REF!</v>
      </c>
      <c r="H35" s="524"/>
      <c r="I35" s="705"/>
      <c r="J35" s="706"/>
      <c r="K35" s="524"/>
      <c r="N35" s="2860"/>
      <c r="O35" s="2860"/>
      <c r="P35" s="2860"/>
      <c r="Q35" s="2860"/>
      <c r="R35" s="2860"/>
      <c r="S35" s="2860"/>
      <c r="T35" s="2860"/>
      <c r="U35" s="2860"/>
      <c r="V35" s="2860"/>
      <c r="W35" s="2860"/>
    </row>
    <row r="36" spans="1:25">
      <c r="B36" s="232" t="s">
        <v>416</v>
      </c>
      <c r="C36" s="26"/>
      <c r="D36" s="26"/>
      <c r="E36" s="16"/>
      <c r="G36" s="48"/>
      <c r="H36" s="699">
        <f>40.86*0.145</f>
        <v>5.9246999999999996</v>
      </c>
      <c r="I36" s="705"/>
      <c r="J36" s="706"/>
      <c r="K36" s="524">
        <v>0</v>
      </c>
      <c r="N36" s="2860" t="s">
        <v>2244</v>
      </c>
      <c r="O36" s="2860"/>
      <c r="P36" s="2860"/>
      <c r="Q36" s="2860"/>
      <c r="R36" s="2860"/>
      <c r="S36" s="2860"/>
      <c r="T36" s="2860"/>
      <c r="U36" s="2860"/>
      <c r="V36" s="2860"/>
      <c r="W36" s="2860"/>
    </row>
    <row r="37" spans="1:25">
      <c r="B37" s="232" t="s">
        <v>417</v>
      </c>
      <c r="C37" s="26"/>
      <c r="D37" s="26"/>
      <c r="E37" s="16"/>
      <c r="G37" s="48"/>
      <c r="H37" s="699">
        <f>20.64*0.145</f>
        <v>2.9927999999999999</v>
      </c>
      <c r="I37" s="705"/>
      <c r="J37" s="706"/>
      <c r="K37" s="524">
        <v>0</v>
      </c>
      <c r="N37" s="2860" t="s">
        <v>2245</v>
      </c>
      <c r="O37" s="2860"/>
      <c r="P37" s="2860"/>
      <c r="Q37" s="2860"/>
      <c r="R37" s="2860"/>
      <c r="S37" s="2860"/>
      <c r="T37" s="2860"/>
      <c r="U37" s="2860"/>
      <c r="V37" s="2860"/>
      <c r="W37" s="2860"/>
      <c r="Y37" s="37"/>
    </row>
    <row r="38" spans="1:25">
      <c r="B38" s="232" t="s">
        <v>418</v>
      </c>
      <c r="C38" s="27"/>
      <c r="D38" s="27"/>
      <c r="E38" s="17"/>
      <c r="G38" s="49" t="e">
        <v>#REF!</v>
      </c>
      <c r="H38" s="700">
        <f>29.29*0.145</f>
        <v>4.2470499999999998</v>
      </c>
      <c r="I38" s="705"/>
      <c r="J38" s="707"/>
      <c r="K38" s="700">
        <v>0</v>
      </c>
      <c r="N38" s="2860" t="s">
        <v>2246</v>
      </c>
      <c r="O38" s="2860"/>
      <c r="P38" s="2860"/>
      <c r="Q38" s="2860"/>
      <c r="R38" s="2860"/>
      <c r="S38" s="2860"/>
      <c r="T38" s="2860"/>
      <c r="U38" s="2860"/>
      <c r="V38" s="2860"/>
      <c r="W38" s="2860"/>
    </row>
    <row r="40" spans="1:25" ht="18.45">
      <c r="A40" s="10"/>
      <c r="B40" s="8"/>
      <c r="C40" s="8"/>
      <c r="S40" s="277"/>
    </row>
    <row r="41" spans="1:25" ht="28" customHeight="1">
      <c r="A41" s="10"/>
      <c r="B41" s="2856" t="s">
        <v>646</v>
      </c>
      <c r="C41" s="2857"/>
      <c r="D41" s="2857"/>
      <c r="E41" s="2858"/>
      <c r="T41" s="1"/>
      <c r="U41" s="1"/>
      <c r="V41" s="1"/>
    </row>
    <row r="42" spans="1:25" ht="32.25" customHeight="1">
      <c r="A42" s="10"/>
      <c r="B42" s="72" t="s">
        <v>34</v>
      </c>
      <c r="C42" s="2880" t="s">
        <v>35</v>
      </c>
      <c r="D42" s="2880"/>
      <c r="E42" s="2881"/>
      <c r="G42" s="15" t="s">
        <v>17</v>
      </c>
      <c r="H42" s="782" t="s">
        <v>10</v>
      </c>
      <c r="K42" s="2859" t="s">
        <v>405</v>
      </c>
      <c r="L42" s="2859"/>
      <c r="M42" s="2859"/>
      <c r="N42" s="2859"/>
      <c r="O42" s="2859"/>
      <c r="P42" s="2859"/>
      <c r="Q42" s="2859"/>
      <c r="R42" s="2859"/>
      <c r="S42" s="2859"/>
      <c r="T42" s="2859"/>
      <c r="U42" s="112"/>
      <c r="V42" s="226"/>
    </row>
    <row r="43" spans="1:25">
      <c r="B43" s="73" t="s">
        <v>136</v>
      </c>
      <c r="C43" s="74" t="s">
        <v>164</v>
      </c>
      <c r="D43" s="784"/>
      <c r="E43" s="785"/>
      <c r="F43" s="549"/>
      <c r="G43" s="75"/>
      <c r="H43" s="538">
        <f>103.99*0.145</f>
        <v>15.078549999999998</v>
      </c>
      <c r="K43" s="2860" t="s">
        <v>2261</v>
      </c>
      <c r="L43" s="2860"/>
      <c r="M43" s="2860"/>
      <c r="N43" s="2860"/>
      <c r="O43" s="2860"/>
      <c r="P43" s="2860"/>
      <c r="Q43" s="2860"/>
      <c r="R43" s="2860"/>
      <c r="S43" s="2860"/>
      <c r="T43" s="2860"/>
      <c r="U43" s="6"/>
      <c r="V43" s="6"/>
    </row>
    <row r="44" spans="1:25">
      <c r="A44" s="10"/>
      <c r="B44" s="13" t="s">
        <v>136</v>
      </c>
      <c r="C44" s="80" t="s">
        <v>138</v>
      </c>
      <c r="D44" s="81"/>
      <c r="E44" s="82"/>
      <c r="F44" s="549"/>
      <c r="G44" s="75"/>
      <c r="H44" s="539">
        <v>1.885</v>
      </c>
      <c r="K44" s="2860" t="s">
        <v>2260</v>
      </c>
      <c r="L44" s="2860"/>
      <c r="M44" s="2860"/>
      <c r="N44" s="2860"/>
      <c r="O44" s="2860"/>
      <c r="P44" s="2860"/>
      <c r="Q44" s="2860"/>
      <c r="R44" s="2860"/>
      <c r="S44" s="2860"/>
      <c r="T44" s="2860"/>
      <c r="U44" s="224"/>
      <c r="V44" s="224"/>
    </row>
    <row r="45" spans="1:25">
      <c r="A45" s="10"/>
      <c r="B45" s="13" t="s">
        <v>136</v>
      </c>
      <c r="C45" s="80" t="s">
        <v>161</v>
      </c>
      <c r="D45" s="81"/>
      <c r="E45" s="82"/>
      <c r="F45" s="549"/>
      <c r="G45" s="75"/>
      <c r="H45" s="539">
        <v>0.06</v>
      </c>
      <c r="K45" s="2860" t="s">
        <v>2259</v>
      </c>
      <c r="L45" s="2860"/>
      <c r="M45" s="2860"/>
      <c r="N45" s="2860"/>
      <c r="O45" s="2860"/>
      <c r="P45" s="2860"/>
      <c r="Q45" s="2860"/>
      <c r="R45" s="2860"/>
      <c r="S45" s="2860"/>
      <c r="T45" s="2860"/>
      <c r="U45" s="6"/>
      <c r="V45" s="6"/>
    </row>
    <row r="46" spans="1:25">
      <c r="A46" s="10"/>
      <c r="B46" s="73" t="s">
        <v>137</v>
      </c>
      <c r="C46" s="74" t="s">
        <v>164</v>
      </c>
      <c r="D46" s="784"/>
      <c r="E46" s="785"/>
      <c r="F46" s="549"/>
      <c r="G46" s="75"/>
      <c r="H46" s="538"/>
      <c r="K46" s="2860"/>
      <c r="L46" s="2860"/>
      <c r="M46" s="2860"/>
      <c r="N46" s="2860"/>
      <c r="O46" s="2860"/>
      <c r="P46" s="2860"/>
      <c r="Q46" s="2860"/>
      <c r="R46" s="2860"/>
      <c r="S46" s="2860"/>
      <c r="T46" s="2860"/>
      <c r="U46" s="6"/>
      <c r="V46" s="6"/>
    </row>
    <row r="47" spans="1:25">
      <c r="A47" s="10"/>
      <c r="B47" s="13" t="s">
        <v>137</v>
      </c>
      <c r="C47" s="80" t="s">
        <v>138</v>
      </c>
      <c r="D47" s="81"/>
      <c r="E47" s="82"/>
      <c r="F47" s="549"/>
      <c r="G47" s="75"/>
      <c r="H47" s="539"/>
      <c r="K47" s="2860"/>
      <c r="L47" s="2860"/>
      <c r="M47" s="2860"/>
      <c r="N47" s="2860"/>
      <c r="O47" s="2860"/>
      <c r="P47" s="2860"/>
      <c r="Q47" s="2860"/>
      <c r="R47" s="2860"/>
      <c r="S47" s="2860"/>
      <c r="T47" s="2860"/>
      <c r="U47" s="6"/>
      <c r="V47" s="6"/>
    </row>
    <row r="48" spans="1:25">
      <c r="A48" s="10"/>
      <c r="B48" s="657" t="s">
        <v>137</v>
      </c>
      <c r="C48" s="656" t="s">
        <v>161</v>
      </c>
      <c r="D48" s="667"/>
      <c r="E48" s="668"/>
      <c r="F48" s="549"/>
      <c r="G48" s="75"/>
      <c r="H48" s="539"/>
      <c r="K48" s="2860"/>
      <c r="L48" s="2860"/>
      <c r="M48" s="2860"/>
      <c r="N48" s="2860"/>
      <c r="O48" s="2860"/>
      <c r="P48" s="2860"/>
      <c r="Q48" s="2860"/>
      <c r="R48" s="2860"/>
      <c r="S48" s="2860"/>
      <c r="T48" s="2860"/>
      <c r="U48" s="658"/>
      <c r="V48" s="658"/>
    </row>
    <row r="49" spans="1:22">
      <c r="A49" s="10"/>
      <c r="B49" s="13" t="s">
        <v>36</v>
      </c>
      <c r="C49" s="2877" t="s">
        <v>39</v>
      </c>
      <c r="D49" s="2877"/>
      <c r="E49" s="2878"/>
      <c r="F49" s="549" t="str">
        <f t="shared" ref="F49:F66" si="0">B49&amp;C49</f>
        <v>MotorcyclePurchase Price</v>
      </c>
      <c r="G49" s="32">
        <v>15000</v>
      </c>
      <c r="H49" s="540">
        <f>(4200/0.2)*0.145</f>
        <v>3045</v>
      </c>
      <c r="K49" s="2860" t="s">
        <v>2267</v>
      </c>
      <c r="L49" s="2860"/>
      <c r="M49" s="2860"/>
      <c r="N49" s="2860"/>
      <c r="O49" s="2860"/>
      <c r="P49" s="2860"/>
      <c r="Q49" s="2860"/>
      <c r="R49" s="2860"/>
      <c r="S49" s="2860"/>
      <c r="T49" s="2860"/>
      <c r="U49" s="181"/>
      <c r="V49" s="181"/>
    </row>
    <row r="50" spans="1:22">
      <c r="A50" s="10"/>
      <c r="B50" s="13" t="s">
        <v>36</v>
      </c>
      <c r="C50" s="2552" t="s">
        <v>40</v>
      </c>
      <c r="D50" s="2552"/>
      <c r="E50" s="2879"/>
      <c r="F50" s="549" t="str">
        <f t="shared" si="0"/>
        <v>MotorcycleDepreciation Cost / yr</v>
      </c>
      <c r="G50" s="30">
        <f>G49/$H$11</f>
        <v>2304.147465437788</v>
      </c>
      <c r="H50" s="541">
        <f>(4200/0.2)/6.71*0.145</f>
        <v>453.80029806259313</v>
      </c>
      <c r="K50" s="2860" t="s">
        <v>2267</v>
      </c>
      <c r="L50" s="2860"/>
      <c r="M50" s="2860"/>
      <c r="N50" s="2860"/>
      <c r="O50" s="2860"/>
      <c r="P50" s="2860"/>
      <c r="Q50" s="2860"/>
      <c r="R50" s="2860"/>
      <c r="S50" s="2860"/>
      <c r="T50" s="2860"/>
      <c r="U50" s="181"/>
      <c r="V50" s="181"/>
    </row>
    <row r="51" spans="1:22">
      <c r="A51" s="10"/>
      <c r="B51" s="13" t="s">
        <v>36</v>
      </c>
      <c r="C51" s="2552" t="s">
        <v>44</v>
      </c>
      <c r="D51" s="2552"/>
      <c r="E51" s="2879"/>
      <c r="F51" s="549" t="str">
        <f t="shared" si="0"/>
        <v>MotorcycleInsurance cost /yr</v>
      </c>
      <c r="G51" s="32">
        <v>1000</v>
      </c>
      <c r="H51" s="542">
        <v>0</v>
      </c>
      <c r="K51" s="2860"/>
      <c r="L51" s="2860"/>
      <c r="M51" s="2860"/>
      <c r="N51" s="2860"/>
      <c r="O51" s="2860"/>
      <c r="P51" s="2860"/>
      <c r="Q51" s="2860"/>
      <c r="R51" s="2860"/>
      <c r="S51" s="2860"/>
      <c r="T51" s="2860"/>
      <c r="U51" t="s">
        <v>700</v>
      </c>
      <c r="V51" s="181"/>
    </row>
    <row r="52" spans="1:22">
      <c r="A52" s="10"/>
      <c r="B52" s="13" t="s">
        <v>36</v>
      </c>
      <c r="C52" s="2552" t="s">
        <v>42</v>
      </c>
      <c r="D52" s="2552"/>
      <c r="E52" s="2879"/>
      <c r="F52" s="549" t="str">
        <f t="shared" si="0"/>
        <v>MotorcycleMaintenance cost/km</v>
      </c>
      <c r="G52" s="32">
        <v>0.05</v>
      </c>
      <c r="H52" s="542">
        <f>1.59*0.145</f>
        <v>0.23055</v>
      </c>
      <c r="K52" s="2860" t="s">
        <v>2265</v>
      </c>
      <c r="L52" s="2860"/>
      <c r="M52" s="2860"/>
      <c r="N52" s="2860"/>
      <c r="O52" s="2860"/>
      <c r="P52" s="2860"/>
      <c r="Q52" s="2860"/>
      <c r="R52" s="2860"/>
      <c r="S52" s="2860"/>
      <c r="T52" s="2860"/>
      <c r="U52" t="s">
        <v>700</v>
      </c>
      <c r="V52" s="181"/>
    </row>
    <row r="53" spans="1:22">
      <c r="A53" s="10"/>
      <c r="B53" s="13" t="s">
        <v>36</v>
      </c>
      <c r="C53" s="2552" t="s">
        <v>41</v>
      </c>
      <c r="D53" s="2552"/>
      <c r="E53" s="2879"/>
      <c r="F53" s="549" t="str">
        <f t="shared" si="0"/>
        <v>MotorcycleFuel Efficiency (km/liter)</v>
      </c>
      <c r="G53" s="31">
        <v>27.5</v>
      </c>
      <c r="H53" s="543">
        <v>34</v>
      </c>
      <c r="K53" s="2860" t="s">
        <v>2266</v>
      </c>
      <c r="L53" s="2860"/>
      <c r="M53" s="2860"/>
      <c r="N53" s="2860"/>
      <c r="O53" s="2860"/>
      <c r="P53" s="2860"/>
      <c r="Q53" s="2860"/>
      <c r="R53" s="2860"/>
      <c r="S53" s="2860"/>
      <c r="T53" s="2860"/>
      <c r="U53" t="s">
        <v>700</v>
      </c>
      <c r="V53" s="181"/>
    </row>
    <row r="54" spans="1:22">
      <c r="A54" s="10"/>
      <c r="B54" s="657" t="s">
        <v>36</v>
      </c>
      <c r="C54" s="2882" t="s">
        <v>43</v>
      </c>
      <c r="D54" s="2882"/>
      <c r="E54" s="2883"/>
      <c r="F54" s="549" t="str">
        <f t="shared" si="0"/>
        <v>MotorcycleDelivery Capacity (m^3)</v>
      </c>
      <c r="G54" s="33">
        <v>0.25</v>
      </c>
      <c r="H54" s="544">
        <v>0.1</v>
      </c>
      <c r="K54" s="2860" t="s">
        <v>2253</v>
      </c>
      <c r="L54" s="2860"/>
      <c r="M54" s="2860"/>
      <c r="N54" s="2860"/>
      <c r="O54" s="2860"/>
      <c r="P54" s="2860"/>
      <c r="Q54" s="2860"/>
      <c r="R54" s="2860"/>
      <c r="S54" s="2860"/>
      <c r="T54" s="2860"/>
      <c r="U54" t="s">
        <v>699</v>
      </c>
      <c r="V54" s="181"/>
    </row>
    <row r="55" spans="1:22">
      <c r="A55" s="10"/>
      <c r="B55" s="13" t="s">
        <v>407</v>
      </c>
      <c r="C55" s="2877" t="s">
        <v>39</v>
      </c>
      <c r="D55" s="2877"/>
      <c r="E55" s="2878"/>
      <c r="F55" s="549" t="str">
        <f t="shared" si="0"/>
        <v>Car/Sport Utility/Consumer VehiclePurchase Price</v>
      </c>
      <c r="G55" s="28">
        <v>60939.499795095864</v>
      </c>
      <c r="H55" s="540">
        <f>(62180/0.2)*0.145</f>
        <v>45080.5</v>
      </c>
      <c r="K55" s="2860" t="s">
        <v>2269</v>
      </c>
      <c r="L55" s="2860"/>
      <c r="M55" s="2860"/>
      <c r="N55" s="2860"/>
      <c r="O55" s="2860"/>
      <c r="P55" s="2860"/>
      <c r="Q55" s="2860"/>
      <c r="R55" s="2860"/>
      <c r="S55" s="2860"/>
      <c r="T55" s="2860"/>
      <c r="U55" s="181"/>
      <c r="V55" s="181"/>
    </row>
    <row r="56" spans="1:22">
      <c r="A56" s="10"/>
      <c r="B56" s="13" t="s">
        <v>407</v>
      </c>
      <c r="C56" s="2552" t="s">
        <v>40</v>
      </c>
      <c r="D56" s="2552"/>
      <c r="E56" s="2879"/>
      <c r="F56" s="549" t="str">
        <f t="shared" si="0"/>
        <v>Car/Sport Utility/Consumer VehicleDepreciation Cost / yr</v>
      </c>
      <c r="G56" s="29">
        <f>G55/$H$11</f>
        <v>9360.9062665277834</v>
      </c>
      <c r="H56" s="541">
        <f>H55/6.46</f>
        <v>6978.4055727554178</v>
      </c>
      <c r="K56" s="2860" t="s">
        <v>2268</v>
      </c>
      <c r="L56" s="2860"/>
      <c r="M56" s="2860"/>
      <c r="N56" s="2860"/>
      <c r="O56" s="2860"/>
      <c r="P56" s="2860"/>
      <c r="Q56" s="2860"/>
      <c r="R56" s="2860"/>
      <c r="S56" s="2860"/>
      <c r="T56" s="2860"/>
      <c r="U56" s="181"/>
      <c r="V56" s="181"/>
    </row>
    <row r="57" spans="1:22">
      <c r="A57" s="10"/>
      <c r="B57" s="13" t="s">
        <v>407</v>
      </c>
      <c r="C57" s="2552" t="s">
        <v>44</v>
      </c>
      <c r="D57" s="2552"/>
      <c r="E57" s="2879"/>
      <c r="F57" s="549" t="str">
        <f t="shared" si="0"/>
        <v>Car/Sport Utility/Consumer VehicleInsurance cost /yr</v>
      </c>
      <c r="G57" s="28">
        <v>2323.9499999999998</v>
      </c>
      <c r="H57" s="542">
        <v>0</v>
      </c>
      <c r="K57" s="2860"/>
      <c r="L57" s="2860"/>
      <c r="M57" s="2860"/>
      <c r="N57" s="2860"/>
      <c r="O57" s="2860"/>
      <c r="P57" s="2860"/>
      <c r="Q57" s="2860"/>
      <c r="R57" s="2860"/>
      <c r="S57" s="2860"/>
      <c r="T57" s="2860"/>
      <c r="U57" s="181"/>
      <c r="V57" s="181"/>
    </row>
    <row r="58" spans="1:22">
      <c r="A58" s="10"/>
      <c r="B58" s="13" t="s">
        <v>407</v>
      </c>
      <c r="C58" s="2884" t="s">
        <v>42</v>
      </c>
      <c r="D58" s="2884"/>
      <c r="E58" s="2885"/>
      <c r="F58" s="549" t="str">
        <f t="shared" si="0"/>
        <v>Car/Sport Utility/Consumer VehicleMaintenance cost/km</v>
      </c>
      <c r="G58" s="28">
        <v>0.12</v>
      </c>
      <c r="H58" s="542">
        <f>1.59*0.145</f>
        <v>0.23055</v>
      </c>
      <c r="K58" s="2860" t="s">
        <v>2265</v>
      </c>
      <c r="L58" s="2860"/>
      <c r="M58" s="2860"/>
      <c r="N58" s="2860"/>
      <c r="O58" s="2860"/>
      <c r="P58" s="2860"/>
      <c r="Q58" s="2860"/>
      <c r="R58" s="2860"/>
      <c r="S58" s="2860"/>
      <c r="T58" s="2860"/>
      <c r="U58" s="181"/>
      <c r="V58" s="181"/>
    </row>
    <row r="59" spans="1:22">
      <c r="A59" s="10"/>
      <c r="B59" s="13" t="s">
        <v>407</v>
      </c>
      <c r="C59" s="2552" t="s">
        <v>41</v>
      </c>
      <c r="D59" s="2552"/>
      <c r="E59" s="2879"/>
      <c r="F59" s="549" t="str">
        <f t="shared" si="0"/>
        <v>Car/Sport Utility/Consumer VehicleFuel Efficiency (km/liter)</v>
      </c>
      <c r="G59" s="12">
        <v>6.9</v>
      </c>
      <c r="H59" s="543">
        <v>34</v>
      </c>
      <c r="K59" s="2860" t="s">
        <v>2266</v>
      </c>
      <c r="L59" s="2860"/>
      <c r="M59" s="2860"/>
      <c r="N59" s="2860"/>
      <c r="O59" s="2860"/>
      <c r="P59" s="2860"/>
      <c r="Q59" s="2860"/>
      <c r="R59" s="2860"/>
      <c r="S59" s="2860"/>
      <c r="T59" s="2860"/>
      <c r="U59" s="181"/>
      <c r="V59" s="181"/>
    </row>
    <row r="60" spans="1:22">
      <c r="A60" s="10"/>
      <c r="B60" s="657" t="s">
        <v>407</v>
      </c>
      <c r="C60" s="2882" t="s">
        <v>43</v>
      </c>
      <c r="D60" s="2882"/>
      <c r="E60" s="2883"/>
      <c r="F60" s="549" t="str">
        <f t="shared" si="0"/>
        <v>Car/Sport Utility/Consumer VehicleDelivery Capacity (m^3)</v>
      </c>
      <c r="G60" s="14">
        <v>2</v>
      </c>
      <c r="H60" s="544">
        <v>2</v>
      </c>
      <c r="K60" s="2860" t="s">
        <v>2270</v>
      </c>
      <c r="L60" s="2860"/>
      <c r="M60" s="2860"/>
      <c r="N60" s="2860"/>
      <c r="O60" s="2860"/>
      <c r="P60" s="2860"/>
      <c r="Q60" s="2860"/>
      <c r="R60" s="2860"/>
      <c r="S60" s="2860"/>
      <c r="T60" s="2860"/>
      <c r="U60" s="181"/>
      <c r="V60" s="181"/>
    </row>
    <row r="61" spans="1:22">
      <c r="A61" s="10"/>
      <c r="B61" s="13" t="s">
        <v>279</v>
      </c>
      <c r="C61" s="2877" t="s">
        <v>39</v>
      </c>
      <c r="D61" s="2877"/>
      <c r="E61" s="2878"/>
      <c r="F61" s="803" t="str">
        <f t="shared" si="0"/>
        <v>Commercial TruckPurchase Price</v>
      </c>
      <c r="G61" s="28">
        <v>70448.990000000005</v>
      </c>
      <c r="H61" s="540"/>
      <c r="K61" s="2860"/>
      <c r="L61" s="2860"/>
      <c r="M61" s="2860"/>
      <c r="N61" s="2860"/>
      <c r="O61" s="2860"/>
      <c r="P61" s="2860"/>
      <c r="Q61" s="2860"/>
      <c r="R61" s="2860"/>
      <c r="S61" s="2860"/>
      <c r="T61" s="2860"/>
      <c r="U61" s="104"/>
      <c r="V61" s="104"/>
    </row>
    <row r="62" spans="1:22">
      <c r="A62" s="10"/>
      <c r="B62" s="13" t="s">
        <v>279</v>
      </c>
      <c r="C62" s="2552" t="s">
        <v>40</v>
      </c>
      <c r="D62" s="2552"/>
      <c r="E62" s="2879"/>
      <c r="F62" s="803" t="str">
        <f t="shared" si="0"/>
        <v>Commercial TruckDepreciation Cost / yr</v>
      </c>
      <c r="G62" s="29">
        <f>G61/$H$11</f>
        <v>10821.657450076806</v>
      </c>
      <c r="H62" s="541"/>
      <c r="K62" s="2860"/>
      <c r="L62" s="2860"/>
      <c r="M62" s="2860"/>
      <c r="N62" s="2860"/>
      <c r="O62" s="2860"/>
      <c r="P62" s="2860"/>
      <c r="Q62" s="2860"/>
      <c r="R62" s="2860"/>
      <c r="S62" s="2860"/>
      <c r="T62" s="2860"/>
    </row>
    <row r="63" spans="1:22">
      <c r="A63" s="10"/>
      <c r="B63" s="13" t="s">
        <v>279</v>
      </c>
      <c r="C63" s="2552" t="s">
        <v>44</v>
      </c>
      <c r="D63" s="2552"/>
      <c r="E63" s="2879"/>
      <c r="F63" s="803" t="str">
        <f t="shared" si="0"/>
        <v>Commercial TruckInsurance cost /yr</v>
      </c>
      <c r="G63" s="28">
        <v>2575.86</v>
      </c>
      <c r="H63" s="542"/>
      <c r="K63" s="2860"/>
      <c r="L63" s="2860"/>
      <c r="M63" s="2860"/>
      <c r="N63" s="2860"/>
      <c r="O63" s="2860"/>
      <c r="P63" s="2860"/>
      <c r="Q63" s="2860"/>
      <c r="R63" s="2860"/>
      <c r="S63" s="2860"/>
      <c r="T63" s="2860"/>
    </row>
    <row r="64" spans="1:22">
      <c r="A64" s="10"/>
      <c r="B64" s="13" t="s">
        <v>279</v>
      </c>
      <c r="C64" s="2552" t="s">
        <v>42</v>
      </c>
      <c r="D64" s="2552"/>
      <c r="E64" s="2879"/>
      <c r="F64" s="803" t="str">
        <f t="shared" si="0"/>
        <v>Commercial TruckMaintenance cost/km</v>
      </c>
      <c r="G64" s="28">
        <v>0.38</v>
      </c>
      <c r="H64" s="542"/>
      <c r="K64" s="2860"/>
      <c r="L64" s="2860"/>
      <c r="M64" s="2860"/>
      <c r="N64" s="2860"/>
      <c r="O64" s="2860"/>
      <c r="P64" s="2860"/>
      <c r="Q64" s="2860"/>
      <c r="R64" s="2860"/>
      <c r="S64" s="2860"/>
      <c r="T64" s="2860"/>
    </row>
    <row r="65" spans="1:23">
      <c r="A65" s="10"/>
      <c r="B65" s="13" t="s">
        <v>279</v>
      </c>
      <c r="C65" s="2552" t="s">
        <v>41</v>
      </c>
      <c r="D65" s="2552"/>
      <c r="E65" s="2879"/>
      <c r="F65" s="803" t="str">
        <f t="shared" si="0"/>
        <v>Commercial TruckFuel Efficiency (km/liter)</v>
      </c>
      <c r="G65" s="12">
        <v>3.86</v>
      </c>
      <c r="H65" s="543"/>
      <c r="K65" s="2860"/>
      <c r="L65" s="2860"/>
      <c r="M65" s="2860"/>
      <c r="N65" s="2860"/>
      <c r="O65" s="2860"/>
      <c r="P65" s="2860"/>
      <c r="Q65" s="2860"/>
      <c r="R65" s="2860"/>
      <c r="S65" s="2860"/>
      <c r="T65" s="2860"/>
    </row>
    <row r="66" spans="1:23">
      <c r="A66" s="10"/>
      <c r="B66" s="657" t="s">
        <v>279</v>
      </c>
      <c r="C66" s="2882" t="s">
        <v>43</v>
      </c>
      <c r="D66" s="2882"/>
      <c r="E66" s="2883"/>
      <c r="F66" s="803" t="str">
        <f t="shared" si="0"/>
        <v>Commercial TruckDelivery Capacity (m^3)</v>
      </c>
      <c r="G66" s="14">
        <v>12</v>
      </c>
      <c r="H66" s="544"/>
      <c r="K66" s="2860"/>
      <c r="L66" s="2860"/>
      <c r="M66" s="2860"/>
      <c r="N66" s="2860"/>
      <c r="O66" s="2860"/>
      <c r="P66" s="2860"/>
      <c r="Q66" s="2860"/>
      <c r="R66" s="2860"/>
      <c r="S66" s="2860"/>
      <c r="T66" s="2860"/>
    </row>
    <row r="67" spans="1:23">
      <c r="A67" s="10"/>
      <c r="B67" s="13" t="s">
        <v>408</v>
      </c>
      <c r="C67" s="2877" t="s">
        <v>39</v>
      </c>
      <c r="D67" s="2877"/>
      <c r="E67" s="2878"/>
      <c r="F67" s="549"/>
      <c r="H67" s="540"/>
      <c r="K67" s="2860"/>
      <c r="L67" s="2860"/>
      <c r="M67" s="2860"/>
      <c r="N67" s="2860"/>
      <c r="O67" s="2860"/>
      <c r="P67" s="2860"/>
      <c r="Q67" s="2860"/>
      <c r="R67" s="2860"/>
      <c r="S67" s="2860"/>
      <c r="T67" s="2860"/>
      <c r="W67" s="37"/>
    </row>
    <row r="68" spans="1:23">
      <c r="A68" s="10"/>
      <c r="B68" s="13" t="s">
        <v>408</v>
      </c>
      <c r="C68" s="2552" t="s">
        <v>40</v>
      </c>
      <c r="D68" s="2552"/>
      <c r="E68" s="2879"/>
      <c r="F68" s="549"/>
      <c r="H68" s="541"/>
      <c r="K68" s="2860"/>
      <c r="L68" s="2860"/>
      <c r="M68" s="2860"/>
      <c r="N68" s="2860"/>
      <c r="O68" s="2860"/>
      <c r="P68" s="2860"/>
      <c r="Q68" s="2860"/>
      <c r="R68" s="2860"/>
      <c r="S68" s="2860"/>
      <c r="T68" s="2860"/>
    </row>
    <row r="69" spans="1:23">
      <c r="A69" s="10"/>
      <c r="B69" s="13" t="s">
        <v>408</v>
      </c>
      <c r="C69" s="2552" t="s">
        <v>44</v>
      </c>
      <c r="D69" s="2552"/>
      <c r="E69" s="2879"/>
      <c r="F69" s="549"/>
      <c r="H69" s="542"/>
      <c r="K69" s="2860"/>
      <c r="L69" s="2860"/>
      <c r="M69" s="2860"/>
      <c r="N69" s="2860"/>
      <c r="O69" s="2860"/>
      <c r="P69" s="2860"/>
      <c r="Q69" s="2860"/>
      <c r="R69" s="2860"/>
      <c r="S69" s="2860"/>
      <c r="T69" s="2860"/>
      <c r="U69" s="655"/>
      <c r="V69" s="655"/>
    </row>
    <row r="70" spans="1:23">
      <c r="A70" s="10"/>
      <c r="B70" s="13" t="s">
        <v>408</v>
      </c>
      <c r="C70" s="2552" t="s">
        <v>42</v>
      </c>
      <c r="D70" s="2552"/>
      <c r="E70" s="2879"/>
      <c r="F70" s="549"/>
      <c r="H70" s="542"/>
      <c r="K70" s="2860"/>
      <c r="L70" s="2860"/>
      <c r="M70" s="2860"/>
      <c r="N70" s="2860"/>
      <c r="O70" s="2860"/>
      <c r="P70" s="2860"/>
      <c r="Q70" s="2860"/>
      <c r="R70" s="2860"/>
      <c r="S70" s="2860"/>
      <c r="T70" s="2860"/>
      <c r="U70" s="37"/>
      <c r="V70" s="654"/>
    </row>
    <row r="71" spans="1:23" ht="15" customHeight="1">
      <c r="A71" s="10"/>
      <c r="B71" s="13" t="s">
        <v>408</v>
      </c>
      <c r="C71" s="2552" t="s">
        <v>41</v>
      </c>
      <c r="D71" s="2552"/>
      <c r="E71" s="2879"/>
      <c r="F71" s="549"/>
      <c r="H71" s="543"/>
      <c r="K71" s="2860"/>
      <c r="L71" s="2860"/>
      <c r="M71" s="2860"/>
      <c r="N71" s="2860"/>
      <c r="O71" s="2860"/>
      <c r="P71" s="2860"/>
      <c r="Q71" s="2860"/>
      <c r="R71" s="2860"/>
      <c r="S71" s="2860"/>
      <c r="T71" s="2860"/>
      <c r="U71" s="37"/>
      <c r="V71" s="654"/>
    </row>
    <row r="72" spans="1:23">
      <c r="A72" s="10"/>
      <c r="B72" s="657" t="s">
        <v>408</v>
      </c>
      <c r="C72" s="2882" t="s">
        <v>43</v>
      </c>
      <c r="D72" s="2882"/>
      <c r="E72" s="2883"/>
      <c r="F72" s="549"/>
      <c r="H72" s="544"/>
      <c r="K72" s="2860"/>
      <c r="L72" s="2860"/>
      <c r="M72" s="2860"/>
      <c r="N72" s="2860"/>
      <c r="O72" s="2860"/>
      <c r="P72" s="2860"/>
      <c r="Q72" s="2860"/>
      <c r="R72" s="2860"/>
      <c r="S72" s="2860"/>
      <c r="T72" s="2860"/>
      <c r="U72" s="37"/>
      <c r="V72" s="654"/>
    </row>
    <row r="73" spans="1:23">
      <c r="B73" s="13" t="s">
        <v>409</v>
      </c>
      <c r="C73" s="2877" t="s">
        <v>39</v>
      </c>
      <c r="D73" s="2877"/>
      <c r="E73" s="2878"/>
      <c r="F73" s="549"/>
      <c r="H73" s="540"/>
      <c r="K73" s="2860"/>
      <c r="L73" s="2860"/>
      <c r="M73" s="2860"/>
      <c r="N73" s="2860"/>
      <c r="O73" s="2860"/>
      <c r="P73" s="2860"/>
      <c r="Q73" s="2860"/>
      <c r="R73" s="2860"/>
      <c r="S73" s="2860"/>
      <c r="T73" s="2860"/>
      <c r="U73" s="37"/>
      <c r="V73" s="654"/>
    </row>
    <row r="74" spans="1:23">
      <c r="A74" s="10"/>
      <c r="B74" s="13" t="s">
        <v>409</v>
      </c>
      <c r="C74" s="2552" t="s">
        <v>40</v>
      </c>
      <c r="D74" s="2552"/>
      <c r="E74" s="2879"/>
      <c r="F74" s="549"/>
      <c r="H74" s="541"/>
      <c r="K74" s="2860"/>
      <c r="L74" s="2860"/>
      <c r="M74" s="2860"/>
      <c r="N74" s="2860"/>
      <c r="O74" s="2860"/>
      <c r="P74" s="2860"/>
      <c r="Q74" s="2860"/>
      <c r="R74" s="2860"/>
      <c r="S74" s="2860"/>
      <c r="T74" s="2860"/>
      <c r="U74" s="653"/>
      <c r="V74" s="652"/>
    </row>
    <row r="75" spans="1:23">
      <c r="A75" s="10"/>
      <c r="B75" s="13" t="s">
        <v>409</v>
      </c>
      <c r="C75" s="2552" t="s">
        <v>44</v>
      </c>
      <c r="D75" s="2552"/>
      <c r="E75" s="2879"/>
      <c r="F75" s="549"/>
      <c r="H75" s="542"/>
      <c r="K75" s="2860"/>
      <c r="L75" s="2860"/>
      <c r="M75" s="2860"/>
      <c r="N75" s="2860"/>
      <c r="O75" s="2860"/>
      <c r="P75" s="2860"/>
      <c r="Q75" s="2860"/>
      <c r="R75" s="2860"/>
      <c r="S75" s="2860"/>
      <c r="T75" s="2860"/>
    </row>
    <row r="76" spans="1:23" ht="14.25" customHeight="1">
      <c r="A76" s="10"/>
      <c r="B76" s="13" t="s">
        <v>409</v>
      </c>
      <c r="C76" s="2552" t="s">
        <v>42</v>
      </c>
      <c r="D76" s="2552"/>
      <c r="E76" s="2879"/>
      <c r="F76" s="549"/>
      <c r="H76" s="542"/>
      <c r="K76" s="2860"/>
      <c r="L76" s="2860"/>
      <c r="M76" s="2860"/>
      <c r="N76" s="2860"/>
      <c r="O76" s="2860"/>
      <c r="P76" s="2860"/>
      <c r="Q76" s="2860"/>
      <c r="R76" s="2860"/>
      <c r="S76" s="2860"/>
      <c r="T76" s="2860"/>
    </row>
    <row r="77" spans="1:23" ht="15.75" customHeight="1">
      <c r="A77" s="10"/>
      <c r="B77" s="13" t="s">
        <v>409</v>
      </c>
      <c r="C77" s="2552" t="s">
        <v>41</v>
      </c>
      <c r="D77" s="2552"/>
      <c r="E77" s="2879"/>
      <c r="F77" s="549"/>
      <c r="H77" s="543"/>
      <c r="K77" s="2860"/>
      <c r="L77" s="2860"/>
      <c r="M77" s="2860"/>
      <c r="N77" s="2860"/>
      <c r="O77" s="2860"/>
      <c r="P77" s="2860"/>
      <c r="Q77" s="2860"/>
      <c r="R77" s="2860"/>
      <c r="S77" s="2860"/>
      <c r="T77" s="2860"/>
    </row>
    <row r="78" spans="1:23">
      <c r="A78" s="10"/>
      <c r="B78" s="657" t="s">
        <v>409</v>
      </c>
      <c r="C78" s="2882" t="s">
        <v>43</v>
      </c>
      <c r="D78" s="2882"/>
      <c r="E78" s="2883"/>
      <c r="F78" s="549"/>
      <c r="H78" s="544"/>
      <c r="K78" s="2860"/>
      <c r="L78" s="2860"/>
      <c r="M78" s="2860"/>
      <c r="N78" s="2860"/>
      <c r="O78" s="2860"/>
      <c r="P78" s="2860"/>
      <c r="Q78" s="2860"/>
      <c r="R78" s="2860"/>
      <c r="S78" s="2860"/>
      <c r="T78" s="2860"/>
    </row>
    <row r="79" spans="1:23" ht="30" customHeight="1">
      <c r="A79" s="10"/>
      <c r="B79" s="8"/>
      <c r="C79" s="8"/>
    </row>
    <row r="80" spans="1:23">
      <c r="A80" s="10"/>
      <c r="B80" s="8"/>
      <c r="C80" s="8"/>
    </row>
    <row r="81" spans="1:55" ht="27.65" customHeight="1">
      <c r="A81" s="2886" t="s">
        <v>607</v>
      </c>
      <c r="B81" s="2886"/>
      <c r="C81" s="2886"/>
      <c r="D81" s="2886"/>
      <c r="E81" s="2886"/>
      <c r="G81" t="s">
        <v>3</v>
      </c>
      <c r="H81" t="s">
        <v>692</v>
      </c>
      <c r="J81" t="s">
        <v>47</v>
      </c>
      <c r="K81" t="s">
        <v>695</v>
      </c>
      <c r="M81" t="s">
        <v>96</v>
      </c>
      <c r="N81" t="s">
        <v>694</v>
      </c>
      <c r="Q81" t="s">
        <v>693</v>
      </c>
    </row>
    <row r="82" spans="1:55" ht="15" customHeight="1">
      <c r="A82" s="10"/>
      <c r="B82" s="148"/>
      <c r="C82" s="148"/>
      <c r="D82" s="148"/>
      <c r="E82" s="148"/>
      <c r="G82" s="2887" t="s">
        <v>9</v>
      </c>
      <c r="H82" s="2888"/>
      <c r="I82" s="8"/>
      <c r="J82" s="2889" t="s">
        <v>6</v>
      </c>
      <c r="K82" s="2890"/>
      <c r="L82" s="8"/>
      <c r="M82" s="2889" t="s">
        <v>7</v>
      </c>
      <c r="N82" s="2890"/>
      <c r="O82" s="8"/>
      <c r="P82" s="786" t="s">
        <v>8</v>
      </c>
      <c r="Q82" s="786" t="s">
        <v>8</v>
      </c>
      <c r="R82" s="8"/>
      <c r="S82" s="8"/>
      <c r="T82" s="786" t="s">
        <v>411</v>
      </c>
      <c r="U82" s="8"/>
      <c r="V82" s="8"/>
      <c r="W82" s="718" t="s">
        <v>412</v>
      </c>
    </row>
    <row r="83" spans="1:55" ht="15" customHeight="1">
      <c r="B83" s="148"/>
      <c r="C83" s="148"/>
      <c r="D83" s="148"/>
      <c r="E83" s="148"/>
      <c r="G83" s="2867" t="s">
        <v>17</v>
      </c>
      <c r="H83" s="2894" t="s">
        <v>10</v>
      </c>
      <c r="I83" s="6"/>
      <c r="J83" s="2637" t="s">
        <v>17</v>
      </c>
      <c r="K83" s="2894" t="s">
        <v>10</v>
      </c>
      <c r="L83" s="6"/>
      <c r="M83" s="2637" t="s">
        <v>17</v>
      </c>
      <c r="N83" s="2894" t="s">
        <v>10</v>
      </c>
      <c r="P83" s="2867" t="s">
        <v>17</v>
      </c>
      <c r="Q83" s="2869" t="s">
        <v>10</v>
      </c>
      <c r="T83" s="2869" t="s">
        <v>10</v>
      </c>
      <c r="W83" s="2869" t="s">
        <v>10</v>
      </c>
      <c r="X83" s="2661"/>
      <c r="Y83" s="2661"/>
      <c r="Z83" s="2661"/>
      <c r="AA83" s="2661"/>
      <c r="AB83" s="2661"/>
      <c r="AC83" s="2661"/>
      <c r="AD83" s="2661"/>
      <c r="AE83" s="2661"/>
      <c r="AF83" s="2661"/>
      <c r="AG83" s="2866"/>
    </row>
    <row r="84" spans="1:55" ht="15" customHeight="1">
      <c r="B84" s="148"/>
      <c r="C84" s="148"/>
      <c r="D84" s="148"/>
      <c r="E84" s="148"/>
      <c r="G84" s="2891"/>
      <c r="H84" s="2895"/>
      <c r="I84" s="6"/>
      <c r="J84" s="2896"/>
      <c r="K84" s="2895"/>
      <c r="L84" s="6"/>
      <c r="M84" s="2896"/>
      <c r="N84" s="2895"/>
      <c r="P84" s="2891"/>
      <c r="Q84" s="2892"/>
      <c r="T84" s="2892"/>
      <c r="W84" s="2892"/>
      <c r="X84" s="2662"/>
      <c r="Y84" s="2662"/>
      <c r="Z84" s="2662"/>
      <c r="AA84" s="2662"/>
      <c r="AB84" s="2662"/>
      <c r="AC84" s="2662"/>
      <c r="AD84" s="2662"/>
      <c r="AE84" s="2662"/>
      <c r="AF84" s="2662"/>
      <c r="AG84" s="2610"/>
    </row>
    <row r="85" spans="1:55"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55" ht="20.2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X86" s="2893"/>
      <c r="Y86" s="2893"/>
      <c r="Z86" s="2893"/>
      <c r="AA86" s="2893"/>
      <c r="AB86" s="2893"/>
      <c r="AC86" s="2893"/>
      <c r="AD86" s="2893"/>
      <c r="AE86" s="2893"/>
      <c r="AF86" s="2893"/>
      <c r="AG86" s="2893"/>
    </row>
    <row r="87" spans="1:55" ht="18" customHeight="1">
      <c r="B87" s="44" t="s">
        <v>0</v>
      </c>
      <c r="C87" s="44"/>
      <c r="D87" s="44"/>
      <c r="E87" s="44"/>
      <c r="F87" s="236"/>
      <c r="G87" s="719" t="s">
        <v>31</v>
      </c>
      <c r="H87" s="482"/>
      <c r="I87" s="466"/>
      <c r="J87" s="501"/>
      <c r="K87" s="482"/>
      <c r="L87" s="466"/>
      <c r="M87" s="501"/>
      <c r="N87" s="482"/>
      <c r="O87" s="466"/>
      <c r="P87" s="501"/>
      <c r="Q87" s="482"/>
      <c r="R87" s="466"/>
      <c r="S87" s="466"/>
      <c r="T87" s="482"/>
      <c r="U87" s="466"/>
      <c r="V87" s="466"/>
      <c r="W87" s="1056"/>
      <c r="X87" s="2893"/>
      <c r="Y87" s="2893"/>
      <c r="Z87" s="2893"/>
      <c r="AA87" s="2893"/>
      <c r="AB87" s="2893"/>
      <c r="AC87" s="2893"/>
      <c r="AD87" s="2893"/>
      <c r="AE87" s="2893"/>
      <c r="AF87" s="2893"/>
      <c r="AG87" s="2893"/>
      <c r="AO87" s="1886"/>
      <c r="AP87" s="1886" t="s">
        <v>5521</v>
      </c>
      <c r="AQ87" s="1886" t="s">
        <v>25</v>
      </c>
      <c r="AR87" s="1886" t="s">
        <v>5519</v>
      </c>
    </row>
    <row r="88" spans="1:55" ht="34.5" customHeight="1">
      <c r="A88" s="6"/>
      <c r="B88" s="723" t="s">
        <v>2264</v>
      </c>
      <c r="C88" s="180"/>
      <c r="D88" s="180"/>
      <c r="E88" s="180"/>
      <c r="F88" s="129"/>
      <c r="G88" s="1165"/>
      <c r="H88" s="766" t="s">
        <v>2262</v>
      </c>
      <c r="I88" s="1166"/>
      <c r="J88" s="1167"/>
      <c r="K88" s="766" t="s">
        <v>2263</v>
      </c>
      <c r="L88" s="741"/>
      <c r="M88" s="742"/>
      <c r="N88" s="766"/>
      <c r="O88" s="741"/>
      <c r="P88" s="767"/>
      <c r="Q88" s="766"/>
      <c r="R88" s="720"/>
      <c r="S88" s="720"/>
      <c r="T88" s="766"/>
      <c r="U88" s="720"/>
      <c r="V88" s="720"/>
      <c r="W88" s="761"/>
      <c r="X88" s="2912" t="s">
        <v>5607</v>
      </c>
      <c r="Y88" s="2912"/>
      <c r="Z88" s="2912"/>
      <c r="AA88" s="2917"/>
      <c r="AB88" s="2917"/>
      <c r="AC88" s="2917"/>
      <c r="AD88" s="2917"/>
      <c r="AE88" s="2917"/>
      <c r="AF88" s="2917"/>
      <c r="AG88" s="2917"/>
      <c r="AH88" s="9"/>
      <c r="AO88" s="1891" t="s">
        <v>5520</v>
      </c>
      <c r="AP88" s="1891">
        <v>7</v>
      </c>
      <c r="AQ88" s="1891">
        <v>11</v>
      </c>
      <c r="AR88" s="1902">
        <f>AP88/AQ88</f>
        <v>0.63636363636363635</v>
      </c>
      <c r="AS88" s="1534"/>
      <c r="AT88" s="1534"/>
      <c r="AU88" s="1534"/>
      <c r="AV88" s="1534"/>
      <c r="AW88" s="1534"/>
      <c r="AX88" s="1534"/>
      <c r="AY88" s="1534"/>
      <c r="AZ88" s="1534"/>
      <c r="BA88" s="1534"/>
      <c r="BB88" s="1534"/>
      <c r="BC88" s="1534"/>
    </row>
    <row r="89" spans="1:55">
      <c r="B89" s="52"/>
      <c r="C89" s="52"/>
      <c r="D89" s="52"/>
      <c r="E89" s="52"/>
      <c r="G89" s="717"/>
      <c r="H89" s="780"/>
      <c r="J89" s="780"/>
      <c r="K89" s="780"/>
      <c r="M89" s="780"/>
      <c r="N89" s="780"/>
      <c r="P89" s="780"/>
      <c r="Q89" s="780"/>
      <c r="T89" s="780"/>
      <c r="W89" s="780"/>
      <c r="AO89" s="1891" t="s">
        <v>5518</v>
      </c>
      <c r="AP89" s="1891">
        <v>43</v>
      </c>
      <c r="AQ89" s="1891">
        <v>206</v>
      </c>
      <c r="AR89" s="1902">
        <f>AP89/AQ89</f>
        <v>0.20873786407766989</v>
      </c>
      <c r="AS89" s="1534"/>
      <c r="AT89" s="1534"/>
      <c r="AU89" s="1534"/>
      <c r="AV89" s="1534"/>
      <c r="AW89" s="1534"/>
      <c r="AX89" s="1534"/>
      <c r="AY89" s="1534"/>
      <c r="AZ89" s="1534"/>
      <c r="BA89" s="1534"/>
      <c r="BB89" s="1534"/>
      <c r="BC89" s="1534"/>
    </row>
    <row r="90" spans="1:55"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c r="AO90" s="1890" t="s">
        <v>25</v>
      </c>
      <c r="AP90" s="1890">
        <f>SUM(AP88:AP89)</f>
        <v>50</v>
      </c>
      <c r="AQ90" s="1890">
        <f>SUM(AQ88:AQ89)</f>
        <v>217</v>
      </c>
      <c r="AR90" s="1902">
        <f>AP90/AQ90</f>
        <v>0.2304147465437788</v>
      </c>
      <c r="AS90" s="1534"/>
      <c r="AT90" s="1890"/>
      <c r="AU90" s="1890"/>
      <c r="AV90" s="1890"/>
      <c r="AW90" s="1890"/>
      <c r="AX90" s="1890"/>
      <c r="AY90" s="1534"/>
      <c r="AZ90" s="1534"/>
      <c r="BA90" s="1534"/>
      <c r="BB90" s="1534"/>
      <c r="BC90" s="1534"/>
    </row>
    <row r="91" spans="1:55" ht="18.649999999999999" hidden="1" customHeight="1">
      <c r="A91" s="1"/>
      <c r="B91" s="50"/>
      <c r="C91" s="50"/>
      <c r="D91" s="50"/>
      <c r="E91" s="50"/>
      <c r="G91" s="66"/>
      <c r="H91" s="787"/>
      <c r="I91" s="6"/>
      <c r="J91" s="111"/>
      <c r="K91" s="787"/>
      <c r="L91" s="6"/>
      <c r="M91" s="111"/>
      <c r="N91" s="787"/>
      <c r="P91" s="66"/>
      <c r="Q91" s="788"/>
      <c r="T91" s="788"/>
      <c r="W91" s="724"/>
      <c r="AO91" s="1891"/>
      <c r="AP91" s="1891"/>
      <c r="AQ91" s="1891"/>
      <c r="AR91" s="1891"/>
      <c r="AS91" s="1534"/>
      <c r="AT91" s="1534"/>
      <c r="AU91" s="1534"/>
      <c r="AV91" s="1534"/>
      <c r="AW91" s="1534"/>
      <c r="AX91" s="1534"/>
      <c r="AY91" s="1534"/>
      <c r="AZ91" s="1534"/>
      <c r="BA91" s="1534"/>
      <c r="BB91" s="1534"/>
      <c r="BC91" s="1534"/>
    </row>
    <row r="92" spans="1:55" ht="18.45">
      <c r="A92" s="6"/>
      <c r="B92" s="723" t="s">
        <v>16</v>
      </c>
      <c r="C92" s="180"/>
      <c r="D92" s="180"/>
      <c r="E92" s="180"/>
      <c r="F92" s="725"/>
      <c r="G92" s="65"/>
      <c r="H92" s="1313">
        <v>37623</v>
      </c>
      <c r="I92" s="1314"/>
      <c r="J92" s="1315"/>
      <c r="K92" s="1313">
        <v>37623</v>
      </c>
      <c r="N92" s="553"/>
      <c r="O92" s="710"/>
      <c r="P92" s="712"/>
      <c r="Q92" s="553"/>
      <c r="R92" s="713"/>
      <c r="S92" s="713"/>
      <c r="T92" s="553"/>
      <c r="U92" s="713"/>
      <c r="V92" s="713"/>
      <c r="W92" s="730"/>
      <c r="X92" s="2893"/>
      <c r="Y92" s="2893"/>
      <c r="Z92" s="2893"/>
      <c r="AA92" s="2893"/>
      <c r="AB92" s="2893"/>
      <c r="AC92" s="2893"/>
      <c r="AD92" s="2893"/>
      <c r="AE92" s="2893"/>
      <c r="AF92" s="2893"/>
      <c r="AG92" s="2893"/>
      <c r="AO92" s="1891"/>
      <c r="AP92" s="1891"/>
      <c r="AQ92" s="1891"/>
      <c r="AR92" s="1891"/>
      <c r="AS92" s="1534"/>
      <c r="AT92" s="1534"/>
      <c r="AU92" s="1534"/>
      <c r="AV92" s="1534"/>
      <c r="AW92" s="1534"/>
      <c r="AX92" s="1534"/>
      <c r="AY92" s="1534"/>
      <c r="AZ92" s="1534"/>
      <c r="BA92" s="1534"/>
      <c r="BB92" s="1534"/>
      <c r="BC92" s="1534"/>
    </row>
    <row r="93" spans="1:55" ht="18.45">
      <c r="A93" s="6"/>
      <c r="B93" s="726" t="s">
        <v>124</v>
      </c>
      <c r="C93" s="727"/>
      <c r="D93" s="727"/>
      <c r="E93" s="727"/>
      <c r="F93" s="728"/>
      <c r="G93" s="65"/>
      <c r="H93" s="554">
        <v>1</v>
      </c>
      <c r="I93" s="731"/>
      <c r="J93" s="732"/>
      <c r="K93" s="554">
        <v>1</v>
      </c>
      <c r="N93" s="554"/>
      <c r="O93" s="733"/>
      <c r="P93" s="734"/>
      <c r="Q93" s="554"/>
      <c r="R93" s="735"/>
      <c r="S93" s="735"/>
      <c r="T93" s="554"/>
      <c r="U93" s="735"/>
      <c r="V93" s="735"/>
      <c r="W93" s="736"/>
      <c r="X93" s="2893"/>
      <c r="Y93" s="2893"/>
      <c r="Z93" s="2893"/>
      <c r="AA93" s="2893"/>
      <c r="AB93" s="2893"/>
      <c r="AC93" s="2893"/>
      <c r="AD93" s="2893"/>
      <c r="AE93" s="2893"/>
      <c r="AF93" s="2893"/>
      <c r="AG93" s="2893"/>
      <c r="AH93" s="9"/>
      <c r="AO93" s="1891"/>
      <c r="AP93" s="1891"/>
      <c r="AQ93" s="1891"/>
      <c r="AR93" s="1892"/>
      <c r="AS93" s="1534"/>
      <c r="AT93" s="1534"/>
      <c r="AU93" s="1534"/>
      <c r="AV93" s="1534"/>
      <c r="AW93" s="1534"/>
      <c r="AX93" s="1534"/>
      <c r="AY93" s="1534"/>
      <c r="AZ93" s="1534"/>
      <c r="BA93" s="1534"/>
      <c r="BB93" s="1534"/>
      <c r="BC93" s="1534"/>
    </row>
    <row r="94" spans="1:55" ht="18.45">
      <c r="A94" s="6"/>
      <c r="B94" s="726" t="s">
        <v>123</v>
      </c>
      <c r="C94" s="727"/>
      <c r="D94" s="727"/>
      <c r="E94" s="727"/>
      <c r="F94" s="728"/>
      <c r="G94" s="65"/>
      <c r="H94" s="737">
        <v>0</v>
      </c>
      <c r="I94" s="710"/>
      <c r="J94" s="711"/>
      <c r="K94" s="737">
        <v>0</v>
      </c>
      <c r="N94" s="737"/>
      <c r="O94" s="710"/>
      <c r="P94" s="712"/>
      <c r="Q94" s="737"/>
      <c r="R94" s="713"/>
      <c r="S94" s="713"/>
      <c r="T94" s="737"/>
      <c r="U94" s="713"/>
      <c r="V94" s="713"/>
      <c r="W94" s="738"/>
      <c r="X94" s="2893"/>
      <c r="Y94" s="2893"/>
      <c r="Z94" s="2893"/>
      <c r="AA94" s="2893"/>
      <c r="AB94" s="2893"/>
      <c r="AC94" s="2893"/>
      <c r="AD94" s="2893"/>
      <c r="AE94" s="2893"/>
      <c r="AF94" s="2893"/>
      <c r="AG94" s="2893"/>
      <c r="AH94" s="9"/>
      <c r="AO94" s="1891"/>
      <c r="AP94" s="1891"/>
      <c r="AQ94" s="1891"/>
      <c r="AR94" s="1891"/>
      <c r="AS94" s="1534"/>
      <c r="AT94" s="1534"/>
      <c r="AU94" s="1534"/>
      <c r="AV94" s="1534"/>
      <c r="AW94" s="1534"/>
      <c r="AX94" s="1534"/>
      <c r="AY94" s="1534"/>
      <c r="AZ94" s="1534"/>
      <c r="BA94" s="1534"/>
      <c r="BB94" s="1534"/>
      <c r="BC94" s="1534"/>
    </row>
    <row r="95" spans="1:55" ht="18.45">
      <c r="A95" s="6"/>
      <c r="B95" s="726" t="s">
        <v>56</v>
      </c>
      <c r="C95" s="727"/>
      <c r="D95" s="727"/>
      <c r="E95" s="727"/>
      <c r="F95" s="728"/>
      <c r="G95" s="65">
        <v>1</v>
      </c>
      <c r="H95" s="523">
        <v>11</v>
      </c>
      <c r="I95" s="708"/>
      <c r="J95" s="709"/>
      <c r="K95" s="523">
        <f>6+167+33</f>
        <v>206</v>
      </c>
      <c r="N95" s="523"/>
      <c r="O95" s="710"/>
      <c r="P95" s="712"/>
      <c r="Q95" s="523"/>
      <c r="R95" s="713"/>
      <c r="S95" s="713"/>
      <c r="T95" s="523"/>
      <c r="U95" s="713"/>
      <c r="V95" s="713"/>
      <c r="W95" s="695"/>
      <c r="X95" s="2893" t="s">
        <v>5517</v>
      </c>
      <c r="Y95" s="2893"/>
      <c r="Z95" s="2893"/>
      <c r="AA95" s="2893"/>
      <c r="AB95" s="2893"/>
      <c r="AC95" s="2893"/>
      <c r="AD95" s="2893"/>
      <c r="AE95" s="2893"/>
      <c r="AF95" s="2893"/>
      <c r="AG95" s="2893"/>
      <c r="AH95" s="9"/>
      <c r="AO95" s="1891"/>
      <c r="AP95" s="1891"/>
      <c r="AQ95" s="1891"/>
      <c r="AR95" s="1891"/>
      <c r="AS95" s="1534"/>
      <c r="AT95" s="1893"/>
      <c r="AU95" s="1534"/>
      <c r="AV95" s="1534"/>
      <c r="AW95" s="1534"/>
      <c r="AX95" s="1534"/>
      <c r="AY95" s="1534"/>
      <c r="AZ95" s="1534"/>
      <c r="BA95" s="1534"/>
      <c r="BB95" s="1534"/>
      <c r="BC95" s="1534"/>
    </row>
    <row r="96" spans="1:55" ht="21" customHeight="1">
      <c r="A96" s="6"/>
      <c r="B96" s="729" t="s">
        <v>18</v>
      </c>
      <c r="C96" s="727"/>
      <c r="D96" s="727"/>
      <c r="E96" s="727"/>
      <c r="F96" s="728"/>
      <c r="G96" s="65"/>
      <c r="H96" s="523">
        <v>12</v>
      </c>
      <c r="I96" s="710"/>
      <c r="J96" s="711"/>
      <c r="K96" s="1325">
        <v>13</v>
      </c>
      <c r="N96" s="523"/>
      <c r="O96" s="710"/>
      <c r="P96" s="712"/>
      <c r="Q96" s="523"/>
      <c r="R96" s="713"/>
      <c r="S96" s="713"/>
      <c r="T96" s="523"/>
      <c r="U96" s="713"/>
      <c r="V96" s="713"/>
      <c r="W96" s="695"/>
      <c r="X96" s="2893" t="s">
        <v>2235</v>
      </c>
      <c r="Y96" s="2893"/>
      <c r="Z96" s="2893"/>
      <c r="AA96" s="2893"/>
      <c r="AB96" s="2893"/>
      <c r="AC96" s="2893"/>
      <c r="AD96" s="2893"/>
      <c r="AE96" s="2893"/>
      <c r="AF96" s="2893"/>
      <c r="AG96" s="2893"/>
      <c r="AO96" s="1891"/>
      <c r="AP96" s="1891"/>
      <c r="AQ96" s="1891"/>
      <c r="AR96" s="1892"/>
      <c r="AS96" s="1534"/>
      <c r="AT96" s="1534"/>
      <c r="AU96" s="1534"/>
      <c r="AV96" s="1534"/>
      <c r="AW96" s="1534"/>
      <c r="AX96" s="1534"/>
      <c r="AY96" s="1534"/>
      <c r="AZ96" s="1534"/>
      <c r="BA96" s="1534"/>
      <c r="BB96" s="1534"/>
      <c r="BC96" s="1534"/>
    </row>
    <row r="97" spans="1:55" ht="21" customHeight="1">
      <c r="A97" s="6"/>
      <c r="B97" s="44" t="s">
        <v>602</v>
      </c>
      <c r="C97" s="727"/>
      <c r="D97" s="727"/>
      <c r="E97" s="727"/>
      <c r="F97" s="728"/>
      <c r="G97" s="65"/>
      <c r="H97" s="523">
        <v>1.3</v>
      </c>
      <c r="I97" s="710"/>
      <c r="J97" s="711"/>
      <c r="K97" s="523">
        <v>1.3</v>
      </c>
      <c r="N97" s="523"/>
      <c r="O97" s="710"/>
      <c r="P97" s="712"/>
      <c r="Q97" s="523"/>
      <c r="R97" s="739"/>
      <c r="S97" s="739"/>
      <c r="T97" s="523"/>
      <c r="U97" s="739"/>
      <c r="V97" s="739"/>
      <c r="W97" s="695"/>
      <c r="X97" s="2893"/>
      <c r="Y97" s="2893"/>
      <c r="Z97" s="2893"/>
      <c r="AA97" s="2893"/>
      <c r="AB97" s="2893"/>
      <c r="AC97" s="2893"/>
      <c r="AD97" s="2893"/>
      <c r="AE97" s="2893"/>
      <c r="AF97" s="2893"/>
      <c r="AG97" s="2893"/>
      <c r="AO97" s="1891"/>
      <c r="AP97" s="1891"/>
      <c r="AQ97" s="1891"/>
      <c r="AR97" s="1891"/>
      <c r="AS97" s="1534"/>
      <c r="AT97" s="1534"/>
      <c r="AU97" s="1534"/>
      <c r="AV97" s="1534"/>
      <c r="AW97" s="1534"/>
      <c r="AX97" s="1534"/>
      <c r="AY97" s="1534"/>
      <c r="AZ97" s="1534"/>
      <c r="BA97" s="1534"/>
      <c r="BB97" s="1534"/>
      <c r="BC97" s="1534"/>
    </row>
    <row r="98" spans="1:55" s="6" customFormat="1">
      <c r="B98" s="729" t="s">
        <v>45</v>
      </c>
      <c r="C98" s="694"/>
      <c r="D98" s="694"/>
      <c r="E98" s="694"/>
      <c r="F98" s="728"/>
      <c r="G98" s="65"/>
      <c r="H98" s="523"/>
      <c r="I98" s="710"/>
      <c r="J98" s="740"/>
      <c r="K98" s="1327">
        <f>AX136</f>
        <v>0</v>
      </c>
      <c r="N98" s="523"/>
      <c r="O98" s="710"/>
      <c r="P98" s="711"/>
      <c r="Q98" s="523"/>
      <c r="R98" s="710"/>
      <c r="S98" s="710"/>
      <c r="T98" s="523"/>
      <c r="U98" s="710"/>
      <c r="V98" s="710"/>
      <c r="W98" s="695"/>
      <c r="X98" s="2893" t="s">
        <v>2252</v>
      </c>
      <c r="Y98" s="2893"/>
      <c r="Z98" s="2893"/>
      <c r="AA98" s="2893"/>
      <c r="AB98" s="2893"/>
      <c r="AC98" s="2893"/>
      <c r="AD98" s="2893"/>
      <c r="AE98" s="2893"/>
      <c r="AF98" s="2893"/>
      <c r="AG98" s="2893"/>
      <c r="AO98" s="1894"/>
      <c r="AP98" s="1894"/>
      <c r="AQ98" s="1894"/>
      <c r="AR98" s="1894"/>
      <c r="AS98" s="1895"/>
      <c r="AT98" s="1534"/>
      <c r="AU98" s="1534"/>
      <c r="AV98" s="1895"/>
      <c r="AW98" s="1895"/>
      <c r="AX98" s="1895"/>
      <c r="AY98" s="1895"/>
      <c r="AZ98" s="1895"/>
      <c r="BA98" s="1895"/>
      <c r="BB98" s="1895"/>
      <c r="BC98" s="1895"/>
    </row>
    <row r="99" spans="1:55" s="6" customFormat="1">
      <c r="B99" s="584" t="s">
        <v>46</v>
      </c>
      <c r="C99" s="584"/>
      <c r="D99" s="584"/>
      <c r="E99" s="584"/>
      <c r="F99" s="728"/>
      <c r="G99" s="63"/>
      <c r="H99" s="1887"/>
      <c r="I99" s="741"/>
      <c r="J99" s="743"/>
      <c r="K99" s="1887"/>
      <c r="N99" s="525"/>
      <c r="O99" s="741"/>
      <c r="P99" s="557"/>
      <c r="Q99" s="525"/>
      <c r="R99" s="741"/>
      <c r="S99" s="741"/>
      <c r="T99" s="525"/>
      <c r="U99" s="741"/>
      <c r="V99" s="741"/>
      <c r="W99" s="702"/>
      <c r="X99" s="2893"/>
      <c r="Y99" s="2893"/>
      <c r="Z99" s="2893"/>
      <c r="AA99" s="2893"/>
      <c r="AB99" s="2893"/>
      <c r="AC99" s="2893"/>
      <c r="AD99" s="2893"/>
      <c r="AE99" s="2893"/>
      <c r="AF99" s="2893"/>
      <c r="AG99" s="2893"/>
      <c r="AO99" s="1894"/>
      <c r="AP99" s="1894"/>
      <c r="AQ99" s="1896"/>
      <c r="AR99" s="1896"/>
      <c r="AS99" s="1897"/>
      <c r="AT99" s="1895"/>
      <c r="AU99" s="1534"/>
      <c r="AV99" s="1895"/>
      <c r="AW99" s="1895"/>
      <c r="AX99" s="1895"/>
      <c r="AY99" s="1895"/>
      <c r="AZ99" s="1895"/>
      <c r="BA99" s="1895"/>
      <c r="BB99" s="1895"/>
      <c r="BC99" s="1895"/>
    </row>
    <row r="100" spans="1:55">
      <c r="A100" s="6"/>
      <c r="B100" s="6"/>
      <c r="C100" s="6"/>
      <c r="D100" s="6"/>
      <c r="E100" s="6"/>
      <c r="F100" s="6"/>
      <c r="G100" s="6"/>
      <c r="H100" s="121"/>
      <c r="I100" s="6"/>
      <c r="J100" s="666"/>
      <c r="K100" s="128"/>
      <c r="N100" s="121"/>
      <c r="O100" s="6"/>
      <c r="P100" s="6"/>
      <c r="Q100" s="121"/>
      <c r="T100" s="121"/>
      <c r="W100" s="121"/>
      <c r="AO100" s="1534"/>
      <c r="AP100" s="1534"/>
      <c r="AQ100" s="1534"/>
      <c r="AR100" s="1534"/>
      <c r="AS100" s="1534"/>
      <c r="AT100" s="1895"/>
      <c r="AU100" s="1895"/>
      <c r="AV100" s="1534"/>
      <c r="AW100" s="1534"/>
      <c r="AX100" s="1534"/>
      <c r="AY100" s="1534"/>
      <c r="AZ100" s="1534"/>
      <c r="BA100" s="1534"/>
      <c r="BB100" s="1534"/>
      <c r="BC100" s="1534"/>
    </row>
    <row r="101" spans="1:55" ht="16.75">
      <c r="A101" s="591" t="s">
        <v>614</v>
      </c>
      <c r="B101" s="596"/>
      <c r="C101" s="596"/>
      <c r="D101" s="596"/>
      <c r="E101" s="596"/>
      <c r="F101" s="597"/>
      <c r="G101" s="594"/>
      <c r="H101" s="596"/>
      <c r="I101" s="597"/>
      <c r="J101" s="594"/>
      <c r="K101" s="597"/>
      <c r="N101" s="682"/>
      <c r="O101" s="594"/>
      <c r="P101" s="594"/>
      <c r="Q101" s="682"/>
      <c r="T101" s="682"/>
      <c r="U101" s="594"/>
      <c r="V101" s="594"/>
      <c r="W101" s="682"/>
      <c r="X101" s="594"/>
      <c r="Y101" s="594"/>
      <c r="Z101" s="594"/>
      <c r="AA101" s="594"/>
      <c r="AB101" s="594"/>
      <c r="AC101" s="594"/>
      <c r="AD101" s="594"/>
      <c r="AE101" s="594"/>
      <c r="AF101" s="594"/>
      <c r="AG101" s="594"/>
      <c r="AO101" s="1534"/>
      <c r="AP101" s="1534"/>
      <c r="AQ101" s="1534"/>
      <c r="AR101" s="1534"/>
      <c r="AS101" s="1534"/>
      <c r="AT101" s="1534"/>
      <c r="AU101" s="1895"/>
      <c r="AV101" s="1534"/>
      <c r="AW101" s="1534"/>
      <c r="AX101" s="1534"/>
      <c r="AY101" s="1534"/>
      <c r="AZ101" s="1534"/>
      <c r="BA101" s="1534"/>
      <c r="BB101" s="1534"/>
      <c r="BC101" s="1534"/>
    </row>
    <row r="102" spans="1:55" ht="14.9" hidden="1" customHeight="1">
      <c r="A102" s="1"/>
      <c r="B102" s="1"/>
      <c r="G102" s="53"/>
      <c r="H102" s="118"/>
      <c r="I102" s="6"/>
      <c r="J102" s="63"/>
      <c r="K102" s="118"/>
      <c r="N102" s="58"/>
      <c r="P102" s="53"/>
      <c r="Q102" s="58"/>
      <c r="T102" s="58"/>
      <c r="W102" s="58"/>
      <c r="AO102" s="1534"/>
      <c r="AP102" s="1534"/>
      <c r="AQ102" s="1534"/>
      <c r="AR102" s="1534"/>
      <c r="AS102" s="1534"/>
      <c r="AT102" s="1534"/>
      <c r="AU102" s="1895"/>
      <c r="AV102" s="1534"/>
      <c r="AW102" s="1534"/>
      <c r="AX102" s="1534"/>
      <c r="AY102" s="1534"/>
      <c r="AZ102" s="1534"/>
      <c r="BA102" s="1534"/>
      <c r="BB102" s="1534"/>
      <c r="BC102" s="1534"/>
    </row>
    <row r="103" spans="1:55" ht="18.649999999999999" hidden="1" customHeight="1">
      <c r="A103" s="2897" t="s">
        <v>341</v>
      </c>
      <c r="B103" s="1398"/>
      <c r="C103" s="1399"/>
      <c r="D103" s="1399"/>
      <c r="E103" s="1399"/>
      <c r="F103" s="1400"/>
      <c r="G103" s="1401"/>
      <c r="H103" s="1389"/>
      <c r="I103" s="1402"/>
      <c r="J103" s="1401"/>
      <c r="K103" s="1389"/>
      <c r="L103" s="1390"/>
      <c r="M103" s="1390"/>
      <c r="N103" s="1389"/>
      <c r="O103" s="1402"/>
      <c r="P103" s="1403"/>
      <c r="Q103" s="1389"/>
      <c r="R103" s="1404"/>
      <c r="S103" s="1404"/>
      <c r="T103" s="1389"/>
      <c r="U103" s="1404"/>
      <c r="V103" s="1404"/>
      <c r="W103" s="1405"/>
      <c r="X103" s="2899"/>
      <c r="Y103" s="2899"/>
      <c r="Z103" s="2899"/>
      <c r="AA103" s="2899"/>
      <c r="AB103" s="2899"/>
      <c r="AC103" s="2899"/>
      <c r="AD103" s="2899"/>
      <c r="AE103" s="2899"/>
      <c r="AF103" s="2899"/>
      <c r="AG103" s="2899"/>
      <c r="AO103" s="1534"/>
      <c r="AP103" s="1534"/>
      <c r="AQ103" s="1534"/>
      <c r="AR103" s="1534"/>
      <c r="AS103" s="1534"/>
      <c r="AT103" s="1534"/>
      <c r="AU103" s="1895"/>
      <c r="AV103" s="1534"/>
      <c r="AW103" s="1534"/>
      <c r="AX103" s="1534"/>
      <c r="AY103" s="1534"/>
      <c r="AZ103" s="1534"/>
      <c r="BA103" s="1534"/>
      <c r="BB103" s="1534"/>
      <c r="BC103" s="1534"/>
    </row>
    <row r="104" spans="1:55" ht="32.25" customHeight="1">
      <c r="A104" s="2898"/>
      <c r="B104" s="726" t="s">
        <v>2373</v>
      </c>
      <c r="C104" s="727"/>
      <c r="D104" s="727"/>
      <c r="E104" s="727"/>
      <c r="F104" s="728"/>
      <c r="G104" s="65">
        <v>6</v>
      </c>
      <c r="H104" s="562">
        <v>1</v>
      </c>
      <c r="I104" s="748"/>
      <c r="J104" s="711"/>
      <c r="K104" s="562">
        <v>1</v>
      </c>
      <c r="N104" s="562"/>
      <c r="O104" s="748"/>
      <c r="P104" s="712"/>
      <c r="Q104" s="562"/>
      <c r="R104" s="762"/>
      <c r="S104" s="762"/>
      <c r="T104" s="562"/>
      <c r="U104" s="762"/>
      <c r="V104" s="762"/>
      <c r="W104" s="747"/>
      <c r="X104" s="2893"/>
      <c r="Y104" s="2893"/>
      <c r="Z104" s="2893"/>
      <c r="AA104" s="2893"/>
      <c r="AB104" s="2893"/>
      <c r="AC104" s="2893"/>
      <c r="AD104" s="2893"/>
      <c r="AE104" s="2893"/>
      <c r="AF104" s="2893"/>
      <c r="AG104" s="2893"/>
      <c r="AO104" s="1534"/>
      <c r="AP104" s="1534"/>
      <c r="AQ104" s="1534"/>
      <c r="AR104" s="1534"/>
      <c r="AS104" s="1534"/>
      <c r="AT104" s="1534"/>
      <c r="AU104" s="1895"/>
      <c r="AV104" s="1534"/>
      <c r="AW104" s="1534"/>
      <c r="AX104" s="1534"/>
      <c r="AY104" s="1534"/>
      <c r="AZ104" s="1534"/>
      <c r="BA104" s="1534"/>
      <c r="BB104" s="1534"/>
      <c r="BC104" s="1534"/>
    </row>
    <row r="105" spans="1:55" ht="40" customHeight="1">
      <c r="A105" s="2902" t="s">
        <v>185</v>
      </c>
      <c r="B105" s="726" t="s">
        <v>231</v>
      </c>
      <c r="C105" s="727"/>
      <c r="D105" s="727"/>
      <c r="E105" s="727"/>
      <c r="F105" s="728"/>
      <c r="G105" s="114">
        <v>19.246910452309116</v>
      </c>
      <c r="H105" s="563" t="s">
        <v>401</v>
      </c>
      <c r="I105" s="750"/>
      <c r="J105" s="751"/>
      <c r="K105" s="563" t="s">
        <v>402</v>
      </c>
      <c r="N105" s="563"/>
      <c r="O105" s="748"/>
      <c r="P105" s="711"/>
      <c r="Q105" s="563"/>
      <c r="R105" s="762"/>
      <c r="S105" s="762"/>
      <c r="T105" s="563"/>
      <c r="U105" s="762"/>
      <c r="V105" s="762"/>
      <c r="W105" s="752"/>
      <c r="X105" s="2893"/>
      <c r="Y105" s="2893"/>
      <c r="Z105" s="2893"/>
      <c r="AA105" s="2893"/>
      <c r="AB105" s="2893"/>
      <c r="AC105" s="2893"/>
      <c r="AD105" s="2893"/>
      <c r="AE105" s="2893"/>
      <c r="AF105" s="2893"/>
      <c r="AG105" s="2893"/>
      <c r="AO105" s="1534"/>
      <c r="AP105" s="1534"/>
      <c r="AQ105" s="1534"/>
      <c r="AR105" s="1534"/>
      <c r="AS105" s="1534"/>
      <c r="AT105" s="1534"/>
      <c r="AU105" s="1895"/>
      <c r="AV105" s="1534"/>
      <c r="AW105" s="1534"/>
      <c r="AX105" s="1534"/>
      <c r="AY105" s="1534"/>
      <c r="AZ105" s="1534"/>
      <c r="BA105" s="1534"/>
      <c r="BB105" s="1534"/>
      <c r="BC105" s="1534"/>
    </row>
    <row r="106" spans="1:55" ht="18.45">
      <c r="A106" s="2897"/>
      <c r="B106" s="726" t="s">
        <v>2247</v>
      </c>
      <c r="C106" s="727"/>
      <c r="D106" s="727"/>
      <c r="E106" s="727"/>
      <c r="F106" s="728"/>
      <c r="H106" s="1074">
        <v>0.65700000000000003</v>
      </c>
      <c r="I106" s="763"/>
      <c r="J106" s="763"/>
      <c r="K106" s="1074">
        <v>0.16</v>
      </c>
      <c r="N106" s="564"/>
      <c r="O106" s="763"/>
      <c r="P106" s="763"/>
      <c r="Q106" s="564"/>
      <c r="R106" s="762"/>
      <c r="S106" s="762"/>
      <c r="T106" s="564"/>
      <c r="U106" s="762"/>
      <c r="V106" s="762"/>
      <c r="W106" s="753"/>
      <c r="X106" s="2893" t="s">
        <v>2248</v>
      </c>
      <c r="Y106" s="2893"/>
      <c r="Z106" s="2893"/>
      <c r="AA106" s="2893"/>
      <c r="AB106" s="2893"/>
      <c r="AC106" s="2893"/>
      <c r="AD106" s="2893"/>
      <c r="AE106" s="2893"/>
      <c r="AF106" s="2893"/>
      <c r="AG106" s="2893"/>
      <c r="AH106" s="9"/>
      <c r="AO106" s="1534"/>
      <c r="AP106" s="1534"/>
      <c r="AQ106" s="1534"/>
      <c r="AR106" s="1534"/>
      <c r="AS106" s="1534"/>
      <c r="AT106" s="1534"/>
      <c r="AU106" s="1895"/>
      <c r="AV106" s="1534"/>
      <c r="AW106" s="1534"/>
      <c r="AX106" s="1534"/>
      <c r="AY106" s="1534"/>
      <c r="AZ106" s="1534"/>
      <c r="BA106" s="1534"/>
      <c r="BB106" s="1534"/>
      <c r="BC106" s="1534"/>
    </row>
    <row r="107" spans="1:55" s="6" customFormat="1" ht="31.5" customHeight="1">
      <c r="A107" s="2898"/>
      <c r="B107" s="2255" t="s">
        <v>340</v>
      </c>
      <c r="C107" s="2255"/>
      <c r="D107" s="2255"/>
      <c r="E107" s="2255"/>
      <c r="F107" s="728"/>
      <c r="G107" s="63"/>
      <c r="H107" s="571">
        <v>0.75</v>
      </c>
      <c r="I107" s="754"/>
      <c r="J107" s="755"/>
      <c r="K107" s="571">
        <v>0.75</v>
      </c>
      <c r="N107" s="565"/>
      <c r="O107" s="748"/>
      <c r="P107" s="711"/>
      <c r="Q107" s="565"/>
      <c r="R107" s="748"/>
      <c r="S107" s="748"/>
      <c r="T107" s="565"/>
      <c r="U107" s="748"/>
      <c r="V107" s="748"/>
      <c r="W107" s="756"/>
      <c r="X107" s="2893"/>
      <c r="Y107" s="2893"/>
      <c r="Z107" s="2893"/>
      <c r="AA107" s="2893"/>
      <c r="AB107" s="2893"/>
      <c r="AC107" s="2893"/>
      <c r="AD107" s="2893"/>
      <c r="AE107" s="2893"/>
      <c r="AF107" s="2893"/>
      <c r="AG107" s="2893"/>
      <c r="AO107" s="1895"/>
      <c r="AP107" s="1895"/>
      <c r="AQ107" s="1895"/>
      <c r="AR107" s="1895"/>
      <c r="AS107" s="1895"/>
      <c r="AT107" s="1534"/>
      <c r="AU107" s="1895"/>
      <c r="AV107" s="1895"/>
      <c r="AW107" s="1895"/>
      <c r="AX107" s="1895"/>
      <c r="AY107" s="1895"/>
      <c r="AZ107" s="1895"/>
      <c r="BA107" s="1895"/>
      <c r="BB107" s="1895"/>
      <c r="BC107" s="1895"/>
    </row>
    <row r="108" spans="1:55" s="62" customFormat="1" ht="15" customHeight="1">
      <c r="A108" s="2902" t="s">
        <v>394</v>
      </c>
      <c r="B108" s="726" t="s">
        <v>375</v>
      </c>
      <c r="C108" s="727"/>
      <c r="D108" s="727"/>
      <c r="E108" s="727"/>
      <c r="F108" s="728"/>
      <c r="G108" s="115">
        <v>488.75</v>
      </c>
      <c r="H108" s="566">
        <v>51.2</v>
      </c>
      <c r="I108" s="748"/>
      <c r="J108" s="711"/>
      <c r="K108" s="566">
        <v>6.7</v>
      </c>
      <c r="N108" s="566"/>
      <c r="O108" s="748"/>
      <c r="P108" s="711"/>
      <c r="Q108" s="566"/>
      <c r="R108" s="762"/>
      <c r="S108" s="762"/>
      <c r="T108" s="566"/>
      <c r="U108" s="762"/>
      <c r="V108" s="762"/>
      <c r="W108" s="757"/>
      <c r="X108" s="2893"/>
      <c r="Y108" s="2893"/>
      <c r="Z108" s="2893"/>
      <c r="AA108" s="2893"/>
      <c r="AB108" s="2893"/>
      <c r="AC108" s="2893"/>
      <c r="AD108" s="2893"/>
      <c r="AE108" s="2893"/>
      <c r="AF108" s="2893"/>
      <c r="AG108" s="2893"/>
      <c r="AO108" s="1898"/>
      <c r="AP108" s="1898"/>
      <c r="AQ108" s="1898"/>
      <c r="AR108" s="1898"/>
      <c r="AS108" s="1898"/>
      <c r="AT108" s="1895"/>
      <c r="AU108" s="1895"/>
      <c r="AV108" s="1898"/>
      <c r="AW108" s="1898"/>
      <c r="AX108" s="1898"/>
      <c r="AY108" s="1898"/>
      <c r="AZ108" s="1898"/>
      <c r="BA108" s="1898"/>
      <c r="BB108" s="1898"/>
      <c r="BC108" s="1898"/>
    </row>
    <row r="109" spans="1:55" ht="29.25" customHeight="1">
      <c r="A109" s="2897"/>
      <c r="B109" s="2255" t="s">
        <v>395</v>
      </c>
      <c r="C109" s="2255"/>
      <c r="D109" s="2255"/>
      <c r="E109" s="2255"/>
      <c r="F109" s="728"/>
      <c r="G109" s="113">
        <v>318.09533298035956</v>
      </c>
      <c r="H109" s="567">
        <v>0</v>
      </c>
      <c r="I109" s="762"/>
      <c r="J109" s="762"/>
      <c r="K109" s="567">
        <v>0</v>
      </c>
      <c r="N109" s="567"/>
      <c r="O109" s="762"/>
      <c r="P109" s="762"/>
      <c r="Q109" s="567"/>
      <c r="R109" s="762"/>
      <c r="S109" s="762"/>
      <c r="T109" s="567"/>
      <c r="U109" s="762"/>
      <c r="V109" s="762"/>
      <c r="W109" s="758"/>
      <c r="X109" s="2893"/>
      <c r="Y109" s="2893"/>
      <c r="Z109" s="2893"/>
      <c r="AA109" s="2893"/>
      <c r="AB109" s="2893"/>
      <c r="AC109" s="2893"/>
      <c r="AD109" s="2893"/>
      <c r="AE109" s="2893"/>
      <c r="AF109" s="2893"/>
      <c r="AG109" s="2893"/>
      <c r="AO109" s="1534"/>
      <c r="AP109" s="1534"/>
      <c r="AQ109" s="1534"/>
      <c r="AR109" s="1534"/>
      <c r="AS109" s="1534"/>
      <c r="AT109" s="1898"/>
      <c r="AU109" s="1895"/>
      <c r="AV109" s="1534"/>
      <c r="AW109" s="1534"/>
      <c r="AX109" s="1534"/>
      <c r="AY109" s="1534"/>
      <c r="AZ109" s="1534"/>
      <c r="BA109" s="1534"/>
      <c r="BB109" s="1534"/>
      <c r="BC109" s="1534"/>
    </row>
    <row r="110" spans="1:55" ht="14.9" customHeight="1">
      <c r="A110" s="2897"/>
      <c r="B110" s="726" t="s">
        <v>396</v>
      </c>
      <c r="C110" s="727"/>
      <c r="D110" s="727"/>
      <c r="E110" s="727"/>
      <c r="F110" s="728"/>
      <c r="G110" s="117">
        <v>26.045977237650551</v>
      </c>
      <c r="H110" s="568">
        <f>475.32*0.145</f>
        <v>68.921399999999991</v>
      </c>
      <c r="I110" s="748"/>
      <c r="J110" s="764"/>
      <c r="K110" s="568">
        <f>537.65*0.145</f>
        <v>77.959249999999997</v>
      </c>
      <c r="N110" s="568"/>
      <c r="O110" s="748"/>
      <c r="P110" s="711"/>
      <c r="Q110" s="568"/>
      <c r="R110" s="762"/>
      <c r="S110" s="762"/>
      <c r="T110" s="568"/>
      <c r="U110" s="762"/>
      <c r="V110" s="765"/>
      <c r="W110" s="542"/>
      <c r="X110" s="2893" t="s">
        <v>2271</v>
      </c>
      <c r="Y110" s="2893"/>
      <c r="Z110" s="2893"/>
      <c r="AA110" s="2893"/>
      <c r="AB110" s="2893"/>
      <c r="AC110" s="2893"/>
      <c r="AD110" s="2893"/>
      <c r="AE110" s="2893"/>
      <c r="AF110" s="2893"/>
      <c r="AG110" s="2893"/>
      <c r="AO110" s="1534"/>
      <c r="AP110" s="1534"/>
      <c r="AQ110" s="1534"/>
      <c r="AR110" s="1534"/>
      <c r="AS110" s="1534"/>
      <c r="AT110" s="1534"/>
      <c r="AU110" s="1895"/>
      <c r="AV110" s="1534"/>
      <c r="AW110" s="1534"/>
      <c r="AX110" s="1534"/>
      <c r="AY110" s="1534"/>
      <c r="AZ110" s="1534"/>
      <c r="BA110" s="1534"/>
      <c r="BB110" s="1534"/>
      <c r="BC110" s="1534"/>
    </row>
    <row r="111" spans="1:55" s="62" customFormat="1" ht="15" customHeight="1">
      <c r="A111" s="2897"/>
      <c r="B111" s="726" t="s">
        <v>397</v>
      </c>
      <c r="C111" s="727"/>
      <c r="D111" s="727"/>
      <c r="E111" s="727"/>
      <c r="F111" s="728"/>
      <c r="G111" s="115"/>
      <c r="H111" s="568">
        <f>1989.71*0.145</f>
        <v>288.50794999999999</v>
      </c>
      <c r="I111" s="748"/>
      <c r="J111" s="742"/>
      <c r="K111" s="568">
        <f>1272.12*0.145</f>
        <v>184.45739999999998</v>
      </c>
      <c r="N111" s="568"/>
      <c r="O111" s="748"/>
      <c r="P111" s="742"/>
      <c r="Q111" s="568"/>
      <c r="R111" s="762"/>
      <c r="S111" s="762"/>
      <c r="T111" s="568"/>
      <c r="U111" s="762"/>
      <c r="V111" s="762"/>
      <c r="W111" s="542"/>
      <c r="X111" s="2893"/>
      <c r="Y111" s="2893"/>
      <c r="Z111" s="2893"/>
      <c r="AA111" s="2893"/>
      <c r="AB111" s="2893"/>
      <c r="AC111" s="2893"/>
      <c r="AD111" s="2893"/>
      <c r="AE111" s="2893"/>
      <c r="AF111" s="2893"/>
      <c r="AG111" s="2893"/>
      <c r="AO111" s="1898"/>
      <c r="AP111" s="1898"/>
      <c r="AQ111" s="1898"/>
      <c r="AR111" s="1898"/>
      <c r="AS111" s="1898"/>
      <c r="AT111" s="1534"/>
      <c r="AU111" s="1895"/>
      <c r="AV111" s="1898"/>
      <c r="AW111" s="1898"/>
      <c r="AX111" s="1898"/>
      <c r="AY111" s="1898"/>
      <c r="AZ111" s="1898"/>
      <c r="BA111" s="1898"/>
      <c r="BB111" s="1898"/>
      <c r="BC111" s="1898"/>
    </row>
    <row r="112" spans="1:55" ht="14.9" customHeight="1">
      <c r="A112" s="2898"/>
      <c r="B112" s="726" t="s">
        <v>398</v>
      </c>
      <c r="C112" s="727"/>
      <c r="D112" s="727"/>
      <c r="E112" s="727"/>
      <c r="F112" s="728"/>
      <c r="H112" s="569">
        <v>0</v>
      </c>
      <c r="I112" s="763"/>
      <c r="J112" s="763"/>
      <c r="K112" s="569">
        <v>0</v>
      </c>
      <c r="N112" s="569"/>
      <c r="O112" s="762"/>
      <c r="P112" s="762"/>
      <c r="Q112" s="569"/>
      <c r="R112" s="762"/>
      <c r="S112" s="762"/>
      <c r="T112" s="569"/>
      <c r="U112" s="762"/>
      <c r="V112" s="762"/>
      <c r="W112" s="759"/>
      <c r="X112" s="2893"/>
      <c r="Y112" s="2893"/>
      <c r="Z112" s="2893"/>
      <c r="AA112" s="2893"/>
      <c r="AB112" s="2893"/>
      <c r="AC112" s="2893"/>
      <c r="AD112" s="2893"/>
      <c r="AE112" s="2893"/>
      <c r="AF112" s="2893"/>
      <c r="AG112" s="2893"/>
      <c r="AO112" s="1534"/>
      <c r="AP112" s="1534"/>
      <c r="AQ112" s="1534"/>
      <c r="AR112" s="1534"/>
      <c r="AS112" s="1534"/>
      <c r="AT112" s="1893"/>
      <c r="AU112" s="1898"/>
      <c r="AV112" s="1534"/>
      <c r="AW112" s="1534"/>
      <c r="AX112" s="1534"/>
      <c r="AY112" s="1534"/>
      <c r="AZ112" s="1534"/>
      <c r="BA112" s="1534"/>
      <c r="BB112" s="1534"/>
      <c r="BC112" s="1534"/>
    </row>
    <row r="113" spans="1:55" ht="15" customHeight="1">
      <c r="A113" s="2671" t="s">
        <v>380</v>
      </c>
      <c r="B113" s="2250" t="s">
        <v>825</v>
      </c>
      <c r="C113" s="2250"/>
      <c r="D113" s="2250"/>
      <c r="E113" s="2250"/>
      <c r="F113" s="728"/>
      <c r="H113" s="563"/>
      <c r="I113" s="763"/>
      <c r="J113" s="763"/>
      <c r="K113" s="563"/>
      <c r="N113" s="563"/>
      <c r="O113" s="762"/>
      <c r="P113" s="762"/>
      <c r="Q113" s="563"/>
      <c r="R113" s="762"/>
      <c r="S113" s="762"/>
      <c r="T113" s="563"/>
      <c r="U113" s="762"/>
      <c r="V113" s="762"/>
      <c r="W113" s="752"/>
      <c r="X113" s="2893"/>
      <c r="Y113" s="2893"/>
      <c r="Z113" s="2893"/>
      <c r="AA113" s="2893"/>
      <c r="AB113" s="2893"/>
      <c r="AC113" s="2893"/>
      <c r="AD113" s="2893"/>
      <c r="AE113" s="2893"/>
      <c r="AF113" s="2893"/>
      <c r="AG113" s="2893"/>
      <c r="AO113" s="1534"/>
      <c r="AP113" s="1534"/>
      <c r="AQ113" s="1534"/>
      <c r="AR113" s="1534"/>
      <c r="AS113" s="1534"/>
      <c r="AT113" s="1534"/>
      <c r="AU113" s="1898"/>
      <c r="AV113" s="1534"/>
      <c r="AW113" s="1534"/>
      <c r="AX113" s="1534"/>
      <c r="AY113" s="1534"/>
      <c r="AZ113" s="1534"/>
      <c r="BA113" s="1534"/>
      <c r="BB113" s="1534"/>
      <c r="BC113" s="1534"/>
    </row>
    <row r="114" spans="1:55" ht="15" customHeight="1">
      <c r="A114" s="2672"/>
      <c r="B114" s="2250" t="s">
        <v>826</v>
      </c>
      <c r="C114" s="2250"/>
      <c r="D114" s="2250"/>
      <c r="E114" s="2250"/>
      <c r="F114" s="728"/>
      <c r="H114" s="564"/>
      <c r="I114" s="763"/>
      <c r="J114" s="763"/>
      <c r="K114" s="564"/>
      <c r="N114" s="564"/>
      <c r="O114" s="762"/>
      <c r="P114" s="762"/>
      <c r="Q114" s="564"/>
      <c r="R114" s="762"/>
      <c r="S114" s="762"/>
      <c r="T114" s="564"/>
      <c r="U114" s="762"/>
      <c r="V114" s="762"/>
      <c r="W114" s="753"/>
      <c r="X114" s="2893"/>
      <c r="Y114" s="2893"/>
      <c r="Z114" s="2893"/>
      <c r="AA114" s="2893"/>
      <c r="AB114" s="2893"/>
      <c r="AC114" s="2893"/>
      <c r="AD114" s="2893"/>
      <c r="AE114" s="2893"/>
      <c r="AF114" s="2893"/>
      <c r="AG114" s="2893"/>
      <c r="AO114" s="1534"/>
      <c r="AP114" s="1534"/>
      <c r="AQ114" s="1534"/>
      <c r="AR114" s="1534"/>
      <c r="AS114" s="1534"/>
      <c r="AT114" s="1534"/>
      <c r="AU114" s="1898"/>
      <c r="AV114" s="1534"/>
      <c r="AW114" s="1534"/>
      <c r="AX114" s="1534"/>
      <c r="AY114" s="1534"/>
      <c r="AZ114" s="1534"/>
      <c r="BA114" s="1534"/>
      <c r="BB114" s="1534"/>
      <c r="BC114" s="1534"/>
    </row>
    <row r="115" spans="1:55" ht="26.25" customHeight="1">
      <c r="A115" s="2672"/>
      <c r="B115" s="2250" t="s">
        <v>827</v>
      </c>
      <c r="C115" s="2250"/>
      <c r="D115" s="2250"/>
      <c r="E115" s="2250"/>
      <c r="F115" s="728"/>
      <c r="H115" s="564"/>
      <c r="I115" s="763"/>
      <c r="J115" s="763"/>
      <c r="K115" s="564"/>
      <c r="N115" s="564"/>
      <c r="O115" s="762"/>
      <c r="P115" s="762"/>
      <c r="Q115" s="564"/>
      <c r="R115" s="762"/>
      <c r="S115" s="762"/>
      <c r="T115" s="564"/>
      <c r="U115" s="762"/>
      <c r="V115" s="762"/>
      <c r="W115" s="753"/>
      <c r="X115" s="2893"/>
      <c r="Y115" s="2893"/>
      <c r="Z115" s="2893"/>
      <c r="AA115" s="2893"/>
      <c r="AB115" s="2893"/>
      <c r="AC115" s="2893"/>
      <c r="AD115" s="2893"/>
      <c r="AE115" s="2893"/>
      <c r="AF115" s="2893"/>
      <c r="AG115" s="2893"/>
      <c r="AO115" s="1534"/>
      <c r="AP115" s="1534"/>
      <c r="AQ115" s="1534"/>
      <c r="AR115" s="1534"/>
      <c r="AS115" s="1534"/>
      <c r="AT115" s="1534"/>
      <c r="AU115" s="1898"/>
      <c r="AV115" s="1534"/>
      <c r="AW115" s="1534"/>
      <c r="AX115" s="1534"/>
      <c r="AY115" s="1534"/>
      <c r="AZ115" s="1534"/>
      <c r="BA115" s="1534"/>
      <c r="BB115" s="1534"/>
      <c r="BC115" s="1534"/>
    </row>
    <row r="116" spans="1:55" ht="27" customHeight="1">
      <c r="A116" s="2672"/>
      <c r="B116" s="2250" t="s">
        <v>828</v>
      </c>
      <c r="C116" s="2250"/>
      <c r="D116" s="2250"/>
      <c r="E116" s="2250"/>
      <c r="F116" s="728"/>
      <c r="H116" s="564"/>
      <c r="I116" s="763"/>
      <c r="J116" s="763"/>
      <c r="K116" s="564"/>
      <c r="N116" s="564"/>
      <c r="O116" s="762"/>
      <c r="P116" s="762"/>
      <c r="Q116" s="564"/>
      <c r="R116" s="762"/>
      <c r="S116" s="762"/>
      <c r="T116" s="564"/>
      <c r="U116" s="762"/>
      <c r="V116" s="762"/>
      <c r="W116" s="753"/>
      <c r="X116" s="2893"/>
      <c r="Y116" s="2893"/>
      <c r="Z116" s="2893"/>
      <c r="AA116" s="2893"/>
      <c r="AB116" s="2893"/>
      <c r="AC116" s="2893"/>
      <c r="AD116" s="2893"/>
      <c r="AE116" s="2893"/>
      <c r="AF116" s="2893"/>
      <c r="AG116" s="2893"/>
      <c r="AO116" s="1534"/>
      <c r="AP116" s="1534"/>
      <c r="AQ116" s="1534"/>
      <c r="AR116" s="1534"/>
      <c r="AS116" s="1534"/>
      <c r="AT116" s="1534"/>
      <c r="AU116" s="1898"/>
      <c r="AV116" s="1534"/>
      <c r="AW116" s="1534"/>
      <c r="AX116" s="1534"/>
      <c r="AY116" s="1534"/>
      <c r="AZ116" s="1534"/>
      <c r="BA116" s="1534"/>
      <c r="BB116" s="1534"/>
      <c r="BC116" s="1534"/>
    </row>
    <row r="117" spans="1:55" ht="35.25" customHeight="1">
      <c r="A117" s="2673"/>
      <c r="B117" s="2250" t="s">
        <v>829</v>
      </c>
      <c r="C117" s="2250"/>
      <c r="D117" s="2250"/>
      <c r="E117" s="2250"/>
      <c r="F117" s="728"/>
      <c r="H117" s="766"/>
      <c r="I117" s="760"/>
      <c r="J117" s="760"/>
      <c r="K117" s="766"/>
      <c r="N117" s="766"/>
      <c r="O117" s="760"/>
      <c r="P117" s="760"/>
      <c r="Q117" s="766"/>
      <c r="R117" s="760"/>
      <c r="S117" s="760"/>
      <c r="T117" s="766"/>
      <c r="U117" s="760"/>
      <c r="V117" s="760"/>
      <c r="W117" s="761"/>
      <c r="X117" s="2893"/>
      <c r="Y117" s="2893"/>
      <c r="Z117" s="2893"/>
      <c r="AA117" s="2893"/>
      <c r="AB117" s="2893"/>
      <c r="AC117" s="2893"/>
      <c r="AD117" s="2893"/>
      <c r="AE117" s="2893"/>
      <c r="AF117" s="2893"/>
      <c r="AG117" s="2893"/>
      <c r="AO117" s="1534"/>
      <c r="AP117" s="1534"/>
      <c r="AQ117" s="1534"/>
      <c r="AR117" s="1534"/>
      <c r="AS117" s="1534"/>
      <c r="AT117" s="1534"/>
      <c r="AU117" s="1898"/>
      <c r="AV117" s="1534"/>
      <c r="AW117" s="1534"/>
      <c r="AX117" s="1534"/>
      <c r="AY117" s="1534"/>
      <c r="AZ117" s="1534"/>
      <c r="BA117" s="1534"/>
      <c r="BB117" s="1534"/>
      <c r="BC117" s="1534"/>
    </row>
    <row r="118" spans="1:55">
      <c r="A118" s="6"/>
      <c r="B118" s="6"/>
      <c r="C118" s="6"/>
      <c r="D118" s="6"/>
      <c r="E118" s="6"/>
      <c r="F118" s="6"/>
      <c r="G118" s="113"/>
      <c r="H118" s="116"/>
      <c r="I118" s="6"/>
      <c r="J118" s="63"/>
      <c r="K118" s="118"/>
      <c r="N118" s="60"/>
      <c r="O118" s="6"/>
      <c r="P118" s="63"/>
      <c r="Q118" s="60"/>
      <c r="S118" s="234"/>
      <c r="T118" s="65"/>
      <c r="V118" s="258"/>
      <c r="W118" s="65"/>
      <c r="X118" s="85"/>
      <c r="AO118" s="1534"/>
      <c r="AP118" s="1534"/>
      <c r="AQ118" s="1534"/>
      <c r="AR118" s="1534"/>
      <c r="AS118" s="1534"/>
      <c r="AT118" s="1534"/>
      <c r="AU118" s="1898"/>
      <c r="AV118" s="1534"/>
      <c r="AW118" s="1534"/>
      <c r="AX118" s="1534"/>
      <c r="AY118" s="1534"/>
      <c r="AZ118" s="1534"/>
      <c r="BA118" s="1534"/>
      <c r="BB118" s="1534"/>
      <c r="BC118" s="1534"/>
    </row>
    <row r="119" spans="1:55" ht="16.75">
      <c r="A119" s="600" t="s">
        <v>603</v>
      </c>
      <c r="B119" s="596"/>
      <c r="C119" s="596"/>
      <c r="D119" s="596"/>
      <c r="E119" s="596"/>
      <c r="F119" s="597"/>
      <c r="G119" s="594"/>
      <c r="H119" s="596"/>
      <c r="I119" s="597"/>
      <c r="J119" s="594"/>
      <c r="K119" s="597"/>
      <c r="N119" s="682"/>
      <c r="O119" s="594"/>
      <c r="P119" s="594"/>
      <c r="Q119" s="682"/>
      <c r="S119" s="235"/>
      <c r="T119" s="683"/>
      <c r="U119" s="594"/>
      <c r="V119" s="684"/>
      <c r="W119" s="683"/>
      <c r="X119" s="715"/>
      <c r="Y119" s="594"/>
      <c r="Z119" s="594"/>
      <c r="AA119" s="594"/>
      <c r="AB119" s="594"/>
      <c r="AC119" s="594"/>
      <c r="AD119" s="594"/>
      <c r="AE119" s="594"/>
      <c r="AF119" s="594"/>
      <c r="AG119" s="594"/>
      <c r="AO119" s="1534"/>
      <c r="AP119" s="1534"/>
      <c r="AQ119" s="1534"/>
      <c r="AR119" s="1534"/>
      <c r="AS119" s="1534"/>
      <c r="AT119" s="1534"/>
      <c r="AU119" s="1534"/>
      <c r="AV119" s="1534"/>
      <c r="AW119" s="1534"/>
      <c r="AX119" s="1534"/>
      <c r="AY119" s="1534"/>
      <c r="AZ119" s="1534"/>
      <c r="BA119" s="1534"/>
      <c r="BB119" s="1534"/>
      <c r="BC119" s="1534"/>
    </row>
    <row r="120" spans="1:55" ht="16.75">
      <c r="A120" s="600"/>
      <c r="B120" s="596"/>
      <c r="C120" s="596"/>
      <c r="D120" s="596"/>
      <c r="E120" s="596"/>
      <c r="F120" s="597"/>
      <c r="G120" s="594"/>
      <c r="H120" s="596"/>
      <c r="I120" s="597"/>
      <c r="J120" s="594"/>
      <c r="K120" s="597"/>
      <c r="N120" s="682"/>
      <c r="O120" s="594"/>
      <c r="P120" s="594"/>
      <c r="Q120" s="682"/>
      <c r="S120" s="235"/>
      <c r="T120" s="683"/>
      <c r="U120" s="594"/>
      <c r="V120" s="684"/>
      <c r="W120" s="683"/>
      <c r="X120" s="715"/>
      <c r="Y120" s="594"/>
      <c r="Z120" s="594"/>
      <c r="AA120" s="594"/>
      <c r="AB120" s="594"/>
      <c r="AC120" s="594"/>
      <c r="AD120" s="594"/>
      <c r="AE120" s="594"/>
      <c r="AF120" s="594"/>
      <c r="AG120" s="594"/>
      <c r="AO120" s="1534"/>
      <c r="AP120" s="1534"/>
      <c r="AQ120" s="1534"/>
      <c r="AR120" s="1534"/>
      <c r="AS120" s="1534"/>
      <c r="AT120" s="1534"/>
      <c r="AU120" s="1534"/>
      <c r="AV120" s="1534"/>
      <c r="AW120" s="1534"/>
      <c r="AX120" s="1534"/>
      <c r="AY120" s="1534"/>
      <c r="AZ120" s="1534"/>
      <c r="BA120" s="1534"/>
      <c r="BB120" s="1534"/>
      <c r="BC120" s="1534"/>
    </row>
    <row r="121" spans="1:55" ht="29.15">
      <c r="A121" s="1"/>
      <c r="B121" s="726" t="s">
        <v>5467</v>
      </c>
      <c r="C121" s="727"/>
      <c r="D121" s="727"/>
      <c r="E121" s="727"/>
      <c r="F121" s="728"/>
      <c r="G121" s="53"/>
      <c r="H121" s="575" t="s">
        <v>2249</v>
      </c>
      <c r="I121" s="710"/>
      <c r="J121" s="582"/>
      <c r="K121" s="575" t="s">
        <v>2249</v>
      </c>
      <c r="N121" s="575"/>
      <c r="O121" s="713"/>
      <c r="P121" s="772"/>
      <c r="Q121" s="575"/>
      <c r="R121" s="713"/>
      <c r="S121" s="773"/>
      <c r="T121" s="575"/>
      <c r="U121" s="713"/>
      <c r="V121" s="774"/>
      <c r="W121" s="575"/>
      <c r="X121" s="2893"/>
      <c r="Y121" s="2893"/>
      <c r="Z121" s="2893"/>
      <c r="AA121" s="2893"/>
      <c r="AB121" s="2893"/>
      <c r="AC121" s="2893"/>
      <c r="AD121" s="2893"/>
      <c r="AE121" s="2893"/>
      <c r="AF121" s="2893"/>
      <c r="AG121" s="2893"/>
      <c r="AO121" s="1534"/>
      <c r="AP121" s="1534"/>
      <c r="AQ121" s="1534"/>
      <c r="AR121" s="1534"/>
      <c r="AS121" s="1534"/>
      <c r="AT121" s="1534"/>
      <c r="AU121" s="1534"/>
      <c r="AV121" s="1534"/>
      <c r="AW121" s="1534"/>
      <c r="AX121" s="1534"/>
      <c r="AY121" s="1534"/>
      <c r="AZ121" s="1534"/>
      <c r="BA121" s="1534"/>
      <c r="BB121" s="1534"/>
      <c r="BC121" s="1534"/>
    </row>
    <row r="122" spans="1:55" ht="18.45">
      <c r="A122" s="6"/>
      <c r="B122" s="726" t="s">
        <v>5466</v>
      </c>
      <c r="C122" s="727"/>
      <c r="D122" s="727"/>
      <c r="E122" s="727"/>
      <c r="F122" s="728"/>
      <c r="G122" s="119">
        <v>35.047741961833388</v>
      </c>
      <c r="H122" s="576"/>
      <c r="I122" s="710"/>
      <c r="J122" s="764"/>
      <c r="K122" s="576"/>
      <c r="N122" s="576"/>
      <c r="O122" s="710"/>
      <c r="P122" s="582"/>
      <c r="Q122" s="576"/>
      <c r="R122" s="713"/>
      <c r="S122" s="773"/>
      <c r="T122" s="576"/>
      <c r="U122" s="713"/>
      <c r="V122" s="774"/>
      <c r="W122" s="576"/>
      <c r="X122" s="2893"/>
      <c r="Y122" s="2893"/>
      <c r="Z122" s="2893"/>
      <c r="AA122" s="2893"/>
      <c r="AB122" s="2893"/>
      <c r="AC122" s="2893"/>
      <c r="AD122" s="2893"/>
      <c r="AE122" s="2893"/>
      <c r="AF122" s="2893"/>
      <c r="AG122" s="2893"/>
      <c r="AO122" s="1534"/>
      <c r="AP122" s="1534"/>
      <c r="AQ122" s="1534"/>
      <c r="AR122" s="1534"/>
      <c r="AS122" s="1534"/>
      <c r="AT122" s="1534"/>
      <c r="AU122" s="1534"/>
      <c r="AV122" s="1534"/>
      <c r="AW122" s="1534"/>
      <c r="AX122" s="1534"/>
      <c r="AY122" s="1534"/>
      <c r="AZ122" s="1534"/>
      <c r="BA122" s="1534"/>
      <c r="BB122" s="1534"/>
      <c r="BC122" s="1534"/>
    </row>
    <row r="123" spans="1:55" ht="17.25" customHeight="1">
      <c r="A123" s="6"/>
      <c r="B123" s="726" t="s">
        <v>82</v>
      </c>
      <c r="C123" s="727"/>
      <c r="D123" s="727"/>
      <c r="E123" s="727"/>
      <c r="F123" s="728"/>
      <c r="G123" s="120">
        <v>5.5705963849905903E-3</v>
      </c>
      <c r="H123" s="577">
        <v>7.0000000000000001E-3</v>
      </c>
      <c r="I123" s="710"/>
      <c r="J123" s="775"/>
      <c r="K123" s="577">
        <v>2.1000000000000001E-2</v>
      </c>
      <c r="N123" s="577"/>
      <c r="O123" s="710"/>
      <c r="P123" s="582"/>
      <c r="Q123" s="577"/>
      <c r="R123" s="713"/>
      <c r="S123" s="776"/>
      <c r="T123" s="577"/>
      <c r="U123" s="713"/>
      <c r="V123" s="777"/>
      <c r="W123" s="577"/>
      <c r="X123" s="2893" t="s">
        <v>2251</v>
      </c>
      <c r="Y123" s="2893"/>
      <c r="Z123" s="2893"/>
      <c r="AA123" s="2893"/>
      <c r="AB123" s="2893"/>
      <c r="AC123" s="2893"/>
      <c r="AD123" s="2893"/>
      <c r="AE123" s="2893"/>
      <c r="AF123" s="2893"/>
      <c r="AG123" s="2893"/>
      <c r="AO123" s="1534"/>
      <c r="AP123" s="1534"/>
      <c r="AQ123" s="1534"/>
      <c r="AR123" s="1534"/>
      <c r="AS123" s="1534"/>
      <c r="AT123" s="1534"/>
      <c r="AU123" s="1534"/>
      <c r="AV123" s="1534"/>
      <c r="AW123" s="1534"/>
      <c r="AX123" s="1534"/>
      <c r="AY123" s="1534"/>
      <c r="AZ123" s="1534"/>
      <c r="BA123" s="1534"/>
      <c r="BB123" s="1534"/>
      <c r="BC123" s="1534"/>
    </row>
    <row r="124" spans="1:55"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c r="AO124" s="1534"/>
      <c r="AP124" s="1534"/>
      <c r="AQ124" s="1534"/>
      <c r="AR124" s="1534"/>
      <c r="AS124" s="1534"/>
      <c r="AT124" s="1534"/>
      <c r="AU124" s="1534"/>
      <c r="AV124" s="1534"/>
      <c r="AW124" s="1534"/>
      <c r="AX124" s="1534"/>
      <c r="AY124" s="1534"/>
      <c r="AZ124" s="1534"/>
      <c r="BA124" s="1534"/>
      <c r="BB124" s="1534"/>
      <c r="BC124" s="1534"/>
    </row>
    <row r="125" spans="1:55"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c r="AO125" s="1534"/>
      <c r="AP125" s="1534"/>
      <c r="AQ125" s="1534"/>
      <c r="AR125" s="1534"/>
      <c r="AS125" s="1534"/>
      <c r="AT125" s="1534"/>
      <c r="AU125" s="1534"/>
      <c r="AV125" s="1534"/>
      <c r="AW125" s="1534"/>
      <c r="AX125" s="1534"/>
      <c r="AY125" s="1534"/>
      <c r="AZ125" s="1534"/>
      <c r="BA125" s="1534"/>
      <c r="BB125" s="1534"/>
      <c r="BC125" s="1534"/>
    </row>
    <row r="126" spans="1:55"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c r="AO126" s="1534"/>
      <c r="AP126" s="1534"/>
      <c r="AQ126" s="1534"/>
      <c r="AR126" s="1534"/>
      <c r="AS126" s="1534"/>
      <c r="AT126" s="1534"/>
      <c r="AU126" s="1534"/>
      <c r="AV126" s="1534"/>
      <c r="AW126" s="1534"/>
      <c r="AX126" s="1534"/>
      <c r="AY126" s="1534"/>
      <c r="AZ126" s="1534"/>
      <c r="BA126" s="1534"/>
      <c r="BB126" s="1534"/>
      <c r="BC126" s="1534"/>
    </row>
    <row r="127" spans="1:55"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c r="AO127" s="1534"/>
      <c r="AP127" s="1534"/>
      <c r="AQ127" s="1534"/>
      <c r="AR127" s="1534"/>
      <c r="AS127" s="1534"/>
      <c r="AT127" s="1534"/>
      <c r="AU127" s="1534"/>
      <c r="AV127" s="1534"/>
      <c r="AW127" s="1534"/>
      <c r="AX127" s="1534"/>
      <c r="AY127" s="1534"/>
      <c r="AZ127" s="1534"/>
      <c r="BA127" s="1534"/>
      <c r="BB127" s="1534"/>
      <c r="BC127" s="1534"/>
    </row>
    <row r="128" spans="1:55">
      <c r="A128" s="6"/>
      <c r="B128" s="6"/>
      <c r="C128" s="6"/>
      <c r="D128" s="6"/>
      <c r="E128" s="6"/>
      <c r="F128" s="6"/>
      <c r="G128" s="6"/>
      <c r="H128" s="121"/>
      <c r="I128" s="6"/>
      <c r="J128" s="121"/>
      <c r="K128" s="121"/>
      <c r="L128" s="6"/>
      <c r="M128" s="666"/>
      <c r="N128" s="128"/>
      <c r="O128" s="6"/>
      <c r="P128" s="6"/>
      <c r="Q128" s="121"/>
      <c r="T128" s="121"/>
      <c r="W128" s="121"/>
      <c r="AO128" s="1534"/>
      <c r="AP128" s="1534"/>
      <c r="AQ128" s="1534"/>
      <c r="AR128" s="1534"/>
      <c r="AS128" s="1534"/>
      <c r="AT128" s="1534"/>
      <c r="AU128" s="1534"/>
      <c r="AV128" s="1534"/>
      <c r="AW128" s="1534"/>
      <c r="AX128" s="1534"/>
      <c r="AY128" s="1534"/>
      <c r="AZ128" s="1534"/>
      <c r="BA128" s="1534"/>
      <c r="BB128" s="1534"/>
      <c r="BC128" s="1534"/>
    </row>
    <row r="129" spans="1:55" ht="32.9" customHeight="1">
      <c r="A129" s="2318" t="s">
        <v>606</v>
      </c>
      <c r="B129" s="2318"/>
      <c r="C129" s="2318"/>
      <c r="D129" s="496"/>
      <c r="E129" s="496"/>
      <c r="F129" s="497"/>
      <c r="G129" s="498"/>
      <c r="H129" s="121"/>
      <c r="I129" s="6"/>
      <c r="J129" s="121"/>
      <c r="K129" s="121"/>
      <c r="L129" s="6"/>
      <c r="M129" s="666"/>
      <c r="N129" s="128"/>
      <c r="O129" s="6"/>
      <c r="P129" s="6"/>
      <c r="Q129" s="121"/>
      <c r="T129" s="121"/>
      <c r="W129" s="121"/>
      <c r="AO129" s="1534"/>
      <c r="AP129" s="1534"/>
      <c r="AQ129" s="1534"/>
      <c r="AR129" s="1534"/>
      <c r="AS129" s="1534"/>
      <c r="AT129" s="1534"/>
      <c r="AU129" s="1534"/>
      <c r="AV129" s="1534"/>
      <c r="AW129" s="1534"/>
      <c r="AX129" s="1534"/>
      <c r="AY129" s="1534"/>
      <c r="AZ129" s="1534"/>
      <c r="BA129" s="1534"/>
      <c r="BB129" s="1534"/>
      <c r="BC129" s="1534"/>
    </row>
    <row r="130" spans="1:55" ht="22" customHeight="1">
      <c r="A130" s="2905" t="s">
        <v>615</v>
      </c>
      <c r="B130" s="2905"/>
      <c r="C130" s="2905"/>
      <c r="D130" s="2905"/>
      <c r="E130" s="2905"/>
      <c r="F130" s="2905"/>
      <c r="G130" s="2905"/>
      <c r="H130" s="601"/>
      <c r="I130" s="602"/>
      <c r="J130" s="602"/>
      <c r="K130" s="601"/>
      <c r="L130" s="602"/>
      <c r="M130" s="602"/>
      <c r="N130" s="685"/>
      <c r="O130" s="594"/>
      <c r="P130" s="686"/>
      <c r="Q130" s="687"/>
      <c r="R130" s="594"/>
      <c r="S130" s="594"/>
      <c r="T130" s="594"/>
      <c r="U130" s="594"/>
      <c r="V130" s="594"/>
      <c r="W130" s="594"/>
      <c r="X130" s="2859"/>
      <c r="Y130" s="2859"/>
      <c r="Z130" s="2859"/>
      <c r="AA130" s="2859"/>
      <c r="AB130" s="2859"/>
      <c r="AC130" s="2859"/>
      <c r="AD130" s="2859"/>
      <c r="AE130" s="2859"/>
      <c r="AF130" s="2859"/>
      <c r="AG130" s="2859"/>
      <c r="AO130" s="1534"/>
      <c r="AP130" s="1534"/>
      <c r="AQ130" s="1534"/>
      <c r="AR130" s="1534"/>
      <c r="AS130" s="1534"/>
      <c r="AT130" s="1534"/>
      <c r="AU130" s="1534"/>
      <c r="AV130" s="1534"/>
      <c r="AW130" s="1534"/>
      <c r="AX130" s="1534"/>
      <c r="AY130" s="1534"/>
      <c r="AZ130" s="1534"/>
      <c r="BA130" s="1534"/>
      <c r="BB130" s="1534"/>
      <c r="BC130" s="1534"/>
    </row>
    <row r="131" spans="1:55" ht="18.649999999999999" hidden="1" customHeight="1">
      <c r="A131" s="1"/>
      <c r="B131" s="502"/>
      <c r="C131" s="50"/>
      <c r="D131" s="50"/>
      <c r="E131" s="50"/>
      <c r="G131" s="13"/>
      <c r="H131" s="60"/>
      <c r="I131" s="6"/>
      <c r="J131" s="65"/>
      <c r="K131" s="60"/>
      <c r="L131" s="6"/>
      <c r="M131" s="65"/>
      <c r="N131" s="60"/>
      <c r="P131" s="66"/>
      <c r="Q131" s="788"/>
      <c r="T131" s="788"/>
      <c r="W131" s="788"/>
      <c r="AO131" s="1534"/>
      <c r="AP131" s="1534"/>
      <c r="AQ131" s="1534"/>
      <c r="AR131" s="1534"/>
      <c r="AS131" s="1534"/>
      <c r="AT131" s="1534"/>
      <c r="AU131" s="1534"/>
      <c r="AV131" s="1534"/>
      <c r="AW131" s="1534"/>
      <c r="AX131" s="1534"/>
      <c r="AY131" s="1534"/>
      <c r="AZ131" s="1534"/>
      <c r="BA131" s="1534"/>
      <c r="BB131" s="1534"/>
      <c r="BC131" s="1534"/>
    </row>
    <row r="132" spans="1:55" ht="18.649999999999999" hidden="1" customHeight="1">
      <c r="A132" s="1"/>
      <c r="B132" s="502"/>
      <c r="C132" s="50"/>
      <c r="D132" s="50"/>
      <c r="E132" s="50"/>
      <c r="G132" s="13"/>
      <c r="H132" s="60"/>
      <c r="I132" s="6"/>
      <c r="J132" s="65"/>
      <c r="K132" s="60"/>
      <c r="L132" s="6"/>
      <c r="M132" s="65"/>
      <c r="N132" s="60"/>
      <c r="P132" s="66"/>
      <c r="Q132" s="788"/>
      <c r="T132" s="788"/>
      <c r="W132" s="788"/>
      <c r="AO132" s="1534"/>
      <c r="AP132" s="1534"/>
      <c r="AQ132" s="1534"/>
      <c r="AR132" s="1534"/>
      <c r="AS132" s="1534"/>
      <c r="AT132" s="1534"/>
      <c r="AU132" s="1534"/>
      <c r="AV132" s="1534"/>
      <c r="AW132" s="1534"/>
      <c r="AX132" s="1534"/>
      <c r="AY132" s="1534"/>
      <c r="AZ132" s="1534"/>
      <c r="BA132" s="1534"/>
      <c r="BB132" s="1534"/>
      <c r="BC132" s="1534"/>
    </row>
    <row r="133" spans="1:55" ht="14.9" customHeight="1">
      <c r="A133" s="1"/>
      <c r="B133" s="2903" t="s">
        <v>207</v>
      </c>
      <c r="C133" s="2903"/>
      <c r="D133" s="2903"/>
      <c r="E133" s="2903"/>
      <c r="G133" s="13"/>
      <c r="H133" s="792"/>
      <c r="I133" s="710"/>
      <c r="J133" s="711"/>
      <c r="K133" s="579">
        <v>3</v>
      </c>
      <c r="L133" s="710"/>
      <c r="M133" s="711"/>
      <c r="N133" s="579"/>
      <c r="O133" s="713"/>
      <c r="P133" s="714"/>
      <c r="Q133" s="579"/>
      <c r="R133" s="762"/>
      <c r="S133" s="762"/>
      <c r="T133" s="579"/>
      <c r="U133" s="762"/>
      <c r="V133" s="762"/>
      <c r="W133" s="579"/>
      <c r="X133" s="2893"/>
      <c r="Y133" s="2893"/>
      <c r="Z133" s="2893"/>
      <c r="AA133" s="2893"/>
      <c r="AB133" s="2893"/>
      <c r="AC133" s="2893"/>
      <c r="AD133" s="2893"/>
      <c r="AE133" s="2893"/>
      <c r="AF133" s="2893"/>
      <c r="AG133" s="2893"/>
      <c r="AO133" s="1534"/>
      <c r="AP133" s="1534"/>
      <c r="AQ133" s="1534"/>
      <c r="AR133" s="1534"/>
      <c r="AS133" s="1534"/>
      <c r="AT133" s="1534"/>
      <c r="AU133" s="1534"/>
      <c r="AV133" s="1534"/>
      <c r="AW133" s="1534"/>
      <c r="AX133" s="1534"/>
      <c r="AY133" s="1534"/>
      <c r="AZ133" s="1534"/>
      <c r="BA133" s="1534"/>
      <c r="BB133" s="1534"/>
      <c r="BC133" s="1534"/>
    </row>
    <row r="134" spans="1:55"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c r="AO134" s="1534"/>
      <c r="AP134" s="1534"/>
      <c r="AQ134" s="1534"/>
      <c r="AR134" s="1534"/>
      <c r="AS134" s="1534"/>
      <c r="AT134" s="1534"/>
      <c r="AU134" s="1534"/>
      <c r="AV134" s="1534"/>
      <c r="AW134" s="1534"/>
      <c r="AX134" s="1534"/>
      <c r="AY134" s="1534"/>
      <c r="AZ134" s="1534"/>
      <c r="BA134" s="1534"/>
      <c r="BB134" s="1534"/>
      <c r="BC134" s="1534"/>
    </row>
    <row r="135" spans="1:55" ht="15.75" customHeight="1">
      <c r="A135" s="252"/>
      <c r="B135" s="2903" t="s">
        <v>631</v>
      </c>
      <c r="C135" s="2903"/>
      <c r="D135" s="2903"/>
      <c r="E135" s="2903"/>
      <c r="F135" s="6"/>
      <c r="G135" s="65"/>
      <c r="H135" s="793"/>
      <c r="I135" s="710"/>
      <c r="J135" s="711"/>
      <c r="K135" s="581">
        <v>0.59</v>
      </c>
      <c r="L135" s="708"/>
      <c r="M135" s="709"/>
      <c r="N135" s="581"/>
      <c r="O135" s="710"/>
      <c r="P135" s="712"/>
      <c r="Q135" s="581"/>
      <c r="R135" s="762"/>
      <c r="S135" s="762"/>
      <c r="T135" s="581"/>
      <c r="U135" s="762"/>
      <c r="V135" s="762"/>
      <c r="W135" s="581"/>
      <c r="X135" s="2893"/>
      <c r="Y135" s="2893"/>
      <c r="Z135" s="2893"/>
      <c r="AA135" s="2893"/>
      <c r="AB135" s="2893"/>
      <c r="AC135" s="2893"/>
      <c r="AD135" s="2893"/>
      <c r="AE135" s="2893"/>
      <c r="AF135" s="2893"/>
      <c r="AG135" s="2893"/>
      <c r="AH135" s="9"/>
      <c r="AO135" s="1534"/>
      <c r="AP135" s="1534"/>
      <c r="AQ135" s="1534"/>
      <c r="AR135" s="1534"/>
      <c r="AS135" s="1534"/>
      <c r="AT135" s="1534"/>
      <c r="AU135" s="1534"/>
      <c r="AV135" s="1534"/>
      <c r="AW135" s="1534"/>
      <c r="AX135" s="1534"/>
      <c r="AY135" s="1534"/>
      <c r="AZ135" s="1534"/>
      <c r="BA135" s="1534"/>
      <c r="BB135" s="1534"/>
      <c r="BC135" s="1534"/>
    </row>
    <row r="136" spans="1:55" ht="15.75" customHeight="1">
      <c r="A136" s="252"/>
      <c r="B136" s="2903" t="s">
        <v>633</v>
      </c>
      <c r="C136" s="2903"/>
      <c r="D136" s="2903"/>
      <c r="E136" s="2903"/>
      <c r="F136" s="6"/>
      <c r="G136" s="65"/>
      <c r="H136" s="480"/>
      <c r="I136" s="710"/>
      <c r="J136" s="711"/>
      <c r="K136" s="526" t="s">
        <v>407</v>
      </c>
      <c r="L136" s="710"/>
      <c r="M136" s="711"/>
      <c r="N136" s="526"/>
      <c r="O136" s="710"/>
      <c r="P136" s="712"/>
      <c r="Q136" s="526"/>
      <c r="R136" s="762"/>
      <c r="S136" s="762"/>
      <c r="T136" s="526"/>
      <c r="U136" s="762"/>
      <c r="V136" s="762"/>
      <c r="W136" s="526"/>
      <c r="X136" s="2893"/>
      <c r="Y136" s="2893"/>
      <c r="Z136" s="2893"/>
      <c r="AA136" s="2893"/>
      <c r="AB136" s="2893"/>
      <c r="AC136" s="2893"/>
      <c r="AD136" s="2893"/>
      <c r="AE136" s="2893"/>
      <c r="AF136" s="2893"/>
      <c r="AG136" s="2893"/>
      <c r="AO136" s="1534"/>
      <c r="AP136" s="1534"/>
      <c r="AQ136" s="1534"/>
      <c r="AR136" s="1534"/>
      <c r="AS136" s="1534"/>
      <c r="AT136" s="1534"/>
      <c r="AU136" s="1899"/>
      <c r="AV136" s="1900"/>
      <c r="AW136" s="1899"/>
      <c r="AX136" s="1901"/>
      <c r="AY136" s="1534"/>
      <c r="AZ136" s="1534"/>
      <c r="BA136" s="1534"/>
      <c r="BB136" s="1534"/>
      <c r="BC136" s="1534"/>
    </row>
    <row r="137" spans="1:55" ht="15.75" customHeight="1">
      <c r="A137" s="252"/>
      <c r="B137" s="2903" t="s">
        <v>627</v>
      </c>
      <c r="C137" s="2903"/>
      <c r="D137" s="2903"/>
      <c r="E137" s="2903"/>
      <c r="F137" s="6"/>
      <c r="G137" s="65"/>
      <c r="H137" s="794"/>
      <c r="I137" s="710"/>
      <c r="J137" s="711"/>
      <c r="K137" s="561" t="s">
        <v>218</v>
      </c>
      <c r="L137" s="710"/>
      <c r="M137" s="711"/>
      <c r="N137" s="561"/>
      <c r="O137" s="710"/>
      <c r="P137" s="712"/>
      <c r="Q137" s="561"/>
      <c r="R137" s="762"/>
      <c r="S137" s="762"/>
      <c r="T137" s="561"/>
      <c r="U137" s="762"/>
      <c r="V137" s="762"/>
      <c r="W137" s="561"/>
      <c r="X137" s="2893"/>
      <c r="Y137" s="2893"/>
      <c r="Z137" s="2893"/>
      <c r="AA137" s="2893"/>
      <c r="AB137" s="2893"/>
      <c r="AC137" s="2893"/>
      <c r="AD137" s="2893"/>
      <c r="AE137" s="2893"/>
      <c r="AF137" s="2893"/>
      <c r="AG137" s="2893"/>
      <c r="AO137" s="1534"/>
      <c r="AP137" s="1534"/>
      <c r="AQ137" s="1534"/>
      <c r="AR137" s="1534"/>
      <c r="AS137" s="1534"/>
      <c r="AT137" s="1534"/>
      <c r="AU137" s="1534"/>
      <c r="AV137" s="1534"/>
      <c r="AW137" s="1534"/>
      <c r="AX137" s="1534"/>
      <c r="AY137" s="1534"/>
      <c r="AZ137" s="1534"/>
      <c r="BA137" s="1534"/>
      <c r="BB137" s="1534"/>
      <c r="BC137" s="1534"/>
    </row>
    <row r="138" spans="1:55" ht="15.75" customHeight="1">
      <c r="A138" s="252"/>
      <c r="B138" s="2904" t="s">
        <v>628</v>
      </c>
      <c r="C138" s="2904"/>
      <c r="D138" s="2904"/>
      <c r="E138" s="2904"/>
      <c r="F138" s="6"/>
      <c r="G138" s="65"/>
      <c r="H138" s="480"/>
      <c r="I138" s="710"/>
      <c r="J138" s="711"/>
      <c r="K138" s="526"/>
      <c r="L138" s="710"/>
      <c r="M138" s="711"/>
      <c r="N138" s="526"/>
      <c r="O138" s="710"/>
      <c r="P138" s="712"/>
      <c r="Q138" s="526"/>
      <c r="R138" s="762"/>
      <c r="S138" s="762"/>
      <c r="T138" s="526"/>
      <c r="U138" s="762"/>
      <c r="V138" s="762"/>
      <c r="W138" s="526"/>
      <c r="X138" s="2893"/>
      <c r="Y138" s="2893"/>
      <c r="Z138" s="2893"/>
      <c r="AA138" s="2893"/>
      <c r="AB138" s="2893"/>
      <c r="AC138" s="2893"/>
      <c r="AD138" s="2893"/>
      <c r="AE138" s="2893"/>
      <c r="AF138" s="2893"/>
      <c r="AG138" s="2893"/>
      <c r="AO138" s="1534"/>
      <c r="AP138" s="1534"/>
      <c r="AQ138" s="1534"/>
      <c r="AR138" s="1534"/>
      <c r="AS138" s="1534"/>
      <c r="AT138" s="1534"/>
      <c r="AU138" s="1534"/>
      <c r="AV138" s="1534"/>
      <c r="AW138" s="1534"/>
      <c r="AX138" s="1534"/>
      <c r="AY138" s="1534"/>
      <c r="AZ138" s="1534"/>
      <c r="BA138" s="1534"/>
      <c r="BB138" s="1534"/>
      <c r="BC138" s="1534"/>
    </row>
    <row r="139" spans="1:55" ht="32.25" customHeight="1">
      <c r="A139" s="252"/>
      <c r="B139" s="2904" t="s">
        <v>629</v>
      </c>
      <c r="C139" s="2904"/>
      <c r="D139" s="2904"/>
      <c r="E139" s="2904"/>
      <c r="F139" s="6"/>
      <c r="G139" s="65"/>
      <c r="H139" s="795"/>
      <c r="I139" s="710"/>
      <c r="J139" s="711"/>
      <c r="K139" s="568"/>
      <c r="L139" s="710"/>
      <c r="M139" s="711"/>
      <c r="N139" s="568"/>
      <c r="O139" s="710"/>
      <c r="P139" s="712"/>
      <c r="Q139" s="568"/>
      <c r="R139" s="762"/>
      <c r="S139" s="762"/>
      <c r="T139" s="568"/>
      <c r="U139" s="762"/>
      <c r="V139" s="762"/>
      <c r="W139" s="568"/>
      <c r="X139" s="2893"/>
      <c r="Y139" s="2893"/>
      <c r="Z139" s="2893"/>
      <c r="AA139" s="2893"/>
      <c r="AB139" s="2893"/>
      <c r="AC139" s="2893"/>
      <c r="AD139" s="2893"/>
      <c r="AE139" s="2893"/>
      <c r="AF139" s="2893"/>
      <c r="AG139" s="2893"/>
      <c r="AO139" s="1534"/>
      <c r="AP139" s="1534"/>
      <c r="AQ139" s="1534"/>
      <c r="AR139" s="1534"/>
      <c r="AS139" s="1534"/>
      <c r="AT139" s="1534"/>
      <c r="AU139" s="1534"/>
      <c r="AV139" s="1534"/>
      <c r="AW139" s="1534"/>
      <c r="AX139" s="1534"/>
      <c r="AY139" s="1534"/>
      <c r="AZ139" s="1534"/>
      <c r="BA139" s="1534"/>
      <c r="BB139" s="1534"/>
      <c r="BC139" s="1534"/>
    </row>
    <row r="140" spans="1:55" ht="15.75" customHeight="1">
      <c r="A140" s="252"/>
      <c r="B140" s="2903" t="s">
        <v>632</v>
      </c>
      <c r="C140" s="2903"/>
      <c r="D140" s="2903"/>
      <c r="E140" s="2903"/>
      <c r="F140" s="6"/>
      <c r="G140" s="65"/>
      <c r="H140" s="480"/>
      <c r="I140" s="710"/>
      <c r="J140" s="711"/>
      <c r="K140" s="526">
        <f>ROUND(24/$AR$90,0)</f>
        <v>104</v>
      </c>
      <c r="L140" s="710"/>
      <c r="M140" s="711"/>
      <c r="N140" s="526"/>
      <c r="O140" s="710"/>
      <c r="P140" s="712"/>
      <c r="Q140" s="526"/>
      <c r="R140" s="762"/>
      <c r="S140" s="762"/>
      <c r="T140" s="526"/>
      <c r="U140" s="762"/>
      <c r="V140" s="762"/>
      <c r="W140" s="526"/>
      <c r="X140" s="2893"/>
      <c r="Y140" s="2893"/>
      <c r="Z140" s="2893"/>
      <c r="AA140" s="2893"/>
      <c r="AB140" s="2893"/>
      <c r="AC140" s="2893"/>
      <c r="AD140" s="2893"/>
      <c r="AE140" s="2893"/>
      <c r="AF140" s="2893"/>
      <c r="AG140" s="2893"/>
      <c r="AO140" s="1534"/>
      <c r="AP140" s="1534"/>
      <c r="AQ140" s="1534"/>
      <c r="AR140" s="1534"/>
      <c r="AS140" s="1534"/>
      <c r="AT140" s="1534"/>
      <c r="AU140" s="1534"/>
      <c r="AV140" s="1534"/>
      <c r="AW140" s="1534"/>
      <c r="AX140" s="1534"/>
      <c r="AY140" s="1534"/>
      <c r="AZ140" s="1534"/>
      <c r="BA140" s="1534"/>
      <c r="BB140" s="1534"/>
      <c r="BC140" s="1534"/>
    </row>
    <row r="141" spans="1:55" ht="26.25" customHeight="1">
      <c r="A141" s="252"/>
      <c r="B141" s="2903" t="s">
        <v>1551</v>
      </c>
      <c r="C141" s="2903"/>
      <c r="D141" s="2903"/>
      <c r="E141" s="2903"/>
      <c r="F141" s="6"/>
      <c r="G141" s="65"/>
      <c r="H141" s="796"/>
      <c r="I141" s="710"/>
      <c r="J141" s="711"/>
      <c r="K141" s="619">
        <v>0.8</v>
      </c>
      <c r="L141" s="710"/>
      <c r="M141" s="711"/>
      <c r="N141" s="619"/>
      <c r="O141" s="710"/>
      <c r="P141" s="712"/>
      <c r="Q141" s="619"/>
      <c r="R141" s="762"/>
      <c r="S141" s="762"/>
      <c r="T141" s="619"/>
      <c r="U141" s="762"/>
      <c r="V141" s="762"/>
      <c r="W141" s="619"/>
      <c r="X141" s="2893" t="s">
        <v>5522</v>
      </c>
      <c r="Y141" s="2893"/>
      <c r="Z141" s="2893"/>
      <c r="AA141" s="2893"/>
      <c r="AB141" s="2893"/>
      <c r="AC141" s="2893"/>
      <c r="AD141" s="2893"/>
      <c r="AE141" s="2893"/>
      <c r="AF141" s="2893"/>
      <c r="AG141" s="2893"/>
      <c r="AH141" s="9"/>
      <c r="AO141" s="1534"/>
      <c r="AP141" s="1534"/>
      <c r="AQ141" s="1534"/>
      <c r="AR141" s="1534"/>
      <c r="AS141" s="1534"/>
      <c r="AT141" s="1534"/>
      <c r="AU141" s="1534"/>
      <c r="AV141" s="1534"/>
      <c r="AW141" s="1534"/>
      <c r="AX141" s="1534"/>
      <c r="AY141" s="1534"/>
      <c r="AZ141" s="1534"/>
      <c r="BA141" s="1534"/>
      <c r="BB141" s="1534"/>
      <c r="BC141" s="1534"/>
    </row>
    <row r="142" spans="1:55" ht="26.25" customHeight="1">
      <c r="A142" s="252"/>
      <c r="B142" s="2903" t="s">
        <v>1552</v>
      </c>
      <c r="C142" s="2903"/>
      <c r="D142" s="2903"/>
      <c r="E142" s="2903"/>
      <c r="F142" s="6"/>
      <c r="G142" s="65"/>
      <c r="H142" s="796"/>
      <c r="I142" s="710"/>
      <c r="J142" s="711"/>
      <c r="K142" s="619">
        <v>0</v>
      </c>
      <c r="L142" s="710"/>
      <c r="M142" s="711"/>
      <c r="N142" s="619"/>
      <c r="O142" s="710"/>
      <c r="P142" s="712"/>
      <c r="Q142" s="619"/>
      <c r="R142" s="762"/>
      <c r="S142" s="762"/>
      <c r="T142" s="619"/>
      <c r="U142" s="762"/>
      <c r="V142" s="762"/>
      <c r="W142" s="619"/>
      <c r="X142" s="2893"/>
      <c r="Y142" s="2893"/>
      <c r="Z142" s="2893"/>
      <c r="AA142" s="2893"/>
      <c r="AB142" s="2893"/>
      <c r="AC142" s="2893"/>
      <c r="AD142" s="2893"/>
      <c r="AE142" s="2893"/>
      <c r="AF142" s="2893"/>
      <c r="AG142" s="2893"/>
      <c r="AH142" s="9"/>
      <c r="AO142" s="1534"/>
      <c r="AP142" s="1534"/>
      <c r="AQ142" s="1534"/>
      <c r="AR142" s="1534"/>
      <c r="AS142" s="1534"/>
      <c r="AT142" s="1534"/>
      <c r="AU142" s="1534"/>
      <c r="AV142" s="1534"/>
      <c r="AW142" s="1534"/>
      <c r="AX142" s="1534"/>
      <c r="AY142" s="1534"/>
      <c r="AZ142" s="1534"/>
      <c r="BA142" s="1534"/>
      <c r="BB142" s="1534"/>
      <c r="BC142" s="1534"/>
    </row>
    <row r="143" spans="1:55" ht="32.25" customHeight="1">
      <c r="A143" s="252"/>
      <c r="B143" s="2903" t="s">
        <v>331</v>
      </c>
      <c r="C143" s="2903"/>
      <c r="D143" s="2903"/>
      <c r="E143" s="2903"/>
      <c r="F143" s="6"/>
      <c r="G143" s="65"/>
      <c r="H143" s="480"/>
      <c r="I143" s="710"/>
      <c r="J143" s="711"/>
      <c r="K143" s="526" t="s">
        <v>132</v>
      </c>
      <c r="L143" s="710"/>
      <c r="M143" s="711"/>
      <c r="N143" s="526"/>
      <c r="O143" s="710"/>
      <c r="P143" s="712"/>
      <c r="Q143" s="526"/>
      <c r="R143" s="762"/>
      <c r="S143" s="762"/>
      <c r="T143" s="526"/>
      <c r="U143" s="762"/>
      <c r="V143" s="762"/>
      <c r="W143" s="526"/>
      <c r="X143" s="2893"/>
      <c r="Y143" s="2893"/>
      <c r="Z143" s="2893"/>
      <c r="AA143" s="2893"/>
      <c r="AB143" s="2893"/>
      <c r="AC143" s="2893"/>
      <c r="AD143" s="2893"/>
      <c r="AE143" s="2893"/>
      <c r="AF143" s="2893"/>
      <c r="AG143" s="2893"/>
      <c r="AO143" s="1534"/>
      <c r="AP143" s="1534"/>
      <c r="AQ143" s="1534"/>
      <c r="AR143" s="1534"/>
      <c r="AS143" s="1534"/>
      <c r="AT143" s="1534"/>
      <c r="AU143" s="1534"/>
      <c r="AV143" s="1534"/>
      <c r="AW143" s="1534"/>
      <c r="AX143" s="1534"/>
      <c r="AY143" s="1534"/>
      <c r="AZ143" s="1534"/>
      <c r="BA143" s="1534"/>
      <c r="BB143" s="1534"/>
      <c r="BC143" s="1534"/>
    </row>
    <row r="144" spans="1:55" ht="15.75" customHeight="1">
      <c r="A144" s="252"/>
      <c r="B144" s="2904" t="s">
        <v>332</v>
      </c>
      <c r="C144" s="2904"/>
      <c r="D144" s="2904"/>
      <c r="E144" s="2904"/>
      <c r="F144" s="6"/>
      <c r="G144" s="65"/>
      <c r="H144" s="480"/>
      <c r="I144" s="748"/>
      <c r="J144" s="711"/>
      <c r="K144" s="526"/>
      <c r="L144" s="748"/>
      <c r="M144" s="711"/>
      <c r="N144" s="526"/>
      <c r="O144" s="710"/>
      <c r="P144" s="582"/>
      <c r="Q144" s="526"/>
      <c r="R144" s="762"/>
      <c r="S144" s="762"/>
      <c r="T144" s="526"/>
      <c r="U144" s="762"/>
      <c r="V144" s="762"/>
      <c r="W144" s="526"/>
      <c r="X144" s="2893"/>
      <c r="Y144" s="2893"/>
      <c r="Z144" s="2893"/>
      <c r="AA144" s="2893"/>
      <c r="AB144" s="2893"/>
      <c r="AC144" s="2893"/>
      <c r="AD144" s="2893"/>
      <c r="AE144" s="2893"/>
      <c r="AF144" s="2893"/>
      <c r="AG144" s="2893"/>
      <c r="AO144" s="1534"/>
      <c r="AP144" s="1534"/>
      <c r="AQ144" s="1534"/>
      <c r="AR144" s="1534"/>
      <c r="AS144" s="1534"/>
      <c r="AT144" s="1534"/>
      <c r="AU144" s="1534"/>
      <c r="AV144" s="1534"/>
      <c r="AW144" s="1534"/>
      <c r="AX144" s="1534"/>
      <c r="AY144" s="1534"/>
      <c r="AZ144" s="1534"/>
      <c r="BA144" s="1534"/>
      <c r="BB144" s="1534"/>
      <c r="BC144" s="1534"/>
    </row>
    <row r="145" spans="1:55" ht="15.75" customHeight="1">
      <c r="A145" s="252"/>
      <c r="B145" s="2903" t="s">
        <v>333</v>
      </c>
      <c r="C145" s="2903"/>
      <c r="D145" s="2903"/>
      <c r="E145" s="2903"/>
      <c r="F145" s="6"/>
      <c r="G145" s="63"/>
      <c r="H145" s="480"/>
      <c r="I145" s="713"/>
      <c r="J145" s="713"/>
      <c r="K145" s="526" t="s">
        <v>19</v>
      </c>
      <c r="L145" s="713"/>
      <c r="M145" s="713"/>
      <c r="N145" s="526"/>
      <c r="O145" s="713"/>
      <c r="P145" s="713"/>
      <c r="Q145" s="526"/>
      <c r="R145" s="762"/>
      <c r="S145" s="762"/>
      <c r="T145" s="526"/>
      <c r="U145" s="762"/>
      <c r="V145" s="762"/>
      <c r="W145" s="526"/>
      <c r="X145" s="2893"/>
      <c r="Y145" s="2893"/>
      <c r="Z145" s="2893"/>
      <c r="AA145" s="2893"/>
      <c r="AB145" s="2893"/>
      <c r="AC145" s="2893"/>
      <c r="AD145" s="2893"/>
      <c r="AE145" s="2893"/>
      <c r="AF145" s="2893"/>
      <c r="AG145" s="2893"/>
      <c r="AO145" s="1534"/>
      <c r="AP145" s="1534"/>
      <c r="AQ145" s="1534"/>
      <c r="AR145" s="1534"/>
      <c r="AS145" s="1534"/>
      <c r="AT145" s="1534"/>
      <c r="AU145" s="1534"/>
      <c r="AV145" s="1534"/>
      <c r="AW145" s="1534"/>
      <c r="AX145" s="1534"/>
      <c r="AY145" s="1534"/>
      <c r="AZ145" s="1534"/>
      <c r="BA145" s="1534"/>
      <c r="BB145" s="1534"/>
      <c r="BC145" s="1534"/>
    </row>
    <row r="146" spans="1:55" ht="15.75" customHeight="1">
      <c r="A146" s="252"/>
      <c r="B146" s="2903" t="s">
        <v>334</v>
      </c>
      <c r="C146" s="2903"/>
      <c r="D146" s="2903"/>
      <c r="E146" s="2903"/>
      <c r="H146" s="480"/>
      <c r="I146" s="748"/>
      <c r="J146" s="711"/>
      <c r="K146" s="526">
        <v>0</v>
      </c>
      <c r="L146" s="748"/>
      <c r="M146" s="711"/>
      <c r="N146" s="526"/>
      <c r="O146" s="710"/>
      <c r="P146" s="582"/>
      <c r="Q146" s="526"/>
      <c r="R146" s="762"/>
      <c r="S146" s="762"/>
      <c r="T146" s="526"/>
      <c r="U146" s="762"/>
      <c r="V146" s="762"/>
      <c r="W146" s="526"/>
      <c r="X146" s="2893"/>
      <c r="Y146" s="2893"/>
      <c r="Z146" s="2893"/>
      <c r="AA146" s="2893"/>
      <c r="AB146" s="2893"/>
      <c r="AC146" s="2893"/>
      <c r="AD146" s="2893"/>
      <c r="AE146" s="2893"/>
      <c r="AF146" s="2893"/>
      <c r="AG146" s="2893"/>
      <c r="AO146" s="1534"/>
      <c r="AP146" s="1534"/>
      <c r="AQ146" s="1534"/>
      <c r="AR146" s="1534"/>
      <c r="AS146" s="1534"/>
      <c r="AT146" s="1534"/>
      <c r="AU146" s="1534"/>
      <c r="AV146" s="1534"/>
      <c r="AW146" s="1534"/>
      <c r="AX146" s="1534"/>
      <c r="AY146" s="1534"/>
      <c r="AZ146" s="1534"/>
      <c r="BA146" s="1534"/>
      <c r="BB146" s="1534"/>
      <c r="BC146" s="1534"/>
    </row>
    <row r="147" spans="1:55" ht="15.75" customHeight="1">
      <c r="A147" s="252"/>
      <c r="B147" s="2904" t="s">
        <v>335</v>
      </c>
      <c r="C147" s="2904"/>
      <c r="D147" s="2904"/>
      <c r="E147" s="2904"/>
      <c r="F147" s="6"/>
      <c r="G147" s="63"/>
      <c r="H147" s="480"/>
      <c r="I147" s="748"/>
      <c r="J147" s="711"/>
      <c r="K147" s="526"/>
      <c r="L147" s="748"/>
      <c r="M147" s="711"/>
      <c r="N147" s="526"/>
      <c r="O147" s="710"/>
      <c r="P147" s="582"/>
      <c r="Q147" s="526"/>
      <c r="R147" s="762"/>
      <c r="S147" s="762"/>
      <c r="T147" s="526"/>
      <c r="U147" s="762"/>
      <c r="V147" s="762"/>
      <c r="W147" s="526"/>
      <c r="X147" s="2893"/>
      <c r="Y147" s="2893"/>
      <c r="Z147" s="2893"/>
      <c r="AA147" s="2893"/>
      <c r="AB147" s="2893"/>
      <c r="AC147" s="2893"/>
      <c r="AD147" s="2893"/>
      <c r="AE147" s="2893"/>
      <c r="AF147" s="2893"/>
      <c r="AG147" s="2893"/>
      <c r="AO147" s="1534"/>
      <c r="AP147" s="1534"/>
      <c r="AQ147" s="1534"/>
      <c r="AR147" s="1534"/>
      <c r="AS147" s="1534"/>
      <c r="AT147" s="1534"/>
      <c r="AU147" s="1534"/>
      <c r="AV147" s="1534"/>
      <c r="AW147" s="1534"/>
      <c r="AX147" s="1534"/>
      <c r="AY147" s="1534"/>
      <c r="AZ147" s="1534"/>
      <c r="BA147" s="1534"/>
      <c r="BB147" s="1534"/>
      <c r="BC147" s="1534"/>
    </row>
    <row r="148" spans="1:55" ht="15.75" customHeight="1">
      <c r="A148" s="252"/>
      <c r="B148" s="2903" t="s">
        <v>336</v>
      </c>
      <c r="C148" s="2903"/>
      <c r="D148" s="2903"/>
      <c r="E148" s="2903"/>
      <c r="F148" s="6"/>
      <c r="G148" s="63"/>
      <c r="H148" s="480"/>
      <c r="I148" s="748"/>
      <c r="J148" s="711"/>
      <c r="K148" s="526">
        <v>45</v>
      </c>
      <c r="L148" s="748"/>
      <c r="M148" s="711"/>
      <c r="N148" s="526"/>
      <c r="O148" s="710"/>
      <c r="P148" s="582"/>
      <c r="Q148" s="526"/>
      <c r="R148" s="762"/>
      <c r="S148" s="762"/>
      <c r="T148" s="526"/>
      <c r="U148" s="762"/>
      <c r="V148" s="762"/>
      <c r="W148" s="526"/>
      <c r="X148" s="2893"/>
      <c r="Y148" s="2893"/>
      <c r="Z148" s="2893"/>
      <c r="AA148" s="2893"/>
      <c r="AB148" s="2893"/>
      <c r="AC148" s="2893"/>
      <c r="AD148" s="2893"/>
      <c r="AE148" s="2893"/>
      <c r="AF148" s="2893"/>
      <c r="AG148" s="2893"/>
      <c r="AO148" s="1534"/>
      <c r="AP148" s="1534"/>
      <c r="AQ148" s="1534"/>
      <c r="AR148" s="1534"/>
      <c r="AS148" s="1534"/>
      <c r="AT148" s="1534"/>
      <c r="AU148" s="1534"/>
      <c r="AV148" s="1534"/>
      <c r="AW148" s="1534"/>
      <c r="AX148" s="1534"/>
      <c r="AY148" s="1534"/>
      <c r="AZ148" s="1534"/>
      <c r="BA148" s="1534"/>
      <c r="BB148" s="1534"/>
      <c r="BC148" s="1534"/>
    </row>
    <row r="149" spans="1:55" ht="32.25" customHeight="1">
      <c r="A149" s="252"/>
      <c r="B149" s="2903" t="s">
        <v>337</v>
      </c>
      <c r="C149" s="2903"/>
      <c r="D149" s="2903"/>
      <c r="E149" s="2903"/>
      <c r="F149" s="6"/>
      <c r="G149" s="63"/>
      <c r="H149" s="480"/>
      <c r="I149" s="748"/>
      <c r="J149" s="748"/>
      <c r="K149" s="526">
        <v>0</v>
      </c>
      <c r="L149" s="748"/>
      <c r="M149" s="748"/>
      <c r="N149" s="526"/>
      <c r="O149" s="710"/>
      <c r="P149" s="710"/>
      <c r="Q149" s="526"/>
      <c r="R149" s="762"/>
      <c r="S149" s="762"/>
      <c r="T149" s="526"/>
      <c r="U149" s="762"/>
      <c r="V149" s="762"/>
      <c r="W149" s="526"/>
      <c r="X149" s="2893"/>
      <c r="Y149" s="2893"/>
      <c r="Z149" s="2893"/>
      <c r="AA149" s="2893"/>
      <c r="AB149" s="2893"/>
      <c r="AC149" s="2893"/>
      <c r="AD149" s="2893"/>
      <c r="AE149" s="2893"/>
      <c r="AF149" s="2893"/>
      <c r="AG149" s="2893"/>
      <c r="AH149" s="9"/>
      <c r="AO149" s="1534"/>
      <c r="AP149" s="1534"/>
      <c r="AQ149" s="1534"/>
      <c r="AR149" s="1534"/>
      <c r="AS149" s="1534"/>
      <c r="AT149" s="1534"/>
      <c r="AU149" s="1534"/>
      <c r="AV149" s="1534"/>
      <c r="AW149" s="1534"/>
      <c r="AX149" s="1534"/>
      <c r="AY149" s="1534"/>
      <c r="AZ149" s="1534"/>
      <c r="BA149" s="1534"/>
      <c r="BB149" s="1534"/>
      <c r="BC149" s="1534"/>
    </row>
    <row r="150" spans="1:55" ht="32.25" customHeight="1">
      <c r="A150" s="252"/>
      <c r="B150" s="2903" t="s">
        <v>338</v>
      </c>
      <c r="C150" s="2903"/>
      <c r="D150" s="2903"/>
      <c r="E150" s="2903"/>
      <c r="F150" s="6"/>
      <c r="G150" s="63"/>
      <c r="H150" s="480"/>
      <c r="I150" s="748"/>
      <c r="J150" s="748"/>
      <c r="K150" s="526">
        <v>0</v>
      </c>
      <c r="L150" s="748"/>
      <c r="M150" s="748"/>
      <c r="N150" s="526"/>
      <c r="O150" s="710"/>
      <c r="P150" s="710"/>
      <c r="Q150" s="526"/>
      <c r="R150" s="762"/>
      <c r="S150" s="762"/>
      <c r="T150" s="526"/>
      <c r="U150" s="762"/>
      <c r="V150" s="762"/>
      <c r="W150" s="526"/>
      <c r="X150" s="2893"/>
      <c r="Y150" s="2893"/>
      <c r="Z150" s="2893"/>
      <c r="AA150" s="2893"/>
      <c r="AB150" s="2893"/>
      <c r="AC150" s="2893"/>
      <c r="AD150" s="2893"/>
      <c r="AE150" s="2893"/>
      <c r="AF150" s="2893"/>
      <c r="AG150" s="2893"/>
      <c r="AH150" s="9"/>
      <c r="AO150" s="1534"/>
      <c r="AP150" s="1534"/>
      <c r="AQ150" s="1534"/>
      <c r="AR150" s="1534"/>
      <c r="AS150" s="1534"/>
      <c r="AT150" s="1534"/>
      <c r="AU150" s="1534"/>
      <c r="AV150" s="1534"/>
      <c r="AW150" s="1534"/>
      <c r="AX150" s="1534"/>
      <c r="AY150" s="1534"/>
      <c r="AZ150" s="1534"/>
      <c r="BA150" s="1534"/>
      <c r="BB150" s="1534"/>
      <c r="BC150" s="1534"/>
    </row>
    <row r="151" spans="1:55" s="6" customFormat="1" ht="15.75" customHeight="1">
      <c r="A151" s="252"/>
      <c r="B151" s="2903" t="s">
        <v>648</v>
      </c>
      <c r="C151" s="2903"/>
      <c r="D151" s="2903"/>
      <c r="E151" s="2903"/>
      <c r="G151" s="63"/>
      <c r="H151" s="480"/>
      <c r="I151" s="748"/>
      <c r="J151" s="748"/>
      <c r="K151" s="562">
        <v>30</v>
      </c>
      <c r="L151" s="748"/>
      <c r="M151" s="748"/>
      <c r="N151" s="526"/>
      <c r="O151" s="710"/>
      <c r="P151" s="710"/>
      <c r="Q151" s="526"/>
      <c r="R151" s="748"/>
      <c r="S151" s="748"/>
      <c r="T151" s="526"/>
      <c r="U151" s="748"/>
      <c r="V151" s="748"/>
      <c r="W151" s="526"/>
      <c r="X151" s="2893"/>
      <c r="Y151" s="2893"/>
      <c r="Z151" s="2893"/>
      <c r="AA151" s="2893"/>
      <c r="AB151" s="2893"/>
      <c r="AC151" s="2893"/>
      <c r="AD151" s="2893"/>
      <c r="AE151" s="2893"/>
      <c r="AF151" s="2893"/>
      <c r="AG151" s="2893"/>
      <c r="AO151" s="1895"/>
      <c r="AP151" s="1895"/>
      <c r="AQ151" s="1895"/>
      <c r="AR151" s="1895"/>
      <c r="AS151" s="1895"/>
      <c r="AT151" s="1895"/>
      <c r="AU151" s="1895"/>
      <c r="AV151" s="1895"/>
      <c r="AW151" s="1895"/>
      <c r="AX151" s="1895"/>
      <c r="AY151" s="1895"/>
      <c r="AZ151" s="1895"/>
      <c r="BA151" s="1895"/>
      <c r="BB151" s="1895"/>
      <c r="BC151" s="1895"/>
    </row>
    <row r="152" spans="1:55" ht="15.75" customHeight="1">
      <c r="A152" s="252"/>
      <c r="B152" s="2903" t="s">
        <v>649</v>
      </c>
      <c r="C152" s="2903"/>
      <c r="D152" s="2903"/>
      <c r="E152" s="2903"/>
      <c r="F152" s="6"/>
      <c r="G152" s="63"/>
      <c r="H152" s="797"/>
      <c r="I152" s="748"/>
      <c r="J152" s="711"/>
      <c r="K152" s="562">
        <v>50</v>
      </c>
      <c r="L152" s="748"/>
      <c r="M152" s="711"/>
      <c r="N152" s="562"/>
      <c r="O152" s="710"/>
      <c r="P152" s="582"/>
      <c r="Q152" s="526"/>
      <c r="R152" s="762"/>
      <c r="S152" s="762"/>
      <c r="T152" s="562"/>
      <c r="U152" s="762"/>
      <c r="V152" s="762"/>
      <c r="W152" s="562"/>
      <c r="X152" s="2893"/>
      <c r="Y152" s="2893"/>
      <c r="Z152" s="2893"/>
      <c r="AA152" s="2893"/>
      <c r="AB152" s="2893"/>
      <c r="AC152" s="2893"/>
      <c r="AD152" s="2893"/>
      <c r="AE152" s="2893"/>
      <c r="AF152" s="2893"/>
      <c r="AG152" s="2893"/>
      <c r="AO152" s="1534"/>
      <c r="AP152" s="1534"/>
      <c r="AQ152" s="1534"/>
      <c r="AR152" s="1534"/>
      <c r="AS152" s="1534"/>
      <c r="AT152" s="1534"/>
      <c r="AU152" s="1534"/>
      <c r="AV152" s="1534"/>
      <c r="AW152" s="1534"/>
      <c r="AX152" s="1534"/>
      <c r="AY152" s="1534"/>
      <c r="AZ152" s="1534"/>
      <c r="BA152" s="1534"/>
      <c r="BB152" s="1534"/>
      <c r="BC152" s="1534"/>
    </row>
    <row r="153" spans="1:55" ht="15.75" customHeight="1">
      <c r="A153" s="237"/>
      <c r="B153" s="2903" t="s">
        <v>415</v>
      </c>
      <c r="C153" s="2903"/>
      <c r="D153" s="2903"/>
      <c r="E153" s="2903"/>
      <c r="F153" s="6"/>
      <c r="G153" s="6"/>
      <c r="H153" s="798"/>
      <c r="I153" s="748"/>
      <c r="J153" s="748"/>
      <c r="K153" s="586" t="s">
        <v>5</v>
      </c>
      <c r="L153" s="748"/>
      <c r="M153" s="748"/>
      <c r="N153" s="586"/>
      <c r="O153" s="710"/>
      <c r="P153" s="710"/>
      <c r="Q153" s="586"/>
      <c r="R153" s="762"/>
      <c r="S153" s="762"/>
      <c r="T153" s="586"/>
      <c r="U153" s="762"/>
      <c r="V153" s="762"/>
      <c r="W153" s="586"/>
      <c r="X153" s="2893"/>
      <c r="Y153" s="2893"/>
      <c r="Z153" s="2893"/>
      <c r="AA153" s="2893"/>
      <c r="AB153" s="2893"/>
      <c r="AC153" s="2893"/>
      <c r="AD153" s="2893"/>
      <c r="AE153" s="2893"/>
      <c r="AF153" s="2893"/>
      <c r="AG153" s="2893"/>
      <c r="AO153" s="1534"/>
      <c r="AP153" s="1534"/>
      <c r="AQ153" s="1534"/>
      <c r="AR153" s="1534"/>
      <c r="AS153" s="1534"/>
      <c r="AT153" s="1534"/>
      <c r="AU153" s="1534"/>
      <c r="AV153" s="1534"/>
      <c r="AW153" s="1534"/>
      <c r="AX153" s="1534"/>
      <c r="AY153" s="1534"/>
      <c r="AZ153" s="1534"/>
      <c r="BA153" s="1534"/>
      <c r="BB153" s="1534"/>
      <c r="BC153" s="1534"/>
    </row>
    <row r="154" spans="1:55"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c r="AO154" s="1534"/>
      <c r="AP154" s="1534"/>
      <c r="AQ154" s="1534"/>
      <c r="AR154" s="1534"/>
      <c r="AS154" s="1534"/>
      <c r="AT154" s="1534"/>
      <c r="AU154" s="1534"/>
      <c r="AV154" s="1534"/>
      <c r="AW154" s="1534"/>
      <c r="AX154" s="1534"/>
      <c r="AY154" s="1534"/>
      <c r="AZ154" s="1534"/>
      <c r="BA154" s="1534"/>
      <c r="BB154" s="1534"/>
      <c r="BC154" s="1534"/>
    </row>
    <row r="155" spans="1:55" ht="15.75" customHeight="1">
      <c r="A155" s="252"/>
      <c r="B155" s="2903" t="s">
        <v>631</v>
      </c>
      <c r="C155" s="2903"/>
      <c r="D155" s="2903"/>
      <c r="E155" s="2903"/>
      <c r="F155" s="6"/>
      <c r="G155" s="65"/>
      <c r="H155" s="799"/>
      <c r="I155" s="710"/>
      <c r="J155" s="711"/>
      <c r="K155" s="628">
        <v>0.16</v>
      </c>
      <c r="L155" s="708"/>
      <c r="M155" s="709"/>
      <c r="N155" s="628"/>
      <c r="O155" s="710"/>
      <c r="P155" s="712"/>
      <c r="Q155" s="628"/>
      <c r="R155" s="762"/>
      <c r="S155" s="762"/>
      <c r="T155" s="628"/>
      <c r="U155" s="762"/>
      <c r="V155" s="762"/>
      <c r="W155" s="628"/>
      <c r="X155" s="2893"/>
      <c r="Y155" s="2893"/>
      <c r="Z155" s="2893"/>
      <c r="AA155" s="2893"/>
      <c r="AB155" s="2893"/>
      <c r="AC155" s="2893"/>
      <c r="AD155" s="2893"/>
      <c r="AE155" s="2893"/>
      <c r="AF155" s="2893"/>
      <c r="AG155" s="2893"/>
      <c r="AH155" s="9"/>
      <c r="AO155" s="1534"/>
      <c r="AP155" s="1534"/>
      <c r="AQ155" s="1534"/>
      <c r="AR155" s="1534"/>
      <c r="AS155" s="1534"/>
      <c r="AT155" s="1534"/>
      <c r="AU155" s="1534"/>
      <c r="AV155" s="1534"/>
      <c r="AW155" s="1534"/>
      <c r="AX155" s="1534"/>
      <c r="AY155" s="1534"/>
      <c r="AZ155" s="1534"/>
      <c r="BA155" s="1534"/>
      <c r="BB155" s="1534"/>
      <c r="BC155" s="1534"/>
    </row>
    <row r="156" spans="1:55" ht="15.75" customHeight="1">
      <c r="A156" s="252"/>
      <c r="B156" s="2903" t="s">
        <v>633</v>
      </c>
      <c r="C156" s="2903"/>
      <c r="D156" s="2903"/>
      <c r="E156" s="2903"/>
      <c r="F156" s="6"/>
      <c r="G156" s="65"/>
      <c r="H156" s="480"/>
      <c r="I156" s="710"/>
      <c r="J156" s="711"/>
      <c r="K156" s="526" t="s">
        <v>36</v>
      </c>
      <c r="L156" s="710"/>
      <c r="M156" s="711"/>
      <c r="N156" s="526"/>
      <c r="O156" s="710"/>
      <c r="P156" s="712"/>
      <c r="Q156" s="526"/>
      <c r="R156" s="762"/>
      <c r="S156" s="762"/>
      <c r="T156" s="526"/>
      <c r="U156" s="762"/>
      <c r="V156" s="762"/>
      <c r="W156" s="526"/>
      <c r="X156" s="2893"/>
      <c r="Y156" s="2893"/>
      <c r="Z156" s="2893"/>
      <c r="AA156" s="2893"/>
      <c r="AB156" s="2893"/>
      <c r="AC156" s="2893"/>
      <c r="AD156" s="2893"/>
      <c r="AE156" s="2893"/>
      <c r="AF156" s="2893"/>
      <c r="AG156" s="2893"/>
      <c r="AO156" s="1534"/>
      <c r="AP156" s="1534"/>
      <c r="AQ156" s="1534"/>
      <c r="AR156" s="1534"/>
      <c r="AS156" s="1534"/>
      <c r="AT156" s="1534"/>
      <c r="AU156" s="1534"/>
      <c r="AV156" s="1534"/>
      <c r="AW156" s="1534"/>
      <c r="AX156" s="1534"/>
      <c r="AY156" s="1534"/>
      <c r="AZ156" s="1534"/>
      <c r="BA156" s="1534"/>
      <c r="BB156" s="1534"/>
      <c r="BC156" s="1534"/>
    </row>
    <row r="157" spans="1:55" ht="15.75" customHeight="1">
      <c r="A157" s="252"/>
      <c r="B157" s="2903" t="s">
        <v>627</v>
      </c>
      <c r="C157" s="2903"/>
      <c r="D157" s="2903"/>
      <c r="E157" s="2903"/>
      <c r="F157" s="6"/>
      <c r="G157" s="63"/>
      <c r="H157" s="794"/>
      <c r="I157" s="748"/>
      <c r="J157" s="711"/>
      <c r="K157" s="561" t="s">
        <v>218</v>
      </c>
      <c r="L157" s="748"/>
      <c r="M157" s="711"/>
      <c r="N157" s="561"/>
      <c r="O157" s="710"/>
      <c r="P157" s="582"/>
      <c r="Q157" s="561"/>
      <c r="R157" s="762"/>
      <c r="S157" s="762"/>
      <c r="T157" s="561"/>
      <c r="U157" s="762"/>
      <c r="V157" s="762"/>
      <c r="W157" s="561"/>
      <c r="X157" s="2893"/>
      <c r="Y157" s="2893"/>
      <c r="Z157" s="2893"/>
      <c r="AA157" s="2893"/>
      <c r="AB157" s="2893"/>
      <c r="AC157" s="2893"/>
      <c r="AD157" s="2893"/>
      <c r="AE157" s="2893"/>
      <c r="AF157" s="2893"/>
      <c r="AG157" s="2893"/>
      <c r="AO157" s="1534"/>
      <c r="AP157" s="1534"/>
      <c r="AQ157" s="1534"/>
      <c r="AR157" s="1534"/>
      <c r="AS157" s="1534"/>
      <c r="AT157" s="1534"/>
      <c r="AU157" s="1534"/>
      <c r="AV157" s="1534"/>
      <c r="AW157" s="1534"/>
      <c r="AX157" s="1534"/>
      <c r="AY157" s="1534"/>
      <c r="AZ157" s="1534"/>
      <c r="BA157" s="1534"/>
      <c r="BB157" s="1534"/>
      <c r="BC157" s="1534"/>
    </row>
    <row r="158" spans="1:55" ht="15.75" customHeight="1">
      <c r="A158" s="252"/>
      <c r="B158" s="2904" t="s">
        <v>628</v>
      </c>
      <c r="C158" s="2904"/>
      <c r="D158" s="2904"/>
      <c r="E158" s="2904"/>
      <c r="F158" s="6"/>
      <c r="G158" s="63"/>
      <c r="H158" s="480"/>
      <c r="I158" s="748"/>
      <c r="J158" s="711"/>
      <c r="K158" s="526"/>
      <c r="L158" s="748"/>
      <c r="M158" s="711"/>
      <c r="N158" s="526"/>
      <c r="O158" s="710"/>
      <c r="P158" s="582"/>
      <c r="Q158" s="526"/>
      <c r="R158" s="762"/>
      <c r="S158" s="762"/>
      <c r="T158" s="526"/>
      <c r="U158" s="762"/>
      <c r="V158" s="762"/>
      <c r="W158" s="526"/>
      <c r="X158" s="2893"/>
      <c r="Y158" s="2893"/>
      <c r="Z158" s="2893"/>
      <c r="AA158" s="2893"/>
      <c r="AB158" s="2893"/>
      <c r="AC158" s="2893"/>
      <c r="AD158" s="2893"/>
      <c r="AE158" s="2893"/>
      <c r="AF158" s="2893"/>
      <c r="AG158" s="2893"/>
      <c r="AO158" s="1534"/>
      <c r="AP158" s="1534"/>
      <c r="AQ158" s="1534"/>
      <c r="AR158" s="1534"/>
      <c r="AS158" s="1534"/>
      <c r="AT158" s="1534"/>
      <c r="AU158" s="1534"/>
      <c r="AV158" s="1534"/>
      <c r="AW158" s="1534"/>
      <c r="AX158" s="1534"/>
      <c r="AY158" s="1534"/>
      <c r="AZ158" s="1534"/>
      <c r="BA158" s="1534"/>
      <c r="BB158" s="1534"/>
      <c r="BC158" s="1534"/>
    </row>
    <row r="159" spans="1:55" ht="31.5" customHeight="1">
      <c r="A159" s="252"/>
      <c r="B159" s="2904" t="s">
        <v>629</v>
      </c>
      <c r="C159" s="2904"/>
      <c r="D159" s="2904"/>
      <c r="E159" s="2904"/>
      <c r="F159" s="6"/>
      <c r="G159" s="63"/>
      <c r="H159" s="795"/>
      <c r="I159" s="748"/>
      <c r="J159" s="711"/>
      <c r="K159" s="568"/>
      <c r="L159" s="748"/>
      <c r="M159" s="711"/>
      <c r="N159" s="568"/>
      <c r="O159" s="710"/>
      <c r="P159" s="582"/>
      <c r="Q159" s="568"/>
      <c r="R159" s="762"/>
      <c r="S159" s="762"/>
      <c r="T159" s="568"/>
      <c r="U159" s="762"/>
      <c r="V159" s="762"/>
      <c r="W159" s="568"/>
      <c r="X159" s="2893"/>
      <c r="Y159" s="2893"/>
      <c r="Z159" s="2893"/>
      <c r="AA159" s="2893"/>
      <c r="AB159" s="2893"/>
      <c r="AC159" s="2893"/>
      <c r="AD159" s="2893"/>
      <c r="AE159" s="2893"/>
      <c r="AF159" s="2893"/>
      <c r="AG159" s="2893"/>
      <c r="AO159" s="1534"/>
      <c r="AP159" s="1534"/>
      <c r="AQ159" s="1534"/>
      <c r="AR159" s="1534"/>
      <c r="AS159" s="1534"/>
      <c r="AT159" s="1534"/>
      <c r="AU159" s="1534"/>
      <c r="AV159" s="1534"/>
      <c r="AW159" s="1534"/>
      <c r="AX159" s="1534"/>
      <c r="AY159" s="1534"/>
      <c r="AZ159" s="1534"/>
      <c r="BA159" s="1534"/>
      <c r="BB159" s="1534"/>
      <c r="BC159" s="1534"/>
    </row>
    <row r="160" spans="1:55" ht="15.75" customHeight="1">
      <c r="A160" s="252"/>
      <c r="B160" s="2903" t="s">
        <v>632</v>
      </c>
      <c r="C160" s="2903"/>
      <c r="D160" s="2903"/>
      <c r="E160" s="2903"/>
      <c r="F160" s="6"/>
      <c r="G160" s="65"/>
      <c r="H160" s="480"/>
      <c r="I160" s="710"/>
      <c r="J160" s="711"/>
      <c r="K160" s="526">
        <f>ROUND(7/$AR$90,0)</f>
        <v>30</v>
      </c>
      <c r="L160" s="710"/>
      <c r="M160" s="711"/>
      <c r="N160" s="526"/>
      <c r="O160" s="710"/>
      <c r="P160" s="712"/>
      <c r="Q160" s="526"/>
      <c r="R160" s="762"/>
      <c r="S160" s="762"/>
      <c r="T160" s="526"/>
      <c r="U160" s="762"/>
      <c r="V160" s="762"/>
      <c r="W160" s="526"/>
      <c r="X160" s="2893"/>
      <c r="Y160" s="2893"/>
      <c r="Z160" s="2893"/>
      <c r="AA160" s="2893"/>
      <c r="AB160" s="2893"/>
      <c r="AC160" s="2893"/>
      <c r="AD160" s="2893"/>
      <c r="AE160" s="2893"/>
      <c r="AF160" s="2893"/>
      <c r="AG160" s="2893"/>
      <c r="AO160" s="1534"/>
      <c r="AP160" s="1534"/>
      <c r="AQ160" s="1534"/>
      <c r="AR160" s="1534"/>
      <c r="AS160" s="1534"/>
      <c r="AT160" s="1534"/>
      <c r="AU160" s="1534"/>
      <c r="AV160" s="1534"/>
      <c r="AW160" s="1534"/>
      <c r="AX160" s="1534"/>
      <c r="AY160" s="1534"/>
      <c r="AZ160" s="1534"/>
      <c r="BA160" s="1534"/>
      <c r="BB160" s="1534"/>
      <c r="BC160" s="1534"/>
    </row>
    <row r="161" spans="1:55" ht="29.9" customHeight="1">
      <c r="A161" s="252"/>
      <c r="B161" s="2903" t="s">
        <v>1551</v>
      </c>
      <c r="C161" s="2903"/>
      <c r="D161" s="2903"/>
      <c r="E161" s="2903"/>
      <c r="F161" s="6"/>
      <c r="G161" s="65"/>
      <c r="H161" s="796"/>
      <c r="I161" s="710"/>
      <c r="J161" s="711"/>
      <c r="K161" s="619">
        <v>0.8</v>
      </c>
      <c r="L161" s="710"/>
      <c r="M161" s="711"/>
      <c r="N161" s="619"/>
      <c r="O161" s="710"/>
      <c r="P161" s="712"/>
      <c r="Q161" s="619"/>
      <c r="R161" s="762"/>
      <c r="S161" s="762"/>
      <c r="T161" s="619"/>
      <c r="U161" s="762"/>
      <c r="V161" s="762"/>
      <c r="W161" s="619"/>
      <c r="X161" s="2893" t="s">
        <v>5522</v>
      </c>
      <c r="Y161" s="2893"/>
      <c r="Z161" s="2893"/>
      <c r="AA161" s="2893"/>
      <c r="AB161" s="2893"/>
      <c r="AC161" s="2893"/>
      <c r="AD161" s="2893"/>
      <c r="AE161" s="2893"/>
      <c r="AF161" s="2893"/>
      <c r="AG161" s="2893"/>
      <c r="AH161" s="9"/>
      <c r="AO161" s="1534"/>
      <c r="AP161" s="1534"/>
      <c r="AQ161" s="1534"/>
      <c r="AR161" s="1534"/>
      <c r="AS161" s="1534"/>
      <c r="AT161" s="1534"/>
      <c r="AU161" s="1534"/>
      <c r="AV161" s="1534"/>
      <c r="AW161" s="1534"/>
      <c r="AX161" s="1534"/>
      <c r="AY161" s="1534"/>
      <c r="AZ161" s="1534"/>
      <c r="BA161" s="1534"/>
      <c r="BB161" s="1534"/>
      <c r="BC161" s="1534"/>
    </row>
    <row r="162" spans="1:55" ht="29.9" customHeight="1">
      <c r="A162" s="252"/>
      <c r="B162" s="2903" t="s">
        <v>1552</v>
      </c>
      <c r="C162" s="2903"/>
      <c r="D162" s="2903"/>
      <c r="E162" s="2903"/>
      <c r="F162" s="6"/>
      <c r="G162" s="65"/>
      <c r="H162" s="796"/>
      <c r="I162" s="710"/>
      <c r="J162" s="711"/>
      <c r="K162" s="619">
        <v>0</v>
      </c>
      <c r="L162" s="710"/>
      <c r="M162" s="711"/>
      <c r="N162" s="619"/>
      <c r="O162" s="710"/>
      <c r="P162" s="712"/>
      <c r="Q162" s="619"/>
      <c r="R162" s="762"/>
      <c r="S162" s="762"/>
      <c r="T162" s="619"/>
      <c r="U162" s="762"/>
      <c r="V162" s="762"/>
      <c r="W162" s="619"/>
      <c r="X162" s="2893"/>
      <c r="Y162" s="2893"/>
      <c r="Z162" s="2893"/>
      <c r="AA162" s="2893"/>
      <c r="AB162" s="2893"/>
      <c r="AC162" s="2893"/>
      <c r="AD162" s="2893"/>
      <c r="AE162" s="2893"/>
      <c r="AF162" s="2893"/>
      <c r="AG162" s="2893"/>
      <c r="AH162" s="9"/>
      <c r="AO162" s="1534"/>
      <c r="AP162" s="1534"/>
      <c r="AQ162" s="1534"/>
      <c r="AR162" s="1534"/>
      <c r="AS162" s="1534"/>
      <c r="AT162" s="1534"/>
      <c r="AU162" s="1534"/>
      <c r="AV162" s="1534"/>
      <c r="AW162" s="1534"/>
      <c r="AX162" s="1534"/>
      <c r="AY162" s="1534"/>
      <c r="AZ162" s="1534"/>
      <c r="BA162" s="1534"/>
      <c r="BB162" s="1534"/>
      <c r="BC162" s="1534"/>
    </row>
    <row r="163" spans="1:55" ht="31.5" customHeight="1">
      <c r="A163" s="252"/>
      <c r="B163" s="2903" t="s">
        <v>331</v>
      </c>
      <c r="C163" s="2903"/>
      <c r="D163" s="2903"/>
      <c r="E163" s="2903"/>
      <c r="F163" s="6"/>
      <c r="G163" s="65"/>
      <c r="H163" s="480"/>
      <c r="I163" s="710"/>
      <c r="J163" s="711"/>
      <c r="K163" s="526" t="s">
        <v>132</v>
      </c>
      <c r="L163" s="710"/>
      <c r="M163" s="711"/>
      <c r="N163" s="526"/>
      <c r="O163" s="710"/>
      <c r="P163" s="712"/>
      <c r="Q163" s="526"/>
      <c r="R163" s="762"/>
      <c r="S163" s="762"/>
      <c r="T163" s="526"/>
      <c r="U163" s="762"/>
      <c r="V163" s="762"/>
      <c r="W163" s="526"/>
      <c r="X163" s="2893"/>
      <c r="Y163" s="2893"/>
      <c r="Z163" s="2893"/>
      <c r="AA163" s="2893"/>
      <c r="AB163" s="2893"/>
      <c r="AC163" s="2893"/>
      <c r="AD163" s="2893"/>
      <c r="AE163" s="2893"/>
      <c r="AF163" s="2893"/>
      <c r="AG163" s="2893"/>
      <c r="AO163" s="1534"/>
      <c r="AP163" s="1534"/>
      <c r="AQ163" s="1534"/>
      <c r="AR163" s="1534"/>
      <c r="AS163" s="1534"/>
      <c r="AT163" s="1534"/>
      <c r="AU163" s="1534"/>
      <c r="AV163" s="1534"/>
      <c r="AW163" s="1534"/>
      <c r="AX163" s="1534"/>
      <c r="AY163" s="1534"/>
      <c r="AZ163" s="1534"/>
      <c r="BA163" s="1534"/>
      <c r="BB163" s="1534"/>
      <c r="BC163" s="1534"/>
    </row>
    <row r="164" spans="1:55" ht="15.75" customHeight="1">
      <c r="A164" s="252"/>
      <c r="B164" s="2904" t="s">
        <v>332</v>
      </c>
      <c r="C164" s="2904"/>
      <c r="D164" s="2904"/>
      <c r="E164" s="2904"/>
      <c r="F164" s="6"/>
      <c r="G164" s="65"/>
      <c r="H164" s="480"/>
      <c r="I164" s="748"/>
      <c r="J164" s="711"/>
      <c r="K164" s="526"/>
      <c r="L164" s="748"/>
      <c r="M164" s="711"/>
      <c r="N164" s="526"/>
      <c r="O164" s="710"/>
      <c r="P164" s="582"/>
      <c r="Q164" s="526"/>
      <c r="R164" s="762"/>
      <c r="S164" s="762"/>
      <c r="T164" s="526"/>
      <c r="U164" s="762"/>
      <c r="V164" s="762"/>
      <c r="W164" s="526"/>
      <c r="X164" s="2893"/>
      <c r="Y164" s="2893"/>
      <c r="Z164" s="2893"/>
      <c r="AA164" s="2893"/>
      <c r="AB164" s="2893"/>
      <c r="AC164" s="2893"/>
      <c r="AD164" s="2893"/>
      <c r="AE164" s="2893"/>
      <c r="AF164" s="2893"/>
      <c r="AG164" s="2893"/>
      <c r="AO164" s="1534"/>
      <c r="AP164" s="1534"/>
      <c r="AQ164" s="1534"/>
      <c r="AR164" s="1534"/>
      <c r="AS164" s="1534"/>
      <c r="AT164" s="1534"/>
      <c r="AU164" s="1534"/>
      <c r="AV164" s="1534"/>
      <c r="AW164" s="1534"/>
      <c r="AX164" s="1534"/>
      <c r="AY164" s="1534"/>
      <c r="AZ164" s="1534"/>
      <c r="BA164" s="1534"/>
      <c r="BB164" s="1534"/>
      <c r="BC164" s="1534"/>
    </row>
    <row r="165" spans="1:55" ht="15.75" customHeight="1">
      <c r="A165" s="252"/>
      <c r="B165" s="2903" t="s">
        <v>333</v>
      </c>
      <c r="C165" s="2903"/>
      <c r="D165" s="2903"/>
      <c r="E165" s="2903"/>
      <c r="F165" s="6"/>
      <c r="G165" s="65"/>
      <c r="H165" s="480"/>
      <c r="I165" s="710"/>
      <c r="J165" s="711"/>
      <c r="K165" s="526" t="s">
        <v>22</v>
      </c>
      <c r="L165" s="710"/>
      <c r="M165" s="711"/>
      <c r="N165" s="526"/>
      <c r="O165" s="710"/>
      <c r="P165" s="712"/>
      <c r="Q165" s="526"/>
      <c r="R165" s="762"/>
      <c r="S165" s="762"/>
      <c r="T165" s="526"/>
      <c r="U165" s="762"/>
      <c r="V165" s="762"/>
      <c r="W165" s="526"/>
      <c r="X165" s="2893"/>
      <c r="Y165" s="2893"/>
      <c r="Z165" s="2893"/>
      <c r="AA165" s="2893"/>
      <c r="AB165" s="2893"/>
      <c r="AC165" s="2893"/>
      <c r="AD165" s="2893"/>
      <c r="AE165" s="2893"/>
      <c r="AF165" s="2893"/>
      <c r="AG165" s="2893"/>
      <c r="AO165" s="1534"/>
      <c r="AP165" s="1534"/>
      <c r="AQ165" s="1534"/>
      <c r="AR165" s="1534"/>
      <c r="AS165" s="1534"/>
      <c r="AT165" s="1534"/>
      <c r="AU165" s="1534"/>
      <c r="AV165" s="1534"/>
      <c r="AW165" s="1534"/>
      <c r="AX165" s="1534"/>
      <c r="AY165" s="1534"/>
      <c r="AZ165" s="1534"/>
      <c r="BA165" s="1534"/>
      <c r="BB165" s="1534"/>
      <c r="BC165" s="1534"/>
    </row>
    <row r="166" spans="1:55" ht="15.75" customHeight="1">
      <c r="A166" s="252"/>
      <c r="B166" s="2903" t="s">
        <v>334</v>
      </c>
      <c r="C166" s="2903"/>
      <c r="D166" s="2903"/>
      <c r="E166" s="2903"/>
      <c r="F166" s="6"/>
      <c r="G166" s="65"/>
      <c r="H166" s="480"/>
      <c r="I166" s="710"/>
      <c r="J166" s="711"/>
      <c r="K166" s="526">
        <v>0</v>
      </c>
      <c r="L166" s="710"/>
      <c r="M166" s="711"/>
      <c r="N166" s="526"/>
      <c r="O166" s="710"/>
      <c r="P166" s="712"/>
      <c r="Q166" s="526"/>
      <c r="R166" s="762"/>
      <c r="S166" s="762"/>
      <c r="T166" s="526"/>
      <c r="U166" s="762"/>
      <c r="V166" s="762"/>
      <c r="W166" s="526"/>
      <c r="X166" s="2893"/>
      <c r="Y166" s="2893"/>
      <c r="Z166" s="2893"/>
      <c r="AA166" s="2893"/>
      <c r="AB166" s="2893"/>
      <c r="AC166" s="2893"/>
      <c r="AD166" s="2893"/>
      <c r="AE166" s="2893"/>
      <c r="AF166" s="2893"/>
      <c r="AG166" s="2893"/>
      <c r="AO166" s="1534"/>
      <c r="AP166" s="1534"/>
      <c r="AQ166" s="1534"/>
      <c r="AR166" s="1534"/>
      <c r="AS166" s="1534"/>
      <c r="AT166" s="1534"/>
      <c r="AU166" s="1534"/>
      <c r="AV166" s="1534"/>
      <c r="AW166" s="1534"/>
      <c r="AX166" s="1534"/>
      <c r="AY166" s="1534"/>
      <c r="AZ166" s="1534"/>
      <c r="BA166" s="1534"/>
      <c r="BB166" s="1534"/>
      <c r="BC166" s="1534"/>
    </row>
    <row r="167" spans="1:55" ht="15.75" customHeight="1">
      <c r="A167" s="252"/>
      <c r="B167" s="2904" t="s">
        <v>335</v>
      </c>
      <c r="C167" s="2904"/>
      <c r="D167" s="2904"/>
      <c r="E167" s="2904"/>
      <c r="F167" s="6"/>
      <c r="G167" s="65"/>
      <c r="H167" s="480"/>
      <c r="I167" s="710"/>
      <c r="J167" s="711"/>
      <c r="K167" s="526"/>
      <c r="L167" s="710"/>
      <c r="M167" s="711"/>
      <c r="N167" s="526"/>
      <c r="O167" s="710"/>
      <c r="P167" s="712"/>
      <c r="Q167" s="526"/>
      <c r="R167" s="762"/>
      <c r="S167" s="762"/>
      <c r="T167" s="526"/>
      <c r="U167" s="762"/>
      <c r="V167" s="762"/>
      <c r="W167" s="526"/>
      <c r="X167" s="2893"/>
      <c r="Y167" s="2893"/>
      <c r="Z167" s="2893"/>
      <c r="AA167" s="2893"/>
      <c r="AB167" s="2893"/>
      <c r="AC167" s="2893"/>
      <c r="AD167" s="2893"/>
      <c r="AE167" s="2893"/>
      <c r="AF167" s="2893"/>
      <c r="AG167" s="2893"/>
      <c r="AO167" s="1534"/>
      <c r="AP167" s="1534"/>
      <c r="AQ167" s="1534"/>
      <c r="AR167" s="1534"/>
      <c r="AS167" s="1534"/>
      <c r="AT167" s="1534"/>
      <c r="AU167" s="1534"/>
      <c r="AV167" s="1534"/>
      <c r="AW167" s="1534"/>
      <c r="AX167" s="1534"/>
      <c r="AY167" s="1534"/>
      <c r="AZ167" s="1534"/>
      <c r="BA167" s="1534"/>
      <c r="BB167" s="1534"/>
      <c r="BC167" s="1534"/>
    </row>
    <row r="168" spans="1:55" ht="15.75" customHeight="1">
      <c r="A168" s="252"/>
      <c r="B168" s="2903" t="s">
        <v>336</v>
      </c>
      <c r="C168" s="2903"/>
      <c r="D168" s="2903"/>
      <c r="E168" s="2903"/>
      <c r="F168" s="6"/>
      <c r="G168" s="65"/>
      <c r="H168" s="480"/>
      <c r="I168" s="710"/>
      <c r="J168" s="711"/>
      <c r="K168" s="526">
        <v>45</v>
      </c>
      <c r="L168" s="710"/>
      <c r="M168" s="711"/>
      <c r="N168" s="526"/>
      <c r="O168" s="710"/>
      <c r="P168" s="712"/>
      <c r="Q168" s="526"/>
      <c r="R168" s="762"/>
      <c r="S168" s="762"/>
      <c r="T168" s="526"/>
      <c r="U168" s="762"/>
      <c r="V168" s="762"/>
      <c r="W168" s="526"/>
      <c r="X168" s="2893"/>
      <c r="Y168" s="2893"/>
      <c r="Z168" s="2893"/>
      <c r="AA168" s="2893"/>
      <c r="AB168" s="2893"/>
      <c r="AC168" s="2893"/>
      <c r="AD168" s="2893"/>
      <c r="AE168" s="2893"/>
      <c r="AF168" s="2893"/>
      <c r="AG168" s="2893"/>
      <c r="AO168" s="1534"/>
      <c r="AP168" s="1534"/>
      <c r="AQ168" s="1534"/>
      <c r="AR168" s="1534"/>
      <c r="AS168" s="1534"/>
      <c r="AT168" s="1534"/>
      <c r="AU168" s="1534"/>
      <c r="AV168" s="1534"/>
      <c r="AW168" s="1534"/>
      <c r="AX168" s="1534"/>
      <c r="AY168" s="1534"/>
      <c r="AZ168" s="1534"/>
      <c r="BA168" s="1534"/>
      <c r="BB168" s="1534"/>
      <c r="BC168" s="1534"/>
    </row>
    <row r="169" spans="1:55" ht="31.5" customHeight="1">
      <c r="A169" s="252"/>
      <c r="B169" s="2903" t="s">
        <v>337</v>
      </c>
      <c r="C169" s="2903"/>
      <c r="D169" s="2903"/>
      <c r="E169" s="2903"/>
      <c r="F169" s="6"/>
      <c r="G169" s="65"/>
      <c r="H169" s="480"/>
      <c r="I169" s="710"/>
      <c r="J169" s="711"/>
      <c r="K169" s="526">
        <v>0</v>
      </c>
      <c r="L169" s="710"/>
      <c r="M169" s="711"/>
      <c r="N169" s="526"/>
      <c r="O169" s="710"/>
      <c r="P169" s="712"/>
      <c r="Q169" s="526"/>
      <c r="R169" s="762"/>
      <c r="S169" s="762"/>
      <c r="T169" s="526"/>
      <c r="U169" s="762"/>
      <c r="V169" s="762"/>
      <c r="W169" s="526"/>
      <c r="X169" s="2893"/>
      <c r="Y169" s="2893"/>
      <c r="Z169" s="2893"/>
      <c r="AA169" s="2893"/>
      <c r="AB169" s="2893"/>
      <c r="AC169" s="2893"/>
      <c r="AD169" s="2893"/>
      <c r="AE169" s="2893"/>
      <c r="AF169" s="2893"/>
      <c r="AG169" s="2893"/>
      <c r="AH169" s="9"/>
      <c r="AO169" s="1534"/>
      <c r="AP169" s="1534"/>
      <c r="AQ169" s="1534"/>
      <c r="AR169" s="1534"/>
      <c r="AS169" s="1534"/>
      <c r="AT169" s="1534"/>
      <c r="AU169" s="1534"/>
      <c r="AV169" s="1534"/>
      <c r="AW169" s="1534"/>
      <c r="AX169" s="1534"/>
      <c r="AY169" s="1534"/>
      <c r="AZ169" s="1534"/>
      <c r="BA169" s="1534"/>
      <c r="BB169" s="1534"/>
      <c r="BC169" s="1534"/>
    </row>
    <row r="170" spans="1:55" ht="31.5" customHeight="1">
      <c r="A170" s="252"/>
      <c r="B170" s="2903" t="s">
        <v>338</v>
      </c>
      <c r="C170" s="2903"/>
      <c r="D170" s="2903"/>
      <c r="E170" s="2903"/>
      <c r="F170" s="6"/>
      <c r="G170" s="65"/>
      <c r="H170" s="480"/>
      <c r="I170" s="710"/>
      <c r="J170" s="711"/>
      <c r="K170" s="526">
        <v>0</v>
      </c>
      <c r="L170" s="710"/>
      <c r="M170" s="711"/>
      <c r="N170" s="526"/>
      <c r="O170" s="710"/>
      <c r="P170" s="712"/>
      <c r="Q170" s="526"/>
      <c r="R170" s="762"/>
      <c r="S170" s="762"/>
      <c r="T170" s="526"/>
      <c r="U170" s="762"/>
      <c r="V170" s="762"/>
      <c r="W170" s="526"/>
      <c r="X170" s="2893"/>
      <c r="Y170" s="2893"/>
      <c r="Z170" s="2893"/>
      <c r="AA170" s="2893"/>
      <c r="AB170" s="2893"/>
      <c r="AC170" s="2893"/>
      <c r="AD170" s="2893"/>
      <c r="AE170" s="2893"/>
      <c r="AF170" s="2893"/>
      <c r="AG170" s="2893"/>
      <c r="AH170" s="9"/>
      <c r="AO170" s="1534"/>
      <c r="AP170" s="1534"/>
      <c r="AQ170" s="1534"/>
      <c r="AR170" s="1534"/>
      <c r="AS170" s="1534"/>
      <c r="AT170" s="1534"/>
      <c r="AU170" s="1534"/>
      <c r="AV170" s="1534"/>
      <c r="AW170" s="1534"/>
      <c r="AX170" s="1534"/>
      <c r="AY170" s="1534"/>
      <c r="AZ170" s="1534"/>
      <c r="BA170" s="1534"/>
      <c r="BB170" s="1534"/>
      <c r="BC170" s="1534"/>
    </row>
    <row r="171" spans="1:55" ht="15.75" customHeight="1">
      <c r="A171" s="252"/>
      <c r="B171" s="2903" t="s">
        <v>648</v>
      </c>
      <c r="C171" s="2903"/>
      <c r="D171" s="2903"/>
      <c r="E171" s="2903"/>
      <c r="F171" s="6"/>
      <c r="G171" s="65"/>
      <c r="H171" s="480"/>
      <c r="I171" s="710"/>
      <c r="J171" s="711"/>
      <c r="K171" s="526">
        <v>30</v>
      </c>
      <c r="L171" s="710"/>
      <c r="M171" s="711"/>
      <c r="N171" s="526"/>
      <c r="O171" s="710"/>
      <c r="P171" s="712"/>
      <c r="Q171" s="526"/>
      <c r="R171" s="762"/>
      <c r="S171" s="762"/>
      <c r="T171" s="526"/>
      <c r="U171" s="762"/>
      <c r="V171" s="762"/>
      <c r="W171" s="526"/>
      <c r="X171" s="2893"/>
      <c r="Y171" s="2893"/>
      <c r="Z171" s="2893"/>
      <c r="AA171" s="2893"/>
      <c r="AB171" s="2893"/>
      <c r="AC171" s="2893"/>
      <c r="AD171" s="2893"/>
      <c r="AE171" s="2893"/>
      <c r="AF171" s="2893"/>
      <c r="AG171" s="2893"/>
      <c r="AO171" s="1534"/>
      <c r="AP171" s="1534"/>
      <c r="AQ171" s="1534"/>
      <c r="AR171" s="1534"/>
      <c r="AS171" s="1534"/>
      <c r="AT171" s="1534"/>
      <c r="AU171" s="1534"/>
      <c r="AV171" s="1534"/>
      <c r="AW171" s="1534"/>
      <c r="AX171" s="1534"/>
      <c r="AY171" s="1534"/>
      <c r="AZ171" s="1534"/>
      <c r="BA171" s="1534"/>
      <c r="BB171" s="1534"/>
      <c r="BC171" s="1534"/>
    </row>
    <row r="172" spans="1:55" ht="15.75" customHeight="1">
      <c r="A172" s="252"/>
      <c r="B172" s="2903" t="s">
        <v>649</v>
      </c>
      <c r="C172" s="2903"/>
      <c r="D172" s="2903"/>
      <c r="E172" s="2903"/>
      <c r="F172" s="6"/>
      <c r="G172" s="65"/>
      <c r="H172" s="797"/>
      <c r="I172" s="710"/>
      <c r="J172" s="711"/>
      <c r="K172" s="562">
        <v>50</v>
      </c>
      <c r="L172" s="710"/>
      <c r="M172" s="711"/>
      <c r="N172" s="562"/>
      <c r="O172" s="710"/>
      <c r="P172" s="712"/>
      <c r="Q172" s="562"/>
      <c r="R172" s="762"/>
      <c r="S172" s="762"/>
      <c r="T172" s="562"/>
      <c r="U172" s="762"/>
      <c r="V172" s="762"/>
      <c r="W172" s="562"/>
      <c r="X172" s="2893"/>
      <c r="Y172" s="2893"/>
      <c r="Z172" s="2893"/>
      <c r="AA172" s="2893"/>
      <c r="AB172" s="2893"/>
      <c r="AC172" s="2893"/>
      <c r="AD172" s="2893"/>
      <c r="AE172" s="2893"/>
      <c r="AF172" s="2893"/>
      <c r="AG172" s="2893"/>
      <c r="AO172" s="1534"/>
      <c r="AP172" s="1534"/>
      <c r="AQ172" s="1534"/>
      <c r="AR172" s="1534"/>
      <c r="AS172" s="1534"/>
      <c r="AT172" s="1534"/>
      <c r="AU172" s="1534"/>
      <c r="AV172" s="1534"/>
      <c r="AW172" s="1534"/>
      <c r="AX172" s="1534"/>
      <c r="AY172" s="1534"/>
      <c r="AZ172" s="1534"/>
      <c r="BA172" s="1534"/>
      <c r="BB172" s="1534"/>
      <c r="BC172" s="1534"/>
    </row>
    <row r="173" spans="1:55" ht="15.75" customHeight="1">
      <c r="A173" s="237"/>
      <c r="B173" s="2903" t="s">
        <v>415</v>
      </c>
      <c r="C173" s="2903"/>
      <c r="D173" s="2903"/>
      <c r="E173" s="2903"/>
      <c r="F173" s="6"/>
      <c r="G173" s="65"/>
      <c r="H173" s="798"/>
      <c r="I173" s="710"/>
      <c r="J173" s="711"/>
      <c r="K173" s="586" t="s">
        <v>5</v>
      </c>
      <c r="L173" s="710"/>
      <c r="M173" s="711"/>
      <c r="N173" s="586"/>
      <c r="O173" s="710"/>
      <c r="P173" s="712"/>
      <c r="Q173" s="586"/>
      <c r="R173" s="762"/>
      <c r="S173" s="762"/>
      <c r="T173" s="586"/>
      <c r="U173" s="762"/>
      <c r="V173" s="762"/>
      <c r="W173" s="586"/>
      <c r="X173" s="2893"/>
      <c r="Y173" s="2893"/>
      <c r="Z173" s="2893"/>
      <c r="AA173" s="2893"/>
      <c r="AB173" s="2893"/>
      <c r="AC173" s="2893"/>
      <c r="AD173" s="2893"/>
      <c r="AE173" s="2893"/>
      <c r="AF173" s="2893"/>
      <c r="AG173" s="2893"/>
      <c r="AO173" s="1534"/>
      <c r="AP173" s="1534"/>
      <c r="AQ173" s="1534"/>
      <c r="AR173" s="1534"/>
      <c r="AS173" s="1534"/>
      <c r="AT173" s="1534"/>
      <c r="AU173" s="1534"/>
      <c r="AV173" s="1534"/>
      <c r="AW173" s="1534"/>
      <c r="AX173" s="1534"/>
      <c r="AY173" s="1534"/>
      <c r="AZ173" s="1534"/>
      <c r="BA173" s="1534"/>
      <c r="BB173" s="1534"/>
      <c r="BC173" s="1534"/>
    </row>
    <row r="174" spans="1:55"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c r="AO174" s="1534"/>
      <c r="AP174" s="1534"/>
      <c r="AQ174" s="1534"/>
      <c r="AR174" s="1534"/>
      <c r="AS174" s="1534"/>
      <c r="AT174" s="1534"/>
      <c r="AU174" s="1534"/>
      <c r="AV174" s="1534"/>
      <c r="AW174" s="1534"/>
      <c r="AX174" s="1534"/>
      <c r="AY174" s="1534"/>
      <c r="AZ174" s="1534"/>
      <c r="BA174" s="1534"/>
      <c r="BB174" s="1534"/>
      <c r="BC174" s="1534"/>
    </row>
    <row r="175" spans="1:55" ht="15.75" customHeight="1">
      <c r="A175" s="252"/>
      <c r="B175" s="2903" t="s">
        <v>631</v>
      </c>
      <c r="C175" s="2903"/>
      <c r="D175" s="2903"/>
      <c r="E175" s="2903"/>
      <c r="F175" s="6"/>
      <c r="G175" s="65"/>
      <c r="H175" s="799"/>
      <c r="I175" s="710"/>
      <c r="J175" s="711"/>
      <c r="K175" s="628">
        <v>0.25</v>
      </c>
      <c r="L175" s="710"/>
      <c r="M175" s="711"/>
      <c r="N175" s="628"/>
      <c r="O175" s="710"/>
      <c r="P175" s="712"/>
      <c r="Q175" s="628"/>
      <c r="R175" s="762"/>
      <c r="S175" s="762"/>
      <c r="T175" s="628"/>
      <c r="U175" s="762"/>
      <c r="V175" s="762"/>
      <c r="W175" s="628"/>
      <c r="X175" s="2893"/>
      <c r="Y175" s="2893"/>
      <c r="Z175" s="2893"/>
      <c r="AA175" s="2893"/>
      <c r="AB175" s="2893"/>
      <c r="AC175" s="2893"/>
      <c r="AD175" s="2893"/>
      <c r="AE175" s="2893"/>
      <c r="AF175" s="2893"/>
      <c r="AG175" s="2893"/>
      <c r="AH175" s="9"/>
      <c r="AO175" s="1534"/>
      <c r="AP175" s="1534"/>
      <c r="AQ175" s="1534"/>
      <c r="AR175" s="1534"/>
      <c r="AS175" s="1534"/>
      <c r="AT175" s="1534"/>
      <c r="AU175" s="1534"/>
      <c r="AV175" s="1534"/>
      <c r="AW175" s="1534"/>
      <c r="AX175" s="1534"/>
      <c r="AY175" s="1534"/>
      <c r="AZ175" s="1534"/>
      <c r="BA175" s="1534"/>
      <c r="BB175" s="1534"/>
      <c r="BC175" s="1534"/>
    </row>
    <row r="176" spans="1:55" ht="15.75" customHeight="1">
      <c r="A176" s="252"/>
      <c r="B176" s="2903" t="s">
        <v>633</v>
      </c>
      <c r="C176" s="2903"/>
      <c r="D176" s="2903"/>
      <c r="E176" s="2903"/>
      <c r="F176" s="6"/>
      <c r="G176" s="65"/>
      <c r="H176" s="480"/>
      <c r="I176" s="710"/>
      <c r="J176" s="711"/>
      <c r="K176" s="526" t="s">
        <v>136</v>
      </c>
      <c r="L176" s="710"/>
      <c r="M176" s="711"/>
      <c r="N176" s="526"/>
      <c r="O176" s="710"/>
      <c r="P176" s="712"/>
      <c r="Q176" s="526"/>
      <c r="R176" s="762"/>
      <c r="S176" s="762"/>
      <c r="T176" s="526"/>
      <c r="U176" s="762"/>
      <c r="V176" s="762"/>
      <c r="W176" s="526"/>
      <c r="X176" s="2893"/>
      <c r="Y176" s="2893"/>
      <c r="Z176" s="2893"/>
      <c r="AA176" s="2893"/>
      <c r="AB176" s="2893"/>
      <c r="AC176" s="2893"/>
      <c r="AD176" s="2893"/>
      <c r="AE176" s="2893"/>
      <c r="AF176" s="2893"/>
      <c r="AG176" s="2893"/>
      <c r="AO176" s="1534"/>
      <c r="AP176" s="1534"/>
      <c r="AQ176" s="1534"/>
      <c r="AR176" s="1534"/>
      <c r="AS176" s="1534"/>
      <c r="AT176" s="1534"/>
      <c r="AU176" s="1534"/>
      <c r="AV176" s="1534"/>
      <c r="AW176" s="1534"/>
      <c r="AX176" s="1534"/>
      <c r="AY176" s="1534"/>
      <c r="AZ176" s="1534"/>
      <c r="BA176" s="1534"/>
      <c r="BB176" s="1534"/>
      <c r="BC176" s="1534"/>
    </row>
    <row r="177" spans="1:55" ht="15.75" customHeight="1">
      <c r="A177" s="252"/>
      <c r="B177" s="2903" t="s">
        <v>627</v>
      </c>
      <c r="C177" s="2903"/>
      <c r="D177" s="2903"/>
      <c r="E177" s="2903"/>
      <c r="F177" s="6"/>
      <c r="G177" s="63"/>
      <c r="H177" s="794"/>
      <c r="I177" s="748"/>
      <c r="J177" s="711"/>
      <c r="K177" s="561"/>
      <c r="L177" s="748"/>
      <c r="M177" s="711"/>
      <c r="N177" s="561"/>
      <c r="O177" s="710"/>
      <c r="P177" s="582"/>
      <c r="Q177" s="561"/>
      <c r="R177" s="762"/>
      <c r="S177" s="762"/>
      <c r="T177" s="561"/>
      <c r="U177" s="762"/>
      <c r="V177" s="762"/>
      <c r="W177" s="561"/>
      <c r="X177" s="2893"/>
      <c r="Y177" s="2893"/>
      <c r="Z177" s="2893"/>
      <c r="AA177" s="2893"/>
      <c r="AB177" s="2893"/>
      <c r="AC177" s="2893"/>
      <c r="AD177" s="2893"/>
      <c r="AE177" s="2893"/>
      <c r="AF177" s="2893"/>
      <c r="AG177" s="2893"/>
      <c r="AO177" s="1534"/>
      <c r="AP177" s="1534"/>
      <c r="AQ177" s="1534"/>
      <c r="AR177" s="1534"/>
      <c r="AS177" s="1534"/>
      <c r="AT177" s="1534"/>
      <c r="AU177" s="1534"/>
      <c r="AV177" s="1534"/>
      <c r="AW177" s="1534"/>
      <c r="AX177" s="1534"/>
      <c r="AY177" s="1534"/>
      <c r="AZ177" s="1534"/>
      <c r="BA177" s="1534"/>
      <c r="BB177" s="1534"/>
      <c r="BC177" s="1534"/>
    </row>
    <row r="178" spans="1:55" ht="15.75" customHeight="1">
      <c r="A178" s="252"/>
      <c r="B178" s="2904" t="s">
        <v>628</v>
      </c>
      <c r="C178" s="2904"/>
      <c r="D178" s="2904"/>
      <c r="E178" s="2904"/>
      <c r="F178" s="6"/>
      <c r="G178" s="63"/>
      <c r="H178" s="480"/>
      <c r="I178" s="748"/>
      <c r="J178" s="711"/>
      <c r="K178" s="526"/>
      <c r="L178" s="748"/>
      <c r="M178" s="711"/>
      <c r="N178" s="526"/>
      <c r="O178" s="710"/>
      <c r="P178" s="582"/>
      <c r="Q178" s="526"/>
      <c r="R178" s="762"/>
      <c r="S178" s="762"/>
      <c r="T178" s="526"/>
      <c r="U178" s="762"/>
      <c r="V178" s="762"/>
      <c r="W178" s="526"/>
      <c r="X178" s="2893"/>
      <c r="Y178" s="2893"/>
      <c r="Z178" s="2893"/>
      <c r="AA178" s="2893"/>
      <c r="AB178" s="2893"/>
      <c r="AC178" s="2893"/>
      <c r="AD178" s="2893"/>
      <c r="AE178" s="2893"/>
      <c r="AF178" s="2893"/>
      <c r="AG178" s="2893"/>
      <c r="AO178" s="1534"/>
      <c r="AP178" s="1534"/>
      <c r="AQ178" s="1534"/>
      <c r="AR178" s="1534"/>
      <c r="AS178" s="1534"/>
      <c r="AT178" s="1534"/>
      <c r="AU178" s="1534"/>
      <c r="AV178" s="1534"/>
      <c r="AW178" s="1534"/>
      <c r="AX178" s="1534"/>
      <c r="AY178" s="1534"/>
      <c r="AZ178" s="1534"/>
      <c r="BA178" s="1534"/>
      <c r="BB178" s="1534"/>
      <c r="BC178" s="1534"/>
    </row>
    <row r="179" spans="1:55" ht="33" customHeight="1">
      <c r="A179" s="252"/>
      <c r="B179" s="2904" t="s">
        <v>629</v>
      </c>
      <c r="C179" s="2904"/>
      <c r="D179" s="2904"/>
      <c r="E179" s="2904"/>
      <c r="F179" s="6"/>
      <c r="G179" s="63"/>
      <c r="H179" s="795"/>
      <c r="I179" s="748"/>
      <c r="J179" s="711"/>
      <c r="K179" s="568"/>
      <c r="L179" s="748"/>
      <c r="M179" s="711"/>
      <c r="N179" s="568"/>
      <c r="O179" s="710"/>
      <c r="P179" s="582"/>
      <c r="Q179" s="568"/>
      <c r="R179" s="762"/>
      <c r="S179" s="762"/>
      <c r="T179" s="568"/>
      <c r="U179" s="762"/>
      <c r="V179" s="762"/>
      <c r="W179" s="568"/>
      <c r="X179" s="2893"/>
      <c r="Y179" s="2893"/>
      <c r="Z179" s="2893"/>
      <c r="AA179" s="2893"/>
      <c r="AB179" s="2893"/>
      <c r="AC179" s="2893"/>
      <c r="AD179" s="2893"/>
      <c r="AE179" s="2893"/>
      <c r="AF179" s="2893"/>
      <c r="AG179" s="2893"/>
      <c r="AO179" s="1534"/>
      <c r="AP179" s="1534"/>
      <c r="AQ179" s="1534"/>
      <c r="AR179" s="1534"/>
      <c r="AS179" s="1534"/>
      <c r="AT179" s="1534"/>
      <c r="AU179" s="1534"/>
      <c r="AV179" s="1534"/>
      <c r="AW179" s="1534"/>
      <c r="AX179" s="1534"/>
      <c r="AY179" s="1534"/>
      <c r="AZ179" s="1534"/>
      <c r="BA179" s="1534"/>
      <c r="BB179" s="1534"/>
      <c r="BC179" s="1534"/>
    </row>
    <row r="180" spans="1:55" ht="15.75" customHeight="1">
      <c r="A180" s="252"/>
      <c r="B180" s="2903" t="s">
        <v>632</v>
      </c>
      <c r="C180" s="2903"/>
      <c r="D180" s="2903"/>
      <c r="E180" s="2903"/>
      <c r="F180" s="6"/>
      <c r="G180" s="65"/>
      <c r="H180" s="480"/>
      <c r="I180" s="710"/>
      <c r="J180" s="711"/>
      <c r="K180" s="526"/>
      <c r="L180" s="710"/>
      <c r="M180" s="711"/>
      <c r="N180" s="526"/>
      <c r="O180" s="710"/>
      <c r="P180" s="712"/>
      <c r="Q180" s="526"/>
      <c r="R180" s="762"/>
      <c r="S180" s="762"/>
      <c r="T180" s="526"/>
      <c r="U180" s="762"/>
      <c r="V180" s="762"/>
      <c r="W180" s="526"/>
      <c r="X180" s="2893"/>
      <c r="Y180" s="2893"/>
      <c r="Z180" s="2893"/>
      <c r="AA180" s="2893"/>
      <c r="AB180" s="2893"/>
      <c r="AC180" s="2893"/>
      <c r="AD180" s="2893"/>
      <c r="AE180" s="2893"/>
      <c r="AF180" s="2893"/>
      <c r="AG180" s="2893"/>
      <c r="AO180" s="1534"/>
      <c r="AP180" s="1534"/>
      <c r="AQ180" s="1534"/>
      <c r="AR180" s="1534"/>
      <c r="AS180" s="1534"/>
      <c r="AT180" s="1534"/>
      <c r="AU180" s="1534"/>
      <c r="AV180" s="1534"/>
      <c r="AW180" s="1534"/>
      <c r="AX180" s="1534"/>
      <c r="AY180" s="1534"/>
      <c r="AZ180" s="1534"/>
      <c r="BA180" s="1534"/>
      <c r="BB180" s="1534"/>
      <c r="BC180" s="1534"/>
    </row>
    <row r="181" spans="1:55" ht="34.5" customHeight="1">
      <c r="A181" s="252"/>
      <c r="B181" s="2903" t="s">
        <v>1551</v>
      </c>
      <c r="C181" s="2903"/>
      <c r="D181" s="2903"/>
      <c r="E181" s="2903"/>
      <c r="F181" s="6"/>
      <c r="G181" s="65"/>
      <c r="H181" s="796"/>
      <c r="I181" s="710"/>
      <c r="J181" s="711"/>
      <c r="K181" s="619">
        <v>0</v>
      </c>
      <c r="L181" s="710"/>
      <c r="M181" s="711"/>
      <c r="N181" s="619"/>
      <c r="O181" s="710"/>
      <c r="P181" s="712"/>
      <c r="Q181" s="619"/>
      <c r="R181" s="762"/>
      <c r="S181" s="762"/>
      <c r="T181" s="619"/>
      <c r="U181" s="762"/>
      <c r="V181" s="762"/>
      <c r="W181" s="619"/>
      <c r="X181" s="2893"/>
      <c r="Y181" s="2893"/>
      <c r="Z181" s="2893"/>
      <c r="AA181" s="2893"/>
      <c r="AB181" s="2893"/>
      <c r="AC181" s="2893"/>
      <c r="AD181" s="2893"/>
      <c r="AE181" s="2893"/>
      <c r="AF181" s="2893"/>
      <c r="AG181" s="2893"/>
      <c r="AO181" s="1534"/>
      <c r="AP181" s="1534"/>
      <c r="AQ181" s="1534"/>
      <c r="AR181" s="1534"/>
      <c r="AS181" s="1534"/>
      <c r="AT181" s="1534"/>
      <c r="AU181" s="1534"/>
      <c r="AV181" s="1534"/>
      <c r="AW181" s="1534"/>
      <c r="AX181" s="1534"/>
      <c r="AY181" s="1534"/>
      <c r="AZ181" s="1534"/>
      <c r="BA181" s="1534"/>
      <c r="BB181" s="1534"/>
      <c r="BC181" s="1534"/>
    </row>
    <row r="182" spans="1:55" ht="34.5" customHeight="1">
      <c r="A182" s="252"/>
      <c r="B182" s="2903" t="s">
        <v>1552</v>
      </c>
      <c r="C182" s="2903"/>
      <c r="D182" s="2903"/>
      <c r="E182" s="2903"/>
      <c r="F182" s="6"/>
      <c r="G182" s="65"/>
      <c r="H182" s="796"/>
      <c r="I182" s="710"/>
      <c r="J182" s="711"/>
      <c r="K182" s="619">
        <v>0</v>
      </c>
      <c r="L182" s="710"/>
      <c r="M182" s="711"/>
      <c r="N182" s="619"/>
      <c r="O182" s="710"/>
      <c r="P182" s="712"/>
      <c r="Q182" s="619"/>
      <c r="R182" s="762"/>
      <c r="S182" s="762"/>
      <c r="T182" s="619"/>
      <c r="U182" s="762"/>
      <c r="V182" s="762"/>
      <c r="W182" s="619"/>
      <c r="X182" s="2893"/>
      <c r="Y182" s="2893"/>
      <c r="Z182" s="2893"/>
      <c r="AA182" s="2893"/>
      <c r="AB182" s="2893"/>
      <c r="AC182" s="2893"/>
      <c r="AD182" s="2893"/>
      <c r="AE182" s="2893"/>
      <c r="AF182" s="2893"/>
      <c r="AG182" s="2893"/>
      <c r="AO182" s="1534"/>
      <c r="AP182" s="1534"/>
      <c r="AQ182" s="1534"/>
      <c r="AR182" s="1534"/>
      <c r="AS182" s="1534"/>
      <c r="AT182" s="1534"/>
      <c r="AU182" s="1534"/>
      <c r="AV182" s="1534"/>
      <c r="AW182" s="1534"/>
      <c r="AX182" s="1534"/>
      <c r="AY182" s="1534"/>
      <c r="AZ182" s="1534"/>
      <c r="BA182" s="1534"/>
      <c r="BB182" s="1534"/>
      <c r="BC182" s="1534"/>
    </row>
    <row r="183" spans="1:55" ht="33" customHeight="1">
      <c r="A183" s="252"/>
      <c r="B183" s="2903" t="s">
        <v>331</v>
      </c>
      <c r="C183" s="2903"/>
      <c r="D183" s="2903"/>
      <c r="E183" s="2903"/>
      <c r="F183" s="6"/>
      <c r="G183" s="65"/>
      <c r="H183" s="480"/>
      <c r="I183" s="710"/>
      <c r="J183" s="711"/>
      <c r="K183" s="526" t="s">
        <v>132</v>
      </c>
      <c r="L183" s="710"/>
      <c r="M183" s="711"/>
      <c r="N183" s="526"/>
      <c r="O183" s="710"/>
      <c r="P183" s="712"/>
      <c r="Q183" s="526"/>
      <c r="R183" s="762"/>
      <c r="S183" s="762"/>
      <c r="T183" s="526"/>
      <c r="U183" s="762"/>
      <c r="V183" s="762"/>
      <c r="W183" s="526"/>
      <c r="X183" s="2893"/>
      <c r="Y183" s="2893"/>
      <c r="Z183" s="2893"/>
      <c r="AA183" s="2893"/>
      <c r="AB183" s="2893"/>
      <c r="AC183" s="2893"/>
      <c r="AD183" s="2893"/>
      <c r="AE183" s="2893"/>
      <c r="AF183" s="2893"/>
      <c r="AG183" s="2893"/>
      <c r="AO183" s="1534"/>
      <c r="AP183" s="1534"/>
      <c r="AQ183" s="1534"/>
      <c r="AR183" s="1534"/>
      <c r="AS183" s="1534"/>
      <c r="AT183" s="1534"/>
      <c r="AU183" s="1534"/>
      <c r="AV183" s="1534"/>
      <c r="AW183" s="1534"/>
      <c r="AX183" s="1534"/>
      <c r="AY183" s="1534"/>
      <c r="AZ183" s="1534"/>
      <c r="BA183" s="1534"/>
      <c r="BB183" s="1534"/>
      <c r="BC183" s="1534"/>
    </row>
    <row r="184" spans="1:55" ht="15.75" customHeight="1">
      <c r="A184" s="252"/>
      <c r="B184" s="2904" t="s">
        <v>332</v>
      </c>
      <c r="C184" s="2904"/>
      <c r="D184" s="2904"/>
      <c r="E184" s="2904"/>
      <c r="F184" s="6"/>
      <c r="G184" s="65"/>
      <c r="H184" s="480"/>
      <c r="I184" s="748"/>
      <c r="J184" s="711"/>
      <c r="K184" s="526"/>
      <c r="L184" s="748"/>
      <c r="M184" s="711"/>
      <c r="N184" s="526"/>
      <c r="O184" s="710"/>
      <c r="P184" s="582"/>
      <c r="Q184" s="526"/>
      <c r="R184" s="762"/>
      <c r="S184" s="762"/>
      <c r="T184" s="526"/>
      <c r="U184" s="762"/>
      <c r="V184" s="762"/>
      <c r="W184" s="526"/>
      <c r="X184" s="2893"/>
      <c r="Y184" s="2893"/>
      <c r="Z184" s="2893"/>
      <c r="AA184" s="2893"/>
      <c r="AB184" s="2893"/>
      <c r="AC184" s="2893"/>
      <c r="AD184" s="2893"/>
      <c r="AE184" s="2893"/>
      <c r="AF184" s="2893"/>
      <c r="AG184" s="2893"/>
      <c r="AO184" s="1534"/>
      <c r="AP184" s="1534"/>
      <c r="AQ184" s="1534"/>
      <c r="AR184" s="1534"/>
      <c r="AS184" s="1534"/>
      <c r="AT184" s="1534"/>
      <c r="AU184" s="1534"/>
      <c r="AV184" s="1534"/>
      <c r="AW184" s="1534"/>
      <c r="AX184" s="1534"/>
      <c r="AY184" s="1534"/>
      <c r="AZ184" s="1534"/>
      <c r="BA184" s="1534"/>
      <c r="BB184" s="1534"/>
      <c r="BC184" s="1534"/>
    </row>
    <row r="185" spans="1:55" ht="15.75" customHeight="1">
      <c r="A185" s="252"/>
      <c r="B185" s="2903" t="s">
        <v>333</v>
      </c>
      <c r="C185" s="2903"/>
      <c r="D185" s="2903"/>
      <c r="E185" s="2903"/>
      <c r="F185" s="6"/>
      <c r="G185" s="65"/>
      <c r="H185" s="480"/>
      <c r="I185" s="710"/>
      <c r="J185" s="711"/>
      <c r="K185" s="526" t="s">
        <v>20</v>
      </c>
      <c r="L185" s="710"/>
      <c r="M185" s="711"/>
      <c r="N185" s="526"/>
      <c r="O185" s="710"/>
      <c r="P185" s="712"/>
      <c r="Q185" s="526"/>
      <c r="R185" s="762"/>
      <c r="S185" s="762"/>
      <c r="T185" s="526"/>
      <c r="U185" s="762"/>
      <c r="V185" s="762"/>
      <c r="W185" s="526"/>
      <c r="X185" s="2893"/>
      <c r="Y185" s="2893"/>
      <c r="Z185" s="2893"/>
      <c r="AA185" s="2893"/>
      <c r="AB185" s="2893"/>
      <c r="AC185" s="2893"/>
      <c r="AD185" s="2893"/>
      <c r="AE185" s="2893"/>
      <c r="AF185" s="2893"/>
      <c r="AG185" s="2893"/>
      <c r="AO185" s="1534"/>
      <c r="AP185" s="1534"/>
      <c r="AQ185" s="1534"/>
      <c r="AR185" s="1534"/>
      <c r="AS185" s="1534"/>
      <c r="AT185" s="1534"/>
      <c r="AU185" s="1534"/>
      <c r="AV185" s="1534"/>
      <c r="AW185" s="1534"/>
      <c r="AX185" s="1534"/>
      <c r="AY185" s="1534"/>
      <c r="AZ185" s="1534"/>
      <c r="BA185" s="1534"/>
      <c r="BB185" s="1534"/>
      <c r="BC185" s="1534"/>
    </row>
    <row r="186" spans="1:55" ht="15.75" customHeight="1">
      <c r="A186" s="252"/>
      <c r="B186" s="2903" t="s">
        <v>334</v>
      </c>
      <c r="C186" s="2903"/>
      <c r="D186" s="2903"/>
      <c r="E186" s="2903"/>
      <c r="F186" s="6"/>
      <c r="G186" s="65"/>
      <c r="H186" s="480"/>
      <c r="I186" s="710"/>
      <c r="J186" s="711"/>
      <c r="K186" s="526">
        <v>0</v>
      </c>
      <c r="L186" s="710"/>
      <c r="M186" s="711"/>
      <c r="N186" s="526"/>
      <c r="O186" s="710"/>
      <c r="P186" s="712"/>
      <c r="Q186" s="526"/>
      <c r="R186" s="762"/>
      <c r="S186" s="762"/>
      <c r="T186" s="526"/>
      <c r="U186" s="762"/>
      <c r="V186" s="762"/>
      <c r="W186" s="526"/>
      <c r="X186" s="2893"/>
      <c r="Y186" s="2893"/>
      <c r="Z186" s="2893"/>
      <c r="AA186" s="2893"/>
      <c r="AB186" s="2893"/>
      <c r="AC186" s="2893"/>
      <c r="AD186" s="2893"/>
      <c r="AE186" s="2893"/>
      <c r="AF186" s="2893"/>
      <c r="AG186" s="2893"/>
      <c r="AO186" s="1534"/>
      <c r="AP186" s="1534"/>
      <c r="AQ186" s="1534"/>
      <c r="AR186" s="1534"/>
      <c r="AS186" s="1534"/>
      <c r="AT186" s="1534"/>
      <c r="AU186" s="1534"/>
      <c r="AV186" s="1534"/>
      <c r="AW186" s="1534"/>
      <c r="AX186" s="1534"/>
      <c r="AY186" s="1534"/>
      <c r="AZ186" s="1534"/>
      <c r="BA186" s="1534"/>
      <c r="BB186" s="1534"/>
      <c r="BC186" s="1534"/>
    </row>
    <row r="187" spans="1:55" ht="15.75" customHeight="1">
      <c r="A187" s="252"/>
      <c r="B187" s="2904" t="s">
        <v>335</v>
      </c>
      <c r="C187" s="2904"/>
      <c r="D187" s="2904"/>
      <c r="E187" s="2904"/>
      <c r="F187" s="6"/>
      <c r="G187" s="65"/>
      <c r="H187" s="480"/>
      <c r="I187" s="710"/>
      <c r="J187" s="711"/>
      <c r="K187" s="526"/>
      <c r="L187" s="710"/>
      <c r="M187" s="711"/>
      <c r="N187" s="526"/>
      <c r="O187" s="710"/>
      <c r="P187" s="712"/>
      <c r="Q187" s="526"/>
      <c r="R187" s="762"/>
      <c r="S187" s="762"/>
      <c r="T187" s="526"/>
      <c r="U187" s="762"/>
      <c r="V187" s="762"/>
      <c r="W187" s="526"/>
      <c r="X187" s="2893"/>
      <c r="Y187" s="2893"/>
      <c r="Z187" s="2893"/>
      <c r="AA187" s="2893"/>
      <c r="AB187" s="2893"/>
      <c r="AC187" s="2893"/>
      <c r="AD187" s="2893"/>
      <c r="AE187" s="2893"/>
      <c r="AF187" s="2893"/>
      <c r="AG187" s="2893"/>
      <c r="AO187" s="1534"/>
      <c r="AP187" s="1534"/>
      <c r="AQ187" s="1534"/>
      <c r="AR187" s="1534"/>
      <c r="AS187" s="1534"/>
      <c r="AT187" s="1534"/>
      <c r="AU187" s="1534"/>
      <c r="AV187" s="1534"/>
      <c r="AW187" s="1534"/>
      <c r="AX187" s="1534"/>
      <c r="AY187" s="1534"/>
      <c r="AZ187" s="1534"/>
      <c r="BA187" s="1534"/>
      <c r="BB187" s="1534"/>
      <c r="BC187" s="1534"/>
    </row>
    <row r="188" spans="1:55" ht="15.75" customHeight="1">
      <c r="A188" s="252"/>
      <c r="B188" s="2903" t="s">
        <v>336</v>
      </c>
      <c r="C188" s="2903"/>
      <c r="D188" s="2903"/>
      <c r="E188" s="2903"/>
      <c r="F188" s="6"/>
      <c r="G188" s="65"/>
      <c r="H188" s="480"/>
      <c r="I188" s="710"/>
      <c r="J188" s="711"/>
      <c r="K188" s="526">
        <v>45</v>
      </c>
      <c r="L188" s="710"/>
      <c r="M188" s="711"/>
      <c r="N188" s="526"/>
      <c r="O188" s="710"/>
      <c r="P188" s="712"/>
      <c r="Q188" s="526"/>
      <c r="R188" s="762"/>
      <c r="S188" s="762"/>
      <c r="T188" s="526"/>
      <c r="U188" s="762"/>
      <c r="V188" s="762"/>
      <c r="W188" s="526"/>
      <c r="X188" s="2893"/>
      <c r="Y188" s="2893"/>
      <c r="Z188" s="2893"/>
      <c r="AA188" s="2893"/>
      <c r="AB188" s="2893"/>
      <c r="AC188" s="2893"/>
      <c r="AD188" s="2893"/>
      <c r="AE188" s="2893"/>
      <c r="AF188" s="2893"/>
      <c r="AG188" s="2893"/>
      <c r="AO188" s="1534"/>
      <c r="AP188" s="1534"/>
      <c r="AQ188" s="1534"/>
      <c r="AR188" s="1534"/>
      <c r="AS188" s="1534"/>
      <c r="AT188" s="1534"/>
      <c r="AU188" s="1534"/>
      <c r="AV188" s="1534"/>
      <c r="AW188" s="1534"/>
      <c r="AX188" s="1534"/>
      <c r="AY188" s="1534"/>
      <c r="AZ188" s="1534"/>
      <c r="BA188" s="1534"/>
      <c r="BB188" s="1534"/>
      <c r="BC188" s="1534"/>
    </row>
    <row r="189" spans="1:55" ht="33" customHeight="1">
      <c r="A189" s="252"/>
      <c r="B189" s="2903" t="s">
        <v>337</v>
      </c>
      <c r="C189" s="2903"/>
      <c r="D189" s="2903"/>
      <c r="E189" s="2903"/>
      <c r="F189" s="6"/>
      <c r="G189" s="65"/>
      <c r="H189" s="480"/>
      <c r="I189" s="710"/>
      <c r="J189" s="711"/>
      <c r="K189" s="526">
        <v>0</v>
      </c>
      <c r="L189" s="710"/>
      <c r="M189" s="711"/>
      <c r="N189" s="526"/>
      <c r="O189" s="710"/>
      <c r="P189" s="712"/>
      <c r="Q189" s="526"/>
      <c r="R189" s="762"/>
      <c r="S189" s="762"/>
      <c r="T189" s="526"/>
      <c r="U189" s="762"/>
      <c r="V189" s="762"/>
      <c r="W189" s="526"/>
      <c r="X189" s="2893"/>
      <c r="Y189" s="2893"/>
      <c r="Z189" s="2893"/>
      <c r="AA189" s="2893"/>
      <c r="AB189" s="2893"/>
      <c r="AC189" s="2893"/>
      <c r="AD189" s="2893"/>
      <c r="AE189" s="2893"/>
      <c r="AF189" s="2893"/>
      <c r="AG189" s="2893"/>
      <c r="AO189" s="1534"/>
      <c r="AP189" s="1534"/>
      <c r="AQ189" s="1534"/>
      <c r="AR189" s="1534"/>
      <c r="AS189" s="1534"/>
      <c r="AT189" s="1534"/>
      <c r="AU189" s="1534"/>
      <c r="AV189" s="1534"/>
      <c r="AW189" s="1534"/>
      <c r="AX189" s="1534"/>
      <c r="AY189" s="1534"/>
      <c r="AZ189" s="1534"/>
      <c r="BA189" s="1534"/>
      <c r="BB189" s="1534"/>
      <c r="BC189" s="1534"/>
    </row>
    <row r="190" spans="1:55" ht="33" customHeight="1">
      <c r="A190" s="252"/>
      <c r="B190" s="2903" t="s">
        <v>338</v>
      </c>
      <c r="C190" s="2903"/>
      <c r="D190" s="2903"/>
      <c r="E190" s="2903"/>
      <c r="F190" s="6"/>
      <c r="G190" s="65"/>
      <c r="H190" s="480"/>
      <c r="I190" s="710"/>
      <c r="J190" s="711"/>
      <c r="K190" s="526">
        <v>0</v>
      </c>
      <c r="L190" s="710"/>
      <c r="M190" s="711"/>
      <c r="N190" s="526"/>
      <c r="O190" s="710"/>
      <c r="P190" s="712"/>
      <c r="Q190" s="526"/>
      <c r="R190" s="762"/>
      <c r="S190" s="762"/>
      <c r="T190" s="526"/>
      <c r="U190" s="762"/>
      <c r="V190" s="762"/>
      <c r="W190" s="526"/>
      <c r="X190" s="2893"/>
      <c r="Y190" s="2893"/>
      <c r="Z190" s="2893"/>
      <c r="AA190" s="2893"/>
      <c r="AB190" s="2893"/>
      <c r="AC190" s="2893"/>
      <c r="AD190" s="2893"/>
      <c r="AE190" s="2893"/>
      <c r="AF190" s="2893"/>
      <c r="AG190" s="2893"/>
      <c r="AO190" s="1534"/>
      <c r="AP190" s="1534"/>
      <c r="AQ190" s="1534"/>
      <c r="AR190" s="1534"/>
      <c r="AS190" s="1534"/>
      <c r="AT190" s="1534"/>
      <c r="AU190" s="1534"/>
      <c r="AV190" s="1534"/>
      <c r="AW190" s="1534"/>
      <c r="AX190" s="1534"/>
      <c r="AY190" s="1534"/>
      <c r="AZ190" s="1534"/>
      <c r="BA190" s="1534"/>
      <c r="BB190" s="1534"/>
      <c r="BC190" s="1534"/>
    </row>
    <row r="191" spans="1:55" ht="15.75" customHeight="1">
      <c r="A191" s="252"/>
      <c r="B191" s="2903" t="s">
        <v>648</v>
      </c>
      <c r="C191" s="2903"/>
      <c r="D191" s="2903"/>
      <c r="E191" s="2903"/>
      <c r="F191" s="6"/>
      <c r="G191" s="65"/>
      <c r="H191" s="480"/>
      <c r="I191" s="710"/>
      <c r="J191" s="711"/>
      <c r="K191" s="526"/>
      <c r="L191" s="710"/>
      <c r="M191" s="711"/>
      <c r="N191" s="526"/>
      <c r="O191" s="710"/>
      <c r="P191" s="712"/>
      <c r="Q191" s="526"/>
      <c r="R191" s="762"/>
      <c r="S191" s="762"/>
      <c r="T191" s="526"/>
      <c r="U191" s="762"/>
      <c r="V191" s="762"/>
      <c r="W191" s="526"/>
      <c r="X191" s="2893"/>
      <c r="Y191" s="2893"/>
      <c r="Z191" s="2893"/>
      <c r="AA191" s="2893"/>
      <c r="AB191" s="2893"/>
      <c r="AC191" s="2893"/>
      <c r="AD191" s="2893"/>
      <c r="AE191" s="2893"/>
      <c r="AF191" s="2893"/>
      <c r="AG191" s="2893"/>
      <c r="AO191" s="1534"/>
      <c r="AP191" s="1534"/>
      <c r="AQ191" s="1534"/>
      <c r="AR191" s="1534"/>
      <c r="AS191" s="1534"/>
      <c r="AT191" s="1534"/>
      <c r="AU191" s="1534"/>
      <c r="AV191" s="1534"/>
      <c r="AW191" s="1534"/>
      <c r="AX191" s="1534"/>
      <c r="AY191" s="1534"/>
      <c r="AZ191" s="1534"/>
      <c r="BA191" s="1534"/>
      <c r="BB191" s="1534"/>
      <c r="BC191" s="1534"/>
    </row>
    <row r="192" spans="1:55" ht="15.75" customHeight="1">
      <c r="A192" s="252"/>
      <c r="B192" s="2903" t="s">
        <v>649</v>
      </c>
      <c r="C192" s="2903"/>
      <c r="D192" s="2903"/>
      <c r="E192" s="2903"/>
      <c r="F192" s="6"/>
      <c r="G192" s="65"/>
      <c r="H192" s="797"/>
      <c r="I192" s="710"/>
      <c r="J192" s="711"/>
      <c r="K192" s="562"/>
      <c r="L192" s="710"/>
      <c r="M192" s="711"/>
      <c r="N192" s="562"/>
      <c r="O192" s="710"/>
      <c r="P192" s="712"/>
      <c r="Q192" s="562"/>
      <c r="R192" s="762"/>
      <c r="S192" s="762"/>
      <c r="T192" s="562"/>
      <c r="U192" s="762"/>
      <c r="V192" s="762"/>
      <c r="W192" s="562"/>
      <c r="X192" s="2893"/>
      <c r="Y192" s="2893"/>
      <c r="Z192" s="2893"/>
      <c r="AA192" s="2893"/>
      <c r="AB192" s="2893"/>
      <c r="AC192" s="2893"/>
      <c r="AD192" s="2893"/>
      <c r="AE192" s="2893"/>
      <c r="AF192" s="2893"/>
      <c r="AG192" s="2893"/>
      <c r="AO192" s="1534"/>
      <c r="AP192" s="1534"/>
      <c r="AQ192" s="1534"/>
      <c r="AR192" s="1534"/>
      <c r="AS192" s="1534"/>
      <c r="AT192" s="1534"/>
      <c r="AU192" s="1534"/>
      <c r="AV192" s="1534"/>
      <c r="AW192" s="1534"/>
      <c r="AX192" s="1534"/>
      <c r="AY192" s="1534"/>
      <c r="AZ192" s="1534"/>
      <c r="BA192" s="1534"/>
      <c r="BB192" s="1534"/>
      <c r="BC192" s="1534"/>
    </row>
    <row r="193" spans="1:55" ht="15.75" customHeight="1">
      <c r="A193" s="237"/>
      <c r="B193" s="2903" t="s">
        <v>415</v>
      </c>
      <c r="C193" s="2903"/>
      <c r="D193" s="2903"/>
      <c r="E193" s="2903"/>
      <c r="F193" s="6"/>
      <c r="G193" s="65"/>
      <c r="H193" s="800"/>
      <c r="I193" s="741"/>
      <c r="J193" s="742"/>
      <c r="K193" s="766" t="s">
        <v>5</v>
      </c>
      <c r="L193" s="741"/>
      <c r="M193" s="742"/>
      <c r="N193" s="766"/>
      <c r="O193" s="741"/>
      <c r="P193" s="767"/>
      <c r="Q193" s="766"/>
      <c r="R193" s="768"/>
      <c r="S193" s="768"/>
      <c r="T193" s="766"/>
      <c r="U193" s="768"/>
      <c r="V193" s="768"/>
      <c r="W193" s="766"/>
      <c r="X193" s="2893"/>
      <c r="Y193" s="2893"/>
      <c r="Z193" s="2893"/>
      <c r="AA193" s="2893"/>
      <c r="AB193" s="2893"/>
      <c r="AC193" s="2893"/>
      <c r="AD193" s="2893"/>
      <c r="AE193" s="2893"/>
      <c r="AF193" s="2893"/>
      <c r="AG193" s="2893"/>
      <c r="AO193" s="1534"/>
      <c r="AP193" s="1534"/>
      <c r="AQ193" s="1534"/>
      <c r="AR193" s="1534"/>
      <c r="AS193" s="1534"/>
      <c r="AT193" s="1534"/>
      <c r="AU193" s="1534"/>
      <c r="AV193" s="1534"/>
      <c r="AW193" s="1534"/>
      <c r="AX193" s="1534"/>
      <c r="AY193" s="1534"/>
      <c r="AZ193" s="1534"/>
      <c r="BA193" s="1534"/>
      <c r="BB193" s="1534"/>
      <c r="BC193" s="1534"/>
    </row>
    <row r="194" spans="1:55"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906"/>
      <c r="Y194" s="2906"/>
      <c r="Z194" s="2906"/>
      <c r="AA194" s="2906"/>
      <c r="AB194" s="2906"/>
      <c r="AC194" s="2906"/>
      <c r="AD194" s="2906"/>
      <c r="AE194" s="2906"/>
      <c r="AF194" s="2906"/>
      <c r="AG194" s="2906"/>
      <c r="AO194" s="1534"/>
      <c r="AP194" s="1534"/>
      <c r="AQ194" s="1534"/>
      <c r="AR194" s="1534"/>
      <c r="AS194" s="1534"/>
      <c r="AT194" s="1534"/>
      <c r="AU194" s="1534"/>
      <c r="AV194" s="1534"/>
      <c r="AW194" s="1534"/>
      <c r="AX194" s="1534"/>
      <c r="AY194" s="1534"/>
      <c r="AZ194" s="1534"/>
      <c r="BA194" s="1534"/>
      <c r="BB194" s="1534"/>
      <c r="BC194" s="1534"/>
    </row>
    <row r="195" spans="1:55" ht="22.5" customHeight="1">
      <c r="A195" s="2907" t="s">
        <v>636</v>
      </c>
      <c r="B195" s="2907"/>
      <c r="C195" s="2907"/>
      <c r="D195" s="2907"/>
      <c r="E195" s="2907"/>
      <c r="F195" s="2907"/>
      <c r="G195" s="2907"/>
      <c r="H195" s="693"/>
      <c r="I195" s="597"/>
      <c r="J195" s="594"/>
      <c r="K195" s="693"/>
      <c r="L195" s="2908"/>
      <c r="M195" s="2908"/>
      <c r="N195" s="669"/>
      <c r="O195" s="594"/>
      <c r="P195" s="670"/>
      <c r="Q195" s="671"/>
      <c r="R195" s="682"/>
      <c r="S195" s="682"/>
      <c r="T195" s="682"/>
      <c r="U195" s="682"/>
      <c r="V195" s="682"/>
      <c r="W195" s="682"/>
      <c r="X195" s="2909"/>
      <c r="Y195" s="2909"/>
      <c r="Z195" s="2909"/>
      <c r="AA195" s="2909"/>
      <c r="AB195" s="2909"/>
      <c r="AC195" s="2909"/>
      <c r="AD195" s="2909"/>
      <c r="AE195" s="2909"/>
      <c r="AF195" s="2909"/>
      <c r="AG195" s="2909"/>
      <c r="AO195" s="1534"/>
      <c r="AP195" s="1534"/>
      <c r="AQ195" s="1534"/>
      <c r="AR195" s="1534"/>
      <c r="AS195" s="1534"/>
      <c r="AT195" s="1534"/>
      <c r="AU195" s="1534"/>
      <c r="AV195" s="1534"/>
      <c r="AW195" s="1534"/>
      <c r="AX195" s="1534"/>
      <c r="AY195" s="1534"/>
      <c r="AZ195" s="1534"/>
      <c r="BA195" s="1534"/>
      <c r="BB195" s="1534"/>
      <c r="BC195" s="1534"/>
    </row>
    <row r="196" spans="1:55"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910"/>
      <c r="Y196" s="2910"/>
      <c r="Z196" s="2910"/>
      <c r="AA196" s="2910"/>
      <c r="AB196" s="2910"/>
      <c r="AC196" s="2910"/>
      <c r="AD196" s="2910"/>
      <c r="AE196" s="2910"/>
      <c r="AF196" s="2910"/>
      <c r="AG196" s="2910"/>
      <c r="AO196" s="1534"/>
      <c r="AP196" s="1534"/>
      <c r="AQ196" s="1534"/>
      <c r="AR196" s="1534"/>
      <c r="AS196" s="1534"/>
      <c r="AT196" s="1534"/>
      <c r="AU196" s="1534"/>
      <c r="AV196" s="1534"/>
      <c r="AW196" s="1534"/>
      <c r="AX196" s="1534"/>
      <c r="AY196" s="1534"/>
      <c r="AZ196" s="1534"/>
      <c r="BA196" s="1534"/>
      <c r="BB196" s="1534"/>
      <c r="BC196" s="1534"/>
    </row>
    <row r="197" spans="1:55" ht="31.5" customHeight="1">
      <c r="A197" s="252"/>
      <c r="B197" s="2903" t="s">
        <v>242</v>
      </c>
      <c r="C197" s="2903"/>
      <c r="D197" s="2903"/>
      <c r="E197" s="2903"/>
      <c r="F197" s="6"/>
      <c r="G197" s="65"/>
      <c r="H197" s="801"/>
      <c r="I197" s="710"/>
      <c r="J197" s="711"/>
      <c r="K197" s="588"/>
      <c r="L197" s="710"/>
      <c r="M197" s="711"/>
      <c r="N197" s="588"/>
      <c r="O197" s="710"/>
      <c r="P197" s="712"/>
      <c r="Q197" s="588"/>
      <c r="R197" s="762"/>
      <c r="S197" s="762"/>
      <c r="T197" s="588"/>
      <c r="U197" s="762"/>
      <c r="V197" s="762"/>
      <c r="W197" s="588"/>
      <c r="X197" s="2893"/>
      <c r="Y197" s="2893"/>
      <c r="Z197" s="2893"/>
      <c r="AA197" s="2893"/>
      <c r="AB197" s="2893"/>
      <c r="AC197" s="2893"/>
      <c r="AD197" s="2893"/>
      <c r="AE197" s="2893"/>
      <c r="AF197" s="2893"/>
      <c r="AG197" s="2893"/>
      <c r="AO197" s="1534"/>
      <c r="AP197" s="1534"/>
      <c r="AQ197" s="1534"/>
      <c r="AR197" s="1534"/>
      <c r="AS197" s="1534"/>
      <c r="AT197" s="1534"/>
      <c r="AU197" s="1534"/>
      <c r="AV197" s="1534"/>
      <c r="AW197" s="1534"/>
      <c r="AX197" s="1534"/>
      <c r="AY197" s="1534"/>
      <c r="AZ197" s="1534"/>
      <c r="BA197" s="1534"/>
      <c r="BB197" s="1534"/>
      <c r="BC197" s="1534"/>
    </row>
    <row r="198" spans="1:55"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911"/>
      <c r="Y198" s="2911"/>
      <c r="Z198" s="2911"/>
      <c r="AA198" s="2911"/>
      <c r="AB198" s="2911"/>
      <c r="AC198" s="2911"/>
      <c r="AD198" s="2911"/>
      <c r="AE198" s="2911"/>
      <c r="AF198" s="2911"/>
      <c r="AG198" s="2911"/>
      <c r="AO198" s="1534"/>
      <c r="AP198" s="1534"/>
      <c r="AQ198" s="1534"/>
      <c r="AR198" s="1534"/>
      <c r="AS198" s="1534"/>
      <c r="AT198" s="1534"/>
      <c r="AU198" s="1534"/>
      <c r="AV198" s="1534"/>
      <c r="AW198" s="1534"/>
      <c r="AX198" s="1534"/>
      <c r="AY198" s="1534"/>
      <c r="AZ198" s="1534"/>
      <c r="BA198" s="1534"/>
      <c r="BB198" s="1534"/>
      <c r="BC198" s="1534"/>
    </row>
    <row r="199" spans="1:55" ht="18.649999999999999" customHeight="1">
      <c r="A199" s="252"/>
      <c r="B199" s="2903" t="s">
        <v>625</v>
      </c>
      <c r="C199" s="2903"/>
      <c r="D199" s="2903"/>
      <c r="E199" s="2903"/>
      <c r="F199" s="6"/>
      <c r="G199" s="65"/>
      <c r="H199" s="799"/>
      <c r="I199" s="710"/>
      <c r="J199" s="711"/>
      <c r="K199" s="628"/>
      <c r="L199" s="710"/>
      <c r="M199" s="711"/>
      <c r="N199" s="628"/>
      <c r="O199" s="710"/>
      <c r="P199" s="712"/>
      <c r="Q199" s="628"/>
      <c r="R199" s="762"/>
      <c r="S199" s="762"/>
      <c r="T199" s="628"/>
      <c r="U199" s="762"/>
      <c r="V199" s="762"/>
      <c r="W199" s="628"/>
      <c r="X199" s="2893"/>
      <c r="Y199" s="2893"/>
      <c r="Z199" s="2893"/>
      <c r="AA199" s="2893"/>
      <c r="AB199" s="2893"/>
      <c r="AC199" s="2893"/>
      <c r="AD199" s="2893"/>
      <c r="AE199" s="2893"/>
      <c r="AF199" s="2893"/>
      <c r="AG199" s="2893"/>
      <c r="AO199" s="1534"/>
      <c r="AP199" s="1534"/>
      <c r="AQ199" s="1534"/>
      <c r="AR199" s="1534"/>
      <c r="AS199" s="1534"/>
      <c r="AT199" s="1534"/>
      <c r="AU199" s="1534"/>
      <c r="AV199" s="1534"/>
      <c r="AW199" s="1534"/>
      <c r="AX199" s="1534"/>
      <c r="AY199" s="1534"/>
      <c r="AZ199" s="1534"/>
      <c r="BA199" s="1534"/>
      <c r="BB199" s="1534"/>
      <c r="BC199" s="1534"/>
    </row>
    <row r="200" spans="1:55" ht="18.649999999999999" customHeight="1">
      <c r="A200" s="252"/>
      <c r="B200" s="2903" t="s">
        <v>626</v>
      </c>
      <c r="C200" s="2903"/>
      <c r="D200" s="2903"/>
      <c r="E200" s="2903"/>
      <c r="F200" s="6"/>
      <c r="G200" s="65"/>
      <c r="H200" s="480"/>
      <c r="I200" s="710"/>
      <c r="J200" s="711"/>
      <c r="K200" s="526"/>
      <c r="L200" s="710"/>
      <c r="M200" s="711"/>
      <c r="N200" s="526"/>
      <c r="O200" s="710"/>
      <c r="P200" s="712"/>
      <c r="Q200" s="526"/>
      <c r="R200" s="762"/>
      <c r="S200" s="762"/>
      <c r="T200" s="526"/>
      <c r="U200" s="762"/>
      <c r="V200" s="762"/>
      <c r="W200" s="526"/>
      <c r="X200" s="2893"/>
      <c r="Y200" s="2893"/>
      <c r="Z200" s="2893"/>
      <c r="AA200" s="2893"/>
      <c r="AB200" s="2893"/>
      <c r="AC200" s="2893"/>
      <c r="AD200" s="2893"/>
      <c r="AE200" s="2893"/>
      <c r="AF200" s="2893"/>
      <c r="AG200" s="2893"/>
      <c r="AO200" s="1534"/>
      <c r="AP200" s="1534"/>
      <c r="AQ200" s="1534"/>
      <c r="AR200" s="1534"/>
      <c r="AS200" s="1534"/>
      <c r="AT200" s="1534"/>
      <c r="AU200" s="1534"/>
      <c r="AV200" s="1534"/>
      <c r="AW200" s="1534"/>
      <c r="AX200" s="1534"/>
      <c r="AY200" s="1534"/>
      <c r="AZ200" s="1534"/>
      <c r="BA200" s="1534"/>
      <c r="BB200" s="1534"/>
      <c r="BC200" s="1534"/>
    </row>
    <row r="201" spans="1:55" ht="28.5" customHeight="1">
      <c r="A201" s="252"/>
      <c r="B201" s="2903" t="s">
        <v>627</v>
      </c>
      <c r="C201" s="2903"/>
      <c r="D201" s="2903"/>
      <c r="E201" s="2903"/>
      <c r="F201" s="6"/>
      <c r="G201" s="65"/>
      <c r="H201" s="794"/>
      <c r="I201" s="710"/>
      <c r="J201" s="711"/>
      <c r="K201" s="561"/>
      <c r="L201" s="710"/>
      <c r="M201" s="711"/>
      <c r="N201" s="561"/>
      <c r="O201" s="710"/>
      <c r="P201" s="712"/>
      <c r="Q201" s="561"/>
      <c r="R201" s="762"/>
      <c r="S201" s="762"/>
      <c r="T201" s="561"/>
      <c r="U201" s="762"/>
      <c r="V201" s="762"/>
      <c r="W201" s="561"/>
      <c r="X201" s="2893"/>
      <c r="Y201" s="2893"/>
      <c r="Z201" s="2893"/>
      <c r="AA201" s="2893"/>
      <c r="AB201" s="2893"/>
      <c r="AC201" s="2893"/>
      <c r="AD201" s="2893"/>
      <c r="AE201" s="2893"/>
      <c r="AF201" s="2893"/>
      <c r="AG201" s="2893"/>
      <c r="AO201" s="1534"/>
      <c r="AP201" s="1534"/>
      <c r="AQ201" s="1534"/>
      <c r="AR201" s="1534"/>
      <c r="AS201" s="1534"/>
      <c r="AT201" s="1534"/>
      <c r="AU201" s="1534"/>
      <c r="AV201" s="1534"/>
      <c r="AW201" s="1534"/>
      <c r="AX201" s="1534"/>
      <c r="AY201" s="1534"/>
      <c r="AZ201" s="1534"/>
      <c r="BA201" s="1534"/>
      <c r="BB201" s="1534"/>
      <c r="BC201" s="1534"/>
    </row>
    <row r="202" spans="1:55" ht="28.5" customHeight="1">
      <c r="A202" s="252"/>
      <c r="B202" s="2904" t="s">
        <v>628</v>
      </c>
      <c r="C202" s="2904"/>
      <c r="D202" s="2904"/>
      <c r="E202" s="2904"/>
      <c r="F202" s="6"/>
      <c r="G202" s="65"/>
      <c r="H202" s="480"/>
      <c r="I202" s="710"/>
      <c r="J202" s="711"/>
      <c r="K202" s="526"/>
      <c r="L202" s="710"/>
      <c r="M202" s="711"/>
      <c r="N202" s="526"/>
      <c r="O202" s="710"/>
      <c r="P202" s="712"/>
      <c r="Q202" s="526"/>
      <c r="R202" s="762"/>
      <c r="S202" s="762"/>
      <c r="T202" s="526"/>
      <c r="U202" s="762"/>
      <c r="V202" s="762"/>
      <c r="W202" s="526"/>
      <c r="X202" s="2893"/>
      <c r="Y202" s="2893"/>
      <c r="Z202" s="2893"/>
      <c r="AA202" s="2893"/>
      <c r="AB202" s="2893"/>
      <c r="AC202" s="2893"/>
      <c r="AD202" s="2893"/>
      <c r="AE202" s="2893"/>
      <c r="AF202" s="2893"/>
      <c r="AG202" s="2893"/>
      <c r="AO202" s="1534"/>
      <c r="AP202" s="1534"/>
      <c r="AQ202" s="1534"/>
      <c r="AR202" s="1534"/>
      <c r="AS202" s="1534"/>
      <c r="AT202" s="1534"/>
      <c r="AU202" s="1534"/>
      <c r="AV202" s="1534"/>
      <c r="AW202" s="1534"/>
      <c r="AX202" s="1534"/>
      <c r="AY202" s="1534"/>
      <c r="AZ202" s="1534"/>
      <c r="BA202" s="1534"/>
      <c r="BB202" s="1534"/>
      <c r="BC202" s="1534"/>
    </row>
    <row r="203" spans="1:55" ht="32.9" customHeight="1">
      <c r="A203" s="252"/>
      <c r="B203" s="2904" t="s">
        <v>629</v>
      </c>
      <c r="C203" s="2904"/>
      <c r="D203" s="2904"/>
      <c r="E203" s="2904"/>
      <c r="F203" s="6"/>
      <c r="G203" s="65"/>
      <c r="H203" s="795"/>
      <c r="I203" s="710"/>
      <c r="J203" s="711"/>
      <c r="K203" s="568"/>
      <c r="L203" s="710"/>
      <c r="M203" s="711"/>
      <c r="N203" s="568"/>
      <c r="O203" s="710"/>
      <c r="P203" s="712"/>
      <c r="Q203" s="568"/>
      <c r="R203" s="762"/>
      <c r="S203" s="762"/>
      <c r="T203" s="568"/>
      <c r="U203" s="762"/>
      <c r="V203" s="762"/>
      <c r="W203" s="568"/>
      <c r="X203" s="2893"/>
      <c r="Y203" s="2893"/>
      <c r="Z203" s="2893"/>
      <c r="AA203" s="2893"/>
      <c r="AB203" s="2893"/>
      <c r="AC203" s="2893"/>
      <c r="AD203" s="2893"/>
      <c r="AE203" s="2893"/>
      <c r="AF203" s="2893"/>
      <c r="AG203" s="2893"/>
      <c r="AO203" s="1534"/>
      <c r="AP203" s="1534"/>
      <c r="AQ203" s="1534"/>
      <c r="AR203" s="1534"/>
      <c r="AS203" s="1534"/>
      <c r="AT203" s="1534"/>
      <c r="AU203" s="1534"/>
      <c r="AV203" s="1534"/>
      <c r="AW203" s="1534"/>
      <c r="AX203" s="1534"/>
      <c r="AY203" s="1534"/>
      <c r="AZ203" s="1534"/>
      <c r="BA203" s="1534"/>
      <c r="BB203" s="1534"/>
      <c r="BC203" s="1534"/>
    </row>
    <row r="204" spans="1:55" ht="18.649999999999999" customHeight="1">
      <c r="A204" s="252"/>
      <c r="B204" s="2903" t="s">
        <v>630</v>
      </c>
      <c r="C204" s="2903"/>
      <c r="D204" s="2903"/>
      <c r="E204" s="2903"/>
      <c r="F204" s="6"/>
      <c r="G204" s="65"/>
      <c r="H204" s="480"/>
      <c r="I204" s="710"/>
      <c r="J204" s="711"/>
      <c r="K204" s="526"/>
      <c r="L204" s="710"/>
      <c r="M204" s="711"/>
      <c r="N204" s="526"/>
      <c r="O204" s="710"/>
      <c r="P204" s="712"/>
      <c r="Q204" s="526"/>
      <c r="R204" s="762"/>
      <c r="S204" s="762"/>
      <c r="T204" s="526"/>
      <c r="U204" s="762"/>
      <c r="V204" s="762"/>
      <c r="W204" s="526"/>
      <c r="X204" s="2893"/>
      <c r="Y204" s="2893"/>
      <c r="Z204" s="2893"/>
      <c r="AA204" s="2893"/>
      <c r="AB204" s="2893"/>
      <c r="AC204" s="2893"/>
      <c r="AD204" s="2893"/>
      <c r="AE204" s="2893"/>
      <c r="AF204" s="2893"/>
      <c r="AG204" s="2893"/>
      <c r="AO204" s="1534"/>
      <c r="AP204" s="1534"/>
      <c r="AQ204" s="1534"/>
      <c r="AR204" s="1534"/>
      <c r="AS204" s="1534"/>
      <c r="AT204" s="1534"/>
      <c r="AU204" s="1534"/>
      <c r="AV204" s="1534"/>
      <c r="AW204" s="1534"/>
      <c r="AX204" s="1534"/>
      <c r="AY204" s="1534"/>
      <c r="AZ204" s="1534"/>
      <c r="BA204" s="1534"/>
      <c r="BB204" s="1534"/>
      <c r="BC204" s="1534"/>
    </row>
    <row r="205" spans="1:55" ht="18.649999999999999" customHeight="1">
      <c r="A205" s="252"/>
      <c r="B205" s="2904" t="s">
        <v>634</v>
      </c>
      <c r="C205" s="2904"/>
      <c r="D205" s="2904"/>
      <c r="E205" s="2904"/>
      <c r="F205" s="6"/>
      <c r="G205" s="65"/>
      <c r="H205" s="481"/>
      <c r="I205" s="710"/>
      <c r="J205" s="711"/>
      <c r="K205" s="553"/>
      <c r="L205" s="710"/>
      <c r="M205" s="711"/>
      <c r="N205" s="553"/>
      <c r="O205" s="710"/>
      <c r="P205" s="712"/>
      <c r="Q205" s="553"/>
      <c r="R205" s="762"/>
      <c r="S205" s="762"/>
      <c r="T205" s="553"/>
      <c r="U205" s="762"/>
      <c r="V205" s="762"/>
      <c r="W205" s="553"/>
      <c r="X205" s="2893"/>
      <c r="Y205" s="2893"/>
      <c r="Z205" s="2893"/>
      <c r="AA205" s="2893"/>
      <c r="AB205" s="2893"/>
      <c r="AC205" s="2893"/>
      <c r="AD205" s="2893"/>
      <c r="AE205" s="2893"/>
      <c r="AF205" s="2893"/>
      <c r="AG205" s="2893"/>
      <c r="AO205" s="1534"/>
      <c r="AP205" s="1534"/>
      <c r="AQ205" s="1534"/>
      <c r="AR205" s="1534"/>
      <c r="AS205" s="1534"/>
      <c r="AT205" s="1534"/>
      <c r="AU205" s="1534"/>
      <c r="AV205" s="1534"/>
      <c r="AW205" s="1534"/>
      <c r="AX205" s="1534"/>
      <c r="AY205" s="1534"/>
      <c r="AZ205" s="1534"/>
      <c r="BA205" s="1534"/>
      <c r="BB205" s="1534"/>
      <c r="BC205" s="1534"/>
    </row>
    <row r="206" spans="1:55" ht="36.75" customHeight="1">
      <c r="A206" s="252"/>
      <c r="B206" s="2903" t="s">
        <v>1551</v>
      </c>
      <c r="C206" s="2903"/>
      <c r="D206" s="2903"/>
      <c r="E206" s="2903"/>
      <c r="F206" s="6"/>
      <c r="G206" s="65"/>
      <c r="H206" s="796"/>
      <c r="I206" s="710"/>
      <c r="J206" s="711"/>
      <c r="K206" s="619"/>
      <c r="L206" s="710"/>
      <c r="M206" s="711"/>
      <c r="N206" s="619"/>
      <c r="O206" s="710"/>
      <c r="P206" s="712"/>
      <c r="Q206" s="619"/>
      <c r="R206" s="762"/>
      <c r="S206" s="762"/>
      <c r="T206" s="619"/>
      <c r="U206" s="762"/>
      <c r="V206" s="762"/>
      <c r="W206" s="619"/>
      <c r="X206" s="2893"/>
      <c r="Y206" s="2893"/>
      <c r="Z206" s="2893"/>
      <c r="AA206" s="2893"/>
      <c r="AB206" s="2893"/>
      <c r="AC206" s="2893"/>
      <c r="AD206" s="2893"/>
      <c r="AE206" s="2893"/>
      <c r="AF206" s="2893"/>
      <c r="AG206" s="2893"/>
      <c r="AO206" s="1534"/>
      <c r="AP206" s="1534"/>
      <c r="AQ206" s="1534"/>
      <c r="AR206" s="1534"/>
      <c r="AS206" s="1534"/>
      <c r="AT206" s="1534"/>
      <c r="AU206" s="1534"/>
      <c r="AV206" s="1534"/>
      <c r="AW206" s="1534"/>
      <c r="AX206" s="1534"/>
      <c r="AY206" s="1534"/>
      <c r="AZ206" s="1534"/>
      <c r="BA206" s="1534"/>
      <c r="BB206" s="1534"/>
      <c r="BC206" s="1534"/>
    </row>
    <row r="207" spans="1:55" ht="36.75" customHeight="1">
      <c r="A207" s="252"/>
      <c r="B207" s="2903" t="s">
        <v>1552</v>
      </c>
      <c r="C207" s="2903"/>
      <c r="D207" s="2903"/>
      <c r="E207" s="2903"/>
      <c r="F207" s="6"/>
      <c r="G207" s="65"/>
      <c r="H207" s="796"/>
      <c r="I207" s="710"/>
      <c r="J207" s="711"/>
      <c r="K207" s="619"/>
      <c r="L207" s="710"/>
      <c r="M207" s="711"/>
      <c r="N207" s="619"/>
      <c r="O207" s="710"/>
      <c r="P207" s="712"/>
      <c r="Q207" s="619"/>
      <c r="R207" s="762"/>
      <c r="S207" s="762"/>
      <c r="T207" s="619"/>
      <c r="U207" s="762"/>
      <c r="V207" s="762"/>
      <c r="W207" s="619"/>
      <c r="X207" s="2893"/>
      <c r="Y207" s="2893"/>
      <c r="Z207" s="2893"/>
      <c r="AA207" s="2893"/>
      <c r="AB207" s="2893"/>
      <c r="AC207" s="2893"/>
      <c r="AD207" s="2893"/>
      <c r="AE207" s="2893"/>
      <c r="AF207" s="2893"/>
      <c r="AG207" s="2893"/>
      <c r="AO207" s="1534"/>
      <c r="AP207" s="1534"/>
      <c r="AQ207" s="1534"/>
      <c r="AR207" s="1534"/>
      <c r="AS207" s="1534"/>
      <c r="AT207" s="1534"/>
      <c r="AU207" s="1534"/>
      <c r="AV207" s="1534"/>
      <c r="AW207" s="1534"/>
      <c r="AX207" s="1534"/>
      <c r="AY207" s="1534"/>
      <c r="AZ207" s="1534"/>
      <c r="BA207" s="1534"/>
      <c r="BB207" s="1534"/>
      <c r="BC207" s="1534"/>
    </row>
    <row r="208" spans="1:55" ht="32.9" customHeight="1">
      <c r="A208" s="252"/>
      <c r="B208" s="2903" t="s">
        <v>331</v>
      </c>
      <c r="C208" s="2903"/>
      <c r="D208" s="2903"/>
      <c r="E208" s="2903"/>
      <c r="F208" s="6"/>
      <c r="G208" s="65"/>
      <c r="H208" s="480"/>
      <c r="I208" s="710"/>
      <c r="J208" s="711"/>
      <c r="K208" s="526"/>
      <c r="L208" s="710"/>
      <c r="M208" s="711"/>
      <c r="N208" s="526"/>
      <c r="O208" s="710"/>
      <c r="P208" s="712"/>
      <c r="Q208" s="526"/>
      <c r="R208" s="762"/>
      <c r="S208" s="762"/>
      <c r="T208" s="526"/>
      <c r="U208" s="762"/>
      <c r="V208" s="762"/>
      <c r="W208" s="526"/>
      <c r="X208" s="2893"/>
      <c r="Y208" s="2893"/>
      <c r="Z208" s="2893"/>
      <c r="AA208" s="2893"/>
      <c r="AB208" s="2893"/>
      <c r="AC208" s="2893"/>
      <c r="AD208" s="2893"/>
      <c r="AE208" s="2893"/>
      <c r="AF208" s="2893"/>
      <c r="AG208" s="2893"/>
      <c r="AO208" s="1534"/>
      <c r="AP208" s="1534"/>
      <c r="AQ208" s="1534"/>
      <c r="AR208" s="1534"/>
      <c r="AS208" s="1534"/>
      <c r="AT208" s="1534"/>
      <c r="AU208" s="1534"/>
      <c r="AV208" s="1534"/>
      <c r="AW208" s="1534"/>
      <c r="AX208" s="1534"/>
      <c r="AY208" s="1534"/>
      <c r="AZ208" s="1534"/>
      <c r="BA208" s="1534"/>
      <c r="BB208" s="1534"/>
      <c r="BC208" s="1534"/>
    </row>
    <row r="209" spans="1:55" ht="14.9" customHeight="1">
      <c r="A209" s="252"/>
      <c r="B209" s="2904" t="s">
        <v>332</v>
      </c>
      <c r="C209" s="2904"/>
      <c r="D209" s="2904"/>
      <c r="E209" s="2904"/>
      <c r="F209" s="6"/>
      <c r="G209" s="63"/>
      <c r="H209" s="480"/>
      <c r="I209" s="710"/>
      <c r="J209" s="582"/>
      <c r="K209" s="526"/>
      <c r="L209" s="710"/>
      <c r="M209" s="582"/>
      <c r="N209" s="526"/>
      <c r="O209" s="710"/>
      <c r="P209" s="582"/>
      <c r="Q209" s="526"/>
      <c r="R209" s="762"/>
      <c r="S209" s="762"/>
      <c r="T209" s="526"/>
      <c r="U209" s="762"/>
      <c r="V209" s="762"/>
      <c r="W209" s="526"/>
      <c r="X209" s="2893"/>
      <c r="Y209" s="2893"/>
      <c r="Z209" s="2893"/>
      <c r="AA209" s="2893"/>
      <c r="AB209" s="2893"/>
      <c r="AC209" s="2893"/>
      <c r="AD209" s="2893"/>
      <c r="AE209" s="2893"/>
      <c r="AF209" s="2893"/>
      <c r="AG209" s="2893"/>
      <c r="AO209" s="1534"/>
      <c r="AP209" s="1534"/>
      <c r="AQ209" s="1534"/>
      <c r="AR209" s="1534"/>
      <c r="AS209" s="1534"/>
      <c r="AT209" s="1534"/>
      <c r="AU209" s="1534"/>
      <c r="AV209" s="1534"/>
      <c r="AW209" s="1534"/>
      <c r="AX209" s="1534"/>
      <c r="AY209" s="1534"/>
      <c r="AZ209" s="1534"/>
      <c r="BA209" s="1534"/>
      <c r="BB209" s="1534"/>
      <c r="BC209" s="1534"/>
    </row>
    <row r="210" spans="1:55" ht="18.649999999999999" customHeight="1">
      <c r="A210" s="252"/>
      <c r="B210" s="2903" t="s">
        <v>333</v>
      </c>
      <c r="C210" s="2903"/>
      <c r="D210" s="2903"/>
      <c r="E210" s="2903"/>
      <c r="F210" s="6"/>
      <c r="G210" s="65"/>
      <c r="H210" s="480"/>
      <c r="I210" s="710"/>
      <c r="J210" s="711"/>
      <c r="K210" s="526"/>
      <c r="L210" s="710"/>
      <c r="M210" s="711"/>
      <c r="N210" s="526"/>
      <c r="O210" s="710"/>
      <c r="P210" s="712"/>
      <c r="Q210" s="526"/>
      <c r="R210" s="762"/>
      <c r="S210" s="762"/>
      <c r="T210" s="526"/>
      <c r="U210" s="762"/>
      <c r="V210" s="762"/>
      <c r="W210" s="526"/>
      <c r="X210" s="2893"/>
      <c r="Y210" s="2893"/>
      <c r="Z210" s="2893"/>
      <c r="AA210" s="2893"/>
      <c r="AB210" s="2893"/>
      <c r="AC210" s="2893"/>
      <c r="AD210" s="2893"/>
      <c r="AE210" s="2893"/>
      <c r="AF210" s="2893"/>
      <c r="AG210" s="2893"/>
      <c r="AO210" s="1534"/>
      <c r="AP210" s="1534"/>
      <c r="AQ210" s="1534"/>
      <c r="AR210" s="1534"/>
      <c r="AS210" s="1534"/>
      <c r="AT210" s="1534"/>
      <c r="AU210" s="1534"/>
      <c r="AV210" s="1534"/>
      <c r="AW210" s="1534"/>
      <c r="AX210" s="1534"/>
      <c r="AY210" s="1534"/>
      <c r="AZ210" s="1534"/>
      <c r="BA210" s="1534"/>
      <c r="BB210" s="1534"/>
      <c r="BC210" s="1534"/>
    </row>
    <row r="211" spans="1:55" ht="14.9" customHeight="1">
      <c r="A211" s="252"/>
      <c r="B211" s="2903" t="s">
        <v>334</v>
      </c>
      <c r="C211" s="2903"/>
      <c r="D211" s="2903"/>
      <c r="E211" s="2903"/>
      <c r="F211" s="6"/>
      <c r="G211" s="63"/>
      <c r="H211" s="480"/>
      <c r="I211" s="710"/>
      <c r="J211" s="582"/>
      <c r="K211" s="526"/>
      <c r="L211" s="710"/>
      <c r="M211" s="582"/>
      <c r="N211" s="526"/>
      <c r="O211" s="710"/>
      <c r="P211" s="582"/>
      <c r="Q211" s="526"/>
      <c r="R211" s="762"/>
      <c r="S211" s="762"/>
      <c r="T211" s="526"/>
      <c r="U211" s="762"/>
      <c r="V211" s="762"/>
      <c r="W211" s="526"/>
      <c r="X211" s="2893"/>
      <c r="Y211" s="2893"/>
      <c r="Z211" s="2893"/>
      <c r="AA211" s="2893"/>
      <c r="AB211" s="2893"/>
      <c r="AC211" s="2893"/>
      <c r="AD211" s="2893"/>
      <c r="AE211" s="2893"/>
      <c r="AF211" s="2893"/>
      <c r="AG211" s="2893"/>
      <c r="AO211" s="1534"/>
      <c r="AP211" s="1534"/>
      <c r="AQ211" s="1534"/>
      <c r="AR211" s="1534"/>
      <c r="AS211" s="1534"/>
      <c r="AT211" s="1534"/>
      <c r="AU211" s="1534"/>
      <c r="AV211" s="1534"/>
      <c r="AW211" s="1534"/>
      <c r="AX211" s="1534"/>
      <c r="AY211" s="1534"/>
      <c r="AZ211" s="1534"/>
      <c r="BA211" s="1534"/>
      <c r="BB211" s="1534"/>
      <c r="BC211" s="1534"/>
    </row>
    <row r="212" spans="1:55" ht="14.9" customHeight="1">
      <c r="A212" s="252"/>
      <c r="B212" s="2904" t="s">
        <v>335</v>
      </c>
      <c r="C212" s="2904"/>
      <c r="D212" s="2904"/>
      <c r="E212" s="2904"/>
      <c r="H212" s="480"/>
      <c r="I212" s="713"/>
      <c r="J212" s="713"/>
      <c r="K212" s="526"/>
      <c r="L212" s="713"/>
      <c r="M212" s="713"/>
      <c r="N212" s="526"/>
      <c r="O212" s="713"/>
      <c r="P212" s="713"/>
      <c r="Q212" s="526"/>
      <c r="R212" s="762"/>
      <c r="S212" s="762"/>
      <c r="T212" s="526"/>
      <c r="U212" s="762"/>
      <c r="V212" s="762"/>
      <c r="W212" s="526"/>
      <c r="X212" s="2893"/>
      <c r="Y212" s="2893"/>
      <c r="Z212" s="2893"/>
      <c r="AA212" s="2893"/>
      <c r="AB212" s="2893"/>
      <c r="AC212" s="2893"/>
      <c r="AD212" s="2893"/>
      <c r="AE212" s="2893"/>
      <c r="AF212" s="2893"/>
      <c r="AG212" s="2893"/>
      <c r="AO212" s="1534"/>
      <c r="AP212" s="1534"/>
      <c r="AQ212" s="1534"/>
      <c r="AR212" s="1534"/>
      <c r="AS212" s="1534"/>
      <c r="AT212" s="1534"/>
      <c r="AU212" s="1534"/>
      <c r="AV212" s="1534"/>
      <c r="AW212" s="1534"/>
      <c r="AX212" s="1534"/>
      <c r="AY212" s="1534"/>
      <c r="AZ212" s="1534"/>
      <c r="BA212" s="1534"/>
      <c r="BB212" s="1534"/>
      <c r="BC212" s="1534"/>
    </row>
    <row r="213" spans="1:55" ht="14.9" customHeight="1">
      <c r="A213" s="252"/>
      <c r="B213" s="2903" t="s">
        <v>336</v>
      </c>
      <c r="C213" s="2903"/>
      <c r="D213" s="2903"/>
      <c r="E213" s="2903"/>
      <c r="F213" s="6"/>
      <c r="G213" s="63"/>
      <c r="H213" s="480"/>
      <c r="I213" s="710"/>
      <c r="J213" s="582"/>
      <c r="K213" s="526"/>
      <c r="L213" s="710"/>
      <c r="M213" s="582"/>
      <c r="N213" s="526"/>
      <c r="O213" s="710"/>
      <c r="P213" s="582"/>
      <c r="Q213" s="526"/>
      <c r="R213" s="762"/>
      <c r="S213" s="762"/>
      <c r="T213" s="526"/>
      <c r="U213" s="762"/>
      <c r="V213" s="762"/>
      <c r="W213" s="526"/>
      <c r="X213" s="2893"/>
      <c r="Y213" s="2893"/>
      <c r="Z213" s="2893"/>
      <c r="AA213" s="2893"/>
      <c r="AB213" s="2893"/>
      <c r="AC213" s="2893"/>
      <c r="AD213" s="2893"/>
      <c r="AE213" s="2893"/>
      <c r="AF213" s="2893"/>
      <c r="AG213" s="2893"/>
      <c r="AO213" s="1534"/>
      <c r="AP213" s="1534"/>
      <c r="AQ213" s="1534"/>
      <c r="AR213" s="1534"/>
      <c r="AS213" s="1534"/>
      <c r="AT213" s="1534"/>
      <c r="AU213" s="1534"/>
      <c r="AV213" s="1534"/>
      <c r="AW213" s="1534"/>
      <c r="AX213" s="1534"/>
      <c r="AY213" s="1534"/>
      <c r="AZ213" s="1534"/>
      <c r="BA213" s="1534"/>
      <c r="BB213" s="1534"/>
      <c r="BC213" s="1534"/>
    </row>
    <row r="214" spans="1:55" ht="32.9" customHeight="1">
      <c r="A214" s="252"/>
      <c r="B214" s="2903" t="s">
        <v>337</v>
      </c>
      <c r="C214" s="2903"/>
      <c r="D214" s="2903"/>
      <c r="E214" s="2903"/>
      <c r="F214" s="6"/>
      <c r="G214" s="63"/>
      <c r="H214" s="480"/>
      <c r="I214" s="710"/>
      <c r="J214" s="582"/>
      <c r="K214" s="526"/>
      <c r="L214" s="710"/>
      <c r="M214" s="582"/>
      <c r="N214" s="526"/>
      <c r="O214" s="710"/>
      <c r="P214" s="582"/>
      <c r="Q214" s="526"/>
      <c r="R214" s="762"/>
      <c r="S214" s="762"/>
      <c r="T214" s="526"/>
      <c r="U214" s="762"/>
      <c r="V214" s="762"/>
      <c r="W214" s="526"/>
      <c r="X214" s="2893"/>
      <c r="Y214" s="2893"/>
      <c r="Z214" s="2893"/>
      <c r="AA214" s="2893"/>
      <c r="AB214" s="2893"/>
      <c r="AC214" s="2893"/>
      <c r="AD214" s="2893"/>
      <c r="AE214" s="2893"/>
      <c r="AF214" s="2893"/>
      <c r="AG214" s="2893"/>
      <c r="AO214" s="1534"/>
      <c r="AP214" s="1534"/>
      <c r="AQ214" s="1534"/>
      <c r="AR214" s="1534"/>
      <c r="AS214" s="1534"/>
      <c r="AT214" s="1534"/>
      <c r="AU214" s="1534"/>
      <c r="AV214" s="1534"/>
      <c r="AW214" s="1534"/>
      <c r="AX214" s="1534"/>
      <c r="AY214" s="1534"/>
      <c r="AZ214" s="1534"/>
      <c r="BA214" s="1534"/>
      <c r="BB214" s="1534"/>
      <c r="BC214" s="1534"/>
    </row>
    <row r="215" spans="1:55" ht="32.9" customHeight="1">
      <c r="A215" s="252"/>
      <c r="B215" s="2903" t="s">
        <v>338</v>
      </c>
      <c r="C215" s="2903"/>
      <c r="D215" s="2903"/>
      <c r="E215" s="2903"/>
      <c r="F215" s="6"/>
      <c r="G215" s="63"/>
      <c r="H215" s="480"/>
      <c r="I215" s="710"/>
      <c r="J215" s="582"/>
      <c r="K215" s="526"/>
      <c r="L215" s="710"/>
      <c r="M215" s="582"/>
      <c r="N215" s="526"/>
      <c r="O215" s="710"/>
      <c r="P215" s="582"/>
      <c r="Q215" s="526"/>
      <c r="R215" s="762"/>
      <c r="S215" s="762"/>
      <c r="T215" s="526"/>
      <c r="U215" s="762"/>
      <c r="V215" s="762"/>
      <c r="W215" s="526"/>
      <c r="X215" s="2893"/>
      <c r="Y215" s="2893"/>
      <c r="Z215" s="2893"/>
      <c r="AA215" s="2893"/>
      <c r="AB215" s="2893"/>
      <c r="AC215" s="2893"/>
      <c r="AD215" s="2893"/>
      <c r="AE215" s="2893"/>
      <c r="AF215" s="2893"/>
      <c r="AG215" s="2893"/>
      <c r="AO215" s="1534"/>
      <c r="AP215" s="1534"/>
      <c r="AQ215" s="1534"/>
      <c r="AR215" s="1534"/>
      <c r="AS215" s="1534"/>
      <c r="AT215" s="1534"/>
      <c r="AU215" s="1534"/>
      <c r="AV215" s="1534"/>
      <c r="AW215" s="1534"/>
      <c r="AX215" s="1534"/>
      <c r="AY215" s="1534"/>
      <c r="AZ215" s="1534"/>
      <c r="BA215" s="1534"/>
      <c r="BB215" s="1534"/>
      <c r="BC215" s="1534"/>
    </row>
    <row r="216" spans="1:55" ht="14.9" customHeight="1">
      <c r="A216" s="252"/>
      <c r="B216" s="2903" t="s">
        <v>735</v>
      </c>
      <c r="C216" s="2903"/>
      <c r="D216" s="2903"/>
      <c r="E216" s="2903"/>
      <c r="F216" s="6"/>
      <c r="G216" s="63"/>
      <c r="H216" s="480"/>
      <c r="I216" s="710"/>
      <c r="J216" s="582"/>
      <c r="K216" s="526"/>
      <c r="L216" s="710"/>
      <c r="M216" s="582"/>
      <c r="N216" s="526"/>
      <c r="O216" s="710"/>
      <c r="P216" s="582"/>
      <c r="Q216" s="526"/>
      <c r="R216" s="762"/>
      <c r="S216" s="762"/>
      <c r="T216" s="526"/>
      <c r="U216" s="762"/>
      <c r="V216" s="762"/>
      <c r="W216" s="526"/>
      <c r="X216" s="2893"/>
      <c r="Y216" s="2893"/>
      <c r="Z216" s="2893"/>
      <c r="AA216" s="2893"/>
      <c r="AB216" s="2893"/>
      <c r="AC216" s="2893"/>
      <c r="AD216" s="2893"/>
      <c r="AE216" s="2893"/>
      <c r="AF216" s="2893"/>
      <c r="AG216" s="2893"/>
      <c r="AO216" s="1534"/>
      <c r="AP216" s="1534"/>
      <c r="AQ216" s="1534"/>
      <c r="AR216" s="1534"/>
      <c r="AS216" s="1534"/>
      <c r="AT216" s="1534"/>
      <c r="AU216" s="1534"/>
      <c r="AV216" s="1534"/>
      <c r="AW216" s="1534"/>
      <c r="AX216" s="1534"/>
      <c r="AY216" s="1534"/>
      <c r="AZ216" s="1534"/>
      <c r="BA216" s="1534"/>
      <c r="BB216" s="1534"/>
      <c r="BC216" s="1534"/>
    </row>
    <row r="217" spans="1:55" ht="15" customHeight="1">
      <c r="A217" s="252"/>
      <c r="B217" s="2903" t="s">
        <v>734</v>
      </c>
      <c r="C217" s="2903"/>
      <c r="D217" s="2903"/>
      <c r="E217" s="2903"/>
      <c r="F217" s="6"/>
      <c r="G217" s="63"/>
      <c r="H217" s="797"/>
      <c r="I217" s="710"/>
      <c r="J217" s="582"/>
      <c r="K217" s="562"/>
      <c r="L217" s="710"/>
      <c r="M217" s="582"/>
      <c r="N217" s="562"/>
      <c r="O217" s="710"/>
      <c r="P217" s="582"/>
      <c r="Q217" s="562"/>
      <c r="R217" s="762"/>
      <c r="S217" s="762"/>
      <c r="T217" s="562"/>
      <c r="U217" s="762"/>
      <c r="V217" s="762"/>
      <c r="W217" s="562"/>
      <c r="X217" s="2893"/>
      <c r="Y217" s="2893"/>
      <c r="Z217" s="2893"/>
      <c r="AA217" s="2893"/>
      <c r="AB217" s="2893"/>
      <c r="AC217" s="2893"/>
      <c r="AD217" s="2893"/>
      <c r="AE217" s="2893"/>
      <c r="AF217" s="2893"/>
      <c r="AG217" s="2893"/>
      <c r="AO217" s="1534"/>
      <c r="AP217" s="1534"/>
      <c r="AQ217" s="1534"/>
      <c r="AR217" s="1534"/>
      <c r="AS217" s="1534"/>
      <c r="AT217" s="1534"/>
      <c r="AU217" s="1534"/>
      <c r="AV217" s="1534"/>
      <c r="AW217" s="1534"/>
      <c r="AX217" s="1534"/>
      <c r="AY217" s="1534"/>
      <c r="AZ217" s="1534"/>
      <c r="BA217" s="1534"/>
      <c r="BB217" s="1534"/>
      <c r="BC217" s="1534"/>
    </row>
    <row r="218" spans="1:55"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911"/>
      <c r="Y218" s="2911"/>
      <c r="Z218" s="2911"/>
      <c r="AA218" s="2911"/>
      <c r="AB218" s="2911"/>
      <c r="AC218" s="2911"/>
      <c r="AD218" s="2911"/>
      <c r="AE218" s="2911"/>
      <c r="AF218" s="2911"/>
      <c r="AG218" s="2911"/>
      <c r="AO218" s="1534"/>
      <c r="AP218" s="1534"/>
      <c r="AQ218" s="1534"/>
      <c r="AR218" s="1534"/>
      <c r="AS218" s="1534"/>
      <c r="AT218" s="1534"/>
      <c r="AU218" s="1534"/>
      <c r="AV218" s="1534"/>
      <c r="AW218" s="1534"/>
      <c r="AX218" s="1534"/>
      <c r="AY218" s="1534"/>
      <c r="AZ218" s="1534"/>
      <c r="BA218" s="1534"/>
      <c r="BB218" s="1534"/>
      <c r="BC218" s="1534"/>
    </row>
    <row r="219" spans="1:55" ht="14.9" customHeight="1">
      <c r="A219" s="252"/>
      <c r="B219" s="2903" t="s">
        <v>625</v>
      </c>
      <c r="C219" s="2903"/>
      <c r="D219" s="2903"/>
      <c r="E219" s="2903"/>
      <c r="F219" s="6"/>
      <c r="G219" s="65"/>
      <c r="H219" s="799"/>
      <c r="I219" s="710"/>
      <c r="J219" s="711"/>
      <c r="K219" s="628"/>
      <c r="L219" s="710"/>
      <c r="M219" s="711"/>
      <c r="N219" s="628"/>
      <c r="O219" s="710"/>
      <c r="P219" s="712"/>
      <c r="Q219" s="628"/>
      <c r="R219" s="762"/>
      <c r="S219" s="762"/>
      <c r="T219" s="628"/>
      <c r="U219" s="762"/>
      <c r="V219" s="762"/>
      <c r="W219" s="628"/>
      <c r="X219" s="2893"/>
      <c r="Y219" s="2893"/>
      <c r="Z219" s="2893"/>
      <c r="AA219" s="2893"/>
      <c r="AB219" s="2893"/>
      <c r="AC219" s="2893"/>
      <c r="AD219" s="2893"/>
      <c r="AE219" s="2893"/>
      <c r="AF219" s="2893"/>
      <c r="AG219" s="2893"/>
      <c r="AO219" s="1534"/>
      <c r="AP219" s="1534"/>
      <c r="AQ219" s="1534"/>
      <c r="AR219" s="1534"/>
      <c r="AS219" s="1534"/>
      <c r="AT219" s="1534"/>
      <c r="AU219" s="1534"/>
      <c r="AV219" s="1534"/>
      <c r="AW219" s="1534"/>
      <c r="AX219" s="1534"/>
      <c r="AY219" s="1534"/>
      <c r="AZ219" s="1534"/>
      <c r="BA219" s="1534"/>
      <c r="BB219" s="1534"/>
      <c r="BC219" s="1534"/>
    </row>
    <row r="220" spans="1:55" ht="14.9" customHeight="1">
      <c r="A220" s="252"/>
      <c r="B220" s="2903" t="s">
        <v>626</v>
      </c>
      <c r="C220" s="2903"/>
      <c r="D220" s="2903"/>
      <c r="E220" s="2903"/>
      <c r="F220" s="6"/>
      <c r="G220" s="63"/>
      <c r="H220" s="480"/>
      <c r="I220" s="710"/>
      <c r="J220" s="582"/>
      <c r="K220" s="526"/>
      <c r="L220" s="710"/>
      <c r="M220" s="582"/>
      <c r="N220" s="526"/>
      <c r="O220" s="710"/>
      <c r="P220" s="582"/>
      <c r="Q220" s="526"/>
      <c r="R220" s="762"/>
      <c r="S220" s="762"/>
      <c r="T220" s="526"/>
      <c r="U220" s="762"/>
      <c r="V220" s="762"/>
      <c r="W220" s="526"/>
      <c r="X220" s="2893"/>
      <c r="Y220" s="2893"/>
      <c r="Z220" s="2893"/>
      <c r="AA220" s="2893"/>
      <c r="AB220" s="2893"/>
      <c r="AC220" s="2893"/>
      <c r="AD220" s="2893"/>
      <c r="AE220" s="2893"/>
      <c r="AF220" s="2893"/>
      <c r="AG220" s="2893"/>
      <c r="AO220" s="1534"/>
      <c r="AP220" s="1534"/>
      <c r="AQ220" s="1534"/>
      <c r="AR220" s="1534"/>
      <c r="AS220" s="1534"/>
      <c r="AT220" s="1534"/>
      <c r="AU220" s="1534"/>
      <c r="AV220" s="1534"/>
      <c r="AW220" s="1534"/>
      <c r="AX220" s="1534"/>
      <c r="AY220" s="1534"/>
      <c r="AZ220" s="1534"/>
      <c r="BA220" s="1534"/>
      <c r="BB220" s="1534"/>
      <c r="BC220" s="1534"/>
    </row>
    <row r="221" spans="1:55" ht="14.9" customHeight="1">
      <c r="A221" s="252"/>
      <c r="B221" s="2903" t="s">
        <v>627</v>
      </c>
      <c r="C221" s="2903"/>
      <c r="D221" s="2903"/>
      <c r="E221" s="2903"/>
      <c r="F221" s="6"/>
      <c r="G221" s="63"/>
      <c r="H221" s="794"/>
      <c r="I221" s="710"/>
      <c r="J221" s="582"/>
      <c r="K221" s="561"/>
      <c r="L221" s="710"/>
      <c r="M221" s="582"/>
      <c r="N221" s="561"/>
      <c r="O221" s="710"/>
      <c r="P221" s="582"/>
      <c r="Q221" s="561"/>
      <c r="R221" s="762"/>
      <c r="S221" s="762"/>
      <c r="T221" s="561"/>
      <c r="U221" s="762"/>
      <c r="V221" s="762"/>
      <c r="W221" s="561"/>
      <c r="X221" s="2893"/>
      <c r="Y221" s="2893"/>
      <c r="Z221" s="2893"/>
      <c r="AA221" s="2893"/>
      <c r="AB221" s="2893"/>
      <c r="AC221" s="2893"/>
      <c r="AD221" s="2893"/>
      <c r="AE221" s="2893"/>
      <c r="AF221" s="2893"/>
      <c r="AG221" s="2893"/>
      <c r="AO221" s="1534"/>
      <c r="AP221" s="1534"/>
      <c r="AQ221" s="1534"/>
      <c r="AR221" s="1534"/>
      <c r="AS221" s="1534"/>
      <c r="AT221" s="1534"/>
      <c r="AU221" s="1534"/>
      <c r="AV221" s="1534"/>
      <c r="AW221" s="1534"/>
      <c r="AX221" s="1534"/>
      <c r="AY221" s="1534"/>
      <c r="AZ221" s="1534"/>
      <c r="BA221" s="1534"/>
      <c r="BB221" s="1534"/>
      <c r="BC221" s="1534"/>
    </row>
    <row r="222" spans="1:55" ht="14.9" customHeight="1">
      <c r="A222" s="252"/>
      <c r="B222" s="2904" t="s">
        <v>628</v>
      </c>
      <c r="C222" s="2904"/>
      <c r="D222" s="2904"/>
      <c r="E222" s="2904"/>
      <c r="F222" s="6"/>
      <c r="G222" s="63"/>
      <c r="H222" s="480"/>
      <c r="I222" s="710"/>
      <c r="J222" s="582"/>
      <c r="K222" s="526"/>
      <c r="L222" s="710"/>
      <c r="M222" s="582"/>
      <c r="N222" s="526"/>
      <c r="O222" s="710"/>
      <c r="P222" s="582"/>
      <c r="Q222" s="526"/>
      <c r="R222" s="762"/>
      <c r="S222" s="762"/>
      <c r="T222" s="526"/>
      <c r="U222" s="762"/>
      <c r="V222" s="762"/>
      <c r="W222" s="526"/>
      <c r="X222" s="2893"/>
      <c r="Y222" s="2893"/>
      <c r="Z222" s="2893"/>
      <c r="AA222" s="2893"/>
      <c r="AB222" s="2893"/>
      <c r="AC222" s="2893"/>
      <c r="AD222" s="2893"/>
      <c r="AE222" s="2893"/>
      <c r="AF222" s="2893"/>
      <c r="AG222" s="2893"/>
      <c r="AO222" s="1534"/>
      <c r="AP222" s="1534"/>
      <c r="AQ222" s="1534"/>
      <c r="AR222" s="1534"/>
      <c r="AS222" s="1534"/>
      <c r="AT222" s="1534"/>
      <c r="AU222" s="1534"/>
      <c r="AV222" s="1534"/>
      <c r="AW222" s="1534"/>
      <c r="AX222" s="1534"/>
      <c r="AY222" s="1534"/>
      <c r="AZ222" s="1534"/>
      <c r="BA222" s="1534"/>
      <c r="BB222" s="1534"/>
      <c r="BC222" s="1534"/>
    </row>
    <row r="223" spans="1:55" ht="32.9" customHeight="1">
      <c r="A223" s="252"/>
      <c r="B223" s="2904" t="s">
        <v>629</v>
      </c>
      <c r="C223" s="2904"/>
      <c r="D223" s="2904"/>
      <c r="E223" s="2904"/>
      <c r="F223" s="6"/>
      <c r="G223" s="65"/>
      <c r="H223" s="795"/>
      <c r="I223" s="710"/>
      <c r="J223" s="711"/>
      <c r="K223" s="568"/>
      <c r="L223" s="710"/>
      <c r="M223" s="711"/>
      <c r="N223" s="568"/>
      <c r="O223" s="710"/>
      <c r="P223" s="712"/>
      <c r="Q223" s="568"/>
      <c r="R223" s="762"/>
      <c r="S223" s="762"/>
      <c r="T223" s="568"/>
      <c r="U223" s="762"/>
      <c r="V223" s="762"/>
      <c r="W223" s="568"/>
      <c r="X223" s="2893"/>
      <c r="Y223" s="2893"/>
      <c r="Z223" s="2893"/>
      <c r="AA223" s="2893"/>
      <c r="AB223" s="2893"/>
      <c r="AC223" s="2893"/>
      <c r="AD223" s="2893"/>
      <c r="AE223" s="2893"/>
      <c r="AF223" s="2893"/>
      <c r="AG223" s="2893"/>
      <c r="AO223" s="1534"/>
      <c r="AP223" s="1534"/>
      <c r="AQ223" s="1534"/>
      <c r="AR223" s="1534"/>
      <c r="AS223" s="1534"/>
      <c r="AT223" s="1534"/>
      <c r="AU223" s="1534"/>
      <c r="AV223" s="1534"/>
      <c r="AW223" s="1534"/>
      <c r="AX223" s="1534"/>
      <c r="AY223" s="1534"/>
      <c r="AZ223" s="1534"/>
      <c r="BA223" s="1534"/>
      <c r="BB223" s="1534"/>
      <c r="BC223" s="1534"/>
    </row>
    <row r="224" spans="1:55" ht="14.9" customHeight="1">
      <c r="A224" s="252"/>
      <c r="B224" s="2903" t="s">
        <v>630</v>
      </c>
      <c r="C224" s="2903"/>
      <c r="D224" s="2903"/>
      <c r="E224" s="2903"/>
      <c r="F224" s="6"/>
      <c r="G224" s="65"/>
      <c r="H224" s="480"/>
      <c r="I224" s="710"/>
      <c r="J224" s="711"/>
      <c r="K224" s="526"/>
      <c r="L224" s="710"/>
      <c r="M224" s="711"/>
      <c r="N224" s="526"/>
      <c r="O224" s="710"/>
      <c r="P224" s="712"/>
      <c r="Q224" s="526"/>
      <c r="R224" s="762"/>
      <c r="S224" s="762"/>
      <c r="T224" s="526"/>
      <c r="U224" s="762"/>
      <c r="V224" s="762"/>
      <c r="W224" s="526"/>
      <c r="X224" s="2893"/>
      <c r="Y224" s="2893"/>
      <c r="Z224" s="2893"/>
      <c r="AA224" s="2893"/>
      <c r="AB224" s="2893"/>
      <c r="AC224" s="2893"/>
      <c r="AD224" s="2893"/>
      <c r="AE224" s="2893"/>
      <c r="AF224" s="2893"/>
      <c r="AG224" s="2893"/>
      <c r="AO224" s="1534"/>
      <c r="AP224" s="1534"/>
      <c r="AQ224" s="1534"/>
      <c r="AR224" s="1534"/>
      <c r="AS224" s="1534"/>
      <c r="AT224" s="1534"/>
      <c r="AU224" s="1534"/>
      <c r="AV224" s="1534"/>
      <c r="AW224" s="1534"/>
      <c r="AX224" s="1534"/>
      <c r="AY224" s="1534"/>
      <c r="AZ224" s="1534"/>
      <c r="BA224" s="1534"/>
      <c r="BB224" s="1534"/>
      <c r="BC224" s="1534"/>
    </row>
    <row r="225" spans="1:55" ht="14.9" customHeight="1">
      <c r="A225" s="252"/>
      <c r="B225" s="2904" t="s">
        <v>634</v>
      </c>
      <c r="C225" s="2904"/>
      <c r="D225" s="2904"/>
      <c r="E225" s="2904"/>
      <c r="F225" s="6"/>
      <c r="G225" s="65"/>
      <c r="H225" s="481"/>
      <c r="I225" s="710"/>
      <c r="J225" s="711"/>
      <c r="K225" s="553"/>
      <c r="L225" s="710"/>
      <c r="M225" s="711"/>
      <c r="N225" s="553"/>
      <c r="O225" s="710"/>
      <c r="P225" s="712"/>
      <c r="Q225" s="553"/>
      <c r="R225" s="762"/>
      <c r="S225" s="762"/>
      <c r="T225" s="553"/>
      <c r="U225" s="762"/>
      <c r="V225" s="762"/>
      <c r="W225" s="553"/>
      <c r="X225" s="2893"/>
      <c r="Y225" s="2893"/>
      <c r="Z225" s="2893"/>
      <c r="AA225" s="2893"/>
      <c r="AB225" s="2893"/>
      <c r="AC225" s="2893"/>
      <c r="AD225" s="2893"/>
      <c r="AE225" s="2893"/>
      <c r="AF225" s="2893"/>
      <c r="AG225" s="2893"/>
      <c r="AO225" s="1534"/>
      <c r="AP225" s="1534"/>
      <c r="AQ225" s="1534"/>
      <c r="AR225" s="1534"/>
      <c r="AS225" s="1534"/>
      <c r="AT225" s="1534"/>
      <c r="AU225" s="1534"/>
      <c r="AV225" s="1534"/>
      <c r="AW225" s="1534"/>
      <c r="AX225" s="1534"/>
      <c r="AY225" s="1534"/>
      <c r="AZ225" s="1534"/>
      <c r="BA225" s="1534"/>
      <c r="BB225" s="1534"/>
      <c r="BC225" s="1534"/>
    </row>
    <row r="226" spans="1:55" ht="30.75" customHeight="1">
      <c r="A226" s="252"/>
      <c r="B226" s="2903" t="s">
        <v>1551</v>
      </c>
      <c r="C226" s="2903"/>
      <c r="D226" s="2903"/>
      <c r="E226" s="2903"/>
      <c r="F226" s="6"/>
      <c r="G226" s="65"/>
      <c r="H226" s="796"/>
      <c r="I226" s="710"/>
      <c r="J226" s="711"/>
      <c r="K226" s="619"/>
      <c r="L226" s="710"/>
      <c r="M226" s="711"/>
      <c r="N226" s="619"/>
      <c r="O226" s="710"/>
      <c r="P226" s="712"/>
      <c r="Q226" s="619"/>
      <c r="R226" s="762"/>
      <c r="S226" s="762"/>
      <c r="T226" s="619"/>
      <c r="U226" s="762"/>
      <c r="V226" s="762"/>
      <c r="W226" s="619"/>
      <c r="X226" s="2893"/>
      <c r="Y226" s="2893"/>
      <c r="Z226" s="2893"/>
      <c r="AA226" s="2893"/>
      <c r="AB226" s="2893"/>
      <c r="AC226" s="2893"/>
      <c r="AD226" s="2893"/>
      <c r="AE226" s="2893"/>
      <c r="AF226" s="2893"/>
      <c r="AG226" s="2893"/>
      <c r="AO226" s="1534"/>
      <c r="AP226" s="1534"/>
      <c r="AQ226" s="1534"/>
      <c r="AR226" s="1534"/>
      <c r="AS226" s="1534"/>
      <c r="AT226" s="1534"/>
      <c r="AU226" s="1534"/>
      <c r="AV226" s="1534"/>
      <c r="AW226" s="1534"/>
      <c r="AX226" s="1534"/>
      <c r="AY226" s="1534"/>
      <c r="AZ226" s="1534"/>
      <c r="BA226" s="1534"/>
      <c r="BB226" s="1534"/>
      <c r="BC226" s="1534"/>
    </row>
    <row r="227" spans="1:55" ht="30.75" customHeight="1">
      <c r="A227" s="252"/>
      <c r="B227" s="2903" t="s">
        <v>1552</v>
      </c>
      <c r="C227" s="2903"/>
      <c r="D227" s="2903"/>
      <c r="E227" s="2903"/>
      <c r="F227" s="6"/>
      <c r="G227" s="65"/>
      <c r="H227" s="796"/>
      <c r="I227" s="710"/>
      <c r="J227" s="711"/>
      <c r="K227" s="619"/>
      <c r="L227" s="710"/>
      <c r="M227" s="711"/>
      <c r="N227" s="619"/>
      <c r="O227" s="710"/>
      <c r="P227" s="712"/>
      <c r="Q227" s="619"/>
      <c r="R227" s="762"/>
      <c r="S227" s="762"/>
      <c r="T227" s="619"/>
      <c r="U227" s="762"/>
      <c r="V227" s="762"/>
      <c r="W227" s="619"/>
      <c r="X227" s="2893"/>
      <c r="Y227" s="2893"/>
      <c r="Z227" s="2893"/>
      <c r="AA227" s="2893"/>
      <c r="AB227" s="2893"/>
      <c r="AC227" s="2893"/>
      <c r="AD227" s="2893"/>
      <c r="AE227" s="2893"/>
      <c r="AF227" s="2893"/>
      <c r="AG227" s="2893"/>
      <c r="AO227" s="1534"/>
      <c r="AP227" s="1534"/>
      <c r="AQ227" s="1534"/>
      <c r="AR227" s="1534"/>
      <c r="AS227" s="1534"/>
      <c r="AT227" s="1534"/>
      <c r="AU227" s="1534"/>
      <c r="AV227" s="1534"/>
      <c r="AW227" s="1534"/>
      <c r="AX227" s="1534"/>
      <c r="AY227" s="1534"/>
      <c r="AZ227" s="1534"/>
      <c r="BA227" s="1534"/>
      <c r="BB227" s="1534"/>
      <c r="BC227" s="1534"/>
    </row>
    <row r="228" spans="1:55" ht="32.9" customHeight="1">
      <c r="A228" s="252"/>
      <c r="B228" s="2903" t="s">
        <v>331</v>
      </c>
      <c r="C228" s="2903"/>
      <c r="D228" s="2903"/>
      <c r="E228" s="2903"/>
      <c r="F228" s="6"/>
      <c r="G228" s="65"/>
      <c r="H228" s="480"/>
      <c r="I228" s="710"/>
      <c r="J228" s="711"/>
      <c r="K228" s="526"/>
      <c r="L228" s="710"/>
      <c r="M228" s="711"/>
      <c r="N228" s="526"/>
      <c r="O228" s="710"/>
      <c r="P228" s="712"/>
      <c r="Q228" s="526"/>
      <c r="R228" s="762"/>
      <c r="S228" s="762"/>
      <c r="T228" s="526"/>
      <c r="U228" s="762"/>
      <c r="V228" s="762"/>
      <c r="W228" s="526"/>
      <c r="X228" s="2893"/>
      <c r="Y228" s="2893"/>
      <c r="Z228" s="2893"/>
      <c r="AA228" s="2893"/>
      <c r="AB228" s="2893"/>
      <c r="AC228" s="2893"/>
      <c r="AD228" s="2893"/>
      <c r="AE228" s="2893"/>
      <c r="AF228" s="2893"/>
      <c r="AG228" s="2893"/>
      <c r="AO228" s="1534"/>
      <c r="AP228" s="1534"/>
      <c r="AQ228" s="1534"/>
      <c r="AR228" s="1534"/>
      <c r="AS228" s="1534"/>
      <c r="AT228" s="1534"/>
      <c r="AU228" s="1534"/>
      <c r="AV228" s="1534"/>
      <c r="AW228" s="1534"/>
      <c r="AX228" s="1534"/>
      <c r="AY228" s="1534"/>
      <c r="AZ228" s="1534"/>
      <c r="BA228" s="1534"/>
      <c r="BB228" s="1534"/>
      <c r="BC228" s="1534"/>
    </row>
    <row r="229" spans="1:55" ht="14.9" customHeight="1">
      <c r="A229" s="252"/>
      <c r="B229" s="2904" t="s">
        <v>332</v>
      </c>
      <c r="C229" s="2904"/>
      <c r="D229" s="2904"/>
      <c r="E229" s="2904"/>
      <c r="F229" s="6"/>
      <c r="G229" s="63"/>
      <c r="H229" s="480"/>
      <c r="I229" s="710"/>
      <c r="J229" s="582"/>
      <c r="K229" s="526"/>
      <c r="L229" s="710"/>
      <c r="M229" s="582"/>
      <c r="N229" s="526"/>
      <c r="O229" s="710"/>
      <c r="P229" s="582"/>
      <c r="Q229" s="526"/>
      <c r="R229" s="762"/>
      <c r="S229" s="762"/>
      <c r="T229" s="526"/>
      <c r="U229" s="762"/>
      <c r="V229" s="762"/>
      <c r="W229" s="526"/>
      <c r="X229" s="2893"/>
      <c r="Y229" s="2893"/>
      <c r="Z229" s="2893"/>
      <c r="AA229" s="2893"/>
      <c r="AB229" s="2893"/>
      <c r="AC229" s="2893"/>
      <c r="AD229" s="2893"/>
      <c r="AE229" s="2893"/>
      <c r="AF229" s="2893"/>
      <c r="AG229" s="2893"/>
    </row>
    <row r="230" spans="1:55" ht="14.9" customHeight="1">
      <c r="A230" s="252"/>
      <c r="B230" s="2903" t="s">
        <v>333</v>
      </c>
      <c r="C230" s="2903"/>
      <c r="D230" s="2903"/>
      <c r="E230" s="2903"/>
      <c r="F230" s="6"/>
      <c r="G230" s="65"/>
      <c r="H230" s="480"/>
      <c r="I230" s="710"/>
      <c r="J230" s="711"/>
      <c r="K230" s="526"/>
      <c r="L230" s="710"/>
      <c r="M230" s="711"/>
      <c r="N230" s="526"/>
      <c r="O230" s="710"/>
      <c r="P230" s="712"/>
      <c r="Q230" s="526"/>
      <c r="R230" s="762"/>
      <c r="S230" s="762"/>
      <c r="T230" s="526"/>
      <c r="U230" s="762"/>
      <c r="V230" s="762"/>
      <c r="W230" s="526"/>
      <c r="X230" s="2893"/>
      <c r="Y230" s="2893"/>
      <c r="Z230" s="2893"/>
      <c r="AA230" s="2893"/>
      <c r="AB230" s="2893"/>
      <c r="AC230" s="2893"/>
      <c r="AD230" s="2893"/>
      <c r="AE230" s="2893"/>
      <c r="AF230" s="2893"/>
      <c r="AG230" s="2893"/>
    </row>
    <row r="231" spans="1:55" ht="14.9" customHeight="1">
      <c r="A231" s="252"/>
      <c r="B231" s="2903" t="s">
        <v>334</v>
      </c>
      <c r="C231" s="2903"/>
      <c r="D231" s="2903"/>
      <c r="E231" s="2903"/>
      <c r="F231" s="6"/>
      <c r="G231" s="63"/>
      <c r="H231" s="480"/>
      <c r="I231" s="710"/>
      <c r="J231" s="582"/>
      <c r="K231" s="526"/>
      <c r="L231" s="710"/>
      <c r="M231" s="582"/>
      <c r="N231" s="526"/>
      <c r="O231" s="710"/>
      <c r="P231" s="582"/>
      <c r="Q231" s="526"/>
      <c r="R231" s="762"/>
      <c r="S231" s="762"/>
      <c r="T231" s="526"/>
      <c r="U231" s="762"/>
      <c r="V231" s="762"/>
      <c r="W231" s="526"/>
      <c r="X231" s="2893"/>
      <c r="Y231" s="2893"/>
      <c r="Z231" s="2893"/>
      <c r="AA231" s="2893"/>
      <c r="AB231" s="2893"/>
      <c r="AC231" s="2893"/>
      <c r="AD231" s="2893"/>
      <c r="AE231" s="2893"/>
      <c r="AF231" s="2893"/>
      <c r="AG231" s="2893"/>
    </row>
    <row r="232" spans="1:55" ht="14.9" customHeight="1">
      <c r="A232" s="252"/>
      <c r="B232" s="2904" t="s">
        <v>335</v>
      </c>
      <c r="C232" s="2904"/>
      <c r="D232" s="2904"/>
      <c r="E232" s="2904"/>
      <c r="H232" s="480"/>
      <c r="I232" s="713"/>
      <c r="J232" s="713"/>
      <c r="K232" s="526"/>
      <c r="L232" s="713"/>
      <c r="M232" s="713"/>
      <c r="N232" s="526"/>
      <c r="O232" s="713"/>
      <c r="P232" s="713"/>
      <c r="Q232" s="526"/>
      <c r="R232" s="762"/>
      <c r="S232" s="762"/>
      <c r="T232" s="526"/>
      <c r="U232" s="762"/>
      <c r="V232" s="762"/>
      <c r="W232" s="526"/>
      <c r="X232" s="2893"/>
      <c r="Y232" s="2893"/>
      <c r="Z232" s="2893"/>
      <c r="AA232" s="2893"/>
      <c r="AB232" s="2893"/>
      <c r="AC232" s="2893"/>
      <c r="AD232" s="2893"/>
      <c r="AE232" s="2893"/>
      <c r="AF232" s="2893"/>
      <c r="AG232" s="2893"/>
    </row>
    <row r="233" spans="1:55" ht="14.9" customHeight="1">
      <c r="A233" s="252"/>
      <c r="B233" s="2903" t="s">
        <v>336</v>
      </c>
      <c r="C233" s="2903"/>
      <c r="D233" s="2903"/>
      <c r="E233" s="2903"/>
      <c r="F233" s="6"/>
      <c r="G233" s="63"/>
      <c r="H233" s="480"/>
      <c r="I233" s="710"/>
      <c r="J233" s="582"/>
      <c r="K233" s="526"/>
      <c r="L233" s="710"/>
      <c r="M233" s="582"/>
      <c r="N233" s="526"/>
      <c r="O233" s="710"/>
      <c r="P233" s="582"/>
      <c r="Q233" s="526"/>
      <c r="R233" s="762"/>
      <c r="S233" s="762"/>
      <c r="T233" s="526"/>
      <c r="U233" s="762"/>
      <c r="V233" s="762"/>
      <c r="W233" s="526"/>
      <c r="X233" s="2893"/>
      <c r="Y233" s="2893"/>
      <c r="Z233" s="2893"/>
      <c r="AA233" s="2893"/>
      <c r="AB233" s="2893"/>
      <c r="AC233" s="2893"/>
      <c r="AD233" s="2893"/>
      <c r="AE233" s="2893"/>
      <c r="AF233" s="2893"/>
      <c r="AG233" s="2893"/>
    </row>
    <row r="234" spans="1:55" ht="32.9" customHeight="1">
      <c r="A234" s="252"/>
      <c r="B234" s="2903" t="s">
        <v>337</v>
      </c>
      <c r="C234" s="2903"/>
      <c r="D234" s="2903"/>
      <c r="E234" s="2903"/>
      <c r="F234" s="6"/>
      <c r="G234" s="63"/>
      <c r="H234" s="480"/>
      <c r="I234" s="710"/>
      <c r="J234" s="582"/>
      <c r="K234" s="526"/>
      <c r="L234" s="710"/>
      <c r="M234" s="582"/>
      <c r="N234" s="526"/>
      <c r="O234" s="710"/>
      <c r="P234" s="582"/>
      <c r="Q234" s="526"/>
      <c r="R234" s="762"/>
      <c r="S234" s="762"/>
      <c r="T234" s="526"/>
      <c r="U234" s="762"/>
      <c r="V234" s="762"/>
      <c r="W234" s="526"/>
      <c r="X234" s="2893"/>
      <c r="Y234" s="2893"/>
      <c r="Z234" s="2893"/>
      <c r="AA234" s="2893"/>
      <c r="AB234" s="2893"/>
      <c r="AC234" s="2893"/>
      <c r="AD234" s="2893"/>
      <c r="AE234" s="2893"/>
      <c r="AF234" s="2893"/>
      <c r="AG234" s="2893"/>
    </row>
    <row r="235" spans="1:55" ht="32.9" customHeight="1">
      <c r="A235" s="252"/>
      <c r="B235" s="2903" t="s">
        <v>338</v>
      </c>
      <c r="C235" s="2903"/>
      <c r="D235" s="2903"/>
      <c r="E235" s="2903"/>
      <c r="F235" s="6"/>
      <c r="G235" s="63"/>
      <c r="H235" s="480"/>
      <c r="I235" s="710"/>
      <c r="J235" s="582"/>
      <c r="K235" s="526"/>
      <c r="L235" s="710"/>
      <c r="M235" s="582"/>
      <c r="N235" s="526"/>
      <c r="O235" s="710"/>
      <c r="P235" s="582"/>
      <c r="Q235" s="526"/>
      <c r="R235" s="762"/>
      <c r="S235" s="762"/>
      <c r="T235" s="526"/>
      <c r="U235" s="762"/>
      <c r="V235" s="762"/>
      <c r="W235" s="526"/>
      <c r="X235" s="2893"/>
      <c r="Y235" s="2893"/>
      <c r="Z235" s="2893"/>
      <c r="AA235" s="2893"/>
      <c r="AB235" s="2893"/>
      <c r="AC235" s="2893"/>
      <c r="AD235" s="2893"/>
      <c r="AE235" s="2893"/>
      <c r="AF235" s="2893"/>
      <c r="AG235" s="2893"/>
    </row>
    <row r="236" spans="1:55" ht="14.9" customHeight="1">
      <c r="A236" s="252"/>
      <c r="B236" s="2903" t="s">
        <v>735</v>
      </c>
      <c r="C236" s="2903"/>
      <c r="D236" s="2903"/>
      <c r="E236" s="2903"/>
      <c r="F236" s="6"/>
      <c r="G236" s="63"/>
      <c r="H236" s="480"/>
      <c r="I236" s="710"/>
      <c r="J236" s="582"/>
      <c r="K236" s="526"/>
      <c r="L236" s="710"/>
      <c r="M236" s="582"/>
      <c r="N236" s="526"/>
      <c r="O236" s="710"/>
      <c r="P236" s="582"/>
      <c r="Q236" s="526"/>
      <c r="R236" s="762"/>
      <c r="S236" s="762"/>
      <c r="T236" s="526"/>
      <c r="U236" s="762"/>
      <c r="V236" s="762"/>
      <c r="W236" s="526"/>
      <c r="X236" s="2893"/>
      <c r="Y236" s="2893"/>
      <c r="Z236" s="2893"/>
      <c r="AA236" s="2893"/>
      <c r="AB236" s="2893"/>
      <c r="AC236" s="2893"/>
      <c r="AD236" s="2893"/>
      <c r="AE236" s="2893"/>
      <c r="AF236" s="2893"/>
      <c r="AG236" s="2893"/>
    </row>
    <row r="237" spans="1:55" ht="14.9" customHeight="1">
      <c r="A237" s="252"/>
      <c r="B237" s="2903" t="s">
        <v>734</v>
      </c>
      <c r="C237" s="2903"/>
      <c r="D237" s="2903"/>
      <c r="E237" s="2903"/>
      <c r="F237" s="6"/>
      <c r="G237" s="63"/>
      <c r="H237" s="797"/>
      <c r="I237" s="710"/>
      <c r="J237" s="582"/>
      <c r="K237" s="562"/>
      <c r="L237" s="710"/>
      <c r="M237" s="582"/>
      <c r="N237" s="562"/>
      <c r="O237" s="710"/>
      <c r="P237" s="582"/>
      <c r="Q237" s="562"/>
      <c r="R237" s="762"/>
      <c r="S237" s="762"/>
      <c r="T237" s="562"/>
      <c r="U237" s="762"/>
      <c r="V237" s="762"/>
      <c r="W237" s="562"/>
      <c r="X237" s="2893"/>
      <c r="Y237" s="2893"/>
      <c r="Z237" s="2893"/>
      <c r="AA237" s="2893"/>
      <c r="AB237" s="2893"/>
      <c r="AC237" s="2893"/>
      <c r="AD237" s="2893"/>
      <c r="AE237" s="2893"/>
      <c r="AF237" s="2893"/>
      <c r="AG237" s="2893"/>
    </row>
    <row r="238" spans="1:55"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911"/>
      <c r="Y238" s="2911"/>
      <c r="Z238" s="2911"/>
      <c r="AA238" s="2911"/>
      <c r="AB238" s="2911"/>
      <c r="AC238" s="2911"/>
      <c r="AD238" s="2911"/>
      <c r="AE238" s="2911"/>
      <c r="AF238" s="2911"/>
      <c r="AG238" s="2911"/>
    </row>
    <row r="239" spans="1:55" ht="14.9" customHeight="1">
      <c r="A239" s="252"/>
      <c r="B239" s="2903" t="s">
        <v>625</v>
      </c>
      <c r="C239" s="2903"/>
      <c r="D239" s="2903"/>
      <c r="E239" s="2903"/>
      <c r="F239" s="6"/>
      <c r="G239" s="65"/>
      <c r="H239" s="799"/>
      <c r="I239" s="710"/>
      <c r="J239" s="711"/>
      <c r="K239" s="628"/>
      <c r="L239" s="710"/>
      <c r="M239" s="711"/>
      <c r="N239" s="628"/>
      <c r="O239" s="710"/>
      <c r="P239" s="712"/>
      <c r="Q239" s="628"/>
      <c r="R239" s="762"/>
      <c r="S239" s="762"/>
      <c r="T239" s="628"/>
      <c r="U239" s="762"/>
      <c r="V239" s="762"/>
      <c r="W239" s="628"/>
      <c r="X239" s="2893"/>
      <c r="Y239" s="2893"/>
      <c r="Z239" s="2893"/>
      <c r="AA239" s="2893"/>
      <c r="AB239" s="2893"/>
      <c r="AC239" s="2893"/>
      <c r="AD239" s="2893"/>
      <c r="AE239" s="2893"/>
      <c r="AF239" s="2893"/>
      <c r="AG239" s="2893"/>
    </row>
    <row r="240" spans="1:55" ht="14.9" customHeight="1">
      <c r="A240" s="252"/>
      <c r="B240" s="2903" t="s">
        <v>626</v>
      </c>
      <c r="C240" s="2903"/>
      <c r="D240" s="2903"/>
      <c r="E240" s="2903"/>
      <c r="F240" s="6"/>
      <c r="G240" s="63"/>
      <c r="H240" s="480"/>
      <c r="I240" s="710"/>
      <c r="J240" s="582"/>
      <c r="K240" s="526"/>
      <c r="L240" s="710"/>
      <c r="M240" s="582"/>
      <c r="N240" s="526"/>
      <c r="O240" s="710"/>
      <c r="P240" s="582"/>
      <c r="Q240" s="526"/>
      <c r="R240" s="762"/>
      <c r="S240" s="762"/>
      <c r="T240" s="526"/>
      <c r="U240" s="762"/>
      <c r="V240" s="762"/>
      <c r="W240" s="526"/>
      <c r="X240" s="2893"/>
      <c r="Y240" s="2893"/>
      <c r="Z240" s="2893"/>
      <c r="AA240" s="2893"/>
      <c r="AB240" s="2893"/>
      <c r="AC240" s="2893"/>
      <c r="AD240" s="2893"/>
      <c r="AE240" s="2893"/>
      <c r="AF240" s="2893"/>
      <c r="AG240" s="2893"/>
    </row>
    <row r="241" spans="1:33" ht="14.9" customHeight="1">
      <c r="A241" s="252"/>
      <c r="B241" s="2903" t="s">
        <v>627</v>
      </c>
      <c r="C241" s="2903"/>
      <c r="D241" s="2903"/>
      <c r="E241" s="2903"/>
      <c r="F241" s="6"/>
      <c r="G241" s="63"/>
      <c r="H241" s="794"/>
      <c r="I241" s="710"/>
      <c r="J241" s="582"/>
      <c r="K241" s="561"/>
      <c r="L241" s="710"/>
      <c r="M241" s="582"/>
      <c r="N241" s="561"/>
      <c r="O241" s="710"/>
      <c r="P241" s="582"/>
      <c r="Q241" s="561"/>
      <c r="R241" s="762"/>
      <c r="S241" s="762"/>
      <c r="T241" s="561"/>
      <c r="U241" s="762"/>
      <c r="V241" s="762"/>
      <c r="W241" s="561"/>
      <c r="X241" s="2893"/>
      <c r="Y241" s="2893"/>
      <c r="Z241" s="2893"/>
      <c r="AA241" s="2893"/>
      <c r="AB241" s="2893"/>
      <c r="AC241" s="2893"/>
      <c r="AD241" s="2893"/>
      <c r="AE241" s="2893"/>
      <c r="AF241" s="2893"/>
      <c r="AG241" s="2893"/>
    </row>
    <row r="242" spans="1:33" ht="14.9" customHeight="1">
      <c r="A242" s="252"/>
      <c r="B242" s="2904" t="s">
        <v>628</v>
      </c>
      <c r="C242" s="2904"/>
      <c r="D242" s="2904"/>
      <c r="E242" s="2904"/>
      <c r="F242" s="6"/>
      <c r="G242" s="63"/>
      <c r="H242" s="480"/>
      <c r="I242" s="710"/>
      <c r="J242" s="582"/>
      <c r="K242" s="526"/>
      <c r="L242" s="710"/>
      <c r="M242" s="582"/>
      <c r="N242" s="526"/>
      <c r="O242" s="710"/>
      <c r="P242" s="582"/>
      <c r="Q242" s="526"/>
      <c r="R242" s="762"/>
      <c r="S242" s="762"/>
      <c r="T242" s="526"/>
      <c r="U242" s="762"/>
      <c r="V242" s="762"/>
      <c r="W242" s="526"/>
      <c r="X242" s="2893"/>
      <c r="Y242" s="2893"/>
      <c r="Z242" s="2893"/>
      <c r="AA242" s="2893"/>
      <c r="AB242" s="2893"/>
      <c r="AC242" s="2893"/>
      <c r="AD242" s="2893"/>
      <c r="AE242" s="2893"/>
      <c r="AF242" s="2893"/>
      <c r="AG242" s="2893"/>
    </row>
    <row r="243" spans="1:33" ht="32.9" customHeight="1">
      <c r="A243" s="252"/>
      <c r="B243" s="2904" t="s">
        <v>629</v>
      </c>
      <c r="C243" s="2904"/>
      <c r="D243" s="2904"/>
      <c r="E243" s="2904"/>
      <c r="F243" s="6"/>
      <c r="G243" s="65"/>
      <c r="H243" s="795"/>
      <c r="I243" s="710"/>
      <c r="J243" s="711"/>
      <c r="K243" s="568"/>
      <c r="L243" s="710"/>
      <c r="M243" s="711"/>
      <c r="N243" s="568"/>
      <c r="O243" s="710"/>
      <c r="P243" s="712"/>
      <c r="Q243" s="568"/>
      <c r="R243" s="762"/>
      <c r="S243" s="762"/>
      <c r="T243" s="568"/>
      <c r="U243" s="762"/>
      <c r="V243" s="762"/>
      <c r="W243" s="568"/>
      <c r="X243" s="2893"/>
      <c r="Y243" s="2893"/>
      <c r="Z243" s="2893"/>
      <c r="AA243" s="2893"/>
      <c r="AB243" s="2893"/>
      <c r="AC243" s="2893"/>
      <c r="AD243" s="2893"/>
      <c r="AE243" s="2893"/>
      <c r="AF243" s="2893"/>
      <c r="AG243" s="2893"/>
    </row>
    <row r="244" spans="1:33" ht="14.9" customHeight="1">
      <c r="A244" s="252"/>
      <c r="B244" s="2903" t="s">
        <v>630</v>
      </c>
      <c r="C244" s="2903"/>
      <c r="D244" s="2903"/>
      <c r="E244" s="2903"/>
      <c r="F244" s="6"/>
      <c r="G244" s="65"/>
      <c r="H244" s="480"/>
      <c r="I244" s="710"/>
      <c r="J244" s="711"/>
      <c r="K244" s="526"/>
      <c r="L244" s="710"/>
      <c r="M244" s="711"/>
      <c r="N244" s="526"/>
      <c r="O244" s="710"/>
      <c r="P244" s="712"/>
      <c r="Q244" s="526"/>
      <c r="R244" s="762"/>
      <c r="S244" s="762"/>
      <c r="T244" s="526"/>
      <c r="U244" s="762"/>
      <c r="V244" s="762"/>
      <c r="W244" s="526"/>
      <c r="X244" s="2893"/>
      <c r="Y244" s="2893"/>
      <c r="Z244" s="2893"/>
      <c r="AA244" s="2893"/>
      <c r="AB244" s="2893"/>
      <c r="AC244" s="2893"/>
      <c r="AD244" s="2893"/>
      <c r="AE244" s="2893"/>
      <c r="AF244" s="2893"/>
      <c r="AG244" s="2893"/>
    </row>
    <row r="245" spans="1:33" ht="14.9" customHeight="1">
      <c r="A245" s="252"/>
      <c r="B245" s="2904" t="s">
        <v>634</v>
      </c>
      <c r="C245" s="2904"/>
      <c r="D245" s="2904"/>
      <c r="E245" s="2904"/>
      <c r="F245" s="6"/>
      <c r="G245" s="65"/>
      <c r="H245" s="481"/>
      <c r="I245" s="710"/>
      <c r="J245" s="711"/>
      <c r="K245" s="553"/>
      <c r="L245" s="710"/>
      <c r="M245" s="711"/>
      <c r="N245" s="553"/>
      <c r="O245" s="710"/>
      <c r="P245" s="712"/>
      <c r="Q245" s="553"/>
      <c r="R245" s="762"/>
      <c r="S245" s="762"/>
      <c r="T245" s="553"/>
      <c r="U245" s="762"/>
      <c r="V245" s="762"/>
      <c r="W245" s="553"/>
      <c r="X245" s="2893"/>
      <c r="Y245" s="2893"/>
      <c r="Z245" s="2893"/>
      <c r="AA245" s="2893"/>
      <c r="AB245" s="2893"/>
      <c r="AC245" s="2893"/>
      <c r="AD245" s="2893"/>
      <c r="AE245" s="2893"/>
      <c r="AF245" s="2893"/>
      <c r="AG245" s="2893"/>
    </row>
    <row r="246" spans="1:33" ht="32.15" customHeight="1">
      <c r="A246" s="252"/>
      <c r="B246" s="2903" t="s">
        <v>1551</v>
      </c>
      <c r="C246" s="2903"/>
      <c r="D246" s="2903"/>
      <c r="E246" s="2903"/>
      <c r="F246" s="6"/>
      <c r="G246" s="65"/>
      <c r="H246" s="796"/>
      <c r="I246" s="710"/>
      <c r="J246" s="711"/>
      <c r="K246" s="619"/>
      <c r="L246" s="710"/>
      <c r="M246" s="711"/>
      <c r="N246" s="619"/>
      <c r="O246" s="710"/>
      <c r="P246" s="712"/>
      <c r="Q246" s="619"/>
      <c r="R246" s="762"/>
      <c r="S246" s="762"/>
      <c r="T246" s="619"/>
      <c r="U246" s="762"/>
      <c r="V246" s="762"/>
      <c r="W246" s="619"/>
      <c r="X246" s="2893"/>
      <c r="Y246" s="2893"/>
      <c r="Z246" s="2893"/>
      <c r="AA246" s="2893"/>
      <c r="AB246" s="2893"/>
      <c r="AC246" s="2893"/>
      <c r="AD246" s="2893"/>
      <c r="AE246" s="2893"/>
      <c r="AF246" s="2893"/>
      <c r="AG246" s="2893"/>
    </row>
    <row r="247" spans="1:33" ht="32.15" customHeight="1">
      <c r="A247" s="252"/>
      <c r="B247" s="2903" t="s">
        <v>1552</v>
      </c>
      <c r="C247" s="2903"/>
      <c r="D247" s="2903"/>
      <c r="E247" s="2903"/>
      <c r="F247" s="6"/>
      <c r="G247" s="65"/>
      <c r="H247" s="796"/>
      <c r="I247" s="710"/>
      <c r="J247" s="711"/>
      <c r="K247" s="619"/>
      <c r="L247" s="710"/>
      <c r="M247" s="711"/>
      <c r="N247" s="619"/>
      <c r="O247" s="710"/>
      <c r="P247" s="712"/>
      <c r="Q247" s="619"/>
      <c r="R247" s="762"/>
      <c r="S247" s="762"/>
      <c r="T247" s="619"/>
      <c r="U247" s="762"/>
      <c r="V247" s="762"/>
      <c r="W247" s="619"/>
      <c r="X247" s="2893"/>
      <c r="Y247" s="2893"/>
      <c r="Z247" s="2893"/>
      <c r="AA247" s="2893"/>
      <c r="AB247" s="2893"/>
      <c r="AC247" s="2893"/>
      <c r="AD247" s="2893"/>
      <c r="AE247" s="2893"/>
      <c r="AF247" s="2893"/>
      <c r="AG247" s="2893"/>
    </row>
    <row r="248" spans="1:33" ht="32.9" customHeight="1">
      <c r="A248" s="252"/>
      <c r="B248" s="2903" t="s">
        <v>331</v>
      </c>
      <c r="C248" s="2903"/>
      <c r="D248" s="2903"/>
      <c r="E248" s="2903"/>
      <c r="F248" s="6"/>
      <c r="G248" s="65"/>
      <c r="H248" s="480"/>
      <c r="I248" s="710"/>
      <c r="J248" s="711"/>
      <c r="K248" s="526"/>
      <c r="L248" s="710"/>
      <c r="M248" s="711"/>
      <c r="N248" s="526"/>
      <c r="O248" s="710"/>
      <c r="P248" s="712"/>
      <c r="Q248" s="526"/>
      <c r="R248" s="762"/>
      <c r="S248" s="762"/>
      <c r="T248" s="526"/>
      <c r="U248" s="762"/>
      <c r="V248" s="762"/>
      <c r="W248" s="526"/>
      <c r="X248" s="2893"/>
      <c r="Y248" s="2893"/>
      <c r="Z248" s="2893"/>
      <c r="AA248" s="2893"/>
      <c r="AB248" s="2893"/>
      <c r="AC248" s="2893"/>
      <c r="AD248" s="2893"/>
      <c r="AE248" s="2893"/>
      <c r="AF248" s="2893"/>
      <c r="AG248" s="2893"/>
    </row>
    <row r="249" spans="1:33" ht="14.9" customHeight="1">
      <c r="A249" s="252"/>
      <c r="B249" s="2904" t="s">
        <v>332</v>
      </c>
      <c r="C249" s="2904"/>
      <c r="D249" s="2904"/>
      <c r="E249" s="2904"/>
      <c r="F249" s="6"/>
      <c r="G249" s="63"/>
      <c r="H249" s="480"/>
      <c r="I249" s="710"/>
      <c r="J249" s="582"/>
      <c r="K249" s="526"/>
      <c r="L249" s="710"/>
      <c r="M249" s="582"/>
      <c r="N249" s="526"/>
      <c r="O249" s="710"/>
      <c r="P249" s="582"/>
      <c r="Q249" s="526"/>
      <c r="R249" s="762"/>
      <c r="S249" s="762"/>
      <c r="T249" s="526"/>
      <c r="U249" s="762"/>
      <c r="V249" s="762"/>
      <c r="W249" s="526"/>
      <c r="X249" s="2893"/>
      <c r="Y249" s="2893"/>
      <c r="Z249" s="2893"/>
      <c r="AA249" s="2893"/>
      <c r="AB249" s="2893"/>
      <c r="AC249" s="2893"/>
      <c r="AD249" s="2893"/>
      <c r="AE249" s="2893"/>
      <c r="AF249" s="2893"/>
      <c r="AG249" s="2893"/>
    </row>
    <row r="250" spans="1:33" ht="14.9" customHeight="1">
      <c r="A250" s="252"/>
      <c r="B250" s="2903" t="s">
        <v>333</v>
      </c>
      <c r="C250" s="2903"/>
      <c r="D250" s="2903"/>
      <c r="E250" s="2903"/>
      <c r="F250" s="6"/>
      <c r="G250" s="65"/>
      <c r="H250" s="480"/>
      <c r="I250" s="710"/>
      <c r="J250" s="711"/>
      <c r="K250" s="526"/>
      <c r="L250" s="710"/>
      <c r="M250" s="711"/>
      <c r="N250" s="526"/>
      <c r="O250" s="710"/>
      <c r="P250" s="712"/>
      <c r="Q250" s="526"/>
      <c r="R250" s="762"/>
      <c r="S250" s="762"/>
      <c r="T250" s="526"/>
      <c r="U250" s="762"/>
      <c r="V250" s="762"/>
      <c r="W250" s="526"/>
      <c r="X250" s="2893"/>
      <c r="Y250" s="2893"/>
      <c r="Z250" s="2893"/>
      <c r="AA250" s="2893"/>
      <c r="AB250" s="2893"/>
      <c r="AC250" s="2893"/>
      <c r="AD250" s="2893"/>
      <c r="AE250" s="2893"/>
      <c r="AF250" s="2893"/>
      <c r="AG250" s="2893"/>
    </row>
    <row r="251" spans="1:33" ht="14.9" customHeight="1">
      <c r="A251" s="252"/>
      <c r="B251" s="2903" t="s">
        <v>334</v>
      </c>
      <c r="C251" s="2903"/>
      <c r="D251" s="2903"/>
      <c r="E251" s="2903"/>
      <c r="F251" s="6"/>
      <c r="G251" s="63"/>
      <c r="H251" s="480"/>
      <c r="I251" s="710"/>
      <c r="J251" s="582"/>
      <c r="K251" s="526"/>
      <c r="L251" s="710"/>
      <c r="M251" s="582"/>
      <c r="N251" s="526"/>
      <c r="O251" s="710"/>
      <c r="P251" s="582"/>
      <c r="Q251" s="526"/>
      <c r="R251" s="762"/>
      <c r="S251" s="762"/>
      <c r="T251" s="526"/>
      <c r="U251" s="762"/>
      <c r="V251" s="762"/>
      <c r="W251" s="526"/>
      <c r="X251" s="2893"/>
      <c r="Y251" s="2893"/>
      <c r="Z251" s="2893"/>
      <c r="AA251" s="2893"/>
      <c r="AB251" s="2893"/>
      <c r="AC251" s="2893"/>
      <c r="AD251" s="2893"/>
      <c r="AE251" s="2893"/>
      <c r="AF251" s="2893"/>
      <c r="AG251" s="2893"/>
    </row>
    <row r="252" spans="1:33" ht="14.9" customHeight="1">
      <c r="A252" s="252"/>
      <c r="B252" s="2904" t="s">
        <v>335</v>
      </c>
      <c r="C252" s="2904"/>
      <c r="D252" s="2904"/>
      <c r="E252" s="2904"/>
      <c r="H252" s="480"/>
      <c r="I252" s="713"/>
      <c r="J252" s="713"/>
      <c r="K252" s="526"/>
      <c r="L252" s="713"/>
      <c r="M252" s="713"/>
      <c r="N252" s="526"/>
      <c r="O252" s="713"/>
      <c r="P252" s="713"/>
      <c r="Q252" s="526"/>
      <c r="R252" s="762"/>
      <c r="S252" s="762"/>
      <c r="T252" s="526"/>
      <c r="U252" s="762"/>
      <c r="V252" s="762"/>
      <c r="W252" s="526"/>
      <c r="X252" s="2893"/>
      <c r="Y252" s="2893"/>
      <c r="Z252" s="2893"/>
      <c r="AA252" s="2893"/>
      <c r="AB252" s="2893"/>
      <c r="AC252" s="2893"/>
      <c r="AD252" s="2893"/>
      <c r="AE252" s="2893"/>
      <c r="AF252" s="2893"/>
      <c r="AG252" s="2893"/>
    </row>
    <row r="253" spans="1:33" ht="14.9" customHeight="1">
      <c r="A253" s="252"/>
      <c r="B253" s="2903" t="s">
        <v>336</v>
      </c>
      <c r="C253" s="2903"/>
      <c r="D253" s="2903"/>
      <c r="E253" s="2903"/>
      <c r="F253" s="6"/>
      <c r="G253" s="63"/>
      <c r="H253" s="480"/>
      <c r="I253" s="710"/>
      <c r="J253" s="582"/>
      <c r="K253" s="526"/>
      <c r="L253" s="710"/>
      <c r="M253" s="582"/>
      <c r="N253" s="526"/>
      <c r="O253" s="710"/>
      <c r="P253" s="582"/>
      <c r="Q253" s="526"/>
      <c r="R253" s="762"/>
      <c r="S253" s="762"/>
      <c r="T253" s="526"/>
      <c r="U253" s="762"/>
      <c r="V253" s="762"/>
      <c r="W253" s="526"/>
      <c r="X253" s="2893"/>
      <c r="Y253" s="2893"/>
      <c r="Z253" s="2893"/>
      <c r="AA253" s="2893"/>
      <c r="AB253" s="2893"/>
      <c r="AC253" s="2893"/>
      <c r="AD253" s="2893"/>
      <c r="AE253" s="2893"/>
      <c r="AF253" s="2893"/>
      <c r="AG253" s="2893"/>
    </row>
    <row r="254" spans="1:33" ht="32.9" customHeight="1">
      <c r="A254" s="252"/>
      <c r="B254" s="2903" t="s">
        <v>337</v>
      </c>
      <c r="C254" s="2903"/>
      <c r="D254" s="2903"/>
      <c r="E254" s="2903"/>
      <c r="F254" s="6"/>
      <c r="G254" s="63"/>
      <c r="H254" s="480"/>
      <c r="I254" s="710"/>
      <c r="J254" s="582"/>
      <c r="K254" s="526"/>
      <c r="L254" s="710"/>
      <c r="M254" s="582"/>
      <c r="N254" s="526"/>
      <c r="O254" s="710"/>
      <c r="P254" s="582"/>
      <c r="Q254" s="526"/>
      <c r="R254" s="762"/>
      <c r="S254" s="762"/>
      <c r="T254" s="526"/>
      <c r="U254" s="762"/>
      <c r="V254" s="762"/>
      <c r="W254" s="526"/>
      <c r="X254" s="2893"/>
      <c r="Y254" s="2893"/>
      <c r="Z254" s="2893"/>
      <c r="AA254" s="2893"/>
      <c r="AB254" s="2893"/>
      <c r="AC254" s="2893"/>
      <c r="AD254" s="2893"/>
      <c r="AE254" s="2893"/>
      <c r="AF254" s="2893"/>
      <c r="AG254" s="2893"/>
    </row>
    <row r="255" spans="1:33" ht="32.9" customHeight="1">
      <c r="A255" s="252"/>
      <c r="B255" s="2903" t="s">
        <v>338</v>
      </c>
      <c r="C255" s="2903"/>
      <c r="D255" s="2903"/>
      <c r="E255" s="2903"/>
      <c r="F255" s="6"/>
      <c r="G255" s="63"/>
      <c r="H255" s="480"/>
      <c r="I255" s="710"/>
      <c r="J255" s="582"/>
      <c r="K255" s="526"/>
      <c r="L255" s="710"/>
      <c r="M255" s="582"/>
      <c r="N255" s="526"/>
      <c r="O255" s="710"/>
      <c r="P255" s="582"/>
      <c r="Q255" s="526"/>
      <c r="R255" s="762"/>
      <c r="S255" s="762"/>
      <c r="T255" s="526"/>
      <c r="U255" s="762"/>
      <c r="V255" s="762"/>
      <c r="W255" s="526"/>
      <c r="X255" s="2893"/>
      <c r="Y255" s="2893"/>
      <c r="Z255" s="2893"/>
      <c r="AA255" s="2893"/>
      <c r="AB255" s="2893"/>
      <c r="AC255" s="2893"/>
      <c r="AD255" s="2893"/>
      <c r="AE255" s="2893"/>
      <c r="AF255" s="2893"/>
      <c r="AG255" s="2893"/>
    </row>
    <row r="256" spans="1:33" ht="14.9" customHeight="1">
      <c r="A256" s="252"/>
      <c r="B256" s="2903" t="s">
        <v>735</v>
      </c>
      <c r="C256" s="2903"/>
      <c r="D256" s="2903"/>
      <c r="E256" s="2903"/>
      <c r="F256" s="6"/>
      <c r="G256" s="63"/>
      <c r="H256" s="480"/>
      <c r="I256" s="710"/>
      <c r="J256" s="582"/>
      <c r="K256" s="526"/>
      <c r="L256" s="710"/>
      <c r="M256" s="582"/>
      <c r="N256" s="526"/>
      <c r="O256" s="710"/>
      <c r="P256" s="582"/>
      <c r="Q256" s="526"/>
      <c r="R256" s="762"/>
      <c r="S256" s="762"/>
      <c r="T256" s="526"/>
      <c r="U256" s="762"/>
      <c r="V256" s="762"/>
      <c r="W256" s="526"/>
      <c r="X256" s="2893"/>
      <c r="Y256" s="2893"/>
      <c r="Z256" s="2893"/>
      <c r="AA256" s="2893"/>
      <c r="AB256" s="2893"/>
      <c r="AC256" s="2893"/>
      <c r="AD256" s="2893"/>
      <c r="AE256" s="2893"/>
      <c r="AF256" s="2893"/>
      <c r="AG256" s="2893"/>
    </row>
    <row r="257" spans="1:33" ht="14.9" customHeight="1">
      <c r="A257" s="252"/>
      <c r="B257" s="2903" t="s">
        <v>734</v>
      </c>
      <c r="C257" s="2903"/>
      <c r="D257" s="2903"/>
      <c r="E257" s="2903"/>
      <c r="F257" s="6"/>
      <c r="G257" s="63"/>
      <c r="H257" s="802"/>
      <c r="I257" s="741"/>
      <c r="J257" s="557"/>
      <c r="K257" s="769"/>
      <c r="L257" s="741"/>
      <c r="M257" s="557"/>
      <c r="N257" s="769"/>
      <c r="O257" s="741"/>
      <c r="P257" s="557"/>
      <c r="Q257" s="769"/>
      <c r="R257" s="768"/>
      <c r="S257" s="768"/>
      <c r="T257" s="769"/>
      <c r="U257" s="768"/>
      <c r="V257" s="768"/>
      <c r="W257" s="769"/>
      <c r="X257" s="2893"/>
      <c r="Y257" s="2893"/>
      <c r="Z257" s="2893"/>
      <c r="AA257" s="2893"/>
      <c r="AB257" s="2893"/>
      <c r="AC257" s="2893"/>
      <c r="AD257" s="2893"/>
      <c r="AE257" s="2893"/>
      <c r="AF257" s="2893"/>
      <c r="AG257" s="2893"/>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906"/>
      <c r="Y258" s="2906"/>
      <c r="Z258" s="2906"/>
      <c r="AA258" s="2906"/>
      <c r="AB258" s="2906"/>
      <c r="AC258" s="2906"/>
      <c r="AD258" s="2906"/>
      <c r="AE258" s="2906"/>
      <c r="AF258" s="2906"/>
      <c r="AG258" s="2906"/>
    </row>
    <row r="259" spans="1:33" ht="21.65" customHeight="1">
      <c r="A259" s="2907" t="s">
        <v>733</v>
      </c>
      <c r="B259" s="2907"/>
      <c r="C259" s="2907"/>
      <c r="D259" s="2907"/>
      <c r="E259" s="2907"/>
      <c r="F259" s="2907"/>
      <c r="G259" s="2907"/>
      <c r="H259" s="779"/>
      <c r="I259" s="597"/>
      <c r="J259" s="594"/>
      <c r="K259" s="779"/>
      <c r="L259" s="597"/>
      <c r="M259" s="594"/>
      <c r="N259" s="669"/>
      <c r="O259" s="594"/>
      <c r="P259" s="670"/>
      <c r="Q259" s="671"/>
      <c r="R259" s="682"/>
      <c r="S259" s="682"/>
      <c r="T259" s="682"/>
      <c r="U259" s="682"/>
      <c r="V259" s="682"/>
      <c r="W259" s="682"/>
      <c r="X259" s="2909"/>
      <c r="Y259" s="2909"/>
      <c r="Z259" s="2909"/>
      <c r="AA259" s="2909"/>
      <c r="AB259" s="2909"/>
      <c r="AC259" s="2909"/>
      <c r="AD259" s="2909"/>
      <c r="AE259" s="2909"/>
      <c r="AF259" s="2909"/>
      <c r="AG259" s="2909"/>
    </row>
    <row r="260" spans="1:33" ht="18.649999999999999" customHeight="1">
      <c r="A260" s="1"/>
      <c r="B260" s="502"/>
      <c r="C260" s="50"/>
      <c r="D260" s="50"/>
      <c r="E260" s="50"/>
      <c r="G260" s="13"/>
      <c r="H260" s="60"/>
      <c r="I260" s="6"/>
      <c r="J260" s="65"/>
      <c r="K260" s="60"/>
      <c r="L260" s="6"/>
      <c r="M260" s="65"/>
      <c r="N260" s="60"/>
      <c r="P260" s="66"/>
      <c r="Q260" s="788"/>
      <c r="R260" s="8"/>
      <c r="S260" s="8"/>
      <c r="T260" s="788"/>
      <c r="U260" s="8"/>
      <c r="V260" s="8"/>
      <c r="W260" s="788"/>
      <c r="X260" s="2910"/>
      <c r="Y260" s="2910"/>
      <c r="Z260" s="2910"/>
      <c r="AA260" s="2910"/>
      <c r="AB260" s="2910"/>
      <c r="AC260" s="2910"/>
      <c r="AD260" s="2910"/>
      <c r="AE260" s="2910"/>
      <c r="AF260" s="2910"/>
      <c r="AG260" s="2910"/>
    </row>
    <row r="261" spans="1:33" ht="30.75" customHeight="1">
      <c r="A261" s="252"/>
      <c r="B261" s="2903" t="s">
        <v>241</v>
      </c>
      <c r="C261" s="2903"/>
      <c r="D261" s="2903"/>
      <c r="E261" s="2903"/>
      <c r="F261" s="6"/>
      <c r="G261" s="65"/>
      <c r="H261" s="801"/>
      <c r="I261" s="710"/>
      <c r="J261" s="711"/>
      <c r="K261" s="588"/>
      <c r="L261" s="710"/>
      <c r="M261" s="711"/>
      <c r="N261" s="588"/>
      <c r="O261" s="710"/>
      <c r="P261" s="712"/>
      <c r="Q261" s="588"/>
      <c r="R261" s="762"/>
      <c r="S261" s="762"/>
      <c r="T261" s="588"/>
      <c r="U261" s="762"/>
      <c r="V261" s="762"/>
      <c r="W261" s="588"/>
      <c r="X261" s="2893"/>
      <c r="Y261" s="2893"/>
      <c r="Z261" s="2893"/>
      <c r="AA261" s="2893"/>
      <c r="AB261" s="2893"/>
      <c r="AC261" s="2893"/>
      <c r="AD261" s="2893"/>
      <c r="AE261" s="2893"/>
      <c r="AF261" s="2893"/>
      <c r="AG261" s="2893"/>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911"/>
      <c r="Y262" s="2911"/>
      <c r="Z262" s="2911"/>
      <c r="AA262" s="2911"/>
      <c r="AB262" s="2911"/>
      <c r="AC262" s="2911"/>
      <c r="AD262" s="2911"/>
      <c r="AE262" s="2911"/>
      <c r="AF262" s="2911"/>
      <c r="AG262" s="2911"/>
    </row>
    <row r="263" spans="1:33" ht="14.9" customHeight="1">
      <c r="A263" s="252"/>
      <c r="B263" s="2903" t="s">
        <v>625</v>
      </c>
      <c r="C263" s="2903"/>
      <c r="D263" s="2903"/>
      <c r="E263" s="2903"/>
      <c r="F263" s="6"/>
      <c r="G263" s="65"/>
      <c r="H263" s="799"/>
      <c r="I263" s="710"/>
      <c r="J263" s="711"/>
      <c r="K263" s="628"/>
      <c r="L263" s="710"/>
      <c r="M263" s="711"/>
      <c r="N263" s="628"/>
      <c r="O263" s="710"/>
      <c r="P263" s="712"/>
      <c r="Q263" s="628"/>
      <c r="R263" s="762"/>
      <c r="S263" s="762"/>
      <c r="T263" s="628"/>
      <c r="U263" s="762"/>
      <c r="V263" s="762"/>
      <c r="W263" s="628"/>
      <c r="X263" s="2893"/>
      <c r="Y263" s="2893"/>
      <c r="Z263" s="2893"/>
      <c r="AA263" s="2893"/>
      <c r="AB263" s="2893"/>
      <c r="AC263" s="2893"/>
      <c r="AD263" s="2893"/>
      <c r="AE263" s="2893"/>
      <c r="AF263" s="2893"/>
      <c r="AG263" s="2893"/>
    </row>
    <row r="264" spans="1:33" ht="14.9" customHeight="1">
      <c r="A264" s="252"/>
      <c r="B264" s="2903" t="s">
        <v>626</v>
      </c>
      <c r="C264" s="2903"/>
      <c r="D264" s="2903"/>
      <c r="E264" s="2903"/>
      <c r="F264" s="6"/>
      <c r="G264" s="65"/>
      <c r="H264" s="480"/>
      <c r="I264" s="710"/>
      <c r="J264" s="711"/>
      <c r="K264" s="526"/>
      <c r="L264" s="710"/>
      <c r="M264" s="711"/>
      <c r="N264" s="526"/>
      <c r="O264" s="710"/>
      <c r="P264" s="712"/>
      <c r="Q264" s="526"/>
      <c r="R264" s="762"/>
      <c r="S264" s="762"/>
      <c r="T264" s="526"/>
      <c r="U264" s="762"/>
      <c r="V264" s="762"/>
      <c r="W264" s="526"/>
      <c r="X264" s="2893"/>
      <c r="Y264" s="2893"/>
      <c r="Z264" s="2893"/>
      <c r="AA264" s="2893"/>
      <c r="AB264" s="2893"/>
      <c r="AC264" s="2893"/>
      <c r="AD264" s="2893"/>
      <c r="AE264" s="2893"/>
      <c r="AF264" s="2893"/>
      <c r="AG264" s="2893"/>
    </row>
    <row r="265" spans="1:33" ht="14.9" customHeight="1">
      <c r="A265" s="252"/>
      <c r="B265" s="2903" t="s">
        <v>627</v>
      </c>
      <c r="C265" s="2903"/>
      <c r="D265" s="2903"/>
      <c r="E265" s="2903"/>
      <c r="F265" s="6"/>
      <c r="G265" s="65"/>
      <c r="H265" s="794"/>
      <c r="I265" s="710"/>
      <c r="J265" s="711"/>
      <c r="K265" s="561"/>
      <c r="L265" s="710"/>
      <c r="M265" s="711"/>
      <c r="N265" s="561"/>
      <c r="O265" s="710"/>
      <c r="P265" s="712"/>
      <c r="Q265" s="561"/>
      <c r="R265" s="762"/>
      <c r="S265" s="762"/>
      <c r="T265" s="561"/>
      <c r="U265" s="762"/>
      <c r="V265" s="762"/>
      <c r="W265" s="561"/>
      <c r="X265" s="2893"/>
      <c r="Y265" s="2893"/>
      <c r="Z265" s="2893"/>
      <c r="AA265" s="2893"/>
      <c r="AB265" s="2893"/>
      <c r="AC265" s="2893"/>
      <c r="AD265" s="2893"/>
      <c r="AE265" s="2893"/>
      <c r="AF265" s="2893"/>
      <c r="AG265" s="2893"/>
    </row>
    <row r="266" spans="1:33" ht="14.9" customHeight="1">
      <c r="A266" s="252"/>
      <c r="B266" s="2904" t="s">
        <v>628</v>
      </c>
      <c r="C266" s="2904"/>
      <c r="D266" s="2904"/>
      <c r="E266" s="2904"/>
      <c r="F266" s="6"/>
      <c r="G266" s="65"/>
      <c r="H266" s="480"/>
      <c r="I266" s="710"/>
      <c r="J266" s="711"/>
      <c r="K266" s="526"/>
      <c r="L266" s="710"/>
      <c r="M266" s="711"/>
      <c r="N266" s="526"/>
      <c r="O266" s="710"/>
      <c r="P266" s="712"/>
      <c r="Q266" s="526"/>
      <c r="R266" s="762"/>
      <c r="S266" s="762"/>
      <c r="T266" s="526"/>
      <c r="U266" s="762"/>
      <c r="V266" s="762"/>
      <c r="W266" s="526"/>
      <c r="X266" s="2893"/>
      <c r="Y266" s="2893"/>
      <c r="Z266" s="2893"/>
      <c r="AA266" s="2893"/>
      <c r="AB266" s="2893"/>
      <c r="AC266" s="2893"/>
      <c r="AD266" s="2893"/>
      <c r="AE266" s="2893"/>
      <c r="AF266" s="2893"/>
      <c r="AG266" s="2893"/>
    </row>
    <row r="267" spans="1:33" ht="32.9" customHeight="1">
      <c r="A267" s="252"/>
      <c r="B267" s="2904" t="s">
        <v>629</v>
      </c>
      <c r="C267" s="2904"/>
      <c r="D267" s="2904"/>
      <c r="E267" s="2904"/>
      <c r="F267" s="6"/>
      <c r="G267" s="65"/>
      <c r="H267" s="795"/>
      <c r="I267" s="710"/>
      <c r="J267" s="711"/>
      <c r="K267" s="568"/>
      <c r="L267" s="710"/>
      <c r="M267" s="711"/>
      <c r="N267" s="568"/>
      <c r="O267" s="710"/>
      <c r="P267" s="712"/>
      <c r="Q267" s="568"/>
      <c r="R267" s="762"/>
      <c r="S267" s="762"/>
      <c r="T267" s="568"/>
      <c r="U267" s="762"/>
      <c r="V267" s="762"/>
      <c r="W267" s="568"/>
      <c r="X267" s="2893"/>
      <c r="Y267" s="2893"/>
      <c r="Z267" s="2893"/>
      <c r="AA267" s="2893"/>
      <c r="AB267" s="2893"/>
      <c r="AC267" s="2893"/>
      <c r="AD267" s="2893"/>
      <c r="AE267" s="2893"/>
      <c r="AF267" s="2893"/>
      <c r="AG267" s="2893"/>
    </row>
    <row r="268" spans="1:33" ht="14.9" customHeight="1">
      <c r="A268" s="252"/>
      <c r="B268" s="2903" t="s">
        <v>630</v>
      </c>
      <c r="C268" s="2903"/>
      <c r="D268" s="2903"/>
      <c r="E268" s="2903"/>
      <c r="F268" s="6"/>
      <c r="G268" s="65"/>
      <c r="H268" s="480"/>
      <c r="I268" s="710"/>
      <c r="J268" s="711"/>
      <c r="K268" s="526"/>
      <c r="L268" s="710"/>
      <c r="M268" s="711"/>
      <c r="N268" s="526"/>
      <c r="O268" s="710"/>
      <c r="P268" s="712"/>
      <c r="Q268" s="526"/>
      <c r="R268" s="762"/>
      <c r="S268" s="762"/>
      <c r="T268" s="526"/>
      <c r="U268" s="762"/>
      <c r="V268" s="762"/>
      <c r="W268" s="526"/>
      <c r="X268" s="2893"/>
      <c r="Y268" s="2893"/>
      <c r="Z268" s="2893"/>
      <c r="AA268" s="2893"/>
      <c r="AB268" s="2893"/>
      <c r="AC268" s="2893"/>
      <c r="AD268" s="2893"/>
      <c r="AE268" s="2893"/>
      <c r="AF268" s="2893"/>
      <c r="AG268" s="2893"/>
    </row>
    <row r="269" spans="1:33" ht="14.9" customHeight="1">
      <c r="A269" s="252"/>
      <c r="B269" s="2904" t="s">
        <v>634</v>
      </c>
      <c r="C269" s="2904"/>
      <c r="D269" s="2904"/>
      <c r="E269" s="2904"/>
      <c r="F269" s="6"/>
      <c r="G269" s="63"/>
      <c r="H269" s="481"/>
      <c r="I269" s="710"/>
      <c r="J269" s="582"/>
      <c r="K269" s="553"/>
      <c r="L269" s="748"/>
      <c r="M269" s="711"/>
      <c r="N269" s="553"/>
      <c r="O269" s="710"/>
      <c r="P269" s="582"/>
      <c r="Q269" s="553"/>
      <c r="R269" s="762"/>
      <c r="S269" s="762"/>
      <c r="T269" s="553"/>
      <c r="U269" s="762"/>
      <c r="V269" s="762"/>
      <c r="W269" s="553"/>
      <c r="X269" s="2893"/>
      <c r="Y269" s="2893"/>
      <c r="Z269" s="2893"/>
      <c r="AA269" s="2893"/>
      <c r="AB269" s="2893"/>
      <c r="AC269" s="2893"/>
      <c r="AD269" s="2893"/>
      <c r="AE269" s="2893"/>
      <c r="AF269" s="2893"/>
      <c r="AG269" s="2893"/>
    </row>
    <row r="270" spans="1:33" ht="29.15" customHeight="1">
      <c r="A270" s="252"/>
      <c r="B270" s="2903" t="s">
        <v>1551</v>
      </c>
      <c r="C270" s="2903"/>
      <c r="D270" s="2903"/>
      <c r="E270" s="2903"/>
      <c r="F270" s="6"/>
      <c r="G270" s="63"/>
      <c r="H270" s="796"/>
      <c r="I270" s="710"/>
      <c r="J270" s="582"/>
      <c r="K270" s="619"/>
      <c r="L270" s="748"/>
      <c r="M270" s="711"/>
      <c r="N270" s="619"/>
      <c r="O270" s="710"/>
      <c r="P270" s="582"/>
      <c r="Q270" s="619"/>
      <c r="R270" s="762"/>
      <c r="S270" s="762"/>
      <c r="T270" s="619"/>
      <c r="U270" s="762"/>
      <c r="V270" s="762"/>
      <c r="W270" s="619"/>
      <c r="X270" s="2893"/>
      <c r="Y270" s="2893"/>
      <c r="Z270" s="2893"/>
      <c r="AA270" s="2893"/>
      <c r="AB270" s="2893"/>
      <c r="AC270" s="2893"/>
      <c r="AD270" s="2893"/>
      <c r="AE270" s="2893"/>
      <c r="AF270" s="2893"/>
      <c r="AG270" s="2893"/>
    </row>
    <row r="271" spans="1:33" ht="29.15" customHeight="1">
      <c r="A271" s="252"/>
      <c r="B271" s="2903" t="s">
        <v>1552</v>
      </c>
      <c r="C271" s="2903"/>
      <c r="D271" s="2903"/>
      <c r="E271" s="2903"/>
      <c r="F271" s="6"/>
      <c r="G271" s="63"/>
      <c r="H271" s="796"/>
      <c r="I271" s="710"/>
      <c r="J271" s="582"/>
      <c r="K271" s="619"/>
      <c r="L271" s="748"/>
      <c r="M271" s="711"/>
      <c r="N271" s="619"/>
      <c r="O271" s="710"/>
      <c r="P271" s="582"/>
      <c r="Q271" s="619"/>
      <c r="R271" s="762"/>
      <c r="S271" s="762"/>
      <c r="T271" s="619"/>
      <c r="U271" s="762"/>
      <c r="V271" s="762"/>
      <c r="W271" s="619"/>
      <c r="X271" s="2893"/>
      <c r="Y271" s="2893"/>
      <c r="Z271" s="2893"/>
      <c r="AA271" s="2893"/>
      <c r="AB271" s="2893"/>
      <c r="AC271" s="2893"/>
      <c r="AD271" s="2893"/>
      <c r="AE271" s="2893"/>
      <c r="AF271" s="2893"/>
      <c r="AG271" s="2893"/>
    </row>
    <row r="272" spans="1:33" ht="32.9" customHeight="1">
      <c r="A272" s="252"/>
      <c r="B272" s="2903" t="s">
        <v>331</v>
      </c>
      <c r="C272" s="2903"/>
      <c r="D272" s="2903"/>
      <c r="E272" s="2903"/>
      <c r="F272" s="6"/>
      <c r="G272" s="65"/>
      <c r="H272" s="480"/>
      <c r="I272" s="710"/>
      <c r="J272" s="711"/>
      <c r="K272" s="526"/>
      <c r="L272" s="710"/>
      <c r="M272" s="711"/>
      <c r="N272" s="526"/>
      <c r="O272" s="710"/>
      <c r="P272" s="712"/>
      <c r="Q272" s="526"/>
      <c r="R272" s="762"/>
      <c r="S272" s="762"/>
      <c r="T272" s="526"/>
      <c r="U272" s="762"/>
      <c r="V272" s="762"/>
      <c r="W272" s="526"/>
      <c r="X272" s="2893"/>
      <c r="Y272" s="2893"/>
      <c r="Z272" s="2893"/>
      <c r="AA272" s="2893"/>
      <c r="AB272" s="2893"/>
      <c r="AC272" s="2893"/>
      <c r="AD272" s="2893"/>
      <c r="AE272" s="2893"/>
      <c r="AF272" s="2893"/>
      <c r="AG272" s="2893"/>
    </row>
    <row r="273" spans="1:33" ht="14.9" customHeight="1">
      <c r="A273" s="252"/>
      <c r="B273" s="2904" t="s">
        <v>332</v>
      </c>
      <c r="C273" s="2904"/>
      <c r="D273" s="2904"/>
      <c r="E273" s="2904"/>
      <c r="F273" s="6"/>
      <c r="G273" s="63"/>
      <c r="H273" s="480"/>
      <c r="I273" s="710"/>
      <c r="J273" s="582"/>
      <c r="K273" s="526"/>
      <c r="L273" s="748"/>
      <c r="M273" s="711"/>
      <c r="N273" s="526"/>
      <c r="O273" s="710"/>
      <c r="P273" s="582"/>
      <c r="Q273" s="526"/>
      <c r="R273" s="762"/>
      <c r="S273" s="762"/>
      <c r="T273" s="526"/>
      <c r="U273" s="762"/>
      <c r="V273" s="762"/>
      <c r="W273" s="526"/>
      <c r="X273" s="2893"/>
      <c r="Y273" s="2893"/>
      <c r="Z273" s="2893"/>
      <c r="AA273" s="2893"/>
      <c r="AB273" s="2893"/>
      <c r="AC273" s="2893"/>
      <c r="AD273" s="2893"/>
      <c r="AE273" s="2893"/>
      <c r="AF273" s="2893"/>
      <c r="AG273" s="2893"/>
    </row>
    <row r="274" spans="1:33" ht="14.9" customHeight="1">
      <c r="A274" s="252"/>
      <c r="B274" s="2903" t="s">
        <v>333</v>
      </c>
      <c r="C274" s="2903"/>
      <c r="D274" s="2903"/>
      <c r="E274" s="2903"/>
      <c r="F274" s="6"/>
      <c r="G274" s="63"/>
      <c r="H274" s="480"/>
      <c r="I274" s="710"/>
      <c r="J274" s="582"/>
      <c r="K274" s="526"/>
      <c r="L274" s="748"/>
      <c r="M274" s="711"/>
      <c r="N274" s="526"/>
      <c r="O274" s="710"/>
      <c r="P274" s="582"/>
      <c r="Q274" s="526"/>
      <c r="R274" s="762"/>
      <c r="S274" s="762"/>
      <c r="T274" s="526"/>
      <c r="U274" s="762"/>
      <c r="V274" s="762"/>
      <c r="W274" s="526"/>
      <c r="X274" s="2893"/>
      <c r="Y274" s="2893"/>
      <c r="Z274" s="2893"/>
      <c r="AA274" s="2893"/>
      <c r="AB274" s="2893"/>
      <c r="AC274" s="2893"/>
      <c r="AD274" s="2893"/>
      <c r="AE274" s="2893"/>
      <c r="AF274" s="2893"/>
      <c r="AG274" s="2893"/>
    </row>
    <row r="275" spans="1:33" ht="14.9" customHeight="1">
      <c r="A275" s="252"/>
      <c r="B275" s="2903" t="s">
        <v>334</v>
      </c>
      <c r="C275" s="2903"/>
      <c r="D275" s="2903"/>
      <c r="E275" s="2903"/>
      <c r="F275" s="6"/>
      <c r="G275" s="63"/>
      <c r="H275" s="480"/>
      <c r="I275" s="710"/>
      <c r="J275" s="582"/>
      <c r="K275" s="526"/>
      <c r="L275" s="748"/>
      <c r="M275" s="711"/>
      <c r="N275" s="526"/>
      <c r="O275" s="710"/>
      <c r="P275" s="582"/>
      <c r="Q275" s="526"/>
      <c r="R275" s="762"/>
      <c r="S275" s="762"/>
      <c r="T275" s="526"/>
      <c r="U275" s="762"/>
      <c r="V275" s="762"/>
      <c r="W275" s="526"/>
      <c r="X275" s="2893"/>
      <c r="Y275" s="2893"/>
      <c r="Z275" s="2893"/>
      <c r="AA275" s="2893"/>
      <c r="AB275" s="2893"/>
      <c r="AC275" s="2893"/>
      <c r="AD275" s="2893"/>
      <c r="AE275" s="2893"/>
      <c r="AF275" s="2893"/>
      <c r="AG275" s="2893"/>
    </row>
    <row r="276" spans="1:33" ht="14.9" customHeight="1">
      <c r="A276" s="252"/>
      <c r="B276" s="2904" t="s">
        <v>335</v>
      </c>
      <c r="C276" s="2904"/>
      <c r="D276" s="2904"/>
      <c r="E276" s="2904"/>
      <c r="F276" s="6"/>
      <c r="G276" s="63"/>
      <c r="H276" s="480"/>
      <c r="I276" s="710"/>
      <c r="J276" s="582"/>
      <c r="K276" s="526"/>
      <c r="L276" s="748"/>
      <c r="M276" s="711"/>
      <c r="N276" s="526"/>
      <c r="O276" s="710"/>
      <c r="P276" s="582"/>
      <c r="Q276" s="526"/>
      <c r="R276" s="762"/>
      <c r="S276" s="762"/>
      <c r="T276" s="526"/>
      <c r="U276" s="762"/>
      <c r="V276" s="762"/>
      <c r="W276" s="526"/>
      <c r="X276" s="2893"/>
      <c r="Y276" s="2893"/>
      <c r="Z276" s="2893"/>
      <c r="AA276" s="2893"/>
      <c r="AB276" s="2893"/>
      <c r="AC276" s="2893"/>
      <c r="AD276" s="2893"/>
      <c r="AE276" s="2893"/>
      <c r="AF276" s="2893"/>
      <c r="AG276" s="2893"/>
    </row>
    <row r="277" spans="1:33" ht="14.9" customHeight="1">
      <c r="A277" s="252"/>
      <c r="B277" s="2903" t="s">
        <v>336</v>
      </c>
      <c r="C277" s="2903"/>
      <c r="D277" s="2903"/>
      <c r="E277" s="2903"/>
      <c r="F277" s="6"/>
      <c r="G277" s="63"/>
      <c r="H277" s="480"/>
      <c r="I277" s="710"/>
      <c r="J277" s="582"/>
      <c r="K277" s="526"/>
      <c r="L277" s="748"/>
      <c r="M277" s="711"/>
      <c r="N277" s="526"/>
      <c r="O277" s="710"/>
      <c r="P277" s="582"/>
      <c r="Q277" s="526"/>
      <c r="R277" s="762"/>
      <c r="S277" s="762"/>
      <c r="T277" s="526"/>
      <c r="U277" s="762"/>
      <c r="V277" s="762"/>
      <c r="W277" s="526"/>
      <c r="X277" s="2893"/>
      <c r="Y277" s="2893"/>
      <c r="Z277" s="2893"/>
      <c r="AA277" s="2893"/>
      <c r="AB277" s="2893"/>
      <c r="AC277" s="2893"/>
      <c r="AD277" s="2893"/>
      <c r="AE277" s="2893"/>
      <c r="AF277" s="2893"/>
      <c r="AG277" s="2893"/>
    </row>
    <row r="278" spans="1:33" ht="32.9" customHeight="1">
      <c r="A278" s="252"/>
      <c r="B278" s="2903" t="s">
        <v>337</v>
      </c>
      <c r="C278" s="2903"/>
      <c r="D278" s="2903"/>
      <c r="E278" s="2903"/>
      <c r="F278" s="6"/>
      <c r="G278" s="63"/>
      <c r="H278" s="480"/>
      <c r="I278" s="710"/>
      <c r="J278" s="582"/>
      <c r="K278" s="526"/>
      <c r="L278" s="748"/>
      <c r="M278" s="711"/>
      <c r="N278" s="526"/>
      <c r="O278" s="710"/>
      <c r="P278" s="582"/>
      <c r="Q278" s="526"/>
      <c r="R278" s="762"/>
      <c r="S278" s="762"/>
      <c r="T278" s="526"/>
      <c r="U278" s="762"/>
      <c r="V278" s="762"/>
      <c r="W278" s="526"/>
      <c r="X278" s="2893"/>
      <c r="Y278" s="2893"/>
      <c r="Z278" s="2893"/>
      <c r="AA278" s="2893"/>
      <c r="AB278" s="2893"/>
      <c r="AC278" s="2893"/>
      <c r="AD278" s="2893"/>
      <c r="AE278" s="2893"/>
      <c r="AF278" s="2893"/>
      <c r="AG278" s="2893"/>
    </row>
    <row r="279" spans="1:33" ht="32.9" customHeight="1">
      <c r="A279" s="252"/>
      <c r="B279" s="2903" t="s">
        <v>338</v>
      </c>
      <c r="C279" s="2903"/>
      <c r="D279" s="2903"/>
      <c r="E279" s="2903"/>
      <c r="F279" s="6"/>
      <c r="G279" s="63"/>
      <c r="H279" s="480"/>
      <c r="I279" s="710"/>
      <c r="J279" s="582"/>
      <c r="K279" s="526"/>
      <c r="L279" s="748"/>
      <c r="M279" s="711"/>
      <c r="N279" s="526"/>
      <c r="O279" s="710"/>
      <c r="P279" s="582"/>
      <c r="Q279" s="526"/>
      <c r="R279" s="762"/>
      <c r="S279" s="762"/>
      <c r="T279" s="526"/>
      <c r="U279" s="762"/>
      <c r="V279" s="762"/>
      <c r="W279" s="526"/>
      <c r="X279" s="2893"/>
      <c r="Y279" s="2893"/>
      <c r="Z279" s="2893"/>
      <c r="AA279" s="2893"/>
      <c r="AB279" s="2893"/>
      <c r="AC279" s="2893"/>
      <c r="AD279" s="2893"/>
      <c r="AE279" s="2893"/>
      <c r="AF279" s="2893"/>
      <c r="AG279" s="2893"/>
    </row>
    <row r="280" spans="1:33" ht="14.9" customHeight="1">
      <c r="A280" s="252"/>
      <c r="B280" s="2903" t="s">
        <v>735</v>
      </c>
      <c r="C280" s="2903"/>
      <c r="D280" s="2903"/>
      <c r="E280" s="2903"/>
      <c r="F280" s="6"/>
      <c r="G280" s="63"/>
      <c r="H280" s="480"/>
      <c r="I280" s="710"/>
      <c r="J280" s="582"/>
      <c r="K280" s="526"/>
      <c r="L280" s="748"/>
      <c r="M280" s="711"/>
      <c r="N280" s="526"/>
      <c r="O280" s="710"/>
      <c r="P280" s="582"/>
      <c r="Q280" s="526"/>
      <c r="R280" s="762"/>
      <c r="S280" s="762"/>
      <c r="T280" s="526"/>
      <c r="U280" s="762"/>
      <c r="V280" s="762"/>
      <c r="W280" s="526"/>
      <c r="X280" s="2893"/>
      <c r="Y280" s="2893"/>
      <c r="Z280" s="2893"/>
      <c r="AA280" s="2893"/>
      <c r="AB280" s="2893"/>
      <c r="AC280" s="2893"/>
      <c r="AD280" s="2893"/>
      <c r="AE280" s="2893"/>
      <c r="AF280" s="2893"/>
      <c r="AG280" s="2893"/>
    </row>
    <row r="281" spans="1:33" ht="14.9" customHeight="1">
      <c r="A281" s="252"/>
      <c r="B281" s="2903" t="s">
        <v>734</v>
      </c>
      <c r="C281" s="2903"/>
      <c r="D281" s="2903"/>
      <c r="E281" s="2903"/>
      <c r="F281" s="6"/>
      <c r="G281" s="63"/>
      <c r="H281" s="797"/>
      <c r="I281" s="710"/>
      <c r="J281" s="582"/>
      <c r="K281" s="562"/>
      <c r="L281" s="748"/>
      <c r="M281" s="711"/>
      <c r="N281" s="562"/>
      <c r="O281" s="710"/>
      <c r="P281" s="582"/>
      <c r="Q281" s="562"/>
      <c r="R281" s="762"/>
      <c r="S281" s="762"/>
      <c r="T281" s="562"/>
      <c r="U281" s="762"/>
      <c r="V281" s="762"/>
      <c r="W281" s="562"/>
      <c r="X281" s="2893"/>
      <c r="Y281" s="2893"/>
      <c r="Z281" s="2893"/>
      <c r="AA281" s="2893"/>
      <c r="AB281" s="2893"/>
      <c r="AC281" s="2893"/>
      <c r="AD281" s="2893"/>
      <c r="AE281" s="2893"/>
      <c r="AF281" s="2893"/>
      <c r="AG281" s="2893"/>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911"/>
      <c r="Y282" s="2911"/>
      <c r="Z282" s="2911"/>
      <c r="AA282" s="2911"/>
      <c r="AB282" s="2911"/>
      <c r="AC282" s="2911"/>
      <c r="AD282" s="2911"/>
      <c r="AE282" s="2911"/>
      <c r="AF282" s="2911"/>
      <c r="AG282" s="2911"/>
    </row>
    <row r="283" spans="1:33" ht="14.9" customHeight="1">
      <c r="A283" s="252"/>
      <c r="B283" s="2903" t="s">
        <v>625</v>
      </c>
      <c r="C283" s="2903"/>
      <c r="D283" s="2903"/>
      <c r="E283" s="2903"/>
      <c r="F283" s="6"/>
      <c r="G283" s="65"/>
      <c r="H283" s="799"/>
      <c r="I283" s="710"/>
      <c r="J283" s="711"/>
      <c r="K283" s="628"/>
      <c r="L283" s="710"/>
      <c r="M283" s="711"/>
      <c r="N283" s="628"/>
      <c r="O283" s="710"/>
      <c r="P283" s="712"/>
      <c r="Q283" s="628"/>
      <c r="R283" s="762"/>
      <c r="S283" s="762"/>
      <c r="T283" s="628"/>
      <c r="U283" s="762"/>
      <c r="V283" s="762"/>
      <c r="W283" s="628"/>
      <c r="X283" s="2893"/>
      <c r="Y283" s="2893"/>
      <c r="Z283" s="2893"/>
      <c r="AA283" s="2893"/>
      <c r="AB283" s="2893"/>
      <c r="AC283" s="2893"/>
      <c r="AD283" s="2893"/>
      <c r="AE283" s="2893"/>
      <c r="AF283" s="2893"/>
      <c r="AG283" s="2893"/>
    </row>
    <row r="284" spans="1:33" ht="14.9" customHeight="1">
      <c r="A284" s="252"/>
      <c r="B284" s="2903" t="s">
        <v>626</v>
      </c>
      <c r="C284" s="2903"/>
      <c r="D284" s="2903"/>
      <c r="E284" s="2903"/>
      <c r="F284" s="6"/>
      <c r="G284" s="63"/>
      <c r="H284" s="480"/>
      <c r="I284" s="710"/>
      <c r="J284" s="582"/>
      <c r="K284" s="526"/>
      <c r="L284" s="748"/>
      <c r="M284" s="711"/>
      <c r="N284" s="526"/>
      <c r="O284" s="710"/>
      <c r="P284" s="582"/>
      <c r="Q284" s="526"/>
      <c r="R284" s="762"/>
      <c r="S284" s="762"/>
      <c r="T284" s="526"/>
      <c r="U284" s="762"/>
      <c r="V284" s="762"/>
      <c r="W284" s="526"/>
      <c r="X284" s="2893"/>
      <c r="Y284" s="2893"/>
      <c r="Z284" s="2893"/>
      <c r="AA284" s="2893"/>
      <c r="AB284" s="2893"/>
      <c r="AC284" s="2893"/>
      <c r="AD284" s="2893"/>
      <c r="AE284" s="2893"/>
      <c r="AF284" s="2893"/>
      <c r="AG284" s="2893"/>
    </row>
    <row r="285" spans="1:33" ht="14.9" customHeight="1">
      <c r="A285" s="252"/>
      <c r="B285" s="2903" t="s">
        <v>627</v>
      </c>
      <c r="C285" s="2903"/>
      <c r="D285" s="2903"/>
      <c r="E285" s="2903"/>
      <c r="F285" s="6"/>
      <c r="G285" s="63"/>
      <c r="H285" s="794"/>
      <c r="I285" s="710"/>
      <c r="J285" s="582"/>
      <c r="K285" s="561"/>
      <c r="L285" s="748"/>
      <c r="M285" s="711"/>
      <c r="N285" s="561"/>
      <c r="O285" s="710"/>
      <c r="P285" s="582"/>
      <c r="Q285" s="561"/>
      <c r="R285" s="762"/>
      <c r="S285" s="762"/>
      <c r="T285" s="561"/>
      <c r="U285" s="762"/>
      <c r="V285" s="762"/>
      <c r="W285" s="561"/>
      <c r="X285" s="2893"/>
      <c r="Y285" s="2893"/>
      <c r="Z285" s="2893"/>
      <c r="AA285" s="2893"/>
      <c r="AB285" s="2893"/>
      <c r="AC285" s="2893"/>
      <c r="AD285" s="2893"/>
      <c r="AE285" s="2893"/>
      <c r="AF285" s="2893"/>
      <c r="AG285" s="2893"/>
    </row>
    <row r="286" spans="1:33" ht="14.9" customHeight="1">
      <c r="A286" s="252"/>
      <c r="B286" s="2904" t="s">
        <v>628</v>
      </c>
      <c r="C286" s="2904"/>
      <c r="D286" s="2904"/>
      <c r="E286" s="2904"/>
      <c r="F286" s="6"/>
      <c r="G286" s="63"/>
      <c r="H286" s="480"/>
      <c r="I286" s="710"/>
      <c r="J286" s="582"/>
      <c r="K286" s="526"/>
      <c r="L286" s="748"/>
      <c r="M286" s="711"/>
      <c r="N286" s="526"/>
      <c r="O286" s="710"/>
      <c r="P286" s="582"/>
      <c r="Q286" s="526"/>
      <c r="R286" s="762"/>
      <c r="S286" s="762"/>
      <c r="T286" s="526"/>
      <c r="U286" s="762"/>
      <c r="V286" s="762"/>
      <c r="W286" s="526"/>
      <c r="X286" s="2893"/>
      <c r="Y286" s="2893"/>
      <c r="Z286" s="2893"/>
      <c r="AA286" s="2893"/>
      <c r="AB286" s="2893"/>
      <c r="AC286" s="2893"/>
      <c r="AD286" s="2893"/>
      <c r="AE286" s="2893"/>
      <c r="AF286" s="2893"/>
      <c r="AG286" s="2893"/>
    </row>
    <row r="287" spans="1:33" ht="33.75" customHeight="1">
      <c r="A287" s="252"/>
      <c r="B287" s="2904" t="s">
        <v>629</v>
      </c>
      <c r="C287" s="2904"/>
      <c r="D287" s="2904"/>
      <c r="E287" s="2904"/>
      <c r="F287" s="6"/>
      <c r="G287" s="65"/>
      <c r="H287" s="795"/>
      <c r="I287" s="710"/>
      <c r="J287" s="711"/>
      <c r="K287" s="568"/>
      <c r="L287" s="710"/>
      <c r="M287" s="711"/>
      <c r="N287" s="568"/>
      <c r="O287" s="710"/>
      <c r="P287" s="712"/>
      <c r="Q287" s="568"/>
      <c r="R287" s="762"/>
      <c r="S287" s="762"/>
      <c r="T287" s="568"/>
      <c r="U287" s="762"/>
      <c r="V287" s="762"/>
      <c r="W287" s="568"/>
      <c r="X287" s="2893"/>
      <c r="Y287" s="2893"/>
      <c r="Z287" s="2893"/>
      <c r="AA287" s="2893"/>
      <c r="AB287" s="2893"/>
      <c r="AC287" s="2893"/>
      <c r="AD287" s="2893"/>
      <c r="AE287" s="2893"/>
      <c r="AF287" s="2893"/>
      <c r="AG287" s="2893"/>
    </row>
    <row r="288" spans="1:33" ht="14.9" customHeight="1">
      <c r="A288" s="252"/>
      <c r="B288" s="2903" t="s">
        <v>630</v>
      </c>
      <c r="C288" s="2903"/>
      <c r="D288" s="2903"/>
      <c r="E288" s="2903"/>
      <c r="F288" s="6"/>
      <c r="G288" s="65"/>
      <c r="H288" s="480"/>
      <c r="I288" s="710"/>
      <c r="J288" s="711"/>
      <c r="K288" s="526"/>
      <c r="L288" s="710"/>
      <c r="M288" s="711"/>
      <c r="N288" s="526"/>
      <c r="O288" s="710"/>
      <c r="P288" s="712"/>
      <c r="Q288" s="526"/>
      <c r="R288" s="762"/>
      <c r="S288" s="762"/>
      <c r="T288" s="526"/>
      <c r="U288" s="762"/>
      <c r="V288" s="762"/>
      <c r="W288" s="526"/>
      <c r="X288" s="2893"/>
      <c r="Y288" s="2893"/>
      <c r="Z288" s="2893"/>
      <c r="AA288" s="2893"/>
      <c r="AB288" s="2893"/>
      <c r="AC288" s="2893"/>
      <c r="AD288" s="2893"/>
      <c r="AE288" s="2893"/>
      <c r="AF288" s="2893"/>
      <c r="AG288" s="2893"/>
    </row>
    <row r="289" spans="1:33" ht="14.9" customHeight="1">
      <c r="A289" s="252"/>
      <c r="B289" s="2904" t="s">
        <v>634</v>
      </c>
      <c r="C289" s="2904"/>
      <c r="D289" s="2904"/>
      <c r="E289" s="2904"/>
      <c r="F289" s="6"/>
      <c r="G289" s="65"/>
      <c r="H289" s="481"/>
      <c r="I289" s="710"/>
      <c r="J289" s="711"/>
      <c r="K289" s="553"/>
      <c r="L289" s="710"/>
      <c r="M289" s="711"/>
      <c r="N289" s="553"/>
      <c r="O289" s="710"/>
      <c r="P289" s="712"/>
      <c r="Q289" s="553"/>
      <c r="R289" s="762"/>
      <c r="S289" s="762"/>
      <c r="T289" s="553"/>
      <c r="U289" s="762"/>
      <c r="V289" s="762"/>
      <c r="W289" s="553"/>
      <c r="X289" s="2893"/>
      <c r="Y289" s="2893"/>
      <c r="Z289" s="2893"/>
      <c r="AA289" s="2893"/>
      <c r="AB289" s="2893"/>
      <c r="AC289" s="2893"/>
      <c r="AD289" s="2893"/>
      <c r="AE289" s="2893"/>
      <c r="AF289" s="2893"/>
      <c r="AG289" s="2893"/>
    </row>
    <row r="290" spans="1:33" ht="29.15" customHeight="1">
      <c r="A290" s="252"/>
      <c r="B290" s="2903" t="s">
        <v>1551</v>
      </c>
      <c r="C290" s="2903"/>
      <c r="D290" s="2903"/>
      <c r="E290" s="2903"/>
      <c r="F290" s="6"/>
      <c r="G290" s="65"/>
      <c r="H290" s="796"/>
      <c r="I290" s="710"/>
      <c r="J290" s="711"/>
      <c r="K290" s="619"/>
      <c r="L290" s="710"/>
      <c r="M290" s="711"/>
      <c r="N290" s="619"/>
      <c r="O290" s="710"/>
      <c r="P290" s="712"/>
      <c r="Q290" s="619"/>
      <c r="R290" s="762"/>
      <c r="S290" s="762"/>
      <c r="T290" s="619"/>
      <c r="U290" s="762"/>
      <c r="V290" s="762"/>
      <c r="W290" s="619"/>
      <c r="X290" s="2893"/>
      <c r="Y290" s="2893"/>
      <c r="Z290" s="2893"/>
      <c r="AA290" s="2893"/>
      <c r="AB290" s="2893"/>
      <c r="AC290" s="2893"/>
      <c r="AD290" s="2893"/>
      <c r="AE290" s="2893"/>
      <c r="AF290" s="2893"/>
      <c r="AG290" s="2893"/>
    </row>
    <row r="291" spans="1:33" ht="29.15" customHeight="1">
      <c r="A291" s="252"/>
      <c r="B291" s="2903" t="s">
        <v>1552</v>
      </c>
      <c r="C291" s="2903"/>
      <c r="D291" s="2903"/>
      <c r="E291" s="2903"/>
      <c r="F291" s="6"/>
      <c r="G291" s="65"/>
      <c r="H291" s="796"/>
      <c r="I291" s="710"/>
      <c r="J291" s="711"/>
      <c r="K291" s="619"/>
      <c r="L291" s="710"/>
      <c r="M291" s="711"/>
      <c r="N291" s="619"/>
      <c r="O291" s="710"/>
      <c r="P291" s="712"/>
      <c r="Q291" s="619"/>
      <c r="R291" s="762"/>
      <c r="S291" s="762"/>
      <c r="T291" s="619"/>
      <c r="U291" s="762"/>
      <c r="V291" s="762"/>
      <c r="W291" s="619"/>
      <c r="X291" s="2893"/>
      <c r="Y291" s="2893"/>
      <c r="Z291" s="2893"/>
      <c r="AA291" s="2893"/>
      <c r="AB291" s="2893"/>
      <c r="AC291" s="2893"/>
      <c r="AD291" s="2893"/>
      <c r="AE291" s="2893"/>
      <c r="AF291" s="2893"/>
      <c r="AG291" s="2893"/>
    </row>
    <row r="292" spans="1:33" ht="33.75" customHeight="1">
      <c r="A292" s="252"/>
      <c r="B292" s="2903" t="s">
        <v>331</v>
      </c>
      <c r="C292" s="2903"/>
      <c r="D292" s="2903"/>
      <c r="E292" s="2903"/>
      <c r="F292" s="6"/>
      <c r="G292" s="65"/>
      <c r="H292" s="480"/>
      <c r="I292" s="710"/>
      <c r="J292" s="711"/>
      <c r="K292" s="526"/>
      <c r="L292" s="710"/>
      <c r="M292" s="711"/>
      <c r="N292" s="526"/>
      <c r="O292" s="710"/>
      <c r="P292" s="712"/>
      <c r="Q292" s="526"/>
      <c r="R292" s="762"/>
      <c r="S292" s="762"/>
      <c r="T292" s="526"/>
      <c r="U292" s="762"/>
      <c r="V292" s="762"/>
      <c r="W292" s="526"/>
      <c r="X292" s="2893"/>
      <c r="Y292" s="2893"/>
      <c r="Z292" s="2893"/>
      <c r="AA292" s="2893"/>
      <c r="AB292" s="2893"/>
      <c r="AC292" s="2893"/>
      <c r="AD292" s="2893"/>
      <c r="AE292" s="2893"/>
      <c r="AF292" s="2893"/>
      <c r="AG292" s="2893"/>
    </row>
    <row r="293" spans="1:33" ht="14.9" customHeight="1">
      <c r="A293" s="252"/>
      <c r="B293" s="2904" t="s">
        <v>332</v>
      </c>
      <c r="C293" s="2904"/>
      <c r="D293" s="2904"/>
      <c r="E293" s="2904"/>
      <c r="F293" s="6"/>
      <c r="G293" s="63"/>
      <c r="H293" s="480"/>
      <c r="I293" s="710"/>
      <c r="J293" s="582"/>
      <c r="K293" s="526"/>
      <c r="L293" s="748"/>
      <c r="M293" s="711"/>
      <c r="N293" s="526"/>
      <c r="O293" s="710"/>
      <c r="P293" s="582"/>
      <c r="Q293" s="526"/>
      <c r="R293" s="762"/>
      <c r="S293" s="762"/>
      <c r="T293" s="526"/>
      <c r="U293" s="762"/>
      <c r="V293" s="762"/>
      <c r="W293" s="526"/>
      <c r="X293" s="2893"/>
      <c r="Y293" s="2893"/>
      <c r="Z293" s="2893"/>
      <c r="AA293" s="2893"/>
      <c r="AB293" s="2893"/>
      <c r="AC293" s="2893"/>
      <c r="AD293" s="2893"/>
      <c r="AE293" s="2893"/>
      <c r="AF293" s="2893"/>
      <c r="AG293" s="2893"/>
    </row>
    <row r="294" spans="1:33" ht="14.9" customHeight="1">
      <c r="A294" s="252"/>
      <c r="B294" s="2903" t="s">
        <v>333</v>
      </c>
      <c r="C294" s="2903"/>
      <c r="D294" s="2903"/>
      <c r="E294" s="2903"/>
      <c r="F294" s="6"/>
      <c r="G294" s="63"/>
      <c r="H294" s="480"/>
      <c r="I294" s="710"/>
      <c r="J294" s="582"/>
      <c r="K294" s="526"/>
      <c r="L294" s="748"/>
      <c r="M294" s="711"/>
      <c r="N294" s="526"/>
      <c r="O294" s="710"/>
      <c r="P294" s="582"/>
      <c r="Q294" s="526"/>
      <c r="R294" s="762"/>
      <c r="S294" s="762"/>
      <c r="T294" s="526"/>
      <c r="U294" s="762"/>
      <c r="V294" s="762"/>
      <c r="W294" s="526"/>
      <c r="X294" s="2893"/>
      <c r="Y294" s="2893"/>
      <c r="Z294" s="2893"/>
      <c r="AA294" s="2893"/>
      <c r="AB294" s="2893"/>
      <c r="AC294" s="2893"/>
      <c r="AD294" s="2893"/>
      <c r="AE294" s="2893"/>
      <c r="AF294" s="2893"/>
      <c r="AG294" s="2893"/>
    </row>
    <row r="295" spans="1:33" ht="14.9" customHeight="1">
      <c r="A295" s="252"/>
      <c r="B295" s="2903" t="s">
        <v>334</v>
      </c>
      <c r="C295" s="2903"/>
      <c r="D295" s="2903"/>
      <c r="E295" s="2903"/>
      <c r="F295" s="6"/>
      <c r="G295" s="63"/>
      <c r="H295" s="480"/>
      <c r="I295" s="710"/>
      <c r="J295" s="582"/>
      <c r="K295" s="526"/>
      <c r="L295" s="748"/>
      <c r="M295" s="711"/>
      <c r="N295" s="526"/>
      <c r="O295" s="710"/>
      <c r="P295" s="582"/>
      <c r="Q295" s="526"/>
      <c r="R295" s="762"/>
      <c r="S295" s="762"/>
      <c r="T295" s="526"/>
      <c r="U295" s="762"/>
      <c r="V295" s="762"/>
      <c r="W295" s="526"/>
      <c r="X295" s="2893"/>
      <c r="Y295" s="2893"/>
      <c r="Z295" s="2893"/>
      <c r="AA295" s="2893"/>
      <c r="AB295" s="2893"/>
      <c r="AC295" s="2893"/>
      <c r="AD295" s="2893"/>
      <c r="AE295" s="2893"/>
      <c r="AF295" s="2893"/>
      <c r="AG295" s="2893"/>
    </row>
    <row r="296" spans="1:33" ht="14.9" customHeight="1">
      <c r="A296" s="252"/>
      <c r="B296" s="2904" t="s">
        <v>335</v>
      </c>
      <c r="C296" s="2904"/>
      <c r="D296" s="2904"/>
      <c r="E296" s="2904"/>
      <c r="F296" s="6"/>
      <c r="G296" s="63"/>
      <c r="H296" s="480"/>
      <c r="I296" s="710"/>
      <c r="J296" s="582"/>
      <c r="K296" s="526"/>
      <c r="L296" s="748"/>
      <c r="M296" s="711"/>
      <c r="N296" s="526"/>
      <c r="O296" s="710"/>
      <c r="P296" s="582"/>
      <c r="Q296" s="526"/>
      <c r="R296" s="762"/>
      <c r="S296" s="762"/>
      <c r="T296" s="526"/>
      <c r="U296" s="762"/>
      <c r="V296" s="762"/>
      <c r="W296" s="526"/>
      <c r="X296" s="2893"/>
      <c r="Y296" s="2893"/>
      <c r="Z296" s="2893"/>
      <c r="AA296" s="2893"/>
      <c r="AB296" s="2893"/>
      <c r="AC296" s="2893"/>
      <c r="AD296" s="2893"/>
      <c r="AE296" s="2893"/>
      <c r="AF296" s="2893"/>
      <c r="AG296" s="2893"/>
    </row>
    <row r="297" spans="1:33" ht="14.9" customHeight="1">
      <c r="A297" s="252"/>
      <c r="B297" s="2903" t="s">
        <v>336</v>
      </c>
      <c r="C297" s="2903"/>
      <c r="D297" s="2903"/>
      <c r="E297" s="2903"/>
      <c r="F297" s="6"/>
      <c r="G297" s="63"/>
      <c r="H297" s="480"/>
      <c r="I297" s="710"/>
      <c r="J297" s="582"/>
      <c r="K297" s="526"/>
      <c r="L297" s="748"/>
      <c r="M297" s="711"/>
      <c r="N297" s="526"/>
      <c r="O297" s="710"/>
      <c r="P297" s="582"/>
      <c r="Q297" s="526"/>
      <c r="R297" s="762"/>
      <c r="S297" s="762"/>
      <c r="T297" s="526"/>
      <c r="U297" s="762"/>
      <c r="V297" s="762"/>
      <c r="W297" s="526"/>
      <c r="X297" s="2893"/>
      <c r="Y297" s="2893"/>
      <c r="Z297" s="2893"/>
      <c r="AA297" s="2893"/>
      <c r="AB297" s="2893"/>
      <c r="AC297" s="2893"/>
      <c r="AD297" s="2893"/>
      <c r="AE297" s="2893"/>
      <c r="AF297" s="2893"/>
      <c r="AG297" s="2893"/>
    </row>
    <row r="298" spans="1:33" ht="33.75" customHeight="1">
      <c r="A298" s="252"/>
      <c r="B298" s="2903" t="s">
        <v>337</v>
      </c>
      <c r="C298" s="2903"/>
      <c r="D298" s="2903"/>
      <c r="E298" s="2903"/>
      <c r="F298" s="6"/>
      <c r="G298" s="63"/>
      <c r="H298" s="480"/>
      <c r="I298" s="710"/>
      <c r="J298" s="582"/>
      <c r="K298" s="526"/>
      <c r="L298" s="748"/>
      <c r="M298" s="711"/>
      <c r="N298" s="526"/>
      <c r="O298" s="710"/>
      <c r="P298" s="582"/>
      <c r="Q298" s="526"/>
      <c r="R298" s="762"/>
      <c r="S298" s="762"/>
      <c r="T298" s="526"/>
      <c r="U298" s="762"/>
      <c r="V298" s="762"/>
      <c r="W298" s="526"/>
      <c r="X298" s="2893"/>
      <c r="Y298" s="2893"/>
      <c r="Z298" s="2893"/>
      <c r="AA298" s="2893"/>
      <c r="AB298" s="2893"/>
      <c r="AC298" s="2893"/>
      <c r="AD298" s="2893"/>
      <c r="AE298" s="2893"/>
      <c r="AF298" s="2893"/>
      <c r="AG298" s="2893"/>
    </row>
    <row r="299" spans="1:33" ht="33.75" customHeight="1">
      <c r="A299" s="252"/>
      <c r="B299" s="2903" t="s">
        <v>338</v>
      </c>
      <c r="C299" s="2903"/>
      <c r="D299" s="2903"/>
      <c r="E299" s="2903"/>
      <c r="F299" s="6"/>
      <c r="G299" s="63"/>
      <c r="H299" s="480"/>
      <c r="I299" s="710"/>
      <c r="J299" s="582"/>
      <c r="K299" s="526"/>
      <c r="L299" s="748"/>
      <c r="M299" s="711"/>
      <c r="N299" s="526"/>
      <c r="O299" s="710"/>
      <c r="P299" s="582"/>
      <c r="Q299" s="526"/>
      <c r="R299" s="762"/>
      <c r="S299" s="762"/>
      <c r="T299" s="526"/>
      <c r="U299" s="762"/>
      <c r="V299" s="762"/>
      <c r="W299" s="526"/>
      <c r="X299" s="2893"/>
      <c r="Y299" s="2893"/>
      <c r="Z299" s="2893"/>
      <c r="AA299" s="2893"/>
      <c r="AB299" s="2893"/>
      <c r="AC299" s="2893"/>
      <c r="AD299" s="2893"/>
      <c r="AE299" s="2893"/>
      <c r="AF299" s="2893"/>
      <c r="AG299" s="2893"/>
    </row>
    <row r="300" spans="1:33" ht="14.9" customHeight="1">
      <c r="A300" s="252"/>
      <c r="B300" s="2903" t="s">
        <v>735</v>
      </c>
      <c r="C300" s="2903"/>
      <c r="D300" s="2903"/>
      <c r="E300" s="2903"/>
      <c r="F300" s="6"/>
      <c r="G300" s="63"/>
      <c r="H300" s="480"/>
      <c r="I300" s="710"/>
      <c r="J300" s="582"/>
      <c r="K300" s="526"/>
      <c r="L300" s="748"/>
      <c r="M300" s="711"/>
      <c r="N300" s="526"/>
      <c r="O300" s="710"/>
      <c r="P300" s="582"/>
      <c r="Q300" s="526"/>
      <c r="R300" s="762"/>
      <c r="S300" s="762"/>
      <c r="T300" s="526"/>
      <c r="U300" s="762"/>
      <c r="V300" s="762"/>
      <c r="W300" s="526"/>
      <c r="X300" s="2893"/>
      <c r="Y300" s="2893"/>
      <c r="Z300" s="2893"/>
      <c r="AA300" s="2893"/>
      <c r="AB300" s="2893"/>
      <c r="AC300" s="2893"/>
      <c r="AD300" s="2893"/>
      <c r="AE300" s="2893"/>
      <c r="AF300" s="2893"/>
      <c r="AG300" s="2893"/>
    </row>
    <row r="301" spans="1:33" ht="14.9" customHeight="1">
      <c r="A301" s="252"/>
      <c r="B301" s="2903" t="s">
        <v>734</v>
      </c>
      <c r="C301" s="2903"/>
      <c r="D301" s="2903"/>
      <c r="E301" s="2903"/>
      <c r="F301" s="6"/>
      <c r="G301" s="63"/>
      <c r="H301" s="797"/>
      <c r="I301" s="710"/>
      <c r="J301" s="582"/>
      <c r="K301" s="562"/>
      <c r="L301" s="748"/>
      <c r="M301" s="711"/>
      <c r="N301" s="562"/>
      <c r="O301" s="710"/>
      <c r="P301" s="582"/>
      <c r="Q301" s="562"/>
      <c r="R301" s="762"/>
      <c r="S301" s="762"/>
      <c r="T301" s="562"/>
      <c r="U301" s="762"/>
      <c r="V301" s="762"/>
      <c r="W301" s="562"/>
      <c r="X301" s="2893"/>
      <c r="Y301" s="2893"/>
      <c r="Z301" s="2893"/>
      <c r="AA301" s="2893"/>
      <c r="AB301" s="2893"/>
      <c r="AC301" s="2893"/>
      <c r="AD301" s="2893"/>
      <c r="AE301" s="2893"/>
      <c r="AF301" s="2893"/>
      <c r="AG301" s="2893"/>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911"/>
      <c r="Y302" s="2911"/>
      <c r="Z302" s="2911"/>
      <c r="AA302" s="2911"/>
      <c r="AB302" s="2911"/>
      <c r="AC302" s="2911"/>
      <c r="AD302" s="2911"/>
      <c r="AE302" s="2911"/>
      <c r="AF302" s="2911"/>
      <c r="AG302" s="2911"/>
    </row>
    <row r="303" spans="1:33" ht="14.9" customHeight="1">
      <c r="A303" s="252"/>
      <c r="B303" s="2903" t="s">
        <v>625</v>
      </c>
      <c r="C303" s="2903"/>
      <c r="D303" s="2903"/>
      <c r="E303" s="2903"/>
      <c r="F303" s="6"/>
      <c r="G303" s="65"/>
      <c r="H303" s="799"/>
      <c r="I303" s="710"/>
      <c r="J303" s="711"/>
      <c r="K303" s="628"/>
      <c r="L303" s="710"/>
      <c r="M303" s="711"/>
      <c r="N303" s="628"/>
      <c r="O303" s="710"/>
      <c r="P303" s="712"/>
      <c r="Q303" s="628"/>
      <c r="R303" s="762"/>
      <c r="S303" s="762"/>
      <c r="T303" s="628"/>
      <c r="U303" s="762"/>
      <c r="V303" s="762"/>
      <c r="W303" s="628"/>
      <c r="X303" s="2893"/>
      <c r="Y303" s="2893"/>
      <c r="Z303" s="2893"/>
      <c r="AA303" s="2893"/>
      <c r="AB303" s="2893"/>
      <c r="AC303" s="2893"/>
      <c r="AD303" s="2893"/>
      <c r="AE303" s="2893"/>
      <c r="AF303" s="2893"/>
      <c r="AG303" s="2893"/>
    </row>
    <row r="304" spans="1:33" ht="14.9" customHeight="1">
      <c r="A304" s="252"/>
      <c r="B304" s="2903" t="s">
        <v>626</v>
      </c>
      <c r="C304" s="2903"/>
      <c r="D304" s="2903"/>
      <c r="E304" s="2903"/>
      <c r="F304" s="6"/>
      <c r="G304" s="63"/>
      <c r="H304" s="480"/>
      <c r="I304" s="710"/>
      <c r="J304" s="582"/>
      <c r="K304" s="526"/>
      <c r="L304" s="748"/>
      <c r="M304" s="711"/>
      <c r="N304" s="526"/>
      <c r="O304" s="710"/>
      <c r="P304" s="582"/>
      <c r="Q304" s="526"/>
      <c r="R304" s="762"/>
      <c r="S304" s="762"/>
      <c r="T304" s="526"/>
      <c r="U304" s="762"/>
      <c r="V304" s="762"/>
      <c r="W304" s="526"/>
      <c r="X304" s="2893"/>
      <c r="Y304" s="2893"/>
      <c r="Z304" s="2893"/>
      <c r="AA304" s="2893"/>
      <c r="AB304" s="2893"/>
      <c r="AC304" s="2893"/>
      <c r="AD304" s="2893"/>
      <c r="AE304" s="2893"/>
      <c r="AF304" s="2893"/>
      <c r="AG304" s="2893"/>
    </row>
    <row r="305" spans="1:33" ht="14.9" customHeight="1">
      <c r="A305" s="252"/>
      <c r="B305" s="2903" t="s">
        <v>627</v>
      </c>
      <c r="C305" s="2903"/>
      <c r="D305" s="2903"/>
      <c r="E305" s="2903"/>
      <c r="F305" s="6"/>
      <c r="G305" s="63"/>
      <c r="H305" s="794"/>
      <c r="I305" s="710"/>
      <c r="J305" s="582"/>
      <c r="K305" s="561"/>
      <c r="L305" s="748"/>
      <c r="M305" s="711"/>
      <c r="N305" s="561"/>
      <c r="O305" s="710"/>
      <c r="P305" s="582"/>
      <c r="Q305" s="561"/>
      <c r="R305" s="762"/>
      <c r="S305" s="762"/>
      <c r="T305" s="561"/>
      <c r="U305" s="762"/>
      <c r="V305" s="762"/>
      <c r="W305" s="561"/>
      <c r="X305" s="2893"/>
      <c r="Y305" s="2893"/>
      <c r="Z305" s="2893"/>
      <c r="AA305" s="2893"/>
      <c r="AB305" s="2893"/>
      <c r="AC305" s="2893"/>
      <c r="AD305" s="2893"/>
      <c r="AE305" s="2893"/>
      <c r="AF305" s="2893"/>
      <c r="AG305" s="2893"/>
    </row>
    <row r="306" spans="1:33" ht="14.9" customHeight="1">
      <c r="A306" s="252"/>
      <c r="B306" s="2904" t="s">
        <v>628</v>
      </c>
      <c r="C306" s="2904"/>
      <c r="D306" s="2904"/>
      <c r="E306" s="2904"/>
      <c r="F306" s="6"/>
      <c r="G306" s="63"/>
      <c r="H306" s="480"/>
      <c r="I306" s="710"/>
      <c r="J306" s="582"/>
      <c r="K306" s="526"/>
      <c r="L306" s="748"/>
      <c r="M306" s="711"/>
      <c r="N306" s="526"/>
      <c r="O306" s="710"/>
      <c r="P306" s="582"/>
      <c r="Q306" s="526"/>
      <c r="R306" s="762"/>
      <c r="S306" s="762"/>
      <c r="T306" s="526"/>
      <c r="U306" s="762"/>
      <c r="V306" s="762"/>
      <c r="W306" s="526"/>
      <c r="X306" s="2893"/>
      <c r="Y306" s="2893"/>
      <c r="Z306" s="2893"/>
      <c r="AA306" s="2893"/>
      <c r="AB306" s="2893"/>
      <c r="AC306" s="2893"/>
      <c r="AD306" s="2893"/>
      <c r="AE306" s="2893"/>
      <c r="AF306" s="2893"/>
      <c r="AG306" s="2893"/>
    </row>
    <row r="307" spans="1:33" ht="33.75" customHeight="1">
      <c r="A307" s="252"/>
      <c r="B307" s="2904" t="s">
        <v>629</v>
      </c>
      <c r="C307" s="2904"/>
      <c r="D307" s="2904"/>
      <c r="E307" s="2904"/>
      <c r="F307" s="6"/>
      <c r="G307" s="65"/>
      <c r="H307" s="795"/>
      <c r="I307" s="710"/>
      <c r="J307" s="711"/>
      <c r="K307" s="568"/>
      <c r="L307" s="710"/>
      <c r="M307" s="711"/>
      <c r="N307" s="568"/>
      <c r="O307" s="710"/>
      <c r="P307" s="712"/>
      <c r="Q307" s="568"/>
      <c r="R307" s="762"/>
      <c r="S307" s="762"/>
      <c r="T307" s="568"/>
      <c r="U307" s="762"/>
      <c r="V307" s="762"/>
      <c r="W307" s="568"/>
      <c r="X307" s="2893"/>
      <c r="Y307" s="2893"/>
      <c r="Z307" s="2893"/>
      <c r="AA307" s="2893"/>
      <c r="AB307" s="2893"/>
      <c r="AC307" s="2893"/>
      <c r="AD307" s="2893"/>
      <c r="AE307" s="2893"/>
      <c r="AF307" s="2893"/>
      <c r="AG307" s="2893"/>
    </row>
    <row r="308" spans="1:33" ht="14.9" customHeight="1">
      <c r="A308" s="252"/>
      <c r="B308" s="2903" t="s">
        <v>630</v>
      </c>
      <c r="C308" s="2903"/>
      <c r="D308" s="2903"/>
      <c r="E308" s="2903"/>
      <c r="F308" s="6"/>
      <c r="G308" s="65"/>
      <c r="H308" s="480"/>
      <c r="I308" s="710"/>
      <c r="J308" s="711"/>
      <c r="K308" s="526"/>
      <c r="L308" s="710"/>
      <c r="M308" s="711"/>
      <c r="N308" s="526"/>
      <c r="O308" s="710"/>
      <c r="P308" s="712"/>
      <c r="Q308" s="526"/>
      <c r="R308" s="762"/>
      <c r="S308" s="762"/>
      <c r="T308" s="526"/>
      <c r="U308" s="762"/>
      <c r="V308" s="762"/>
      <c r="W308" s="526"/>
      <c r="X308" s="2893"/>
      <c r="Y308" s="2893"/>
      <c r="Z308" s="2893"/>
      <c r="AA308" s="2893"/>
      <c r="AB308" s="2893"/>
      <c r="AC308" s="2893"/>
      <c r="AD308" s="2893"/>
      <c r="AE308" s="2893"/>
      <c r="AF308" s="2893"/>
      <c r="AG308" s="2893"/>
    </row>
    <row r="309" spans="1:33" ht="14.9" customHeight="1">
      <c r="A309" s="252"/>
      <c r="B309" s="2904" t="s">
        <v>634</v>
      </c>
      <c r="C309" s="2904"/>
      <c r="D309" s="2904"/>
      <c r="E309" s="2904"/>
      <c r="F309" s="6"/>
      <c r="G309" s="65"/>
      <c r="H309" s="481"/>
      <c r="I309" s="710"/>
      <c r="J309" s="711"/>
      <c r="K309" s="553"/>
      <c r="L309" s="710"/>
      <c r="M309" s="711"/>
      <c r="N309" s="553"/>
      <c r="O309" s="710"/>
      <c r="P309" s="712"/>
      <c r="Q309" s="553"/>
      <c r="R309" s="762"/>
      <c r="S309" s="762"/>
      <c r="T309" s="553"/>
      <c r="U309" s="762"/>
      <c r="V309" s="762"/>
      <c r="W309" s="553"/>
      <c r="X309" s="2893"/>
      <c r="Y309" s="2893"/>
      <c r="Z309" s="2893"/>
      <c r="AA309" s="2893"/>
      <c r="AB309" s="2893"/>
      <c r="AC309" s="2893"/>
      <c r="AD309" s="2893"/>
      <c r="AE309" s="2893"/>
      <c r="AF309" s="2893"/>
      <c r="AG309" s="2893"/>
    </row>
    <row r="310" spans="1:33" ht="29.15" customHeight="1">
      <c r="A310" s="252"/>
      <c r="B310" s="2903" t="s">
        <v>1551</v>
      </c>
      <c r="C310" s="2903"/>
      <c r="D310" s="2903"/>
      <c r="E310" s="2903"/>
      <c r="F310" s="6"/>
      <c r="G310" s="65"/>
      <c r="H310" s="796"/>
      <c r="I310" s="710"/>
      <c r="J310" s="711"/>
      <c r="K310" s="619"/>
      <c r="L310" s="710"/>
      <c r="M310" s="711"/>
      <c r="N310" s="619"/>
      <c r="O310" s="710"/>
      <c r="P310" s="712"/>
      <c r="Q310" s="619"/>
      <c r="R310" s="762"/>
      <c r="S310" s="762"/>
      <c r="T310" s="619"/>
      <c r="U310" s="762"/>
      <c r="V310" s="762"/>
      <c r="W310" s="619"/>
      <c r="X310" s="2893"/>
      <c r="Y310" s="2893"/>
      <c r="Z310" s="2893"/>
      <c r="AA310" s="2893"/>
      <c r="AB310" s="2893"/>
      <c r="AC310" s="2893"/>
      <c r="AD310" s="2893"/>
      <c r="AE310" s="2893"/>
      <c r="AF310" s="2893"/>
      <c r="AG310" s="2893"/>
    </row>
    <row r="311" spans="1:33" ht="29.15" customHeight="1">
      <c r="A311" s="252"/>
      <c r="B311" s="2903" t="s">
        <v>1552</v>
      </c>
      <c r="C311" s="2903"/>
      <c r="D311" s="2903"/>
      <c r="E311" s="2903"/>
      <c r="F311" s="6"/>
      <c r="G311" s="65"/>
      <c r="H311" s="796"/>
      <c r="I311" s="710"/>
      <c r="J311" s="711"/>
      <c r="K311" s="619"/>
      <c r="L311" s="710"/>
      <c r="M311" s="711"/>
      <c r="N311" s="619"/>
      <c r="O311" s="710"/>
      <c r="P311" s="712"/>
      <c r="Q311" s="619"/>
      <c r="R311" s="762"/>
      <c r="S311" s="762"/>
      <c r="T311" s="619"/>
      <c r="U311" s="762"/>
      <c r="V311" s="762"/>
      <c r="W311" s="619"/>
      <c r="X311" s="2893"/>
      <c r="Y311" s="2893"/>
      <c r="Z311" s="2893"/>
      <c r="AA311" s="2893"/>
      <c r="AB311" s="2893"/>
      <c r="AC311" s="2893"/>
      <c r="AD311" s="2893"/>
      <c r="AE311" s="2893"/>
      <c r="AF311" s="2893"/>
      <c r="AG311" s="2893"/>
    </row>
    <row r="312" spans="1:33" ht="33.75" customHeight="1">
      <c r="A312" s="252"/>
      <c r="B312" s="2903" t="s">
        <v>331</v>
      </c>
      <c r="C312" s="2903"/>
      <c r="D312" s="2903"/>
      <c r="E312" s="2903"/>
      <c r="F312" s="6"/>
      <c r="G312" s="65"/>
      <c r="H312" s="480"/>
      <c r="I312" s="710"/>
      <c r="J312" s="711"/>
      <c r="K312" s="526"/>
      <c r="L312" s="710"/>
      <c r="M312" s="711"/>
      <c r="N312" s="526"/>
      <c r="O312" s="710"/>
      <c r="P312" s="712"/>
      <c r="Q312" s="526"/>
      <c r="R312" s="762"/>
      <c r="S312" s="762"/>
      <c r="T312" s="526"/>
      <c r="U312" s="762"/>
      <c r="V312" s="762"/>
      <c r="W312" s="526"/>
      <c r="X312" s="2893"/>
      <c r="Y312" s="2893"/>
      <c r="Z312" s="2893"/>
      <c r="AA312" s="2893"/>
      <c r="AB312" s="2893"/>
      <c r="AC312" s="2893"/>
      <c r="AD312" s="2893"/>
      <c r="AE312" s="2893"/>
      <c r="AF312" s="2893"/>
      <c r="AG312" s="2893"/>
    </row>
    <row r="313" spans="1:33" ht="14.9" customHeight="1">
      <c r="A313" s="252"/>
      <c r="B313" s="2904" t="s">
        <v>332</v>
      </c>
      <c r="C313" s="2904"/>
      <c r="D313" s="2904"/>
      <c r="E313" s="2904"/>
      <c r="F313" s="6"/>
      <c r="G313" s="63"/>
      <c r="H313" s="480"/>
      <c r="I313" s="710"/>
      <c r="J313" s="582"/>
      <c r="K313" s="526"/>
      <c r="L313" s="748"/>
      <c r="M313" s="711"/>
      <c r="N313" s="526"/>
      <c r="O313" s="710"/>
      <c r="P313" s="582"/>
      <c r="Q313" s="526"/>
      <c r="R313" s="762"/>
      <c r="S313" s="762"/>
      <c r="T313" s="526"/>
      <c r="U313" s="762"/>
      <c r="V313" s="762"/>
      <c r="W313" s="526"/>
      <c r="X313" s="2893"/>
      <c r="Y313" s="2893"/>
      <c r="Z313" s="2893"/>
      <c r="AA313" s="2893"/>
      <c r="AB313" s="2893"/>
      <c r="AC313" s="2893"/>
      <c r="AD313" s="2893"/>
      <c r="AE313" s="2893"/>
      <c r="AF313" s="2893"/>
      <c r="AG313" s="2893"/>
    </row>
    <row r="314" spans="1:33" ht="14.9" customHeight="1">
      <c r="A314" s="252"/>
      <c r="B314" s="2903" t="s">
        <v>333</v>
      </c>
      <c r="C314" s="2903"/>
      <c r="D314" s="2903"/>
      <c r="E314" s="2903"/>
      <c r="F314" s="6"/>
      <c r="G314" s="63"/>
      <c r="H314" s="480"/>
      <c r="I314" s="710"/>
      <c r="J314" s="582"/>
      <c r="K314" s="526"/>
      <c r="L314" s="748"/>
      <c r="M314" s="711"/>
      <c r="N314" s="526"/>
      <c r="O314" s="710"/>
      <c r="P314" s="582"/>
      <c r="Q314" s="526"/>
      <c r="R314" s="762"/>
      <c r="S314" s="762"/>
      <c r="T314" s="526"/>
      <c r="U314" s="762"/>
      <c r="V314" s="762"/>
      <c r="W314" s="526"/>
      <c r="X314" s="2893"/>
      <c r="Y314" s="2893"/>
      <c r="Z314" s="2893"/>
      <c r="AA314" s="2893"/>
      <c r="AB314" s="2893"/>
      <c r="AC314" s="2893"/>
      <c r="AD314" s="2893"/>
      <c r="AE314" s="2893"/>
      <c r="AF314" s="2893"/>
      <c r="AG314" s="2893"/>
    </row>
    <row r="315" spans="1:33" ht="14.9" customHeight="1">
      <c r="A315" s="252"/>
      <c r="B315" s="2903" t="s">
        <v>334</v>
      </c>
      <c r="C315" s="2903"/>
      <c r="D315" s="2903"/>
      <c r="E315" s="2903"/>
      <c r="F315" s="6"/>
      <c r="G315" s="63"/>
      <c r="H315" s="480"/>
      <c r="I315" s="710"/>
      <c r="J315" s="582"/>
      <c r="K315" s="526"/>
      <c r="L315" s="748"/>
      <c r="M315" s="711"/>
      <c r="N315" s="526"/>
      <c r="O315" s="710"/>
      <c r="P315" s="582"/>
      <c r="Q315" s="526"/>
      <c r="R315" s="762"/>
      <c r="S315" s="762"/>
      <c r="T315" s="526"/>
      <c r="U315" s="762"/>
      <c r="V315" s="762"/>
      <c r="W315" s="526"/>
      <c r="X315" s="2893"/>
      <c r="Y315" s="2893"/>
      <c r="Z315" s="2893"/>
      <c r="AA315" s="2893"/>
      <c r="AB315" s="2893"/>
      <c r="AC315" s="2893"/>
      <c r="AD315" s="2893"/>
      <c r="AE315" s="2893"/>
      <c r="AF315" s="2893"/>
      <c r="AG315" s="2893"/>
    </row>
    <row r="316" spans="1:33" ht="14.9" customHeight="1">
      <c r="A316" s="252"/>
      <c r="B316" s="2904" t="s">
        <v>335</v>
      </c>
      <c r="C316" s="2904"/>
      <c r="D316" s="2904"/>
      <c r="E316" s="2904"/>
      <c r="F316" s="6"/>
      <c r="G316" s="63"/>
      <c r="H316" s="480"/>
      <c r="I316" s="710"/>
      <c r="J316" s="582"/>
      <c r="K316" s="526"/>
      <c r="L316" s="748"/>
      <c r="M316" s="711"/>
      <c r="N316" s="526"/>
      <c r="O316" s="710"/>
      <c r="P316" s="582"/>
      <c r="Q316" s="526"/>
      <c r="R316" s="762"/>
      <c r="S316" s="762"/>
      <c r="T316" s="526"/>
      <c r="U316" s="762"/>
      <c r="V316" s="762"/>
      <c r="W316" s="526"/>
      <c r="X316" s="2893"/>
      <c r="Y316" s="2893"/>
      <c r="Z316" s="2893"/>
      <c r="AA316" s="2893"/>
      <c r="AB316" s="2893"/>
      <c r="AC316" s="2893"/>
      <c r="AD316" s="2893"/>
      <c r="AE316" s="2893"/>
      <c r="AF316" s="2893"/>
      <c r="AG316" s="2893"/>
    </row>
    <row r="317" spans="1:33" ht="14.9" customHeight="1">
      <c r="A317" s="252"/>
      <c r="B317" s="2903" t="s">
        <v>336</v>
      </c>
      <c r="C317" s="2903"/>
      <c r="D317" s="2903"/>
      <c r="E317" s="2903"/>
      <c r="F317" s="6"/>
      <c r="G317" s="63"/>
      <c r="H317" s="480"/>
      <c r="I317" s="710"/>
      <c r="J317" s="582"/>
      <c r="K317" s="526"/>
      <c r="L317" s="748"/>
      <c r="M317" s="711"/>
      <c r="N317" s="526"/>
      <c r="O317" s="710"/>
      <c r="P317" s="582"/>
      <c r="Q317" s="526"/>
      <c r="R317" s="762"/>
      <c r="S317" s="762"/>
      <c r="T317" s="526"/>
      <c r="U317" s="762"/>
      <c r="V317" s="762"/>
      <c r="W317" s="526"/>
      <c r="X317" s="2893"/>
      <c r="Y317" s="2893"/>
      <c r="Z317" s="2893"/>
      <c r="AA317" s="2893"/>
      <c r="AB317" s="2893"/>
      <c r="AC317" s="2893"/>
      <c r="AD317" s="2893"/>
      <c r="AE317" s="2893"/>
      <c r="AF317" s="2893"/>
      <c r="AG317" s="2893"/>
    </row>
    <row r="318" spans="1:33" ht="33.75" customHeight="1">
      <c r="A318" s="252"/>
      <c r="B318" s="2903" t="s">
        <v>337</v>
      </c>
      <c r="C318" s="2903"/>
      <c r="D318" s="2903"/>
      <c r="E318" s="2903"/>
      <c r="F318" s="6"/>
      <c r="G318" s="63"/>
      <c r="H318" s="480"/>
      <c r="I318" s="710"/>
      <c r="J318" s="582"/>
      <c r="K318" s="526"/>
      <c r="L318" s="748"/>
      <c r="M318" s="711"/>
      <c r="N318" s="526"/>
      <c r="O318" s="710"/>
      <c r="P318" s="582"/>
      <c r="Q318" s="526"/>
      <c r="R318" s="762"/>
      <c r="S318" s="762"/>
      <c r="T318" s="526"/>
      <c r="U318" s="762"/>
      <c r="V318" s="762"/>
      <c r="W318" s="526"/>
      <c r="X318" s="2893"/>
      <c r="Y318" s="2893"/>
      <c r="Z318" s="2893"/>
      <c r="AA318" s="2893"/>
      <c r="AB318" s="2893"/>
      <c r="AC318" s="2893"/>
      <c r="AD318" s="2893"/>
      <c r="AE318" s="2893"/>
      <c r="AF318" s="2893"/>
      <c r="AG318" s="2893"/>
    </row>
    <row r="319" spans="1:33" ht="33.75" customHeight="1">
      <c r="A319" s="252"/>
      <c r="B319" s="2903" t="s">
        <v>338</v>
      </c>
      <c r="C319" s="2903"/>
      <c r="D319" s="2903"/>
      <c r="E319" s="2903"/>
      <c r="F319" s="6"/>
      <c r="G319" s="63"/>
      <c r="H319" s="480"/>
      <c r="I319" s="710"/>
      <c r="J319" s="582"/>
      <c r="K319" s="526"/>
      <c r="L319" s="748"/>
      <c r="M319" s="711"/>
      <c r="N319" s="526"/>
      <c r="O319" s="710"/>
      <c r="P319" s="582"/>
      <c r="Q319" s="526"/>
      <c r="R319" s="762"/>
      <c r="S319" s="762"/>
      <c r="T319" s="526"/>
      <c r="U319" s="762"/>
      <c r="V319" s="762"/>
      <c r="W319" s="526"/>
      <c r="X319" s="2893"/>
      <c r="Y319" s="2893"/>
      <c r="Z319" s="2893"/>
      <c r="AA319" s="2893"/>
      <c r="AB319" s="2893"/>
      <c r="AC319" s="2893"/>
      <c r="AD319" s="2893"/>
      <c r="AE319" s="2893"/>
      <c r="AF319" s="2893"/>
      <c r="AG319" s="2893"/>
    </row>
    <row r="320" spans="1:33" ht="14.9" customHeight="1">
      <c r="A320" s="252"/>
      <c r="B320" s="2903" t="s">
        <v>735</v>
      </c>
      <c r="C320" s="2903"/>
      <c r="D320" s="2903"/>
      <c r="E320" s="2903"/>
      <c r="F320" s="6"/>
      <c r="G320" s="63"/>
      <c r="H320" s="480"/>
      <c r="I320" s="710"/>
      <c r="J320" s="582"/>
      <c r="K320" s="526"/>
      <c r="L320" s="748"/>
      <c r="M320" s="711"/>
      <c r="N320" s="526"/>
      <c r="O320" s="710"/>
      <c r="P320" s="582"/>
      <c r="Q320" s="526"/>
      <c r="R320" s="762"/>
      <c r="S320" s="762"/>
      <c r="T320" s="526"/>
      <c r="U320" s="762"/>
      <c r="V320" s="762"/>
      <c r="W320" s="526"/>
      <c r="X320" s="2893"/>
      <c r="Y320" s="2893"/>
      <c r="Z320" s="2893"/>
      <c r="AA320" s="2893"/>
      <c r="AB320" s="2893"/>
      <c r="AC320" s="2893"/>
      <c r="AD320" s="2893"/>
      <c r="AE320" s="2893"/>
      <c r="AF320" s="2893"/>
      <c r="AG320" s="2893"/>
    </row>
    <row r="321" spans="1:33" ht="14.9" customHeight="1">
      <c r="A321" s="252"/>
      <c r="B321" s="2903" t="s">
        <v>734</v>
      </c>
      <c r="C321" s="2903"/>
      <c r="D321" s="2903"/>
      <c r="E321" s="2903"/>
      <c r="F321" s="6"/>
      <c r="G321" s="63"/>
      <c r="H321" s="802"/>
      <c r="I321" s="741"/>
      <c r="J321" s="557"/>
      <c r="K321" s="769"/>
      <c r="L321" s="770"/>
      <c r="M321" s="742"/>
      <c r="N321" s="769"/>
      <c r="O321" s="741"/>
      <c r="P321" s="557"/>
      <c r="Q321" s="769"/>
      <c r="R321" s="768"/>
      <c r="S321" s="768"/>
      <c r="T321" s="769"/>
      <c r="U321" s="768"/>
      <c r="V321" s="768"/>
      <c r="W321" s="544"/>
      <c r="X321" s="2893"/>
      <c r="Y321" s="2893"/>
      <c r="Z321" s="2893"/>
      <c r="AA321" s="2893"/>
      <c r="AB321" s="2893"/>
      <c r="AC321" s="2893"/>
      <c r="AD321" s="2893"/>
      <c r="AE321" s="2893"/>
      <c r="AF321" s="2893"/>
      <c r="AG321" s="2893"/>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SK7Tvjvr2hJOHRYNh6VXiejRGo2C86Hbg6Q1nb37MPU4df6sjzbcRnCNEXw4+K68ZCDhXBgs6U4ggZxUGSmkNQ==" saltValue="j3fXMbUNtUWWI3zUg5hp0Q==" spinCount="100000" sheet="1" objects="1" scenarios="1" formatColumns="0" formatRows="0"/>
  <mergeCells count="534">
    <mergeCell ref="B320:E320"/>
    <mergeCell ref="X320:AG320"/>
    <mergeCell ref="B321:E321"/>
    <mergeCell ref="X321:AG321"/>
    <mergeCell ref="B317:E317"/>
    <mergeCell ref="X317:AG317"/>
    <mergeCell ref="B318:E318"/>
    <mergeCell ref="X318:AG318"/>
    <mergeCell ref="B319:E319"/>
    <mergeCell ref="X319:AG319"/>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X116:AG116"/>
    <mergeCell ref="B117:E117"/>
    <mergeCell ref="X117:AG117"/>
    <mergeCell ref="X121:AG121"/>
    <mergeCell ref="X122:AG122"/>
    <mergeCell ref="X123:AG123"/>
    <mergeCell ref="X111:AG111"/>
    <mergeCell ref="X112:AG112"/>
    <mergeCell ref="A113:A117"/>
    <mergeCell ref="B113:E113"/>
    <mergeCell ref="X113:AG113"/>
    <mergeCell ref="B114:E114"/>
    <mergeCell ref="X114:AG114"/>
    <mergeCell ref="B115:E115"/>
    <mergeCell ref="X115:AG115"/>
    <mergeCell ref="B116:E116"/>
    <mergeCell ref="A105:A107"/>
    <mergeCell ref="X105:AG105"/>
    <mergeCell ref="X106:AG106"/>
    <mergeCell ref="B107:E107"/>
    <mergeCell ref="X107:AG107"/>
    <mergeCell ref="A108:A112"/>
    <mergeCell ref="X108:AG108"/>
    <mergeCell ref="B109:E109"/>
    <mergeCell ref="X109:AG109"/>
    <mergeCell ref="X110:AG110"/>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P83:P84"/>
    <mergeCell ref="Q83:Q84"/>
    <mergeCell ref="T83:T84"/>
    <mergeCell ref="W83:W84"/>
    <mergeCell ref="X83:AG84"/>
    <mergeCell ref="X86:AG86"/>
    <mergeCell ref="G83:G84"/>
    <mergeCell ref="H83:H84"/>
    <mergeCell ref="J83:J84"/>
    <mergeCell ref="K83:K84"/>
    <mergeCell ref="M83:M84"/>
    <mergeCell ref="N83:N84"/>
    <mergeCell ref="C78:E78"/>
    <mergeCell ref="K78:T78"/>
    <mergeCell ref="A81:E81"/>
    <mergeCell ref="G82:H82"/>
    <mergeCell ref="J82:K82"/>
    <mergeCell ref="M82:N82"/>
    <mergeCell ref="C75:E75"/>
    <mergeCell ref="K75:T75"/>
    <mergeCell ref="C76:E76"/>
    <mergeCell ref="K76:T76"/>
    <mergeCell ref="C77:E77"/>
    <mergeCell ref="K77:T77"/>
    <mergeCell ref="C72:E72"/>
    <mergeCell ref="K72:T72"/>
    <mergeCell ref="C73:E73"/>
    <mergeCell ref="K73:T73"/>
    <mergeCell ref="C74:E74"/>
    <mergeCell ref="K74:T74"/>
    <mergeCell ref="C69:E69"/>
    <mergeCell ref="K69:T69"/>
    <mergeCell ref="C70:E70"/>
    <mergeCell ref="K70:T70"/>
    <mergeCell ref="C71:E71"/>
    <mergeCell ref="K71:T71"/>
    <mergeCell ref="C66:E66"/>
    <mergeCell ref="K66:T66"/>
    <mergeCell ref="C67:E67"/>
    <mergeCell ref="K67:T67"/>
    <mergeCell ref="C68:E68"/>
    <mergeCell ref="K68:T68"/>
    <mergeCell ref="C63:E63"/>
    <mergeCell ref="K63:T63"/>
    <mergeCell ref="C64:E64"/>
    <mergeCell ref="K64:T64"/>
    <mergeCell ref="C65:E65"/>
    <mergeCell ref="K65:T65"/>
    <mergeCell ref="C60:E60"/>
    <mergeCell ref="K60:T60"/>
    <mergeCell ref="C61:E61"/>
    <mergeCell ref="K61:T61"/>
    <mergeCell ref="C62:E62"/>
    <mergeCell ref="K62:T62"/>
    <mergeCell ref="C57:E57"/>
    <mergeCell ref="K57:T57"/>
    <mergeCell ref="C58:E58"/>
    <mergeCell ref="K58:T58"/>
    <mergeCell ref="C59:E59"/>
    <mergeCell ref="K59:T59"/>
    <mergeCell ref="C54:E54"/>
    <mergeCell ref="K54:T54"/>
    <mergeCell ref="C55:E55"/>
    <mergeCell ref="K55:T55"/>
    <mergeCell ref="C56:E56"/>
    <mergeCell ref="K56:T56"/>
    <mergeCell ref="C51:E51"/>
    <mergeCell ref="K51:T51"/>
    <mergeCell ref="C52:E52"/>
    <mergeCell ref="K52:T52"/>
    <mergeCell ref="C53:E53"/>
    <mergeCell ref="K53:T53"/>
    <mergeCell ref="K46:T46"/>
    <mergeCell ref="K47:T47"/>
    <mergeCell ref="K48:T48"/>
    <mergeCell ref="C49:E49"/>
    <mergeCell ref="K49:T49"/>
    <mergeCell ref="C50:E50"/>
    <mergeCell ref="K50:T50"/>
    <mergeCell ref="B41:E41"/>
    <mergeCell ref="C42:E42"/>
    <mergeCell ref="K42:T42"/>
    <mergeCell ref="K43:T43"/>
    <mergeCell ref="K44:T44"/>
    <mergeCell ref="K45:T45"/>
    <mergeCell ref="N33:W33"/>
    <mergeCell ref="N34:W34"/>
    <mergeCell ref="N35:W35"/>
    <mergeCell ref="N36:W36"/>
    <mergeCell ref="N37:W37"/>
    <mergeCell ref="N38:W38"/>
    <mergeCell ref="N27:W27"/>
    <mergeCell ref="N28:W28"/>
    <mergeCell ref="N29:W29"/>
    <mergeCell ref="N30:W30"/>
    <mergeCell ref="N31:W31"/>
    <mergeCell ref="N32:W3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B1:E1"/>
    <mergeCell ref="B4:E4"/>
    <mergeCell ref="K4:T4"/>
    <mergeCell ref="K5:T5"/>
    <mergeCell ref="K6:T6"/>
    <mergeCell ref="K7:T7"/>
    <mergeCell ref="B11:E11"/>
    <mergeCell ref="K11:T11"/>
    <mergeCell ref="B12:E12"/>
    <mergeCell ref="K12:T12"/>
  </mergeCells>
  <dataValidations count="19">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900-000000000000}">
      <formula1>"Yes, No"</formula1>
    </dataValidation>
    <dataValidation type="list" allowBlank="1" showInputMessage="1" showErrorMessage="1" sqref="H173:H174 H153:H154 H193 K173:K174 K153:K154 K193 N173:N174 W193 N193 Q173:Q174 N153:N154 Q193 T173:T174 T153:T154 T193 W173:W174 W153:W154 Q153:Q154" xr:uid="{00000000-0002-0000-1900-000001000000}">
      <formula1>"Yes,No"</formula1>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900-000002000000}">
      <formula1>"Route-based,Point-to-point"</formula1>
    </dataValidation>
    <dataValidation type="whole" allowBlank="1" showInputMessage="1" showErrorMessage="1" sqref="H133:H134 K133:K134 N133:N134 Q133:Q134 T133:T134 W133:W134" xr:uid="{00000000-0002-0000-1900-000003000000}">
      <formula1>0</formula1>
      <formula2>3</formula2>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900-000004000000}">
      <formula1>0</formula1>
      <formula2>1</formula2>
    </dataValidation>
    <dataValidation type="list" allowBlank="1" showInputMessage="1" showErrorMessage="1" sqref="H121 K121 Q121 T121 W121 N121" xr:uid="{00000000-0002-0000-1900-000005000000}">
      <formula1>"Cost per m^3 delivered, Cost as % commodity value"</formula1>
    </dataValidation>
    <dataValidation type="list" allowBlank="1" showInputMessage="1" showErrorMessage="1" sqref="H117 K117 Q117 T117 W117 N117" xr:uid="{00000000-0002-0000-1900-000006000000}">
      <formula1>"Upstream,Downstream"</formula1>
    </dataValidation>
    <dataValidation type="list" allowBlank="1" showInputMessage="1" showErrorMessage="1" sqref="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K105 H105 N105" xr:uid="{00000000-0002-0000-1900-000007000000}">
      <formula1>$B$27:$B$38</formula1>
    </dataValidation>
    <dataValidation type="decimal" allowBlank="1" showInputMessage="1" showErrorMessage="1" sqref="H93 K93 Q93 T93 W93 N93" xr:uid="{00000000-0002-0000-1900-000008000000}">
      <formula1>0.0001</formula1>
      <formula2>2</formula2>
    </dataValidation>
    <dataValidation type="decimal" allowBlank="1" showInputMessage="1" showErrorMessage="1" sqref="H94 K94 Q94 T94 W94 N94" xr:uid="{00000000-0002-0000-1900-000009000000}">
      <formula1>0</formula1>
      <formula2>99.9999</formula2>
    </dataValidation>
    <dataValidation type="whole" operator="greaterThan" allowBlank="1" showInputMessage="1" showErrorMessage="1" sqref="H95:H96 K95:K96 Q95:Q96 T95:T96 W95:W96 N95:N96" xr:uid="{00000000-0002-0000-1900-00000A000000}">
      <formula1>0</formula1>
    </dataValidation>
    <dataValidation type="decimal" operator="greaterThanOrEqual" allowBlank="1" showInputMessage="1" showErrorMessage="1" sqref="H97 K97 Q97 T97 W97 N97" xr:uid="{00000000-0002-0000-1900-00000B000000}">
      <formula1>1</formula1>
    </dataValidation>
    <dataValidation type="decimal" operator="greaterThan" allowBlank="1" showInputMessage="1" showErrorMessage="1" sqref="H6 H9:H11 H17 H21 H19 H68 H65:H66 N114 H180 H44:H45 H47:H48 H53:H54 K151:K152 H92 Q92 T92 W92 H108 H114 K108 K114 Q108 Q114 T108 T114 W108 W114 K180 K160 H184 H164 H191:H192 H171:H172 K140 H144 H151:H152 N180 N160 K184 K164 K191:K192 K171:K172 N140 K144 Q151:Q152 Q180 Q160 N184 N164 N191:N192 N171:N172 Q140 N144 N151:N152 T180 T160 Q184 Q164 Q191:Q192 Q171:Q172 T140 Q144 H59:H6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K92 H71:H72 N92 N108 H77:H78" xr:uid="{00000000-0002-0000-1900-00000C000000}">
      <formula1>0</formula1>
    </dataValidation>
    <dataValidation type="decimal" operator="greaterThanOrEqual" allowBlank="1" showInputMessage="1" showErrorMessage="1" sqref="H12 H18 H28:H38 H63:H64 H46 H49:H52 H69:H70 H43 N122:N123 H67 H73:H76 H98:H99 K98:K99 Q98:Q99 T98:T99 W98:W99 H103:H104 H106:H107 H109:H113 H115:H116 K103:K104 K106:K107 K109:K113 K115:K116 Q103:Q104 Q106:Q107 Q109:Q113 Q115:Q116 T103:T104 T106:T107 T109:T113 T115:T116 W103:W104 W106:W107 W109:W113 W115:W116 H315 H122:H123 K122:K123 Q122:Q123 T122:T123 W122:W123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K28:K38 N98:N99 N103:N104 N106:N107 N109:N113 N115:N116 H55:H58" xr:uid="{00000000-0002-0000-1900-00000D000000}">
      <formula1>0</formula1>
    </dataValidation>
    <dataValidation type="whole" allowBlank="1" showInputMessage="1" showErrorMessage="1" sqref="H7" xr:uid="{00000000-0002-0000-1900-00000E000000}">
      <formula1>1</formula1>
      <formula2>6</formula2>
    </dataValidation>
    <dataValidation type="list" allowBlank="1" showInputMessage="1" showErrorMessage="1" sqref="H5 H86 K86 N86 Q86 T86 W86" xr:uid="{00000000-0002-0000-1900-00000F000000}">
      <formula1>$N$6:$N$11</formula1>
    </dataValidation>
    <dataValidation type="list" allowBlank="1" showInputMessage="1" showErrorMessage="1" sqref="G86" xr:uid="{00000000-0002-0000-1900-000010000000}">
      <formula1>"ZimbabweZAPS,TEST"</formula1>
    </dataValidation>
    <dataValidation type="list" allowBlank="1" showInputMessage="1" showErrorMessage="1" sqref="G87 G89" xr:uid="{00000000-0002-0000-1900-000011000000}">
      <formula1>"Tier 1,Tier 2,Tier 3,Tier 4"</formula1>
    </dataValidation>
    <dataValidation type="list" allowBlank="1" showInputMessage="1" showErrorMessage="1" sqref="M289:M291 J180:J182 M245:M247 M205:M207 J136 M225:M227 M136 M156 J156 M176 M160:M162 J176 J160:J162 M180:M182 M309:M311" xr:uid="{00000000-0002-0000-1900-000012000000}">
      <formula1>"Motorcycle,Land Cruiser,Box Truck/Lorry"</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900-000013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 type="list" allowBlank="1" showInputMessage="1" showErrorMessage="1" xr:uid="{00000000-0002-0000-1900-000014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900-000015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900-000016000000}">
          <x14:formula1>
            <xm:f>'List Values'!$C$3:$C$8</xm:f>
          </x14:formula1>
          <xm:sqref>K87 N87 Q87 T87 W87 H87</xm:sqref>
        </x14:dataValidation>
        <x14:dataValidation type="list" allowBlank="1" showInputMessage="1" showErrorMessage="1" xr:uid="{00000000-0002-0000-1900-000017000000}">
          <x14:formula1>
            <xm:f>'List Values'!$B$3:$B$4</xm:f>
          </x14:formula1>
          <xm:sqref>H20</xm:sqref>
        </x14:dataValidation>
        <x14:dataValidation type="list" operator="greaterThan" allowBlank="1" showInputMessage="1" showErrorMessage="1" xr:uid="{00000000-0002-0000-1900-000018000000}">
          <x14:formula1>
            <xm:f>'List Values'!$B$3:$B$4</xm:f>
          </x14:formula1>
          <xm:sqref>H20</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8">
    <tabColor theme="0" tint="-0.14999847407452621"/>
  </sheetPr>
  <dimension ref="A1:AH350"/>
  <sheetViews>
    <sheetView showGridLines="0" zoomScale="80" zoomScaleNormal="80" workbookViewId="0">
      <selection activeCell="H110" sqref="H110"/>
    </sheetView>
  </sheetViews>
  <sheetFormatPr defaultColWidth="8.84375" defaultRowHeight="14.6"/>
  <cols>
    <col min="1" max="1" width="9.69140625" customWidth="1"/>
    <col min="2" max="2" width="30.3046875" customWidth="1"/>
    <col min="3" max="3" width="10.69140625" customWidth="1"/>
    <col min="4" max="4" width="24.3046875" customWidth="1"/>
    <col min="5" max="5" width="37.38281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s>
  <sheetData>
    <row r="1" spans="2:23" ht="220.5" customHeight="1">
      <c r="B1" s="2913" t="s">
        <v>5509</v>
      </c>
      <c r="C1" s="2913"/>
      <c r="D1" s="2913"/>
      <c r="E1" s="2913"/>
      <c r="H1" s="771"/>
    </row>
    <row r="4" spans="2:23" ht="27" customHeight="1">
      <c r="B4" s="2856" t="s">
        <v>304</v>
      </c>
      <c r="C4" s="2857"/>
      <c r="D4" s="2857"/>
      <c r="E4" s="2858"/>
      <c r="G4" s="25" t="s">
        <v>17</v>
      </c>
      <c r="H4" s="789" t="s">
        <v>10</v>
      </c>
      <c r="K4" s="2859" t="s">
        <v>405</v>
      </c>
      <c r="L4" s="2859"/>
      <c r="M4" s="2859"/>
      <c r="N4" s="2859"/>
      <c r="O4" s="2859"/>
      <c r="P4" s="2859"/>
      <c r="Q4" s="2859"/>
      <c r="R4" s="2859"/>
      <c r="S4" s="2859"/>
      <c r="T4" s="2859"/>
    </row>
    <row r="5" spans="2:23" ht="15" customHeight="1">
      <c r="B5" s="665" t="s">
        <v>117</v>
      </c>
      <c r="C5" s="664"/>
      <c r="D5" s="664"/>
      <c r="E5" s="663"/>
      <c r="H5" s="521"/>
      <c r="K5" s="2860"/>
      <c r="L5" s="2860"/>
      <c r="M5" s="2860"/>
      <c r="N5" s="2860"/>
      <c r="O5" s="2860"/>
      <c r="P5" s="2860"/>
      <c r="Q5" s="2860"/>
      <c r="R5" s="2860"/>
      <c r="S5" s="2860"/>
      <c r="T5" s="2860"/>
    </row>
    <row r="6" spans="2:23" ht="15" customHeight="1">
      <c r="B6" s="665" t="s">
        <v>165</v>
      </c>
      <c r="C6" s="664"/>
      <c r="D6" s="664"/>
      <c r="E6" s="663"/>
      <c r="F6" s="83"/>
      <c r="G6" s="84"/>
      <c r="H6" s="695">
        <v>1</v>
      </c>
      <c r="K6" s="2860" t="s">
        <v>710</v>
      </c>
      <c r="L6" s="2860"/>
      <c r="M6" s="2860"/>
      <c r="N6" s="2860"/>
      <c r="O6" s="2860"/>
      <c r="P6" s="2860"/>
      <c r="Q6" s="2860"/>
      <c r="R6" s="2860"/>
      <c r="S6" s="2860"/>
      <c r="T6" s="2860"/>
    </row>
    <row r="7" spans="2:23" ht="16" customHeight="1">
      <c r="B7" s="662" t="s">
        <v>57</v>
      </c>
      <c r="C7" s="659"/>
      <c r="D7" s="659"/>
      <c r="E7" s="791"/>
      <c r="G7" s="41">
        <v>3</v>
      </c>
      <c r="H7" s="695">
        <v>3</v>
      </c>
      <c r="K7" s="2860"/>
      <c r="L7" s="2860"/>
      <c r="M7" s="2860"/>
      <c r="N7" s="2860"/>
      <c r="O7" s="2860"/>
      <c r="P7" s="2860"/>
      <c r="Q7" s="2860"/>
      <c r="R7" s="2860"/>
      <c r="S7" s="2860"/>
      <c r="T7" s="2860"/>
    </row>
    <row r="8" spans="2:23">
      <c r="B8" s="2861" t="s">
        <v>11</v>
      </c>
      <c r="C8" s="2250"/>
      <c r="D8" s="2250"/>
      <c r="E8" s="2862"/>
      <c r="G8" s="40">
        <v>1.37</v>
      </c>
      <c r="H8" s="701">
        <v>2.25</v>
      </c>
      <c r="K8" s="2860" t="s">
        <v>709</v>
      </c>
      <c r="L8" s="2860"/>
      <c r="M8" s="2860"/>
      <c r="N8" s="2860"/>
      <c r="O8" s="2860"/>
      <c r="P8" s="2860"/>
      <c r="Q8" s="2860"/>
      <c r="R8" s="2860"/>
      <c r="S8" s="2860"/>
      <c r="T8" s="2860"/>
    </row>
    <row r="9" spans="2:23" ht="18.75" customHeight="1">
      <c r="B9" s="2861" t="s">
        <v>12</v>
      </c>
      <c r="C9" s="2250"/>
      <c r="D9" s="2250"/>
      <c r="E9" s="2862"/>
      <c r="G9" s="41">
        <v>240</v>
      </c>
      <c r="H9" s="695">
        <v>260</v>
      </c>
      <c r="K9" s="2860"/>
      <c r="L9" s="2860"/>
      <c r="M9" s="2860"/>
      <c r="N9" s="2860"/>
      <c r="O9" s="2860"/>
      <c r="P9" s="2860"/>
      <c r="Q9" s="2860"/>
      <c r="R9" s="2860"/>
      <c r="S9" s="2860"/>
      <c r="T9" s="2860"/>
      <c r="U9" s="655"/>
      <c r="V9" s="655"/>
    </row>
    <row r="10" spans="2:23" ht="15" customHeight="1">
      <c r="B10" s="2861" t="s">
        <v>13</v>
      </c>
      <c r="C10" s="2250"/>
      <c r="D10" s="2250"/>
      <c r="E10" s="2862"/>
      <c r="G10" s="41">
        <v>8</v>
      </c>
      <c r="H10" s="695">
        <v>8</v>
      </c>
      <c r="K10" s="2860"/>
      <c r="L10" s="2860"/>
      <c r="M10" s="2860"/>
      <c r="N10" s="2860"/>
      <c r="O10" s="2860"/>
      <c r="P10" s="2860"/>
      <c r="Q10" s="2860"/>
      <c r="R10" s="2860"/>
      <c r="S10" s="2860"/>
      <c r="T10" s="2860"/>
      <c r="U10" s="62"/>
      <c r="V10" s="62"/>
    </row>
    <row r="11" spans="2:23" ht="15" customHeight="1">
      <c r="B11" s="2861" t="s">
        <v>15</v>
      </c>
      <c r="C11" s="2250"/>
      <c r="D11" s="2250"/>
      <c r="E11" s="2862"/>
      <c r="G11" s="41">
        <v>5</v>
      </c>
      <c r="H11" s="695">
        <v>7</v>
      </c>
      <c r="K11" s="2860" t="s">
        <v>708</v>
      </c>
      <c r="L11" s="2860"/>
      <c r="M11" s="2860"/>
      <c r="N11" s="2860"/>
      <c r="O11" s="2860"/>
      <c r="P11" s="2860"/>
      <c r="Q11" s="2860"/>
      <c r="R11" s="2860"/>
      <c r="S11" s="2860"/>
      <c r="T11" s="2860"/>
      <c r="U11" s="62"/>
      <c r="V11" s="62"/>
    </row>
    <row r="12" spans="2:23" ht="15" customHeight="1">
      <c r="B12" s="2861" t="s">
        <v>400</v>
      </c>
      <c r="C12" s="2250"/>
      <c r="D12" s="2250"/>
      <c r="E12" s="2862"/>
      <c r="G12" s="42">
        <v>3</v>
      </c>
      <c r="H12" s="702">
        <v>5</v>
      </c>
      <c r="K12" s="2860" t="s">
        <v>707</v>
      </c>
      <c r="L12" s="2860"/>
      <c r="M12" s="2860"/>
      <c r="N12" s="2860"/>
      <c r="O12" s="2860"/>
      <c r="P12" s="2860"/>
      <c r="Q12" s="2860"/>
      <c r="R12" s="2860"/>
      <c r="S12" s="2860"/>
      <c r="T12" s="2860"/>
      <c r="U12" s="62"/>
      <c r="V12" s="62"/>
    </row>
    <row r="13" spans="2:23">
      <c r="B13" s="39"/>
      <c r="C13" s="39"/>
      <c r="D13" s="39"/>
      <c r="E13" s="39"/>
      <c r="G13" s="8"/>
      <c r="H13" s="11"/>
      <c r="S13" s="240"/>
      <c r="T13" s="62"/>
      <c r="U13" s="62"/>
      <c r="V13" s="62"/>
    </row>
    <row r="14" spans="2:23">
      <c r="B14" s="39"/>
      <c r="C14" s="39"/>
      <c r="D14" s="39"/>
      <c r="E14" s="39"/>
      <c r="G14" s="8"/>
      <c r="H14" s="11"/>
      <c r="T14" s="93"/>
      <c r="U14" s="93"/>
      <c r="V14" s="661"/>
      <c r="W14" s="4"/>
    </row>
    <row r="15" spans="2:23" ht="30" customHeight="1">
      <c r="B15" s="2856" t="s">
        <v>296</v>
      </c>
      <c r="C15" s="2857"/>
      <c r="D15" s="2857"/>
      <c r="E15" s="2858"/>
      <c r="G15" s="25" t="s">
        <v>17</v>
      </c>
      <c r="H15" s="818" t="s">
        <v>10</v>
      </c>
      <c r="K15" s="2863" t="s">
        <v>405</v>
      </c>
      <c r="L15" s="2863"/>
      <c r="M15" s="2863"/>
      <c r="N15" s="2863"/>
      <c r="O15" s="2863"/>
      <c r="P15" s="2863"/>
      <c r="Q15" s="2863"/>
      <c r="R15" s="2863"/>
      <c r="S15" s="2863"/>
      <c r="T15" s="2863"/>
      <c r="U15" s="62"/>
      <c r="V15" s="62"/>
      <c r="W15" s="4"/>
    </row>
    <row r="16" spans="2:23" ht="10.5" customHeight="1">
      <c r="B16" s="814"/>
      <c r="C16" s="815"/>
      <c r="D16" s="815"/>
      <c r="E16" s="816"/>
      <c r="G16" s="15"/>
      <c r="H16" s="998"/>
      <c r="I16" s="27"/>
      <c r="J16" s="27"/>
      <c r="K16" s="999"/>
      <c r="L16" s="999"/>
      <c r="M16" s="999"/>
      <c r="N16" s="999"/>
      <c r="O16" s="999"/>
      <c r="P16" s="999"/>
      <c r="Q16" s="999"/>
      <c r="R16" s="999"/>
      <c r="S16" s="999"/>
      <c r="T16" s="999"/>
      <c r="U16" s="62"/>
      <c r="V16" s="62"/>
      <c r="W16" s="4"/>
    </row>
    <row r="17" spans="2:23">
      <c r="B17" s="43" t="s">
        <v>367</v>
      </c>
      <c r="C17" s="44"/>
      <c r="D17" s="44"/>
      <c r="E17" s="45"/>
      <c r="G17" s="46">
        <v>1955</v>
      </c>
      <c r="H17" s="730">
        <v>15.09</v>
      </c>
      <c r="K17" s="2920"/>
      <c r="L17" s="2920"/>
      <c r="M17" s="2920"/>
      <c r="N17" s="2920"/>
      <c r="O17" s="2920"/>
      <c r="P17" s="2920"/>
      <c r="Q17" s="2920"/>
      <c r="R17" s="2920"/>
      <c r="S17" s="2920"/>
      <c r="T17" s="2920"/>
      <c r="U17" s="95"/>
      <c r="V17" s="95"/>
      <c r="W17" s="4"/>
    </row>
    <row r="18" spans="2:23">
      <c r="B18" s="43" t="s">
        <v>368</v>
      </c>
      <c r="C18" s="44"/>
      <c r="D18" s="44"/>
      <c r="E18" s="45"/>
      <c r="G18" s="41"/>
      <c r="H18" s="695">
        <v>7.7759999999999998</v>
      </c>
      <c r="K18" s="2860" t="s">
        <v>706</v>
      </c>
      <c r="L18" s="2860"/>
      <c r="M18" s="2860"/>
      <c r="N18" s="2860"/>
      <c r="O18" s="2860"/>
      <c r="P18" s="2860"/>
      <c r="Q18" s="2860"/>
      <c r="R18" s="2860"/>
      <c r="S18" s="2860"/>
      <c r="T18" s="2860"/>
      <c r="U18" s="95"/>
      <c r="V18" s="95"/>
      <c r="W18" s="4"/>
    </row>
    <row r="19" spans="2:23">
      <c r="B19" s="43" t="s">
        <v>130</v>
      </c>
      <c r="C19" s="44"/>
      <c r="D19" s="44"/>
      <c r="E19" s="45"/>
      <c r="G19" s="41"/>
      <c r="H19" s="695">
        <v>17</v>
      </c>
      <c r="K19" s="2860" t="s">
        <v>705</v>
      </c>
      <c r="L19" s="2860"/>
      <c r="M19" s="2860"/>
      <c r="N19" s="2860"/>
      <c r="O19" s="2860"/>
      <c r="P19" s="2860"/>
      <c r="Q19" s="2860"/>
      <c r="R19" s="2860"/>
      <c r="S19" s="2860"/>
      <c r="T19" s="2860"/>
      <c r="U19" s="95"/>
      <c r="V19" s="62"/>
      <c r="W19" s="4"/>
    </row>
    <row r="20" spans="2:23">
      <c r="B20" s="660" t="s">
        <v>369</v>
      </c>
      <c r="C20" s="44"/>
      <c r="D20" s="44"/>
      <c r="E20" s="45"/>
      <c r="G20" s="41"/>
      <c r="H20" s="543" t="s">
        <v>370</v>
      </c>
      <c r="K20" s="2860"/>
      <c r="L20" s="2860"/>
      <c r="M20" s="2860"/>
      <c r="N20" s="2860"/>
      <c r="O20" s="2860"/>
      <c r="P20" s="2860"/>
      <c r="Q20" s="2860"/>
      <c r="R20" s="2860"/>
      <c r="S20" s="2860"/>
      <c r="T20" s="2860"/>
      <c r="U20" s="95"/>
      <c r="V20" s="62"/>
      <c r="W20" s="4"/>
    </row>
    <row r="21" spans="2:23" ht="16" customHeight="1">
      <c r="B21" s="68" t="s">
        <v>55</v>
      </c>
      <c r="C21" s="44"/>
      <c r="D21" s="44"/>
      <c r="E21" s="45"/>
      <c r="G21" s="55">
        <v>12300000</v>
      </c>
      <c r="H21" s="696">
        <v>355998.58297484199</v>
      </c>
      <c r="K21" s="2860" t="s">
        <v>704</v>
      </c>
      <c r="L21" s="2860"/>
      <c r="M21" s="2860"/>
      <c r="N21" s="2860"/>
      <c r="O21" s="2860"/>
      <c r="P21" s="2860"/>
      <c r="Q21" s="2860"/>
      <c r="R21" s="2860"/>
      <c r="S21" s="2860"/>
      <c r="T21" s="2860"/>
      <c r="U21" s="97"/>
      <c r="V21" s="97"/>
      <c r="W21" s="4"/>
    </row>
    <row r="22" spans="2:23" ht="18.45">
      <c r="B22" s="50"/>
      <c r="C22" s="50"/>
      <c r="D22" s="50"/>
      <c r="E22" s="50"/>
      <c r="G22" s="50"/>
      <c r="H22" s="50"/>
      <c r="I22" s="50"/>
      <c r="J22" s="50"/>
      <c r="K22" s="50"/>
      <c r="S22" s="240"/>
      <c r="T22" s="95"/>
      <c r="U22" s="95"/>
      <c r="V22" s="95"/>
    </row>
    <row r="23" spans="2:23">
      <c r="S23" s="1"/>
      <c r="T23" s="272"/>
    </row>
    <row r="24" spans="2:23" ht="27.65" customHeight="1">
      <c r="B24" s="2856" t="s">
        <v>297</v>
      </c>
      <c r="C24" s="2857"/>
      <c r="D24" s="2857"/>
      <c r="E24" s="2858"/>
      <c r="G24" s="2873" t="s">
        <v>72</v>
      </c>
      <c r="H24" s="2874"/>
      <c r="I24" s="697"/>
      <c r="J24" s="2871" t="s">
        <v>24</v>
      </c>
      <c r="K24" s="2871"/>
    </row>
    <row r="25" spans="2:23" ht="15" customHeight="1">
      <c r="B25" s="2865" t="s">
        <v>23</v>
      </c>
      <c r="C25" s="2661"/>
      <c r="D25" s="2661"/>
      <c r="E25" s="2866"/>
      <c r="G25" s="2867" t="s">
        <v>17</v>
      </c>
      <c r="H25" s="2869" t="s">
        <v>10</v>
      </c>
      <c r="J25" s="2871" t="s">
        <v>17</v>
      </c>
      <c r="K25" s="2872" t="s">
        <v>10</v>
      </c>
      <c r="N25" s="2859" t="s">
        <v>405</v>
      </c>
      <c r="O25" s="2859"/>
      <c r="P25" s="2859"/>
      <c r="Q25" s="2859"/>
      <c r="R25" s="2859"/>
      <c r="S25" s="2859"/>
      <c r="T25" s="2859"/>
      <c r="U25" s="2859"/>
      <c r="V25" s="2859"/>
      <c r="W25" s="2859"/>
    </row>
    <row r="26" spans="2:23">
      <c r="B26" s="2611"/>
      <c r="C26" s="2612"/>
      <c r="D26" s="2612"/>
      <c r="E26" s="2613"/>
      <c r="G26" s="2868"/>
      <c r="H26" s="2870"/>
      <c r="J26" s="2871"/>
      <c r="K26" s="2872"/>
      <c r="N26" s="2859"/>
      <c r="O26" s="2859"/>
      <c r="P26" s="2859"/>
      <c r="Q26" s="2859"/>
      <c r="R26" s="2859"/>
      <c r="S26" s="2859"/>
      <c r="T26" s="2859"/>
      <c r="U26" s="2859"/>
      <c r="V26" s="2859"/>
      <c r="W26" s="2859"/>
    </row>
    <row r="27" spans="2:23" ht="15" customHeight="1">
      <c r="B27" s="495" t="s">
        <v>605</v>
      </c>
      <c r="C27" s="781"/>
      <c r="D27" s="781"/>
      <c r="E27" s="783"/>
      <c r="G27" s="790"/>
      <c r="H27" s="698">
        <v>0</v>
      </c>
      <c r="I27" s="703"/>
      <c r="J27" s="704"/>
      <c r="K27" s="698">
        <v>0</v>
      </c>
      <c r="N27" s="2860"/>
      <c r="O27" s="2860"/>
      <c r="P27" s="2860"/>
      <c r="Q27" s="2860"/>
      <c r="R27" s="2860"/>
      <c r="S27" s="2860"/>
      <c r="T27" s="2860"/>
      <c r="U27" s="2860"/>
      <c r="V27" s="2860"/>
      <c r="W27" s="2860"/>
    </row>
    <row r="28" spans="2:23">
      <c r="B28" s="231" t="s">
        <v>19</v>
      </c>
      <c r="C28" s="26"/>
      <c r="D28" s="26"/>
      <c r="E28" s="16"/>
      <c r="G28" s="47" t="e">
        <v>#REF!</v>
      </c>
      <c r="H28" s="524">
        <v>0.31</v>
      </c>
      <c r="I28" s="705"/>
      <c r="J28" s="706"/>
      <c r="K28" s="524">
        <v>10</v>
      </c>
      <c r="N28" s="2860"/>
      <c r="O28" s="2860"/>
      <c r="P28" s="2860"/>
      <c r="Q28" s="2860"/>
      <c r="R28" s="2860"/>
      <c r="S28" s="2860"/>
      <c r="T28" s="2860"/>
      <c r="U28" s="2860"/>
      <c r="V28" s="2860"/>
      <c r="W28" s="2860"/>
    </row>
    <row r="29" spans="2:23" ht="17.25" customHeight="1">
      <c r="B29" s="231" t="s">
        <v>20</v>
      </c>
      <c r="C29" s="26"/>
      <c r="D29" s="26"/>
      <c r="E29" s="16"/>
      <c r="G29" s="48" t="e">
        <v>#REF!</v>
      </c>
      <c r="H29" s="524"/>
      <c r="I29" s="705"/>
      <c r="J29" s="706"/>
      <c r="K29" s="524"/>
      <c r="N29" s="2860"/>
      <c r="O29" s="2860"/>
      <c r="P29" s="2860"/>
      <c r="Q29" s="2860"/>
      <c r="R29" s="2860"/>
      <c r="S29" s="2860"/>
      <c r="T29" s="2860"/>
      <c r="U29" s="2860"/>
      <c r="V29" s="2860"/>
      <c r="W29" s="2860"/>
    </row>
    <row r="30" spans="2:23" ht="17.25" customHeight="1">
      <c r="B30" s="231" t="s">
        <v>21</v>
      </c>
      <c r="C30" s="26"/>
      <c r="D30" s="26"/>
      <c r="E30" s="16"/>
      <c r="G30" s="48">
        <v>6.58</v>
      </c>
      <c r="H30" s="524">
        <v>2.89</v>
      </c>
      <c r="I30" s="705"/>
      <c r="J30" s="706">
        <v>50</v>
      </c>
      <c r="K30" s="524">
        <v>10</v>
      </c>
      <c r="N30" s="2860"/>
      <c r="O30" s="2860"/>
      <c r="P30" s="2860"/>
      <c r="Q30" s="2860"/>
      <c r="R30" s="2860"/>
      <c r="S30" s="2860"/>
      <c r="T30" s="2860"/>
      <c r="U30" s="2860"/>
      <c r="V30" s="2860"/>
      <c r="W30" s="2860"/>
    </row>
    <row r="31" spans="2:23" ht="17.25" customHeight="1">
      <c r="B31" s="231" t="s">
        <v>22</v>
      </c>
      <c r="C31" s="26"/>
      <c r="D31" s="26"/>
      <c r="E31" s="16"/>
      <c r="G31" s="48">
        <v>5.91</v>
      </c>
      <c r="H31" s="524"/>
      <c r="I31" s="705"/>
      <c r="J31" s="706"/>
      <c r="K31" s="524"/>
      <c r="N31" s="2860"/>
      <c r="O31" s="2860"/>
      <c r="P31" s="2860"/>
      <c r="Q31" s="2860"/>
      <c r="R31" s="2860"/>
      <c r="S31" s="2860"/>
      <c r="T31" s="2860"/>
      <c r="U31" s="2860"/>
      <c r="V31" s="2860"/>
      <c r="W31" s="2860"/>
    </row>
    <row r="32" spans="2:23" ht="17.25" customHeight="1">
      <c r="B32" s="231" t="s">
        <v>402</v>
      </c>
      <c r="C32" s="26"/>
      <c r="D32" s="26"/>
      <c r="E32" s="16"/>
      <c r="G32" s="48" t="e">
        <v>#REF!</v>
      </c>
      <c r="H32" s="524"/>
      <c r="I32" s="705"/>
      <c r="J32" s="706"/>
      <c r="K32" s="524"/>
      <c r="N32" s="2860"/>
      <c r="O32" s="2860"/>
      <c r="P32" s="2860"/>
      <c r="Q32" s="2860"/>
      <c r="R32" s="2860"/>
      <c r="S32" s="2860"/>
      <c r="T32" s="2860"/>
      <c r="U32" s="2860"/>
      <c r="V32" s="2860"/>
      <c r="W32" s="2860"/>
    </row>
    <row r="33" spans="1:23" ht="17.25" customHeight="1">
      <c r="B33" s="231" t="s">
        <v>401</v>
      </c>
      <c r="C33" s="26"/>
      <c r="D33" s="26"/>
      <c r="E33" s="16"/>
      <c r="G33" s="48"/>
      <c r="H33" s="524">
        <v>2.87</v>
      </c>
      <c r="I33" s="705"/>
      <c r="J33" s="706"/>
      <c r="K33" s="524">
        <v>10</v>
      </c>
      <c r="N33" s="2860"/>
      <c r="O33" s="2860"/>
      <c r="P33" s="2860"/>
      <c r="Q33" s="2860"/>
      <c r="R33" s="2860"/>
      <c r="S33" s="2860"/>
      <c r="T33" s="2860"/>
      <c r="U33" s="2860"/>
      <c r="V33" s="2860"/>
      <c r="W33" s="2860"/>
    </row>
    <row r="34" spans="1:23">
      <c r="B34" s="231" t="s">
        <v>403</v>
      </c>
      <c r="C34" s="26"/>
      <c r="D34" s="26"/>
      <c r="E34" s="16"/>
      <c r="G34" s="48">
        <v>5.91</v>
      </c>
      <c r="H34" s="524"/>
      <c r="I34" s="705"/>
      <c r="J34" s="706"/>
      <c r="K34" s="524"/>
      <c r="N34" s="2860"/>
      <c r="O34" s="2860"/>
      <c r="P34" s="2860"/>
      <c r="Q34" s="2860"/>
      <c r="R34" s="2860"/>
      <c r="S34" s="2860"/>
      <c r="T34" s="2860"/>
      <c r="U34" s="2860"/>
      <c r="V34" s="2860"/>
      <c r="W34" s="2860"/>
    </row>
    <row r="35" spans="1:23">
      <c r="B35" s="232" t="s">
        <v>404</v>
      </c>
      <c r="C35" s="26"/>
      <c r="D35" s="26"/>
      <c r="E35" s="16"/>
      <c r="G35" s="48" t="e">
        <v>#REF!</v>
      </c>
      <c r="H35" s="524"/>
      <c r="I35" s="705"/>
      <c r="J35" s="706"/>
      <c r="K35" s="524"/>
      <c r="N35" s="2860"/>
      <c r="O35" s="2860"/>
      <c r="P35" s="2860"/>
      <c r="Q35" s="2860"/>
      <c r="R35" s="2860"/>
      <c r="S35" s="2860"/>
      <c r="T35" s="2860"/>
      <c r="U35" s="2860"/>
      <c r="V35" s="2860"/>
      <c r="W35" s="2860"/>
    </row>
    <row r="36" spans="1:23">
      <c r="B36" s="232" t="s">
        <v>416</v>
      </c>
      <c r="C36" s="26"/>
      <c r="D36" s="26"/>
      <c r="E36" s="16"/>
      <c r="G36" s="48"/>
      <c r="H36" s="699">
        <v>0.21</v>
      </c>
      <c r="I36" s="705"/>
      <c r="J36" s="706"/>
      <c r="K36" s="699">
        <v>10</v>
      </c>
      <c r="N36" s="2860" t="s">
        <v>703</v>
      </c>
      <c r="O36" s="2860"/>
      <c r="P36" s="2860"/>
      <c r="Q36" s="2860"/>
      <c r="R36" s="2860"/>
      <c r="S36" s="2860"/>
      <c r="T36" s="2860"/>
      <c r="U36" s="2860"/>
      <c r="V36" s="2860"/>
      <c r="W36" s="2860"/>
    </row>
    <row r="37" spans="1:23">
      <c r="B37" s="232" t="s">
        <v>417</v>
      </c>
      <c r="C37" s="26"/>
      <c r="D37" s="26"/>
      <c r="E37" s="16"/>
      <c r="G37" s="48"/>
      <c r="H37" s="699"/>
      <c r="I37" s="705"/>
      <c r="J37" s="706"/>
      <c r="K37" s="699"/>
      <c r="N37" s="2860"/>
      <c r="O37" s="2860"/>
      <c r="P37" s="2860"/>
      <c r="Q37" s="2860"/>
      <c r="R37" s="2860"/>
      <c r="S37" s="2860"/>
      <c r="T37" s="2860"/>
      <c r="U37" s="2860"/>
      <c r="V37" s="2860"/>
      <c r="W37" s="2860"/>
    </row>
    <row r="38" spans="1:23">
      <c r="B38" s="232" t="s">
        <v>418</v>
      </c>
      <c r="C38" s="27"/>
      <c r="D38" s="27"/>
      <c r="E38" s="17"/>
      <c r="G38" s="49" t="e">
        <v>#REF!</v>
      </c>
      <c r="H38" s="700"/>
      <c r="I38" s="705"/>
      <c r="J38" s="707"/>
      <c r="K38" s="700"/>
      <c r="N38" s="2860"/>
      <c r="O38" s="2860"/>
      <c r="P38" s="2860"/>
      <c r="Q38" s="2860"/>
      <c r="R38" s="2860"/>
      <c r="S38" s="2860"/>
      <c r="T38" s="2860"/>
      <c r="U38" s="2860"/>
      <c r="V38" s="2860"/>
      <c r="W38" s="2860"/>
    </row>
    <row r="40" spans="1:23" ht="18.45">
      <c r="A40" s="10"/>
      <c r="B40" s="8"/>
      <c r="C40" s="8"/>
      <c r="S40" s="277"/>
    </row>
    <row r="41" spans="1:23" ht="28" customHeight="1">
      <c r="A41" s="10"/>
      <c r="B41" s="2856" t="s">
        <v>646</v>
      </c>
      <c r="C41" s="2857"/>
      <c r="D41" s="2857"/>
      <c r="E41" s="2858"/>
      <c r="T41" s="1"/>
      <c r="U41" s="1"/>
      <c r="V41" s="1"/>
    </row>
    <row r="42" spans="1:23" ht="32.25" customHeight="1">
      <c r="A42" s="10"/>
      <c r="B42" s="72" t="s">
        <v>34</v>
      </c>
      <c r="C42" s="2880" t="s">
        <v>35</v>
      </c>
      <c r="D42" s="2880"/>
      <c r="E42" s="2881"/>
      <c r="G42" s="15" t="s">
        <v>17</v>
      </c>
      <c r="H42" s="782" t="s">
        <v>10</v>
      </c>
      <c r="K42" s="2859" t="s">
        <v>405</v>
      </c>
      <c r="L42" s="2859"/>
      <c r="M42" s="2859"/>
      <c r="N42" s="2859"/>
      <c r="O42" s="2859"/>
      <c r="P42" s="2859"/>
      <c r="Q42" s="2859"/>
      <c r="R42" s="2859"/>
      <c r="S42" s="2859"/>
      <c r="T42" s="2859"/>
      <c r="U42" s="112"/>
      <c r="V42" s="226"/>
    </row>
    <row r="43" spans="1:23">
      <c r="B43" s="73" t="s">
        <v>136</v>
      </c>
      <c r="C43" s="74" t="s">
        <v>164</v>
      </c>
      <c r="D43" s="784"/>
      <c r="E43" s="785"/>
      <c r="F43" s="549"/>
      <c r="G43" s="75"/>
      <c r="H43" s="538">
        <v>0</v>
      </c>
      <c r="K43" s="2860" t="s">
        <v>702</v>
      </c>
      <c r="L43" s="2860"/>
      <c r="M43" s="2860"/>
      <c r="N43" s="2860"/>
      <c r="O43" s="2860"/>
      <c r="P43" s="2860"/>
      <c r="Q43" s="2860"/>
      <c r="R43" s="2860"/>
      <c r="S43" s="2860"/>
      <c r="T43" s="2860"/>
      <c r="U43" s="6"/>
      <c r="V43" s="6"/>
    </row>
    <row r="44" spans="1:23">
      <c r="A44" s="10"/>
      <c r="B44" s="13" t="s">
        <v>136</v>
      </c>
      <c r="C44" s="80" t="s">
        <v>138</v>
      </c>
      <c r="D44" s="81"/>
      <c r="E44" s="82"/>
      <c r="F44" s="549"/>
      <c r="G44" s="75"/>
      <c r="H44" s="539">
        <v>8</v>
      </c>
      <c r="K44" s="2860"/>
      <c r="L44" s="2860"/>
      <c r="M44" s="2860"/>
      <c r="N44" s="2860"/>
      <c r="O44" s="2860"/>
      <c r="P44" s="2860"/>
      <c r="Q44" s="2860"/>
      <c r="R44" s="2860"/>
      <c r="S44" s="2860"/>
      <c r="T44" s="2860"/>
      <c r="U44" s="224"/>
      <c r="V44" s="224"/>
    </row>
    <row r="45" spans="1:23">
      <c r="A45" s="10"/>
      <c r="B45" s="13" t="s">
        <v>136</v>
      </c>
      <c r="C45" s="80" t="s">
        <v>161</v>
      </c>
      <c r="D45" s="81"/>
      <c r="E45" s="82"/>
      <c r="F45" s="549"/>
      <c r="G45" s="75"/>
      <c r="H45" s="539">
        <v>2E-3</v>
      </c>
      <c r="K45" s="2860"/>
      <c r="L45" s="2860"/>
      <c r="M45" s="2860"/>
      <c r="N45" s="2860"/>
      <c r="O45" s="2860"/>
      <c r="P45" s="2860"/>
      <c r="Q45" s="2860"/>
      <c r="R45" s="2860"/>
      <c r="S45" s="2860"/>
      <c r="T45" s="2860"/>
      <c r="U45" s="6"/>
      <c r="V45" s="6"/>
    </row>
    <row r="46" spans="1:23">
      <c r="A46" s="10"/>
      <c r="B46" s="73" t="s">
        <v>137</v>
      </c>
      <c r="C46" s="74" t="s">
        <v>164</v>
      </c>
      <c r="D46" s="784"/>
      <c r="E46" s="785"/>
      <c r="F46" s="549"/>
      <c r="G46" s="75"/>
      <c r="H46" s="538">
        <v>35.64</v>
      </c>
      <c r="K46" s="2860" t="s">
        <v>736</v>
      </c>
      <c r="L46" s="2860"/>
      <c r="M46" s="2860"/>
      <c r="N46" s="2860"/>
      <c r="O46" s="2860"/>
      <c r="P46" s="2860"/>
      <c r="Q46" s="2860"/>
      <c r="R46" s="2860"/>
      <c r="S46" s="2860"/>
      <c r="T46" s="2860"/>
      <c r="U46" s="6"/>
      <c r="V46" s="6"/>
    </row>
    <row r="47" spans="1:23">
      <c r="A47" s="10"/>
      <c r="B47" s="13" t="s">
        <v>137</v>
      </c>
      <c r="C47" s="80" t="s">
        <v>138</v>
      </c>
      <c r="D47" s="81"/>
      <c r="E47" s="82"/>
      <c r="F47" s="549"/>
      <c r="G47" s="75"/>
      <c r="H47" s="539">
        <v>4</v>
      </c>
      <c r="K47" s="2860"/>
      <c r="L47" s="2860"/>
      <c r="M47" s="2860"/>
      <c r="N47" s="2860"/>
      <c r="O47" s="2860"/>
      <c r="P47" s="2860"/>
      <c r="Q47" s="2860"/>
      <c r="R47" s="2860"/>
      <c r="S47" s="2860"/>
      <c r="T47" s="2860"/>
      <c r="U47" s="6"/>
      <c r="V47" s="6"/>
    </row>
    <row r="48" spans="1:23">
      <c r="A48" s="10"/>
      <c r="B48" s="657" t="s">
        <v>137</v>
      </c>
      <c r="C48" s="656" t="s">
        <v>161</v>
      </c>
      <c r="D48" s="667"/>
      <c r="E48" s="668"/>
      <c r="F48" s="549"/>
      <c r="G48" s="75"/>
      <c r="H48" s="539">
        <v>0.104</v>
      </c>
      <c r="K48" s="2860"/>
      <c r="L48" s="2860"/>
      <c r="M48" s="2860"/>
      <c r="N48" s="2860"/>
      <c r="O48" s="2860"/>
      <c r="P48" s="2860"/>
      <c r="Q48" s="2860"/>
      <c r="R48" s="2860"/>
      <c r="S48" s="2860"/>
      <c r="T48" s="2860"/>
      <c r="U48" s="658"/>
      <c r="V48" s="658"/>
    </row>
    <row r="49" spans="1:22">
      <c r="A49" s="10"/>
      <c r="B49" s="13" t="s">
        <v>36</v>
      </c>
      <c r="C49" s="2877" t="s">
        <v>39</v>
      </c>
      <c r="D49" s="2877"/>
      <c r="E49" s="2878"/>
      <c r="F49" s="549" t="str">
        <f t="shared" ref="F49:F66" si="0">B49&amp;C49</f>
        <v>MotorcyclePurchase Price</v>
      </c>
      <c r="G49" s="32">
        <v>15000</v>
      </c>
      <c r="H49" s="540">
        <v>4737</v>
      </c>
      <c r="K49" s="2860" t="s">
        <v>697</v>
      </c>
      <c r="L49" s="2860"/>
      <c r="M49" s="2860"/>
      <c r="N49" s="2860"/>
      <c r="O49" s="2860"/>
      <c r="P49" s="2860"/>
      <c r="Q49" s="2860"/>
      <c r="R49" s="2860"/>
      <c r="S49" s="2860"/>
      <c r="T49" s="2860"/>
      <c r="U49" s="181"/>
      <c r="V49" s="181"/>
    </row>
    <row r="50" spans="1:22">
      <c r="A50" s="10"/>
      <c r="B50" s="13" t="s">
        <v>36</v>
      </c>
      <c r="C50" s="2552" t="s">
        <v>40</v>
      </c>
      <c r="D50" s="2552"/>
      <c r="E50" s="2879"/>
      <c r="F50" s="549" t="str">
        <f t="shared" si="0"/>
        <v>MotorcycleDepreciation Cost / yr</v>
      </c>
      <c r="G50" s="30">
        <f>G49/$H$11</f>
        <v>2142.8571428571427</v>
      </c>
      <c r="H50" s="541">
        <v>1184.25</v>
      </c>
      <c r="K50" s="2860" t="s">
        <v>701</v>
      </c>
      <c r="L50" s="2860"/>
      <c r="M50" s="2860"/>
      <c r="N50" s="2860"/>
      <c r="O50" s="2860"/>
      <c r="P50" s="2860"/>
      <c r="Q50" s="2860"/>
      <c r="R50" s="2860"/>
      <c r="S50" s="2860"/>
      <c r="T50" s="2860"/>
      <c r="U50" s="181"/>
      <c r="V50" s="181"/>
    </row>
    <row r="51" spans="1:22">
      <c r="A51" s="10"/>
      <c r="B51" s="13" t="s">
        <v>36</v>
      </c>
      <c r="C51" s="2552" t="s">
        <v>44</v>
      </c>
      <c r="D51" s="2552"/>
      <c r="E51" s="2879"/>
      <c r="F51" s="549" t="str">
        <f t="shared" si="0"/>
        <v>MotorcycleInsurance cost /yr</v>
      </c>
      <c r="G51" s="32">
        <v>1000</v>
      </c>
      <c r="H51" s="542">
        <v>0</v>
      </c>
      <c r="K51" s="2860" t="s">
        <v>712</v>
      </c>
      <c r="L51" s="2860"/>
      <c r="M51" s="2860"/>
      <c r="N51" s="2860"/>
      <c r="O51" s="2860"/>
      <c r="P51" s="2860"/>
      <c r="Q51" s="2860"/>
      <c r="R51" s="2860"/>
      <c r="S51" s="2860"/>
      <c r="T51" s="2860"/>
      <c r="U51" t="s">
        <v>700</v>
      </c>
      <c r="V51" s="181"/>
    </row>
    <row r="52" spans="1:22">
      <c r="A52" s="10"/>
      <c r="B52" s="13" t="s">
        <v>36</v>
      </c>
      <c r="C52" s="2552" t="s">
        <v>42</v>
      </c>
      <c r="D52" s="2552"/>
      <c r="E52" s="2879"/>
      <c r="F52" s="549" t="str">
        <f t="shared" si="0"/>
        <v>MotorcycleMaintenance cost/km</v>
      </c>
      <c r="G52" s="32">
        <v>0.05</v>
      </c>
      <c r="H52" s="542">
        <v>0</v>
      </c>
      <c r="K52" s="2860" t="s">
        <v>712</v>
      </c>
      <c r="L52" s="2860"/>
      <c r="M52" s="2860"/>
      <c r="N52" s="2860"/>
      <c r="O52" s="2860"/>
      <c r="P52" s="2860"/>
      <c r="Q52" s="2860"/>
      <c r="R52" s="2860"/>
      <c r="S52" s="2860"/>
      <c r="T52" s="2860"/>
      <c r="U52" t="s">
        <v>700</v>
      </c>
      <c r="V52" s="181"/>
    </row>
    <row r="53" spans="1:22">
      <c r="A53" s="10"/>
      <c r="B53" s="13" t="s">
        <v>36</v>
      </c>
      <c r="C53" s="2552" t="s">
        <v>41</v>
      </c>
      <c r="D53" s="2552"/>
      <c r="E53" s="2879"/>
      <c r="F53" s="549" t="str">
        <f t="shared" si="0"/>
        <v>MotorcycleFuel Efficiency (km/liter)</v>
      </c>
      <c r="G53" s="31">
        <v>27.5</v>
      </c>
      <c r="H53" s="543">
        <v>3.03</v>
      </c>
      <c r="K53" s="2860"/>
      <c r="L53" s="2860"/>
      <c r="M53" s="2860"/>
      <c r="N53" s="2860"/>
      <c r="O53" s="2860"/>
      <c r="P53" s="2860"/>
      <c r="Q53" s="2860"/>
      <c r="R53" s="2860"/>
      <c r="S53" s="2860"/>
      <c r="T53" s="2860"/>
      <c r="U53" t="s">
        <v>700</v>
      </c>
      <c r="V53" s="181"/>
    </row>
    <row r="54" spans="1:22">
      <c r="A54" s="10"/>
      <c r="B54" s="657" t="s">
        <v>36</v>
      </c>
      <c r="C54" s="2882" t="s">
        <v>43</v>
      </c>
      <c r="D54" s="2882"/>
      <c r="E54" s="2883"/>
      <c r="F54" s="549" t="str">
        <f t="shared" si="0"/>
        <v>MotorcycleDelivery Capacity (m^3)</v>
      </c>
      <c r="G54" s="33">
        <v>0.25</v>
      </c>
      <c r="H54" s="544">
        <v>0.104</v>
      </c>
      <c r="K54" s="2860"/>
      <c r="L54" s="2860"/>
      <c r="M54" s="2860"/>
      <c r="N54" s="2860"/>
      <c r="O54" s="2860"/>
      <c r="P54" s="2860"/>
      <c r="Q54" s="2860"/>
      <c r="R54" s="2860"/>
      <c r="S54" s="2860"/>
      <c r="T54" s="2860"/>
      <c r="U54" t="s">
        <v>699</v>
      </c>
      <c r="V54" s="181"/>
    </row>
    <row r="55" spans="1:22">
      <c r="A55" s="10"/>
      <c r="B55" s="13" t="s">
        <v>407</v>
      </c>
      <c r="C55" s="2877" t="s">
        <v>39</v>
      </c>
      <c r="D55" s="2877"/>
      <c r="E55" s="2878"/>
      <c r="F55" s="549" t="str">
        <f t="shared" si="0"/>
        <v>Car/Sport Utility/Consumer VehiclePurchase Price</v>
      </c>
      <c r="G55" s="28">
        <v>60939.499795095864</v>
      </c>
      <c r="H55" s="540">
        <v>46345.177664974617</v>
      </c>
      <c r="K55" s="2860" t="s">
        <v>697</v>
      </c>
      <c r="L55" s="2860"/>
      <c r="M55" s="2860"/>
      <c r="N55" s="2860"/>
      <c r="O55" s="2860"/>
      <c r="P55" s="2860"/>
      <c r="Q55" s="2860"/>
      <c r="R55" s="2860"/>
      <c r="S55" s="2860"/>
      <c r="T55" s="2860"/>
      <c r="U55" s="181"/>
      <c r="V55" s="181"/>
    </row>
    <row r="56" spans="1:22">
      <c r="A56" s="10"/>
      <c r="B56" s="13" t="s">
        <v>407</v>
      </c>
      <c r="C56" s="2552" t="s">
        <v>40</v>
      </c>
      <c r="D56" s="2552"/>
      <c r="E56" s="2879"/>
      <c r="F56" s="549" t="str">
        <f t="shared" si="0"/>
        <v>Car/Sport Utility/Consumer VehicleDepreciation Cost / yr</v>
      </c>
      <c r="G56" s="29">
        <f>G55/$H$11</f>
        <v>8705.6428278708372</v>
      </c>
      <c r="H56" s="541">
        <v>6620.7396664249454</v>
      </c>
      <c r="K56" s="2860" t="s">
        <v>696</v>
      </c>
      <c r="L56" s="2860"/>
      <c r="M56" s="2860"/>
      <c r="N56" s="2860"/>
      <c r="O56" s="2860"/>
      <c r="P56" s="2860"/>
      <c r="Q56" s="2860"/>
      <c r="R56" s="2860"/>
      <c r="S56" s="2860"/>
      <c r="T56" s="2860"/>
      <c r="U56" s="181"/>
      <c r="V56" s="181"/>
    </row>
    <row r="57" spans="1:22">
      <c r="A57" s="10"/>
      <c r="B57" s="13" t="s">
        <v>407</v>
      </c>
      <c r="C57" s="2552" t="s">
        <v>44</v>
      </c>
      <c r="D57" s="2552"/>
      <c r="E57" s="2879"/>
      <c r="F57" s="549" t="str">
        <f t="shared" si="0"/>
        <v>Car/Sport Utility/Consumer VehicleInsurance cost /yr</v>
      </c>
      <c r="G57" s="28">
        <v>2323.9499999999998</v>
      </c>
      <c r="H57" s="542">
        <v>0</v>
      </c>
      <c r="K57" s="2860" t="s">
        <v>712</v>
      </c>
      <c r="L57" s="2860"/>
      <c r="M57" s="2860"/>
      <c r="N57" s="2860"/>
      <c r="O57" s="2860"/>
      <c r="P57" s="2860"/>
      <c r="Q57" s="2860"/>
      <c r="R57" s="2860"/>
      <c r="S57" s="2860"/>
      <c r="T57" s="2860"/>
      <c r="U57" s="181"/>
      <c r="V57" s="181"/>
    </row>
    <row r="58" spans="1:22">
      <c r="A58" s="10"/>
      <c r="B58" s="13" t="s">
        <v>407</v>
      </c>
      <c r="C58" s="2918" t="s">
        <v>42</v>
      </c>
      <c r="D58" s="2918"/>
      <c r="E58" s="2919"/>
      <c r="F58" s="549" t="str">
        <f t="shared" si="0"/>
        <v>Car/Sport Utility/Consumer VehicleMaintenance cost/km</v>
      </c>
      <c r="G58" s="28">
        <v>0.12</v>
      </c>
      <c r="H58" s="542">
        <v>0</v>
      </c>
      <c r="K58" s="2860" t="s">
        <v>712</v>
      </c>
      <c r="L58" s="2860"/>
      <c r="M58" s="2860"/>
      <c r="N58" s="2860"/>
      <c r="O58" s="2860"/>
      <c r="P58" s="2860"/>
      <c r="Q58" s="2860"/>
      <c r="R58" s="2860"/>
      <c r="S58" s="2860"/>
      <c r="T58" s="2860"/>
      <c r="U58" s="181"/>
      <c r="V58" s="181"/>
    </row>
    <row r="59" spans="1:22">
      <c r="A59" s="10"/>
      <c r="B59" s="13" t="s">
        <v>407</v>
      </c>
      <c r="C59" s="2552" t="s">
        <v>41</v>
      </c>
      <c r="D59" s="2552"/>
      <c r="E59" s="2879"/>
      <c r="F59" s="549" t="str">
        <f t="shared" si="0"/>
        <v>Car/Sport Utility/Consumer VehicleFuel Efficiency (km/liter)</v>
      </c>
      <c r="G59" s="12">
        <v>6.9</v>
      </c>
      <c r="H59" s="543">
        <v>2.5</v>
      </c>
      <c r="K59" s="2860"/>
      <c r="L59" s="2860"/>
      <c r="M59" s="2860"/>
      <c r="N59" s="2860"/>
      <c r="O59" s="2860"/>
      <c r="P59" s="2860"/>
      <c r="Q59" s="2860"/>
      <c r="R59" s="2860"/>
      <c r="S59" s="2860"/>
      <c r="T59" s="2860"/>
      <c r="U59" s="181"/>
      <c r="V59" s="181"/>
    </row>
    <row r="60" spans="1:22">
      <c r="A60" s="10"/>
      <c r="B60" s="657" t="s">
        <v>407</v>
      </c>
      <c r="C60" s="2882" t="s">
        <v>43</v>
      </c>
      <c r="D60" s="2882"/>
      <c r="E60" s="2883"/>
      <c r="F60" s="549" t="str">
        <f t="shared" si="0"/>
        <v>Car/Sport Utility/Consumer VehicleDelivery Capacity (m^3)</v>
      </c>
      <c r="G60" s="14">
        <v>2</v>
      </c>
      <c r="H60" s="544">
        <v>2.2999999999999998</v>
      </c>
      <c r="K60" s="2860" t="s">
        <v>713</v>
      </c>
      <c r="L60" s="2860"/>
      <c r="M60" s="2860"/>
      <c r="N60" s="2860"/>
      <c r="O60" s="2860"/>
      <c r="P60" s="2860"/>
      <c r="Q60" s="2860"/>
      <c r="R60" s="2860"/>
      <c r="S60" s="2860"/>
      <c r="T60" s="2860"/>
      <c r="U60" s="181"/>
      <c r="V60" s="181"/>
    </row>
    <row r="61" spans="1:22">
      <c r="A61" s="10"/>
      <c r="B61" s="13" t="s">
        <v>279</v>
      </c>
      <c r="C61" s="2877" t="s">
        <v>39</v>
      </c>
      <c r="D61" s="2877"/>
      <c r="E61" s="2878"/>
      <c r="F61" s="803" t="str">
        <f t="shared" si="0"/>
        <v>Commercial TruckPurchase Price</v>
      </c>
      <c r="G61" s="28">
        <v>70448.990000000005</v>
      </c>
      <c r="H61" s="540"/>
      <c r="K61" s="2860"/>
      <c r="L61" s="2860"/>
      <c r="M61" s="2860"/>
      <c r="N61" s="2860"/>
      <c r="O61" s="2860"/>
      <c r="P61" s="2860"/>
      <c r="Q61" s="2860"/>
      <c r="R61" s="2860"/>
      <c r="S61" s="2860"/>
      <c r="T61" s="2860"/>
      <c r="U61" s="104"/>
      <c r="V61" s="104"/>
    </row>
    <row r="62" spans="1:22">
      <c r="A62" s="10"/>
      <c r="B62" s="13" t="s">
        <v>279</v>
      </c>
      <c r="C62" s="2552" t="s">
        <v>40</v>
      </c>
      <c r="D62" s="2552"/>
      <c r="E62" s="2879"/>
      <c r="F62" s="803" t="str">
        <f t="shared" si="0"/>
        <v>Commercial TruckDepreciation Cost / yr</v>
      </c>
      <c r="G62" s="29">
        <f>G61/$H$11</f>
        <v>10064.141428571429</v>
      </c>
      <c r="H62" s="541"/>
      <c r="K62" s="2860"/>
      <c r="L62" s="2860"/>
      <c r="M62" s="2860"/>
      <c r="N62" s="2860"/>
      <c r="O62" s="2860"/>
      <c r="P62" s="2860"/>
      <c r="Q62" s="2860"/>
      <c r="R62" s="2860"/>
      <c r="S62" s="2860"/>
      <c r="T62" s="2860"/>
    </row>
    <row r="63" spans="1:22">
      <c r="A63" s="10"/>
      <c r="B63" s="13" t="s">
        <v>279</v>
      </c>
      <c r="C63" s="2552" t="s">
        <v>44</v>
      </c>
      <c r="D63" s="2552"/>
      <c r="E63" s="2879"/>
      <c r="F63" s="803" t="str">
        <f t="shared" si="0"/>
        <v>Commercial TruckInsurance cost /yr</v>
      </c>
      <c r="G63" s="28">
        <v>2575.86</v>
      </c>
      <c r="H63" s="542"/>
      <c r="K63" s="2860"/>
      <c r="L63" s="2860"/>
      <c r="M63" s="2860"/>
      <c r="N63" s="2860"/>
      <c r="O63" s="2860"/>
      <c r="P63" s="2860"/>
      <c r="Q63" s="2860"/>
      <c r="R63" s="2860"/>
      <c r="S63" s="2860"/>
      <c r="T63" s="2860"/>
    </row>
    <row r="64" spans="1:22">
      <c r="A64" s="10"/>
      <c r="B64" s="13" t="s">
        <v>279</v>
      </c>
      <c r="C64" s="2552" t="s">
        <v>42</v>
      </c>
      <c r="D64" s="2552"/>
      <c r="E64" s="2879"/>
      <c r="F64" s="803" t="str">
        <f t="shared" si="0"/>
        <v>Commercial TruckMaintenance cost/km</v>
      </c>
      <c r="G64" s="28">
        <v>0.38</v>
      </c>
      <c r="H64" s="542"/>
      <c r="K64" s="2860"/>
      <c r="L64" s="2860"/>
      <c r="M64" s="2860"/>
      <c r="N64" s="2860"/>
      <c r="O64" s="2860"/>
      <c r="P64" s="2860"/>
      <c r="Q64" s="2860"/>
      <c r="R64" s="2860"/>
      <c r="S64" s="2860"/>
      <c r="T64" s="2860"/>
    </row>
    <row r="65" spans="1:23">
      <c r="A65" s="10"/>
      <c r="B65" s="13" t="s">
        <v>279</v>
      </c>
      <c r="C65" s="2552" t="s">
        <v>41</v>
      </c>
      <c r="D65" s="2552"/>
      <c r="E65" s="2879"/>
      <c r="F65" s="803" t="str">
        <f t="shared" si="0"/>
        <v>Commercial TruckFuel Efficiency (km/liter)</v>
      </c>
      <c r="G65" s="12">
        <v>3.86</v>
      </c>
      <c r="H65" s="543"/>
      <c r="K65" s="2860"/>
      <c r="L65" s="2860"/>
      <c r="M65" s="2860"/>
      <c r="N65" s="2860"/>
      <c r="O65" s="2860"/>
      <c r="P65" s="2860"/>
      <c r="Q65" s="2860"/>
      <c r="R65" s="2860"/>
      <c r="S65" s="2860"/>
      <c r="T65" s="2860"/>
    </row>
    <row r="66" spans="1:23">
      <c r="A66" s="10"/>
      <c r="B66" s="657" t="s">
        <v>279</v>
      </c>
      <c r="C66" s="2882" t="s">
        <v>43</v>
      </c>
      <c r="D66" s="2882"/>
      <c r="E66" s="2883"/>
      <c r="F66" s="803" t="str">
        <f t="shared" si="0"/>
        <v>Commercial TruckDelivery Capacity (m^3)</v>
      </c>
      <c r="G66" s="14">
        <v>12</v>
      </c>
      <c r="H66" s="544"/>
      <c r="K66" s="2860"/>
      <c r="L66" s="2860"/>
      <c r="M66" s="2860"/>
      <c r="N66" s="2860"/>
      <c r="O66" s="2860"/>
      <c r="P66" s="2860"/>
      <c r="Q66" s="2860"/>
      <c r="R66" s="2860"/>
      <c r="S66" s="2860"/>
      <c r="T66" s="2860"/>
    </row>
    <row r="67" spans="1:23">
      <c r="A67" s="10"/>
      <c r="B67" s="13" t="s">
        <v>408</v>
      </c>
      <c r="C67" s="2877" t="s">
        <v>39</v>
      </c>
      <c r="D67" s="2877"/>
      <c r="E67" s="2878"/>
      <c r="F67" s="549"/>
      <c r="H67" s="540"/>
      <c r="K67" s="2860"/>
      <c r="L67" s="2860"/>
      <c r="M67" s="2860"/>
      <c r="N67" s="2860"/>
      <c r="O67" s="2860"/>
      <c r="P67" s="2860"/>
      <c r="Q67" s="2860"/>
      <c r="R67" s="2860"/>
      <c r="S67" s="2860"/>
      <c r="T67" s="2860"/>
      <c r="W67" s="37"/>
    </row>
    <row r="68" spans="1:23">
      <c r="A68" s="10"/>
      <c r="B68" s="13" t="s">
        <v>408</v>
      </c>
      <c r="C68" s="2552" t="s">
        <v>40</v>
      </c>
      <c r="D68" s="2552"/>
      <c r="E68" s="2879"/>
      <c r="F68" s="549"/>
      <c r="H68" s="541"/>
      <c r="K68" s="2860"/>
      <c r="L68" s="2860"/>
      <c r="M68" s="2860"/>
      <c r="N68" s="2860"/>
      <c r="O68" s="2860"/>
      <c r="P68" s="2860"/>
      <c r="Q68" s="2860"/>
      <c r="R68" s="2860"/>
      <c r="S68" s="2860"/>
      <c r="T68" s="2860"/>
    </row>
    <row r="69" spans="1:23">
      <c r="A69" s="10"/>
      <c r="B69" s="13" t="s">
        <v>408</v>
      </c>
      <c r="C69" s="2552" t="s">
        <v>44</v>
      </c>
      <c r="D69" s="2552"/>
      <c r="E69" s="2879"/>
      <c r="F69" s="549"/>
      <c r="H69" s="542"/>
      <c r="K69" s="2860"/>
      <c r="L69" s="2860"/>
      <c r="M69" s="2860"/>
      <c r="N69" s="2860"/>
      <c r="O69" s="2860"/>
      <c r="P69" s="2860"/>
      <c r="Q69" s="2860"/>
      <c r="R69" s="2860"/>
      <c r="S69" s="2860"/>
      <c r="T69" s="2860"/>
      <c r="U69" s="655"/>
      <c r="V69" s="655"/>
    </row>
    <row r="70" spans="1:23">
      <c r="A70" s="10"/>
      <c r="B70" s="13" t="s">
        <v>408</v>
      </c>
      <c r="C70" s="2552" t="s">
        <v>42</v>
      </c>
      <c r="D70" s="2552"/>
      <c r="E70" s="2879"/>
      <c r="F70" s="549"/>
      <c r="H70" s="542"/>
      <c r="K70" s="2860"/>
      <c r="L70" s="2860"/>
      <c r="M70" s="2860"/>
      <c r="N70" s="2860"/>
      <c r="O70" s="2860"/>
      <c r="P70" s="2860"/>
      <c r="Q70" s="2860"/>
      <c r="R70" s="2860"/>
      <c r="S70" s="2860"/>
      <c r="T70" s="2860"/>
      <c r="U70" s="37"/>
      <c r="V70" s="654"/>
    </row>
    <row r="71" spans="1:23" ht="15" customHeight="1">
      <c r="A71" s="10"/>
      <c r="B71" s="13" t="s">
        <v>408</v>
      </c>
      <c r="C71" s="2552" t="s">
        <v>41</v>
      </c>
      <c r="D71" s="2552"/>
      <c r="E71" s="2879"/>
      <c r="F71" s="549"/>
      <c r="H71" s="543"/>
      <c r="K71" s="2860"/>
      <c r="L71" s="2860"/>
      <c r="M71" s="2860"/>
      <c r="N71" s="2860"/>
      <c r="O71" s="2860"/>
      <c r="P71" s="2860"/>
      <c r="Q71" s="2860"/>
      <c r="R71" s="2860"/>
      <c r="S71" s="2860"/>
      <c r="T71" s="2860"/>
      <c r="U71" s="37"/>
      <c r="V71" s="654"/>
    </row>
    <row r="72" spans="1:23">
      <c r="A72" s="10"/>
      <c r="B72" s="657" t="s">
        <v>408</v>
      </c>
      <c r="C72" s="2882" t="s">
        <v>43</v>
      </c>
      <c r="D72" s="2882"/>
      <c r="E72" s="2883"/>
      <c r="F72" s="549"/>
      <c r="H72" s="544"/>
      <c r="K72" s="2860"/>
      <c r="L72" s="2860"/>
      <c r="M72" s="2860"/>
      <c r="N72" s="2860"/>
      <c r="O72" s="2860"/>
      <c r="P72" s="2860"/>
      <c r="Q72" s="2860"/>
      <c r="R72" s="2860"/>
      <c r="S72" s="2860"/>
      <c r="T72" s="2860"/>
      <c r="U72" s="37"/>
      <c r="V72" s="654"/>
    </row>
    <row r="73" spans="1:23">
      <c r="A73" t="s">
        <v>698</v>
      </c>
      <c r="B73" s="13" t="s">
        <v>409</v>
      </c>
      <c r="C73" s="2877" t="s">
        <v>39</v>
      </c>
      <c r="D73" s="2877"/>
      <c r="E73" s="2878"/>
      <c r="F73" s="549"/>
      <c r="H73" s="540">
        <v>3784.8561759729273</v>
      </c>
      <c r="K73" s="2860" t="s">
        <v>697</v>
      </c>
      <c r="L73" s="2860"/>
      <c r="M73" s="2860"/>
      <c r="N73" s="2860" t="s">
        <v>100</v>
      </c>
      <c r="O73" s="2860"/>
      <c r="P73" s="2860"/>
      <c r="Q73" s="2860"/>
      <c r="R73" s="2860"/>
      <c r="S73" s="2860"/>
      <c r="T73" s="2860"/>
      <c r="U73" s="37"/>
      <c r="V73" s="654"/>
    </row>
    <row r="74" spans="1:23">
      <c r="A74" s="10"/>
      <c r="B74" s="13" t="s">
        <v>409</v>
      </c>
      <c r="C74" s="2552" t="s">
        <v>40</v>
      </c>
      <c r="D74" s="2552"/>
      <c r="E74" s="2879"/>
      <c r="F74" s="549"/>
      <c r="H74" s="541">
        <v>540.69373942470395</v>
      </c>
      <c r="K74" s="2860" t="s">
        <v>696</v>
      </c>
      <c r="L74" s="2860"/>
      <c r="M74" s="2860"/>
      <c r="N74" s="2860" t="s">
        <v>100</v>
      </c>
      <c r="O74" s="2860"/>
      <c r="P74" s="2860"/>
      <c r="Q74" s="2860"/>
      <c r="R74" s="2860"/>
      <c r="S74" s="2860"/>
      <c r="T74" s="2860"/>
      <c r="U74" s="653"/>
      <c r="V74" s="652"/>
    </row>
    <row r="75" spans="1:23">
      <c r="A75" s="10"/>
      <c r="B75" s="13" t="s">
        <v>409</v>
      </c>
      <c r="C75" s="2552" t="s">
        <v>44</v>
      </c>
      <c r="D75" s="2552"/>
      <c r="E75" s="2879"/>
      <c r="F75" s="549"/>
      <c r="H75" s="542">
        <v>0</v>
      </c>
      <c r="K75" s="2860" t="s">
        <v>712</v>
      </c>
      <c r="L75" s="2860"/>
      <c r="M75" s="2860"/>
      <c r="N75" s="2860"/>
      <c r="O75" s="2860"/>
      <c r="P75" s="2860"/>
      <c r="Q75" s="2860"/>
      <c r="R75" s="2860"/>
      <c r="S75" s="2860"/>
      <c r="T75" s="2860"/>
    </row>
    <row r="76" spans="1:23" ht="14.25" customHeight="1">
      <c r="A76" s="10"/>
      <c r="B76" s="13" t="s">
        <v>409</v>
      </c>
      <c r="C76" s="2552" t="s">
        <v>42</v>
      </c>
      <c r="D76" s="2552"/>
      <c r="E76" s="2879"/>
      <c r="F76" s="549"/>
      <c r="H76" s="542">
        <v>0</v>
      </c>
      <c r="K76" s="2860" t="s">
        <v>712</v>
      </c>
      <c r="L76" s="2860"/>
      <c r="M76" s="2860"/>
      <c r="N76" s="2860"/>
      <c r="O76" s="2860"/>
      <c r="P76" s="2860"/>
      <c r="Q76" s="2860"/>
      <c r="R76" s="2860"/>
      <c r="S76" s="2860"/>
      <c r="T76" s="2860"/>
    </row>
    <row r="77" spans="1:23" ht="15.75" customHeight="1">
      <c r="A77" s="10"/>
      <c r="B77" s="13" t="s">
        <v>409</v>
      </c>
      <c r="C77" s="2552" t="s">
        <v>41</v>
      </c>
      <c r="D77" s="2552"/>
      <c r="E77" s="2879"/>
      <c r="F77" s="549"/>
      <c r="H77" s="543">
        <v>1</v>
      </c>
      <c r="K77" s="2860"/>
      <c r="L77" s="2860"/>
      <c r="M77" s="2860"/>
      <c r="N77" s="2860"/>
      <c r="O77" s="2860"/>
      <c r="P77" s="2860"/>
      <c r="Q77" s="2860"/>
      <c r="R77" s="2860"/>
      <c r="S77" s="2860"/>
      <c r="T77" s="2860"/>
    </row>
    <row r="78" spans="1:23">
      <c r="A78" s="10"/>
      <c r="B78" s="657" t="s">
        <v>409</v>
      </c>
      <c r="C78" s="2882" t="s">
        <v>43</v>
      </c>
      <c r="D78" s="2882"/>
      <c r="E78" s="2883"/>
      <c r="F78" s="549"/>
      <c r="H78" s="544">
        <v>6</v>
      </c>
      <c r="K78" s="2860"/>
      <c r="L78" s="2860"/>
      <c r="M78" s="2860"/>
      <c r="N78" s="2860"/>
      <c r="O78" s="2860"/>
      <c r="P78" s="2860"/>
      <c r="Q78" s="2860"/>
      <c r="R78" s="2860"/>
      <c r="S78" s="2860"/>
      <c r="T78" s="2860"/>
    </row>
    <row r="79" spans="1:23" ht="30" customHeight="1">
      <c r="A79" s="10"/>
      <c r="B79" s="8"/>
      <c r="C79" s="8"/>
    </row>
    <row r="80" spans="1:23">
      <c r="A80" s="10"/>
      <c r="B80" s="8"/>
      <c r="C80" s="8"/>
    </row>
    <row r="81" spans="1:34" ht="27.65" customHeight="1">
      <c r="A81" s="2886" t="s">
        <v>607</v>
      </c>
      <c r="B81" s="2886"/>
      <c r="C81" s="2886"/>
      <c r="D81" s="2886"/>
      <c r="E81" s="2886"/>
      <c r="G81" t="s">
        <v>3</v>
      </c>
      <c r="H81" t="s">
        <v>692</v>
      </c>
      <c r="J81" t="s">
        <v>47</v>
      </c>
      <c r="K81" t="s">
        <v>695</v>
      </c>
      <c r="M81" t="s">
        <v>96</v>
      </c>
      <c r="N81" t="s">
        <v>694</v>
      </c>
      <c r="Q81" t="s">
        <v>693</v>
      </c>
    </row>
    <row r="82" spans="1:34" ht="15" customHeight="1">
      <c r="A82" s="10"/>
      <c r="B82" s="148"/>
      <c r="C82" s="148"/>
      <c r="D82" s="148"/>
      <c r="E82" s="148"/>
      <c r="G82" s="2887" t="s">
        <v>9</v>
      </c>
      <c r="H82" s="2888"/>
      <c r="I82" s="8"/>
      <c r="J82" s="2889" t="s">
        <v>6</v>
      </c>
      <c r="K82" s="2890"/>
      <c r="L82" s="8"/>
      <c r="M82" s="2889" t="s">
        <v>7</v>
      </c>
      <c r="N82" s="2890"/>
      <c r="O82" s="8"/>
      <c r="P82" s="786" t="s">
        <v>8</v>
      </c>
      <c r="Q82" s="786" t="s">
        <v>8</v>
      </c>
      <c r="R82" s="8"/>
      <c r="S82" s="8"/>
      <c r="T82" s="786" t="s">
        <v>411</v>
      </c>
      <c r="U82" s="8"/>
      <c r="V82" s="8"/>
      <c r="W82" s="718" t="s">
        <v>412</v>
      </c>
    </row>
    <row r="83" spans="1:34" ht="15" customHeight="1">
      <c r="B83" s="148"/>
      <c r="C83" s="148"/>
      <c r="D83" s="148"/>
      <c r="E83" s="148"/>
      <c r="G83" s="2867" t="s">
        <v>17</v>
      </c>
      <c r="H83" s="2894" t="s">
        <v>10</v>
      </c>
      <c r="I83" s="6"/>
      <c r="J83" s="2637" t="s">
        <v>17</v>
      </c>
      <c r="K83" s="2894" t="s">
        <v>10</v>
      </c>
      <c r="L83" s="6"/>
      <c r="M83" s="2637" t="s">
        <v>17</v>
      </c>
      <c r="N83" s="2894" t="s">
        <v>10</v>
      </c>
      <c r="P83" s="2867" t="s">
        <v>17</v>
      </c>
      <c r="Q83" s="2869" t="s">
        <v>10</v>
      </c>
      <c r="T83" s="2869" t="s">
        <v>10</v>
      </c>
      <c r="W83" s="2869" t="s">
        <v>10</v>
      </c>
      <c r="X83" s="2661" t="s">
        <v>405</v>
      </c>
      <c r="Y83" s="2661"/>
      <c r="Z83" s="2661"/>
      <c r="AA83" s="2661"/>
      <c r="AB83" s="2661"/>
      <c r="AC83" s="2661"/>
      <c r="AD83" s="2661"/>
      <c r="AE83" s="2661"/>
      <c r="AF83" s="2661"/>
      <c r="AG83" s="2866"/>
    </row>
    <row r="84" spans="1:34" ht="15" customHeight="1">
      <c r="B84" s="148"/>
      <c r="C84" s="148"/>
      <c r="D84" s="148"/>
      <c r="E84" s="148"/>
      <c r="G84" s="2891"/>
      <c r="H84" s="2895"/>
      <c r="I84" s="6"/>
      <c r="J84" s="2896"/>
      <c r="K84" s="2895"/>
      <c r="L84" s="6"/>
      <c r="M84" s="2896"/>
      <c r="N84" s="2895"/>
      <c r="P84" s="2891"/>
      <c r="Q84" s="2892"/>
      <c r="T84" s="2892"/>
      <c r="W84" s="2892"/>
      <c r="X84" s="2662"/>
      <c r="Y84" s="2662"/>
      <c r="Z84" s="2662"/>
      <c r="AA84" s="2662"/>
      <c r="AB84" s="2662"/>
      <c r="AC84" s="2662"/>
      <c r="AD84" s="2662"/>
      <c r="AE84" s="2662"/>
      <c r="AF84" s="2662"/>
      <c r="AG84" s="2610"/>
    </row>
    <row r="85" spans="1:34"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34" ht="20.25" customHeight="1">
      <c r="B86" s="44" t="s">
        <v>116</v>
      </c>
      <c r="C86" s="44"/>
      <c r="D86" s="44"/>
      <c r="E86" s="44"/>
      <c r="G86" s="64" t="s">
        <v>26</v>
      </c>
      <c r="H86" s="523"/>
      <c r="I86" s="713"/>
      <c r="J86" s="714"/>
      <c r="K86" s="523"/>
      <c r="L86" s="713"/>
      <c r="M86" s="714"/>
      <c r="N86" s="523"/>
      <c r="O86" s="713"/>
      <c r="P86" s="714"/>
      <c r="Q86" s="523"/>
      <c r="R86" s="713"/>
      <c r="S86" s="713"/>
      <c r="T86" s="523"/>
      <c r="U86" s="713"/>
      <c r="V86" s="713"/>
      <c r="W86" s="695"/>
      <c r="X86" s="2893"/>
      <c r="Y86" s="2893"/>
      <c r="Z86" s="2893"/>
      <c r="AA86" s="2893"/>
      <c r="AB86" s="2893"/>
      <c r="AC86" s="2893"/>
      <c r="AD86" s="2893"/>
      <c r="AE86" s="2893"/>
      <c r="AF86" s="2893"/>
      <c r="AG86" s="2893"/>
    </row>
    <row r="87" spans="1:34" ht="18" customHeight="1">
      <c r="B87" s="44" t="s">
        <v>0</v>
      </c>
      <c r="C87" s="44"/>
      <c r="D87" s="44"/>
      <c r="E87" s="44"/>
      <c r="F87" s="236"/>
      <c r="G87" s="719" t="s">
        <v>31</v>
      </c>
      <c r="H87" s="550"/>
      <c r="I87" s="720"/>
      <c r="J87" s="721"/>
      <c r="K87" s="550"/>
      <c r="L87" s="720"/>
      <c r="M87" s="721"/>
      <c r="N87" s="550"/>
      <c r="O87" s="720"/>
      <c r="P87" s="721"/>
      <c r="Q87" s="550"/>
      <c r="R87" s="720"/>
      <c r="S87" s="720"/>
      <c r="T87" s="550"/>
      <c r="U87" s="720"/>
      <c r="V87" s="720"/>
      <c r="W87" s="722"/>
      <c r="X87" s="2893"/>
      <c r="Y87" s="2893"/>
      <c r="Z87" s="2893"/>
      <c r="AA87" s="2893"/>
      <c r="AB87" s="2893"/>
      <c r="AC87" s="2893"/>
      <c r="AD87" s="2893"/>
      <c r="AE87" s="2893"/>
      <c r="AF87" s="2893"/>
      <c r="AG87" s="2893"/>
    </row>
    <row r="88" spans="1:34" ht="18.45">
      <c r="A88" s="6"/>
      <c r="B88" s="723" t="s">
        <v>54</v>
      </c>
      <c r="C88" s="180"/>
      <c r="D88" s="180"/>
      <c r="E88" s="180"/>
      <c r="F88" s="6"/>
      <c r="G88" s="65"/>
      <c r="H88" s="561" t="s">
        <v>692</v>
      </c>
      <c r="I88" s="708"/>
      <c r="J88" s="709"/>
      <c r="K88" s="561" t="s">
        <v>635</v>
      </c>
      <c r="L88" s="710"/>
      <c r="M88" s="711"/>
      <c r="N88" s="561" t="s">
        <v>691</v>
      </c>
      <c r="O88" s="710"/>
      <c r="P88" s="712"/>
      <c r="Q88" s="561"/>
      <c r="R88" s="713"/>
      <c r="S88" s="713"/>
      <c r="T88" s="561"/>
      <c r="U88" s="713"/>
      <c r="V88" s="713"/>
      <c r="W88" s="744"/>
      <c r="X88" s="2900"/>
      <c r="Y88" s="2900"/>
      <c r="Z88" s="2900"/>
      <c r="AA88" s="2893"/>
      <c r="AB88" s="2893"/>
      <c r="AC88" s="2893"/>
      <c r="AD88" s="2893"/>
      <c r="AE88" s="2893"/>
      <c r="AF88" s="2893"/>
      <c r="AG88" s="2893"/>
      <c r="AH88" s="9" t="s">
        <v>714</v>
      </c>
    </row>
    <row r="89" spans="1:34">
      <c r="B89" s="52"/>
      <c r="C89" s="52"/>
      <c r="D89" s="52"/>
      <c r="E89" s="52"/>
      <c r="G89" s="717"/>
      <c r="H89" s="780"/>
      <c r="J89" s="780"/>
      <c r="K89" s="780"/>
      <c r="M89" s="780"/>
      <c r="N89" s="780"/>
      <c r="P89" s="780"/>
      <c r="Q89" s="780"/>
      <c r="T89" s="780"/>
      <c r="W89" s="780"/>
    </row>
    <row r="90" spans="1:34"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row>
    <row r="91" spans="1:34" ht="18.649999999999999" hidden="1" customHeight="1">
      <c r="A91" s="1"/>
      <c r="B91" s="50"/>
      <c r="C91" s="50"/>
      <c r="D91" s="50"/>
      <c r="E91" s="50"/>
      <c r="G91" s="66"/>
      <c r="H91" s="787"/>
      <c r="I91" s="6"/>
      <c r="J91" s="111"/>
      <c r="K91" s="787"/>
      <c r="L91" s="6"/>
      <c r="M91" s="111"/>
      <c r="N91" s="787"/>
      <c r="P91" s="66"/>
      <c r="Q91" s="788"/>
      <c r="T91" s="788"/>
      <c r="W91" s="724"/>
    </row>
    <row r="92" spans="1:34" ht="18.45">
      <c r="A92" s="6"/>
      <c r="B92" s="723" t="s">
        <v>16</v>
      </c>
      <c r="C92" s="180"/>
      <c r="D92" s="180"/>
      <c r="E92" s="180"/>
      <c r="F92" s="725"/>
      <c r="G92" s="65"/>
      <c r="H92" s="553">
        <v>103902</v>
      </c>
      <c r="I92" s="710"/>
      <c r="J92" s="711"/>
      <c r="K92" s="553">
        <v>103902</v>
      </c>
      <c r="L92" s="710"/>
      <c r="M92" s="711"/>
      <c r="N92" s="553">
        <v>103902</v>
      </c>
      <c r="O92" s="710"/>
      <c r="P92" s="712"/>
      <c r="Q92" s="553"/>
      <c r="R92" s="713"/>
      <c r="S92" s="713"/>
      <c r="T92" s="553"/>
      <c r="U92" s="713"/>
      <c r="V92" s="713"/>
      <c r="W92" s="730"/>
      <c r="X92" s="2893" t="s">
        <v>690</v>
      </c>
      <c r="Y92" s="2893"/>
      <c r="Z92" s="2893"/>
      <c r="AA92" s="2893"/>
      <c r="AB92" s="2893"/>
      <c r="AC92" s="2893"/>
      <c r="AD92" s="2893"/>
      <c r="AE92" s="2893"/>
      <c r="AF92" s="2893"/>
      <c r="AG92" s="2893"/>
    </row>
    <row r="93" spans="1:34" ht="18.45">
      <c r="A93" s="6"/>
      <c r="B93" s="726" t="s">
        <v>124</v>
      </c>
      <c r="C93" s="727"/>
      <c r="D93" s="727"/>
      <c r="E93" s="727"/>
      <c r="F93" s="728"/>
      <c r="G93" s="65"/>
      <c r="H93" s="554">
        <v>1</v>
      </c>
      <c r="I93" s="731"/>
      <c r="J93" s="732"/>
      <c r="K93" s="554">
        <v>1</v>
      </c>
      <c r="L93" s="731"/>
      <c r="M93" s="732"/>
      <c r="N93" s="554">
        <v>1</v>
      </c>
      <c r="O93" s="733"/>
      <c r="P93" s="734"/>
      <c r="Q93" s="554"/>
      <c r="R93" s="735"/>
      <c r="S93" s="735"/>
      <c r="T93" s="554"/>
      <c r="U93" s="735"/>
      <c r="V93" s="735"/>
      <c r="W93" s="736"/>
      <c r="X93" s="2893"/>
      <c r="Y93" s="2893"/>
      <c r="Z93" s="2893"/>
      <c r="AA93" s="2893"/>
      <c r="AB93" s="2893"/>
      <c r="AC93" s="2893"/>
      <c r="AD93" s="2893"/>
      <c r="AE93" s="2893"/>
      <c r="AF93" s="2893"/>
      <c r="AG93" s="2893"/>
      <c r="AH93" s="9" t="s">
        <v>715</v>
      </c>
    </row>
    <row r="94" spans="1:34" ht="18.45">
      <c r="A94" s="6"/>
      <c r="B94" s="726" t="s">
        <v>123</v>
      </c>
      <c r="C94" s="727"/>
      <c r="D94" s="727"/>
      <c r="E94" s="727"/>
      <c r="F94" s="728"/>
      <c r="G94" s="65"/>
      <c r="H94" s="806"/>
      <c r="I94" s="731"/>
      <c r="J94" s="732"/>
      <c r="K94" s="1081">
        <v>0.03</v>
      </c>
      <c r="L94" s="1082"/>
      <c r="M94" s="1083"/>
      <c r="N94" s="1081">
        <v>0.09</v>
      </c>
      <c r="O94" s="710"/>
      <c r="P94" s="712"/>
      <c r="Q94" s="737"/>
      <c r="R94" s="713"/>
      <c r="S94" s="713"/>
      <c r="T94" s="737"/>
      <c r="U94" s="713"/>
      <c r="V94" s="713"/>
      <c r="W94" s="738"/>
      <c r="X94" s="2893" t="s">
        <v>689</v>
      </c>
      <c r="Y94" s="2893"/>
      <c r="Z94" s="2893"/>
      <c r="AA94" s="2893"/>
      <c r="AB94" s="2893"/>
      <c r="AC94" s="2893"/>
      <c r="AD94" s="2893"/>
      <c r="AE94" s="2893"/>
      <c r="AF94" s="2893"/>
      <c r="AG94" s="2893"/>
      <c r="AH94" s="9" t="s">
        <v>716</v>
      </c>
    </row>
    <row r="95" spans="1:34" ht="18.45">
      <c r="A95" s="6"/>
      <c r="B95" s="726" t="s">
        <v>56</v>
      </c>
      <c r="C95" s="727"/>
      <c r="D95" s="727"/>
      <c r="E95" s="727"/>
      <c r="F95" s="728"/>
      <c r="G95" s="65">
        <v>1</v>
      </c>
      <c r="H95" s="523">
        <v>1</v>
      </c>
      <c r="I95" s="708"/>
      <c r="J95" s="709">
        <v>1</v>
      </c>
      <c r="K95" s="523">
        <v>18</v>
      </c>
      <c r="L95" s="708"/>
      <c r="M95" s="709">
        <v>345</v>
      </c>
      <c r="N95" s="523">
        <v>184</v>
      </c>
      <c r="O95" s="710"/>
      <c r="P95" s="712"/>
      <c r="Q95" s="523"/>
      <c r="R95" s="713"/>
      <c r="S95" s="713"/>
      <c r="T95" s="523"/>
      <c r="U95" s="713"/>
      <c r="V95" s="713"/>
      <c r="W95" s="695"/>
      <c r="X95" s="2893"/>
      <c r="Y95" s="2893"/>
      <c r="Z95" s="2893"/>
      <c r="AA95" s="2893"/>
      <c r="AB95" s="2893"/>
      <c r="AC95" s="2893"/>
      <c r="AD95" s="2893"/>
      <c r="AE95" s="2893"/>
      <c r="AF95" s="2893"/>
      <c r="AG95" s="2893"/>
      <c r="AH95" s="9" t="s">
        <v>717</v>
      </c>
    </row>
    <row r="96" spans="1:34" ht="21" customHeight="1">
      <c r="A96" s="6"/>
      <c r="B96" s="729" t="s">
        <v>18</v>
      </c>
      <c r="C96" s="727"/>
      <c r="D96" s="727"/>
      <c r="E96" s="727"/>
      <c r="F96" s="728"/>
      <c r="G96" s="65"/>
      <c r="H96" s="523">
        <v>4</v>
      </c>
      <c r="I96" s="710"/>
      <c r="J96" s="711">
        <v>4</v>
      </c>
      <c r="K96" s="523">
        <v>12</v>
      </c>
      <c r="L96" s="710"/>
      <c r="M96" s="711">
        <v>4</v>
      </c>
      <c r="N96" s="523">
        <v>12</v>
      </c>
      <c r="O96" s="710"/>
      <c r="P96" s="712"/>
      <c r="Q96" s="523"/>
      <c r="R96" s="713"/>
      <c r="S96" s="713"/>
      <c r="T96" s="523"/>
      <c r="U96" s="713"/>
      <c r="V96" s="713"/>
      <c r="W96" s="695"/>
      <c r="X96" s="2893"/>
      <c r="Y96" s="2893"/>
      <c r="Z96" s="2893"/>
      <c r="AA96" s="2893"/>
      <c r="AB96" s="2893"/>
      <c r="AC96" s="2893"/>
      <c r="AD96" s="2893"/>
      <c r="AE96" s="2893"/>
      <c r="AF96" s="2893"/>
      <c r="AG96" s="2893"/>
    </row>
    <row r="97" spans="1:34" ht="21" customHeight="1">
      <c r="A97" s="6"/>
      <c r="B97" s="44" t="s">
        <v>602</v>
      </c>
      <c r="C97" s="727"/>
      <c r="D97" s="727"/>
      <c r="E97" s="727"/>
      <c r="F97" s="728"/>
      <c r="G97" s="65"/>
      <c r="H97" s="523">
        <v>2.16</v>
      </c>
      <c r="I97" s="710"/>
      <c r="J97" s="711"/>
      <c r="K97" s="523">
        <v>2.16</v>
      </c>
      <c r="L97" s="710"/>
      <c r="M97" s="711"/>
      <c r="N97" s="523">
        <v>2.16</v>
      </c>
      <c r="O97" s="710"/>
      <c r="P97" s="712"/>
      <c r="Q97" s="523"/>
      <c r="R97" s="739"/>
      <c r="S97" s="739"/>
      <c r="T97" s="523"/>
      <c r="U97" s="739"/>
      <c r="V97" s="739"/>
      <c r="W97" s="695"/>
      <c r="X97" s="2893"/>
      <c r="Y97" s="2893"/>
      <c r="Z97" s="2893"/>
      <c r="AA97" s="2893"/>
      <c r="AB97" s="2893"/>
      <c r="AC97" s="2893"/>
      <c r="AD97" s="2893"/>
      <c r="AE97" s="2893"/>
      <c r="AF97" s="2893"/>
      <c r="AG97" s="2893"/>
    </row>
    <row r="98" spans="1:34" s="6" customFormat="1">
      <c r="B98" s="729" t="s">
        <v>45</v>
      </c>
      <c r="C98" s="694"/>
      <c r="D98" s="694"/>
      <c r="E98" s="694"/>
      <c r="F98" s="728"/>
      <c r="G98" s="65"/>
      <c r="H98" s="809"/>
      <c r="I98" s="710"/>
      <c r="J98" s="711">
        <v>289</v>
      </c>
      <c r="K98" s="523">
        <v>180</v>
      </c>
      <c r="L98" s="710"/>
      <c r="M98" s="740"/>
      <c r="N98" s="523">
        <v>68.130434782608688</v>
      </c>
      <c r="O98" s="710"/>
      <c r="P98" s="711"/>
      <c r="Q98" s="523"/>
      <c r="R98" s="710"/>
      <c r="S98" s="710"/>
      <c r="T98" s="523"/>
      <c r="U98" s="710"/>
      <c r="V98" s="710"/>
      <c r="W98" s="695"/>
      <c r="X98" s="2893"/>
      <c r="Y98" s="2893"/>
      <c r="Z98" s="2893"/>
      <c r="AA98" s="2893"/>
      <c r="AB98" s="2893"/>
      <c r="AC98" s="2893"/>
      <c r="AD98" s="2893"/>
      <c r="AE98" s="2893"/>
      <c r="AF98" s="2893"/>
      <c r="AG98" s="2893"/>
    </row>
    <row r="99" spans="1:34" s="6" customFormat="1">
      <c r="B99" s="584" t="s">
        <v>46</v>
      </c>
      <c r="C99" s="584"/>
      <c r="D99" s="584"/>
      <c r="E99" s="584"/>
      <c r="F99" s="728"/>
      <c r="G99" s="63"/>
      <c r="H99" s="525">
        <v>0</v>
      </c>
      <c r="I99" s="741"/>
      <c r="J99" s="742">
        <v>0</v>
      </c>
      <c r="K99" s="525">
        <v>180</v>
      </c>
      <c r="L99" s="741"/>
      <c r="M99" s="743"/>
      <c r="N99" s="525">
        <v>26</v>
      </c>
      <c r="O99" s="741"/>
      <c r="P99" s="557"/>
      <c r="Q99" s="525"/>
      <c r="R99" s="741"/>
      <c r="S99" s="741"/>
      <c r="T99" s="525"/>
      <c r="U99" s="741"/>
      <c r="V99" s="741"/>
      <c r="W99" s="702"/>
      <c r="X99" s="2893"/>
      <c r="Y99" s="2893"/>
      <c r="Z99" s="2893"/>
      <c r="AA99" s="2893"/>
      <c r="AB99" s="2893"/>
      <c r="AC99" s="2893"/>
      <c r="AD99" s="2893"/>
      <c r="AE99" s="2893"/>
      <c r="AF99" s="2893"/>
      <c r="AG99" s="2893"/>
    </row>
    <row r="100" spans="1:34">
      <c r="A100" s="6"/>
      <c r="B100" s="6"/>
      <c r="C100" s="6"/>
      <c r="D100" s="6"/>
      <c r="E100" s="6"/>
      <c r="F100" s="6"/>
      <c r="G100" s="6"/>
      <c r="H100" s="121"/>
      <c r="I100" s="6"/>
      <c r="J100" s="121"/>
      <c r="K100" s="121"/>
      <c r="L100" s="6"/>
      <c r="M100" s="666"/>
      <c r="N100" s="128"/>
      <c r="O100" s="6"/>
      <c r="P100" s="6"/>
      <c r="Q100" s="121"/>
      <c r="T100" s="121"/>
      <c r="W100" s="121"/>
    </row>
    <row r="101" spans="1:34" ht="16.75">
      <c r="A101" s="591" t="s">
        <v>614</v>
      </c>
      <c r="B101" s="596"/>
      <c r="C101" s="596"/>
      <c r="D101" s="596"/>
      <c r="E101" s="596"/>
      <c r="F101" s="597"/>
      <c r="G101" s="594"/>
      <c r="H101" s="596"/>
      <c r="I101" s="597"/>
      <c r="J101" s="594"/>
      <c r="K101" s="596"/>
      <c r="L101" s="597"/>
      <c r="M101" s="594"/>
      <c r="N101" s="597"/>
      <c r="O101" s="594"/>
      <c r="P101" s="594"/>
      <c r="Q101" s="682"/>
      <c r="T101" s="682"/>
      <c r="U101" s="594"/>
      <c r="V101" s="594"/>
      <c r="W101" s="682"/>
      <c r="X101" s="594"/>
      <c r="Y101" s="594"/>
      <c r="Z101" s="594"/>
      <c r="AA101" s="594"/>
      <c r="AB101" s="594"/>
      <c r="AC101" s="594"/>
      <c r="AD101" s="594"/>
      <c r="AE101" s="594"/>
      <c r="AF101" s="594"/>
      <c r="AG101" s="594"/>
    </row>
    <row r="102" spans="1:34" ht="14.9" hidden="1" customHeight="1">
      <c r="A102" s="1"/>
      <c r="B102" s="1"/>
      <c r="G102" s="53"/>
      <c r="H102" s="118"/>
      <c r="I102" s="6"/>
      <c r="J102" s="63"/>
      <c r="K102" s="118"/>
      <c r="L102" s="6"/>
      <c r="M102" s="63"/>
      <c r="N102" s="118"/>
      <c r="P102" s="53"/>
      <c r="Q102" s="58"/>
      <c r="T102" s="58"/>
      <c r="W102" s="58"/>
    </row>
    <row r="103" spans="1:34" ht="18.649999999999999" hidden="1" customHeight="1">
      <c r="A103" s="2897" t="s">
        <v>341</v>
      </c>
      <c r="B103" s="1398"/>
      <c r="C103" s="1399"/>
      <c r="D103" s="1399"/>
      <c r="E103" s="1399"/>
      <c r="F103" s="1400"/>
      <c r="G103" s="1401"/>
      <c r="H103" s="1389"/>
      <c r="I103" s="1402"/>
      <c r="J103" s="1401"/>
      <c r="K103" s="1389"/>
      <c r="L103" s="1402"/>
      <c r="M103" s="1401"/>
      <c r="N103" s="1389"/>
      <c r="O103" s="1402"/>
      <c r="P103" s="1403"/>
      <c r="Q103" s="1389"/>
      <c r="R103" s="1404"/>
      <c r="S103" s="1404"/>
      <c r="T103" s="1389"/>
      <c r="U103" s="1404"/>
      <c r="V103" s="1404"/>
      <c r="W103" s="1405"/>
      <c r="X103" s="2899"/>
      <c r="Y103" s="2899"/>
      <c r="Z103" s="2899"/>
      <c r="AA103" s="2899"/>
      <c r="AB103" s="2899"/>
      <c r="AC103" s="2899"/>
      <c r="AD103" s="2899"/>
      <c r="AE103" s="2899"/>
      <c r="AF103" s="2899"/>
      <c r="AG103" s="2899"/>
    </row>
    <row r="104" spans="1:34" ht="32.25" customHeight="1">
      <c r="A104" s="2898"/>
      <c r="B104" s="726" t="s">
        <v>2373</v>
      </c>
      <c r="C104" s="727"/>
      <c r="D104" s="727"/>
      <c r="E104" s="727"/>
      <c r="F104" s="728"/>
      <c r="G104" s="65">
        <v>6</v>
      </c>
      <c r="H104" s="561">
        <v>1</v>
      </c>
      <c r="I104" s="748"/>
      <c r="J104" s="711">
        <v>3</v>
      </c>
      <c r="K104" s="561">
        <v>0.5</v>
      </c>
      <c r="L104" s="748"/>
      <c r="M104" s="711">
        <v>3</v>
      </c>
      <c r="N104" s="561">
        <v>0.5</v>
      </c>
      <c r="O104" s="748"/>
      <c r="P104" s="712"/>
      <c r="Q104" s="562"/>
      <c r="R104" s="762"/>
      <c r="S104" s="762"/>
      <c r="T104" s="562"/>
      <c r="U104" s="762"/>
      <c r="V104" s="762"/>
      <c r="W104" s="747"/>
      <c r="X104" s="2893"/>
      <c r="Y104" s="2893"/>
      <c r="Z104" s="2893"/>
      <c r="AA104" s="2893"/>
      <c r="AB104" s="2893"/>
      <c r="AC104" s="2893"/>
      <c r="AD104" s="2893"/>
      <c r="AE104" s="2893"/>
      <c r="AF104" s="2893"/>
      <c r="AG104" s="2893"/>
    </row>
    <row r="105" spans="1:34" ht="43.75">
      <c r="A105" s="2902" t="s">
        <v>185</v>
      </c>
      <c r="B105" s="726" t="s">
        <v>231</v>
      </c>
      <c r="C105" s="727"/>
      <c r="D105" s="727"/>
      <c r="E105" s="727"/>
      <c r="F105" s="728"/>
      <c r="G105" s="114">
        <v>19.246910452309116</v>
      </c>
      <c r="H105" s="563" t="s">
        <v>401</v>
      </c>
      <c r="I105" s="748"/>
      <c r="J105" s="749">
        <v>18.195242733065239</v>
      </c>
      <c r="K105" s="563" t="s">
        <v>416</v>
      </c>
      <c r="L105" s="750"/>
      <c r="M105" s="751">
        <v>11.279092864278667</v>
      </c>
      <c r="N105" s="563" t="s">
        <v>19</v>
      </c>
      <c r="O105" s="748"/>
      <c r="P105" s="711"/>
      <c r="Q105" s="563"/>
      <c r="R105" s="762"/>
      <c r="S105" s="762"/>
      <c r="T105" s="563"/>
      <c r="U105" s="762"/>
      <c r="V105" s="762"/>
      <c r="W105" s="752"/>
      <c r="X105" s="2893"/>
      <c r="Y105" s="2893"/>
      <c r="Z105" s="2893"/>
      <c r="AA105" s="2893"/>
      <c r="AB105" s="2893"/>
      <c r="AC105" s="2893"/>
      <c r="AD105" s="2893"/>
      <c r="AE105" s="2893"/>
      <c r="AF105" s="2893"/>
      <c r="AG105" s="2893"/>
    </row>
    <row r="106" spans="1:34" ht="18.45">
      <c r="A106" s="2897"/>
      <c r="B106" s="726" t="s">
        <v>339</v>
      </c>
      <c r="C106" s="727"/>
      <c r="D106" s="727"/>
      <c r="E106" s="727"/>
      <c r="F106" s="728"/>
      <c r="H106" s="564">
        <v>1</v>
      </c>
      <c r="I106" s="763"/>
      <c r="J106" s="763"/>
      <c r="K106" s="564">
        <v>0.4</v>
      </c>
      <c r="L106" s="763"/>
      <c r="M106" s="763"/>
      <c r="N106" s="564">
        <v>0.1</v>
      </c>
      <c r="O106" s="763"/>
      <c r="P106" s="763"/>
      <c r="Q106" s="564"/>
      <c r="R106" s="762"/>
      <c r="S106" s="762"/>
      <c r="T106" s="564"/>
      <c r="U106" s="762"/>
      <c r="V106" s="762"/>
      <c r="W106" s="753"/>
      <c r="X106" s="2893"/>
      <c r="Y106" s="2893"/>
      <c r="Z106" s="2893"/>
      <c r="AA106" s="2893"/>
      <c r="AB106" s="2893"/>
      <c r="AC106" s="2893"/>
      <c r="AD106" s="2893"/>
      <c r="AE106" s="2893"/>
      <c r="AF106" s="2893"/>
      <c r="AG106" s="2893"/>
      <c r="AH106" s="9" t="s">
        <v>723</v>
      </c>
    </row>
    <row r="107" spans="1:34" s="6" customFormat="1" ht="31.5" customHeight="1">
      <c r="A107" s="2898"/>
      <c r="B107" s="2255" t="s">
        <v>340</v>
      </c>
      <c r="C107" s="2255"/>
      <c r="D107" s="2255"/>
      <c r="E107" s="2255"/>
      <c r="F107" s="728"/>
      <c r="G107" s="63"/>
      <c r="H107" s="565">
        <v>0.5</v>
      </c>
      <c r="I107" s="754"/>
      <c r="J107" s="755">
        <v>2606.6666666666665</v>
      </c>
      <c r="K107" s="565">
        <v>0.25</v>
      </c>
      <c r="L107" s="754"/>
      <c r="M107" s="755" t="e">
        <v>#REF!</v>
      </c>
      <c r="N107" s="565">
        <v>0.08</v>
      </c>
      <c r="O107" s="748"/>
      <c r="P107" s="711"/>
      <c r="Q107" s="565"/>
      <c r="R107" s="748"/>
      <c r="S107" s="748"/>
      <c r="T107" s="565"/>
      <c r="U107" s="748"/>
      <c r="V107" s="748"/>
      <c r="W107" s="756"/>
      <c r="X107" s="2893" t="s">
        <v>682</v>
      </c>
      <c r="Y107" s="2893"/>
      <c r="Z107" s="2893"/>
      <c r="AA107" s="2893"/>
      <c r="AB107" s="2893"/>
      <c r="AC107" s="2893"/>
      <c r="AD107" s="2893"/>
      <c r="AE107" s="2893"/>
      <c r="AF107" s="2893"/>
      <c r="AG107" s="2893"/>
    </row>
    <row r="108" spans="1:34" s="62" customFormat="1" ht="15" customHeight="1">
      <c r="A108" s="2902" t="s">
        <v>394</v>
      </c>
      <c r="B108" s="726" t="s">
        <v>375</v>
      </c>
      <c r="C108" s="727"/>
      <c r="D108" s="727"/>
      <c r="E108" s="727"/>
      <c r="F108" s="728"/>
      <c r="G108" s="115">
        <v>488.75</v>
      </c>
      <c r="H108" s="566">
        <v>125</v>
      </c>
      <c r="I108" s="748"/>
      <c r="J108" s="711">
        <v>488.75</v>
      </c>
      <c r="K108" s="566">
        <v>18</v>
      </c>
      <c r="L108" s="748"/>
      <c r="M108" s="711">
        <v>0.88223552894211565</v>
      </c>
      <c r="N108" s="566">
        <v>8</v>
      </c>
      <c r="O108" s="748"/>
      <c r="P108" s="711"/>
      <c r="Q108" s="566"/>
      <c r="R108" s="762"/>
      <c r="S108" s="762"/>
      <c r="T108" s="566"/>
      <c r="U108" s="762"/>
      <c r="V108" s="762"/>
      <c r="W108" s="757"/>
      <c r="X108" s="2893" t="s">
        <v>681</v>
      </c>
      <c r="Y108" s="2893"/>
      <c r="Z108" s="2893"/>
      <c r="AA108" s="2893"/>
      <c r="AB108" s="2893"/>
      <c r="AC108" s="2893"/>
      <c r="AD108" s="2893"/>
      <c r="AE108" s="2893"/>
      <c r="AF108" s="2893"/>
      <c r="AG108" s="2893"/>
    </row>
    <row r="109" spans="1:34" ht="29.25" customHeight="1">
      <c r="A109" s="2897"/>
      <c r="B109" s="2255" t="s">
        <v>395</v>
      </c>
      <c r="C109" s="2255"/>
      <c r="D109" s="2255"/>
      <c r="E109" s="2255"/>
      <c r="F109" s="728"/>
      <c r="G109" s="113">
        <v>318.09533298035956</v>
      </c>
      <c r="H109" s="567">
        <v>20</v>
      </c>
      <c r="I109" s="762"/>
      <c r="J109" s="762"/>
      <c r="K109" s="567">
        <v>0.126</v>
      </c>
      <c r="L109" s="762"/>
      <c r="M109" s="762"/>
      <c r="N109" s="567">
        <v>0.04</v>
      </c>
      <c r="O109" s="762"/>
      <c r="P109" s="762"/>
      <c r="Q109" s="567"/>
      <c r="R109" s="762"/>
      <c r="S109" s="762"/>
      <c r="T109" s="567"/>
      <c r="U109" s="762"/>
      <c r="V109" s="762"/>
      <c r="W109" s="758"/>
      <c r="X109" s="2893" t="s">
        <v>680</v>
      </c>
      <c r="Y109" s="2893"/>
      <c r="Z109" s="2893"/>
      <c r="AA109" s="2893"/>
      <c r="AB109" s="2893"/>
      <c r="AC109" s="2893"/>
      <c r="AD109" s="2893"/>
      <c r="AE109" s="2893"/>
      <c r="AF109" s="2893"/>
      <c r="AG109" s="2893"/>
    </row>
    <row r="110" spans="1:34" ht="14.9" customHeight="1">
      <c r="A110" s="2897"/>
      <c r="B110" s="726" t="s">
        <v>396</v>
      </c>
      <c r="C110" s="727"/>
      <c r="D110" s="727"/>
      <c r="E110" s="727"/>
      <c r="F110" s="728"/>
      <c r="G110" s="117">
        <v>26.045977237650551</v>
      </c>
      <c r="H110" s="568">
        <v>1330.6206896551723</v>
      </c>
      <c r="I110" s="705"/>
      <c r="J110" s="706">
        <v>158.83050411577992</v>
      </c>
      <c r="K110" s="568"/>
      <c r="L110" s="748"/>
      <c r="M110" s="764"/>
      <c r="N110" s="568"/>
      <c r="O110" s="748"/>
      <c r="P110" s="711"/>
      <c r="Q110" s="568"/>
      <c r="R110" s="762"/>
      <c r="S110" s="762"/>
      <c r="T110" s="568"/>
      <c r="U110" s="762"/>
      <c r="V110" s="765"/>
      <c r="W110" s="542"/>
      <c r="X110" s="2893" t="s">
        <v>679</v>
      </c>
      <c r="Y110" s="2893"/>
      <c r="Z110" s="2893"/>
      <c r="AA110" s="2893"/>
      <c r="AB110" s="2893"/>
      <c r="AC110" s="2893"/>
      <c r="AD110" s="2893"/>
      <c r="AE110" s="2893"/>
      <c r="AF110" s="2893"/>
      <c r="AG110" s="2893"/>
    </row>
    <row r="111" spans="1:34" s="62" customFormat="1" ht="15" customHeight="1">
      <c r="A111" s="2897"/>
      <c r="B111" s="726" t="s">
        <v>397</v>
      </c>
      <c r="C111" s="727"/>
      <c r="D111" s="727"/>
      <c r="E111" s="727"/>
      <c r="F111" s="728"/>
      <c r="G111" s="115"/>
      <c r="H111" s="568"/>
      <c r="I111" s="705"/>
      <c r="J111" s="707">
        <v>52.78586966721501</v>
      </c>
      <c r="K111" s="568"/>
      <c r="L111" s="748"/>
      <c r="M111" s="742"/>
      <c r="N111" s="568"/>
      <c r="O111" s="748"/>
      <c r="P111" s="742"/>
      <c r="Q111" s="568"/>
      <c r="R111" s="762"/>
      <c r="S111" s="762"/>
      <c r="T111" s="568"/>
      <c r="U111" s="762"/>
      <c r="V111" s="762"/>
      <c r="W111" s="542"/>
      <c r="X111" s="2893"/>
      <c r="Y111" s="2893"/>
      <c r="Z111" s="2893"/>
      <c r="AA111" s="2893"/>
      <c r="AB111" s="2893"/>
      <c r="AC111" s="2893"/>
      <c r="AD111" s="2893"/>
      <c r="AE111" s="2893"/>
      <c r="AF111" s="2893"/>
      <c r="AG111" s="2893"/>
    </row>
    <row r="112" spans="1:34" ht="14.9" customHeight="1">
      <c r="A112" s="2898"/>
      <c r="B112" s="726" t="s">
        <v>398</v>
      </c>
      <c r="C112" s="727"/>
      <c r="D112" s="727"/>
      <c r="E112" s="727"/>
      <c r="F112" s="728"/>
      <c r="H112" s="569"/>
      <c r="I112" s="763"/>
      <c r="J112" s="763"/>
      <c r="K112" s="569"/>
      <c r="L112" s="763"/>
      <c r="M112" s="763"/>
      <c r="N112" s="569"/>
      <c r="O112" s="762"/>
      <c r="P112" s="762"/>
      <c r="Q112" s="569"/>
      <c r="R112" s="762"/>
      <c r="S112" s="762"/>
      <c r="T112" s="569"/>
      <c r="U112" s="762"/>
      <c r="V112" s="762"/>
      <c r="W112" s="759"/>
      <c r="X112" s="2893"/>
      <c r="Y112" s="2893"/>
      <c r="Z112" s="2893"/>
      <c r="AA112" s="2893"/>
      <c r="AB112" s="2893"/>
      <c r="AC112" s="2893"/>
      <c r="AD112" s="2893"/>
      <c r="AE112" s="2893"/>
      <c r="AF112" s="2893"/>
      <c r="AG112" s="2893"/>
    </row>
    <row r="113" spans="1:33" ht="15" customHeight="1">
      <c r="A113" s="2671" t="s">
        <v>380</v>
      </c>
      <c r="B113" s="2250" t="s">
        <v>825</v>
      </c>
      <c r="C113" s="2250"/>
      <c r="D113" s="2250"/>
      <c r="E113" s="2250"/>
      <c r="F113" s="728"/>
      <c r="H113" s="563">
        <v>10</v>
      </c>
      <c r="I113" s="763"/>
      <c r="J113" s="763"/>
      <c r="K113" s="563">
        <v>8</v>
      </c>
      <c r="L113" s="763"/>
      <c r="M113" s="763"/>
      <c r="N113" s="563">
        <v>4</v>
      </c>
      <c r="O113" s="762"/>
      <c r="P113" s="762"/>
      <c r="Q113" s="563"/>
      <c r="R113" s="762"/>
      <c r="S113" s="762"/>
      <c r="T113" s="563"/>
      <c r="U113" s="762"/>
      <c r="V113" s="762"/>
      <c r="W113" s="752"/>
      <c r="X113" s="2893"/>
      <c r="Y113" s="2893"/>
      <c r="Z113" s="2893"/>
      <c r="AA113" s="2893"/>
      <c r="AB113" s="2893"/>
      <c r="AC113" s="2893"/>
      <c r="AD113" s="2893"/>
      <c r="AE113" s="2893"/>
      <c r="AF113" s="2893"/>
      <c r="AG113" s="2893"/>
    </row>
    <row r="114" spans="1:33" ht="15" customHeight="1">
      <c r="A114" s="2672"/>
      <c r="B114" s="2250" t="s">
        <v>826</v>
      </c>
      <c r="C114" s="2250"/>
      <c r="D114" s="2250"/>
      <c r="E114" s="2250"/>
      <c r="F114" s="728"/>
      <c r="H114" s="564">
        <v>0.04</v>
      </c>
      <c r="I114" s="763"/>
      <c r="J114" s="763"/>
      <c r="K114" s="564">
        <v>0.04</v>
      </c>
      <c r="L114" s="763"/>
      <c r="M114" s="763"/>
      <c r="N114" s="564">
        <v>0.04</v>
      </c>
      <c r="O114" s="762"/>
      <c r="P114" s="762"/>
      <c r="Q114" s="564"/>
      <c r="R114" s="762"/>
      <c r="S114" s="762"/>
      <c r="T114" s="564"/>
      <c r="U114" s="762"/>
      <c r="V114" s="762"/>
      <c r="W114" s="753"/>
      <c r="X114" s="2893"/>
      <c r="Y114" s="2893"/>
      <c r="Z114" s="2893"/>
      <c r="AA114" s="2893"/>
      <c r="AB114" s="2893"/>
      <c r="AC114" s="2893"/>
      <c r="AD114" s="2893"/>
      <c r="AE114" s="2893"/>
      <c r="AF114" s="2893"/>
      <c r="AG114" s="2893"/>
    </row>
    <row r="115" spans="1:33" ht="26.25" customHeight="1">
      <c r="A115" s="2672"/>
      <c r="B115" s="2250" t="s">
        <v>827</v>
      </c>
      <c r="C115" s="2250"/>
      <c r="D115" s="2250"/>
      <c r="E115" s="2250"/>
      <c r="F115" s="728"/>
      <c r="H115" s="564">
        <v>70</v>
      </c>
      <c r="I115" s="763"/>
      <c r="J115" s="763"/>
      <c r="K115" s="564">
        <v>70</v>
      </c>
      <c r="L115" s="763"/>
      <c r="M115" s="763"/>
      <c r="N115" s="564">
        <v>70</v>
      </c>
      <c r="O115" s="762"/>
      <c r="P115" s="762"/>
      <c r="Q115" s="564"/>
      <c r="R115" s="762"/>
      <c r="S115" s="762"/>
      <c r="T115" s="564"/>
      <c r="U115" s="762"/>
      <c r="V115" s="762"/>
      <c r="W115" s="753"/>
      <c r="X115" s="2893"/>
      <c r="Y115" s="2893"/>
      <c r="Z115" s="2893"/>
      <c r="AA115" s="2893"/>
      <c r="AB115" s="2893"/>
      <c r="AC115" s="2893"/>
      <c r="AD115" s="2893"/>
      <c r="AE115" s="2893"/>
      <c r="AF115" s="2893"/>
      <c r="AG115" s="2893"/>
    </row>
    <row r="116" spans="1:33" ht="27" customHeight="1">
      <c r="A116" s="2672"/>
      <c r="B116" s="2250" t="s">
        <v>828</v>
      </c>
      <c r="C116" s="2250"/>
      <c r="D116" s="2250"/>
      <c r="E116" s="2250"/>
      <c r="F116" s="728"/>
      <c r="H116" s="564"/>
      <c r="I116" s="763"/>
      <c r="J116" s="763"/>
      <c r="K116" s="564"/>
      <c r="L116" s="763"/>
      <c r="M116" s="763"/>
      <c r="N116" s="564"/>
      <c r="O116" s="762"/>
      <c r="P116" s="762"/>
      <c r="Q116" s="564"/>
      <c r="R116" s="762"/>
      <c r="S116" s="762"/>
      <c r="T116" s="564"/>
      <c r="U116" s="762"/>
      <c r="V116" s="762"/>
      <c r="W116" s="753"/>
      <c r="X116" s="2893"/>
      <c r="Y116" s="2893"/>
      <c r="Z116" s="2893"/>
      <c r="AA116" s="2893"/>
      <c r="AB116" s="2893"/>
      <c r="AC116" s="2893"/>
      <c r="AD116" s="2893"/>
      <c r="AE116" s="2893"/>
      <c r="AF116" s="2893"/>
      <c r="AG116" s="2893"/>
    </row>
    <row r="117" spans="1:33" ht="35.25" customHeight="1">
      <c r="A117" s="2673"/>
      <c r="B117" s="2250" t="s">
        <v>829</v>
      </c>
      <c r="C117" s="2250"/>
      <c r="D117" s="2250"/>
      <c r="E117" s="2250"/>
      <c r="F117" s="728"/>
      <c r="H117" s="766" t="s">
        <v>588</v>
      </c>
      <c r="I117" s="760"/>
      <c r="J117" s="760"/>
      <c r="K117" s="766" t="s">
        <v>589</v>
      </c>
      <c r="L117" s="760"/>
      <c r="M117" s="760"/>
      <c r="N117" s="766" t="s">
        <v>589</v>
      </c>
      <c r="O117" s="760"/>
      <c r="P117" s="760"/>
      <c r="Q117" s="766"/>
      <c r="R117" s="760"/>
      <c r="S117" s="760"/>
      <c r="T117" s="766"/>
      <c r="U117" s="760"/>
      <c r="V117" s="760"/>
      <c r="W117" s="761"/>
      <c r="X117" s="2893"/>
      <c r="Y117" s="2893"/>
      <c r="Z117" s="2893"/>
      <c r="AA117" s="2893"/>
      <c r="AB117" s="2893"/>
      <c r="AC117" s="2893"/>
      <c r="AD117" s="2893"/>
      <c r="AE117" s="2893"/>
      <c r="AF117" s="2893"/>
      <c r="AG117" s="2893"/>
    </row>
    <row r="118" spans="1:33">
      <c r="A118" s="6"/>
      <c r="B118" s="6"/>
      <c r="C118" s="6"/>
      <c r="D118" s="6"/>
      <c r="E118" s="6"/>
      <c r="F118" s="6"/>
      <c r="G118" s="113"/>
      <c r="H118" s="116"/>
      <c r="I118" s="112"/>
      <c r="J118" s="113"/>
      <c r="K118" s="116"/>
      <c r="L118" s="6"/>
      <c r="M118" s="63"/>
      <c r="N118" s="118"/>
      <c r="O118" s="6"/>
      <c r="P118" s="63"/>
      <c r="Q118" s="60"/>
      <c r="S118" s="234"/>
      <c r="T118" s="65"/>
      <c r="V118" s="258"/>
      <c r="W118" s="65"/>
      <c r="X118" s="85"/>
    </row>
    <row r="119" spans="1:33" ht="16.75">
      <c r="A119" s="600" t="s">
        <v>603</v>
      </c>
      <c r="B119" s="596"/>
      <c r="C119" s="596"/>
      <c r="D119" s="596"/>
      <c r="E119" s="596"/>
      <c r="F119" s="597"/>
      <c r="G119" s="594"/>
      <c r="H119" s="596"/>
      <c r="I119" s="597"/>
      <c r="J119" s="594"/>
      <c r="K119" s="596"/>
      <c r="L119" s="597"/>
      <c r="M119" s="594"/>
      <c r="N119" s="597"/>
      <c r="O119" s="594"/>
      <c r="P119" s="594"/>
      <c r="Q119" s="682"/>
      <c r="S119" s="235"/>
      <c r="T119" s="683"/>
      <c r="U119" s="594"/>
      <c r="V119" s="684"/>
      <c r="W119" s="683"/>
      <c r="X119" s="715"/>
      <c r="Y119" s="594"/>
      <c r="Z119" s="594"/>
      <c r="AA119" s="594"/>
      <c r="AB119" s="594"/>
      <c r="AC119" s="594"/>
      <c r="AD119" s="594"/>
      <c r="AE119" s="594"/>
      <c r="AF119" s="594"/>
      <c r="AG119" s="594"/>
    </row>
    <row r="120" spans="1:33" ht="18.45">
      <c r="A120" s="1"/>
      <c r="B120" s="726" t="s">
        <v>5467</v>
      </c>
      <c r="C120" s="727"/>
      <c r="D120" s="727"/>
      <c r="E120" s="727"/>
      <c r="F120" s="728"/>
      <c r="G120" s="53"/>
      <c r="H120" s="575"/>
      <c r="I120" s="710"/>
      <c r="J120" s="582"/>
      <c r="K120" s="575"/>
      <c r="L120" s="710"/>
      <c r="M120" s="582"/>
      <c r="N120" s="575"/>
      <c r="O120" s="713"/>
      <c r="P120" s="772"/>
      <c r="Q120" s="575"/>
      <c r="R120" s="713"/>
      <c r="S120" s="773"/>
      <c r="T120" s="575"/>
      <c r="U120" s="713"/>
      <c r="V120" s="774"/>
      <c r="W120" s="575"/>
      <c r="X120" s="2893"/>
      <c r="Y120" s="2893"/>
      <c r="Z120" s="2893"/>
      <c r="AA120" s="2893"/>
      <c r="AB120" s="2893"/>
      <c r="AC120" s="2893"/>
      <c r="AD120" s="2893"/>
      <c r="AE120" s="2893"/>
      <c r="AF120" s="2893"/>
      <c r="AG120" s="2893"/>
    </row>
    <row r="121" spans="1:33" ht="18.45">
      <c r="A121" s="6"/>
      <c r="B121" s="726" t="s">
        <v>5466</v>
      </c>
      <c r="C121" s="727"/>
      <c r="D121" s="727"/>
      <c r="E121" s="727"/>
      <c r="F121" s="728"/>
      <c r="G121" s="119">
        <v>35.047741961833388</v>
      </c>
      <c r="H121" s="576"/>
      <c r="I121" s="710"/>
      <c r="J121" s="764"/>
      <c r="K121" s="576"/>
      <c r="L121" s="710"/>
      <c r="M121" s="764"/>
      <c r="N121" s="576"/>
      <c r="O121" s="710"/>
      <c r="P121" s="582"/>
      <c r="Q121" s="576"/>
      <c r="R121" s="713"/>
      <c r="S121" s="773"/>
      <c r="T121" s="576"/>
      <c r="U121" s="713"/>
      <c r="V121" s="774"/>
      <c r="W121" s="576"/>
      <c r="X121" s="2893"/>
      <c r="Y121" s="2893"/>
      <c r="Z121" s="2893"/>
      <c r="AA121" s="2893"/>
      <c r="AB121" s="2893"/>
      <c r="AC121" s="2893"/>
      <c r="AD121" s="2893"/>
      <c r="AE121" s="2893"/>
      <c r="AF121" s="2893"/>
      <c r="AG121" s="2893"/>
    </row>
    <row r="122" spans="1:33" ht="17.25" customHeight="1">
      <c r="A122" s="6"/>
      <c r="B122" s="726" t="s">
        <v>82</v>
      </c>
      <c r="C122" s="727"/>
      <c r="D122" s="727"/>
      <c r="E122" s="727"/>
      <c r="F122" s="728"/>
      <c r="G122" s="120">
        <v>5.5705963849905903E-3</v>
      </c>
      <c r="H122" s="804"/>
      <c r="I122" s="710"/>
      <c r="J122" s="775"/>
      <c r="K122" s="577"/>
      <c r="L122" s="710"/>
      <c r="M122" s="775"/>
      <c r="N122" s="577"/>
      <c r="O122" s="710"/>
      <c r="P122" s="582"/>
      <c r="Q122" s="577"/>
      <c r="R122" s="713"/>
      <c r="S122" s="776"/>
      <c r="T122" s="577"/>
      <c r="U122" s="713"/>
      <c r="V122" s="777"/>
      <c r="W122" s="577"/>
      <c r="X122" s="2893"/>
      <c r="Y122" s="2893"/>
      <c r="Z122" s="2893"/>
      <c r="AA122" s="2893"/>
      <c r="AB122" s="2893"/>
      <c r="AC122" s="2893"/>
      <c r="AD122" s="2893"/>
      <c r="AE122" s="2893"/>
      <c r="AF122" s="2893"/>
      <c r="AG122" s="2893"/>
    </row>
    <row r="123" spans="1:33" ht="17.25" customHeight="1">
      <c r="A123" s="6"/>
      <c r="B123" s="6"/>
      <c r="C123" s="6"/>
      <c r="D123" s="6"/>
      <c r="E123" s="6"/>
      <c r="F123" s="6"/>
      <c r="G123" s="133"/>
      <c r="H123" s="121"/>
      <c r="I123" s="6"/>
      <c r="J123" s="133"/>
      <c r="K123" s="121"/>
      <c r="L123" s="6"/>
      <c r="M123" s="133"/>
      <c r="N123" s="121"/>
      <c r="O123" s="6"/>
      <c r="P123" s="6"/>
      <c r="Q123" s="121"/>
      <c r="S123" s="650"/>
      <c r="T123" s="121"/>
      <c r="V123" s="651"/>
      <c r="W123" s="121"/>
      <c r="X123" s="4"/>
    </row>
    <row r="124" spans="1:33"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row>
    <row r="125" spans="1:33"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row>
    <row r="126" spans="1:33"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row>
    <row r="127" spans="1:33"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row>
    <row r="128" spans="1:33">
      <c r="A128" s="6"/>
      <c r="B128" s="6"/>
      <c r="C128" s="6"/>
      <c r="D128" s="6"/>
      <c r="E128" s="6"/>
      <c r="F128" s="6"/>
      <c r="G128" s="6"/>
      <c r="H128" s="121"/>
      <c r="I128" s="6"/>
      <c r="J128" s="121"/>
      <c r="K128" s="121"/>
      <c r="L128" s="6"/>
      <c r="M128" s="666"/>
      <c r="N128" s="128"/>
      <c r="O128" s="6"/>
      <c r="P128" s="6"/>
      <c r="Q128" s="121"/>
      <c r="T128" s="121"/>
      <c r="W128" s="121"/>
    </row>
    <row r="129" spans="1:34" ht="32.9" customHeight="1">
      <c r="A129" s="2318" t="s">
        <v>606</v>
      </c>
      <c r="B129" s="2318"/>
      <c r="C129" s="2318"/>
      <c r="D129" s="496"/>
      <c r="E129" s="496"/>
      <c r="F129" s="497"/>
      <c r="G129" s="498"/>
      <c r="H129" s="121"/>
      <c r="I129" s="6"/>
      <c r="J129" s="121"/>
      <c r="K129" s="121"/>
      <c r="L129" s="6"/>
      <c r="M129" s="666"/>
      <c r="N129" s="128"/>
      <c r="O129" s="6"/>
      <c r="P129" s="6"/>
      <c r="Q129" s="121"/>
      <c r="T129" s="121"/>
      <c r="W129" s="121"/>
    </row>
    <row r="130" spans="1:34" ht="22" customHeight="1">
      <c r="A130" s="2905" t="s">
        <v>615</v>
      </c>
      <c r="B130" s="2905"/>
      <c r="C130" s="2905"/>
      <c r="D130" s="2905"/>
      <c r="E130" s="2905"/>
      <c r="F130" s="2905"/>
      <c r="G130" s="2905"/>
      <c r="H130" s="601"/>
      <c r="I130" s="602"/>
      <c r="J130" s="602"/>
      <c r="K130" s="601"/>
      <c r="L130" s="602"/>
      <c r="M130" s="602"/>
      <c r="N130" s="685"/>
      <c r="O130" s="594"/>
      <c r="P130" s="686"/>
      <c r="Q130" s="687"/>
      <c r="R130" s="594"/>
      <c r="S130" s="594"/>
      <c r="T130" s="594"/>
      <c r="U130" s="594"/>
      <c r="V130" s="594"/>
      <c r="W130" s="594"/>
      <c r="X130" s="2859" t="s">
        <v>405</v>
      </c>
      <c r="Y130" s="2859"/>
      <c r="Z130" s="2859"/>
      <c r="AA130" s="2859"/>
      <c r="AB130" s="2859"/>
      <c r="AC130" s="2859"/>
      <c r="AD130" s="2859"/>
      <c r="AE130" s="2859"/>
      <c r="AF130" s="2859"/>
      <c r="AG130" s="2859"/>
    </row>
    <row r="131" spans="1:34" ht="18.649999999999999" hidden="1" customHeight="1">
      <c r="A131" s="1"/>
      <c r="B131" s="502"/>
      <c r="C131" s="50"/>
      <c r="D131" s="50"/>
      <c r="E131" s="50"/>
      <c r="G131" s="13"/>
      <c r="H131" s="60"/>
      <c r="I131" s="6"/>
      <c r="J131" s="65"/>
      <c r="K131" s="60"/>
      <c r="L131" s="6"/>
      <c r="M131" s="65"/>
      <c r="N131" s="60"/>
      <c r="P131" s="66"/>
      <c r="Q131" s="788"/>
      <c r="T131" s="788"/>
      <c r="W131" s="788"/>
    </row>
    <row r="132" spans="1:34" ht="18.649999999999999" hidden="1" customHeight="1">
      <c r="A132" s="1"/>
      <c r="B132" s="502"/>
      <c r="C132" s="50"/>
      <c r="D132" s="50"/>
      <c r="E132" s="50"/>
      <c r="G132" s="13"/>
      <c r="H132" s="60"/>
      <c r="I132" s="6"/>
      <c r="J132" s="65"/>
      <c r="K132" s="60"/>
      <c r="L132" s="6"/>
      <c r="M132" s="65"/>
      <c r="N132" s="60"/>
      <c r="P132" s="66"/>
      <c r="Q132" s="788"/>
      <c r="T132" s="788"/>
      <c r="W132" s="788"/>
    </row>
    <row r="133" spans="1:34" ht="14.9" customHeight="1">
      <c r="A133" s="1"/>
      <c r="B133" s="2903" t="s">
        <v>207</v>
      </c>
      <c r="C133" s="2903"/>
      <c r="D133" s="2903"/>
      <c r="E133" s="2903"/>
      <c r="G133" s="13"/>
      <c r="H133" s="792"/>
      <c r="I133" s="710"/>
      <c r="J133" s="711"/>
      <c r="K133" s="579">
        <v>2</v>
      </c>
      <c r="L133" s="710" t="s">
        <v>122</v>
      </c>
      <c r="M133" s="711" t="s">
        <v>122</v>
      </c>
      <c r="N133" s="579">
        <v>3</v>
      </c>
      <c r="O133" s="713"/>
      <c r="P133" s="714"/>
      <c r="Q133" s="579"/>
      <c r="R133" s="762"/>
      <c r="S133" s="762"/>
      <c r="T133" s="579"/>
      <c r="U133" s="762"/>
      <c r="V133" s="762"/>
      <c r="W133" s="579"/>
      <c r="X133" s="2893"/>
      <c r="Y133" s="2893"/>
      <c r="Z133" s="2893"/>
      <c r="AA133" s="2893"/>
      <c r="AB133" s="2893"/>
      <c r="AC133" s="2893"/>
      <c r="AD133" s="2893"/>
      <c r="AE133" s="2893"/>
      <c r="AF133" s="2893"/>
      <c r="AG133" s="2893"/>
    </row>
    <row r="134" spans="1:34"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34" ht="15.75" customHeight="1">
      <c r="A135" s="252"/>
      <c r="B135" s="2903" t="s">
        <v>631</v>
      </c>
      <c r="C135" s="2903"/>
      <c r="D135" s="2903"/>
      <c r="E135" s="2903"/>
      <c r="F135" s="6"/>
      <c r="G135" s="65"/>
      <c r="H135" s="793"/>
      <c r="I135" s="710"/>
      <c r="J135" s="711"/>
      <c r="K135" s="581">
        <v>0.39</v>
      </c>
      <c r="L135" s="708"/>
      <c r="M135" s="709"/>
      <c r="N135" s="581">
        <v>0.02</v>
      </c>
      <c r="O135" s="710"/>
      <c r="P135" s="712"/>
      <c r="Q135" s="581"/>
      <c r="R135" s="762"/>
      <c r="S135" s="762"/>
      <c r="T135" s="581"/>
      <c r="U135" s="762"/>
      <c r="V135" s="762"/>
      <c r="W135" s="581"/>
      <c r="X135" s="2893" t="s">
        <v>688</v>
      </c>
      <c r="Y135" s="2893"/>
      <c r="Z135" s="2893"/>
      <c r="AA135" s="2893"/>
      <c r="AB135" s="2893"/>
      <c r="AC135" s="2893"/>
      <c r="AD135" s="2893"/>
      <c r="AE135" s="2893"/>
      <c r="AF135" s="2893"/>
      <c r="AG135" s="2893"/>
      <c r="AH135" s="9" t="s">
        <v>719</v>
      </c>
    </row>
    <row r="136" spans="1:34" ht="15.75" customHeight="1">
      <c r="A136" s="252"/>
      <c r="B136" s="2903" t="s">
        <v>633</v>
      </c>
      <c r="C136" s="2903"/>
      <c r="D136" s="2903"/>
      <c r="E136" s="2903"/>
      <c r="F136" s="6"/>
      <c r="G136" s="65"/>
      <c r="H136" s="480"/>
      <c r="I136" s="710"/>
      <c r="J136" s="711" t="s">
        <v>38</v>
      </c>
      <c r="K136" s="526" t="s">
        <v>407</v>
      </c>
      <c r="L136" s="710"/>
      <c r="M136" s="711" t="s">
        <v>38</v>
      </c>
      <c r="N136" s="526" t="s">
        <v>407</v>
      </c>
      <c r="O136" s="710"/>
      <c r="P136" s="712"/>
      <c r="Q136" s="526"/>
      <c r="R136" s="762"/>
      <c r="S136" s="762"/>
      <c r="T136" s="526"/>
      <c r="U136" s="762"/>
      <c r="V136" s="762"/>
      <c r="W136" s="526"/>
      <c r="X136" s="2893" t="s">
        <v>687</v>
      </c>
      <c r="Y136" s="2893"/>
      <c r="Z136" s="2893"/>
      <c r="AA136" s="2893"/>
      <c r="AB136" s="2893"/>
      <c r="AC136" s="2893"/>
      <c r="AD136" s="2893"/>
      <c r="AE136" s="2893"/>
      <c r="AF136" s="2893"/>
      <c r="AG136" s="2893"/>
    </row>
    <row r="137" spans="1:34" ht="15.75" customHeight="1">
      <c r="A137" s="252"/>
      <c r="B137" s="2903" t="s">
        <v>627</v>
      </c>
      <c r="C137" s="2903"/>
      <c r="D137" s="2903"/>
      <c r="E137" s="2903"/>
      <c r="F137" s="6"/>
      <c r="G137" s="65"/>
      <c r="H137" s="794"/>
      <c r="I137" s="710"/>
      <c r="J137" s="711"/>
      <c r="K137" s="561" t="s">
        <v>220</v>
      </c>
      <c r="L137" s="710" t="s">
        <v>718</v>
      </c>
      <c r="M137" s="711" t="s">
        <v>718</v>
      </c>
      <c r="N137" s="561" t="s">
        <v>220</v>
      </c>
      <c r="O137" s="710"/>
      <c r="P137" s="712"/>
      <c r="Q137" s="561"/>
      <c r="R137" s="762"/>
      <c r="S137" s="762"/>
      <c r="T137" s="561"/>
      <c r="U137" s="762"/>
      <c r="V137" s="762"/>
      <c r="W137" s="561"/>
      <c r="X137" s="2893" t="s">
        <v>687</v>
      </c>
      <c r="Y137" s="2893"/>
      <c r="Z137" s="2893"/>
      <c r="AA137" s="2893"/>
      <c r="AB137" s="2893"/>
      <c r="AC137" s="2893"/>
      <c r="AD137" s="2893"/>
      <c r="AE137" s="2893"/>
      <c r="AF137" s="2893"/>
      <c r="AG137" s="2893"/>
    </row>
    <row r="138" spans="1:34" ht="15.75" customHeight="1">
      <c r="A138" s="252"/>
      <c r="B138" s="2904" t="s">
        <v>628</v>
      </c>
      <c r="C138" s="2904"/>
      <c r="D138" s="2904"/>
      <c r="E138" s="2904"/>
      <c r="F138" s="6"/>
      <c r="G138" s="65"/>
      <c r="H138" s="480"/>
      <c r="I138" s="710"/>
      <c r="J138" s="711"/>
      <c r="K138" s="526" t="s">
        <v>221</v>
      </c>
      <c r="L138" s="710"/>
      <c r="M138" s="711"/>
      <c r="N138" s="526" t="s">
        <v>221</v>
      </c>
      <c r="O138" s="710"/>
      <c r="P138" s="712"/>
      <c r="Q138" s="526"/>
      <c r="R138" s="762"/>
      <c r="S138" s="762"/>
      <c r="T138" s="526"/>
      <c r="U138" s="762"/>
      <c r="V138" s="762"/>
      <c r="W138" s="526"/>
      <c r="X138" s="2893"/>
      <c r="Y138" s="2893"/>
      <c r="Z138" s="2893"/>
      <c r="AA138" s="2893"/>
      <c r="AB138" s="2893"/>
      <c r="AC138" s="2893"/>
      <c r="AD138" s="2893"/>
      <c r="AE138" s="2893"/>
      <c r="AF138" s="2893"/>
      <c r="AG138" s="2893"/>
    </row>
    <row r="139" spans="1:34" ht="32.25" customHeight="1">
      <c r="A139" s="252"/>
      <c r="B139" s="2904" t="s">
        <v>629</v>
      </c>
      <c r="C139" s="2904"/>
      <c r="D139" s="2904"/>
      <c r="E139" s="2904"/>
      <c r="F139" s="6"/>
      <c r="G139" s="65"/>
      <c r="H139" s="795"/>
      <c r="I139" s="710"/>
      <c r="J139" s="711"/>
      <c r="K139" s="568">
        <v>0.8</v>
      </c>
      <c r="L139" s="710"/>
      <c r="M139" s="711"/>
      <c r="N139" s="568">
        <v>0.8</v>
      </c>
      <c r="O139" s="710"/>
      <c r="P139" s="712"/>
      <c r="Q139" s="568"/>
      <c r="R139" s="762"/>
      <c r="S139" s="762"/>
      <c r="T139" s="568"/>
      <c r="U139" s="762"/>
      <c r="V139" s="762"/>
      <c r="W139" s="568"/>
      <c r="X139" s="2893"/>
      <c r="Y139" s="2893"/>
      <c r="Z139" s="2893"/>
      <c r="AA139" s="2893"/>
      <c r="AB139" s="2893"/>
      <c r="AC139" s="2893"/>
      <c r="AD139" s="2893"/>
      <c r="AE139" s="2893"/>
      <c r="AF139" s="2893"/>
      <c r="AG139" s="2893"/>
    </row>
    <row r="140" spans="1:34" ht="15.75" customHeight="1">
      <c r="A140" s="252"/>
      <c r="B140" s="2903" t="s">
        <v>632</v>
      </c>
      <c r="C140" s="2903"/>
      <c r="D140" s="2903"/>
      <c r="E140" s="2903"/>
      <c r="F140" s="6"/>
      <c r="G140" s="65"/>
      <c r="H140" s="480"/>
      <c r="I140" s="710"/>
      <c r="J140" s="711">
        <v>1.5</v>
      </c>
      <c r="K140" s="526">
        <v>7</v>
      </c>
      <c r="L140" s="710"/>
      <c r="M140" s="711">
        <v>1.5</v>
      </c>
      <c r="N140" s="526">
        <v>5</v>
      </c>
      <c r="O140" s="710"/>
      <c r="P140" s="712"/>
      <c r="Q140" s="526"/>
      <c r="R140" s="762"/>
      <c r="S140" s="762"/>
      <c r="T140" s="526"/>
      <c r="U140" s="762"/>
      <c r="V140" s="762"/>
      <c r="W140" s="526"/>
      <c r="X140" s="2893" t="s">
        <v>686</v>
      </c>
      <c r="Y140" s="2893"/>
      <c r="Z140" s="2893"/>
      <c r="AA140" s="2893"/>
      <c r="AB140" s="2893"/>
      <c r="AC140" s="2893"/>
      <c r="AD140" s="2893"/>
      <c r="AE140" s="2893"/>
      <c r="AF140" s="2893"/>
      <c r="AG140" s="2893"/>
    </row>
    <row r="141" spans="1:34" ht="26.25" customHeight="1">
      <c r="A141" s="252"/>
      <c r="B141" s="2903" t="s">
        <v>1551</v>
      </c>
      <c r="C141" s="2903"/>
      <c r="D141" s="2903"/>
      <c r="E141" s="2903"/>
      <c r="F141" s="6"/>
      <c r="G141" s="65"/>
      <c r="H141" s="796"/>
      <c r="I141" s="710"/>
      <c r="J141" s="711"/>
      <c r="K141" s="619">
        <v>0</v>
      </c>
      <c r="L141" s="710"/>
      <c r="M141" s="711"/>
      <c r="N141" s="619">
        <v>0</v>
      </c>
      <c r="O141" s="710"/>
      <c r="P141" s="712"/>
      <c r="Q141" s="619"/>
      <c r="R141" s="762"/>
      <c r="S141" s="762"/>
      <c r="T141" s="619"/>
      <c r="U141" s="762"/>
      <c r="V141" s="762"/>
      <c r="W141" s="619"/>
      <c r="X141" s="2893"/>
      <c r="Y141" s="2893"/>
      <c r="Z141" s="2893"/>
      <c r="AA141" s="2893"/>
      <c r="AB141" s="2893"/>
      <c r="AC141" s="2893"/>
      <c r="AD141" s="2893"/>
      <c r="AE141" s="2893"/>
      <c r="AF141" s="2893"/>
      <c r="AG141" s="2893"/>
      <c r="AH141" s="9" t="s">
        <v>720</v>
      </c>
    </row>
    <row r="142" spans="1:34" ht="26.25" customHeight="1">
      <c r="A142" s="252"/>
      <c r="B142" s="2903" t="s">
        <v>1552</v>
      </c>
      <c r="C142" s="2903"/>
      <c r="D142" s="2903"/>
      <c r="E142" s="2903"/>
      <c r="F142" s="6"/>
      <c r="G142" s="65"/>
      <c r="H142" s="796"/>
      <c r="I142" s="710"/>
      <c r="J142" s="711"/>
      <c r="K142" s="619">
        <v>0</v>
      </c>
      <c r="L142" s="710"/>
      <c r="M142" s="711"/>
      <c r="N142" s="619">
        <v>0</v>
      </c>
      <c r="O142" s="710"/>
      <c r="P142" s="712"/>
      <c r="Q142" s="619"/>
      <c r="R142" s="762"/>
      <c r="S142" s="762"/>
      <c r="T142" s="619"/>
      <c r="U142" s="762"/>
      <c r="V142" s="762"/>
      <c r="W142" s="619"/>
      <c r="X142" s="2893"/>
      <c r="Y142" s="2893"/>
      <c r="Z142" s="2893"/>
      <c r="AA142" s="2893"/>
      <c r="AB142" s="2893"/>
      <c r="AC142" s="2893"/>
      <c r="AD142" s="2893"/>
      <c r="AE142" s="2893"/>
      <c r="AF142" s="2893"/>
      <c r="AG142" s="2893"/>
      <c r="AH142" s="9" t="s">
        <v>720</v>
      </c>
    </row>
    <row r="143" spans="1:34" ht="32.25" customHeight="1">
      <c r="A143" s="252"/>
      <c r="B143" s="2903" t="s">
        <v>331</v>
      </c>
      <c r="C143" s="2903"/>
      <c r="D143" s="2903"/>
      <c r="E143" s="2903"/>
      <c r="F143" s="6"/>
      <c r="G143" s="65"/>
      <c r="H143" s="480"/>
      <c r="I143" s="710"/>
      <c r="J143" s="711"/>
      <c r="K143" s="526" t="s">
        <v>685</v>
      </c>
      <c r="L143" s="710"/>
      <c r="M143" s="711"/>
      <c r="N143" s="526" t="s">
        <v>685</v>
      </c>
      <c r="O143" s="710"/>
      <c r="P143" s="712"/>
      <c r="Q143" s="526"/>
      <c r="R143" s="762"/>
      <c r="S143" s="762"/>
      <c r="T143" s="526"/>
      <c r="U143" s="762"/>
      <c r="V143" s="762"/>
      <c r="W143" s="526"/>
      <c r="X143" s="2893" t="s">
        <v>687</v>
      </c>
      <c r="Y143" s="2893"/>
      <c r="Z143" s="2893"/>
      <c r="AA143" s="2893"/>
      <c r="AB143" s="2893"/>
      <c r="AC143" s="2893"/>
      <c r="AD143" s="2893"/>
      <c r="AE143" s="2893"/>
      <c r="AF143" s="2893"/>
      <c r="AG143" s="2893"/>
    </row>
    <row r="144" spans="1:34" ht="15.75" customHeight="1">
      <c r="A144" s="252"/>
      <c r="B144" s="2904" t="s">
        <v>332</v>
      </c>
      <c r="C144" s="2904"/>
      <c r="D144" s="2904"/>
      <c r="E144" s="2904"/>
      <c r="F144" s="6"/>
      <c r="G144" s="65"/>
      <c r="H144" s="480"/>
      <c r="I144" s="748"/>
      <c r="J144" s="711">
        <v>2</v>
      </c>
      <c r="K144" s="526"/>
      <c r="L144" s="748"/>
      <c r="M144" s="711"/>
      <c r="N144" s="526"/>
      <c r="O144" s="710"/>
      <c r="P144" s="582"/>
      <c r="Q144" s="526"/>
      <c r="R144" s="762"/>
      <c r="S144" s="762"/>
      <c r="T144" s="526"/>
      <c r="U144" s="762"/>
      <c r="V144" s="762"/>
      <c r="W144" s="526"/>
      <c r="X144" s="2893"/>
      <c r="Y144" s="2893"/>
      <c r="Z144" s="2893"/>
      <c r="AA144" s="2893"/>
      <c r="AB144" s="2893"/>
      <c r="AC144" s="2893"/>
      <c r="AD144" s="2893"/>
      <c r="AE144" s="2893"/>
      <c r="AF144" s="2893"/>
      <c r="AG144" s="2893"/>
    </row>
    <row r="145" spans="1:34" ht="15.75" customHeight="1">
      <c r="A145" s="252"/>
      <c r="B145" s="2903" t="s">
        <v>333</v>
      </c>
      <c r="C145" s="2903"/>
      <c r="D145" s="2903"/>
      <c r="E145" s="2903"/>
      <c r="F145" s="6"/>
      <c r="G145" s="63"/>
      <c r="H145" s="480"/>
      <c r="I145" s="713"/>
      <c r="J145" s="713"/>
      <c r="K145" s="526" t="s">
        <v>416</v>
      </c>
      <c r="L145" s="713"/>
      <c r="M145" s="713"/>
      <c r="N145" s="526" t="s">
        <v>19</v>
      </c>
      <c r="O145" s="713"/>
      <c r="P145" s="713"/>
      <c r="Q145" s="526"/>
      <c r="R145" s="762"/>
      <c r="S145" s="762"/>
      <c r="T145" s="526"/>
      <c r="U145" s="762"/>
      <c r="V145" s="762"/>
      <c r="W145" s="526"/>
      <c r="X145" s="2893"/>
      <c r="Y145" s="2893"/>
      <c r="Z145" s="2893"/>
      <c r="AA145" s="2893"/>
      <c r="AB145" s="2893"/>
      <c r="AC145" s="2893"/>
      <c r="AD145" s="2893"/>
      <c r="AE145" s="2893"/>
      <c r="AF145" s="2893"/>
      <c r="AG145" s="2893"/>
    </row>
    <row r="146" spans="1:34" ht="15.75" customHeight="1">
      <c r="A146" s="252"/>
      <c r="B146" s="2903" t="s">
        <v>334</v>
      </c>
      <c r="C146" s="2903"/>
      <c r="D146" s="2903"/>
      <c r="E146" s="2903"/>
      <c r="H146" s="480"/>
      <c r="I146" s="748"/>
      <c r="J146" s="711">
        <v>0</v>
      </c>
      <c r="K146" s="526">
        <v>0</v>
      </c>
      <c r="L146" s="748"/>
      <c r="M146" s="711">
        <v>0</v>
      </c>
      <c r="N146" s="526">
        <v>0</v>
      </c>
      <c r="O146" s="710"/>
      <c r="P146" s="582"/>
      <c r="Q146" s="526"/>
      <c r="R146" s="762"/>
      <c r="S146" s="762"/>
      <c r="T146" s="526"/>
      <c r="U146" s="762"/>
      <c r="V146" s="762"/>
      <c r="W146" s="526"/>
      <c r="X146" s="2893"/>
      <c r="Y146" s="2893"/>
      <c r="Z146" s="2893"/>
      <c r="AA146" s="2893"/>
      <c r="AB146" s="2893"/>
      <c r="AC146" s="2893"/>
      <c r="AD146" s="2893"/>
      <c r="AE146" s="2893"/>
      <c r="AF146" s="2893"/>
      <c r="AG146" s="2893"/>
    </row>
    <row r="147" spans="1:34" ht="15.75" customHeight="1">
      <c r="A147" s="252"/>
      <c r="B147" s="2904" t="s">
        <v>335</v>
      </c>
      <c r="C147" s="2904"/>
      <c r="D147" s="2904"/>
      <c r="E147" s="2904"/>
      <c r="F147" s="6"/>
      <c r="G147" s="63"/>
      <c r="H147" s="480"/>
      <c r="I147" s="748"/>
      <c r="J147" s="711"/>
      <c r="K147" s="526"/>
      <c r="L147" s="748"/>
      <c r="M147" s="711"/>
      <c r="N147" s="526"/>
      <c r="O147" s="710"/>
      <c r="P147" s="582"/>
      <c r="Q147" s="526"/>
      <c r="R147" s="762"/>
      <c r="S147" s="762"/>
      <c r="T147" s="526"/>
      <c r="U147" s="762"/>
      <c r="V147" s="762"/>
      <c r="W147" s="526"/>
      <c r="X147" s="2893"/>
      <c r="Y147" s="2893"/>
      <c r="Z147" s="2893"/>
      <c r="AA147" s="2893"/>
      <c r="AB147" s="2893"/>
      <c r="AC147" s="2893"/>
      <c r="AD147" s="2893"/>
      <c r="AE147" s="2893"/>
      <c r="AF147" s="2893"/>
      <c r="AG147" s="2893"/>
    </row>
    <row r="148" spans="1:34" ht="15.75" customHeight="1">
      <c r="A148" s="252"/>
      <c r="B148" s="2903" t="s">
        <v>336</v>
      </c>
      <c r="C148" s="2903"/>
      <c r="D148" s="2903"/>
      <c r="E148" s="2903"/>
      <c r="F148" s="6"/>
      <c r="G148" s="63"/>
      <c r="H148" s="480"/>
      <c r="I148" s="748"/>
      <c r="J148" s="711">
        <v>0.25</v>
      </c>
      <c r="K148" s="526">
        <v>240</v>
      </c>
      <c r="L148" s="748"/>
      <c r="M148" s="711">
        <v>0.25</v>
      </c>
      <c r="N148" s="526">
        <v>240</v>
      </c>
      <c r="O148" s="710"/>
      <c r="P148" s="582"/>
      <c r="Q148" s="526"/>
      <c r="R148" s="762"/>
      <c r="S148" s="762"/>
      <c r="T148" s="526"/>
      <c r="U148" s="762"/>
      <c r="V148" s="762"/>
      <c r="W148" s="526"/>
      <c r="X148" s="2893" t="s">
        <v>721</v>
      </c>
      <c r="Y148" s="2893"/>
      <c r="Z148" s="2893"/>
      <c r="AA148" s="2893"/>
      <c r="AB148" s="2893"/>
      <c r="AC148" s="2893"/>
      <c r="AD148" s="2893"/>
      <c r="AE148" s="2893"/>
      <c r="AF148" s="2893"/>
      <c r="AG148" s="2893"/>
    </row>
    <row r="149" spans="1:34" ht="32.25" customHeight="1">
      <c r="A149" s="252"/>
      <c r="B149" s="2903" t="s">
        <v>337</v>
      </c>
      <c r="C149" s="2903"/>
      <c r="D149" s="2903"/>
      <c r="E149" s="2903"/>
      <c r="F149" s="6"/>
      <c r="G149" s="63"/>
      <c r="H149" s="480"/>
      <c r="I149" s="748"/>
      <c r="J149" s="748"/>
      <c r="K149" s="526">
        <v>0</v>
      </c>
      <c r="L149" s="748"/>
      <c r="M149" s="748"/>
      <c r="N149" s="526">
        <v>0</v>
      </c>
      <c r="O149" s="710"/>
      <c r="P149" s="710"/>
      <c r="Q149" s="526"/>
      <c r="R149" s="762"/>
      <c r="S149" s="762"/>
      <c r="T149" s="526"/>
      <c r="U149" s="762"/>
      <c r="V149" s="762"/>
      <c r="W149" s="526"/>
      <c r="X149" s="2893"/>
      <c r="Y149" s="2893"/>
      <c r="Z149" s="2893"/>
      <c r="AA149" s="2893"/>
      <c r="AB149" s="2893"/>
      <c r="AC149" s="2893"/>
      <c r="AD149" s="2893"/>
      <c r="AE149" s="2893"/>
      <c r="AF149" s="2893"/>
      <c r="AG149" s="2893"/>
      <c r="AH149" s="9" t="s">
        <v>720</v>
      </c>
    </row>
    <row r="150" spans="1:34" ht="32.25" customHeight="1">
      <c r="A150" s="252"/>
      <c r="B150" s="2903" t="s">
        <v>338</v>
      </c>
      <c r="C150" s="2903"/>
      <c r="D150" s="2903"/>
      <c r="E150" s="2903"/>
      <c r="F150" s="6"/>
      <c r="G150" s="63"/>
      <c r="H150" s="480"/>
      <c r="I150" s="748"/>
      <c r="J150" s="748"/>
      <c r="K150" s="526">
        <v>0</v>
      </c>
      <c r="L150" s="748"/>
      <c r="M150" s="748"/>
      <c r="N150" s="526">
        <v>0</v>
      </c>
      <c r="O150" s="710"/>
      <c r="P150" s="710"/>
      <c r="Q150" s="526"/>
      <c r="R150" s="762"/>
      <c r="S150" s="762"/>
      <c r="T150" s="526"/>
      <c r="U150" s="762"/>
      <c r="V150" s="762"/>
      <c r="W150" s="526"/>
      <c r="X150" s="2893"/>
      <c r="Y150" s="2893"/>
      <c r="Z150" s="2893"/>
      <c r="AA150" s="2893"/>
      <c r="AB150" s="2893"/>
      <c r="AC150" s="2893"/>
      <c r="AD150" s="2893"/>
      <c r="AE150" s="2893"/>
      <c r="AF150" s="2893"/>
      <c r="AG150" s="2893"/>
      <c r="AH150" s="9" t="s">
        <v>720</v>
      </c>
    </row>
    <row r="151" spans="1:34" s="6" customFormat="1" ht="15.75" customHeight="1">
      <c r="A151" s="252"/>
      <c r="B151" s="2903" t="s">
        <v>648</v>
      </c>
      <c r="C151" s="2903"/>
      <c r="D151" s="2903"/>
      <c r="E151" s="2903"/>
      <c r="G151" s="63"/>
      <c r="H151" s="480"/>
      <c r="I151" s="748"/>
      <c r="J151" s="748">
        <v>25</v>
      </c>
      <c r="K151" s="526">
        <v>28</v>
      </c>
      <c r="L151" s="748"/>
      <c r="M151" s="748">
        <v>25</v>
      </c>
      <c r="N151" s="526">
        <v>11.4</v>
      </c>
      <c r="O151" s="710"/>
      <c r="P151" s="710"/>
      <c r="Q151" s="526"/>
      <c r="R151" s="748"/>
      <c r="S151" s="748"/>
      <c r="T151" s="526"/>
      <c r="U151" s="748"/>
      <c r="V151" s="748"/>
      <c r="W151" s="526"/>
      <c r="X151" s="2893"/>
      <c r="Y151" s="2893"/>
      <c r="Z151" s="2893"/>
      <c r="AA151" s="2893"/>
      <c r="AB151" s="2893"/>
      <c r="AC151" s="2893"/>
      <c r="AD151" s="2893"/>
      <c r="AE151" s="2893"/>
      <c r="AF151" s="2893"/>
      <c r="AG151" s="2893"/>
    </row>
    <row r="152" spans="1:34" ht="15.75" customHeight="1">
      <c r="A152" s="252"/>
      <c r="B152" s="2903" t="s">
        <v>649</v>
      </c>
      <c r="C152" s="2903"/>
      <c r="D152" s="2903"/>
      <c r="E152" s="2903"/>
      <c r="F152" s="6"/>
      <c r="G152" s="63"/>
      <c r="H152" s="797"/>
      <c r="I152" s="748"/>
      <c r="J152" s="711"/>
      <c r="K152" s="562">
        <v>40</v>
      </c>
      <c r="L152" s="748"/>
      <c r="M152" s="711"/>
      <c r="N152" s="562">
        <v>11.4</v>
      </c>
      <c r="O152" s="710"/>
      <c r="P152" s="582"/>
      <c r="Q152" s="562"/>
      <c r="R152" s="762"/>
      <c r="S152" s="762"/>
      <c r="T152" s="562"/>
      <c r="U152" s="762"/>
      <c r="V152" s="762"/>
      <c r="W152" s="562"/>
      <c r="X152" s="2893"/>
      <c r="Y152" s="2893"/>
      <c r="Z152" s="2893"/>
      <c r="AA152" s="2893"/>
      <c r="AB152" s="2893"/>
      <c r="AC152" s="2893"/>
      <c r="AD152" s="2893"/>
      <c r="AE152" s="2893"/>
      <c r="AF152" s="2893"/>
      <c r="AG152" s="2893"/>
    </row>
    <row r="153" spans="1:34" ht="15.75" customHeight="1">
      <c r="A153" s="237"/>
      <c r="B153" s="2903" t="s">
        <v>415</v>
      </c>
      <c r="C153" s="2903"/>
      <c r="D153" s="2903"/>
      <c r="E153" s="2903"/>
      <c r="F153" s="6"/>
      <c r="G153" s="6"/>
      <c r="H153" s="798"/>
      <c r="I153" s="748"/>
      <c r="J153" s="748"/>
      <c r="K153" s="586" t="s">
        <v>5</v>
      </c>
      <c r="L153" s="748"/>
      <c r="M153" s="748"/>
      <c r="N153" s="586" t="s">
        <v>5</v>
      </c>
      <c r="O153" s="710"/>
      <c r="P153" s="710"/>
      <c r="Q153" s="586"/>
      <c r="R153" s="762"/>
      <c r="S153" s="762"/>
      <c r="T153" s="586"/>
      <c r="U153" s="762"/>
      <c r="V153" s="762"/>
      <c r="W153" s="586"/>
      <c r="X153" s="2893"/>
      <c r="Y153" s="2893"/>
      <c r="Z153" s="2893"/>
      <c r="AA153" s="2893"/>
      <c r="AB153" s="2893"/>
      <c r="AC153" s="2893"/>
      <c r="AD153" s="2893"/>
      <c r="AE153" s="2893"/>
      <c r="AF153" s="2893"/>
      <c r="AG153" s="2893"/>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903" t="s">
        <v>631</v>
      </c>
      <c r="C155" s="2903"/>
      <c r="D155" s="2903"/>
      <c r="E155" s="2903"/>
      <c r="F155" s="6"/>
      <c r="G155" s="65"/>
      <c r="H155" s="799"/>
      <c r="I155" s="710"/>
      <c r="J155" s="711"/>
      <c r="K155" s="628">
        <v>0.61</v>
      </c>
      <c r="L155" s="708"/>
      <c r="M155" s="709"/>
      <c r="N155" s="628">
        <v>0.65</v>
      </c>
      <c r="O155" s="710"/>
      <c r="P155" s="712"/>
      <c r="Q155" s="628"/>
      <c r="R155" s="762"/>
      <c r="S155" s="762"/>
      <c r="T155" s="628"/>
      <c r="U155" s="762"/>
      <c r="V155" s="762"/>
      <c r="W155" s="628"/>
      <c r="X155" s="2893"/>
      <c r="Y155" s="2893"/>
      <c r="Z155" s="2893"/>
      <c r="AA155" s="2893"/>
      <c r="AB155" s="2893"/>
      <c r="AC155" s="2893"/>
      <c r="AD155" s="2893"/>
      <c r="AE155" s="2893"/>
      <c r="AF155" s="2893"/>
      <c r="AG155" s="2893"/>
      <c r="AH155" s="9" t="s">
        <v>719</v>
      </c>
    </row>
    <row r="156" spans="1:34" ht="15.75" customHeight="1">
      <c r="A156" s="252"/>
      <c r="B156" s="2903" t="s">
        <v>633</v>
      </c>
      <c r="C156" s="2903"/>
      <c r="D156" s="2903"/>
      <c r="E156" s="2903"/>
      <c r="F156" s="6"/>
      <c r="G156" s="65"/>
      <c r="H156" s="480"/>
      <c r="I156" s="710"/>
      <c r="J156" s="711" t="s">
        <v>37</v>
      </c>
      <c r="K156" s="526" t="s">
        <v>406</v>
      </c>
      <c r="L156" s="710"/>
      <c r="M156" s="711" t="s">
        <v>37</v>
      </c>
      <c r="N156" s="526" t="s">
        <v>137</v>
      </c>
      <c r="O156" s="710"/>
      <c r="P156" s="712"/>
      <c r="Q156" s="526"/>
      <c r="R156" s="762"/>
      <c r="S156" s="762"/>
      <c r="T156" s="526"/>
      <c r="U156" s="762"/>
      <c r="V156" s="762"/>
      <c r="W156" s="526"/>
      <c r="X156" s="2893"/>
      <c r="Y156" s="2893"/>
      <c r="Z156" s="2893"/>
      <c r="AA156" s="2893"/>
      <c r="AB156" s="2893"/>
      <c r="AC156" s="2893"/>
      <c r="AD156" s="2893"/>
      <c r="AE156" s="2893"/>
      <c r="AF156" s="2893"/>
      <c r="AG156" s="2893"/>
    </row>
    <row r="157" spans="1:34" ht="15.75" customHeight="1">
      <c r="A157" s="252"/>
      <c r="B157" s="2903" t="s">
        <v>627</v>
      </c>
      <c r="C157" s="2903"/>
      <c r="D157" s="2903"/>
      <c r="E157" s="2903"/>
      <c r="F157" s="6"/>
      <c r="G157" s="63"/>
      <c r="H157" s="794"/>
      <c r="I157" s="748"/>
      <c r="J157" s="711"/>
      <c r="K157" s="561" t="s">
        <v>220</v>
      </c>
      <c r="L157" s="748"/>
      <c r="M157" s="711"/>
      <c r="N157" s="561"/>
      <c r="O157" s="710"/>
      <c r="P157" s="582"/>
      <c r="Q157" s="561"/>
      <c r="R157" s="762"/>
      <c r="S157" s="762"/>
      <c r="T157" s="561"/>
      <c r="U157" s="762"/>
      <c r="V157" s="762"/>
      <c r="W157" s="561"/>
      <c r="X157" s="2893"/>
      <c r="Y157" s="2893"/>
      <c r="Z157" s="2893"/>
      <c r="AA157" s="2893"/>
      <c r="AB157" s="2893"/>
      <c r="AC157" s="2893"/>
      <c r="AD157" s="2893"/>
      <c r="AE157" s="2893"/>
      <c r="AF157" s="2893"/>
      <c r="AG157" s="2893"/>
    </row>
    <row r="158" spans="1:34" ht="15.75" customHeight="1">
      <c r="A158" s="252"/>
      <c r="B158" s="2904" t="s">
        <v>628</v>
      </c>
      <c r="C158" s="2904"/>
      <c r="D158" s="2904"/>
      <c r="E158" s="2904"/>
      <c r="F158" s="6"/>
      <c r="G158" s="63"/>
      <c r="H158" s="480"/>
      <c r="I158" s="748"/>
      <c r="J158" s="711"/>
      <c r="K158" s="526" t="s">
        <v>221</v>
      </c>
      <c r="L158" s="748"/>
      <c r="M158" s="711"/>
      <c r="N158" s="526"/>
      <c r="O158" s="710"/>
      <c r="P158" s="582"/>
      <c r="Q158" s="526"/>
      <c r="R158" s="762"/>
      <c r="S158" s="762"/>
      <c r="T158" s="526"/>
      <c r="U158" s="762"/>
      <c r="V158" s="762"/>
      <c r="W158" s="526"/>
      <c r="X158" s="2893"/>
      <c r="Y158" s="2893"/>
      <c r="Z158" s="2893"/>
      <c r="AA158" s="2893"/>
      <c r="AB158" s="2893"/>
      <c r="AC158" s="2893"/>
      <c r="AD158" s="2893"/>
      <c r="AE158" s="2893"/>
      <c r="AF158" s="2893"/>
      <c r="AG158" s="2893"/>
    </row>
    <row r="159" spans="1:34" ht="31.5" customHeight="1">
      <c r="A159" s="252"/>
      <c r="B159" s="2904" t="s">
        <v>629</v>
      </c>
      <c r="C159" s="2904"/>
      <c r="D159" s="2904"/>
      <c r="E159" s="2904"/>
      <c r="F159" s="6"/>
      <c r="G159" s="63"/>
      <c r="H159" s="795"/>
      <c r="I159" s="748"/>
      <c r="J159" s="711"/>
      <c r="K159" s="568">
        <v>2.5</v>
      </c>
      <c r="L159" s="748"/>
      <c r="M159" s="711"/>
      <c r="N159" s="568"/>
      <c r="O159" s="710"/>
      <c r="P159" s="582"/>
      <c r="Q159" s="568"/>
      <c r="R159" s="762"/>
      <c r="S159" s="762"/>
      <c r="T159" s="568"/>
      <c r="U159" s="762"/>
      <c r="V159" s="762"/>
      <c r="W159" s="568"/>
      <c r="X159" s="2893"/>
      <c r="Y159" s="2893"/>
      <c r="Z159" s="2893"/>
      <c r="AA159" s="2893"/>
      <c r="AB159" s="2893"/>
      <c r="AC159" s="2893"/>
      <c r="AD159" s="2893"/>
      <c r="AE159" s="2893"/>
      <c r="AF159" s="2893"/>
      <c r="AG159" s="2893"/>
    </row>
    <row r="160" spans="1:34" ht="15.75" customHeight="1">
      <c r="A160" s="252"/>
      <c r="B160" s="2903" t="s">
        <v>632</v>
      </c>
      <c r="C160" s="2903"/>
      <c r="D160" s="2903"/>
      <c r="E160" s="2903"/>
      <c r="F160" s="6"/>
      <c r="G160" s="65"/>
      <c r="H160" s="480"/>
      <c r="I160" s="710"/>
      <c r="J160" s="711">
        <v>4</v>
      </c>
      <c r="K160" s="526">
        <v>11</v>
      </c>
      <c r="L160" s="710"/>
      <c r="M160" s="711">
        <v>4</v>
      </c>
      <c r="N160" s="526"/>
      <c r="O160" s="710"/>
      <c r="P160" s="712"/>
      <c r="Q160" s="526"/>
      <c r="R160" s="762"/>
      <c r="S160" s="762"/>
      <c r="T160" s="526"/>
      <c r="U160" s="762"/>
      <c r="V160" s="762"/>
      <c r="W160" s="526"/>
      <c r="X160" s="2893" t="s">
        <v>686</v>
      </c>
      <c r="Y160" s="2893"/>
      <c r="Z160" s="2893"/>
      <c r="AA160" s="2893"/>
      <c r="AB160" s="2893"/>
      <c r="AC160" s="2893"/>
      <c r="AD160" s="2893"/>
      <c r="AE160" s="2893"/>
      <c r="AF160" s="2893"/>
      <c r="AG160" s="2893"/>
    </row>
    <row r="161" spans="1:34" ht="29.9" customHeight="1">
      <c r="A161" s="252"/>
      <c r="B161" s="2903" t="s">
        <v>1551</v>
      </c>
      <c r="C161" s="2903"/>
      <c r="D161" s="2903"/>
      <c r="E161" s="2903"/>
      <c r="F161" s="6"/>
      <c r="G161" s="65"/>
      <c r="H161" s="796"/>
      <c r="I161" s="710"/>
      <c r="J161" s="711"/>
      <c r="K161" s="619">
        <v>0</v>
      </c>
      <c r="L161" s="710"/>
      <c r="M161" s="711"/>
      <c r="N161" s="619">
        <v>0</v>
      </c>
      <c r="O161" s="710"/>
      <c r="P161" s="712"/>
      <c r="Q161" s="619"/>
      <c r="R161" s="762"/>
      <c r="S161" s="762"/>
      <c r="T161" s="619"/>
      <c r="U161" s="762"/>
      <c r="V161" s="762"/>
      <c r="W161" s="619"/>
      <c r="X161" s="2893"/>
      <c r="Y161" s="2893"/>
      <c r="Z161" s="2893"/>
      <c r="AA161" s="2893"/>
      <c r="AB161" s="2893"/>
      <c r="AC161" s="2893"/>
      <c r="AD161" s="2893"/>
      <c r="AE161" s="2893"/>
      <c r="AF161" s="2893"/>
      <c r="AG161" s="2893"/>
      <c r="AH161" s="9" t="s">
        <v>722</v>
      </c>
    </row>
    <row r="162" spans="1:34" ht="29.9" customHeight="1">
      <c r="A162" s="252"/>
      <c r="B162" s="2903" t="s">
        <v>1552</v>
      </c>
      <c r="C162" s="2903"/>
      <c r="D162" s="2903"/>
      <c r="E162" s="2903"/>
      <c r="F162" s="6"/>
      <c r="G162" s="65"/>
      <c r="H162" s="796"/>
      <c r="I162" s="710"/>
      <c r="J162" s="711"/>
      <c r="K162" s="619">
        <v>0</v>
      </c>
      <c r="L162" s="710"/>
      <c r="M162" s="711"/>
      <c r="N162" s="619">
        <v>0</v>
      </c>
      <c r="O162" s="710"/>
      <c r="P162" s="712"/>
      <c r="Q162" s="619"/>
      <c r="R162" s="762"/>
      <c r="S162" s="762"/>
      <c r="T162" s="619"/>
      <c r="U162" s="762"/>
      <c r="V162" s="762"/>
      <c r="W162" s="619"/>
      <c r="X162" s="2893"/>
      <c r="Y162" s="2893"/>
      <c r="Z162" s="2893"/>
      <c r="AA162" s="2893"/>
      <c r="AB162" s="2893"/>
      <c r="AC162" s="2893"/>
      <c r="AD162" s="2893"/>
      <c r="AE162" s="2893"/>
      <c r="AF162" s="2893"/>
      <c r="AG162" s="2893"/>
      <c r="AH162" s="9" t="s">
        <v>722</v>
      </c>
    </row>
    <row r="163" spans="1:34" ht="31.5" customHeight="1">
      <c r="A163" s="252"/>
      <c r="B163" s="2903" t="s">
        <v>331</v>
      </c>
      <c r="C163" s="2903"/>
      <c r="D163" s="2903"/>
      <c r="E163" s="2903"/>
      <c r="F163" s="6"/>
      <c r="G163" s="65"/>
      <c r="H163" s="480"/>
      <c r="I163" s="710"/>
      <c r="J163" s="711"/>
      <c r="K163" s="526" t="s">
        <v>685</v>
      </c>
      <c r="L163" s="710"/>
      <c r="M163" s="711"/>
      <c r="N163" s="526" t="s">
        <v>685</v>
      </c>
      <c r="O163" s="710"/>
      <c r="P163" s="712"/>
      <c r="Q163" s="526"/>
      <c r="R163" s="762"/>
      <c r="S163" s="762"/>
      <c r="T163" s="526"/>
      <c r="U163" s="762"/>
      <c r="V163" s="762"/>
      <c r="W163" s="526"/>
      <c r="X163" s="2893"/>
      <c r="Y163" s="2893"/>
      <c r="Z163" s="2893"/>
      <c r="AA163" s="2893"/>
      <c r="AB163" s="2893"/>
      <c r="AC163" s="2893"/>
      <c r="AD163" s="2893"/>
      <c r="AE163" s="2893"/>
      <c r="AF163" s="2893"/>
      <c r="AG163" s="2893"/>
    </row>
    <row r="164" spans="1:34" ht="15.75" customHeight="1">
      <c r="A164" s="252"/>
      <c r="B164" s="2904" t="s">
        <v>332</v>
      </c>
      <c r="C164" s="2904"/>
      <c r="D164" s="2904"/>
      <c r="E164" s="2904"/>
      <c r="F164" s="6"/>
      <c r="G164" s="65"/>
      <c r="H164" s="480"/>
      <c r="I164" s="748"/>
      <c r="J164" s="711">
        <v>2</v>
      </c>
      <c r="K164" s="526"/>
      <c r="L164" s="748"/>
      <c r="M164" s="711"/>
      <c r="N164" s="526"/>
      <c r="O164" s="710"/>
      <c r="P164" s="582"/>
      <c r="Q164" s="526"/>
      <c r="R164" s="762"/>
      <c r="S164" s="762"/>
      <c r="T164" s="526"/>
      <c r="U164" s="762"/>
      <c r="V164" s="762"/>
      <c r="W164" s="526"/>
      <c r="X164" s="2893"/>
      <c r="Y164" s="2893"/>
      <c r="Z164" s="2893"/>
      <c r="AA164" s="2893"/>
      <c r="AB164" s="2893"/>
      <c r="AC164" s="2893"/>
      <c r="AD164" s="2893"/>
      <c r="AE164" s="2893"/>
      <c r="AF164" s="2893"/>
      <c r="AG164" s="2893"/>
    </row>
    <row r="165" spans="1:34" ht="15.75" customHeight="1">
      <c r="A165" s="252"/>
      <c r="B165" s="2903" t="s">
        <v>333</v>
      </c>
      <c r="C165" s="2903"/>
      <c r="D165" s="2903"/>
      <c r="E165" s="2903"/>
      <c r="F165" s="6"/>
      <c r="G165" s="65"/>
      <c r="H165" s="480"/>
      <c r="I165" s="710"/>
      <c r="J165" s="711"/>
      <c r="K165" s="526" t="s">
        <v>416</v>
      </c>
      <c r="L165" s="710"/>
      <c r="M165" s="711"/>
      <c r="N165" s="526" t="s">
        <v>19</v>
      </c>
      <c r="O165" s="710"/>
      <c r="P165" s="712"/>
      <c r="Q165" s="526"/>
      <c r="R165" s="762"/>
      <c r="S165" s="762"/>
      <c r="T165" s="526"/>
      <c r="U165" s="762"/>
      <c r="V165" s="762"/>
      <c r="W165" s="526"/>
      <c r="X165" s="2893"/>
      <c r="Y165" s="2893"/>
      <c r="Z165" s="2893"/>
      <c r="AA165" s="2893"/>
      <c r="AB165" s="2893"/>
      <c r="AC165" s="2893"/>
      <c r="AD165" s="2893"/>
      <c r="AE165" s="2893"/>
      <c r="AF165" s="2893"/>
      <c r="AG165" s="2893"/>
    </row>
    <row r="166" spans="1:34" ht="15.75" customHeight="1">
      <c r="A166" s="252"/>
      <c r="B166" s="2903" t="s">
        <v>334</v>
      </c>
      <c r="C166" s="2903"/>
      <c r="D166" s="2903"/>
      <c r="E166" s="2903"/>
      <c r="F166" s="6"/>
      <c r="G166" s="65"/>
      <c r="H166" s="480"/>
      <c r="I166" s="710"/>
      <c r="J166" s="711"/>
      <c r="K166" s="526">
        <v>0</v>
      </c>
      <c r="L166" s="710"/>
      <c r="M166" s="711"/>
      <c r="N166" s="526"/>
      <c r="O166" s="710"/>
      <c r="P166" s="712"/>
      <c r="Q166" s="526"/>
      <c r="R166" s="762"/>
      <c r="S166" s="762"/>
      <c r="T166" s="526"/>
      <c r="U166" s="762"/>
      <c r="V166" s="762"/>
      <c r="W166" s="526"/>
      <c r="X166" s="2893"/>
      <c r="Y166" s="2893"/>
      <c r="Z166" s="2893"/>
      <c r="AA166" s="2893"/>
      <c r="AB166" s="2893"/>
      <c r="AC166" s="2893"/>
      <c r="AD166" s="2893"/>
      <c r="AE166" s="2893"/>
      <c r="AF166" s="2893"/>
      <c r="AG166" s="2893"/>
    </row>
    <row r="167" spans="1:34" ht="15.75" customHeight="1">
      <c r="A167" s="252"/>
      <c r="B167" s="2904" t="s">
        <v>335</v>
      </c>
      <c r="C167" s="2904"/>
      <c r="D167" s="2904"/>
      <c r="E167" s="2904"/>
      <c r="F167" s="6"/>
      <c r="G167" s="65"/>
      <c r="H167" s="480"/>
      <c r="I167" s="710"/>
      <c r="J167" s="711"/>
      <c r="K167" s="526"/>
      <c r="L167" s="710"/>
      <c r="M167" s="711"/>
      <c r="N167" s="526"/>
      <c r="O167" s="710"/>
      <c r="P167" s="712"/>
      <c r="Q167" s="526"/>
      <c r="R167" s="762"/>
      <c r="S167" s="762"/>
      <c r="T167" s="526"/>
      <c r="U167" s="762"/>
      <c r="V167" s="762"/>
      <c r="W167" s="526"/>
      <c r="X167" s="2893"/>
      <c r="Y167" s="2893"/>
      <c r="Z167" s="2893"/>
      <c r="AA167" s="2893"/>
      <c r="AB167" s="2893"/>
      <c r="AC167" s="2893"/>
      <c r="AD167" s="2893"/>
      <c r="AE167" s="2893"/>
      <c r="AF167" s="2893"/>
      <c r="AG167" s="2893"/>
    </row>
    <row r="168" spans="1:34" ht="15.75" customHeight="1">
      <c r="A168" s="252"/>
      <c r="B168" s="2903" t="s">
        <v>336</v>
      </c>
      <c r="C168" s="2903"/>
      <c r="D168" s="2903"/>
      <c r="E168" s="2903"/>
      <c r="F168" s="6"/>
      <c r="G168" s="65"/>
      <c r="H168" s="480"/>
      <c r="I168" s="710"/>
      <c r="J168" s="711"/>
      <c r="K168" s="526">
        <v>120</v>
      </c>
      <c r="L168" s="710"/>
      <c r="M168" s="711"/>
      <c r="N168" s="526">
        <v>120</v>
      </c>
      <c r="O168" s="710"/>
      <c r="P168" s="712"/>
      <c r="Q168" s="526"/>
      <c r="R168" s="762"/>
      <c r="S168" s="762"/>
      <c r="T168" s="526"/>
      <c r="U168" s="762"/>
      <c r="V168" s="762"/>
      <c r="W168" s="526"/>
      <c r="X168" s="2893"/>
      <c r="Y168" s="2893"/>
      <c r="Z168" s="2893"/>
      <c r="AA168" s="2893"/>
      <c r="AB168" s="2893"/>
      <c r="AC168" s="2893"/>
      <c r="AD168" s="2893"/>
      <c r="AE168" s="2893"/>
      <c r="AF168" s="2893"/>
      <c r="AG168" s="2893"/>
    </row>
    <row r="169" spans="1:34" ht="31.5" customHeight="1">
      <c r="A169" s="252"/>
      <c r="B169" s="2903" t="s">
        <v>337</v>
      </c>
      <c r="C169" s="2903"/>
      <c r="D169" s="2903"/>
      <c r="E169" s="2903"/>
      <c r="F169" s="6"/>
      <c r="G169" s="65"/>
      <c r="H169" s="480"/>
      <c r="I169" s="710"/>
      <c r="J169" s="711"/>
      <c r="K169" s="526">
        <v>0</v>
      </c>
      <c r="L169" s="710"/>
      <c r="M169" s="711"/>
      <c r="N169" s="526">
        <v>0</v>
      </c>
      <c r="O169" s="710"/>
      <c r="P169" s="712"/>
      <c r="Q169" s="526"/>
      <c r="R169" s="762"/>
      <c r="S169" s="762"/>
      <c r="T169" s="526"/>
      <c r="U169" s="762"/>
      <c r="V169" s="762"/>
      <c r="W169" s="526"/>
      <c r="X169" s="2893"/>
      <c r="Y169" s="2893"/>
      <c r="Z169" s="2893"/>
      <c r="AA169" s="2893"/>
      <c r="AB169" s="2893"/>
      <c r="AC169" s="2893"/>
      <c r="AD169" s="2893"/>
      <c r="AE169" s="2893"/>
      <c r="AF169" s="2893"/>
      <c r="AG169" s="2893"/>
      <c r="AH169" s="9" t="s">
        <v>720</v>
      </c>
    </row>
    <row r="170" spans="1:34" ht="31.5" customHeight="1">
      <c r="A170" s="252"/>
      <c r="B170" s="2903" t="s">
        <v>338</v>
      </c>
      <c r="C170" s="2903"/>
      <c r="D170" s="2903"/>
      <c r="E170" s="2903"/>
      <c r="F170" s="6"/>
      <c r="G170" s="65"/>
      <c r="H170" s="480"/>
      <c r="I170" s="710"/>
      <c r="J170" s="711"/>
      <c r="K170" s="526">
        <v>0</v>
      </c>
      <c r="L170" s="710"/>
      <c r="M170" s="711"/>
      <c r="N170" s="526">
        <v>0</v>
      </c>
      <c r="O170" s="710"/>
      <c r="P170" s="712"/>
      <c r="Q170" s="526"/>
      <c r="R170" s="762"/>
      <c r="S170" s="762"/>
      <c r="T170" s="526"/>
      <c r="U170" s="762"/>
      <c r="V170" s="762"/>
      <c r="W170" s="526"/>
      <c r="X170" s="2893"/>
      <c r="Y170" s="2893"/>
      <c r="Z170" s="2893"/>
      <c r="AA170" s="2893"/>
      <c r="AB170" s="2893"/>
      <c r="AC170" s="2893"/>
      <c r="AD170" s="2893"/>
      <c r="AE170" s="2893"/>
      <c r="AF170" s="2893"/>
      <c r="AG170" s="2893"/>
      <c r="AH170" s="9" t="s">
        <v>720</v>
      </c>
    </row>
    <row r="171" spans="1:34" ht="15.75" customHeight="1">
      <c r="A171" s="252"/>
      <c r="B171" s="2903" t="s">
        <v>648</v>
      </c>
      <c r="C171" s="2903"/>
      <c r="D171" s="2903"/>
      <c r="E171" s="2903"/>
      <c r="F171" s="6"/>
      <c r="G171" s="65"/>
      <c r="H171" s="480"/>
      <c r="I171" s="710"/>
      <c r="J171" s="711"/>
      <c r="K171" s="526">
        <v>13</v>
      </c>
      <c r="L171" s="710"/>
      <c r="M171" s="711"/>
      <c r="N171" s="526">
        <v>24</v>
      </c>
      <c r="O171" s="710"/>
      <c r="P171" s="712"/>
      <c r="Q171" s="526"/>
      <c r="R171" s="762"/>
      <c r="S171" s="762"/>
      <c r="T171" s="526"/>
      <c r="U171" s="762"/>
      <c r="V171" s="762"/>
      <c r="W171" s="526"/>
      <c r="X171" s="2893"/>
      <c r="Y171" s="2893"/>
      <c r="Z171" s="2893"/>
      <c r="AA171" s="2893"/>
      <c r="AB171" s="2893"/>
      <c r="AC171" s="2893"/>
      <c r="AD171" s="2893"/>
      <c r="AE171" s="2893"/>
      <c r="AF171" s="2893"/>
      <c r="AG171" s="2893"/>
    </row>
    <row r="172" spans="1:34" ht="15.75" customHeight="1">
      <c r="A172" s="252"/>
      <c r="B172" s="2903" t="s">
        <v>649</v>
      </c>
      <c r="C172" s="2903"/>
      <c r="D172" s="2903"/>
      <c r="E172" s="2903"/>
      <c r="F172" s="6"/>
      <c r="G172" s="65"/>
      <c r="H172" s="797"/>
      <c r="I172" s="710"/>
      <c r="J172" s="711"/>
      <c r="K172" s="562">
        <v>6</v>
      </c>
      <c r="L172" s="710"/>
      <c r="M172" s="711"/>
      <c r="N172" s="562">
        <v>24</v>
      </c>
      <c r="O172" s="710"/>
      <c r="P172" s="712"/>
      <c r="Q172" s="562"/>
      <c r="R172" s="762"/>
      <c r="S172" s="762"/>
      <c r="T172" s="562"/>
      <c r="U172" s="762"/>
      <c r="V172" s="762"/>
      <c r="W172" s="562"/>
      <c r="X172" s="2893"/>
      <c r="Y172" s="2893"/>
      <c r="Z172" s="2893"/>
      <c r="AA172" s="2893"/>
      <c r="AB172" s="2893"/>
      <c r="AC172" s="2893"/>
      <c r="AD172" s="2893"/>
      <c r="AE172" s="2893"/>
      <c r="AF172" s="2893"/>
      <c r="AG172" s="2893"/>
    </row>
    <row r="173" spans="1:34" ht="15.75" customHeight="1">
      <c r="A173" s="237"/>
      <c r="B173" s="2903" t="s">
        <v>415</v>
      </c>
      <c r="C173" s="2903"/>
      <c r="D173" s="2903"/>
      <c r="E173" s="2903"/>
      <c r="F173" s="6"/>
      <c r="G173" s="65"/>
      <c r="H173" s="798"/>
      <c r="I173" s="710"/>
      <c r="J173" s="711"/>
      <c r="K173" s="586" t="s">
        <v>5</v>
      </c>
      <c r="L173" s="710"/>
      <c r="M173" s="711"/>
      <c r="N173" s="586" t="s">
        <v>5</v>
      </c>
      <c r="O173" s="710"/>
      <c r="P173" s="712"/>
      <c r="Q173" s="586"/>
      <c r="R173" s="762"/>
      <c r="S173" s="762"/>
      <c r="T173" s="586"/>
      <c r="U173" s="762"/>
      <c r="V173" s="762"/>
      <c r="W173" s="586"/>
      <c r="X173" s="2893"/>
      <c r="Y173" s="2893"/>
      <c r="Z173" s="2893"/>
      <c r="AA173" s="2893"/>
      <c r="AB173" s="2893"/>
      <c r="AC173" s="2893"/>
      <c r="AD173" s="2893"/>
      <c r="AE173" s="2893"/>
      <c r="AF173" s="2893"/>
      <c r="AG173" s="2893"/>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903" t="s">
        <v>631</v>
      </c>
      <c r="C175" s="2903"/>
      <c r="D175" s="2903"/>
      <c r="E175" s="2903"/>
      <c r="F175" s="6"/>
      <c r="G175" s="65"/>
      <c r="H175" s="799"/>
      <c r="I175" s="710"/>
      <c r="J175" s="711"/>
      <c r="K175" s="628"/>
      <c r="L175" s="710"/>
      <c r="M175" s="711"/>
      <c r="N175" s="628">
        <v>0.33</v>
      </c>
      <c r="O175" s="710"/>
      <c r="P175" s="712"/>
      <c r="Q175" s="628"/>
      <c r="R175" s="762"/>
      <c r="S175" s="762"/>
      <c r="T175" s="628"/>
      <c r="U175" s="762"/>
      <c r="V175" s="762"/>
      <c r="W175" s="628"/>
      <c r="X175" s="2893"/>
      <c r="Y175" s="2893"/>
      <c r="Z175" s="2893"/>
      <c r="AA175" s="2893"/>
      <c r="AB175" s="2893"/>
      <c r="AC175" s="2893"/>
      <c r="AD175" s="2893"/>
      <c r="AE175" s="2893"/>
      <c r="AF175" s="2893"/>
      <c r="AG175" s="2893"/>
      <c r="AH175" s="9" t="s">
        <v>719</v>
      </c>
    </row>
    <row r="176" spans="1:34" ht="15.75" customHeight="1">
      <c r="A176" s="252"/>
      <c r="B176" s="2903" t="s">
        <v>633</v>
      </c>
      <c r="C176" s="2903"/>
      <c r="D176" s="2903"/>
      <c r="E176" s="2903"/>
      <c r="F176" s="6"/>
      <c r="G176" s="65"/>
      <c r="H176" s="480"/>
      <c r="I176" s="710"/>
      <c r="J176" s="711" t="s">
        <v>37</v>
      </c>
      <c r="K176" s="526"/>
      <c r="L176" s="710"/>
      <c r="M176" s="711" t="s">
        <v>37</v>
      </c>
      <c r="N176" s="526" t="s">
        <v>136</v>
      </c>
      <c r="O176" s="710"/>
      <c r="P176" s="712"/>
      <c r="Q176" s="526"/>
      <c r="R176" s="762"/>
      <c r="S176" s="762"/>
      <c r="T176" s="526"/>
      <c r="U176" s="762"/>
      <c r="V176" s="762"/>
      <c r="W176" s="526"/>
      <c r="X176" s="2893"/>
      <c r="Y176" s="2893"/>
      <c r="Z176" s="2893"/>
      <c r="AA176" s="2893"/>
      <c r="AB176" s="2893"/>
      <c r="AC176" s="2893"/>
      <c r="AD176" s="2893"/>
      <c r="AE176" s="2893"/>
      <c r="AF176" s="2893"/>
      <c r="AG176" s="2893"/>
    </row>
    <row r="177" spans="1:33" ht="15.75" customHeight="1">
      <c r="A177" s="252"/>
      <c r="B177" s="2903" t="s">
        <v>627</v>
      </c>
      <c r="C177" s="2903"/>
      <c r="D177" s="2903"/>
      <c r="E177" s="2903"/>
      <c r="F177" s="6"/>
      <c r="G177" s="63"/>
      <c r="H177" s="794"/>
      <c r="I177" s="748"/>
      <c r="J177" s="711"/>
      <c r="K177" s="561"/>
      <c r="L177" s="748"/>
      <c r="M177" s="711"/>
      <c r="N177" s="561"/>
      <c r="O177" s="710"/>
      <c r="P177" s="582"/>
      <c r="Q177" s="561"/>
      <c r="R177" s="762"/>
      <c r="S177" s="762"/>
      <c r="T177" s="561"/>
      <c r="U177" s="762"/>
      <c r="V177" s="762"/>
      <c r="W177" s="561"/>
      <c r="X177" s="2893"/>
      <c r="Y177" s="2893"/>
      <c r="Z177" s="2893"/>
      <c r="AA177" s="2893"/>
      <c r="AB177" s="2893"/>
      <c r="AC177" s="2893"/>
      <c r="AD177" s="2893"/>
      <c r="AE177" s="2893"/>
      <c r="AF177" s="2893"/>
      <c r="AG177" s="2893"/>
    </row>
    <row r="178" spans="1:33" ht="15.75" customHeight="1">
      <c r="A178" s="252"/>
      <c r="B178" s="2904" t="s">
        <v>628</v>
      </c>
      <c r="C178" s="2904"/>
      <c r="D178" s="2904"/>
      <c r="E178" s="2904"/>
      <c r="F178" s="6"/>
      <c r="G178" s="63"/>
      <c r="H178" s="480"/>
      <c r="I178" s="748"/>
      <c r="J178" s="711"/>
      <c r="K178" s="526"/>
      <c r="L178" s="748"/>
      <c r="M178" s="711"/>
      <c r="N178" s="526"/>
      <c r="O178" s="710"/>
      <c r="P178" s="582"/>
      <c r="Q178" s="526"/>
      <c r="R178" s="762"/>
      <c r="S178" s="762"/>
      <c r="T178" s="526"/>
      <c r="U178" s="762"/>
      <c r="V178" s="762"/>
      <c r="W178" s="526"/>
      <c r="X178" s="2893"/>
      <c r="Y178" s="2893"/>
      <c r="Z178" s="2893"/>
      <c r="AA178" s="2893"/>
      <c r="AB178" s="2893"/>
      <c r="AC178" s="2893"/>
      <c r="AD178" s="2893"/>
      <c r="AE178" s="2893"/>
      <c r="AF178" s="2893"/>
      <c r="AG178" s="2893"/>
    </row>
    <row r="179" spans="1:33" ht="33" customHeight="1">
      <c r="A179" s="252"/>
      <c r="B179" s="2904" t="s">
        <v>629</v>
      </c>
      <c r="C179" s="2904"/>
      <c r="D179" s="2904"/>
      <c r="E179" s="2904"/>
      <c r="F179" s="6"/>
      <c r="G179" s="63"/>
      <c r="H179" s="795"/>
      <c r="I179" s="748"/>
      <c r="J179" s="711"/>
      <c r="K179" s="568"/>
      <c r="L179" s="748"/>
      <c r="M179" s="711"/>
      <c r="N179" s="568"/>
      <c r="O179" s="710"/>
      <c r="P179" s="582"/>
      <c r="Q179" s="568"/>
      <c r="R179" s="762"/>
      <c r="S179" s="762"/>
      <c r="T179" s="568"/>
      <c r="U179" s="762"/>
      <c r="V179" s="762"/>
      <c r="W179" s="568"/>
      <c r="X179" s="2893"/>
      <c r="Y179" s="2893"/>
      <c r="Z179" s="2893"/>
      <c r="AA179" s="2893"/>
      <c r="AB179" s="2893"/>
      <c r="AC179" s="2893"/>
      <c r="AD179" s="2893"/>
      <c r="AE179" s="2893"/>
      <c r="AF179" s="2893"/>
      <c r="AG179" s="2893"/>
    </row>
    <row r="180" spans="1:33" ht="15.75" customHeight="1">
      <c r="A180" s="252"/>
      <c r="B180" s="2903" t="s">
        <v>632</v>
      </c>
      <c r="C180" s="2903"/>
      <c r="D180" s="2903"/>
      <c r="E180" s="2903"/>
      <c r="F180" s="6"/>
      <c r="G180" s="65"/>
      <c r="H180" s="480"/>
      <c r="I180" s="710"/>
      <c r="J180" s="711">
        <v>4</v>
      </c>
      <c r="K180" s="526"/>
      <c r="L180" s="710"/>
      <c r="M180" s="711">
        <v>4</v>
      </c>
      <c r="N180" s="526"/>
      <c r="O180" s="710"/>
      <c r="P180" s="712"/>
      <c r="Q180" s="526"/>
      <c r="R180" s="762"/>
      <c r="S180" s="762"/>
      <c r="T180" s="526"/>
      <c r="U180" s="762"/>
      <c r="V180" s="762"/>
      <c r="W180" s="526"/>
      <c r="X180" s="2893"/>
      <c r="Y180" s="2893"/>
      <c r="Z180" s="2893"/>
      <c r="AA180" s="2893"/>
      <c r="AB180" s="2893"/>
      <c r="AC180" s="2893"/>
      <c r="AD180" s="2893"/>
      <c r="AE180" s="2893"/>
      <c r="AF180" s="2893"/>
      <c r="AG180" s="2893"/>
    </row>
    <row r="181" spans="1:33" ht="34.5" customHeight="1">
      <c r="A181" s="252"/>
      <c r="B181" s="2903" t="s">
        <v>1551</v>
      </c>
      <c r="C181" s="2903"/>
      <c r="D181" s="2903"/>
      <c r="E181" s="2903"/>
      <c r="F181" s="6"/>
      <c r="G181" s="65"/>
      <c r="H181" s="796"/>
      <c r="I181" s="710"/>
      <c r="J181" s="711"/>
      <c r="K181" s="619"/>
      <c r="L181" s="710"/>
      <c r="M181" s="711"/>
      <c r="N181" s="619">
        <v>0</v>
      </c>
      <c r="O181" s="710"/>
      <c r="P181" s="712"/>
      <c r="Q181" s="619"/>
      <c r="R181" s="762"/>
      <c r="S181" s="762"/>
      <c r="T181" s="619"/>
      <c r="U181" s="762"/>
      <c r="V181" s="762"/>
      <c r="W181" s="619"/>
      <c r="X181" s="2893"/>
      <c r="Y181" s="2893"/>
      <c r="Z181" s="2893"/>
      <c r="AA181" s="2893"/>
      <c r="AB181" s="2893"/>
      <c r="AC181" s="2893"/>
      <c r="AD181" s="2893"/>
      <c r="AE181" s="2893"/>
      <c r="AF181" s="2893"/>
      <c r="AG181" s="2893"/>
    </row>
    <row r="182" spans="1:33" ht="34.5" customHeight="1">
      <c r="A182" s="252"/>
      <c r="B182" s="2903" t="s">
        <v>1552</v>
      </c>
      <c r="C182" s="2903"/>
      <c r="D182" s="2903"/>
      <c r="E182" s="2903"/>
      <c r="F182" s="6"/>
      <c r="G182" s="65"/>
      <c r="H182" s="796"/>
      <c r="I182" s="710"/>
      <c r="J182" s="711"/>
      <c r="K182" s="619"/>
      <c r="L182" s="710"/>
      <c r="M182" s="711"/>
      <c r="N182" s="619">
        <v>0</v>
      </c>
      <c r="O182" s="710"/>
      <c r="P182" s="712"/>
      <c r="Q182" s="619"/>
      <c r="R182" s="762"/>
      <c r="S182" s="762"/>
      <c r="T182" s="619"/>
      <c r="U182" s="762"/>
      <c r="V182" s="762"/>
      <c r="W182" s="619"/>
      <c r="X182" s="2893"/>
      <c r="Y182" s="2893"/>
      <c r="Z182" s="2893"/>
      <c r="AA182" s="2893"/>
      <c r="AB182" s="2893"/>
      <c r="AC182" s="2893"/>
      <c r="AD182" s="2893"/>
      <c r="AE182" s="2893"/>
      <c r="AF182" s="2893"/>
      <c r="AG182" s="2893"/>
    </row>
    <row r="183" spans="1:33" ht="33" customHeight="1">
      <c r="A183" s="252"/>
      <c r="B183" s="2903" t="s">
        <v>331</v>
      </c>
      <c r="C183" s="2903"/>
      <c r="D183" s="2903"/>
      <c r="E183" s="2903"/>
      <c r="F183" s="6"/>
      <c r="G183" s="65"/>
      <c r="H183" s="480"/>
      <c r="I183" s="710"/>
      <c r="J183" s="711"/>
      <c r="K183" s="526"/>
      <c r="L183" s="710"/>
      <c r="M183" s="711"/>
      <c r="N183" s="526" t="s">
        <v>685</v>
      </c>
      <c r="O183" s="710"/>
      <c r="P183" s="712"/>
      <c r="Q183" s="526"/>
      <c r="R183" s="762"/>
      <c r="S183" s="762"/>
      <c r="T183" s="526"/>
      <c r="U183" s="762"/>
      <c r="V183" s="762"/>
      <c r="W183" s="526"/>
      <c r="X183" s="2893"/>
      <c r="Y183" s="2893"/>
      <c r="Z183" s="2893"/>
      <c r="AA183" s="2893"/>
      <c r="AB183" s="2893"/>
      <c r="AC183" s="2893"/>
      <c r="AD183" s="2893"/>
      <c r="AE183" s="2893"/>
      <c r="AF183" s="2893"/>
      <c r="AG183" s="2893"/>
    </row>
    <row r="184" spans="1:33" ht="15.75" customHeight="1">
      <c r="A184" s="252"/>
      <c r="B184" s="2904" t="s">
        <v>332</v>
      </c>
      <c r="C184" s="2904"/>
      <c r="D184" s="2904"/>
      <c r="E184" s="2904"/>
      <c r="F184" s="6"/>
      <c r="G184" s="65"/>
      <c r="H184" s="480"/>
      <c r="I184" s="748"/>
      <c r="J184" s="711">
        <v>2</v>
      </c>
      <c r="K184" s="526"/>
      <c r="L184" s="748"/>
      <c r="M184" s="711">
        <v>2</v>
      </c>
      <c r="N184" s="526"/>
      <c r="O184" s="710"/>
      <c r="P184" s="582"/>
      <c r="Q184" s="526"/>
      <c r="R184" s="762"/>
      <c r="S184" s="762"/>
      <c r="T184" s="526"/>
      <c r="U184" s="762"/>
      <c r="V184" s="762"/>
      <c r="W184" s="526"/>
      <c r="X184" s="2893"/>
      <c r="Y184" s="2893"/>
      <c r="Z184" s="2893"/>
      <c r="AA184" s="2893"/>
      <c r="AB184" s="2893"/>
      <c r="AC184" s="2893"/>
      <c r="AD184" s="2893"/>
      <c r="AE184" s="2893"/>
      <c r="AF184" s="2893"/>
      <c r="AG184" s="2893"/>
    </row>
    <row r="185" spans="1:33" ht="15.75" customHeight="1">
      <c r="A185" s="252"/>
      <c r="B185" s="2903" t="s">
        <v>333</v>
      </c>
      <c r="C185" s="2903"/>
      <c r="D185" s="2903"/>
      <c r="E185" s="2903"/>
      <c r="F185" s="6"/>
      <c r="G185" s="65"/>
      <c r="H185" s="480"/>
      <c r="I185" s="710"/>
      <c r="J185" s="711"/>
      <c r="K185" s="526"/>
      <c r="L185" s="710"/>
      <c r="M185" s="711"/>
      <c r="N185" s="526" t="s">
        <v>416</v>
      </c>
      <c r="O185" s="710"/>
      <c r="P185" s="712"/>
      <c r="Q185" s="526"/>
      <c r="R185" s="762"/>
      <c r="S185" s="762"/>
      <c r="T185" s="526"/>
      <c r="U185" s="762"/>
      <c r="V185" s="762"/>
      <c r="W185" s="526"/>
      <c r="X185" s="2893"/>
      <c r="Y185" s="2893"/>
      <c r="Z185" s="2893"/>
      <c r="AA185" s="2893"/>
      <c r="AB185" s="2893"/>
      <c r="AC185" s="2893"/>
      <c r="AD185" s="2893"/>
      <c r="AE185" s="2893"/>
      <c r="AF185" s="2893"/>
      <c r="AG185" s="2893"/>
    </row>
    <row r="186" spans="1:33" ht="15.75" customHeight="1">
      <c r="A186" s="252"/>
      <c r="B186" s="2903" t="s">
        <v>334</v>
      </c>
      <c r="C186" s="2903"/>
      <c r="D186" s="2903"/>
      <c r="E186" s="2903"/>
      <c r="F186" s="6"/>
      <c r="G186" s="65"/>
      <c r="H186" s="480"/>
      <c r="I186" s="710"/>
      <c r="J186" s="711"/>
      <c r="K186" s="526"/>
      <c r="L186" s="710"/>
      <c r="M186" s="711"/>
      <c r="N186" s="526">
        <v>0</v>
      </c>
      <c r="O186" s="710"/>
      <c r="P186" s="712"/>
      <c r="Q186" s="526"/>
      <c r="R186" s="762"/>
      <c r="S186" s="762"/>
      <c r="T186" s="526"/>
      <c r="U186" s="762"/>
      <c r="V186" s="762"/>
      <c r="W186" s="526"/>
      <c r="X186" s="2893"/>
      <c r="Y186" s="2893"/>
      <c r="Z186" s="2893"/>
      <c r="AA186" s="2893"/>
      <c r="AB186" s="2893"/>
      <c r="AC186" s="2893"/>
      <c r="AD186" s="2893"/>
      <c r="AE186" s="2893"/>
      <c r="AF186" s="2893"/>
      <c r="AG186" s="2893"/>
    </row>
    <row r="187" spans="1:33" ht="15.75" customHeight="1">
      <c r="A187" s="252"/>
      <c r="B187" s="2904" t="s">
        <v>335</v>
      </c>
      <c r="C187" s="2904"/>
      <c r="D187" s="2904"/>
      <c r="E187" s="2904"/>
      <c r="F187" s="6"/>
      <c r="G187" s="65"/>
      <c r="H187" s="480"/>
      <c r="I187" s="710"/>
      <c r="J187" s="711"/>
      <c r="K187" s="526"/>
      <c r="L187" s="710"/>
      <c r="M187" s="711"/>
      <c r="N187" s="526"/>
      <c r="O187" s="710"/>
      <c r="P187" s="712"/>
      <c r="Q187" s="526"/>
      <c r="R187" s="762"/>
      <c r="S187" s="762"/>
      <c r="T187" s="526"/>
      <c r="U187" s="762"/>
      <c r="V187" s="762"/>
      <c r="W187" s="526"/>
      <c r="X187" s="2893"/>
      <c r="Y187" s="2893"/>
      <c r="Z187" s="2893"/>
      <c r="AA187" s="2893"/>
      <c r="AB187" s="2893"/>
      <c r="AC187" s="2893"/>
      <c r="AD187" s="2893"/>
      <c r="AE187" s="2893"/>
      <c r="AF187" s="2893"/>
      <c r="AG187" s="2893"/>
    </row>
    <row r="188" spans="1:33" ht="15.75" customHeight="1">
      <c r="A188" s="252"/>
      <c r="B188" s="2903" t="s">
        <v>336</v>
      </c>
      <c r="C188" s="2903"/>
      <c r="D188" s="2903"/>
      <c r="E188" s="2903"/>
      <c r="F188" s="6"/>
      <c r="G188" s="65"/>
      <c r="H188" s="480"/>
      <c r="I188" s="710"/>
      <c r="J188" s="711"/>
      <c r="K188" s="526"/>
      <c r="L188" s="710"/>
      <c r="M188" s="711"/>
      <c r="N188" s="526">
        <v>240</v>
      </c>
      <c r="O188" s="710"/>
      <c r="P188" s="712"/>
      <c r="Q188" s="526"/>
      <c r="R188" s="762"/>
      <c r="S188" s="762"/>
      <c r="T188" s="526"/>
      <c r="U188" s="762"/>
      <c r="V188" s="762"/>
      <c r="W188" s="526"/>
      <c r="X188" s="2893"/>
      <c r="Y188" s="2893"/>
      <c r="Z188" s="2893"/>
      <c r="AA188" s="2893"/>
      <c r="AB188" s="2893"/>
      <c r="AC188" s="2893"/>
      <c r="AD188" s="2893"/>
      <c r="AE188" s="2893"/>
      <c r="AF188" s="2893"/>
      <c r="AG188" s="2893"/>
    </row>
    <row r="189" spans="1:33" ht="33" customHeight="1">
      <c r="A189" s="252"/>
      <c r="B189" s="2903" t="s">
        <v>337</v>
      </c>
      <c r="C189" s="2903"/>
      <c r="D189" s="2903"/>
      <c r="E189" s="2903"/>
      <c r="F189" s="6"/>
      <c r="G189" s="65"/>
      <c r="H189" s="480"/>
      <c r="I189" s="710"/>
      <c r="J189" s="711"/>
      <c r="K189" s="526"/>
      <c r="L189" s="710"/>
      <c r="M189" s="711"/>
      <c r="N189" s="526">
        <v>0</v>
      </c>
      <c r="O189" s="710"/>
      <c r="P189" s="712"/>
      <c r="Q189" s="526"/>
      <c r="R189" s="762"/>
      <c r="S189" s="762"/>
      <c r="T189" s="526"/>
      <c r="U189" s="762"/>
      <c r="V189" s="762"/>
      <c r="W189" s="526"/>
      <c r="X189" s="2893"/>
      <c r="Y189" s="2893"/>
      <c r="Z189" s="2893"/>
      <c r="AA189" s="2893"/>
      <c r="AB189" s="2893"/>
      <c r="AC189" s="2893"/>
      <c r="AD189" s="2893"/>
      <c r="AE189" s="2893"/>
      <c r="AF189" s="2893"/>
      <c r="AG189" s="2893"/>
    </row>
    <row r="190" spans="1:33" ht="33" customHeight="1">
      <c r="A190" s="252"/>
      <c r="B190" s="2903" t="s">
        <v>338</v>
      </c>
      <c r="C190" s="2903"/>
      <c r="D190" s="2903"/>
      <c r="E190" s="2903"/>
      <c r="F190" s="6"/>
      <c r="G190" s="65"/>
      <c r="H190" s="480"/>
      <c r="I190" s="710"/>
      <c r="J190" s="711"/>
      <c r="K190" s="526"/>
      <c r="L190" s="710"/>
      <c r="M190" s="711"/>
      <c r="N190" s="526">
        <v>0</v>
      </c>
      <c r="O190" s="710"/>
      <c r="P190" s="712"/>
      <c r="Q190" s="526"/>
      <c r="R190" s="762"/>
      <c r="S190" s="762"/>
      <c r="T190" s="526"/>
      <c r="U190" s="762"/>
      <c r="V190" s="762"/>
      <c r="W190" s="526"/>
      <c r="X190" s="2893"/>
      <c r="Y190" s="2893"/>
      <c r="Z190" s="2893"/>
      <c r="AA190" s="2893"/>
      <c r="AB190" s="2893"/>
      <c r="AC190" s="2893"/>
      <c r="AD190" s="2893"/>
      <c r="AE190" s="2893"/>
      <c r="AF190" s="2893"/>
      <c r="AG190" s="2893"/>
    </row>
    <row r="191" spans="1:33" ht="15.75" customHeight="1">
      <c r="A191" s="252"/>
      <c r="B191" s="2903" t="s">
        <v>648</v>
      </c>
      <c r="C191" s="2903"/>
      <c r="D191" s="2903"/>
      <c r="E191" s="2903"/>
      <c r="F191" s="6"/>
      <c r="G191" s="65"/>
      <c r="H191" s="480"/>
      <c r="I191" s="710"/>
      <c r="J191" s="711"/>
      <c r="K191" s="526"/>
      <c r="L191" s="710"/>
      <c r="M191" s="711"/>
      <c r="N191" s="526">
        <v>6.5</v>
      </c>
      <c r="O191" s="710"/>
      <c r="P191" s="712"/>
      <c r="Q191" s="526"/>
      <c r="R191" s="762"/>
      <c r="S191" s="762"/>
      <c r="T191" s="526"/>
      <c r="U191" s="762"/>
      <c r="V191" s="762"/>
      <c r="W191" s="526"/>
      <c r="X191" s="2893"/>
      <c r="Y191" s="2893"/>
      <c r="Z191" s="2893"/>
      <c r="AA191" s="2893"/>
      <c r="AB191" s="2893"/>
      <c r="AC191" s="2893"/>
      <c r="AD191" s="2893"/>
      <c r="AE191" s="2893"/>
      <c r="AF191" s="2893"/>
      <c r="AG191" s="2893"/>
    </row>
    <row r="192" spans="1:33" ht="15.75" customHeight="1">
      <c r="A192" s="252"/>
      <c r="B192" s="2903" t="s">
        <v>649</v>
      </c>
      <c r="C192" s="2903"/>
      <c r="D192" s="2903"/>
      <c r="E192" s="2903"/>
      <c r="F192" s="6"/>
      <c r="G192" s="65"/>
      <c r="H192" s="797"/>
      <c r="I192" s="710"/>
      <c r="J192" s="711"/>
      <c r="K192" s="562"/>
      <c r="L192" s="710"/>
      <c r="M192" s="711"/>
      <c r="N192" s="562">
        <v>6.75</v>
      </c>
      <c r="O192" s="710"/>
      <c r="P192" s="712"/>
      <c r="Q192" s="562"/>
      <c r="R192" s="762"/>
      <c r="S192" s="762"/>
      <c r="T192" s="562"/>
      <c r="U192" s="762"/>
      <c r="V192" s="762"/>
      <c r="W192" s="562"/>
      <c r="X192" s="2893"/>
      <c r="Y192" s="2893"/>
      <c r="Z192" s="2893"/>
      <c r="AA192" s="2893"/>
      <c r="AB192" s="2893"/>
      <c r="AC192" s="2893"/>
      <c r="AD192" s="2893"/>
      <c r="AE192" s="2893"/>
      <c r="AF192" s="2893"/>
      <c r="AG192" s="2893"/>
    </row>
    <row r="193" spans="1:33" ht="15.75" customHeight="1">
      <c r="A193" s="237"/>
      <c r="B193" s="2903" t="s">
        <v>415</v>
      </c>
      <c r="C193" s="2903"/>
      <c r="D193" s="2903"/>
      <c r="E193" s="2903"/>
      <c r="F193" s="6"/>
      <c r="G193" s="65"/>
      <c r="H193" s="800"/>
      <c r="I193" s="741"/>
      <c r="J193" s="742"/>
      <c r="K193" s="766"/>
      <c r="L193" s="741"/>
      <c r="M193" s="742"/>
      <c r="N193" s="766" t="s">
        <v>5</v>
      </c>
      <c r="O193" s="741"/>
      <c r="P193" s="767"/>
      <c r="Q193" s="766"/>
      <c r="R193" s="768"/>
      <c r="S193" s="768"/>
      <c r="T193" s="766"/>
      <c r="U193" s="768"/>
      <c r="V193" s="768"/>
      <c r="W193" s="766"/>
      <c r="X193" s="2893"/>
      <c r="Y193" s="2893"/>
      <c r="Z193" s="2893"/>
      <c r="AA193" s="2893"/>
      <c r="AB193" s="2893"/>
      <c r="AC193" s="2893"/>
      <c r="AD193" s="2893"/>
      <c r="AE193" s="2893"/>
      <c r="AF193" s="2893"/>
      <c r="AG193" s="2893"/>
    </row>
    <row r="194" spans="1:33"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906"/>
      <c r="Y194" s="2906"/>
      <c r="Z194" s="2906"/>
      <c r="AA194" s="2906"/>
      <c r="AB194" s="2906"/>
      <c r="AC194" s="2906"/>
      <c r="AD194" s="2906"/>
      <c r="AE194" s="2906"/>
      <c r="AF194" s="2906"/>
      <c r="AG194" s="2906"/>
    </row>
    <row r="195" spans="1:33" ht="22.5" customHeight="1">
      <c r="A195" s="2907" t="s">
        <v>636</v>
      </c>
      <c r="B195" s="2907"/>
      <c r="C195" s="2907"/>
      <c r="D195" s="2907"/>
      <c r="E195" s="2907"/>
      <c r="F195" s="2907"/>
      <c r="G195" s="2907"/>
      <c r="H195" s="693"/>
      <c r="I195" s="597"/>
      <c r="J195" s="594"/>
      <c r="K195" s="693"/>
      <c r="L195" s="2908"/>
      <c r="M195" s="2908"/>
      <c r="N195" s="669"/>
      <c r="O195" s="594"/>
      <c r="P195" s="670"/>
      <c r="Q195" s="671"/>
      <c r="R195" s="682"/>
      <c r="S195" s="682"/>
      <c r="T195" s="682"/>
      <c r="U195" s="682"/>
      <c r="V195" s="682"/>
      <c r="W195" s="682"/>
      <c r="X195" s="2909"/>
      <c r="Y195" s="2909"/>
      <c r="Z195" s="2909"/>
      <c r="AA195" s="2909"/>
      <c r="AB195" s="2909"/>
      <c r="AC195" s="2909"/>
      <c r="AD195" s="2909"/>
      <c r="AE195" s="2909"/>
      <c r="AF195" s="2909"/>
      <c r="AG195" s="2909"/>
    </row>
    <row r="196" spans="1:33"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910"/>
      <c r="Y196" s="2910"/>
      <c r="Z196" s="2910"/>
      <c r="AA196" s="2910"/>
      <c r="AB196" s="2910"/>
      <c r="AC196" s="2910"/>
      <c r="AD196" s="2910"/>
      <c r="AE196" s="2910"/>
      <c r="AF196" s="2910"/>
      <c r="AG196" s="2910"/>
    </row>
    <row r="197" spans="1:33" ht="14.9" customHeight="1">
      <c r="A197" s="252"/>
      <c r="B197" s="2903" t="s">
        <v>242</v>
      </c>
      <c r="C197" s="2903"/>
      <c r="D197" s="2903"/>
      <c r="E197" s="2903"/>
      <c r="F197" s="6"/>
      <c r="G197" s="65"/>
      <c r="H197" s="801"/>
      <c r="I197" s="710"/>
      <c r="J197" s="711"/>
      <c r="K197" s="588"/>
      <c r="L197" s="710"/>
      <c r="M197" s="711"/>
      <c r="N197" s="588"/>
      <c r="O197" s="710"/>
      <c r="P197" s="712"/>
      <c r="Q197" s="588"/>
      <c r="R197" s="762"/>
      <c r="S197" s="762"/>
      <c r="T197" s="588"/>
      <c r="U197" s="762"/>
      <c r="V197" s="762"/>
      <c r="W197" s="588"/>
      <c r="X197" s="2893"/>
      <c r="Y197" s="2893"/>
      <c r="Z197" s="2893"/>
      <c r="AA197" s="2893"/>
      <c r="AB197" s="2893"/>
      <c r="AC197" s="2893"/>
      <c r="AD197" s="2893"/>
      <c r="AE197" s="2893"/>
      <c r="AF197" s="2893"/>
      <c r="AG197" s="2893"/>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911"/>
      <c r="Y198" s="2911"/>
      <c r="Z198" s="2911"/>
      <c r="AA198" s="2911"/>
      <c r="AB198" s="2911"/>
      <c r="AC198" s="2911"/>
      <c r="AD198" s="2911"/>
      <c r="AE198" s="2911"/>
      <c r="AF198" s="2911"/>
      <c r="AG198" s="2911"/>
    </row>
    <row r="199" spans="1:33" ht="18.649999999999999" customHeight="1">
      <c r="A199" s="252"/>
      <c r="B199" s="2903" t="s">
        <v>625</v>
      </c>
      <c r="C199" s="2903"/>
      <c r="D199" s="2903"/>
      <c r="E199" s="2903"/>
      <c r="F199" s="6"/>
      <c r="G199" s="65"/>
      <c r="H199" s="799"/>
      <c r="I199" s="710"/>
      <c r="J199" s="711"/>
      <c r="K199" s="628"/>
      <c r="L199" s="710"/>
      <c r="M199" s="711"/>
      <c r="N199" s="628"/>
      <c r="O199" s="710"/>
      <c r="P199" s="712"/>
      <c r="Q199" s="628"/>
      <c r="R199" s="762"/>
      <c r="S199" s="762"/>
      <c r="T199" s="628"/>
      <c r="U199" s="762"/>
      <c r="V199" s="762"/>
      <c r="W199" s="628"/>
      <c r="X199" s="2893"/>
      <c r="Y199" s="2893"/>
      <c r="Z199" s="2893"/>
      <c r="AA199" s="2893"/>
      <c r="AB199" s="2893"/>
      <c r="AC199" s="2893"/>
      <c r="AD199" s="2893"/>
      <c r="AE199" s="2893"/>
      <c r="AF199" s="2893"/>
      <c r="AG199" s="2893"/>
    </row>
    <row r="200" spans="1:33" ht="18.649999999999999" customHeight="1">
      <c r="A200" s="252"/>
      <c r="B200" s="2903" t="s">
        <v>626</v>
      </c>
      <c r="C200" s="2903"/>
      <c r="D200" s="2903"/>
      <c r="E200" s="2903"/>
      <c r="F200" s="6"/>
      <c r="G200" s="65"/>
      <c r="H200" s="480"/>
      <c r="I200" s="710"/>
      <c r="J200" s="711"/>
      <c r="K200" s="526"/>
      <c r="L200" s="710"/>
      <c r="M200" s="711"/>
      <c r="N200" s="526"/>
      <c r="O200" s="710"/>
      <c r="P200" s="712"/>
      <c r="Q200" s="526"/>
      <c r="R200" s="762"/>
      <c r="S200" s="762"/>
      <c r="T200" s="526"/>
      <c r="U200" s="762"/>
      <c r="V200" s="762"/>
      <c r="W200" s="526"/>
      <c r="X200" s="2893"/>
      <c r="Y200" s="2893"/>
      <c r="Z200" s="2893"/>
      <c r="AA200" s="2893"/>
      <c r="AB200" s="2893"/>
      <c r="AC200" s="2893"/>
      <c r="AD200" s="2893"/>
      <c r="AE200" s="2893"/>
      <c r="AF200" s="2893"/>
      <c r="AG200" s="2893"/>
    </row>
    <row r="201" spans="1:33" ht="28.5" customHeight="1">
      <c r="A201" s="252"/>
      <c r="B201" s="2903" t="s">
        <v>627</v>
      </c>
      <c r="C201" s="2903"/>
      <c r="D201" s="2903"/>
      <c r="E201" s="2903"/>
      <c r="F201" s="6"/>
      <c r="G201" s="65"/>
      <c r="H201" s="794"/>
      <c r="I201" s="710"/>
      <c r="J201" s="711"/>
      <c r="K201" s="561"/>
      <c r="L201" s="710"/>
      <c r="M201" s="711"/>
      <c r="N201" s="561"/>
      <c r="O201" s="710"/>
      <c r="P201" s="712"/>
      <c r="Q201" s="561"/>
      <c r="R201" s="762"/>
      <c r="S201" s="762"/>
      <c r="T201" s="561"/>
      <c r="U201" s="762"/>
      <c r="V201" s="762"/>
      <c r="W201" s="561"/>
      <c r="X201" s="2893"/>
      <c r="Y201" s="2893"/>
      <c r="Z201" s="2893"/>
      <c r="AA201" s="2893"/>
      <c r="AB201" s="2893"/>
      <c r="AC201" s="2893"/>
      <c r="AD201" s="2893"/>
      <c r="AE201" s="2893"/>
      <c r="AF201" s="2893"/>
      <c r="AG201" s="2893"/>
    </row>
    <row r="202" spans="1:33" ht="28.5" customHeight="1">
      <c r="A202" s="252"/>
      <c r="B202" s="2904" t="s">
        <v>628</v>
      </c>
      <c r="C202" s="2904"/>
      <c r="D202" s="2904"/>
      <c r="E202" s="2904"/>
      <c r="F202" s="6"/>
      <c r="G202" s="65"/>
      <c r="H202" s="480"/>
      <c r="I202" s="710"/>
      <c r="J202" s="711"/>
      <c r="K202" s="526"/>
      <c r="L202" s="710"/>
      <c r="M202" s="711"/>
      <c r="N202" s="526"/>
      <c r="O202" s="710"/>
      <c r="P202" s="712"/>
      <c r="Q202" s="526"/>
      <c r="R202" s="762"/>
      <c r="S202" s="762"/>
      <c r="T202" s="526"/>
      <c r="U202" s="762"/>
      <c r="V202" s="762"/>
      <c r="W202" s="526"/>
      <c r="X202" s="2893"/>
      <c r="Y202" s="2893"/>
      <c r="Z202" s="2893"/>
      <c r="AA202" s="2893"/>
      <c r="AB202" s="2893"/>
      <c r="AC202" s="2893"/>
      <c r="AD202" s="2893"/>
      <c r="AE202" s="2893"/>
      <c r="AF202" s="2893"/>
      <c r="AG202" s="2893"/>
    </row>
    <row r="203" spans="1:33" ht="32.9" customHeight="1">
      <c r="A203" s="252"/>
      <c r="B203" s="2904" t="s">
        <v>629</v>
      </c>
      <c r="C203" s="2904"/>
      <c r="D203" s="2904"/>
      <c r="E203" s="2904"/>
      <c r="F203" s="6"/>
      <c r="G203" s="65"/>
      <c r="H203" s="795"/>
      <c r="I203" s="710"/>
      <c r="J203" s="711"/>
      <c r="K203" s="568"/>
      <c r="L203" s="710"/>
      <c r="M203" s="711"/>
      <c r="N203" s="568"/>
      <c r="O203" s="710"/>
      <c r="P203" s="712"/>
      <c r="Q203" s="568"/>
      <c r="R203" s="762"/>
      <c r="S203" s="762"/>
      <c r="T203" s="568"/>
      <c r="U203" s="762"/>
      <c r="V203" s="762"/>
      <c r="W203" s="568"/>
      <c r="X203" s="2893"/>
      <c r="Y203" s="2893"/>
      <c r="Z203" s="2893"/>
      <c r="AA203" s="2893"/>
      <c r="AB203" s="2893"/>
      <c r="AC203" s="2893"/>
      <c r="AD203" s="2893"/>
      <c r="AE203" s="2893"/>
      <c r="AF203" s="2893"/>
      <c r="AG203" s="2893"/>
    </row>
    <row r="204" spans="1:33" ht="18.649999999999999" customHeight="1">
      <c r="A204" s="252"/>
      <c r="B204" s="2903" t="s">
        <v>630</v>
      </c>
      <c r="C204" s="2903"/>
      <c r="D204" s="2903"/>
      <c r="E204" s="2903"/>
      <c r="F204" s="6"/>
      <c r="G204" s="65"/>
      <c r="H204" s="480"/>
      <c r="I204" s="710"/>
      <c r="J204" s="711"/>
      <c r="K204" s="526"/>
      <c r="L204" s="710"/>
      <c r="M204" s="711"/>
      <c r="N204" s="526"/>
      <c r="O204" s="710"/>
      <c r="P204" s="712"/>
      <c r="Q204" s="526"/>
      <c r="R204" s="762"/>
      <c r="S204" s="762"/>
      <c r="T204" s="526"/>
      <c r="U204" s="762"/>
      <c r="V204" s="762"/>
      <c r="W204" s="526"/>
      <c r="X204" s="2893"/>
      <c r="Y204" s="2893"/>
      <c r="Z204" s="2893"/>
      <c r="AA204" s="2893"/>
      <c r="AB204" s="2893"/>
      <c r="AC204" s="2893"/>
      <c r="AD204" s="2893"/>
      <c r="AE204" s="2893"/>
      <c r="AF204" s="2893"/>
      <c r="AG204" s="2893"/>
    </row>
    <row r="205" spans="1:33" ht="18.649999999999999" customHeight="1">
      <c r="A205" s="252"/>
      <c r="B205" s="2904" t="s">
        <v>634</v>
      </c>
      <c r="C205" s="2904"/>
      <c r="D205" s="2904"/>
      <c r="E205" s="2904"/>
      <c r="F205" s="6"/>
      <c r="G205" s="65"/>
      <c r="H205" s="481"/>
      <c r="I205" s="710"/>
      <c r="J205" s="711"/>
      <c r="K205" s="553"/>
      <c r="L205" s="710"/>
      <c r="M205" s="711"/>
      <c r="N205" s="553"/>
      <c r="O205" s="710"/>
      <c r="P205" s="712"/>
      <c r="Q205" s="553"/>
      <c r="R205" s="762"/>
      <c r="S205" s="762"/>
      <c r="T205" s="553"/>
      <c r="U205" s="762"/>
      <c r="V205" s="762"/>
      <c r="W205" s="553"/>
      <c r="X205" s="2893"/>
      <c r="Y205" s="2893"/>
      <c r="Z205" s="2893"/>
      <c r="AA205" s="2893"/>
      <c r="AB205" s="2893"/>
      <c r="AC205" s="2893"/>
      <c r="AD205" s="2893"/>
      <c r="AE205" s="2893"/>
      <c r="AF205" s="2893"/>
      <c r="AG205" s="2893"/>
    </row>
    <row r="206" spans="1:33" ht="36.75" customHeight="1">
      <c r="A206" s="252"/>
      <c r="B206" s="2903" t="s">
        <v>1551</v>
      </c>
      <c r="C206" s="2903"/>
      <c r="D206" s="2903"/>
      <c r="E206" s="2903"/>
      <c r="F206" s="6"/>
      <c r="G206" s="65"/>
      <c r="H206" s="796"/>
      <c r="I206" s="710"/>
      <c r="J206" s="711"/>
      <c r="K206" s="619"/>
      <c r="L206" s="710"/>
      <c r="M206" s="711"/>
      <c r="N206" s="619"/>
      <c r="O206" s="710"/>
      <c r="P206" s="712"/>
      <c r="Q206" s="619"/>
      <c r="R206" s="762"/>
      <c r="S206" s="762"/>
      <c r="T206" s="619"/>
      <c r="U206" s="762"/>
      <c r="V206" s="762"/>
      <c r="W206" s="619"/>
      <c r="X206" s="2893"/>
      <c r="Y206" s="2893"/>
      <c r="Z206" s="2893"/>
      <c r="AA206" s="2893"/>
      <c r="AB206" s="2893"/>
      <c r="AC206" s="2893"/>
      <c r="AD206" s="2893"/>
      <c r="AE206" s="2893"/>
      <c r="AF206" s="2893"/>
      <c r="AG206" s="2893"/>
    </row>
    <row r="207" spans="1:33" ht="36.75" customHeight="1">
      <c r="A207" s="252"/>
      <c r="B207" s="2903" t="s">
        <v>1552</v>
      </c>
      <c r="C207" s="2903"/>
      <c r="D207" s="2903"/>
      <c r="E207" s="2903"/>
      <c r="F207" s="6"/>
      <c r="G207" s="65"/>
      <c r="H207" s="796"/>
      <c r="I207" s="710"/>
      <c r="J207" s="711"/>
      <c r="K207" s="619"/>
      <c r="L207" s="710"/>
      <c r="M207" s="711"/>
      <c r="N207" s="619"/>
      <c r="O207" s="710"/>
      <c r="P207" s="712"/>
      <c r="Q207" s="619"/>
      <c r="R207" s="762"/>
      <c r="S207" s="762"/>
      <c r="T207" s="619"/>
      <c r="U207" s="762"/>
      <c r="V207" s="762"/>
      <c r="W207" s="619"/>
      <c r="X207" s="2893"/>
      <c r="Y207" s="2893"/>
      <c r="Z207" s="2893"/>
      <c r="AA207" s="2893"/>
      <c r="AB207" s="2893"/>
      <c r="AC207" s="2893"/>
      <c r="AD207" s="2893"/>
      <c r="AE207" s="2893"/>
      <c r="AF207" s="2893"/>
      <c r="AG207" s="2893"/>
    </row>
    <row r="208" spans="1:33" ht="32.9" customHeight="1">
      <c r="A208" s="252"/>
      <c r="B208" s="2903" t="s">
        <v>331</v>
      </c>
      <c r="C208" s="2903"/>
      <c r="D208" s="2903"/>
      <c r="E208" s="2903"/>
      <c r="F208" s="6"/>
      <c r="G208" s="65"/>
      <c r="H208" s="480"/>
      <c r="I208" s="710"/>
      <c r="J208" s="711"/>
      <c r="K208" s="526"/>
      <c r="L208" s="710"/>
      <c r="M208" s="711"/>
      <c r="N208" s="526"/>
      <c r="O208" s="710"/>
      <c r="P208" s="712"/>
      <c r="Q208" s="526"/>
      <c r="R208" s="762"/>
      <c r="S208" s="762"/>
      <c r="T208" s="526"/>
      <c r="U208" s="762"/>
      <c r="V208" s="762"/>
      <c r="W208" s="526"/>
      <c r="X208" s="2893"/>
      <c r="Y208" s="2893"/>
      <c r="Z208" s="2893"/>
      <c r="AA208" s="2893"/>
      <c r="AB208" s="2893"/>
      <c r="AC208" s="2893"/>
      <c r="AD208" s="2893"/>
      <c r="AE208" s="2893"/>
      <c r="AF208" s="2893"/>
      <c r="AG208" s="2893"/>
    </row>
    <row r="209" spans="1:33" ht="14.9" customHeight="1">
      <c r="A209" s="252"/>
      <c r="B209" s="2904" t="s">
        <v>332</v>
      </c>
      <c r="C209" s="2904"/>
      <c r="D209" s="2904"/>
      <c r="E209" s="2904"/>
      <c r="F209" s="6"/>
      <c r="G209" s="63"/>
      <c r="H209" s="480"/>
      <c r="I209" s="710"/>
      <c r="J209" s="582"/>
      <c r="K209" s="526"/>
      <c r="L209" s="710"/>
      <c r="M209" s="582"/>
      <c r="N209" s="526"/>
      <c r="O209" s="710"/>
      <c r="P209" s="582"/>
      <c r="Q209" s="526"/>
      <c r="R209" s="762"/>
      <c r="S209" s="762"/>
      <c r="T209" s="526"/>
      <c r="U209" s="762"/>
      <c r="V209" s="762"/>
      <c r="W209" s="526"/>
      <c r="X209" s="2893"/>
      <c r="Y209" s="2893"/>
      <c r="Z209" s="2893"/>
      <c r="AA209" s="2893"/>
      <c r="AB209" s="2893"/>
      <c r="AC209" s="2893"/>
      <c r="AD209" s="2893"/>
      <c r="AE209" s="2893"/>
      <c r="AF209" s="2893"/>
      <c r="AG209" s="2893"/>
    </row>
    <row r="210" spans="1:33" ht="18.649999999999999" customHeight="1">
      <c r="A210" s="252"/>
      <c r="B210" s="2903" t="s">
        <v>333</v>
      </c>
      <c r="C210" s="2903"/>
      <c r="D210" s="2903"/>
      <c r="E210" s="2903"/>
      <c r="F210" s="6"/>
      <c r="G210" s="65"/>
      <c r="H210" s="480"/>
      <c r="I210" s="710"/>
      <c r="J210" s="711"/>
      <c r="K210" s="526"/>
      <c r="L210" s="710"/>
      <c r="M210" s="711"/>
      <c r="N210" s="526"/>
      <c r="O210" s="710"/>
      <c r="P210" s="712"/>
      <c r="Q210" s="526"/>
      <c r="R210" s="762"/>
      <c r="S210" s="762"/>
      <c r="T210" s="526"/>
      <c r="U210" s="762"/>
      <c r="V210" s="762"/>
      <c r="W210" s="526"/>
      <c r="X210" s="2893"/>
      <c r="Y210" s="2893"/>
      <c r="Z210" s="2893"/>
      <c r="AA210" s="2893"/>
      <c r="AB210" s="2893"/>
      <c r="AC210" s="2893"/>
      <c r="AD210" s="2893"/>
      <c r="AE210" s="2893"/>
      <c r="AF210" s="2893"/>
      <c r="AG210" s="2893"/>
    </row>
    <row r="211" spans="1:33" ht="14.9" customHeight="1">
      <c r="A211" s="252"/>
      <c r="B211" s="2903" t="s">
        <v>334</v>
      </c>
      <c r="C211" s="2903"/>
      <c r="D211" s="2903"/>
      <c r="E211" s="2903"/>
      <c r="F211" s="6"/>
      <c r="G211" s="63"/>
      <c r="H211" s="480"/>
      <c r="I211" s="710"/>
      <c r="J211" s="582"/>
      <c r="K211" s="526"/>
      <c r="L211" s="710"/>
      <c r="M211" s="582"/>
      <c r="N211" s="526"/>
      <c r="O211" s="710"/>
      <c r="P211" s="582"/>
      <c r="Q211" s="526"/>
      <c r="R211" s="762"/>
      <c r="S211" s="762"/>
      <c r="T211" s="526"/>
      <c r="U211" s="762"/>
      <c r="V211" s="762"/>
      <c r="W211" s="526"/>
      <c r="X211" s="2893"/>
      <c r="Y211" s="2893"/>
      <c r="Z211" s="2893"/>
      <c r="AA211" s="2893"/>
      <c r="AB211" s="2893"/>
      <c r="AC211" s="2893"/>
      <c r="AD211" s="2893"/>
      <c r="AE211" s="2893"/>
      <c r="AF211" s="2893"/>
      <c r="AG211" s="2893"/>
    </row>
    <row r="212" spans="1:33" ht="14.9" customHeight="1">
      <c r="A212" s="252"/>
      <c r="B212" s="2904" t="s">
        <v>335</v>
      </c>
      <c r="C212" s="2904"/>
      <c r="D212" s="2904"/>
      <c r="E212" s="2904"/>
      <c r="H212" s="480"/>
      <c r="I212" s="713"/>
      <c r="J212" s="713"/>
      <c r="K212" s="526"/>
      <c r="L212" s="713"/>
      <c r="M212" s="713"/>
      <c r="N212" s="526"/>
      <c r="O212" s="713"/>
      <c r="P212" s="713"/>
      <c r="Q212" s="526"/>
      <c r="R212" s="762"/>
      <c r="S212" s="762"/>
      <c r="T212" s="526"/>
      <c r="U212" s="762"/>
      <c r="V212" s="762"/>
      <c r="W212" s="526"/>
      <c r="X212" s="2893"/>
      <c r="Y212" s="2893"/>
      <c r="Z212" s="2893"/>
      <c r="AA212" s="2893"/>
      <c r="AB212" s="2893"/>
      <c r="AC212" s="2893"/>
      <c r="AD212" s="2893"/>
      <c r="AE212" s="2893"/>
      <c r="AF212" s="2893"/>
      <c r="AG212" s="2893"/>
    </row>
    <row r="213" spans="1:33" ht="14.9" customHeight="1">
      <c r="A213" s="252"/>
      <c r="B213" s="2903" t="s">
        <v>336</v>
      </c>
      <c r="C213" s="2903"/>
      <c r="D213" s="2903"/>
      <c r="E213" s="2903"/>
      <c r="F213" s="6"/>
      <c r="G213" s="63"/>
      <c r="H213" s="480"/>
      <c r="I213" s="710"/>
      <c r="J213" s="582"/>
      <c r="K213" s="526"/>
      <c r="L213" s="710"/>
      <c r="M213" s="582"/>
      <c r="N213" s="526"/>
      <c r="O213" s="710"/>
      <c r="P213" s="582"/>
      <c r="Q213" s="526"/>
      <c r="R213" s="762"/>
      <c r="S213" s="762"/>
      <c r="T213" s="526"/>
      <c r="U213" s="762"/>
      <c r="V213" s="762"/>
      <c r="W213" s="526"/>
      <c r="X213" s="2893"/>
      <c r="Y213" s="2893"/>
      <c r="Z213" s="2893"/>
      <c r="AA213" s="2893"/>
      <c r="AB213" s="2893"/>
      <c r="AC213" s="2893"/>
      <c r="AD213" s="2893"/>
      <c r="AE213" s="2893"/>
      <c r="AF213" s="2893"/>
      <c r="AG213" s="2893"/>
    </row>
    <row r="214" spans="1:33" ht="32.9" customHeight="1">
      <c r="A214" s="252"/>
      <c r="B214" s="2903" t="s">
        <v>337</v>
      </c>
      <c r="C214" s="2903"/>
      <c r="D214" s="2903"/>
      <c r="E214" s="2903"/>
      <c r="F214" s="6"/>
      <c r="G214" s="63"/>
      <c r="H214" s="480"/>
      <c r="I214" s="710"/>
      <c r="J214" s="582"/>
      <c r="K214" s="526"/>
      <c r="L214" s="710"/>
      <c r="M214" s="582"/>
      <c r="N214" s="526"/>
      <c r="O214" s="710"/>
      <c r="P214" s="582"/>
      <c r="Q214" s="526"/>
      <c r="R214" s="762"/>
      <c r="S214" s="762"/>
      <c r="T214" s="526"/>
      <c r="U214" s="762"/>
      <c r="V214" s="762"/>
      <c r="W214" s="526"/>
      <c r="X214" s="2893"/>
      <c r="Y214" s="2893"/>
      <c r="Z214" s="2893"/>
      <c r="AA214" s="2893"/>
      <c r="AB214" s="2893"/>
      <c r="AC214" s="2893"/>
      <c r="AD214" s="2893"/>
      <c r="AE214" s="2893"/>
      <c r="AF214" s="2893"/>
      <c r="AG214" s="2893"/>
    </row>
    <row r="215" spans="1:33" ht="32.9" customHeight="1">
      <c r="A215" s="252"/>
      <c r="B215" s="2903" t="s">
        <v>338</v>
      </c>
      <c r="C215" s="2903"/>
      <c r="D215" s="2903"/>
      <c r="E215" s="2903"/>
      <c r="F215" s="6"/>
      <c r="G215" s="63"/>
      <c r="H215" s="480"/>
      <c r="I215" s="710"/>
      <c r="J215" s="582"/>
      <c r="K215" s="526"/>
      <c r="L215" s="710"/>
      <c r="M215" s="582"/>
      <c r="N215" s="526"/>
      <c r="O215" s="710"/>
      <c r="P215" s="582"/>
      <c r="Q215" s="526"/>
      <c r="R215" s="762"/>
      <c r="S215" s="762"/>
      <c r="T215" s="526"/>
      <c r="U215" s="762"/>
      <c r="V215" s="762"/>
      <c r="W215" s="526"/>
      <c r="X215" s="2893"/>
      <c r="Y215" s="2893"/>
      <c r="Z215" s="2893"/>
      <c r="AA215" s="2893"/>
      <c r="AB215" s="2893"/>
      <c r="AC215" s="2893"/>
      <c r="AD215" s="2893"/>
      <c r="AE215" s="2893"/>
      <c r="AF215" s="2893"/>
      <c r="AG215" s="2893"/>
    </row>
    <row r="216" spans="1:33" ht="14.9" customHeight="1">
      <c r="A216" s="252"/>
      <c r="B216" s="2903" t="s">
        <v>735</v>
      </c>
      <c r="C216" s="2903"/>
      <c r="D216" s="2903"/>
      <c r="E216" s="2903"/>
      <c r="F216" s="6"/>
      <c r="G216" s="63"/>
      <c r="H216" s="480"/>
      <c r="I216" s="710"/>
      <c r="J216" s="582"/>
      <c r="K216" s="526"/>
      <c r="L216" s="710"/>
      <c r="M216" s="582"/>
      <c r="N216" s="526"/>
      <c r="O216" s="710"/>
      <c r="P216" s="582"/>
      <c r="Q216" s="526"/>
      <c r="R216" s="762"/>
      <c r="S216" s="762"/>
      <c r="T216" s="526"/>
      <c r="U216" s="762"/>
      <c r="V216" s="762"/>
      <c r="W216" s="526"/>
      <c r="X216" s="2893"/>
      <c r="Y216" s="2893"/>
      <c r="Z216" s="2893"/>
      <c r="AA216" s="2893"/>
      <c r="AB216" s="2893"/>
      <c r="AC216" s="2893"/>
      <c r="AD216" s="2893"/>
      <c r="AE216" s="2893"/>
      <c r="AF216" s="2893"/>
      <c r="AG216" s="2893"/>
    </row>
    <row r="217" spans="1:33" ht="15" customHeight="1">
      <c r="A217" s="252"/>
      <c r="B217" s="2903" t="s">
        <v>734</v>
      </c>
      <c r="C217" s="2903"/>
      <c r="D217" s="2903"/>
      <c r="E217" s="2903"/>
      <c r="F217" s="6"/>
      <c r="G217" s="63"/>
      <c r="H217" s="797"/>
      <c r="I217" s="710"/>
      <c r="J217" s="582"/>
      <c r="K217" s="562"/>
      <c r="L217" s="710"/>
      <c r="M217" s="582"/>
      <c r="N217" s="562"/>
      <c r="O217" s="710"/>
      <c r="P217" s="582"/>
      <c r="Q217" s="562"/>
      <c r="R217" s="762"/>
      <c r="S217" s="762"/>
      <c r="T217" s="562"/>
      <c r="U217" s="762"/>
      <c r="V217" s="762"/>
      <c r="W217" s="562"/>
      <c r="X217" s="2893"/>
      <c r="Y217" s="2893"/>
      <c r="Z217" s="2893"/>
      <c r="AA217" s="2893"/>
      <c r="AB217" s="2893"/>
      <c r="AC217" s="2893"/>
      <c r="AD217" s="2893"/>
      <c r="AE217" s="2893"/>
      <c r="AF217" s="2893"/>
      <c r="AG217" s="2893"/>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911"/>
      <c r="Y218" s="2911"/>
      <c r="Z218" s="2911"/>
      <c r="AA218" s="2911"/>
      <c r="AB218" s="2911"/>
      <c r="AC218" s="2911"/>
      <c r="AD218" s="2911"/>
      <c r="AE218" s="2911"/>
      <c r="AF218" s="2911"/>
      <c r="AG218" s="2911"/>
    </row>
    <row r="219" spans="1:33" ht="14.9" customHeight="1">
      <c r="A219" s="252"/>
      <c r="B219" s="2903" t="s">
        <v>625</v>
      </c>
      <c r="C219" s="2903"/>
      <c r="D219" s="2903"/>
      <c r="E219" s="2903"/>
      <c r="F219" s="6"/>
      <c r="G219" s="65"/>
      <c r="H219" s="799"/>
      <c r="I219" s="710"/>
      <c r="J219" s="711"/>
      <c r="K219" s="628"/>
      <c r="L219" s="710"/>
      <c r="M219" s="711"/>
      <c r="N219" s="628"/>
      <c r="O219" s="710"/>
      <c r="P219" s="712"/>
      <c r="Q219" s="628"/>
      <c r="R219" s="762"/>
      <c r="S219" s="762"/>
      <c r="T219" s="628"/>
      <c r="U219" s="762"/>
      <c r="V219" s="762"/>
      <c r="W219" s="628"/>
      <c r="X219" s="2893"/>
      <c r="Y219" s="2893"/>
      <c r="Z219" s="2893"/>
      <c r="AA219" s="2893"/>
      <c r="AB219" s="2893"/>
      <c r="AC219" s="2893"/>
      <c r="AD219" s="2893"/>
      <c r="AE219" s="2893"/>
      <c r="AF219" s="2893"/>
      <c r="AG219" s="2893"/>
    </row>
    <row r="220" spans="1:33" ht="14.9" customHeight="1">
      <c r="A220" s="252"/>
      <c r="B220" s="2903" t="s">
        <v>626</v>
      </c>
      <c r="C220" s="2903"/>
      <c r="D220" s="2903"/>
      <c r="E220" s="2903"/>
      <c r="F220" s="6"/>
      <c r="G220" s="63"/>
      <c r="H220" s="480"/>
      <c r="I220" s="710"/>
      <c r="J220" s="582"/>
      <c r="K220" s="526"/>
      <c r="L220" s="710"/>
      <c r="M220" s="582"/>
      <c r="N220" s="526"/>
      <c r="O220" s="710"/>
      <c r="P220" s="582"/>
      <c r="Q220" s="526"/>
      <c r="R220" s="762"/>
      <c r="S220" s="762"/>
      <c r="T220" s="526"/>
      <c r="U220" s="762"/>
      <c r="V220" s="762"/>
      <c r="W220" s="526"/>
      <c r="X220" s="2893"/>
      <c r="Y220" s="2893"/>
      <c r="Z220" s="2893"/>
      <c r="AA220" s="2893"/>
      <c r="AB220" s="2893"/>
      <c r="AC220" s="2893"/>
      <c r="AD220" s="2893"/>
      <c r="AE220" s="2893"/>
      <c r="AF220" s="2893"/>
      <c r="AG220" s="2893"/>
    </row>
    <row r="221" spans="1:33" ht="14.9" customHeight="1">
      <c r="A221" s="252"/>
      <c r="B221" s="2903" t="s">
        <v>627</v>
      </c>
      <c r="C221" s="2903"/>
      <c r="D221" s="2903"/>
      <c r="E221" s="2903"/>
      <c r="F221" s="6"/>
      <c r="G221" s="63"/>
      <c r="H221" s="794"/>
      <c r="I221" s="710"/>
      <c r="J221" s="582"/>
      <c r="K221" s="561"/>
      <c r="L221" s="710"/>
      <c r="M221" s="582"/>
      <c r="N221" s="561"/>
      <c r="O221" s="710"/>
      <c r="P221" s="582"/>
      <c r="Q221" s="561"/>
      <c r="R221" s="762"/>
      <c r="S221" s="762"/>
      <c r="T221" s="561"/>
      <c r="U221" s="762"/>
      <c r="V221" s="762"/>
      <c r="W221" s="561"/>
      <c r="X221" s="2893"/>
      <c r="Y221" s="2893"/>
      <c r="Z221" s="2893"/>
      <c r="AA221" s="2893"/>
      <c r="AB221" s="2893"/>
      <c r="AC221" s="2893"/>
      <c r="AD221" s="2893"/>
      <c r="AE221" s="2893"/>
      <c r="AF221" s="2893"/>
      <c r="AG221" s="2893"/>
    </row>
    <row r="222" spans="1:33" ht="14.9" customHeight="1">
      <c r="A222" s="252"/>
      <c r="B222" s="2904" t="s">
        <v>628</v>
      </c>
      <c r="C222" s="2904"/>
      <c r="D222" s="2904"/>
      <c r="E222" s="2904"/>
      <c r="F222" s="6"/>
      <c r="G222" s="63"/>
      <c r="H222" s="480"/>
      <c r="I222" s="710"/>
      <c r="J222" s="582"/>
      <c r="K222" s="526"/>
      <c r="L222" s="710"/>
      <c r="M222" s="582"/>
      <c r="N222" s="526"/>
      <c r="O222" s="710"/>
      <c r="P222" s="582"/>
      <c r="Q222" s="526"/>
      <c r="R222" s="762"/>
      <c r="S222" s="762"/>
      <c r="T222" s="526"/>
      <c r="U222" s="762"/>
      <c r="V222" s="762"/>
      <c r="W222" s="526"/>
      <c r="X222" s="2893"/>
      <c r="Y222" s="2893"/>
      <c r="Z222" s="2893"/>
      <c r="AA222" s="2893"/>
      <c r="AB222" s="2893"/>
      <c r="AC222" s="2893"/>
      <c r="AD222" s="2893"/>
      <c r="AE222" s="2893"/>
      <c r="AF222" s="2893"/>
      <c r="AG222" s="2893"/>
    </row>
    <row r="223" spans="1:33" ht="32.9" customHeight="1">
      <c r="A223" s="252"/>
      <c r="B223" s="2904" t="s">
        <v>629</v>
      </c>
      <c r="C223" s="2904"/>
      <c r="D223" s="2904"/>
      <c r="E223" s="2904"/>
      <c r="F223" s="6"/>
      <c r="G223" s="65"/>
      <c r="H223" s="795"/>
      <c r="I223" s="710"/>
      <c r="J223" s="711"/>
      <c r="K223" s="568"/>
      <c r="L223" s="710"/>
      <c r="M223" s="711"/>
      <c r="N223" s="568"/>
      <c r="O223" s="710"/>
      <c r="P223" s="712"/>
      <c r="Q223" s="568"/>
      <c r="R223" s="762"/>
      <c r="S223" s="762"/>
      <c r="T223" s="568"/>
      <c r="U223" s="762"/>
      <c r="V223" s="762"/>
      <c r="W223" s="568"/>
      <c r="X223" s="2893"/>
      <c r="Y223" s="2893"/>
      <c r="Z223" s="2893"/>
      <c r="AA223" s="2893"/>
      <c r="AB223" s="2893"/>
      <c r="AC223" s="2893"/>
      <c r="AD223" s="2893"/>
      <c r="AE223" s="2893"/>
      <c r="AF223" s="2893"/>
      <c r="AG223" s="2893"/>
    </row>
    <row r="224" spans="1:33" ht="14.9" customHeight="1">
      <c r="A224" s="252"/>
      <c r="B224" s="2903" t="s">
        <v>630</v>
      </c>
      <c r="C224" s="2903"/>
      <c r="D224" s="2903"/>
      <c r="E224" s="2903"/>
      <c r="F224" s="6"/>
      <c r="G224" s="65"/>
      <c r="H224" s="480"/>
      <c r="I224" s="710"/>
      <c r="J224" s="711"/>
      <c r="K224" s="526"/>
      <c r="L224" s="710"/>
      <c r="M224" s="711"/>
      <c r="N224" s="526"/>
      <c r="O224" s="710"/>
      <c r="P224" s="712"/>
      <c r="Q224" s="526"/>
      <c r="R224" s="762"/>
      <c r="S224" s="762"/>
      <c r="T224" s="526"/>
      <c r="U224" s="762"/>
      <c r="V224" s="762"/>
      <c r="W224" s="526"/>
      <c r="X224" s="2893"/>
      <c r="Y224" s="2893"/>
      <c r="Z224" s="2893"/>
      <c r="AA224" s="2893"/>
      <c r="AB224" s="2893"/>
      <c r="AC224" s="2893"/>
      <c r="AD224" s="2893"/>
      <c r="AE224" s="2893"/>
      <c r="AF224" s="2893"/>
      <c r="AG224" s="2893"/>
    </row>
    <row r="225" spans="1:33" ht="14.9" customHeight="1">
      <c r="A225" s="252"/>
      <c r="B225" s="2904" t="s">
        <v>634</v>
      </c>
      <c r="C225" s="2904"/>
      <c r="D225" s="2904"/>
      <c r="E225" s="2904"/>
      <c r="F225" s="6"/>
      <c r="G225" s="65"/>
      <c r="H225" s="481"/>
      <c r="I225" s="710"/>
      <c r="J225" s="711"/>
      <c r="K225" s="553"/>
      <c r="L225" s="710"/>
      <c r="M225" s="711"/>
      <c r="N225" s="553"/>
      <c r="O225" s="710"/>
      <c r="P225" s="712"/>
      <c r="Q225" s="553"/>
      <c r="R225" s="762"/>
      <c r="S225" s="762"/>
      <c r="T225" s="553"/>
      <c r="U225" s="762"/>
      <c r="V225" s="762"/>
      <c r="W225" s="553"/>
      <c r="X225" s="2893"/>
      <c r="Y225" s="2893"/>
      <c r="Z225" s="2893"/>
      <c r="AA225" s="2893"/>
      <c r="AB225" s="2893"/>
      <c r="AC225" s="2893"/>
      <c r="AD225" s="2893"/>
      <c r="AE225" s="2893"/>
      <c r="AF225" s="2893"/>
      <c r="AG225" s="2893"/>
    </row>
    <row r="226" spans="1:33" ht="30.75" customHeight="1">
      <c r="A226" s="252"/>
      <c r="B226" s="2903" t="s">
        <v>1551</v>
      </c>
      <c r="C226" s="2903"/>
      <c r="D226" s="2903"/>
      <c r="E226" s="2903"/>
      <c r="F226" s="6"/>
      <c r="G226" s="65"/>
      <c r="H226" s="796"/>
      <c r="I226" s="710"/>
      <c r="J226" s="711"/>
      <c r="K226" s="619"/>
      <c r="L226" s="710"/>
      <c r="M226" s="711"/>
      <c r="N226" s="619"/>
      <c r="O226" s="710"/>
      <c r="P226" s="712"/>
      <c r="Q226" s="619"/>
      <c r="R226" s="762"/>
      <c r="S226" s="762"/>
      <c r="T226" s="619"/>
      <c r="U226" s="762"/>
      <c r="V226" s="762"/>
      <c r="W226" s="619"/>
      <c r="X226" s="2893"/>
      <c r="Y226" s="2893"/>
      <c r="Z226" s="2893"/>
      <c r="AA226" s="2893"/>
      <c r="AB226" s="2893"/>
      <c r="AC226" s="2893"/>
      <c r="AD226" s="2893"/>
      <c r="AE226" s="2893"/>
      <c r="AF226" s="2893"/>
      <c r="AG226" s="2893"/>
    </row>
    <row r="227" spans="1:33" ht="30.75" customHeight="1">
      <c r="A227" s="252"/>
      <c r="B227" s="2903" t="s">
        <v>1552</v>
      </c>
      <c r="C227" s="2903"/>
      <c r="D227" s="2903"/>
      <c r="E227" s="2903"/>
      <c r="F227" s="6"/>
      <c r="G227" s="65"/>
      <c r="H227" s="796"/>
      <c r="I227" s="710"/>
      <c r="J227" s="711"/>
      <c r="K227" s="619"/>
      <c r="L227" s="710"/>
      <c r="M227" s="711"/>
      <c r="N227" s="619"/>
      <c r="O227" s="710"/>
      <c r="P227" s="712"/>
      <c r="Q227" s="619"/>
      <c r="R227" s="762"/>
      <c r="S227" s="762"/>
      <c r="T227" s="619"/>
      <c r="U227" s="762"/>
      <c r="V227" s="762"/>
      <c r="W227" s="619"/>
      <c r="X227" s="2893"/>
      <c r="Y227" s="2893"/>
      <c r="Z227" s="2893"/>
      <c r="AA227" s="2893"/>
      <c r="AB227" s="2893"/>
      <c r="AC227" s="2893"/>
      <c r="AD227" s="2893"/>
      <c r="AE227" s="2893"/>
      <c r="AF227" s="2893"/>
      <c r="AG227" s="2893"/>
    </row>
    <row r="228" spans="1:33" ht="32.9" customHeight="1">
      <c r="A228" s="252"/>
      <c r="B228" s="2903" t="s">
        <v>331</v>
      </c>
      <c r="C228" s="2903"/>
      <c r="D228" s="2903"/>
      <c r="E228" s="2903"/>
      <c r="F228" s="6"/>
      <c r="G228" s="65"/>
      <c r="H228" s="480"/>
      <c r="I228" s="710"/>
      <c r="J228" s="711"/>
      <c r="K228" s="526"/>
      <c r="L228" s="710"/>
      <c r="M228" s="711"/>
      <c r="N228" s="526"/>
      <c r="O228" s="710"/>
      <c r="P228" s="712"/>
      <c r="Q228" s="526"/>
      <c r="R228" s="762"/>
      <c r="S228" s="762"/>
      <c r="T228" s="526"/>
      <c r="U228" s="762"/>
      <c r="V228" s="762"/>
      <c r="W228" s="526"/>
      <c r="X228" s="2893"/>
      <c r="Y228" s="2893"/>
      <c r="Z228" s="2893"/>
      <c r="AA228" s="2893"/>
      <c r="AB228" s="2893"/>
      <c r="AC228" s="2893"/>
      <c r="AD228" s="2893"/>
      <c r="AE228" s="2893"/>
      <c r="AF228" s="2893"/>
      <c r="AG228" s="2893"/>
    </row>
    <row r="229" spans="1:33" ht="14.9" customHeight="1">
      <c r="A229" s="252"/>
      <c r="B229" s="2904" t="s">
        <v>332</v>
      </c>
      <c r="C229" s="2904"/>
      <c r="D229" s="2904"/>
      <c r="E229" s="2904"/>
      <c r="F229" s="6"/>
      <c r="G229" s="63"/>
      <c r="H229" s="480"/>
      <c r="I229" s="710"/>
      <c r="J229" s="582"/>
      <c r="K229" s="526"/>
      <c r="L229" s="710"/>
      <c r="M229" s="582"/>
      <c r="N229" s="526"/>
      <c r="O229" s="710"/>
      <c r="P229" s="582"/>
      <c r="Q229" s="526"/>
      <c r="R229" s="762"/>
      <c r="S229" s="762"/>
      <c r="T229" s="526"/>
      <c r="U229" s="762"/>
      <c r="V229" s="762"/>
      <c r="W229" s="526"/>
      <c r="X229" s="2893"/>
      <c r="Y229" s="2893"/>
      <c r="Z229" s="2893"/>
      <c r="AA229" s="2893"/>
      <c r="AB229" s="2893"/>
      <c r="AC229" s="2893"/>
      <c r="AD229" s="2893"/>
      <c r="AE229" s="2893"/>
      <c r="AF229" s="2893"/>
      <c r="AG229" s="2893"/>
    </row>
    <row r="230" spans="1:33" ht="14.9" customHeight="1">
      <c r="A230" s="252"/>
      <c r="B230" s="2903" t="s">
        <v>333</v>
      </c>
      <c r="C230" s="2903"/>
      <c r="D230" s="2903"/>
      <c r="E230" s="2903"/>
      <c r="F230" s="6"/>
      <c r="G230" s="65"/>
      <c r="H230" s="480"/>
      <c r="I230" s="710"/>
      <c r="J230" s="711"/>
      <c r="K230" s="526"/>
      <c r="L230" s="710"/>
      <c r="M230" s="711"/>
      <c r="N230" s="526"/>
      <c r="O230" s="710"/>
      <c r="P230" s="712"/>
      <c r="Q230" s="526"/>
      <c r="R230" s="762"/>
      <c r="S230" s="762"/>
      <c r="T230" s="526"/>
      <c r="U230" s="762"/>
      <c r="V230" s="762"/>
      <c r="W230" s="526"/>
      <c r="X230" s="2893"/>
      <c r="Y230" s="2893"/>
      <c r="Z230" s="2893"/>
      <c r="AA230" s="2893"/>
      <c r="AB230" s="2893"/>
      <c r="AC230" s="2893"/>
      <c r="AD230" s="2893"/>
      <c r="AE230" s="2893"/>
      <c r="AF230" s="2893"/>
      <c r="AG230" s="2893"/>
    </row>
    <row r="231" spans="1:33" ht="14.9" customHeight="1">
      <c r="A231" s="252"/>
      <c r="B231" s="2903" t="s">
        <v>334</v>
      </c>
      <c r="C231" s="2903"/>
      <c r="D231" s="2903"/>
      <c r="E231" s="2903"/>
      <c r="F231" s="6"/>
      <c r="G231" s="63"/>
      <c r="H231" s="480"/>
      <c r="I231" s="710"/>
      <c r="J231" s="582"/>
      <c r="K231" s="526"/>
      <c r="L231" s="710"/>
      <c r="M231" s="582"/>
      <c r="N231" s="526"/>
      <c r="O231" s="710"/>
      <c r="P231" s="582"/>
      <c r="Q231" s="526"/>
      <c r="R231" s="762"/>
      <c r="S231" s="762"/>
      <c r="T231" s="526"/>
      <c r="U231" s="762"/>
      <c r="V231" s="762"/>
      <c r="W231" s="526"/>
      <c r="X231" s="2893"/>
      <c r="Y231" s="2893"/>
      <c r="Z231" s="2893"/>
      <c r="AA231" s="2893"/>
      <c r="AB231" s="2893"/>
      <c r="AC231" s="2893"/>
      <c r="AD231" s="2893"/>
      <c r="AE231" s="2893"/>
      <c r="AF231" s="2893"/>
      <c r="AG231" s="2893"/>
    </row>
    <row r="232" spans="1:33" ht="14.9" customHeight="1">
      <c r="A232" s="252"/>
      <c r="B232" s="2904" t="s">
        <v>335</v>
      </c>
      <c r="C232" s="2904"/>
      <c r="D232" s="2904"/>
      <c r="E232" s="2904"/>
      <c r="H232" s="480"/>
      <c r="I232" s="713"/>
      <c r="J232" s="713"/>
      <c r="K232" s="526"/>
      <c r="L232" s="713"/>
      <c r="M232" s="713"/>
      <c r="N232" s="526"/>
      <c r="O232" s="713"/>
      <c r="P232" s="713"/>
      <c r="Q232" s="526"/>
      <c r="R232" s="762"/>
      <c r="S232" s="762"/>
      <c r="T232" s="526"/>
      <c r="U232" s="762"/>
      <c r="V232" s="762"/>
      <c r="W232" s="526"/>
      <c r="X232" s="2893"/>
      <c r="Y232" s="2893"/>
      <c r="Z232" s="2893"/>
      <c r="AA232" s="2893"/>
      <c r="AB232" s="2893"/>
      <c r="AC232" s="2893"/>
      <c r="AD232" s="2893"/>
      <c r="AE232" s="2893"/>
      <c r="AF232" s="2893"/>
      <c r="AG232" s="2893"/>
    </row>
    <row r="233" spans="1:33" ht="14.9" customHeight="1">
      <c r="A233" s="252"/>
      <c r="B233" s="2903" t="s">
        <v>336</v>
      </c>
      <c r="C233" s="2903"/>
      <c r="D233" s="2903"/>
      <c r="E233" s="2903"/>
      <c r="F233" s="6"/>
      <c r="G233" s="63"/>
      <c r="H233" s="480"/>
      <c r="I233" s="710"/>
      <c r="J233" s="582"/>
      <c r="K233" s="526"/>
      <c r="L233" s="710"/>
      <c r="M233" s="582"/>
      <c r="N233" s="526"/>
      <c r="O233" s="710"/>
      <c r="P233" s="582"/>
      <c r="Q233" s="526"/>
      <c r="R233" s="762"/>
      <c r="S233" s="762"/>
      <c r="T233" s="526"/>
      <c r="U233" s="762"/>
      <c r="V233" s="762"/>
      <c r="W233" s="526"/>
      <c r="X233" s="2893"/>
      <c r="Y233" s="2893"/>
      <c r="Z233" s="2893"/>
      <c r="AA233" s="2893"/>
      <c r="AB233" s="2893"/>
      <c r="AC233" s="2893"/>
      <c r="AD233" s="2893"/>
      <c r="AE233" s="2893"/>
      <c r="AF233" s="2893"/>
      <c r="AG233" s="2893"/>
    </row>
    <row r="234" spans="1:33" ht="32.9" customHeight="1">
      <c r="A234" s="252"/>
      <c r="B234" s="2903" t="s">
        <v>337</v>
      </c>
      <c r="C234" s="2903"/>
      <c r="D234" s="2903"/>
      <c r="E234" s="2903"/>
      <c r="F234" s="6"/>
      <c r="G234" s="63"/>
      <c r="H234" s="480"/>
      <c r="I234" s="710"/>
      <c r="J234" s="582"/>
      <c r="K234" s="526"/>
      <c r="L234" s="710"/>
      <c r="M234" s="582"/>
      <c r="N234" s="526"/>
      <c r="O234" s="710"/>
      <c r="P234" s="582"/>
      <c r="Q234" s="526"/>
      <c r="R234" s="762"/>
      <c r="S234" s="762"/>
      <c r="T234" s="526"/>
      <c r="U234" s="762"/>
      <c r="V234" s="762"/>
      <c r="W234" s="526"/>
      <c r="X234" s="2893"/>
      <c r="Y234" s="2893"/>
      <c r="Z234" s="2893"/>
      <c r="AA234" s="2893"/>
      <c r="AB234" s="2893"/>
      <c r="AC234" s="2893"/>
      <c r="AD234" s="2893"/>
      <c r="AE234" s="2893"/>
      <c r="AF234" s="2893"/>
      <c r="AG234" s="2893"/>
    </row>
    <row r="235" spans="1:33" ht="32.9" customHeight="1">
      <c r="A235" s="252"/>
      <c r="B235" s="2903" t="s">
        <v>338</v>
      </c>
      <c r="C235" s="2903"/>
      <c r="D235" s="2903"/>
      <c r="E235" s="2903"/>
      <c r="F235" s="6"/>
      <c r="G235" s="63"/>
      <c r="H235" s="480"/>
      <c r="I235" s="710"/>
      <c r="J235" s="582"/>
      <c r="K235" s="526"/>
      <c r="L235" s="710"/>
      <c r="M235" s="582"/>
      <c r="N235" s="526"/>
      <c r="O235" s="710"/>
      <c r="P235" s="582"/>
      <c r="Q235" s="526"/>
      <c r="R235" s="762"/>
      <c r="S235" s="762"/>
      <c r="T235" s="526"/>
      <c r="U235" s="762"/>
      <c r="V235" s="762"/>
      <c r="W235" s="526"/>
      <c r="X235" s="2893"/>
      <c r="Y235" s="2893"/>
      <c r="Z235" s="2893"/>
      <c r="AA235" s="2893"/>
      <c r="AB235" s="2893"/>
      <c r="AC235" s="2893"/>
      <c r="AD235" s="2893"/>
      <c r="AE235" s="2893"/>
      <c r="AF235" s="2893"/>
      <c r="AG235" s="2893"/>
    </row>
    <row r="236" spans="1:33" ht="14.9" customHeight="1">
      <c r="A236" s="252"/>
      <c r="B236" s="2903" t="s">
        <v>735</v>
      </c>
      <c r="C236" s="2903"/>
      <c r="D236" s="2903"/>
      <c r="E236" s="2903"/>
      <c r="F236" s="6"/>
      <c r="G236" s="63"/>
      <c r="H236" s="480"/>
      <c r="I236" s="710"/>
      <c r="J236" s="582"/>
      <c r="K236" s="526"/>
      <c r="L236" s="710"/>
      <c r="M236" s="582"/>
      <c r="N236" s="526"/>
      <c r="O236" s="710"/>
      <c r="P236" s="582"/>
      <c r="Q236" s="526"/>
      <c r="R236" s="762"/>
      <c r="S236" s="762"/>
      <c r="T236" s="526"/>
      <c r="U236" s="762"/>
      <c r="V236" s="762"/>
      <c r="W236" s="526"/>
      <c r="X236" s="2893"/>
      <c r="Y236" s="2893"/>
      <c r="Z236" s="2893"/>
      <c r="AA236" s="2893"/>
      <c r="AB236" s="2893"/>
      <c r="AC236" s="2893"/>
      <c r="AD236" s="2893"/>
      <c r="AE236" s="2893"/>
      <c r="AF236" s="2893"/>
      <c r="AG236" s="2893"/>
    </row>
    <row r="237" spans="1:33" ht="14.9" customHeight="1">
      <c r="A237" s="252"/>
      <c r="B237" s="2903" t="s">
        <v>734</v>
      </c>
      <c r="C237" s="2903"/>
      <c r="D237" s="2903"/>
      <c r="E237" s="2903"/>
      <c r="F237" s="6"/>
      <c r="G237" s="63"/>
      <c r="H237" s="797"/>
      <c r="I237" s="710"/>
      <c r="J237" s="582"/>
      <c r="K237" s="562"/>
      <c r="L237" s="710"/>
      <c r="M237" s="582"/>
      <c r="N237" s="562"/>
      <c r="O237" s="710"/>
      <c r="P237" s="582"/>
      <c r="Q237" s="562"/>
      <c r="R237" s="762"/>
      <c r="S237" s="762"/>
      <c r="T237" s="562"/>
      <c r="U237" s="762"/>
      <c r="V237" s="762"/>
      <c r="W237" s="562"/>
      <c r="X237" s="2893"/>
      <c r="Y237" s="2893"/>
      <c r="Z237" s="2893"/>
      <c r="AA237" s="2893"/>
      <c r="AB237" s="2893"/>
      <c r="AC237" s="2893"/>
      <c r="AD237" s="2893"/>
      <c r="AE237" s="2893"/>
      <c r="AF237" s="2893"/>
      <c r="AG237" s="2893"/>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911"/>
      <c r="Y238" s="2911"/>
      <c r="Z238" s="2911"/>
      <c r="AA238" s="2911"/>
      <c r="AB238" s="2911"/>
      <c r="AC238" s="2911"/>
      <c r="AD238" s="2911"/>
      <c r="AE238" s="2911"/>
      <c r="AF238" s="2911"/>
      <c r="AG238" s="2911"/>
    </row>
    <row r="239" spans="1:33" ht="14.9" customHeight="1">
      <c r="A239" s="252"/>
      <c r="B239" s="2903" t="s">
        <v>625</v>
      </c>
      <c r="C239" s="2903"/>
      <c r="D239" s="2903"/>
      <c r="E239" s="2903"/>
      <c r="F239" s="6"/>
      <c r="G239" s="65"/>
      <c r="H239" s="799"/>
      <c r="I239" s="710"/>
      <c r="J239" s="711"/>
      <c r="K239" s="628"/>
      <c r="L239" s="710"/>
      <c r="M239" s="711"/>
      <c r="N239" s="628"/>
      <c r="O239" s="710"/>
      <c r="P239" s="712"/>
      <c r="Q239" s="628"/>
      <c r="R239" s="762"/>
      <c r="S239" s="762"/>
      <c r="T239" s="628"/>
      <c r="U239" s="762"/>
      <c r="V239" s="762"/>
      <c r="W239" s="628"/>
      <c r="X239" s="2893"/>
      <c r="Y239" s="2893"/>
      <c r="Z239" s="2893"/>
      <c r="AA239" s="2893"/>
      <c r="AB239" s="2893"/>
      <c r="AC239" s="2893"/>
      <c r="AD239" s="2893"/>
      <c r="AE239" s="2893"/>
      <c r="AF239" s="2893"/>
      <c r="AG239" s="2893"/>
    </row>
    <row r="240" spans="1:33" ht="14.9" customHeight="1">
      <c r="A240" s="252"/>
      <c r="B240" s="2903" t="s">
        <v>626</v>
      </c>
      <c r="C240" s="2903"/>
      <c r="D240" s="2903"/>
      <c r="E240" s="2903"/>
      <c r="F240" s="6"/>
      <c r="G240" s="63"/>
      <c r="H240" s="480"/>
      <c r="I240" s="710"/>
      <c r="J240" s="582"/>
      <c r="K240" s="526"/>
      <c r="L240" s="710"/>
      <c r="M240" s="582"/>
      <c r="N240" s="526"/>
      <c r="O240" s="710"/>
      <c r="P240" s="582"/>
      <c r="Q240" s="526"/>
      <c r="R240" s="762"/>
      <c r="S240" s="762"/>
      <c r="T240" s="526"/>
      <c r="U240" s="762"/>
      <c r="V240" s="762"/>
      <c r="W240" s="526"/>
      <c r="X240" s="2893"/>
      <c r="Y240" s="2893"/>
      <c r="Z240" s="2893"/>
      <c r="AA240" s="2893"/>
      <c r="AB240" s="2893"/>
      <c r="AC240" s="2893"/>
      <c r="AD240" s="2893"/>
      <c r="AE240" s="2893"/>
      <c r="AF240" s="2893"/>
      <c r="AG240" s="2893"/>
    </row>
    <row r="241" spans="1:33" ht="14.9" customHeight="1">
      <c r="A241" s="252"/>
      <c r="B241" s="2903" t="s">
        <v>627</v>
      </c>
      <c r="C241" s="2903"/>
      <c r="D241" s="2903"/>
      <c r="E241" s="2903"/>
      <c r="F241" s="6"/>
      <c r="G241" s="63"/>
      <c r="H241" s="794"/>
      <c r="I241" s="710"/>
      <c r="J241" s="582"/>
      <c r="K241" s="561"/>
      <c r="L241" s="710"/>
      <c r="M241" s="582"/>
      <c r="N241" s="561"/>
      <c r="O241" s="710"/>
      <c r="P241" s="582"/>
      <c r="Q241" s="561"/>
      <c r="R241" s="762"/>
      <c r="S241" s="762"/>
      <c r="T241" s="561"/>
      <c r="U241" s="762"/>
      <c r="V241" s="762"/>
      <c r="W241" s="561"/>
      <c r="X241" s="2893"/>
      <c r="Y241" s="2893"/>
      <c r="Z241" s="2893"/>
      <c r="AA241" s="2893"/>
      <c r="AB241" s="2893"/>
      <c r="AC241" s="2893"/>
      <c r="AD241" s="2893"/>
      <c r="AE241" s="2893"/>
      <c r="AF241" s="2893"/>
      <c r="AG241" s="2893"/>
    </row>
    <row r="242" spans="1:33" ht="14.9" customHeight="1">
      <c r="A242" s="252"/>
      <c r="B242" s="2904" t="s">
        <v>628</v>
      </c>
      <c r="C242" s="2904"/>
      <c r="D242" s="2904"/>
      <c r="E242" s="2904"/>
      <c r="F242" s="6"/>
      <c r="G242" s="63"/>
      <c r="H242" s="480"/>
      <c r="I242" s="710"/>
      <c r="J242" s="582"/>
      <c r="K242" s="526"/>
      <c r="L242" s="710"/>
      <c r="M242" s="582"/>
      <c r="N242" s="526"/>
      <c r="O242" s="710"/>
      <c r="P242" s="582"/>
      <c r="Q242" s="526"/>
      <c r="R242" s="762"/>
      <c r="S242" s="762"/>
      <c r="T242" s="526"/>
      <c r="U242" s="762"/>
      <c r="V242" s="762"/>
      <c r="W242" s="526"/>
      <c r="X242" s="2893"/>
      <c r="Y242" s="2893"/>
      <c r="Z242" s="2893"/>
      <c r="AA242" s="2893"/>
      <c r="AB242" s="2893"/>
      <c r="AC242" s="2893"/>
      <c r="AD242" s="2893"/>
      <c r="AE242" s="2893"/>
      <c r="AF242" s="2893"/>
      <c r="AG242" s="2893"/>
    </row>
    <row r="243" spans="1:33" ht="32.9" customHeight="1">
      <c r="A243" s="252"/>
      <c r="B243" s="2904" t="s">
        <v>629</v>
      </c>
      <c r="C243" s="2904"/>
      <c r="D243" s="2904"/>
      <c r="E243" s="2904"/>
      <c r="F243" s="6"/>
      <c r="G243" s="65"/>
      <c r="H243" s="795"/>
      <c r="I243" s="710"/>
      <c r="J243" s="711"/>
      <c r="K243" s="568"/>
      <c r="L243" s="710"/>
      <c r="M243" s="711"/>
      <c r="N243" s="568"/>
      <c r="O243" s="710"/>
      <c r="P243" s="712"/>
      <c r="Q243" s="568"/>
      <c r="R243" s="762"/>
      <c r="S243" s="762"/>
      <c r="T243" s="568"/>
      <c r="U243" s="762"/>
      <c r="V243" s="762"/>
      <c r="W243" s="568"/>
      <c r="X243" s="2893"/>
      <c r="Y243" s="2893"/>
      <c r="Z243" s="2893"/>
      <c r="AA243" s="2893"/>
      <c r="AB243" s="2893"/>
      <c r="AC243" s="2893"/>
      <c r="AD243" s="2893"/>
      <c r="AE243" s="2893"/>
      <c r="AF243" s="2893"/>
      <c r="AG243" s="2893"/>
    </row>
    <row r="244" spans="1:33" ht="14.9" customHeight="1">
      <c r="A244" s="252"/>
      <c r="B244" s="2903" t="s">
        <v>630</v>
      </c>
      <c r="C244" s="2903"/>
      <c r="D244" s="2903"/>
      <c r="E244" s="2903"/>
      <c r="F244" s="6"/>
      <c r="G244" s="65"/>
      <c r="H244" s="480"/>
      <c r="I244" s="710"/>
      <c r="J244" s="711"/>
      <c r="K244" s="526"/>
      <c r="L244" s="710"/>
      <c r="M244" s="711"/>
      <c r="N244" s="526"/>
      <c r="O244" s="710"/>
      <c r="P244" s="712"/>
      <c r="Q244" s="526"/>
      <c r="R244" s="762"/>
      <c r="S244" s="762"/>
      <c r="T244" s="526"/>
      <c r="U244" s="762"/>
      <c r="V244" s="762"/>
      <c r="W244" s="526"/>
      <c r="X244" s="2893"/>
      <c r="Y244" s="2893"/>
      <c r="Z244" s="2893"/>
      <c r="AA244" s="2893"/>
      <c r="AB244" s="2893"/>
      <c r="AC244" s="2893"/>
      <c r="AD244" s="2893"/>
      <c r="AE244" s="2893"/>
      <c r="AF244" s="2893"/>
      <c r="AG244" s="2893"/>
    </row>
    <row r="245" spans="1:33" ht="14.9" customHeight="1">
      <c r="A245" s="252"/>
      <c r="B245" s="2904" t="s">
        <v>634</v>
      </c>
      <c r="C245" s="2904"/>
      <c r="D245" s="2904"/>
      <c r="E245" s="2904"/>
      <c r="F245" s="6"/>
      <c r="G245" s="65"/>
      <c r="H245" s="481"/>
      <c r="I245" s="710"/>
      <c r="J245" s="711"/>
      <c r="K245" s="553"/>
      <c r="L245" s="710"/>
      <c r="M245" s="711"/>
      <c r="N245" s="553"/>
      <c r="O245" s="710"/>
      <c r="P245" s="712"/>
      <c r="Q245" s="553"/>
      <c r="R245" s="762"/>
      <c r="S245" s="762"/>
      <c r="T245" s="553"/>
      <c r="U245" s="762"/>
      <c r="V245" s="762"/>
      <c r="W245" s="553"/>
      <c r="X245" s="2893"/>
      <c r="Y245" s="2893"/>
      <c r="Z245" s="2893"/>
      <c r="AA245" s="2893"/>
      <c r="AB245" s="2893"/>
      <c r="AC245" s="2893"/>
      <c r="AD245" s="2893"/>
      <c r="AE245" s="2893"/>
      <c r="AF245" s="2893"/>
      <c r="AG245" s="2893"/>
    </row>
    <row r="246" spans="1:33" ht="32.15" customHeight="1">
      <c r="A246" s="252"/>
      <c r="B246" s="2903" t="s">
        <v>1551</v>
      </c>
      <c r="C246" s="2903"/>
      <c r="D246" s="2903"/>
      <c r="E246" s="2903"/>
      <c r="F246" s="6"/>
      <c r="G246" s="65"/>
      <c r="H246" s="796"/>
      <c r="I246" s="710"/>
      <c r="J246" s="711"/>
      <c r="K246" s="619"/>
      <c r="L246" s="710"/>
      <c r="M246" s="711"/>
      <c r="N246" s="619"/>
      <c r="O246" s="710"/>
      <c r="P246" s="712"/>
      <c r="Q246" s="619"/>
      <c r="R246" s="762"/>
      <c r="S246" s="762"/>
      <c r="T246" s="619"/>
      <c r="U246" s="762"/>
      <c r="V246" s="762"/>
      <c r="W246" s="619"/>
      <c r="X246" s="2893"/>
      <c r="Y246" s="2893"/>
      <c r="Z246" s="2893"/>
      <c r="AA246" s="2893"/>
      <c r="AB246" s="2893"/>
      <c r="AC246" s="2893"/>
      <c r="AD246" s="2893"/>
      <c r="AE246" s="2893"/>
      <c r="AF246" s="2893"/>
      <c r="AG246" s="2893"/>
    </row>
    <row r="247" spans="1:33" ht="32.15" customHeight="1">
      <c r="A247" s="252"/>
      <c r="B247" s="2903" t="s">
        <v>1552</v>
      </c>
      <c r="C247" s="2903"/>
      <c r="D247" s="2903"/>
      <c r="E247" s="2903"/>
      <c r="F247" s="6"/>
      <c r="G247" s="65"/>
      <c r="H247" s="796"/>
      <c r="I247" s="710"/>
      <c r="J247" s="711"/>
      <c r="K247" s="619"/>
      <c r="L247" s="710"/>
      <c r="M247" s="711"/>
      <c r="N247" s="619"/>
      <c r="O247" s="710"/>
      <c r="P247" s="712"/>
      <c r="Q247" s="619"/>
      <c r="R247" s="762"/>
      <c r="S247" s="762"/>
      <c r="T247" s="619"/>
      <c r="U247" s="762"/>
      <c r="V247" s="762"/>
      <c r="W247" s="619"/>
      <c r="X247" s="2893"/>
      <c r="Y247" s="2893"/>
      <c r="Z247" s="2893"/>
      <c r="AA247" s="2893"/>
      <c r="AB247" s="2893"/>
      <c r="AC247" s="2893"/>
      <c r="AD247" s="2893"/>
      <c r="AE247" s="2893"/>
      <c r="AF247" s="2893"/>
      <c r="AG247" s="2893"/>
    </row>
    <row r="248" spans="1:33" ht="32.9" customHeight="1">
      <c r="A248" s="252"/>
      <c r="B248" s="2903" t="s">
        <v>331</v>
      </c>
      <c r="C248" s="2903"/>
      <c r="D248" s="2903"/>
      <c r="E248" s="2903"/>
      <c r="F248" s="6"/>
      <c r="G248" s="65"/>
      <c r="H248" s="480"/>
      <c r="I248" s="710"/>
      <c r="J248" s="711"/>
      <c r="K248" s="526"/>
      <c r="L248" s="710"/>
      <c r="M248" s="711"/>
      <c r="N248" s="526"/>
      <c r="O248" s="710"/>
      <c r="P248" s="712"/>
      <c r="Q248" s="526"/>
      <c r="R248" s="762"/>
      <c r="S248" s="762"/>
      <c r="T248" s="526"/>
      <c r="U248" s="762"/>
      <c r="V248" s="762"/>
      <c r="W248" s="526"/>
      <c r="X248" s="2893"/>
      <c r="Y248" s="2893"/>
      <c r="Z248" s="2893"/>
      <c r="AA248" s="2893"/>
      <c r="AB248" s="2893"/>
      <c r="AC248" s="2893"/>
      <c r="AD248" s="2893"/>
      <c r="AE248" s="2893"/>
      <c r="AF248" s="2893"/>
      <c r="AG248" s="2893"/>
    </row>
    <row r="249" spans="1:33" ht="14.9" customHeight="1">
      <c r="A249" s="252"/>
      <c r="B249" s="2904" t="s">
        <v>332</v>
      </c>
      <c r="C249" s="2904"/>
      <c r="D249" s="2904"/>
      <c r="E249" s="2904"/>
      <c r="F249" s="6"/>
      <c r="G249" s="63"/>
      <c r="H249" s="480"/>
      <c r="I249" s="710"/>
      <c r="J249" s="582"/>
      <c r="K249" s="526"/>
      <c r="L249" s="710"/>
      <c r="M249" s="582"/>
      <c r="N249" s="526"/>
      <c r="O249" s="710"/>
      <c r="P249" s="582"/>
      <c r="Q249" s="526"/>
      <c r="R249" s="762"/>
      <c r="S249" s="762"/>
      <c r="T249" s="526"/>
      <c r="U249" s="762"/>
      <c r="V249" s="762"/>
      <c r="W249" s="526"/>
      <c r="X249" s="2893"/>
      <c r="Y249" s="2893"/>
      <c r="Z249" s="2893"/>
      <c r="AA249" s="2893"/>
      <c r="AB249" s="2893"/>
      <c r="AC249" s="2893"/>
      <c r="AD249" s="2893"/>
      <c r="AE249" s="2893"/>
      <c r="AF249" s="2893"/>
      <c r="AG249" s="2893"/>
    </row>
    <row r="250" spans="1:33" ht="14.9" customHeight="1">
      <c r="A250" s="252"/>
      <c r="B250" s="2903" t="s">
        <v>333</v>
      </c>
      <c r="C250" s="2903"/>
      <c r="D250" s="2903"/>
      <c r="E250" s="2903"/>
      <c r="F250" s="6"/>
      <c r="G250" s="65"/>
      <c r="H250" s="480"/>
      <c r="I250" s="710"/>
      <c r="J250" s="711"/>
      <c r="K250" s="526"/>
      <c r="L250" s="710"/>
      <c r="M250" s="711"/>
      <c r="N250" s="526"/>
      <c r="O250" s="710"/>
      <c r="P250" s="712"/>
      <c r="Q250" s="526"/>
      <c r="R250" s="762"/>
      <c r="S250" s="762"/>
      <c r="T250" s="526"/>
      <c r="U250" s="762"/>
      <c r="V250" s="762"/>
      <c r="W250" s="526"/>
      <c r="X250" s="2893"/>
      <c r="Y250" s="2893"/>
      <c r="Z250" s="2893"/>
      <c r="AA250" s="2893"/>
      <c r="AB250" s="2893"/>
      <c r="AC250" s="2893"/>
      <c r="AD250" s="2893"/>
      <c r="AE250" s="2893"/>
      <c r="AF250" s="2893"/>
      <c r="AG250" s="2893"/>
    </row>
    <row r="251" spans="1:33" ht="14.9" customHeight="1">
      <c r="A251" s="252"/>
      <c r="B251" s="2903" t="s">
        <v>334</v>
      </c>
      <c r="C251" s="2903"/>
      <c r="D251" s="2903"/>
      <c r="E251" s="2903"/>
      <c r="F251" s="6"/>
      <c r="G251" s="63"/>
      <c r="H251" s="480"/>
      <c r="I251" s="710"/>
      <c r="J251" s="582"/>
      <c r="K251" s="526"/>
      <c r="L251" s="710"/>
      <c r="M251" s="582"/>
      <c r="N251" s="526"/>
      <c r="O251" s="710"/>
      <c r="P251" s="582"/>
      <c r="Q251" s="526"/>
      <c r="R251" s="762"/>
      <c r="S251" s="762"/>
      <c r="T251" s="526"/>
      <c r="U251" s="762"/>
      <c r="V251" s="762"/>
      <c r="W251" s="526"/>
      <c r="X251" s="2893"/>
      <c r="Y251" s="2893"/>
      <c r="Z251" s="2893"/>
      <c r="AA251" s="2893"/>
      <c r="AB251" s="2893"/>
      <c r="AC251" s="2893"/>
      <c r="AD251" s="2893"/>
      <c r="AE251" s="2893"/>
      <c r="AF251" s="2893"/>
      <c r="AG251" s="2893"/>
    </row>
    <row r="252" spans="1:33" ht="14.9" customHeight="1">
      <c r="A252" s="252"/>
      <c r="B252" s="2904" t="s">
        <v>335</v>
      </c>
      <c r="C252" s="2904"/>
      <c r="D252" s="2904"/>
      <c r="E252" s="2904"/>
      <c r="H252" s="480"/>
      <c r="I252" s="713"/>
      <c r="J252" s="713"/>
      <c r="K252" s="526"/>
      <c r="L252" s="713"/>
      <c r="M252" s="713"/>
      <c r="N252" s="526"/>
      <c r="O252" s="713"/>
      <c r="P252" s="713"/>
      <c r="Q252" s="526"/>
      <c r="R252" s="762"/>
      <c r="S252" s="762"/>
      <c r="T252" s="526"/>
      <c r="U252" s="762"/>
      <c r="V252" s="762"/>
      <c r="W252" s="526"/>
      <c r="X252" s="2893"/>
      <c r="Y252" s="2893"/>
      <c r="Z252" s="2893"/>
      <c r="AA252" s="2893"/>
      <c r="AB252" s="2893"/>
      <c r="AC252" s="2893"/>
      <c r="AD252" s="2893"/>
      <c r="AE252" s="2893"/>
      <c r="AF252" s="2893"/>
      <c r="AG252" s="2893"/>
    </row>
    <row r="253" spans="1:33" ht="14.9" customHeight="1">
      <c r="A253" s="252"/>
      <c r="B253" s="2903" t="s">
        <v>336</v>
      </c>
      <c r="C253" s="2903"/>
      <c r="D253" s="2903"/>
      <c r="E253" s="2903"/>
      <c r="F253" s="6"/>
      <c r="G253" s="63"/>
      <c r="H253" s="480"/>
      <c r="I253" s="710"/>
      <c r="J253" s="582"/>
      <c r="K253" s="526"/>
      <c r="L253" s="710"/>
      <c r="M253" s="582"/>
      <c r="N253" s="526"/>
      <c r="O253" s="710"/>
      <c r="P253" s="582"/>
      <c r="Q253" s="526"/>
      <c r="R253" s="762"/>
      <c r="S253" s="762"/>
      <c r="T253" s="526"/>
      <c r="U253" s="762"/>
      <c r="V253" s="762"/>
      <c r="W253" s="526"/>
      <c r="X253" s="2893"/>
      <c r="Y253" s="2893"/>
      <c r="Z253" s="2893"/>
      <c r="AA253" s="2893"/>
      <c r="AB253" s="2893"/>
      <c r="AC253" s="2893"/>
      <c r="AD253" s="2893"/>
      <c r="AE253" s="2893"/>
      <c r="AF253" s="2893"/>
      <c r="AG253" s="2893"/>
    </row>
    <row r="254" spans="1:33" ht="32.9" customHeight="1">
      <c r="A254" s="252"/>
      <c r="B254" s="2903" t="s">
        <v>337</v>
      </c>
      <c r="C254" s="2903"/>
      <c r="D254" s="2903"/>
      <c r="E254" s="2903"/>
      <c r="F254" s="6"/>
      <c r="G254" s="63"/>
      <c r="H254" s="480"/>
      <c r="I254" s="710"/>
      <c r="J254" s="582"/>
      <c r="K254" s="526"/>
      <c r="L254" s="710"/>
      <c r="M254" s="582"/>
      <c r="N254" s="526"/>
      <c r="O254" s="710"/>
      <c r="P254" s="582"/>
      <c r="Q254" s="526"/>
      <c r="R254" s="762"/>
      <c r="S254" s="762"/>
      <c r="T254" s="526"/>
      <c r="U254" s="762"/>
      <c r="V254" s="762"/>
      <c r="W254" s="526"/>
      <c r="X254" s="2893"/>
      <c r="Y254" s="2893"/>
      <c r="Z254" s="2893"/>
      <c r="AA254" s="2893"/>
      <c r="AB254" s="2893"/>
      <c r="AC254" s="2893"/>
      <c r="AD254" s="2893"/>
      <c r="AE254" s="2893"/>
      <c r="AF254" s="2893"/>
      <c r="AG254" s="2893"/>
    </row>
    <row r="255" spans="1:33" ht="32.9" customHeight="1">
      <c r="A255" s="252"/>
      <c r="B255" s="2903" t="s">
        <v>338</v>
      </c>
      <c r="C255" s="2903"/>
      <c r="D255" s="2903"/>
      <c r="E255" s="2903"/>
      <c r="F255" s="6"/>
      <c r="G255" s="63"/>
      <c r="H255" s="480"/>
      <c r="I255" s="710"/>
      <c r="J255" s="582"/>
      <c r="K255" s="526"/>
      <c r="L255" s="710"/>
      <c r="M255" s="582"/>
      <c r="N255" s="526"/>
      <c r="O255" s="710"/>
      <c r="P255" s="582"/>
      <c r="Q255" s="526"/>
      <c r="R255" s="762"/>
      <c r="S255" s="762"/>
      <c r="T255" s="526"/>
      <c r="U255" s="762"/>
      <c r="V255" s="762"/>
      <c r="W255" s="526"/>
      <c r="X255" s="2893"/>
      <c r="Y255" s="2893"/>
      <c r="Z255" s="2893"/>
      <c r="AA255" s="2893"/>
      <c r="AB255" s="2893"/>
      <c r="AC255" s="2893"/>
      <c r="AD255" s="2893"/>
      <c r="AE255" s="2893"/>
      <c r="AF255" s="2893"/>
      <c r="AG255" s="2893"/>
    </row>
    <row r="256" spans="1:33" ht="14.9" customHeight="1">
      <c r="A256" s="252"/>
      <c r="B256" s="2903" t="s">
        <v>735</v>
      </c>
      <c r="C256" s="2903"/>
      <c r="D256" s="2903"/>
      <c r="E256" s="2903"/>
      <c r="F256" s="6"/>
      <c r="G256" s="63"/>
      <c r="H256" s="480"/>
      <c r="I256" s="710"/>
      <c r="J256" s="582"/>
      <c r="K256" s="526"/>
      <c r="L256" s="710"/>
      <c r="M256" s="582"/>
      <c r="N256" s="526"/>
      <c r="O256" s="710"/>
      <c r="P256" s="582"/>
      <c r="Q256" s="526"/>
      <c r="R256" s="762"/>
      <c r="S256" s="762"/>
      <c r="T256" s="526"/>
      <c r="U256" s="762"/>
      <c r="V256" s="762"/>
      <c r="W256" s="526"/>
      <c r="X256" s="2893"/>
      <c r="Y256" s="2893"/>
      <c r="Z256" s="2893"/>
      <c r="AA256" s="2893"/>
      <c r="AB256" s="2893"/>
      <c r="AC256" s="2893"/>
      <c r="AD256" s="2893"/>
      <c r="AE256" s="2893"/>
      <c r="AF256" s="2893"/>
      <c r="AG256" s="2893"/>
    </row>
    <row r="257" spans="1:33" ht="14.9" customHeight="1">
      <c r="A257" s="252"/>
      <c r="B257" s="2903" t="s">
        <v>734</v>
      </c>
      <c r="C257" s="2903"/>
      <c r="D257" s="2903"/>
      <c r="E257" s="2903"/>
      <c r="F257" s="6"/>
      <c r="G257" s="63"/>
      <c r="H257" s="802"/>
      <c r="I257" s="741"/>
      <c r="J257" s="557"/>
      <c r="K257" s="769"/>
      <c r="L257" s="741"/>
      <c r="M257" s="557"/>
      <c r="N257" s="769"/>
      <c r="O257" s="741"/>
      <c r="P257" s="557"/>
      <c r="Q257" s="769"/>
      <c r="R257" s="768"/>
      <c r="S257" s="768"/>
      <c r="T257" s="769"/>
      <c r="U257" s="768"/>
      <c r="V257" s="768"/>
      <c r="W257" s="769"/>
      <c r="X257" s="2893"/>
      <c r="Y257" s="2893"/>
      <c r="Z257" s="2893"/>
      <c r="AA257" s="2893"/>
      <c r="AB257" s="2893"/>
      <c r="AC257" s="2893"/>
      <c r="AD257" s="2893"/>
      <c r="AE257" s="2893"/>
      <c r="AF257" s="2893"/>
      <c r="AG257" s="2893"/>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906"/>
      <c r="Y258" s="2906"/>
      <c r="Z258" s="2906"/>
      <c r="AA258" s="2906"/>
      <c r="AB258" s="2906"/>
      <c r="AC258" s="2906"/>
      <c r="AD258" s="2906"/>
      <c r="AE258" s="2906"/>
      <c r="AF258" s="2906"/>
      <c r="AG258" s="2906"/>
    </row>
    <row r="259" spans="1:33" ht="21.65" customHeight="1">
      <c r="A259" s="2907" t="s">
        <v>733</v>
      </c>
      <c r="B259" s="2907"/>
      <c r="C259" s="2907"/>
      <c r="D259" s="2907"/>
      <c r="E259" s="2907"/>
      <c r="F259" s="2907"/>
      <c r="G259" s="2907"/>
      <c r="H259" s="779"/>
      <c r="I259" s="597"/>
      <c r="J259" s="594"/>
      <c r="K259" s="779"/>
      <c r="L259" s="597"/>
      <c r="M259" s="594"/>
      <c r="N259" s="669"/>
      <c r="O259" s="594"/>
      <c r="P259" s="670"/>
      <c r="Q259" s="671"/>
      <c r="R259" s="682"/>
      <c r="S259" s="682"/>
      <c r="T259" s="682"/>
      <c r="U259" s="682"/>
      <c r="V259" s="682"/>
      <c r="W259" s="682"/>
      <c r="X259" s="2909"/>
      <c r="Y259" s="2909"/>
      <c r="Z259" s="2909"/>
      <c r="AA259" s="2909"/>
      <c r="AB259" s="2909"/>
      <c r="AC259" s="2909"/>
      <c r="AD259" s="2909"/>
      <c r="AE259" s="2909"/>
      <c r="AF259" s="2909"/>
      <c r="AG259" s="2909"/>
    </row>
    <row r="260" spans="1:33" ht="18.649999999999999" hidden="1" customHeight="1">
      <c r="A260" s="1"/>
      <c r="B260" s="502"/>
      <c r="C260" s="50"/>
      <c r="D260" s="50"/>
      <c r="E260" s="50"/>
      <c r="G260" s="13"/>
      <c r="H260" s="60"/>
      <c r="I260" s="6"/>
      <c r="J260" s="65"/>
      <c r="K260" s="60"/>
      <c r="L260" s="6"/>
      <c r="M260" s="65"/>
      <c r="N260" s="60"/>
      <c r="P260" s="66"/>
      <c r="Q260" s="788"/>
      <c r="R260" s="8"/>
      <c r="S260" s="8"/>
      <c r="T260" s="788"/>
      <c r="U260" s="8"/>
      <c r="V260" s="8"/>
      <c r="W260" s="788"/>
      <c r="X260" s="2910"/>
      <c r="Y260" s="2910"/>
      <c r="Z260" s="2910"/>
      <c r="AA260" s="2910"/>
      <c r="AB260" s="2910"/>
      <c r="AC260" s="2910"/>
      <c r="AD260" s="2910"/>
      <c r="AE260" s="2910"/>
      <c r="AF260" s="2910"/>
      <c r="AG260" s="2910"/>
    </row>
    <row r="261" spans="1:33" ht="14.9" customHeight="1">
      <c r="A261" s="252"/>
      <c r="B261" s="2903" t="s">
        <v>241</v>
      </c>
      <c r="C261" s="2903"/>
      <c r="D261" s="2903"/>
      <c r="E261" s="2903"/>
      <c r="F261" s="6"/>
      <c r="G261" s="65"/>
      <c r="H261" s="801"/>
      <c r="I261" s="710"/>
      <c r="J261" s="711"/>
      <c r="K261" s="588"/>
      <c r="L261" s="710"/>
      <c r="M261" s="711"/>
      <c r="N261" s="588"/>
      <c r="O261" s="710"/>
      <c r="P261" s="712"/>
      <c r="Q261" s="588"/>
      <c r="R261" s="762"/>
      <c r="S261" s="762"/>
      <c r="T261" s="588"/>
      <c r="U261" s="762"/>
      <c r="V261" s="762"/>
      <c r="W261" s="588"/>
      <c r="X261" s="2893"/>
      <c r="Y261" s="2893"/>
      <c r="Z261" s="2893"/>
      <c r="AA261" s="2893"/>
      <c r="AB261" s="2893"/>
      <c r="AC261" s="2893"/>
      <c r="AD261" s="2893"/>
      <c r="AE261" s="2893"/>
      <c r="AF261" s="2893"/>
      <c r="AG261" s="2893"/>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911"/>
      <c r="Y262" s="2911"/>
      <c r="Z262" s="2911"/>
      <c r="AA262" s="2911"/>
      <c r="AB262" s="2911"/>
      <c r="AC262" s="2911"/>
      <c r="AD262" s="2911"/>
      <c r="AE262" s="2911"/>
      <c r="AF262" s="2911"/>
      <c r="AG262" s="2911"/>
    </row>
    <row r="263" spans="1:33" ht="14.9" customHeight="1">
      <c r="A263" s="252"/>
      <c r="B263" s="2903" t="s">
        <v>625</v>
      </c>
      <c r="C263" s="2903"/>
      <c r="D263" s="2903"/>
      <c r="E263" s="2903"/>
      <c r="F263" s="6"/>
      <c r="G263" s="65"/>
      <c r="H263" s="799"/>
      <c r="I263" s="710"/>
      <c r="J263" s="711"/>
      <c r="K263" s="628"/>
      <c r="L263" s="710"/>
      <c r="M263" s="711"/>
      <c r="N263" s="628"/>
      <c r="O263" s="710"/>
      <c r="P263" s="712"/>
      <c r="Q263" s="628"/>
      <c r="R263" s="762"/>
      <c r="S263" s="762"/>
      <c r="T263" s="628"/>
      <c r="U263" s="762"/>
      <c r="V263" s="762"/>
      <c r="W263" s="628"/>
      <c r="X263" s="2893"/>
      <c r="Y263" s="2893"/>
      <c r="Z263" s="2893"/>
      <c r="AA263" s="2893"/>
      <c r="AB263" s="2893"/>
      <c r="AC263" s="2893"/>
      <c r="AD263" s="2893"/>
      <c r="AE263" s="2893"/>
      <c r="AF263" s="2893"/>
      <c r="AG263" s="2893"/>
    </row>
    <row r="264" spans="1:33" ht="14.9" customHeight="1">
      <c r="A264" s="252"/>
      <c r="B264" s="2903" t="s">
        <v>626</v>
      </c>
      <c r="C264" s="2903"/>
      <c r="D264" s="2903"/>
      <c r="E264" s="2903"/>
      <c r="F264" s="6"/>
      <c r="G264" s="65"/>
      <c r="H264" s="480"/>
      <c r="I264" s="710"/>
      <c r="J264" s="711"/>
      <c r="K264" s="526"/>
      <c r="L264" s="710"/>
      <c r="M264" s="711"/>
      <c r="N264" s="526"/>
      <c r="O264" s="710"/>
      <c r="P264" s="712"/>
      <c r="Q264" s="526"/>
      <c r="R264" s="762"/>
      <c r="S264" s="762"/>
      <c r="T264" s="526"/>
      <c r="U264" s="762"/>
      <c r="V264" s="762"/>
      <c r="W264" s="526"/>
      <c r="X264" s="2893"/>
      <c r="Y264" s="2893"/>
      <c r="Z264" s="2893"/>
      <c r="AA264" s="2893"/>
      <c r="AB264" s="2893"/>
      <c r="AC264" s="2893"/>
      <c r="AD264" s="2893"/>
      <c r="AE264" s="2893"/>
      <c r="AF264" s="2893"/>
      <c r="AG264" s="2893"/>
    </row>
    <row r="265" spans="1:33" ht="14.9" customHeight="1">
      <c r="A265" s="252"/>
      <c r="B265" s="2903" t="s">
        <v>627</v>
      </c>
      <c r="C265" s="2903"/>
      <c r="D265" s="2903"/>
      <c r="E265" s="2903"/>
      <c r="F265" s="6"/>
      <c r="G265" s="65"/>
      <c r="H265" s="794"/>
      <c r="I265" s="710"/>
      <c r="J265" s="711"/>
      <c r="K265" s="561"/>
      <c r="L265" s="710"/>
      <c r="M265" s="711"/>
      <c r="N265" s="561"/>
      <c r="O265" s="710"/>
      <c r="P265" s="712"/>
      <c r="Q265" s="561"/>
      <c r="R265" s="762"/>
      <c r="S265" s="762"/>
      <c r="T265" s="561"/>
      <c r="U265" s="762"/>
      <c r="V265" s="762"/>
      <c r="W265" s="561"/>
      <c r="X265" s="2893"/>
      <c r="Y265" s="2893"/>
      <c r="Z265" s="2893"/>
      <c r="AA265" s="2893"/>
      <c r="AB265" s="2893"/>
      <c r="AC265" s="2893"/>
      <c r="AD265" s="2893"/>
      <c r="AE265" s="2893"/>
      <c r="AF265" s="2893"/>
      <c r="AG265" s="2893"/>
    </row>
    <row r="266" spans="1:33" ht="14.9" customHeight="1">
      <c r="A266" s="252"/>
      <c r="B266" s="2904" t="s">
        <v>628</v>
      </c>
      <c r="C266" s="2904"/>
      <c r="D266" s="2904"/>
      <c r="E266" s="2904"/>
      <c r="F266" s="6"/>
      <c r="G266" s="65"/>
      <c r="H266" s="480"/>
      <c r="I266" s="710"/>
      <c r="J266" s="711"/>
      <c r="K266" s="526"/>
      <c r="L266" s="710"/>
      <c r="M266" s="711"/>
      <c r="N266" s="526"/>
      <c r="O266" s="710"/>
      <c r="P266" s="712"/>
      <c r="Q266" s="526"/>
      <c r="R266" s="762"/>
      <c r="S266" s="762"/>
      <c r="T266" s="526"/>
      <c r="U266" s="762"/>
      <c r="V266" s="762"/>
      <c r="W266" s="526"/>
      <c r="X266" s="2893"/>
      <c r="Y266" s="2893"/>
      <c r="Z266" s="2893"/>
      <c r="AA266" s="2893"/>
      <c r="AB266" s="2893"/>
      <c r="AC266" s="2893"/>
      <c r="AD266" s="2893"/>
      <c r="AE266" s="2893"/>
      <c r="AF266" s="2893"/>
      <c r="AG266" s="2893"/>
    </row>
    <row r="267" spans="1:33" ht="32.9" customHeight="1">
      <c r="A267" s="252"/>
      <c r="B267" s="2904" t="s">
        <v>629</v>
      </c>
      <c r="C267" s="2904"/>
      <c r="D267" s="2904"/>
      <c r="E267" s="2904"/>
      <c r="F267" s="6"/>
      <c r="G267" s="65"/>
      <c r="H267" s="795"/>
      <c r="I267" s="710"/>
      <c r="J267" s="711"/>
      <c r="K267" s="568"/>
      <c r="L267" s="710"/>
      <c r="M267" s="711"/>
      <c r="N267" s="568"/>
      <c r="O267" s="710"/>
      <c r="P267" s="712"/>
      <c r="Q267" s="568"/>
      <c r="R267" s="762"/>
      <c r="S267" s="762"/>
      <c r="T267" s="568"/>
      <c r="U267" s="762"/>
      <c r="V267" s="762"/>
      <c r="W267" s="568"/>
      <c r="X267" s="2893"/>
      <c r="Y267" s="2893"/>
      <c r="Z267" s="2893"/>
      <c r="AA267" s="2893"/>
      <c r="AB267" s="2893"/>
      <c r="AC267" s="2893"/>
      <c r="AD267" s="2893"/>
      <c r="AE267" s="2893"/>
      <c r="AF267" s="2893"/>
      <c r="AG267" s="2893"/>
    </row>
    <row r="268" spans="1:33" ht="14.9" customHeight="1">
      <c r="A268" s="252"/>
      <c r="B268" s="2903" t="s">
        <v>630</v>
      </c>
      <c r="C268" s="2903"/>
      <c r="D268" s="2903"/>
      <c r="E268" s="2903"/>
      <c r="F268" s="6"/>
      <c r="G268" s="65"/>
      <c r="H268" s="480"/>
      <c r="I268" s="710"/>
      <c r="J268" s="711"/>
      <c r="K268" s="526"/>
      <c r="L268" s="710"/>
      <c r="M268" s="711"/>
      <c r="N268" s="526"/>
      <c r="O268" s="710"/>
      <c r="P268" s="712"/>
      <c r="Q268" s="526"/>
      <c r="R268" s="762"/>
      <c r="S268" s="762"/>
      <c r="T268" s="526"/>
      <c r="U268" s="762"/>
      <c r="V268" s="762"/>
      <c r="W268" s="526"/>
      <c r="X268" s="2893"/>
      <c r="Y268" s="2893"/>
      <c r="Z268" s="2893"/>
      <c r="AA268" s="2893"/>
      <c r="AB268" s="2893"/>
      <c r="AC268" s="2893"/>
      <c r="AD268" s="2893"/>
      <c r="AE268" s="2893"/>
      <c r="AF268" s="2893"/>
      <c r="AG268" s="2893"/>
    </row>
    <row r="269" spans="1:33" ht="14.9" customHeight="1">
      <c r="A269" s="252"/>
      <c r="B269" s="2904" t="s">
        <v>634</v>
      </c>
      <c r="C269" s="2904"/>
      <c r="D269" s="2904"/>
      <c r="E269" s="2904"/>
      <c r="F269" s="6"/>
      <c r="G269" s="63"/>
      <c r="H269" s="481"/>
      <c r="I269" s="710"/>
      <c r="J269" s="582"/>
      <c r="K269" s="553"/>
      <c r="L269" s="748"/>
      <c r="M269" s="711"/>
      <c r="N269" s="553"/>
      <c r="O269" s="710"/>
      <c r="P269" s="582"/>
      <c r="Q269" s="553"/>
      <c r="R269" s="762"/>
      <c r="S269" s="762"/>
      <c r="T269" s="553"/>
      <c r="U269" s="762"/>
      <c r="V269" s="762"/>
      <c r="W269" s="553"/>
      <c r="X269" s="2893"/>
      <c r="Y269" s="2893"/>
      <c r="Z269" s="2893"/>
      <c r="AA269" s="2893"/>
      <c r="AB269" s="2893"/>
      <c r="AC269" s="2893"/>
      <c r="AD269" s="2893"/>
      <c r="AE269" s="2893"/>
      <c r="AF269" s="2893"/>
      <c r="AG269" s="2893"/>
    </row>
    <row r="270" spans="1:33" ht="29.15" customHeight="1">
      <c r="A270" s="252"/>
      <c r="B270" s="2903" t="s">
        <v>1551</v>
      </c>
      <c r="C270" s="2903"/>
      <c r="D270" s="2903"/>
      <c r="E270" s="2903"/>
      <c r="F270" s="6"/>
      <c r="G270" s="63"/>
      <c r="H270" s="796"/>
      <c r="I270" s="710"/>
      <c r="J270" s="582"/>
      <c r="K270" s="619"/>
      <c r="L270" s="748"/>
      <c r="M270" s="711"/>
      <c r="N270" s="619"/>
      <c r="O270" s="710"/>
      <c r="P270" s="582"/>
      <c r="Q270" s="619"/>
      <c r="R270" s="762"/>
      <c r="S270" s="762"/>
      <c r="T270" s="619"/>
      <c r="U270" s="762"/>
      <c r="V270" s="762"/>
      <c r="W270" s="619"/>
      <c r="X270" s="2893"/>
      <c r="Y270" s="2893"/>
      <c r="Z270" s="2893"/>
      <c r="AA270" s="2893"/>
      <c r="AB270" s="2893"/>
      <c r="AC270" s="2893"/>
      <c r="AD270" s="2893"/>
      <c r="AE270" s="2893"/>
      <c r="AF270" s="2893"/>
      <c r="AG270" s="2893"/>
    </row>
    <row r="271" spans="1:33" ht="29.15" customHeight="1">
      <c r="A271" s="252"/>
      <c r="B271" s="2903" t="s">
        <v>1552</v>
      </c>
      <c r="C271" s="2903"/>
      <c r="D271" s="2903"/>
      <c r="E271" s="2903"/>
      <c r="F271" s="6"/>
      <c r="G271" s="63"/>
      <c r="H271" s="796"/>
      <c r="I271" s="710"/>
      <c r="J271" s="582"/>
      <c r="K271" s="619"/>
      <c r="L271" s="748"/>
      <c r="M271" s="711"/>
      <c r="N271" s="619"/>
      <c r="O271" s="710"/>
      <c r="P271" s="582"/>
      <c r="Q271" s="619"/>
      <c r="R271" s="762"/>
      <c r="S271" s="762"/>
      <c r="T271" s="619"/>
      <c r="U271" s="762"/>
      <c r="V271" s="762"/>
      <c r="W271" s="619"/>
      <c r="X271" s="2893"/>
      <c r="Y271" s="2893"/>
      <c r="Z271" s="2893"/>
      <c r="AA271" s="2893"/>
      <c r="AB271" s="2893"/>
      <c r="AC271" s="2893"/>
      <c r="AD271" s="2893"/>
      <c r="AE271" s="2893"/>
      <c r="AF271" s="2893"/>
      <c r="AG271" s="2893"/>
    </row>
    <row r="272" spans="1:33" ht="32.9" customHeight="1">
      <c r="A272" s="252"/>
      <c r="B272" s="2903" t="s">
        <v>331</v>
      </c>
      <c r="C272" s="2903"/>
      <c r="D272" s="2903"/>
      <c r="E272" s="2903"/>
      <c r="F272" s="6"/>
      <c r="G272" s="65"/>
      <c r="H272" s="480"/>
      <c r="I272" s="710"/>
      <c r="J272" s="711"/>
      <c r="K272" s="526"/>
      <c r="L272" s="710"/>
      <c r="M272" s="711"/>
      <c r="N272" s="526"/>
      <c r="O272" s="710"/>
      <c r="P272" s="712"/>
      <c r="Q272" s="526"/>
      <c r="R272" s="762"/>
      <c r="S272" s="762"/>
      <c r="T272" s="526"/>
      <c r="U272" s="762"/>
      <c r="V272" s="762"/>
      <c r="W272" s="526"/>
      <c r="X272" s="2893"/>
      <c r="Y272" s="2893"/>
      <c r="Z272" s="2893"/>
      <c r="AA272" s="2893"/>
      <c r="AB272" s="2893"/>
      <c r="AC272" s="2893"/>
      <c r="AD272" s="2893"/>
      <c r="AE272" s="2893"/>
      <c r="AF272" s="2893"/>
      <c r="AG272" s="2893"/>
    </row>
    <row r="273" spans="1:33" ht="14.9" customHeight="1">
      <c r="A273" s="252"/>
      <c r="B273" s="2904" t="s">
        <v>332</v>
      </c>
      <c r="C273" s="2904"/>
      <c r="D273" s="2904"/>
      <c r="E273" s="2904"/>
      <c r="F273" s="6"/>
      <c r="G273" s="63"/>
      <c r="H273" s="480"/>
      <c r="I273" s="710"/>
      <c r="J273" s="582"/>
      <c r="K273" s="526"/>
      <c r="L273" s="748"/>
      <c r="M273" s="711"/>
      <c r="N273" s="526"/>
      <c r="O273" s="710"/>
      <c r="P273" s="582"/>
      <c r="Q273" s="526"/>
      <c r="R273" s="762"/>
      <c r="S273" s="762"/>
      <c r="T273" s="526"/>
      <c r="U273" s="762"/>
      <c r="V273" s="762"/>
      <c r="W273" s="526"/>
      <c r="X273" s="2893"/>
      <c r="Y273" s="2893"/>
      <c r="Z273" s="2893"/>
      <c r="AA273" s="2893"/>
      <c r="AB273" s="2893"/>
      <c r="AC273" s="2893"/>
      <c r="AD273" s="2893"/>
      <c r="AE273" s="2893"/>
      <c r="AF273" s="2893"/>
      <c r="AG273" s="2893"/>
    </row>
    <row r="274" spans="1:33" ht="14.9" customHeight="1">
      <c r="A274" s="252"/>
      <c r="B274" s="2903" t="s">
        <v>333</v>
      </c>
      <c r="C274" s="2903"/>
      <c r="D274" s="2903"/>
      <c r="E274" s="2903"/>
      <c r="F274" s="6"/>
      <c r="G274" s="63"/>
      <c r="H274" s="480"/>
      <c r="I274" s="710"/>
      <c r="J274" s="582"/>
      <c r="K274" s="526"/>
      <c r="L274" s="748"/>
      <c r="M274" s="711"/>
      <c r="N274" s="526"/>
      <c r="O274" s="710"/>
      <c r="P274" s="582"/>
      <c r="Q274" s="526"/>
      <c r="R274" s="762"/>
      <c r="S274" s="762"/>
      <c r="T274" s="526"/>
      <c r="U274" s="762"/>
      <c r="V274" s="762"/>
      <c r="W274" s="526"/>
      <c r="X274" s="2893"/>
      <c r="Y274" s="2893"/>
      <c r="Z274" s="2893"/>
      <c r="AA274" s="2893"/>
      <c r="AB274" s="2893"/>
      <c r="AC274" s="2893"/>
      <c r="AD274" s="2893"/>
      <c r="AE274" s="2893"/>
      <c r="AF274" s="2893"/>
      <c r="AG274" s="2893"/>
    </row>
    <row r="275" spans="1:33" ht="14.9" customHeight="1">
      <c r="A275" s="252"/>
      <c r="B275" s="2903" t="s">
        <v>334</v>
      </c>
      <c r="C275" s="2903"/>
      <c r="D275" s="2903"/>
      <c r="E275" s="2903"/>
      <c r="F275" s="6"/>
      <c r="G275" s="63"/>
      <c r="H275" s="480"/>
      <c r="I275" s="710"/>
      <c r="J275" s="582"/>
      <c r="K275" s="526"/>
      <c r="L275" s="748"/>
      <c r="M275" s="711"/>
      <c r="N275" s="526"/>
      <c r="O275" s="710"/>
      <c r="P275" s="582"/>
      <c r="Q275" s="526"/>
      <c r="R275" s="762"/>
      <c r="S275" s="762"/>
      <c r="T275" s="526"/>
      <c r="U275" s="762"/>
      <c r="V275" s="762"/>
      <c r="W275" s="526"/>
      <c r="X275" s="2893"/>
      <c r="Y275" s="2893"/>
      <c r="Z275" s="2893"/>
      <c r="AA275" s="2893"/>
      <c r="AB275" s="2893"/>
      <c r="AC275" s="2893"/>
      <c r="AD275" s="2893"/>
      <c r="AE275" s="2893"/>
      <c r="AF275" s="2893"/>
      <c r="AG275" s="2893"/>
    </row>
    <row r="276" spans="1:33" ht="14.9" customHeight="1">
      <c r="A276" s="252"/>
      <c r="B276" s="2904" t="s">
        <v>335</v>
      </c>
      <c r="C276" s="2904"/>
      <c r="D276" s="2904"/>
      <c r="E276" s="2904"/>
      <c r="F276" s="6"/>
      <c r="G276" s="63"/>
      <c r="H276" s="480"/>
      <c r="I276" s="710"/>
      <c r="J276" s="582"/>
      <c r="K276" s="526"/>
      <c r="L276" s="748"/>
      <c r="M276" s="711"/>
      <c r="N276" s="526"/>
      <c r="O276" s="710"/>
      <c r="P276" s="582"/>
      <c r="Q276" s="526"/>
      <c r="R276" s="762"/>
      <c r="S276" s="762"/>
      <c r="T276" s="526"/>
      <c r="U276" s="762"/>
      <c r="V276" s="762"/>
      <c r="W276" s="526"/>
      <c r="X276" s="2893"/>
      <c r="Y276" s="2893"/>
      <c r="Z276" s="2893"/>
      <c r="AA276" s="2893"/>
      <c r="AB276" s="2893"/>
      <c r="AC276" s="2893"/>
      <c r="AD276" s="2893"/>
      <c r="AE276" s="2893"/>
      <c r="AF276" s="2893"/>
      <c r="AG276" s="2893"/>
    </row>
    <row r="277" spans="1:33" ht="14.9" customHeight="1">
      <c r="A277" s="252"/>
      <c r="B277" s="2903" t="s">
        <v>336</v>
      </c>
      <c r="C277" s="2903"/>
      <c r="D277" s="2903"/>
      <c r="E277" s="2903"/>
      <c r="F277" s="6"/>
      <c r="G277" s="63"/>
      <c r="H277" s="480"/>
      <c r="I277" s="710"/>
      <c r="J277" s="582"/>
      <c r="K277" s="526"/>
      <c r="L277" s="748"/>
      <c r="M277" s="711"/>
      <c r="N277" s="526"/>
      <c r="O277" s="710"/>
      <c r="P277" s="582"/>
      <c r="Q277" s="526"/>
      <c r="R277" s="762"/>
      <c r="S277" s="762"/>
      <c r="T277" s="526"/>
      <c r="U277" s="762"/>
      <c r="V277" s="762"/>
      <c r="W277" s="526"/>
      <c r="X277" s="2893"/>
      <c r="Y277" s="2893"/>
      <c r="Z277" s="2893"/>
      <c r="AA277" s="2893"/>
      <c r="AB277" s="2893"/>
      <c r="AC277" s="2893"/>
      <c r="AD277" s="2893"/>
      <c r="AE277" s="2893"/>
      <c r="AF277" s="2893"/>
      <c r="AG277" s="2893"/>
    </row>
    <row r="278" spans="1:33" ht="32.9" customHeight="1">
      <c r="A278" s="252"/>
      <c r="B278" s="2903" t="s">
        <v>337</v>
      </c>
      <c r="C278" s="2903"/>
      <c r="D278" s="2903"/>
      <c r="E278" s="2903"/>
      <c r="F278" s="6"/>
      <c r="G278" s="63"/>
      <c r="H278" s="480"/>
      <c r="I278" s="710"/>
      <c r="J278" s="582"/>
      <c r="K278" s="526"/>
      <c r="L278" s="748"/>
      <c r="M278" s="711"/>
      <c r="N278" s="526"/>
      <c r="O278" s="710"/>
      <c r="P278" s="582"/>
      <c r="Q278" s="526"/>
      <c r="R278" s="762"/>
      <c r="S278" s="762"/>
      <c r="T278" s="526"/>
      <c r="U278" s="762"/>
      <c r="V278" s="762"/>
      <c r="W278" s="526"/>
      <c r="X278" s="2893"/>
      <c r="Y278" s="2893"/>
      <c r="Z278" s="2893"/>
      <c r="AA278" s="2893"/>
      <c r="AB278" s="2893"/>
      <c r="AC278" s="2893"/>
      <c r="AD278" s="2893"/>
      <c r="AE278" s="2893"/>
      <c r="AF278" s="2893"/>
      <c r="AG278" s="2893"/>
    </row>
    <row r="279" spans="1:33" ht="32.9" customHeight="1">
      <c r="A279" s="252"/>
      <c r="B279" s="2903" t="s">
        <v>338</v>
      </c>
      <c r="C279" s="2903"/>
      <c r="D279" s="2903"/>
      <c r="E279" s="2903"/>
      <c r="F279" s="6"/>
      <c r="G279" s="63"/>
      <c r="H279" s="480"/>
      <c r="I279" s="710"/>
      <c r="J279" s="582"/>
      <c r="K279" s="526"/>
      <c r="L279" s="748"/>
      <c r="M279" s="711"/>
      <c r="N279" s="526"/>
      <c r="O279" s="710"/>
      <c r="P279" s="582"/>
      <c r="Q279" s="526"/>
      <c r="R279" s="762"/>
      <c r="S279" s="762"/>
      <c r="T279" s="526"/>
      <c r="U279" s="762"/>
      <c r="V279" s="762"/>
      <c r="W279" s="526"/>
      <c r="X279" s="2893"/>
      <c r="Y279" s="2893"/>
      <c r="Z279" s="2893"/>
      <c r="AA279" s="2893"/>
      <c r="AB279" s="2893"/>
      <c r="AC279" s="2893"/>
      <c r="AD279" s="2893"/>
      <c r="AE279" s="2893"/>
      <c r="AF279" s="2893"/>
      <c r="AG279" s="2893"/>
    </row>
    <row r="280" spans="1:33" ht="14.9" customHeight="1">
      <c r="A280" s="252"/>
      <c r="B280" s="2903" t="s">
        <v>735</v>
      </c>
      <c r="C280" s="2903"/>
      <c r="D280" s="2903"/>
      <c r="E280" s="2903"/>
      <c r="F280" s="6"/>
      <c r="G280" s="63"/>
      <c r="H280" s="480"/>
      <c r="I280" s="710"/>
      <c r="J280" s="582"/>
      <c r="K280" s="526"/>
      <c r="L280" s="748"/>
      <c r="M280" s="711"/>
      <c r="N280" s="526"/>
      <c r="O280" s="710"/>
      <c r="P280" s="582"/>
      <c r="Q280" s="526"/>
      <c r="R280" s="762"/>
      <c r="S280" s="762"/>
      <c r="T280" s="526"/>
      <c r="U280" s="762"/>
      <c r="V280" s="762"/>
      <c r="W280" s="526"/>
      <c r="X280" s="2893"/>
      <c r="Y280" s="2893"/>
      <c r="Z280" s="2893"/>
      <c r="AA280" s="2893"/>
      <c r="AB280" s="2893"/>
      <c r="AC280" s="2893"/>
      <c r="AD280" s="2893"/>
      <c r="AE280" s="2893"/>
      <c r="AF280" s="2893"/>
      <c r="AG280" s="2893"/>
    </row>
    <row r="281" spans="1:33" ht="14.9" customHeight="1">
      <c r="A281" s="252"/>
      <c r="B281" s="2903" t="s">
        <v>734</v>
      </c>
      <c r="C281" s="2903"/>
      <c r="D281" s="2903"/>
      <c r="E281" s="2903"/>
      <c r="F281" s="6"/>
      <c r="G281" s="63"/>
      <c r="H281" s="797"/>
      <c r="I281" s="710"/>
      <c r="J281" s="582"/>
      <c r="K281" s="562"/>
      <c r="L281" s="748"/>
      <c r="M281" s="711"/>
      <c r="N281" s="562"/>
      <c r="O281" s="710"/>
      <c r="P281" s="582"/>
      <c r="Q281" s="562"/>
      <c r="R281" s="762"/>
      <c r="S281" s="762"/>
      <c r="T281" s="562"/>
      <c r="U281" s="762"/>
      <c r="V281" s="762"/>
      <c r="W281" s="562"/>
      <c r="X281" s="2893"/>
      <c r="Y281" s="2893"/>
      <c r="Z281" s="2893"/>
      <c r="AA281" s="2893"/>
      <c r="AB281" s="2893"/>
      <c r="AC281" s="2893"/>
      <c r="AD281" s="2893"/>
      <c r="AE281" s="2893"/>
      <c r="AF281" s="2893"/>
      <c r="AG281" s="2893"/>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911"/>
      <c r="Y282" s="2911"/>
      <c r="Z282" s="2911"/>
      <c r="AA282" s="2911"/>
      <c r="AB282" s="2911"/>
      <c r="AC282" s="2911"/>
      <c r="AD282" s="2911"/>
      <c r="AE282" s="2911"/>
      <c r="AF282" s="2911"/>
      <c r="AG282" s="2911"/>
    </row>
    <row r="283" spans="1:33" ht="14.9" customHeight="1">
      <c r="A283" s="252"/>
      <c r="B283" s="2903" t="s">
        <v>625</v>
      </c>
      <c r="C283" s="2903"/>
      <c r="D283" s="2903"/>
      <c r="E283" s="2903"/>
      <c r="F283" s="6"/>
      <c r="G283" s="65"/>
      <c r="H283" s="799"/>
      <c r="I283" s="710"/>
      <c r="J283" s="711"/>
      <c r="K283" s="628"/>
      <c r="L283" s="710"/>
      <c r="M283" s="711"/>
      <c r="N283" s="628"/>
      <c r="O283" s="710"/>
      <c r="P283" s="712"/>
      <c r="Q283" s="628"/>
      <c r="R283" s="762"/>
      <c r="S283" s="762"/>
      <c r="T283" s="628"/>
      <c r="U283" s="762"/>
      <c r="V283" s="762"/>
      <c r="W283" s="628"/>
      <c r="X283" s="2893"/>
      <c r="Y283" s="2893"/>
      <c r="Z283" s="2893"/>
      <c r="AA283" s="2893"/>
      <c r="AB283" s="2893"/>
      <c r="AC283" s="2893"/>
      <c r="AD283" s="2893"/>
      <c r="AE283" s="2893"/>
      <c r="AF283" s="2893"/>
      <c r="AG283" s="2893"/>
    </row>
    <row r="284" spans="1:33" ht="14.9" customHeight="1">
      <c r="A284" s="252"/>
      <c r="B284" s="2903" t="s">
        <v>626</v>
      </c>
      <c r="C284" s="2903"/>
      <c r="D284" s="2903"/>
      <c r="E284" s="2903"/>
      <c r="F284" s="6"/>
      <c r="G284" s="63"/>
      <c r="H284" s="480"/>
      <c r="I284" s="710"/>
      <c r="J284" s="582"/>
      <c r="K284" s="526"/>
      <c r="L284" s="748"/>
      <c r="M284" s="711"/>
      <c r="N284" s="526"/>
      <c r="O284" s="710"/>
      <c r="P284" s="582"/>
      <c r="Q284" s="526"/>
      <c r="R284" s="762"/>
      <c r="S284" s="762"/>
      <c r="T284" s="526"/>
      <c r="U284" s="762"/>
      <c r="V284" s="762"/>
      <c r="W284" s="526"/>
      <c r="X284" s="2893"/>
      <c r="Y284" s="2893"/>
      <c r="Z284" s="2893"/>
      <c r="AA284" s="2893"/>
      <c r="AB284" s="2893"/>
      <c r="AC284" s="2893"/>
      <c r="AD284" s="2893"/>
      <c r="AE284" s="2893"/>
      <c r="AF284" s="2893"/>
      <c r="AG284" s="2893"/>
    </row>
    <row r="285" spans="1:33" ht="14.9" customHeight="1">
      <c r="A285" s="252"/>
      <c r="B285" s="2903" t="s">
        <v>627</v>
      </c>
      <c r="C285" s="2903"/>
      <c r="D285" s="2903"/>
      <c r="E285" s="2903"/>
      <c r="F285" s="6"/>
      <c r="G285" s="63"/>
      <c r="H285" s="794"/>
      <c r="I285" s="710"/>
      <c r="J285" s="582"/>
      <c r="K285" s="561"/>
      <c r="L285" s="748"/>
      <c r="M285" s="711"/>
      <c r="N285" s="561"/>
      <c r="O285" s="710"/>
      <c r="P285" s="582"/>
      <c r="Q285" s="561"/>
      <c r="R285" s="762"/>
      <c r="S285" s="762"/>
      <c r="T285" s="561"/>
      <c r="U285" s="762"/>
      <c r="V285" s="762"/>
      <c r="W285" s="561"/>
      <c r="X285" s="2893"/>
      <c r="Y285" s="2893"/>
      <c r="Z285" s="2893"/>
      <c r="AA285" s="2893"/>
      <c r="AB285" s="2893"/>
      <c r="AC285" s="2893"/>
      <c r="AD285" s="2893"/>
      <c r="AE285" s="2893"/>
      <c r="AF285" s="2893"/>
      <c r="AG285" s="2893"/>
    </row>
    <row r="286" spans="1:33" ht="14.9" customHeight="1">
      <c r="A286" s="252"/>
      <c r="B286" s="2904" t="s">
        <v>628</v>
      </c>
      <c r="C286" s="2904"/>
      <c r="D286" s="2904"/>
      <c r="E286" s="2904"/>
      <c r="F286" s="6"/>
      <c r="G286" s="63"/>
      <c r="H286" s="480"/>
      <c r="I286" s="710"/>
      <c r="J286" s="582"/>
      <c r="K286" s="526"/>
      <c r="L286" s="748"/>
      <c r="M286" s="711"/>
      <c r="N286" s="526"/>
      <c r="O286" s="710"/>
      <c r="P286" s="582"/>
      <c r="Q286" s="526"/>
      <c r="R286" s="762"/>
      <c r="S286" s="762"/>
      <c r="T286" s="526"/>
      <c r="U286" s="762"/>
      <c r="V286" s="762"/>
      <c r="W286" s="526"/>
      <c r="X286" s="2893"/>
      <c r="Y286" s="2893"/>
      <c r="Z286" s="2893"/>
      <c r="AA286" s="2893"/>
      <c r="AB286" s="2893"/>
      <c r="AC286" s="2893"/>
      <c r="AD286" s="2893"/>
      <c r="AE286" s="2893"/>
      <c r="AF286" s="2893"/>
      <c r="AG286" s="2893"/>
    </row>
    <row r="287" spans="1:33" ht="33.75" customHeight="1">
      <c r="A287" s="252"/>
      <c r="B287" s="2904" t="s">
        <v>629</v>
      </c>
      <c r="C287" s="2904"/>
      <c r="D287" s="2904"/>
      <c r="E287" s="2904"/>
      <c r="F287" s="6"/>
      <c r="G287" s="65"/>
      <c r="H287" s="795"/>
      <c r="I287" s="710"/>
      <c r="J287" s="711"/>
      <c r="K287" s="568"/>
      <c r="L287" s="710"/>
      <c r="M287" s="711"/>
      <c r="N287" s="568"/>
      <c r="O287" s="710"/>
      <c r="P287" s="712"/>
      <c r="Q287" s="568"/>
      <c r="R287" s="762"/>
      <c r="S287" s="762"/>
      <c r="T287" s="568"/>
      <c r="U287" s="762"/>
      <c r="V287" s="762"/>
      <c r="W287" s="568"/>
      <c r="X287" s="2893"/>
      <c r="Y287" s="2893"/>
      <c r="Z287" s="2893"/>
      <c r="AA287" s="2893"/>
      <c r="AB287" s="2893"/>
      <c r="AC287" s="2893"/>
      <c r="AD287" s="2893"/>
      <c r="AE287" s="2893"/>
      <c r="AF287" s="2893"/>
      <c r="AG287" s="2893"/>
    </row>
    <row r="288" spans="1:33" ht="14.9" customHeight="1">
      <c r="A288" s="252"/>
      <c r="B288" s="2903" t="s">
        <v>630</v>
      </c>
      <c r="C288" s="2903"/>
      <c r="D288" s="2903"/>
      <c r="E288" s="2903"/>
      <c r="F288" s="6"/>
      <c r="G288" s="65"/>
      <c r="H288" s="480"/>
      <c r="I288" s="710"/>
      <c r="J288" s="711"/>
      <c r="K288" s="526"/>
      <c r="L288" s="710"/>
      <c r="M288" s="711"/>
      <c r="N288" s="526"/>
      <c r="O288" s="710"/>
      <c r="P288" s="712"/>
      <c r="Q288" s="526"/>
      <c r="R288" s="762"/>
      <c r="S288" s="762"/>
      <c r="T288" s="526"/>
      <c r="U288" s="762"/>
      <c r="V288" s="762"/>
      <c r="W288" s="526"/>
      <c r="X288" s="2893"/>
      <c r="Y288" s="2893"/>
      <c r="Z288" s="2893"/>
      <c r="AA288" s="2893"/>
      <c r="AB288" s="2893"/>
      <c r="AC288" s="2893"/>
      <c r="AD288" s="2893"/>
      <c r="AE288" s="2893"/>
      <c r="AF288" s="2893"/>
      <c r="AG288" s="2893"/>
    </row>
    <row r="289" spans="1:33" ht="14.9" customHeight="1">
      <c r="A289" s="252"/>
      <c r="B289" s="2904" t="s">
        <v>634</v>
      </c>
      <c r="C289" s="2904"/>
      <c r="D289" s="2904"/>
      <c r="E289" s="2904"/>
      <c r="F289" s="6"/>
      <c r="G289" s="65"/>
      <c r="H289" s="481"/>
      <c r="I289" s="710"/>
      <c r="J289" s="711"/>
      <c r="K289" s="553"/>
      <c r="L289" s="710"/>
      <c r="M289" s="711"/>
      <c r="N289" s="553"/>
      <c r="O289" s="710"/>
      <c r="P289" s="712"/>
      <c r="Q289" s="553"/>
      <c r="R289" s="762"/>
      <c r="S289" s="762"/>
      <c r="T289" s="553"/>
      <c r="U289" s="762"/>
      <c r="V289" s="762"/>
      <c r="W289" s="553"/>
      <c r="X289" s="2893"/>
      <c r="Y289" s="2893"/>
      <c r="Z289" s="2893"/>
      <c r="AA289" s="2893"/>
      <c r="AB289" s="2893"/>
      <c r="AC289" s="2893"/>
      <c r="AD289" s="2893"/>
      <c r="AE289" s="2893"/>
      <c r="AF289" s="2893"/>
      <c r="AG289" s="2893"/>
    </row>
    <row r="290" spans="1:33" ht="29.15" customHeight="1">
      <c r="A290" s="252"/>
      <c r="B290" s="2903" t="s">
        <v>1551</v>
      </c>
      <c r="C290" s="2903"/>
      <c r="D290" s="2903"/>
      <c r="E290" s="2903"/>
      <c r="F290" s="6"/>
      <c r="G290" s="65"/>
      <c r="H290" s="796"/>
      <c r="I290" s="710"/>
      <c r="J290" s="711"/>
      <c r="K290" s="619"/>
      <c r="L290" s="710"/>
      <c r="M290" s="711"/>
      <c r="N290" s="619"/>
      <c r="O290" s="710"/>
      <c r="P290" s="712"/>
      <c r="Q290" s="619"/>
      <c r="R290" s="762"/>
      <c r="S290" s="762"/>
      <c r="T290" s="619"/>
      <c r="U290" s="762"/>
      <c r="V290" s="762"/>
      <c r="W290" s="619"/>
      <c r="X290" s="2893"/>
      <c r="Y290" s="2893"/>
      <c r="Z290" s="2893"/>
      <c r="AA290" s="2893"/>
      <c r="AB290" s="2893"/>
      <c r="AC290" s="2893"/>
      <c r="AD290" s="2893"/>
      <c r="AE290" s="2893"/>
      <c r="AF290" s="2893"/>
      <c r="AG290" s="2893"/>
    </row>
    <row r="291" spans="1:33" ht="29.15" customHeight="1">
      <c r="A291" s="252"/>
      <c r="B291" s="2903" t="s">
        <v>1552</v>
      </c>
      <c r="C291" s="2903"/>
      <c r="D291" s="2903"/>
      <c r="E291" s="2903"/>
      <c r="F291" s="6"/>
      <c r="G291" s="65"/>
      <c r="H291" s="796"/>
      <c r="I291" s="710"/>
      <c r="J291" s="711"/>
      <c r="K291" s="619"/>
      <c r="L291" s="710"/>
      <c r="M291" s="711"/>
      <c r="N291" s="619"/>
      <c r="O291" s="710"/>
      <c r="P291" s="712"/>
      <c r="Q291" s="619"/>
      <c r="R291" s="762"/>
      <c r="S291" s="762"/>
      <c r="T291" s="619"/>
      <c r="U291" s="762"/>
      <c r="V291" s="762"/>
      <c r="W291" s="619"/>
      <c r="X291" s="2893"/>
      <c r="Y291" s="2893"/>
      <c r="Z291" s="2893"/>
      <c r="AA291" s="2893"/>
      <c r="AB291" s="2893"/>
      <c r="AC291" s="2893"/>
      <c r="AD291" s="2893"/>
      <c r="AE291" s="2893"/>
      <c r="AF291" s="2893"/>
      <c r="AG291" s="2893"/>
    </row>
    <row r="292" spans="1:33" ht="33.75" customHeight="1">
      <c r="A292" s="252"/>
      <c r="B292" s="2903" t="s">
        <v>331</v>
      </c>
      <c r="C292" s="2903"/>
      <c r="D292" s="2903"/>
      <c r="E292" s="2903"/>
      <c r="F292" s="6"/>
      <c r="G292" s="65"/>
      <c r="H292" s="480"/>
      <c r="I292" s="710"/>
      <c r="J292" s="711"/>
      <c r="K292" s="526"/>
      <c r="L292" s="710"/>
      <c r="M292" s="711"/>
      <c r="N292" s="526"/>
      <c r="O292" s="710"/>
      <c r="P292" s="712"/>
      <c r="Q292" s="526"/>
      <c r="R292" s="762"/>
      <c r="S292" s="762"/>
      <c r="T292" s="526"/>
      <c r="U292" s="762"/>
      <c r="V292" s="762"/>
      <c r="W292" s="526"/>
      <c r="X292" s="2893"/>
      <c r="Y292" s="2893"/>
      <c r="Z292" s="2893"/>
      <c r="AA292" s="2893"/>
      <c r="AB292" s="2893"/>
      <c r="AC292" s="2893"/>
      <c r="AD292" s="2893"/>
      <c r="AE292" s="2893"/>
      <c r="AF292" s="2893"/>
      <c r="AG292" s="2893"/>
    </row>
    <row r="293" spans="1:33" ht="14.9" customHeight="1">
      <c r="A293" s="252"/>
      <c r="B293" s="2904" t="s">
        <v>332</v>
      </c>
      <c r="C293" s="2904"/>
      <c r="D293" s="2904"/>
      <c r="E293" s="2904"/>
      <c r="F293" s="6"/>
      <c r="G293" s="63"/>
      <c r="H293" s="480"/>
      <c r="I293" s="710"/>
      <c r="J293" s="582"/>
      <c r="K293" s="526"/>
      <c r="L293" s="748"/>
      <c r="M293" s="711"/>
      <c r="N293" s="526"/>
      <c r="O293" s="710"/>
      <c r="P293" s="582"/>
      <c r="Q293" s="526"/>
      <c r="R293" s="762"/>
      <c r="S293" s="762"/>
      <c r="T293" s="526"/>
      <c r="U293" s="762"/>
      <c r="V293" s="762"/>
      <c r="W293" s="526"/>
      <c r="X293" s="2893"/>
      <c r="Y293" s="2893"/>
      <c r="Z293" s="2893"/>
      <c r="AA293" s="2893"/>
      <c r="AB293" s="2893"/>
      <c r="AC293" s="2893"/>
      <c r="AD293" s="2893"/>
      <c r="AE293" s="2893"/>
      <c r="AF293" s="2893"/>
      <c r="AG293" s="2893"/>
    </row>
    <row r="294" spans="1:33" ht="14.9" customHeight="1">
      <c r="A294" s="252"/>
      <c r="B294" s="2903" t="s">
        <v>333</v>
      </c>
      <c r="C294" s="2903"/>
      <c r="D294" s="2903"/>
      <c r="E294" s="2903"/>
      <c r="F294" s="6"/>
      <c r="G294" s="63"/>
      <c r="H294" s="480"/>
      <c r="I294" s="710"/>
      <c r="J294" s="582"/>
      <c r="K294" s="526"/>
      <c r="L294" s="748"/>
      <c r="M294" s="711"/>
      <c r="N294" s="526"/>
      <c r="O294" s="710"/>
      <c r="P294" s="582"/>
      <c r="Q294" s="526"/>
      <c r="R294" s="762"/>
      <c r="S294" s="762"/>
      <c r="T294" s="526"/>
      <c r="U294" s="762"/>
      <c r="V294" s="762"/>
      <c r="W294" s="526"/>
      <c r="X294" s="2893"/>
      <c r="Y294" s="2893"/>
      <c r="Z294" s="2893"/>
      <c r="AA294" s="2893"/>
      <c r="AB294" s="2893"/>
      <c r="AC294" s="2893"/>
      <c r="AD294" s="2893"/>
      <c r="AE294" s="2893"/>
      <c r="AF294" s="2893"/>
      <c r="AG294" s="2893"/>
    </row>
    <row r="295" spans="1:33" ht="14.9" customHeight="1">
      <c r="A295" s="252"/>
      <c r="B295" s="2903" t="s">
        <v>334</v>
      </c>
      <c r="C295" s="2903"/>
      <c r="D295" s="2903"/>
      <c r="E295" s="2903"/>
      <c r="F295" s="6"/>
      <c r="G295" s="63"/>
      <c r="H295" s="480"/>
      <c r="I295" s="710"/>
      <c r="J295" s="582"/>
      <c r="K295" s="526"/>
      <c r="L295" s="748"/>
      <c r="M295" s="711"/>
      <c r="N295" s="526"/>
      <c r="O295" s="710"/>
      <c r="P295" s="582"/>
      <c r="Q295" s="526"/>
      <c r="R295" s="762"/>
      <c r="S295" s="762"/>
      <c r="T295" s="526"/>
      <c r="U295" s="762"/>
      <c r="V295" s="762"/>
      <c r="W295" s="526"/>
      <c r="X295" s="2893"/>
      <c r="Y295" s="2893"/>
      <c r="Z295" s="2893"/>
      <c r="AA295" s="2893"/>
      <c r="AB295" s="2893"/>
      <c r="AC295" s="2893"/>
      <c r="AD295" s="2893"/>
      <c r="AE295" s="2893"/>
      <c r="AF295" s="2893"/>
      <c r="AG295" s="2893"/>
    </row>
    <row r="296" spans="1:33" ht="14.9" customHeight="1">
      <c r="A296" s="252"/>
      <c r="B296" s="2904" t="s">
        <v>335</v>
      </c>
      <c r="C296" s="2904"/>
      <c r="D296" s="2904"/>
      <c r="E296" s="2904"/>
      <c r="F296" s="6"/>
      <c r="G296" s="63"/>
      <c r="H296" s="480"/>
      <c r="I296" s="710"/>
      <c r="J296" s="582"/>
      <c r="K296" s="526"/>
      <c r="L296" s="748"/>
      <c r="M296" s="711"/>
      <c r="N296" s="526"/>
      <c r="O296" s="710"/>
      <c r="P296" s="582"/>
      <c r="Q296" s="526"/>
      <c r="R296" s="762"/>
      <c r="S296" s="762"/>
      <c r="T296" s="526"/>
      <c r="U296" s="762"/>
      <c r="V296" s="762"/>
      <c r="W296" s="526"/>
      <c r="X296" s="2893"/>
      <c r="Y296" s="2893"/>
      <c r="Z296" s="2893"/>
      <c r="AA296" s="2893"/>
      <c r="AB296" s="2893"/>
      <c r="AC296" s="2893"/>
      <c r="AD296" s="2893"/>
      <c r="AE296" s="2893"/>
      <c r="AF296" s="2893"/>
      <c r="AG296" s="2893"/>
    </row>
    <row r="297" spans="1:33" ht="14.9" customHeight="1">
      <c r="A297" s="252"/>
      <c r="B297" s="2903" t="s">
        <v>336</v>
      </c>
      <c r="C297" s="2903"/>
      <c r="D297" s="2903"/>
      <c r="E297" s="2903"/>
      <c r="F297" s="6"/>
      <c r="G297" s="63"/>
      <c r="H297" s="480"/>
      <c r="I297" s="710"/>
      <c r="J297" s="582"/>
      <c r="K297" s="526"/>
      <c r="L297" s="748"/>
      <c r="M297" s="711"/>
      <c r="N297" s="526"/>
      <c r="O297" s="710"/>
      <c r="P297" s="582"/>
      <c r="Q297" s="526"/>
      <c r="R297" s="762"/>
      <c r="S297" s="762"/>
      <c r="T297" s="526"/>
      <c r="U297" s="762"/>
      <c r="V297" s="762"/>
      <c r="W297" s="526"/>
      <c r="X297" s="2893"/>
      <c r="Y297" s="2893"/>
      <c r="Z297" s="2893"/>
      <c r="AA297" s="2893"/>
      <c r="AB297" s="2893"/>
      <c r="AC297" s="2893"/>
      <c r="AD297" s="2893"/>
      <c r="AE297" s="2893"/>
      <c r="AF297" s="2893"/>
      <c r="AG297" s="2893"/>
    </row>
    <row r="298" spans="1:33" ht="33.75" customHeight="1">
      <c r="A298" s="252"/>
      <c r="B298" s="2903" t="s">
        <v>337</v>
      </c>
      <c r="C298" s="2903"/>
      <c r="D298" s="2903"/>
      <c r="E298" s="2903"/>
      <c r="F298" s="6"/>
      <c r="G298" s="63"/>
      <c r="H298" s="480"/>
      <c r="I298" s="710"/>
      <c r="J298" s="582"/>
      <c r="K298" s="526"/>
      <c r="L298" s="748"/>
      <c r="M298" s="711"/>
      <c r="N298" s="526"/>
      <c r="O298" s="710"/>
      <c r="P298" s="582"/>
      <c r="Q298" s="526"/>
      <c r="R298" s="762"/>
      <c r="S298" s="762"/>
      <c r="T298" s="526"/>
      <c r="U298" s="762"/>
      <c r="V298" s="762"/>
      <c r="W298" s="526"/>
      <c r="X298" s="2893"/>
      <c r="Y298" s="2893"/>
      <c r="Z298" s="2893"/>
      <c r="AA298" s="2893"/>
      <c r="AB298" s="2893"/>
      <c r="AC298" s="2893"/>
      <c r="AD298" s="2893"/>
      <c r="AE298" s="2893"/>
      <c r="AF298" s="2893"/>
      <c r="AG298" s="2893"/>
    </row>
    <row r="299" spans="1:33" ht="33.75" customHeight="1">
      <c r="A299" s="252"/>
      <c r="B299" s="2903" t="s">
        <v>338</v>
      </c>
      <c r="C299" s="2903"/>
      <c r="D299" s="2903"/>
      <c r="E299" s="2903"/>
      <c r="F299" s="6"/>
      <c r="G299" s="63"/>
      <c r="H299" s="480"/>
      <c r="I299" s="710"/>
      <c r="J299" s="582"/>
      <c r="K299" s="526"/>
      <c r="L299" s="748"/>
      <c r="M299" s="711"/>
      <c r="N299" s="526"/>
      <c r="O299" s="710"/>
      <c r="P299" s="582"/>
      <c r="Q299" s="526"/>
      <c r="R299" s="762"/>
      <c r="S299" s="762"/>
      <c r="T299" s="526"/>
      <c r="U299" s="762"/>
      <c r="V299" s="762"/>
      <c r="W299" s="526"/>
      <c r="X299" s="2893"/>
      <c r="Y299" s="2893"/>
      <c r="Z299" s="2893"/>
      <c r="AA299" s="2893"/>
      <c r="AB299" s="2893"/>
      <c r="AC299" s="2893"/>
      <c r="AD299" s="2893"/>
      <c r="AE299" s="2893"/>
      <c r="AF299" s="2893"/>
      <c r="AG299" s="2893"/>
    </row>
    <row r="300" spans="1:33" ht="14.9" customHeight="1">
      <c r="A300" s="252"/>
      <c r="B300" s="2903" t="s">
        <v>735</v>
      </c>
      <c r="C300" s="2903"/>
      <c r="D300" s="2903"/>
      <c r="E300" s="2903"/>
      <c r="F300" s="6"/>
      <c r="G300" s="63"/>
      <c r="H300" s="480"/>
      <c r="I300" s="710"/>
      <c r="J300" s="582"/>
      <c r="K300" s="526"/>
      <c r="L300" s="748"/>
      <c r="M300" s="711"/>
      <c r="N300" s="526"/>
      <c r="O300" s="710"/>
      <c r="P300" s="582"/>
      <c r="Q300" s="526"/>
      <c r="R300" s="762"/>
      <c r="S300" s="762"/>
      <c r="T300" s="526"/>
      <c r="U300" s="762"/>
      <c r="V300" s="762"/>
      <c r="W300" s="526"/>
      <c r="X300" s="2893"/>
      <c r="Y300" s="2893"/>
      <c r="Z300" s="2893"/>
      <c r="AA300" s="2893"/>
      <c r="AB300" s="2893"/>
      <c r="AC300" s="2893"/>
      <c r="AD300" s="2893"/>
      <c r="AE300" s="2893"/>
      <c r="AF300" s="2893"/>
      <c r="AG300" s="2893"/>
    </row>
    <row r="301" spans="1:33" ht="14.9" customHeight="1">
      <c r="A301" s="252"/>
      <c r="B301" s="2903" t="s">
        <v>734</v>
      </c>
      <c r="C301" s="2903"/>
      <c r="D301" s="2903"/>
      <c r="E301" s="2903"/>
      <c r="F301" s="6"/>
      <c r="G301" s="63"/>
      <c r="H301" s="797"/>
      <c r="I301" s="710"/>
      <c r="J301" s="582"/>
      <c r="K301" s="562"/>
      <c r="L301" s="748"/>
      <c r="M301" s="711"/>
      <c r="N301" s="562"/>
      <c r="O301" s="710"/>
      <c r="P301" s="582"/>
      <c r="Q301" s="562"/>
      <c r="R301" s="762"/>
      <c r="S301" s="762"/>
      <c r="T301" s="562"/>
      <c r="U301" s="762"/>
      <c r="V301" s="762"/>
      <c r="W301" s="562"/>
      <c r="X301" s="2893"/>
      <c r="Y301" s="2893"/>
      <c r="Z301" s="2893"/>
      <c r="AA301" s="2893"/>
      <c r="AB301" s="2893"/>
      <c r="AC301" s="2893"/>
      <c r="AD301" s="2893"/>
      <c r="AE301" s="2893"/>
      <c r="AF301" s="2893"/>
      <c r="AG301" s="2893"/>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911"/>
      <c r="Y302" s="2911"/>
      <c r="Z302" s="2911"/>
      <c r="AA302" s="2911"/>
      <c r="AB302" s="2911"/>
      <c r="AC302" s="2911"/>
      <c r="AD302" s="2911"/>
      <c r="AE302" s="2911"/>
      <c r="AF302" s="2911"/>
      <c r="AG302" s="2911"/>
    </row>
    <row r="303" spans="1:33" ht="14.9" customHeight="1">
      <c r="A303" s="252"/>
      <c r="B303" s="2903" t="s">
        <v>625</v>
      </c>
      <c r="C303" s="2903"/>
      <c r="D303" s="2903"/>
      <c r="E303" s="2903"/>
      <c r="F303" s="6"/>
      <c r="G303" s="65"/>
      <c r="H303" s="799"/>
      <c r="I303" s="710"/>
      <c r="J303" s="711"/>
      <c r="K303" s="628"/>
      <c r="L303" s="710"/>
      <c r="M303" s="711"/>
      <c r="N303" s="628"/>
      <c r="O303" s="710"/>
      <c r="P303" s="712"/>
      <c r="Q303" s="628"/>
      <c r="R303" s="762"/>
      <c r="S303" s="762"/>
      <c r="T303" s="628"/>
      <c r="U303" s="762"/>
      <c r="V303" s="762"/>
      <c r="W303" s="628"/>
      <c r="X303" s="2893"/>
      <c r="Y303" s="2893"/>
      <c r="Z303" s="2893"/>
      <c r="AA303" s="2893"/>
      <c r="AB303" s="2893"/>
      <c r="AC303" s="2893"/>
      <c r="AD303" s="2893"/>
      <c r="AE303" s="2893"/>
      <c r="AF303" s="2893"/>
      <c r="AG303" s="2893"/>
    </row>
    <row r="304" spans="1:33" ht="14.9" customHeight="1">
      <c r="A304" s="252"/>
      <c r="B304" s="2903" t="s">
        <v>626</v>
      </c>
      <c r="C304" s="2903"/>
      <c r="D304" s="2903"/>
      <c r="E304" s="2903"/>
      <c r="F304" s="6"/>
      <c r="G304" s="63"/>
      <c r="H304" s="480"/>
      <c r="I304" s="710"/>
      <c r="J304" s="582"/>
      <c r="K304" s="526"/>
      <c r="L304" s="748"/>
      <c r="M304" s="711"/>
      <c r="N304" s="526"/>
      <c r="O304" s="710"/>
      <c r="P304" s="582"/>
      <c r="Q304" s="526"/>
      <c r="R304" s="762"/>
      <c r="S304" s="762"/>
      <c r="T304" s="526"/>
      <c r="U304" s="762"/>
      <c r="V304" s="762"/>
      <c r="W304" s="526"/>
      <c r="X304" s="2893"/>
      <c r="Y304" s="2893"/>
      <c r="Z304" s="2893"/>
      <c r="AA304" s="2893"/>
      <c r="AB304" s="2893"/>
      <c r="AC304" s="2893"/>
      <c r="AD304" s="2893"/>
      <c r="AE304" s="2893"/>
      <c r="AF304" s="2893"/>
      <c r="AG304" s="2893"/>
    </row>
    <row r="305" spans="1:33" ht="14.9" customHeight="1">
      <c r="A305" s="252"/>
      <c r="B305" s="2903" t="s">
        <v>627</v>
      </c>
      <c r="C305" s="2903"/>
      <c r="D305" s="2903"/>
      <c r="E305" s="2903"/>
      <c r="F305" s="6"/>
      <c r="G305" s="63"/>
      <c r="H305" s="794"/>
      <c r="I305" s="710"/>
      <c r="J305" s="582"/>
      <c r="K305" s="561"/>
      <c r="L305" s="748"/>
      <c r="M305" s="711"/>
      <c r="N305" s="561"/>
      <c r="O305" s="710"/>
      <c r="P305" s="582"/>
      <c r="Q305" s="561"/>
      <c r="R305" s="762"/>
      <c r="S305" s="762"/>
      <c r="T305" s="561"/>
      <c r="U305" s="762"/>
      <c r="V305" s="762"/>
      <c r="W305" s="561"/>
      <c r="X305" s="2893"/>
      <c r="Y305" s="2893"/>
      <c r="Z305" s="2893"/>
      <c r="AA305" s="2893"/>
      <c r="AB305" s="2893"/>
      <c r="AC305" s="2893"/>
      <c r="AD305" s="2893"/>
      <c r="AE305" s="2893"/>
      <c r="AF305" s="2893"/>
      <c r="AG305" s="2893"/>
    </row>
    <row r="306" spans="1:33" ht="14.9" customHeight="1">
      <c r="A306" s="252"/>
      <c r="B306" s="2904" t="s">
        <v>628</v>
      </c>
      <c r="C306" s="2904"/>
      <c r="D306" s="2904"/>
      <c r="E306" s="2904"/>
      <c r="F306" s="6"/>
      <c r="G306" s="63"/>
      <c r="H306" s="480"/>
      <c r="I306" s="710"/>
      <c r="J306" s="582"/>
      <c r="K306" s="526"/>
      <c r="L306" s="748"/>
      <c r="M306" s="711"/>
      <c r="N306" s="526"/>
      <c r="O306" s="710"/>
      <c r="P306" s="582"/>
      <c r="Q306" s="526"/>
      <c r="R306" s="762"/>
      <c r="S306" s="762"/>
      <c r="T306" s="526"/>
      <c r="U306" s="762"/>
      <c r="V306" s="762"/>
      <c r="W306" s="526"/>
      <c r="X306" s="2893"/>
      <c r="Y306" s="2893"/>
      <c r="Z306" s="2893"/>
      <c r="AA306" s="2893"/>
      <c r="AB306" s="2893"/>
      <c r="AC306" s="2893"/>
      <c r="AD306" s="2893"/>
      <c r="AE306" s="2893"/>
      <c r="AF306" s="2893"/>
      <c r="AG306" s="2893"/>
    </row>
    <row r="307" spans="1:33" ht="33.75" customHeight="1">
      <c r="A307" s="252"/>
      <c r="B307" s="2904" t="s">
        <v>629</v>
      </c>
      <c r="C307" s="2904"/>
      <c r="D307" s="2904"/>
      <c r="E307" s="2904"/>
      <c r="F307" s="6"/>
      <c r="G307" s="65"/>
      <c r="H307" s="795"/>
      <c r="I307" s="710"/>
      <c r="J307" s="711"/>
      <c r="K307" s="568"/>
      <c r="L307" s="710"/>
      <c r="M307" s="711"/>
      <c r="N307" s="568"/>
      <c r="O307" s="710"/>
      <c r="P307" s="712"/>
      <c r="Q307" s="568"/>
      <c r="R307" s="762"/>
      <c r="S307" s="762"/>
      <c r="T307" s="568"/>
      <c r="U307" s="762"/>
      <c r="V307" s="762"/>
      <c r="W307" s="568"/>
      <c r="X307" s="2893"/>
      <c r="Y307" s="2893"/>
      <c r="Z307" s="2893"/>
      <c r="AA307" s="2893"/>
      <c r="AB307" s="2893"/>
      <c r="AC307" s="2893"/>
      <c r="AD307" s="2893"/>
      <c r="AE307" s="2893"/>
      <c r="AF307" s="2893"/>
      <c r="AG307" s="2893"/>
    </row>
    <row r="308" spans="1:33" ht="14.9" customHeight="1">
      <c r="A308" s="252"/>
      <c r="B308" s="2903" t="s">
        <v>630</v>
      </c>
      <c r="C308" s="2903"/>
      <c r="D308" s="2903"/>
      <c r="E308" s="2903"/>
      <c r="F308" s="6"/>
      <c r="G308" s="65"/>
      <c r="H308" s="480"/>
      <c r="I308" s="710"/>
      <c r="J308" s="711"/>
      <c r="K308" s="526"/>
      <c r="L308" s="710"/>
      <c r="M308" s="711"/>
      <c r="N308" s="526"/>
      <c r="O308" s="710"/>
      <c r="P308" s="712"/>
      <c r="Q308" s="526"/>
      <c r="R308" s="762"/>
      <c r="S308" s="762"/>
      <c r="T308" s="526"/>
      <c r="U308" s="762"/>
      <c r="V308" s="762"/>
      <c r="W308" s="526"/>
      <c r="X308" s="2893"/>
      <c r="Y308" s="2893"/>
      <c r="Z308" s="2893"/>
      <c r="AA308" s="2893"/>
      <c r="AB308" s="2893"/>
      <c r="AC308" s="2893"/>
      <c r="AD308" s="2893"/>
      <c r="AE308" s="2893"/>
      <c r="AF308" s="2893"/>
      <c r="AG308" s="2893"/>
    </row>
    <row r="309" spans="1:33" ht="14.9" customHeight="1">
      <c r="A309" s="252"/>
      <c r="B309" s="2904" t="s">
        <v>634</v>
      </c>
      <c r="C309" s="2904"/>
      <c r="D309" s="2904"/>
      <c r="E309" s="2904"/>
      <c r="F309" s="6"/>
      <c r="G309" s="65"/>
      <c r="H309" s="481"/>
      <c r="I309" s="710"/>
      <c r="J309" s="711"/>
      <c r="K309" s="553"/>
      <c r="L309" s="710"/>
      <c r="M309" s="711"/>
      <c r="N309" s="553"/>
      <c r="O309" s="710"/>
      <c r="P309" s="712"/>
      <c r="Q309" s="553"/>
      <c r="R309" s="762"/>
      <c r="S309" s="762"/>
      <c r="T309" s="553"/>
      <c r="U309" s="762"/>
      <c r="V309" s="762"/>
      <c r="W309" s="553"/>
      <c r="X309" s="2893"/>
      <c r="Y309" s="2893"/>
      <c r="Z309" s="2893"/>
      <c r="AA309" s="2893"/>
      <c r="AB309" s="2893"/>
      <c r="AC309" s="2893"/>
      <c r="AD309" s="2893"/>
      <c r="AE309" s="2893"/>
      <c r="AF309" s="2893"/>
      <c r="AG309" s="2893"/>
    </row>
    <row r="310" spans="1:33" ht="29.15" customHeight="1">
      <c r="A310" s="252"/>
      <c r="B310" s="2903" t="s">
        <v>1551</v>
      </c>
      <c r="C310" s="2903"/>
      <c r="D310" s="2903"/>
      <c r="E310" s="2903"/>
      <c r="F310" s="6"/>
      <c r="G310" s="65"/>
      <c r="H310" s="796"/>
      <c r="I310" s="710"/>
      <c r="J310" s="711"/>
      <c r="K310" s="619"/>
      <c r="L310" s="710"/>
      <c r="M310" s="711"/>
      <c r="N310" s="619"/>
      <c r="O310" s="710"/>
      <c r="P310" s="712"/>
      <c r="Q310" s="619"/>
      <c r="R310" s="762"/>
      <c r="S310" s="762"/>
      <c r="T310" s="619"/>
      <c r="U310" s="762"/>
      <c r="V310" s="762"/>
      <c r="W310" s="619"/>
      <c r="X310" s="2893"/>
      <c r="Y310" s="2893"/>
      <c r="Z310" s="2893"/>
      <c r="AA310" s="2893"/>
      <c r="AB310" s="2893"/>
      <c r="AC310" s="2893"/>
      <c r="AD310" s="2893"/>
      <c r="AE310" s="2893"/>
      <c r="AF310" s="2893"/>
      <c r="AG310" s="2893"/>
    </row>
    <row r="311" spans="1:33" ht="29.15" customHeight="1">
      <c r="A311" s="252"/>
      <c r="B311" s="2903" t="s">
        <v>1552</v>
      </c>
      <c r="C311" s="2903"/>
      <c r="D311" s="2903"/>
      <c r="E311" s="2903"/>
      <c r="F311" s="6"/>
      <c r="G311" s="65"/>
      <c r="H311" s="796"/>
      <c r="I311" s="710"/>
      <c r="J311" s="711"/>
      <c r="K311" s="619"/>
      <c r="L311" s="710"/>
      <c r="M311" s="711"/>
      <c r="N311" s="619"/>
      <c r="O311" s="710"/>
      <c r="P311" s="712"/>
      <c r="Q311" s="619"/>
      <c r="R311" s="762"/>
      <c r="S311" s="762"/>
      <c r="T311" s="619"/>
      <c r="U311" s="762"/>
      <c r="V311" s="762"/>
      <c r="W311" s="619"/>
      <c r="X311" s="2893"/>
      <c r="Y311" s="2893"/>
      <c r="Z311" s="2893"/>
      <c r="AA311" s="2893"/>
      <c r="AB311" s="2893"/>
      <c r="AC311" s="2893"/>
      <c r="AD311" s="2893"/>
      <c r="AE311" s="2893"/>
      <c r="AF311" s="2893"/>
      <c r="AG311" s="2893"/>
    </row>
    <row r="312" spans="1:33" ht="33.75" customHeight="1">
      <c r="A312" s="252"/>
      <c r="B312" s="2903" t="s">
        <v>331</v>
      </c>
      <c r="C312" s="2903"/>
      <c r="D312" s="2903"/>
      <c r="E312" s="2903"/>
      <c r="F312" s="6"/>
      <c r="G312" s="65"/>
      <c r="H312" s="480"/>
      <c r="I312" s="710"/>
      <c r="J312" s="711"/>
      <c r="K312" s="526"/>
      <c r="L312" s="710"/>
      <c r="M312" s="711"/>
      <c r="N312" s="526"/>
      <c r="O312" s="710"/>
      <c r="P312" s="712"/>
      <c r="Q312" s="526"/>
      <c r="R312" s="762"/>
      <c r="S312" s="762"/>
      <c r="T312" s="526"/>
      <c r="U312" s="762"/>
      <c r="V312" s="762"/>
      <c r="W312" s="526"/>
      <c r="X312" s="2893"/>
      <c r="Y312" s="2893"/>
      <c r="Z312" s="2893"/>
      <c r="AA312" s="2893"/>
      <c r="AB312" s="2893"/>
      <c r="AC312" s="2893"/>
      <c r="AD312" s="2893"/>
      <c r="AE312" s="2893"/>
      <c r="AF312" s="2893"/>
      <c r="AG312" s="2893"/>
    </row>
    <row r="313" spans="1:33" ht="14.9" customHeight="1">
      <c r="A313" s="252"/>
      <c r="B313" s="2904" t="s">
        <v>332</v>
      </c>
      <c r="C313" s="2904"/>
      <c r="D313" s="2904"/>
      <c r="E313" s="2904"/>
      <c r="F313" s="6"/>
      <c r="G313" s="63"/>
      <c r="H313" s="480"/>
      <c r="I313" s="710"/>
      <c r="J313" s="582"/>
      <c r="K313" s="526"/>
      <c r="L313" s="748"/>
      <c r="M313" s="711"/>
      <c r="N313" s="526"/>
      <c r="O313" s="710"/>
      <c r="P313" s="582"/>
      <c r="Q313" s="526"/>
      <c r="R313" s="762"/>
      <c r="S313" s="762"/>
      <c r="T313" s="526"/>
      <c r="U313" s="762"/>
      <c r="V313" s="762"/>
      <c r="W313" s="526"/>
      <c r="X313" s="2893"/>
      <c r="Y313" s="2893"/>
      <c r="Z313" s="2893"/>
      <c r="AA313" s="2893"/>
      <c r="AB313" s="2893"/>
      <c r="AC313" s="2893"/>
      <c r="AD313" s="2893"/>
      <c r="AE313" s="2893"/>
      <c r="AF313" s="2893"/>
      <c r="AG313" s="2893"/>
    </row>
    <row r="314" spans="1:33" ht="14.9" customHeight="1">
      <c r="A314" s="252"/>
      <c r="B314" s="2903" t="s">
        <v>333</v>
      </c>
      <c r="C314" s="2903"/>
      <c r="D314" s="2903"/>
      <c r="E314" s="2903"/>
      <c r="F314" s="6"/>
      <c r="G314" s="63"/>
      <c r="H314" s="480"/>
      <c r="I314" s="710"/>
      <c r="J314" s="582"/>
      <c r="K314" s="526"/>
      <c r="L314" s="748"/>
      <c r="M314" s="711"/>
      <c r="N314" s="526"/>
      <c r="O314" s="710"/>
      <c r="P314" s="582"/>
      <c r="Q314" s="526"/>
      <c r="R314" s="762"/>
      <c r="S314" s="762"/>
      <c r="T314" s="526"/>
      <c r="U314" s="762"/>
      <c r="V314" s="762"/>
      <c r="W314" s="526"/>
      <c r="X314" s="2893"/>
      <c r="Y314" s="2893"/>
      <c r="Z314" s="2893"/>
      <c r="AA314" s="2893"/>
      <c r="AB314" s="2893"/>
      <c r="AC314" s="2893"/>
      <c r="AD314" s="2893"/>
      <c r="AE314" s="2893"/>
      <c r="AF314" s="2893"/>
      <c r="AG314" s="2893"/>
    </row>
    <row r="315" spans="1:33" ht="14.9" customHeight="1">
      <c r="A315" s="252"/>
      <c r="B315" s="2903" t="s">
        <v>334</v>
      </c>
      <c r="C315" s="2903"/>
      <c r="D315" s="2903"/>
      <c r="E315" s="2903"/>
      <c r="F315" s="6"/>
      <c r="G315" s="63"/>
      <c r="H315" s="480"/>
      <c r="I315" s="710"/>
      <c r="J315" s="582"/>
      <c r="K315" s="526"/>
      <c r="L315" s="748"/>
      <c r="M315" s="711"/>
      <c r="N315" s="526"/>
      <c r="O315" s="710"/>
      <c r="P315" s="582"/>
      <c r="Q315" s="526"/>
      <c r="R315" s="762"/>
      <c r="S315" s="762"/>
      <c r="T315" s="526"/>
      <c r="U315" s="762"/>
      <c r="V315" s="762"/>
      <c r="W315" s="526"/>
      <c r="X315" s="2893"/>
      <c r="Y315" s="2893"/>
      <c r="Z315" s="2893"/>
      <c r="AA315" s="2893"/>
      <c r="AB315" s="2893"/>
      <c r="AC315" s="2893"/>
      <c r="AD315" s="2893"/>
      <c r="AE315" s="2893"/>
      <c r="AF315" s="2893"/>
      <c r="AG315" s="2893"/>
    </row>
    <row r="316" spans="1:33" ht="14.9" customHeight="1">
      <c r="A316" s="252"/>
      <c r="B316" s="2904" t="s">
        <v>335</v>
      </c>
      <c r="C316" s="2904"/>
      <c r="D316" s="2904"/>
      <c r="E316" s="2904"/>
      <c r="F316" s="6"/>
      <c r="G316" s="63"/>
      <c r="H316" s="480"/>
      <c r="I316" s="710"/>
      <c r="J316" s="582"/>
      <c r="K316" s="526"/>
      <c r="L316" s="748"/>
      <c r="M316" s="711"/>
      <c r="N316" s="526"/>
      <c r="O316" s="710"/>
      <c r="P316" s="582"/>
      <c r="Q316" s="526"/>
      <c r="R316" s="762"/>
      <c r="S316" s="762"/>
      <c r="T316" s="526"/>
      <c r="U316" s="762"/>
      <c r="V316" s="762"/>
      <c r="W316" s="526"/>
      <c r="X316" s="2893"/>
      <c r="Y316" s="2893"/>
      <c r="Z316" s="2893"/>
      <c r="AA316" s="2893"/>
      <c r="AB316" s="2893"/>
      <c r="AC316" s="2893"/>
      <c r="AD316" s="2893"/>
      <c r="AE316" s="2893"/>
      <c r="AF316" s="2893"/>
      <c r="AG316" s="2893"/>
    </row>
    <row r="317" spans="1:33" ht="14.9" customHeight="1">
      <c r="A317" s="252"/>
      <c r="B317" s="2903" t="s">
        <v>336</v>
      </c>
      <c r="C317" s="2903"/>
      <c r="D317" s="2903"/>
      <c r="E317" s="2903"/>
      <c r="F317" s="6"/>
      <c r="G317" s="63"/>
      <c r="H317" s="480"/>
      <c r="I317" s="710"/>
      <c r="J317" s="582"/>
      <c r="K317" s="526"/>
      <c r="L317" s="748"/>
      <c r="M317" s="711"/>
      <c r="N317" s="526"/>
      <c r="O317" s="710"/>
      <c r="P317" s="582"/>
      <c r="Q317" s="526"/>
      <c r="R317" s="762"/>
      <c r="S317" s="762"/>
      <c r="T317" s="526"/>
      <c r="U317" s="762"/>
      <c r="V317" s="762"/>
      <c r="W317" s="526"/>
      <c r="X317" s="2893"/>
      <c r="Y317" s="2893"/>
      <c r="Z317" s="2893"/>
      <c r="AA317" s="2893"/>
      <c r="AB317" s="2893"/>
      <c r="AC317" s="2893"/>
      <c r="AD317" s="2893"/>
      <c r="AE317" s="2893"/>
      <c r="AF317" s="2893"/>
      <c r="AG317" s="2893"/>
    </row>
    <row r="318" spans="1:33" ht="33.75" customHeight="1">
      <c r="A318" s="252"/>
      <c r="B318" s="2903" t="s">
        <v>337</v>
      </c>
      <c r="C318" s="2903"/>
      <c r="D318" s="2903"/>
      <c r="E318" s="2903"/>
      <c r="F318" s="6"/>
      <c r="G318" s="63"/>
      <c r="H318" s="480"/>
      <c r="I318" s="710"/>
      <c r="J318" s="582"/>
      <c r="K318" s="526"/>
      <c r="L318" s="748"/>
      <c r="M318" s="711"/>
      <c r="N318" s="526"/>
      <c r="O318" s="710"/>
      <c r="P318" s="582"/>
      <c r="Q318" s="526"/>
      <c r="R318" s="762"/>
      <c r="S318" s="762"/>
      <c r="T318" s="526"/>
      <c r="U318" s="762"/>
      <c r="V318" s="762"/>
      <c r="W318" s="526"/>
      <c r="X318" s="2893"/>
      <c r="Y318" s="2893"/>
      <c r="Z318" s="2893"/>
      <c r="AA318" s="2893"/>
      <c r="AB318" s="2893"/>
      <c r="AC318" s="2893"/>
      <c r="AD318" s="2893"/>
      <c r="AE318" s="2893"/>
      <c r="AF318" s="2893"/>
      <c r="AG318" s="2893"/>
    </row>
    <row r="319" spans="1:33" ht="33.75" customHeight="1">
      <c r="A319" s="252"/>
      <c r="B319" s="2903" t="s">
        <v>338</v>
      </c>
      <c r="C319" s="2903"/>
      <c r="D319" s="2903"/>
      <c r="E319" s="2903"/>
      <c r="F319" s="6"/>
      <c r="G319" s="63"/>
      <c r="H319" s="480"/>
      <c r="I319" s="710"/>
      <c r="J319" s="582"/>
      <c r="K319" s="526"/>
      <c r="L319" s="748"/>
      <c r="M319" s="711"/>
      <c r="N319" s="526"/>
      <c r="O319" s="710"/>
      <c r="P319" s="582"/>
      <c r="Q319" s="526"/>
      <c r="R319" s="762"/>
      <c r="S319" s="762"/>
      <c r="T319" s="526"/>
      <c r="U319" s="762"/>
      <c r="V319" s="762"/>
      <c r="W319" s="526"/>
      <c r="X319" s="2893"/>
      <c r="Y319" s="2893"/>
      <c r="Z319" s="2893"/>
      <c r="AA319" s="2893"/>
      <c r="AB319" s="2893"/>
      <c r="AC319" s="2893"/>
      <c r="AD319" s="2893"/>
      <c r="AE319" s="2893"/>
      <c r="AF319" s="2893"/>
      <c r="AG319" s="2893"/>
    </row>
    <row r="320" spans="1:33" ht="14.9" customHeight="1">
      <c r="A320" s="252"/>
      <c r="B320" s="2903" t="s">
        <v>735</v>
      </c>
      <c r="C320" s="2903"/>
      <c r="D320" s="2903"/>
      <c r="E320" s="2903"/>
      <c r="F320" s="6"/>
      <c r="G320" s="63"/>
      <c r="H320" s="480"/>
      <c r="I320" s="710"/>
      <c r="J320" s="582"/>
      <c r="K320" s="526"/>
      <c r="L320" s="748"/>
      <c r="M320" s="711"/>
      <c r="N320" s="526"/>
      <c r="O320" s="710"/>
      <c r="P320" s="582"/>
      <c r="Q320" s="526"/>
      <c r="R320" s="762"/>
      <c r="S320" s="762"/>
      <c r="T320" s="526"/>
      <c r="U320" s="762"/>
      <c r="V320" s="762"/>
      <c r="W320" s="526"/>
      <c r="X320" s="2893"/>
      <c r="Y320" s="2893"/>
      <c r="Z320" s="2893"/>
      <c r="AA320" s="2893"/>
      <c r="AB320" s="2893"/>
      <c r="AC320" s="2893"/>
      <c r="AD320" s="2893"/>
      <c r="AE320" s="2893"/>
      <c r="AF320" s="2893"/>
      <c r="AG320" s="2893"/>
    </row>
    <row r="321" spans="1:33" ht="14.9" customHeight="1">
      <c r="A321" s="252"/>
      <c r="B321" s="2903" t="s">
        <v>734</v>
      </c>
      <c r="C321" s="2903"/>
      <c r="D321" s="2903"/>
      <c r="E321" s="2903"/>
      <c r="F321" s="6"/>
      <c r="G321" s="63"/>
      <c r="H321" s="802"/>
      <c r="I321" s="741"/>
      <c r="J321" s="557"/>
      <c r="K321" s="769"/>
      <c r="L321" s="770"/>
      <c r="M321" s="742"/>
      <c r="N321" s="769"/>
      <c r="O321" s="741"/>
      <c r="P321" s="557"/>
      <c r="Q321" s="769"/>
      <c r="R321" s="768"/>
      <c r="S321" s="768"/>
      <c r="T321" s="769"/>
      <c r="U321" s="768"/>
      <c r="V321" s="768"/>
      <c r="W321" s="544"/>
      <c r="X321" s="2893"/>
      <c r="Y321" s="2893"/>
      <c r="Z321" s="2893"/>
      <c r="AA321" s="2893"/>
      <c r="AB321" s="2893"/>
      <c r="AC321" s="2893"/>
      <c r="AD321" s="2893"/>
      <c r="AE321" s="2893"/>
      <c r="AF321" s="2893"/>
      <c r="AG321" s="2893"/>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keaAQPpI+5kIukIHZf9bSIAS9zmdihM4ubPjS6Jo5jHeavWLlUh9FwVYmyzYkkuDNtDirHk5zLsJcu/vNyCdg==" saltValue="gtWHXuUZ1DFTVxtQQktpsg==" spinCount="100000" sheet="1" objects="1" scenarios="1" formatColumns="0" formatRows="0"/>
  <mergeCells count="534">
    <mergeCell ref="B270:E270"/>
    <mergeCell ref="X270:AG270"/>
    <mergeCell ref="B290:E290"/>
    <mergeCell ref="X290:AG290"/>
    <mergeCell ref="B310:E310"/>
    <mergeCell ref="X310:AG310"/>
    <mergeCell ref="B1:E1"/>
    <mergeCell ref="B4:E4"/>
    <mergeCell ref="K4:T4"/>
    <mergeCell ref="K5:T5"/>
    <mergeCell ref="K6:T6"/>
    <mergeCell ref="K7:T7"/>
    <mergeCell ref="B11:E11"/>
    <mergeCell ref="K11:T11"/>
    <mergeCell ref="B12:E12"/>
    <mergeCell ref="K12:T1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N33:W33"/>
    <mergeCell ref="N34:W34"/>
    <mergeCell ref="N35:W35"/>
    <mergeCell ref="N36:W36"/>
    <mergeCell ref="N37:W37"/>
    <mergeCell ref="N38:W38"/>
    <mergeCell ref="N27:W27"/>
    <mergeCell ref="N28:W28"/>
    <mergeCell ref="N29:W29"/>
    <mergeCell ref="N30:W30"/>
    <mergeCell ref="N31:W31"/>
    <mergeCell ref="N32:W32"/>
    <mergeCell ref="K46:T46"/>
    <mergeCell ref="K47:T47"/>
    <mergeCell ref="K48:T48"/>
    <mergeCell ref="C49:E49"/>
    <mergeCell ref="K49:T49"/>
    <mergeCell ref="C50:E50"/>
    <mergeCell ref="K50:T50"/>
    <mergeCell ref="B41:E41"/>
    <mergeCell ref="C42:E42"/>
    <mergeCell ref="K42:T42"/>
    <mergeCell ref="K43:T43"/>
    <mergeCell ref="K44:T44"/>
    <mergeCell ref="K45:T45"/>
    <mergeCell ref="C54:E54"/>
    <mergeCell ref="K54:T54"/>
    <mergeCell ref="C55:E55"/>
    <mergeCell ref="K55:T55"/>
    <mergeCell ref="C56:E56"/>
    <mergeCell ref="K56:T56"/>
    <mergeCell ref="C51:E51"/>
    <mergeCell ref="K51:T51"/>
    <mergeCell ref="C52:E52"/>
    <mergeCell ref="K52:T52"/>
    <mergeCell ref="C53:E53"/>
    <mergeCell ref="K53:T53"/>
    <mergeCell ref="C60:E60"/>
    <mergeCell ref="K60:T60"/>
    <mergeCell ref="C61:E61"/>
    <mergeCell ref="K61:T61"/>
    <mergeCell ref="C62:E62"/>
    <mergeCell ref="K62:T62"/>
    <mergeCell ref="C57:E57"/>
    <mergeCell ref="K57:T57"/>
    <mergeCell ref="C58:E58"/>
    <mergeCell ref="K58:T58"/>
    <mergeCell ref="C59:E59"/>
    <mergeCell ref="K59:T59"/>
    <mergeCell ref="C66:E66"/>
    <mergeCell ref="K66:T66"/>
    <mergeCell ref="C67:E67"/>
    <mergeCell ref="K67:T67"/>
    <mergeCell ref="C68:E68"/>
    <mergeCell ref="K68:T68"/>
    <mergeCell ref="C63:E63"/>
    <mergeCell ref="K63:T63"/>
    <mergeCell ref="C64:E64"/>
    <mergeCell ref="K64:T64"/>
    <mergeCell ref="C65:E65"/>
    <mergeCell ref="K65:T65"/>
    <mergeCell ref="C72:E72"/>
    <mergeCell ref="K72:T72"/>
    <mergeCell ref="C73:E73"/>
    <mergeCell ref="K73:T73"/>
    <mergeCell ref="C74:E74"/>
    <mergeCell ref="K74:T74"/>
    <mergeCell ref="C69:E69"/>
    <mergeCell ref="K69:T69"/>
    <mergeCell ref="C70:E70"/>
    <mergeCell ref="K70:T70"/>
    <mergeCell ref="C71:E71"/>
    <mergeCell ref="K71:T71"/>
    <mergeCell ref="C78:E78"/>
    <mergeCell ref="K78:T78"/>
    <mergeCell ref="A81:E81"/>
    <mergeCell ref="G82:H82"/>
    <mergeCell ref="J82:K82"/>
    <mergeCell ref="M82:N82"/>
    <mergeCell ref="C75:E75"/>
    <mergeCell ref="K75:T75"/>
    <mergeCell ref="C76:E76"/>
    <mergeCell ref="K76:T76"/>
    <mergeCell ref="C77:E77"/>
    <mergeCell ref="K77:T77"/>
    <mergeCell ref="P83:P84"/>
    <mergeCell ref="Q83:Q84"/>
    <mergeCell ref="T83:T84"/>
    <mergeCell ref="W83:W84"/>
    <mergeCell ref="X83:AG84"/>
    <mergeCell ref="X88:AG88"/>
    <mergeCell ref="G83:G84"/>
    <mergeCell ref="H83:H84"/>
    <mergeCell ref="J83:J84"/>
    <mergeCell ref="K83:K84"/>
    <mergeCell ref="M83:M84"/>
    <mergeCell ref="N83:N84"/>
    <mergeCell ref="X96:AG96"/>
    <mergeCell ref="X97:AG97"/>
    <mergeCell ref="X98:AG98"/>
    <mergeCell ref="X99:AG99"/>
    <mergeCell ref="A103:A104"/>
    <mergeCell ref="X103:AG103"/>
    <mergeCell ref="X104:AG104"/>
    <mergeCell ref="X86:AG86"/>
    <mergeCell ref="X87:AG87"/>
    <mergeCell ref="X92:AG92"/>
    <mergeCell ref="X93:AG93"/>
    <mergeCell ref="X94:AG94"/>
    <mergeCell ref="X95:AG95"/>
    <mergeCell ref="A105:A107"/>
    <mergeCell ref="X105:AG105"/>
    <mergeCell ref="X106:AG106"/>
    <mergeCell ref="B107:E107"/>
    <mergeCell ref="X107:AG107"/>
    <mergeCell ref="A108:A112"/>
    <mergeCell ref="X108:AG108"/>
    <mergeCell ref="B109:E109"/>
    <mergeCell ref="X109:AG109"/>
    <mergeCell ref="X110:AG110"/>
    <mergeCell ref="X111:AG111"/>
    <mergeCell ref="X112:AG112"/>
    <mergeCell ref="A130:G130"/>
    <mergeCell ref="X130:AG130"/>
    <mergeCell ref="B133:E133"/>
    <mergeCell ref="X133:AG133"/>
    <mergeCell ref="B135:E135"/>
    <mergeCell ref="X135:AG135"/>
    <mergeCell ref="X116:AG116"/>
    <mergeCell ref="B117:E117"/>
    <mergeCell ref="X117:AG117"/>
    <mergeCell ref="X120:AG120"/>
    <mergeCell ref="X121:AG121"/>
    <mergeCell ref="X122:AG122"/>
    <mergeCell ref="A113:A117"/>
    <mergeCell ref="B113:E113"/>
    <mergeCell ref="X113:AG113"/>
    <mergeCell ref="B114:E114"/>
    <mergeCell ref="X114:AG114"/>
    <mergeCell ref="B115:E115"/>
    <mergeCell ref="X115:AG115"/>
    <mergeCell ref="B116:E116"/>
    <mergeCell ref="A129:C129"/>
    <mergeCell ref="B139:E139"/>
    <mergeCell ref="X139:AG139"/>
    <mergeCell ref="B140:E140"/>
    <mergeCell ref="X140:AG140"/>
    <mergeCell ref="B142:E142"/>
    <mergeCell ref="X142:AG142"/>
    <mergeCell ref="B136:E136"/>
    <mergeCell ref="X136:AG136"/>
    <mergeCell ref="B137:E137"/>
    <mergeCell ref="X137:AG137"/>
    <mergeCell ref="B138:E138"/>
    <mergeCell ref="X138:AG138"/>
    <mergeCell ref="B141:E141"/>
    <mergeCell ref="X141:AG141"/>
    <mergeCell ref="B146:E146"/>
    <mergeCell ref="X146:AG146"/>
    <mergeCell ref="B147:E147"/>
    <mergeCell ref="X147:AG147"/>
    <mergeCell ref="B148:E148"/>
    <mergeCell ref="X148:AG148"/>
    <mergeCell ref="B143:E143"/>
    <mergeCell ref="X143:AG143"/>
    <mergeCell ref="B144:E144"/>
    <mergeCell ref="X144:AG144"/>
    <mergeCell ref="B145:E145"/>
    <mergeCell ref="X145:AG145"/>
    <mergeCell ref="B152:E152"/>
    <mergeCell ref="X152:AG152"/>
    <mergeCell ref="B153:E153"/>
    <mergeCell ref="X153:AG153"/>
    <mergeCell ref="B155:E155"/>
    <mergeCell ref="X155:AG155"/>
    <mergeCell ref="B149:E149"/>
    <mergeCell ref="X149:AG149"/>
    <mergeCell ref="B150:E150"/>
    <mergeCell ref="X150:AG150"/>
    <mergeCell ref="B151:E151"/>
    <mergeCell ref="X151:AG151"/>
    <mergeCell ref="B159:E159"/>
    <mergeCell ref="X159:AG159"/>
    <mergeCell ref="B160:E160"/>
    <mergeCell ref="X160:AG160"/>
    <mergeCell ref="B162:E162"/>
    <mergeCell ref="X162:AG162"/>
    <mergeCell ref="B156:E156"/>
    <mergeCell ref="X156:AG156"/>
    <mergeCell ref="B157:E157"/>
    <mergeCell ref="X157:AG157"/>
    <mergeCell ref="B158:E158"/>
    <mergeCell ref="X158:AG158"/>
    <mergeCell ref="B161:E161"/>
    <mergeCell ref="X161:AG161"/>
    <mergeCell ref="B166:E166"/>
    <mergeCell ref="X166:AG166"/>
    <mergeCell ref="B167:E167"/>
    <mergeCell ref="X167:AG167"/>
    <mergeCell ref="B168:E168"/>
    <mergeCell ref="X168:AG168"/>
    <mergeCell ref="B163:E163"/>
    <mergeCell ref="X163:AG163"/>
    <mergeCell ref="B164:E164"/>
    <mergeCell ref="X164:AG164"/>
    <mergeCell ref="B165:E165"/>
    <mergeCell ref="X165:AG165"/>
    <mergeCell ref="B172:E172"/>
    <mergeCell ref="X172:AG172"/>
    <mergeCell ref="B173:E173"/>
    <mergeCell ref="X173:AG173"/>
    <mergeCell ref="B175:E175"/>
    <mergeCell ref="X175:AG175"/>
    <mergeCell ref="B169:E169"/>
    <mergeCell ref="X169:AG169"/>
    <mergeCell ref="B170:E170"/>
    <mergeCell ref="X170:AG170"/>
    <mergeCell ref="B171:E171"/>
    <mergeCell ref="X171:AG171"/>
    <mergeCell ref="B179:E179"/>
    <mergeCell ref="X179:AG179"/>
    <mergeCell ref="B180:E180"/>
    <mergeCell ref="X180:AG180"/>
    <mergeCell ref="B182:E182"/>
    <mergeCell ref="X182:AG182"/>
    <mergeCell ref="B176:E176"/>
    <mergeCell ref="X176:AG176"/>
    <mergeCell ref="B177:E177"/>
    <mergeCell ref="X177:AG177"/>
    <mergeCell ref="B178:E178"/>
    <mergeCell ref="X178:AG178"/>
    <mergeCell ref="B181:E181"/>
    <mergeCell ref="X181:AG181"/>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207:E207"/>
    <mergeCell ref="X207:AG207"/>
    <mergeCell ref="B208:E208"/>
    <mergeCell ref="X208:AG208"/>
    <mergeCell ref="B209:E209"/>
    <mergeCell ref="X209:AG209"/>
    <mergeCell ref="B203:E203"/>
    <mergeCell ref="X203:AG203"/>
    <mergeCell ref="B204:E204"/>
    <mergeCell ref="X204:AG204"/>
    <mergeCell ref="B205:E205"/>
    <mergeCell ref="X205:AG205"/>
    <mergeCell ref="B206:E206"/>
    <mergeCell ref="X206:AG206"/>
    <mergeCell ref="B213:E213"/>
    <mergeCell ref="X213:AG213"/>
    <mergeCell ref="B214:E214"/>
    <mergeCell ref="X214:AG214"/>
    <mergeCell ref="B215:E215"/>
    <mergeCell ref="X215:AG215"/>
    <mergeCell ref="B210:E210"/>
    <mergeCell ref="X210:AG210"/>
    <mergeCell ref="B211:E211"/>
    <mergeCell ref="X211:AG211"/>
    <mergeCell ref="B212:E212"/>
    <mergeCell ref="X212:AG212"/>
    <mergeCell ref="B220:E220"/>
    <mergeCell ref="X220:AG220"/>
    <mergeCell ref="B221:E221"/>
    <mergeCell ref="X221:AG221"/>
    <mergeCell ref="B222:E222"/>
    <mergeCell ref="X222:AG222"/>
    <mergeCell ref="B216:E216"/>
    <mergeCell ref="X216:AG216"/>
    <mergeCell ref="B217:E217"/>
    <mergeCell ref="X217:AG217"/>
    <mergeCell ref="X218:AG218"/>
    <mergeCell ref="B219:E219"/>
    <mergeCell ref="X219:AG219"/>
    <mergeCell ref="B227:E227"/>
    <mergeCell ref="X227:AG227"/>
    <mergeCell ref="B228:E228"/>
    <mergeCell ref="X228:AG228"/>
    <mergeCell ref="B229:E229"/>
    <mergeCell ref="X229:AG229"/>
    <mergeCell ref="B223:E223"/>
    <mergeCell ref="X223:AG223"/>
    <mergeCell ref="B224:E224"/>
    <mergeCell ref="X224:AG224"/>
    <mergeCell ref="B225:E225"/>
    <mergeCell ref="X225:AG225"/>
    <mergeCell ref="B226:E226"/>
    <mergeCell ref="X226:AG226"/>
    <mergeCell ref="B233:E233"/>
    <mergeCell ref="X233:AG233"/>
    <mergeCell ref="B234:E234"/>
    <mergeCell ref="X234:AG234"/>
    <mergeCell ref="B235:E235"/>
    <mergeCell ref="X235:AG235"/>
    <mergeCell ref="B230:E230"/>
    <mergeCell ref="X230:AG230"/>
    <mergeCell ref="B231:E231"/>
    <mergeCell ref="X231:AG231"/>
    <mergeCell ref="B232:E232"/>
    <mergeCell ref="X232:AG232"/>
    <mergeCell ref="B240:E240"/>
    <mergeCell ref="X240:AG240"/>
    <mergeCell ref="B241:E241"/>
    <mergeCell ref="X241:AG241"/>
    <mergeCell ref="B242:E242"/>
    <mergeCell ref="X242:AG242"/>
    <mergeCell ref="B236:E236"/>
    <mergeCell ref="X236:AG236"/>
    <mergeCell ref="B237:E237"/>
    <mergeCell ref="X237:AG237"/>
    <mergeCell ref="X238:AG238"/>
    <mergeCell ref="B239:E239"/>
    <mergeCell ref="X239:AG239"/>
    <mergeCell ref="B247:E247"/>
    <mergeCell ref="X247:AG247"/>
    <mergeCell ref="B248:E248"/>
    <mergeCell ref="X248:AG248"/>
    <mergeCell ref="B249:E249"/>
    <mergeCell ref="X249:AG249"/>
    <mergeCell ref="B243:E243"/>
    <mergeCell ref="X243:AG243"/>
    <mergeCell ref="B244:E244"/>
    <mergeCell ref="X244:AG244"/>
    <mergeCell ref="B245:E245"/>
    <mergeCell ref="X245:AG245"/>
    <mergeCell ref="B246:E246"/>
    <mergeCell ref="X246:AG246"/>
    <mergeCell ref="B253:E253"/>
    <mergeCell ref="X253:AG253"/>
    <mergeCell ref="B254:E254"/>
    <mergeCell ref="X254:AG254"/>
    <mergeCell ref="B255:E255"/>
    <mergeCell ref="X255:AG255"/>
    <mergeCell ref="B250:E250"/>
    <mergeCell ref="X250:AG250"/>
    <mergeCell ref="B251:E251"/>
    <mergeCell ref="X251:AG251"/>
    <mergeCell ref="B252:E252"/>
    <mergeCell ref="X252:AG252"/>
    <mergeCell ref="X260:AG260"/>
    <mergeCell ref="B261:E261"/>
    <mergeCell ref="X261:AG261"/>
    <mergeCell ref="X262:AG262"/>
    <mergeCell ref="B263:E263"/>
    <mergeCell ref="X263:AG263"/>
    <mergeCell ref="B256:E256"/>
    <mergeCell ref="X256:AG256"/>
    <mergeCell ref="B257:E257"/>
    <mergeCell ref="X257:AG257"/>
    <mergeCell ref="X258:AG258"/>
    <mergeCell ref="A259:G259"/>
    <mergeCell ref="X259:AG259"/>
    <mergeCell ref="B267:E267"/>
    <mergeCell ref="X267:AG267"/>
    <mergeCell ref="B268:E268"/>
    <mergeCell ref="X268:AG268"/>
    <mergeCell ref="B269:E269"/>
    <mergeCell ref="X269:AG269"/>
    <mergeCell ref="B264:E264"/>
    <mergeCell ref="X264:AG264"/>
    <mergeCell ref="B265:E265"/>
    <mergeCell ref="X265:AG265"/>
    <mergeCell ref="B266:E266"/>
    <mergeCell ref="X266:AG266"/>
    <mergeCell ref="B274:E274"/>
    <mergeCell ref="X274:AG274"/>
    <mergeCell ref="B275:E275"/>
    <mergeCell ref="X275:AG275"/>
    <mergeCell ref="B276:E276"/>
    <mergeCell ref="X276:AG276"/>
    <mergeCell ref="B271:E271"/>
    <mergeCell ref="X271:AG271"/>
    <mergeCell ref="B272:E272"/>
    <mergeCell ref="X272:AG272"/>
    <mergeCell ref="B273:E273"/>
    <mergeCell ref="X273:AG273"/>
    <mergeCell ref="B280:E280"/>
    <mergeCell ref="X280:AG280"/>
    <mergeCell ref="B281:E281"/>
    <mergeCell ref="X281:AG281"/>
    <mergeCell ref="X282:AG282"/>
    <mergeCell ref="B283:E283"/>
    <mergeCell ref="X283:AG283"/>
    <mergeCell ref="B277:E277"/>
    <mergeCell ref="X277:AG277"/>
    <mergeCell ref="B278:E278"/>
    <mergeCell ref="X278:AG278"/>
    <mergeCell ref="B279:E279"/>
    <mergeCell ref="X279:AG279"/>
    <mergeCell ref="B287:E287"/>
    <mergeCell ref="X287:AG287"/>
    <mergeCell ref="B288:E288"/>
    <mergeCell ref="X288:AG288"/>
    <mergeCell ref="B289:E289"/>
    <mergeCell ref="X289:AG289"/>
    <mergeCell ref="B284:E284"/>
    <mergeCell ref="X284:AG284"/>
    <mergeCell ref="B285:E285"/>
    <mergeCell ref="X285:AG285"/>
    <mergeCell ref="B286:E286"/>
    <mergeCell ref="X286:AG286"/>
    <mergeCell ref="B294:E294"/>
    <mergeCell ref="X294:AG294"/>
    <mergeCell ref="B295:E295"/>
    <mergeCell ref="X295:AG295"/>
    <mergeCell ref="B296:E296"/>
    <mergeCell ref="X296:AG296"/>
    <mergeCell ref="B291:E291"/>
    <mergeCell ref="X291:AG291"/>
    <mergeCell ref="B292:E292"/>
    <mergeCell ref="X292:AG292"/>
    <mergeCell ref="B293:E293"/>
    <mergeCell ref="X293:AG293"/>
    <mergeCell ref="B300:E300"/>
    <mergeCell ref="X300:AG300"/>
    <mergeCell ref="B301:E301"/>
    <mergeCell ref="X301:AG301"/>
    <mergeCell ref="X302:AG302"/>
    <mergeCell ref="B303:E303"/>
    <mergeCell ref="X303:AG303"/>
    <mergeCell ref="B297:E297"/>
    <mergeCell ref="X297:AG297"/>
    <mergeCell ref="B298:E298"/>
    <mergeCell ref="X298:AG298"/>
    <mergeCell ref="B299:E299"/>
    <mergeCell ref="X299:AG299"/>
    <mergeCell ref="B307:E307"/>
    <mergeCell ref="X307:AG307"/>
    <mergeCell ref="B308:E308"/>
    <mergeCell ref="X308:AG308"/>
    <mergeCell ref="B309:E309"/>
    <mergeCell ref="X309:AG309"/>
    <mergeCell ref="B304:E304"/>
    <mergeCell ref="X304:AG304"/>
    <mergeCell ref="B305:E305"/>
    <mergeCell ref="X305:AG305"/>
    <mergeCell ref="B306:E306"/>
    <mergeCell ref="X306:AG306"/>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20:E320"/>
    <mergeCell ref="X320:AG320"/>
    <mergeCell ref="B321:E321"/>
    <mergeCell ref="X321:AG321"/>
    <mergeCell ref="B317:E317"/>
    <mergeCell ref="X317:AG317"/>
    <mergeCell ref="B318:E318"/>
    <mergeCell ref="X318:AG318"/>
    <mergeCell ref="B319:E319"/>
    <mergeCell ref="X319:AG319"/>
  </mergeCells>
  <conditionalFormatting sqref="G322">
    <cfRule type="expression" dxfId="84" priority="12">
      <formula>H$24="No"</formula>
    </cfRule>
    <cfRule type="expression" dxfId="83" priority="13">
      <formula>H$24="Yes"</formula>
    </cfRule>
  </conditionalFormatting>
  <conditionalFormatting sqref="P83:Q83 P82">
    <cfRule type="expression" dxfId="82" priority="14">
      <formula>VALUE(RIGHT($P$82,1))&gt;#REF!</formula>
    </cfRule>
  </conditionalFormatting>
  <conditionalFormatting sqref="M83:N83 M82">
    <cfRule type="expression" dxfId="81" priority="15">
      <formula>VALUE(RIGHT($M$82,1))&gt;#REF!</formula>
    </cfRule>
  </conditionalFormatting>
  <conditionalFormatting sqref="J83:K83 J82">
    <cfRule type="expression" dxfId="80" priority="16">
      <formula>VALUE(RIGHT($J$82,1))&gt;#REF!</formula>
    </cfRule>
  </conditionalFormatting>
  <conditionalFormatting sqref="M322">
    <cfRule type="expression" dxfId="79" priority="9">
      <formula>N$24="No"</formula>
    </cfRule>
    <cfRule type="expression" dxfId="78" priority="10">
      <formula>N$24="Yes"</formula>
    </cfRule>
  </conditionalFormatting>
  <conditionalFormatting sqref="M322">
    <cfRule type="expression" dxfId="77" priority="11">
      <formula>VALUE(RIGHT($K$11,1))&gt;#REF!</formula>
    </cfRule>
  </conditionalFormatting>
  <conditionalFormatting sqref="T83">
    <cfRule type="expression" dxfId="76" priority="8">
      <formula>VALUE(RIGHT($P$82,1))&gt;#REF!</formula>
    </cfRule>
  </conditionalFormatting>
  <conditionalFormatting sqref="Q82">
    <cfRule type="expression" dxfId="75" priority="7">
      <formula>VALUE(RIGHT($P$82,1))&gt;#REF!</formula>
    </cfRule>
  </conditionalFormatting>
  <conditionalFormatting sqref="T82">
    <cfRule type="expression" dxfId="74" priority="6">
      <formula>VALUE(RIGHT($P$82,1))&gt;#REF!</formula>
    </cfRule>
  </conditionalFormatting>
  <conditionalFormatting sqref="W83">
    <cfRule type="expression" dxfId="73" priority="5">
      <formula>VALUE(RIGHT($P$82,1))&gt;#REF!</formula>
    </cfRule>
  </conditionalFormatting>
  <conditionalFormatting sqref="W82">
    <cfRule type="expression" dxfId="72" priority="4">
      <formula>VALUE(RIGHT($P$82,1))&gt;#REF!</formula>
    </cfRule>
  </conditionalFormatting>
  <conditionalFormatting sqref="K85:M85">
    <cfRule type="expression" dxfId="71" priority="3">
      <formula>$H$7&lt;3</formula>
    </cfRule>
  </conditionalFormatting>
  <conditionalFormatting sqref="I85:J85">
    <cfRule type="expression" dxfId="70" priority="2">
      <formula>$H$7&lt;2</formula>
    </cfRule>
  </conditionalFormatting>
  <conditionalFormatting sqref="H17">
    <cfRule type="expression" dxfId="69" priority="1">
      <formula>IF(#REF!="","Population changed - check value")</formula>
    </cfRule>
  </conditionalFormatting>
  <dataValidations count="19">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A00-000000000000}">
      <formula1>"Yes, No"</formula1>
    </dataValidation>
    <dataValidation type="list" allowBlank="1" showInputMessage="1" showErrorMessage="1" sqref="H173:H174 H153:H154 H193 K173:K174 K153:K154 K193 N173:N174 N153:N154 N193 Q173:Q174 Q153:Q154 Q193 T173:T174 T153:T154 T193 W173:W174 W153:W154 W193" xr:uid="{00000000-0002-0000-1A00-000001000000}">
      <formula1>"Yes,No"</formula1>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A00-000002000000}">
      <formula1>"Route-based,Point-to-point"</formula1>
    </dataValidation>
    <dataValidation type="whole" allowBlank="1" showInputMessage="1" showErrorMessage="1" sqref="H133:H134 K133:K134 N133:N134 Q133:Q134 T133:T134 W133:W134" xr:uid="{00000000-0002-0000-1A00-000003000000}">
      <formula1>0</formula1>
      <formula2>3</formula2>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A00-000004000000}">
      <formula1>0</formula1>
      <formula2>1</formula2>
    </dataValidation>
    <dataValidation type="list" allowBlank="1" showInputMessage="1" showErrorMessage="1" sqref="H120 K120 N120 Q120 T120 W120" xr:uid="{00000000-0002-0000-1A00-000005000000}">
      <formula1>"Cost per m^3 delivered, Cost as % commodity value"</formula1>
    </dataValidation>
    <dataValidation type="list" allowBlank="1" showInputMessage="1" showErrorMessage="1" sqref="H117 K117 N117 Q117 T117 W117" xr:uid="{00000000-0002-0000-1A00-000006000000}">
      <formula1>"Upstream,Downstream"</formula1>
    </dataValidation>
    <dataValidation type="list" allowBlank="1" showInputMessage="1" showErrorMessage="1" sqref="H105 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N105 K105" xr:uid="{00000000-0002-0000-1A00-000007000000}">
      <formula1>$B$27:$B$38</formula1>
    </dataValidation>
    <dataValidation type="decimal" allowBlank="1" showInputMessage="1" showErrorMessage="1" sqref="H93 K93 N93 Q93 T93 W93" xr:uid="{00000000-0002-0000-1A00-000008000000}">
      <formula1>0.0001</formula1>
      <formula2>2</formula2>
    </dataValidation>
    <dataValidation type="decimal" allowBlank="1" showInputMessage="1" showErrorMessage="1" sqref="H94 K94 N94 Q94 T94 W94" xr:uid="{00000000-0002-0000-1A00-000009000000}">
      <formula1>0</formula1>
      <formula2>99.9999</formula2>
    </dataValidation>
    <dataValidation type="whole" operator="greaterThan" allowBlank="1" showInputMessage="1" showErrorMessage="1" sqref="H95:H96 K95:K96 N95:N96 Q95:Q96 T95:T96 W95:W96" xr:uid="{00000000-0002-0000-1A00-00000A000000}">
      <formula1>0</formula1>
    </dataValidation>
    <dataValidation type="decimal" operator="greaterThanOrEqual" allowBlank="1" showInputMessage="1" showErrorMessage="1" sqref="H97 K97 N97 Q97 T97 W97" xr:uid="{00000000-0002-0000-1A00-00000B000000}">
      <formula1>1</formula1>
    </dataValidation>
    <dataValidation type="decimal" operator="greaterThan" allowBlank="1" showInputMessage="1" showErrorMessage="1" sqref="H6 H9:H11 H17 H21 H19 H68 H77:H78 H71:H72 H59:H66 H44:H45 H47:H48 H53:H54 H92 K92 N92 Q92 T92 W92 H108 H114 K108 K114 N108 N114 Q108 Q114 T108 T114 W108 W114 K180 K160 H184 H164 H191:H192 H171:H172 K140 H144 H151:H152 N180 N160 K184 K164 K191:K192 K171:K172 N140 K144 K151:K152 Q180 Q160 N184 N164 N191:N192 N171:N172 Q140 N144 N151:N152 T180 T160 Q184 Q164 Q191:Q192 Q171:Q172 T140 Q144 Q151:Q15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180" xr:uid="{00000000-0002-0000-1A00-00000C000000}">
      <formula1>0</formula1>
    </dataValidation>
    <dataValidation type="decimal" operator="greaterThanOrEqual" allowBlank="1" showInputMessage="1" showErrorMessage="1" sqref="H12 H8 H18 H28:H38 K28:K38 H46 H49:H52 H73:H76 H43 H55:H58 H67 H69:H70 H98:H99 K98:K99 N98:N99 Q98:Q99 T98:T99 W98:W99 K103:K104 H106:H107 H109:H113 H115:H116 N103:N104 K106:K107 K109:K113 K115:K116 H121:H122 N106:N107 N109:N113 N115:N116 Q103:Q104 Q106:Q107 Q109:Q113 Q115:Q116 T103:T104 T106:T107 T109:T113 T115:T116 W103:W104 W106:W107 W109:W113 W115:W116 H315 K121:K122 N121:N122 Q121:Q122 T121:T122 W121:W122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H103:H104" xr:uid="{00000000-0002-0000-1A00-00000D000000}">
      <formula1>0</formula1>
    </dataValidation>
    <dataValidation type="whole" allowBlank="1" showInputMessage="1" showErrorMessage="1" sqref="H7" xr:uid="{00000000-0002-0000-1A00-00000E000000}">
      <formula1>1</formula1>
      <formula2>6</formula2>
    </dataValidation>
    <dataValidation type="list" allowBlank="1" showInputMessage="1" showErrorMessage="1" sqref="H5 H86 K86 N86 Q86 T86 W86" xr:uid="{00000000-0002-0000-1A00-00000F000000}">
      <formula1>$N$6:$N$11</formula1>
    </dataValidation>
    <dataValidation type="list" allowBlank="1" showInputMessage="1" showErrorMessage="1" sqref="G86" xr:uid="{00000000-0002-0000-1A00-000010000000}">
      <formula1>"ZimbabweZAPS,TEST"</formula1>
    </dataValidation>
    <dataValidation type="list" allowBlank="1" showInputMessage="1" showErrorMessage="1" sqref="G87 G89" xr:uid="{00000000-0002-0000-1A00-000011000000}">
      <formula1>"Tier 1,Tier 2,Tier 3,Tier 4"</formula1>
    </dataValidation>
    <dataValidation type="list" allowBlank="1" showInputMessage="1" showErrorMessage="1" sqref="M289:M291 J180:J182 M245:M247 M205:M207 J136 M225:M227 M136 M156 J156 M176 M160:M162 J176 J160:J162 M180:M182 M309:M311" xr:uid="{00000000-0002-0000-1A00-000012000000}">
      <formula1>"Motorcycle,Land Cruiser,Box Truck/Lorry"</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A00-000013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 type="list" allowBlank="1" showInputMessage="1" showErrorMessage="1" xr:uid="{00000000-0002-0000-1A00-000014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A00-000015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A00-000016000000}">
          <x14:formula1>
            <xm:f>'List Values'!$C$3:$C$8</xm:f>
          </x14:formula1>
          <xm:sqref>K87 N87 Q87 T87 W87 H87</xm:sqref>
        </x14:dataValidation>
        <x14:dataValidation type="list" allowBlank="1" showInputMessage="1" showErrorMessage="1" xr:uid="{00000000-0002-0000-1A00-000017000000}">
          <x14:formula1>
            <xm:f>'List Values'!$B$3:$B$4</xm:f>
          </x14:formula1>
          <xm:sqref>H20</xm:sqref>
        </x14:dataValidation>
        <x14:dataValidation type="list" operator="greaterThan" allowBlank="1" showInputMessage="1" showErrorMessage="1" xr:uid="{00000000-0002-0000-1A00-000018000000}">
          <x14:formula1>
            <xm:f>'List Values'!$B$3:$B$4</xm:f>
          </x14:formula1>
          <xm:sqref>H20</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
    <tabColor theme="0" tint="-0.14999847407452621"/>
  </sheetPr>
  <dimension ref="A1:AH350"/>
  <sheetViews>
    <sheetView showGridLines="0" zoomScale="80" zoomScaleNormal="80" workbookViewId="0">
      <selection activeCell="B1" sqref="B1:E1"/>
    </sheetView>
  </sheetViews>
  <sheetFormatPr defaultColWidth="8.84375" defaultRowHeight="14.6"/>
  <cols>
    <col min="1" max="1" width="9.69140625" customWidth="1"/>
    <col min="2" max="2" width="30.3046875" customWidth="1"/>
    <col min="3" max="3" width="10.69140625" customWidth="1"/>
    <col min="4" max="4" width="24.3046875" customWidth="1"/>
    <col min="5" max="5" width="37.535156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s>
  <sheetData>
    <row r="1" spans="2:23" ht="217.5" customHeight="1">
      <c r="B1" s="2913" t="s">
        <v>5510</v>
      </c>
      <c r="C1" s="2913"/>
      <c r="D1" s="2913"/>
      <c r="E1" s="2913"/>
      <c r="H1" s="771"/>
    </row>
    <row r="4" spans="2:23" ht="27" customHeight="1">
      <c r="B4" s="2856" t="s">
        <v>304</v>
      </c>
      <c r="C4" s="2857"/>
      <c r="D4" s="2857"/>
      <c r="E4" s="2858"/>
      <c r="G4" s="25" t="s">
        <v>17</v>
      </c>
      <c r="H4" s="789" t="s">
        <v>10</v>
      </c>
      <c r="K4" s="2859" t="s">
        <v>405</v>
      </c>
      <c r="L4" s="2859"/>
      <c r="M4" s="2859"/>
      <c r="N4" s="2859"/>
      <c r="O4" s="2859"/>
      <c r="P4" s="2859"/>
      <c r="Q4" s="2859"/>
      <c r="R4" s="2859"/>
      <c r="S4" s="2859"/>
      <c r="T4" s="2859"/>
    </row>
    <row r="5" spans="2:23" ht="15" customHeight="1">
      <c r="B5" s="665" t="s">
        <v>117</v>
      </c>
      <c r="C5" s="664"/>
      <c r="D5" s="664"/>
      <c r="E5" s="663"/>
      <c r="H5" s="521" t="s">
        <v>122</v>
      </c>
      <c r="K5" s="2860"/>
      <c r="L5" s="2860"/>
      <c r="M5" s="2860"/>
      <c r="N5" s="2860"/>
      <c r="O5" s="2860"/>
      <c r="P5" s="2860"/>
      <c r="Q5" s="2860"/>
      <c r="R5" s="2860"/>
      <c r="S5" s="2860"/>
      <c r="T5" s="2860"/>
    </row>
    <row r="6" spans="2:23" ht="15" customHeight="1">
      <c r="B6" s="665" t="s">
        <v>165</v>
      </c>
      <c r="C6" s="664"/>
      <c r="D6" s="664"/>
      <c r="E6" s="663"/>
      <c r="F6" s="83"/>
      <c r="G6" s="84"/>
      <c r="H6" s="695">
        <v>1</v>
      </c>
      <c r="K6" s="2860" t="s">
        <v>710</v>
      </c>
      <c r="L6" s="2860"/>
      <c r="M6" s="2860"/>
      <c r="N6" s="2860"/>
      <c r="O6" s="2860"/>
      <c r="P6" s="2860"/>
      <c r="Q6" s="2860"/>
      <c r="R6" s="2860"/>
      <c r="S6" s="2860"/>
      <c r="T6" s="2860"/>
    </row>
    <row r="7" spans="2:23" ht="16" customHeight="1">
      <c r="B7" s="662" t="s">
        <v>57</v>
      </c>
      <c r="C7" s="659"/>
      <c r="D7" s="659"/>
      <c r="E7" s="791"/>
      <c r="G7" s="41">
        <v>3</v>
      </c>
      <c r="H7" s="695">
        <v>2</v>
      </c>
      <c r="K7" s="2860"/>
      <c r="L7" s="2860"/>
      <c r="M7" s="2860"/>
      <c r="N7" s="2860"/>
      <c r="O7" s="2860"/>
      <c r="P7" s="2860"/>
      <c r="Q7" s="2860"/>
      <c r="R7" s="2860"/>
      <c r="S7" s="2860"/>
      <c r="T7" s="2860"/>
    </row>
    <row r="8" spans="2:23">
      <c r="B8" s="2861" t="s">
        <v>11</v>
      </c>
      <c r="C8" s="2250"/>
      <c r="D8" s="2250"/>
      <c r="E8" s="2862"/>
      <c r="G8" s="40">
        <v>1.37</v>
      </c>
      <c r="H8" s="701">
        <v>2.25</v>
      </c>
      <c r="K8" s="2860" t="s">
        <v>709</v>
      </c>
      <c r="L8" s="2860"/>
      <c r="M8" s="2860"/>
      <c r="N8" s="2860"/>
      <c r="O8" s="2860"/>
      <c r="P8" s="2860"/>
      <c r="Q8" s="2860"/>
      <c r="R8" s="2860"/>
      <c r="S8" s="2860"/>
      <c r="T8" s="2860"/>
    </row>
    <row r="9" spans="2:23" ht="18.75" customHeight="1">
      <c r="B9" s="2861" t="s">
        <v>12</v>
      </c>
      <c r="C9" s="2250"/>
      <c r="D9" s="2250"/>
      <c r="E9" s="2862"/>
      <c r="G9" s="41">
        <v>240</v>
      </c>
      <c r="H9" s="695">
        <v>260</v>
      </c>
      <c r="K9" s="2860"/>
      <c r="L9" s="2860"/>
      <c r="M9" s="2860"/>
      <c r="N9" s="2860"/>
      <c r="O9" s="2860"/>
      <c r="P9" s="2860"/>
      <c r="Q9" s="2860"/>
      <c r="R9" s="2860"/>
      <c r="S9" s="2860"/>
      <c r="T9" s="2860"/>
      <c r="U9" s="655"/>
      <c r="V9" s="655"/>
    </row>
    <row r="10" spans="2:23" ht="15" customHeight="1">
      <c r="B10" s="2861" t="s">
        <v>13</v>
      </c>
      <c r="C10" s="2250"/>
      <c r="D10" s="2250"/>
      <c r="E10" s="2862"/>
      <c r="G10" s="41">
        <v>8</v>
      </c>
      <c r="H10" s="695">
        <v>8</v>
      </c>
      <c r="K10" s="2860"/>
      <c r="L10" s="2860"/>
      <c r="M10" s="2860"/>
      <c r="N10" s="2860"/>
      <c r="O10" s="2860"/>
      <c r="P10" s="2860"/>
      <c r="Q10" s="2860"/>
      <c r="R10" s="2860"/>
      <c r="S10" s="2860"/>
      <c r="T10" s="2860"/>
      <c r="U10" s="62"/>
      <c r="V10" s="62"/>
    </row>
    <row r="11" spans="2:23" ht="15" customHeight="1">
      <c r="B11" s="2861" t="s">
        <v>15</v>
      </c>
      <c r="C11" s="2250"/>
      <c r="D11" s="2250"/>
      <c r="E11" s="2862"/>
      <c r="G11" s="41">
        <v>5</v>
      </c>
      <c r="H11" s="695">
        <v>7</v>
      </c>
      <c r="K11" s="2860" t="s">
        <v>708</v>
      </c>
      <c r="L11" s="2860"/>
      <c r="M11" s="2860"/>
      <c r="N11" s="2860"/>
      <c r="O11" s="2860"/>
      <c r="P11" s="2860"/>
      <c r="Q11" s="2860"/>
      <c r="R11" s="2860"/>
      <c r="S11" s="2860"/>
      <c r="T11" s="2860"/>
      <c r="U11" s="62"/>
      <c r="V11" s="62"/>
    </row>
    <row r="12" spans="2:23" ht="15" customHeight="1">
      <c r="B12" s="2861" t="s">
        <v>400</v>
      </c>
      <c r="C12" s="2250"/>
      <c r="D12" s="2250"/>
      <c r="E12" s="2862"/>
      <c r="G12" s="42">
        <v>3</v>
      </c>
      <c r="H12" s="702">
        <v>5</v>
      </c>
      <c r="K12" s="2860" t="s">
        <v>707</v>
      </c>
      <c r="L12" s="2860"/>
      <c r="M12" s="2860"/>
      <c r="N12" s="2860"/>
      <c r="O12" s="2860"/>
      <c r="P12" s="2860"/>
      <c r="Q12" s="2860"/>
      <c r="R12" s="2860"/>
      <c r="S12" s="2860"/>
      <c r="T12" s="2860"/>
      <c r="U12" s="62"/>
      <c r="V12" s="62"/>
    </row>
    <row r="13" spans="2:23">
      <c r="B13" s="39"/>
      <c r="C13" s="39"/>
      <c r="D13" s="39"/>
      <c r="E13" s="39"/>
      <c r="G13" s="8"/>
      <c r="H13" s="11"/>
      <c r="S13" s="240"/>
      <c r="T13" s="62"/>
      <c r="U13" s="62"/>
      <c r="V13" s="62"/>
    </row>
    <row r="14" spans="2:23">
      <c r="B14" s="39"/>
      <c r="C14" s="39"/>
      <c r="D14" s="39"/>
      <c r="E14" s="39"/>
      <c r="G14" s="8"/>
      <c r="H14" s="11"/>
      <c r="T14" s="93"/>
      <c r="U14" s="93"/>
      <c r="V14" s="661"/>
      <c r="W14" s="4"/>
    </row>
    <row r="15" spans="2:23" ht="30" customHeight="1">
      <c r="B15" s="2856" t="s">
        <v>296</v>
      </c>
      <c r="C15" s="2857"/>
      <c r="D15" s="2857"/>
      <c r="E15" s="2858"/>
      <c r="G15" s="25" t="s">
        <v>17</v>
      </c>
      <c r="H15" s="818" t="s">
        <v>10</v>
      </c>
      <c r="K15" s="2863" t="s">
        <v>405</v>
      </c>
      <c r="L15" s="2863"/>
      <c r="M15" s="2863"/>
      <c r="N15" s="2863"/>
      <c r="O15" s="2863"/>
      <c r="P15" s="2863"/>
      <c r="Q15" s="2863"/>
      <c r="R15" s="2863"/>
      <c r="S15" s="2863"/>
      <c r="T15" s="2863"/>
      <c r="U15" s="62"/>
      <c r="V15" s="62"/>
      <c r="W15" s="4"/>
    </row>
    <row r="16" spans="2:23" ht="10.5" customHeight="1">
      <c r="B16" s="814"/>
      <c r="C16" s="815"/>
      <c r="D16" s="815"/>
      <c r="E16" s="816"/>
      <c r="G16" s="15"/>
      <c r="H16" s="998"/>
      <c r="I16" s="27"/>
      <c r="J16" s="27"/>
      <c r="K16" s="999"/>
      <c r="L16" s="999"/>
      <c r="M16" s="999"/>
      <c r="N16" s="999"/>
      <c r="O16" s="999"/>
      <c r="P16" s="999"/>
      <c r="Q16" s="999"/>
      <c r="R16" s="999"/>
      <c r="S16" s="999"/>
      <c r="T16" s="999"/>
      <c r="U16" s="62"/>
      <c r="V16" s="62"/>
      <c r="W16" s="4"/>
    </row>
    <row r="17" spans="2:23">
      <c r="B17" s="43" t="s">
        <v>367</v>
      </c>
      <c r="C17" s="44"/>
      <c r="D17" s="44"/>
      <c r="E17" s="45"/>
      <c r="G17" s="46">
        <v>1955</v>
      </c>
      <c r="H17" s="730">
        <v>15.09</v>
      </c>
      <c r="K17" s="2920"/>
      <c r="L17" s="2920"/>
      <c r="M17" s="2920"/>
      <c r="N17" s="2920"/>
      <c r="O17" s="2920"/>
      <c r="P17" s="2920"/>
      <c r="Q17" s="2920"/>
      <c r="R17" s="2920"/>
      <c r="S17" s="2920"/>
      <c r="T17" s="2920"/>
      <c r="U17" s="95"/>
      <c r="V17" s="95"/>
      <c r="W17" s="4"/>
    </row>
    <row r="18" spans="2:23">
      <c r="B18" s="43" t="s">
        <v>368</v>
      </c>
      <c r="C18" s="44"/>
      <c r="D18" s="44"/>
      <c r="E18" s="45"/>
      <c r="G18" s="41"/>
      <c r="H18" s="695">
        <v>7.7759999999999998</v>
      </c>
      <c r="K18" s="2860" t="s">
        <v>706</v>
      </c>
      <c r="L18" s="2860"/>
      <c r="M18" s="2860"/>
      <c r="N18" s="2860"/>
      <c r="O18" s="2860"/>
      <c r="P18" s="2860"/>
      <c r="Q18" s="2860"/>
      <c r="R18" s="2860"/>
      <c r="S18" s="2860"/>
      <c r="T18" s="2860"/>
      <c r="U18" s="95"/>
      <c r="V18" s="95"/>
      <c r="W18" s="4"/>
    </row>
    <row r="19" spans="2:23">
      <c r="B19" s="43" t="s">
        <v>130</v>
      </c>
      <c r="C19" s="44"/>
      <c r="D19" s="44"/>
      <c r="E19" s="45"/>
      <c r="G19" s="41"/>
      <c r="H19" s="695">
        <v>17</v>
      </c>
      <c r="K19" s="2860" t="s">
        <v>705</v>
      </c>
      <c r="L19" s="2860"/>
      <c r="M19" s="2860"/>
      <c r="N19" s="2860"/>
      <c r="O19" s="2860"/>
      <c r="P19" s="2860"/>
      <c r="Q19" s="2860"/>
      <c r="R19" s="2860"/>
      <c r="S19" s="2860"/>
      <c r="T19" s="2860"/>
      <c r="U19" s="95"/>
      <c r="V19" s="62"/>
      <c r="W19" s="4"/>
    </row>
    <row r="20" spans="2:23">
      <c r="B20" s="660" t="s">
        <v>369</v>
      </c>
      <c r="C20" s="44"/>
      <c r="D20" s="44"/>
      <c r="E20" s="45"/>
      <c r="G20" s="41"/>
      <c r="H20" s="543" t="s">
        <v>370</v>
      </c>
      <c r="K20" s="2860"/>
      <c r="L20" s="2860"/>
      <c r="M20" s="2860"/>
      <c r="N20" s="2860"/>
      <c r="O20" s="2860"/>
      <c r="P20" s="2860"/>
      <c r="Q20" s="2860"/>
      <c r="R20" s="2860"/>
      <c r="S20" s="2860"/>
      <c r="T20" s="2860"/>
      <c r="U20" s="95"/>
      <c r="V20" s="62"/>
      <c r="W20" s="4"/>
    </row>
    <row r="21" spans="2:23" ht="16" customHeight="1">
      <c r="B21" s="68" t="s">
        <v>55</v>
      </c>
      <c r="C21" s="44"/>
      <c r="D21" s="44"/>
      <c r="E21" s="45"/>
      <c r="G21" s="55">
        <v>12300000</v>
      </c>
      <c r="H21" s="696">
        <v>355998.58297484199</v>
      </c>
      <c r="K21" s="2860" t="s">
        <v>704</v>
      </c>
      <c r="L21" s="2860"/>
      <c r="M21" s="2860"/>
      <c r="N21" s="2860"/>
      <c r="O21" s="2860"/>
      <c r="P21" s="2860"/>
      <c r="Q21" s="2860"/>
      <c r="R21" s="2860"/>
      <c r="S21" s="2860"/>
      <c r="T21" s="2860"/>
      <c r="U21" s="97"/>
      <c r="V21" s="97"/>
      <c r="W21" s="4"/>
    </row>
    <row r="22" spans="2:23" ht="18.45">
      <c r="B22" s="50"/>
      <c r="C22" s="50"/>
      <c r="D22" s="50"/>
      <c r="E22" s="50"/>
      <c r="G22" s="50"/>
      <c r="H22" s="50"/>
      <c r="I22" s="50"/>
      <c r="J22" s="50"/>
      <c r="K22" s="50"/>
      <c r="S22" s="240"/>
      <c r="T22" s="95"/>
      <c r="U22" s="95"/>
      <c r="V22" s="95"/>
    </row>
    <row r="23" spans="2:23">
      <c r="S23" s="1"/>
      <c r="T23" s="272"/>
    </row>
    <row r="24" spans="2:23" ht="27.65" customHeight="1">
      <c r="B24" s="2856" t="s">
        <v>297</v>
      </c>
      <c r="C24" s="2857"/>
      <c r="D24" s="2857"/>
      <c r="E24" s="2858"/>
      <c r="G24" s="2873" t="s">
        <v>72</v>
      </c>
      <c r="H24" s="2874"/>
      <c r="I24" s="697"/>
      <c r="J24" s="2871" t="s">
        <v>24</v>
      </c>
      <c r="K24" s="2871"/>
    </row>
    <row r="25" spans="2:23" ht="15" customHeight="1">
      <c r="B25" s="2865" t="s">
        <v>23</v>
      </c>
      <c r="C25" s="2661"/>
      <c r="D25" s="2661"/>
      <c r="E25" s="2866"/>
      <c r="G25" s="2867" t="s">
        <v>17</v>
      </c>
      <c r="H25" s="2869" t="s">
        <v>10</v>
      </c>
      <c r="J25" s="2871" t="s">
        <v>17</v>
      </c>
      <c r="K25" s="2872" t="s">
        <v>10</v>
      </c>
      <c r="N25" s="2859" t="s">
        <v>405</v>
      </c>
      <c r="O25" s="2859"/>
      <c r="P25" s="2859"/>
      <c r="Q25" s="2859"/>
      <c r="R25" s="2859"/>
      <c r="S25" s="2859"/>
      <c r="T25" s="2859"/>
      <c r="U25" s="2859"/>
      <c r="V25" s="2859"/>
      <c r="W25" s="2859"/>
    </row>
    <row r="26" spans="2:23">
      <c r="B26" s="2611"/>
      <c r="C26" s="2612"/>
      <c r="D26" s="2612"/>
      <c r="E26" s="2613"/>
      <c r="G26" s="2868"/>
      <c r="H26" s="2870"/>
      <c r="J26" s="2871"/>
      <c r="K26" s="2872"/>
      <c r="N26" s="2859"/>
      <c r="O26" s="2859"/>
      <c r="P26" s="2859"/>
      <c r="Q26" s="2859"/>
      <c r="R26" s="2859"/>
      <c r="S26" s="2859"/>
      <c r="T26" s="2859"/>
      <c r="U26" s="2859"/>
      <c r="V26" s="2859"/>
      <c r="W26" s="2859"/>
    </row>
    <row r="27" spans="2:23" ht="15" customHeight="1">
      <c r="B27" s="495" t="s">
        <v>605</v>
      </c>
      <c r="C27" s="781"/>
      <c r="D27" s="781"/>
      <c r="E27" s="783"/>
      <c r="G27" s="790"/>
      <c r="H27" s="698">
        <v>0</v>
      </c>
      <c r="I27" s="703"/>
      <c r="J27" s="704"/>
      <c r="K27" s="698">
        <v>0</v>
      </c>
      <c r="N27" s="2860"/>
      <c r="O27" s="2860"/>
      <c r="P27" s="2860"/>
      <c r="Q27" s="2860"/>
      <c r="R27" s="2860"/>
      <c r="S27" s="2860"/>
      <c r="T27" s="2860"/>
      <c r="U27" s="2860"/>
      <c r="V27" s="2860"/>
      <c r="W27" s="2860"/>
    </row>
    <row r="28" spans="2:23">
      <c r="B28" s="231" t="s">
        <v>19</v>
      </c>
      <c r="C28" s="26"/>
      <c r="D28" s="26"/>
      <c r="E28" s="16"/>
      <c r="G28" s="47" t="e">
        <v>#REF!</v>
      </c>
      <c r="H28" s="524">
        <v>0.31</v>
      </c>
      <c r="I28" s="705"/>
      <c r="J28" s="706"/>
      <c r="K28" s="524">
        <v>10</v>
      </c>
      <c r="N28" s="2860"/>
      <c r="O28" s="2860"/>
      <c r="P28" s="2860"/>
      <c r="Q28" s="2860"/>
      <c r="R28" s="2860"/>
      <c r="S28" s="2860"/>
      <c r="T28" s="2860"/>
      <c r="U28" s="2860"/>
      <c r="V28" s="2860"/>
      <c r="W28" s="2860"/>
    </row>
    <row r="29" spans="2:23" ht="17.25" customHeight="1">
      <c r="B29" s="231" t="s">
        <v>20</v>
      </c>
      <c r="C29" s="26"/>
      <c r="D29" s="26"/>
      <c r="E29" s="16"/>
      <c r="G29" s="48" t="e">
        <v>#REF!</v>
      </c>
      <c r="H29" s="524"/>
      <c r="I29" s="705"/>
      <c r="J29" s="706"/>
      <c r="K29" s="524"/>
      <c r="N29" s="2860"/>
      <c r="O29" s="2860"/>
      <c r="P29" s="2860"/>
      <c r="Q29" s="2860"/>
      <c r="R29" s="2860"/>
      <c r="S29" s="2860"/>
      <c r="T29" s="2860"/>
      <c r="U29" s="2860"/>
      <c r="V29" s="2860"/>
      <c r="W29" s="2860"/>
    </row>
    <row r="30" spans="2:23" ht="17.25" customHeight="1">
      <c r="B30" s="231" t="s">
        <v>21</v>
      </c>
      <c r="C30" s="26"/>
      <c r="D30" s="26"/>
      <c r="E30" s="16"/>
      <c r="G30" s="48">
        <v>6.58</v>
      </c>
      <c r="H30" s="524">
        <v>2.89</v>
      </c>
      <c r="I30" s="705"/>
      <c r="J30" s="706">
        <v>50</v>
      </c>
      <c r="K30" s="524">
        <v>10</v>
      </c>
      <c r="N30" s="2860"/>
      <c r="O30" s="2860"/>
      <c r="P30" s="2860"/>
      <c r="Q30" s="2860"/>
      <c r="R30" s="2860"/>
      <c r="S30" s="2860"/>
      <c r="T30" s="2860"/>
      <c r="U30" s="2860"/>
      <c r="V30" s="2860"/>
      <c r="W30" s="2860"/>
    </row>
    <row r="31" spans="2:23" ht="17.25" customHeight="1">
      <c r="B31" s="231" t="s">
        <v>22</v>
      </c>
      <c r="C31" s="26"/>
      <c r="D31" s="26"/>
      <c r="E31" s="16"/>
      <c r="G31" s="48">
        <v>5.91</v>
      </c>
      <c r="H31" s="524"/>
      <c r="I31" s="705"/>
      <c r="J31" s="706"/>
      <c r="K31" s="524"/>
      <c r="N31" s="2860"/>
      <c r="O31" s="2860"/>
      <c r="P31" s="2860"/>
      <c r="Q31" s="2860"/>
      <c r="R31" s="2860"/>
      <c r="S31" s="2860"/>
      <c r="T31" s="2860"/>
      <c r="U31" s="2860"/>
      <c r="V31" s="2860"/>
      <c r="W31" s="2860"/>
    </row>
    <row r="32" spans="2:23" ht="17.25" customHeight="1">
      <c r="B32" s="231" t="s">
        <v>402</v>
      </c>
      <c r="C32" s="26"/>
      <c r="D32" s="26"/>
      <c r="E32" s="16"/>
      <c r="G32" s="48" t="e">
        <v>#REF!</v>
      </c>
      <c r="H32" s="524"/>
      <c r="I32" s="705"/>
      <c r="J32" s="706"/>
      <c r="K32" s="524"/>
      <c r="N32" s="2860"/>
      <c r="O32" s="2860"/>
      <c r="P32" s="2860"/>
      <c r="Q32" s="2860"/>
      <c r="R32" s="2860"/>
      <c r="S32" s="2860"/>
      <c r="T32" s="2860"/>
      <c r="U32" s="2860"/>
      <c r="V32" s="2860"/>
      <c r="W32" s="2860"/>
    </row>
    <row r="33" spans="1:23" ht="17.25" customHeight="1">
      <c r="B33" s="231" t="s">
        <v>401</v>
      </c>
      <c r="C33" s="26"/>
      <c r="D33" s="26"/>
      <c r="E33" s="16"/>
      <c r="G33" s="48"/>
      <c r="H33" s="524">
        <v>2.87</v>
      </c>
      <c r="I33" s="705"/>
      <c r="J33" s="706"/>
      <c r="K33" s="524">
        <v>10</v>
      </c>
      <c r="N33" s="2860"/>
      <c r="O33" s="2860"/>
      <c r="P33" s="2860"/>
      <c r="Q33" s="2860"/>
      <c r="R33" s="2860"/>
      <c r="S33" s="2860"/>
      <c r="T33" s="2860"/>
      <c r="U33" s="2860"/>
      <c r="V33" s="2860"/>
      <c r="W33" s="2860"/>
    </row>
    <row r="34" spans="1:23">
      <c r="B34" s="231" t="s">
        <v>403</v>
      </c>
      <c r="C34" s="26"/>
      <c r="D34" s="26"/>
      <c r="E34" s="16"/>
      <c r="G34" s="48">
        <v>5.91</v>
      </c>
      <c r="H34" s="524"/>
      <c r="I34" s="705"/>
      <c r="J34" s="706"/>
      <c r="K34" s="524"/>
      <c r="N34" s="2860"/>
      <c r="O34" s="2860"/>
      <c r="P34" s="2860"/>
      <c r="Q34" s="2860"/>
      <c r="R34" s="2860"/>
      <c r="S34" s="2860"/>
      <c r="T34" s="2860"/>
      <c r="U34" s="2860"/>
      <c r="V34" s="2860"/>
      <c r="W34" s="2860"/>
    </row>
    <row r="35" spans="1:23">
      <c r="B35" s="232" t="s">
        <v>404</v>
      </c>
      <c r="C35" s="26"/>
      <c r="D35" s="26"/>
      <c r="E35" s="16"/>
      <c r="G35" s="48" t="e">
        <v>#REF!</v>
      </c>
      <c r="H35" s="524"/>
      <c r="I35" s="705"/>
      <c r="J35" s="706"/>
      <c r="K35" s="524"/>
      <c r="N35" s="2860"/>
      <c r="O35" s="2860"/>
      <c r="P35" s="2860"/>
      <c r="Q35" s="2860"/>
      <c r="R35" s="2860"/>
      <c r="S35" s="2860"/>
      <c r="T35" s="2860"/>
      <c r="U35" s="2860"/>
      <c r="V35" s="2860"/>
      <c r="W35" s="2860"/>
    </row>
    <row r="36" spans="1:23">
      <c r="B36" s="232" t="s">
        <v>416</v>
      </c>
      <c r="C36" s="26"/>
      <c r="D36" s="26"/>
      <c r="E36" s="16"/>
      <c r="G36" s="48"/>
      <c r="H36" s="699">
        <v>0.21</v>
      </c>
      <c r="I36" s="705"/>
      <c r="J36" s="706"/>
      <c r="K36" s="699">
        <v>10</v>
      </c>
      <c r="N36" s="2860" t="s">
        <v>703</v>
      </c>
      <c r="O36" s="2860"/>
      <c r="P36" s="2860"/>
      <c r="Q36" s="2860"/>
      <c r="R36" s="2860"/>
      <c r="S36" s="2860"/>
      <c r="T36" s="2860"/>
      <c r="U36" s="2860"/>
      <c r="V36" s="2860"/>
      <c r="W36" s="2860"/>
    </row>
    <row r="37" spans="1:23">
      <c r="B37" s="232" t="s">
        <v>417</v>
      </c>
      <c r="C37" s="26"/>
      <c r="D37" s="26"/>
      <c r="E37" s="16"/>
      <c r="G37" s="48"/>
      <c r="H37" s="699"/>
      <c r="I37" s="705"/>
      <c r="J37" s="706"/>
      <c r="K37" s="699"/>
      <c r="N37" s="2860"/>
      <c r="O37" s="2860"/>
      <c r="P37" s="2860"/>
      <c r="Q37" s="2860"/>
      <c r="R37" s="2860"/>
      <c r="S37" s="2860"/>
      <c r="T37" s="2860"/>
      <c r="U37" s="2860"/>
      <c r="V37" s="2860"/>
      <c r="W37" s="2860"/>
    </row>
    <row r="38" spans="1:23">
      <c r="B38" s="232" t="s">
        <v>418</v>
      </c>
      <c r="C38" s="27"/>
      <c r="D38" s="27"/>
      <c r="E38" s="17"/>
      <c r="G38" s="49" t="e">
        <v>#REF!</v>
      </c>
      <c r="H38" s="700"/>
      <c r="I38" s="705"/>
      <c r="J38" s="707"/>
      <c r="K38" s="700"/>
      <c r="N38" s="2860"/>
      <c r="O38" s="2860"/>
      <c r="P38" s="2860"/>
      <c r="Q38" s="2860"/>
      <c r="R38" s="2860"/>
      <c r="S38" s="2860"/>
      <c r="T38" s="2860"/>
      <c r="U38" s="2860"/>
      <c r="V38" s="2860"/>
      <c r="W38" s="2860"/>
    </row>
    <row r="40" spans="1:23" ht="18.45">
      <c r="A40" s="10"/>
      <c r="B40" s="8"/>
      <c r="C40" s="8"/>
      <c r="S40" s="277"/>
    </row>
    <row r="41" spans="1:23" ht="28" customHeight="1">
      <c r="A41" s="10"/>
      <c r="B41" s="2856" t="s">
        <v>646</v>
      </c>
      <c r="C41" s="2857"/>
      <c r="D41" s="2857"/>
      <c r="E41" s="2858"/>
      <c r="T41" s="1"/>
      <c r="U41" s="1"/>
      <c r="V41" s="1"/>
    </row>
    <row r="42" spans="1:23" ht="32.25" customHeight="1">
      <c r="A42" s="10"/>
      <c r="B42" s="72" t="s">
        <v>34</v>
      </c>
      <c r="C42" s="2880" t="s">
        <v>35</v>
      </c>
      <c r="D42" s="2880"/>
      <c r="E42" s="2881"/>
      <c r="G42" s="15" t="s">
        <v>17</v>
      </c>
      <c r="H42" s="782" t="s">
        <v>10</v>
      </c>
      <c r="K42" s="2859" t="s">
        <v>405</v>
      </c>
      <c r="L42" s="2859"/>
      <c r="M42" s="2859"/>
      <c r="N42" s="2859"/>
      <c r="O42" s="2859"/>
      <c r="P42" s="2859"/>
      <c r="Q42" s="2859"/>
      <c r="R42" s="2859"/>
      <c r="S42" s="2859"/>
      <c r="T42" s="2859"/>
      <c r="U42" s="112"/>
      <c r="V42" s="226"/>
    </row>
    <row r="43" spans="1:23">
      <c r="B43" s="73" t="s">
        <v>136</v>
      </c>
      <c r="C43" s="74" t="s">
        <v>164</v>
      </c>
      <c r="D43" s="784"/>
      <c r="E43" s="785"/>
      <c r="F43" s="549"/>
      <c r="G43" s="75"/>
      <c r="H43" s="538">
        <v>0</v>
      </c>
      <c r="K43" s="2860" t="s">
        <v>702</v>
      </c>
      <c r="L43" s="2860"/>
      <c r="M43" s="2860"/>
      <c r="N43" s="2860"/>
      <c r="O43" s="2860"/>
      <c r="P43" s="2860"/>
      <c r="Q43" s="2860"/>
      <c r="R43" s="2860"/>
      <c r="S43" s="2860"/>
      <c r="T43" s="2860"/>
      <c r="U43" s="6"/>
      <c r="V43" s="6"/>
    </row>
    <row r="44" spans="1:23">
      <c r="A44" s="10"/>
      <c r="B44" s="13" t="s">
        <v>136</v>
      </c>
      <c r="C44" s="80" t="s">
        <v>138</v>
      </c>
      <c r="D44" s="81"/>
      <c r="E44" s="82"/>
      <c r="F44" s="549"/>
      <c r="G44" s="75"/>
      <c r="H44" s="539">
        <v>8</v>
      </c>
      <c r="K44" s="2860"/>
      <c r="L44" s="2860"/>
      <c r="M44" s="2860"/>
      <c r="N44" s="2860"/>
      <c r="O44" s="2860"/>
      <c r="P44" s="2860"/>
      <c r="Q44" s="2860"/>
      <c r="R44" s="2860"/>
      <c r="S44" s="2860"/>
      <c r="T44" s="2860"/>
      <c r="U44" s="224"/>
      <c r="V44" s="224"/>
    </row>
    <row r="45" spans="1:23">
      <c r="A45" s="10"/>
      <c r="B45" s="13" t="s">
        <v>136</v>
      </c>
      <c r="C45" s="80" t="s">
        <v>161</v>
      </c>
      <c r="D45" s="81"/>
      <c r="E45" s="82"/>
      <c r="F45" s="549"/>
      <c r="G45" s="75"/>
      <c r="H45" s="539">
        <v>2E-3</v>
      </c>
      <c r="K45" s="2860"/>
      <c r="L45" s="2860"/>
      <c r="M45" s="2860"/>
      <c r="N45" s="2860"/>
      <c r="O45" s="2860"/>
      <c r="P45" s="2860"/>
      <c r="Q45" s="2860"/>
      <c r="R45" s="2860"/>
      <c r="S45" s="2860"/>
      <c r="T45" s="2860"/>
      <c r="U45" s="6"/>
      <c r="V45" s="6"/>
    </row>
    <row r="46" spans="1:23">
      <c r="A46" s="10"/>
      <c r="B46" s="73" t="s">
        <v>137</v>
      </c>
      <c r="C46" s="74" t="s">
        <v>164</v>
      </c>
      <c r="D46" s="784"/>
      <c r="E46" s="785"/>
      <c r="F46" s="549"/>
      <c r="G46" s="75"/>
      <c r="H46" s="538">
        <v>35.64</v>
      </c>
      <c r="K46" s="2860" t="s">
        <v>736</v>
      </c>
      <c r="L46" s="2860"/>
      <c r="M46" s="2860"/>
      <c r="N46" s="2860"/>
      <c r="O46" s="2860"/>
      <c r="P46" s="2860"/>
      <c r="Q46" s="2860"/>
      <c r="R46" s="2860"/>
      <c r="S46" s="2860"/>
      <c r="T46" s="2860"/>
      <c r="U46" s="6"/>
      <c r="V46" s="6"/>
    </row>
    <row r="47" spans="1:23">
      <c r="A47" s="10"/>
      <c r="B47" s="13" t="s">
        <v>137</v>
      </c>
      <c r="C47" s="80" t="s">
        <v>138</v>
      </c>
      <c r="D47" s="81"/>
      <c r="E47" s="82"/>
      <c r="F47" s="549"/>
      <c r="G47" s="75"/>
      <c r="H47" s="539">
        <v>4</v>
      </c>
      <c r="K47" s="2860"/>
      <c r="L47" s="2860"/>
      <c r="M47" s="2860"/>
      <c r="N47" s="2860"/>
      <c r="O47" s="2860"/>
      <c r="P47" s="2860"/>
      <c r="Q47" s="2860"/>
      <c r="R47" s="2860"/>
      <c r="S47" s="2860"/>
      <c r="T47" s="2860"/>
      <c r="U47" s="6"/>
      <c r="V47" s="6"/>
    </row>
    <row r="48" spans="1:23">
      <c r="A48" s="10"/>
      <c r="B48" s="657" t="s">
        <v>137</v>
      </c>
      <c r="C48" s="656" t="s">
        <v>161</v>
      </c>
      <c r="D48" s="667"/>
      <c r="E48" s="668"/>
      <c r="F48" s="549"/>
      <c r="G48" s="75"/>
      <c r="H48" s="539">
        <v>0.104</v>
      </c>
      <c r="K48" s="2860"/>
      <c r="L48" s="2860"/>
      <c r="M48" s="2860"/>
      <c r="N48" s="2860"/>
      <c r="O48" s="2860"/>
      <c r="P48" s="2860"/>
      <c r="Q48" s="2860"/>
      <c r="R48" s="2860"/>
      <c r="S48" s="2860"/>
      <c r="T48" s="2860"/>
      <c r="U48" s="658"/>
      <c r="V48" s="658"/>
    </row>
    <row r="49" spans="1:22">
      <c r="A49" s="10"/>
      <c r="B49" s="13" t="s">
        <v>36</v>
      </c>
      <c r="C49" s="2877" t="s">
        <v>39</v>
      </c>
      <c r="D49" s="2877"/>
      <c r="E49" s="2878"/>
      <c r="F49" s="549" t="str">
        <f t="shared" ref="F49:F66" si="0">B49&amp;C49</f>
        <v>MotorcyclePurchase Price</v>
      </c>
      <c r="G49" s="32">
        <v>15000</v>
      </c>
      <c r="H49" s="540">
        <v>4737</v>
      </c>
      <c r="K49" s="2860" t="s">
        <v>697</v>
      </c>
      <c r="L49" s="2860"/>
      <c r="M49" s="2860"/>
      <c r="N49" s="2860"/>
      <c r="O49" s="2860"/>
      <c r="P49" s="2860"/>
      <c r="Q49" s="2860"/>
      <c r="R49" s="2860"/>
      <c r="S49" s="2860"/>
      <c r="T49" s="2860"/>
      <c r="U49" s="181"/>
      <c r="V49" s="181"/>
    </row>
    <row r="50" spans="1:22">
      <c r="A50" s="10"/>
      <c r="B50" s="13" t="s">
        <v>36</v>
      </c>
      <c r="C50" s="2552" t="s">
        <v>40</v>
      </c>
      <c r="D50" s="2552"/>
      <c r="E50" s="2879"/>
      <c r="F50" s="549" t="str">
        <f t="shared" si="0"/>
        <v>MotorcycleDepreciation Cost / yr</v>
      </c>
      <c r="G50" s="30">
        <f>G49/$H$11</f>
        <v>2142.8571428571427</v>
      </c>
      <c r="H50" s="541">
        <v>1184.25</v>
      </c>
      <c r="K50" s="2860" t="s">
        <v>701</v>
      </c>
      <c r="L50" s="2860"/>
      <c r="M50" s="2860"/>
      <c r="N50" s="2860"/>
      <c r="O50" s="2860"/>
      <c r="P50" s="2860"/>
      <c r="Q50" s="2860"/>
      <c r="R50" s="2860"/>
      <c r="S50" s="2860"/>
      <c r="T50" s="2860"/>
      <c r="U50" s="181"/>
      <c r="V50" s="181"/>
    </row>
    <row r="51" spans="1:22">
      <c r="A51" s="10"/>
      <c r="B51" s="13" t="s">
        <v>36</v>
      </c>
      <c r="C51" s="2552" t="s">
        <v>44</v>
      </c>
      <c r="D51" s="2552"/>
      <c r="E51" s="2879"/>
      <c r="F51" s="549" t="str">
        <f t="shared" si="0"/>
        <v>MotorcycleInsurance cost /yr</v>
      </c>
      <c r="G51" s="32">
        <v>1000</v>
      </c>
      <c r="H51" s="542">
        <v>0</v>
      </c>
      <c r="K51" s="2860" t="s">
        <v>712</v>
      </c>
      <c r="L51" s="2860"/>
      <c r="M51" s="2860"/>
      <c r="N51" s="2860"/>
      <c r="O51" s="2860"/>
      <c r="P51" s="2860"/>
      <c r="Q51" s="2860"/>
      <c r="R51" s="2860"/>
      <c r="S51" s="2860"/>
      <c r="T51" s="2860"/>
      <c r="U51" t="s">
        <v>700</v>
      </c>
      <c r="V51" s="181"/>
    </row>
    <row r="52" spans="1:22">
      <c r="A52" s="10"/>
      <c r="B52" s="13" t="s">
        <v>36</v>
      </c>
      <c r="C52" s="2552" t="s">
        <v>42</v>
      </c>
      <c r="D52" s="2552"/>
      <c r="E52" s="2879"/>
      <c r="F52" s="549" t="str">
        <f t="shared" si="0"/>
        <v>MotorcycleMaintenance cost/km</v>
      </c>
      <c r="G52" s="32">
        <v>0.05</v>
      </c>
      <c r="H52" s="542">
        <v>0</v>
      </c>
      <c r="K52" s="2860" t="s">
        <v>712</v>
      </c>
      <c r="L52" s="2860"/>
      <c r="M52" s="2860"/>
      <c r="N52" s="2860"/>
      <c r="O52" s="2860"/>
      <c r="P52" s="2860"/>
      <c r="Q52" s="2860"/>
      <c r="R52" s="2860"/>
      <c r="S52" s="2860"/>
      <c r="T52" s="2860"/>
      <c r="U52" t="s">
        <v>700</v>
      </c>
      <c r="V52" s="181"/>
    </row>
    <row r="53" spans="1:22">
      <c r="A53" s="10"/>
      <c r="B53" s="13" t="s">
        <v>36</v>
      </c>
      <c r="C53" s="2552" t="s">
        <v>41</v>
      </c>
      <c r="D53" s="2552"/>
      <c r="E53" s="2879"/>
      <c r="F53" s="549" t="str">
        <f t="shared" si="0"/>
        <v>MotorcycleFuel Efficiency (km/liter)</v>
      </c>
      <c r="G53" s="31">
        <v>27.5</v>
      </c>
      <c r="H53" s="543">
        <v>3.03</v>
      </c>
      <c r="K53" s="2860"/>
      <c r="L53" s="2860"/>
      <c r="M53" s="2860"/>
      <c r="N53" s="2860"/>
      <c r="O53" s="2860"/>
      <c r="P53" s="2860"/>
      <c r="Q53" s="2860"/>
      <c r="R53" s="2860"/>
      <c r="S53" s="2860"/>
      <c r="T53" s="2860"/>
      <c r="U53" t="s">
        <v>700</v>
      </c>
      <c r="V53" s="181"/>
    </row>
    <row r="54" spans="1:22">
      <c r="A54" s="10"/>
      <c r="B54" s="657" t="s">
        <v>36</v>
      </c>
      <c r="C54" s="2882" t="s">
        <v>43</v>
      </c>
      <c r="D54" s="2882"/>
      <c r="E54" s="2883"/>
      <c r="F54" s="549" t="str">
        <f t="shared" si="0"/>
        <v>MotorcycleDelivery Capacity (m^3)</v>
      </c>
      <c r="G54" s="33">
        <v>0.25</v>
      </c>
      <c r="H54" s="544">
        <v>0.104</v>
      </c>
      <c r="K54" s="2860"/>
      <c r="L54" s="2860"/>
      <c r="M54" s="2860"/>
      <c r="N54" s="2860"/>
      <c r="O54" s="2860"/>
      <c r="P54" s="2860"/>
      <c r="Q54" s="2860"/>
      <c r="R54" s="2860"/>
      <c r="S54" s="2860"/>
      <c r="T54" s="2860"/>
      <c r="U54" t="s">
        <v>699</v>
      </c>
      <c r="V54" s="181"/>
    </row>
    <row r="55" spans="1:22">
      <c r="A55" s="10"/>
      <c r="B55" s="13" t="s">
        <v>407</v>
      </c>
      <c r="C55" s="2877" t="s">
        <v>39</v>
      </c>
      <c r="D55" s="2877"/>
      <c r="E55" s="2878"/>
      <c r="F55" s="549" t="str">
        <f t="shared" si="0"/>
        <v>Car/Sport Utility/Consumer VehiclePurchase Price</v>
      </c>
      <c r="G55" s="28">
        <v>60939.499795095864</v>
      </c>
      <c r="H55" s="540">
        <v>46345.177664974617</v>
      </c>
      <c r="K55" s="2860" t="s">
        <v>697</v>
      </c>
      <c r="L55" s="2860"/>
      <c r="M55" s="2860"/>
      <c r="N55" s="2860"/>
      <c r="O55" s="2860"/>
      <c r="P55" s="2860"/>
      <c r="Q55" s="2860"/>
      <c r="R55" s="2860"/>
      <c r="S55" s="2860"/>
      <c r="T55" s="2860"/>
      <c r="U55" s="181"/>
      <c r="V55" s="181"/>
    </row>
    <row r="56" spans="1:22">
      <c r="A56" s="10"/>
      <c r="B56" s="13" t="s">
        <v>407</v>
      </c>
      <c r="C56" s="2552" t="s">
        <v>40</v>
      </c>
      <c r="D56" s="2552"/>
      <c r="E56" s="2879"/>
      <c r="F56" s="549" t="str">
        <f t="shared" si="0"/>
        <v>Car/Sport Utility/Consumer VehicleDepreciation Cost / yr</v>
      </c>
      <c r="G56" s="29">
        <f>G55/$H$11</f>
        <v>8705.6428278708372</v>
      </c>
      <c r="H56" s="541">
        <v>6620.7396664249454</v>
      </c>
      <c r="K56" s="2860" t="s">
        <v>696</v>
      </c>
      <c r="L56" s="2860"/>
      <c r="M56" s="2860"/>
      <c r="N56" s="2860"/>
      <c r="O56" s="2860"/>
      <c r="P56" s="2860"/>
      <c r="Q56" s="2860"/>
      <c r="R56" s="2860"/>
      <c r="S56" s="2860"/>
      <c r="T56" s="2860"/>
      <c r="U56" s="181"/>
      <c r="V56" s="181"/>
    </row>
    <row r="57" spans="1:22">
      <c r="A57" s="10"/>
      <c r="B57" s="13" t="s">
        <v>407</v>
      </c>
      <c r="C57" s="2552" t="s">
        <v>44</v>
      </c>
      <c r="D57" s="2552"/>
      <c r="E57" s="2879"/>
      <c r="F57" s="549" t="str">
        <f t="shared" si="0"/>
        <v>Car/Sport Utility/Consumer VehicleInsurance cost /yr</v>
      </c>
      <c r="G57" s="28">
        <v>2323.9499999999998</v>
      </c>
      <c r="H57" s="542">
        <v>0</v>
      </c>
      <c r="K57" s="2860" t="s">
        <v>712</v>
      </c>
      <c r="L57" s="2860"/>
      <c r="M57" s="2860"/>
      <c r="N57" s="2860"/>
      <c r="O57" s="2860"/>
      <c r="P57" s="2860"/>
      <c r="Q57" s="2860"/>
      <c r="R57" s="2860"/>
      <c r="S57" s="2860"/>
      <c r="T57" s="2860"/>
      <c r="U57" s="181"/>
      <c r="V57" s="181"/>
    </row>
    <row r="58" spans="1:22">
      <c r="A58" s="10"/>
      <c r="B58" s="13" t="s">
        <v>407</v>
      </c>
      <c r="C58" s="2918" t="s">
        <v>42</v>
      </c>
      <c r="D58" s="2918"/>
      <c r="E58" s="2919"/>
      <c r="F58" s="549" t="str">
        <f t="shared" si="0"/>
        <v>Car/Sport Utility/Consumer VehicleMaintenance cost/km</v>
      </c>
      <c r="G58" s="28">
        <v>0.12</v>
      </c>
      <c r="H58" s="542">
        <v>0</v>
      </c>
      <c r="K58" s="2860" t="s">
        <v>712</v>
      </c>
      <c r="L58" s="2860"/>
      <c r="M58" s="2860"/>
      <c r="N58" s="2860"/>
      <c r="O58" s="2860"/>
      <c r="P58" s="2860"/>
      <c r="Q58" s="2860"/>
      <c r="R58" s="2860"/>
      <c r="S58" s="2860"/>
      <c r="T58" s="2860"/>
      <c r="U58" s="181"/>
      <c r="V58" s="181"/>
    </row>
    <row r="59" spans="1:22">
      <c r="A59" s="10"/>
      <c r="B59" s="13" t="s">
        <v>407</v>
      </c>
      <c r="C59" s="2552" t="s">
        <v>41</v>
      </c>
      <c r="D59" s="2552"/>
      <c r="E59" s="2879"/>
      <c r="F59" s="549" t="str">
        <f t="shared" si="0"/>
        <v>Car/Sport Utility/Consumer VehicleFuel Efficiency (km/liter)</v>
      </c>
      <c r="G59" s="12">
        <v>6.9</v>
      </c>
      <c r="H59" s="543">
        <v>2.5</v>
      </c>
      <c r="K59" s="2860"/>
      <c r="L59" s="2860"/>
      <c r="M59" s="2860"/>
      <c r="N59" s="2860"/>
      <c r="O59" s="2860"/>
      <c r="P59" s="2860"/>
      <c r="Q59" s="2860"/>
      <c r="R59" s="2860"/>
      <c r="S59" s="2860"/>
      <c r="T59" s="2860"/>
      <c r="U59" s="181"/>
      <c r="V59" s="181"/>
    </row>
    <row r="60" spans="1:22">
      <c r="A60" s="10"/>
      <c r="B60" s="657" t="s">
        <v>407</v>
      </c>
      <c r="C60" s="2882" t="s">
        <v>43</v>
      </c>
      <c r="D60" s="2882"/>
      <c r="E60" s="2883"/>
      <c r="F60" s="549" t="str">
        <f t="shared" si="0"/>
        <v>Car/Sport Utility/Consumer VehicleDelivery Capacity (m^3)</v>
      </c>
      <c r="G60" s="14">
        <v>2</v>
      </c>
      <c r="H60" s="544">
        <v>2.2999999999999998</v>
      </c>
      <c r="K60" s="2860" t="s">
        <v>713</v>
      </c>
      <c r="L60" s="2860"/>
      <c r="M60" s="2860"/>
      <c r="N60" s="2860"/>
      <c r="O60" s="2860"/>
      <c r="P60" s="2860"/>
      <c r="Q60" s="2860"/>
      <c r="R60" s="2860"/>
      <c r="S60" s="2860"/>
      <c r="T60" s="2860"/>
      <c r="U60" s="181"/>
      <c r="V60" s="181"/>
    </row>
    <row r="61" spans="1:22">
      <c r="A61" s="10"/>
      <c r="B61" s="13" t="s">
        <v>279</v>
      </c>
      <c r="C61" s="2877" t="s">
        <v>39</v>
      </c>
      <c r="D61" s="2877"/>
      <c r="E61" s="2878"/>
      <c r="F61" s="803" t="str">
        <f t="shared" si="0"/>
        <v>Commercial TruckPurchase Price</v>
      </c>
      <c r="G61" s="28">
        <v>70448.990000000005</v>
      </c>
      <c r="H61" s="540"/>
      <c r="K61" s="2860"/>
      <c r="L61" s="2860"/>
      <c r="M61" s="2860"/>
      <c r="N61" s="2860"/>
      <c r="O61" s="2860"/>
      <c r="P61" s="2860"/>
      <c r="Q61" s="2860"/>
      <c r="R61" s="2860"/>
      <c r="S61" s="2860"/>
      <c r="T61" s="2860"/>
      <c r="U61" s="104"/>
      <c r="V61" s="104"/>
    </row>
    <row r="62" spans="1:22">
      <c r="A62" s="10"/>
      <c r="B62" s="13" t="s">
        <v>279</v>
      </c>
      <c r="C62" s="2552" t="s">
        <v>40</v>
      </c>
      <c r="D62" s="2552"/>
      <c r="E62" s="2879"/>
      <c r="F62" s="803" t="str">
        <f t="shared" si="0"/>
        <v>Commercial TruckDepreciation Cost / yr</v>
      </c>
      <c r="G62" s="29">
        <f>G61/$H$11</f>
        <v>10064.141428571429</v>
      </c>
      <c r="H62" s="541"/>
      <c r="K62" s="2860"/>
      <c r="L62" s="2860"/>
      <c r="M62" s="2860"/>
      <c r="N62" s="2860"/>
      <c r="O62" s="2860"/>
      <c r="P62" s="2860"/>
      <c r="Q62" s="2860"/>
      <c r="R62" s="2860"/>
      <c r="S62" s="2860"/>
      <c r="T62" s="2860"/>
    </row>
    <row r="63" spans="1:22">
      <c r="A63" s="10"/>
      <c r="B63" s="13" t="s">
        <v>279</v>
      </c>
      <c r="C63" s="2552" t="s">
        <v>44</v>
      </c>
      <c r="D63" s="2552"/>
      <c r="E63" s="2879"/>
      <c r="F63" s="803" t="str">
        <f t="shared" si="0"/>
        <v>Commercial TruckInsurance cost /yr</v>
      </c>
      <c r="G63" s="28">
        <v>2575.86</v>
      </c>
      <c r="H63" s="542"/>
      <c r="K63" s="2860"/>
      <c r="L63" s="2860"/>
      <c r="M63" s="2860"/>
      <c r="N63" s="2860"/>
      <c r="O63" s="2860"/>
      <c r="P63" s="2860"/>
      <c r="Q63" s="2860"/>
      <c r="R63" s="2860"/>
      <c r="S63" s="2860"/>
      <c r="T63" s="2860"/>
    </row>
    <row r="64" spans="1:22">
      <c r="A64" s="10"/>
      <c r="B64" s="13" t="s">
        <v>279</v>
      </c>
      <c r="C64" s="2552" t="s">
        <v>42</v>
      </c>
      <c r="D64" s="2552"/>
      <c r="E64" s="2879"/>
      <c r="F64" s="803" t="str">
        <f t="shared" si="0"/>
        <v>Commercial TruckMaintenance cost/km</v>
      </c>
      <c r="G64" s="28">
        <v>0.38</v>
      </c>
      <c r="H64" s="542"/>
      <c r="K64" s="2860"/>
      <c r="L64" s="2860"/>
      <c r="M64" s="2860"/>
      <c r="N64" s="2860"/>
      <c r="O64" s="2860"/>
      <c r="P64" s="2860"/>
      <c r="Q64" s="2860"/>
      <c r="R64" s="2860"/>
      <c r="S64" s="2860"/>
      <c r="T64" s="2860"/>
    </row>
    <row r="65" spans="1:23">
      <c r="A65" s="10"/>
      <c r="B65" s="13" t="s">
        <v>279</v>
      </c>
      <c r="C65" s="2552" t="s">
        <v>41</v>
      </c>
      <c r="D65" s="2552"/>
      <c r="E65" s="2879"/>
      <c r="F65" s="803" t="str">
        <f t="shared" si="0"/>
        <v>Commercial TruckFuel Efficiency (km/liter)</v>
      </c>
      <c r="G65" s="12">
        <v>3.86</v>
      </c>
      <c r="H65" s="543"/>
      <c r="K65" s="2860"/>
      <c r="L65" s="2860"/>
      <c r="M65" s="2860"/>
      <c r="N65" s="2860"/>
      <c r="O65" s="2860"/>
      <c r="P65" s="2860"/>
      <c r="Q65" s="2860"/>
      <c r="R65" s="2860"/>
      <c r="S65" s="2860"/>
      <c r="T65" s="2860"/>
    </row>
    <row r="66" spans="1:23">
      <c r="A66" s="10"/>
      <c r="B66" s="657" t="s">
        <v>279</v>
      </c>
      <c r="C66" s="2882" t="s">
        <v>43</v>
      </c>
      <c r="D66" s="2882"/>
      <c r="E66" s="2883"/>
      <c r="F66" s="803" t="str">
        <f t="shared" si="0"/>
        <v>Commercial TruckDelivery Capacity (m^3)</v>
      </c>
      <c r="G66" s="14">
        <v>12</v>
      </c>
      <c r="H66" s="544"/>
      <c r="K66" s="2860"/>
      <c r="L66" s="2860"/>
      <c r="M66" s="2860"/>
      <c r="N66" s="2860"/>
      <c r="O66" s="2860"/>
      <c r="P66" s="2860"/>
      <c r="Q66" s="2860"/>
      <c r="R66" s="2860"/>
      <c r="S66" s="2860"/>
      <c r="T66" s="2860"/>
    </row>
    <row r="67" spans="1:23">
      <c r="A67" s="10"/>
      <c r="B67" s="13" t="s">
        <v>408</v>
      </c>
      <c r="C67" s="2877" t="s">
        <v>39</v>
      </c>
      <c r="D67" s="2877"/>
      <c r="E67" s="2878"/>
      <c r="F67" s="549"/>
      <c r="H67" s="540"/>
      <c r="K67" s="2860"/>
      <c r="L67" s="2860"/>
      <c r="M67" s="2860"/>
      <c r="N67" s="2860"/>
      <c r="O67" s="2860"/>
      <c r="P67" s="2860"/>
      <c r="Q67" s="2860"/>
      <c r="R67" s="2860"/>
      <c r="S67" s="2860"/>
      <c r="T67" s="2860"/>
      <c r="W67" s="37"/>
    </row>
    <row r="68" spans="1:23">
      <c r="A68" s="10"/>
      <c r="B68" s="13" t="s">
        <v>408</v>
      </c>
      <c r="C68" s="2552" t="s">
        <v>40</v>
      </c>
      <c r="D68" s="2552"/>
      <c r="E68" s="2879"/>
      <c r="F68" s="549"/>
      <c r="H68" s="541"/>
      <c r="K68" s="2860"/>
      <c r="L68" s="2860"/>
      <c r="M68" s="2860"/>
      <c r="N68" s="2860"/>
      <c r="O68" s="2860"/>
      <c r="P68" s="2860"/>
      <c r="Q68" s="2860"/>
      <c r="R68" s="2860"/>
      <c r="S68" s="2860"/>
      <c r="T68" s="2860"/>
    </row>
    <row r="69" spans="1:23">
      <c r="A69" s="10"/>
      <c r="B69" s="13" t="s">
        <v>408</v>
      </c>
      <c r="C69" s="2552" t="s">
        <v>44</v>
      </c>
      <c r="D69" s="2552"/>
      <c r="E69" s="2879"/>
      <c r="F69" s="549"/>
      <c r="H69" s="542"/>
      <c r="K69" s="2860"/>
      <c r="L69" s="2860"/>
      <c r="M69" s="2860"/>
      <c r="N69" s="2860"/>
      <c r="O69" s="2860"/>
      <c r="P69" s="2860"/>
      <c r="Q69" s="2860"/>
      <c r="R69" s="2860"/>
      <c r="S69" s="2860"/>
      <c r="T69" s="2860"/>
      <c r="U69" s="655"/>
      <c r="V69" s="655"/>
    </row>
    <row r="70" spans="1:23">
      <c r="A70" s="10"/>
      <c r="B70" s="13" t="s">
        <v>408</v>
      </c>
      <c r="C70" s="2552" t="s">
        <v>42</v>
      </c>
      <c r="D70" s="2552"/>
      <c r="E70" s="2879"/>
      <c r="F70" s="549"/>
      <c r="H70" s="542"/>
      <c r="K70" s="2860"/>
      <c r="L70" s="2860"/>
      <c r="M70" s="2860"/>
      <c r="N70" s="2860"/>
      <c r="O70" s="2860"/>
      <c r="P70" s="2860"/>
      <c r="Q70" s="2860"/>
      <c r="R70" s="2860"/>
      <c r="S70" s="2860"/>
      <c r="T70" s="2860"/>
      <c r="U70" s="37"/>
      <c r="V70" s="654"/>
    </row>
    <row r="71" spans="1:23" ht="15" customHeight="1">
      <c r="A71" s="10"/>
      <c r="B71" s="13" t="s">
        <v>408</v>
      </c>
      <c r="C71" s="2552" t="s">
        <v>41</v>
      </c>
      <c r="D71" s="2552"/>
      <c r="E71" s="2879"/>
      <c r="F71" s="549"/>
      <c r="H71" s="543"/>
      <c r="K71" s="2860"/>
      <c r="L71" s="2860"/>
      <c r="M71" s="2860"/>
      <c r="N71" s="2860"/>
      <c r="O71" s="2860"/>
      <c r="P71" s="2860"/>
      <c r="Q71" s="2860"/>
      <c r="R71" s="2860"/>
      <c r="S71" s="2860"/>
      <c r="T71" s="2860"/>
      <c r="U71" s="37"/>
      <c r="V71" s="654"/>
    </row>
    <row r="72" spans="1:23">
      <c r="A72" s="10"/>
      <c r="B72" s="657" t="s">
        <v>408</v>
      </c>
      <c r="C72" s="2882" t="s">
        <v>43</v>
      </c>
      <c r="D72" s="2882"/>
      <c r="E72" s="2883"/>
      <c r="F72" s="549"/>
      <c r="H72" s="544"/>
      <c r="K72" s="2860"/>
      <c r="L72" s="2860"/>
      <c r="M72" s="2860"/>
      <c r="N72" s="2860"/>
      <c r="O72" s="2860"/>
      <c r="P72" s="2860"/>
      <c r="Q72" s="2860"/>
      <c r="R72" s="2860"/>
      <c r="S72" s="2860"/>
      <c r="T72" s="2860"/>
      <c r="U72" s="37"/>
      <c r="V72" s="654"/>
    </row>
    <row r="73" spans="1:23">
      <c r="A73" t="s">
        <v>698</v>
      </c>
      <c r="B73" s="13" t="s">
        <v>409</v>
      </c>
      <c r="C73" s="2877" t="s">
        <v>39</v>
      </c>
      <c r="D73" s="2877"/>
      <c r="E73" s="2878"/>
      <c r="F73" s="549"/>
      <c r="H73" s="540">
        <v>3784.8561759729273</v>
      </c>
      <c r="K73" s="2860" t="s">
        <v>697</v>
      </c>
      <c r="L73" s="2860"/>
      <c r="M73" s="2860"/>
      <c r="N73" s="2860" t="s">
        <v>100</v>
      </c>
      <c r="O73" s="2860"/>
      <c r="P73" s="2860"/>
      <c r="Q73" s="2860"/>
      <c r="R73" s="2860"/>
      <c r="S73" s="2860"/>
      <c r="T73" s="2860"/>
      <c r="U73" s="37"/>
      <c r="V73" s="654"/>
    </row>
    <row r="74" spans="1:23">
      <c r="A74" s="10"/>
      <c r="B74" s="13" t="s">
        <v>409</v>
      </c>
      <c r="C74" s="2552" t="s">
        <v>40</v>
      </c>
      <c r="D74" s="2552"/>
      <c r="E74" s="2879"/>
      <c r="F74" s="549"/>
      <c r="H74" s="541">
        <v>540.69373942470395</v>
      </c>
      <c r="K74" s="2860" t="s">
        <v>696</v>
      </c>
      <c r="L74" s="2860"/>
      <c r="M74" s="2860"/>
      <c r="N74" s="2860" t="s">
        <v>100</v>
      </c>
      <c r="O74" s="2860"/>
      <c r="P74" s="2860"/>
      <c r="Q74" s="2860"/>
      <c r="R74" s="2860"/>
      <c r="S74" s="2860"/>
      <c r="T74" s="2860"/>
      <c r="U74" s="653"/>
      <c r="V74" s="652"/>
    </row>
    <row r="75" spans="1:23">
      <c r="A75" s="10"/>
      <c r="B75" s="13" t="s">
        <v>409</v>
      </c>
      <c r="C75" s="2552" t="s">
        <v>44</v>
      </c>
      <c r="D75" s="2552"/>
      <c r="E75" s="2879"/>
      <c r="F75" s="549"/>
      <c r="H75" s="542">
        <v>0</v>
      </c>
      <c r="K75" s="2860" t="s">
        <v>712</v>
      </c>
      <c r="L75" s="2860"/>
      <c r="M75" s="2860"/>
      <c r="N75" s="2860"/>
      <c r="O75" s="2860"/>
      <c r="P75" s="2860"/>
      <c r="Q75" s="2860"/>
      <c r="R75" s="2860"/>
      <c r="S75" s="2860"/>
      <c r="T75" s="2860"/>
    </row>
    <row r="76" spans="1:23" ht="14.25" customHeight="1">
      <c r="A76" s="10"/>
      <c r="B76" s="13" t="s">
        <v>409</v>
      </c>
      <c r="C76" s="2552" t="s">
        <v>42</v>
      </c>
      <c r="D76" s="2552"/>
      <c r="E76" s="2879"/>
      <c r="F76" s="549"/>
      <c r="H76" s="542">
        <v>0</v>
      </c>
      <c r="K76" s="2860" t="s">
        <v>712</v>
      </c>
      <c r="L76" s="2860"/>
      <c r="M76" s="2860"/>
      <c r="N76" s="2860"/>
      <c r="O76" s="2860"/>
      <c r="P76" s="2860"/>
      <c r="Q76" s="2860"/>
      <c r="R76" s="2860"/>
      <c r="S76" s="2860"/>
      <c r="T76" s="2860"/>
    </row>
    <row r="77" spans="1:23" ht="15.75" customHeight="1">
      <c r="A77" s="10"/>
      <c r="B77" s="13" t="s">
        <v>409</v>
      </c>
      <c r="C77" s="2552" t="s">
        <v>41</v>
      </c>
      <c r="D77" s="2552"/>
      <c r="E77" s="2879"/>
      <c r="F77" s="549"/>
      <c r="H77" s="543">
        <v>1</v>
      </c>
      <c r="K77" s="2860"/>
      <c r="L77" s="2860"/>
      <c r="M77" s="2860"/>
      <c r="N77" s="2860"/>
      <c r="O77" s="2860"/>
      <c r="P77" s="2860"/>
      <c r="Q77" s="2860"/>
      <c r="R77" s="2860"/>
      <c r="S77" s="2860"/>
      <c r="T77" s="2860"/>
    </row>
    <row r="78" spans="1:23">
      <c r="A78" s="10"/>
      <c r="B78" s="657" t="s">
        <v>409</v>
      </c>
      <c r="C78" s="2882" t="s">
        <v>43</v>
      </c>
      <c r="D78" s="2882"/>
      <c r="E78" s="2883"/>
      <c r="F78" s="549"/>
      <c r="H78" s="544">
        <v>6</v>
      </c>
      <c r="K78" s="2860"/>
      <c r="L78" s="2860"/>
      <c r="M78" s="2860"/>
      <c r="N78" s="2860"/>
      <c r="O78" s="2860"/>
      <c r="P78" s="2860"/>
      <c r="Q78" s="2860"/>
      <c r="R78" s="2860"/>
      <c r="S78" s="2860"/>
      <c r="T78" s="2860"/>
    </row>
    <row r="79" spans="1:23" ht="30" customHeight="1">
      <c r="A79" s="10"/>
      <c r="B79" s="8"/>
      <c r="C79" s="8"/>
    </row>
    <row r="80" spans="1:23">
      <c r="A80" s="10"/>
      <c r="B80" s="8"/>
      <c r="C80" s="8"/>
    </row>
    <row r="81" spans="1:34" ht="27.65" customHeight="1">
      <c r="A81" s="2886" t="s">
        <v>607</v>
      </c>
      <c r="B81" s="2886"/>
      <c r="C81" s="2886"/>
      <c r="D81" s="2886"/>
      <c r="E81" s="2886"/>
      <c r="G81" t="s">
        <v>3</v>
      </c>
      <c r="H81" t="s">
        <v>692</v>
      </c>
      <c r="J81" t="s">
        <v>47</v>
      </c>
      <c r="K81" t="s">
        <v>695</v>
      </c>
      <c r="M81" t="s">
        <v>96</v>
      </c>
      <c r="N81" t="s">
        <v>694</v>
      </c>
      <c r="Q81" t="s">
        <v>693</v>
      </c>
    </row>
    <row r="82" spans="1:34" ht="15" customHeight="1">
      <c r="A82" s="10"/>
      <c r="B82" s="148"/>
      <c r="C82" s="148"/>
      <c r="D82" s="148"/>
      <c r="E82" s="148"/>
      <c r="G82" s="2887" t="s">
        <v>9</v>
      </c>
      <c r="H82" s="2888"/>
      <c r="I82" s="8"/>
      <c r="J82" s="2889" t="s">
        <v>6</v>
      </c>
      <c r="K82" s="2890"/>
      <c r="L82" s="8"/>
      <c r="M82" s="2889" t="s">
        <v>7</v>
      </c>
      <c r="N82" s="2890"/>
      <c r="O82" s="8"/>
      <c r="P82" s="786" t="s">
        <v>8</v>
      </c>
      <c r="Q82" s="786" t="s">
        <v>8</v>
      </c>
      <c r="R82" s="8"/>
      <c r="S82" s="8"/>
      <c r="T82" s="786" t="s">
        <v>411</v>
      </c>
      <c r="U82" s="8"/>
      <c r="V82" s="8"/>
      <c r="W82" s="718" t="s">
        <v>412</v>
      </c>
    </row>
    <row r="83" spans="1:34" ht="15" customHeight="1">
      <c r="B83" s="148"/>
      <c r="C83" s="148"/>
      <c r="D83" s="148"/>
      <c r="E83" s="148"/>
      <c r="G83" s="2867" t="s">
        <v>17</v>
      </c>
      <c r="H83" s="2894" t="s">
        <v>10</v>
      </c>
      <c r="I83" s="6"/>
      <c r="J83" s="2637" t="s">
        <v>17</v>
      </c>
      <c r="K83" s="2894" t="s">
        <v>10</v>
      </c>
      <c r="L83" s="6"/>
      <c r="M83" s="2637" t="s">
        <v>17</v>
      </c>
      <c r="N83" s="2894" t="s">
        <v>10</v>
      </c>
      <c r="P83" s="2867" t="s">
        <v>17</v>
      </c>
      <c r="Q83" s="2869" t="s">
        <v>10</v>
      </c>
      <c r="T83" s="2869" t="s">
        <v>10</v>
      </c>
      <c r="W83" s="2869" t="s">
        <v>10</v>
      </c>
      <c r="X83" s="2661" t="s">
        <v>405</v>
      </c>
      <c r="Y83" s="2661"/>
      <c r="Z83" s="2661"/>
      <c r="AA83" s="2661"/>
      <c r="AB83" s="2661"/>
      <c r="AC83" s="2661"/>
      <c r="AD83" s="2661"/>
      <c r="AE83" s="2661"/>
      <c r="AF83" s="2661"/>
      <c r="AG83" s="2866"/>
    </row>
    <row r="84" spans="1:34" ht="15" customHeight="1">
      <c r="B84" s="148"/>
      <c r="C84" s="148"/>
      <c r="D84" s="148"/>
      <c r="E84" s="148"/>
      <c r="G84" s="2891"/>
      <c r="H84" s="2895"/>
      <c r="I84" s="6"/>
      <c r="J84" s="2896"/>
      <c r="K84" s="2895"/>
      <c r="L84" s="6"/>
      <c r="M84" s="2896"/>
      <c r="N84" s="2895"/>
      <c r="P84" s="2891"/>
      <c r="Q84" s="2892"/>
      <c r="T84" s="2892"/>
      <c r="W84" s="2892"/>
      <c r="X84" s="2662"/>
      <c r="Y84" s="2662"/>
      <c r="Z84" s="2662"/>
      <c r="AA84" s="2662"/>
      <c r="AB84" s="2662"/>
      <c r="AC84" s="2662"/>
      <c r="AD84" s="2662"/>
      <c r="AE84" s="2662"/>
      <c r="AF84" s="2662"/>
      <c r="AG84" s="2610"/>
    </row>
    <row r="85" spans="1:34"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34" ht="20.25" customHeight="1">
      <c r="B86" s="44" t="s">
        <v>116</v>
      </c>
      <c r="C86" s="44"/>
      <c r="D86" s="44"/>
      <c r="E86" s="44"/>
      <c r="G86" s="64" t="s">
        <v>26</v>
      </c>
      <c r="H86" s="523"/>
      <c r="I86" s="713"/>
      <c r="J86" s="714"/>
      <c r="K86" s="523"/>
      <c r="L86" s="713"/>
      <c r="M86" s="714"/>
      <c r="N86" s="523"/>
      <c r="O86" s="713"/>
      <c r="P86" s="714"/>
      <c r="Q86" s="523"/>
      <c r="R86" s="713"/>
      <c r="S86" s="713"/>
      <c r="T86" s="523"/>
      <c r="U86" s="713"/>
      <c r="V86" s="713"/>
      <c r="W86" s="695"/>
      <c r="X86" s="2893"/>
      <c r="Y86" s="2893"/>
      <c r="Z86" s="2893"/>
      <c r="AA86" s="2893"/>
      <c r="AB86" s="2893"/>
      <c r="AC86" s="2893"/>
      <c r="AD86" s="2893"/>
      <c r="AE86" s="2893"/>
      <c r="AF86" s="2893"/>
      <c r="AG86" s="2893"/>
    </row>
    <row r="87" spans="1:34" ht="18" customHeight="1">
      <c r="B87" s="44" t="s">
        <v>0</v>
      </c>
      <c r="C87" s="44"/>
      <c r="D87" s="44"/>
      <c r="E87" s="44"/>
      <c r="F87" s="236"/>
      <c r="G87" s="719" t="s">
        <v>31</v>
      </c>
      <c r="H87" s="550"/>
      <c r="I87" s="720"/>
      <c r="J87" s="721"/>
      <c r="K87" s="550"/>
      <c r="L87" s="720"/>
      <c r="M87" s="721"/>
      <c r="N87" s="550"/>
      <c r="O87" s="720"/>
      <c r="P87" s="721"/>
      <c r="Q87" s="550"/>
      <c r="R87" s="720"/>
      <c r="S87" s="720"/>
      <c r="T87" s="550"/>
      <c r="U87" s="720"/>
      <c r="V87" s="720"/>
      <c r="W87" s="722"/>
      <c r="X87" s="2893"/>
      <c r="Y87" s="2893"/>
      <c r="Z87" s="2893"/>
      <c r="AA87" s="2893"/>
      <c r="AB87" s="2893"/>
      <c r="AC87" s="2893"/>
      <c r="AD87" s="2893"/>
      <c r="AE87" s="2893"/>
      <c r="AF87" s="2893"/>
      <c r="AG87" s="2893"/>
    </row>
    <row r="88" spans="1:34" ht="18.45">
      <c r="A88" s="6"/>
      <c r="B88" s="723" t="s">
        <v>54</v>
      </c>
      <c r="C88" s="180"/>
      <c r="D88" s="180"/>
      <c r="E88" s="180"/>
      <c r="F88" s="6"/>
      <c r="G88" s="65"/>
      <c r="H88" s="561" t="s">
        <v>692</v>
      </c>
      <c r="I88" s="708"/>
      <c r="J88" s="709"/>
      <c r="K88" s="561" t="s">
        <v>724</v>
      </c>
      <c r="L88" s="710"/>
      <c r="M88" s="711"/>
      <c r="N88" s="561"/>
      <c r="O88" s="710"/>
      <c r="P88" s="712"/>
      <c r="Q88" s="561"/>
      <c r="R88" s="713"/>
      <c r="S88" s="713"/>
      <c r="T88" s="561"/>
      <c r="U88" s="713"/>
      <c r="V88" s="713"/>
      <c r="W88" s="744"/>
      <c r="X88" s="2900"/>
      <c r="Y88" s="2900"/>
      <c r="Z88" s="2900"/>
      <c r="AA88" s="2893"/>
      <c r="AB88" s="2893"/>
      <c r="AC88" s="2893"/>
      <c r="AD88" s="2893"/>
      <c r="AE88" s="2893"/>
      <c r="AF88" s="2893"/>
      <c r="AG88" s="2893"/>
      <c r="AH88" s="9" t="s">
        <v>714</v>
      </c>
    </row>
    <row r="89" spans="1:34">
      <c r="B89" s="52"/>
      <c r="C89" s="52"/>
      <c r="D89" s="52"/>
      <c r="E89" s="52"/>
      <c r="G89" s="717"/>
      <c r="H89" s="780"/>
      <c r="J89" s="780"/>
      <c r="K89" s="780"/>
      <c r="M89" s="780"/>
      <c r="N89" s="780"/>
      <c r="P89" s="780"/>
      <c r="Q89" s="780"/>
      <c r="T89" s="780"/>
      <c r="W89" s="780"/>
    </row>
    <row r="90" spans="1:34"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row>
    <row r="91" spans="1:34" ht="18.649999999999999" hidden="1" customHeight="1">
      <c r="A91" s="1"/>
      <c r="B91" s="50"/>
      <c r="C91" s="50"/>
      <c r="D91" s="50"/>
      <c r="E91" s="50"/>
      <c r="G91" s="66"/>
      <c r="H91" s="787"/>
      <c r="I91" s="6"/>
      <c r="J91" s="111"/>
      <c r="K91" s="787"/>
      <c r="L91" s="6"/>
      <c r="M91" s="111"/>
      <c r="N91" s="787"/>
      <c r="P91" s="66"/>
      <c r="Q91" s="788"/>
      <c r="T91" s="788"/>
      <c r="W91" s="724"/>
    </row>
    <row r="92" spans="1:34" ht="18.45">
      <c r="A92" s="6"/>
      <c r="B92" s="723" t="s">
        <v>16</v>
      </c>
      <c r="C92" s="180"/>
      <c r="D92" s="180"/>
      <c r="E92" s="180"/>
      <c r="F92" s="725"/>
      <c r="G92" s="65"/>
      <c r="H92" s="553">
        <v>103902</v>
      </c>
      <c r="I92" s="710"/>
      <c r="J92" s="711"/>
      <c r="K92" s="553">
        <v>103902</v>
      </c>
      <c r="L92" s="710"/>
      <c r="M92" s="711"/>
      <c r="N92" s="553"/>
      <c r="O92" s="710"/>
      <c r="P92" s="712"/>
      <c r="Q92" s="553"/>
      <c r="R92" s="713"/>
      <c r="S92" s="713"/>
      <c r="T92" s="553"/>
      <c r="U92" s="713"/>
      <c r="V92" s="713"/>
      <c r="W92" s="730"/>
      <c r="X92" s="2893" t="s">
        <v>690</v>
      </c>
      <c r="Y92" s="2893"/>
      <c r="Z92" s="2893"/>
      <c r="AA92" s="2893"/>
      <c r="AB92" s="2893"/>
      <c r="AC92" s="2893"/>
      <c r="AD92" s="2893"/>
      <c r="AE92" s="2893"/>
      <c r="AF92" s="2893"/>
      <c r="AG92" s="2893"/>
    </row>
    <row r="93" spans="1:34" ht="18.45">
      <c r="A93" s="6"/>
      <c r="B93" s="726" t="s">
        <v>124</v>
      </c>
      <c r="C93" s="727"/>
      <c r="D93" s="727"/>
      <c r="E93" s="727"/>
      <c r="F93" s="728"/>
      <c r="G93" s="65"/>
      <c r="H93" s="554">
        <v>1</v>
      </c>
      <c r="I93" s="731"/>
      <c r="J93" s="732"/>
      <c r="K93" s="554">
        <v>1</v>
      </c>
      <c r="L93" s="731"/>
      <c r="M93" s="732"/>
      <c r="N93" s="554"/>
      <c r="O93" s="733"/>
      <c r="P93" s="734"/>
      <c r="Q93" s="554"/>
      <c r="R93" s="735"/>
      <c r="S93" s="735"/>
      <c r="T93" s="554"/>
      <c r="U93" s="735"/>
      <c r="V93" s="735"/>
      <c r="W93" s="736"/>
      <c r="X93" s="2893"/>
      <c r="Y93" s="2893"/>
      <c r="Z93" s="2893"/>
      <c r="AA93" s="2893"/>
      <c r="AB93" s="2893"/>
      <c r="AC93" s="2893"/>
      <c r="AD93" s="2893"/>
      <c r="AE93" s="2893"/>
      <c r="AF93" s="2893"/>
      <c r="AG93" s="2893"/>
      <c r="AH93" s="9" t="s">
        <v>715</v>
      </c>
    </row>
    <row r="94" spans="1:34" ht="18.45">
      <c r="A94" s="6"/>
      <c r="B94" s="726" t="s">
        <v>123</v>
      </c>
      <c r="C94" s="727"/>
      <c r="D94" s="727"/>
      <c r="E94" s="727"/>
      <c r="F94" s="728"/>
      <c r="G94" s="65"/>
      <c r="H94" s="806"/>
      <c r="I94" s="731"/>
      <c r="J94" s="732"/>
      <c r="K94" s="1081">
        <v>0.14000000000000001</v>
      </c>
      <c r="L94" s="708"/>
      <c r="M94" s="709"/>
      <c r="N94" s="737"/>
      <c r="O94" s="710"/>
      <c r="P94" s="712"/>
      <c r="Q94" s="737"/>
      <c r="R94" s="713"/>
      <c r="S94" s="713"/>
      <c r="T94" s="737"/>
      <c r="U94" s="713"/>
      <c r="V94" s="713"/>
      <c r="W94" s="738"/>
      <c r="X94" s="2893" t="s">
        <v>689</v>
      </c>
      <c r="Y94" s="2893"/>
      <c r="Z94" s="2893"/>
      <c r="AA94" s="2893"/>
      <c r="AB94" s="2893"/>
      <c r="AC94" s="2893"/>
      <c r="AD94" s="2893"/>
      <c r="AE94" s="2893"/>
      <c r="AF94" s="2893"/>
      <c r="AG94" s="2893"/>
      <c r="AH94" s="9" t="s">
        <v>716</v>
      </c>
    </row>
    <row r="95" spans="1:34" ht="18.45">
      <c r="A95" s="6"/>
      <c r="B95" s="726" t="s">
        <v>56</v>
      </c>
      <c r="C95" s="727"/>
      <c r="D95" s="727"/>
      <c r="E95" s="727"/>
      <c r="F95" s="728"/>
      <c r="G95" s="65">
        <v>1</v>
      </c>
      <c r="H95" s="523">
        <v>1</v>
      </c>
      <c r="I95" s="708"/>
      <c r="J95" s="709">
        <v>1</v>
      </c>
      <c r="K95" s="523">
        <v>140</v>
      </c>
      <c r="L95" s="708"/>
      <c r="M95" s="709">
        <v>345</v>
      </c>
      <c r="N95" s="523"/>
      <c r="O95" s="710"/>
      <c r="P95" s="712"/>
      <c r="Q95" s="523"/>
      <c r="R95" s="713"/>
      <c r="S95" s="713"/>
      <c r="T95" s="523"/>
      <c r="U95" s="713"/>
      <c r="V95" s="713"/>
      <c r="W95" s="695"/>
      <c r="X95" s="2893"/>
      <c r="Y95" s="2893"/>
      <c r="Z95" s="2893"/>
      <c r="AA95" s="2893"/>
      <c r="AB95" s="2893"/>
      <c r="AC95" s="2893"/>
      <c r="AD95" s="2893"/>
      <c r="AE95" s="2893"/>
      <c r="AF95" s="2893"/>
      <c r="AG95" s="2893"/>
      <c r="AH95" s="9" t="s">
        <v>717</v>
      </c>
    </row>
    <row r="96" spans="1:34" ht="21" customHeight="1">
      <c r="A96" s="6"/>
      <c r="B96" s="729" t="s">
        <v>18</v>
      </c>
      <c r="C96" s="727"/>
      <c r="D96" s="727"/>
      <c r="E96" s="727"/>
      <c r="F96" s="728"/>
      <c r="G96" s="65"/>
      <c r="H96" s="523">
        <v>12</v>
      </c>
      <c r="I96" s="710"/>
      <c r="J96" s="711">
        <v>4</v>
      </c>
      <c r="K96" s="523">
        <v>12</v>
      </c>
      <c r="L96" s="710"/>
      <c r="M96" s="711">
        <v>4</v>
      </c>
      <c r="N96" s="523"/>
      <c r="O96" s="710"/>
      <c r="P96" s="712"/>
      <c r="Q96" s="523"/>
      <c r="R96" s="713"/>
      <c r="S96" s="713"/>
      <c r="T96" s="523"/>
      <c r="U96" s="713"/>
      <c r="V96" s="713"/>
      <c r="W96" s="695"/>
      <c r="X96" s="2893"/>
      <c r="Y96" s="2893"/>
      <c r="Z96" s="2893"/>
      <c r="AA96" s="2893"/>
      <c r="AB96" s="2893"/>
      <c r="AC96" s="2893"/>
      <c r="AD96" s="2893"/>
      <c r="AE96" s="2893"/>
      <c r="AF96" s="2893"/>
      <c r="AG96" s="2893"/>
    </row>
    <row r="97" spans="1:34" ht="21" customHeight="1">
      <c r="A97" s="6"/>
      <c r="B97" s="44" t="s">
        <v>602</v>
      </c>
      <c r="C97" s="727"/>
      <c r="D97" s="727"/>
      <c r="E97" s="727"/>
      <c r="F97" s="728"/>
      <c r="G97" s="65"/>
      <c r="H97" s="523">
        <v>2.16</v>
      </c>
      <c r="I97" s="710"/>
      <c r="J97" s="711"/>
      <c r="K97" s="523">
        <v>2.16</v>
      </c>
      <c r="L97" s="710"/>
      <c r="M97" s="711"/>
      <c r="N97" s="523"/>
      <c r="O97" s="710"/>
      <c r="P97" s="712"/>
      <c r="Q97" s="523"/>
      <c r="R97" s="739"/>
      <c r="S97" s="739"/>
      <c r="T97" s="523"/>
      <c r="U97" s="739"/>
      <c r="V97" s="739"/>
      <c r="W97" s="695"/>
      <c r="X97" s="2893"/>
      <c r="Y97" s="2893"/>
      <c r="Z97" s="2893"/>
      <c r="AA97" s="2893"/>
      <c r="AB97" s="2893"/>
      <c r="AC97" s="2893"/>
      <c r="AD97" s="2893"/>
      <c r="AE97" s="2893"/>
      <c r="AF97" s="2893"/>
      <c r="AG97" s="2893"/>
    </row>
    <row r="98" spans="1:34" s="6" customFormat="1">
      <c r="B98" s="729" t="s">
        <v>45</v>
      </c>
      <c r="C98" s="694"/>
      <c r="D98" s="694"/>
      <c r="E98" s="694"/>
      <c r="F98" s="728"/>
      <c r="G98" s="65"/>
      <c r="H98" s="809"/>
      <c r="I98" s="710"/>
      <c r="J98" s="711">
        <v>289</v>
      </c>
      <c r="K98" s="523">
        <v>68</v>
      </c>
      <c r="L98" s="710"/>
      <c r="M98" s="740"/>
      <c r="N98" s="523"/>
      <c r="O98" s="710"/>
      <c r="P98" s="711"/>
      <c r="Q98" s="523"/>
      <c r="R98" s="710"/>
      <c r="S98" s="710"/>
      <c r="T98" s="523"/>
      <c r="U98" s="710"/>
      <c r="V98" s="710"/>
      <c r="W98" s="695"/>
      <c r="X98" s="2893"/>
      <c r="Y98" s="2893"/>
      <c r="Z98" s="2893"/>
      <c r="AA98" s="2893"/>
      <c r="AB98" s="2893"/>
      <c r="AC98" s="2893"/>
      <c r="AD98" s="2893"/>
      <c r="AE98" s="2893"/>
      <c r="AF98" s="2893"/>
      <c r="AG98" s="2893"/>
    </row>
    <row r="99" spans="1:34" s="6" customFormat="1">
      <c r="B99" s="584" t="s">
        <v>46</v>
      </c>
      <c r="C99" s="584"/>
      <c r="D99" s="584"/>
      <c r="E99" s="584"/>
      <c r="F99" s="728"/>
      <c r="G99" s="63"/>
      <c r="H99" s="525">
        <v>0</v>
      </c>
      <c r="I99" s="741"/>
      <c r="J99" s="742">
        <v>0</v>
      </c>
      <c r="K99" s="525">
        <v>68</v>
      </c>
      <c r="L99" s="741"/>
      <c r="M99" s="743"/>
      <c r="N99" s="525"/>
      <c r="O99" s="741"/>
      <c r="P99" s="557"/>
      <c r="Q99" s="525"/>
      <c r="R99" s="741"/>
      <c r="S99" s="741"/>
      <c r="T99" s="525"/>
      <c r="U99" s="741"/>
      <c r="V99" s="741"/>
      <c r="W99" s="702"/>
      <c r="X99" s="2893"/>
      <c r="Y99" s="2893"/>
      <c r="Z99" s="2893"/>
      <c r="AA99" s="2893"/>
      <c r="AB99" s="2893"/>
      <c r="AC99" s="2893"/>
      <c r="AD99" s="2893"/>
      <c r="AE99" s="2893"/>
      <c r="AF99" s="2893"/>
      <c r="AG99" s="2893"/>
    </row>
    <row r="100" spans="1:34">
      <c r="A100" s="6"/>
      <c r="B100" s="6"/>
      <c r="C100" s="6"/>
      <c r="D100" s="6"/>
      <c r="E100" s="6"/>
      <c r="F100" s="6"/>
      <c r="G100" s="6"/>
      <c r="H100" s="121"/>
      <c r="I100" s="6"/>
      <c r="J100" s="121"/>
      <c r="K100" s="121"/>
      <c r="L100" s="6"/>
      <c r="M100" s="666"/>
      <c r="N100" s="128"/>
      <c r="O100" s="6"/>
      <c r="P100" s="6"/>
      <c r="Q100" s="121"/>
      <c r="T100" s="121"/>
      <c r="W100" s="121"/>
    </row>
    <row r="101" spans="1:34" ht="16.75">
      <c r="A101" s="591" t="s">
        <v>614</v>
      </c>
      <c r="B101" s="596"/>
      <c r="C101" s="596"/>
      <c r="D101" s="596"/>
      <c r="E101" s="596"/>
      <c r="F101" s="597"/>
      <c r="G101" s="594"/>
      <c r="H101" s="596"/>
      <c r="I101" s="597"/>
      <c r="J101" s="594"/>
      <c r="K101" s="596"/>
      <c r="L101" s="597"/>
      <c r="M101" s="594"/>
      <c r="N101" s="597"/>
      <c r="O101" s="594"/>
      <c r="P101" s="594"/>
      <c r="Q101" s="682"/>
      <c r="T101" s="682"/>
      <c r="U101" s="594"/>
      <c r="V101" s="594"/>
      <c r="W101" s="682"/>
      <c r="X101" s="594"/>
      <c r="Y101" s="594"/>
      <c r="Z101" s="594"/>
      <c r="AA101" s="594"/>
      <c r="AB101" s="594"/>
      <c r="AC101" s="594"/>
      <c r="AD101" s="594"/>
      <c r="AE101" s="594"/>
      <c r="AF101" s="594"/>
      <c r="AG101" s="594"/>
    </row>
    <row r="102" spans="1:34" ht="14.9" hidden="1" customHeight="1">
      <c r="A102" s="1"/>
      <c r="B102" s="1"/>
      <c r="G102" s="53"/>
      <c r="H102" s="118"/>
      <c r="I102" s="6"/>
      <c r="J102" s="63"/>
      <c r="K102" s="118"/>
      <c r="L102" s="6"/>
      <c r="M102" s="63"/>
      <c r="N102" s="118"/>
      <c r="P102" s="53"/>
      <c r="Q102" s="58"/>
      <c r="T102" s="58"/>
      <c r="W102" s="58"/>
    </row>
    <row r="103" spans="1:34" ht="18.649999999999999" hidden="1" customHeight="1">
      <c r="A103" s="2897" t="s">
        <v>341</v>
      </c>
      <c r="B103" s="1398"/>
      <c r="C103" s="1399"/>
      <c r="D103" s="1399"/>
      <c r="E103" s="1399"/>
      <c r="F103" s="1400"/>
      <c r="G103" s="1401"/>
      <c r="H103" s="1389"/>
      <c r="I103" s="1402"/>
      <c r="J103" s="1401"/>
      <c r="K103" s="1389"/>
      <c r="L103" s="1402"/>
      <c r="M103" s="1401"/>
      <c r="N103" s="1389"/>
      <c r="O103" s="1402"/>
      <c r="P103" s="1403"/>
      <c r="Q103" s="1389"/>
      <c r="R103" s="1404"/>
      <c r="S103" s="1404"/>
      <c r="T103" s="1389"/>
      <c r="U103" s="1404"/>
      <c r="V103" s="1404"/>
      <c r="W103" s="1405"/>
      <c r="X103" s="2899"/>
      <c r="Y103" s="2899"/>
      <c r="Z103" s="2899"/>
      <c r="AA103" s="2899"/>
      <c r="AB103" s="2899"/>
      <c r="AC103" s="2899"/>
      <c r="AD103" s="2899"/>
      <c r="AE103" s="2899"/>
      <c r="AF103" s="2899"/>
      <c r="AG103" s="2899"/>
    </row>
    <row r="104" spans="1:34" ht="33" customHeight="1">
      <c r="A104" s="2898"/>
      <c r="B104" s="726" t="s">
        <v>2373</v>
      </c>
      <c r="C104" s="727"/>
      <c r="D104" s="727"/>
      <c r="E104" s="727"/>
      <c r="F104" s="728"/>
      <c r="G104" s="65">
        <v>6</v>
      </c>
      <c r="H104" s="561">
        <v>1</v>
      </c>
      <c r="I104" s="748"/>
      <c r="J104" s="711">
        <v>3</v>
      </c>
      <c r="K104" s="561">
        <v>0.5</v>
      </c>
      <c r="L104" s="748"/>
      <c r="M104" s="711">
        <v>6</v>
      </c>
      <c r="N104" s="562"/>
      <c r="O104" s="748"/>
      <c r="P104" s="712"/>
      <c r="Q104" s="562"/>
      <c r="R104" s="762"/>
      <c r="S104" s="762"/>
      <c r="T104" s="562"/>
      <c r="U104" s="762"/>
      <c r="V104" s="762"/>
      <c r="W104" s="747"/>
      <c r="X104" s="2893"/>
      <c r="Y104" s="2893"/>
      <c r="Z104" s="2893"/>
      <c r="AA104" s="2893"/>
      <c r="AB104" s="2893"/>
      <c r="AC104" s="2893"/>
      <c r="AD104" s="2893"/>
      <c r="AE104" s="2893"/>
      <c r="AF104" s="2893"/>
      <c r="AG104" s="2893"/>
    </row>
    <row r="105" spans="1:34" ht="43.75">
      <c r="A105" s="2902" t="s">
        <v>185</v>
      </c>
      <c r="B105" s="726" t="s">
        <v>231</v>
      </c>
      <c r="C105" s="727"/>
      <c r="D105" s="727"/>
      <c r="E105" s="727"/>
      <c r="F105" s="728"/>
      <c r="G105" s="114">
        <v>19.246910452309116</v>
      </c>
      <c r="H105" s="563" t="s">
        <v>401</v>
      </c>
      <c r="I105" s="748"/>
      <c r="J105" s="749">
        <v>18.195242733065239</v>
      </c>
      <c r="K105" s="563" t="s">
        <v>19</v>
      </c>
      <c r="L105" s="750"/>
      <c r="M105" s="751">
        <v>11.279092864278667</v>
      </c>
      <c r="N105" s="563"/>
      <c r="O105" s="748"/>
      <c r="P105" s="711"/>
      <c r="Q105" s="563"/>
      <c r="R105" s="762"/>
      <c r="S105" s="762"/>
      <c r="T105" s="563"/>
      <c r="U105" s="762"/>
      <c r="V105" s="762"/>
      <c r="W105" s="752"/>
      <c r="X105" s="2893"/>
      <c r="Y105" s="2893"/>
      <c r="Z105" s="2893"/>
      <c r="AA105" s="2893"/>
      <c r="AB105" s="2893"/>
      <c r="AC105" s="2893"/>
      <c r="AD105" s="2893"/>
      <c r="AE105" s="2893"/>
      <c r="AF105" s="2893"/>
      <c r="AG105" s="2893"/>
    </row>
    <row r="106" spans="1:34" ht="18.45">
      <c r="A106" s="2897"/>
      <c r="B106" s="726" t="s">
        <v>339</v>
      </c>
      <c r="C106" s="727"/>
      <c r="D106" s="727"/>
      <c r="E106" s="727"/>
      <c r="F106" s="728"/>
      <c r="H106" s="564">
        <v>1</v>
      </c>
      <c r="I106" s="763"/>
      <c r="J106" s="763"/>
      <c r="K106" s="564">
        <v>0.25</v>
      </c>
      <c r="L106" s="763"/>
      <c r="M106" s="763"/>
      <c r="N106" s="564"/>
      <c r="O106" s="763"/>
      <c r="P106" s="763"/>
      <c r="Q106" s="564"/>
      <c r="R106" s="762"/>
      <c r="S106" s="762"/>
      <c r="T106" s="564"/>
      <c r="U106" s="762"/>
      <c r="V106" s="762"/>
      <c r="W106" s="753"/>
      <c r="X106" s="2893"/>
      <c r="Y106" s="2893"/>
      <c r="Z106" s="2893"/>
      <c r="AA106" s="2893"/>
      <c r="AB106" s="2893"/>
      <c r="AC106" s="2893"/>
      <c r="AD106" s="2893"/>
      <c r="AE106" s="2893"/>
      <c r="AF106" s="2893"/>
      <c r="AG106" s="2893"/>
      <c r="AH106" s="9" t="s">
        <v>723</v>
      </c>
    </row>
    <row r="107" spans="1:34" s="6" customFormat="1" ht="31.5" customHeight="1">
      <c r="A107" s="2898"/>
      <c r="B107" s="2255" t="s">
        <v>340</v>
      </c>
      <c r="C107" s="2255"/>
      <c r="D107" s="2255"/>
      <c r="E107" s="2255"/>
      <c r="F107" s="728"/>
      <c r="G107" s="63"/>
      <c r="H107" s="565">
        <v>0.5</v>
      </c>
      <c r="I107" s="754"/>
      <c r="J107" s="755">
        <v>2606.6666666666665</v>
      </c>
      <c r="K107" s="565">
        <v>0.25</v>
      </c>
      <c r="L107" s="754"/>
      <c r="M107" s="755" t="e">
        <v>#REF!</v>
      </c>
      <c r="N107" s="565"/>
      <c r="O107" s="748"/>
      <c r="P107" s="711"/>
      <c r="Q107" s="565"/>
      <c r="R107" s="748"/>
      <c r="S107" s="748"/>
      <c r="T107" s="565"/>
      <c r="U107" s="748"/>
      <c r="V107" s="748"/>
      <c r="W107" s="756"/>
      <c r="X107" s="2893" t="s">
        <v>682</v>
      </c>
      <c r="Y107" s="2893"/>
      <c r="Z107" s="2893"/>
      <c r="AA107" s="2893"/>
      <c r="AB107" s="2893"/>
      <c r="AC107" s="2893"/>
      <c r="AD107" s="2893"/>
      <c r="AE107" s="2893"/>
      <c r="AF107" s="2893"/>
      <c r="AG107" s="2893"/>
    </row>
    <row r="108" spans="1:34" s="62" customFormat="1" ht="15" customHeight="1">
      <c r="A108" s="2902" t="s">
        <v>394</v>
      </c>
      <c r="B108" s="726" t="s">
        <v>375</v>
      </c>
      <c r="C108" s="727"/>
      <c r="D108" s="727"/>
      <c r="E108" s="727"/>
      <c r="F108" s="728"/>
      <c r="G108" s="115">
        <v>488.75</v>
      </c>
      <c r="H108" s="566">
        <v>125</v>
      </c>
      <c r="I108" s="748"/>
      <c r="J108" s="711">
        <v>488.75</v>
      </c>
      <c r="K108" s="566">
        <v>8</v>
      </c>
      <c r="L108" s="748"/>
      <c r="M108" s="711">
        <v>0.88223552894211565</v>
      </c>
      <c r="N108" s="566"/>
      <c r="O108" s="748"/>
      <c r="P108" s="711"/>
      <c r="Q108" s="566"/>
      <c r="R108" s="762"/>
      <c r="S108" s="762"/>
      <c r="T108" s="566"/>
      <c r="U108" s="762"/>
      <c r="V108" s="762"/>
      <c r="W108" s="757"/>
      <c r="X108" s="2893" t="s">
        <v>681</v>
      </c>
      <c r="Y108" s="2893"/>
      <c r="Z108" s="2893"/>
      <c r="AA108" s="2893"/>
      <c r="AB108" s="2893"/>
      <c r="AC108" s="2893"/>
      <c r="AD108" s="2893"/>
      <c r="AE108" s="2893"/>
      <c r="AF108" s="2893"/>
      <c r="AG108" s="2893"/>
    </row>
    <row r="109" spans="1:34" ht="29.25" customHeight="1">
      <c r="A109" s="2897"/>
      <c r="B109" s="2255" t="s">
        <v>395</v>
      </c>
      <c r="C109" s="2255"/>
      <c r="D109" s="2255"/>
      <c r="E109" s="2255"/>
      <c r="F109" s="728"/>
      <c r="G109" s="113">
        <v>318.09533298035956</v>
      </c>
      <c r="H109" s="567">
        <v>20</v>
      </c>
      <c r="I109" s="762"/>
      <c r="J109" s="762"/>
      <c r="K109" s="567">
        <v>0.04</v>
      </c>
      <c r="L109" s="762"/>
      <c r="M109" s="762"/>
      <c r="N109" s="567"/>
      <c r="O109" s="762"/>
      <c r="P109" s="762"/>
      <c r="Q109" s="567"/>
      <c r="R109" s="762"/>
      <c r="S109" s="762"/>
      <c r="T109" s="567"/>
      <c r="U109" s="762"/>
      <c r="V109" s="762"/>
      <c r="W109" s="758"/>
      <c r="X109" s="2893" t="s">
        <v>680</v>
      </c>
      <c r="Y109" s="2893"/>
      <c r="Z109" s="2893"/>
      <c r="AA109" s="2893"/>
      <c r="AB109" s="2893"/>
      <c r="AC109" s="2893"/>
      <c r="AD109" s="2893"/>
      <c r="AE109" s="2893"/>
      <c r="AF109" s="2893"/>
      <c r="AG109" s="2893"/>
    </row>
    <row r="110" spans="1:34" ht="14.9" customHeight="1">
      <c r="A110" s="2897"/>
      <c r="B110" s="726" t="s">
        <v>396</v>
      </c>
      <c r="C110" s="727"/>
      <c r="D110" s="727"/>
      <c r="E110" s="727"/>
      <c r="F110" s="728"/>
      <c r="G110" s="117">
        <v>26.045977237650551</v>
      </c>
      <c r="H110" s="568">
        <v>1330.6206896551723</v>
      </c>
      <c r="I110" s="705"/>
      <c r="J110" s="706">
        <v>158.83050411577992</v>
      </c>
      <c r="K110" s="568"/>
      <c r="L110" s="748"/>
      <c r="M110" s="764"/>
      <c r="N110" s="568"/>
      <c r="O110" s="748"/>
      <c r="P110" s="711"/>
      <c r="Q110" s="568"/>
      <c r="R110" s="762"/>
      <c r="S110" s="762"/>
      <c r="T110" s="568"/>
      <c r="U110" s="762"/>
      <c r="V110" s="765"/>
      <c r="W110" s="542"/>
      <c r="X110" s="2893" t="s">
        <v>679</v>
      </c>
      <c r="Y110" s="2893"/>
      <c r="Z110" s="2893"/>
      <c r="AA110" s="2893"/>
      <c r="AB110" s="2893"/>
      <c r="AC110" s="2893"/>
      <c r="AD110" s="2893"/>
      <c r="AE110" s="2893"/>
      <c r="AF110" s="2893"/>
      <c r="AG110" s="2893"/>
    </row>
    <row r="111" spans="1:34" s="62" customFormat="1" ht="15" customHeight="1">
      <c r="A111" s="2897"/>
      <c r="B111" s="726" t="s">
        <v>397</v>
      </c>
      <c r="C111" s="727"/>
      <c r="D111" s="727"/>
      <c r="E111" s="727"/>
      <c r="F111" s="728"/>
      <c r="G111" s="115"/>
      <c r="H111" s="568"/>
      <c r="I111" s="705"/>
      <c r="J111" s="707">
        <v>52.78586966721501</v>
      </c>
      <c r="K111" s="568"/>
      <c r="L111" s="748"/>
      <c r="M111" s="742"/>
      <c r="N111" s="568"/>
      <c r="O111" s="748"/>
      <c r="P111" s="742"/>
      <c r="Q111" s="568"/>
      <c r="R111" s="762"/>
      <c r="S111" s="762"/>
      <c r="T111" s="568"/>
      <c r="U111" s="762"/>
      <c r="V111" s="762"/>
      <c r="W111" s="542"/>
      <c r="X111" s="2893"/>
      <c r="Y111" s="2893"/>
      <c r="Z111" s="2893"/>
      <c r="AA111" s="2893"/>
      <c r="AB111" s="2893"/>
      <c r="AC111" s="2893"/>
      <c r="AD111" s="2893"/>
      <c r="AE111" s="2893"/>
      <c r="AF111" s="2893"/>
      <c r="AG111" s="2893"/>
    </row>
    <row r="112" spans="1:34" ht="14.9" customHeight="1">
      <c r="A112" s="2898"/>
      <c r="B112" s="726" t="s">
        <v>398</v>
      </c>
      <c r="C112" s="727"/>
      <c r="D112" s="727"/>
      <c r="E112" s="727"/>
      <c r="F112" s="728"/>
      <c r="H112" s="569"/>
      <c r="I112" s="763"/>
      <c r="J112" s="763"/>
      <c r="K112" s="569"/>
      <c r="L112" s="763"/>
      <c r="M112" s="763"/>
      <c r="N112" s="569"/>
      <c r="O112" s="762"/>
      <c r="P112" s="762"/>
      <c r="Q112" s="569"/>
      <c r="R112" s="762"/>
      <c r="S112" s="762"/>
      <c r="T112" s="569"/>
      <c r="U112" s="762"/>
      <c r="V112" s="762"/>
      <c r="W112" s="759"/>
      <c r="X112" s="2893"/>
      <c r="Y112" s="2893"/>
      <c r="Z112" s="2893"/>
      <c r="AA112" s="2893"/>
      <c r="AB112" s="2893"/>
      <c r="AC112" s="2893"/>
      <c r="AD112" s="2893"/>
      <c r="AE112" s="2893"/>
      <c r="AF112" s="2893"/>
      <c r="AG112" s="2893"/>
    </row>
    <row r="113" spans="1:33" ht="15" customHeight="1">
      <c r="A113" s="2671" t="s">
        <v>380</v>
      </c>
      <c r="B113" s="2250" t="s">
        <v>825</v>
      </c>
      <c r="C113" s="2250"/>
      <c r="D113" s="2250"/>
      <c r="E113" s="2250"/>
      <c r="F113" s="728"/>
      <c r="H113" s="563">
        <v>10</v>
      </c>
      <c r="I113" s="763"/>
      <c r="J113" s="763"/>
      <c r="K113" s="563">
        <v>4</v>
      </c>
      <c r="L113" s="763"/>
      <c r="M113" s="763"/>
      <c r="N113" s="563"/>
      <c r="O113" s="762"/>
      <c r="P113" s="762"/>
      <c r="Q113" s="563"/>
      <c r="R113" s="762"/>
      <c r="S113" s="762"/>
      <c r="T113" s="563"/>
      <c r="U113" s="762"/>
      <c r="V113" s="762"/>
      <c r="W113" s="752"/>
      <c r="X113" s="2893"/>
      <c r="Y113" s="2893"/>
      <c r="Z113" s="2893"/>
      <c r="AA113" s="2893"/>
      <c r="AB113" s="2893"/>
      <c r="AC113" s="2893"/>
      <c r="AD113" s="2893"/>
      <c r="AE113" s="2893"/>
      <c r="AF113" s="2893"/>
      <c r="AG113" s="2893"/>
    </row>
    <row r="114" spans="1:33" ht="15" customHeight="1">
      <c r="A114" s="2672"/>
      <c r="B114" s="2250" t="s">
        <v>826</v>
      </c>
      <c r="C114" s="2250"/>
      <c r="D114" s="2250"/>
      <c r="E114" s="2250"/>
      <c r="F114" s="728"/>
      <c r="H114" s="564">
        <v>0.04</v>
      </c>
      <c r="I114" s="763"/>
      <c r="J114" s="763"/>
      <c r="K114" s="564">
        <v>0.04</v>
      </c>
      <c r="L114" s="763"/>
      <c r="M114" s="763"/>
      <c r="N114" s="564"/>
      <c r="O114" s="762"/>
      <c r="P114" s="762"/>
      <c r="Q114" s="564"/>
      <c r="R114" s="762"/>
      <c r="S114" s="762"/>
      <c r="T114" s="564"/>
      <c r="U114" s="762"/>
      <c r="V114" s="762"/>
      <c r="W114" s="753"/>
      <c r="X114" s="2893"/>
      <c r="Y114" s="2893"/>
      <c r="Z114" s="2893"/>
      <c r="AA114" s="2893"/>
      <c r="AB114" s="2893"/>
      <c r="AC114" s="2893"/>
      <c r="AD114" s="2893"/>
      <c r="AE114" s="2893"/>
      <c r="AF114" s="2893"/>
      <c r="AG114" s="2893"/>
    </row>
    <row r="115" spans="1:33" ht="26.25" customHeight="1">
      <c r="A115" s="2672"/>
      <c r="B115" s="2250" t="s">
        <v>827</v>
      </c>
      <c r="C115" s="2250"/>
      <c r="D115" s="2250"/>
      <c r="E115" s="2250"/>
      <c r="F115" s="728"/>
      <c r="H115" s="564">
        <v>70</v>
      </c>
      <c r="I115" s="763"/>
      <c r="J115" s="763"/>
      <c r="K115" s="564">
        <v>70</v>
      </c>
      <c r="L115" s="763"/>
      <c r="M115" s="763"/>
      <c r="N115" s="564"/>
      <c r="O115" s="762"/>
      <c r="P115" s="762"/>
      <c r="Q115" s="564"/>
      <c r="R115" s="762"/>
      <c r="S115" s="762"/>
      <c r="T115" s="564"/>
      <c r="U115" s="762"/>
      <c r="V115" s="762"/>
      <c r="W115" s="753"/>
      <c r="X115" s="2893"/>
      <c r="Y115" s="2893"/>
      <c r="Z115" s="2893"/>
      <c r="AA115" s="2893"/>
      <c r="AB115" s="2893"/>
      <c r="AC115" s="2893"/>
      <c r="AD115" s="2893"/>
      <c r="AE115" s="2893"/>
      <c r="AF115" s="2893"/>
      <c r="AG115" s="2893"/>
    </row>
    <row r="116" spans="1:33" ht="27" customHeight="1">
      <c r="A116" s="2672"/>
      <c r="B116" s="2250" t="s">
        <v>828</v>
      </c>
      <c r="C116" s="2250"/>
      <c r="D116" s="2250"/>
      <c r="E116" s="2250"/>
      <c r="F116" s="728"/>
      <c r="H116" s="564"/>
      <c r="I116" s="763"/>
      <c r="J116" s="763"/>
      <c r="K116" s="564"/>
      <c r="L116" s="763"/>
      <c r="M116" s="763"/>
      <c r="N116" s="564"/>
      <c r="O116" s="762"/>
      <c r="P116" s="762"/>
      <c r="Q116" s="564"/>
      <c r="R116" s="762"/>
      <c r="S116" s="762"/>
      <c r="T116" s="564"/>
      <c r="U116" s="762"/>
      <c r="V116" s="762"/>
      <c r="W116" s="753"/>
      <c r="X116" s="2893"/>
      <c r="Y116" s="2893"/>
      <c r="Z116" s="2893"/>
      <c r="AA116" s="2893"/>
      <c r="AB116" s="2893"/>
      <c r="AC116" s="2893"/>
      <c r="AD116" s="2893"/>
      <c r="AE116" s="2893"/>
      <c r="AF116" s="2893"/>
      <c r="AG116" s="2893"/>
    </row>
    <row r="117" spans="1:33" ht="35.25" customHeight="1">
      <c r="A117" s="2673"/>
      <c r="B117" s="2250" t="s">
        <v>829</v>
      </c>
      <c r="C117" s="2250"/>
      <c r="D117" s="2250"/>
      <c r="E117" s="2250"/>
      <c r="F117" s="728"/>
      <c r="H117" s="766" t="s">
        <v>588</v>
      </c>
      <c r="I117" s="760"/>
      <c r="J117" s="760"/>
      <c r="K117" s="766" t="s">
        <v>589</v>
      </c>
      <c r="L117" s="760"/>
      <c r="M117" s="760"/>
      <c r="N117" s="766"/>
      <c r="O117" s="760"/>
      <c r="P117" s="760"/>
      <c r="Q117" s="766"/>
      <c r="R117" s="760"/>
      <c r="S117" s="760"/>
      <c r="T117" s="766"/>
      <c r="U117" s="760"/>
      <c r="V117" s="760"/>
      <c r="W117" s="761"/>
      <c r="X117" s="2893"/>
      <c r="Y117" s="2893"/>
      <c r="Z117" s="2893"/>
      <c r="AA117" s="2893"/>
      <c r="AB117" s="2893"/>
      <c r="AC117" s="2893"/>
      <c r="AD117" s="2893"/>
      <c r="AE117" s="2893"/>
      <c r="AF117" s="2893"/>
      <c r="AG117" s="2893"/>
    </row>
    <row r="118" spans="1:33">
      <c r="A118" s="6"/>
      <c r="B118" s="6"/>
      <c r="C118" s="6"/>
      <c r="D118" s="6"/>
      <c r="E118" s="6"/>
      <c r="F118" s="6"/>
      <c r="G118" s="113"/>
      <c r="H118" s="116"/>
      <c r="I118" s="112"/>
      <c r="J118" s="113"/>
      <c r="K118" s="116"/>
      <c r="L118" s="6"/>
      <c r="M118" s="63"/>
      <c r="N118" s="118"/>
      <c r="O118" s="6"/>
      <c r="P118" s="63"/>
      <c r="Q118" s="60"/>
      <c r="S118" s="234"/>
      <c r="T118" s="65"/>
      <c r="V118" s="258"/>
      <c r="W118" s="65"/>
      <c r="X118" s="85"/>
    </row>
    <row r="119" spans="1:33" ht="16.75">
      <c r="A119" s="600" t="s">
        <v>603</v>
      </c>
      <c r="B119" s="596"/>
      <c r="C119" s="596"/>
      <c r="D119" s="596"/>
      <c r="E119" s="596"/>
      <c r="F119" s="597"/>
      <c r="G119" s="594"/>
      <c r="H119" s="596"/>
      <c r="I119" s="597"/>
      <c r="J119" s="594"/>
      <c r="K119" s="596"/>
      <c r="L119" s="597"/>
      <c r="M119" s="594"/>
      <c r="N119" s="597"/>
      <c r="O119" s="594"/>
      <c r="P119" s="594"/>
      <c r="Q119" s="682"/>
      <c r="S119" s="235"/>
      <c r="T119" s="683"/>
      <c r="U119" s="594"/>
      <c r="V119" s="684"/>
      <c r="W119" s="683"/>
      <c r="X119" s="715"/>
      <c r="Y119" s="594"/>
      <c r="Z119" s="594"/>
      <c r="AA119" s="594"/>
      <c r="AB119" s="594"/>
      <c r="AC119" s="594"/>
      <c r="AD119" s="594"/>
      <c r="AE119" s="594"/>
      <c r="AF119" s="594"/>
      <c r="AG119" s="594"/>
    </row>
    <row r="120" spans="1:33" ht="18.45">
      <c r="A120" s="1"/>
      <c r="B120" s="726" t="s">
        <v>5467</v>
      </c>
      <c r="C120" s="727"/>
      <c r="D120" s="727"/>
      <c r="E120" s="727"/>
      <c r="F120" s="728"/>
      <c r="G120" s="53"/>
      <c r="H120" s="575"/>
      <c r="I120" s="710"/>
      <c r="J120" s="582"/>
      <c r="K120" s="575"/>
      <c r="L120" s="710"/>
      <c r="M120" s="582"/>
      <c r="N120" s="575"/>
      <c r="O120" s="713"/>
      <c r="P120" s="772"/>
      <c r="Q120" s="575"/>
      <c r="R120" s="713"/>
      <c r="S120" s="773"/>
      <c r="T120" s="575"/>
      <c r="U120" s="713"/>
      <c r="V120" s="774"/>
      <c r="W120" s="575"/>
      <c r="X120" s="2893"/>
      <c r="Y120" s="2893"/>
      <c r="Z120" s="2893"/>
      <c r="AA120" s="2893"/>
      <c r="AB120" s="2893"/>
      <c r="AC120" s="2893"/>
      <c r="AD120" s="2893"/>
      <c r="AE120" s="2893"/>
      <c r="AF120" s="2893"/>
      <c r="AG120" s="2893"/>
    </row>
    <row r="121" spans="1:33" ht="18.45">
      <c r="A121" s="6"/>
      <c r="B121" s="726" t="s">
        <v>5466</v>
      </c>
      <c r="C121" s="727"/>
      <c r="D121" s="727"/>
      <c r="E121" s="727"/>
      <c r="F121" s="728"/>
      <c r="G121" s="119">
        <v>35.047741961833388</v>
      </c>
      <c r="H121" s="576"/>
      <c r="I121" s="710"/>
      <c r="J121" s="764"/>
      <c r="K121" s="576"/>
      <c r="L121" s="710"/>
      <c r="M121" s="764"/>
      <c r="N121" s="576"/>
      <c r="O121" s="710"/>
      <c r="P121" s="582"/>
      <c r="Q121" s="576"/>
      <c r="R121" s="713"/>
      <c r="S121" s="773"/>
      <c r="T121" s="576"/>
      <c r="U121" s="713"/>
      <c r="V121" s="774"/>
      <c r="W121" s="576"/>
      <c r="X121" s="2893"/>
      <c r="Y121" s="2893"/>
      <c r="Z121" s="2893"/>
      <c r="AA121" s="2893"/>
      <c r="AB121" s="2893"/>
      <c r="AC121" s="2893"/>
      <c r="AD121" s="2893"/>
      <c r="AE121" s="2893"/>
      <c r="AF121" s="2893"/>
      <c r="AG121" s="2893"/>
    </row>
    <row r="122" spans="1:33" ht="17.25" customHeight="1">
      <c r="A122" s="6"/>
      <c r="B122" s="726" t="s">
        <v>82</v>
      </c>
      <c r="C122" s="727"/>
      <c r="D122" s="727"/>
      <c r="E122" s="727"/>
      <c r="F122" s="728"/>
      <c r="G122" s="120">
        <v>5.5705963849905903E-3</v>
      </c>
      <c r="H122" s="804"/>
      <c r="I122" s="710"/>
      <c r="J122" s="775"/>
      <c r="K122" s="577"/>
      <c r="L122" s="710"/>
      <c r="M122" s="775"/>
      <c r="N122" s="577"/>
      <c r="O122" s="710"/>
      <c r="P122" s="582"/>
      <c r="Q122" s="577"/>
      <c r="R122" s="713"/>
      <c r="S122" s="776"/>
      <c r="T122" s="577"/>
      <c r="U122" s="713"/>
      <c r="V122" s="777"/>
      <c r="W122" s="577"/>
      <c r="X122" s="2893"/>
      <c r="Y122" s="2893"/>
      <c r="Z122" s="2893"/>
      <c r="AA122" s="2893"/>
      <c r="AB122" s="2893"/>
      <c r="AC122" s="2893"/>
      <c r="AD122" s="2893"/>
      <c r="AE122" s="2893"/>
      <c r="AF122" s="2893"/>
      <c r="AG122" s="2893"/>
    </row>
    <row r="123" spans="1:33" ht="17.25" customHeight="1">
      <c r="A123" s="6"/>
      <c r="B123" s="6"/>
      <c r="C123" s="6"/>
      <c r="D123" s="6"/>
      <c r="E123" s="6"/>
      <c r="F123" s="6"/>
      <c r="G123" s="133"/>
      <c r="H123" s="121"/>
      <c r="I123" s="6"/>
      <c r="J123" s="133"/>
      <c r="K123" s="121"/>
      <c r="L123" s="6"/>
      <c r="M123" s="133"/>
      <c r="N123" s="121"/>
      <c r="O123" s="6"/>
      <c r="P123" s="6"/>
      <c r="Q123" s="121"/>
      <c r="S123" s="650"/>
      <c r="T123" s="121"/>
      <c r="V123" s="651"/>
      <c r="W123" s="121"/>
      <c r="X123" s="4"/>
    </row>
    <row r="124" spans="1:33"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row>
    <row r="125" spans="1:33"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row>
    <row r="126" spans="1:33"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row>
    <row r="127" spans="1:33"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row>
    <row r="128" spans="1:33">
      <c r="A128" s="6"/>
      <c r="B128" s="6"/>
      <c r="C128" s="6"/>
      <c r="D128" s="6"/>
      <c r="E128" s="6"/>
      <c r="F128" s="6"/>
      <c r="G128" s="6"/>
      <c r="H128" s="121"/>
      <c r="I128" s="6"/>
      <c r="J128" s="121"/>
      <c r="K128" s="121"/>
      <c r="L128" s="6"/>
      <c r="M128" s="666"/>
      <c r="N128" s="128"/>
      <c r="O128" s="6"/>
      <c r="P128" s="6"/>
      <c r="Q128" s="121"/>
      <c r="T128" s="121"/>
      <c r="W128" s="121"/>
    </row>
    <row r="129" spans="1:34" ht="32.9" customHeight="1">
      <c r="A129" s="2318" t="s">
        <v>606</v>
      </c>
      <c r="B129" s="2318"/>
      <c r="C129" s="2318"/>
      <c r="D129" s="496"/>
      <c r="E129" s="496"/>
      <c r="F129" s="497"/>
      <c r="G129" s="498"/>
      <c r="H129" s="121"/>
      <c r="I129" s="6"/>
      <c r="J129" s="121"/>
      <c r="K129" s="121"/>
      <c r="L129" s="6"/>
      <c r="M129" s="666"/>
      <c r="N129" s="128"/>
      <c r="O129" s="6"/>
      <c r="P129" s="6"/>
      <c r="Q129" s="121"/>
      <c r="T129" s="121"/>
      <c r="W129" s="121"/>
    </row>
    <row r="130" spans="1:34" ht="22" customHeight="1">
      <c r="A130" s="2905" t="s">
        <v>615</v>
      </c>
      <c r="B130" s="2905"/>
      <c r="C130" s="2905"/>
      <c r="D130" s="2905"/>
      <c r="E130" s="2905"/>
      <c r="F130" s="2905"/>
      <c r="G130" s="2905"/>
      <c r="H130" s="601"/>
      <c r="I130" s="602"/>
      <c r="J130" s="602"/>
      <c r="K130" s="601"/>
      <c r="L130" s="602"/>
      <c r="M130" s="602"/>
      <c r="N130" s="685"/>
      <c r="O130" s="594"/>
      <c r="P130" s="686"/>
      <c r="Q130" s="687"/>
      <c r="R130" s="594"/>
      <c r="S130" s="594"/>
      <c r="T130" s="594"/>
      <c r="U130" s="594"/>
      <c r="V130" s="594"/>
      <c r="W130" s="594"/>
      <c r="X130" s="2859" t="s">
        <v>405</v>
      </c>
      <c r="Y130" s="2859"/>
      <c r="Z130" s="2859"/>
      <c r="AA130" s="2859"/>
      <c r="AB130" s="2859"/>
      <c r="AC130" s="2859"/>
      <c r="AD130" s="2859"/>
      <c r="AE130" s="2859"/>
      <c r="AF130" s="2859"/>
      <c r="AG130" s="2859"/>
    </row>
    <row r="131" spans="1:34" ht="18.649999999999999" hidden="1" customHeight="1">
      <c r="A131" s="1"/>
      <c r="B131" s="502"/>
      <c r="C131" s="50"/>
      <c r="D131" s="50"/>
      <c r="E131" s="50"/>
      <c r="G131" s="13"/>
      <c r="H131" s="60"/>
      <c r="I131" s="6"/>
      <c r="J131" s="65"/>
      <c r="K131" s="60"/>
      <c r="L131" s="6"/>
      <c r="M131" s="65"/>
      <c r="N131" s="60"/>
      <c r="P131" s="66"/>
      <c r="Q131" s="788"/>
      <c r="T131" s="788"/>
      <c r="W131" s="788"/>
    </row>
    <row r="132" spans="1:34" ht="18.649999999999999" hidden="1" customHeight="1">
      <c r="A132" s="1"/>
      <c r="B132" s="502"/>
      <c r="C132" s="50"/>
      <c r="D132" s="50"/>
      <c r="E132" s="50"/>
      <c r="G132" s="13"/>
      <c r="H132" s="60"/>
      <c r="I132" s="6"/>
      <c r="J132" s="65"/>
      <c r="K132" s="60"/>
      <c r="L132" s="6"/>
      <c r="M132" s="65"/>
      <c r="N132" s="60"/>
      <c r="P132" s="66"/>
      <c r="Q132" s="788"/>
      <c r="T132" s="788"/>
      <c r="W132" s="788"/>
    </row>
    <row r="133" spans="1:34" ht="14.9" customHeight="1">
      <c r="A133" s="1"/>
      <c r="B133" s="2903" t="s">
        <v>207</v>
      </c>
      <c r="C133" s="2903"/>
      <c r="D133" s="2903"/>
      <c r="E133" s="2903"/>
      <c r="G133" s="13"/>
      <c r="H133" s="792"/>
      <c r="I133" s="710"/>
      <c r="J133" s="711"/>
      <c r="K133" s="579">
        <v>2</v>
      </c>
      <c r="L133" s="710" t="s">
        <v>122</v>
      </c>
      <c r="M133" s="711" t="s">
        <v>122</v>
      </c>
      <c r="N133" s="579"/>
      <c r="O133" s="713"/>
      <c r="P133" s="714"/>
      <c r="Q133" s="579"/>
      <c r="R133" s="762"/>
      <c r="S133" s="762"/>
      <c r="T133" s="579"/>
      <c r="U133" s="762"/>
      <c r="V133" s="762"/>
      <c r="W133" s="579"/>
      <c r="X133" s="2893"/>
      <c r="Y133" s="2893"/>
      <c r="Z133" s="2893"/>
      <c r="AA133" s="2893"/>
      <c r="AB133" s="2893"/>
      <c r="AC133" s="2893"/>
      <c r="AD133" s="2893"/>
      <c r="AE133" s="2893"/>
      <c r="AF133" s="2893"/>
      <c r="AG133" s="2893"/>
    </row>
    <row r="134" spans="1:34"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34" ht="15.75" customHeight="1">
      <c r="A135" s="252"/>
      <c r="B135" s="2903" t="s">
        <v>631</v>
      </c>
      <c r="C135" s="2903"/>
      <c r="D135" s="2903"/>
      <c r="E135" s="2903"/>
      <c r="F135" s="6"/>
      <c r="G135" s="65"/>
      <c r="H135" s="793"/>
      <c r="I135" s="710"/>
      <c r="J135" s="711"/>
      <c r="K135" s="581">
        <v>0.35</v>
      </c>
      <c r="L135" s="708"/>
      <c r="M135" s="709"/>
      <c r="N135" s="581"/>
      <c r="O135" s="710"/>
      <c r="P135" s="712"/>
      <c r="Q135" s="581"/>
      <c r="R135" s="762"/>
      <c r="S135" s="762"/>
      <c r="T135" s="581"/>
      <c r="U135" s="762"/>
      <c r="V135" s="762"/>
      <c r="W135" s="581"/>
      <c r="X135" s="2893" t="s">
        <v>688</v>
      </c>
      <c r="Y135" s="2893"/>
      <c r="Z135" s="2893"/>
      <c r="AA135" s="2893"/>
      <c r="AB135" s="2893"/>
      <c r="AC135" s="2893"/>
      <c r="AD135" s="2893"/>
      <c r="AE135" s="2893"/>
      <c r="AF135" s="2893"/>
      <c r="AG135" s="2893"/>
      <c r="AH135" s="9" t="s">
        <v>719</v>
      </c>
    </row>
    <row r="136" spans="1:34" ht="15.75" customHeight="1">
      <c r="A136" s="252"/>
      <c r="B136" s="2903" t="s">
        <v>633</v>
      </c>
      <c r="C136" s="2903"/>
      <c r="D136" s="2903"/>
      <c r="E136" s="2903"/>
      <c r="F136" s="6"/>
      <c r="G136" s="65"/>
      <c r="H136" s="480"/>
      <c r="I136" s="710"/>
      <c r="J136" s="711" t="s">
        <v>38</v>
      </c>
      <c r="K136" s="526" t="s">
        <v>407</v>
      </c>
      <c r="L136" s="710"/>
      <c r="M136" s="711" t="s">
        <v>38</v>
      </c>
      <c r="N136" s="526"/>
      <c r="O136" s="710"/>
      <c r="P136" s="712"/>
      <c r="Q136" s="526"/>
      <c r="R136" s="762"/>
      <c r="S136" s="762"/>
      <c r="T136" s="526"/>
      <c r="U136" s="762"/>
      <c r="V136" s="762"/>
      <c r="W136" s="526"/>
      <c r="X136" s="2893" t="s">
        <v>687</v>
      </c>
      <c r="Y136" s="2893"/>
      <c r="Z136" s="2893"/>
      <c r="AA136" s="2893"/>
      <c r="AB136" s="2893"/>
      <c r="AC136" s="2893"/>
      <c r="AD136" s="2893"/>
      <c r="AE136" s="2893"/>
      <c r="AF136" s="2893"/>
      <c r="AG136" s="2893"/>
    </row>
    <row r="137" spans="1:34" ht="15.75" customHeight="1">
      <c r="A137" s="252"/>
      <c r="B137" s="2903" t="s">
        <v>627</v>
      </c>
      <c r="C137" s="2903"/>
      <c r="D137" s="2903"/>
      <c r="E137" s="2903"/>
      <c r="F137" s="6"/>
      <c r="G137" s="65"/>
      <c r="H137" s="794"/>
      <c r="I137" s="710"/>
      <c r="J137" s="711"/>
      <c r="K137" s="561" t="s">
        <v>220</v>
      </c>
      <c r="L137" s="710" t="s">
        <v>718</v>
      </c>
      <c r="M137" s="711" t="s">
        <v>718</v>
      </c>
      <c r="N137" s="561"/>
      <c r="O137" s="710"/>
      <c r="P137" s="712"/>
      <c r="Q137" s="561"/>
      <c r="R137" s="762"/>
      <c r="S137" s="762"/>
      <c r="T137" s="561"/>
      <c r="U137" s="762"/>
      <c r="V137" s="762"/>
      <c r="W137" s="561"/>
      <c r="X137" s="2893" t="s">
        <v>687</v>
      </c>
      <c r="Y137" s="2893"/>
      <c r="Z137" s="2893"/>
      <c r="AA137" s="2893"/>
      <c r="AB137" s="2893"/>
      <c r="AC137" s="2893"/>
      <c r="AD137" s="2893"/>
      <c r="AE137" s="2893"/>
      <c r="AF137" s="2893"/>
      <c r="AG137" s="2893"/>
    </row>
    <row r="138" spans="1:34" ht="15.75" customHeight="1">
      <c r="A138" s="252"/>
      <c r="B138" s="2904" t="s">
        <v>628</v>
      </c>
      <c r="C138" s="2904"/>
      <c r="D138" s="2904"/>
      <c r="E138" s="2904"/>
      <c r="F138" s="6"/>
      <c r="G138" s="65"/>
      <c r="H138" s="480"/>
      <c r="I138" s="710"/>
      <c r="J138" s="711"/>
      <c r="K138" s="526" t="s">
        <v>221</v>
      </c>
      <c r="L138" s="710"/>
      <c r="M138" s="711"/>
      <c r="N138" s="526"/>
      <c r="O138" s="710"/>
      <c r="P138" s="712"/>
      <c r="Q138" s="526"/>
      <c r="R138" s="762"/>
      <c r="S138" s="762"/>
      <c r="T138" s="526"/>
      <c r="U138" s="762"/>
      <c r="V138" s="762"/>
      <c r="W138" s="526"/>
      <c r="X138" s="2893"/>
      <c r="Y138" s="2893"/>
      <c r="Z138" s="2893"/>
      <c r="AA138" s="2893"/>
      <c r="AB138" s="2893"/>
      <c r="AC138" s="2893"/>
      <c r="AD138" s="2893"/>
      <c r="AE138" s="2893"/>
      <c r="AF138" s="2893"/>
      <c r="AG138" s="2893"/>
    </row>
    <row r="139" spans="1:34" ht="32.25" customHeight="1">
      <c r="A139" s="252"/>
      <c r="B139" s="2904" t="s">
        <v>629</v>
      </c>
      <c r="C139" s="2904"/>
      <c r="D139" s="2904"/>
      <c r="E139" s="2904"/>
      <c r="F139" s="6"/>
      <c r="G139" s="65"/>
      <c r="H139" s="795"/>
      <c r="I139" s="710"/>
      <c r="J139" s="711"/>
      <c r="K139" s="568">
        <v>0.8</v>
      </c>
      <c r="L139" s="710"/>
      <c r="M139" s="711"/>
      <c r="N139" s="568"/>
      <c r="O139" s="710"/>
      <c r="P139" s="712"/>
      <c r="Q139" s="568"/>
      <c r="R139" s="762"/>
      <c r="S139" s="762"/>
      <c r="T139" s="568"/>
      <c r="U139" s="762"/>
      <c r="V139" s="762"/>
      <c r="W139" s="568"/>
      <c r="X139" s="2893"/>
      <c r="Y139" s="2893"/>
      <c r="Z139" s="2893"/>
      <c r="AA139" s="2893"/>
      <c r="AB139" s="2893"/>
      <c r="AC139" s="2893"/>
      <c r="AD139" s="2893"/>
      <c r="AE139" s="2893"/>
      <c r="AF139" s="2893"/>
      <c r="AG139" s="2893"/>
    </row>
    <row r="140" spans="1:34" ht="15.75" customHeight="1">
      <c r="A140" s="252"/>
      <c r="B140" s="2903" t="s">
        <v>632</v>
      </c>
      <c r="C140" s="2903"/>
      <c r="D140" s="2903"/>
      <c r="E140" s="2903"/>
      <c r="F140" s="6"/>
      <c r="G140" s="65"/>
      <c r="H140" s="480"/>
      <c r="I140" s="710"/>
      <c r="J140" s="711">
        <v>1.5</v>
      </c>
      <c r="K140" s="526">
        <v>2</v>
      </c>
      <c r="L140" s="710"/>
      <c r="M140" s="711">
        <v>1.5</v>
      </c>
      <c r="N140" s="526"/>
      <c r="O140" s="710"/>
      <c r="P140" s="712"/>
      <c r="Q140" s="526"/>
      <c r="R140" s="762"/>
      <c r="S140" s="762"/>
      <c r="T140" s="526"/>
      <c r="U140" s="762"/>
      <c r="V140" s="762"/>
      <c r="W140" s="526"/>
      <c r="X140" s="2893" t="s">
        <v>686</v>
      </c>
      <c r="Y140" s="2893"/>
      <c r="Z140" s="2893"/>
      <c r="AA140" s="2893"/>
      <c r="AB140" s="2893"/>
      <c r="AC140" s="2893"/>
      <c r="AD140" s="2893"/>
      <c r="AE140" s="2893"/>
      <c r="AF140" s="2893"/>
      <c r="AG140" s="2893"/>
    </row>
    <row r="141" spans="1:34" ht="26.25" customHeight="1">
      <c r="A141" s="252"/>
      <c r="B141" s="2903" t="s">
        <v>1551</v>
      </c>
      <c r="C141" s="2903"/>
      <c r="D141" s="2903"/>
      <c r="E141" s="2903"/>
      <c r="F141" s="6"/>
      <c r="G141" s="65"/>
      <c r="H141" s="796"/>
      <c r="I141" s="710"/>
      <c r="J141" s="711"/>
      <c r="K141" s="619">
        <v>0</v>
      </c>
      <c r="L141" s="710"/>
      <c r="M141" s="711"/>
      <c r="N141" s="619"/>
      <c r="O141" s="710"/>
      <c r="P141" s="712"/>
      <c r="Q141" s="619"/>
      <c r="R141" s="762"/>
      <c r="S141" s="762"/>
      <c r="T141" s="619"/>
      <c r="U141" s="762"/>
      <c r="V141" s="762"/>
      <c r="W141" s="619"/>
      <c r="X141" s="2893"/>
      <c r="Y141" s="2893"/>
      <c r="Z141" s="2893"/>
      <c r="AA141" s="2893"/>
      <c r="AB141" s="2893"/>
      <c r="AC141" s="2893"/>
      <c r="AD141" s="2893"/>
      <c r="AE141" s="2893"/>
      <c r="AF141" s="2893"/>
      <c r="AG141" s="2893"/>
      <c r="AH141" s="9" t="s">
        <v>720</v>
      </c>
    </row>
    <row r="142" spans="1:34" ht="26.25" customHeight="1">
      <c r="A142" s="252"/>
      <c r="B142" s="2903" t="s">
        <v>1552</v>
      </c>
      <c r="C142" s="2903"/>
      <c r="D142" s="2903"/>
      <c r="E142" s="2903"/>
      <c r="F142" s="6"/>
      <c r="G142" s="65"/>
      <c r="H142" s="796"/>
      <c r="I142" s="710"/>
      <c r="J142" s="711"/>
      <c r="K142" s="619">
        <v>0</v>
      </c>
      <c r="L142" s="710"/>
      <c r="M142" s="711"/>
      <c r="N142" s="619"/>
      <c r="O142" s="710"/>
      <c r="P142" s="712"/>
      <c r="Q142" s="619"/>
      <c r="R142" s="762"/>
      <c r="S142" s="762"/>
      <c r="T142" s="619"/>
      <c r="U142" s="762"/>
      <c r="V142" s="762"/>
      <c r="W142" s="619"/>
      <c r="X142" s="2893"/>
      <c r="Y142" s="2893"/>
      <c r="Z142" s="2893"/>
      <c r="AA142" s="2893"/>
      <c r="AB142" s="2893"/>
      <c r="AC142" s="2893"/>
      <c r="AD142" s="2893"/>
      <c r="AE142" s="2893"/>
      <c r="AF142" s="2893"/>
      <c r="AG142" s="2893"/>
      <c r="AH142" s="9" t="s">
        <v>720</v>
      </c>
    </row>
    <row r="143" spans="1:34" ht="32.25" customHeight="1">
      <c r="A143" s="252"/>
      <c r="B143" s="2903" t="s">
        <v>331</v>
      </c>
      <c r="C143" s="2903"/>
      <c r="D143" s="2903"/>
      <c r="E143" s="2903"/>
      <c r="F143" s="6"/>
      <c r="G143" s="65"/>
      <c r="H143" s="480"/>
      <c r="I143" s="710"/>
      <c r="J143" s="711"/>
      <c r="K143" s="526" t="s">
        <v>131</v>
      </c>
      <c r="L143" s="710"/>
      <c r="M143" s="711"/>
      <c r="N143" s="526"/>
      <c r="O143" s="710"/>
      <c r="P143" s="712"/>
      <c r="Q143" s="526"/>
      <c r="R143" s="762"/>
      <c r="S143" s="762"/>
      <c r="T143" s="526"/>
      <c r="U143" s="762"/>
      <c r="V143" s="762"/>
      <c r="W143" s="526"/>
      <c r="X143" s="2893" t="s">
        <v>687</v>
      </c>
      <c r="Y143" s="2893"/>
      <c r="Z143" s="2893"/>
      <c r="AA143" s="2893"/>
      <c r="AB143" s="2893"/>
      <c r="AC143" s="2893"/>
      <c r="AD143" s="2893"/>
      <c r="AE143" s="2893"/>
      <c r="AF143" s="2893"/>
      <c r="AG143" s="2893"/>
    </row>
    <row r="144" spans="1:34" ht="15.75" customHeight="1">
      <c r="A144" s="252"/>
      <c r="B144" s="2904" t="s">
        <v>332</v>
      </c>
      <c r="C144" s="2904"/>
      <c r="D144" s="2904"/>
      <c r="E144" s="2904"/>
      <c r="F144" s="6"/>
      <c r="G144" s="65"/>
      <c r="H144" s="480"/>
      <c r="I144" s="748"/>
      <c r="J144" s="711">
        <v>2</v>
      </c>
      <c r="K144" s="526">
        <v>10</v>
      </c>
      <c r="L144" s="748"/>
      <c r="M144" s="711"/>
      <c r="N144" s="526"/>
      <c r="O144" s="710"/>
      <c r="P144" s="582"/>
      <c r="Q144" s="526"/>
      <c r="R144" s="762"/>
      <c r="S144" s="762"/>
      <c r="T144" s="526"/>
      <c r="U144" s="762"/>
      <c r="V144" s="762"/>
      <c r="W144" s="526"/>
      <c r="X144" s="2893"/>
      <c r="Y144" s="2893"/>
      <c r="Z144" s="2893"/>
      <c r="AA144" s="2893"/>
      <c r="AB144" s="2893"/>
      <c r="AC144" s="2893"/>
      <c r="AD144" s="2893"/>
      <c r="AE144" s="2893"/>
      <c r="AF144" s="2893"/>
      <c r="AG144" s="2893"/>
    </row>
    <row r="145" spans="1:34" ht="15.75" customHeight="1">
      <c r="A145" s="252"/>
      <c r="B145" s="2903" t="s">
        <v>333</v>
      </c>
      <c r="C145" s="2903"/>
      <c r="D145" s="2903"/>
      <c r="E145" s="2903"/>
      <c r="F145" s="6"/>
      <c r="G145" s="63"/>
      <c r="H145" s="480"/>
      <c r="I145" s="713"/>
      <c r="J145" s="713"/>
      <c r="K145" s="526" t="s">
        <v>21</v>
      </c>
      <c r="L145" s="713"/>
      <c r="M145" s="713"/>
      <c r="N145" s="526"/>
      <c r="O145" s="713"/>
      <c r="P145" s="713"/>
      <c r="Q145" s="526"/>
      <c r="R145" s="762"/>
      <c r="S145" s="762"/>
      <c r="T145" s="526"/>
      <c r="U145" s="762"/>
      <c r="V145" s="762"/>
      <c r="W145" s="526"/>
      <c r="X145" s="2893"/>
      <c r="Y145" s="2893"/>
      <c r="Z145" s="2893"/>
      <c r="AA145" s="2893"/>
      <c r="AB145" s="2893"/>
      <c r="AC145" s="2893"/>
      <c r="AD145" s="2893"/>
      <c r="AE145" s="2893"/>
      <c r="AF145" s="2893"/>
      <c r="AG145" s="2893"/>
    </row>
    <row r="146" spans="1:34" ht="15.75" customHeight="1">
      <c r="A146" s="252"/>
      <c r="B146" s="2903" t="s">
        <v>334</v>
      </c>
      <c r="C146" s="2903"/>
      <c r="D146" s="2903"/>
      <c r="E146" s="2903"/>
      <c r="H146" s="480"/>
      <c r="I146" s="748"/>
      <c r="J146" s="711">
        <v>0</v>
      </c>
      <c r="K146" s="526">
        <v>1</v>
      </c>
      <c r="L146" s="748"/>
      <c r="M146" s="711">
        <v>0</v>
      </c>
      <c r="N146" s="526"/>
      <c r="O146" s="710"/>
      <c r="P146" s="582"/>
      <c r="Q146" s="526"/>
      <c r="R146" s="762"/>
      <c r="S146" s="762"/>
      <c r="T146" s="526"/>
      <c r="U146" s="762"/>
      <c r="V146" s="762"/>
      <c r="W146" s="526"/>
      <c r="X146" s="2893"/>
      <c r="Y146" s="2893"/>
      <c r="Z146" s="2893"/>
      <c r="AA146" s="2893"/>
      <c r="AB146" s="2893"/>
      <c r="AC146" s="2893"/>
      <c r="AD146" s="2893"/>
      <c r="AE146" s="2893"/>
      <c r="AF146" s="2893"/>
      <c r="AG146" s="2893"/>
    </row>
    <row r="147" spans="1:34" ht="15.75" customHeight="1">
      <c r="A147" s="252"/>
      <c r="B147" s="2904" t="s">
        <v>335</v>
      </c>
      <c r="C147" s="2904"/>
      <c r="D147" s="2904"/>
      <c r="E147" s="2904"/>
      <c r="F147" s="6"/>
      <c r="G147" s="63"/>
      <c r="H147" s="480"/>
      <c r="I147" s="748"/>
      <c r="J147" s="711"/>
      <c r="K147" s="526" t="s">
        <v>21</v>
      </c>
      <c r="L147" s="748"/>
      <c r="M147" s="711"/>
      <c r="N147" s="526"/>
      <c r="O147" s="710"/>
      <c r="P147" s="582"/>
      <c r="Q147" s="526"/>
      <c r="R147" s="762"/>
      <c r="S147" s="762"/>
      <c r="T147" s="526"/>
      <c r="U147" s="762"/>
      <c r="V147" s="762"/>
      <c r="W147" s="526"/>
      <c r="X147" s="2893"/>
      <c r="Y147" s="2893"/>
      <c r="Z147" s="2893"/>
      <c r="AA147" s="2893"/>
      <c r="AB147" s="2893"/>
      <c r="AC147" s="2893"/>
      <c r="AD147" s="2893"/>
      <c r="AE147" s="2893"/>
      <c r="AF147" s="2893"/>
      <c r="AG147" s="2893"/>
    </row>
    <row r="148" spans="1:34" ht="15.75" customHeight="1">
      <c r="A148" s="252"/>
      <c r="B148" s="2903" t="s">
        <v>336</v>
      </c>
      <c r="C148" s="2903"/>
      <c r="D148" s="2903"/>
      <c r="E148" s="2903"/>
      <c r="F148" s="6"/>
      <c r="G148" s="63"/>
      <c r="H148" s="480"/>
      <c r="I148" s="748"/>
      <c r="J148" s="711">
        <v>0.25</v>
      </c>
      <c r="K148" s="526">
        <v>120</v>
      </c>
      <c r="L148" s="748"/>
      <c r="M148" s="711">
        <v>0.25</v>
      </c>
      <c r="N148" s="526"/>
      <c r="O148" s="710"/>
      <c r="P148" s="582"/>
      <c r="Q148" s="526"/>
      <c r="R148" s="762"/>
      <c r="S148" s="762"/>
      <c r="T148" s="526"/>
      <c r="U148" s="762"/>
      <c r="V148" s="762"/>
      <c r="W148" s="526"/>
      <c r="X148" s="2893" t="s">
        <v>721</v>
      </c>
      <c r="Y148" s="2893"/>
      <c r="Z148" s="2893"/>
      <c r="AA148" s="2893"/>
      <c r="AB148" s="2893"/>
      <c r="AC148" s="2893"/>
      <c r="AD148" s="2893"/>
      <c r="AE148" s="2893"/>
      <c r="AF148" s="2893"/>
      <c r="AG148" s="2893"/>
    </row>
    <row r="149" spans="1:34" ht="32.25" customHeight="1">
      <c r="A149" s="252"/>
      <c r="B149" s="2903" t="s">
        <v>337</v>
      </c>
      <c r="C149" s="2903"/>
      <c r="D149" s="2903"/>
      <c r="E149" s="2903"/>
      <c r="F149" s="6"/>
      <c r="G149" s="63"/>
      <c r="H149" s="480"/>
      <c r="I149" s="748"/>
      <c r="J149" s="748"/>
      <c r="K149" s="526">
        <v>0</v>
      </c>
      <c r="L149" s="748"/>
      <c r="M149" s="748"/>
      <c r="N149" s="526"/>
      <c r="O149" s="710"/>
      <c r="P149" s="710"/>
      <c r="Q149" s="526"/>
      <c r="R149" s="762"/>
      <c r="S149" s="762"/>
      <c r="T149" s="526"/>
      <c r="U149" s="762"/>
      <c r="V149" s="762"/>
      <c r="W149" s="526"/>
      <c r="X149" s="2893"/>
      <c r="Y149" s="2893"/>
      <c r="Z149" s="2893"/>
      <c r="AA149" s="2893"/>
      <c r="AB149" s="2893"/>
      <c r="AC149" s="2893"/>
      <c r="AD149" s="2893"/>
      <c r="AE149" s="2893"/>
      <c r="AF149" s="2893"/>
      <c r="AG149" s="2893"/>
      <c r="AH149" s="9" t="s">
        <v>720</v>
      </c>
    </row>
    <row r="150" spans="1:34" ht="32.25" customHeight="1">
      <c r="A150" s="252"/>
      <c r="B150" s="2903" t="s">
        <v>338</v>
      </c>
      <c r="C150" s="2903"/>
      <c r="D150" s="2903"/>
      <c r="E150" s="2903"/>
      <c r="F150" s="6"/>
      <c r="G150" s="63"/>
      <c r="H150" s="480"/>
      <c r="I150" s="748"/>
      <c r="J150" s="748"/>
      <c r="K150" s="526">
        <v>0</v>
      </c>
      <c r="L150" s="748"/>
      <c r="M150" s="748"/>
      <c r="N150" s="526"/>
      <c r="O150" s="710"/>
      <c r="P150" s="710"/>
      <c r="Q150" s="526"/>
      <c r="R150" s="762"/>
      <c r="S150" s="762"/>
      <c r="T150" s="526"/>
      <c r="U150" s="762"/>
      <c r="V150" s="762"/>
      <c r="W150" s="526"/>
      <c r="X150" s="2893"/>
      <c r="Y150" s="2893"/>
      <c r="Z150" s="2893"/>
      <c r="AA150" s="2893"/>
      <c r="AB150" s="2893"/>
      <c r="AC150" s="2893"/>
      <c r="AD150" s="2893"/>
      <c r="AE150" s="2893"/>
      <c r="AF150" s="2893"/>
      <c r="AG150" s="2893"/>
      <c r="AH150" s="9" t="s">
        <v>720</v>
      </c>
    </row>
    <row r="151" spans="1:34" s="6" customFormat="1" ht="15.75" customHeight="1">
      <c r="A151" s="252"/>
      <c r="B151" s="2903" t="s">
        <v>648</v>
      </c>
      <c r="C151" s="2903"/>
      <c r="D151" s="2903"/>
      <c r="E151" s="2903"/>
      <c r="G151" s="63"/>
      <c r="H151" s="480"/>
      <c r="I151" s="748"/>
      <c r="J151" s="748">
        <v>25</v>
      </c>
      <c r="K151" s="526">
        <v>28</v>
      </c>
      <c r="L151" s="748"/>
      <c r="M151" s="748">
        <v>25</v>
      </c>
      <c r="N151" s="526"/>
      <c r="O151" s="710"/>
      <c r="P151" s="710"/>
      <c r="Q151" s="526"/>
      <c r="R151" s="748"/>
      <c r="S151" s="748"/>
      <c r="T151" s="526"/>
      <c r="U151" s="748"/>
      <c r="V151" s="748"/>
      <c r="W151" s="526"/>
      <c r="X151" s="2893"/>
      <c r="Y151" s="2893"/>
      <c r="Z151" s="2893"/>
      <c r="AA151" s="2893"/>
      <c r="AB151" s="2893"/>
      <c r="AC151" s="2893"/>
      <c r="AD151" s="2893"/>
      <c r="AE151" s="2893"/>
      <c r="AF151" s="2893"/>
      <c r="AG151" s="2893"/>
    </row>
    <row r="152" spans="1:34" ht="15.75" customHeight="1">
      <c r="A152" s="252"/>
      <c r="B152" s="2903" t="s">
        <v>649</v>
      </c>
      <c r="C152" s="2903"/>
      <c r="D152" s="2903"/>
      <c r="E152" s="2903"/>
      <c r="F152" s="6"/>
      <c r="G152" s="63"/>
      <c r="H152" s="797"/>
      <c r="I152" s="748"/>
      <c r="J152" s="711"/>
      <c r="K152" s="562">
        <v>40</v>
      </c>
      <c r="L152" s="748"/>
      <c r="M152" s="711"/>
      <c r="N152" s="562"/>
      <c r="O152" s="710"/>
      <c r="P152" s="582"/>
      <c r="Q152" s="562"/>
      <c r="R152" s="762"/>
      <c r="S152" s="762"/>
      <c r="T152" s="562"/>
      <c r="U152" s="762"/>
      <c r="V152" s="762"/>
      <c r="W152" s="562"/>
      <c r="X152" s="2893"/>
      <c r="Y152" s="2893"/>
      <c r="Z152" s="2893"/>
      <c r="AA152" s="2893"/>
      <c r="AB152" s="2893"/>
      <c r="AC152" s="2893"/>
      <c r="AD152" s="2893"/>
      <c r="AE152" s="2893"/>
      <c r="AF152" s="2893"/>
      <c r="AG152" s="2893"/>
    </row>
    <row r="153" spans="1:34" ht="15.75" customHeight="1">
      <c r="A153" s="237"/>
      <c r="B153" s="2903" t="s">
        <v>415</v>
      </c>
      <c r="C153" s="2903"/>
      <c r="D153" s="2903"/>
      <c r="E153" s="2903"/>
      <c r="F153" s="6"/>
      <c r="G153" s="6"/>
      <c r="H153" s="798"/>
      <c r="I153" s="748"/>
      <c r="J153" s="748"/>
      <c r="K153" s="586" t="s">
        <v>5</v>
      </c>
      <c r="L153" s="748"/>
      <c r="M153" s="748"/>
      <c r="N153" s="586"/>
      <c r="O153" s="710"/>
      <c r="P153" s="710"/>
      <c r="Q153" s="586"/>
      <c r="R153" s="762"/>
      <c r="S153" s="762"/>
      <c r="T153" s="586"/>
      <c r="U153" s="762"/>
      <c r="V153" s="762"/>
      <c r="W153" s="586"/>
      <c r="X153" s="2893"/>
      <c r="Y153" s="2893"/>
      <c r="Z153" s="2893"/>
      <c r="AA153" s="2893"/>
      <c r="AB153" s="2893"/>
      <c r="AC153" s="2893"/>
      <c r="AD153" s="2893"/>
      <c r="AE153" s="2893"/>
      <c r="AF153" s="2893"/>
      <c r="AG153" s="2893"/>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903" t="s">
        <v>631</v>
      </c>
      <c r="C155" s="2903"/>
      <c r="D155" s="2903"/>
      <c r="E155" s="2903"/>
      <c r="F155" s="6"/>
      <c r="G155" s="65"/>
      <c r="H155" s="799"/>
      <c r="I155" s="710"/>
      <c r="J155" s="711"/>
      <c r="K155" s="628">
        <v>0.65</v>
      </c>
      <c r="L155" s="708"/>
      <c r="M155" s="709"/>
      <c r="N155" s="628"/>
      <c r="O155" s="710"/>
      <c r="P155" s="712"/>
      <c r="Q155" s="628"/>
      <c r="R155" s="762"/>
      <c r="S155" s="762"/>
      <c r="T155" s="628"/>
      <c r="U155" s="762"/>
      <c r="V155" s="762"/>
      <c r="W155" s="628"/>
      <c r="X155" s="2893"/>
      <c r="Y155" s="2893"/>
      <c r="Z155" s="2893"/>
      <c r="AA155" s="2893"/>
      <c r="AB155" s="2893"/>
      <c r="AC155" s="2893"/>
      <c r="AD155" s="2893"/>
      <c r="AE155" s="2893"/>
      <c r="AF155" s="2893"/>
      <c r="AG155" s="2893"/>
      <c r="AH155" s="9" t="s">
        <v>719</v>
      </c>
    </row>
    <row r="156" spans="1:34" ht="15.75" customHeight="1">
      <c r="A156" s="252"/>
      <c r="B156" s="2903" t="s">
        <v>633</v>
      </c>
      <c r="C156" s="2903"/>
      <c r="D156" s="2903"/>
      <c r="E156" s="2903"/>
      <c r="F156" s="6"/>
      <c r="G156" s="65"/>
      <c r="H156" s="480"/>
      <c r="I156" s="710"/>
      <c r="J156" s="711" t="s">
        <v>37</v>
      </c>
      <c r="K156" s="526" t="s">
        <v>406</v>
      </c>
      <c r="L156" s="710"/>
      <c r="M156" s="711" t="s">
        <v>37</v>
      </c>
      <c r="N156" s="526"/>
      <c r="O156" s="710"/>
      <c r="P156" s="712"/>
      <c r="Q156" s="526"/>
      <c r="R156" s="762"/>
      <c r="S156" s="762"/>
      <c r="T156" s="526"/>
      <c r="U156" s="762"/>
      <c r="V156" s="762"/>
      <c r="W156" s="526"/>
      <c r="X156" s="2893"/>
      <c r="Y156" s="2893"/>
      <c r="Z156" s="2893"/>
      <c r="AA156" s="2893"/>
      <c r="AB156" s="2893"/>
      <c r="AC156" s="2893"/>
      <c r="AD156" s="2893"/>
      <c r="AE156" s="2893"/>
      <c r="AF156" s="2893"/>
      <c r="AG156" s="2893"/>
    </row>
    <row r="157" spans="1:34" ht="15.75" customHeight="1">
      <c r="A157" s="252"/>
      <c r="B157" s="2903" t="s">
        <v>627</v>
      </c>
      <c r="C157" s="2903"/>
      <c r="D157" s="2903"/>
      <c r="E157" s="2903"/>
      <c r="F157" s="6"/>
      <c r="G157" s="63"/>
      <c r="H157" s="794"/>
      <c r="I157" s="748"/>
      <c r="J157" s="711"/>
      <c r="K157" s="561" t="s">
        <v>220</v>
      </c>
      <c r="L157" s="748"/>
      <c r="M157" s="711"/>
      <c r="N157" s="561"/>
      <c r="O157" s="710"/>
      <c r="P157" s="582"/>
      <c r="Q157" s="561"/>
      <c r="R157" s="762"/>
      <c r="S157" s="762"/>
      <c r="T157" s="561"/>
      <c r="U157" s="762"/>
      <c r="V157" s="762"/>
      <c r="W157" s="561"/>
      <c r="X157" s="2893"/>
      <c r="Y157" s="2893"/>
      <c r="Z157" s="2893"/>
      <c r="AA157" s="2893"/>
      <c r="AB157" s="2893"/>
      <c r="AC157" s="2893"/>
      <c r="AD157" s="2893"/>
      <c r="AE157" s="2893"/>
      <c r="AF157" s="2893"/>
      <c r="AG157" s="2893"/>
    </row>
    <row r="158" spans="1:34" ht="15.75" customHeight="1">
      <c r="A158" s="252"/>
      <c r="B158" s="2904" t="s">
        <v>628</v>
      </c>
      <c r="C158" s="2904"/>
      <c r="D158" s="2904"/>
      <c r="E158" s="2904"/>
      <c r="F158" s="6"/>
      <c r="G158" s="63"/>
      <c r="H158" s="480"/>
      <c r="I158" s="748"/>
      <c r="J158" s="711"/>
      <c r="K158" s="526" t="s">
        <v>221</v>
      </c>
      <c r="L158" s="748"/>
      <c r="M158" s="711"/>
      <c r="N158" s="526"/>
      <c r="O158" s="710"/>
      <c r="P158" s="582"/>
      <c r="Q158" s="526"/>
      <c r="R158" s="762"/>
      <c r="S158" s="762"/>
      <c r="T158" s="526"/>
      <c r="U158" s="762"/>
      <c r="V158" s="762"/>
      <c r="W158" s="526"/>
      <c r="X158" s="2893"/>
      <c r="Y158" s="2893"/>
      <c r="Z158" s="2893"/>
      <c r="AA158" s="2893"/>
      <c r="AB158" s="2893"/>
      <c r="AC158" s="2893"/>
      <c r="AD158" s="2893"/>
      <c r="AE158" s="2893"/>
      <c r="AF158" s="2893"/>
      <c r="AG158" s="2893"/>
    </row>
    <row r="159" spans="1:34" ht="31.5" customHeight="1">
      <c r="A159" s="252"/>
      <c r="B159" s="2904" t="s">
        <v>629</v>
      </c>
      <c r="C159" s="2904"/>
      <c r="D159" s="2904"/>
      <c r="E159" s="2904"/>
      <c r="F159" s="6"/>
      <c r="G159" s="63"/>
      <c r="H159" s="795"/>
      <c r="I159" s="748"/>
      <c r="J159" s="711"/>
      <c r="K159" s="568">
        <v>2.5</v>
      </c>
      <c r="L159" s="748"/>
      <c r="M159" s="711"/>
      <c r="N159" s="568"/>
      <c r="O159" s="710"/>
      <c r="P159" s="582"/>
      <c r="Q159" s="568"/>
      <c r="R159" s="762"/>
      <c r="S159" s="762"/>
      <c r="T159" s="568"/>
      <c r="U159" s="762"/>
      <c r="V159" s="762"/>
      <c r="W159" s="568"/>
      <c r="X159" s="2893"/>
      <c r="Y159" s="2893"/>
      <c r="Z159" s="2893"/>
      <c r="AA159" s="2893"/>
      <c r="AB159" s="2893"/>
      <c r="AC159" s="2893"/>
      <c r="AD159" s="2893"/>
      <c r="AE159" s="2893"/>
      <c r="AF159" s="2893"/>
      <c r="AG159" s="2893"/>
    </row>
    <row r="160" spans="1:34" ht="15.75" customHeight="1">
      <c r="A160" s="252"/>
      <c r="B160" s="2903" t="s">
        <v>632</v>
      </c>
      <c r="C160" s="2903"/>
      <c r="D160" s="2903"/>
      <c r="E160" s="2903"/>
      <c r="F160" s="6"/>
      <c r="G160" s="65"/>
      <c r="H160" s="480"/>
      <c r="I160" s="710"/>
      <c r="J160" s="711">
        <v>4</v>
      </c>
      <c r="K160" s="526">
        <v>6</v>
      </c>
      <c r="L160" s="710"/>
      <c r="M160" s="711">
        <v>4</v>
      </c>
      <c r="N160" s="526"/>
      <c r="O160" s="710"/>
      <c r="P160" s="712"/>
      <c r="Q160" s="526"/>
      <c r="R160" s="762"/>
      <c r="S160" s="762"/>
      <c r="T160" s="526"/>
      <c r="U160" s="762"/>
      <c r="V160" s="762"/>
      <c r="W160" s="526"/>
      <c r="X160" s="2893" t="s">
        <v>686</v>
      </c>
      <c r="Y160" s="2893"/>
      <c r="Z160" s="2893"/>
      <c r="AA160" s="2893"/>
      <c r="AB160" s="2893"/>
      <c r="AC160" s="2893"/>
      <c r="AD160" s="2893"/>
      <c r="AE160" s="2893"/>
      <c r="AF160" s="2893"/>
      <c r="AG160" s="2893"/>
    </row>
    <row r="161" spans="1:34" ht="29.9" customHeight="1">
      <c r="A161" s="252"/>
      <c r="B161" s="2903" t="s">
        <v>1551</v>
      </c>
      <c r="C161" s="2903"/>
      <c r="D161" s="2903"/>
      <c r="E161" s="2903"/>
      <c r="F161" s="6"/>
      <c r="G161" s="65"/>
      <c r="H161" s="796"/>
      <c r="I161" s="710"/>
      <c r="J161" s="711"/>
      <c r="K161" s="619">
        <v>0</v>
      </c>
      <c r="L161" s="710"/>
      <c r="M161" s="711"/>
      <c r="N161" s="619"/>
      <c r="O161" s="710"/>
      <c r="P161" s="712"/>
      <c r="Q161" s="619"/>
      <c r="R161" s="762"/>
      <c r="S161" s="762"/>
      <c r="T161" s="619"/>
      <c r="U161" s="762"/>
      <c r="V161" s="762"/>
      <c r="W161" s="619"/>
      <c r="X161" s="2893"/>
      <c r="Y161" s="2893"/>
      <c r="Z161" s="2893"/>
      <c r="AA161" s="2893"/>
      <c r="AB161" s="2893"/>
      <c r="AC161" s="2893"/>
      <c r="AD161" s="2893"/>
      <c r="AE161" s="2893"/>
      <c r="AF161" s="2893"/>
      <c r="AG161" s="2893"/>
      <c r="AH161" s="9" t="s">
        <v>722</v>
      </c>
    </row>
    <row r="162" spans="1:34" ht="29.9" customHeight="1">
      <c r="A162" s="252"/>
      <c r="B162" s="2903" t="s">
        <v>1552</v>
      </c>
      <c r="C162" s="2903"/>
      <c r="D162" s="2903"/>
      <c r="E162" s="2903"/>
      <c r="F162" s="6"/>
      <c r="G162" s="65"/>
      <c r="H162" s="796"/>
      <c r="I162" s="710"/>
      <c r="J162" s="711"/>
      <c r="K162" s="619">
        <v>0</v>
      </c>
      <c r="L162" s="710"/>
      <c r="M162" s="711"/>
      <c r="N162" s="619"/>
      <c r="O162" s="710"/>
      <c r="P162" s="712"/>
      <c r="Q162" s="619"/>
      <c r="R162" s="762"/>
      <c r="S162" s="762"/>
      <c r="T162" s="619"/>
      <c r="U162" s="762"/>
      <c r="V162" s="762"/>
      <c r="W162" s="619"/>
      <c r="X162" s="2893"/>
      <c r="Y162" s="2893"/>
      <c r="Z162" s="2893"/>
      <c r="AA162" s="2893"/>
      <c r="AB162" s="2893"/>
      <c r="AC162" s="2893"/>
      <c r="AD162" s="2893"/>
      <c r="AE162" s="2893"/>
      <c r="AF162" s="2893"/>
      <c r="AG162" s="2893"/>
      <c r="AH162" s="9" t="s">
        <v>722</v>
      </c>
    </row>
    <row r="163" spans="1:34" ht="31.5" customHeight="1">
      <c r="A163" s="252"/>
      <c r="B163" s="2903" t="s">
        <v>331</v>
      </c>
      <c r="C163" s="2903"/>
      <c r="D163" s="2903"/>
      <c r="E163" s="2903"/>
      <c r="F163" s="6"/>
      <c r="G163" s="65"/>
      <c r="H163" s="480"/>
      <c r="I163" s="710"/>
      <c r="J163" s="711"/>
      <c r="K163" s="526" t="s">
        <v>131</v>
      </c>
      <c r="L163" s="710"/>
      <c r="M163" s="711"/>
      <c r="N163" s="526"/>
      <c r="O163" s="710"/>
      <c r="P163" s="712"/>
      <c r="Q163" s="526"/>
      <c r="R163" s="762"/>
      <c r="S163" s="762"/>
      <c r="T163" s="526"/>
      <c r="U163" s="762"/>
      <c r="V163" s="762"/>
      <c r="W163" s="526"/>
      <c r="X163" s="2893"/>
      <c r="Y163" s="2893"/>
      <c r="Z163" s="2893"/>
      <c r="AA163" s="2893"/>
      <c r="AB163" s="2893"/>
      <c r="AC163" s="2893"/>
      <c r="AD163" s="2893"/>
      <c r="AE163" s="2893"/>
      <c r="AF163" s="2893"/>
      <c r="AG163" s="2893"/>
    </row>
    <row r="164" spans="1:34" ht="15.75" customHeight="1">
      <c r="A164" s="252"/>
      <c r="B164" s="2904" t="s">
        <v>332</v>
      </c>
      <c r="C164" s="2904"/>
      <c r="D164" s="2904"/>
      <c r="E164" s="2904"/>
      <c r="F164" s="6"/>
      <c r="G164" s="65"/>
      <c r="H164" s="480"/>
      <c r="I164" s="748"/>
      <c r="J164" s="711">
        <v>2</v>
      </c>
      <c r="K164" s="526">
        <v>10</v>
      </c>
      <c r="L164" s="748"/>
      <c r="M164" s="711"/>
      <c r="N164" s="526"/>
      <c r="O164" s="710"/>
      <c r="P164" s="582"/>
      <c r="Q164" s="526"/>
      <c r="R164" s="762"/>
      <c r="S164" s="762"/>
      <c r="T164" s="526"/>
      <c r="U164" s="762"/>
      <c r="V164" s="762"/>
      <c r="W164" s="526"/>
      <c r="X164" s="2893"/>
      <c r="Y164" s="2893"/>
      <c r="Z164" s="2893"/>
      <c r="AA164" s="2893"/>
      <c r="AB164" s="2893"/>
      <c r="AC164" s="2893"/>
      <c r="AD164" s="2893"/>
      <c r="AE164" s="2893"/>
      <c r="AF164" s="2893"/>
      <c r="AG164" s="2893"/>
    </row>
    <row r="165" spans="1:34" ht="15.75" customHeight="1">
      <c r="A165" s="252"/>
      <c r="B165" s="2903" t="s">
        <v>333</v>
      </c>
      <c r="C165" s="2903"/>
      <c r="D165" s="2903"/>
      <c r="E165" s="2903"/>
      <c r="F165" s="6"/>
      <c r="G165" s="65"/>
      <c r="H165" s="480"/>
      <c r="I165" s="710"/>
      <c r="J165" s="711"/>
      <c r="K165" s="526" t="s">
        <v>21</v>
      </c>
      <c r="L165" s="710"/>
      <c r="M165" s="711"/>
      <c r="N165" s="526"/>
      <c r="O165" s="710"/>
      <c r="P165" s="712"/>
      <c r="Q165" s="526"/>
      <c r="R165" s="762"/>
      <c r="S165" s="762"/>
      <c r="T165" s="526"/>
      <c r="U165" s="762"/>
      <c r="V165" s="762"/>
      <c r="W165" s="526"/>
      <c r="X165" s="2893"/>
      <c r="Y165" s="2893"/>
      <c r="Z165" s="2893"/>
      <c r="AA165" s="2893"/>
      <c r="AB165" s="2893"/>
      <c r="AC165" s="2893"/>
      <c r="AD165" s="2893"/>
      <c r="AE165" s="2893"/>
      <c r="AF165" s="2893"/>
      <c r="AG165" s="2893"/>
    </row>
    <row r="166" spans="1:34" ht="15.75" customHeight="1">
      <c r="A166" s="252"/>
      <c r="B166" s="2903" t="s">
        <v>334</v>
      </c>
      <c r="C166" s="2903"/>
      <c r="D166" s="2903"/>
      <c r="E166" s="2903"/>
      <c r="F166" s="6"/>
      <c r="G166" s="65"/>
      <c r="H166" s="480"/>
      <c r="I166" s="710"/>
      <c r="J166" s="711"/>
      <c r="K166" s="526">
        <v>1</v>
      </c>
      <c r="L166" s="710"/>
      <c r="M166" s="711"/>
      <c r="N166" s="526"/>
      <c r="O166" s="710"/>
      <c r="P166" s="712"/>
      <c r="Q166" s="526"/>
      <c r="R166" s="762"/>
      <c r="S166" s="762"/>
      <c r="T166" s="526"/>
      <c r="U166" s="762"/>
      <c r="V166" s="762"/>
      <c r="W166" s="526"/>
      <c r="X166" s="2893"/>
      <c r="Y166" s="2893"/>
      <c r="Z166" s="2893"/>
      <c r="AA166" s="2893"/>
      <c r="AB166" s="2893"/>
      <c r="AC166" s="2893"/>
      <c r="AD166" s="2893"/>
      <c r="AE166" s="2893"/>
      <c r="AF166" s="2893"/>
      <c r="AG166" s="2893"/>
    </row>
    <row r="167" spans="1:34" ht="15.75" customHeight="1">
      <c r="A167" s="252"/>
      <c r="B167" s="2904" t="s">
        <v>335</v>
      </c>
      <c r="C167" s="2904"/>
      <c r="D167" s="2904"/>
      <c r="E167" s="2904"/>
      <c r="F167" s="6"/>
      <c r="G167" s="65"/>
      <c r="H167" s="480"/>
      <c r="I167" s="710"/>
      <c r="J167" s="711"/>
      <c r="K167" s="526" t="s">
        <v>21</v>
      </c>
      <c r="L167" s="710"/>
      <c r="M167" s="711"/>
      <c r="N167" s="526"/>
      <c r="O167" s="710"/>
      <c r="P167" s="712"/>
      <c r="Q167" s="526"/>
      <c r="R167" s="762"/>
      <c r="S167" s="762"/>
      <c r="T167" s="526"/>
      <c r="U167" s="762"/>
      <c r="V167" s="762"/>
      <c r="W167" s="526"/>
      <c r="X167" s="2893"/>
      <c r="Y167" s="2893"/>
      <c r="Z167" s="2893"/>
      <c r="AA167" s="2893"/>
      <c r="AB167" s="2893"/>
      <c r="AC167" s="2893"/>
      <c r="AD167" s="2893"/>
      <c r="AE167" s="2893"/>
      <c r="AF167" s="2893"/>
      <c r="AG167" s="2893"/>
    </row>
    <row r="168" spans="1:34" ht="15.75" customHeight="1">
      <c r="A168" s="252"/>
      <c r="B168" s="2903" t="s">
        <v>336</v>
      </c>
      <c r="C168" s="2903"/>
      <c r="D168" s="2903"/>
      <c r="E168" s="2903"/>
      <c r="F168" s="6"/>
      <c r="G168" s="65"/>
      <c r="H168" s="480"/>
      <c r="I168" s="710"/>
      <c r="J168" s="711"/>
      <c r="K168" s="526">
        <v>120</v>
      </c>
      <c r="L168" s="710"/>
      <c r="M168" s="711"/>
      <c r="N168" s="526"/>
      <c r="O168" s="710"/>
      <c r="P168" s="712"/>
      <c r="Q168" s="526"/>
      <c r="R168" s="762"/>
      <c r="S168" s="762"/>
      <c r="T168" s="526"/>
      <c r="U168" s="762"/>
      <c r="V168" s="762"/>
      <c r="W168" s="526"/>
      <c r="X168" s="2893"/>
      <c r="Y168" s="2893"/>
      <c r="Z168" s="2893"/>
      <c r="AA168" s="2893"/>
      <c r="AB168" s="2893"/>
      <c r="AC168" s="2893"/>
      <c r="AD168" s="2893"/>
      <c r="AE168" s="2893"/>
      <c r="AF168" s="2893"/>
      <c r="AG168" s="2893"/>
    </row>
    <row r="169" spans="1:34" ht="31.5" customHeight="1">
      <c r="A169" s="252"/>
      <c r="B169" s="2903" t="s">
        <v>337</v>
      </c>
      <c r="C169" s="2903"/>
      <c r="D169" s="2903"/>
      <c r="E169" s="2903"/>
      <c r="F169" s="6"/>
      <c r="G169" s="65"/>
      <c r="H169" s="480"/>
      <c r="I169" s="710"/>
      <c r="J169" s="711"/>
      <c r="K169" s="526">
        <v>0</v>
      </c>
      <c r="L169" s="710"/>
      <c r="M169" s="711"/>
      <c r="N169" s="526"/>
      <c r="O169" s="710"/>
      <c r="P169" s="712"/>
      <c r="Q169" s="526"/>
      <c r="R169" s="762"/>
      <c r="S169" s="762"/>
      <c r="T169" s="526"/>
      <c r="U169" s="762"/>
      <c r="V169" s="762"/>
      <c r="W169" s="526"/>
      <c r="X169" s="2893"/>
      <c r="Y169" s="2893"/>
      <c r="Z169" s="2893"/>
      <c r="AA169" s="2893"/>
      <c r="AB169" s="2893"/>
      <c r="AC169" s="2893"/>
      <c r="AD169" s="2893"/>
      <c r="AE169" s="2893"/>
      <c r="AF169" s="2893"/>
      <c r="AG169" s="2893"/>
      <c r="AH169" s="9" t="s">
        <v>720</v>
      </c>
    </row>
    <row r="170" spans="1:34" ht="31.5" customHeight="1">
      <c r="A170" s="252"/>
      <c r="B170" s="2903" t="s">
        <v>338</v>
      </c>
      <c r="C170" s="2903"/>
      <c r="D170" s="2903"/>
      <c r="E170" s="2903"/>
      <c r="F170" s="6"/>
      <c r="G170" s="65"/>
      <c r="H170" s="480"/>
      <c r="I170" s="710"/>
      <c r="J170" s="711"/>
      <c r="K170" s="526">
        <v>0</v>
      </c>
      <c r="L170" s="710"/>
      <c r="M170" s="711"/>
      <c r="N170" s="526"/>
      <c r="O170" s="710"/>
      <c r="P170" s="712"/>
      <c r="Q170" s="526"/>
      <c r="R170" s="762"/>
      <c r="S170" s="762"/>
      <c r="T170" s="526"/>
      <c r="U170" s="762"/>
      <c r="V170" s="762"/>
      <c r="W170" s="526"/>
      <c r="X170" s="2893"/>
      <c r="Y170" s="2893"/>
      <c r="Z170" s="2893"/>
      <c r="AA170" s="2893"/>
      <c r="AB170" s="2893"/>
      <c r="AC170" s="2893"/>
      <c r="AD170" s="2893"/>
      <c r="AE170" s="2893"/>
      <c r="AF170" s="2893"/>
      <c r="AG170" s="2893"/>
      <c r="AH170" s="9" t="s">
        <v>720</v>
      </c>
    </row>
    <row r="171" spans="1:34" ht="15.75" customHeight="1">
      <c r="A171" s="252"/>
      <c r="B171" s="2903" t="s">
        <v>648</v>
      </c>
      <c r="C171" s="2903"/>
      <c r="D171" s="2903"/>
      <c r="E171" s="2903"/>
      <c r="F171" s="6"/>
      <c r="G171" s="65"/>
      <c r="H171" s="480"/>
      <c r="I171" s="710"/>
      <c r="J171" s="711"/>
      <c r="K171" s="526">
        <v>13</v>
      </c>
      <c r="L171" s="710"/>
      <c r="M171" s="711"/>
      <c r="N171" s="526"/>
      <c r="O171" s="710"/>
      <c r="P171" s="712"/>
      <c r="Q171" s="526"/>
      <c r="R171" s="762"/>
      <c r="S171" s="762"/>
      <c r="T171" s="526"/>
      <c r="U171" s="762"/>
      <c r="V171" s="762"/>
      <c r="W171" s="526"/>
      <c r="X171" s="2893"/>
      <c r="Y171" s="2893"/>
      <c r="Z171" s="2893"/>
      <c r="AA171" s="2893"/>
      <c r="AB171" s="2893"/>
      <c r="AC171" s="2893"/>
      <c r="AD171" s="2893"/>
      <c r="AE171" s="2893"/>
      <c r="AF171" s="2893"/>
      <c r="AG171" s="2893"/>
    </row>
    <row r="172" spans="1:34" ht="15.75" customHeight="1">
      <c r="A172" s="252"/>
      <c r="B172" s="2903" t="s">
        <v>649</v>
      </c>
      <c r="C172" s="2903"/>
      <c r="D172" s="2903"/>
      <c r="E172" s="2903"/>
      <c r="F172" s="6"/>
      <c r="G172" s="65"/>
      <c r="H172" s="797"/>
      <c r="I172" s="710"/>
      <c r="J172" s="711"/>
      <c r="K172" s="562">
        <v>13</v>
      </c>
      <c r="L172" s="710"/>
      <c r="M172" s="711"/>
      <c r="N172" s="562"/>
      <c r="O172" s="710"/>
      <c r="P172" s="712"/>
      <c r="Q172" s="562"/>
      <c r="R172" s="762"/>
      <c r="S172" s="762"/>
      <c r="T172" s="562"/>
      <c r="U172" s="762"/>
      <c r="V172" s="762"/>
      <c r="W172" s="562"/>
      <c r="X172" s="2893"/>
      <c r="Y172" s="2893"/>
      <c r="Z172" s="2893"/>
      <c r="AA172" s="2893"/>
      <c r="AB172" s="2893"/>
      <c r="AC172" s="2893"/>
      <c r="AD172" s="2893"/>
      <c r="AE172" s="2893"/>
      <c r="AF172" s="2893"/>
      <c r="AG172" s="2893"/>
    </row>
    <row r="173" spans="1:34" ht="15.75" customHeight="1">
      <c r="A173" s="237"/>
      <c r="B173" s="2903" t="s">
        <v>415</v>
      </c>
      <c r="C173" s="2903"/>
      <c r="D173" s="2903"/>
      <c r="E173" s="2903"/>
      <c r="F173" s="6"/>
      <c r="G173" s="65"/>
      <c r="H173" s="798"/>
      <c r="I173" s="710"/>
      <c r="J173" s="711"/>
      <c r="K173" s="586" t="s">
        <v>5</v>
      </c>
      <c r="L173" s="710"/>
      <c r="M173" s="711"/>
      <c r="N173" s="586"/>
      <c r="O173" s="710"/>
      <c r="P173" s="712"/>
      <c r="Q173" s="586"/>
      <c r="R173" s="762"/>
      <c r="S173" s="762"/>
      <c r="T173" s="586"/>
      <c r="U173" s="762"/>
      <c r="V173" s="762"/>
      <c r="W173" s="586"/>
      <c r="X173" s="2893"/>
      <c r="Y173" s="2893"/>
      <c r="Z173" s="2893"/>
      <c r="AA173" s="2893"/>
      <c r="AB173" s="2893"/>
      <c r="AC173" s="2893"/>
      <c r="AD173" s="2893"/>
      <c r="AE173" s="2893"/>
      <c r="AF173" s="2893"/>
      <c r="AG173" s="2893"/>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903" t="s">
        <v>631</v>
      </c>
      <c r="C175" s="2903"/>
      <c r="D175" s="2903"/>
      <c r="E175" s="2903"/>
      <c r="F175" s="6"/>
      <c r="G175" s="65"/>
      <c r="H175" s="799"/>
      <c r="I175" s="710"/>
      <c r="J175" s="711"/>
      <c r="K175" s="628"/>
      <c r="L175" s="710"/>
      <c r="M175" s="711"/>
      <c r="N175" s="628"/>
      <c r="O175" s="710"/>
      <c r="P175" s="712"/>
      <c r="Q175" s="628"/>
      <c r="R175" s="762"/>
      <c r="S175" s="762"/>
      <c r="T175" s="628"/>
      <c r="U175" s="762"/>
      <c r="V175" s="762"/>
      <c r="W175" s="628"/>
      <c r="X175" s="2893"/>
      <c r="Y175" s="2893"/>
      <c r="Z175" s="2893"/>
      <c r="AA175" s="2893"/>
      <c r="AB175" s="2893"/>
      <c r="AC175" s="2893"/>
      <c r="AD175" s="2893"/>
      <c r="AE175" s="2893"/>
      <c r="AF175" s="2893"/>
      <c r="AG175" s="2893"/>
      <c r="AH175" s="9" t="s">
        <v>719</v>
      </c>
    </row>
    <row r="176" spans="1:34" ht="15.75" customHeight="1">
      <c r="A176" s="252"/>
      <c r="B176" s="2903" t="s">
        <v>633</v>
      </c>
      <c r="C176" s="2903"/>
      <c r="D176" s="2903"/>
      <c r="E176" s="2903"/>
      <c r="F176" s="6"/>
      <c r="G176" s="65"/>
      <c r="H176" s="480"/>
      <c r="I176" s="710"/>
      <c r="J176" s="711" t="s">
        <v>37</v>
      </c>
      <c r="K176" s="526"/>
      <c r="L176" s="710"/>
      <c r="M176" s="711" t="s">
        <v>37</v>
      </c>
      <c r="N176" s="526"/>
      <c r="O176" s="710"/>
      <c r="P176" s="712"/>
      <c r="Q176" s="526"/>
      <c r="R176" s="762"/>
      <c r="S176" s="762"/>
      <c r="T176" s="526"/>
      <c r="U176" s="762"/>
      <c r="V176" s="762"/>
      <c r="W176" s="526"/>
      <c r="X176" s="2893"/>
      <c r="Y176" s="2893"/>
      <c r="Z176" s="2893"/>
      <c r="AA176" s="2893"/>
      <c r="AB176" s="2893"/>
      <c r="AC176" s="2893"/>
      <c r="AD176" s="2893"/>
      <c r="AE176" s="2893"/>
      <c r="AF176" s="2893"/>
      <c r="AG176" s="2893"/>
    </row>
    <row r="177" spans="1:33" ht="15.75" customHeight="1">
      <c r="A177" s="252"/>
      <c r="B177" s="2903" t="s">
        <v>627</v>
      </c>
      <c r="C177" s="2903"/>
      <c r="D177" s="2903"/>
      <c r="E177" s="2903"/>
      <c r="F177" s="6"/>
      <c r="G177" s="63"/>
      <c r="H177" s="794"/>
      <c r="I177" s="748"/>
      <c r="J177" s="711"/>
      <c r="K177" s="561"/>
      <c r="L177" s="748"/>
      <c r="M177" s="711"/>
      <c r="N177" s="561"/>
      <c r="O177" s="710"/>
      <c r="P177" s="582"/>
      <c r="Q177" s="561"/>
      <c r="R177" s="762"/>
      <c r="S177" s="762"/>
      <c r="T177" s="561"/>
      <c r="U177" s="762"/>
      <c r="V177" s="762"/>
      <c r="W177" s="561"/>
      <c r="X177" s="2893"/>
      <c r="Y177" s="2893"/>
      <c r="Z177" s="2893"/>
      <c r="AA177" s="2893"/>
      <c r="AB177" s="2893"/>
      <c r="AC177" s="2893"/>
      <c r="AD177" s="2893"/>
      <c r="AE177" s="2893"/>
      <c r="AF177" s="2893"/>
      <c r="AG177" s="2893"/>
    </row>
    <row r="178" spans="1:33" ht="15.75" customHeight="1">
      <c r="A178" s="252"/>
      <c r="B178" s="2904" t="s">
        <v>628</v>
      </c>
      <c r="C178" s="2904"/>
      <c r="D178" s="2904"/>
      <c r="E178" s="2904"/>
      <c r="F178" s="6"/>
      <c r="G178" s="63"/>
      <c r="H178" s="480"/>
      <c r="I178" s="748"/>
      <c r="J178" s="711"/>
      <c r="K178" s="526"/>
      <c r="L178" s="748"/>
      <c r="M178" s="711"/>
      <c r="N178" s="526"/>
      <c r="O178" s="710"/>
      <c r="P178" s="582"/>
      <c r="Q178" s="526"/>
      <c r="R178" s="762"/>
      <c r="S178" s="762"/>
      <c r="T178" s="526"/>
      <c r="U178" s="762"/>
      <c r="V178" s="762"/>
      <c r="W178" s="526"/>
      <c r="X178" s="2893"/>
      <c r="Y178" s="2893"/>
      <c r="Z178" s="2893"/>
      <c r="AA178" s="2893"/>
      <c r="AB178" s="2893"/>
      <c r="AC178" s="2893"/>
      <c r="AD178" s="2893"/>
      <c r="AE178" s="2893"/>
      <c r="AF178" s="2893"/>
      <c r="AG178" s="2893"/>
    </row>
    <row r="179" spans="1:33" ht="33" customHeight="1">
      <c r="A179" s="252"/>
      <c r="B179" s="2904" t="s">
        <v>629</v>
      </c>
      <c r="C179" s="2904"/>
      <c r="D179" s="2904"/>
      <c r="E179" s="2904"/>
      <c r="F179" s="6"/>
      <c r="G179" s="63"/>
      <c r="H179" s="795"/>
      <c r="I179" s="748"/>
      <c r="J179" s="711"/>
      <c r="K179" s="568"/>
      <c r="L179" s="748"/>
      <c r="M179" s="711"/>
      <c r="N179" s="568"/>
      <c r="O179" s="710"/>
      <c r="P179" s="582"/>
      <c r="Q179" s="568"/>
      <c r="R179" s="762"/>
      <c r="S179" s="762"/>
      <c r="T179" s="568"/>
      <c r="U179" s="762"/>
      <c r="V179" s="762"/>
      <c r="W179" s="568"/>
      <c r="X179" s="2893"/>
      <c r="Y179" s="2893"/>
      <c r="Z179" s="2893"/>
      <c r="AA179" s="2893"/>
      <c r="AB179" s="2893"/>
      <c r="AC179" s="2893"/>
      <c r="AD179" s="2893"/>
      <c r="AE179" s="2893"/>
      <c r="AF179" s="2893"/>
      <c r="AG179" s="2893"/>
    </row>
    <row r="180" spans="1:33" ht="15.75" customHeight="1">
      <c r="A180" s="252"/>
      <c r="B180" s="2903" t="s">
        <v>632</v>
      </c>
      <c r="C180" s="2903"/>
      <c r="D180" s="2903"/>
      <c r="E180" s="2903"/>
      <c r="F180" s="6"/>
      <c r="G180" s="65"/>
      <c r="H180" s="480"/>
      <c r="I180" s="710"/>
      <c r="J180" s="711">
        <v>4</v>
      </c>
      <c r="K180" s="526"/>
      <c r="L180" s="710"/>
      <c r="M180" s="711">
        <v>4</v>
      </c>
      <c r="N180" s="526"/>
      <c r="O180" s="710"/>
      <c r="P180" s="712"/>
      <c r="Q180" s="526"/>
      <c r="R180" s="762"/>
      <c r="S180" s="762"/>
      <c r="T180" s="526"/>
      <c r="U180" s="762"/>
      <c r="V180" s="762"/>
      <c r="W180" s="526"/>
      <c r="X180" s="2893"/>
      <c r="Y180" s="2893"/>
      <c r="Z180" s="2893"/>
      <c r="AA180" s="2893"/>
      <c r="AB180" s="2893"/>
      <c r="AC180" s="2893"/>
      <c r="AD180" s="2893"/>
      <c r="AE180" s="2893"/>
      <c r="AF180" s="2893"/>
      <c r="AG180" s="2893"/>
    </row>
    <row r="181" spans="1:33" ht="34.5" customHeight="1">
      <c r="A181" s="252"/>
      <c r="B181" s="2903" t="s">
        <v>1551</v>
      </c>
      <c r="C181" s="2903"/>
      <c r="D181" s="2903"/>
      <c r="E181" s="2903"/>
      <c r="F181" s="6"/>
      <c r="G181" s="65"/>
      <c r="H181" s="796"/>
      <c r="I181" s="710"/>
      <c r="J181" s="711"/>
      <c r="K181" s="619"/>
      <c r="L181" s="710"/>
      <c r="M181" s="711"/>
      <c r="N181" s="619"/>
      <c r="O181" s="710"/>
      <c r="P181" s="712"/>
      <c r="Q181" s="619"/>
      <c r="R181" s="762"/>
      <c r="S181" s="762"/>
      <c r="T181" s="619"/>
      <c r="U181" s="762"/>
      <c r="V181" s="762"/>
      <c r="W181" s="619"/>
      <c r="X181" s="2893"/>
      <c r="Y181" s="2893"/>
      <c r="Z181" s="2893"/>
      <c r="AA181" s="2893"/>
      <c r="AB181" s="2893"/>
      <c r="AC181" s="2893"/>
      <c r="AD181" s="2893"/>
      <c r="AE181" s="2893"/>
      <c r="AF181" s="2893"/>
      <c r="AG181" s="2893"/>
    </row>
    <row r="182" spans="1:33" ht="34.5" customHeight="1">
      <c r="A182" s="252"/>
      <c r="B182" s="2903" t="s">
        <v>1552</v>
      </c>
      <c r="C182" s="2903"/>
      <c r="D182" s="2903"/>
      <c r="E182" s="2903"/>
      <c r="F182" s="6"/>
      <c r="G182" s="65"/>
      <c r="H182" s="796"/>
      <c r="I182" s="710"/>
      <c r="J182" s="711"/>
      <c r="K182" s="619"/>
      <c r="L182" s="710"/>
      <c r="M182" s="711"/>
      <c r="N182" s="619"/>
      <c r="O182" s="710"/>
      <c r="P182" s="712"/>
      <c r="Q182" s="619"/>
      <c r="R182" s="762"/>
      <c r="S182" s="762"/>
      <c r="T182" s="619"/>
      <c r="U182" s="762"/>
      <c r="V182" s="762"/>
      <c r="W182" s="619"/>
      <c r="X182" s="2893"/>
      <c r="Y182" s="2893"/>
      <c r="Z182" s="2893"/>
      <c r="AA182" s="2893"/>
      <c r="AB182" s="2893"/>
      <c r="AC182" s="2893"/>
      <c r="AD182" s="2893"/>
      <c r="AE182" s="2893"/>
      <c r="AF182" s="2893"/>
      <c r="AG182" s="2893"/>
    </row>
    <row r="183" spans="1:33" ht="33" customHeight="1">
      <c r="A183" s="252"/>
      <c r="B183" s="2903" t="s">
        <v>331</v>
      </c>
      <c r="C183" s="2903"/>
      <c r="D183" s="2903"/>
      <c r="E183" s="2903"/>
      <c r="F183" s="6"/>
      <c r="G183" s="65"/>
      <c r="H183" s="480"/>
      <c r="I183" s="710"/>
      <c r="J183" s="711"/>
      <c r="K183" s="526"/>
      <c r="L183" s="710"/>
      <c r="M183" s="711"/>
      <c r="N183" s="526"/>
      <c r="O183" s="710"/>
      <c r="P183" s="712"/>
      <c r="Q183" s="526"/>
      <c r="R183" s="762"/>
      <c r="S183" s="762"/>
      <c r="T183" s="526"/>
      <c r="U183" s="762"/>
      <c r="V183" s="762"/>
      <c r="W183" s="526"/>
      <c r="X183" s="2893"/>
      <c r="Y183" s="2893"/>
      <c r="Z183" s="2893"/>
      <c r="AA183" s="2893"/>
      <c r="AB183" s="2893"/>
      <c r="AC183" s="2893"/>
      <c r="AD183" s="2893"/>
      <c r="AE183" s="2893"/>
      <c r="AF183" s="2893"/>
      <c r="AG183" s="2893"/>
    </row>
    <row r="184" spans="1:33" ht="15.75" customHeight="1">
      <c r="A184" s="252"/>
      <c r="B184" s="2904" t="s">
        <v>332</v>
      </c>
      <c r="C184" s="2904"/>
      <c r="D184" s="2904"/>
      <c r="E184" s="2904"/>
      <c r="F184" s="6"/>
      <c r="G184" s="65"/>
      <c r="H184" s="480"/>
      <c r="I184" s="748"/>
      <c r="J184" s="711">
        <v>2</v>
      </c>
      <c r="K184" s="526"/>
      <c r="L184" s="748"/>
      <c r="M184" s="711">
        <v>2</v>
      </c>
      <c r="N184" s="526"/>
      <c r="O184" s="710"/>
      <c r="P184" s="582"/>
      <c r="Q184" s="526"/>
      <c r="R184" s="762"/>
      <c r="S184" s="762"/>
      <c r="T184" s="526"/>
      <c r="U184" s="762"/>
      <c r="V184" s="762"/>
      <c r="W184" s="526"/>
      <c r="X184" s="2893"/>
      <c r="Y184" s="2893"/>
      <c r="Z184" s="2893"/>
      <c r="AA184" s="2893"/>
      <c r="AB184" s="2893"/>
      <c r="AC184" s="2893"/>
      <c r="AD184" s="2893"/>
      <c r="AE184" s="2893"/>
      <c r="AF184" s="2893"/>
      <c r="AG184" s="2893"/>
    </row>
    <row r="185" spans="1:33" ht="15.75" customHeight="1">
      <c r="A185" s="252"/>
      <c r="B185" s="2903" t="s">
        <v>333</v>
      </c>
      <c r="C185" s="2903"/>
      <c r="D185" s="2903"/>
      <c r="E185" s="2903"/>
      <c r="F185" s="6"/>
      <c r="G185" s="65"/>
      <c r="H185" s="480"/>
      <c r="I185" s="710"/>
      <c r="J185" s="711"/>
      <c r="K185" s="526"/>
      <c r="L185" s="710"/>
      <c r="M185" s="711"/>
      <c r="N185" s="526"/>
      <c r="O185" s="710"/>
      <c r="P185" s="712"/>
      <c r="Q185" s="526"/>
      <c r="R185" s="762"/>
      <c r="S185" s="762"/>
      <c r="T185" s="526"/>
      <c r="U185" s="762"/>
      <c r="V185" s="762"/>
      <c r="W185" s="526"/>
      <c r="X185" s="2893"/>
      <c r="Y185" s="2893"/>
      <c r="Z185" s="2893"/>
      <c r="AA185" s="2893"/>
      <c r="AB185" s="2893"/>
      <c r="AC185" s="2893"/>
      <c r="AD185" s="2893"/>
      <c r="AE185" s="2893"/>
      <c r="AF185" s="2893"/>
      <c r="AG185" s="2893"/>
    </row>
    <row r="186" spans="1:33" ht="15.75" customHeight="1">
      <c r="A186" s="252"/>
      <c r="B186" s="2903" t="s">
        <v>334</v>
      </c>
      <c r="C186" s="2903"/>
      <c r="D186" s="2903"/>
      <c r="E186" s="2903"/>
      <c r="F186" s="6"/>
      <c r="G186" s="65"/>
      <c r="H186" s="480"/>
      <c r="I186" s="710"/>
      <c r="J186" s="711"/>
      <c r="K186" s="526"/>
      <c r="L186" s="710"/>
      <c r="M186" s="711"/>
      <c r="N186" s="526"/>
      <c r="O186" s="710"/>
      <c r="P186" s="712"/>
      <c r="Q186" s="526"/>
      <c r="R186" s="762"/>
      <c r="S186" s="762"/>
      <c r="T186" s="526"/>
      <c r="U186" s="762"/>
      <c r="V186" s="762"/>
      <c r="W186" s="526"/>
      <c r="X186" s="2893"/>
      <c r="Y186" s="2893"/>
      <c r="Z186" s="2893"/>
      <c r="AA186" s="2893"/>
      <c r="AB186" s="2893"/>
      <c r="AC186" s="2893"/>
      <c r="AD186" s="2893"/>
      <c r="AE186" s="2893"/>
      <c r="AF186" s="2893"/>
      <c r="AG186" s="2893"/>
    </row>
    <row r="187" spans="1:33" ht="15.75" customHeight="1">
      <c r="A187" s="252"/>
      <c r="B187" s="2904" t="s">
        <v>335</v>
      </c>
      <c r="C187" s="2904"/>
      <c r="D187" s="2904"/>
      <c r="E187" s="2904"/>
      <c r="F187" s="6"/>
      <c r="G187" s="65"/>
      <c r="H187" s="480"/>
      <c r="I187" s="710"/>
      <c r="J187" s="711"/>
      <c r="K187" s="526"/>
      <c r="L187" s="710"/>
      <c r="M187" s="711"/>
      <c r="N187" s="526"/>
      <c r="O187" s="710"/>
      <c r="P187" s="712"/>
      <c r="Q187" s="526"/>
      <c r="R187" s="762"/>
      <c r="S187" s="762"/>
      <c r="T187" s="526"/>
      <c r="U187" s="762"/>
      <c r="V187" s="762"/>
      <c r="W187" s="526"/>
      <c r="X187" s="2893"/>
      <c r="Y187" s="2893"/>
      <c r="Z187" s="2893"/>
      <c r="AA187" s="2893"/>
      <c r="AB187" s="2893"/>
      <c r="AC187" s="2893"/>
      <c r="AD187" s="2893"/>
      <c r="AE187" s="2893"/>
      <c r="AF187" s="2893"/>
      <c r="AG187" s="2893"/>
    </row>
    <row r="188" spans="1:33" ht="15.75" customHeight="1">
      <c r="A188" s="252"/>
      <c r="B188" s="2903" t="s">
        <v>336</v>
      </c>
      <c r="C188" s="2903"/>
      <c r="D188" s="2903"/>
      <c r="E188" s="2903"/>
      <c r="F188" s="6"/>
      <c r="G188" s="65"/>
      <c r="H188" s="480"/>
      <c r="I188" s="710"/>
      <c r="J188" s="711"/>
      <c r="K188" s="526"/>
      <c r="L188" s="710"/>
      <c r="M188" s="711"/>
      <c r="N188" s="526"/>
      <c r="O188" s="710"/>
      <c r="P188" s="712"/>
      <c r="Q188" s="526"/>
      <c r="R188" s="762"/>
      <c r="S188" s="762"/>
      <c r="T188" s="526"/>
      <c r="U188" s="762"/>
      <c r="V188" s="762"/>
      <c r="W188" s="526"/>
      <c r="X188" s="2893"/>
      <c r="Y188" s="2893"/>
      <c r="Z188" s="2893"/>
      <c r="AA188" s="2893"/>
      <c r="AB188" s="2893"/>
      <c r="AC188" s="2893"/>
      <c r="AD188" s="2893"/>
      <c r="AE188" s="2893"/>
      <c r="AF188" s="2893"/>
      <c r="AG188" s="2893"/>
    </row>
    <row r="189" spans="1:33" ht="33" customHeight="1">
      <c r="A189" s="252"/>
      <c r="B189" s="2903" t="s">
        <v>337</v>
      </c>
      <c r="C189" s="2903"/>
      <c r="D189" s="2903"/>
      <c r="E189" s="2903"/>
      <c r="F189" s="6"/>
      <c r="G189" s="65"/>
      <c r="H189" s="480"/>
      <c r="I189" s="710"/>
      <c r="J189" s="711"/>
      <c r="K189" s="526"/>
      <c r="L189" s="710"/>
      <c r="M189" s="711"/>
      <c r="N189" s="526"/>
      <c r="O189" s="710"/>
      <c r="P189" s="712"/>
      <c r="Q189" s="526"/>
      <c r="R189" s="762"/>
      <c r="S189" s="762"/>
      <c r="T189" s="526"/>
      <c r="U189" s="762"/>
      <c r="V189" s="762"/>
      <c r="W189" s="526"/>
      <c r="X189" s="2893"/>
      <c r="Y189" s="2893"/>
      <c r="Z189" s="2893"/>
      <c r="AA189" s="2893"/>
      <c r="AB189" s="2893"/>
      <c r="AC189" s="2893"/>
      <c r="AD189" s="2893"/>
      <c r="AE189" s="2893"/>
      <c r="AF189" s="2893"/>
      <c r="AG189" s="2893"/>
    </row>
    <row r="190" spans="1:33" ht="33" customHeight="1">
      <c r="A190" s="252"/>
      <c r="B190" s="2903" t="s">
        <v>338</v>
      </c>
      <c r="C190" s="2903"/>
      <c r="D190" s="2903"/>
      <c r="E190" s="2903"/>
      <c r="F190" s="6"/>
      <c r="G190" s="65"/>
      <c r="H190" s="480"/>
      <c r="I190" s="710"/>
      <c r="J190" s="711"/>
      <c r="K190" s="526"/>
      <c r="L190" s="710"/>
      <c r="M190" s="711"/>
      <c r="N190" s="526"/>
      <c r="O190" s="710"/>
      <c r="P190" s="712"/>
      <c r="Q190" s="526"/>
      <c r="R190" s="762"/>
      <c r="S190" s="762"/>
      <c r="T190" s="526"/>
      <c r="U190" s="762"/>
      <c r="V190" s="762"/>
      <c r="W190" s="526"/>
      <c r="X190" s="2893"/>
      <c r="Y190" s="2893"/>
      <c r="Z190" s="2893"/>
      <c r="AA190" s="2893"/>
      <c r="AB190" s="2893"/>
      <c r="AC190" s="2893"/>
      <c r="AD190" s="2893"/>
      <c r="AE190" s="2893"/>
      <c r="AF190" s="2893"/>
      <c r="AG190" s="2893"/>
    </row>
    <row r="191" spans="1:33" ht="15.75" customHeight="1">
      <c r="A191" s="252"/>
      <c r="B191" s="2903" t="s">
        <v>648</v>
      </c>
      <c r="C191" s="2903"/>
      <c r="D191" s="2903"/>
      <c r="E191" s="2903"/>
      <c r="F191" s="6"/>
      <c r="G191" s="65"/>
      <c r="H191" s="480"/>
      <c r="I191" s="710"/>
      <c r="J191" s="711"/>
      <c r="K191" s="526"/>
      <c r="L191" s="710"/>
      <c r="M191" s="711"/>
      <c r="N191" s="526"/>
      <c r="O191" s="710"/>
      <c r="P191" s="712"/>
      <c r="Q191" s="526"/>
      <c r="R191" s="762"/>
      <c r="S191" s="762"/>
      <c r="T191" s="526"/>
      <c r="U191" s="762"/>
      <c r="V191" s="762"/>
      <c r="W191" s="526"/>
      <c r="X191" s="2893"/>
      <c r="Y191" s="2893"/>
      <c r="Z191" s="2893"/>
      <c r="AA191" s="2893"/>
      <c r="AB191" s="2893"/>
      <c r="AC191" s="2893"/>
      <c r="AD191" s="2893"/>
      <c r="AE191" s="2893"/>
      <c r="AF191" s="2893"/>
      <c r="AG191" s="2893"/>
    </row>
    <row r="192" spans="1:33" ht="15.75" customHeight="1">
      <c r="A192" s="252"/>
      <c r="B192" s="2903" t="s">
        <v>649</v>
      </c>
      <c r="C192" s="2903"/>
      <c r="D192" s="2903"/>
      <c r="E192" s="2903"/>
      <c r="F192" s="6"/>
      <c r="G192" s="65"/>
      <c r="H192" s="797"/>
      <c r="I192" s="710"/>
      <c r="J192" s="711"/>
      <c r="K192" s="562"/>
      <c r="L192" s="710"/>
      <c r="M192" s="711"/>
      <c r="N192" s="562"/>
      <c r="O192" s="710"/>
      <c r="P192" s="712"/>
      <c r="Q192" s="562"/>
      <c r="R192" s="762"/>
      <c r="S192" s="762"/>
      <c r="T192" s="562"/>
      <c r="U192" s="762"/>
      <c r="V192" s="762"/>
      <c r="W192" s="562"/>
      <c r="X192" s="2893"/>
      <c r="Y192" s="2893"/>
      <c r="Z192" s="2893"/>
      <c r="AA192" s="2893"/>
      <c r="AB192" s="2893"/>
      <c r="AC192" s="2893"/>
      <c r="AD192" s="2893"/>
      <c r="AE192" s="2893"/>
      <c r="AF192" s="2893"/>
      <c r="AG192" s="2893"/>
    </row>
    <row r="193" spans="1:33" ht="15.75" customHeight="1">
      <c r="A193" s="237"/>
      <c r="B193" s="2903" t="s">
        <v>415</v>
      </c>
      <c r="C193" s="2903"/>
      <c r="D193" s="2903"/>
      <c r="E193" s="2903"/>
      <c r="F193" s="6"/>
      <c r="G193" s="65"/>
      <c r="H193" s="800"/>
      <c r="I193" s="741"/>
      <c r="J193" s="742"/>
      <c r="K193" s="766"/>
      <c r="L193" s="741"/>
      <c r="M193" s="742"/>
      <c r="N193" s="766"/>
      <c r="O193" s="741"/>
      <c r="P193" s="767"/>
      <c r="Q193" s="766"/>
      <c r="R193" s="768"/>
      <c r="S193" s="768"/>
      <c r="T193" s="766"/>
      <c r="U193" s="768"/>
      <c r="V193" s="768"/>
      <c r="W193" s="766"/>
      <c r="X193" s="2893"/>
      <c r="Y193" s="2893"/>
      <c r="Z193" s="2893"/>
      <c r="AA193" s="2893"/>
      <c r="AB193" s="2893"/>
      <c r="AC193" s="2893"/>
      <c r="AD193" s="2893"/>
      <c r="AE193" s="2893"/>
      <c r="AF193" s="2893"/>
      <c r="AG193" s="2893"/>
    </row>
    <row r="194" spans="1:33"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906"/>
      <c r="Y194" s="2906"/>
      <c r="Z194" s="2906"/>
      <c r="AA194" s="2906"/>
      <c r="AB194" s="2906"/>
      <c r="AC194" s="2906"/>
      <c r="AD194" s="2906"/>
      <c r="AE194" s="2906"/>
      <c r="AF194" s="2906"/>
      <c r="AG194" s="2906"/>
    </row>
    <row r="195" spans="1:33" ht="22.5" customHeight="1">
      <c r="A195" s="2907" t="s">
        <v>636</v>
      </c>
      <c r="B195" s="2907"/>
      <c r="C195" s="2907"/>
      <c r="D195" s="2907"/>
      <c r="E195" s="2907"/>
      <c r="F195" s="2907"/>
      <c r="G195" s="2907"/>
      <c r="H195" s="693"/>
      <c r="I195" s="597"/>
      <c r="J195" s="594"/>
      <c r="K195" s="693"/>
      <c r="L195" s="2908"/>
      <c r="M195" s="2908"/>
      <c r="N195" s="669"/>
      <c r="O195" s="594"/>
      <c r="P195" s="670"/>
      <c r="Q195" s="671"/>
      <c r="R195" s="682"/>
      <c r="S195" s="682"/>
      <c r="T195" s="682"/>
      <c r="U195" s="682"/>
      <c r="V195" s="682"/>
      <c r="W195" s="682"/>
      <c r="X195" s="2909"/>
      <c r="Y195" s="2909"/>
      <c r="Z195" s="2909"/>
      <c r="AA195" s="2909"/>
      <c r="AB195" s="2909"/>
      <c r="AC195" s="2909"/>
      <c r="AD195" s="2909"/>
      <c r="AE195" s="2909"/>
      <c r="AF195" s="2909"/>
      <c r="AG195" s="2909"/>
    </row>
    <row r="196" spans="1:33"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910"/>
      <c r="Y196" s="2910"/>
      <c r="Z196" s="2910"/>
      <c r="AA196" s="2910"/>
      <c r="AB196" s="2910"/>
      <c r="AC196" s="2910"/>
      <c r="AD196" s="2910"/>
      <c r="AE196" s="2910"/>
      <c r="AF196" s="2910"/>
      <c r="AG196" s="2910"/>
    </row>
    <row r="197" spans="1:33" ht="14.9" customHeight="1">
      <c r="A197" s="252"/>
      <c r="B197" s="2903" t="s">
        <v>242</v>
      </c>
      <c r="C197" s="2903"/>
      <c r="D197" s="2903"/>
      <c r="E197" s="2903"/>
      <c r="F197" s="6"/>
      <c r="G197" s="65"/>
      <c r="H197" s="801"/>
      <c r="I197" s="710"/>
      <c r="J197" s="711"/>
      <c r="K197" s="588"/>
      <c r="L197" s="710"/>
      <c r="M197" s="711"/>
      <c r="N197" s="588"/>
      <c r="O197" s="710"/>
      <c r="P197" s="712"/>
      <c r="Q197" s="588"/>
      <c r="R197" s="762"/>
      <c r="S197" s="762"/>
      <c r="T197" s="588"/>
      <c r="U197" s="762"/>
      <c r="V197" s="762"/>
      <c r="W197" s="588"/>
      <c r="X197" s="2893"/>
      <c r="Y197" s="2893"/>
      <c r="Z197" s="2893"/>
      <c r="AA197" s="2893"/>
      <c r="AB197" s="2893"/>
      <c r="AC197" s="2893"/>
      <c r="AD197" s="2893"/>
      <c r="AE197" s="2893"/>
      <c r="AF197" s="2893"/>
      <c r="AG197" s="2893"/>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911"/>
      <c r="Y198" s="2911"/>
      <c r="Z198" s="2911"/>
      <c r="AA198" s="2911"/>
      <c r="AB198" s="2911"/>
      <c r="AC198" s="2911"/>
      <c r="AD198" s="2911"/>
      <c r="AE198" s="2911"/>
      <c r="AF198" s="2911"/>
      <c r="AG198" s="2911"/>
    </row>
    <row r="199" spans="1:33" ht="18.649999999999999" customHeight="1">
      <c r="A199" s="252"/>
      <c r="B199" s="2903" t="s">
        <v>625</v>
      </c>
      <c r="C199" s="2903"/>
      <c r="D199" s="2903"/>
      <c r="E199" s="2903"/>
      <c r="F199" s="6"/>
      <c r="G199" s="65"/>
      <c r="H199" s="799"/>
      <c r="I199" s="710"/>
      <c r="J199" s="711"/>
      <c r="K199" s="628"/>
      <c r="L199" s="710"/>
      <c r="M199" s="711"/>
      <c r="N199" s="628"/>
      <c r="O199" s="710"/>
      <c r="P199" s="712"/>
      <c r="Q199" s="628"/>
      <c r="R199" s="762"/>
      <c r="S199" s="762"/>
      <c r="T199" s="628"/>
      <c r="U199" s="762"/>
      <c r="V199" s="762"/>
      <c r="W199" s="628"/>
      <c r="X199" s="2893"/>
      <c r="Y199" s="2893"/>
      <c r="Z199" s="2893"/>
      <c r="AA199" s="2893"/>
      <c r="AB199" s="2893"/>
      <c r="AC199" s="2893"/>
      <c r="AD199" s="2893"/>
      <c r="AE199" s="2893"/>
      <c r="AF199" s="2893"/>
      <c r="AG199" s="2893"/>
    </row>
    <row r="200" spans="1:33" ht="18.649999999999999" customHeight="1">
      <c r="A200" s="252"/>
      <c r="B200" s="2903" t="s">
        <v>626</v>
      </c>
      <c r="C200" s="2903"/>
      <c r="D200" s="2903"/>
      <c r="E200" s="2903"/>
      <c r="F200" s="6"/>
      <c r="G200" s="65"/>
      <c r="H200" s="480"/>
      <c r="I200" s="710"/>
      <c r="J200" s="711"/>
      <c r="K200" s="526"/>
      <c r="L200" s="710"/>
      <c r="M200" s="711"/>
      <c r="N200" s="526"/>
      <c r="O200" s="710"/>
      <c r="P200" s="712"/>
      <c r="Q200" s="526"/>
      <c r="R200" s="762"/>
      <c r="S200" s="762"/>
      <c r="T200" s="526"/>
      <c r="U200" s="762"/>
      <c r="V200" s="762"/>
      <c r="W200" s="526"/>
      <c r="X200" s="2893"/>
      <c r="Y200" s="2893"/>
      <c r="Z200" s="2893"/>
      <c r="AA200" s="2893"/>
      <c r="AB200" s="2893"/>
      <c r="AC200" s="2893"/>
      <c r="AD200" s="2893"/>
      <c r="AE200" s="2893"/>
      <c r="AF200" s="2893"/>
      <c r="AG200" s="2893"/>
    </row>
    <row r="201" spans="1:33" ht="28.5" customHeight="1">
      <c r="A201" s="252"/>
      <c r="B201" s="2903" t="s">
        <v>627</v>
      </c>
      <c r="C201" s="2903"/>
      <c r="D201" s="2903"/>
      <c r="E201" s="2903"/>
      <c r="F201" s="6"/>
      <c r="G201" s="65"/>
      <c r="H201" s="794"/>
      <c r="I201" s="710"/>
      <c r="J201" s="711"/>
      <c r="K201" s="561"/>
      <c r="L201" s="710"/>
      <c r="M201" s="711"/>
      <c r="N201" s="561"/>
      <c r="O201" s="710"/>
      <c r="P201" s="712"/>
      <c r="Q201" s="561"/>
      <c r="R201" s="762"/>
      <c r="S201" s="762"/>
      <c r="T201" s="561"/>
      <c r="U201" s="762"/>
      <c r="V201" s="762"/>
      <c r="W201" s="561"/>
      <c r="X201" s="2893"/>
      <c r="Y201" s="2893"/>
      <c r="Z201" s="2893"/>
      <c r="AA201" s="2893"/>
      <c r="AB201" s="2893"/>
      <c r="AC201" s="2893"/>
      <c r="AD201" s="2893"/>
      <c r="AE201" s="2893"/>
      <c r="AF201" s="2893"/>
      <c r="AG201" s="2893"/>
    </row>
    <row r="202" spans="1:33" ht="28.5" customHeight="1">
      <c r="A202" s="252"/>
      <c r="B202" s="2904" t="s">
        <v>628</v>
      </c>
      <c r="C202" s="2904"/>
      <c r="D202" s="2904"/>
      <c r="E202" s="2904"/>
      <c r="F202" s="6"/>
      <c r="G202" s="65"/>
      <c r="H202" s="480"/>
      <c r="I202" s="710"/>
      <c r="J202" s="711"/>
      <c r="K202" s="526"/>
      <c r="L202" s="710"/>
      <c r="M202" s="711"/>
      <c r="N202" s="526"/>
      <c r="O202" s="710"/>
      <c r="P202" s="712"/>
      <c r="Q202" s="526"/>
      <c r="R202" s="762"/>
      <c r="S202" s="762"/>
      <c r="T202" s="526"/>
      <c r="U202" s="762"/>
      <c r="V202" s="762"/>
      <c r="W202" s="526"/>
      <c r="X202" s="2893"/>
      <c r="Y202" s="2893"/>
      <c r="Z202" s="2893"/>
      <c r="AA202" s="2893"/>
      <c r="AB202" s="2893"/>
      <c r="AC202" s="2893"/>
      <c r="AD202" s="2893"/>
      <c r="AE202" s="2893"/>
      <c r="AF202" s="2893"/>
      <c r="AG202" s="2893"/>
    </row>
    <row r="203" spans="1:33" ht="32.9" customHeight="1">
      <c r="A203" s="252"/>
      <c r="B203" s="2904" t="s">
        <v>629</v>
      </c>
      <c r="C203" s="2904"/>
      <c r="D203" s="2904"/>
      <c r="E203" s="2904"/>
      <c r="F203" s="6"/>
      <c r="G203" s="65"/>
      <c r="H203" s="795"/>
      <c r="I203" s="710"/>
      <c r="J203" s="711"/>
      <c r="K203" s="568"/>
      <c r="L203" s="710"/>
      <c r="M203" s="711"/>
      <c r="N203" s="568"/>
      <c r="O203" s="710"/>
      <c r="P203" s="712"/>
      <c r="Q203" s="568"/>
      <c r="R203" s="762"/>
      <c r="S203" s="762"/>
      <c r="T203" s="568"/>
      <c r="U203" s="762"/>
      <c r="V203" s="762"/>
      <c r="W203" s="568"/>
      <c r="X203" s="2893"/>
      <c r="Y203" s="2893"/>
      <c r="Z203" s="2893"/>
      <c r="AA203" s="2893"/>
      <c r="AB203" s="2893"/>
      <c r="AC203" s="2893"/>
      <c r="AD203" s="2893"/>
      <c r="AE203" s="2893"/>
      <c r="AF203" s="2893"/>
      <c r="AG203" s="2893"/>
    </row>
    <row r="204" spans="1:33" ht="18.649999999999999" customHeight="1">
      <c r="A204" s="252"/>
      <c r="B204" s="2903" t="s">
        <v>630</v>
      </c>
      <c r="C204" s="2903"/>
      <c r="D204" s="2903"/>
      <c r="E204" s="2903"/>
      <c r="F204" s="6"/>
      <c r="G204" s="65"/>
      <c r="H204" s="480"/>
      <c r="I204" s="710"/>
      <c r="J204" s="711"/>
      <c r="K204" s="526"/>
      <c r="L204" s="710"/>
      <c r="M204" s="711"/>
      <c r="N204" s="526"/>
      <c r="O204" s="710"/>
      <c r="P204" s="712"/>
      <c r="Q204" s="526"/>
      <c r="R204" s="762"/>
      <c r="S204" s="762"/>
      <c r="T204" s="526"/>
      <c r="U204" s="762"/>
      <c r="V204" s="762"/>
      <c r="W204" s="526"/>
      <c r="X204" s="2893"/>
      <c r="Y204" s="2893"/>
      <c r="Z204" s="2893"/>
      <c r="AA204" s="2893"/>
      <c r="AB204" s="2893"/>
      <c r="AC204" s="2893"/>
      <c r="AD204" s="2893"/>
      <c r="AE204" s="2893"/>
      <c r="AF204" s="2893"/>
      <c r="AG204" s="2893"/>
    </row>
    <row r="205" spans="1:33" ht="18.649999999999999" customHeight="1">
      <c r="A205" s="252"/>
      <c r="B205" s="2904" t="s">
        <v>634</v>
      </c>
      <c r="C205" s="2904"/>
      <c r="D205" s="2904"/>
      <c r="E205" s="2904"/>
      <c r="F205" s="6"/>
      <c r="G205" s="65"/>
      <c r="H205" s="481"/>
      <c r="I205" s="710"/>
      <c r="J205" s="711"/>
      <c r="K205" s="553"/>
      <c r="L205" s="710"/>
      <c r="M205" s="711"/>
      <c r="N205" s="553"/>
      <c r="O205" s="710"/>
      <c r="P205" s="712"/>
      <c r="Q205" s="553"/>
      <c r="R205" s="762"/>
      <c r="S205" s="762"/>
      <c r="T205" s="553"/>
      <c r="U205" s="762"/>
      <c r="V205" s="762"/>
      <c r="W205" s="553"/>
      <c r="X205" s="2893"/>
      <c r="Y205" s="2893"/>
      <c r="Z205" s="2893"/>
      <c r="AA205" s="2893"/>
      <c r="AB205" s="2893"/>
      <c r="AC205" s="2893"/>
      <c r="AD205" s="2893"/>
      <c r="AE205" s="2893"/>
      <c r="AF205" s="2893"/>
      <c r="AG205" s="2893"/>
    </row>
    <row r="206" spans="1:33" ht="36.75" customHeight="1">
      <c r="A206" s="252"/>
      <c r="B206" s="2903" t="s">
        <v>1551</v>
      </c>
      <c r="C206" s="2903"/>
      <c r="D206" s="2903"/>
      <c r="E206" s="2903"/>
      <c r="F206" s="6"/>
      <c r="G206" s="65"/>
      <c r="H206" s="796"/>
      <c r="I206" s="710"/>
      <c r="J206" s="711"/>
      <c r="K206" s="619"/>
      <c r="L206" s="710"/>
      <c r="M206" s="711"/>
      <c r="N206" s="619"/>
      <c r="O206" s="710"/>
      <c r="P206" s="712"/>
      <c r="Q206" s="619"/>
      <c r="R206" s="762"/>
      <c r="S206" s="762"/>
      <c r="T206" s="619"/>
      <c r="U206" s="762"/>
      <c r="V206" s="762"/>
      <c r="W206" s="619"/>
      <c r="X206" s="2893"/>
      <c r="Y206" s="2893"/>
      <c r="Z206" s="2893"/>
      <c r="AA206" s="2893"/>
      <c r="AB206" s="2893"/>
      <c r="AC206" s="2893"/>
      <c r="AD206" s="2893"/>
      <c r="AE206" s="2893"/>
      <c r="AF206" s="2893"/>
      <c r="AG206" s="2893"/>
    </row>
    <row r="207" spans="1:33" ht="36.75" customHeight="1">
      <c r="A207" s="252"/>
      <c r="B207" s="2903" t="s">
        <v>1552</v>
      </c>
      <c r="C207" s="2903"/>
      <c r="D207" s="2903"/>
      <c r="E207" s="2903"/>
      <c r="F207" s="6"/>
      <c r="G207" s="65"/>
      <c r="H207" s="796"/>
      <c r="I207" s="710"/>
      <c r="J207" s="711"/>
      <c r="K207" s="619"/>
      <c r="L207" s="710"/>
      <c r="M207" s="711"/>
      <c r="N207" s="619"/>
      <c r="O207" s="710"/>
      <c r="P207" s="712"/>
      <c r="Q207" s="619"/>
      <c r="R207" s="762"/>
      <c r="S207" s="762"/>
      <c r="T207" s="619"/>
      <c r="U207" s="762"/>
      <c r="V207" s="762"/>
      <c r="W207" s="619"/>
      <c r="X207" s="2893"/>
      <c r="Y207" s="2893"/>
      <c r="Z207" s="2893"/>
      <c r="AA207" s="2893"/>
      <c r="AB207" s="2893"/>
      <c r="AC207" s="2893"/>
      <c r="AD207" s="2893"/>
      <c r="AE207" s="2893"/>
      <c r="AF207" s="2893"/>
      <c r="AG207" s="2893"/>
    </row>
    <row r="208" spans="1:33" ht="32.9" customHeight="1">
      <c r="A208" s="252"/>
      <c r="B208" s="2903" t="s">
        <v>331</v>
      </c>
      <c r="C208" s="2903"/>
      <c r="D208" s="2903"/>
      <c r="E208" s="2903"/>
      <c r="F208" s="6"/>
      <c r="G208" s="65"/>
      <c r="H208" s="480"/>
      <c r="I208" s="710"/>
      <c r="J208" s="711"/>
      <c r="K208" s="526"/>
      <c r="L208" s="710"/>
      <c r="M208" s="711"/>
      <c r="N208" s="526"/>
      <c r="O208" s="710"/>
      <c r="P208" s="712"/>
      <c r="Q208" s="526"/>
      <c r="R208" s="762"/>
      <c r="S208" s="762"/>
      <c r="T208" s="526"/>
      <c r="U208" s="762"/>
      <c r="V208" s="762"/>
      <c r="W208" s="526"/>
      <c r="X208" s="2893"/>
      <c r="Y208" s="2893"/>
      <c r="Z208" s="2893"/>
      <c r="AA208" s="2893"/>
      <c r="AB208" s="2893"/>
      <c r="AC208" s="2893"/>
      <c r="AD208" s="2893"/>
      <c r="AE208" s="2893"/>
      <c r="AF208" s="2893"/>
      <c r="AG208" s="2893"/>
    </row>
    <row r="209" spans="1:33" ht="14.9" customHeight="1">
      <c r="A209" s="252"/>
      <c r="B209" s="2904" t="s">
        <v>332</v>
      </c>
      <c r="C209" s="2904"/>
      <c r="D209" s="2904"/>
      <c r="E209" s="2904"/>
      <c r="F209" s="6"/>
      <c r="G209" s="63"/>
      <c r="H209" s="480"/>
      <c r="I209" s="710"/>
      <c r="J209" s="582"/>
      <c r="K209" s="526"/>
      <c r="L209" s="710"/>
      <c r="M209" s="582"/>
      <c r="N209" s="526"/>
      <c r="O209" s="710"/>
      <c r="P209" s="582"/>
      <c r="Q209" s="526"/>
      <c r="R209" s="762"/>
      <c r="S209" s="762"/>
      <c r="T209" s="526"/>
      <c r="U209" s="762"/>
      <c r="V209" s="762"/>
      <c r="W209" s="526"/>
      <c r="X209" s="2893"/>
      <c r="Y209" s="2893"/>
      <c r="Z209" s="2893"/>
      <c r="AA209" s="2893"/>
      <c r="AB209" s="2893"/>
      <c r="AC209" s="2893"/>
      <c r="AD209" s="2893"/>
      <c r="AE209" s="2893"/>
      <c r="AF209" s="2893"/>
      <c r="AG209" s="2893"/>
    </row>
    <row r="210" spans="1:33" ht="18.649999999999999" customHeight="1">
      <c r="A210" s="252"/>
      <c r="B210" s="2903" t="s">
        <v>333</v>
      </c>
      <c r="C210" s="2903"/>
      <c r="D210" s="2903"/>
      <c r="E210" s="2903"/>
      <c r="F210" s="6"/>
      <c r="G210" s="65"/>
      <c r="H210" s="480"/>
      <c r="I210" s="710"/>
      <c r="J210" s="711"/>
      <c r="K210" s="526"/>
      <c r="L210" s="710"/>
      <c r="M210" s="711"/>
      <c r="N210" s="526"/>
      <c r="O210" s="710"/>
      <c r="P210" s="712"/>
      <c r="Q210" s="526"/>
      <c r="R210" s="762"/>
      <c r="S210" s="762"/>
      <c r="T210" s="526"/>
      <c r="U210" s="762"/>
      <c r="V210" s="762"/>
      <c r="W210" s="526"/>
      <c r="X210" s="2893"/>
      <c r="Y210" s="2893"/>
      <c r="Z210" s="2893"/>
      <c r="AA210" s="2893"/>
      <c r="AB210" s="2893"/>
      <c r="AC210" s="2893"/>
      <c r="AD210" s="2893"/>
      <c r="AE210" s="2893"/>
      <c r="AF210" s="2893"/>
      <c r="AG210" s="2893"/>
    </row>
    <row r="211" spans="1:33" ht="14.9" customHeight="1">
      <c r="A211" s="252"/>
      <c r="B211" s="2903" t="s">
        <v>334</v>
      </c>
      <c r="C211" s="2903"/>
      <c r="D211" s="2903"/>
      <c r="E211" s="2903"/>
      <c r="F211" s="6"/>
      <c r="G211" s="63"/>
      <c r="H211" s="480"/>
      <c r="I211" s="710"/>
      <c r="J211" s="582"/>
      <c r="K211" s="526"/>
      <c r="L211" s="710"/>
      <c r="M211" s="582"/>
      <c r="N211" s="526"/>
      <c r="O211" s="710"/>
      <c r="P211" s="582"/>
      <c r="Q211" s="526"/>
      <c r="R211" s="762"/>
      <c r="S211" s="762"/>
      <c r="T211" s="526"/>
      <c r="U211" s="762"/>
      <c r="V211" s="762"/>
      <c r="W211" s="526"/>
      <c r="X211" s="2893"/>
      <c r="Y211" s="2893"/>
      <c r="Z211" s="2893"/>
      <c r="AA211" s="2893"/>
      <c r="AB211" s="2893"/>
      <c r="AC211" s="2893"/>
      <c r="AD211" s="2893"/>
      <c r="AE211" s="2893"/>
      <c r="AF211" s="2893"/>
      <c r="AG211" s="2893"/>
    </row>
    <row r="212" spans="1:33" ht="14.9" customHeight="1">
      <c r="A212" s="252"/>
      <c r="B212" s="2904" t="s">
        <v>335</v>
      </c>
      <c r="C212" s="2904"/>
      <c r="D212" s="2904"/>
      <c r="E212" s="2904"/>
      <c r="H212" s="480"/>
      <c r="I212" s="713"/>
      <c r="J212" s="713"/>
      <c r="K212" s="526"/>
      <c r="L212" s="713"/>
      <c r="M212" s="713"/>
      <c r="N212" s="526"/>
      <c r="O212" s="713"/>
      <c r="P212" s="713"/>
      <c r="Q212" s="526"/>
      <c r="R212" s="762"/>
      <c r="S212" s="762"/>
      <c r="T212" s="526"/>
      <c r="U212" s="762"/>
      <c r="V212" s="762"/>
      <c r="W212" s="526"/>
      <c r="X212" s="2893"/>
      <c r="Y212" s="2893"/>
      <c r="Z212" s="2893"/>
      <c r="AA212" s="2893"/>
      <c r="AB212" s="2893"/>
      <c r="AC212" s="2893"/>
      <c r="AD212" s="2893"/>
      <c r="AE212" s="2893"/>
      <c r="AF212" s="2893"/>
      <c r="AG212" s="2893"/>
    </row>
    <row r="213" spans="1:33" ht="14.9" customHeight="1">
      <c r="A213" s="252"/>
      <c r="B213" s="2903" t="s">
        <v>336</v>
      </c>
      <c r="C213" s="2903"/>
      <c r="D213" s="2903"/>
      <c r="E213" s="2903"/>
      <c r="F213" s="6"/>
      <c r="G213" s="63"/>
      <c r="H213" s="480"/>
      <c r="I213" s="710"/>
      <c r="J213" s="582"/>
      <c r="K213" s="526"/>
      <c r="L213" s="710"/>
      <c r="M213" s="582"/>
      <c r="N213" s="526"/>
      <c r="O213" s="710"/>
      <c r="P213" s="582"/>
      <c r="Q213" s="526"/>
      <c r="R213" s="762"/>
      <c r="S213" s="762"/>
      <c r="T213" s="526"/>
      <c r="U213" s="762"/>
      <c r="V213" s="762"/>
      <c r="W213" s="526"/>
      <c r="X213" s="2893"/>
      <c r="Y213" s="2893"/>
      <c r="Z213" s="2893"/>
      <c r="AA213" s="2893"/>
      <c r="AB213" s="2893"/>
      <c r="AC213" s="2893"/>
      <c r="AD213" s="2893"/>
      <c r="AE213" s="2893"/>
      <c r="AF213" s="2893"/>
      <c r="AG213" s="2893"/>
    </row>
    <row r="214" spans="1:33" ht="32.9" customHeight="1">
      <c r="A214" s="252"/>
      <c r="B214" s="2903" t="s">
        <v>337</v>
      </c>
      <c r="C214" s="2903"/>
      <c r="D214" s="2903"/>
      <c r="E214" s="2903"/>
      <c r="F214" s="6"/>
      <c r="G214" s="63"/>
      <c r="H214" s="480"/>
      <c r="I214" s="710"/>
      <c r="J214" s="582"/>
      <c r="K214" s="526"/>
      <c r="L214" s="710"/>
      <c r="M214" s="582"/>
      <c r="N214" s="526"/>
      <c r="O214" s="710"/>
      <c r="P214" s="582"/>
      <c r="Q214" s="526"/>
      <c r="R214" s="762"/>
      <c r="S214" s="762"/>
      <c r="T214" s="526"/>
      <c r="U214" s="762"/>
      <c r="V214" s="762"/>
      <c r="W214" s="526"/>
      <c r="X214" s="2893"/>
      <c r="Y214" s="2893"/>
      <c r="Z214" s="2893"/>
      <c r="AA214" s="2893"/>
      <c r="AB214" s="2893"/>
      <c r="AC214" s="2893"/>
      <c r="AD214" s="2893"/>
      <c r="AE214" s="2893"/>
      <c r="AF214" s="2893"/>
      <c r="AG214" s="2893"/>
    </row>
    <row r="215" spans="1:33" ht="32.9" customHeight="1">
      <c r="A215" s="252"/>
      <c r="B215" s="2903" t="s">
        <v>338</v>
      </c>
      <c r="C215" s="2903"/>
      <c r="D215" s="2903"/>
      <c r="E215" s="2903"/>
      <c r="F215" s="6"/>
      <c r="G215" s="63"/>
      <c r="H215" s="480"/>
      <c r="I215" s="710"/>
      <c r="J215" s="582"/>
      <c r="K215" s="526"/>
      <c r="L215" s="710"/>
      <c r="M215" s="582"/>
      <c r="N215" s="526"/>
      <c r="O215" s="710"/>
      <c r="P215" s="582"/>
      <c r="Q215" s="526"/>
      <c r="R215" s="762"/>
      <c r="S215" s="762"/>
      <c r="T215" s="526"/>
      <c r="U215" s="762"/>
      <c r="V215" s="762"/>
      <c r="W215" s="526"/>
      <c r="X215" s="2893"/>
      <c r="Y215" s="2893"/>
      <c r="Z215" s="2893"/>
      <c r="AA215" s="2893"/>
      <c r="AB215" s="2893"/>
      <c r="AC215" s="2893"/>
      <c r="AD215" s="2893"/>
      <c r="AE215" s="2893"/>
      <c r="AF215" s="2893"/>
      <c r="AG215" s="2893"/>
    </row>
    <row r="216" spans="1:33" ht="14.9" customHeight="1">
      <c r="A216" s="252"/>
      <c r="B216" s="2903" t="s">
        <v>735</v>
      </c>
      <c r="C216" s="2903"/>
      <c r="D216" s="2903"/>
      <c r="E216" s="2903"/>
      <c r="F216" s="6"/>
      <c r="G216" s="63"/>
      <c r="H216" s="480"/>
      <c r="I216" s="710"/>
      <c r="J216" s="582"/>
      <c r="K216" s="526"/>
      <c r="L216" s="710"/>
      <c r="M216" s="582"/>
      <c r="N216" s="526"/>
      <c r="O216" s="710"/>
      <c r="P216" s="582"/>
      <c r="Q216" s="526"/>
      <c r="R216" s="762"/>
      <c r="S216" s="762"/>
      <c r="T216" s="526"/>
      <c r="U216" s="762"/>
      <c r="V216" s="762"/>
      <c r="W216" s="526"/>
      <c r="X216" s="2893"/>
      <c r="Y216" s="2893"/>
      <c r="Z216" s="2893"/>
      <c r="AA216" s="2893"/>
      <c r="AB216" s="2893"/>
      <c r="AC216" s="2893"/>
      <c r="AD216" s="2893"/>
      <c r="AE216" s="2893"/>
      <c r="AF216" s="2893"/>
      <c r="AG216" s="2893"/>
    </row>
    <row r="217" spans="1:33" ht="15" customHeight="1">
      <c r="A217" s="252"/>
      <c r="B217" s="2903" t="s">
        <v>734</v>
      </c>
      <c r="C217" s="2903"/>
      <c r="D217" s="2903"/>
      <c r="E217" s="2903"/>
      <c r="F217" s="6"/>
      <c r="G217" s="63"/>
      <c r="H217" s="797"/>
      <c r="I217" s="710"/>
      <c r="J217" s="582"/>
      <c r="K217" s="562"/>
      <c r="L217" s="710"/>
      <c r="M217" s="582"/>
      <c r="N217" s="562"/>
      <c r="O217" s="710"/>
      <c r="P217" s="582"/>
      <c r="Q217" s="562"/>
      <c r="R217" s="762"/>
      <c r="S217" s="762"/>
      <c r="T217" s="562"/>
      <c r="U217" s="762"/>
      <c r="V217" s="762"/>
      <c r="W217" s="562"/>
      <c r="X217" s="2893"/>
      <c r="Y217" s="2893"/>
      <c r="Z217" s="2893"/>
      <c r="AA217" s="2893"/>
      <c r="AB217" s="2893"/>
      <c r="AC217" s="2893"/>
      <c r="AD217" s="2893"/>
      <c r="AE217" s="2893"/>
      <c r="AF217" s="2893"/>
      <c r="AG217" s="2893"/>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911"/>
      <c r="Y218" s="2911"/>
      <c r="Z218" s="2911"/>
      <c r="AA218" s="2911"/>
      <c r="AB218" s="2911"/>
      <c r="AC218" s="2911"/>
      <c r="AD218" s="2911"/>
      <c r="AE218" s="2911"/>
      <c r="AF218" s="2911"/>
      <c r="AG218" s="2911"/>
    </row>
    <row r="219" spans="1:33" ht="14.9" customHeight="1">
      <c r="A219" s="252"/>
      <c r="B219" s="2903" t="s">
        <v>625</v>
      </c>
      <c r="C219" s="2903"/>
      <c r="D219" s="2903"/>
      <c r="E219" s="2903"/>
      <c r="F219" s="6"/>
      <c r="G219" s="65"/>
      <c r="H219" s="799"/>
      <c r="I219" s="710"/>
      <c r="J219" s="711"/>
      <c r="K219" s="628"/>
      <c r="L219" s="710"/>
      <c r="M219" s="711"/>
      <c r="N219" s="628"/>
      <c r="O219" s="710"/>
      <c r="P219" s="712"/>
      <c r="Q219" s="628"/>
      <c r="R219" s="762"/>
      <c r="S219" s="762"/>
      <c r="T219" s="628"/>
      <c r="U219" s="762"/>
      <c r="V219" s="762"/>
      <c r="W219" s="628"/>
      <c r="X219" s="2893"/>
      <c r="Y219" s="2893"/>
      <c r="Z219" s="2893"/>
      <c r="AA219" s="2893"/>
      <c r="AB219" s="2893"/>
      <c r="AC219" s="2893"/>
      <c r="AD219" s="2893"/>
      <c r="AE219" s="2893"/>
      <c r="AF219" s="2893"/>
      <c r="AG219" s="2893"/>
    </row>
    <row r="220" spans="1:33" ht="14.9" customHeight="1">
      <c r="A220" s="252"/>
      <c r="B220" s="2903" t="s">
        <v>626</v>
      </c>
      <c r="C220" s="2903"/>
      <c r="D220" s="2903"/>
      <c r="E220" s="2903"/>
      <c r="F220" s="6"/>
      <c r="G220" s="63"/>
      <c r="H220" s="480"/>
      <c r="I220" s="710"/>
      <c r="J220" s="582"/>
      <c r="K220" s="526"/>
      <c r="L220" s="710"/>
      <c r="M220" s="582"/>
      <c r="N220" s="526"/>
      <c r="O220" s="710"/>
      <c r="P220" s="582"/>
      <c r="Q220" s="526"/>
      <c r="R220" s="762"/>
      <c r="S220" s="762"/>
      <c r="T220" s="526"/>
      <c r="U220" s="762"/>
      <c r="V220" s="762"/>
      <c r="W220" s="526"/>
      <c r="X220" s="2893"/>
      <c r="Y220" s="2893"/>
      <c r="Z220" s="2893"/>
      <c r="AA220" s="2893"/>
      <c r="AB220" s="2893"/>
      <c r="AC220" s="2893"/>
      <c r="AD220" s="2893"/>
      <c r="AE220" s="2893"/>
      <c r="AF220" s="2893"/>
      <c r="AG220" s="2893"/>
    </row>
    <row r="221" spans="1:33" ht="14.9" customHeight="1">
      <c r="A221" s="252"/>
      <c r="B221" s="2903" t="s">
        <v>627</v>
      </c>
      <c r="C221" s="2903"/>
      <c r="D221" s="2903"/>
      <c r="E221" s="2903"/>
      <c r="F221" s="6"/>
      <c r="G221" s="63"/>
      <c r="H221" s="794"/>
      <c r="I221" s="710"/>
      <c r="J221" s="582"/>
      <c r="K221" s="561"/>
      <c r="L221" s="710"/>
      <c r="M221" s="582"/>
      <c r="N221" s="561"/>
      <c r="O221" s="710"/>
      <c r="P221" s="582"/>
      <c r="Q221" s="561"/>
      <c r="R221" s="762"/>
      <c r="S221" s="762"/>
      <c r="T221" s="561"/>
      <c r="U221" s="762"/>
      <c r="V221" s="762"/>
      <c r="W221" s="561"/>
      <c r="X221" s="2893"/>
      <c r="Y221" s="2893"/>
      <c r="Z221" s="2893"/>
      <c r="AA221" s="2893"/>
      <c r="AB221" s="2893"/>
      <c r="AC221" s="2893"/>
      <c r="AD221" s="2893"/>
      <c r="AE221" s="2893"/>
      <c r="AF221" s="2893"/>
      <c r="AG221" s="2893"/>
    </row>
    <row r="222" spans="1:33" ht="14.9" customHeight="1">
      <c r="A222" s="252"/>
      <c r="B222" s="2904" t="s">
        <v>628</v>
      </c>
      <c r="C222" s="2904"/>
      <c r="D222" s="2904"/>
      <c r="E222" s="2904"/>
      <c r="F222" s="6"/>
      <c r="G222" s="63"/>
      <c r="H222" s="480"/>
      <c r="I222" s="710"/>
      <c r="J222" s="582"/>
      <c r="K222" s="526"/>
      <c r="L222" s="710"/>
      <c r="M222" s="582"/>
      <c r="N222" s="526"/>
      <c r="O222" s="710"/>
      <c r="P222" s="582"/>
      <c r="Q222" s="526"/>
      <c r="R222" s="762"/>
      <c r="S222" s="762"/>
      <c r="T222" s="526"/>
      <c r="U222" s="762"/>
      <c r="V222" s="762"/>
      <c r="W222" s="526"/>
      <c r="X222" s="2893"/>
      <c r="Y222" s="2893"/>
      <c r="Z222" s="2893"/>
      <c r="AA222" s="2893"/>
      <c r="AB222" s="2893"/>
      <c r="AC222" s="2893"/>
      <c r="AD222" s="2893"/>
      <c r="AE222" s="2893"/>
      <c r="AF222" s="2893"/>
      <c r="AG222" s="2893"/>
    </row>
    <row r="223" spans="1:33" ht="32.9" customHeight="1">
      <c r="A223" s="252"/>
      <c r="B223" s="2904" t="s">
        <v>629</v>
      </c>
      <c r="C223" s="2904"/>
      <c r="D223" s="2904"/>
      <c r="E223" s="2904"/>
      <c r="F223" s="6"/>
      <c r="G223" s="65"/>
      <c r="H223" s="795"/>
      <c r="I223" s="710"/>
      <c r="J223" s="711"/>
      <c r="K223" s="568"/>
      <c r="L223" s="710"/>
      <c r="M223" s="711"/>
      <c r="N223" s="568"/>
      <c r="O223" s="710"/>
      <c r="P223" s="712"/>
      <c r="Q223" s="568"/>
      <c r="R223" s="762"/>
      <c r="S223" s="762"/>
      <c r="T223" s="568"/>
      <c r="U223" s="762"/>
      <c r="V223" s="762"/>
      <c r="W223" s="568"/>
      <c r="X223" s="2893"/>
      <c r="Y223" s="2893"/>
      <c r="Z223" s="2893"/>
      <c r="AA223" s="2893"/>
      <c r="AB223" s="2893"/>
      <c r="AC223" s="2893"/>
      <c r="AD223" s="2893"/>
      <c r="AE223" s="2893"/>
      <c r="AF223" s="2893"/>
      <c r="AG223" s="2893"/>
    </row>
    <row r="224" spans="1:33" ht="14.9" customHeight="1">
      <c r="A224" s="252"/>
      <c r="B224" s="2903" t="s">
        <v>630</v>
      </c>
      <c r="C224" s="2903"/>
      <c r="D224" s="2903"/>
      <c r="E224" s="2903"/>
      <c r="F224" s="6"/>
      <c r="G224" s="65"/>
      <c r="H224" s="480"/>
      <c r="I224" s="710"/>
      <c r="J224" s="711"/>
      <c r="K224" s="526"/>
      <c r="L224" s="710"/>
      <c r="M224" s="711"/>
      <c r="N224" s="526"/>
      <c r="O224" s="710"/>
      <c r="P224" s="712"/>
      <c r="Q224" s="526"/>
      <c r="R224" s="762"/>
      <c r="S224" s="762"/>
      <c r="T224" s="526"/>
      <c r="U224" s="762"/>
      <c r="V224" s="762"/>
      <c r="W224" s="526"/>
      <c r="X224" s="2893"/>
      <c r="Y224" s="2893"/>
      <c r="Z224" s="2893"/>
      <c r="AA224" s="2893"/>
      <c r="AB224" s="2893"/>
      <c r="AC224" s="2893"/>
      <c r="AD224" s="2893"/>
      <c r="AE224" s="2893"/>
      <c r="AF224" s="2893"/>
      <c r="AG224" s="2893"/>
    </row>
    <row r="225" spans="1:33" ht="14.9" customHeight="1">
      <c r="A225" s="252"/>
      <c r="B225" s="2904" t="s">
        <v>634</v>
      </c>
      <c r="C225" s="2904"/>
      <c r="D225" s="2904"/>
      <c r="E225" s="2904"/>
      <c r="F225" s="6"/>
      <c r="G225" s="65"/>
      <c r="H225" s="481"/>
      <c r="I225" s="710"/>
      <c r="J225" s="711"/>
      <c r="K225" s="553"/>
      <c r="L225" s="710"/>
      <c r="M225" s="711"/>
      <c r="N225" s="553"/>
      <c r="O225" s="710"/>
      <c r="P225" s="712"/>
      <c r="Q225" s="553"/>
      <c r="R225" s="762"/>
      <c r="S225" s="762"/>
      <c r="T225" s="553"/>
      <c r="U225" s="762"/>
      <c r="V225" s="762"/>
      <c r="W225" s="553"/>
      <c r="X225" s="2893"/>
      <c r="Y225" s="2893"/>
      <c r="Z225" s="2893"/>
      <c r="AA225" s="2893"/>
      <c r="AB225" s="2893"/>
      <c r="AC225" s="2893"/>
      <c r="AD225" s="2893"/>
      <c r="AE225" s="2893"/>
      <c r="AF225" s="2893"/>
      <c r="AG225" s="2893"/>
    </row>
    <row r="226" spans="1:33" ht="30.75" customHeight="1">
      <c r="A226" s="252"/>
      <c r="B226" s="2903" t="s">
        <v>1551</v>
      </c>
      <c r="C226" s="2903"/>
      <c r="D226" s="2903"/>
      <c r="E226" s="2903"/>
      <c r="F226" s="6"/>
      <c r="G226" s="65"/>
      <c r="H226" s="796"/>
      <c r="I226" s="710"/>
      <c r="J226" s="711"/>
      <c r="K226" s="619"/>
      <c r="L226" s="710"/>
      <c r="M226" s="711"/>
      <c r="N226" s="619"/>
      <c r="O226" s="710"/>
      <c r="P226" s="712"/>
      <c r="Q226" s="619"/>
      <c r="R226" s="762"/>
      <c r="S226" s="762"/>
      <c r="T226" s="619"/>
      <c r="U226" s="762"/>
      <c r="V226" s="762"/>
      <c r="W226" s="619"/>
      <c r="X226" s="2893"/>
      <c r="Y226" s="2893"/>
      <c r="Z226" s="2893"/>
      <c r="AA226" s="2893"/>
      <c r="AB226" s="2893"/>
      <c r="AC226" s="2893"/>
      <c r="AD226" s="2893"/>
      <c r="AE226" s="2893"/>
      <c r="AF226" s="2893"/>
      <c r="AG226" s="2893"/>
    </row>
    <row r="227" spans="1:33" ht="30.75" customHeight="1">
      <c r="A227" s="252"/>
      <c r="B227" s="2903" t="s">
        <v>1552</v>
      </c>
      <c r="C227" s="2903"/>
      <c r="D227" s="2903"/>
      <c r="E227" s="2903"/>
      <c r="F227" s="6"/>
      <c r="G227" s="65"/>
      <c r="H227" s="796"/>
      <c r="I227" s="710"/>
      <c r="J227" s="711"/>
      <c r="K227" s="619"/>
      <c r="L227" s="710"/>
      <c r="M227" s="711"/>
      <c r="N227" s="619"/>
      <c r="O227" s="710"/>
      <c r="P227" s="712"/>
      <c r="Q227" s="619"/>
      <c r="R227" s="762"/>
      <c r="S227" s="762"/>
      <c r="T227" s="619"/>
      <c r="U227" s="762"/>
      <c r="V227" s="762"/>
      <c r="W227" s="619"/>
      <c r="X227" s="2893"/>
      <c r="Y227" s="2893"/>
      <c r="Z227" s="2893"/>
      <c r="AA227" s="2893"/>
      <c r="AB227" s="2893"/>
      <c r="AC227" s="2893"/>
      <c r="AD227" s="2893"/>
      <c r="AE227" s="2893"/>
      <c r="AF227" s="2893"/>
      <c r="AG227" s="2893"/>
    </row>
    <row r="228" spans="1:33" ht="32.9" customHeight="1">
      <c r="A228" s="252"/>
      <c r="B228" s="2903" t="s">
        <v>331</v>
      </c>
      <c r="C228" s="2903"/>
      <c r="D228" s="2903"/>
      <c r="E228" s="2903"/>
      <c r="F228" s="6"/>
      <c r="G228" s="65"/>
      <c r="H228" s="480"/>
      <c r="I228" s="710"/>
      <c r="J228" s="711"/>
      <c r="K228" s="526"/>
      <c r="L228" s="710"/>
      <c r="M228" s="711"/>
      <c r="N228" s="526"/>
      <c r="O228" s="710"/>
      <c r="P228" s="712"/>
      <c r="Q228" s="526"/>
      <c r="R228" s="762"/>
      <c r="S228" s="762"/>
      <c r="T228" s="526"/>
      <c r="U228" s="762"/>
      <c r="V228" s="762"/>
      <c r="W228" s="526"/>
      <c r="X228" s="2893"/>
      <c r="Y228" s="2893"/>
      <c r="Z228" s="2893"/>
      <c r="AA228" s="2893"/>
      <c r="AB228" s="2893"/>
      <c r="AC228" s="2893"/>
      <c r="AD228" s="2893"/>
      <c r="AE228" s="2893"/>
      <c r="AF228" s="2893"/>
      <c r="AG228" s="2893"/>
    </row>
    <row r="229" spans="1:33" ht="14.9" customHeight="1">
      <c r="A229" s="252"/>
      <c r="B229" s="2904" t="s">
        <v>332</v>
      </c>
      <c r="C229" s="2904"/>
      <c r="D229" s="2904"/>
      <c r="E229" s="2904"/>
      <c r="F229" s="6"/>
      <c r="G229" s="63"/>
      <c r="H229" s="480"/>
      <c r="I229" s="710"/>
      <c r="J229" s="582"/>
      <c r="K229" s="526"/>
      <c r="L229" s="710"/>
      <c r="M229" s="582"/>
      <c r="N229" s="526"/>
      <c r="O229" s="710"/>
      <c r="P229" s="582"/>
      <c r="Q229" s="526"/>
      <c r="R229" s="762"/>
      <c r="S229" s="762"/>
      <c r="T229" s="526"/>
      <c r="U229" s="762"/>
      <c r="V229" s="762"/>
      <c r="W229" s="526"/>
      <c r="X229" s="2893"/>
      <c r="Y229" s="2893"/>
      <c r="Z229" s="2893"/>
      <c r="AA229" s="2893"/>
      <c r="AB229" s="2893"/>
      <c r="AC229" s="2893"/>
      <c r="AD229" s="2893"/>
      <c r="AE229" s="2893"/>
      <c r="AF229" s="2893"/>
      <c r="AG229" s="2893"/>
    </row>
    <row r="230" spans="1:33" ht="14.9" customHeight="1">
      <c r="A230" s="252"/>
      <c r="B230" s="2903" t="s">
        <v>333</v>
      </c>
      <c r="C230" s="2903"/>
      <c r="D230" s="2903"/>
      <c r="E230" s="2903"/>
      <c r="F230" s="6"/>
      <c r="G230" s="65"/>
      <c r="H230" s="480"/>
      <c r="I230" s="710"/>
      <c r="J230" s="711"/>
      <c r="K230" s="526"/>
      <c r="L230" s="710"/>
      <c r="M230" s="711"/>
      <c r="N230" s="526"/>
      <c r="O230" s="710"/>
      <c r="P230" s="712"/>
      <c r="Q230" s="526"/>
      <c r="R230" s="762"/>
      <c r="S230" s="762"/>
      <c r="T230" s="526"/>
      <c r="U230" s="762"/>
      <c r="V230" s="762"/>
      <c r="W230" s="526"/>
      <c r="X230" s="2893"/>
      <c r="Y230" s="2893"/>
      <c r="Z230" s="2893"/>
      <c r="AA230" s="2893"/>
      <c r="AB230" s="2893"/>
      <c r="AC230" s="2893"/>
      <c r="AD230" s="2893"/>
      <c r="AE230" s="2893"/>
      <c r="AF230" s="2893"/>
      <c r="AG230" s="2893"/>
    </row>
    <row r="231" spans="1:33" ht="14.9" customHeight="1">
      <c r="A231" s="252"/>
      <c r="B231" s="2903" t="s">
        <v>334</v>
      </c>
      <c r="C231" s="2903"/>
      <c r="D231" s="2903"/>
      <c r="E231" s="2903"/>
      <c r="F231" s="6"/>
      <c r="G231" s="63"/>
      <c r="H231" s="480"/>
      <c r="I231" s="710"/>
      <c r="J231" s="582"/>
      <c r="K231" s="526"/>
      <c r="L231" s="710"/>
      <c r="M231" s="582"/>
      <c r="N231" s="526"/>
      <c r="O231" s="710"/>
      <c r="P231" s="582"/>
      <c r="Q231" s="526"/>
      <c r="R231" s="762"/>
      <c r="S231" s="762"/>
      <c r="T231" s="526"/>
      <c r="U231" s="762"/>
      <c r="V231" s="762"/>
      <c r="W231" s="526"/>
      <c r="X231" s="2893"/>
      <c r="Y231" s="2893"/>
      <c r="Z231" s="2893"/>
      <c r="AA231" s="2893"/>
      <c r="AB231" s="2893"/>
      <c r="AC231" s="2893"/>
      <c r="AD231" s="2893"/>
      <c r="AE231" s="2893"/>
      <c r="AF231" s="2893"/>
      <c r="AG231" s="2893"/>
    </row>
    <row r="232" spans="1:33" ht="14.9" customHeight="1">
      <c r="A232" s="252"/>
      <c r="B232" s="2904" t="s">
        <v>335</v>
      </c>
      <c r="C232" s="2904"/>
      <c r="D232" s="2904"/>
      <c r="E232" s="2904"/>
      <c r="H232" s="480"/>
      <c r="I232" s="713"/>
      <c r="J232" s="713"/>
      <c r="K232" s="526"/>
      <c r="L232" s="713"/>
      <c r="M232" s="713"/>
      <c r="N232" s="526"/>
      <c r="O232" s="713"/>
      <c r="P232" s="713"/>
      <c r="Q232" s="526"/>
      <c r="R232" s="762"/>
      <c r="S232" s="762"/>
      <c r="T232" s="526"/>
      <c r="U232" s="762"/>
      <c r="V232" s="762"/>
      <c r="W232" s="526"/>
      <c r="X232" s="2893"/>
      <c r="Y232" s="2893"/>
      <c r="Z232" s="2893"/>
      <c r="AA232" s="2893"/>
      <c r="AB232" s="2893"/>
      <c r="AC232" s="2893"/>
      <c r="AD232" s="2893"/>
      <c r="AE232" s="2893"/>
      <c r="AF232" s="2893"/>
      <c r="AG232" s="2893"/>
    </row>
    <row r="233" spans="1:33" ht="14.9" customHeight="1">
      <c r="A233" s="252"/>
      <c r="B233" s="2903" t="s">
        <v>336</v>
      </c>
      <c r="C233" s="2903"/>
      <c r="D233" s="2903"/>
      <c r="E233" s="2903"/>
      <c r="F233" s="6"/>
      <c r="G233" s="63"/>
      <c r="H233" s="480"/>
      <c r="I233" s="710"/>
      <c r="J233" s="582"/>
      <c r="K233" s="526"/>
      <c r="L233" s="710"/>
      <c r="M233" s="582"/>
      <c r="N233" s="526"/>
      <c r="O233" s="710"/>
      <c r="P233" s="582"/>
      <c r="Q233" s="526"/>
      <c r="R233" s="762"/>
      <c r="S233" s="762"/>
      <c r="T233" s="526"/>
      <c r="U233" s="762"/>
      <c r="V233" s="762"/>
      <c r="W233" s="526"/>
      <c r="X233" s="2893"/>
      <c r="Y233" s="2893"/>
      <c r="Z233" s="2893"/>
      <c r="AA233" s="2893"/>
      <c r="AB233" s="2893"/>
      <c r="AC233" s="2893"/>
      <c r="AD233" s="2893"/>
      <c r="AE233" s="2893"/>
      <c r="AF233" s="2893"/>
      <c r="AG233" s="2893"/>
    </row>
    <row r="234" spans="1:33" ht="32.9" customHeight="1">
      <c r="A234" s="252"/>
      <c r="B234" s="2903" t="s">
        <v>337</v>
      </c>
      <c r="C234" s="2903"/>
      <c r="D234" s="2903"/>
      <c r="E234" s="2903"/>
      <c r="F234" s="6"/>
      <c r="G234" s="63"/>
      <c r="H234" s="480"/>
      <c r="I234" s="710"/>
      <c r="J234" s="582"/>
      <c r="K234" s="526"/>
      <c r="L234" s="710"/>
      <c r="M234" s="582"/>
      <c r="N234" s="526"/>
      <c r="O234" s="710"/>
      <c r="P234" s="582"/>
      <c r="Q234" s="526"/>
      <c r="R234" s="762"/>
      <c r="S234" s="762"/>
      <c r="T234" s="526"/>
      <c r="U234" s="762"/>
      <c r="V234" s="762"/>
      <c r="W234" s="526"/>
      <c r="X234" s="2893"/>
      <c r="Y234" s="2893"/>
      <c r="Z234" s="2893"/>
      <c r="AA234" s="2893"/>
      <c r="AB234" s="2893"/>
      <c r="AC234" s="2893"/>
      <c r="AD234" s="2893"/>
      <c r="AE234" s="2893"/>
      <c r="AF234" s="2893"/>
      <c r="AG234" s="2893"/>
    </row>
    <row r="235" spans="1:33" ht="32.9" customHeight="1">
      <c r="A235" s="252"/>
      <c r="B235" s="2903" t="s">
        <v>338</v>
      </c>
      <c r="C235" s="2903"/>
      <c r="D235" s="2903"/>
      <c r="E235" s="2903"/>
      <c r="F235" s="6"/>
      <c r="G235" s="63"/>
      <c r="H235" s="480"/>
      <c r="I235" s="710"/>
      <c r="J235" s="582"/>
      <c r="K235" s="526"/>
      <c r="L235" s="710"/>
      <c r="M235" s="582"/>
      <c r="N235" s="526"/>
      <c r="O235" s="710"/>
      <c r="P235" s="582"/>
      <c r="Q235" s="526"/>
      <c r="R235" s="762"/>
      <c r="S235" s="762"/>
      <c r="T235" s="526"/>
      <c r="U235" s="762"/>
      <c r="V235" s="762"/>
      <c r="W235" s="526"/>
      <c r="X235" s="2893"/>
      <c r="Y235" s="2893"/>
      <c r="Z235" s="2893"/>
      <c r="AA235" s="2893"/>
      <c r="AB235" s="2893"/>
      <c r="AC235" s="2893"/>
      <c r="AD235" s="2893"/>
      <c r="AE235" s="2893"/>
      <c r="AF235" s="2893"/>
      <c r="AG235" s="2893"/>
    </row>
    <row r="236" spans="1:33" ht="14.9" customHeight="1">
      <c r="A236" s="252"/>
      <c r="B236" s="2903" t="s">
        <v>735</v>
      </c>
      <c r="C236" s="2903"/>
      <c r="D236" s="2903"/>
      <c r="E236" s="2903"/>
      <c r="F236" s="6"/>
      <c r="G236" s="63"/>
      <c r="H236" s="480"/>
      <c r="I236" s="710"/>
      <c r="J236" s="582"/>
      <c r="K236" s="526"/>
      <c r="L236" s="710"/>
      <c r="M236" s="582"/>
      <c r="N236" s="526"/>
      <c r="O236" s="710"/>
      <c r="P236" s="582"/>
      <c r="Q236" s="526"/>
      <c r="R236" s="762"/>
      <c r="S236" s="762"/>
      <c r="T236" s="526"/>
      <c r="U236" s="762"/>
      <c r="V236" s="762"/>
      <c r="W236" s="526"/>
      <c r="X236" s="2893"/>
      <c r="Y236" s="2893"/>
      <c r="Z236" s="2893"/>
      <c r="AA236" s="2893"/>
      <c r="AB236" s="2893"/>
      <c r="AC236" s="2893"/>
      <c r="AD236" s="2893"/>
      <c r="AE236" s="2893"/>
      <c r="AF236" s="2893"/>
      <c r="AG236" s="2893"/>
    </row>
    <row r="237" spans="1:33" ht="14.9" customHeight="1">
      <c r="A237" s="252"/>
      <c r="B237" s="2903" t="s">
        <v>734</v>
      </c>
      <c r="C237" s="2903"/>
      <c r="D237" s="2903"/>
      <c r="E237" s="2903"/>
      <c r="F237" s="6"/>
      <c r="G237" s="63"/>
      <c r="H237" s="797"/>
      <c r="I237" s="710"/>
      <c r="J237" s="582"/>
      <c r="K237" s="562"/>
      <c r="L237" s="710"/>
      <c r="M237" s="582"/>
      <c r="N237" s="562"/>
      <c r="O237" s="710"/>
      <c r="P237" s="582"/>
      <c r="Q237" s="562"/>
      <c r="R237" s="762"/>
      <c r="S237" s="762"/>
      <c r="T237" s="562"/>
      <c r="U237" s="762"/>
      <c r="V237" s="762"/>
      <c r="W237" s="562"/>
      <c r="X237" s="2893"/>
      <c r="Y237" s="2893"/>
      <c r="Z237" s="2893"/>
      <c r="AA237" s="2893"/>
      <c r="AB237" s="2893"/>
      <c r="AC237" s="2893"/>
      <c r="AD237" s="2893"/>
      <c r="AE237" s="2893"/>
      <c r="AF237" s="2893"/>
      <c r="AG237" s="2893"/>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911"/>
      <c r="Y238" s="2911"/>
      <c r="Z238" s="2911"/>
      <c r="AA238" s="2911"/>
      <c r="AB238" s="2911"/>
      <c r="AC238" s="2911"/>
      <c r="AD238" s="2911"/>
      <c r="AE238" s="2911"/>
      <c r="AF238" s="2911"/>
      <c r="AG238" s="2911"/>
    </row>
    <row r="239" spans="1:33" ht="14.9" customHeight="1">
      <c r="A239" s="252"/>
      <c r="B239" s="2903" t="s">
        <v>625</v>
      </c>
      <c r="C239" s="2903"/>
      <c r="D239" s="2903"/>
      <c r="E239" s="2903"/>
      <c r="F239" s="6"/>
      <c r="G239" s="65"/>
      <c r="H239" s="799"/>
      <c r="I239" s="710"/>
      <c r="J239" s="711"/>
      <c r="K239" s="628"/>
      <c r="L239" s="710"/>
      <c r="M239" s="711"/>
      <c r="N239" s="628"/>
      <c r="O239" s="710"/>
      <c r="P239" s="712"/>
      <c r="Q239" s="628"/>
      <c r="R239" s="762"/>
      <c r="S239" s="762"/>
      <c r="T239" s="628"/>
      <c r="U239" s="762"/>
      <c r="V239" s="762"/>
      <c r="W239" s="628"/>
      <c r="X239" s="2893"/>
      <c r="Y239" s="2893"/>
      <c r="Z239" s="2893"/>
      <c r="AA239" s="2893"/>
      <c r="AB239" s="2893"/>
      <c r="AC239" s="2893"/>
      <c r="AD239" s="2893"/>
      <c r="AE239" s="2893"/>
      <c r="AF239" s="2893"/>
      <c r="AG239" s="2893"/>
    </row>
    <row r="240" spans="1:33" ht="14.9" customHeight="1">
      <c r="A240" s="252"/>
      <c r="B240" s="2903" t="s">
        <v>626</v>
      </c>
      <c r="C240" s="2903"/>
      <c r="D240" s="2903"/>
      <c r="E240" s="2903"/>
      <c r="F240" s="6"/>
      <c r="G240" s="63"/>
      <c r="H240" s="480"/>
      <c r="I240" s="710"/>
      <c r="J240" s="582"/>
      <c r="K240" s="526"/>
      <c r="L240" s="710"/>
      <c r="M240" s="582"/>
      <c r="N240" s="526"/>
      <c r="O240" s="710"/>
      <c r="P240" s="582"/>
      <c r="Q240" s="526"/>
      <c r="R240" s="762"/>
      <c r="S240" s="762"/>
      <c r="T240" s="526"/>
      <c r="U240" s="762"/>
      <c r="V240" s="762"/>
      <c r="W240" s="526"/>
      <c r="X240" s="2893"/>
      <c r="Y240" s="2893"/>
      <c r="Z240" s="2893"/>
      <c r="AA240" s="2893"/>
      <c r="AB240" s="2893"/>
      <c r="AC240" s="2893"/>
      <c r="AD240" s="2893"/>
      <c r="AE240" s="2893"/>
      <c r="AF240" s="2893"/>
      <c r="AG240" s="2893"/>
    </row>
    <row r="241" spans="1:33" ht="14.9" customHeight="1">
      <c r="A241" s="252"/>
      <c r="B241" s="2903" t="s">
        <v>627</v>
      </c>
      <c r="C241" s="2903"/>
      <c r="D241" s="2903"/>
      <c r="E241" s="2903"/>
      <c r="F241" s="6"/>
      <c r="G241" s="63"/>
      <c r="H241" s="794"/>
      <c r="I241" s="710"/>
      <c r="J241" s="582"/>
      <c r="K241" s="561"/>
      <c r="L241" s="710"/>
      <c r="M241" s="582"/>
      <c r="N241" s="561"/>
      <c r="O241" s="710"/>
      <c r="P241" s="582"/>
      <c r="Q241" s="561"/>
      <c r="R241" s="762"/>
      <c r="S241" s="762"/>
      <c r="T241" s="561"/>
      <c r="U241" s="762"/>
      <c r="V241" s="762"/>
      <c r="W241" s="561"/>
      <c r="X241" s="2893"/>
      <c r="Y241" s="2893"/>
      <c r="Z241" s="2893"/>
      <c r="AA241" s="2893"/>
      <c r="AB241" s="2893"/>
      <c r="AC241" s="2893"/>
      <c r="AD241" s="2893"/>
      <c r="AE241" s="2893"/>
      <c r="AF241" s="2893"/>
      <c r="AG241" s="2893"/>
    </row>
    <row r="242" spans="1:33" ht="14.9" customHeight="1">
      <c r="A242" s="252"/>
      <c r="B242" s="2904" t="s">
        <v>628</v>
      </c>
      <c r="C242" s="2904"/>
      <c r="D242" s="2904"/>
      <c r="E242" s="2904"/>
      <c r="F242" s="6"/>
      <c r="G242" s="63"/>
      <c r="H242" s="480"/>
      <c r="I242" s="710"/>
      <c r="J242" s="582"/>
      <c r="K242" s="526"/>
      <c r="L242" s="710"/>
      <c r="M242" s="582"/>
      <c r="N242" s="526"/>
      <c r="O242" s="710"/>
      <c r="P242" s="582"/>
      <c r="Q242" s="526"/>
      <c r="R242" s="762"/>
      <c r="S242" s="762"/>
      <c r="T242" s="526"/>
      <c r="U242" s="762"/>
      <c r="V242" s="762"/>
      <c r="W242" s="526"/>
      <c r="X242" s="2893"/>
      <c r="Y242" s="2893"/>
      <c r="Z242" s="2893"/>
      <c r="AA242" s="2893"/>
      <c r="AB242" s="2893"/>
      <c r="AC242" s="2893"/>
      <c r="AD242" s="2893"/>
      <c r="AE242" s="2893"/>
      <c r="AF242" s="2893"/>
      <c r="AG242" s="2893"/>
    </row>
    <row r="243" spans="1:33" ht="32.9" customHeight="1">
      <c r="A243" s="252"/>
      <c r="B243" s="2904" t="s">
        <v>629</v>
      </c>
      <c r="C243" s="2904"/>
      <c r="D243" s="2904"/>
      <c r="E243" s="2904"/>
      <c r="F243" s="6"/>
      <c r="G243" s="65"/>
      <c r="H243" s="795"/>
      <c r="I243" s="710"/>
      <c r="J243" s="711"/>
      <c r="K243" s="568"/>
      <c r="L243" s="710"/>
      <c r="M243" s="711"/>
      <c r="N243" s="568"/>
      <c r="O243" s="710"/>
      <c r="P243" s="712"/>
      <c r="Q243" s="568"/>
      <c r="R243" s="762"/>
      <c r="S243" s="762"/>
      <c r="T243" s="568"/>
      <c r="U243" s="762"/>
      <c r="V243" s="762"/>
      <c r="W243" s="568"/>
      <c r="X243" s="2893"/>
      <c r="Y243" s="2893"/>
      <c r="Z243" s="2893"/>
      <c r="AA243" s="2893"/>
      <c r="AB243" s="2893"/>
      <c r="AC243" s="2893"/>
      <c r="AD243" s="2893"/>
      <c r="AE243" s="2893"/>
      <c r="AF243" s="2893"/>
      <c r="AG243" s="2893"/>
    </row>
    <row r="244" spans="1:33" ht="14.9" customHeight="1">
      <c r="A244" s="252"/>
      <c r="B244" s="2903" t="s">
        <v>630</v>
      </c>
      <c r="C244" s="2903"/>
      <c r="D244" s="2903"/>
      <c r="E244" s="2903"/>
      <c r="F244" s="6"/>
      <c r="G244" s="65"/>
      <c r="H244" s="480"/>
      <c r="I244" s="710"/>
      <c r="J244" s="711"/>
      <c r="K244" s="526"/>
      <c r="L244" s="710"/>
      <c r="M244" s="711"/>
      <c r="N244" s="526"/>
      <c r="O244" s="710"/>
      <c r="P244" s="712"/>
      <c r="Q244" s="526"/>
      <c r="R244" s="762"/>
      <c r="S244" s="762"/>
      <c r="T244" s="526"/>
      <c r="U244" s="762"/>
      <c r="V244" s="762"/>
      <c r="W244" s="526"/>
      <c r="X244" s="2893"/>
      <c r="Y244" s="2893"/>
      <c r="Z244" s="2893"/>
      <c r="AA244" s="2893"/>
      <c r="AB244" s="2893"/>
      <c r="AC244" s="2893"/>
      <c r="AD244" s="2893"/>
      <c r="AE244" s="2893"/>
      <c r="AF244" s="2893"/>
      <c r="AG244" s="2893"/>
    </row>
    <row r="245" spans="1:33" ht="14.9" customHeight="1">
      <c r="A245" s="252"/>
      <c r="B245" s="2904" t="s">
        <v>634</v>
      </c>
      <c r="C245" s="2904"/>
      <c r="D245" s="2904"/>
      <c r="E245" s="2904"/>
      <c r="F245" s="6"/>
      <c r="G245" s="65"/>
      <c r="H245" s="481"/>
      <c r="I245" s="710"/>
      <c r="J245" s="711"/>
      <c r="K245" s="553"/>
      <c r="L245" s="710"/>
      <c r="M245" s="711"/>
      <c r="N245" s="553"/>
      <c r="O245" s="710"/>
      <c r="P245" s="712"/>
      <c r="Q245" s="553"/>
      <c r="R245" s="762"/>
      <c r="S245" s="762"/>
      <c r="T245" s="553"/>
      <c r="U245" s="762"/>
      <c r="V245" s="762"/>
      <c r="W245" s="553"/>
      <c r="X245" s="2893"/>
      <c r="Y245" s="2893"/>
      <c r="Z245" s="2893"/>
      <c r="AA245" s="2893"/>
      <c r="AB245" s="2893"/>
      <c r="AC245" s="2893"/>
      <c r="AD245" s="2893"/>
      <c r="AE245" s="2893"/>
      <c r="AF245" s="2893"/>
      <c r="AG245" s="2893"/>
    </row>
    <row r="246" spans="1:33" ht="32.15" customHeight="1">
      <c r="A246" s="252"/>
      <c r="B246" s="2903" t="s">
        <v>1551</v>
      </c>
      <c r="C246" s="2903"/>
      <c r="D246" s="2903"/>
      <c r="E246" s="2903"/>
      <c r="F246" s="6"/>
      <c r="G246" s="65"/>
      <c r="H246" s="796"/>
      <c r="I246" s="710"/>
      <c r="J246" s="711"/>
      <c r="K246" s="619"/>
      <c r="L246" s="710"/>
      <c r="M246" s="711"/>
      <c r="N246" s="619"/>
      <c r="O246" s="710"/>
      <c r="P246" s="712"/>
      <c r="Q246" s="619"/>
      <c r="R246" s="762"/>
      <c r="S246" s="762"/>
      <c r="T246" s="619"/>
      <c r="U246" s="762"/>
      <c r="V246" s="762"/>
      <c r="W246" s="619"/>
      <c r="X246" s="2893"/>
      <c r="Y246" s="2893"/>
      <c r="Z246" s="2893"/>
      <c r="AA246" s="2893"/>
      <c r="AB246" s="2893"/>
      <c r="AC246" s="2893"/>
      <c r="AD246" s="2893"/>
      <c r="AE246" s="2893"/>
      <c r="AF246" s="2893"/>
      <c r="AG246" s="2893"/>
    </row>
    <row r="247" spans="1:33" ht="32.15" customHeight="1">
      <c r="A247" s="252"/>
      <c r="B247" s="2903" t="s">
        <v>1552</v>
      </c>
      <c r="C247" s="2903"/>
      <c r="D247" s="2903"/>
      <c r="E247" s="2903"/>
      <c r="F247" s="6"/>
      <c r="G247" s="65"/>
      <c r="H247" s="796"/>
      <c r="I247" s="710"/>
      <c r="J247" s="711"/>
      <c r="K247" s="619"/>
      <c r="L247" s="710"/>
      <c r="M247" s="711"/>
      <c r="N247" s="619"/>
      <c r="O247" s="710"/>
      <c r="P247" s="712"/>
      <c r="Q247" s="619"/>
      <c r="R247" s="762"/>
      <c r="S247" s="762"/>
      <c r="T247" s="619"/>
      <c r="U247" s="762"/>
      <c r="V247" s="762"/>
      <c r="W247" s="619"/>
      <c r="X247" s="2893"/>
      <c r="Y247" s="2893"/>
      <c r="Z247" s="2893"/>
      <c r="AA247" s="2893"/>
      <c r="AB247" s="2893"/>
      <c r="AC247" s="2893"/>
      <c r="AD247" s="2893"/>
      <c r="AE247" s="2893"/>
      <c r="AF247" s="2893"/>
      <c r="AG247" s="2893"/>
    </row>
    <row r="248" spans="1:33" ht="32.9" customHeight="1">
      <c r="A248" s="252"/>
      <c r="B248" s="2903" t="s">
        <v>331</v>
      </c>
      <c r="C248" s="2903"/>
      <c r="D248" s="2903"/>
      <c r="E248" s="2903"/>
      <c r="F248" s="6"/>
      <c r="G248" s="65"/>
      <c r="H248" s="480"/>
      <c r="I248" s="710"/>
      <c r="J248" s="711"/>
      <c r="K248" s="526"/>
      <c r="L248" s="710"/>
      <c r="M248" s="711"/>
      <c r="N248" s="526"/>
      <c r="O248" s="710"/>
      <c r="P248" s="712"/>
      <c r="Q248" s="526"/>
      <c r="R248" s="762"/>
      <c r="S248" s="762"/>
      <c r="T248" s="526"/>
      <c r="U248" s="762"/>
      <c r="V248" s="762"/>
      <c r="W248" s="526"/>
      <c r="X248" s="2893"/>
      <c r="Y248" s="2893"/>
      <c r="Z248" s="2893"/>
      <c r="AA248" s="2893"/>
      <c r="AB248" s="2893"/>
      <c r="AC248" s="2893"/>
      <c r="AD248" s="2893"/>
      <c r="AE248" s="2893"/>
      <c r="AF248" s="2893"/>
      <c r="AG248" s="2893"/>
    </row>
    <row r="249" spans="1:33" ht="14.9" customHeight="1">
      <c r="A249" s="252"/>
      <c r="B249" s="2904" t="s">
        <v>332</v>
      </c>
      <c r="C249" s="2904"/>
      <c r="D249" s="2904"/>
      <c r="E249" s="2904"/>
      <c r="F249" s="6"/>
      <c r="G249" s="63"/>
      <c r="H249" s="480"/>
      <c r="I249" s="710"/>
      <c r="J249" s="582"/>
      <c r="K249" s="526"/>
      <c r="L249" s="710"/>
      <c r="M249" s="582"/>
      <c r="N249" s="526"/>
      <c r="O249" s="710"/>
      <c r="P249" s="582"/>
      <c r="Q249" s="526"/>
      <c r="R249" s="762"/>
      <c r="S249" s="762"/>
      <c r="T249" s="526"/>
      <c r="U249" s="762"/>
      <c r="V249" s="762"/>
      <c r="W249" s="526"/>
      <c r="X249" s="2893"/>
      <c r="Y249" s="2893"/>
      <c r="Z249" s="2893"/>
      <c r="AA249" s="2893"/>
      <c r="AB249" s="2893"/>
      <c r="AC249" s="2893"/>
      <c r="AD249" s="2893"/>
      <c r="AE249" s="2893"/>
      <c r="AF249" s="2893"/>
      <c r="AG249" s="2893"/>
    </row>
    <row r="250" spans="1:33" ht="14.9" customHeight="1">
      <c r="A250" s="252"/>
      <c r="B250" s="2903" t="s">
        <v>333</v>
      </c>
      <c r="C250" s="2903"/>
      <c r="D250" s="2903"/>
      <c r="E250" s="2903"/>
      <c r="F250" s="6"/>
      <c r="G250" s="65"/>
      <c r="H250" s="480"/>
      <c r="I250" s="710"/>
      <c r="J250" s="711"/>
      <c r="K250" s="526"/>
      <c r="L250" s="710"/>
      <c r="M250" s="711"/>
      <c r="N250" s="526"/>
      <c r="O250" s="710"/>
      <c r="P250" s="712"/>
      <c r="Q250" s="526"/>
      <c r="R250" s="762"/>
      <c r="S250" s="762"/>
      <c r="T250" s="526"/>
      <c r="U250" s="762"/>
      <c r="V250" s="762"/>
      <c r="W250" s="526"/>
      <c r="X250" s="2893"/>
      <c r="Y250" s="2893"/>
      <c r="Z250" s="2893"/>
      <c r="AA250" s="2893"/>
      <c r="AB250" s="2893"/>
      <c r="AC250" s="2893"/>
      <c r="AD250" s="2893"/>
      <c r="AE250" s="2893"/>
      <c r="AF250" s="2893"/>
      <c r="AG250" s="2893"/>
    </row>
    <row r="251" spans="1:33" ht="14.9" customHeight="1">
      <c r="A251" s="252"/>
      <c r="B251" s="2903" t="s">
        <v>334</v>
      </c>
      <c r="C251" s="2903"/>
      <c r="D251" s="2903"/>
      <c r="E251" s="2903"/>
      <c r="F251" s="6"/>
      <c r="G251" s="63"/>
      <c r="H251" s="480"/>
      <c r="I251" s="710"/>
      <c r="J251" s="582"/>
      <c r="K251" s="526"/>
      <c r="L251" s="710"/>
      <c r="M251" s="582"/>
      <c r="N251" s="526"/>
      <c r="O251" s="710"/>
      <c r="P251" s="582"/>
      <c r="Q251" s="526"/>
      <c r="R251" s="762"/>
      <c r="S251" s="762"/>
      <c r="T251" s="526"/>
      <c r="U251" s="762"/>
      <c r="V251" s="762"/>
      <c r="W251" s="526"/>
      <c r="X251" s="2893"/>
      <c r="Y251" s="2893"/>
      <c r="Z251" s="2893"/>
      <c r="AA251" s="2893"/>
      <c r="AB251" s="2893"/>
      <c r="AC251" s="2893"/>
      <c r="AD251" s="2893"/>
      <c r="AE251" s="2893"/>
      <c r="AF251" s="2893"/>
      <c r="AG251" s="2893"/>
    </row>
    <row r="252" spans="1:33" ht="14.9" customHeight="1">
      <c r="A252" s="252"/>
      <c r="B252" s="2904" t="s">
        <v>335</v>
      </c>
      <c r="C252" s="2904"/>
      <c r="D252" s="2904"/>
      <c r="E252" s="2904"/>
      <c r="H252" s="480"/>
      <c r="I252" s="713"/>
      <c r="J252" s="713"/>
      <c r="K252" s="526"/>
      <c r="L252" s="713"/>
      <c r="M252" s="713"/>
      <c r="N252" s="526"/>
      <c r="O252" s="713"/>
      <c r="P252" s="713"/>
      <c r="Q252" s="526"/>
      <c r="R252" s="762"/>
      <c r="S252" s="762"/>
      <c r="T252" s="526"/>
      <c r="U252" s="762"/>
      <c r="V252" s="762"/>
      <c r="W252" s="526"/>
      <c r="X252" s="2893"/>
      <c r="Y252" s="2893"/>
      <c r="Z252" s="2893"/>
      <c r="AA252" s="2893"/>
      <c r="AB252" s="2893"/>
      <c r="AC252" s="2893"/>
      <c r="AD252" s="2893"/>
      <c r="AE252" s="2893"/>
      <c r="AF252" s="2893"/>
      <c r="AG252" s="2893"/>
    </row>
    <row r="253" spans="1:33" ht="14.9" customHeight="1">
      <c r="A253" s="252"/>
      <c r="B253" s="2903" t="s">
        <v>336</v>
      </c>
      <c r="C253" s="2903"/>
      <c r="D253" s="2903"/>
      <c r="E253" s="2903"/>
      <c r="F253" s="6"/>
      <c r="G253" s="63"/>
      <c r="H253" s="480"/>
      <c r="I253" s="710"/>
      <c r="J253" s="582"/>
      <c r="K253" s="526"/>
      <c r="L253" s="710"/>
      <c r="M253" s="582"/>
      <c r="N253" s="526"/>
      <c r="O253" s="710"/>
      <c r="P253" s="582"/>
      <c r="Q253" s="526"/>
      <c r="R253" s="762"/>
      <c r="S253" s="762"/>
      <c r="T253" s="526"/>
      <c r="U253" s="762"/>
      <c r="V253" s="762"/>
      <c r="W253" s="526"/>
      <c r="X253" s="2893"/>
      <c r="Y253" s="2893"/>
      <c r="Z253" s="2893"/>
      <c r="AA253" s="2893"/>
      <c r="AB253" s="2893"/>
      <c r="AC253" s="2893"/>
      <c r="AD253" s="2893"/>
      <c r="AE253" s="2893"/>
      <c r="AF253" s="2893"/>
      <c r="AG253" s="2893"/>
    </row>
    <row r="254" spans="1:33" ht="32.9" customHeight="1">
      <c r="A254" s="252"/>
      <c r="B254" s="2903" t="s">
        <v>337</v>
      </c>
      <c r="C254" s="2903"/>
      <c r="D254" s="2903"/>
      <c r="E254" s="2903"/>
      <c r="F254" s="6"/>
      <c r="G254" s="63"/>
      <c r="H254" s="480"/>
      <c r="I254" s="710"/>
      <c r="J254" s="582"/>
      <c r="K254" s="526"/>
      <c r="L254" s="710"/>
      <c r="M254" s="582"/>
      <c r="N254" s="526"/>
      <c r="O254" s="710"/>
      <c r="P254" s="582"/>
      <c r="Q254" s="526"/>
      <c r="R254" s="762"/>
      <c r="S254" s="762"/>
      <c r="T254" s="526"/>
      <c r="U254" s="762"/>
      <c r="V254" s="762"/>
      <c r="W254" s="526"/>
      <c r="X254" s="2893"/>
      <c r="Y254" s="2893"/>
      <c r="Z254" s="2893"/>
      <c r="AA254" s="2893"/>
      <c r="AB254" s="2893"/>
      <c r="AC254" s="2893"/>
      <c r="AD254" s="2893"/>
      <c r="AE254" s="2893"/>
      <c r="AF254" s="2893"/>
      <c r="AG254" s="2893"/>
    </row>
    <row r="255" spans="1:33" ht="32.9" customHeight="1">
      <c r="A255" s="252"/>
      <c r="B255" s="2903" t="s">
        <v>338</v>
      </c>
      <c r="C255" s="2903"/>
      <c r="D255" s="2903"/>
      <c r="E255" s="2903"/>
      <c r="F255" s="6"/>
      <c r="G255" s="63"/>
      <c r="H255" s="480"/>
      <c r="I255" s="710"/>
      <c r="J255" s="582"/>
      <c r="K255" s="526"/>
      <c r="L255" s="710"/>
      <c r="M255" s="582"/>
      <c r="N255" s="526"/>
      <c r="O255" s="710"/>
      <c r="P255" s="582"/>
      <c r="Q255" s="526"/>
      <c r="R255" s="762"/>
      <c r="S255" s="762"/>
      <c r="T255" s="526"/>
      <c r="U255" s="762"/>
      <c r="V255" s="762"/>
      <c r="W255" s="526"/>
      <c r="X255" s="2893"/>
      <c r="Y255" s="2893"/>
      <c r="Z255" s="2893"/>
      <c r="AA255" s="2893"/>
      <c r="AB255" s="2893"/>
      <c r="AC255" s="2893"/>
      <c r="AD255" s="2893"/>
      <c r="AE255" s="2893"/>
      <c r="AF255" s="2893"/>
      <c r="AG255" s="2893"/>
    </row>
    <row r="256" spans="1:33" ht="14.9" customHeight="1">
      <c r="A256" s="252"/>
      <c r="B256" s="2903" t="s">
        <v>735</v>
      </c>
      <c r="C256" s="2903"/>
      <c r="D256" s="2903"/>
      <c r="E256" s="2903"/>
      <c r="F256" s="6"/>
      <c r="G256" s="63"/>
      <c r="H256" s="480"/>
      <c r="I256" s="710"/>
      <c r="J256" s="582"/>
      <c r="K256" s="526"/>
      <c r="L256" s="710"/>
      <c r="M256" s="582"/>
      <c r="N256" s="526"/>
      <c r="O256" s="710"/>
      <c r="P256" s="582"/>
      <c r="Q256" s="526"/>
      <c r="R256" s="762"/>
      <c r="S256" s="762"/>
      <c r="T256" s="526"/>
      <c r="U256" s="762"/>
      <c r="V256" s="762"/>
      <c r="W256" s="526"/>
      <c r="X256" s="2893"/>
      <c r="Y256" s="2893"/>
      <c r="Z256" s="2893"/>
      <c r="AA256" s="2893"/>
      <c r="AB256" s="2893"/>
      <c r="AC256" s="2893"/>
      <c r="AD256" s="2893"/>
      <c r="AE256" s="2893"/>
      <c r="AF256" s="2893"/>
      <c r="AG256" s="2893"/>
    </row>
    <row r="257" spans="1:33" ht="14.9" customHeight="1">
      <c r="A257" s="252"/>
      <c r="B257" s="2903" t="s">
        <v>734</v>
      </c>
      <c r="C257" s="2903"/>
      <c r="D257" s="2903"/>
      <c r="E257" s="2903"/>
      <c r="F257" s="6"/>
      <c r="G257" s="63"/>
      <c r="H257" s="802"/>
      <c r="I257" s="741"/>
      <c r="J257" s="557"/>
      <c r="K257" s="769"/>
      <c r="L257" s="741"/>
      <c r="M257" s="557"/>
      <c r="N257" s="769"/>
      <c r="O257" s="741"/>
      <c r="P257" s="557"/>
      <c r="Q257" s="769"/>
      <c r="R257" s="768"/>
      <c r="S257" s="768"/>
      <c r="T257" s="769"/>
      <c r="U257" s="768"/>
      <c r="V257" s="768"/>
      <c r="W257" s="769"/>
      <c r="X257" s="2893"/>
      <c r="Y257" s="2893"/>
      <c r="Z257" s="2893"/>
      <c r="AA257" s="2893"/>
      <c r="AB257" s="2893"/>
      <c r="AC257" s="2893"/>
      <c r="AD257" s="2893"/>
      <c r="AE257" s="2893"/>
      <c r="AF257" s="2893"/>
      <c r="AG257" s="2893"/>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906"/>
      <c r="Y258" s="2906"/>
      <c r="Z258" s="2906"/>
      <c r="AA258" s="2906"/>
      <c r="AB258" s="2906"/>
      <c r="AC258" s="2906"/>
      <c r="AD258" s="2906"/>
      <c r="AE258" s="2906"/>
      <c r="AF258" s="2906"/>
      <c r="AG258" s="2906"/>
    </row>
    <row r="259" spans="1:33" ht="21.65" customHeight="1">
      <c r="A259" s="2907" t="s">
        <v>733</v>
      </c>
      <c r="B259" s="2907"/>
      <c r="C259" s="2907"/>
      <c r="D259" s="2907"/>
      <c r="E259" s="2907"/>
      <c r="F259" s="2907"/>
      <c r="G259" s="2907"/>
      <c r="H259" s="779"/>
      <c r="I259" s="597"/>
      <c r="J259" s="594"/>
      <c r="K259" s="779"/>
      <c r="L259" s="597"/>
      <c r="M259" s="594"/>
      <c r="N259" s="669"/>
      <c r="O259" s="594"/>
      <c r="P259" s="670"/>
      <c r="Q259" s="671"/>
      <c r="R259" s="682"/>
      <c r="S259" s="682"/>
      <c r="T259" s="682"/>
      <c r="U259" s="682"/>
      <c r="V259" s="682"/>
      <c r="W259" s="682"/>
      <c r="X259" s="2909"/>
      <c r="Y259" s="2909"/>
      <c r="Z259" s="2909"/>
      <c r="AA259" s="2909"/>
      <c r="AB259" s="2909"/>
      <c r="AC259" s="2909"/>
      <c r="AD259" s="2909"/>
      <c r="AE259" s="2909"/>
      <c r="AF259" s="2909"/>
      <c r="AG259" s="2909"/>
    </row>
    <row r="260" spans="1:33" ht="18.649999999999999" hidden="1" customHeight="1">
      <c r="A260" s="1"/>
      <c r="B260" s="502"/>
      <c r="C260" s="50"/>
      <c r="D260" s="50"/>
      <c r="E260" s="50"/>
      <c r="G260" s="13"/>
      <c r="H260" s="60"/>
      <c r="I260" s="6"/>
      <c r="J260" s="65"/>
      <c r="K260" s="60"/>
      <c r="L260" s="6"/>
      <c r="M260" s="65"/>
      <c r="N260" s="60"/>
      <c r="P260" s="66"/>
      <c r="Q260" s="788"/>
      <c r="R260" s="8"/>
      <c r="S260" s="8"/>
      <c r="T260" s="788"/>
      <c r="U260" s="8"/>
      <c r="V260" s="8"/>
      <c r="W260" s="788"/>
      <c r="X260" s="2910"/>
      <c r="Y260" s="2910"/>
      <c r="Z260" s="2910"/>
      <c r="AA260" s="2910"/>
      <c r="AB260" s="2910"/>
      <c r="AC260" s="2910"/>
      <c r="AD260" s="2910"/>
      <c r="AE260" s="2910"/>
      <c r="AF260" s="2910"/>
      <c r="AG260" s="2910"/>
    </row>
    <row r="261" spans="1:33" ht="14.9" customHeight="1">
      <c r="A261" s="252"/>
      <c r="B261" s="2903" t="s">
        <v>241</v>
      </c>
      <c r="C261" s="2903"/>
      <c r="D261" s="2903"/>
      <c r="E261" s="2903"/>
      <c r="F261" s="6"/>
      <c r="G261" s="65"/>
      <c r="H261" s="801"/>
      <c r="I261" s="710"/>
      <c r="J261" s="711"/>
      <c r="K261" s="588"/>
      <c r="L261" s="710"/>
      <c r="M261" s="711"/>
      <c r="N261" s="588"/>
      <c r="O261" s="710"/>
      <c r="P261" s="712"/>
      <c r="Q261" s="588"/>
      <c r="R261" s="762"/>
      <c r="S261" s="762"/>
      <c r="T261" s="588"/>
      <c r="U261" s="762"/>
      <c r="V261" s="762"/>
      <c r="W261" s="588"/>
      <c r="X261" s="2893"/>
      <c r="Y261" s="2893"/>
      <c r="Z261" s="2893"/>
      <c r="AA261" s="2893"/>
      <c r="AB261" s="2893"/>
      <c r="AC261" s="2893"/>
      <c r="AD261" s="2893"/>
      <c r="AE261" s="2893"/>
      <c r="AF261" s="2893"/>
      <c r="AG261" s="2893"/>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911"/>
      <c r="Y262" s="2911"/>
      <c r="Z262" s="2911"/>
      <c r="AA262" s="2911"/>
      <c r="AB262" s="2911"/>
      <c r="AC262" s="2911"/>
      <c r="AD262" s="2911"/>
      <c r="AE262" s="2911"/>
      <c r="AF262" s="2911"/>
      <c r="AG262" s="2911"/>
    </row>
    <row r="263" spans="1:33" ht="14.9" customHeight="1">
      <c r="A263" s="252"/>
      <c r="B263" s="2903" t="s">
        <v>625</v>
      </c>
      <c r="C263" s="2903"/>
      <c r="D263" s="2903"/>
      <c r="E263" s="2903"/>
      <c r="F263" s="6"/>
      <c r="G263" s="65"/>
      <c r="H263" s="799"/>
      <c r="I263" s="710"/>
      <c r="J263" s="711"/>
      <c r="K263" s="628"/>
      <c r="L263" s="710"/>
      <c r="M263" s="711"/>
      <c r="N263" s="628"/>
      <c r="O263" s="710"/>
      <c r="P263" s="712"/>
      <c r="Q263" s="628"/>
      <c r="R263" s="762"/>
      <c r="S263" s="762"/>
      <c r="T263" s="628"/>
      <c r="U263" s="762"/>
      <c r="V263" s="762"/>
      <c r="W263" s="628"/>
      <c r="X263" s="2893"/>
      <c r="Y263" s="2893"/>
      <c r="Z263" s="2893"/>
      <c r="AA263" s="2893"/>
      <c r="AB263" s="2893"/>
      <c r="AC263" s="2893"/>
      <c r="AD263" s="2893"/>
      <c r="AE263" s="2893"/>
      <c r="AF263" s="2893"/>
      <c r="AG263" s="2893"/>
    </row>
    <row r="264" spans="1:33" ht="14.9" customHeight="1">
      <c r="A264" s="252"/>
      <c r="B264" s="2903" t="s">
        <v>626</v>
      </c>
      <c r="C264" s="2903"/>
      <c r="D264" s="2903"/>
      <c r="E264" s="2903"/>
      <c r="F264" s="6"/>
      <c r="G264" s="65"/>
      <c r="H264" s="480"/>
      <c r="I264" s="710"/>
      <c r="J264" s="711"/>
      <c r="K264" s="526"/>
      <c r="L264" s="710"/>
      <c r="M264" s="711"/>
      <c r="N264" s="526"/>
      <c r="O264" s="710"/>
      <c r="P264" s="712"/>
      <c r="Q264" s="526"/>
      <c r="R264" s="762"/>
      <c r="S264" s="762"/>
      <c r="T264" s="526"/>
      <c r="U264" s="762"/>
      <c r="V264" s="762"/>
      <c r="W264" s="526"/>
      <c r="X264" s="2893"/>
      <c r="Y264" s="2893"/>
      <c r="Z264" s="2893"/>
      <c r="AA264" s="2893"/>
      <c r="AB264" s="2893"/>
      <c r="AC264" s="2893"/>
      <c r="AD264" s="2893"/>
      <c r="AE264" s="2893"/>
      <c r="AF264" s="2893"/>
      <c r="AG264" s="2893"/>
    </row>
    <row r="265" spans="1:33" ht="14.9" customHeight="1">
      <c r="A265" s="252"/>
      <c r="B265" s="2903" t="s">
        <v>627</v>
      </c>
      <c r="C265" s="2903"/>
      <c r="D265" s="2903"/>
      <c r="E265" s="2903"/>
      <c r="F265" s="6"/>
      <c r="G265" s="65"/>
      <c r="H265" s="794"/>
      <c r="I265" s="710"/>
      <c r="J265" s="711"/>
      <c r="K265" s="561"/>
      <c r="L265" s="710"/>
      <c r="M265" s="711"/>
      <c r="N265" s="561"/>
      <c r="O265" s="710"/>
      <c r="P265" s="712"/>
      <c r="Q265" s="561"/>
      <c r="R265" s="762"/>
      <c r="S265" s="762"/>
      <c r="T265" s="561"/>
      <c r="U265" s="762"/>
      <c r="V265" s="762"/>
      <c r="W265" s="561"/>
      <c r="X265" s="2893"/>
      <c r="Y265" s="2893"/>
      <c r="Z265" s="2893"/>
      <c r="AA265" s="2893"/>
      <c r="AB265" s="2893"/>
      <c r="AC265" s="2893"/>
      <c r="AD265" s="2893"/>
      <c r="AE265" s="2893"/>
      <c r="AF265" s="2893"/>
      <c r="AG265" s="2893"/>
    </row>
    <row r="266" spans="1:33" ht="14.9" customHeight="1">
      <c r="A266" s="252"/>
      <c r="B266" s="2904" t="s">
        <v>628</v>
      </c>
      <c r="C266" s="2904"/>
      <c r="D266" s="2904"/>
      <c r="E266" s="2904"/>
      <c r="F266" s="6"/>
      <c r="G266" s="65"/>
      <c r="H266" s="480"/>
      <c r="I266" s="710"/>
      <c r="J266" s="711"/>
      <c r="K266" s="526"/>
      <c r="L266" s="710"/>
      <c r="M266" s="711"/>
      <c r="N266" s="526"/>
      <c r="O266" s="710"/>
      <c r="P266" s="712"/>
      <c r="Q266" s="526"/>
      <c r="R266" s="762"/>
      <c r="S266" s="762"/>
      <c r="T266" s="526"/>
      <c r="U266" s="762"/>
      <c r="V266" s="762"/>
      <c r="W266" s="526"/>
      <c r="X266" s="2893"/>
      <c r="Y266" s="2893"/>
      <c r="Z266" s="2893"/>
      <c r="AA266" s="2893"/>
      <c r="AB266" s="2893"/>
      <c r="AC266" s="2893"/>
      <c r="AD266" s="2893"/>
      <c r="AE266" s="2893"/>
      <c r="AF266" s="2893"/>
      <c r="AG266" s="2893"/>
    </row>
    <row r="267" spans="1:33" ht="32.9" customHeight="1">
      <c r="A267" s="252"/>
      <c r="B267" s="2904" t="s">
        <v>629</v>
      </c>
      <c r="C267" s="2904"/>
      <c r="D267" s="2904"/>
      <c r="E267" s="2904"/>
      <c r="F267" s="6"/>
      <c r="G267" s="65"/>
      <c r="H267" s="795"/>
      <c r="I267" s="710"/>
      <c r="J267" s="711"/>
      <c r="K267" s="568"/>
      <c r="L267" s="710"/>
      <c r="M267" s="711"/>
      <c r="N267" s="568"/>
      <c r="O267" s="710"/>
      <c r="P267" s="712"/>
      <c r="Q267" s="568"/>
      <c r="R267" s="762"/>
      <c r="S267" s="762"/>
      <c r="T267" s="568"/>
      <c r="U267" s="762"/>
      <c r="V267" s="762"/>
      <c r="W267" s="568"/>
      <c r="X267" s="2893"/>
      <c r="Y267" s="2893"/>
      <c r="Z267" s="2893"/>
      <c r="AA267" s="2893"/>
      <c r="AB267" s="2893"/>
      <c r="AC267" s="2893"/>
      <c r="AD267" s="2893"/>
      <c r="AE267" s="2893"/>
      <c r="AF267" s="2893"/>
      <c r="AG267" s="2893"/>
    </row>
    <row r="268" spans="1:33" ht="14.9" customHeight="1">
      <c r="A268" s="252"/>
      <c r="B268" s="2903" t="s">
        <v>630</v>
      </c>
      <c r="C268" s="2903"/>
      <c r="D268" s="2903"/>
      <c r="E268" s="2903"/>
      <c r="F268" s="6"/>
      <c r="G268" s="65"/>
      <c r="H268" s="480"/>
      <c r="I268" s="710"/>
      <c r="J268" s="711"/>
      <c r="K268" s="526"/>
      <c r="L268" s="710"/>
      <c r="M268" s="711"/>
      <c r="N268" s="526"/>
      <c r="O268" s="710"/>
      <c r="P268" s="712"/>
      <c r="Q268" s="526"/>
      <c r="R268" s="762"/>
      <c r="S268" s="762"/>
      <c r="T268" s="526"/>
      <c r="U268" s="762"/>
      <c r="V268" s="762"/>
      <c r="W268" s="526"/>
      <c r="X268" s="2893"/>
      <c r="Y268" s="2893"/>
      <c r="Z268" s="2893"/>
      <c r="AA268" s="2893"/>
      <c r="AB268" s="2893"/>
      <c r="AC268" s="2893"/>
      <c r="AD268" s="2893"/>
      <c r="AE268" s="2893"/>
      <c r="AF268" s="2893"/>
      <c r="AG268" s="2893"/>
    </row>
    <row r="269" spans="1:33" ht="14.9" customHeight="1">
      <c r="A269" s="252"/>
      <c r="B269" s="2904" t="s">
        <v>634</v>
      </c>
      <c r="C269" s="2904"/>
      <c r="D269" s="2904"/>
      <c r="E269" s="2904"/>
      <c r="F269" s="6"/>
      <c r="G269" s="63"/>
      <c r="H269" s="481"/>
      <c r="I269" s="710"/>
      <c r="J269" s="582"/>
      <c r="K269" s="553"/>
      <c r="L269" s="748"/>
      <c r="M269" s="711"/>
      <c r="N269" s="553"/>
      <c r="O269" s="710"/>
      <c r="P269" s="582"/>
      <c r="Q269" s="553"/>
      <c r="R269" s="762"/>
      <c r="S269" s="762"/>
      <c r="T269" s="553"/>
      <c r="U269" s="762"/>
      <c r="V269" s="762"/>
      <c r="W269" s="553"/>
      <c r="X269" s="2893"/>
      <c r="Y269" s="2893"/>
      <c r="Z269" s="2893"/>
      <c r="AA269" s="2893"/>
      <c r="AB269" s="2893"/>
      <c r="AC269" s="2893"/>
      <c r="AD269" s="2893"/>
      <c r="AE269" s="2893"/>
      <c r="AF269" s="2893"/>
      <c r="AG269" s="2893"/>
    </row>
    <row r="270" spans="1:33" ht="29.15" customHeight="1">
      <c r="A270" s="252"/>
      <c r="B270" s="2903" t="s">
        <v>1551</v>
      </c>
      <c r="C270" s="2903"/>
      <c r="D270" s="2903"/>
      <c r="E270" s="2903"/>
      <c r="F270" s="6"/>
      <c r="G270" s="63"/>
      <c r="H270" s="796"/>
      <c r="I270" s="710"/>
      <c r="J270" s="582"/>
      <c r="K270" s="619"/>
      <c r="L270" s="748"/>
      <c r="M270" s="711"/>
      <c r="N270" s="619"/>
      <c r="O270" s="710"/>
      <c r="P270" s="582"/>
      <c r="Q270" s="619"/>
      <c r="R270" s="762"/>
      <c r="S270" s="762"/>
      <c r="T270" s="619"/>
      <c r="U270" s="762"/>
      <c r="V270" s="762"/>
      <c r="W270" s="619"/>
      <c r="X270" s="2893"/>
      <c r="Y270" s="2893"/>
      <c r="Z270" s="2893"/>
      <c r="AA270" s="2893"/>
      <c r="AB270" s="2893"/>
      <c r="AC270" s="2893"/>
      <c r="AD270" s="2893"/>
      <c r="AE270" s="2893"/>
      <c r="AF270" s="2893"/>
      <c r="AG270" s="2893"/>
    </row>
    <row r="271" spans="1:33" ht="29.15" customHeight="1">
      <c r="A271" s="252"/>
      <c r="B271" s="2903" t="s">
        <v>1552</v>
      </c>
      <c r="C271" s="2903"/>
      <c r="D271" s="2903"/>
      <c r="E271" s="2903"/>
      <c r="F271" s="6"/>
      <c r="G271" s="63"/>
      <c r="H271" s="796"/>
      <c r="I271" s="710"/>
      <c r="J271" s="582"/>
      <c r="K271" s="619"/>
      <c r="L271" s="748"/>
      <c r="M271" s="711"/>
      <c r="N271" s="619"/>
      <c r="O271" s="710"/>
      <c r="P271" s="582"/>
      <c r="Q271" s="619"/>
      <c r="R271" s="762"/>
      <c r="S271" s="762"/>
      <c r="T271" s="619"/>
      <c r="U271" s="762"/>
      <c r="V271" s="762"/>
      <c r="W271" s="619"/>
      <c r="X271" s="2893"/>
      <c r="Y271" s="2893"/>
      <c r="Z271" s="2893"/>
      <c r="AA271" s="2893"/>
      <c r="AB271" s="2893"/>
      <c r="AC271" s="2893"/>
      <c r="AD271" s="2893"/>
      <c r="AE271" s="2893"/>
      <c r="AF271" s="2893"/>
      <c r="AG271" s="2893"/>
    </row>
    <row r="272" spans="1:33" ht="32.9" customHeight="1">
      <c r="A272" s="252"/>
      <c r="B272" s="2903" t="s">
        <v>331</v>
      </c>
      <c r="C272" s="2903"/>
      <c r="D272" s="2903"/>
      <c r="E272" s="2903"/>
      <c r="F272" s="6"/>
      <c r="G272" s="65"/>
      <c r="H272" s="480"/>
      <c r="I272" s="710"/>
      <c r="J272" s="711"/>
      <c r="K272" s="526"/>
      <c r="L272" s="710"/>
      <c r="M272" s="711"/>
      <c r="N272" s="526"/>
      <c r="O272" s="710"/>
      <c r="P272" s="712"/>
      <c r="Q272" s="526"/>
      <c r="R272" s="762"/>
      <c r="S272" s="762"/>
      <c r="T272" s="526"/>
      <c r="U272" s="762"/>
      <c r="V272" s="762"/>
      <c r="W272" s="526"/>
      <c r="X272" s="2893"/>
      <c r="Y272" s="2893"/>
      <c r="Z272" s="2893"/>
      <c r="AA272" s="2893"/>
      <c r="AB272" s="2893"/>
      <c r="AC272" s="2893"/>
      <c r="AD272" s="2893"/>
      <c r="AE272" s="2893"/>
      <c r="AF272" s="2893"/>
      <c r="AG272" s="2893"/>
    </row>
    <row r="273" spans="1:33" ht="14.9" customHeight="1">
      <c r="A273" s="252"/>
      <c r="B273" s="2904" t="s">
        <v>332</v>
      </c>
      <c r="C273" s="2904"/>
      <c r="D273" s="2904"/>
      <c r="E273" s="2904"/>
      <c r="F273" s="6"/>
      <c r="G273" s="63"/>
      <c r="H273" s="480"/>
      <c r="I273" s="710"/>
      <c r="J273" s="582"/>
      <c r="K273" s="526"/>
      <c r="L273" s="748"/>
      <c r="M273" s="711"/>
      <c r="N273" s="526"/>
      <c r="O273" s="710"/>
      <c r="P273" s="582"/>
      <c r="Q273" s="526"/>
      <c r="R273" s="762"/>
      <c r="S273" s="762"/>
      <c r="T273" s="526"/>
      <c r="U273" s="762"/>
      <c r="V273" s="762"/>
      <c r="W273" s="526"/>
      <c r="X273" s="2893"/>
      <c r="Y273" s="2893"/>
      <c r="Z273" s="2893"/>
      <c r="AA273" s="2893"/>
      <c r="AB273" s="2893"/>
      <c r="AC273" s="2893"/>
      <c r="AD273" s="2893"/>
      <c r="AE273" s="2893"/>
      <c r="AF273" s="2893"/>
      <c r="AG273" s="2893"/>
    </row>
    <row r="274" spans="1:33" ht="14.9" customHeight="1">
      <c r="A274" s="252"/>
      <c r="B274" s="2903" t="s">
        <v>333</v>
      </c>
      <c r="C274" s="2903"/>
      <c r="D274" s="2903"/>
      <c r="E274" s="2903"/>
      <c r="F274" s="6"/>
      <c r="G274" s="63"/>
      <c r="H274" s="480"/>
      <c r="I274" s="710"/>
      <c r="J274" s="582"/>
      <c r="K274" s="526"/>
      <c r="L274" s="748"/>
      <c r="M274" s="711"/>
      <c r="N274" s="526"/>
      <c r="O274" s="710"/>
      <c r="P274" s="582"/>
      <c r="Q274" s="526"/>
      <c r="R274" s="762"/>
      <c r="S274" s="762"/>
      <c r="T274" s="526"/>
      <c r="U274" s="762"/>
      <c r="V274" s="762"/>
      <c r="W274" s="526"/>
      <c r="X274" s="2893"/>
      <c r="Y274" s="2893"/>
      <c r="Z274" s="2893"/>
      <c r="AA274" s="2893"/>
      <c r="AB274" s="2893"/>
      <c r="AC274" s="2893"/>
      <c r="AD274" s="2893"/>
      <c r="AE274" s="2893"/>
      <c r="AF274" s="2893"/>
      <c r="AG274" s="2893"/>
    </row>
    <row r="275" spans="1:33" ht="14.9" customHeight="1">
      <c r="A275" s="252"/>
      <c r="B275" s="2903" t="s">
        <v>334</v>
      </c>
      <c r="C275" s="2903"/>
      <c r="D275" s="2903"/>
      <c r="E275" s="2903"/>
      <c r="F275" s="6"/>
      <c r="G275" s="63"/>
      <c r="H275" s="480"/>
      <c r="I275" s="710"/>
      <c r="J275" s="582"/>
      <c r="K275" s="526"/>
      <c r="L275" s="748"/>
      <c r="M275" s="711"/>
      <c r="N275" s="526"/>
      <c r="O275" s="710"/>
      <c r="P275" s="582"/>
      <c r="Q275" s="526"/>
      <c r="R275" s="762"/>
      <c r="S275" s="762"/>
      <c r="T275" s="526"/>
      <c r="U275" s="762"/>
      <c r="V275" s="762"/>
      <c r="W275" s="526"/>
      <c r="X275" s="2893"/>
      <c r="Y275" s="2893"/>
      <c r="Z275" s="2893"/>
      <c r="AA275" s="2893"/>
      <c r="AB275" s="2893"/>
      <c r="AC275" s="2893"/>
      <c r="AD275" s="2893"/>
      <c r="AE275" s="2893"/>
      <c r="AF275" s="2893"/>
      <c r="AG275" s="2893"/>
    </row>
    <row r="276" spans="1:33" ht="14.9" customHeight="1">
      <c r="A276" s="252"/>
      <c r="B276" s="2904" t="s">
        <v>335</v>
      </c>
      <c r="C276" s="2904"/>
      <c r="D276" s="2904"/>
      <c r="E276" s="2904"/>
      <c r="F276" s="6"/>
      <c r="G276" s="63"/>
      <c r="H276" s="480"/>
      <c r="I276" s="710"/>
      <c r="J276" s="582"/>
      <c r="K276" s="526"/>
      <c r="L276" s="748"/>
      <c r="M276" s="711"/>
      <c r="N276" s="526"/>
      <c r="O276" s="710"/>
      <c r="P276" s="582"/>
      <c r="Q276" s="526"/>
      <c r="R276" s="762"/>
      <c r="S276" s="762"/>
      <c r="T276" s="526"/>
      <c r="U276" s="762"/>
      <c r="V276" s="762"/>
      <c r="W276" s="526"/>
      <c r="X276" s="2893"/>
      <c r="Y276" s="2893"/>
      <c r="Z276" s="2893"/>
      <c r="AA276" s="2893"/>
      <c r="AB276" s="2893"/>
      <c r="AC276" s="2893"/>
      <c r="AD276" s="2893"/>
      <c r="AE276" s="2893"/>
      <c r="AF276" s="2893"/>
      <c r="AG276" s="2893"/>
    </row>
    <row r="277" spans="1:33" ht="14.9" customHeight="1">
      <c r="A277" s="252"/>
      <c r="B277" s="2903" t="s">
        <v>336</v>
      </c>
      <c r="C277" s="2903"/>
      <c r="D277" s="2903"/>
      <c r="E277" s="2903"/>
      <c r="F277" s="6"/>
      <c r="G277" s="63"/>
      <c r="H277" s="480"/>
      <c r="I277" s="710"/>
      <c r="J277" s="582"/>
      <c r="K277" s="526"/>
      <c r="L277" s="748"/>
      <c r="M277" s="711"/>
      <c r="N277" s="526"/>
      <c r="O277" s="710"/>
      <c r="P277" s="582"/>
      <c r="Q277" s="526"/>
      <c r="R277" s="762"/>
      <c r="S277" s="762"/>
      <c r="T277" s="526"/>
      <c r="U277" s="762"/>
      <c r="V277" s="762"/>
      <c r="W277" s="526"/>
      <c r="X277" s="2893"/>
      <c r="Y277" s="2893"/>
      <c r="Z277" s="2893"/>
      <c r="AA277" s="2893"/>
      <c r="AB277" s="2893"/>
      <c r="AC277" s="2893"/>
      <c r="AD277" s="2893"/>
      <c r="AE277" s="2893"/>
      <c r="AF277" s="2893"/>
      <c r="AG277" s="2893"/>
    </row>
    <row r="278" spans="1:33" ht="32.9" customHeight="1">
      <c r="A278" s="252"/>
      <c r="B278" s="2903" t="s">
        <v>337</v>
      </c>
      <c r="C278" s="2903"/>
      <c r="D278" s="2903"/>
      <c r="E278" s="2903"/>
      <c r="F278" s="6"/>
      <c r="G278" s="63"/>
      <c r="H278" s="480"/>
      <c r="I278" s="710"/>
      <c r="J278" s="582"/>
      <c r="K278" s="526"/>
      <c r="L278" s="748"/>
      <c r="M278" s="711"/>
      <c r="N278" s="526"/>
      <c r="O278" s="710"/>
      <c r="P278" s="582"/>
      <c r="Q278" s="526"/>
      <c r="R278" s="762"/>
      <c r="S278" s="762"/>
      <c r="T278" s="526"/>
      <c r="U278" s="762"/>
      <c r="V278" s="762"/>
      <c r="W278" s="526"/>
      <c r="X278" s="2893"/>
      <c r="Y278" s="2893"/>
      <c r="Z278" s="2893"/>
      <c r="AA278" s="2893"/>
      <c r="AB278" s="2893"/>
      <c r="AC278" s="2893"/>
      <c r="AD278" s="2893"/>
      <c r="AE278" s="2893"/>
      <c r="AF278" s="2893"/>
      <c r="AG278" s="2893"/>
    </row>
    <row r="279" spans="1:33" ht="32.9" customHeight="1">
      <c r="A279" s="252"/>
      <c r="B279" s="2903" t="s">
        <v>338</v>
      </c>
      <c r="C279" s="2903"/>
      <c r="D279" s="2903"/>
      <c r="E279" s="2903"/>
      <c r="F279" s="6"/>
      <c r="G279" s="63"/>
      <c r="H279" s="480"/>
      <c r="I279" s="710"/>
      <c r="J279" s="582"/>
      <c r="K279" s="526"/>
      <c r="L279" s="748"/>
      <c r="M279" s="711"/>
      <c r="N279" s="526"/>
      <c r="O279" s="710"/>
      <c r="P279" s="582"/>
      <c r="Q279" s="526"/>
      <c r="R279" s="762"/>
      <c r="S279" s="762"/>
      <c r="T279" s="526"/>
      <c r="U279" s="762"/>
      <c r="V279" s="762"/>
      <c r="W279" s="526"/>
      <c r="X279" s="2893"/>
      <c r="Y279" s="2893"/>
      <c r="Z279" s="2893"/>
      <c r="AA279" s="2893"/>
      <c r="AB279" s="2893"/>
      <c r="AC279" s="2893"/>
      <c r="AD279" s="2893"/>
      <c r="AE279" s="2893"/>
      <c r="AF279" s="2893"/>
      <c r="AG279" s="2893"/>
    </row>
    <row r="280" spans="1:33" ht="14.9" customHeight="1">
      <c r="A280" s="252"/>
      <c r="B280" s="2903" t="s">
        <v>735</v>
      </c>
      <c r="C280" s="2903"/>
      <c r="D280" s="2903"/>
      <c r="E280" s="2903"/>
      <c r="F280" s="6"/>
      <c r="G280" s="63"/>
      <c r="H280" s="480"/>
      <c r="I280" s="710"/>
      <c r="J280" s="582"/>
      <c r="K280" s="526"/>
      <c r="L280" s="748"/>
      <c r="M280" s="711"/>
      <c r="N280" s="526"/>
      <c r="O280" s="710"/>
      <c r="P280" s="582"/>
      <c r="Q280" s="526"/>
      <c r="R280" s="762"/>
      <c r="S280" s="762"/>
      <c r="T280" s="526"/>
      <c r="U280" s="762"/>
      <c r="V280" s="762"/>
      <c r="W280" s="526"/>
      <c r="X280" s="2893"/>
      <c r="Y280" s="2893"/>
      <c r="Z280" s="2893"/>
      <c r="AA280" s="2893"/>
      <c r="AB280" s="2893"/>
      <c r="AC280" s="2893"/>
      <c r="AD280" s="2893"/>
      <c r="AE280" s="2893"/>
      <c r="AF280" s="2893"/>
      <c r="AG280" s="2893"/>
    </row>
    <row r="281" spans="1:33" ht="14.9" customHeight="1">
      <c r="A281" s="252"/>
      <c r="B281" s="2903" t="s">
        <v>734</v>
      </c>
      <c r="C281" s="2903"/>
      <c r="D281" s="2903"/>
      <c r="E281" s="2903"/>
      <c r="F281" s="6"/>
      <c r="G281" s="63"/>
      <c r="H281" s="797"/>
      <c r="I281" s="710"/>
      <c r="J281" s="582"/>
      <c r="K281" s="562"/>
      <c r="L281" s="748"/>
      <c r="M281" s="711"/>
      <c r="N281" s="562"/>
      <c r="O281" s="710"/>
      <c r="P281" s="582"/>
      <c r="Q281" s="562"/>
      <c r="R281" s="762"/>
      <c r="S281" s="762"/>
      <c r="T281" s="562"/>
      <c r="U281" s="762"/>
      <c r="V281" s="762"/>
      <c r="W281" s="562"/>
      <c r="X281" s="2893"/>
      <c r="Y281" s="2893"/>
      <c r="Z281" s="2893"/>
      <c r="AA281" s="2893"/>
      <c r="AB281" s="2893"/>
      <c r="AC281" s="2893"/>
      <c r="AD281" s="2893"/>
      <c r="AE281" s="2893"/>
      <c r="AF281" s="2893"/>
      <c r="AG281" s="2893"/>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911"/>
      <c r="Y282" s="2911"/>
      <c r="Z282" s="2911"/>
      <c r="AA282" s="2911"/>
      <c r="AB282" s="2911"/>
      <c r="AC282" s="2911"/>
      <c r="AD282" s="2911"/>
      <c r="AE282" s="2911"/>
      <c r="AF282" s="2911"/>
      <c r="AG282" s="2911"/>
    </row>
    <row r="283" spans="1:33" ht="14.9" customHeight="1">
      <c r="A283" s="252"/>
      <c r="B283" s="2903" t="s">
        <v>625</v>
      </c>
      <c r="C283" s="2903"/>
      <c r="D283" s="2903"/>
      <c r="E283" s="2903"/>
      <c r="F283" s="6"/>
      <c r="G283" s="65"/>
      <c r="H283" s="799"/>
      <c r="I283" s="710"/>
      <c r="J283" s="711"/>
      <c r="K283" s="628"/>
      <c r="L283" s="710"/>
      <c r="M283" s="711"/>
      <c r="N283" s="628"/>
      <c r="O283" s="710"/>
      <c r="P283" s="712"/>
      <c r="Q283" s="628"/>
      <c r="R283" s="762"/>
      <c r="S283" s="762"/>
      <c r="T283" s="628"/>
      <c r="U283" s="762"/>
      <c r="V283" s="762"/>
      <c r="W283" s="628"/>
      <c r="X283" s="2893"/>
      <c r="Y283" s="2893"/>
      <c r="Z283" s="2893"/>
      <c r="AA283" s="2893"/>
      <c r="AB283" s="2893"/>
      <c r="AC283" s="2893"/>
      <c r="AD283" s="2893"/>
      <c r="AE283" s="2893"/>
      <c r="AF283" s="2893"/>
      <c r="AG283" s="2893"/>
    </row>
    <row r="284" spans="1:33" ht="14.9" customHeight="1">
      <c r="A284" s="252"/>
      <c r="B284" s="2903" t="s">
        <v>626</v>
      </c>
      <c r="C284" s="2903"/>
      <c r="D284" s="2903"/>
      <c r="E284" s="2903"/>
      <c r="F284" s="6"/>
      <c r="G284" s="63"/>
      <c r="H284" s="480"/>
      <c r="I284" s="710"/>
      <c r="J284" s="582"/>
      <c r="K284" s="526"/>
      <c r="L284" s="748"/>
      <c r="M284" s="711"/>
      <c r="N284" s="526"/>
      <c r="O284" s="710"/>
      <c r="P284" s="582"/>
      <c r="Q284" s="526"/>
      <c r="R284" s="762"/>
      <c r="S284" s="762"/>
      <c r="T284" s="526"/>
      <c r="U284" s="762"/>
      <c r="V284" s="762"/>
      <c r="W284" s="526"/>
      <c r="X284" s="2893"/>
      <c r="Y284" s="2893"/>
      <c r="Z284" s="2893"/>
      <c r="AA284" s="2893"/>
      <c r="AB284" s="2893"/>
      <c r="AC284" s="2893"/>
      <c r="AD284" s="2893"/>
      <c r="AE284" s="2893"/>
      <c r="AF284" s="2893"/>
      <c r="AG284" s="2893"/>
    </row>
    <row r="285" spans="1:33" ht="14.9" customHeight="1">
      <c r="A285" s="252"/>
      <c r="B285" s="2903" t="s">
        <v>627</v>
      </c>
      <c r="C285" s="2903"/>
      <c r="D285" s="2903"/>
      <c r="E285" s="2903"/>
      <c r="F285" s="6"/>
      <c r="G285" s="63"/>
      <c r="H285" s="794"/>
      <c r="I285" s="710"/>
      <c r="J285" s="582"/>
      <c r="K285" s="561"/>
      <c r="L285" s="748"/>
      <c r="M285" s="711"/>
      <c r="N285" s="561"/>
      <c r="O285" s="710"/>
      <c r="P285" s="582"/>
      <c r="Q285" s="561"/>
      <c r="R285" s="762"/>
      <c r="S285" s="762"/>
      <c r="T285" s="561"/>
      <c r="U285" s="762"/>
      <c r="V285" s="762"/>
      <c r="W285" s="561"/>
      <c r="X285" s="2893"/>
      <c r="Y285" s="2893"/>
      <c r="Z285" s="2893"/>
      <c r="AA285" s="2893"/>
      <c r="AB285" s="2893"/>
      <c r="AC285" s="2893"/>
      <c r="AD285" s="2893"/>
      <c r="AE285" s="2893"/>
      <c r="AF285" s="2893"/>
      <c r="AG285" s="2893"/>
    </row>
    <row r="286" spans="1:33" ht="14.9" customHeight="1">
      <c r="A286" s="252"/>
      <c r="B286" s="2904" t="s">
        <v>628</v>
      </c>
      <c r="C286" s="2904"/>
      <c r="D286" s="2904"/>
      <c r="E286" s="2904"/>
      <c r="F286" s="6"/>
      <c r="G286" s="63"/>
      <c r="H286" s="480"/>
      <c r="I286" s="710"/>
      <c r="J286" s="582"/>
      <c r="K286" s="526"/>
      <c r="L286" s="748"/>
      <c r="M286" s="711"/>
      <c r="N286" s="526"/>
      <c r="O286" s="710"/>
      <c r="P286" s="582"/>
      <c r="Q286" s="526"/>
      <c r="R286" s="762"/>
      <c r="S286" s="762"/>
      <c r="T286" s="526"/>
      <c r="U286" s="762"/>
      <c r="V286" s="762"/>
      <c r="W286" s="526"/>
      <c r="X286" s="2893"/>
      <c r="Y286" s="2893"/>
      <c r="Z286" s="2893"/>
      <c r="AA286" s="2893"/>
      <c r="AB286" s="2893"/>
      <c r="AC286" s="2893"/>
      <c r="AD286" s="2893"/>
      <c r="AE286" s="2893"/>
      <c r="AF286" s="2893"/>
      <c r="AG286" s="2893"/>
    </row>
    <row r="287" spans="1:33" ht="33.75" customHeight="1">
      <c r="A287" s="252"/>
      <c r="B287" s="2904" t="s">
        <v>629</v>
      </c>
      <c r="C287" s="2904"/>
      <c r="D287" s="2904"/>
      <c r="E287" s="2904"/>
      <c r="F287" s="6"/>
      <c r="G287" s="65"/>
      <c r="H287" s="795"/>
      <c r="I287" s="710"/>
      <c r="J287" s="711"/>
      <c r="K287" s="568"/>
      <c r="L287" s="710"/>
      <c r="M287" s="711"/>
      <c r="N287" s="568"/>
      <c r="O287" s="710"/>
      <c r="P287" s="712"/>
      <c r="Q287" s="568"/>
      <c r="R287" s="762"/>
      <c r="S287" s="762"/>
      <c r="T287" s="568"/>
      <c r="U287" s="762"/>
      <c r="V287" s="762"/>
      <c r="W287" s="568"/>
      <c r="X287" s="2893"/>
      <c r="Y287" s="2893"/>
      <c r="Z287" s="2893"/>
      <c r="AA287" s="2893"/>
      <c r="AB287" s="2893"/>
      <c r="AC287" s="2893"/>
      <c r="AD287" s="2893"/>
      <c r="AE287" s="2893"/>
      <c r="AF287" s="2893"/>
      <c r="AG287" s="2893"/>
    </row>
    <row r="288" spans="1:33" ht="14.9" customHeight="1">
      <c r="A288" s="252"/>
      <c r="B288" s="2903" t="s">
        <v>630</v>
      </c>
      <c r="C288" s="2903"/>
      <c r="D288" s="2903"/>
      <c r="E288" s="2903"/>
      <c r="F288" s="6"/>
      <c r="G288" s="65"/>
      <c r="H288" s="480"/>
      <c r="I288" s="710"/>
      <c r="J288" s="711"/>
      <c r="K288" s="526"/>
      <c r="L288" s="710"/>
      <c r="M288" s="711"/>
      <c r="N288" s="526"/>
      <c r="O288" s="710"/>
      <c r="P288" s="712"/>
      <c r="Q288" s="526"/>
      <c r="R288" s="762"/>
      <c r="S288" s="762"/>
      <c r="T288" s="526"/>
      <c r="U288" s="762"/>
      <c r="V288" s="762"/>
      <c r="W288" s="526"/>
      <c r="X288" s="2893"/>
      <c r="Y288" s="2893"/>
      <c r="Z288" s="2893"/>
      <c r="AA288" s="2893"/>
      <c r="AB288" s="2893"/>
      <c r="AC288" s="2893"/>
      <c r="AD288" s="2893"/>
      <c r="AE288" s="2893"/>
      <c r="AF288" s="2893"/>
      <c r="AG288" s="2893"/>
    </row>
    <row r="289" spans="1:33" ht="14.9" customHeight="1">
      <c r="A289" s="252"/>
      <c r="B289" s="2904" t="s">
        <v>634</v>
      </c>
      <c r="C289" s="2904"/>
      <c r="D289" s="2904"/>
      <c r="E289" s="2904"/>
      <c r="F289" s="6"/>
      <c r="G289" s="65"/>
      <c r="H289" s="481"/>
      <c r="I289" s="710"/>
      <c r="J289" s="711"/>
      <c r="K289" s="553"/>
      <c r="L289" s="710"/>
      <c r="M289" s="711"/>
      <c r="N289" s="553"/>
      <c r="O289" s="710"/>
      <c r="P289" s="712"/>
      <c r="Q289" s="553"/>
      <c r="R289" s="762"/>
      <c r="S289" s="762"/>
      <c r="T289" s="553"/>
      <c r="U289" s="762"/>
      <c r="V289" s="762"/>
      <c r="W289" s="553"/>
      <c r="X289" s="2893"/>
      <c r="Y289" s="2893"/>
      <c r="Z289" s="2893"/>
      <c r="AA289" s="2893"/>
      <c r="AB289" s="2893"/>
      <c r="AC289" s="2893"/>
      <c r="AD289" s="2893"/>
      <c r="AE289" s="2893"/>
      <c r="AF289" s="2893"/>
      <c r="AG289" s="2893"/>
    </row>
    <row r="290" spans="1:33" ht="29.15" customHeight="1">
      <c r="A290" s="252"/>
      <c r="B290" s="2903" t="s">
        <v>1551</v>
      </c>
      <c r="C290" s="2903"/>
      <c r="D290" s="2903"/>
      <c r="E290" s="2903"/>
      <c r="F290" s="6"/>
      <c r="G290" s="65"/>
      <c r="H290" s="796"/>
      <c r="I290" s="710"/>
      <c r="J290" s="711"/>
      <c r="K290" s="619"/>
      <c r="L290" s="710"/>
      <c r="M290" s="711"/>
      <c r="N290" s="619"/>
      <c r="O290" s="710"/>
      <c r="P290" s="712"/>
      <c r="Q290" s="619"/>
      <c r="R290" s="762"/>
      <c r="S290" s="762"/>
      <c r="T290" s="619"/>
      <c r="U290" s="762"/>
      <c r="V290" s="762"/>
      <c r="W290" s="619"/>
      <c r="X290" s="2893"/>
      <c r="Y290" s="2893"/>
      <c r="Z290" s="2893"/>
      <c r="AA290" s="2893"/>
      <c r="AB290" s="2893"/>
      <c r="AC290" s="2893"/>
      <c r="AD290" s="2893"/>
      <c r="AE290" s="2893"/>
      <c r="AF290" s="2893"/>
      <c r="AG290" s="2893"/>
    </row>
    <row r="291" spans="1:33" ht="29.15" customHeight="1">
      <c r="A291" s="252"/>
      <c r="B291" s="2903" t="s">
        <v>1552</v>
      </c>
      <c r="C291" s="2903"/>
      <c r="D291" s="2903"/>
      <c r="E291" s="2903"/>
      <c r="F291" s="6"/>
      <c r="G291" s="65"/>
      <c r="H291" s="796"/>
      <c r="I291" s="710"/>
      <c r="J291" s="711"/>
      <c r="K291" s="619"/>
      <c r="L291" s="710"/>
      <c r="M291" s="711"/>
      <c r="N291" s="619"/>
      <c r="O291" s="710"/>
      <c r="P291" s="712"/>
      <c r="Q291" s="619"/>
      <c r="R291" s="762"/>
      <c r="S291" s="762"/>
      <c r="T291" s="619"/>
      <c r="U291" s="762"/>
      <c r="V291" s="762"/>
      <c r="W291" s="619"/>
      <c r="X291" s="2893"/>
      <c r="Y291" s="2893"/>
      <c r="Z291" s="2893"/>
      <c r="AA291" s="2893"/>
      <c r="AB291" s="2893"/>
      <c r="AC291" s="2893"/>
      <c r="AD291" s="2893"/>
      <c r="AE291" s="2893"/>
      <c r="AF291" s="2893"/>
      <c r="AG291" s="2893"/>
    </row>
    <row r="292" spans="1:33" ht="33.75" customHeight="1">
      <c r="A292" s="252"/>
      <c r="B292" s="2903" t="s">
        <v>331</v>
      </c>
      <c r="C292" s="2903"/>
      <c r="D292" s="2903"/>
      <c r="E292" s="2903"/>
      <c r="F292" s="6"/>
      <c r="G292" s="65"/>
      <c r="H292" s="480"/>
      <c r="I292" s="710"/>
      <c r="J292" s="711"/>
      <c r="K292" s="526"/>
      <c r="L292" s="710"/>
      <c r="M292" s="711"/>
      <c r="N292" s="526"/>
      <c r="O292" s="710"/>
      <c r="P292" s="712"/>
      <c r="Q292" s="526"/>
      <c r="R292" s="762"/>
      <c r="S292" s="762"/>
      <c r="T292" s="526"/>
      <c r="U292" s="762"/>
      <c r="V292" s="762"/>
      <c r="W292" s="526"/>
      <c r="X292" s="2893"/>
      <c r="Y292" s="2893"/>
      <c r="Z292" s="2893"/>
      <c r="AA292" s="2893"/>
      <c r="AB292" s="2893"/>
      <c r="AC292" s="2893"/>
      <c r="AD292" s="2893"/>
      <c r="AE292" s="2893"/>
      <c r="AF292" s="2893"/>
      <c r="AG292" s="2893"/>
    </row>
    <row r="293" spans="1:33" ht="14.9" customHeight="1">
      <c r="A293" s="252"/>
      <c r="B293" s="2904" t="s">
        <v>332</v>
      </c>
      <c r="C293" s="2904"/>
      <c r="D293" s="2904"/>
      <c r="E293" s="2904"/>
      <c r="F293" s="6"/>
      <c r="G293" s="63"/>
      <c r="H293" s="480"/>
      <c r="I293" s="710"/>
      <c r="J293" s="582"/>
      <c r="K293" s="526"/>
      <c r="L293" s="748"/>
      <c r="M293" s="711"/>
      <c r="N293" s="526"/>
      <c r="O293" s="710"/>
      <c r="P293" s="582"/>
      <c r="Q293" s="526"/>
      <c r="R293" s="762"/>
      <c r="S293" s="762"/>
      <c r="T293" s="526"/>
      <c r="U293" s="762"/>
      <c r="V293" s="762"/>
      <c r="W293" s="526"/>
      <c r="X293" s="2893"/>
      <c r="Y293" s="2893"/>
      <c r="Z293" s="2893"/>
      <c r="AA293" s="2893"/>
      <c r="AB293" s="2893"/>
      <c r="AC293" s="2893"/>
      <c r="AD293" s="2893"/>
      <c r="AE293" s="2893"/>
      <c r="AF293" s="2893"/>
      <c r="AG293" s="2893"/>
    </row>
    <row r="294" spans="1:33" ht="14.9" customHeight="1">
      <c r="A294" s="252"/>
      <c r="B294" s="2903" t="s">
        <v>333</v>
      </c>
      <c r="C294" s="2903"/>
      <c r="D294" s="2903"/>
      <c r="E294" s="2903"/>
      <c r="F294" s="6"/>
      <c r="G294" s="63"/>
      <c r="H294" s="480"/>
      <c r="I294" s="710"/>
      <c r="J294" s="582"/>
      <c r="K294" s="526"/>
      <c r="L294" s="748"/>
      <c r="M294" s="711"/>
      <c r="N294" s="526"/>
      <c r="O294" s="710"/>
      <c r="P294" s="582"/>
      <c r="Q294" s="526"/>
      <c r="R294" s="762"/>
      <c r="S294" s="762"/>
      <c r="T294" s="526"/>
      <c r="U294" s="762"/>
      <c r="V294" s="762"/>
      <c r="W294" s="526"/>
      <c r="X294" s="2893"/>
      <c r="Y294" s="2893"/>
      <c r="Z294" s="2893"/>
      <c r="AA294" s="2893"/>
      <c r="AB294" s="2893"/>
      <c r="AC294" s="2893"/>
      <c r="AD294" s="2893"/>
      <c r="AE294" s="2893"/>
      <c r="AF294" s="2893"/>
      <c r="AG294" s="2893"/>
    </row>
    <row r="295" spans="1:33" ht="14.9" customHeight="1">
      <c r="A295" s="252"/>
      <c r="B295" s="2903" t="s">
        <v>334</v>
      </c>
      <c r="C295" s="2903"/>
      <c r="D295" s="2903"/>
      <c r="E295" s="2903"/>
      <c r="F295" s="6"/>
      <c r="G295" s="63"/>
      <c r="H295" s="480"/>
      <c r="I295" s="710"/>
      <c r="J295" s="582"/>
      <c r="K295" s="526"/>
      <c r="L295" s="748"/>
      <c r="M295" s="711"/>
      <c r="N295" s="526"/>
      <c r="O295" s="710"/>
      <c r="P295" s="582"/>
      <c r="Q295" s="526"/>
      <c r="R295" s="762"/>
      <c r="S295" s="762"/>
      <c r="T295" s="526"/>
      <c r="U295" s="762"/>
      <c r="V295" s="762"/>
      <c r="W295" s="526"/>
      <c r="X295" s="2893"/>
      <c r="Y295" s="2893"/>
      <c r="Z295" s="2893"/>
      <c r="AA295" s="2893"/>
      <c r="AB295" s="2893"/>
      <c r="AC295" s="2893"/>
      <c r="AD295" s="2893"/>
      <c r="AE295" s="2893"/>
      <c r="AF295" s="2893"/>
      <c r="AG295" s="2893"/>
    </row>
    <row r="296" spans="1:33" ht="14.9" customHeight="1">
      <c r="A296" s="252"/>
      <c r="B296" s="2904" t="s">
        <v>335</v>
      </c>
      <c r="C296" s="2904"/>
      <c r="D296" s="2904"/>
      <c r="E296" s="2904"/>
      <c r="F296" s="6"/>
      <c r="G296" s="63"/>
      <c r="H296" s="480"/>
      <c r="I296" s="710"/>
      <c r="J296" s="582"/>
      <c r="K296" s="526"/>
      <c r="L296" s="748"/>
      <c r="M296" s="711"/>
      <c r="N296" s="526"/>
      <c r="O296" s="710"/>
      <c r="P296" s="582"/>
      <c r="Q296" s="526"/>
      <c r="R296" s="762"/>
      <c r="S296" s="762"/>
      <c r="T296" s="526"/>
      <c r="U296" s="762"/>
      <c r="V296" s="762"/>
      <c r="W296" s="526"/>
      <c r="X296" s="2893"/>
      <c r="Y296" s="2893"/>
      <c r="Z296" s="2893"/>
      <c r="AA296" s="2893"/>
      <c r="AB296" s="2893"/>
      <c r="AC296" s="2893"/>
      <c r="AD296" s="2893"/>
      <c r="AE296" s="2893"/>
      <c r="AF296" s="2893"/>
      <c r="AG296" s="2893"/>
    </row>
    <row r="297" spans="1:33" ht="14.9" customHeight="1">
      <c r="A297" s="252"/>
      <c r="B297" s="2903" t="s">
        <v>336</v>
      </c>
      <c r="C297" s="2903"/>
      <c r="D297" s="2903"/>
      <c r="E297" s="2903"/>
      <c r="F297" s="6"/>
      <c r="G297" s="63"/>
      <c r="H297" s="480"/>
      <c r="I297" s="710"/>
      <c r="J297" s="582"/>
      <c r="K297" s="526"/>
      <c r="L297" s="748"/>
      <c r="M297" s="711"/>
      <c r="N297" s="526"/>
      <c r="O297" s="710"/>
      <c r="P297" s="582"/>
      <c r="Q297" s="526"/>
      <c r="R297" s="762"/>
      <c r="S297" s="762"/>
      <c r="T297" s="526"/>
      <c r="U297" s="762"/>
      <c r="V297" s="762"/>
      <c r="W297" s="526"/>
      <c r="X297" s="2893"/>
      <c r="Y297" s="2893"/>
      <c r="Z297" s="2893"/>
      <c r="AA297" s="2893"/>
      <c r="AB297" s="2893"/>
      <c r="AC297" s="2893"/>
      <c r="AD297" s="2893"/>
      <c r="AE297" s="2893"/>
      <c r="AF297" s="2893"/>
      <c r="AG297" s="2893"/>
    </row>
    <row r="298" spans="1:33" ht="33.75" customHeight="1">
      <c r="A298" s="252"/>
      <c r="B298" s="2903" t="s">
        <v>337</v>
      </c>
      <c r="C298" s="2903"/>
      <c r="D298" s="2903"/>
      <c r="E298" s="2903"/>
      <c r="F298" s="6"/>
      <c r="G298" s="63"/>
      <c r="H298" s="480"/>
      <c r="I298" s="710"/>
      <c r="J298" s="582"/>
      <c r="K298" s="526"/>
      <c r="L298" s="748"/>
      <c r="M298" s="711"/>
      <c r="N298" s="526"/>
      <c r="O298" s="710"/>
      <c r="P298" s="582"/>
      <c r="Q298" s="526"/>
      <c r="R298" s="762"/>
      <c r="S298" s="762"/>
      <c r="T298" s="526"/>
      <c r="U298" s="762"/>
      <c r="V298" s="762"/>
      <c r="W298" s="526"/>
      <c r="X298" s="2893"/>
      <c r="Y298" s="2893"/>
      <c r="Z298" s="2893"/>
      <c r="AA298" s="2893"/>
      <c r="AB298" s="2893"/>
      <c r="AC298" s="2893"/>
      <c r="AD298" s="2893"/>
      <c r="AE298" s="2893"/>
      <c r="AF298" s="2893"/>
      <c r="AG298" s="2893"/>
    </row>
    <row r="299" spans="1:33" ht="33.75" customHeight="1">
      <c r="A299" s="252"/>
      <c r="B299" s="2903" t="s">
        <v>338</v>
      </c>
      <c r="C299" s="2903"/>
      <c r="D299" s="2903"/>
      <c r="E299" s="2903"/>
      <c r="F299" s="6"/>
      <c r="G299" s="63"/>
      <c r="H299" s="480"/>
      <c r="I299" s="710"/>
      <c r="J299" s="582"/>
      <c r="K299" s="526"/>
      <c r="L299" s="748"/>
      <c r="M299" s="711"/>
      <c r="N299" s="526"/>
      <c r="O299" s="710"/>
      <c r="P299" s="582"/>
      <c r="Q299" s="526"/>
      <c r="R299" s="762"/>
      <c r="S299" s="762"/>
      <c r="T299" s="526"/>
      <c r="U299" s="762"/>
      <c r="V299" s="762"/>
      <c r="W299" s="526"/>
      <c r="X299" s="2893"/>
      <c r="Y299" s="2893"/>
      <c r="Z299" s="2893"/>
      <c r="AA299" s="2893"/>
      <c r="AB299" s="2893"/>
      <c r="AC299" s="2893"/>
      <c r="AD299" s="2893"/>
      <c r="AE299" s="2893"/>
      <c r="AF299" s="2893"/>
      <c r="AG299" s="2893"/>
    </row>
    <row r="300" spans="1:33" ht="14.9" customHeight="1">
      <c r="A300" s="252"/>
      <c r="B300" s="2903" t="s">
        <v>735</v>
      </c>
      <c r="C300" s="2903"/>
      <c r="D300" s="2903"/>
      <c r="E300" s="2903"/>
      <c r="F300" s="6"/>
      <c r="G300" s="63"/>
      <c r="H300" s="480"/>
      <c r="I300" s="710"/>
      <c r="J300" s="582"/>
      <c r="K300" s="526"/>
      <c r="L300" s="748"/>
      <c r="M300" s="711"/>
      <c r="N300" s="526"/>
      <c r="O300" s="710"/>
      <c r="P300" s="582"/>
      <c r="Q300" s="526"/>
      <c r="R300" s="762"/>
      <c r="S300" s="762"/>
      <c r="T300" s="526"/>
      <c r="U300" s="762"/>
      <c r="V300" s="762"/>
      <c r="W300" s="526"/>
      <c r="X300" s="2893"/>
      <c r="Y300" s="2893"/>
      <c r="Z300" s="2893"/>
      <c r="AA300" s="2893"/>
      <c r="AB300" s="2893"/>
      <c r="AC300" s="2893"/>
      <c r="AD300" s="2893"/>
      <c r="AE300" s="2893"/>
      <c r="AF300" s="2893"/>
      <c r="AG300" s="2893"/>
    </row>
    <row r="301" spans="1:33" ht="14.9" customHeight="1">
      <c r="A301" s="252"/>
      <c r="B301" s="2903" t="s">
        <v>734</v>
      </c>
      <c r="C301" s="2903"/>
      <c r="D301" s="2903"/>
      <c r="E301" s="2903"/>
      <c r="F301" s="6"/>
      <c r="G301" s="63"/>
      <c r="H301" s="797"/>
      <c r="I301" s="710"/>
      <c r="J301" s="582"/>
      <c r="K301" s="562"/>
      <c r="L301" s="748"/>
      <c r="M301" s="711"/>
      <c r="N301" s="562"/>
      <c r="O301" s="710"/>
      <c r="P301" s="582"/>
      <c r="Q301" s="562"/>
      <c r="R301" s="762"/>
      <c r="S301" s="762"/>
      <c r="T301" s="562"/>
      <c r="U301" s="762"/>
      <c r="V301" s="762"/>
      <c r="W301" s="562"/>
      <c r="X301" s="2893"/>
      <c r="Y301" s="2893"/>
      <c r="Z301" s="2893"/>
      <c r="AA301" s="2893"/>
      <c r="AB301" s="2893"/>
      <c r="AC301" s="2893"/>
      <c r="AD301" s="2893"/>
      <c r="AE301" s="2893"/>
      <c r="AF301" s="2893"/>
      <c r="AG301" s="2893"/>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911"/>
      <c r="Y302" s="2911"/>
      <c r="Z302" s="2911"/>
      <c r="AA302" s="2911"/>
      <c r="AB302" s="2911"/>
      <c r="AC302" s="2911"/>
      <c r="AD302" s="2911"/>
      <c r="AE302" s="2911"/>
      <c r="AF302" s="2911"/>
      <c r="AG302" s="2911"/>
    </row>
    <row r="303" spans="1:33" ht="14.9" customHeight="1">
      <c r="A303" s="252"/>
      <c r="B303" s="2903" t="s">
        <v>625</v>
      </c>
      <c r="C303" s="2903"/>
      <c r="D303" s="2903"/>
      <c r="E303" s="2903"/>
      <c r="F303" s="6"/>
      <c r="G303" s="65"/>
      <c r="H303" s="799"/>
      <c r="I303" s="710"/>
      <c r="J303" s="711"/>
      <c r="K303" s="628"/>
      <c r="L303" s="710"/>
      <c r="M303" s="711"/>
      <c r="N303" s="628"/>
      <c r="O303" s="710"/>
      <c r="P303" s="712"/>
      <c r="Q303" s="628"/>
      <c r="R303" s="762"/>
      <c r="S303" s="762"/>
      <c r="T303" s="628"/>
      <c r="U303" s="762"/>
      <c r="V303" s="762"/>
      <c r="W303" s="628"/>
      <c r="X303" s="2893"/>
      <c r="Y303" s="2893"/>
      <c r="Z303" s="2893"/>
      <c r="AA303" s="2893"/>
      <c r="AB303" s="2893"/>
      <c r="AC303" s="2893"/>
      <c r="AD303" s="2893"/>
      <c r="AE303" s="2893"/>
      <c r="AF303" s="2893"/>
      <c r="AG303" s="2893"/>
    </row>
    <row r="304" spans="1:33" ht="14.9" customHeight="1">
      <c r="A304" s="252"/>
      <c r="B304" s="2903" t="s">
        <v>626</v>
      </c>
      <c r="C304" s="2903"/>
      <c r="D304" s="2903"/>
      <c r="E304" s="2903"/>
      <c r="F304" s="6"/>
      <c r="G304" s="63"/>
      <c r="H304" s="480"/>
      <c r="I304" s="710"/>
      <c r="J304" s="582"/>
      <c r="K304" s="526"/>
      <c r="L304" s="748"/>
      <c r="M304" s="711"/>
      <c r="N304" s="526"/>
      <c r="O304" s="710"/>
      <c r="P304" s="582"/>
      <c r="Q304" s="526"/>
      <c r="R304" s="762"/>
      <c r="S304" s="762"/>
      <c r="T304" s="526"/>
      <c r="U304" s="762"/>
      <c r="V304" s="762"/>
      <c r="W304" s="526"/>
      <c r="X304" s="2893"/>
      <c r="Y304" s="2893"/>
      <c r="Z304" s="2893"/>
      <c r="AA304" s="2893"/>
      <c r="AB304" s="2893"/>
      <c r="AC304" s="2893"/>
      <c r="AD304" s="2893"/>
      <c r="AE304" s="2893"/>
      <c r="AF304" s="2893"/>
      <c r="AG304" s="2893"/>
    </row>
    <row r="305" spans="1:33" ht="14.9" customHeight="1">
      <c r="A305" s="252"/>
      <c r="B305" s="2903" t="s">
        <v>627</v>
      </c>
      <c r="C305" s="2903"/>
      <c r="D305" s="2903"/>
      <c r="E305" s="2903"/>
      <c r="F305" s="6"/>
      <c r="G305" s="63"/>
      <c r="H305" s="794"/>
      <c r="I305" s="710"/>
      <c r="J305" s="582"/>
      <c r="K305" s="561"/>
      <c r="L305" s="748"/>
      <c r="M305" s="711"/>
      <c r="N305" s="561"/>
      <c r="O305" s="710"/>
      <c r="P305" s="582"/>
      <c r="Q305" s="561"/>
      <c r="R305" s="762"/>
      <c r="S305" s="762"/>
      <c r="T305" s="561"/>
      <c r="U305" s="762"/>
      <c r="V305" s="762"/>
      <c r="W305" s="561"/>
      <c r="X305" s="2893"/>
      <c r="Y305" s="2893"/>
      <c r="Z305" s="2893"/>
      <c r="AA305" s="2893"/>
      <c r="AB305" s="2893"/>
      <c r="AC305" s="2893"/>
      <c r="AD305" s="2893"/>
      <c r="AE305" s="2893"/>
      <c r="AF305" s="2893"/>
      <c r="AG305" s="2893"/>
    </row>
    <row r="306" spans="1:33" ht="14.9" customHeight="1">
      <c r="A306" s="252"/>
      <c r="B306" s="2904" t="s">
        <v>628</v>
      </c>
      <c r="C306" s="2904"/>
      <c r="D306" s="2904"/>
      <c r="E306" s="2904"/>
      <c r="F306" s="6"/>
      <c r="G306" s="63"/>
      <c r="H306" s="480"/>
      <c r="I306" s="710"/>
      <c r="J306" s="582"/>
      <c r="K306" s="526"/>
      <c r="L306" s="748"/>
      <c r="M306" s="711"/>
      <c r="N306" s="526"/>
      <c r="O306" s="710"/>
      <c r="P306" s="582"/>
      <c r="Q306" s="526"/>
      <c r="R306" s="762"/>
      <c r="S306" s="762"/>
      <c r="T306" s="526"/>
      <c r="U306" s="762"/>
      <c r="V306" s="762"/>
      <c r="W306" s="526"/>
      <c r="X306" s="2893"/>
      <c r="Y306" s="2893"/>
      <c r="Z306" s="2893"/>
      <c r="AA306" s="2893"/>
      <c r="AB306" s="2893"/>
      <c r="AC306" s="2893"/>
      <c r="AD306" s="2893"/>
      <c r="AE306" s="2893"/>
      <c r="AF306" s="2893"/>
      <c r="AG306" s="2893"/>
    </row>
    <row r="307" spans="1:33" ht="33.75" customHeight="1">
      <c r="A307" s="252"/>
      <c r="B307" s="2904" t="s">
        <v>629</v>
      </c>
      <c r="C307" s="2904"/>
      <c r="D307" s="2904"/>
      <c r="E307" s="2904"/>
      <c r="F307" s="6"/>
      <c r="G307" s="65"/>
      <c r="H307" s="795"/>
      <c r="I307" s="710"/>
      <c r="J307" s="711"/>
      <c r="K307" s="568"/>
      <c r="L307" s="710"/>
      <c r="M307" s="711"/>
      <c r="N307" s="568"/>
      <c r="O307" s="710"/>
      <c r="P307" s="712"/>
      <c r="Q307" s="568"/>
      <c r="R307" s="762"/>
      <c r="S307" s="762"/>
      <c r="T307" s="568"/>
      <c r="U307" s="762"/>
      <c r="V307" s="762"/>
      <c r="W307" s="568"/>
      <c r="X307" s="2893"/>
      <c r="Y307" s="2893"/>
      <c r="Z307" s="2893"/>
      <c r="AA307" s="2893"/>
      <c r="AB307" s="2893"/>
      <c r="AC307" s="2893"/>
      <c r="AD307" s="2893"/>
      <c r="AE307" s="2893"/>
      <c r="AF307" s="2893"/>
      <c r="AG307" s="2893"/>
    </row>
    <row r="308" spans="1:33" ht="14.9" customHeight="1">
      <c r="A308" s="252"/>
      <c r="B308" s="2903" t="s">
        <v>630</v>
      </c>
      <c r="C308" s="2903"/>
      <c r="D308" s="2903"/>
      <c r="E308" s="2903"/>
      <c r="F308" s="6"/>
      <c r="G308" s="65"/>
      <c r="H308" s="480"/>
      <c r="I308" s="710"/>
      <c r="J308" s="711"/>
      <c r="K308" s="526"/>
      <c r="L308" s="710"/>
      <c r="M308" s="711"/>
      <c r="N308" s="526"/>
      <c r="O308" s="710"/>
      <c r="P308" s="712"/>
      <c r="Q308" s="526"/>
      <c r="R308" s="762"/>
      <c r="S308" s="762"/>
      <c r="T308" s="526"/>
      <c r="U308" s="762"/>
      <c r="V308" s="762"/>
      <c r="W308" s="526"/>
      <c r="X308" s="2893"/>
      <c r="Y308" s="2893"/>
      <c r="Z308" s="2893"/>
      <c r="AA308" s="2893"/>
      <c r="AB308" s="2893"/>
      <c r="AC308" s="2893"/>
      <c r="AD308" s="2893"/>
      <c r="AE308" s="2893"/>
      <c r="AF308" s="2893"/>
      <c r="AG308" s="2893"/>
    </row>
    <row r="309" spans="1:33" ht="14.9" customHeight="1">
      <c r="A309" s="252"/>
      <c r="B309" s="2904" t="s">
        <v>634</v>
      </c>
      <c r="C309" s="2904"/>
      <c r="D309" s="2904"/>
      <c r="E309" s="2904"/>
      <c r="F309" s="6"/>
      <c r="G309" s="65"/>
      <c r="H309" s="481"/>
      <c r="I309" s="710"/>
      <c r="J309" s="711"/>
      <c r="K309" s="553"/>
      <c r="L309" s="710"/>
      <c r="M309" s="711"/>
      <c r="N309" s="553"/>
      <c r="O309" s="710"/>
      <c r="P309" s="712"/>
      <c r="Q309" s="553"/>
      <c r="R309" s="762"/>
      <c r="S309" s="762"/>
      <c r="T309" s="553"/>
      <c r="U309" s="762"/>
      <c r="V309" s="762"/>
      <c r="W309" s="553"/>
      <c r="X309" s="2893"/>
      <c r="Y309" s="2893"/>
      <c r="Z309" s="2893"/>
      <c r="AA309" s="2893"/>
      <c r="AB309" s="2893"/>
      <c r="AC309" s="2893"/>
      <c r="AD309" s="2893"/>
      <c r="AE309" s="2893"/>
      <c r="AF309" s="2893"/>
      <c r="AG309" s="2893"/>
    </row>
    <row r="310" spans="1:33" ht="29.15" customHeight="1">
      <c r="A310" s="252"/>
      <c r="B310" s="2903" t="s">
        <v>1551</v>
      </c>
      <c r="C310" s="2903"/>
      <c r="D310" s="2903"/>
      <c r="E310" s="2903"/>
      <c r="F310" s="6"/>
      <c r="G310" s="65"/>
      <c r="H310" s="796"/>
      <c r="I310" s="710"/>
      <c r="J310" s="711"/>
      <c r="K310" s="619"/>
      <c r="L310" s="710"/>
      <c r="M310" s="711"/>
      <c r="N310" s="619"/>
      <c r="O310" s="710"/>
      <c r="P310" s="712"/>
      <c r="Q310" s="619"/>
      <c r="R310" s="762"/>
      <c r="S310" s="762"/>
      <c r="T310" s="619"/>
      <c r="U310" s="762"/>
      <c r="V310" s="762"/>
      <c r="W310" s="619"/>
      <c r="X310" s="2893"/>
      <c r="Y310" s="2893"/>
      <c r="Z310" s="2893"/>
      <c r="AA310" s="2893"/>
      <c r="AB310" s="2893"/>
      <c r="AC310" s="2893"/>
      <c r="AD310" s="2893"/>
      <c r="AE310" s="2893"/>
      <c r="AF310" s="2893"/>
      <c r="AG310" s="2893"/>
    </row>
    <row r="311" spans="1:33" ht="29.15" customHeight="1">
      <c r="A311" s="252"/>
      <c r="B311" s="2903" t="s">
        <v>1552</v>
      </c>
      <c r="C311" s="2903"/>
      <c r="D311" s="2903"/>
      <c r="E311" s="2903"/>
      <c r="F311" s="6"/>
      <c r="G311" s="65"/>
      <c r="H311" s="796"/>
      <c r="I311" s="710"/>
      <c r="J311" s="711"/>
      <c r="K311" s="619"/>
      <c r="L311" s="710"/>
      <c r="M311" s="711"/>
      <c r="N311" s="619"/>
      <c r="O311" s="710"/>
      <c r="P311" s="712"/>
      <c r="Q311" s="619"/>
      <c r="R311" s="762"/>
      <c r="S311" s="762"/>
      <c r="T311" s="619"/>
      <c r="U311" s="762"/>
      <c r="V311" s="762"/>
      <c r="W311" s="619"/>
      <c r="X311" s="2893"/>
      <c r="Y311" s="2893"/>
      <c r="Z311" s="2893"/>
      <c r="AA311" s="2893"/>
      <c r="AB311" s="2893"/>
      <c r="AC311" s="2893"/>
      <c r="AD311" s="2893"/>
      <c r="AE311" s="2893"/>
      <c r="AF311" s="2893"/>
      <c r="AG311" s="2893"/>
    </row>
    <row r="312" spans="1:33" ht="33.75" customHeight="1">
      <c r="A312" s="252"/>
      <c r="B312" s="2903" t="s">
        <v>331</v>
      </c>
      <c r="C312" s="2903"/>
      <c r="D312" s="2903"/>
      <c r="E312" s="2903"/>
      <c r="F312" s="6"/>
      <c r="G312" s="65"/>
      <c r="H312" s="480"/>
      <c r="I312" s="710"/>
      <c r="J312" s="711"/>
      <c r="K312" s="526"/>
      <c r="L312" s="710"/>
      <c r="M312" s="711"/>
      <c r="N312" s="526"/>
      <c r="O312" s="710"/>
      <c r="P312" s="712"/>
      <c r="Q312" s="526"/>
      <c r="R312" s="762"/>
      <c r="S312" s="762"/>
      <c r="T312" s="526"/>
      <c r="U312" s="762"/>
      <c r="V312" s="762"/>
      <c r="W312" s="526"/>
      <c r="X312" s="2893"/>
      <c r="Y312" s="2893"/>
      <c r="Z312" s="2893"/>
      <c r="AA312" s="2893"/>
      <c r="AB312" s="2893"/>
      <c r="AC312" s="2893"/>
      <c r="AD312" s="2893"/>
      <c r="AE312" s="2893"/>
      <c r="AF312" s="2893"/>
      <c r="AG312" s="2893"/>
    </row>
    <row r="313" spans="1:33" ht="14.9" customHeight="1">
      <c r="A313" s="252"/>
      <c r="B313" s="2904" t="s">
        <v>332</v>
      </c>
      <c r="C313" s="2904"/>
      <c r="D313" s="2904"/>
      <c r="E313" s="2904"/>
      <c r="F313" s="6"/>
      <c r="G313" s="63"/>
      <c r="H313" s="480"/>
      <c r="I313" s="710"/>
      <c r="J313" s="582"/>
      <c r="K313" s="526"/>
      <c r="L313" s="748"/>
      <c r="M313" s="711"/>
      <c r="N313" s="526"/>
      <c r="O313" s="710"/>
      <c r="P313" s="582"/>
      <c r="Q313" s="526"/>
      <c r="R313" s="762"/>
      <c r="S313" s="762"/>
      <c r="T313" s="526"/>
      <c r="U313" s="762"/>
      <c r="V313" s="762"/>
      <c r="W313" s="526"/>
      <c r="X313" s="2893"/>
      <c r="Y313" s="2893"/>
      <c r="Z313" s="2893"/>
      <c r="AA313" s="2893"/>
      <c r="AB313" s="2893"/>
      <c r="AC313" s="2893"/>
      <c r="AD313" s="2893"/>
      <c r="AE313" s="2893"/>
      <c r="AF313" s="2893"/>
      <c r="AG313" s="2893"/>
    </row>
    <row r="314" spans="1:33" ht="14.9" customHeight="1">
      <c r="A314" s="252"/>
      <c r="B314" s="2903" t="s">
        <v>333</v>
      </c>
      <c r="C314" s="2903"/>
      <c r="D314" s="2903"/>
      <c r="E314" s="2903"/>
      <c r="F314" s="6"/>
      <c r="G314" s="63"/>
      <c r="H314" s="480"/>
      <c r="I314" s="710"/>
      <c r="J314" s="582"/>
      <c r="K314" s="526"/>
      <c r="L314" s="748"/>
      <c r="M314" s="711"/>
      <c r="N314" s="526"/>
      <c r="O314" s="710"/>
      <c r="P314" s="582"/>
      <c r="Q314" s="526"/>
      <c r="R314" s="762"/>
      <c r="S314" s="762"/>
      <c r="T314" s="526"/>
      <c r="U314" s="762"/>
      <c r="V314" s="762"/>
      <c r="W314" s="526"/>
      <c r="X314" s="2893"/>
      <c r="Y314" s="2893"/>
      <c r="Z314" s="2893"/>
      <c r="AA314" s="2893"/>
      <c r="AB314" s="2893"/>
      <c r="AC314" s="2893"/>
      <c r="AD314" s="2893"/>
      <c r="AE314" s="2893"/>
      <c r="AF314" s="2893"/>
      <c r="AG314" s="2893"/>
    </row>
    <row r="315" spans="1:33" ht="14.9" customHeight="1">
      <c r="A315" s="252"/>
      <c r="B315" s="2903" t="s">
        <v>334</v>
      </c>
      <c r="C315" s="2903"/>
      <c r="D315" s="2903"/>
      <c r="E315" s="2903"/>
      <c r="F315" s="6"/>
      <c r="G315" s="63"/>
      <c r="H315" s="480"/>
      <c r="I315" s="710"/>
      <c r="J315" s="582"/>
      <c r="K315" s="526"/>
      <c r="L315" s="748"/>
      <c r="M315" s="711"/>
      <c r="N315" s="526"/>
      <c r="O315" s="710"/>
      <c r="P315" s="582"/>
      <c r="Q315" s="526"/>
      <c r="R315" s="762"/>
      <c r="S315" s="762"/>
      <c r="T315" s="526"/>
      <c r="U315" s="762"/>
      <c r="V315" s="762"/>
      <c r="W315" s="526"/>
      <c r="X315" s="2893"/>
      <c r="Y315" s="2893"/>
      <c r="Z315" s="2893"/>
      <c r="AA315" s="2893"/>
      <c r="AB315" s="2893"/>
      <c r="AC315" s="2893"/>
      <c r="AD315" s="2893"/>
      <c r="AE315" s="2893"/>
      <c r="AF315" s="2893"/>
      <c r="AG315" s="2893"/>
    </row>
    <row r="316" spans="1:33" ht="14.9" customHeight="1">
      <c r="A316" s="252"/>
      <c r="B316" s="2904" t="s">
        <v>335</v>
      </c>
      <c r="C316" s="2904"/>
      <c r="D316" s="2904"/>
      <c r="E316" s="2904"/>
      <c r="F316" s="6"/>
      <c r="G316" s="63"/>
      <c r="H316" s="480"/>
      <c r="I316" s="710"/>
      <c r="J316" s="582"/>
      <c r="K316" s="526"/>
      <c r="L316" s="748"/>
      <c r="M316" s="711"/>
      <c r="N316" s="526"/>
      <c r="O316" s="710"/>
      <c r="P316" s="582"/>
      <c r="Q316" s="526"/>
      <c r="R316" s="762"/>
      <c r="S316" s="762"/>
      <c r="T316" s="526"/>
      <c r="U316" s="762"/>
      <c r="V316" s="762"/>
      <c r="W316" s="526"/>
      <c r="X316" s="2893"/>
      <c r="Y316" s="2893"/>
      <c r="Z316" s="2893"/>
      <c r="AA316" s="2893"/>
      <c r="AB316" s="2893"/>
      <c r="AC316" s="2893"/>
      <c r="AD316" s="2893"/>
      <c r="AE316" s="2893"/>
      <c r="AF316" s="2893"/>
      <c r="AG316" s="2893"/>
    </row>
    <row r="317" spans="1:33" ht="14.9" customHeight="1">
      <c r="A317" s="252"/>
      <c r="B317" s="2903" t="s">
        <v>336</v>
      </c>
      <c r="C317" s="2903"/>
      <c r="D317" s="2903"/>
      <c r="E317" s="2903"/>
      <c r="F317" s="6"/>
      <c r="G317" s="63"/>
      <c r="H317" s="480"/>
      <c r="I317" s="710"/>
      <c r="J317" s="582"/>
      <c r="K317" s="526"/>
      <c r="L317" s="748"/>
      <c r="M317" s="711"/>
      <c r="N317" s="526"/>
      <c r="O317" s="710"/>
      <c r="P317" s="582"/>
      <c r="Q317" s="526"/>
      <c r="R317" s="762"/>
      <c r="S317" s="762"/>
      <c r="T317" s="526"/>
      <c r="U317" s="762"/>
      <c r="V317" s="762"/>
      <c r="W317" s="526"/>
      <c r="X317" s="2893"/>
      <c r="Y317" s="2893"/>
      <c r="Z317" s="2893"/>
      <c r="AA317" s="2893"/>
      <c r="AB317" s="2893"/>
      <c r="AC317" s="2893"/>
      <c r="AD317" s="2893"/>
      <c r="AE317" s="2893"/>
      <c r="AF317" s="2893"/>
      <c r="AG317" s="2893"/>
    </row>
    <row r="318" spans="1:33" ht="33.75" customHeight="1">
      <c r="A318" s="252"/>
      <c r="B318" s="2903" t="s">
        <v>337</v>
      </c>
      <c r="C318" s="2903"/>
      <c r="D318" s="2903"/>
      <c r="E318" s="2903"/>
      <c r="F318" s="6"/>
      <c r="G318" s="63"/>
      <c r="H318" s="480"/>
      <c r="I318" s="710"/>
      <c r="J318" s="582"/>
      <c r="K318" s="526"/>
      <c r="L318" s="748"/>
      <c r="M318" s="711"/>
      <c r="N318" s="526"/>
      <c r="O318" s="710"/>
      <c r="P318" s="582"/>
      <c r="Q318" s="526"/>
      <c r="R318" s="762"/>
      <c r="S318" s="762"/>
      <c r="T318" s="526"/>
      <c r="U318" s="762"/>
      <c r="V318" s="762"/>
      <c r="W318" s="526"/>
      <c r="X318" s="2893"/>
      <c r="Y318" s="2893"/>
      <c r="Z318" s="2893"/>
      <c r="AA318" s="2893"/>
      <c r="AB318" s="2893"/>
      <c r="AC318" s="2893"/>
      <c r="AD318" s="2893"/>
      <c r="AE318" s="2893"/>
      <c r="AF318" s="2893"/>
      <c r="AG318" s="2893"/>
    </row>
    <row r="319" spans="1:33" ht="33.75" customHeight="1">
      <c r="A319" s="252"/>
      <c r="B319" s="2903" t="s">
        <v>338</v>
      </c>
      <c r="C319" s="2903"/>
      <c r="D319" s="2903"/>
      <c r="E319" s="2903"/>
      <c r="F319" s="6"/>
      <c r="G319" s="63"/>
      <c r="H319" s="480"/>
      <c r="I319" s="710"/>
      <c r="J319" s="582"/>
      <c r="K319" s="526"/>
      <c r="L319" s="748"/>
      <c r="M319" s="711"/>
      <c r="N319" s="526"/>
      <c r="O319" s="710"/>
      <c r="P319" s="582"/>
      <c r="Q319" s="526"/>
      <c r="R319" s="762"/>
      <c r="S319" s="762"/>
      <c r="T319" s="526"/>
      <c r="U319" s="762"/>
      <c r="V319" s="762"/>
      <c r="W319" s="526"/>
      <c r="X319" s="2893"/>
      <c r="Y319" s="2893"/>
      <c r="Z319" s="2893"/>
      <c r="AA319" s="2893"/>
      <c r="AB319" s="2893"/>
      <c r="AC319" s="2893"/>
      <c r="AD319" s="2893"/>
      <c r="AE319" s="2893"/>
      <c r="AF319" s="2893"/>
      <c r="AG319" s="2893"/>
    </row>
    <row r="320" spans="1:33" ht="14.9" customHeight="1">
      <c r="A320" s="252"/>
      <c r="B320" s="2903" t="s">
        <v>735</v>
      </c>
      <c r="C320" s="2903"/>
      <c r="D320" s="2903"/>
      <c r="E320" s="2903"/>
      <c r="F320" s="6"/>
      <c r="G320" s="63"/>
      <c r="H320" s="480"/>
      <c r="I320" s="710"/>
      <c r="J320" s="582"/>
      <c r="K320" s="526"/>
      <c r="L320" s="748"/>
      <c r="M320" s="711"/>
      <c r="N320" s="526"/>
      <c r="O320" s="710"/>
      <c r="P320" s="582"/>
      <c r="Q320" s="526"/>
      <c r="R320" s="762"/>
      <c r="S320" s="762"/>
      <c r="T320" s="526"/>
      <c r="U320" s="762"/>
      <c r="V320" s="762"/>
      <c r="W320" s="526"/>
      <c r="X320" s="2893"/>
      <c r="Y320" s="2893"/>
      <c r="Z320" s="2893"/>
      <c r="AA320" s="2893"/>
      <c r="AB320" s="2893"/>
      <c r="AC320" s="2893"/>
      <c r="AD320" s="2893"/>
      <c r="AE320" s="2893"/>
      <c r="AF320" s="2893"/>
      <c r="AG320" s="2893"/>
    </row>
    <row r="321" spans="1:33" ht="14.9" customHeight="1">
      <c r="A321" s="252"/>
      <c r="B321" s="2903" t="s">
        <v>734</v>
      </c>
      <c r="C321" s="2903"/>
      <c r="D321" s="2903"/>
      <c r="E321" s="2903"/>
      <c r="F321" s="6"/>
      <c r="G321" s="63"/>
      <c r="H321" s="802"/>
      <c r="I321" s="741"/>
      <c r="J321" s="557"/>
      <c r="K321" s="769"/>
      <c r="L321" s="770"/>
      <c r="M321" s="742"/>
      <c r="N321" s="769"/>
      <c r="O321" s="741"/>
      <c r="P321" s="557"/>
      <c r="Q321" s="769"/>
      <c r="R321" s="768"/>
      <c r="S321" s="768"/>
      <c r="T321" s="769"/>
      <c r="U321" s="768"/>
      <c r="V321" s="768"/>
      <c r="W321" s="544"/>
      <c r="X321" s="2893"/>
      <c r="Y321" s="2893"/>
      <c r="Z321" s="2893"/>
      <c r="AA321" s="2893"/>
      <c r="AB321" s="2893"/>
      <c r="AC321" s="2893"/>
      <c r="AD321" s="2893"/>
      <c r="AE321" s="2893"/>
      <c r="AF321" s="2893"/>
      <c r="AG321" s="2893"/>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IcyhAI1hYVJk3TQQCIc+nP7AsCoN16oo7KEjRCO+zl6JrNhzxZ7MN4AyJ3sbagAeBToBiFX2VLNe21qhFReDLw==" saltValue="tJDBLRe65fjIU8+dpK7Zvg==" spinCount="100000" sheet="1" objects="1" scenarios="1" formatColumns="0" formatRows="0"/>
  <mergeCells count="534">
    <mergeCell ref="B1:E1"/>
    <mergeCell ref="B4:E4"/>
    <mergeCell ref="K4:T4"/>
    <mergeCell ref="K5:T5"/>
    <mergeCell ref="K6:T6"/>
    <mergeCell ref="K7:T7"/>
    <mergeCell ref="B11:E11"/>
    <mergeCell ref="K11:T11"/>
    <mergeCell ref="B12:E12"/>
    <mergeCell ref="K12:T1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N33:W33"/>
    <mergeCell ref="N34:W34"/>
    <mergeCell ref="N35:W35"/>
    <mergeCell ref="N36:W36"/>
    <mergeCell ref="N37:W37"/>
    <mergeCell ref="N38:W38"/>
    <mergeCell ref="N27:W27"/>
    <mergeCell ref="N28:W28"/>
    <mergeCell ref="N29:W29"/>
    <mergeCell ref="N30:W30"/>
    <mergeCell ref="N31:W31"/>
    <mergeCell ref="N32:W32"/>
    <mergeCell ref="K46:T46"/>
    <mergeCell ref="K47:T47"/>
    <mergeCell ref="K48:T48"/>
    <mergeCell ref="C49:E49"/>
    <mergeCell ref="K49:T49"/>
    <mergeCell ref="C50:E50"/>
    <mergeCell ref="K50:T50"/>
    <mergeCell ref="B41:E41"/>
    <mergeCell ref="C42:E42"/>
    <mergeCell ref="K42:T42"/>
    <mergeCell ref="K43:T43"/>
    <mergeCell ref="K44:T44"/>
    <mergeCell ref="K45:T45"/>
    <mergeCell ref="C54:E54"/>
    <mergeCell ref="K54:T54"/>
    <mergeCell ref="C55:E55"/>
    <mergeCell ref="K55:T55"/>
    <mergeCell ref="C56:E56"/>
    <mergeCell ref="K56:T56"/>
    <mergeCell ref="C51:E51"/>
    <mergeCell ref="K51:T51"/>
    <mergeCell ref="C52:E52"/>
    <mergeCell ref="K52:T52"/>
    <mergeCell ref="C53:E53"/>
    <mergeCell ref="K53:T53"/>
    <mergeCell ref="C60:E60"/>
    <mergeCell ref="K60:T60"/>
    <mergeCell ref="C61:E61"/>
    <mergeCell ref="K61:T61"/>
    <mergeCell ref="C62:E62"/>
    <mergeCell ref="K62:T62"/>
    <mergeCell ref="C57:E57"/>
    <mergeCell ref="K57:T57"/>
    <mergeCell ref="C58:E58"/>
    <mergeCell ref="K58:T58"/>
    <mergeCell ref="C59:E59"/>
    <mergeCell ref="K59:T59"/>
    <mergeCell ref="C66:E66"/>
    <mergeCell ref="K66:T66"/>
    <mergeCell ref="C67:E67"/>
    <mergeCell ref="K67:T67"/>
    <mergeCell ref="C68:E68"/>
    <mergeCell ref="K68:T68"/>
    <mergeCell ref="C63:E63"/>
    <mergeCell ref="K63:T63"/>
    <mergeCell ref="C64:E64"/>
    <mergeCell ref="K64:T64"/>
    <mergeCell ref="C65:E65"/>
    <mergeCell ref="K65:T65"/>
    <mergeCell ref="C72:E72"/>
    <mergeCell ref="K72:T72"/>
    <mergeCell ref="C73:E73"/>
    <mergeCell ref="K73:T73"/>
    <mergeCell ref="C74:E74"/>
    <mergeCell ref="K74:T74"/>
    <mergeCell ref="C69:E69"/>
    <mergeCell ref="K69:T69"/>
    <mergeCell ref="C70:E70"/>
    <mergeCell ref="K70:T70"/>
    <mergeCell ref="C71:E71"/>
    <mergeCell ref="K71:T71"/>
    <mergeCell ref="C78:E78"/>
    <mergeCell ref="K78:T78"/>
    <mergeCell ref="A81:E81"/>
    <mergeCell ref="G82:H82"/>
    <mergeCell ref="J82:K82"/>
    <mergeCell ref="M82:N82"/>
    <mergeCell ref="C75:E75"/>
    <mergeCell ref="K75:T75"/>
    <mergeCell ref="C76:E76"/>
    <mergeCell ref="K76:T76"/>
    <mergeCell ref="C77:E77"/>
    <mergeCell ref="K77:T77"/>
    <mergeCell ref="P83:P84"/>
    <mergeCell ref="Q83:Q84"/>
    <mergeCell ref="T83:T84"/>
    <mergeCell ref="W83:W84"/>
    <mergeCell ref="X83:AG84"/>
    <mergeCell ref="X86:AG86"/>
    <mergeCell ref="G83:G84"/>
    <mergeCell ref="H83:H84"/>
    <mergeCell ref="J83:J84"/>
    <mergeCell ref="K83:K84"/>
    <mergeCell ref="M83:M84"/>
    <mergeCell ref="N83:N84"/>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A105:A107"/>
    <mergeCell ref="X105:AG105"/>
    <mergeCell ref="X106:AG106"/>
    <mergeCell ref="B107:E107"/>
    <mergeCell ref="X107:AG107"/>
    <mergeCell ref="A108:A112"/>
    <mergeCell ref="X108:AG108"/>
    <mergeCell ref="B109:E109"/>
    <mergeCell ref="X109:AG109"/>
    <mergeCell ref="X110:AG110"/>
    <mergeCell ref="X116:AG116"/>
    <mergeCell ref="B117:E117"/>
    <mergeCell ref="X117:AG117"/>
    <mergeCell ref="X120:AG120"/>
    <mergeCell ref="X121:AG121"/>
    <mergeCell ref="X122:AG122"/>
    <mergeCell ref="X111:AG111"/>
    <mergeCell ref="X112:AG112"/>
    <mergeCell ref="A113:A117"/>
    <mergeCell ref="B113:E113"/>
    <mergeCell ref="X113:AG113"/>
    <mergeCell ref="B114:E114"/>
    <mergeCell ref="X114:AG114"/>
    <mergeCell ref="B115:E115"/>
    <mergeCell ref="X115:AG115"/>
    <mergeCell ref="B116:E116"/>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20:E320"/>
    <mergeCell ref="X320:AG320"/>
    <mergeCell ref="B321:E321"/>
    <mergeCell ref="X321:AG321"/>
    <mergeCell ref="B317:E317"/>
    <mergeCell ref="X317:AG317"/>
    <mergeCell ref="B318:E318"/>
    <mergeCell ref="X318:AG318"/>
    <mergeCell ref="B319:E319"/>
    <mergeCell ref="X319:AG319"/>
  </mergeCells>
  <conditionalFormatting sqref="G322">
    <cfRule type="expression" dxfId="68" priority="12">
      <formula>H$24="No"</formula>
    </cfRule>
    <cfRule type="expression" dxfId="67" priority="13">
      <formula>H$24="Yes"</formula>
    </cfRule>
  </conditionalFormatting>
  <conditionalFormatting sqref="P83:Q83 P82">
    <cfRule type="expression" dxfId="66" priority="14">
      <formula>VALUE(RIGHT($P$82,1))&gt;#REF!</formula>
    </cfRule>
  </conditionalFormatting>
  <conditionalFormatting sqref="M83:N83 M82">
    <cfRule type="expression" dxfId="65" priority="15">
      <formula>VALUE(RIGHT($M$82,1))&gt;#REF!</formula>
    </cfRule>
  </conditionalFormatting>
  <conditionalFormatting sqref="J83:K83 J82">
    <cfRule type="expression" dxfId="64" priority="16">
      <formula>VALUE(RIGHT($J$82,1))&gt;#REF!</formula>
    </cfRule>
  </conditionalFormatting>
  <conditionalFormatting sqref="M322">
    <cfRule type="expression" dxfId="63" priority="9">
      <formula>N$24="No"</formula>
    </cfRule>
    <cfRule type="expression" dxfId="62" priority="10">
      <formula>N$24="Yes"</formula>
    </cfRule>
  </conditionalFormatting>
  <conditionalFormatting sqref="M322">
    <cfRule type="expression" dxfId="61" priority="11">
      <formula>VALUE(RIGHT($K$11,1))&gt;#REF!</formula>
    </cfRule>
  </conditionalFormatting>
  <conditionalFormatting sqref="T83">
    <cfRule type="expression" dxfId="60" priority="8">
      <formula>VALUE(RIGHT($P$82,1))&gt;#REF!</formula>
    </cfRule>
  </conditionalFormatting>
  <conditionalFormatting sqref="Q82">
    <cfRule type="expression" dxfId="59" priority="7">
      <formula>VALUE(RIGHT($P$82,1))&gt;#REF!</formula>
    </cfRule>
  </conditionalFormatting>
  <conditionalFormatting sqref="T82">
    <cfRule type="expression" dxfId="58" priority="6">
      <formula>VALUE(RIGHT($P$82,1))&gt;#REF!</formula>
    </cfRule>
  </conditionalFormatting>
  <conditionalFormatting sqref="W83">
    <cfRule type="expression" dxfId="57" priority="5">
      <formula>VALUE(RIGHT($P$82,1))&gt;#REF!</formula>
    </cfRule>
  </conditionalFormatting>
  <conditionalFormatting sqref="W82">
    <cfRule type="expression" dxfId="56" priority="4">
      <formula>VALUE(RIGHT($P$82,1))&gt;#REF!</formula>
    </cfRule>
  </conditionalFormatting>
  <conditionalFormatting sqref="K85:M85">
    <cfRule type="expression" dxfId="55" priority="3">
      <formula>$H$7&lt;3</formula>
    </cfRule>
  </conditionalFormatting>
  <conditionalFormatting sqref="I85:J85">
    <cfRule type="expression" dxfId="54" priority="2">
      <formula>$H$7&lt;2</formula>
    </cfRule>
  </conditionalFormatting>
  <conditionalFormatting sqref="H17">
    <cfRule type="expression" dxfId="53" priority="1">
      <formula>IF(#REF!="","Population changed - check value")</formula>
    </cfRule>
  </conditionalFormatting>
  <dataValidations count="19">
    <dataValidation type="list" allowBlank="1" showInputMessage="1" showErrorMessage="1" sqref="M289:M291 J180:J182 M245:M247 M205:M207 J136 M225:M227 M136 M156 J156 M176 M160:M162 J176 J160:J162 M180:M182 M309:M311" xr:uid="{00000000-0002-0000-1B00-000000000000}">
      <formula1>"Motorcycle,Land Cruiser,Box Truck/Lorry"</formula1>
    </dataValidation>
    <dataValidation type="list" allowBlank="1" showInputMessage="1" showErrorMessage="1" sqref="G87 G89" xr:uid="{00000000-0002-0000-1B00-000001000000}">
      <formula1>"Tier 1,Tier 2,Tier 3,Tier 4"</formula1>
    </dataValidation>
    <dataValidation type="list" allowBlank="1" showInputMessage="1" showErrorMessage="1" sqref="G86" xr:uid="{00000000-0002-0000-1B00-000002000000}">
      <formula1>"ZimbabweZAPS,TEST"</formula1>
    </dataValidation>
    <dataValidation type="list" allowBlank="1" showInputMessage="1" showErrorMessage="1" sqref="H5 H86 K86 N86 Q86 T86 W86" xr:uid="{00000000-0002-0000-1B00-000003000000}">
      <formula1>$N$6:$N$11</formula1>
    </dataValidation>
    <dataValidation type="whole" allowBlank="1" showInputMessage="1" showErrorMessage="1" sqref="H7" xr:uid="{00000000-0002-0000-1B00-000004000000}">
      <formula1>1</formula1>
      <formula2>6</formula2>
    </dataValidation>
    <dataValidation type="decimal" operator="greaterThanOrEqual" allowBlank="1" showInputMessage="1" showErrorMessage="1" sqref="H12 H8 H18 H28:H38 K28:K38 H46 H49:H52 H73:H76 H43 H55:H58 H67 H69:H70 H98:H99 K98:K99 N98:N99 Q98:Q99 T98:T99 W98:W99 K103:K104 H106:H107 H109:H113 H115:H116 H121:H122 K106:K107 K109:K113 K115:K116 N103:N104 N106:N107 N109:N113 N115:N116 Q103:Q104 Q106:Q107 Q109:Q113 Q115:Q116 T103:T104 T106:T107 T109:T113 T115:T116 W103:W104 W106:W107 W109:W113 W115:W116 H315 K121:K122 N121:N122 Q121:Q122 T121:T122 W121:W122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H103:H104" xr:uid="{00000000-0002-0000-1B00-000005000000}">
      <formula1>0</formula1>
    </dataValidation>
    <dataValidation type="decimal" operator="greaterThan" allowBlank="1" showInputMessage="1" showErrorMessage="1" sqref="H6 H9:H11 H17 H21 H19 H68 H77:H78 H71:H72 H59:H66 H44:H45 H47:H48 H53:H54 H92 K92 N92 Q92 T92 W92 H108 H114 K108 K114 N108 N114 Q108 Q114 T108 T114 W108 W114 K180 K160 H184 H164 H191:H192 H171:H172 K140 H144 H151:H152 N180 N160 K184 K164 K191:K192 K171:K172 N140 K144 K151:K152 Q180 Q160 N184 N164 N191:N192 N171:N172 Q140 N144 N151:N152 T180 T160 Q184 Q164 Q191:Q192 Q171:Q172 T140 Q144 Q151:Q15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180" xr:uid="{00000000-0002-0000-1B00-000006000000}">
      <formula1>0</formula1>
    </dataValidation>
    <dataValidation type="decimal" operator="greaterThanOrEqual" allowBlank="1" showInputMessage="1" showErrorMessage="1" sqref="H97 K97 N97 Q97 T97 W97" xr:uid="{00000000-0002-0000-1B00-000007000000}">
      <formula1>1</formula1>
    </dataValidation>
    <dataValidation type="whole" operator="greaterThan" allowBlank="1" showInputMessage="1" showErrorMessage="1" sqref="H95:H96 K95:K96 N95:N96 Q95:Q96 T95:T96 W95:W96" xr:uid="{00000000-0002-0000-1B00-000008000000}">
      <formula1>0</formula1>
    </dataValidation>
    <dataValidation type="decimal" allowBlank="1" showInputMessage="1" showErrorMessage="1" sqref="H94 K94 N94 Q94 T94 W94" xr:uid="{00000000-0002-0000-1B00-000009000000}">
      <formula1>0</formula1>
      <formula2>99.9999</formula2>
    </dataValidation>
    <dataValidation type="decimal" allowBlank="1" showInputMessage="1" showErrorMessage="1" sqref="H93 K93 N93 Q93 T93 W93" xr:uid="{00000000-0002-0000-1B00-00000A000000}">
      <formula1>0.0001</formula1>
      <formula2>2</formula2>
    </dataValidation>
    <dataValidation type="list" allowBlank="1" showInputMessage="1" showErrorMessage="1" sqref="H105 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N105 K105" xr:uid="{00000000-0002-0000-1B00-00000B000000}">
      <formula1>$B$27:$B$38</formula1>
    </dataValidation>
    <dataValidation type="list" allowBlank="1" showInputMessage="1" showErrorMessage="1" sqref="H117 K117 N117 Q117 T117 W117" xr:uid="{00000000-0002-0000-1B00-00000C000000}">
      <formula1>"Upstream,Downstream"</formula1>
    </dataValidation>
    <dataValidation type="list" allowBlank="1" showInputMessage="1" showErrorMessage="1" sqref="H120 K120 N120 Q120 T120 W120" xr:uid="{00000000-0002-0000-1B00-00000D000000}">
      <formula1>"Cost per m^3 delivered, Cost as % commodity value"</formula1>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B00-00000E000000}">
      <formula1>0</formula1>
      <formula2>1</formula2>
    </dataValidation>
    <dataValidation type="whole" allowBlank="1" showInputMessage="1" showErrorMessage="1" sqref="H133:H134 K133:K134 N133:N134 Q133:Q134 T133:T134 W133:W134" xr:uid="{00000000-0002-0000-1B00-00000F000000}">
      <formula1>0</formula1>
      <formula2>3</formula2>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B00-000010000000}">
      <formula1>"Route-based,Point-to-point"</formula1>
    </dataValidation>
    <dataValidation type="list" allowBlank="1" showInputMessage="1" showErrorMessage="1" sqref="H173:H174 H153:H154 H193 K173:K174 K153:K154 K193 N173:N174 N153:N154 N193 Q173:Q174 Q153:Q154 Q193 T173:T174 T153:T154 T193 W173:W174 W153:W154 W193" xr:uid="{00000000-0002-0000-1B00-000011000000}">
      <formula1>"Yes,No"</formula1>
    </dataValidation>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B00-000012000000}">
      <formula1>"Yes, 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operator="greaterThan" allowBlank="1" showInputMessage="1" showErrorMessage="1" xr:uid="{00000000-0002-0000-1B00-000013000000}">
          <x14:formula1>
            <xm:f>'List Values'!$B$3:$B$4</xm:f>
          </x14:formula1>
          <xm:sqref>H20</xm:sqref>
        </x14:dataValidation>
        <x14:dataValidation type="list" allowBlank="1" showInputMessage="1" showErrorMessage="1" xr:uid="{00000000-0002-0000-1B00-000014000000}">
          <x14:formula1>
            <xm:f>'List Values'!$B$3:$B$4</xm:f>
          </x14:formula1>
          <xm:sqref>H20</xm:sqref>
        </x14:dataValidation>
        <x14:dataValidation type="list" allowBlank="1" showInputMessage="1" showErrorMessage="1" xr:uid="{00000000-0002-0000-1B00-000015000000}">
          <x14:formula1>
            <xm:f>'List Values'!$C$3:$C$8</xm:f>
          </x14:formula1>
          <xm:sqref>K87 N87 Q87 T87 W87 H87</xm:sqref>
        </x14:dataValidation>
        <x14:dataValidation type="list" allowBlank="1" showInputMessage="1" showErrorMessage="1" xr:uid="{00000000-0002-0000-1B00-000016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B00-000017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B00-000018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0.14999847407452621"/>
  </sheetPr>
  <dimension ref="A1:BC350"/>
  <sheetViews>
    <sheetView showGridLines="0" zoomScale="80" zoomScaleNormal="80" workbookViewId="0">
      <selection activeCell="Q106" sqref="Q106"/>
    </sheetView>
  </sheetViews>
  <sheetFormatPr defaultColWidth="8.84375" defaultRowHeight="14.6"/>
  <cols>
    <col min="1" max="1" width="9.69140625" customWidth="1"/>
    <col min="2" max="2" width="30.3046875" customWidth="1"/>
    <col min="3" max="3" width="10.69140625" customWidth="1"/>
    <col min="4" max="4" width="24.3046875" customWidth="1"/>
    <col min="5" max="5" width="39.691406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44" max="55" width="21.3828125" customWidth="1"/>
  </cols>
  <sheetData>
    <row r="1" spans="2:23" ht="253.5" customHeight="1">
      <c r="B1" s="2913" t="s">
        <v>5511</v>
      </c>
      <c r="C1" s="2913"/>
      <c r="D1" s="2913"/>
      <c r="E1" s="2913"/>
      <c r="H1" s="771"/>
    </row>
    <row r="4" spans="2:23" ht="27" customHeight="1">
      <c r="B4" s="2856" t="s">
        <v>304</v>
      </c>
      <c r="C4" s="2857"/>
      <c r="D4" s="2857"/>
      <c r="E4" s="2858"/>
      <c r="G4" s="25" t="s">
        <v>17</v>
      </c>
      <c r="H4" s="1784" t="s">
        <v>10</v>
      </c>
      <c r="K4" s="2859" t="s">
        <v>405</v>
      </c>
      <c r="L4" s="2859"/>
      <c r="M4" s="2859"/>
      <c r="N4" s="2859"/>
      <c r="O4" s="2859"/>
      <c r="P4" s="2859"/>
      <c r="Q4" s="2859"/>
      <c r="R4" s="2859"/>
      <c r="S4" s="2859"/>
      <c r="T4" s="2859"/>
    </row>
    <row r="5" spans="2:23" ht="15" customHeight="1">
      <c r="B5" s="665" t="s">
        <v>117</v>
      </c>
      <c r="C5" s="664"/>
      <c r="D5" s="664"/>
      <c r="E5" s="663"/>
      <c r="H5" s="521"/>
      <c r="K5" s="2860"/>
      <c r="L5" s="2860"/>
      <c r="M5" s="2860"/>
      <c r="N5" s="2860"/>
      <c r="O5" s="2860"/>
      <c r="P5" s="2860"/>
      <c r="Q5" s="2860"/>
      <c r="R5" s="2860"/>
      <c r="S5" s="2860"/>
      <c r="T5" s="2860"/>
    </row>
    <row r="6" spans="2:23" ht="15" customHeight="1">
      <c r="B6" s="665" t="s">
        <v>165</v>
      </c>
      <c r="C6" s="664"/>
      <c r="D6" s="664"/>
      <c r="E6" s="663"/>
      <c r="F6" s="83"/>
      <c r="G6" s="84"/>
      <c r="H6" s="695">
        <v>1</v>
      </c>
      <c r="K6" s="2860" t="s">
        <v>5609</v>
      </c>
      <c r="L6" s="2860"/>
      <c r="M6" s="2860"/>
      <c r="N6" s="2860"/>
      <c r="O6" s="2860"/>
      <c r="P6" s="2860"/>
      <c r="Q6" s="2860"/>
      <c r="R6" s="2860"/>
      <c r="S6" s="2860"/>
      <c r="T6" s="2860"/>
    </row>
    <row r="7" spans="2:23" ht="16" customHeight="1">
      <c r="B7" s="662" t="s">
        <v>57</v>
      </c>
      <c r="C7" s="659"/>
      <c r="D7" s="659"/>
      <c r="E7" s="791"/>
      <c r="G7" s="41">
        <v>3</v>
      </c>
      <c r="H7" s="695">
        <v>4</v>
      </c>
      <c r="K7" s="2860"/>
      <c r="L7" s="2860"/>
      <c r="M7" s="2860"/>
      <c r="N7" s="2860"/>
      <c r="O7" s="2860"/>
      <c r="P7" s="2860"/>
      <c r="Q7" s="2860"/>
      <c r="R7" s="2860"/>
      <c r="S7" s="2860"/>
      <c r="T7" s="2860"/>
    </row>
    <row r="8" spans="2:23">
      <c r="B8" s="2861" t="s">
        <v>11</v>
      </c>
      <c r="C8" s="2250"/>
      <c r="D8" s="2250"/>
      <c r="E8" s="2862"/>
      <c r="G8" s="40">
        <v>1.37</v>
      </c>
      <c r="H8" s="701">
        <v>1.06</v>
      </c>
      <c r="K8" s="2860" t="s">
        <v>1553</v>
      </c>
      <c r="L8" s="2860"/>
      <c r="M8" s="2860"/>
      <c r="N8" s="2860"/>
      <c r="O8" s="2860"/>
      <c r="P8" s="2860"/>
      <c r="Q8" s="2860"/>
      <c r="R8" s="2860"/>
      <c r="S8" s="2860"/>
      <c r="T8" s="2860"/>
    </row>
    <row r="9" spans="2:23" ht="18.75" customHeight="1">
      <c r="B9" s="2861" t="s">
        <v>12</v>
      </c>
      <c r="C9" s="2250"/>
      <c r="D9" s="2250"/>
      <c r="E9" s="2862"/>
      <c r="G9" s="41">
        <v>240</v>
      </c>
      <c r="H9" s="695">
        <v>260</v>
      </c>
      <c r="K9" s="2860"/>
      <c r="L9" s="2860"/>
      <c r="M9" s="2860"/>
      <c r="N9" s="2860"/>
      <c r="O9" s="2860"/>
      <c r="P9" s="2860"/>
      <c r="Q9" s="2860"/>
      <c r="R9" s="2860"/>
      <c r="S9" s="2860"/>
      <c r="T9" s="2860"/>
      <c r="U9" s="655"/>
      <c r="V9" s="655"/>
    </row>
    <row r="10" spans="2:23" ht="15" customHeight="1">
      <c r="B10" s="2861" t="s">
        <v>13</v>
      </c>
      <c r="C10" s="2250"/>
      <c r="D10" s="2250"/>
      <c r="E10" s="2862"/>
      <c r="G10" s="41">
        <v>8</v>
      </c>
      <c r="H10" s="695">
        <v>8</v>
      </c>
      <c r="K10" s="2860"/>
      <c r="L10" s="2860"/>
      <c r="M10" s="2860"/>
      <c r="N10" s="2860"/>
      <c r="O10" s="2860"/>
      <c r="P10" s="2860"/>
      <c r="Q10" s="2860"/>
      <c r="R10" s="2860"/>
      <c r="S10" s="2860"/>
      <c r="T10" s="2860"/>
      <c r="U10" s="62"/>
      <c r="V10" s="62"/>
    </row>
    <row r="11" spans="2:23" ht="15" customHeight="1">
      <c r="B11" s="2861" t="s">
        <v>15</v>
      </c>
      <c r="C11" s="2250"/>
      <c r="D11" s="2250"/>
      <c r="E11" s="2862"/>
      <c r="G11" s="41">
        <v>5</v>
      </c>
      <c r="H11" s="695">
        <v>5</v>
      </c>
      <c r="K11" s="2860" t="s">
        <v>1555</v>
      </c>
      <c r="L11" s="2860"/>
      <c r="M11" s="2860"/>
      <c r="N11" s="2860"/>
      <c r="O11" s="2860"/>
      <c r="P11" s="2860"/>
      <c r="Q11" s="2860"/>
      <c r="R11" s="2860"/>
      <c r="S11" s="2860"/>
      <c r="T11" s="2860"/>
      <c r="U11" s="62"/>
      <c r="V11" s="62"/>
    </row>
    <row r="12" spans="2:23" ht="15" customHeight="1">
      <c r="B12" s="2861" t="s">
        <v>400</v>
      </c>
      <c r="C12" s="2250"/>
      <c r="D12" s="2250"/>
      <c r="E12" s="2862"/>
      <c r="G12" s="42">
        <v>3</v>
      </c>
      <c r="H12" s="702">
        <v>5</v>
      </c>
      <c r="K12" s="2860"/>
      <c r="L12" s="2860"/>
      <c r="M12" s="2860"/>
      <c r="N12" s="2860"/>
      <c r="O12" s="2860"/>
      <c r="P12" s="2860"/>
      <c r="Q12" s="2860"/>
      <c r="R12" s="2860"/>
      <c r="S12" s="2860"/>
      <c r="T12" s="2860"/>
      <c r="U12" s="62"/>
      <c r="V12" s="62"/>
    </row>
    <row r="13" spans="2:23">
      <c r="B13" s="39"/>
      <c r="C13" s="39"/>
      <c r="D13" s="39"/>
      <c r="E13" s="39"/>
      <c r="G13" s="1772"/>
      <c r="H13" s="11"/>
      <c r="S13" s="240"/>
      <c r="T13" s="62"/>
      <c r="U13" s="62"/>
      <c r="V13" s="62"/>
    </row>
    <row r="14" spans="2:23">
      <c r="B14" s="39"/>
      <c r="C14" s="39"/>
      <c r="D14" s="39"/>
      <c r="E14" s="39"/>
      <c r="G14" s="1772"/>
      <c r="H14" s="11"/>
      <c r="T14" s="93"/>
      <c r="U14" s="93"/>
      <c r="V14" s="661"/>
      <c r="W14" s="4"/>
    </row>
    <row r="15" spans="2:23" ht="30" customHeight="1">
      <c r="B15" s="2856" t="s">
        <v>296</v>
      </c>
      <c r="C15" s="2857"/>
      <c r="D15" s="2857"/>
      <c r="E15" s="2858"/>
      <c r="G15" s="25" t="s">
        <v>17</v>
      </c>
      <c r="H15" s="1783" t="s">
        <v>10</v>
      </c>
      <c r="K15" s="2863" t="s">
        <v>405</v>
      </c>
      <c r="L15" s="2863"/>
      <c r="M15" s="2863"/>
      <c r="N15" s="2863"/>
      <c r="O15" s="2863"/>
      <c r="P15" s="2863"/>
      <c r="Q15" s="2863"/>
      <c r="R15" s="2863"/>
      <c r="S15" s="2863"/>
      <c r="T15" s="2863"/>
      <c r="U15" s="62"/>
      <c r="V15" s="62"/>
      <c r="W15" s="4"/>
    </row>
    <row r="16" spans="2:23" ht="10.5" customHeight="1">
      <c r="B16" s="814"/>
      <c r="C16" s="815"/>
      <c r="D16" s="815"/>
      <c r="E16" s="816"/>
      <c r="G16" s="15"/>
      <c r="H16" s="998"/>
      <c r="I16" s="27"/>
      <c r="J16" s="27"/>
      <c r="K16" s="999"/>
      <c r="L16" s="999"/>
      <c r="M16" s="999"/>
      <c r="N16" s="999"/>
      <c r="O16" s="999"/>
      <c r="P16" s="999"/>
      <c r="Q16" s="999"/>
      <c r="R16" s="999"/>
      <c r="S16" s="999"/>
      <c r="T16" s="999"/>
      <c r="U16" s="62"/>
      <c r="V16" s="62"/>
      <c r="W16" s="4"/>
    </row>
    <row r="17" spans="2:23">
      <c r="B17" s="43" t="s">
        <v>367</v>
      </c>
      <c r="C17" s="44"/>
      <c r="D17" s="44"/>
      <c r="E17" s="45"/>
      <c r="G17" s="46">
        <v>1955</v>
      </c>
      <c r="H17" s="730">
        <v>14.3</v>
      </c>
      <c r="K17" s="2920"/>
      <c r="L17" s="2920"/>
      <c r="M17" s="2920"/>
      <c r="N17" s="2920"/>
      <c r="O17" s="2920"/>
      <c r="P17" s="2920"/>
      <c r="Q17" s="2920"/>
      <c r="R17" s="2920"/>
      <c r="S17" s="2920"/>
      <c r="T17" s="2920"/>
      <c r="U17" s="95"/>
      <c r="V17" s="95"/>
      <c r="W17" s="4"/>
    </row>
    <row r="18" spans="2:23">
      <c r="B18" s="43" t="s">
        <v>368</v>
      </c>
      <c r="C18" s="44"/>
      <c r="D18" s="44"/>
      <c r="E18" s="45"/>
      <c r="G18" s="41"/>
      <c r="H18" s="695">
        <v>9.4</v>
      </c>
      <c r="K18" s="2860"/>
      <c r="L18" s="2860"/>
      <c r="M18" s="2860"/>
      <c r="N18" s="2860"/>
      <c r="O18" s="2860"/>
      <c r="P18" s="2860"/>
      <c r="Q18" s="2860"/>
      <c r="R18" s="2860"/>
      <c r="S18" s="2860"/>
      <c r="T18" s="2860"/>
      <c r="U18" s="95"/>
      <c r="V18" s="95"/>
      <c r="W18" s="4"/>
    </row>
    <row r="19" spans="2:23">
      <c r="B19" s="43" t="s">
        <v>130</v>
      </c>
      <c r="C19" s="44"/>
      <c r="D19" s="44"/>
      <c r="E19" s="45"/>
      <c r="G19" s="41"/>
      <c r="H19" s="695">
        <v>15</v>
      </c>
      <c r="K19" s="2860"/>
      <c r="L19" s="2860"/>
      <c r="M19" s="2860"/>
      <c r="N19" s="2860"/>
      <c r="O19" s="2860"/>
      <c r="P19" s="2860"/>
      <c r="Q19" s="2860"/>
      <c r="R19" s="2860"/>
      <c r="S19" s="2860"/>
      <c r="T19" s="2860"/>
      <c r="U19" s="95"/>
      <c r="V19" s="62"/>
      <c r="W19" s="4"/>
    </row>
    <row r="20" spans="2:23">
      <c r="B20" s="660" t="s">
        <v>369</v>
      </c>
      <c r="C20" s="44"/>
      <c r="D20" s="44"/>
      <c r="E20" s="45"/>
      <c r="G20" s="41"/>
      <c r="H20" s="543" t="s">
        <v>126</v>
      </c>
      <c r="K20" s="2860"/>
      <c r="L20" s="2860"/>
      <c r="M20" s="2860"/>
      <c r="N20" s="2860"/>
      <c r="O20" s="2860"/>
      <c r="P20" s="2860"/>
      <c r="Q20" s="2860"/>
      <c r="R20" s="2860"/>
      <c r="S20" s="2860"/>
      <c r="T20" s="2860"/>
      <c r="U20" s="95"/>
      <c r="V20" s="62"/>
      <c r="W20" s="4"/>
    </row>
    <row r="21" spans="2:23" ht="16" customHeight="1">
      <c r="B21" s="68" t="s">
        <v>55</v>
      </c>
      <c r="C21" s="44"/>
      <c r="D21" s="44"/>
      <c r="E21" s="45"/>
      <c r="G21" s="55">
        <v>12300000</v>
      </c>
      <c r="H21" s="696">
        <v>264768</v>
      </c>
      <c r="K21" s="2860"/>
      <c r="L21" s="2860"/>
      <c r="M21" s="2860"/>
      <c r="N21" s="2860"/>
      <c r="O21" s="2860"/>
      <c r="P21" s="2860"/>
      <c r="Q21" s="2860"/>
      <c r="R21" s="2860"/>
      <c r="S21" s="2860"/>
      <c r="T21" s="2860"/>
      <c r="U21" s="97"/>
      <c r="V21" s="97"/>
      <c r="W21" s="4"/>
    </row>
    <row r="22" spans="2:23" ht="18.45">
      <c r="B22" s="50"/>
      <c r="C22" s="50"/>
      <c r="D22" s="50"/>
      <c r="E22" s="50"/>
      <c r="G22" s="50"/>
      <c r="H22" s="50"/>
      <c r="I22" s="50"/>
      <c r="J22" s="50"/>
      <c r="K22" s="50"/>
      <c r="S22" s="240"/>
      <c r="T22" s="95"/>
      <c r="U22" s="95"/>
      <c r="V22" s="95"/>
    </row>
    <row r="23" spans="2:23">
      <c r="S23" s="1"/>
      <c r="T23" s="272"/>
    </row>
    <row r="24" spans="2:23" ht="27.65" customHeight="1">
      <c r="B24" s="2856" t="s">
        <v>297</v>
      </c>
      <c r="C24" s="2857"/>
      <c r="D24" s="2857"/>
      <c r="E24" s="2858"/>
      <c r="G24" s="2873" t="s">
        <v>72</v>
      </c>
      <c r="H24" s="2874"/>
      <c r="I24" s="697"/>
      <c r="J24" s="2871" t="s">
        <v>24</v>
      </c>
      <c r="K24" s="2871"/>
    </row>
    <row r="25" spans="2:23" ht="15" customHeight="1">
      <c r="B25" s="2865" t="s">
        <v>23</v>
      </c>
      <c r="C25" s="2661"/>
      <c r="D25" s="2661"/>
      <c r="E25" s="2866"/>
      <c r="G25" s="2867" t="s">
        <v>17</v>
      </c>
      <c r="H25" s="2869" t="s">
        <v>10</v>
      </c>
      <c r="J25" s="2871" t="s">
        <v>17</v>
      </c>
      <c r="K25" s="2872" t="s">
        <v>10</v>
      </c>
      <c r="N25" s="2859" t="s">
        <v>405</v>
      </c>
      <c r="O25" s="2859"/>
      <c r="P25" s="2859"/>
      <c r="Q25" s="2859"/>
      <c r="R25" s="2859"/>
      <c r="S25" s="2859"/>
      <c r="T25" s="2859"/>
      <c r="U25" s="2859"/>
      <c r="V25" s="2859"/>
      <c r="W25" s="2859"/>
    </row>
    <row r="26" spans="2:23">
      <c r="B26" s="2611"/>
      <c r="C26" s="2612"/>
      <c r="D26" s="2612"/>
      <c r="E26" s="2613"/>
      <c r="G26" s="2868"/>
      <c r="H26" s="2870"/>
      <c r="J26" s="2871"/>
      <c r="K26" s="2872"/>
      <c r="N26" s="2859"/>
      <c r="O26" s="2859"/>
      <c r="P26" s="2859"/>
      <c r="Q26" s="2859"/>
      <c r="R26" s="2859"/>
      <c r="S26" s="2859"/>
      <c r="T26" s="2859"/>
      <c r="U26" s="2859"/>
      <c r="V26" s="2859"/>
      <c r="W26" s="2859"/>
    </row>
    <row r="27" spans="2:23" ht="15" customHeight="1">
      <c r="B27" s="495" t="s">
        <v>605</v>
      </c>
      <c r="C27" s="1778"/>
      <c r="D27" s="1778"/>
      <c r="E27" s="1781"/>
      <c r="G27" s="1782"/>
      <c r="H27" s="698"/>
      <c r="I27" s="703"/>
      <c r="J27" s="704"/>
      <c r="K27" s="698"/>
      <c r="N27" s="2860"/>
      <c r="O27" s="2860"/>
      <c r="P27" s="2860"/>
      <c r="Q27" s="2860"/>
      <c r="R27" s="2860"/>
      <c r="S27" s="2860"/>
      <c r="T27" s="2860"/>
      <c r="U27" s="2860"/>
      <c r="V27" s="2860"/>
      <c r="W27" s="2860"/>
    </row>
    <row r="28" spans="2:23" ht="15.45" customHeight="1">
      <c r="B28" s="231" t="s">
        <v>19</v>
      </c>
      <c r="C28" s="26"/>
      <c r="D28" s="26"/>
      <c r="E28" s="16"/>
      <c r="G28" s="47" t="e">
        <v>#REF!</v>
      </c>
      <c r="H28" s="524">
        <v>6.01</v>
      </c>
      <c r="I28" s="705"/>
      <c r="J28" s="706"/>
      <c r="K28" s="524">
        <v>25</v>
      </c>
      <c r="N28" s="2789" t="s">
        <v>1556</v>
      </c>
      <c r="O28" s="2921"/>
      <c r="P28" s="2921"/>
      <c r="Q28" s="2921"/>
      <c r="R28" s="2921"/>
      <c r="S28" s="2921"/>
      <c r="T28" s="2921"/>
      <c r="U28" s="2921"/>
      <c r="V28" s="2921"/>
      <c r="W28" s="2790"/>
    </row>
    <row r="29" spans="2:23" ht="17.25" customHeight="1">
      <c r="B29" s="231" t="s">
        <v>20</v>
      </c>
      <c r="C29" s="26"/>
      <c r="D29" s="26"/>
      <c r="E29" s="16"/>
      <c r="G29" s="48" t="e">
        <v>#REF!</v>
      </c>
      <c r="H29" s="524">
        <v>5.03</v>
      </c>
      <c r="I29" s="705"/>
      <c r="J29" s="706"/>
      <c r="K29" s="524">
        <v>0</v>
      </c>
      <c r="N29" s="2789" t="s">
        <v>1557</v>
      </c>
      <c r="O29" s="2921"/>
      <c r="P29" s="2921"/>
      <c r="Q29" s="2921"/>
      <c r="R29" s="2921"/>
      <c r="S29" s="2921"/>
      <c r="T29" s="2921"/>
      <c r="U29" s="2921"/>
      <c r="V29" s="2921"/>
      <c r="W29" s="2790"/>
    </row>
    <row r="30" spans="2:23" ht="27.75" customHeight="1">
      <c r="B30" s="231" t="s">
        <v>21</v>
      </c>
      <c r="C30" s="26"/>
      <c r="D30" s="26"/>
      <c r="E30" s="16"/>
      <c r="G30" s="48">
        <v>6.58</v>
      </c>
      <c r="H30" s="524">
        <v>11.11</v>
      </c>
      <c r="I30" s="705"/>
      <c r="J30" s="706"/>
      <c r="K30" s="524">
        <v>25</v>
      </c>
      <c r="N30" s="2789" t="s">
        <v>2317</v>
      </c>
      <c r="O30" s="2921"/>
      <c r="P30" s="2921"/>
      <c r="Q30" s="2921"/>
      <c r="R30" s="2921"/>
      <c r="S30" s="2921"/>
      <c r="T30" s="2921"/>
      <c r="U30" s="2921"/>
      <c r="V30" s="2921"/>
      <c r="W30" s="2790"/>
    </row>
    <row r="31" spans="2:23" ht="17.25" customHeight="1">
      <c r="B31" s="231" t="s">
        <v>22</v>
      </c>
      <c r="C31" s="26"/>
      <c r="D31" s="26"/>
      <c r="E31" s="16"/>
      <c r="G31" s="48">
        <v>5.91</v>
      </c>
      <c r="H31" s="524">
        <v>3.56</v>
      </c>
      <c r="I31" s="705"/>
      <c r="J31" s="706"/>
      <c r="K31" s="524">
        <v>18</v>
      </c>
      <c r="N31" s="2789" t="s">
        <v>1559</v>
      </c>
      <c r="O31" s="2921"/>
      <c r="P31" s="2921"/>
      <c r="Q31" s="2921"/>
      <c r="R31" s="2921"/>
      <c r="S31" s="2921"/>
      <c r="T31" s="2921"/>
      <c r="U31" s="2921"/>
      <c r="V31" s="2921"/>
      <c r="W31" s="2790"/>
    </row>
    <row r="32" spans="2:23" ht="17.25" customHeight="1">
      <c r="B32" s="231" t="s">
        <v>402</v>
      </c>
      <c r="C32" s="26"/>
      <c r="D32" s="26"/>
      <c r="E32" s="16"/>
      <c r="G32" s="48" t="e">
        <v>#REF!</v>
      </c>
      <c r="H32" s="524">
        <v>9.6999999999999993</v>
      </c>
      <c r="I32" s="705"/>
      <c r="J32" s="706"/>
      <c r="K32" s="524">
        <v>12</v>
      </c>
      <c r="N32" s="2789" t="s">
        <v>1560</v>
      </c>
      <c r="O32" s="2921"/>
      <c r="P32" s="2921"/>
      <c r="Q32" s="2921"/>
      <c r="R32" s="2921"/>
      <c r="S32" s="2921"/>
      <c r="T32" s="2921"/>
      <c r="U32" s="2921"/>
      <c r="V32" s="2921"/>
      <c r="W32" s="2790"/>
    </row>
    <row r="33" spans="1:23" ht="17.25" customHeight="1">
      <c r="B33" s="231" t="s">
        <v>401</v>
      </c>
      <c r="C33" s="26"/>
      <c r="D33" s="26"/>
      <c r="E33" s="16"/>
      <c r="G33" s="48"/>
      <c r="H33" s="524"/>
      <c r="I33" s="705"/>
      <c r="J33" s="706"/>
      <c r="K33" s="524">
        <v>30</v>
      </c>
      <c r="N33" s="2789"/>
      <c r="O33" s="2921"/>
      <c r="P33" s="2921"/>
      <c r="Q33" s="2921"/>
      <c r="R33" s="2921"/>
      <c r="S33" s="2921"/>
      <c r="T33" s="2921"/>
      <c r="U33" s="2921"/>
      <c r="V33" s="2921"/>
      <c r="W33" s="2790"/>
    </row>
    <row r="34" spans="1:23">
      <c r="B34" s="231" t="s">
        <v>403</v>
      </c>
      <c r="C34" s="26"/>
      <c r="D34" s="26"/>
      <c r="E34" s="16"/>
      <c r="G34" s="48">
        <v>5.91</v>
      </c>
      <c r="H34" s="524">
        <v>17.28</v>
      </c>
      <c r="I34" s="705"/>
      <c r="J34" s="706"/>
      <c r="K34" s="524">
        <v>30</v>
      </c>
      <c r="N34" s="2789" t="s">
        <v>1561</v>
      </c>
      <c r="O34" s="2921"/>
      <c r="P34" s="2921"/>
      <c r="Q34" s="2921"/>
      <c r="R34" s="2921"/>
      <c r="S34" s="2921"/>
      <c r="T34" s="2921"/>
      <c r="U34" s="2921"/>
      <c r="V34" s="2921"/>
      <c r="W34" s="2790"/>
    </row>
    <row r="35" spans="1:23">
      <c r="B35" s="232" t="s">
        <v>404</v>
      </c>
      <c r="C35" s="26"/>
      <c r="D35" s="26"/>
      <c r="E35" s="16"/>
      <c r="G35" s="48" t="e">
        <v>#REF!</v>
      </c>
      <c r="H35" s="524">
        <v>5</v>
      </c>
      <c r="I35" s="705"/>
      <c r="J35" s="706"/>
      <c r="K35" s="524">
        <v>0</v>
      </c>
      <c r="N35" s="2789"/>
      <c r="O35" s="2921"/>
      <c r="P35" s="2921"/>
      <c r="Q35" s="2921"/>
      <c r="R35" s="2921"/>
      <c r="S35" s="2921"/>
      <c r="T35" s="2921"/>
      <c r="U35" s="2921"/>
      <c r="V35" s="2921"/>
      <c r="W35" s="2790"/>
    </row>
    <row r="36" spans="1:23">
      <c r="B36" s="232" t="s">
        <v>416</v>
      </c>
      <c r="C36" s="26"/>
      <c r="D36" s="26"/>
      <c r="E36" s="16"/>
      <c r="G36" s="48"/>
      <c r="H36" s="699"/>
      <c r="I36" s="705"/>
      <c r="J36" s="706"/>
      <c r="K36" s="699"/>
      <c r="N36" s="2789"/>
      <c r="O36" s="2921"/>
      <c r="P36" s="2921"/>
      <c r="Q36" s="2921"/>
      <c r="R36" s="2921"/>
      <c r="S36" s="2921"/>
      <c r="T36" s="2921"/>
      <c r="U36" s="2921"/>
      <c r="V36" s="2921"/>
      <c r="W36" s="2790"/>
    </row>
    <row r="37" spans="1:23">
      <c r="B37" s="232" t="s">
        <v>417</v>
      </c>
      <c r="C37" s="26"/>
      <c r="D37" s="26"/>
      <c r="E37" s="16"/>
      <c r="G37" s="48"/>
      <c r="H37" s="699"/>
      <c r="I37" s="705"/>
      <c r="J37" s="706"/>
      <c r="K37" s="699"/>
      <c r="N37" s="2789"/>
      <c r="O37" s="2921"/>
      <c r="P37" s="2921"/>
      <c r="Q37" s="2921"/>
      <c r="R37" s="2921"/>
      <c r="S37" s="2921"/>
      <c r="T37" s="2921"/>
      <c r="U37" s="2921"/>
      <c r="V37" s="2921"/>
      <c r="W37" s="2790"/>
    </row>
    <row r="38" spans="1:23">
      <c r="B38" s="232" t="s">
        <v>418</v>
      </c>
      <c r="C38" s="27"/>
      <c r="D38" s="27"/>
      <c r="E38" s="17"/>
      <c r="G38" s="49" t="e">
        <v>#REF!</v>
      </c>
      <c r="H38" s="700"/>
      <c r="I38" s="705"/>
      <c r="J38" s="707"/>
      <c r="K38" s="700"/>
      <c r="N38" s="2860"/>
      <c r="O38" s="2860"/>
      <c r="P38" s="2860"/>
      <c r="Q38" s="2860"/>
      <c r="R38" s="2860"/>
      <c r="S38" s="2860"/>
      <c r="T38" s="2860"/>
      <c r="U38" s="2860"/>
      <c r="V38" s="2860"/>
      <c r="W38" s="2860"/>
    </row>
    <row r="40" spans="1:23" ht="18.45">
      <c r="A40" s="10"/>
      <c r="B40" s="1772"/>
      <c r="C40" s="1772"/>
      <c r="S40" s="277"/>
    </row>
    <row r="41" spans="1:23" ht="28" customHeight="1">
      <c r="A41" s="10"/>
      <c r="B41" s="2856" t="s">
        <v>646</v>
      </c>
      <c r="C41" s="2857"/>
      <c r="D41" s="2857"/>
      <c r="E41" s="2858"/>
      <c r="T41" s="1"/>
      <c r="U41" s="1"/>
      <c r="V41" s="1"/>
    </row>
    <row r="42" spans="1:23" ht="32.25" customHeight="1">
      <c r="A42" s="10"/>
      <c r="B42" s="72" t="s">
        <v>34</v>
      </c>
      <c r="C42" s="2880" t="s">
        <v>35</v>
      </c>
      <c r="D42" s="2880"/>
      <c r="E42" s="2881"/>
      <c r="G42" s="15" t="s">
        <v>17</v>
      </c>
      <c r="H42" s="782" t="s">
        <v>10</v>
      </c>
      <c r="K42" s="2859" t="s">
        <v>405</v>
      </c>
      <c r="L42" s="2859"/>
      <c r="M42" s="2859"/>
      <c r="N42" s="2859"/>
      <c r="O42" s="2859"/>
      <c r="P42" s="2859"/>
      <c r="Q42" s="2859"/>
      <c r="R42" s="2859"/>
      <c r="S42" s="2859"/>
      <c r="T42" s="2859"/>
      <c r="U42" s="112"/>
      <c r="V42" s="226"/>
    </row>
    <row r="43" spans="1:23">
      <c r="B43" s="73" t="s">
        <v>136</v>
      </c>
      <c r="C43" s="1785" t="s">
        <v>164</v>
      </c>
      <c r="D43" s="784"/>
      <c r="E43" s="785"/>
      <c r="F43" s="549"/>
      <c r="G43" s="75"/>
      <c r="H43" s="538">
        <v>2.86</v>
      </c>
      <c r="K43" s="1794" t="s">
        <v>1571</v>
      </c>
      <c r="L43" s="1046"/>
      <c r="M43" s="1046"/>
      <c r="N43" s="1046"/>
      <c r="O43" s="1046"/>
      <c r="P43" s="1046"/>
      <c r="Q43" s="1046"/>
      <c r="R43" s="1046"/>
      <c r="S43" s="1046"/>
      <c r="T43" s="1297"/>
      <c r="U43" s="6"/>
      <c r="V43" s="6"/>
    </row>
    <row r="44" spans="1:23">
      <c r="A44" s="10"/>
      <c r="B44" s="1773" t="s">
        <v>136</v>
      </c>
      <c r="C44" s="1775" t="s">
        <v>138</v>
      </c>
      <c r="D44" s="81"/>
      <c r="E44" s="82"/>
      <c r="F44" s="549"/>
      <c r="G44" s="75"/>
      <c r="H44" s="539">
        <v>4</v>
      </c>
      <c r="K44" s="1794" t="s">
        <v>100</v>
      </c>
      <c r="L44" s="1046"/>
      <c r="M44" s="1046"/>
      <c r="N44" s="1046"/>
      <c r="O44" s="1046"/>
      <c r="P44" s="1046"/>
      <c r="Q44" s="1046"/>
      <c r="R44" s="1046"/>
      <c r="S44" s="1046"/>
      <c r="T44" s="1297"/>
      <c r="U44" s="224"/>
      <c r="V44" s="224"/>
    </row>
    <row r="45" spans="1:23">
      <c r="A45" s="10"/>
      <c r="B45" s="1773" t="s">
        <v>136</v>
      </c>
      <c r="C45" s="1775" t="s">
        <v>161</v>
      </c>
      <c r="D45" s="81"/>
      <c r="E45" s="82"/>
      <c r="F45" s="549"/>
      <c r="G45" s="75"/>
      <c r="H45" s="539">
        <v>3.3999999999999998E-3</v>
      </c>
      <c r="K45" s="1794" t="s">
        <v>1572</v>
      </c>
      <c r="L45" s="1046"/>
      <c r="M45" s="1046"/>
      <c r="N45" s="1046"/>
      <c r="O45" s="1046"/>
      <c r="P45" s="1046"/>
      <c r="Q45" s="1046"/>
      <c r="R45" s="1046"/>
      <c r="S45" s="1046"/>
      <c r="T45" s="1297"/>
      <c r="U45" s="6"/>
      <c r="V45" s="6"/>
    </row>
    <row r="46" spans="1:23">
      <c r="A46" s="10"/>
      <c r="B46" s="73" t="s">
        <v>137</v>
      </c>
      <c r="C46" s="1785" t="s">
        <v>164</v>
      </c>
      <c r="D46" s="784"/>
      <c r="E46" s="785"/>
      <c r="F46" s="549"/>
      <c r="G46" s="75"/>
      <c r="H46" s="538">
        <v>2.86</v>
      </c>
      <c r="K46" s="1794" t="s">
        <v>1573</v>
      </c>
      <c r="L46" s="1046"/>
      <c r="M46" s="1046"/>
      <c r="N46" s="1046"/>
      <c r="O46" s="1046"/>
      <c r="P46" s="1046"/>
      <c r="Q46" s="1046"/>
      <c r="R46" s="1046"/>
      <c r="S46" s="1046"/>
      <c r="T46" s="1297"/>
      <c r="U46" s="6"/>
      <c r="V46" s="6"/>
    </row>
    <row r="47" spans="1:23">
      <c r="A47" s="10"/>
      <c r="B47" s="1773" t="s">
        <v>137</v>
      </c>
      <c r="C47" s="1775" t="s">
        <v>138</v>
      </c>
      <c r="D47" s="81"/>
      <c r="E47" s="82"/>
      <c r="F47" s="549"/>
      <c r="G47" s="75"/>
      <c r="H47" s="539">
        <v>5</v>
      </c>
      <c r="K47" s="1794" t="s">
        <v>1565</v>
      </c>
      <c r="L47" s="1046"/>
      <c r="M47" s="1046"/>
      <c r="N47" s="1046"/>
      <c r="O47" s="1046"/>
      <c r="P47" s="1046"/>
      <c r="Q47" s="1046"/>
      <c r="R47" s="1046"/>
      <c r="S47" s="1046"/>
      <c r="T47" s="1297"/>
      <c r="U47" s="6"/>
      <c r="V47" s="6"/>
    </row>
    <row r="48" spans="1:23">
      <c r="A48" s="10"/>
      <c r="B48" s="1774" t="s">
        <v>137</v>
      </c>
      <c r="C48" s="1786" t="s">
        <v>161</v>
      </c>
      <c r="D48" s="667"/>
      <c r="E48" s="668"/>
      <c r="F48" s="549"/>
      <c r="G48" s="75"/>
      <c r="H48" s="539">
        <v>3.3999999999999998E-3</v>
      </c>
      <c r="K48" s="1794"/>
      <c r="L48" s="1046"/>
      <c r="M48" s="1046"/>
      <c r="N48" s="1046"/>
      <c r="O48" s="1046"/>
      <c r="P48" s="1046"/>
      <c r="Q48" s="1046"/>
      <c r="R48" s="1046"/>
      <c r="S48" s="1046"/>
      <c r="T48" s="1297"/>
      <c r="U48" s="658"/>
      <c r="V48" s="658"/>
    </row>
    <row r="49" spans="1:22">
      <c r="A49" s="10"/>
      <c r="B49" s="1773" t="s">
        <v>36</v>
      </c>
      <c r="C49" s="2877" t="s">
        <v>39</v>
      </c>
      <c r="D49" s="2877"/>
      <c r="E49" s="2878"/>
      <c r="F49" s="549" t="str">
        <f t="shared" ref="F49:F66" si="0">B49&amp;C49</f>
        <v>MotorcyclePurchase Price</v>
      </c>
      <c r="G49" s="32">
        <v>15000</v>
      </c>
      <c r="H49" s="540">
        <v>5000</v>
      </c>
      <c r="K49" s="1794" t="s">
        <v>1563</v>
      </c>
      <c r="L49" s="1046"/>
      <c r="M49" s="1046"/>
      <c r="N49" s="1046"/>
      <c r="O49" s="1046"/>
      <c r="P49" s="1046"/>
      <c r="Q49" s="1046"/>
      <c r="R49" s="1046"/>
      <c r="S49" s="1046"/>
      <c r="T49" s="1297"/>
      <c r="U49" s="181"/>
      <c r="V49" s="181"/>
    </row>
    <row r="50" spans="1:22">
      <c r="A50" s="10"/>
      <c r="B50" s="1773" t="s">
        <v>36</v>
      </c>
      <c r="C50" s="2552" t="s">
        <v>40</v>
      </c>
      <c r="D50" s="2552"/>
      <c r="E50" s="2879"/>
      <c r="F50" s="549" t="str">
        <f t="shared" si="0"/>
        <v>MotorcycleDepreciation Cost / yr</v>
      </c>
      <c r="G50" s="30">
        <f>G49/$H$11</f>
        <v>3000</v>
      </c>
      <c r="H50" s="541">
        <v>1250</v>
      </c>
      <c r="K50" s="1794" t="s">
        <v>1564</v>
      </c>
      <c r="L50" s="1046"/>
      <c r="M50" s="1046"/>
      <c r="N50" s="1046"/>
      <c r="O50" s="1046"/>
      <c r="P50" s="1046"/>
      <c r="Q50" s="1046"/>
      <c r="R50" s="1046"/>
      <c r="S50" s="1046"/>
      <c r="T50" s="1297"/>
      <c r="U50" s="181"/>
      <c r="V50" s="181"/>
    </row>
    <row r="51" spans="1:22">
      <c r="A51" s="10"/>
      <c r="B51" s="1773" t="s">
        <v>36</v>
      </c>
      <c r="C51" s="2552" t="s">
        <v>44</v>
      </c>
      <c r="D51" s="2552"/>
      <c r="E51" s="2879"/>
      <c r="F51" s="549" t="str">
        <f t="shared" si="0"/>
        <v>MotorcycleInsurance cost /yr</v>
      </c>
      <c r="G51" s="32">
        <v>1000</v>
      </c>
      <c r="H51" s="542">
        <v>0</v>
      </c>
      <c r="K51" s="1794" t="s">
        <v>100</v>
      </c>
      <c r="L51" s="1046"/>
      <c r="M51" s="1046"/>
      <c r="N51" s="1046"/>
      <c r="O51" s="1046"/>
      <c r="P51" s="1046"/>
      <c r="Q51" s="1046"/>
      <c r="R51" s="1046"/>
      <c r="S51" s="1046"/>
      <c r="T51" s="1297"/>
      <c r="U51" t="s">
        <v>700</v>
      </c>
      <c r="V51" s="181"/>
    </row>
    <row r="52" spans="1:22">
      <c r="A52" s="10"/>
      <c r="B52" s="1773" t="s">
        <v>36</v>
      </c>
      <c r="C52" s="2552" t="s">
        <v>42</v>
      </c>
      <c r="D52" s="2552"/>
      <c r="E52" s="2879"/>
      <c r="F52" s="549" t="str">
        <f t="shared" si="0"/>
        <v>MotorcycleMaintenance cost/km</v>
      </c>
      <c r="G52" s="32">
        <v>0.05</v>
      </c>
      <c r="H52" s="542">
        <v>0</v>
      </c>
      <c r="K52" s="1794" t="s">
        <v>100</v>
      </c>
      <c r="L52" s="1046"/>
      <c r="M52" s="1046"/>
      <c r="N52" s="1046"/>
      <c r="O52" s="1046"/>
      <c r="P52" s="1046"/>
      <c r="Q52" s="1046"/>
      <c r="R52" s="1046"/>
      <c r="S52" s="1046"/>
      <c r="T52" s="1297"/>
      <c r="U52" t="s">
        <v>700</v>
      </c>
      <c r="V52" s="181"/>
    </row>
    <row r="53" spans="1:22">
      <c r="A53" s="10"/>
      <c r="B53" s="1773" t="s">
        <v>36</v>
      </c>
      <c r="C53" s="2552" t="s">
        <v>41</v>
      </c>
      <c r="D53" s="2552"/>
      <c r="E53" s="2879"/>
      <c r="F53" s="549" t="str">
        <f t="shared" si="0"/>
        <v>MotorcycleFuel Efficiency (km/liter)</v>
      </c>
      <c r="G53" s="31">
        <v>27.5</v>
      </c>
      <c r="H53" s="543">
        <v>6</v>
      </c>
      <c r="K53" s="1794" t="s">
        <v>1565</v>
      </c>
      <c r="L53" s="1046"/>
      <c r="M53" s="1046"/>
      <c r="N53" s="1046"/>
      <c r="O53" s="1046"/>
      <c r="P53" s="1046"/>
      <c r="Q53" s="1046"/>
      <c r="R53" s="1046"/>
      <c r="S53" s="1046"/>
      <c r="T53" s="1297"/>
      <c r="U53" t="s">
        <v>700</v>
      </c>
      <c r="V53" s="181"/>
    </row>
    <row r="54" spans="1:22">
      <c r="A54" s="10"/>
      <c r="B54" s="1774" t="s">
        <v>36</v>
      </c>
      <c r="C54" s="2882" t="s">
        <v>43</v>
      </c>
      <c r="D54" s="2882"/>
      <c r="E54" s="2883"/>
      <c r="F54" s="549" t="str">
        <f t="shared" si="0"/>
        <v>MotorcycleDelivery Capacity (m^3)</v>
      </c>
      <c r="G54" s="33">
        <v>0.25</v>
      </c>
      <c r="H54" s="544">
        <v>3.4000000000000002E-2</v>
      </c>
      <c r="K54" s="1794" t="s">
        <v>1566</v>
      </c>
      <c r="L54" s="1046"/>
      <c r="M54" s="1046"/>
      <c r="N54" s="1046"/>
      <c r="O54" s="1046"/>
      <c r="P54" s="1046"/>
      <c r="Q54" s="1046"/>
      <c r="R54" s="1046"/>
      <c r="S54" s="1046"/>
      <c r="T54" s="1297"/>
      <c r="U54" t="s">
        <v>699</v>
      </c>
      <c r="V54" s="181"/>
    </row>
    <row r="55" spans="1:22">
      <c r="A55" s="10"/>
      <c r="B55" s="1773" t="s">
        <v>407</v>
      </c>
      <c r="C55" s="2877" t="s">
        <v>39</v>
      </c>
      <c r="D55" s="2877"/>
      <c r="E55" s="2878"/>
      <c r="F55" s="549" t="str">
        <f t="shared" si="0"/>
        <v>Car/Sport Utility/Consumer VehiclePurchase Price</v>
      </c>
      <c r="G55" s="28">
        <v>60939.499795095864</v>
      </c>
      <c r="H55" s="540">
        <v>35000</v>
      </c>
      <c r="K55" s="1794" t="s">
        <v>1574</v>
      </c>
      <c r="L55" s="1046"/>
      <c r="M55" s="1046"/>
      <c r="N55" s="1046"/>
      <c r="O55" s="1046"/>
      <c r="P55" s="1046"/>
      <c r="Q55" s="1046"/>
      <c r="R55" s="1046"/>
      <c r="S55" s="1046"/>
      <c r="T55" s="1297"/>
      <c r="U55" s="181"/>
      <c r="V55" s="181"/>
    </row>
    <row r="56" spans="1:22">
      <c r="A56" s="10"/>
      <c r="B56" s="1773" t="s">
        <v>407</v>
      </c>
      <c r="C56" s="2552" t="s">
        <v>40</v>
      </c>
      <c r="D56" s="2552"/>
      <c r="E56" s="2879"/>
      <c r="F56" s="549" t="str">
        <f t="shared" si="0"/>
        <v>Car/Sport Utility/Consumer VehicleDepreciation Cost / yr</v>
      </c>
      <c r="G56" s="29">
        <f>G55/$H$11</f>
        <v>12187.899959019172</v>
      </c>
      <c r="H56" s="541">
        <v>5000</v>
      </c>
      <c r="K56" s="1794" t="s">
        <v>1575</v>
      </c>
      <c r="L56" s="1046"/>
      <c r="M56" s="1046"/>
      <c r="N56" s="1046"/>
      <c r="O56" s="1046"/>
      <c r="P56" s="1046"/>
      <c r="Q56" s="1046"/>
      <c r="R56" s="1046"/>
      <c r="S56" s="1046"/>
      <c r="T56" s="1297"/>
      <c r="U56" s="181"/>
      <c r="V56" s="181"/>
    </row>
    <row r="57" spans="1:22">
      <c r="A57" s="10"/>
      <c r="B57" s="1773" t="s">
        <v>407</v>
      </c>
      <c r="C57" s="2552" t="s">
        <v>44</v>
      </c>
      <c r="D57" s="2552"/>
      <c r="E57" s="2879"/>
      <c r="F57" s="549" t="str">
        <f t="shared" si="0"/>
        <v>Car/Sport Utility/Consumer VehicleInsurance cost /yr</v>
      </c>
      <c r="G57" s="28">
        <v>2323.9499999999998</v>
      </c>
      <c r="H57" s="542">
        <v>0</v>
      </c>
      <c r="K57" s="1794" t="s">
        <v>100</v>
      </c>
      <c r="L57" s="1046"/>
      <c r="M57" s="1046"/>
      <c r="N57" s="1046"/>
      <c r="O57" s="1046"/>
      <c r="P57" s="1046"/>
      <c r="Q57" s="1046"/>
      <c r="R57" s="1046"/>
      <c r="S57" s="1046"/>
      <c r="T57" s="1297"/>
      <c r="U57" s="181"/>
      <c r="V57" s="181"/>
    </row>
    <row r="58" spans="1:22">
      <c r="A58" s="10"/>
      <c r="B58" s="1773" t="s">
        <v>407</v>
      </c>
      <c r="C58" s="2918" t="s">
        <v>42</v>
      </c>
      <c r="D58" s="2918"/>
      <c r="E58" s="2919"/>
      <c r="F58" s="549" t="str">
        <f t="shared" si="0"/>
        <v>Car/Sport Utility/Consumer VehicleMaintenance cost/km</v>
      </c>
      <c r="G58" s="28">
        <v>0.12</v>
      </c>
      <c r="H58" s="542">
        <v>0.03</v>
      </c>
      <c r="K58" s="1794" t="s">
        <v>2318</v>
      </c>
      <c r="L58" s="1046"/>
      <c r="M58" s="1046"/>
      <c r="N58" s="1046"/>
      <c r="O58" s="1046"/>
      <c r="P58" s="1046"/>
      <c r="Q58" s="1046"/>
      <c r="R58" s="1046"/>
      <c r="S58" s="1046"/>
      <c r="T58" s="1297"/>
      <c r="U58" s="181"/>
      <c r="V58" s="181"/>
    </row>
    <row r="59" spans="1:22">
      <c r="A59" s="10"/>
      <c r="B59" s="1773" t="s">
        <v>407</v>
      </c>
      <c r="C59" s="2552" t="s">
        <v>41</v>
      </c>
      <c r="D59" s="2552"/>
      <c r="E59" s="2879"/>
      <c r="F59" s="549" t="str">
        <f t="shared" si="0"/>
        <v>Car/Sport Utility/Consumer VehicleFuel Efficiency (km/liter)</v>
      </c>
      <c r="G59" s="12">
        <v>6.9</v>
      </c>
      <c r="H59" s="543">
        <v>15</v>
      </c>
      <c r="K59" s="1794" t="s">
        <v>1569</v>
      </c>
      <c r="L59" s="1046"/>
      <c r="M59" s="1046"/>
      <c r="N59" s="1046"/>
      <c r="O59" s="1046"/>
      <c r="P59" s="1046"/>
      <c r="Q59" s="1046"/>
      <c r="R59" s="1046"/>
      <c r="S59" s="1046"/>
      <c r="T59" s="1297"/>
      <c r="U59" s="181"/>
      <c r="V59" s="181"/>
    </row>
    <row r="60" spans="1:22">
      <c r="A60" s="10"/>
      <c r="B60" s="1774" t="s">
        <v>407</v>
      </c>
      <c r="C60" s="2882" t="s">
        <v>43</v>
      </c>
      <c r="D60" s="2882"/>
      <c r="E60" s="2883"/>
      <c r="F60" s="549" t="str">
        <f t="shared" si="0"/>
        <v>Car/Sport Utility/Consumer VehicleDelivery Capacity (m^3)</v>
      </c>
      <c r="G60" s="14">
        <v>2</v>
      </c>
      <c r="H60" s="544">
        <v>2</v>
      </c>
      <c r="K60" s="1794" t="s">
        <v>1570</v>
      </c>
      <c r="L60" s="1046"/>
      <c r="M60" s="1046"/>
      <c r="N60" s="1046"/>
      <c r="O60" s="1046"/>
      <c r="P60" s="1046"/>
      <c r="Q60" s="1046"/>
      <c r="R60" s="1046"/>
      <c r="S60" s="1046"/>
      <c r="T60" s="1297"/>
      <c r="U60" s="181"/>
      <c r="V60" s="181"/>
    </row>
    <row r="61" spans="1:22">
      <c r="A61" s="10"/>
      <c r="B61" s="1773" t="s">
        <v>279</v>
      </c>
      <c r="C61" s="2877" t="s">
        <v>39</v>
      </c>
      <c r="D61" s="2877"/>
      <c r="E61" s="2878"/>
      <c r="F61" s="803" t="str">
        <f t="shared" si="0"/>
        <v>Commercial TruckPurchase Price</v>
      </c>
      <c r="G61" s="28">
        <v>70448.990000000005</v>
      </c>
      <c r="H61" s="540">
        <v>50000</v>
      </c>
      <c r="K61" s="1794" t="s">
        <v>1567</v>
      </c>
      <c r="L61" s="1046"/>
      <c r="M61" s="1046"/>
      <c r="N61" s="1046"/>
      <c r="O61" s="1046"/>
      <c r="P61" s="1046"/>
      <c r="Q61" s="1046"/>
      <c r="R61" s="1046"/>
      <c r="S61" s="1046"/>
      <c r="T61" s="1297"/>
      <c r="U61" s="104"/>
      <c r="V61" s="104"/>
    </row>
    <row r="62" spans="1:22">
      <c r="A62" s="10"/>
      <c r="B62" s="1773" t="s">
        <v>279</v>
      </c>
      <c r="C62" s="2552" t="s">
        <v>40</v>
      </c>
      <c r="D62" s="2552"/>
      <c r="E62" s="2879"/>
      <c r="F62" s="803" t="str">
        <f t="shared" si="0"/>
        <v>Commercial TruckDepreciation Cost / yr</v>
      </c>
      <c r="G62" s="29">
        <f>G61/$H$11</f>
        <v>14089.798000000001</v>
      </c>
      <c r="H62" s="541">
        <v>7142</v>
      </c>
      <c r="K62" s="1794" t="s">
        <v>1568</v>
      </c>
      <c r="L62" s="1046"/>
      <c r="M62" s="1046"/>
      <c r="N62" s="1046"/>
      <c r="O62" s="1046"/>
      <c r="P62" s="1046"/>
      <c r="Q62" s="1046"/>
      <c r="R62" s="1046"/>
      <c r="S62" s="1046"/>
      <c r="T62" s="1297"/>
    </row>
    <row r="63" spans="1:22">
      <c r="A63" s="10"/>
      <c r="B63" s="1773" t="s">
        <v>279</v>
      </c>
      <c r="C63" s="2552" t="s">
        <v>44</v>
      </c>
      <c r="D63" s="2552"/>
      <c r="E63" s="2879"/>
      <c r="F63" s="803" t="str">
        <f t="shared" si="0"/>
        <v>Commercial TruckInsurance cost /yr</v>
      </c>
      <c r="G63" s="28">
        <v>2575.86</v>
      </c>
      <c r="H63" s="542">
        <v>0</v>
      </c>
      <c r="K63" s="1794" t="s">
        <v>100</v>
      </c>
      <c r="L63" s="1046"/>
      <c r="M63" s="1046"/>
      <c r="N63" s="1046"/>
      <c r="O63" s="1046"/>
      <c r="P63" s="1046"/>
      <c r="Q63" s="1046"/>
      <c r="R63" s="1046"/>
      <c r="S63" s="1046"/>
      <c r="T63" s="1297"/>
    </row>
    <row r="64" spans="1:22">
      <c r="A64" s="10"/>
      <c r="B64" s="1773" t="s">
        <v>279</v>
      </c>
      <c r="C64" s="2552" t="s">
        <v>42</v>
      </c>
      <c r="D64" s="2552"/>
      <c r="E64" s="2879"/>
      <c r="F64" s="803" t="str">
        <f t="shared" si="0"/>
        <v>Commercial TruckMaintenance cost/km</v>
      </c>
      <c r="G64" s="28">
        <v>0.38</v>
      </c>
      <c r="H64" s="542">
        <v>0.05</v>
      </c>
      <c r="K64" s="1794" t="s">
        <v>2318</v>
      </c>
      <c r="L64" s="1046"/>
      <c r="M64" s="1046"/>
      <c r="N64" s="1046"/>
      <c r="O64" s="1046"/>
      <c r="P64" s="1046"/>
      <c r="Q64" s="1046"/>
      <c r="R64" s="1046"/>
      <c r="S64" s="1046"/>
      <c r="T64" s="1297"/>
    </row>
    <row r="65" spans="1:23">
      <c r="A65" s="10"/>
      <c r="B65" s="1773" t="s">
        <v>279</v>
      </c>
      <c r="C65" s="2552" t="s">
        <v>41</v>
      </c>
      <c r="D65" s="2552"/>
      <c r="E65" s="2879"/>
      <c r="F65" s="803" t="str">
        <f t="shared" si="0"/>
        <v>Commercial TruckFuel Efficiency (km/liter)</v>
      </c>
      <c r="G65" s="12">
        <v>3.86</v>
      </c>
      <c r="H65" s="543">
        <v>15</v>
      </c>
      <c r="K65" s="1794" t="s">
        <v>1569</v>
      </c>
      <c r="L65" s="1046"/>
      <c r="M65" s="1046"/>
      <c r="N65" s="1046"/>
      <c r="O65" s="1046"/>
      <c r="P65" s="1046"/>
      <c r="Q65" s="1046"/>
      <c r="R65" s="1046"/>
      <c r="S65" s="1046"/>
      <c r="T65" s="1297"/>
    </row>
    <row r="66" spans="1:23">
      <c r="A66" s="10"/>
      <c r="B66" s="1774" t="s">
        <v>279</v>
      </c>
      <c r="C66" s="2882" t="s">
        <v>43</v>
      </c>
      <c r="D66" s="2882"/>
      <c r="E66" s="2883"/>
      <c r="F66" s="803" t="str">
        <f t="shared" si="0"/>
        <v>Commercial TruckDelivery Capacity (m^3)</v>
      </c>
      <c r="G66" s="14">
        <v>12</v>
      </c>
      <c r="H66" s="544">
        <v>10</v>
      </c>
      <c r="K66" s="1794" t="s">
        <v>1570</v>
      </c>
      <c r="L66" s="1046"/>
      <c r="M66" s="1046"/>
      <c r="N66" s="1046"/>
      <c r="O66" s="1046"/>
      <c r="P66" s="1046"/>
      <c r="Q66" s="1046"/>
      <c r="R66" s="1046"/>
      <c r="S66" s="1046"/>
      <c r="T66" s="1297"/>
    </row>
    <row r="67" spans="1:23">
      <c r="A67" s="10"/>
      <c r="B67" s="1773" t="s">
        <v>408</v>
      </c>
      <c r="C67" s="2877" t="s">
        <v>39</v>
      </c>
      <c r="D67" s="2877"/>
      <c r="E67" s="2878"/>
      <c r="F67" s="549"/>
      <c r="H67" s="540"/>
      <c r="K67" s="1794"/>
      <c r="L67" s="1046"/>
      <c r="M67" s="1046"/>
      <c r="N67" s="1046"/>
      <c r="O67" s="1046"/>
      <c r="P67" s="1046"/>
      <c r="Q67" s="1046"/>
      <c r="R67" s="1046"/>
      <c r="S67" s="1046"/>
      <c r="T67" s="1297"/>
      <c r="W67" s="37"/>
    </row>
    <row r="68" spans="1:23">
      <c r="A68" s="10"/>
      <c r="B68" s="1773" t="s">
        <v>408</v>
      </c>
      <c r="C68" s="2552" t="s">
        <v>40</v>
      </c>
      <c r="D68" s="2552"/>
      <c r="E68" s="2879"/>
      <c r="F68" s="549"/>
      <c r="H68" s="541"/>
      <c r="K68" s="1794"/>
      <c r="L68" s="1046"/>
      <c r="M68" s="1046"/>
      <c r="N68" s="1046"/>
      <c r="O68" s="1046"/>
      <c r="P68" s="1046"/>
      <c r="Q68" s="1046"/>
      <c r="R68" s="1046"/>
      <c r="S68" s="1046"/>
      <c r="T68" s="1297"/>
    </row>
    <row r="69" spans="1:23">
      <c r="A69" s="10"/>
      <c r="B69" s="1773" t="s">
        <v>408</v>
      </c>
      <c r="C69" s="2552" t="s">
        <v>44</v>
      </c>
      <c r="D69" s="2552"/>
      <c r="E69" s="2879"/>
      <c r="F69" s="549"/>
      <c r="H69" s="542"/>
      <c r="K69" s="1794"/>
      <c r="L69" s="1046"/>
      <c r="M69" s="1046"/>
      <c r="N69" s="1046"/>
      <c r="O69" s="1046"/>
      <c r="P69" s="1046"/>
      <c r="Q69" s="1046"/>
      <c r="R69" s="1046"/>
      <c r="S69" s="1046"/>
      <c r="T69" s="1297"/>
      <c r="U69" s="655"/>
      <c r="V69" s="655"/>
    </row>
    <row r="70" spans="1:23">
      <c r="A70" s="10"/>
      <c r="B70" s="1773" t="s">
        <v>408</v>
      </c>
      <c r="C70" s="2552" t="s">
        <v>42</v>
      </c>
      <c r="D70" s="2552"/>
      <c r="E70" s="2879"/>
      <c r="F70" s="549"/>
      <c r="H70" s="542"/>
      <c r="K70" s="1794"/>
      <c r="L70" s="1046"/>
      <c r="M70" s="1046"/>
      <c r="N70" s="1046"/>
      <c r="O70" s="1046"/>
      <c r="P70" s="1046"/>
      <c r="Q70" s="1046"/>
      <c r="R70" s="1046"/>
      <c r="S70" s="1046"/>
      <c r="T70" s="1297"/>
      <c r="U70" s="37"/>
      <c r="V70" s="654"/>
    </row>
    <row r="71" spans="1:23" ht="15" customHeight="1">
      <c r="A71" s="10"/>
      <c r="B71" s="1773" t="s">
        <v>408</v>
      </c>
      <c r="C71" s="2552" t="s">
        <v>41</v>
      </c>
      <c r="D71" s="2552"/>
      <c r="E71" s="2879"/>
      <c r="F71" s="549"/>
      <c r="H71" s="543"/>
      <c r="K71" s="1794"/>
      <c r="L71" s="1046"/>
      <c r="M71" s="1046"/>
      <c r="N71" s="1046"/>
      <c r="O71" s="1046"/>
      <c r="P71" s="1046"/>
      <c r="Q71" s="1046"/>
      <c r="R71" s="1046"/>
      <c r="S71" s="1046"/>
      <c r="T71" s="1297"/>
      <c r="U71" s="37"/>
      <c r="V71" s="654"/>
    </row>
    <row r="72" spans="1:23">
      <c r="A72" s="10"/>
      <c r="B72" s="1774" t="s">
        <v>408</v>
      </c>
      <c r="C72" s="2882" t="s">
        <v>43</v>
      </c>
      <c r="D72" s="2882"/>
      <c r="E72" s="2883"/>
      <c r="F72" s="549"/>
      <c r="H72" s="544"/>
      <c r="K72" s="1794"/>
      <c r="L72" s="1046"/>
      <c r="M72" s="1046"/>
      <c r="N72" s="1046"/>
      <c r="O72" s="1046"/>
      <c r="P72" s="1046"/>
      <c r="Q72" s="1046"/>
      <c r="R72" s="1046"/>
      <c r="S72" s="1046"/>
      <c r="T72" s="1297"/>
      <c r="U72" s="37"/>
      <c r="V72" s="654"/>
    </row>
    <row r="73" spans="1:23">
      <c r="A73" t="s">
        <v>698</v>
      </c>
      <c r="B73" s="1773" t="s">
        <v>409</v>
      </c>
      <c r="C73" s="2877" t="s">
        <v>39</v>
      </c>
      <c r="D73" s="2877"/>
      <c r="E73" s="2878"/>
      <c r="F73" s="549"/>
      <c r="H73" s="540">
        <v>50</v>
      </c>
      <c r="K73" s="1794" t="s">
        <v>1562</v>
      </c>
      <c r="L73" s="1046"/>
      <c r="M73" s="1046"/>
      <c r="N73" s="1046"/>
      <c r="O73" s="1046"/>
      <c r="P73" s="1046"/>
      <c r="Q73" s="1046"/>
      <c r="R73" s="1046"/>
      <c r="S73" s="1046"/>
      <c r="T73" s="1297"/>
      <c r="U73" s="37"/>
      <c r="V73" s="654"/>
    </row>
    <row r="74" spans="1:23">
      <c r="A74" s="10"/>
      <c r="B74" s="1773" t="s">
        <v>409</v>
      </c>
      <c r="C74" s="2552" t="s">
        <v>40</v>
      </c>
      <c r="D74" s="2552"/>
      <c r="E74" s="2879"/>
      <c r="F74" s="549"/>
      <c r="H74" s="541">
        <v>0</v>
      </c>
      <c r="K74" s="1794"/>
      <c r="L74" s="1046"/>
      <c r="M74" s="1046"/>
      <c r="N74" s="1046"/>
      <c r="O74" s="1046"/>
      <c r="P74" s="1046"/>
      <c r="Q74" s="1046"/>
      <c r="R74" s="1046"/>
      <c r="S74" s="1046"/>
      <c r="T74" s="1297"/>
      <c r="U74" s="653"/>
      <c r="V74" s="652"/>
    </row>
    <row r="75" spans="1:23">
      <c r="A75" s="10"/>
      <c r="B75" s="1773" t="s">
        <v>409</v>
      </c>
      <c r="C75" s="2552" t="s">
        <v>44</v>
      </c>
      <c r="D75" s="2552"/>
      <c r="E75" s="2879"/>
      <c r="F75" s="549"/>
      <c r="H75" s="542">
        <v>0</v>
      </c>
      <c r="K75" s="1794"/>
      <c r="L75" s="1046"/>
      <c r="M75" s="1046"/>
      <c r="N75" s="1046"/>
      <c r="O75" s="1046"/>
      <c r="P75" s="1046"/>
      <c r="Q75" s="1046"/>
      <c r="R75" s="1046"/>
      <c r="S75" s="1046"/>
      <c r="T75" s="1297"/>
    </row>
    <row r="76" spans="1:23" ht="14.25" customHeight="1">
      <c r="A76" s="10"/>
      <c r="B76" s="1773" t="s">
        <v>409</v>
      </c>
      <c r="C76" s="2552" t="s">
        <v>42</v>
      </c>
      <c r="D76" s="2552"/>
      <c r="E76" s="2879"/>
      <c r="F76" s="549"/>
      <c r="H76" s="542">
        <v>0</v>
      </c>
      <c r="K76" s="1794"/>
      <c r="L76" s="1046"/>
      <c r="M76" s="1046"/>
      <c r="N76" s="1046"/>
      <c r="O76" s="1046"/>
      <c r="P76" s="1046"/>
      <c r="Q76" s="1046"/>
      <c r="R76" s="1046"/>
      <c r="S76" s="1046"/>
      <c r="T76" s="1297"/>
    </row>
    <row r="77" spans="1:23" ht="15.75" customHeight="1">
      <c r="A77" s="10"/>
      <c r="B77" s="1773" t="s">
        <v>409</v>
      </c>
      <c r="C77" s="2552" t="s">
        <v>41</v>
      </c>
      <c r="D77" s="2552"/>
      <c r="E77" s="2879"/>
      <c r="F77" s="549"/>
      <c r="H77" s="543"/>
      <c r="K77" s="1794"/>
      <c r="L77" s="1046"/>
      <c r="M77" s="1046"/>
      <c r="N77" s="1046"/>
      <c r="O77" s="1046"/>
      <c r="P77" s="1046"/>
      <c r="Q77" s="1046"/>
      <c r="R77" s="1046"/>
      <c r="S77" s="1046"/>
      <c r="T77" s="1297"/>
    </row>
    <row r="78" spans="1:23">
      <c r="A78" s="10"/>
      <c r="B78" s="1774" t="s">
        <v>409</v>
      </c>
      <c r="C78" s="2882" t="s">
        <v>43</v>
      </c>
      <c r="D78" s="2882"/>
      <c r="E78" s="2883"/>
      <c r="F78" s="549"/>
      <c r="H78" s="544">
        <v>10</v>
      </c>
      <c r="K78" s="1794"/>
      <c r="L78" s="1046"/>
      <c r="M78" s="1046"/>
      <c r="N78" s="1046"/>
      <c r="O78" s="1046"/>
      <c r="P78" s="1046"/>
      <c r="Q78" s="1046"/>
      <c r="R78" s="1046"/>
      <c r="S78" s="1046"/>
      <c r="T78" s="1297"/>
    </row>
    <row r="79" spans="1:23" ht="30" customHeight="1">
      <c r="A79" s="10"/>
      <c r="B79" s="1772"/>
      <c r="C79" s="1772"/>
    </row>
    <row r="80" spans="1:23">
      <c r="A80" s="10"/>
      <c r="B80" s="1772"/>
      <c r="C80" s="1772"/>
    </row>
    <row r="81" spans="1:34" ht="27.65" customHeight="1">
      <c r="A81" s="2886" t="s">
        <v>607</v>
      </c>
      <c r="B81" s="2886"/>
      <c r="C81" s="2886"/>
      <c r="D81" s="2886"/>
      <c r="E81" s="2886"/>
      <c r="G81" t="s">
        <v>3</v>
      </c>
      <c r="H81" t="s">
        <v>692</v>
      </c>
      <c r="J81" t="s">
        <v>47</v>
      </c>
      <c r="K81" t="s">
        <v>695</v>
      </c>
      <c r="M81" t="s">
        <v>96</v>
      </c>
      <c r="N81" t="s">
        <v>694</v>
      </c>
      <c r="Q81" t="s">
        <v>693</v>
      </c>
    </row>
    <row r="82" spans="1:34" ht="15" customHeight="1">
      <c r="A82" s="10"/>
      <c r="B82" s="148"/>
      <c r="C82" s="148"/>
      <c r="D82" s="148"/>
      <c r="E82" s="148"/>
      <c r="G82" s="2887" t="s">
        <v>9</v>
      </c>
      <c r="H82" s="2888"/>
      <c r="I82" s="1772"/>
      <c r="J82" s="2889" t="s">
        <v>6</v>
      </c>
      <c r="K82" s="2890"/>
      <c r="L82" s="1772"/>
      <c r="M82" s="2889" t="s">
        <v>7</v>
      </c>
      <c r="N82" s="2890"/>
      <c r="O82" s="1772"/>
      <c r="P82" s="1787" t="s">
        <v>8</v>
      </c>
      <c r="Q82" s="1787" t="s">
        <v>8</v>
      </c>
      <c r="R82" s="1772"/>
      <c r="S82" s="1772"/>
      <c r="T82" s="1787" t="s">
        <v>411</v>
      </c>
      <c r="U82" s="1772"/>
      <c r="V82" s="1772"/>
      <c r="W82" s="718" t="s">
        <v>412</v>
      </c>
    </row>
    <row r="83" spans="1:34" ht="15" customHeight="1">
      <c r="B83" s="148"/>
      <c r="C83" s="148"/>
      <c r="D83" s="148"/>
      <c r="E83" s="148"/>
      <c r="G83" s="2867" t="s">
        <v>17</v>
      </c>
      <c r="H83" s="2894" t="s">
        <v>10</v>
      </c>
      <c r="I83" s="6"/>
      <c r="J83" s="2637" t="s">
        <v>17</v>
      </c>
      <c r="K83" s="2894" t="s">
        <v>10</v>
      </c>
      <c r="L83" s="6"/>
      <c r="M83" s="2637" t="s">
        <v>17</v>
      </c>
      <c r="N83" s="2894" t="s">
        <v>10</v>
      </c>
      <c r="P83" s="2867" t="s">
        <v>17</v>
      </c>
      <c r="Q83" s="2869" t="s">
        <v>10</v>
      </c>
      <c r="T83" s="2869" t="s">
        <v>10</v>
      </c>
      <c r="W83" s="2869" t="s">
        <v>10</v>
      </c>
      <c r="X83" s="2661" t="s">
        <v>405</v>
      </c>
      <c r="Y83" s="2661"/>
      <c r="Z83" s="2661"/>
      <c r="AA83" s="2661"/>
      <c r="AB83" s="2661"/>
      <c r="AC83" s="2661"/>
      <c r="AD83" s="2661"/>
      <c r="AE83" s="2661"/>
      <c r="AF83" s="2661"/>
      <c r="AG83" s="2866"/>
    </row>
    <row r="84" spans="1:34" ht="15" customHeight="1">
      <c r="B84" s="148"/>
      <c r="C84" s="148"/>
      <c r="D84" s="148"/>
      <c r="E84" s="148"/>
      <c r="G84" s="2891"/>
      <c r="H84" s="2895"/>
      <c r="I84" s="6"/>
      <c r="J84" s="2896"/>
      <c r="K84" s="2895"/>
      <c r="L84" s="6"/>
      <c r="M84" s="2896"/>
      <c r="N84" s="2895"/>
      <c r="P84" s="2891"/>
      <c r="Q84" s="2892"/>
      <c r="T84" s="2892"/>
      <c r="W84" s="2892"/>
      <c r="X84" s="2662"/>
      <c r="Y84" s="2662"/>
      <c r="Z84" s="2662"/>
      <c r="AA84" s="2662"/>
      <c r="AB84" s="2662"/>
      <c r="AC84" s="2662"/>
      <c r="AD84" s="2662"/>
      <c r="AE84" s="2662"/>
      <c r="AF84" s="2662"/>
      <c r="AG84" s="2610"/>
    </row>
    <row r="85" spans="1:34" ht="16.75">
      <c r="A85" s="1792"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34" ht="20.25" customHeight="1">
      <c r="B86" s="44" t="s">
        <v>116</v>
      </c>
      <c r="C86" s="44"/>
      <c r="D86" s="44"/>
      <c r="E86" s="44"/>
      <c r="G86" s="64" t="s">
        <v>26</v>
      </c>
      <c r="H86" s="523"/>
      <c r="I86" s="713"/>
      <c r="J86" s="714"/>
      <c r="K86" s="523"/>
      <c r="L86" s="713"/>
      <c r="M86" s="714"/>
      <c r="N86" s="523"/>
      <c r="O86" s="713"/>
      <c r="P86" s="714"/>
      <c r="Q86" s="523"/>
      <c r="R86" s="713"/>
      <c r="S86" s="713"/>
      <c r="T86" s="523"/>
      <c r="U86" s="713"/>
      <c r="V86" s="713"/>
      <c r="W86" s="695"/>
      <c r="X86" s="2893"/>
      <c r="Y86" s="2893"/>
      <c r="Z86" s="2893"/>
      <c r="AA86" s="2893"/>
      <c r="AB86" s="2893"/>
      <c r="AC86" s="2893"/>
      <c r="AD86" s="2893"/>
      <c r="AE86" s="2893"/>
      <c r="AF86" s="2893"/>
      <c r="AG86" s="2893"/>
    </row>
    <row r="87" spans="1:34" ht="18" customHeight="1">
      <c r="B87" s="44" t="s">
        <v>0</v>
      </c>
      <c r="C87" s="44"/>
      <c r="D87" s="44"/>
      <c r="E87" s="44"/>
      <c r="F87" s="236"/>
      <c r="G87" s="719" t="s">
        <v>31</v>
      </c>
      <c r="H87" s="550"/>
      <c r="I87" s="720"/>
      <c r="J87" s="721"/>
      <c r="K87" s="550"/>
      <c r="L87" s="720"/>
      <c r="M87" s="721"/>
      <c r="N87" s="550"/>
      <c r="O87" s="720"/>
      <c r="P87" s="721"/>
      <c r="Q87" s="550"/>
      <c r="R87" s="720"/>
      <c r="S87" s="720"/>
      <c r="T87" s="550"/>
      <c r="U87" s="720"/>
      <c r="V87" s="720"/>
      <c r="W87" s="722"/>
      <c r="X87" s="2893"/>
      <c r="Y87" s="2893"/>
      <c r="Z87" s="2893"/>
      <c r="AA87" s="2893"/>
      <c r="AB87" s="2893"/>
      <c r="AC87" s="2893"/>
      <c r="AD87" s="2893"/>
      <c r="AE87" s="2893"/>
      <c r="AF87" s="2893"/>
      <c r="AG87" s="2893"/>
    </row>
    <row r="88" spans="1:34" ht="18.45">
      <c r="A88" s="6"/>
      <c r="B88" s="723" t="s">
        <v>54</v>
      </c>
      <c r="C88" s="1779"/>
      <c r="D88" s="1779"/>
      <c r="E88" s="1779"/>
      <c r="F88" s="6"/>
      <c r="G88" s="65"/>
      <c r="H88" s="561" t="s">
        <v>27</v>
      </c>
      <c r="I88" s="708"/>
      <c r="J88" s="709"/>
      <c r="K88" s="561" t="s">
        <v>692</v>
      </c>
      <c r="L88" s="710"/>
      <c r="M88" s="711"/>
      <c r="N88" s="561" t="s">
        <v>635</v>
      </c>
      <c r="O88" s="710"/>
      <c r="P88" s="712"/>
      <c r="Q88" s="561" t="s">
        <v>1576</v>
      </c>
      <c r="R88" s="713"/>
      <c r="S88" s="713"/>
      <c r="T88" s="561"/>
      <c r="U88" s="713"/>
      <c r="V88" s="713"/>
      <c r="W88" s="744"/>
      <c r="X88" s="2900"/>
      <c r="Y88" s="2900"/>
      <c r="Z88" s="2900"/>
      <c r="AA88" s="2893"/>
      <c r="AB88" s="2893"/>
      <c r="AC88" s="2893"/>
      <c r="AD88" s="2893"/>
      <c r="AE88" s="2893"/>
      <c r="AF88" s="2893"/>
      <c r="AG88" s="2893"/>
      <c r="AH88" s="9"/>
    </row>
    <row r="89" spans="1:34">
      <c r="B89" s="52"/>
      <c r="C89" s="52"/>
      <c r="D89" s="52"/>
      <c r="E89" s="52"/>
      <c r="G89" s="717"/>
      <c r="H89" s="1777"/>
      <c r="J89" s="1777"/>
      <c r="K89" s="1777"/>
      <c r="M89" s="1777"/>
      <c r="N89" s="1777"/>
      <c r="P89" s="1777"/>
      <c r="Q89" s="1777"/>
      <c r="T89" s="1777"/>
      <c r="W89" s="1777"/>
    </row>
    <row r="90" spans="1:34" ht="18.45">
      <c r="A90" s="1792"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row>
    <row r="91" spans="1:34" ht="18.649999999999999" hidden="1" customHeight="1">
      <c r="A91" s="1"/>
      <c r="B91" s="50"/>
      <c r="C91" s="50"/>
      <c r="D91" s="50"/>
      <c r="E91" s="50"/>
      <c r="G91" s="66"/>
      <c r="H91" s="1789"/>
      <c r="I91" s="6"/>
      <c r="J91" s="1790"/>
      <c r="K91" s="1789"/>
      <c r="L91" s="6"/>
      <c r="M91" s="1790"/>
      <c r="N91" s="1789"/>
      <c r="P91" s="66"/>
      <c r="Q91" s="1788"/>
      <c r="T91" s="1788"/>
      <c r="W91" s="724"/>
    </row>
    <row r="92" spans="1:34" ht="18.45">
      <c r="A92" s="6"/>
      <c r="B92" s="723" t="s">
        <v>16</v>
      </c>
      <c r="C92" s="1779"/>
      <c r="D92" s="1779"/>
      <c r="E92" s="1779"/>
      <c r="F92" s="725"/>
      <c r="G92" s="65"/>
      <c r="H92" s="553">
        <v>62272</v>
      </c>
      <c r="I92" s="710"/>
      <c r="J92" s="711"/>
      <c r="K92" s="553">
        <v>62272</v>
      </c>
      <c r="L92" s="710"/>
      <c r="M92" s="711"/>
      <c r="N92" s="553">
        <v>62272</v>
      </c>
      <c r="O92" s="710"/>
      <c r="P92" s="712"/>
      <c r="Q92" s="553">
        <v>62272</v>
      </c>
      <c r="R92" s="713"/>
      <c r="S92" s="713"/>
      <c r="T92" s="553"/>
      <c r="U92" s="713"/>
      <c r="V92" s="713"/>
      <c r="W92" s="730"/>
      <c r="X92" s="2893"/>
      <c r="Y92" s="2893"/>
      <c r="Z92" s="2893"/>
      <c r="AA92" s="2893"/>
      <c r="AB92" s="2893"/>
      <c r="AC92" s="2893"/>
      <c r="AD92" s="2893"/>
      <c r="AE92" s="2893"/>
      <c r="AF92" s="2893"/>
      <c r="AG92" s="2893"/>
    </row>
    <row r="93" spans="1:34" ht="18.45">
      <c r="A93" s="6"/>
      <c r="B93" s="726" t="s">
        <v>124</v>
      </c>
      <c r="C93" s="727"/>
      <c r="D93" s="727"/>
      <c r="E93" s="727"/>
      <c r="F93" s="728"/>
      <c r="G93" s="65"/>
      <c r="H93" s="554">
        <v>1</v>
      </c>
      <c r="I93" s="731"/>
      <c r="J93" s="732"/>
      <c r="K93" s="554">
        <v>1</v>
      </c>
      <c r="L93" s="731"/>
      <c r="M93" s="732"/>
      <c r="N93" s="554">
        <v>1</v>
      </c>
      <c r="O93" s="733"/>
      <c r="P93" s="734"/>
      <c r="Q93" s="554">
        <v>1</v>
      </c>
      <c r="R93" s="735"/>
      <c r="S93" s="735"/>
      <c r="T93" s="554"/>
      <c r="U93" s="735"/>
      <c r="V93" s="735"/>
      <c r="W93" s="736"/>
      <c r="X93" s="2893"/>
      <c r="Y93" s="2893"/>
      <c r="Z93" s="2893"/>
      <c r="AA93" s="2893"/>
      <c r="AB93" s="2893"/>
      <c r="AC93" s="2893"/>
      <c r="AD93" s="2893"/>
      <c r="AE93" s="2893"/>
      <c r="AF93" s="2893"/>
      <c r="AG93" s="2893"/>
      <c r="AH93" s="9"/>
    </row>
    <row r="94" spans="1:34" ht="18.45">
      <c r="A94" s="6"/>
      <c r="B94" s="726" t="s">
        <v>123</v>
      </c>
      <c r="C94" s="727"/>
      <c r="D94" s="727"/>
      <c r="E94" s="727"/>
      <c r="F94" s="728"/>
      <c r="G94" s="65"/>
      <c r="H94" s="806"/>
      <c r="I94" s="731"/>
      <c r="J94" s="732"/>
      <c r="K94" s="1081">
        <v>0.05</v>
      </c>
      <c r="L94" s="708"/>
      <c r="M94" s="709"/>
      <c r="N94" s="737">
        <v>0.05</v>
      </c>
      <c r="O94" s="710"/>
      <c r="P94" s="712"/>
      <c r="Q94" s="737">
        <v>0.05</v>
      </c>
      <c r="R94" s="713"/>
      <c r="S94" s="713"/>
      <c r="T94" s="737"/>
      <c r="U94" s="713"/>
      <c r="V94" s="713"/>
      <c r="W94" s="738"/>
      <c r="X94" s="2893"/>
      <c r="Y94" s="2893"/>
      <c r="Z94" s="2893"/>
      <c r="AA94" s="2893"/>
      <c r="AB94" s="2893"/>
      <c r="AC94" s="2893"/>
      <c r="AD94" s="2893"/>
      <c r="AE94" s="2893"/>
      <c r="AF94" s="2893"/>
      <c r="AG94" s="2893"/>
      <c r="AH94" s="9"/>
    </row>
    <row r="95" spans="1:34" ht="18.45">
      <c r="A95" s="6"/>
      <c r="B95" s="726" t="s">
        <v>56</v>
      </c>
      <c r="C95" s="727"/>
      <c r="D95" s="727"/>
      <c r="E95" s="727"/>
      <c r="F95" s="728"/>
      <c r="G95" s="65">
        <v>1</v>
      </c>
      <c r="H95" s="523">
        <v>1</v>
      </c>
      <c r="I95" s="708"/>
      <c r="J95" s="709"/>
      <c r="K95" s="523">
        <v>1</v>
      </c>
      <c r="L95" s="708"/>
      <c r="M95" s="709"/>
      <c r="N95" s="523">
        <v>12</v>
      </c>
      <c r="O95" s="710"/>
      <c r="P95" s="712"/>
      <c r="Q95" s="523">
        <v>115</v>
      </c>
      <c r="R95" s="713"/>
      <c r="S95" s="713"/>
      <c r="T95" s="523"/>
      <c r="U95" s="713"/>
      <c r="V95" s="713"/>
      <c r="W95" s="695"/>
      <c r="X95" s="2893"/>
      <c r="Y95" s="2893"/>
      <c r="Z95" s="2893"/>
      <c r="AA95" s="2893"/>
      <c r="AB95" s="2893"/>
      <c r="AC95" s="2893"/>
      <c r="AD95" s="2893"/>
      <c r="AE95" s="2893"/>
      <c r="AF95" s="2893"/>
      <c r="AG95" s="2893"/>
      <c r="AH95" s="9"/>
    </row>
    <row r="96" spans="1:34" ht="21" customHeight="1">
      <c r="A96" s="6"/>
      <c r="B96" s="729" t="s">
        <v>18</v>
      </c>
      <c r="C96" s="727"/>
      <c r="D96" s="727"/>
      <c r="E96" s="727"/>
      <c r="F96" s="728"/>
      <c r="G96" s="65"/>
      <c r="H96" s="523">
        <v>6</v>
      </c>
      <c r="I96" s="710"/>
      <c r="J96" s="711"/>
      <c r="K96" s="523">
        <v>10</v>
      </c>
      <c r="L96" s="710"/>
      <c r="M96" s="711"/>
      <c r="N96" s="523">
        <v>12</v>
      </c>
      <c r="O96" s="710"/>
      <c r="P96" s="712"/>
      <c r="Q96" s="523">
        <v>12</v>
      </c>
      <c r="R96" s="713"/>
      <c r="S96" s="713"/>
      <c r="T96" s="523"/>
      <c r="U96" s="713"/>
      <c r="V96" s="713"/>
      <c r="W96" s="695"/>
      <c r="X96" s="2893"/>
      <c r="Y96" s="2893"/>
      <c r="Z96" s="2893"/>
      <c r="AA96" s="2893"/>
      <c r="AB96" s="2893"/>
      <c r="AC96" s="2893"/>
      <c r="AD96" s="2893"/>
      <c r="AE96" s="2893"/>
      <c r="AF96" s="2893"/>
      <c r="AG96" s="2893"/>
    </row>
    <row r="97" spans="1:55" ht="21" customHeight="1">
      <c r="A97" s="6"/>
      <c r="B97" s="44" t="s">
        <v>602</v>
      </c>
      <c r="C97" s="727"/>
      <c r="D97" s="727"/>
      <c r="E97" s="727"/>
      <c r="F97" s="728"/>
      <c r="G97" s="65"/>
      <c r="H97" s="523">
        <v>1.37</v>
      </c>
      <c r="I97" s="710"/>
      <c r="J97" s="711"/>
      <c r="K97" s="523">
        <v>1.41</v>
      </c>
      <c r="L97" s="710"/>
      <c r="M97" s="711"/>
      <c r="N97" s="523">
        <v>1.41</v>
      </c>
      <c r="O97" s="710"/>
      <c r="P97" s="712"/>
      <c r="Q97" s="523">
        <v>1.57</v>
      </c>
      <c r="R97" s="739"/>
      <c r="S97" s="739"/>
      <c r="T97" s="523"/>
      <c r="U97" s="739"/>
      <c r="V97" s="739"/>
      <c r="W97" s="695"/>
      <c r="X97" s="2893"/>
      <c r="Y97" s="2893"/>
      <c r="Z97" s="2893"/>
      <c r="AA97" s="2893"/>
      <c r="AB97" s="2893"/>
      <c r="AC97" s="2893"/>
      <c r="AD97" s="2893"/>
      <c r="AE97" s="2893"/>
      <c r="AF97" s="2893"/>
      <c r="AG97" s="2893"/>
    </row>
    <row r="98" spans="1:55" s="6" customFormat="1">
      <c r="B98" s="729" t="s">
        <v>45</v>
      </c>
      <c r="C98" s="1776"/>
      <c r="D98" s="1776"/>
      <c r="E98" s="1776"/>
      <c r="F98" s="728"/>
      <c r="G98" s="65"/>
      <c r="H98" s="809"/>
      <c r="I98" s="710"/>
      <c r="J98" s="711"/>
      <c r="K98" s="523">
        <v>768</v>
      </c>
      <c r="L98" s="710"/>
      <c r="M98" s="740"/>
      <c r="N98" s="523">
        <v>165</v>
      </c>
      <c r="O98" s="710"/>
      <c r="P98" s="711"/>
      <c r="Q98" s="523">
        <v>54.41</v>
      </c>
      <c r="R98" s="710"/>
      <c r="S98" s="710"/>
      <c r="T98" s="523"/>
      <c r="U98" s="710"/>
      <c r="V98" s="710"/>
      <c r="W98" s="695"/>
      <c r="X98" s="2893"/>
      <c r="Y98" s="2893"/>
      <c r="Z98" s="2893"/>
      <c r="AA98" s="2893"/>
      <c r="AB98" s="2893"/>
      <c r="AC98" s="2893"/>
      <c r="AD98" s="2893"/>
      <c r="AE98" s="2893"/>
      <c r="AF98" s="2893"/>
      <c r="AG98" s="2893"/>
    </row>
    <row r="99" spans="1:55" s="6" customFormat="1">
      <c r="B99" s="584" t="s">
        <v>46</v>
      </c>
      <c r="C99" s="584"/>
      <c r="D99" s="584"/>
      <c r="E99" s="584"/>
      <c r="F99" s="728"/>
      <c r="G99" s="63"/>
      <c r="H99" s="1780">
        <v>0</v>
      </c>
      <c r="I99" s="741"/>
      <c r="J99" s="742"/>
      <c r="K99" s="1780">
        <v>0</v>
      </c>
      <c r="L99" s="741"/>
      <c r="M99" s="743"/>
      <c r="N99" s="1780">
        <v>130.43450000000001</v>
      </c>
      <c r="O99" s="741"/>
      <c r="P99" s="557"/>
      <c r="Q99" s="1780">
        <v>41</v>
      </c>
      <c r="R99" s="741"/>
      <c r="S99" s="741"/>
      <c r="T99" s="1780"/>
      <c r="U99" s="741"/>
      <c r="V99" s="741"/>
      <c r="W99" s="702"/>
      <c r="X99" s="2893"/>
      <c r="Y99" s="2893"/>
      <c r="Z99" s="2893"/>
      <c r="AA99" s="2893"/>
      <c r="AB99" s="2893"/>
      <c r="AC99" s="2893"/>
      <c r="AD99" s="2893"/>
      <c r="AE99" s="2893"/>
      <c r="AF99" s="2893"/>
      <c r="AG99" s="2893"/>
    </row>
    <row r="100" spans="1:55">
      <c r="A100" s="6"/>
      <c r="B100" s="6"/>
      <c r="C100" s="6"/>
      <c r="D100" s="6"/>
      <c r="E100" s="6"/>
      <c r="F100" s="6"/>
      <c r="G100" s="6"/>
      <c r="H100" s="121"/>
      <c r="I100" s="6"/>
      <c r="J100" s="121"/>
      <c r="K100" s="121"/>
      <c r="L100" s="6"/>
      <c r="M100" s="666"/>
      <c r="N100" s="128"/>
      <c r="O100" s="6"/>
      <c r="P100" s="6"/>
      <c r="Q100" s="121"/>
      <c r="T100" s="121"/>
      <c r="W100" s="121"/>
    </row>
    <row r="101" spans="1:55" ht="16.75">
      <c r="A101" s="1792" t="s">
        <v>614</v>
      </c>
      <c r="B101" s="596"/>
      <c r="C101" s="596"/>
      <c r="D101" s="596"/>
      <c r="E101" s="596"/>
      <c r="F101" s="597"/>
      <c r="G101" s="594"/>
      <c r="H101" s="596"/>
      <c r="I101" s="597"/>
      <c r="J101" s="594"/>
      <c r="K101" s="596"/>
      <c r="L101" s="597"/>
      <c r="M101" s="594"/>
      <c r="N101" s="597"/>
      <c r="O101" s="594"/>
      <c r="P101" s="594"/>
      <c r="Q101" s="682"/>
      <c r="T101" s="682"/>
      <c r="U101" s="594"/>
      <c r="V101" s="594"/>
      <c r="W101" s="682"/>
      <c r="X101" s="594"/>
      <c r="Y101" s="594"/>
      <c r="Z101" s="594"/>
      <c r="AA101" s="594"/>
      <c r="AB101" s="594"/>
      <c r="AC101" s="594"/>
      <c r="AD101" s="594"/>
      <c r="AE101" s="594"/>
      <c r="AF101" s="594"/>
      <c r="AG101" s="594"/>
    </row>
    <row r="102" spans="1:55" ht="14.9" hidden="1" customHeight="1">
      <c r="A102" s="1"/>
      <c r="B102" s="1"/>
      <c r="G102" s="53"/>
      <c r="H102" s="118"/>
      <c r="I102" s="6"/>
      <c r="J102" s="63"/>
      <c r="K102" s="118"/>
      <c r="L102" s="6"/>
      <c r="M102" s="63"/>
      <c r="N102" s="118"/>
      <c r="P102" s="53"/>
      <c r="Q102" s="58"/>
      <c r="T102" s="58"/>
      <c r="W102" s="58"/>
    </row>
    <row r="103" spans="1:55" ht="18.649999999999999" hidden="1" customHeight="1">
      <c r="A103" s="2897" t="s">
        <v>341</v>
      </c>
      <c r="B103" s="1398"/>
      <c r="C103" s="1399"/>
      <c r="D103" s="1399"/>
      <c r="E103" s="1399"/>
      <c r="F103" s="1400"/>
      <c r="G103" s="1401"/>
      <c r="H103" s="1389"/>
      <c r="I103" s="1402"/>
      <c r="J103" s="1401"/>
      <c r="K103" s="1389"/>
      <c r="L103" s="1402"/>
      <c r="M103" s="1401"/>
      <c r="N103" s="1389"/>
      <c r="O103" s="1402"/>
      <c r="P103" s="1403"/>
      <c r="Q103" s="1389"/>
      <c r="R103" s="1404"/>
      <c r="S103" s="1404"/>
      <c r="T103" s="1389"/>
      <c r="U103" s="1404"/>
      <c r="V103" s="1404"/>
      <c r="W103" s="1405"/>
      <c r="X103" s="2899"/>
      <c r="Y103" s="2899"/>
      <c r="Z103" s="2899"/>
      <c r="AA103" s="2899"/>
      <c r="AB103" s="2899"/>
      <c r="AC103" s="2899"/>
      <c r="AD103" s="2899"/>
      <c r="AE103" s="2899"/>
      <c r="AF103" s="2899"/>
      <c r="AG103" s="2899"/>
    </row>
    <row r="104" spans="1:55" ht="33" customHeight="1">
      <c r="A104" s="2898"/>
      <c r="B104" s="726" t="s">
        <v>2373</v>
      </c>
      <c r="C104" s="727"/>
      <c r="D104" s="727"/>
      <c r="E104" s="727"/>
      <c r="F104" s="728"/>
      <c r="G104" s="65">
        <v>6</v>
      </c>
      <c r="H104" s="561">
        <v>2</v>
      </c>
      <c r="I104" s="748"/>
      <c r="J104" s="711">
        <v>6</v>
      </c>
      <c r="K104" s="561">
        <v>1</v>
      </c>
      <c r="L104" s="748"/>
      <c r="M104" s="711">
        <v>6</v>
      </c>
      <c r="N104" s="562">
        <v>1</v>
      </c>
      <c r="O104" s="748"/>
      <c r="P104" s="712"/>
      <c r="Q104" s="562">
        <v>1</v>
      </c>
      <c r="R104" s="762"/>
      <c r="S104" s="762"/>
      <c r="T104" s="562"/>
      <c r="U104" s="762"/>
      <c r="V104" s="762"/>
      <c r="W104" s="747"/>
      <c r="X104" s="2893"/>
      <c r="Y104" s="2893"/>
      <c r="Z104" s="2893"/>
      <c r="AA104" s="2893"/>
      <c r="AB104" s="2893"/>
      <c r="AC104" s="2893"/>
      <c r="AD104" s="2893"/>
      <c r="AE104" s="2893"/>
      <c r="AF104" s="2893"/>
      <c r="AG104" s="2893"/>
    </row>
    <row r="105" spans="1:55" ht="43.75">
      <c r="A105" s="2902" t="s">
        <v>185</v>
      </c>
      <c r="B105" s="726" t="s">
        <v>231</v>
      </c>
      <c r="C105" s="727"/>
      <c r="D105" s="727"/>
      <c r="E105" s="727"/>
      <c r="F105" s="728"/>
      <c r="G105" s="114">
        <v>19.246910452309116</v>
      </c>
      <c r="H105" s="563" t="s">
        <v>21</v>
      </c>
      <c r="I105" s="748"/>
      <c r="J105" s="749">
        <v>18.195242733065239</v>
      </c>
      <c r="K105" s="563" t="s">
        <v>19</v>
      </c>
      <c r="L105" s="750"/>
      <c r="M105" s="751">
        <v>11.279092864278667</v>
      </c>
      <c r="N105" s="563" t="s">
        <v>402</v>
      </c>
      <c r="O105" s="748"/>
      <c r="P105" s="711"/>
      <c r="Q105" s="563" t="s">
        <v>20</v>
      </c>
      <c r="R105" s="762"/>
      <c r="S105" s="762"/>
      <c r="T105" s="563"/>
      <c r="U105" s="762"/>
      <c r="V105" s="762"/>
      <c r="W105" s="752"/>
      <c r="X105" s="2893"/>
      <c r="Y105" s="2893"/>
      <c r="Z105" s="2893"/>
      <c r="AA105" s="2893"/>
      <c r="AB105" s="2893"/>
      <c r="AC105" s="2893"/>
      <c r="AD105" s="2893"/>
      <c r="AE105" s="2893"/>
      <c r="AF105" s="2893"/>
      <c r="AG105" s="2893"/>
    </row>
    <row r="106" spans="1:55" ht="18.45">
      <c r="A106" s="2897"/>
      <c r="B106" s="726" t="s">
        <v>339</v>
      </c>
      <c r="C106" s="727"/>
      <c r="D106" s="727"/>
      <c r="E106" s="727"/>
      <c r="F106" s="728"/>
      <c r="H106" s="564">
        <v>9.0909090909090912E-2</v>
      </c>
      <c r="I106" s="763"/>
      <c r="J106" s="763"/>
      <c r="K106" s="564">
        <v>1</v>
      </c>
      <c r="L106" s="763"/>
      <c r="M106" s="763"/>
      <c r="N106" s="564">
        <v>0.33</v>
      </c>
      <c r="O106" s="763"/>
      <c r="P106" s="763"/>
      <c r="Q106" s="564">
        <v>3.3288989356378036E-2</v>
      </c>
      <c r="R106" s="762"/>
      <c r="S106" s="762"/>
      <c r="T106" s="564"/>
      <c r="U106" s="762"/>
      <c r="V106" s="762"/>
      <c r="W106" s="753"/>
      <c r="X106" s="2893"/>
      <c r="Y106" s="2893"/>
      <c r="Z106" s="2893"/>
      <c r="AA106" s="2893"/>
      <c r="AB106" s="2893"/>
      <c r="AC106" s="2893"/>
      <c r="AD106" s="2893"/>
      <c r="AE106" s="2893"/>
      <c r="AF106" s="2893"/>
      <c r="AG106" s="2893"/>
      <c r="AH106" s="9"/>
    </row>
    <row r="107" spans="1:55" s="6" customFormat="1" ht="31.5" customHeight="1">
      <c r="A107" s="2898"/>
      <c r="B107" s="2255" t="s">
        <v>340</v>
      </c>
      <c r="C107" s="2255"/>
      <c r="D107" s="2255"/>
      <c r="E107" s="2255"/>
      <c r="F107" s="728"/>
      <c r="G107" s="63"/>
      <c r="H107" s="565">
        <v>1</v>
      </c>
      <c r="I107" s="754"/>
      <c r="J107" s="755">
        <v>2606.6666666666665</v>
      </c>
      <c r="K107" s="565">
        <v>0.5</v>
      </c>
      <c r="L107" s="754"/>
      <c r="M107" s="755" t="e">
        <v>#REF!</v>
      </c>
      <c r="N107" s="565">
        <v>0.25</v>
      </c>
      <c r="O107" s="748"/>
      <c r="P107" s="711"/>
      <c r="Q107" s="565">
        <v>0.5</v>
      </c>
      <c r="R107" s="748"/>
      <c r="S107" s="748"/>
      <c r="T107" s="565"/>
      <c r="U107" s="748"/>
      <c r="V107" s="748"/>
      <c r="W107" s="756"/>
      <c r="X107" s="2893"/>
      <c r="Y107" s="2893"/>
      <c r="Z107" s="2893"/>
      <c r="AA107" s="2893"/>
      <c r="AB107" s="2893"/>
      <c r="AC107" s="2893"/>
      <c r="AD107" s="2893"/>
      <c r="AE107" s="2893"/>
      <c r="AF107" s="2893"/>
      <c r="AG107" s="2893"/>
      <c r="AR107" s="6" t="s">
        <v>2067</v>
      </c>
    </row>
    <row r="108" spans="1:55" s="62" customFormat="1" ht="15" customHeight="1">
      <c r="A108" s="2902" t="s">
        <v>394</v>
      </c>
      <c r="B108" s="726" t="s">
        <v>375</v>
      </c>
      <c r="C108" s="727"/>
      <c r="D108" s="727"/>
      <c r="E108" s="727"/>
      <c r="F108" s="728"/>
      <c r="G108" s="115">
        <v>488.75</v>
      </c>
      <c r="H108" s="566">
        <v>84</v>
      </c>
      <c r="I108" s="748"/>
      <c r="J108" s="711">
        <v>488.75</v>
      </c>
      <c r="K108" s="566">
        <v>7.5</v>
      </c>
      <c r="L108" s="748"/>
      <c r="M108" s="711">
        <v>0.88223552894211565</v>
      </c>
      <c r="N108" s="566">
        <v>1</v>
      </c>
      <c r="O108" s="748"/>
      <c r="P108" s="711"/>
      <c r="Q108" s="566">
        <v>0.5</v>
      </c>
      <c r="R108" s="762"/>
      <c r="S108" s="762"/>
      <c r="T108" s="566"/>
      <c r="U108" s="762"/>
      <c r="V108" s="762"/>
      <c r="W108" s="757"/>
      <c r="X108" s="2893"/>
      <c r="Y108" s="2893"/>
      <c r="Z108" s="2893"/>
      <c r="AA108" s="2893"/>
      <c r="AB108" s="2893"/>
      <c r="AC108" s="2893"/>
      <c r="AD108" s="2893"/>
      <c r="AE108" s="2893"/>
      <c r="AF108" s="2893"/>
      <c r="AG108" s="2893"/>
      <c r="AV108" s="62" t="s">
        <v>2068</v>
      </c>
      <c r="AW108" s="62" t="s">
        <v>2069</v>
      </c>
      <c r="AX108" s="62" t="s">
        <v>2070</v>
      </c>
      <c r="AY108" s="62" t="s">
        <v>2069</v>
      </c>
    </row>
    <row r="109" spans="1:55" ht="29.25" customHeight="1">
      <c r="A109" s="2897"/>
      <c r="B109" s="2255" t="s">
        <v>395</v>
      </c>
      <c r="C109" s="2255"/>
      <c r="D109" s="2255"/>
      <c r="E109" s="2255"/>
      <c r="F109" s="728"/>
      <c r="G109" s="113">
        <v>318.09533298035956</v>
      </c>
      <c r="H109" s="567">
        <v>56</v>
      </c>
      <c r="I109" s="762"/>
      <c r="J109" s="762"/>
      <c r="K109" s="567">
        <v>30</v>
      </c>
      <c r="L109" s="762"/>
      <c r="M109" s="762"/>
      <c r="N109" s="567">
        <v>0.12</v>
      </c>
      <c r="O109" s="762"/>
      <c r="P109" s="762"/>
      <c r="Q109" s="567">
        <v>4.0000000000000008E-2</v>
      </c>
      <c r="R109" s="762"/>
      <c r="S109" s="762"/>
      <c r="T109" s="567"/>
      <c r="U109" s="762"/>
      <c r="V109" s="762"/>
      <c r="W109" s="758"/>
      <c r="X109" s="2893"/>
      <c r="Y109" s="2893"/>
      <c r="Z109" s="2893"/>
      <c r="AA109" s="2893"/>
      <c r="AB109" s="2893"/>
      <c r="AC109" s="2893"/>
      <c r="AD109" s="2893"/>
      <c r="AE109" s="2893"/>
      <c r="AF109" s="2893"/>
      <c r="AG109" s="2893"/>
      <c r="AS109" t="s">
        <v>2071</v>
      </c>
      <c r="AT109" t="s">
        <v>2072</v>
      </c>
      <c r="AU109" t="s">
        <v>2073</v>
      </c>
      <c r="AV109" t="s">
        <v>2074</v>
      </c>
      <c r="AW109" t="s">
        <v>2075</v>
      </c>
      <c r="AX109" t="s">
        <v>2076</v>
      </c>
      <c r="AY109" t="s">
        <v>2077</v>
      </c>
      <c r="AZ109" t="s">
        <v>2078</v>
      </c>
      <c r="BA109" t="s">
        <v>2079</v>
      </c>
      <c r="BB109" t="s">
        <v>2080</v>
      </c>
      <c r="BC109" t="s">
        <v>2081</v>
      </c>
    </row>
    <row r="110" spans="1:55" ht="14.9" customHeight="1">
      <c r="A110" s="2897"/>
      <c r="B110" s="726" t="s">
        <v>396</v>
      </c>
      <c r="C110" s="727"/>
      <c r="D110" s="727"/>
      <c r="E110" s="727"/>
      <c r="F110" s="728"/>
      <c r="G110" s="117">
        <v>26.045977237650551</v>
      </c>
      <c r="H110" s="568">
        <v>54.658928571428575</v>
      </c>
      <c r="I110" s="705"/>
      <c r="J110" s="706">
        <v>158.83050411577992</v>
      </c>
      <c r="K110" s="568">
        <v>180.23333333333335</v>
      </c>
      <c r="L110" s="748"/>
      <c r="M110" s="764"/>
      <c r="N110" s="568">
        <v>2799.130434782609</v>
      </c>
      <c r="O110" s="748"/>
      <c r="P110" s="711"/>
      <c r="Q110" s="568">
        <v>702.83636363636367</v>
      </c>
      <c r="R110" s="762"/>
      <c r="S110" s="762"/>
      <c r="T110" s="568"/>
      <c r="U110" s="762"/>
      <c r="V110" s="765"/>
      <c r="W110" s="542"/>
      <c r="X110" s="2893"/>
      <c r="Y110" s="2893"/>
      <c r="Z110" s="2893"/>
      <c r="AA110" s="2893"/>
      <c r="AB110" s="2893"/>
      <c r="AC110" s="2893"/>
      <c r="AD110" s="2893"/>
      <c r="AE110" s="2893"/>
      <c r="AF110" s="2893"/>
      <c r="AG110" s="2893"/>
      <c r="AR110" t="s">
        <v>3</v>
      </c>
      <c r="AS110">
        <v>280</v>
      </c>
      <c r="AT110">
        <v>280</v>
      </c>
      <c r="AU110">
        <v>1543.4</v>
      </c>
      <c r="AV110">
        <v>308.68</v>
      </c>
      <c r="AW110">
        <v>38.587499999999999</v>
      </c>
      <c r="AX110">
        <v>4.2857142857142856</v>
      </c>
      <c r="AY110">
        <v>16.071428571428573</v>
      </c>
      <c r="AZ110">
        <v>0.2</v>
      </c>
      <c r="BA110">
        <v>0.3</v>
      </c>
      <c r="BB110">
        <v>56</v>
      </c>
      <c r="BC110">
        <v>84</v>
      </c>
    </row>
    <row r="111" spans="1:55" s="62" customFormat="1" ht="15" customHeight="1">
      <c r="A111" s="2897"/>
      <c r="B111" s="726" t="s">
        <v>397</v>
      </c>
      <c r="C111" s="727"/>
      <c r="D111" s="727"/>
      <c r="E111" s="727"/>
      <c r="F111" s="728"/>
      <c r="G111" s="115"/>
      <c r="H111" s="568">
        <v>4.2857142857142856</v>
      </c>
      <c r="I111" s="705"/>
      <c r="J111" s="707">
        <v>52.78586966721501</v>
      </c>
      <c r="K111" s="568">
        <v>33.333333333333336</v>
      </c>
      <c r="L111" s="748"/>
      <c r="M111" s="742"/>
      <c r="N111" s="568">
        <v>200</v>
      </c>
      <c r="O111" s="748"/>
      <c r="P111" s="742"/>
      <c r="Q111" s="568">
        <v>200</v>
      </c>
      <c r="R111" s="762"/>
      <c r="S111" s="762"/>
      <c r="T111" s="568"/>
      <c r="U111" s="762"/>
      <c r="V111" s="762"/>
      <c r="W111" s="542"/>
      <c r="X111" s="2893"/>
      <c r="Y111" s="2893"/>
      <c r="Z111" s="2893"/>
      <c r="AA111" s="2893"/>
      <c r="AB111" s="2893"/>
      <c r="AC111" s="2893"/>
      <c r="AD111" s="2893"/>
      <c r="AE111" s="2893"/>
      <c r="AF111" s="2893"/>
      <c r="AG111" s="2893"/>
      <c r="AR111" s="62" t="s">
        <v>692</v>
      </c>
      <c r="AS111" s="62">
        <v>30</v>
      </c>
      <c r="AT111" s="62">
        <v>30</v>
      </c>
      <c r="AU111" s="62">
        <v>1809.5333333333333</v>
      </c>
      <c r="AV111" s="62">
        <v>361.90666666666664</v>
      </c>
      <c r="AW111" s="62">
        <v>45.233333333333334</v>
      </c>
      <c r="AX111" s="62">
        <v>33.333333333333336</v>
      </c>
      <c r="AY111" s="62">
        <v>135</v>
      </c>
      <c r="AZ111" s="62">
        <v>1</v>
      </c>
      <c r="BA111" s="62">
        <v>0.25</v>
      </c>
      <c r="BB111" s="62">
        <v>30</v>
      </c>
      <c r="BC111" s="62">
        <v>7.5</v>
      </c>
    </row>
    <row r="112" spans="1:55" ht="14.9" customHeight="1">
      <c r="A112" s="2898"/>
      <c r="B112" s="726" t="s">
        <v>398</v>
      </c>
      <c r="C112" s="727"/>
      <c r="D112" s="727"/>
      <c r="E112" s="727"/>
      <c r="F112" s="728"/>
      <c r="H112" s="569">
        <v>308.68</v>
      </c>
      <c r="I112" s="763"/>
      <c r="J112" s="763"/>
      <c r="K112" s="569">
        <v>361.90666666666664</v>
      </c>
      <c r="L112" s="763"/>
      <c r="M112" s="763"/>
      <c r="N112" s="569">
        <v>5826.666666666667</v>
      </c>
      <c r="O112" s="762"/>
      <c r="P112" s="762"/>
      <c r="Q112" s="569">
        <v>11084.105318400001</v>
      </c>
      <c r="R112" s="762"/>
      <c r="S112" s="762"/>
      <c r="T112" s="569"/>
      <c r="U112" s="762"/>
      <c r="V112" s="762"/>
      <c r="W112" s="759"/>
      <c r="X112" s="2893"/>
      <c r="Y112" s="2893"/>
      <c r="Z112" s="2893"/>
      <c r="AA112" s="2893"/>
      <c r="AB112" s="2893"/>
      <c r="AC112" s="2893"/>
      <c r="AD112" s="2893"/>
      <c r="AE112" s="2893"/>
      <c r="AF112" s="2893"/>
      <c r="AG112" s="2893"/>
      <c r="AR112" t="s">
        <v>635</v>
      </c>
      <c r="AS112">
        <v>0.15</v>
      </c>
      <c r="AT112">
        <v>1</v>
      </c>
      <c r="AU112">
        <v>29133.333333333336</v>
      </c>
      <c r="AV112">
        <v>5826.666666666667</v>
      </c>
      <c r="AW112">
        <v>190.43478260869566</v>
      </c>
      <c r="AX112">
        <v>200</v>
      </c>
      <c r="AY112">
        <v>2608.6956521739135</v>
      </c>
      <c r="AZ112">
        <v>0.8</v>
      </c>
      <c r="BA112">
        <v>1</v>
      </c>
      <c r="BB112">
        <v>0.12</v>
      </c>
      <c r="BC112">
        <v>1</v>
      </c>
    </row>
    <row r="113" spans="1:55" ht="15" customHeight="1">
      <c r="A113" s="2671" t="s">
        <v>380</v>
      </c>
      <c r="B113" s="2250" t="s">
        <v>825</v>
      </c>
      <c r="C113" s="2250"/>
      <c r="D113" s="2250"/>
      <c r="E113" s="2250"/>
      <c r="F113" s="728"/>
      <c r="H113" s="563">
        <v>10</v>
      </c>
      <c r="I113" s="763"/>
      <c r="J113" s="763"/>
      <c r="K113" s="563">
        <v>2</v>
      </c>
      <c r="L113" s="763"/>
      <c r="M113" s="763"/>
      <c r="N113" s="563">
        <v>2</v>
      </c>
      <c r="O113" s="762"/>
      <c r="P113" s="762"/>
      <c r="Q113" s="563">
        <v>1</v>
      </c>
      <c r="R113" s="762"/>
      <c r="S113" s="762"/>
      <c r="T113" s="563"/>
      <c r="U113" s="762"/>
      <c r="V113" s="762"/>
      <c r="W113" s="752"/>
      <c r="X113" s="2893"/>
      <c r="Y113" s="2893"/>
      <c r="Z113" s="2893"/>
      <c r="AA113" s="2893"/>
      <c r="AB113" s="2893"/>
      <c r="AC113" s="2893"/>
      <c r="AD113" s="2893"/>
      <c r="AE113" s="2893"/>
      <c r="AF113" s="2893"/>
      <c r="AG113" s="2893"/>
      <c r="AR113" t="s">
        <v>2</v>
      </c>
      <c r="AS113">
        <v>0.05</v>
      </c>
      <c r="AT113">
        <v>0.5</v>
      </c>
      <c r="AU113">
        <v>55420.526592000002</v>
      </c>
      <c r="AV113">
        <v>11084.105318400001</v>
      </c>
      <c r="AW113">
        <v>363.63636363636363</v>
      </c>
      <c r="AX113">
        <v>200</v>
      </c>
      <c r="AY113">
        <v>339.20000000000005</v>
      </c>
      <c r="AZ113">
        <v>0.8</v>
      </c>
      <c r="BA113">
        <v>1</v>
      </c>
      <c r="BB113">
        <v>4.0000000000000008E-2</v>
      </c>
      <c r="BC113">
        <v>0.5</v>
      </c>
    </row>
    <row r="114" spans="1:55" ht="15" customHeight="1">
      <c r="A114" s="2672"/>
      <c r="B114" s="2250" t="s">
        <v>826</v>
      </c>
      <c r="C114" s="2250"/>
      <c r="D114" s="2250"/>
      <c r="E114" s="2250"/>
      <c r="F114" s="728"/>
      <c r="H114" s="564">
        <v>0.01</v>
      </c>
      <c r="I114" s="763"/>
      <c r="J114" s="763"/>
      <c r="K114" s="564">
        <v>0.01</v>
      </c>
      <c r="L114" s="763"/>
      <c r="M114" s="763"/>
      <c r="N114" s="564">
        <v>0.01</v>
      </c>
      <c r="O114" s="762"/>
      <c r="P114" s="762"/>
      <c r="Q114" s="564">
        <v>0.01</v>
      </c>
      <c r="R114" s="762"/>
      <c r="S114" s="762"/>
      <c r="T114" s="564"/>
      <c r="U114" s="762"/>
      <c r="V114" s="762"/>
      <c r="W114" s="753"/>
      <c r="X114" s="2893"/>
      <c r="Y114" s="2893"/>
      <c r="Z114" s="2893"/>
      <c r="AA114" s="2893"/>
      <c r="AB114" s="2893"/>
      <c r="AC114" s="2893"/>
      <c r="AD114" s="2893"/>
      <c r="AE114" s="2893"/>
      <c r="AF114" s="2893"/>
      <c r="AG114" s="2893"/>
    </row>
    <row r="115" spans="1:55" ht="26.25" customHeight="1">
      <c r="A115" s="2672"/>
      <c r="B115" s="2250" t="s">
        <v>827</v>
      </c>
      <c r="C115" s="2250"/>
      <c r="D115" s="2250"/>
      <c r="E115" s="2250"/>
      <c r="F115" s="728"/>
      <c r="H115" s="564">
        <v>150</v>
      </c>
      <c r="I115" s="763"/>
      <c r="J115" s="763"/>
      <c r="K115" s="564">
        <v>150</v>
      </c>
      <c r="L115" s="763"/>
      <c r="M115" s="763"/>
      <c r="N115" s="564">
        <v>150</v>
      </c>
      <c r="O115" s="762"/>
      <c r="P115" s="762"/>
      <c r="Q115" s="564">
        <v>150</v>
      </c>
      <c r="R115" s="762"/>
      <c r="S115" s="762"/>
      <c r="T115" s="564"/>
      <c r="U115" s="762"/>
      <c r="V115" s="762"/>
      <c r="W115" s="753"/>
      <c r="X115" s="2893"/>
      <c r="Y115" s="2893"/>
      <c r="Z115" s="2893"/>
      <c r="AA115" s="2893"/>
      <c r="AB115" s="2893"/>
      <c r="AC115" s="2893"/>
      <c r="AD115" s="2893"/>
      <c r="AE115" s="2893"/>
      <c r="AF115" s="2893"/>
      <c r="AG115" s="2893"/>
    </row>
    <row r="116" spans="1:55" ht="27" customHeight="1">
      <c r="A116" s="2672"/>
      <c r="B116" s="2250" t="s">
        <v>828</v>
      </c>
      <c r="C116" s="2250"/>
      <c r="D116" s="2250"/>
      <c r="E116" s="2250"/>
      <c r="F116" s="728"/>
      <c r="H116" s="564">
        <v>0</v>
      </c>
      <c r="I116" s="763"/>
      <c r="J116" s="763"/>
      <c r="K116" s="564">
        <v>0</v>
      </c>
      <c r="L116" s="763"/>
      <c r="M116" s="763"/>
      <c r="N116" s="564">
        <v>0</v>
      </c>
      <c r="O116" s="762"/>
      <c r="P116" s="762"/>
      <c r="Q116" s="564">
        <v>0</v>
      </c>
      <c r="R116" s="762"/>
      <c r="S116" s="762"/>
      <c r="T116" s="564"/>
      <c r="U116" s="762"/>
      <c r="V116" s="762"/>
      <c r="W116" s="753"/>
      <c r="X116" s="2893"/>
      <c r="Y116" s="2893"/>
      <c r="Z116" s="2893"/>
      <c r="AA116" s="2893"/>
      <c r="AB116" s="2893"/>
      <c r="AC116" s="2893"/>
      <c r="AD116" s="2893"/>
      <c r="AE116" s="2893"/>
      <c r="AF116" s="2893"/>
      <c r="AG116" s="2893"/>
    </row>
    <row r="117" spans="1:55" ht="35.25" customHeight="1">
      <c r="A117" s="2673"/>
      <c r="B117" s="2250" t="s">
        <v>829</v>
      </c>
      <c r="C117" s="2250"/>
      <c r="D117" s="2250"/>
      <c r="E117" s="2250"/>
      <c r="F117" s="728"/>
      <c r="H117" s="766" t="s">
        <v>588</v>
      </c>
      <c r="I117" s="760"/>
      <c r="J117" s="760"/>
      <c r="K117" s="766" t="s">
        <v>588</v>
      </c>
      <c r="L117" s="760"/>
      <c r="M117" s="760"/>
      <c r="N117" s="766" t="s">
        <v>588</v>
      </c>
      <c r="O117" s="760"/>
      <c r="P117" s="760"/>
      <c r="Q117" s="766" t="s">
        <v>589</v>
      </c>
      <c r="R117" s="760"/>
      <c r="S117" s="760"/>
      <c r="T117" s="766"/>
      <c r="U117" s="760"/>
      <c r="V117" s="760"/>
      <c r="W117" s="761"/>
      <c r="X117" s="2893"/>
      <c r="Y117" s="2893"/>
      <c r="Z117" s="2893"/>
      <c r="AA117" s="2893"/>
      <c r="AB117" s="2893"/>
      <c r="AC117" s="2893"/>
      <c r="AD117" s="2893"/>
      <c r="AE117" s="2893"/>
      <c r="AF117" s="2893"/>
      <c r="AG117" s="2893"/>
      <c r="AR117" t="s">
        <v>2082</v>
      </c>
      <c r="AX117" t="s">
        <v>2083</v>
      </c>
    </row>
    <row r="118" spans="1:55">
      <c r="A118" s="6"/>
      <c r="B118" s="6"/>
      <c r="C118" s="6"/>
      <c r="D118" s="6"/>
      <c r="E118" s="6"/>
      <c r="F118" s="6"/>
      <c r="G118" s="113"/>
      <c r="H118" s="116"/>
      <c r="I118" s="112"/>
      <c r="J118" s="113"/>
      <c r="K118" s="116"/>
      <c r="L118" s="6"/>
      <c r="M118" s="63"/>
      <c r="N118" s="118"/>
      <c r="O118" s="6"/>
      <c r="P118" s="63"/>
      <c r="Q118" s="60"/>
      <c r="S118" s="234"/>
      <c r="T118" s="65"/>
      <c r="V118" s="258"/>
      <c r="W118" s="65"/>
      <c r="X118" s="85"/>
      <c r="AR118" t="s">
        <v>2319</v>
      </c>
      <c r="AX118" t="s">
        <v>2084</v>
      </c>
    </row>
    <row r="119" spans="1:55" ht="16.75">
      <c r="A119" s="600" t="s">
        <v>603</v>
      </c>
      <c r="B119" s="596"/>
      <c r="C119" s="596"/>
      <c r="D119" s="596"/>
      <c r="E119" s="596"/>
      <c r="F119" s="597"/>
      <c r="G119" s="594"/>
      <c r="H119" s="596"/>
      <c r="I119" s="597"/>
      <c r="J119" s="594"/>
      <c r="K119" s="596"/>
      <c r="L119" s="597"/>
      <c r="M119" s="594"/>
      <c r="N119" s="597"/>
      <c r="O119" s="594"/>
      <c r="P119" s="594"/>
      <c r="Q119" s="682"/>
      <c r="S119" s="235"/>
      <c r="T119" s="683"/>
      <c r="U119" s="594"/>
      <c r="V119" s="684"/>
      <c r="W119" s="683"/>
      <c r="X119" s="715"/>
      <c r="Y119" s="594"/>
      <c r="Z119" s="594"/>
      <c r="AA119" s="594"/>
      <c r="AB119" s="594"/>
      <c r="AC119" s="594"/>
      <c r="AD119" s="594"/>
      <c r="AE119" s="594"/>
      <c r="AF119" s="594"/>
      <c r="AG119" s="594"/>
      <c r="AR119" t="s">
        <v>2085</v>
      </c>
      <c r="AT119" t="s">
        <v>2086</v>
      </c>
      <c r="AU119">
        <v>155</v>
      </c>
      <c r="AV119">
        <v>0.25</v>
      </c>
      <c r="AX119" t="s">
        <v>2087</v>
      </c>
    </row>
    <row r="120" spans="1:55" ht="18.45">
      <c r="A120" s="1"/>
      <c r="B120" s="726" t="s">
        <v>5467</v>
      </c>
      <c r="C120" s="727"/>
      <c r="D120" s="727"/>
      <c r="E120" s="727"/>
      <c r="F120" s="728"/>
      <c r="G120" s="53"/>
      <c r="H120" s="575"/>
      <c r="I120" s="710"/>
      <c r="J120" s="582"/>
      <c r="K120" s="575"/>
      <c r="L120" s="710"/>
      <c r="M120" s="582"/>
      <c r="N120" s="575"/>
      <c r="O120" s="713"/>
      <c r="P120" s="772"/>
      <c r="Q120" s="575"/>
      <c r="R120" s="713"/>
      <c r="S120" s="773"/>
      <c r="T120" s="575"/>
      <c r="U120" s="713"/>
      <c r="V120" s="774"/>
      <c r="W120" s="575"/>
      <c r="X120" s="2893"/>
      <c r="Y120" s="2893"/>
      <c r="Z120" s="2893"/>
      <c r="AA120" s="2893"/>
      <c r="AB120" s="2893"/>
      <c r="AC120" s="2893"/>
      <c r="AD120" s="2893"/>
      <c r="AE120" s="2893"/>
      <c r="AF120" s="2893"/>
      <c r="AG120" s="2893"/>
      <c r="AR120" t="s">
        <v>2088</v>
      </c>
      <c r="AT120" t="s">
        <v>2089</v>
      </c>
      <c r="AU120">
        <v>403</v>
      </c>
      <c r="AV120">
        <v>0.65</v>
      </c>
      <c r="AX120" t="s">
        <v>2090</v>
      </c>
    </row>
    <row r="121" spans="1:55" ht="18.45">
      <c r="A121" s="6"/>
      <c r="B121" s="726" t="s">
        <v>5466</v>
      </c>
      <c r="C121" s="727"/>
      <c r="D121" s="727"/>
      <c r="E121" s="727"/>
      <c r="F121" s="728"/>
      <c r="G121" s="119">
        <v>35.047741961833388</v>
      </c>
      <c r="H121" s="576"/>
      <c r="I121" s="710"/>
      <c r="J121" s="764"/>
      <c r="K121" s="576"/>
      <c r="L121" s="710"/>
      <c r="M121" s="764"/>
      <c r="N121" s="576"/>
      <c r="O121" s="710"/>
      <c r="P121" s="582"/>
      <c r="Q121" s="576"/>
      <c r="R121" s="713"/>
      <c r="S121" s="773"/>
      <c r="T121" s="576"/>
      <c r="U121" s="713"/>
      <c r="V121" s="774"/>
      <c r="W121" s="576"/>
      <c r="X121" s="2893"/>
      <c r="Y121" s="2893"/>
      <c r="Z121" s="2893"/>
      <c r="AA121" s="2893"/>
      <c r="AB121" s="2893"/>
      <c r="AC121" s="2893"/>
      <c r="AD121" s="2893"/>
      <c r="AE121" s="2893"/>
      <c r="AF121" s="2893"/>
      <c r="AG121" s="2893"/>
      <c r="AR121" t="s">
        <v>2091</v>
      </c>
      <c r="AT121" t="s">
        <v>2092</v>
      </c>
      <c r="AU121">
        <v>62</v>
      </c>
      <c r="AV121">
        <v>0.1</v>
      </c>
    </row>
    <row r="122" spans="1:55" ht="17.25" customHeight="1">
      <c r="A122" s="6"/>
      <c r="B122" s="726" t="s">
        <v>82</v>
      </c>
      <c r="C122" s="727"/>
      <c r="D122" s="727"/>
      <c r="E122" s="727"/>
      <c r="F122" s="728"/>
      <c r="G122" s="120">
        <v>5.5705963849905903E-3</v>
      </c>
      <c r="H122" s="804"/>
      <c r="I122" s="710"/>
      <c r="J122" s="775"/>
      <c r="K122" s="577"/>
      <c r="L122" s="710"/>
      <c r="M122" s="775"/>
      <c r="N122" s="577"/>
      <c r="O122" s="710"/>
      <c r="P122" s="582"/>
      <c r="Q122" s="577"/>
      <c r="R122" s="713"/>
      <c r="S122" s="776"/>
      <c r="T122" s="577"/>
      <c r="U122" s="713"/>
      <c r="V122" s="777"/>
      <c r="W122" s="577"/>
      <c r="X122" s="2893"/>
      <c r="Y122" s="2893"/>
      <c r="Z122" s="2893"/>
      <c r="AA122" s="2893"/>
      <c r="AB122" s="2893"/>
      <c r="AC122" s="2893"/>
      <c r="AD122" s="2893"/>
      <c r="AE122" s="2893"/>
      <c r="AF122" s="2893"/>
      <c r="AG122" s="2893"/>
      <c r="AX122" t="s">
        <v>2093</v>
      </c>
      <c r="AZ122">
        <v>25000</v>
      </c>
    </row>
    <row r="123" spans="1:55" ht="17.25" customHeight="1">
      <c r="A123" s="6"/>
      <c r="B123" s="6"/>
      <c r="C123" s="6"/>
      <c r="D123" s="6"/>
      <c r="E123" s="6"/>
      <c r="F123" s="6"/>
      <c r="G123" s="133"/>
      <c r="H123" s="121"/>
      <c r="I123" s="6"/>
      <c r="J123" s="133"/>
      <c r="K123" s="121"/>
      <c r="L123" s="6"/>
      <c r="M123" s="133"/>
      <c r="N123" s="121"/>
      <c r="O123" s="6"/>
      <c r="P123" s="6"/>
      <c r="Q123" s="121"/>
      <c r="S123" s="650"/>
      <c r="T123" s="121"/>
      <c r="V123" s="651"/>
      <c r="W123" s="121"/>
      <c r="X123" s="4"/>
      <c r="AX123" t="s">
        <v>2094</v>
      </c>
      <c r="AZ123">
        <v>25</v>
      </c>
    </row>
    <row r="124" spans="1:55"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c r="AR124" t="s">
        <v>2095</v>
      </c>
      <c r="AU124">
        <v>240</v>
      </c>
      <c r="AV124">
        <v>360</v>
      </c>
      <c r="AX124" t="s">
        <v>2096</v>
      </c>
      <c r="AZ124">
        <v>0.1</v>
      </c>
    </row>
    <row r="125" spans="1:55"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c r="AR125" t="s">
        <v>2097</v>
      </c>
      <c r="AU125">
        <v>4800</v>
      </c>
    </row>
    <row r="126" spans="1:55"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c r="AR126" t="s">
        <v>2098</v>
      </c>
      <c r="AU126">
        <v>4320</v>
      </c>
      <c r="AX126" t="s">
        <v>2099</v>
      </c>
      <c r="AZ126">
        <v>1000</v>
      </c>
    </row>
    <row r="127" spans="1:55"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c r="AR127" t="s">
        <v>2100</v>
      </c>
      <c r="AU127">
        <v>4579.2</v>
      </c>
      <c r="AX127" t="s">
        <v>2101</v>
      </c>
      <c r="AZ127">
        <v>100</v>
      </c>
    </row>
    <row r="128" spans="1:55">
      <c r="A128" s="6"/>
      <c r="B128" s="6"/>
      <c r="C128" s="6"/>
      <c r="D128" s="6"/>
      <c r="E128" s="6"/>
      <c r="F128" s="6"/>
      <c r="G128" s="6"/>
      <c r="H128" s="121"/>
      <c r="I128" s="6"/>
      <c r="J128" s="121"/>
      <c r="K128" s="121"/>
      <c r="L128" s="6"/>
      <c r="M128" s="666"/>
      <c r="N128" s="128"/>
      <c r="O128" s="6"/>
      <c r="P128" s="6"/>
      <c r="Q128" s="121"/>
      <c r="T128" s="121"/>
      <c r="W128" s="121"/>
      <c r="AR128" t="s">
        <v>2102</v>
      </c>
      <c r="AU128">
        <v>339.20000000000005</v>
      </c>
      <c r="AX128" t="s">
        <v>2103</v>
      </c>
      <c r="AZ128">
        <v>200</v>
      </c>
    </row>
    <row r="129" spans="1:34" ht="32.9" customHeight="1">
      <c r="A129" s="2318" t="s">
        <v>606</v>
      </c>
      <c r="B129" s="2318"/>
      <c r="C129" s="2318"/>
      <c r="D129" s="496"/>
      <c r="E129" s="496"/>
      <c r="F129" s="497"/>
      <c r="G129" s="498"/>
      <c r="H129" s="121"/>
      <c r="I129" s="6"/>
      <c r="J129" s="121"/>
      <c r="K129" s="121"/>
      <c r="L129" s="6"/>
      <c r="M129" s="666"/>
      <c r="N129" s="128"/>
      <c r="O129" s="6"/>
      <c r="P129" s="6"/>
      <c r="Q129" s="121"/>
      <c r="T129" s="121"/>
      <c r="W129" s="121"/>
    </row>
    <row r="130" spans="1:34" ht="22" customHeight="1">
      <c r="A130" s="2905" t="s">
        <v>615</v>
      </c>
      <c r="B130" s="2905"/>
      <c r="C130" s="2905"/>
      <c r="D130" s="2905"/>
      <c r="E130" s="2905"/>
      <c r="F130" s="2905"/>
      <c r="G130" s="2905"/>
      <c r="H130" s="601"/>
      <c r="I130" s="602"/>
      <c r="J130" s="602"/>
      <c r="K130" s="601"/>
      <c r="L130" s="602"/>
      <c r="M130" s="602"/>
      <c r="N130" s="685"/>
      <c r="O130" s="594"/>
      <c r="P130" s="686"/>
      <c r="Q130" s="687"/>
      <c r="R130" s="594"/>
      <c r="S130" s="594"/>
      <c r="T130" s="594"/>
      <c r="U130" s="594"/>
      <c r="V130" s="594"/>
      <c r="W130" s="594"/>
      <c r="X130" s="2859" t="s">
        <v>405</v>
      </c>
      <c r="Y130" s="2859"/>
      <c r="Z130" s="2859"/>
      <c r="AA130" s="2859"/>
      <c r="AB130" s="2859"/>
      <c r="AC130" s="2859"/>
      <c r="AD130" s="2859"/>
      <c r="AE130" s="2859"/>
      <c r="AF130" s="2859"/>
      <c r="AG130" s="2859"/>
    </row>
    <row r="131" spans="1:34" ht="18.649999999999999" hidden="1" customHeight="1">
      <c r="A131" s="1"/>
      <c r="B131" s="502"/>
      <c r="C131" s="50"/>
      <c r="D131" s="50"/>
      <c r="E131" s="50"/>
      <c r="G131" s="1773"/>
      <c r="H131" s="60"/>
      <c r="I131" s="6"/>
      <c r="J131" s="65"/>
      <c r="K131" s="60"/>
      <c r="L131" s="6"/>
      <c r="M131" s="65"/>
      <c r="N131" s="60"/>
      <c r="P131" s="66"/>
      <c r="Q131" s="1788"/>
      <c r="T131" s="1788"/>
      <c r="W131" s="1788"/>
    </row>
    <row r="132" spans="1:34" ht="18.649999999999999" hidden="1" customHeight="1">
      <c r="A132" s="1"/>
      <c r="B132" s="502"/>
      <c r="C132" s="50"/>
      <c r="D132" s="50"/>
      <c r="E132" s="50"/>
      <c r="G132" s="1773"/>
      <c r="H132" s="60"/>
      <c r="I132" s="6"/>
      <c r="J132" s="65"/>
      <c r="K132" s="60"/>
      <c r="L132" s="6"/>
      <c r="M132" s="65"/>
      <c r="N132" s="60"/>
      <c r="P132" s="66"/>
      <c r="Q132" s="1788"/>
      <c r="T132" s="1788"/>
      <c r="W132" s="1788"/>
    </row>
    <row r="133" spans="1:34" ht="14.9" customHeight="1">
      <c r="A133" s="1"/>
      <c r="B133" s="2903" t="s">
        <v>207</v>
      </c>
      <c r="C133" s="2903"/>
      <c r="D133" s="2903"/>
      <c r="E133" s="2903"/>
      <c r="G133" s="1773"/>
      <c r="H133" s="792"/>
      <c r="I133" s="710"/>
      <c r="J133" s="711"/>
      <c r="K133" s="579">
        <v>1</v>
      </c>
      <c r="L133" s="710"/>
      <c r="M133" s="711"/>
      <c r="N133" s="579">
        <v>2</v>
      </c>
      <c r="O133" s="713"/>
      <c r="P133" s="714"/>
      <c r="Q133" s="579">
        <v>3</v>
      </c>
      <c r="R133" s="762"/>
      <c r="S133" s="762"/>
      <c r="T133" s="579"/>
      <c r="U133" s="762"/>
      <c r="V133" s="762"/>
      <c r="W133" s="579"/>
      <c r="X133" s="2893"/>
      <c r="Y133" s="2893"/>
      <c r="Z133" s="2893"/>
      <c r="AA133" s="2893"/>
      <c r="AB133" s="2893"/>
      <c r="AC133" s="2893"/>
      <c r="AD133" s="2893"/>
      <c r="AE133" s="2893"/>
      <c r="AF133" s="2893"/>
      <c r="AG133" s="2893"/>
    </row>
    <row r="134" spans="1:34"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34" ht="15.75" customHeight="1">
      <c r="A135" s="252"/>
      <c r="B135" s="2903" t="s">
        <v>631</v>
      </c>
      <c r="C135" s="2903"/>
      <c r="D135" s="2903"/>
      <c r="E135" s="2903"/>
      <c r="F135" s="6"/>
      <c r="G135" s="65"/>
      <c r="H135" s="793"/>
      <c r="I135" s="710"/>
      <c r="J135" s="711"/>
      <c r="K135" s="581">
        <v>1</v>
      </c>
      <c r="L135" s="708"/>
      <c r="M135" s="709"/>
      <c r="N135" s="581">
        <v>0.5</v>
      </c>
      <c r="O135" s="710"/>
      <c r="P135" s="712"/>
      <c r="Q135" s="581">
        <v>0.3</v>
      </c>
      <c r="R135" s="762"/>
      <c r="S135" s="762"/>
      <c r="T135" s="581"/>
      <c r="U135" s="762"/>
      <c r="V135" s="762"/>
      <c r="W135" s="581"/>
      <c r="X135" s="2893"/>
      <c r="Y135" s="2893"/>
      <c r="Z135" s="2893"/>
      <c r="AA135" s="2893"/>
      <c r="AB135" s="2893"/>
      <c r="AC135" s="2893"/>
      <c r="AD135" s="2893"/>
      <c r="AE135" s="2893"/>
      <c r="AF135" s="2893"/>
      <c r="AG135" s="2893"/>
      <c r="AH135" s="9"/>
    </row>
    <row r="136" spans="1:34" ht="15.75" customHeight="1">
      <c r="A136" s="252"/>
      <c r="B136" s="2903" t="s">
        <v>633</v>
      </c>
      <c r="C136" s="2903"/>
      <c r="D136" s="2903"/>
      <c r="E136" s="2903"/>
      <c r="F136" s="6"/>
      <c r="G136" s="65"/>
      <c r="H136" s="480"/>
      <c r="I136" s="710"/>
      <c r="J136" s="711" t="s">
        <v>38</v>
      </c>
      <c r="K136" s="526" t="s">
        <v>406</v>
      </c>
      <c r="L136" s="710"/>
      <c r="M136" s="711"/>
      <c r="N136" s="526" t="s">
        <v>279</v>
      </c>
      <c r="O136" s="710"/>
      <c r="P136" s="712"/>
      <c r="Q136" s="526" t="s">
        <v>407</v>
      </c>
      <c r="R136" s="762"/>
      <c r="S136" s="762"/>
      <c r="T136" s="526"/>
      <c r="U136" s="762"/>
      <c r="V136" s="762"/>
      <c r="W136" s="526"/>
      <c r="X136" s="2893"/>
      <c r="Y136" s="2893"/>
      <c r="Z136" s="2893"/>
      <c r="AA136" s="2893"/>
      <c r="AB136" s="2893"/>
      <c r="AC136" s="2893"/>
      <c r="AD136" s="2893"/>
      <c r="AE136" s="2893"/>
      <c r="AF136" s="2893"/>
      <c r="AG136" s="2893"/>
    </row>
    <row r="137" spans="1:34" ht="15.75" customHeight="1">
      <c r="A137" s="252"/>
      <c r="B137" s="2903" t="s">
        <v>627</v>
      </c>
      <c r="C137" s="2903"/>
      <c r="D137" s="2903"/>
      <c r="E137" s="2903"/>
      <c r="F137" s="6"/>
      <c r="G137" s="65"/>
      <c r="H137" s="794"/>
      <c r="I137" s="710"/>
      <c r="J137" s="711"/>
      <c r="K137" s="561" t="s">
        <v>220</v>
      </c>
      <c r="L137" s="710"/>
      <c r="M137" s="711"/>
      <c r="N137" s="561" t="s">
        <v>218</v>
      </c>
      <c r="O137" s="710"/>
      <c r="P137" s="712"/>
      <c r="Q137" s="561" t="s">
        <v>218</v>
      </c>
      <c r="R137" s="762"/>
      <c r="S137" s="762"/>
      <c r="T137" s="561"/>
      <c r="U137" s="762"/>
      <c r="V137" s="762"/>
      <c r="W137" s="561"/>
      <c r="X137" s="2893"/>
      <c r="Y137" s="2893"/>
      <c r="Z137" s="2893"/>
      <c r="AA137" s="2893"/>
      <c r="AB137" s="2893"/>
      <c r="AC137" s="2893"/>
      <c r="AD137" s="2893"/>
      <c r="AE137" s="2893"/>
      <c r="AF137" s="2893"/>
      <c r="AG137" s="2893"/>
    </row>
    <row r="138" spans="1:34" ht="15.75" customHeight="1">
      <c r="A138" s="252"/>
      <c r="B138" s="2904" t="s">
        <v>628</v>
      </c>
      <c r="C138" s="2904"/>
      <c r="D138" s="2904"/>
      <c r="E138" s="2904"/>
      <c r="F138" s="6"/>
      <c r="G138" s="65"/>
      <c r="H138" s="480"/>
      <c r="I138" s="710"/>
      <c r="J138" s="711"/>
      <c r="K138" s="526" t="s">
        <v>223</v>
      </c>
      <c r="L138" s="710"/>
      <c r="M138" s="711"/>
      <c r="N138" s="526"/>
      <c r="O138" s="710"/>
      <c r="P138" s="712"/>
      <c r="Q138" s="526"/>
      <c r="R138" s="762"/>
      <c r="S138" s="762"/>
      <c r="T138" s="526"/>
      <c r="U138" s="762"/>
      <c r="V138" s="762"/>
      <c r="W138" s="526"/>
      <c r="X138" s="2893"/>
      <c r="Y138" s="2893"/>
      <c r="Z138" s="2893"/>
      <c r="AA138" s="2893"/>
      <c r="AB138" s="2893"/>
      <c r="AC138" s="2893"/>
      <c r="AD138" s="2893"/>
      <c r="AE138" s="2893"/>
      <c r="AF138" s="2893"/>
      <c r="AG138" s="2893"/>
    </row>
    <row r="139" spans="1:34" ht="32.25" customHeight="1">
      <c r="A139" s="252"/>
      <c r="B139" s="2904" t="s">
        <v>629</v>
      </c>
      <c r="C139" s="2904"/>
      <c r="D139" s="2904"/>
      <c r="E139" s="2904"/>
      <c r="F139" s="6"/>
      <c r="G139" s="65"/>
      <c r="H139" s="795"/>
      <c r="I139" s="710"/>
      <c r="J139" s="711"/>
      <c r="K139" s="568">
        <v>10841</v>
      </c>
      <c r="L139" s="710"/>
      <c r="M139" s="711"/>
      <c r="N139" s="568"/>
      <c r="O139" s="710"/>
      <c r="P139" s="712"/>
      <c r="Q139" s="568"/>
      <c r="R139" s="762"/>
      <c r="S139" s="762"/>
      <c r="T139" s="568"/>
      <c r="U139" s="762"/>
      <c r="V139" s="762"/>
      <c r="W139" s="568"/>
      <c r="X139" s="2893"/>
      <c r="Y139" s="2893"/>
      <c r="Z139" s="2893"/>
      <c r="AA139" s="2893"/>
      <c r="AB139" s="2893"/>
      <c r="AC139" s="2893"/>
      <c r="AD139" s="2893"/>
      <c r="AE139" s="2893"/>
      <c r="AF139" s="2893"/>
      <c r="AG139" s="2893"/>
    </row>
    <row r="140" spans="1:34" ht="15.75" customHeight="1">
      <c r="A140" s="252"/>
      <c r="B140" s="2903" t="s">
        <v>632</v>
      </c>
      <c r="C140" s="2903"/>
      <c r="D140" s="2903"/>
      <c r="E140" s="2903"/>
      <c r="F140" s="6"/>
      <c r="G140" s="65"/>
      <c r="H140" s="480"/>
      <c r="I140" s="710"/>
      <c r="J140" s="711">
        <v>1.5</v>
      </c>
      <c r="K140" s="526">
        <v>1</v>
      </c>
      <c r="L140" s="710"/>
      <c r="M140" s="711"/>
      <c r="N140" s="526">
        <v>2</v>
      </c>
      <c r="O140" s="710"/>
      <c r="P140" s="712"/>
      <c r="Q140" s="526">
        <v>12</v>
      </c>
      <c r="R140" s="762"/>
      <c r="S140" s="762"/>
      <c r="T140" s="526"/>
      <c r="U140" s="762"/>
      <c r="V140" s="762"/>
      <c r="W140" s="526"/>
      <c r="X140" s="2893"/>
      <c r="Y140" s="2893"/>
      <c r="Z140" s="2893"/>
      <c r="AA140" s="2893"/>
      <c r="AB140" s="2893"/>
      <c r="AC140" s="2893"/>
      <c r="AD140" s="2893"/>
      <c r="AE140" s="2893"/>
      <c r="AF140" s="2893"/>
      <c r="AG140" s="2893"/>
    </row>
    <row r="141" spans="1:34" ht="26.25" customHeight="1">
      <c r="A141" s="252"/>
      <c r="B141" s="2903" t="s">
        <v>1551</v>
      </c>
      <c r="C141" s="2903"/>
      <c r="D141" s="2903"/>
      <c r="E141" s="2903"/>
      <c r="F141" s="6"/>
      <c r="G141" s="65"/>
      <c r="H141" s="796"/>
      <c r="I141" s="710"/>
      <c r="J141" s="711"/>
      <c r="K141" s="619">
        <v>0</v>
      </c>
      <c r="L141" s="710"/>
      <c r="M141" s="711"/>
      <c r="N141" s="619">
        <v>0</v>
      </c>
      <c r="O141" s="710"/>
      <c r="P141" s="712"/>
      <c r="Q141" s="619">
        <v>0.6</v>
      </c>
      <c r="R141" s="762"/>
      <c r="S141" s="762"/>
      <c r="T141" s="619"/>
      <c r="U141" s="762"/>
      <c r="V141" s="762"/>
      <c r="W141" s="619"/>
      <c r="X141" s="2893"/>
      <c r="Y141" s="2893"/>
      <c r="Z141" s="2893"/>
      <c r="AA141" s="2893"/>
      <c r="AB141" s="2893"/>
      <c r="AC141" s="2893"/>
      <c r="AD141" s="2893"/>
      <c r="AE141" s="2893"/>
      <c r="AF141" s="2893"/>
      <c r="AG141" s="2893"/>
      <c r="AH141" s="9"/>
    </row>
    <row r="142" spans="1:34" ht="26.25" customHeight="1">
      <c r="A142" s="252"/>
      <c r="B142" s="2903" t="s">
        <v>1552</v>
      </c>
      <c r="C142" s="2903"/>
      <c r="D142" s="2903"/>
      <c r="E142" s="2903"/>
      <c r="F142" s="6"/>
      <c r="G142" s="65"/>
      <c r="H142" s="796"/>
      <c r="I142" s="710"/>
      <c r="J142" s="711"/>
      <c r="K142" s="619">
        <v>0</v>
      </c>
      <c r="L142" s="710"/>
      <c r="M142" s="711"/>
      <c r="N142" s="619">
        <v>0</v>
      </c>
      <c r="O142" s="710"/>
      <c r="P142" s="712"/>
      <c r="Q142" s="619">
        <v>0</v>
      </c>
      <c r="R142" s="762"/>
      <c r="S142" s="762"/>
      <c r="T142" s="619"/>
      <c r="U142" s="762"/>
      <c r="V142" s="762"/>
      <c r="W142" s="619"/>
      <c r="X142" s="2893"/>
      <c r="Y142" s="2893"/>
      <c r="Z142" s="2893"/>
      <c r="AA142" s="2893"/>
      <c r="AB142" s="2893"/>
      <c r="AC142" s="2893"/>
      <c r="AD142" s="2893"/>
      <c r="AE142" s="2893"/>
      <c r="AF142" s="2893"/>
      <c r="AG142" s="2893"/>
      <c r="AH142" s="9"/>
    </row>
    <row r="143" spans="1:34" ht="32.25" customHeight="1">
      <c r="A143" s="252"/>
      <c r="B143" s="2903" t="s">
        <v>331</v>
      </c>
      <c r="C143" s="2903"/>
      <c r="D143" s="2903"/>
      <c r="E143" s="2903"/>
      <c r="F143" s="6"/>
      <c r="G143" s="65"/>
      <c r="H143" s="480"/>
      <c r="I143" s="710"/>
      <c r="J143" s="711"/>
      <c r="K143" s="526" t="s">
        <v>132</v>
      </c>
      <c r="L143" s="710"/>
      <c r="M143" s="711"/>
      <c r="N143" s="526" t="s">
        <v>132</v>
      </c>
      <c r="O143" s="710"/>
      <c r="P143" s="712"/>
      <c r="Q143" s="526" t="s">
        <v>132</v>
      </c>
      <c r="R143" s="762"/>
      <c r="S143" s="762"/>
      <c r="T143" s="526"/>
      <c r="U143" s="762"/>
      <c r="V143" s="762"/>
      <c r="W143" s="526"/>
      <c r="X143" s="2893"/>
      <c r="Y143" s="2893"/>
      <c r="Z143" s="2893"/>
      <c r="AA143" s="2893"/>
      <c r="AB143" s="2893"/>
      <c r="AC143" s="2893"/>
      <c r="AD143" s="2893"/>
      <c r="AE143" s="2893"/>
      <c r="AF143" s="2893"/>
      <c r="AG143" s="2893"/>
    </row>
    <row r="144" spans="1:34" ht="15.75" customHeight="1">
      <c r="A144" s="252"/>
      <c r="B144" s="2904" t="s">
        <v>332</v>
      </c>
      <c r="C144" s="2904"/>
      <c r="D144" s="2904"/>
      <c r="E144" s="2904"/>
      <c r="F144" s="6"/>
      <c r="G144" s="65"/>
      <c r="H144" s="480"/>
      <c r="I144" s="748"/>
      <c r="J144" s="711">
        <v>2</v>
      </c>
      <c r="K144" s="526"/>
      <c r="L144" s="748"/>
      <c r="M144" s="711"/>
      <c r="N144" s="526"/>
      <c r="O144" s="710"/>
      <c r="P144" s="582"/>
      <c r="Q144" s="526"/>
      <c r="R144" s="762"/>
      <c r="S144" s="762"/>
      <c r="T144" s="526"/>
      <c r="U144" s="762"/>
      <c r="V144" s="762"/>
      <c r="W144" s="526"/>
      <c r="X144" s="2893"/>
      <c r="Y144" s="2893"/>
      <c r="Z144" s="2893"/>
      <c r="AA144" s="2893"/>
      <c r="AB144" s="2893"/>
      <c r="AC144" s="2893"/>
      <c r="AD144" s="2893"/>
      <c r="AE144" s="2893"/>
      <c r="AF144" s="2893"/>
      <c r="AG144" s="2893"/>
    </row>
    <row r="145" spans="1:34" ht="15.75" customHeight="1">
      <c r="A145" s="252"/>
      <c r="B145" s="2903" t="s">
        <v>333</v>
      </c>
      <c r="C145" s="2903"/>
      <c r="D145" s="2903"/>
      <c r="E145" s="2903"/>
      <c r="F145" s="6"/>
      <c r="G145" s="63"/>
      <c r="H145" s="480"/>
      <c r="I145" s="713"/>
      <c r="J145" s="713"/>
      <c r="K145" s="526" t="s">
        <v>605</v>
      </c>
      <c r="L145" s="713"/>
      <c r="M145" s="713"/>
      <c r="N145" s="526" t="s">
        <v>22</v>
      </c>
      <c r="O145" s="713"/>
      <c r="P145" s="713"/>
      <c r="Q145" s="526" t="s">
        <v>402</v>
      </c>
      <c r="R145" s="762"/>
      <c r="S145" s="762"/>
      <c r="T145" s="526"/>
      <c r="U145" s="762"/>
      <c r="V145" s="762"/>
      <c r="W145" s="526"/>
      <c r="X145" s="2893"/>
      <c r="Y145" s="2893"/>
      <c r="Z145" s="2893"/>
      <c r="AA145" s="2893"/>
      <c r="AB145" s="2893"/>
      <c r="AC145" s="2893"/>
      <c r="AD145" s="2893"/>
      <c r="AE145" s="2893"/>
      <c r="AF145" s="2893"/>
      <c r="AG145" s="2893"/>
    </row>
    <row r="146" spans="1:34" ht="15.75" customHeight="1">
      <c r="A146" s="252"/>
      <c r="B146" s="2903" t="s">
        <v>334</v>
      </c>
      <c r="C146" s="2903"/>
      <c r="D146" s="2903"/>
      <c r="E146" s="2903"/>
      <c r="H146" s="480"/>
      <c r="I146" s="748"/>
      <c r="J146" s="711">
        <v>0</v>
      </c>
      <c r="K146" s="526">
        <v>0</v>
      </c>
      <c r="L146" s="748"/>
      <c r="M146" s="711"/>
      <c r="N146" s="526">
        <v>1</v>
      </c>
      <c r="O146" s="710"/>
      <c r="P146" s="582"/>
      <c r="Q146" s="526"/>
      <c r="R146" s="762"/>
      <c r="S146" s="762"/>
      <c r="T146" s="526"/>
      <c r="U146" s="762"/>
      <c r="V146" s="762"/>
      <c r="W146" s="526"/>
      <c r="X146" s="2893"/>
      <c r="Y146" s="2893"/>
      <c r="Z146" s="2893"/>
      <c r="AA146" s="2893"/>
      <c r="AB146" s="2893"/>
      <c r="AC146" s="2893"/>
      <c r="AD146" s="2893"/>
      <c r="AE146" s="2893"/>
      <c r="AF146" s="2893"/>
      <c r="AG146" s="2893"/>
    </row>
    <row r="147" spans="1:34" ht="15.75" customHeight="1">
      <c r="A147" s="252"/>
      <c r="B147" s="2904" t="s">
        <v>335</v>
      </c>
      <c r="C147" s="2904"/>
      <c r="D147" s="2904"/>
      <c r="E147" s="2904"/>
      <c r="F147" s="6"/>
      <c r="G147" s="63"/>
      <c r="H147" s="480"/>
      <c r="I147" s="748"/>
      <c r="J147" s="711"/>
      <c r="K147" s="526"/>
      <c r="L147" s="748"/>
      <c r="M147" s="711"/>
      <c r="N147" s="526" t="s">
        <v>21</v>
      </c>
      <c r="O147" s="710"/>
      <c r="P147" s="582"/>
      <c r="Q147" s="526"/>
      <c r="R147" s="762"/>
      <c r="S147" s="762"/>
      <c r="T147" s="526"/>
      <c r="U147" s="762"/>
      <c r="V147" s="762"/>
      <c r="W147" s="526"/>
      <c r="X147" s="2893"/>
      <c r="Y147" s="2893"/>
      <c r="Z147" s="2893"/>
      <c r="AA147" s="2893"/>
      <c r="AB147" s="2893"/>
      <c r="AC147" s="2893"/>
      <c r="AD147" s="2893"/>
      <c r="AE147" s="2893"/>
      <c r="AF147" s="2893"/>
      <c r="AG147" s="2893"/>
    </row>
    <row r="148" spans="1:34" ht="15.75" customHeight="1">
      <c r="A148" s="252"/>
      <c r="B148" s="2903" t="s">
        <v>336</v>
      </c>
      <c r="C148" s="2903"/>
      <c r="D148" s="2903"/>
      <c r="E148" s="2903"/>
      <c r="F148" s="6"/>
      <c r="G148" s="63"/>
      <c r="H148" s="480"/>
      <c r="I148" s="748"/>
      <c r="J148" s="711">
        <v>0.25</v>
      </c>
      <c r="K148" s="526">
        <v>90</v>
      </c>
      <c r="L148" s="748"/>
      <c r="M148" s="711"/>
      <c r="N148" s="526">
        <v>90</v>
      </c>
      <c r="O148" s="710"/>
      <c r="P148" s="582"/>
      <c r="Q148" s="526">
        <v>60</v>
      </c>
      <c r="R148" s="762"/>
      <c r="S148" s="762"/>
      <c r="T148" s="526"/>
      <c r="U148" s="762"/>
      <c r="V148" s="762"/>
      <c r="W148" s="526"/>
      <c r="X148" s="2893"/>
      <c r="Y148" s="2893"/>
      <c r="Z148" s="2893"/>
      <c r="AA148" s="2893"/>
      <c r="AB148" s="2893"/>
      <c r="AC148" s="2893"/>
      <c r="AD148" s="2893"/>
      <c r="AE148" s="2893"/>
      <c r="AF148" s="2893"/>
      <c r="AG148" s="2893"/>
    </row>
    <row r="149" spans="1:34" ht="32.25" customHeight="1">
      <c r="A149" s="252"/>
      <c r="B149" s="2903" t="s">
        <v>337</v>
      </c>
      <c r="C149" s="2903"/>
      <c r="D149" s="2903"/>
      <c r="E149" s="2903"/>
      <c r="F149" s="6"/>
      <c r="G149" s="63"/>
      <c r="H149" s="480"/>
      <c r="I149" s="748"/>
      <c r="J149" s="748"/>
      <c r="K149" s="526">
        <v>0</v>
      </c>
      <c r="L149" s="748"/>
      <c r="M149" s="748"/>
      <c r="N149" s="526">
        <v>0</v>
      </c>
      <c r="O149" s="710"/>
      <c r="P149" s="710"/>
      <c r="Q149" s="526">
        <v>0</v>
      </c>
      <c r="R149" s="762"/>
      <c r="S149" s="762"/>
      <c r="T149" s="526"/>
      <c r="U149" s="762"/>
      <c r="V149" s="762"/>
      <c r="W149" s="526"/>
      <c r="X149" s="2893"/>
      <c r="Y149" s="2893"/>
      <c r="Z149" s="2893"/>
      <c r="AA149" s="2893"/>
      <c r="AB149" s="2893"/>
      <c r="AC149" s="2893"/>
      <c r="AD149" s="2893"/>
      <c r="AE149" s="2893"/>
      <c r="AF149" s="2893"/>
      <c r="AG149" s="2893"/>
      <c r="AH149" s="9"/>
    </row>
    <row r="150" spans="1:34" ht="32.25" customHeight="1">
      <c r="A150" s="252"/>
      <c r="B150" s="2903" t="s">
        <v>338</v>
      </c>
      <c r="C150" s="2903"/>
      <c r="D150" s="2903"/>
      <c r="E150" s="2903"/>
      <c r="F150" s="6"/>
      <c r="G150" s="63"/>
      <c r="H150" s="480"/>
      <c r="I150" s="748"/>
      <c r="J150" s="748"/>
      <c r="K150" s="526">
        <v>0</v>
      </c>
      <c r="L150" s="748"/>
      <c r="M150" s="748"/>
      <c r="N150" s="526">
        <v>0</v>
      </c>
      <c r="O150" s="710"/>
      <c r="P150" s="710"/>
      <c r="Q150" s="526">
        <v>0</v>
      </c>
      <c r="R150" s="762"/>
      <c r="S150" s="762"/>
      <c r="T150" s="526"/>
      <c r="U150" s="762"/>
      <c r="V150" s="762"/>
      <c r="W150" s="526"/>
      <c r="X150" s="2893"/>
      <c r="Y150" s="2893"/>
      <c r="Z150" s="2893"/>
      <c r="AA150" s="2893"/>
      <c r="AB150" s="2893"/>
      <c r="AC150" s="2893"/>
      <c r="AD150" s="2893"/>
      <c r="AE150" s="2893"/>
      <c r="AF150" s="2893"/>
      <c r="AG150" s="2893"/>
      <c r="AH150" s="9"/>
    </row>
    <row r="151" spans="1:34" s="6" customFormat="1" ht="15.75" customHeight="1">
      <c r="A151" s="252"/>
      <c r="B151" s="2903" t="s">
        <v>648</v>
      </c>
      <c r="C151" s="2903"/>
      <c r="D151" s="2903"/>
      <c r="E151" s="2903"/>
      <c r="G151" s="63"/>
      <c r="H151" s="480"/>
      <c r="I151" s="748"/>
      <c r="J151" s="748">
        <v>25</v>
      </c>
      <c r="K151" s="526">
        <v>200</v>
      </c>
      <c r="L151" s="748"/>
      <c r="M151" s="748"/>
      <c r="N151" s="526">
        <v>25</v>
      </c>
      <c r="O151" s="710"/>
      <c r="P151" s="710"/>
      <c r="Q151" s="526">
        <v>30</v>
      </c>
      <c r="R151" s="748"/>
      <c r="S151" s="748"/>
      <c r="T151" s="526"/>
      <c r="U151" s="748"/>
      <c r="V151" s="748"/>
      <c r="W151" s="526"/>
      <c r="X151" s="2893"/>
      <c r="Y151" s="2893"/>
      <c r="Z151" s="2893"/>
      <c r="AA151" s="2893"/>
      <c r="AB151" s="2893"/>
      <c r="AC151" s="2893"/>
      <c r="AD151" s="2893"/>
      <c r="AE151" s="2893"/>
      <c r="AF151" s="2893"/>
      <c r="AG151" s="2893"/>
    </row>
    <row r="152" spans="1:34" ht="15.75" customHeight="1">
      <c r="A152" s="252"/>
      <c r="B152" s="2903" t="s">
        <v>649</v>
      </c>
      <c r="C152" s="2903"/>
      <c r="D152" s="2903"/>
      <c r="E152" s="2903"/>
      <c r="F152" s="6"/>
      <c r="G152" s="63"/>
      <c r="H152" s="797"/>
      <c r="I152" s="748"/>
      <c r="J152" s="711"/>
      <c r="K152" s="562">
        <v>200</v>
      </c>
      <c r="L152" s="748"/>
      <c r="M152" s="711"/>
      <c r="N152" s="562">
        <v>50</v>
      </c>
      <c r="O152" s="710"/>
      <c r="P152" s="582"/>
      <c r="Q152" s="562">
        <v>40</v>
      </c>
      <c r="R152" s="762"/>
      <c r="S152" s="762"/>
      <c r="T152" s="562"/>
      <c r="U152" s="762"/>
      <c r="V152" s="762"/>
      <c r="W152" s="562"/>
      <c r="X152" s="2893"/>
      <c r="Y152" s="2893"/>
      <c r="Z152" s="2893"/>
      <c r="AA152" s="2893"/>
      <c r="AB152" s="2893"/>
      <c r="AC152" s="2893"/>
      <c r="AD152" s="2893"/>
      <c r="AE152" s="2893"/>
      <c r="AF152" s="2893"/>
      <c r="AG152" s="2893"/>
    </row>
    <row r="153" spans="1:34" ht="15.75" customHeight="1">
      <c r="A153" s="237"/>
      <c r="B153" s="2903" t="s">
        <v>415</v>
      </c>
      <c r="C153" s="2903"/>
      <c r="D153" s="2903"/>
      <c r="E153" s="2903"/>
      <c r="F153" s="6"/>
      <c r="G153" s="6"/>
      <c r="H153" s="798"/>
      <c r="I153" s="748"/>
      <c r="J153" s="748"/>
      <c r="K153" s="586" t="s">
        <v>5</v>
      </c>
      <c r="L153" s="748"/>
      <c r="M153" s="748"/>
      <c r="N153" s="586" t="s">
        <v>5</v>
      </c>
      <c r="O153" s="710"/>
      <c r="P153" s="710"/>
      <c r="Q153" s="586" t="s">
        <v>5</v>
      </c>
      <c r="R153" s="762"/>
      <c r="S153" s="762"/>
      <c r="T153" s="586"/>
      <c r="U153" s="762"/>
      <c r="V153" s="762"/>
      <c r="W153" s="586"/>
      <c r="X153" s="2893"/>
      <c r="Y153" s="2893"/>
      <c r="Z153" s="2893"/>
      <c r="AA153" s="2893"/>
      <c r="AB153" s="2893"/>
      <c r="AC153" s="2893"/>
      <c r="AD153" s="2893"/>
      <c r="AE153" s="2893"/>
      <c r="AF153" s="2893"/>
      <c r="AG153" s="2893"/>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903" t="s">
        <v>631</v>
      </c>
      <c r="C155" s="2903"/>
      <c r="D155" s="2903"/>
      <c r="E155" s="2903"/>
      <c r="F155" s="6"/>
      <c r="G155" s="65"/>
      <c r="H155" s="799"/>
      <c r="I155" s="710"/>
      <c r="J155" s="711"/>
      <c r="K155" s="628"/>
      <c r="L155" s="708"/>
      <c r="M155" s="709"/>
      <c r="N155" s="628">
        <v>0.5</v>
      </c>
      <c r="O155" s="710"/>
      <c r="P155" s="712"/>
      <c r="Q155" s="628">
        <v>0.5</v>
      </c>
      <c r="R155" s="762"/>
      <c r="S155" s="762"/>
      <c r="T155" s="628"/>
      <c r="U155" s="762"/>
      <c r="V155" s="762"/>
      <c r="W155" s="628"/>
      <c r="X155" s="2893"/>
      <c r="Y155" s="2893"/>
      <c r="Z155" s="2893"/>
      <c r="AA155" s="2893"/>
      <c r="AB155" s="2893"/>
      <c r="AC155" s="2893"/>
      <c r="AD155" s="2893"/>
      <c r="AE155" s="2893"/>
      <c r="AF155" s="2893"/>
      <c r="AG155" s="2893"/>
      <c r="AH155" s="9"/>
    </row>
    <row r="156" spans="1:34" ht="15.75" customHeight="1">
      <c r="A156" s="252"/>
      <c r="B156" s="2903" t="s">
        <v>633</v>
      </c>
      <c r="C156" s="2903"/>
      <c r="D156" s="2903"/>
      <c r="E156" s="2903"/>
      <c r="F156" s="6"/>
      <c r="G156" s="65"/>
      <c r="H156" s="480"/>
      <c r="I156" s="710"/>
      <c r="J156" s="711" t="s">
        <v>37</v>
      </c>
      <c r="K156" s="526"/>
      <c r="L156" s="710"/>
      <c r="M156" s="711"/>
      <c r="N156" s="526" t="s">
        <v>407</v>
      </c>
      <c r="O156" s="710"/>
      <c r="P156" s="712"/>
      <c r="Q156" s="526" t="s">
        <v>36</v>
      </c>
      <c r="R156" s="762"/>
      <c r="S156" s="762"/>
      <c r="T156" s="526"/>
      <c r="U156" s="762"/>
      <c r="V156" s="762"/>
      <c r="W156" s="526"/>
      <c r="X156" s="2893"/>
      <c r="Y156" s="2893"/>
      <c r="Z156" s="2893"/>
      <c r="AA156" s="2893"/>
      <c r="AB156" s="2893"/>
      <c r="AC156" s="2893"/>
      <c r="AD156" s="2893"/>
      <c r="AE156" s="2893"/>
      <c r="AF156" s="2893"/>
      <c r="AG156" s="2893"/>
    </row>
    <row r="157" spans="1:34" ht="15.75" customHeight="1">
      <c r="A157" s="252"/>
      <c r="B157" s="2903" t="s">
        <v>627</v>
      </c>
      <c r="C157" s="2903"/>
      <c r="D157" s="2903"/>
      <c r="E157" s="2903"/>
      <c r="F157" s="6"/>
      <c r="G157" s="63"/>
      <c r="H157" s="794"/>
      <c r="I157" s="748"/>
      <c r="J157" s="711"/>
      <c r="K157" s="561"/>
      <c r="L157" s="748"/>
      <c r="M157" s="711"/>
      <c r="N157" s="561" t="s">
        <v>218</v>
      </c>
      <c r="O157" s="710"/>
      <c r="P157" s="582"/>
      <c r="Q157" s="561" t="s">
        <v>218</v>
      </c>
      <c r="R157" s="762"/>
      <c r="S157" s="762"/>
      <c r="T157" s="561"/>
      <c r="U157" s="762"/>
      <c r="V157" s="762"/>
      <c r="W157" s="561"/>
      <c r="X157" s="2893"/>
      <c r="Y157" s="2893"/>
      <c r="Z157" s="2893"/>
      <c r="AA157" s="2893"/>
      <c r="AB157" s="2893"/>
      <c r="AC157" s="2893"/>
      <c r="AD157" s="2893"/>
      <c r="AE157" s="2893"/>
      <c r="AF157" s="2893"/>
      <c r="AG157" s="2893"/>
    </row>
    <row r="158" spans="1:34" ht="15.75" customHeight="1">
      <c r="A158" s="252"/>
      <c r="B158" s="2904" t="s">
        <v>628</v>
      </c>
      <c r="C158" s="2904"/>
      <c r="D158" s="2904"/>
      <c r="E158" s="2904"/>
      <c r="F158" s="6"/>
      <c r="G158" s="63"/>
      <c r="H158" s="480"/>
      <c r="I158" s="748"/>
      <c r="J158" s="711"/>
      <c r="K158" s="526"/>
      <c r="L158" s="748"/>
      <c r="M158" s="711"/>
      <c r="N158" s="526"/>
      <c r="O158" s="710"/>
      <c r="P158" s="582"/>
      <c r="Q158" s="526"/>
      <c r="R158" s="762"/>
      <c r="S158" s="762"/>
      <c r="T158" s="526"/>
      <c r="U158" s="762"/>
      <c r="V158" s="762"/>
      <c r="W158" s="526"/>
      <c r="X158" s="2893"/>
      <c r="Y158" s="2893"/>
      <c r="Z158" s="2893"/>
      <c r="AA158" s="2893"/>
      <c r="AB158" s="2893"/>
      <c r="AC158" s="2893"/>
      <c r="AD158" s="2893"/>
      <c r="AE158" s="2893"/>
      <c r="AF158" s="2893"/>
      <c r="AG158" s="2893"/>
    </row>
    <row r="159" spans="1:34" ht="31.5" customHeight="1">
      <c r="A159" s="252"/>
      <c r="B159" s="2904" t="s">
        <v>629</v>
      </c>
      <c r="C159" s="2904"/>
      <c r="D159" s="2904"/>
      <c r="E159" s="2904"/>
      <c r="F159" s="6"/>
      <c r="G159" s="63"/>
      <c r="H159" s="795"/>
      <c r="I159" s="748"/>
      <c r="J159" s="711"/>
      <c r="K159" s="568"/>
      <c r="L159" s="748"/>
      <c r="M159" s="711"/>
      <c r="N159" s="568"/>
      <c r="O159" s="710"/>
      <c r="P159" s="582"/>
      <c r="Q159" s="568"/>
      <c r="R159" s="762"/>
      <c r="S159" s="762"/>
      <c r="T159" s="568"/>
      <c r="U159" s="762"/>
      <c r="V159" s="762"/>
      <c r="W159" s="568"/>
      <c r="X159" s="2893"/>
      <c r="Y159" s="2893"/>
      <c r="Z159" s="2893"/>
      <c r="AA159" s="2893"/>
      <c r="AB159" s="2893"/>
      <c r="AC159" s="2893"/>
      <c r="AD159" s="2893"/>
      <c r="AE159" s="2893"/>
      <c r="AF159" s="2893"/>
      <c r="AG159" s="2893"/>
    </row>
    <row r="160" spans="1:34" ht="15.75" customHeight="1">
      <c r="A160" s="252"/>
      <c r="B160" s="2903" t="s">
        <v>632</v>
      </c>
      <c r="C160" s="2903"/>
      <c r="D160" s="2903"/>
      <c r="E160" s="2903"/>
      <c r="F160" s="6"/>
      <c r="G160" s="65"/>
      <c r="H160" s="480"/>
      <c r="I160" s="710"/>
      <c r="J160" s="711">
        <v>4</v>
      </c>
      <c r="K160" s="526"/>
      <c r="L160" s="710"/>
      <c r="M160" s="711"/>
      <c r="N160" s="526">
        <v>1</v>
      </c>
      <c r="O160" s="710"/>
      <c r="P160" s="712"/>
      <c r="Q160" s="526">
        <v>50</v>
      </c>
      <c r="R160" s="762"/>
      <c r="S160" s="762"/>
      <c r="T160" s="526"/>
      <c r="U160" s="762"/>
      <c r="V160" s="762"/>
      <c r="W160" s="526"/>
      <c r="X160" s="2893"/>
      <c r="Y160" s="2893"/>
      <c r="Z160" s="2893"/>
      <c r="AA160" s="2893"/>
      <c r="AB160" s="2893"/>
      <c r="AC160" s="2893"/>
      <c r="AD160" s="2893"/>
      <c r="AE160" s="2893"/>
      <c r="AF160" s="2893"/>
      <c r="AG160" s="2893"/>
    </row>
    <row r="161" spans="1:34" ht="29.9" customHeight="1">
      <c r="A161" s="252"/>
      <c r="B161" s="2903" t="s">
        <v>1551</v>
      </c>
      <c r="C161" s="2903"/>
      <c r="D161" s="2903"/>
      <c r="E161" s="2903"/>
      <c r="F161" s="6"/>
      <c r="G161" s="65"/>
      <c r="H161" s="796"/>
      <c r="I161" s="710"/>
      <c r="J161" s="711"/>
      <c r="K161" s="619"/>
      <c r="L161" s="710"/>
      <c r="M161" s="711"/>
      <c r="N161" s="619">
        <v>0</v>
      </c>
      <c r="O161" s="710"/>
      <c r="P161" s="712"/>
      <c r="Q161" s="619">
        <v>0.95</v>
      </c>
      <c r="R161" s="762"/>
      <c r="S161" s="762"/>
      <c r="T161" s="619"/>
      <c r="U161" s="762"/>
      <c r="V161" s="762"/>
      <c r="W161" s="619"/>
      <c r="X161" s="2893"/>
      <c r="Y161" s="2893"/>
      <c r="Z161" s="2893"/>
      <c r="AA161" s="2893"/>
      <c r="AB161" s="2893"/>
      <c r="AC161" s="2893"/>
      <c r="AD161" s="2893"/>
      <c r="AE161" s="2893"/>
      <c r="AF161" s="2893"/>
      <c r="AG161" s="2893"/>
      <c r="AH161" s="9"/>
    </row>
    <row r="162" spans="1:34" ht="29.9" customHeight="1">
      <c r="A162" s="252"/>
      <c r="B162" s="2903" t="s">
        <v>1552</v>
      </c>
      <c r="C162" s="2903"/>
      <c r="D162" s="2903"/>
      <c r="E162" s="2903"/>
      <c r="F162" s="6"/>
      <c r="G162" s="65"/>
      <c r="H162" s="796"/>
      <c r="I162" s="710"/>
      <c r="J162" s="711"/>
      <c r="K162" s="619"/>
      <c r="L162" s="710"/>
      <c r="M162" s="711"/>
      <c r="N162" s="619">
        <v>0</v>
      </c>
      <c r="O162" s="710"/>
      <c r="P162" s="712"/>
      <c r="Q162" s="619">
        <v>0</v>
      </c>
      <c r="R162" s="762"/>
      <c r="S162" s="762"/>
      <c r="T162" s="619"/>
      <c r="U162" s="762"/>
      <c r="V162" s="762"/>
      <c r="W162" s="619"/>
      <c r="X162" s="2893"/>
      <c r="Y162" s="2893"/>
      <c r="Z162" s="2893"/>
      <c r="AA162" s="2893"/>
      <c r="AB162" s="2893"/>
      <c r="AC162" s="2893"/>
      <c r="AD162" s="2893"/>
      <c r="AE162" s="2893"/>
      <c r="AF162" s="2893"/>
      <c r="AG162" s="2893"/>
      <c r="AH162" s="9"/>
    </row>
    <row r="163" spans="1:34" ht="31.5" customHeight="1">
      <c r="A163" s="252"/>
      <c r="B163" s="2903" t="s">
        <v>331</v>
      </c>
      <c r="C163" s="2903"/>
      <c r="D163" s="2903"/>
      <c r="E163" s="2903"/>
      <c r="F163" s="6"/>
      <c r="G163" s="65"/>
      <c r="H163" s="480"/>
      <c r="I163" s="710"/>
      <c r="J163" s="711"/>
      <c r="K163" s="526"/>
      <c r="L163" s="710"/>
      <c r="M163" s="711"/>
      <c r="N163" s="526" t="s">
        <v>132</v>
      </c>
      <c r="O163" s="710"/>
      <c r="P163" s="712"/>
      <c r="Q163" s="526" t="s">
        <v>132</v>
      </c>
      <c r="R163" s="762"/>
      <c r="S163" s="762"/>
      <c r="T163" s="526"/>
      <c r="U163" s="762"/>
      <c r="V163" s="762"/>
      <c r="W163" s="526"/>
      <c r="X163" s="2893"/>
      <c r="Y163" s="2893"/>
      <c r="Z163" s="2893"/>
      <c r="AA163" s="2893"/>
      <c r="AB163" s="2893"/>
      <c r="AC163" s="2893"/>
      <c r="AD163" s="2893"/>
      <c r="AE163" s="2893"/>
      <c r="AF163" s="2893"/>
      <c r="AG163" s="2893"/>
    </row>
    <row r="164" spans="1:34" ht="15.75" customHeight="1">
      <c r="A164" s="252"/>
      <c r="B164" s="2904" t="s">
        <v>332</v>
      </c>
      <c r="C164" s="2904"/>
      <c r="D164" s="2904"/>
      <c r="E164" s="2904"/>
      <c r="F164" s="6"/>
      <c r="G164" s="65"/>
      <c r="H164" s="480"/>
      <c r="I164" s="748"/>
      <c r="J164" s="711">
        <v>2</v>
      </c>
      <c r="K164" s="526"/>
      <c r="L164" s="748"/>
      <c r="M164" s="711"/>
      <c r="N164" s="526"/>
      <c r="O164" s="710"/>
      <c r="P164" s="582"/>
      <c r="Q164" s="526"/>
      <c r="R164" s="762"/>
      <c r="S164" s="762"/>
      <c r="T164" s="526"/>
      <c r="U164" s="762"/>
      <c r="V164" s="762"/>
      <c r="W164" s="526"/>
      <c r="X164" s="2893"/>
      <c r="Y164" s="2893"/>
      <c r="Z164" s="2893"/>
      <c r="AA164" s="2893"/>
      <c r="AB164" s="2893"/>
      <c r="AC164" s="2893"/>
      <c r="AD164" s="2893"/>
      <c r="AE164" s="2893"/>
      <c r="AF164" s="2893"/>
      <c r="AG164" s="2893"/>
    </row>
    <row r="165" spans="1:34" ht="15.75" customHeight="1">
      <c r="A165" s="252"/>
      <c r="B165" s="2903" t="s">
        <v>333</v>
      </c>
      <c r="C165" s="2903"/>
      <c r="D165" s="2903"/>
      <c r="E165" s="2903"/>
      <c r="F165" s="6"/>
      <c r="G165" s="65"/>
      <c r="H165" s="480"/>
      <c r="I165" s="710"/>
      <c r="J165" s="711"/>
      <c r="K165" s="526"/>
      <c r="L165" s="710"/>
      <c r="M165" s="711"/>
      <c r="N165" s="526" t="s">
        <v>402</v>
      </c>
      <c r="O165" s="710"/>
      <c r="P165" s="712"/>
      <c r="Q165" s="526" t="s">
        <v>402</v>
      </c>
      <c r="R165" s="762"/>
      <c r="S165" s="762"/>
      <c r="T165" s="526"/>
      <c r="U165" s="762"/>
      <c r="V165" s="762"/>
      <c r="W165" s="526"/>
      <c r="X165" s="2893"/>
      <c r="Y165" s="2893"/>
      <c r="Z165" s="2893"/>
      <c r="AA165" s="2893"/>
      <c r="AB165" s="2893"/>
      <c r="AC165" s="2893"/>
      <c r="AD165" s="2893"/>
      <c r="AE165" s="2893"/>
      <c r="AF165" s="2893"/>
      <c r="AG165" s="2893"/>
    </row>
    <row r="166" spans="1:34" ht="15.75" customHeight="1">
      <c r="A166" s="252"/>
      <c r="B166" s="2903" t="s">
        <v>334</v>
      </c>
      <c r="C166" s="2903"/>
      <c r="D166" s="2903"/>
      <c r="E166" s="2903"/>
      <c r="F166" s="6"/>
      <c r="G166" s="65"/>
      <c r="H166" s="480"/>
      <c r="I166" s="710"/>
      <c r="J166" s="711"/>
      <c r="K166" s="526"/>
      <c r="L166" s="710"/>
      <c r="M166" s="711"/>
      <c r="N166" s="526">
        <v>0</v>
      </c>
      <c r="O166" s="710"/>
      <c r="P166" s="712"/>
      <c r="Q166" s="526">
        <v>0</v>
      </c>
      <c r="R166" s="762"/>
      <c r="S166" s="762"/>
      <c r="T166" s="526"/>
      <c r="U166" s="762"/>
      <c r="V166" s="762"/>
      <c r="W166" s="526"/>
      <c r="X166" s="2893"/>
      <c r="Y166" s="2893"/>
      <c r="Z166" s="2893"/>
      <c r="AA166" s="2893"/>
      <c r="AB166" s="2893"/>
      <c r="AC166" s="2893"/>
      <c r="AD166" s="2893"/>
      <c r="AE166" s="2893"/>
      <c r="AF166" s="2893"/>
      <c r="AG166" s="2893"/>
    </row>
    <row r="167" spans="1:34" ht="15.75" customHeight="1">
      <c r="A167" s="252"/>
      <c r="B167" s="2904" t="s">
        <v>335</v>
      </c>
      <c r="C167" s="2904"/>
      <c r="D167" s="2904"/>
      <c r="E167" s="2904"/>
      <c r="F167" s="6"/>
      <c r="G167" s="65"/>
      <c r="H167" s="480"/>
      <c r="I167" s="710"/>
      <c r="J167" s="711"/>
      <c r="K167" s="526"/>
      <c r="L167" s="710"/>
      <c r="M167" s="711"/>
      <c r="N167" s="526"/>
      <c r="O167" s="710"/>
      <c r="P167" s="712"/>
      <c r="Q167" s="526"/>
      <c r="R167" s="762"/>
      <c r="S167" s="762"/>
      <c r="T167" s="526"/>
      <c r="U167" s="762"/>
      <c r="V167" s="762"/>
      <c r="W167" s="526"/>
      <c r="X167" s="2893"/>
      <c r="Y167" s="2893"/>
      <c r="Z167" s="2893"/>
      <c r="AA167" s="2893"/>
      <c r="AB167" s="2893"/>
      <c r="AC167" s="2893"/>
      <c r="AD167" s="2893"/>
      <c r="AE167" s="2893"/>
      <c r="AF167" s="2893"/>
      <c r="AG167" s="2893"/>
    </row>
    <row r="168" spans="1:34" ht="15.75" customHeight="1">
      <c r="A168" s="252"/>
      <c r="B168" s="2903" t="s">
        <v>336</v>
      </c>
      <c r="C168" s="2903"/>
      <c r="D168" s="2903"/>
      <c r="E168" s="2903"/>
      <c r="F168" s="6"/>
      <c r="G168" s="65"/>
      <c r="H168" s="480"/>
      <c r="I168" s="710"/>
      <c r="J168" s="711"/>
      <c r="K168" s="526"/>
      <c r="L168" s="710"/>
      <c r="M168" s="711"/>
      <c r="N168" s="526">
        <v>90</v>
      </c>
      <c r="O168" s="710"/>
      <c r="P168" s="712"/>
      <c r="Q168" s="526">
        <v>60</v>
      </c>
      <c r="R168" s="762"/>
      <c r="S168" s="762"/>
      <c r="T168" s="526"/>
      <c r="U168" s="762"/>
      <c r="V168" s="762"/>
      <c r="W168" s="526"/>
      <c r="X168" s="2893"/>
      <c r="Y168" s="2893"/>
      <c r="Z168" s="2893"/>
      <c r="AA168" s="2893"/>
      <c r="AB168" s="2893"/>
      <c r="AC168" s="2893"/>
      <c r="AD168" s="2893"/>
      <c r="AE168" s="2893"/>
      <c r="AF168" s="2893"/>
      <c r="AG168" s="2893"/>
    </row>
    <row r="169" spans="1:34" ht="31.5" customHeight="1">
      <c r="A169" s="252"/>
      <c r="B169" s="2903" t="s">
        <v>337</v>
      </c>
      <c r="C169" s="2903"/>
      <c r="D169" s="2903"/>
      <c r="E169" s="2903"/>
      <c r="F169" s="6"/>
      <c r="G169" s="65"/>
      <c r="H169" s="480"/>
      <c r="I169" s="710"/>
      <c r="J169" s="711"/>
      <c r="K169" s="526"/>
      <c r="L169" s="710"/>
      <c r="M169" s="711"/>
      <c r="N169" s="526">
        <v>0</v>
      </c>
      <c r="O169" s="710"/>
      <c r="P169" s="712"/>
      <c r="Q169" s="526">
        <v>0</v>
      </c>
      <c r="R169" s="762"/>
      <c r="S169" s="762"/>
      <c r="T169" s="526"/>
      <c r="U169" s="762"/>
      <c r="V169" s="762"/>
      <c r="W169" s="526"/>
      <c r="X169" s="2893"/>
      <c r="Y169" s="2893"/>
      <c r="Z169" s="2893"/>
      <c r="AA169" s="2893"/>
      <c r="AB169" s="2893"/>
      <c r="AC169" s="2893"/>
      <c r="AD169" s="2893"/>
      <c r="AE169" s="2893"/>
      <c r="AF169" s="2893"/>
      <c r="AG169" s="2893"/>
      <c r="AH169" s="9"/>
    </row>
    <row r="170" spans="1:34" ht="31.5" customHeight="1">
      <c r="A170" s="252"/>
      <c r="B170" s="2903" t="s">
        <v>338</v>
      </c>
      <c r="C170" s="2903"/>
      <c r="D170" s="2903"/>
      <c r="E170" s="2903"/>
      <c r="F170" s="6"/>
      <c r="G170" s="65"/>
      <c r="H170" s="480"/>
      <c r="I170" s="710"/>
      <c r="J170" s="711"/>
      <c r="K170" s="526"/>
      <c r="L170" s="710"/>
      <c r="M170" s="711"/>
      <c r="N170" s="526">
        <v>0</v>
      </c>
      <c r="O170" s="710"/>
      <c r="P170" s="712"/>
      <c r="Q170" s="526">
        <v>0</v>
      </c>
      <c r="R170" s="762"/>
      <c r="S170" s="762"/>
      <c r="T170" s="526"/>
      <c r="U170" s="762"/>
      <c r="V170" s="762"/>
      <c r="W170" s="526"/>
      <c r="X170" s="2893"/>
      <c r="Y170" s="2893"/>
      <c r="Z170" s="2893"/>
      <c r="AA170" s="2893"/>
      <c r="AB170" s="2893"/>
      <c r="AC170" s="2893"/>
      <c r="AD170" s="2893"/>
      <c r="AE170" s="2893"/>
      <c r="AF170" s="2893"/>
      <c r="AG170" s="2893"/>
      <c r="AH170" s="9"/>
    </row>
    <row r="171" spans="1:34" ht="15.75" customHeight="1">
      <c r="A171" s="252"/>
      <c r="B171" s="2903" t="s">
        <v>648</v>
      </c>
      <c r="C171" s="2903"/>
      <c r="D171" s="2903"/>
      <c r="E171" s="2903"/>
      <c r="F171" s="6"/>
      <c r="G171" s="65"/>
      <c r="H171" s="480"/>
      <c r="I171" s="710"/>
      <c r="J171" s="711"/>
      <c r="K171" s="526"/>
      <c r="L171" s="710"/>
      <c r="M171" s="711"/>
      <c r="N171" s="526">
        <v>25</v>
      </c>
      <c r="O171" s="710"/>
      <c r="P171" s="712"/>
      <c r="Q171" s="526">
        <v>15</v>
      </c>
      <c r="R171" s="762"/>
      <c r="S171" s="762"/>
      <c r="T171" s="526"/>
      <c r="U171" s="762"/>
      <c r="V171" s="762"/>
      <c r="W171" s="526"/>
      <c r="X171" s="2893"/>
      <c r="Y171" s="2893"/>
      <c r="Z171" s="2893"/>
      <c r="AA171" s="2893"/>
      <c r="AB171" s="2893"/>
      <c r="AC171" s="2893"/>
      <c r="AD171" s="2893"/>
      <c r="AE171" s="2893"/>
      <c r="AF171" s="2893"/>
      <c r="AG171" s="2893"/>
    </row>
    <row r="172" spans="1:34" ht="15.75" customHeight="1">
      <c r="A172" s="252"/>
      <c r="B172" s="2903" t="s">
        <v>649</v>
      </c>
      <c r="C172" s="2903"/>
      <c r="D172" s="2903"/>
      <c r="E172" s="2903"/>
      <c r="F172" s="6"/>
      <c r="G172" s="65"/>
      <c r="H172" s="797"/>
      <c r="I172" s="710"/>
      <c r="J172" s="711"/>
      <c r="K172" s="562"/>
      <c r="L172" s="710"/>
      <c r="M172" s="711"/>
      <c r="N172" s="562">
        <v>50</v>
      </c>
      <c r="O172" s="710"/>
      <c r="P172" s="712"/>
      <c r="Q172" s="562">
        <v>25</v>
      </c>
      <c r="R172" s="762"/>
      <c r="S172" s="762"/>
      <c r="T172" s="562"/>
      <c r="U172" s="762"/>
      <c r="V172" s="762"/>
      <c r="W172" s="562"/>
      <c r="X172" s="2893"/>
      <c r="Y172" s="2893"/>
      <c r="Z172" s="2893"/>
      <c r="AA172" s="2893"/>
      <c r="AB172" s="2893"/>
      <c r="AC172" s="2893"/>
      <c r="AD172" s="2893"/>
      <c r="AE172" s="2893"/>
      <c r="AF172" s="2893"/>
      <c r="AG172" s="2893"/>
    </row>
    <row r="173" spans="1:34" ht="15.75" customHeight="1">
      <c r="A173" s="237"/>
      <c r="B173" s="2903" t="s">
        <v>415</v>
      </c>
      <c r="C173" s="2903"/>
      <c r="D173" s="2903"/>
      <c r="E173" s="2903"/>
      <c r="F173" s="6"/>
      <c r="G173" s="65"/>
      <c r="H173" s="798"/>
      <c r="I173" s="710"/>
      <c r="J173" s="711"/>
      <c r="K173" s="586"/>
      <c r="L173" s="710"/>
      <c r="M173" s="711"/>
      <c r="N173" s="586" t="s">
        <v>5</v>
      </c>
      <c r="O173" s="710"/>
      <c r="P173" s="712"/>
      <c r="Q173" s="586" t="s">
        <v>5</v>
      </c>
      <c r="R173" s="762"/>
      <c r="S173" s="762"/>
      <c r="T173" s="586"/>
      <c r="U173" s="762"/>
      <c r="V173" s="762"/>
      <c r="W173" s="586"/>
      <c r="X173" s="2893"/>
      <c r="Y173" s="2893"/>
      <c r="Z173" s="2893"/>
      <c r="AA173" s="2893"/>
      <c r="AB173" s="2893"/>
      <c r="AC173" s="2893"/>
      <c r="AD173" s="2893"/>
      <c r="AE173" s="2893"/>
      <c r="AF173" s="2893"/>
      <c r="AG173" s="2893"/>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903" t="s">
        <v>631</v>
      </c>
      <c r="C175" s="2903"/>
      <c r="D175" s="2903"/>
      <c r="E175" s="2903"/>
      <c r="F175" s="6"/>
      <c r="G175" s="65"/>
      <c r="H175" s="799"/>
      <c r="I175" s="710"/>
      <c r="J175" s="711"/>
      <c r="K175" s="628"/>
      <c r="L175" s="710"/>
      <c r="M175" s="711"/>
      <c r="N175" s="628"/>
      <c r="O175" s="710"/>
      <c r="P175" s="712"/>
      <c r="Q175" s="628">
        <v>0.2</v>
      </c>
      <c r="R175" s="762"/>
      <c r="S175" s="762"/>
      <c r="T175" s="628"/>
      <c r="U175" s="762"/>
      <c r="V175" s="762"/>
      <c r="W175" s="628"/>
      <c r="X175" s="2893"/>
      <c r="Y175" s="2893"/>
      <c r="Z175" s="2893"/>
      <c r="AA175" s="2893"/>
      <c r="AB175" s="2893"/>
      <c r="AC175" s="2893"/>
      <c r="AD175" s="2893"/>
      <c r="AE175" s="2893"/>
      <c r="AF175" s="2893"/>
      <c r="AG175" s="2893"/>
      <c r="AH175" s="9"/>
    </row>
    <row r="176" spans="1:34" ht="15.75" customHeight="1">
      <c r="A176" s="252"/>
      <c r="B176" s="2903" t="s">
        <v>633</v>
      </c>
      <c r="C176" s="2903"/>
      <c r="D176" s="2903"/>
      <c r="E176" s="2903"/>
      <c r="F176" s="6"/>
      <c r="G176" s="65"/>
      <c r="H176" s="480"/>
      <c r="I176" s="710"/>
      <c r="J176" s="711" t="s">
        <v>37</v>
      </c>
      <c r="K176" s="526"/>
      <c r="L176" s="710"/>
      <c r="M176" s="711"/>
      <c r="N176" s="526"/>
      <c r="O176" s="710"/>
      <c r="P176" s="712"/>
      <c r="Q176" s="526" t="s">
        <v>137</v>
      </c>
      <c r="R176" s="762"/>
      <c r="S176" s="762"/>
      <c r="T176" s="526"/>
      <c r="U176" s="762"/>
      <c r="V176" s="762"/>
      <c r="W176" s="526"/>
      <c r="X176" s="2893"/>
      <c r="Y176" s="2893"/>
      <c r="Z176" s="2893"/>
      <c r="AA176" s="2893"/>
      <c r="AB176" s="2893"/>
      <c r="AC176" s="2893"/>
      <c r="AD176" s="2893"/>
      <c r="AE176" s="2893"/>
      <c r="AF176" s="2893"/>
      <c r="AG176" s="2893"/>
    </row>
    <row r="177" spans="1:33" ht="15.75" customHeight="1">
      <c r="A177" s="252"/>
      <c r="B177" s="2903" t="s">
        <v>627</v>
      </c>
      <c r="C177" s="2903"/>
      <c r="D177" s="2903"/>
      <c r="E177" s="2903"/>
      <c r="F177" s="6"/>
      <c r="G177" s="63"/>
      <c r="H177" s="794"/>
      <c r="I177" s="748"/>
      <c r="J177" s="711"/>
      <c r="K177" s="561"/>
      <c r="L177" s="748"/>
      <c r="M177" s="711"/>
      <c r="N177" s="561"/>
      <c r="O177" s="710"/>
      <c r="P177" s="582"/>
      <c r="Q177" s="561"/>
      <c r="R177" s="762"/>
      <c r="S177" s="762"/>
      <c r="T177" s="561"/>
      <c r="U177" s="762"/>
      <c r="V177" s="762"/>
      <c r="W177" s="561"/>
      <c r="X177" s="2893"/>
      <c r="Y177" s="2893"/>
      <c r="Z177" s="2893"/>
      <c r="AA177" s="2893"/>
      <c r="AB177" s="2893"/>
      <c r="AC177" s="2893"/>
      <c r="AD177" s="2893"/>
      <c r="AE177" s="2893"/>
      <c r="AF177" s="2893"/>
      <c r="AG177" s="2893"/>
    </row>
    <row r="178" spans="1:33" ht="15.75" customHeight="1">
      <c r="A178" s="252"/>
      <c r="B178" s="2904" t="s">
        <v>628</v>
      </c>
      <c r="C178" s="2904"/>
      <c r="D178" s="2904"/>
      <c r="E178" s="2904"/>
      <c r="F178" s="6"/>
      <c r="G178" s="63"/>
      <c r="H178" s="480"/>
      <c r="I178" s="748"/>
      <c r="J178" s="711"/>
      <c r="K178" s="526"/>
      <c r="L178" s="748"/>
      <c r="M178" s="711"/>
      <c r="N178" s="526"/>
      <c r="O178" s="710"/>
      <c r="P178" s="582"/>
      <c r="Q178" s="526"/>
      <c r="R178" s="762"/>
      <c r="S178" s="762"/>
      <c r="T178" s="526"/>
      <c r="U178" s="762"/>
      <c r="V178" s="762"/>
      <c r="W178" s="526"/>
      <c r="X178" s="2893"/>
      <c r="Y178" s="2893"/>
      <c r="Z178" s="2893"/>
      <c r="AA178" s="2893"/>
      <c r="AB178" s="2893"/>
      <c r="AC178" s="2893"/>
      <c r="AD178" s="2893"/>
      <c r="AE178" s="2893"/>
      <c r="AF178" s="2893"/>
      <c r="AG178" s="2893"/>
    </row>
    <row r="179" spans="1:33" ht="33" customHeight="1">
      <c r="A179" s="252"/>
      <c r="B179" s="2904" t="s">
        <v>629</v>
      </c>
      <c r="C179" s="2904"/>
      <c r="D179" s="2904"/>
      <c r="E179" s="2904"/>
      <c r="F179" s="6"/>
      <c r="G179" s="63"/>
      <c r="H179" s="795"/>
      <c r="I179" s="748"/>
      <c r="J179" s="711"/>
      <c r="K179" s="568"/>
      <c r="L179" s="748"/>
      <c r="M179" s="711"/>
      <c r="N179" s="568"/>
      <c r="O179" s="710"/>
      <c r="P179" s="582"/>
      <c r="Q179" s="568"/>
      <c r="R179" s="762"/>
      <c r="S179" s="762"/>
      <c r="T179" s="568"/>
      <c r="U179" s="762"/>
      <c r="V179" s="762"/>
      <c r="W179" s="568"/>
      <c r="X179" s="2893"/>
      <c r="Y179" s="2893"/>
      <c r="Z179" s="2893"/>
      <c r="AA179" s="2893"/>
      <c r="AB179" s="2893"/>
      <c r="AC179" s="2893"/>
      <c r="AD179" s="2893"/>
      <c r="AE179" s="2893"/>
      <c r="AF179" s="2893"/>
      <c r="AG179" s="2893"/>
    </row>
    <row r="180" spans="1:33" ht="15.75" customHeight="1">
      <c r="A180" s="252"/>
      <c r="B180" s="2903" t="s">
        <v>632</v>
      </c>
      <c r="C180" s="2903"/>
      <c r="D180" s="2903"/>
      <c r="E180" s="2903"/>
      <c r="F180" s="6"/>
      <c r="G180" s="65"/>
      <c r="H180" s="480"/>
      <c r="I180" s="710"/>
      <c r="J180" s="711">
        <v>4</v>
      </c>
      <c r="K180" s="526"/>
      <c r="L180" s="710"/>
      <c r="M180" s="711"/>
      <c r="N180" s="526"/>
      <c r="O180" s="710"/>
      <c r="P180" s="712"/>
      <c r="Q180" s="526"/>
      <c r="R180" s="762"/>
      <c r="S180" s="762"/>
      <c r="T180" s="526"/>
      <c r="U180" s="762"/>
      <c r="V180" s="762"/>
      <c r="W180" s="526"/>
      <c r="X180" s="2893"/>
      <c r="Y180" s="2893"/>
      <c r="Z180" s="2893"/>
      <c r="AA180" s="2893"/>
      <c r="AB180" s="2893"/>
      <c r="AC180" s="2893"/>
      <c r="AD180" s="2893"/>
      <c r="AE180" s="2893"/>
      <c r="AF180" s="2893"/>
      <c r="AG180" s="2893"/>
    </row>
    <row r="181" spans="1:33" ht="34.5" customHeight="1">
      <c r="A181" s="252"/>
      <c r="B181" s="2903" t="s">
        <v>1551</v>
      </c>
      <c r="C181" s="2903"/>
      <c r="D181" s="2903"/>
      <c r="E181" s="2903"/>
      <c r="F181" s="6"/>
      <c r="G181" s="65"/>
      <c r="H181" s="796"/>
      <c r="I181" s="710"/>
      <c r="J181" s="711"/>
      <c r="K181" s="619"/>
      <c r="L181" s="710"/>
      <c r="M181" s="711"/>
      <c r="N181" s="619"/>
      <c r="O181" s="710"/>
      <c r="P181" s="712"/>
      <c r="Q181" s="619">
        <v>0</v>
      </c>
      <c r="R181" s="762"/>
      <c r="S181" s="762"/>
      <c r="T181" s="619"/>
      <c r="U181" s="762"/>
      <c r="V181" s="762"/>
      <c r="W181" s="619"/>
      <c r="X181" s="2893"/>
      <c r="Y181" s="2893"/>
      <c r="Z181" s="2893"/>
      <c r="AA181" s="2893"/>
      <c r="AB181" s="2893"/>
      <c r="AC181" s="2893"/>
      <c r="AD181" s="2893"/>
      <c r="AE181" s="2893"/>
      <c r="AF181" s="2893"/>
      <c r="AG181" s="2893"/>
    </row>
    <row r="182" spans="1:33" ht="34.5" customHeight="1">
      <c r="A182" s="252"/>
      <c r="B182" s="2903" t="s">
        <v>1552</v>
      </c>
      <c r="C182" s="2903"/>
      <c r="D182" s="2903"/>
      <c r="E182" s="2903"/>
      <c r="F182" s="6"/>
      <c r="G182" s="65"/>
      <c r="H182" s="796"/>
      <c r="I182" s="710"/>
      <c r="J182" s="711"/>
      <c r="K182" s="619"/>
      <c r="L182" s="710"/>
      <c r="M182" s="711"/>
      <c r="N182" s="619"/>
      <c r="O182" s="710"/>
      <c r="P182" s="712"/>
      <c r="Q182" s="619">
        <v>0</v>
      </c>
      <c r="R182" s="762"/>
      <c r="S182" s="762"/>
      <c r="T182" s="619"/>
      <c r="U182" s="762"/>
      <c r="V182" s="762"/>
      <c r="W182" s="619"/>
      <c r="X182" s="2893"/>
      <c r="Y182" s="2893"/>
      <c r="Z182" s="2893"/>
      <c r="AA182" s="2893"/>
      <c r="AB182" s="2893"/>
      <c r="AC182" s="2893"/>
      <c r="AD182" s="2893"/>
      <c r="AE182" s="2893"/>
      <c r="AF182" s="2893"/>
      <c r="AG182" s="2893"/>
    </row>
    <row r="183" spans="1:33" ht="33" customHeight="1">
      <c r="A183" s="252"/>
      <c r="B183" s="2903" t="s">
        <v>331</v>
      </c>
      <c r="C183" s="2903"/>
      <c r="D183" s="2903"/>
      <c r="E183" s="2903"/>
      <c r="F183" s="6"/>
      <c r="G183" s="65"/>
      <c r="H183" s="480"/>
      <c r="I183" s="710"/>
      <c r="J183" s="711"/>
      <c r="K183" s="526"/>
      <c r="L183" s="710"/>
      <c r="M183" s="711"/>
      <c r="N183" s="526"/>
      <c r="O183" s="710"/>
      <c r="P183" s="712"/>
      <c r="Q183" s="526" t="s">
        <v>132</v>
      </c>
      <c r="R183" s="762"/>
      <c r="S183" s="762"/>
      <c r="T183" s="526"/>
      <c r="U183" s="762"/>
      <c r="V183" s="762"/>
      <c r="W183" s="526"/>
      <c r="X183" s="2893"/>
      <c r="Y183" s="2893"/>
      <c r="Z183" s="2893"/>
      <c r="AA183" s="2893"/>
      <c r="AB183" s="2893"/>
      <c r="AC183" s="2893"/>
      <c r="AD183" s="2893"/>
      <c r="AE183" s="2893"/>
      <c r="AF183" s="2893"/>
      <c r="AG183" s="2893"/>
    </row>
    <row r="184" spans="1:33" ht="15.75" customHeight="1">
      <c r="A184" s="252"/>
      <c r="B184" s="2904" t="s">
        <v>332</v>
      </c>
      <c r="C184" s="2904"/>
      <c r="D184" s="2904"/>
      <c r="E184" s="2904"/>
      <c r="F184" s="6"/>
      <c r="G184" s="65"/>
      <c r="H184" s="480"/>
      <c r="I184" s="748"/>
      <c r="J184" s="711">
        <v>2</v>
      </c>
      <c r="K184" s="526"/>
      <c r="L184" s="748"/>
      <c r="M184" s="711"/>
      <c r="N184" s="526"/>
      <c r="O184" s="710"/>
      <c r="P184" s="582"/>
      <c r="Q184" s="526"/>
      <c r="R184" s="762"/>
      <c r="S184" s="762"/>
      <c r="T184" s="526"/>
      <c r="U184" s="762"/>
      <c r="V184" s="762"/>
      <c r="W184" s="526"/>
      <c r="X184" s="2893"/>
      <c r="Y184" s="2893"/>
      <c r="Z184" s="2893"/>
      <c r="AA184" s="2893"/>
      <c r="AB184" s="2893"/>
      <c r="AC184" s="2893"/>
      <c r="AD184" s="2893"/>
      <c r="AE184" s="2893"/>
      <c r="AF184" s="2893"/>
      <c r="AG184" s="2893"/>
    </row>
    <row r="185" spans="1:33" ht="15.75" customHeight="1">
      <c r="A185" s="252"/>
      <c r="B185" s="2903" t="s">
        <v>333</v>
      </c>
      <c r="C185" s="2903"/>
      <c r="D185" s="2903"/>
      <c r="E185" s="2903"/>
      <c r="F185" s="6"/>
      <c r="G185" s="65"/>
      <c r="H185" s="480"/>
      <c r="I185" s="710"/>
      <c r="J185" s="711"/>
      <c r="K185" s="526"/>
      <c r="L185" s="710"/>
      <c r="M185" s="711"/>
      <c r="N185" s="526"/>
      <c r="O185" s="710"/>
      <c r="P185" s="712"/>
      <c r="Q185" s="526" t="s">
        <v>20</v>
      </c>
      <c r="R185" s="762"/>
      <c r="S185" s="762"/>
      <c r="T185" s="526"/>
      <c r="U185" s="762"/>
      <c r="V185" s="762"/>
      <c r="W185" s="526"/>
      <c r="X185" s="2893"/>
      <c r="Y185" s="2893"/>
      <c r="Z185" s="2893"/>
      <c r="AA185" s="2893"/>
      <c r="AB185" s="2893"/>
      <c r="AC185" s="2893"/>
      <c r="AD185" s="2893"/>
      <c r="AE185" s="2893"/>
      <c r="AF185" s="2893"/>
      <c r="AG185" s="2893"/>
    </row>
    <row r="186" spans="1:33" ht="15.75" customHeight="1">
      <c r="A186" s="252"/>
      <c r="B186" s="2903" t="s">
        <v>334</v>
      </c>
      <c r="C186" s="2903"/>
      <c r="D186" s="2903"/>
      <c r="E186" s="2903"/>
      <c r="F186" s="6"/>
      <c r="G186" s="65"/>
      <c r="H186" s="480"/>
      <c r="I186" s="710"/>
      <c r="J186" s="711"/>
      <c r="K186" s="526"/>
      <c r="L186" s="710"/>
      <c r="M186" s="711"/>
      <c r="N186" s="526"/>
      <c r="O186" s="710"/>
      <c r="P186" s="712"/>
      <c r="Q186" s="526">
        <v>0</v>
      </c>
      <c r="R186" s="762"/>
      <c r="S186" s="762"/>
      <c r="T186" s="526"/>
      <c r="U186" s="762"/>
      <c r="V186" s="762"/>
      <c r="W186" s="526"/>
      <c r="X186" s="2893"/>
      <c r="Y186" s="2893"/>
      <c r="Z186" s="2893"/>
      <c r="AA186" s="2893"/>
      <c r="AB186" s="2893"/>
      <c r="AC186" s="2893"/>
      <c r="AD186" s="2893"/>
      <c r="AE186" s="2893"/>
      <c r="AF186" s="2893"/>
      <c r="AG186" s="2893"/>
    </row>
    <row r="187" spans="1:33" ht="15.75" customHeight="1">
      <c r="A187" s="252"/>
      <c r="B187" s="2904" t="s">
        <v>335</v>
      </c>
      <c r="C187" s="2904"/>
      <c r="D187" s="2904"/>
      <c r="E187" s="2904"/>
      <c r="F187" s="6"/>
      <c r="G187" s="65"/>
      <c r="H187" s="480"/>
      <c r="I187" s="710"/>
      <c r="J187" s="711"/>
      <c r="K187" s="526"/>
      <c r="L187" s="710"/>
      <c r="M187" s="711"/>
      <c r="N187" s="526"/>
      <c r="O187" s="710"/>
      <c r="P187" s="712"/>
      <c r="Q187" s="526"/>
      <c r="R187" s="762"/>
      <c r="S187" s="762"/>
      <c r="T187" s="526"/>
      <c r="U187" s="762"/>
      <c r="V187" s="762"/>
      <c r="W187" s="526"/>
      <c r="X187" s="2893"/>
      <c r="Y187" s="2893"/>
      <c r="Z187" s="2893"/>
      <c r="AA187" s="2893"/>
      <c r="AB187" s="2893"/>
      <c r="AC187" s="2893"/>
      <c r="AD187" s="2893"/>
      <c r="AE187" s="2893"/>
      <c r="AF187" s="2893"/>
      <c r="AG187" s="2893"/>
    </row>
    <row r="188" spans="1:33" ht="15.75" customHeight="1">
      <c r="A188" s="252"/>
      <c r="B188" s="2903" t="s">
        <v>336</v>
      </c>
      <c r="C188" s="2903"/>
      <c r="D188" s="2903"/>
      <c r="E188" s="2903"/>
      <c r="F188" s="6"/>
      <c r="G188" s="65"/>
      <c r="H188" s="480"/>
      <c r="I188" s="710"/>
      <c r="J188" s="711"/>
      <c r="K188" s="526"/>
      <c r="L188" s="710"/>
      <c r="M188" s="711"/>
      <c r="N188" s="526"/>
      <c r="O188" s="710"/>
      <c r="P188" s="712"/>
      <c r="Q188" s="526">
        <v>90</v>
      </c>
      <c r="R188" s="762"/>
      <c r="S188" s="762"/>
      <c r="T188" s="526"/>
      <c r="U188" s="762"/>
      <c r="V188" s="762"/>
      <c r="W188" s="526"/>
      <c r="X188" s="2893"/>
      <c r="Y188" s="2893"/>
      <c r="Z188" s="2893"/>
      <c r="AA188" s="2893"/>
      <c r="AB188" s="2893"/>
      <c r="AC188" s="2893"/>
      <c r="AD188" s="2893"/>
      <c r="AE188" s="2893"/>
      <c r="AF188" s="2893"/>
      <c r="AG188" s="2893"/>
    </row>
    <row r="189" spans="1:33" ht="33" customHeight="1">
      <c r="A189" s="252"/>
      <c r="B189" s="2903" t="s">
        <v>337</v>
      </c>
      <c r="C189" s="2903"/>
      <c r="D189" s="2903"/>
      <c r="E189" s="2903"/>
      <c r="F189" s="6"/>
      <c r="G189" s="65"/>
      <c r="H189" s="480"/>
      <c r="I189" s="710"/>
      <c r="J189" s="711"/>
      <c r="K189" s="526"/>
      <c r="L189" s="710"/>
      <c r="M189" s="711"/>
      <c r="N189" s="526"/>
      <c r="O189" s="710"/>
      <c r="P189" s="712"/>
      <c r="Q189" s="526">
        <v>0</v>
      </c>
      <c r="R189" s="762"/>
      <c r="S189" s="762"/>
      <c r="T189" s="526"/>
      <c r="U189" s="762"/>
      <c r="V189" s="762"/>
      <c r="W189" s="526"/>
      <c r="X189" s="2893"/>
      <c r="Y189" s="2893"/>
      <c r="Z189" s="2893"/>
      <c r="AA189" s="2893"/>
      <c r="AB189" s="2893"/>
      <c r="AC189" s="2893"/>
      <c r="AD189" s="2893"/>
      <c r="AE189" s="2893"/>
      <c r="AF189" s="2893"/>
      <c r="AG189" s="2893"/>
    </row>
    <row r="190" spans="1:33" ht="33" customHeight="1">
      <c r="A190" s="252"/>
      <c r="B190" s="2903" t="s">
        <v>338</v>
      </c>
      <c r="C190" s="2903"/>
      <c r="D190" s="2903"/>
      <c r="E190" s="2903"/>
      <c r="F190" s="6"/>
      <c r="G190" s="65"/>
      <c r="H190" s="480"/>
      <c r="I190" s="710"/>
      <c r="J190" s="711"/>
      <c r="K190" s="526"/>
      <c r="L190" s="710"/>
      <c r="M190" s="711"/>
      <c r="N190" s="526"/>
      <c r="O190" s="710"/>
      <c r="P190" s="712"/>
      <c r="Q190" s="526">
        <v>0</v>
      </c>
      <c r="R190" s="762"/>
      <c r="S190" s="762"/>
      <c r="T190" s="526"/>
      <c r="U190" s="762"/>
      <c r="V190" s="762"/>
      <c r="W190" s="526"/>
      <c r="X190" s="2893"/>
      <c r="Y190" s="2893"/>
      <c r="Z190" s="2893"/>
      <c r="AA190" s="2893"/>
      <c r="AB190" s="2893"/>
      <c r="AC190" s="2893"/>
      <c r="AD190" s="2893"/>
      <c r="AE190" s="2893"/>
      <c r="AF190" s="2893"/>
      <c r="AG190" s="2893"/>
    </row>
    <row r="191" spans="1:33" ht="15.75" customHeight="1">
      <c r="A191" s="252"/>
      <c r="B191" s="2903" t="s">
        <v>648</v>
      </c>
      <c r="C191" s="2903"/>
      <c r="D191" s="2903"/>
      <c r="E191" s="2903"/>
      <c r="F191" s="6"/>
      <c r="G191" s="65"/>
      <c r="H191" s="480"/>
      <c r="I191" s="710"/>
      <c r="J191" s="711"/>
      <c r="K191" s="526"/>
      <c r="L191" s="710"/>
      <c r="M191" s="711"/>
      <c r="N191" s="526"/>
      <c r="O191" s="710"/>
      <c r="P191" s="712"/>
      <c r="Q191" s="526"/>
      <c r="R191" s="762"/>
      <c r="S191" s="762"/>
      <c r="T191" s="526"/>
      <c r="U191" s="762"/>
      <c r="V191" s="762"/>
      <c r="W191" s="526"/>
      <c r="X191" s="2893"/>
      <c r="Y191" s="2893"/>
      <c r="Z191" s="2893"/>
      <c r="AA191" s="2893"/>
      <c r="AB191" s="2893"/>
      <c r="AC191" s="2893"/>
      <c r="AD191" s="2893"/>
      <c r="AE191" s="2893"/>
      <c r="AF191" s="2893"/>
      <c r="AG191" s="2893"/>
    </row>
    <row r="192" spans="1:33" ht="15.75" customHeight="1">
      <c r="A192" s="252"/>
      <c r="B192" s="2903" t="s">
        <v>649</v>
      </c>
      <c r="C192" s="2903"/>
      <c r="D192" s="2903"/>
      <c r="E192" s="2903"/>
      <c r="F192" s="6"/>
      <c r="G192" s="65"/>
      <c r="H192" s="797"/>
      <c r="I192" s="710"/>
      <c r="J192" s="711"/>
      <c r="K192" s="562"/>
      <c r="L192" s="710"/>
      <c r="M192" s="711"/>
      <c r="N192" s="562"/>
      <c r="O192" s="710"/>
      <c r="P192" s="712"/>
      <c r="Q192" s="562"/>
      <c r="R192" s="762"/>
      <c r="S192" s="762"/>
      <c r="T192" s="562"/>
      <c r="U192" s="762"/>
      <c r="V192" s="762"/>
      <c r="W192" s="562"/>
      <c r="X192" s="2893"/>
      <c r="Y192" s="2893"/>
      <c r="Z192" s="2893"/>
      <c r="AA192" s="2893"/>
      <c r="AB192" s="2893"/>
      <c r="AC192" s="2893"/>
      <c r="AD192" s="2893"/>
      <c r="AE192" s="2893"/>
      <c r="AF192" s="2893"/>
      <c r="AG192" s="2893"/>
    </row>
    <row r="193" spans="1:33" ht="15.75" customHeight="1">
      <c r="A193" s="237"/>
      <c r="B193" s="2903" t="s">
        <v>415</v>
      </c>
      <c r="C193" s="2903"/>
      <c r="D193" s="2903"/>
      <c r="E193" s="2903"/>
      <c r="F193" s="6"/>
      <c r="G193" s="65"/>
      <c r="H193" s="800"/>
      <c r="I193" s="741"/>
      <c r="J193" s="742"/>
      <c r="K193" s="766"/>
      <c r="L193" s="741"/>
      <c r="M193" s="742"/>
      <c r="N193" s="766"/>
      <c r="O193" s="741"/>
      <c r="P193" s="767"/>
      <c r="Q193" s="766" t="s">
        <v>5</v>
      </c>
      <c r="R193" s="768"/>
      <c r="S193" s="768"/>
      <c r="T193" s="766"/>
      <c r="U193" s="768"/>
      <c r="V193" s="768"/>
      <c r="W193" s="766"/>
      <c r="X193" s="2893"/>
      <c r="Y193" s="2893"/>
      <c r="Z193" s="2893"/>
      <c r="AA193" s="2893"/>
      <c r="AB193" s="2893"/>
      <c r="AC193" s="2893"/>
      <c r="AD193" s="2893"/>
      <c r="AE193" s="2893"/>
      <c r="AF193" s="2893"/>
      <c r="AG193" s="2893"/>
    </row>
    <row r="194" spans="1:33" ht="15.75" customHeight="1">
      <c r="A194" s="237"/>
      <c r="B194" s="6"/>
      <c r="C194" s="110"/>
      <c r="D194" s="110"/>
      <c r="E194" s="110"/>
      <c r="F194" s="6"/>
      <c r="G194" s="121"/>
      <c r="H194" s="121"/>
      <c r="I194" s="6"/>
      <c r="J194" s="121"/>
      <c r="K194" s="121"/>
      <c r="L194" s="6"/>
      <c r="M194" s="121"/>
      <c r="N194" s="121"/>
      <c r="O194" s="6"/>
      <c r="P194" s="1791"/>
      <c r="Q194" s="121"/>
      <c r="R194" s="1772"/>
      <c r="S194" s="1772"/>
      <c r="T194" s="121"/>
      <c r="U194" s="1772"/>
      <c r="V194" s="1772"/>
      <c r="W194" s="121"/>
      <c r="X194" s="2906"/>
      <c r="Y194" s="2906"/>
      <c r="Z194" s="2906"/>
      <c r="AA194" s="2906"/>
      <c r="AB194" s="2906"/>
      <c r="AC194" s="2906"/>
      <c r="AD194" s="2906"/>
      <c r="AE194" s="2906"/>
      <c r="AF194" s="2906"/>
      <c r="AG194" s="2906"/>
    </row>
    <row r="195" spans="1:33" ht="22.5" customHeight="1">
      <c r="A195" s="2907" t="s">
        <v>636</v>
      </c>
      <c r="B195" s="2907"/>
      <c r="C195" s="2907"/>
      <c r="D195" s="2907"/>
      <c r="E195" s="2907"/>
      <c r="F195" s="2907"/>
      <c r="G195" s="2907"/>
      <c r="H195" s="693"/>
      <c r="I195" s="597"/>
      <c r="J195" s="594"/>
      <c r="K195" s="693"/>
      <c r="L195" s="2908"/>
      <c r="M195" s="2908"/>
      <c r="N195" s="669"/>
      <c r="O195" s="594"/>
      <c r="P195" s="670"/>
      <c r="Q195" s="671"/>
      <c r="R195" s="682"/>
      <c r="S195" s="682"/>
      <c r="T195" s="682"/>
      <c r="U195" s="682"/>
      <c r="V195" s="682"/>
      <c r="W195" s="682"/>
      <c r="X195" s="2909"/>
      <c r="Y195" s="2909"/>
      <c r="Z195" s="2909"/>
      <c r="AA195" s="2909"/>
      <c r="AB195" s="2909"/>
      <c r="AC195" s="2909"/>
      <c r="AD195" s="2909"/>
      <c r="AE195" s="2909"/>
      <c r="AF195" s="2909"/>
      <c r="AG195" s="2909"/>
    </row>
    <row r="196" spans="1:33" ht="18.649999999999999" hidden="1" customHeight="1">
      <c r="A196" s="1"/>
      <c r="B196" s="51"/>
      <c r="C196" s="110"/>
      <c r="D196" s="110"/>
      <c r="E196" s="110"/>
      <c r="G196" s="1773"/>
      <c r="H196" s="60"/>
      <c r="I196" s="6"/>
      <c r="J196" s="65"/>
      <c r="K196" s="60"/>
      <c r="L196" s="6"/>
      <c r="M196" s="65"/>
      <c r="N196" s="60"/>
      <c r="P196" s="66"/>
      <c r="Q196" s="1788"/>
      <c r="R196" s="1772"/>
      <c r="S196" s="1772"/>
      <c r="T196" s="1788"/>
      <c r="U196" s="1772"/>
      <c r="V196" s="1772"/>
      <c r="W196" s="1788"/>
      <c r="X196" s="2910"/>
      <c r="Y196" s="2910"/>
      <c r="Z196" s="2910"/>
      <c r="AA196" s="2910"/>
      <c r="AB196" s="2910"/>
      <c r="AC196" s="2910"/>
      <c r="AD196" s="2910"/>
      <c r="AE196" s="2910"/>
      <c r="AF196" s="2910"/>
      <c r="AG196" s="2910"/>
    </row>
    <row r="197" spans="1:33" ht="14.9" customHeight="1">
      <c r="A197" s="252"/>
      <c r="B197" s="2903" t="s">
        <v>242</v>
      </c>
      <c r="C197" s="2903"/>
      <c r="D197" s="2903"/>
      <c r="E197" s="2903"/>
      <c r="F197" s="6"/>
      <c r="G197" s="65"/>
      <c r="H197" s="801"/>
      <c r="I197" s="710"/>
      <c r="J197" s="711"/>
      <c r="K197" s="588"/>
      <c r="L197" s="710"/>
      <c r="M197" s="711"/>
      <c r="N197" s="588"/>
      <c r="O197" s="710"/>
      <c r="P197" s="712"/>
      <c r="Q197" s="588"/>
      <c r="R197" s="762"/>
      <c r="S197" s="762"/>
      <c r="T197" s="588"/>
      <c r="U197" s="762"/>
      <c r="V197" s="762"/>
      <c r="W197" s="588"/>
      <c r="X197" s="2893"/>
      <c r="Y197" s="2893"/>
      <c r="Z197" s="2893"/>
      <c r="AA197" s="2893"/>
      <c r="AB197" s="2893"/>
      <c r="AC197" s="2893"/>
      <c r="AD197" s="2893"/>
      <c r="AE197" s="2893"/>
      <c r="AF197" s="2893"/>
      <c r="AG197" s="2893"/>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911"/>
      <c r="Y198" s="2911"/>
      <c r="Z198" s="2911"/>
      <c r="AA198" s="2911"/>
      <c r="AB198" s="2911"/>
      <c r="AC198" s="2911"/>
      <c r="AD198" s="2911"/>
      <c r="AE198" s="2911"/>
      <c r="AF198" s="2911"/>
      <c r="AG198" s="2911"/>
    </row>
    <row r="199" spans="1:33" ht="18.649999999999999" customHeight="1">
      <c r="A199" s="252"/>
      <c r="B199" s="2903" t="s">
        <v>625</v>
      </c>
      <c r="C199" s="2903"/>
      <c r="D199" s="2903"/>
      <c r="E199" s="2903"/>
      <c r="F199" s="6"/>
      <c r="G199" s="65"/>
      <c r="H199" s="799"/>
      <c r="I199" s="710"/>
      <c r="J199" s="711"/>
      <c r="K199" s="628"/>
      <c r="L199" s="710"/>
      <c r="M199" s="711"/>
      <c r="N199" s="628"/>
      <c r="O199" s="710"/>
      <c r="P199" s="712"/>
      <c r="Q199" s="628"/>
      <c r="R199" s="762"/>
      <c r="S199" s="762"/>
      <c r="T199" s="628"/>
      <c r="U199" s="762"/>
      <c r="V199" s="762"/>
      <c r="W199" s="628"/>
      <c r="X199" s="2893"/>
      <c r="Y199" s="2893"/>
      <c r="Z199" s="2893"/>
      <c r="AA199" s="2893"/>
      <c r="AB199" s="2893"/>
      <c r="AC199" s="2893"/>
      <c r="AD199" s="2893"/>
      <c r="AE199" s="2893"/>
      <c r="AF199" s="2893"/>
      <c r="AG199" s="2893"/>
    </row>
    <row r="200" spans="1:33" ht="18.649999999999999" customHeight="1">
      <c r="A200" s="252"/>
      <c r="B200" s="2903" t="s">
        <v>626</v>
      </c>
      <c r="C200" s="2903"/>
      <c r="D200" s="2903"/>
      <c r="E200" s="2903"/>
      <c r="F200" s="6"/>
      <c r="G200" s="65"/>
      <c r="H200" s="480"/>
      <c r="I200" s="710"/>
      <c r="J200" s="711"/>
      <c r="K200" s="526"/>
      <c r="L200" s="710"/>
      <c r="M200" s="711"/>
      <c r="N200" s="526"/>
      <c r="O200" s="710"/>
      <c r="P200" s="712"/>
      <c r="Q200" s="526"/>
      <c r="R200" s="762"/>
      <c r="S200" s="762"/>
      <c r="T200" s="526"/>
      <c r="U200" s="762"/>
      <c r="V200" s="762"/>
      <c r="W200" s="526"/>
      <c r="X200" s="2893"/>
      <c r="Y200" s="2893"/>
      <c r="Z200" s="2893"/>
      <c r="AA200" s="2893"/>
      <c r="AB200" s="2893"/>
      <c r="AC200" s="2893"/>
      <c r="AD200" s="2893"/>
      <c r="AE200" s="2893"/>
      <c r="AF200" s="2893"/>
      <c r="AG200" s="2893"/>
    </row>
    <row r="201" spans="1:33" ht="28.5" customHeight="1">
      <c r="A201" s="252"/>
      <c r="B201" s="2903" t="s">
        <v>627</v>
      </c>
      <c r="C201" s="2903"/>
      <c r="D201" s="2903"/>
      <c r="E201" s="2903"/>
      <c r="F201" s="6"/>
      <c r="G201" s="65"/>
      <c r="H201" s="794"/>
      <c r="I201" s="710"/>
      <c r="J201" s="711"/>
      <c r="K201" s="561"/>
      <c r="L201" s="710"/>
      <c r="M201" s="711"/>
      <c r="N201" s="561"/>
      <c r="O201" s="710"/>
      <c r="P201" s="712"/>
      <c r="Q201" s="561"/>
      <c r="R201" s="762"/>
      <c r="S201" s="762"/>
      <c r="T201" s="561"/>
      <c r="U201" s="762"/>
      <c r="V201" s="762"/>
      <c r="W201" s="561"/>
      <c r="X201" s="2893"/>
      <c r="Y201" s="2893"/>
      <c r="Z201" s="2893"/>
      <c r="AA201" s="2893"/>
      <c r="AB201" s="2893"/>
      <c r="AC201" s="2893"/>
      <c r="AD201" s="2893"/>
      <c r="AE201" s="2893"/>
      <c r="AF201" s="2893"/>
      <c r="AG201" s="2893"/>
    </row>
    <row r="202" spans="1:33" ht="28.5" customHeight="1">
      <c r="A202" s="252"/>
      <c r="B202" s="2904" t="s">
        <v>628</v>
      </c>
      <c r="C202" s="2904"/>
      <c r="D202" s="2904"/>
      <c r="E202" s="2904"/>
      <c r="F202" s="6"/>
      <c r="G202" s="65"/>
      <c r="H202" s="480"/>
      <c r="I202" s="710"/>
      <c r="J202" s="711"/>
      <c r="K202" s="526"/>
      <c r="L202" s="710"/>
      <c r="M202" s="711"/>
      <c r="N202" s="526"/>
      <c r="O202" s="710"/>
      <c r="P202" s="712"/>
      <c r="Q202" s="526"/>
      <c r="R202" s="762"/>
      <c r="S202" s="762"/>
      <c r="T202" s="526"/>
      <c r="U202" s="762"/>
      <c r="V202" s="762"/>
      <c r="W202" s="526"/>
      <c r="X202" s="2893"/>
      <c r="Y202" s="2893"/>
      <c r="Z202" s="2893"/>
      <c r="AA202" s="2893"/>
      <c r="AB202" s="2893"/>
      <c r="AC202" s="2893"/>
      <c r="AD202" s="2893"/>
      <c r="AE202" s="2893"/>
      <c r="AF202" s="2893"/>
      <c r="AG202" s="2893"/>
    </row>
    <row r="203" spans="1:33" ht="32.9" customHeight="1">
      <c r="A203" s="252"/>
      <c r="B203" s="2904" t="s">
        <v>629</v>
      </c>
      <c r="C203" s="2904"/>
      <c r="D203" s="2904"/>
      <c r="E203" s="2904"/>
      <c r="F203" s="6"/>
      <c r="G203" s="65"/>
      <c r="H203" s="795"/>
      <c r="I203" s="710"/>
      <c r="J203" s="711"/>
      <c r="K203" s="568"/>
      <c r="L203" s="710"/>
      <c r="M203" s="711"/>
      <c r="N203" s="568"/>
      <c r="O203" s="710"/>
      <c r="P203" s="712"/>
      <c r="Q203" s="568"/>
      <c r="R203" s="762"/>
      <c r="S203" s="762"/>
      <c r="T203" s="568"/>
      <c r="U203" s="762"/>
      <c r="V203" s="762"/>
      <c r="W203" s="568"/>
      <c r="X203" s="2893"/>
      <c r="Y203" s="2893"/>
      <c r="Z203" s="2893"/>
      <c r="AA203" s="2893"/>
      <c r="AB203" s="2893"/>
      <c r="AC203" s="2893"/>
      <c r="AD203" s="2893"/>
      <c r="AE203" s="2893"/>
      <c r="AF203" s="2893"/>
      <c r="AG203" s="2893"/>
    </row>
    <row r="204" spans="1:33" ht="18.649999999999999" customHeight="1">
      <c r="A204" s="252"/>
      <c r="B204" s="2903" t="s">
        <v>630</v>
      </c>
      <c r="C204" s="2903"/>
      <c r="D204" s="2903"/>
      <c r="E204" s="2903"/>
      <c r="F204" s="6"/>
      <c r="G204" s="65"/>
      <c r="H204" s="480"/>
      <c r="I204" s="710"/>
      <c r="J204" s="711"/>
      <c r="K204" s="526"/>
      <c r="L204" s="710"/>
      <c r="M204" s="711"/>
      <c r="N204" s="526"/>
      <c r="O204" s="710"/>
      <c r="P204" s="712"/>
      <c r="Q204" s="526"/>
      <c r="R204" s="762"/>
      <c r="S204" s="762"/>
      <c r="T204" s="526"/>
      <c r="U204" s="762"/>
      <c r="V204" s="762"/>
      <c r="W204" s="526"/>
      <c r="X204" s="2893"/>
      <c r="Y204" s="2893"/>
      <c r="Z204" s="2893"/>
      <c r="AA204" s="2893"/>
      <c r="AB204" s="2893"/>
      <c r="AC204" s="2893"/>
      <c r="AD204" s="2893"/>
      <c r="AE204" s="2893"/>
      <c r="AF204" s="2893"/>
      <c r="AG204" s="2893"/>
    </row>
    <row r="205" spans="1:33" ht="18.649999999999999" customHeight="1">
      <c r="A205" s="252"/>
      <c r="B205" s="2904" t="s">
        <v>634</v>
      </c>
      <c r="C205" s="2904"/>
      <c r="D205" s="2904"/>
      <c r="E205" s="2904"/>
      <c r="F205" s="6"/>
      <c r="G205" s="65"/>
      <c r="H205" s="481"/>
      <c r="I205" s="710"/>
      <c r="J205" s="711"/>
      <c r="K205" s="553"/>
      <c r="L205" s="710"/>
      <c r="M205" s="711"/>
      <c r="N205" s="553"/>
      <c r="O205" s="710"/>
      <c r="P205" s="712"/>
      <c r="Q205" s="553"/>
      <c r="R205" s="762"/>
      <c r="S205" s="762"/>
      <c r="T205" s="553"/>
      <c r="U205" s="762"/>
      <c r="V205" s="762"/>
      <c r="W205" s="553"/>
      <c r="X205" s="2893"/>
      <c r="Y205" s="2893"/>
      <c r="Z205" s="2893"/>
      <c r="AA205" s="2893"/>
      <c r="AB205" s="2893"/>
      <c r="AC205" s="2893"/>
      <c r="AD205" s="2893"/>
      <c r="AE205" s="2893"/>
      <c r="AF205" s="2893"/>
      <c r="AG205" s="2893"/>
    </row>
    <row r="206" spans="1:33" ht="36.75" customHeight="1">
      <c r="A206" s="252"/>
      <c r="B206" s="2903" t="s">
        <v>1551</v>
      </c>
      <c r="C206" s="2903"/>
      <c r="D206" s="2903"/>
      <c r="E206" s="2903"/>
      <c r="F206" s="6"/>
      <c r="G206" s="65"/>
      <c r="H206" s="796"/>
      <c r="I206" s="710"/>
      <c r="J206" s="711"/>
      <c r="K206" s="619"/>
      <c r="L206" s="710"/>
      <c r="M206" s="711"/>
      <c r="N206" s="619"/>
      <c r="O206" s="710"/>
      <c r="P206" s="712"/>
      <c r="Q206" s="619"/>
      <c r="R206" s="762"/>
      <c r="S206" s="762"/>
      <c r="T206" s="619"/>
      <c r="U206" s="762"/>
      <c r="V206" s="762"/>
      <c r="W206" s="619"/>
      <c r="X206" s="2893"/>
      <c r="Y206" s="2893"/>
      <c r="Z206" s="2893"/>
      <c r="AA206" s="2893"/>
      <c r="AB206" s="2893"/>
      <c r="AC206" s="2893"/>
      <c r="AD206" s="2893"/>
      <c r="AE206" s="2893"/>
      <c r="AF206" s="2893"/>
      <c r="AG206" s="2893"/>
    </row>
    <row r="207" spans="1:33" ht="36.75" customHeight="1">
      <c r="A207" s="252"/>
      <c r="B207" s="2903" t="s">
        <v>1552</v>
      </c>
      <c r="C207" s="2903"/>
      <c r="D207" s="2903"/>
      <c r="E207" s="2903"/>
      <c r="F207" s="6"/>
      <c r="G207" s="65"/>
      <c r="H207" s="796"/>
      <c r="I207" s="710"/>
      <c r="J207" s="711"/>
      <c r="K207" s="619"/>
      <c r="L207" s="710"/>
      <c r="M207" s="711"/>
      <c r="N207" s="619"/>
      <c r="O207" s="710"/>
      <c r="P207" s="712"/>
      <c r="Q207" s="619"/>
      <c r="R207" s="762"/>
      <c r="S207" s="762"/>
      <c r="T207" s="619"/>
      <c r="U207" s="762"/>
      <c r="V207" s="762"/>
      <c r="W207" s="619"/>
      <c r="X207" s="2893"/>
      <c r="Y207" s="2893"/>
      <c r="Z207" s="2893"/>
      <c r="AA207" s="2893"/>
      <c r="AB207" s="2893"/>
      <c r="AC207" s="2893"/>
      <c r="AD207" s="2893"/>
      <c r="AE207" s="2893"/>
      <c r="AF207" s="2893"/>
      <c r="AG207" s="2893"/>
    </row>
    <row r="208" spans="1:33" ht="32.9" customHeight="1">
      <c r="A208" s="252"/>
      <c r="B208" s="2903" t="s">
        <v>331</v>
      </c>
      <c r="C208" s="2903"/>
      <c r="D208" s="2903"/>
      <c r="E208" s="2903"/>
      <c r="F208" s="6"/>
      <c r="G208" s="65"/>
      <c r="H208" s="480"/>
      <c r="I208" s="710"/>
      <c r="J208" s="711"/>
      <c r="K208" s="526"/>
      <c r="L208" s="710"/>
      <c r="M208" s="711"/>
      <c r="N208" s="526"/>
      <c r="O208" s="710"/>
      <c r="P208" s="712"/>
      <c r="Q208" s="526"/>
      <c r="R208" s="762"/>
      <c r="S208" s="762"/>
      <c r="T208" s="526"/>
      <c r="U208" s="762"/>
      <c r="V208" s="762"/>
      <c r="W208" s="526"/>
      <c r="X208" s="2893"/>
      <c r="Y208" s="2893"/>
      <c r="Z208" s="2893"/>
      <c r="AA208" s="2893"/>
      <c r="AB208" s="2893"/>
      <c r="AC208" s="2893"/>
      <c r="AD208" s="2893"/>
      <c r="AE208" s="2893"/>
      <c r="AF208" s="2893"/>
      <c r="AG208" s="2893"/>
    </row>
    <row r="209" spans="1:33" ht="14.9" customHeight="1">
      <c r="A209" s="252"/>
      <c r="B209" s="2904" t="s">
        <v>332</v>
      </c>
      <c r="C209" s="2904"/>
      <c r="D209" s="2904"/>
      <c r="E209" s="2904"/>
      <c r="F209" s="6"/>
      <c r="G209" s="63"/>
      <c r="H209" s="480"/>
      <c r="I209" s="710"/>
      <c r="J209" s="582"/>
      <c r="K209" s="526"/>
      <c r="L209" s="710"/>
      <c r="M209" s="582"/>
      <c r="N209" s="526"/>
      <c r="O209" s="710"/>
      <c r="P209" s="582"/>
      <c r="Q209" s="526"/>
      <c r="R209" s="762"/>
      <c r="S209" s="762"/>
      <c r="T209" s="526"/>
      <c r="U209" s="762"/>
      <c r="V209" s="762"/>
      <c r="W209" s="526"/>
      <c r="X209" s="2893"/>
      <c r="Y209" s="2893"/>
      <c r="Z209" s="2893"/>
      <c r="AA209" s="2893"/>
      <c r="AB209" s="2893"/>
      <c r="AC209" s="2893"/>
      <c r="AD209" s="2893"/>
      <c r="AE209" s="2893"/>
      <c r="AF209" s="2893"/>
      <c r="AG209" s="2893"/>
    </row>
    <row r="210" spans="1:33" ht="18.649999999999999" customHeight="1">
      <c r="A210" s="252"/>
      <c r="B210" s="2903" t="s">
        <v>333</v>
      </c>
      <c r="C210" s="2903"/>
      <c r="D210" s="2903"/>
      <c r="E210" s="2903"/>
      <c r="F210" s="6"/>
      <c r="G210" s="65"/>
      <c r="H210" s="480"/>
      <c r="I210" s="710"/>
      <c r="J210" s="711"/>
      <c r="K210" s="526"/>
      <c r="L210" s="710"/>
      <c r="M210" s="711"/>
      <c r="N210" s="526"/>
      <c r="O210" s="710"/>
      <c r="P210" s="712"/>
      <c r="Q210" s="526"/>
      <c r="R210" s="762"/>
      <c r="S210" s="762"/>
      <c r="T210" s="526"/>
      <c r="U210" s="762"/>
      <c r="V210" s="762"/>
      <c r="W210" s="526"/>
      <c r="X210" s="2893"/>
      <c r="Y210" s="2893"/>
      <c r="Z210" s="2893"/>
      <c r="AA210" s="2893"/>
      <c r="AB210" s="2893"/>
      <c r="AC210" s="2893"/>
      <c r="AD210" s="2893"/>
      <c r="AE210" s="2893"/>
      <c r="AF210" s="2893"/>
      <c r="AG210" s="2893"/>
    </row>
    <row r="211" spans="1:33" ht="14.9" customHeight="1">
      <c r="A211" s="252"/>
      <c r="B211" s="2903" t="s">
        <v>334</v>
      </c>
      <c r="C211" s="2903"/>
      <c r="D211" s="2903"/>
      <c r="E211" s="2903"/>
      <c r="F211" s="6"/>
      <c r="G211" s="63"/>
      <c r="H211" s="480"/>
      <c r="I211" s="710"/>
      <c r="J211" s="582"/>
      <c r="K211" s="526"/>
      <c r="L211" s="710"/>
      <c r="M211" s="582"/>
      <c r="N211" s="526"/>
      <c r="O211" s="710"/>
      <c r="P211" s="582"/>
      <c r="Q211" s="526"/>
      <c r="R211" s="762"/>
      <c r="S211" s="762"/>
      <c r="T211" s="526"/>
      <c r="U211" s="762"/>
      <c r="V211" s="762"/>
      <c r="W211" s="526"/>
      <c r="X211" s="2893"/>
      <c r="Y211" s="2893"/>
      <c r="Z211" s="2893"/>
      <c r="AA211" s="2893"/>
      <c r="AB211" s="2893"/>
      <c r="AC211" s="2893"/>
      <c r="AD211" s="2893"/>
      <c r="AE211" s="2893"/>
      <c r="AF211" s="2893"/>
      <c r="AG211" s="2893"/>
    </row>
    <row r="212" spans="1:33" ht="14.9" customHeight="1">
      <c r="A212" s="252"/>
      <c r="B212" s="2904" t="s">
        <v>335</v>
      </c>
      <c r="C212" s="2904"/>
      <c r="D212" s="2904"/>
      <c r="E212" s="2904"/>
      <c r="H212" s="480"/>
      <c r="I212" s="713"/>
      <c r="J212" s="713"/>
      <c r="K212" s="526"/>
      <c r="L212" s="713"/>
      <c r="M212" s="713"/>
      <c r="N212" s="526"/>
      <c r="O212" s="713"/>
      <c r="P212" s="713"/>
      <c r="Q212" s="526"/>
      <c r="R212" s="762"/>
      <c r="S212" s="762"/>
      <c r="T212" s="526"/>
      <c r="U212" s="762"/>
      <c r="V212" s="762"/>
      <c r="W212" s="526"/>
      <c r="X212" s="2893"/>
      <c r="Y212" s="2893"/>
      <c r="Z212" s="2893"/>
      <c r="AA212" s="2893"/>
      <c r="AB212" s="2893"/>
      <c r="AC212" s="2893"/>
      <c r="AD212" s="2893"/>
      <c r="AE212" s="2893"/>
      <c r="AF212" s="2893"/>
      <c r="AG212" s="2893"/>
    </row>
    <row r="213" spans="1:33" ht="14.9" customHeight="1">
      <c r="A213" s="252"/>
      <c r="B213" s="2903" t="s">
        <v>336</v>
      </c>
      <c r="C213" s="2903"/>
      <c r="D213" s="2903"/>
      <c r="E213" s="2903"/>
      <c r="F213" s="6"/>
      <c r="G213" s="63"/>
      <c r="H213" s="480"/>
      <c r="I213" s="710"/>
      <c r="J213" s="582"/>
      <c r="K213" s="526"/>
      <c r="L213" s="710"/>
      <c r="M213" s="582"/>
      <c r="N213" s="526"/>
      <c r="O213" s="710"/>
      <c r="P213" s="582"/>
      <c r="Q213" s="526"/>
      <c r="R213" s="762"/>
      <c r="S213" s="762"/>
      <c r="T213" s="526"/>
      <c r="U213" s="762"/>
      <c r="V213" s="762"/>
      <c r="W213" s="526"/>
      <c r="X213" s="2893"/>
      <c r="Y213" s="2893"/>
      <c r="Z213" s="2893"/>
      <c r="AA213" s="2893"/>
      <c r="AB213" s="2893"/>
      <c r="AC213" s="2893"/>
      <c r="AD213" s="2893"/>
      <c r="AE213" s="2893"/>
      <c r="AF213" s="2893"/>
      <c r="AG213" s="2893"/>
    </row>
    <row r="214" spans="1:33" ht="32.9" customHeight="1">
      <c r="A214" s="252"/>
      <c r="B214" s="2903" t="s">
        <v>337</v>
      </c>
      <c r="C214" s="2903"/>
      <c r="D214" s="2903"/>
      <c r="E214" s="2903"/>
      <c r="F214" s="6"/>
      <c r="G214" s="63"/>
      <c r="H214" s="480"/>
      <c r="I214" s="710"/>
      <c r="J214" s="582"/>
      <c r="K214" s="526"/>
      <c r="L214" s="710"/>
      <c r="M214" s="582"/>
      <c r="N214" s="526"/>
      <c r="O214" s="710"/>
      <c r="P214" s="582"/>
      <c r="Q214" s="526"/>
      <c r="R214" s="762"/>
      <c r="S214" s="762"/>
      <c r="T214" s="526"/>
      <c r="U214" s="762"/>
      <c r="V214" s="762"/>
      <c r="W214" s="526"/>
      <c r="X214" s="2893"/>
      <c r="Y214" s="2893"/>
      <c r="Z214" s="2893"/>
      <c r="AA214" s="2893"/>
      <c r="AB214" s="2893"/>
      <c r="AC214" s="2893"/>
      <c r="AD214" s="2893"/>
      <c r="AE214" s="2893"/>
      <c r="AF214" s="2893"/>
      <c r="AG214" s="2893"/>
    </row>
    <row r="215" spans="1:33" ht="32.9" customHeight="1">
      <c r="A215" s="252"/>
      <c r="B215" s="2903" t="s">
        <v>338</v>
      </c>
      <c r="C215" s="2903"/>
      <c r="D215" s="2903"/>
      <c r="E215" s="2903"/>
      <c r="F215" s="6"/>
      <c r="G215" s="63"/>
      <c r="H215" s="480"/>
      <c r="I215" s="710"/>
      <c r="J215" s="582"/>
      <c r="K215" s="526"/>
      <c r="L215" s="710"/>
      <c r="M215" s="582"/>
      <c r="N215" s="526"/>
      <c r="O215" s="710"/>
      <c r="P215" s="582"/>
      <c r="Q215" s="526"/>
      <c r="R215" s="762"/>
      <c r="S215" s="762"/>
      <c r="T215" s="526"/>
      <c r="U215" s="762"/>
      <c r="V215" s="762"/>
      <c r="W215" s="526"/>
      <c r="X215" s="2893"/>
      <c r="Y215" s="2893"/>
      <c r="Z215" s="2893"/>
      <c r="AA215" s="2893"/>
      <c r="AB215" s="2893"/>
      <c r="AC215" s="2893"/>
      <c r="AD215" s="2893"/>
      <c r="AE215" s="2893"/>
      <c r="AF215" s="2893"/>
      <c r="AG215" s="2893"/>
    </row>
    <row r="216" spans="1:33" ht="14.9" customHeight="1">
      <c r="A216" s="252"/>
      <c r="B216" s="2903" t="s">
        <v>735</v>
      </c>
      <c r="C216" s="2903"/>
      <c r="D216" s="2903"/>
      <c r="E216" s="2903"/>
      <c r="F216" s="6"/>
      <c r="G216" s="63"/>
      <c r="H216" s="480"/>
      <c r="I216" s="710"/>
      <c r="J216" s="582"/>
      <c r="K216" s="526"/>
      <c r="L216" s="710"/>
      <c r="M216" s="582"/>
      <c r="N216" s="526"/>
      <c r="O216" s="710"/>
      <c r="P216" s="582"/>
      <c r="Q216" s="526"/>
      <c r="R216" s="762"/>
      <c r="S216" s="762"/>
      <c r="T216" s="526"/>
      <c r="U216" s="762"/>
      <c r="V216" s="762"/>
      <c r="W216" s="526"/>
      <c r="X216" s="2893"/>
      <c r="Y216" s="2893"/>
      <c r="Z216" s="2893"/>
      <c r="AA216" s="2893"/>
      <c r="AB216" s="2893"/>
      <c r="AC216" s="2893"/>
      <c r="AD216" s="2893"/>
      <c r="AE216" s="2893"/>
      <c r="AF216" s="2893"/>
      <c r="AG216" s="2893"/>
    </row>
    <row r="217" spans="1:33" ht="15" customHeight="1">
      <c r="A217" s="252"/>
      <c r="B217" s="2903" t="s">
        <v>734</v>
      </c>
      <c r="C217" s="2903"/>
      <c r="D217" s="2903"/>
      <c r="E217" s="2903"/>
      <c r="F217" s="6"/>
      <c r="G217" s="63"/>
      <c r="H217" s="797"/>
      <c r="I217" s="710"/>
      <c r="J217" s="582"/>
      <c r="K217" s="562"/>
      <c r="L217" s="710"/>
      <c r="M217" s="582"/>
      <c r="N217" s="562"/>
      <c r="O217" s="710"/>
      <c r="P217" s="582"/>
      <c r="Q217" s="562"/>
      <c r="R217" s="762"/>
      <c r="S217" s="762"/>
      <c r="T217" s="562"/>
      <c r="U217" s="762"/>
      <c r="V217" s="762"/>
      <c r="W217" s="562"/>
      <c r="X217" s="2893"/>
      <c r="Y217" s="2893"/>
      <c r="Z217" s="2893"/>
      <c r="AA217" s="2893"/>
      <c r="AB217" s="2893"/>
      <c r="AC217" s="2893"/>
      <c r="AD217" s="2893"/>
      <c r="AE217" s="2893"/>
      <c r="AF217" s="2893"/>
      <c r="AG217" s="2893"/>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911"/>
      <c r="Y218" s="2911"/>
      <c r="Z218" s="2911"/>
      <c r="AA218" s="2911"/>
      <c r="AB218" s="2911"/>
      <c r="AC218" s="2911"/>
      <c r="AD218" s="2911"/>
      <c r="AE218" s="2911"/>
      <c r="AF218" s="2911"/>
      <c r="AG218" s="2911"/>
    </row>
    <row r="219" spans="1:33" ht="14.9" customHeight="1">
      <c r="A219" s="252"/>
      <c r="B219" s="2903" t="s">
        <v>625</v>
      </c>
      <c r="C219" s="2903"/>
      <c r="D219" s="2903"/>
      <c r="E219" s="2903"/>
      <c r="F219" s="6"/>
      <c r="G219" s="65"/>
      <c r="H219" s="799"/>
      <c r="I219" s="710"/>
      <c r="J219" s="711"/>
      <c r="K219" s="628"/>
      <c r="L219" s="710"/>
      <c r="M219" s="711"/>
      <c r="N219" s="628"/>
      <c r="O219" s="710"/>
      <c r="P219" s="712"/>
      <c r="Q219" s="628"/>
      <c r="R219" s="762"/>
      <c r="S219" s="762"/>
      <c r="T219" s="628"/>
      <c r="U219" s="762"/>
      <c r="V219" s="762"/>
      <c r="W219" s="628"/>
      <c r="X219" s="2893"/>
      <c r="Y219" s="2893"/>
      <c r="Z219" s="2893"/>
      <c r="AA219" s="2893"/>
      <c r="AB219" s="2893"/>
      <c r="AC219" s="2893"/>
      <c r="AD219" s="2893"/>
      <c r="AE219" s="2893"/>
      <c r="AF219" s="2893"/>
      <c r="AG219" s="2893"/>
    </row>
    <row r="220" spans="1:33" ht="14.9" customHeight="1">
      <c r="A220" s="252"/>
      <c r="B220" s="2903" t="s">
        <v>626</v>
      </c>
      <c r="C220" s="2903"/>
      <c r="D220" s="2903"/>
      <c r="E220" s="2903"/>
      <c r="F220" s="6"/>
      <c r="G220" s="63"/>
      <c r="H220" s="480"/>
      <c r="I220" s="710"/>
      <c r="J220" s="582"/>
      <c r="K220" s="526"/>
      <c r="L220" s="710"/>
      <c r="M220" s="582"/>
      <c r="N220" s="526"/>
      <c r="O220" s="710"/>
      <c r="P220" s="582"/>
      <c r="Q220" s="526"/>
      <c r="R220" s="762"/>
      <c r="S220" s="762"/>
      <c r="T220" s="526"/>
      <c r="U220" s="762"/>
      <c r="V220" s="762"/>
      <c r="W220" s="526"/>
      <c r="X220" s="2893"/>
      <c r="Y220" s="2893"/>
      <c r="Z220" s="2893"/>
      <c r="AA220" s="2893"/>
      <c r="AB220" s="2893"/>
      <c r="AC220" s="2893"/>
      <c r="AD220" s="2893"/>
      <c r="AE220" s="2893"/>
      <c r="AF220" s="2893"/>
      <c r="AG220" s="2893"/>
    </row>
    <row r="221" spans="1:33" ht="14.9" customHeight="1">
      <c r="A221" s="252"/>
      <c r="B221" s="2903" t="s">
        <v>627</v>
      </c>
      <c r="C221" s="2903"/>
      <c r="D221" s="2903"/>
      <c r="E221" s="2903"/>
      <c r="F221" s="6"/>
      <c r="G221" s="63"/>
      <c r="H221" s="794"/>
      <c r="I221" s="710"/>
      <c r="J221" s="582"/>
      <c r="K221" s="561"/>
      <c r="L221" s="710"/>
      <c r="M221" s="582"/>
      <c r="N221" s="561"/>
      <c r="O221" s="710"/>
      <c r="P221" s="582"/>
      <c r="Q221" s="561"/>
      <c r="R221" s="762"/>
      <c r="S221" s="762"/>
      <c r="T221" s="561"/>
      <c r="U221" s="762"/>
      <c r="V221" s="762"/>
      <c r="W221" s="561"/>
      <c r="X221" s="2893"/>
      <c r="Y221" s="2893"/>
      <c r="Z221" s="2893"/>
      <c r="AA221" s="2893"/>
      <c r="AB221" s="2893"/>
      <c r="AC221" s="2893"/>
      <c r="AD221" s="2893"/>
      <c r="AE221" s="2893"/>
      <c r="AF221" s="2893"/>
      <c r="AG221" s="2893"/>
    </row>
    <row r="222" spans="1:33" ht="14.9" customHeight="1">
      <c r="A222" s="252"/>
      <c r="B222" s="2904" t="s">
        <v>628</v>
      </c>
      <c r="C222" s="2904"/>
      <c r="D222" s="2904"/>
      <c r="E222" s="2904"/>
      <c r="F222" s="6"/>
      <c r="G222" s="63"/>
      <c r="H222" s="480"/>
      <c r="I222" s="710"/>
      <c r="J222" s="582"/>
      <c r="K222" s="526"/>
      <c r="L222" s="710"/>
      <c r="M222" s="582"/>
      <c r="N222" s="526"/>
      <c r="O222" s="710"/>
      <c r="P222" s="582"/>
      <c r="Q222" s="526"/>
      <c r="R222" s="762"/>
      <c r="S222" s="762"/>
      <c r="T222" s="526"/>
      <c r="U222" s="762"/>
      <c r="V222" s="762"/>
      <c r="W222" s="526"/>
      <c r="X222" s="2893"/>
      <c r="Y222" s="2893"/>
      <c r="Z222" s="2893"/>
      <c r="AA222" s="2893"/>
      <c r="AB222" s="2893"/>
      <c r="AC222" s="2893"/>
      <c r="AD222" s="2893"/>
      <c r="AE222" s="2893"/>
      <c r="AF222" s="2893"/>
      <c r="AG222" s="2893"/>
    </row>
    <row r="223" spans="1:33" ht="32.9" customHeight="1">
      <c r="A223" s="252"/>
      <c r="B223" s="2904" t="s">
        <v>629</v>
      </c>
      <c r="C223" s="2904"/>
      <c r="D223" s="2904"/>
      <c r="E223" s="2904"/>
      <c r="F223" s="6"/>
      <c r="G223" s="65"/>
      <c r="H223" s="795"/>
      <c r="I223" s="710"/>
      <c r="J223" s="711"/>
      <c r="K223" s="568"/>
      <c r="L223" s="710"/>
      <c r="M223" s="711"/>
      <c r="N223" s="568"/>
      <c r="O223" s="710"/>
      <c r="P223" s="712"/>
      <c r="Q223" s="568"/>
      <c r="R223" s="762"/>
      <c r="S223" s="762"/>
      <c r="T223" s="568"/>
      <c r="U223" s="762"/>
      <c r="V223" s="762"/>
      <c r="W223" s="568"/>
      <c r="X223" s="2893"/>
      <c r="Y223" s="2893"/>
      <c r="Z223" s="2893"/>
      <c r="AA223" s="2893"/>
      <c r="AB223" s="2893"/>
      <c r="AC223" s="2893"/>
      <c r="AD223" s="2893"/>
      <c r="AE223" s="2893"/>
      <c r="AF223" s="2893"/>
      <c r="AG223" s="2893"/>
    </row>
    <row r="224" spans="1:33" ht="14.9" customHeight="1">
      <c r="A224" s="252"/>
      <c r="B224" s="2903" t="s">
        <v>630</v>
      </c>
      <c r="C224" s="2903"/>
      <c r="D224" s="2903"/>
      <c r="E224" s="2903"/>
      <c r="F224" s="6"/>
      <c r="G224" s="65"/>
      <c r="H224" s="480"/>
      <c r="I224" s="710"/>
      <c r="J224" s="711"/>
      <c r="K224" s="526"/>
      <c r="L224" s="710"/>
      <c r="M224" s="711"/>
      <c r="N224" s="526"/>
      <c r="O224" s="710"/>
      <c r="P224" s="712"/>
      <c r="Q224" s="526"/>
      <c r="R224" s="762"/>
      <c r="S224" s="762"/>
      <c r="T224" s="526"/>
      <c r="U224" s="762"/>
      <c r="V224" s="762"/>
      <c r="W224" s="526"/>
      <c r="X224" s="2893"/>
      <c r="Y224" s="2893"/>
      <c r="Z224" s="2893"/>
      <c r="AA224" s="2893"/>
      <c r="AB224" s="2893"/>
      <c r="AC224" s="2893"/>
      <c r="AD224" s="2893"/>
      <c r="AE224" s="2893"/>
      <c r="AF224" s="2893"/>
      <c r="AG224" s="2893"/>
    </row>
    <row r="225" spans="1:33" ht="14.9" customHeight="1">
      <c r="A225" s="252"/>
      <c r="B225" s="2904" t="s">
        <v>634</v>
      </c>
      <c r="C225" s="2904"/>
      <c r="D225" s="2904"/>
      <c r="E225" s="2904"/>
      <c r="F225" s="6"/>
      <c r="G225" s="65"/>
      <c r="H225" s="481"/>
      <c r="I225" s="710"/>
      <c r="J225" s="711"/>
      <c r="K225" s="553"/>
      <c r="L225" s="710"/>
      <c r="M225" s="711"/>
      <c r="N225" s="553"/>
      <c r="O225" s="710"/>
      <c r="P225" s="712"/>
      <c r="Q225" s="553"/>
      <c r="R225" s="762"/>
      <c r="S225" s="762"/>
      <c r="T225" s="553"/>
      <c r="U225" s="762"/>
      <c r="V225" s="762"/>
      <c r="W225" s="553"/>
      <c r="X225" s="2893"/>
      <c r="Y225" s="2893"/>
      <c r="Z225" s="2893"/>
      <c r="AA225" s="2893"/>
      <c r="AB225" s="2893"/>
      <c r="AC225" s="2893"/>
      <c r="AD225" s="2893"/>
      <c r="AE225" s="2893"/>
      <c r="AF225" s="2893"/>
      <c r="AG225" s="2893"/>
    </row>
    <row r="226" spans="1:33" ht="30.75" customHeight="1">
      <c r="A226" s="252"/>
      <c r="B226" s="2903" t="s">
        <v>1551</v>
      </c>
      <c r="C226" s="2903"/>
      <c r="D226" s="2903"/>
      <c r="E226" s="2903"/>
      <c r="F226" s="6"/>
      <c r="G226" s="65"/>
      <c r="H226" s="796"/>
      <c r="I226" s="710"/>
      <c r="J226" s="711"/>
      <c r="K226" s="619"/>
      <c r="L226" s="710"/>
      <c r="M226" s="711"/>
      <c r="N226" s="619"/>
      <c r="O226" s="710"/>
      <c r="P226" s="712"/>
      <c r="Q226" s="619"/>
      <c r="R226" s="762"/>
      <c r="S226" s="762"/>
      <c r="T226" s="619"/>
      <c r="U226" s="762"/>
      <c r="V226" s="762"/>
      <c r="W226" s="619"/>
      <c r="X226" s="2893"/>
      <c r="Y226" s="2893"/>
      <c r="Z226" s="2893"/>
      <c r="AA226" s="2893"/>
      <c r="AB226" s="2893"/>
      <c r="AC226" s="2893"/>
      <c r="AD226" s="2893"/>
      <c r="AE226" s="2893"/>
      <c r="AF226" s="2893"/>
      <c r="AG226" s="2893"/>
    </row>
    <row r="227" spans="1:33" ht="30.75" customHeight="1">
      <c r="A227" s="252"/>
      <c r="B227" s="2903" t="s">
        <v>1552</v>
      </c>
      <c r="C227" s="2903"/>
      <c r="D227" s="2903"/>
      <c r="E227" s="2903"/>
      <c r="F227" s="6"/>
      <c r="G227" s="65"/>
      <c r="H227" s="796"/>
      <c r="I227" s="710"/>
      <c r="J227" s="711"/>
      <c r="K227" s="619"/>
      <c r="L227" s="710"/>
      <c r="M227" s="711"/>
      <c r="N227" s="619"/>
      <c r="O227" s="710"/>
      <c r="P227" s="712"/>
      <c r="Q227" s="619"/>
      <c r="R227" s="762"/>
      <c r="S227" s="762"/>
      <c r="T227" s="619"/>
      <c r="U227" s="762"/>
      <c r="V227" s="762"/>
      <c r="W227" s="619"/>
      <c r="X227" s="2893"/>
      <c r="Y227" s="2893"/>
      <c r="Z227" s="2893"/>
      <c r="AA227" s="2893"/>
      <c r="AB227" s="2893"/>
      <c r="AC227" s="2893"/>
      <c r="AD227" s="2893"/>
      <c r="AE227" s="2893"/>
      <c r="AF227" s="2893"/>
      <c r="AG227" s="2893"/>
    </row>
    <row r="228" spans="1:33" ht="32.9" customHeight="1">
      <c r="A228" s="252"/>
      <c r="B228" s="2903" t="s">
        <v>331</v>
      </c>
      <c r="C228" s="2903"/>
      <c r="D228" s="2903"/>
      <c r="E228" s="2903"/>
      <c r="F228" s="6"/>
      <c r="G228" s="65"/>
      <c r="H228" s="480"/>
      <c r="I228" s="710"/>
      <c r="J228" s="711"/>
      <c r="K228" s="526"/>
      <c r="L228" s="710"/>
      <c r="M228" s="711"/>
      <c r="N228" s="526"/>
      <c r="O228" s="710"/>
      <c r="P228" s="712"/>
      <c r="Q228" s="526"/>
      <c r="R228" s="762"/>
      <c r="S228" s="762"/>
      <c r="T228" s="526"/>
      <c r="U228" s="762"/>
      <c r="V228" s="762"/>
      <c r="W228" s="526"/>
      <c r="X228" s="2893"/>
      <c r="Y228" s="2893"/>
      <c r="Z228" s="2893"/>
      <c r="AA228" s="2893"/>
      <c r="AB228" s="2893"/>
      <c r="AC228" s="2893"/>
      <c r="AD228" s="2893"/>
      <c r="AE228" s="2893"/>
      <c r="AF228" s="2893"/>
      <c r="AG228" s="2893"/>
    </row>
    <row r="229" spans="1:33" ht="14.9" customHeight="1">
      <c r="A229" s="252"/>
      <c r="B229" s="2904" t="s">
        <v>332</v>
      </c>
      <c r="C229" s="2904"/>
      <c r="D229" s="2904"/>
      <c r="E229" s="2904"/>
      <c r="F229" s="6"/>
      <c r="G229" s="63"/>
      <c r="H229" s="480"/>
      <c r="I229" s="710"/>
      <c r="J229" s="582"/>
      <c r="K229" s="526"/>
      <c r="L229" s="710"/>
      <c r="M229" s="582"/>
      <c r="N229" s="526"/>
      <c r="O229" s="710"/>
      <c r="P229" s="582"/>
      <c r="Q229" s="526"/>
      <c r="R229" s="762"/>
      <c r="S229" s="762"/>
      <c r="T229" s="526"/>
      <c r="U229" s="762"/>
      <c r="V229" s="762"/>
      <c r="W229" s="526"/>
      <c r="X229" s="2893"/>
      <c r="Y229" s="2893"/>
      <c r="Z229" s="2893"/>
      <c r="AA229" s="2893"/>
      <c r="AB229" s="2893"/>
      <c r="AC229" s="2893"/>
      <c r="AD229" s="2893"/>
      <c r="AE229" s="2893"/>
      <c r="AF229" s="2893"/>
      <c r="AG229" s="2893"/>
    </row>
    <row r="230" spans="1:33" ht="14.9" customHeight="1">
      <c r="A230" s="252"/>
      <c r="B230" s="2903" t="s">
        <v>333</v>
      </c>
      <c r="C230" s="2903"/>
      <c r="D230" s="2903"/>
      <c r="E230" s="2903"/>
      <c r="F230" s="6"/>
      <c r="G230" s="65"/>
      <c r="H230" s="480"/>
      <c r="I230" s="710"/>
      <c r="J230" s="711"/>
      <c r="K230" s="526"/>
      <c r="L230" s="710"/>
      <c r="M230" s="711"/>
      <c r="N230" s="526"/>
      <c r="O230" s="710"/>
      <c r="P230" s="712"/>
      <c r="Q230" s="526"/>
      <c r="R230" s="762"/>
      <c r="S230" s="762"/>
      <c r="T230" s="526"/>
      <c r="U230" s="762"/>
      <c r="V230" s="762"/>
      <c r="W230" s="526"/>
      <c r="X230" s="2893"/>
      <c r="Y230" s="2893"/>
      <c r="Z230" s="2893"/>
      <c r="AA230" s="2893"/>
      <c r="AB230" s="2893"/>
      <c r="AC230" s="2893"/>
      <c r="AD230" s="2893"/>
      <c r="AE230" s="2893"/>
      <c r="AF230" s="2893"/>
      <c r="AG230" s="2893"/>
    </row>
    <row r="231" spans="1:33" ht="14.9" customHeight="1">
      <c r="A231" s="252"/>
      <c r="B231" s="2903" t="s">
        <v>334</v>
      </c>
      <c r="C231" s="2903"/>
      <c r="D231" s="2903"/>
      <c r="E231" s="2903"/>
      <c r="F231" s="6"/>
      <c r="G231" s="63"/>
      <c r="H231" s="480"/>
      <c r="I231" s="710"/>
      <c r="J231" s="582"/>
      <c r="K231" s="526"/>
      <c r="L231" s="710"/>
      <c r="M231" s="582"/>
      <c r="N231" s="526"/>
      <c r="O231" s="710"/>
      <c r="P231" s="582"/>
      <c r="Q231" s="526"/>
      <c r="R231" s="762"/>
      <c r="S231" s="762"/>
      <c r="T231" s="526"/>
      <c r="U231" s="762"/>
      <c r="V231" s="762"/>
      <c r="W231" s="526"/>
      <c r="X231" s="2893"/>
      <c r="Y231" s="2893"/>
      <c r="Z231" s="2893"/>
      <c r="AA231" s="2893"/>
      <c r="AB231" s="2893"/>
      <c r="AC231" s="2893"/>
      <c r="AD231" s="2893"/>
      <c r="AE231" s="2893"/>
      <c r="AF231" s="2893"/>
      <c r="AG231" s="2893"/>
    </row>
    <row r="232" spans="1:33" ht="14.9" customHeight="1">
      <c r="A232" s="252"/>
      <c r="B232" s="2904" t="s">
        <v>335</v>
      </c>
      <c r="C232" s="2904"/>
      <c r="D232" s="2904"/>
      <c r="E232" s="2904"/>
      <c r="H232" s="480"/>
      <c r="I232" s="713"/>
      <c r="J232" s="713"/>
      <c r="K232" s="526"/>
      <c r="L232" s="713"/>
      <c r="M232" s="713"/>
      <c r="N232" s="526"/>
      <c r="O232" s="713"/>
      <c r="P232" s="713"/>
      <c r="Q232" s="526"/>
      <c r="R232" s="762"/>
      <c r="S232" s="762"/>
      <c r="T232" s="526"/>
      <c r="U232" s="762"/>
      <c r="V232" s="762"/>
      <c r="W232" s="526"/>
      <c r="X232" s="2893"/>
      <c r="Y232" s="2893"/>
      <c r="Z232" s="2893"/>
      <c r="AA232" s="2893"/>
      <c r="AB232" s="2893"/>
      <c r="AC232" s="2893"/>
      <c r="AD232" s="2893"/>
      <c r="AE232" s="2893"/>
      <c r="AF232" s="2893"/>
      <c r="AG232" s="2893"/>
    </row>
    <row r="233" spans="1:33" ht="14.9" customHeight="1">
      <c r="A233" s="252"/>
      <c r="B233" s="2903" t="s">
        <v>336</v>
      </c>
      <c r="C233" s="2903"/>
      <c r="D233" s="2903"/>
      <c r="E233" s="2903"/>
      <c r="F233" s="6"/>
      <c r="G233" s="63"/>
      <c r="H233" s="480"/>
      <c r="I233" s="710"/>
      <c r="J233" s="582"/>
      <c r="K233" s="526"/>
      <c r="L233" s="710"/>
      <c r="M233" s="582"/>
      <c r="N233" s="526"/>
      <c r="O233" s="710"/>
      <c r="P233" s="582"/>
      <c r="Q233" s="526"/>
      <c r="R233" s="762"/>
      <c r="S233" s="762"/>
      <c r="T233" s="526"/>
      <c r="U233" s="762"/>
      <c r="V233" s="762"/>
      <c r="W233" s="526"/>
      <c r="X233" s="2893"/>
      <c r="Y233" s="2893"/>
      <c r="Z233" s="2893"/>
      <c r="AA233" s="2893"/>
      <c r="AB233" s="2893"/>
      <c r="AC233" s="2893"/>
      <c r="AD233" s="2893"/>
      <c r="AE233" s="2893"/>
      <c r="AF233" s="2893"/>
      <c r="AG233" s="2893"/>
    </row>
    <row r="234" spans="1:33" ht="32.9" customHeight="1">
      <c r="A234" s="252"/>
      <c r="B234" s="2903" t="s">
        <v>337</v>
      </c>
      <c r="C234" s="2903"/>
      <c r="D234" s="2903"/>
      <c r="E234" s="2903"/>
      <c r="F234" s="6"/>
      <c r="G234" s="63"/>
      <c r="H234" s="480"/>
      <c r="I234" s="710"/>
      <c r="J234" s="582"/>
      <c r="K234" s="526"/>
      <c r="L234" s="710"/>
      <c r="M234" s="582"/>
      <c r="N234" s="526"/>
      <c r="O234" s="710"/>
      <c r="P234" s="582"/>
      <c r="Q234" s="526"/>
      <c r="R234" s="762"/>
      <c r="S234" s="762"/>
      <c r="T234" s="526"/>
      <c r="U234" s="762"/>
      <c r="V234" s="762"/>
      <c r="W234" s="526"/>
      <c r="X234" s="2893"/>
      <c r="Y234" s="2893"/>
      <c r="Z234" s="2893"/>
      <c r="AA234" s="2893"/>
      <c r="AB234" s="2893"/>
      <c r="AC234" s="2893"/>
      <c r="AD234" s="2893"/>
      <c r="AE234" s="2893"/>
      <c r="AF234" s="2893"/>
      <c r="AG234" s="2893"/>
    </row>
    <row r="235" spans="1:33" ht="32.9" customHeight="1">
      <c r="A235" s="252"/>
      <c r="B235" s="2903" t="s">
        <v>338</v>
      </c>
      <c r="C235" s="2903"/>
      <c r="D235" s="2903"/>
      <c r="E235" s="2903"/>
      <c r="F235" s="6"/>
      <c r="G235" s="63"/>
      <c r="H235" s="480"/>
      <c r="I235" s="710"/>
      <c r="J235" s="582"/>
      <c r="K235" s="526"/>
      <c r="L235" s="710"/>
      <c r="M235" s="582"/>
      <c r="N235" s="526"/>
      <c r="O235" s="710"/>
      <c r="P235" s="582"/>
      <c r="Q235" s="526"/>
      <c r="R235" s="762"/>
      <c r="S235" s="762"/>
      <c r="T235" s="526"/>
      <c r="U235" s="762"/>
      <c r="V235" s="762"/>
      <c r="W235" s="526"/>
      <c r="X235" s="2893"/>
      <c r="Y235" s="2893"/>
      <c r="Z235" s="2893"/>
      <c r="AA235" s="2893"/>
      <c r="AB235" s="2893"/>
      <c r="AC235" s="2893"/>
      <c r="AD235" s="2893"/>
      <c r="AE235" s="2893"/>
      <c r="AF235" s="2893"/>
      <c r="AG235" s="2893"/>
    </row>
    <row r="236" spans="1:33" ht="14.9" customHeight="1">
      <c r="A236" s="252"/>
      <c r="B236" s="2903" t="s">
        <v>735</v>
      </c>
      <c r="C236" s="2903"/>
      <c r="D236" s="2903"/>
      <c r="E236" s="2903"/>
      <c r="F236" s="6"/>
      <c r="G236" s="63"/>
      <c r="H236" s="480"/>
      <c r="I236" s="710"/>
      <c r="J236" s="582"/>
      <c r="K236" s="526"/>
      <c r="L236" s="710"/>
      <c r="M236" s="582"/>
      <c r="N236" s="526"/>
      <c r="O236" s="710"/>
      <c r="P236" s="582"/>
      <c r="Q236" s="526"/>
      <c r="R236" s="762"/>
      <c r="S236" s="762"/>
      <c r="T236" s="526"/>
      <c r="U236" s="762"/>
      <c r="V236" s="762"/>
      <c r="W236" s="526"/>
      <c r="X236" s="2893"/>
      <c r="Y236" s="2893"/>
      <c r="Z236" s="2893"/>
      <c r="AA236" s="2893"/>
      <c r="AB236" s="2893"/>
      <c r="AC236" s="2893"/>
      <c r="AD236" s="2893"/>
      <c r="AE236" s="2893"/>
      <c r="AF236" s="2893"/>
      <c r="AG236" s="2893"/>
    </row>
    <row r="237" spans="1:33" ht="14.9" customHeight="1">
      <c r="A237" s="252"/>
      <c r="B237" s="2903" t="s">
        <v>734</v>
      </c>
      <c r="C237" s="2903"/>
      <c r="D237" s="2903"/>
      <c r="E237" s="2903"/>
      <c r="F237" s="6"/>
      <c r="G237" s="63"/>
      <c r="H237" s="797"/>
      <c r="I237" s="710"/>
      <c r="J237" s="582"/>
      <c r="K237" s="562"/>
      <c r="L237" s="710"/>
      <c r="M237" s="582"/>
      <c r="N237" s="562"/>
      <c r="O237" s="710"/>
      <c r="P237" s="582"/>
      <c r="Q237" s="562"/>
      <c r="R237" s="762"/>
      <c r="S237" s="762"/>
      <c r="T237" s="562"/>
      <c r="U237" s="762"/>
      <c r="V237" s="762"/>
      <c r="W237" s="562"/>
      <c r="X237" s="2893"/>
      <c r="Y237" s="2893"/>
      <c r="Z237" s="2893"/>
      <c r="AA237" s="2893"/>
      <c r="AB237" s="2893"/>
      <c r="AC237" s="2893"/>
      <c r="AD237" s="2893"/>
      <c r="AE237" s="2893"/>
      <c r="AF237" s="2893"/>
      <c r="AG237" s="2893"/>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911"/>
      <c r="Y238" s="2911"/>
      <c r="Z238" s="2911"/>
      <c r="AA238" s="2911"/>
      <c r="AB238" s="2911"/>
      <c r="AC238" s="2911"/>
      <c r="AD238" s="2911"/>
      <c r="AE238" s="2911"/>
      <c r="AF238" s="2911"/>
      <c r="AG238" s="2911"/>
    </row>
    <row r="239" spans="1:33" ht="14.9" customHeight="1">
      <c r="A239" s="252"/>
      <c r="B239" s="2903" t="s">
        <v>625</v>
      </c>
      <c r="C239" s="2903"/>
      <c r="D239" s="2903"/>
      <c r="E239" s="2903"/>
      <c r="F239" s="6"/>
      <c r="G239" s="65"/>
      <c r="H239" s="799"/>
      <c r="I239" s="710"/>
      <c r="J239" s="711"/>
      <c r="K239" s="628"/>
      <c r="L239" s="710"/>
      <c r="M239" s="711"/>
      <c r="N239" s="628"/>
      <c r="O239" s="710"/>
      <c r="P239" s="712"/>
      <c r="Q239" s="628"/>
      <c r="R239" s="762"/>
      <c r="S239" s="762"/>
      <c r="T239" s="628"/>
      <c r="U239" s="762"/>
      <c r="V239" s="762"/>
      <c r="W239" s="628"/>
      <c r="X239" s="2893"/>
      <c r="Y239" s="2893"/>
      <c r="Z239" s="2893"/>
      <c r="AA239" s="2893"/>
      <c r="AB239" s="2893"/>
      <c r="AC239" s="2893"/>
      <c r="AD239" s="2893"/>
      <c r="AE239" s="2893"/>
      <c r="AF239" s="2893"/>
      <c r="AG239" s="2893"/>
    </row>
    <row r="240" spans="1:33" ht="14.9" customHeight="1">
      <c r="A240" s="252"/>
      <c r="B240" s="2903" t="s">
        <v>626</v>
      </c>
      <c r="C240" s="2903"/>
      <c r="D240" s="2903"/>
      <c r="E240" s="2903"/>
      <c r="F240" s="6"/>
      <c r="G240" s="63"/>
      <c r="H240" s="480"/>
      <c r="I240" s="710"/>
      <c r="J240" s="582"/>
      <c r="K240" s="526"/>
      <c r="L240" s="710"/>
      <c r="M240" s="582"/>
      <c r="N240" s="526"/>
      <c r="O240" s="710"/>
      <c r="P240" s="582"/>
      <c r="Q240" s="526"/>
      <c r="R240" s="762"/>
      <c r="S240" s="762"/>
      <c r="T240" s="526"/>
      <c r="U240" s="762"/>
      <c r="V240" s="762"/>
      <c r="W240" s="526"/>
      <c r="X240" s="2893"/>
      <c r="Y240" s="2893"/>
      <c r="Z240" s="2893"/>
      <c r="AA240" s="2893"/>
      <c r="AB240" s="2893"/>
      <c r="AC240" s="2893"/>
      <c r="AD240" s="2893"/>
      <c r="AE240" s="2893"/>
      <c r="AF240" s="2893"/>
      <c r="AG240" s="2893"/>
    </row>
    <row r="241" spans="1:33" ht="14.9" customHeight="1">
      <c r="A241" s="252"/>
      <c r="B241" s="2903" t="s">
        <v>627</v>
      </c>
      <c r="C241" s="2903"/>
      <c r="D241" s="2903"/>
      <c r="E241" s="2903"/>
      <c r="F241" s="6"/>
      <c r="G241" s="63"/>
      <c r="H241" s="794"/>
      <c r="I241" s="710"/>
      <c r="J241" s="582"/>
      <c r="K241" s="561"/>
      <c r="L241" s="710"/>
      <c r="M241" s="582"/>
      <c r="N241" s="561"/>
      <c r="O241" s="710"/>
      <c r="P241" s="582"/>
      <c r="Q241" s="561"/>
      <c r="R241" s="762"/>
      <c r="S241" s="762"/>
      <c r="T241" s="561"/>
      <c r="U241" s="762"/>
      <c r="V241" s="762"/>
      <c r="W241" s="561"/>
      <c r="X241" s="2893"/>
      <c r="Y241" s="2893"/>
      <c r="Z241" s="2893"/>
      <c r="AA241" s="2893"/>
      <c r="AB241" s="2893"/>
      <c r="AC241" s="2893"/>
      <c r="AD241" s="2893"/>
      <c r="AE241" s="2893"/>
      <c r="AF241" s="2893"/>
      <c r="AG241" s="2893"/>
    </row>
    <row r="242" spans="1:33" ht="14.9" customHeight="1">
      <c r="A242" s="252"/>
      <c r="B242" s="2904" t="s">
        <v>628</v>
      </c>
      <c r="C242" s="2904"/>
      <c r="D242" s="2904"/>
      <c r="E242" s="2904"/>
      <c r="F242" s="6"/>
      <c r="G242" s="63"/>
      <c r="H242" s="480"/>
      <c r="I242" s="710"/>
      <c r="J242" s="582"/>
      <c r="K242" s="526"/>
      <c r="L242" s="710"/>
      <c r="M242" s="582"/>
      <c r="N242" s="526"/>
      <c r="O242" s="710"/>
      <c r="P242" s="582"/>
      <c r="Q242" s="526"/>
      <c r="R242" s="762"/>
      <c r="S242" s="762"/>
      <c r="T242" s="526"/>
      <c r="U242" s="762"/>
      <c r="V242" s="762"/>
      <c r="W242" s="526"/>
      <c r="X242" s="2893"/>
      <c r="Y242" s="2893"/>
      <c r="Z242" s="2893"/>
      <c r="AA242" s="2893"/>
      <c r="AB242" s="2893"/>
      <c r="AC242" s="2893"/>
      <c r="AD242" s="2893"/>
      <c r="AE242" s="2893"/>
      <c r="AF242" s="2893"/>
      <c r="AG242" s="2893"/>
    </row>
    <row r="243" spans="1:33" ht="32.9" customHeight="1">
      <c r="A243" s="252"/>
      <c r="B243" s="2904" t="s">
        <v>629</v>
      </c>
      <c r="C243" s="2904"/>
      <c r="D243" s="2904"/>
      <c r="E243" s="2904"/>
      <c r="F243" s="6"/>
      <c r="G243" s="65"/>
      <c r="H243" s="795"/>
      <c r="I243" s="710"/>
      <c r="J243" s="711"/>
      <c r="K243" s="568"/>
      <c r="L243" s="710"/>
      <c r="M243" s="711"/>
      <c r="N243" s="568"/>
      <c r="O243" s="710"/>
      <c r="P243" s="712"/>
      <c r="Q243" s="568"/>
      <c r="R243" s="762"/>
      <c r="S243" s="762"/>
      <c r="T243" s="568"/>
      <c r="U243" s="762"/>
      <c r="V243" s="762"/>
      <c r="W243" s="568"/>
      <c r="X243" s="2893"/>
      <c r="Y243" s="2893"/>
      <c r="Z243" s="2893"/>
      <c r="AA243" s="2893"/>
      <c r="AB243" s="2893"/>
      <c r="AC243" s="2893"/>
      <c r="AD243" s="2893"/>
      <c r="AE243" s="2893"/>
      <c r="AF243" s="2893"/>
      <c r="AG243" s="2893"/>
    </row>
    <row r="244" spans="1:33" ht="14.9" customHeight="1">
      <c r="A244" s="252"/>
      <c r="B244" s="2903" t="s">
        <v>630</v>
      </c>
      <c r="C244" s="2903"/>
      <c r="D244" s="2903"/>
      <c r="E244" s="2903"/>
      <c r="F244" s="6"/>
      <c r="G244" s="65"/>
      <c r="H244" s="480"/>
      <c r="I244" s="710"/>
      <c r="J244" s="711"/>
      <c r="K244" s="526"/>
      <c r="L244" s="710"/>
      <c r="M244" s="711"/>
      <c r="N244" s="526"/>
      <c r="O244" s="710"/>
      <c r="P244" s="712"/>
      <c r="Q244" s="526"/>
      <c r="R244" s="762"/>
      <c r="S244" s="762"/>
      <c r="T244" s="526"/>
      <c r="U244" s="762"/>
      <c r="V244" s="762"/>
      <c r="W244" s="526"/>
      <c r="X244" s="2893"/>
      <c r="Y244" s="2893"/>
      <c r="Z244" s="2893"/>
      <c r="AA244" s="2893"/>
      <c r="AB244" s="2893"/>
      <c r="AC244" s="2893"/>
      <c r="AD244" s="2893"/>
      <c r="AE244" s="2893"/>
      <c r="AF244" s="2893"/>
      <c r="AG244" s="2893"/>
    </row>
    <row r="245" spans="1:33" ht="14.9" customHeight="1">
      <c r="A245" s="252"/>
      <c r="B245" s="2904" t="s">
        <v>634</v>
      </c>
      <c r="C245" s="2904"/>
      <c r="D245" s="2904"/>
      <c r="E245" s="2904"/>
      <c r="F245" s="6"/>
      <c r="G245" s="65"/>
      <c r="H245" s="481"/>
      <c r="I245" s="710"/>
      <c r="J245" s="711"/>
      <c r="K245" s="553"/>
      <c r="L245" s="710"/>
      <c r="M245" s="711"/>
      <c r="N245" s="553"/>
      <c r="O245" s="710"/>
      <c r="P245" s="712"/>
      <c r="Q245" s="553"/>
      <c r="R245" s="762"/>
      <c r="S245" s="762"/>
      <c r="T245" s="553"/>
      <c r="U245" s="762"/>
      <c r="V245" s="762"/>
      <c r="W245" s="553"/>
      <c r="X245" s="2893"/>
      <c r="Y245" s="2893"/>
      <c r="Z245" s="2893"/>
      <c r="AA245" s="2893"/>
      <c r="AB245" s="2893"/>
      <c r="AC245" s="2893"/>
      <c r="AD245" s="2893"/>
      <c r="AE245" s="2893"/>
      <c r="AF245" s="2893"/>
      <c r="AG245" s="2893"/>
    </row>
    <row r="246" spans="1:33" ht="32.15" customHeight="1">
      <c r="A246" s="252"/>
      <c r="B246" s="2903" t="s">
        <v>1551</v>
      </c>
      <c r="C246" s="2903"/>
      <c r="D246" s="2903"/>
      <c r="E246" s="2903"/>
      <c r="F246" s="6"/>
      <c r="G246" s="65"/>
      <c r="H246" s="796"/>
      <c r="I246" s="710"/>
      <c r="J246" s="711"/>
      <c r="K246" s="619"/>
      <c r="L246" s="710"/>
      <c r="M246" s="711"/>
      <c r="N246" s="619"/>
      <c r="O246" s="710"/>
      <c r="P246" s="712"/>
      <c r="Q246" s="619"/>
      <c r="R246" s="762"/>
      <c r="S246" s="762"/>
      <c r="T246" s="619"/>
      <c r="U246" s="762"/>
      <c r="V246" s="762"/>
      <c r="W246" s="619"/>
      <c r="X246" s="2893"/>
      <c r="Y246" s="2893"/>
      <c r="Z246" s="2893"/>
      <c r="AA246" s="2893"/>
      <c r="AB246" s="2893"/>
      <c r="AC246" s="2893"/>
      <c r="AD246" s="2893"/>
      <c r="AE246" s="2893"/>
      <c r="AF246" s="2893"/>
      <c r="AG246" s="2893"/>
    </row>
    <row r="247" spans="1:33" ht="32.15" customHeight="1">
      <c r="A247" s="252"/>
      <c r="B247" s="2903" t="s">
        <v>1552</v>
      </c>
      <c r="C247" s="2903"/>
      <c r="D247" s="2903"/>
      <c r="E247" s="2903"/>
      <c r="F247" s="6"/>
      <c r="G247" s="65"/>
      <c r="H247" s="796"/>
      <c r="I247" s="710"/>
      <c r="J247" s="711"/>
      <c r="K247" s="619"/>
      <c r="L247" s="710"/>
      <c r="M247" s="711"/>
      <c r="N247" s="619"/>
      <c r="O247" s="710"/>
      <c r="P247" s="712"/>
      <c r="Q247" s="619"/>
      <c r="R247" s="762"/>
      <c r="S247" s="762"/>
      <c r="T247" s="619"/>
      <c r="U247" s="762"/>
      <c r="V247" s="762"/>
      <c r="W247" s="619"/>
      <c r="X247" s="2893"/>
      <c r="Y247" s="2893"/>
      <c r="Z247" s="2893"/>
      <c r="AA247" s="2893"/>
      <c r="AB247" s="2893"/>
      <c r="AC247" s="2893"/>
      <c r="AD247" s="2893"/>
      <c r="AE247" s="2893"/>
      <c r="AF247" s="2893"/>
      <c r="AG247" s="2893"/>
    </row>
    <row r="248" spans="1:33" ht="32.9" customHeight="1">
      <c r="A248" s="252"/>
      <c r="B248" s="2903" t="s">
        <v>331</v>
      </c>
      <c r="C248" s="2903"/>
      <c r="D248" s="2903"/>
      <c r="E248" s="2903"/>
      <c r="F248" s="6"/>
      <c r="G248" s="65"/>
      <c r="H248" s="480"/>
      <c r="I248" s="710"/>
      <c r="J248" s="711"/>
      <c r="K248" s="526"/>
      <c r="L248" s="710"/>
      <c r="M248" s="711"/>
      <c r="N248" s="526"/>
      <c r="O248" s="710"/>
      <c r="P248" s="712"/>
      <c r="Q248" s="526"/>
      <c r="R248" s="762"/>
      <c r="S248" s="762"/>
      <c r="T248" s="526"/>
      <c r="U248" s="762"/>
      <c r="V248" s="762"/>
      <c r="W248" s="526"/>
      <c r="X248" s="2893"/>
      <c r="Y248" s="2893"/>
      <c r="Z248" s="2893"/>
      <c r="AA248" s="2893"/>
      <c r="AB248" s="2893"/>
      <c r="AC248" s="2893"/>
      <c r="AD248" s="2893"/>
      <c r="AE248" s="2893"/>
      <c r="AF248" s="2893"/>
      <c r="AG248" s="2893"/>
    </row>
    <row r="249" spans="1:33" ht="14.9" customHeight="1">
      <c r="A249" s="252"/>
      <c r="B249" s="2904" t="s">
        <v>332</v>
      </c>
      <c r="C249" s="2904"/>
      <c r="D249" s="2904"/>
      <c r="E249" s="2904"/>
      <c r="F249" s="6"/>
      <c r="G249" s="63"/>
      <c r="H249" s="480"/>
      <c r="I249" s="710"/>
      <c r="J249" s="582"/>
      <c r="K249" s="526"/>
      <c r="L249" s="710"/>
      <c r="M249" s="582"/>
      <c r="N249" s="526"/>
      <c r="O249" s="710"/>
      <c r="P249" s="582"/>
      <c r="Q249" s="526"/>
      <c r="R249" s="762"/>
      <c r="S249" s="762"/>
      <c r="T249" s="526"/>
      <c r="U249" s="762"/>
      <c r="V249" s="762"/>
      <c r="W249" s="526"/>
      <c r="X249" s="2893"/>
      <c r="Y249" s="2893"/>
      <c r="Z249" s="2893"/>
      <c r="AA249" s="2893"/>
      <c r="AB249" s="2893"/>
      <c r="AC249" s="2893"/>
      <c r="AD249" s="2893"/>
      <c r="AE249" s="2893"/>
      <c r="AF249" s="2893"/>
      <c r="AG249" s="2893"/>
    </row>
    <row r="250" spans="1:33" ht="14.9" customHeight="1">
      <c r="A250" s="252"/>
      <c r="B250" s="2903" t="s">
        <v>333</v>
      </c>
      <c r="C250" s="2903"/>
      <c r="D250" s="2903"/>
      <c r="E250" s="2903"/>
      <c r="F250" s="6"/>
      <c r="G250" s="65"/>
      <c r="H250" s="480"/>
      <c r="I250" s="710"/>
      <c r="J250" s="711"/>
      <c r="K250" s="526"/>
      <c r="L250" s="710"/>
      <c r="M250" s="711"/>
      <c r="N250" s="526"/>
      <c r="O250" s="710"/>
      <c r="P250" s="712"/>
      <c r="Q250" s="526"/>
      <c r="R250" s="762"/>
      <c r="S250" s="762"/>
      <c r="T250" s="526"/>
      <c r="U250" s="762"/>
      <c r="V250" s="762"/>
      <c r="W250" s="526"/>
      <c r="X250" s="2893"/>
      <c r="Y250" s="2893"/>
      <c r="Z250" s="2893"/>
      <c r="AA250" s="2893"/>
      <c r="AB250" s="2893"/>
      <c r="AC250" s="2893"/>
      <c r="AD250" s="2893"/>
      <c r="AE250" s="2893"/>
      <c r="AF250" s="2893"/>
      <c r="AG250" s="2893"/>
    </row>
    <row r="251" spans="1:33" ht="14.9" customHeight="1">
      <c r="A251" s="252"/>
      <c r="B251" s="2903" t="s">
        <v>334</v>
      </c>
      <c r="C251" s="2903"/>
      <c r="D251" s="2903"/>
      <c r="E251" s="2903"/>
      <c r="F251" s="6"/>
      <c r="G251" s="63"/>
      <c r="H251" s="480"/>
      <c r="I251" s="710"/>
      <c r="J251" s="582"/>
      <c r="K251" s="526"/>
      <c r="L251" s="710"/>
      <c r="M251" s="582"/>
      <c r="N251" s="526"/>
      <c r="O251" s="710"/>
      <c r="P251" s="582"/>
      <c r="Q251" s="526"/>
      <c r="R251" s="762"/>
      <c r="S251" s="762"/>
      <c r="T251" s="526"/>
      <c r="U251" s="762"/>
      <c r="V251" s="762"/>
      <c r="W251" s="526"/>
      <c r="X251" s="2893"/>
      <c r="Y251" s="2893"/>
      <c r="Z251" s="2893"/>
      <c r="AA251" s="2893"/>
      <c r="AB251" s="2893"/>
      <c r="AC251" s="2893"/>
      <c r="AD251" s="2893"/>
      <c r="AE251" s="2893"/>
      <c r="AF251" s="2893"/>
      <c r="AG251" s="2893"/>
    </row>
    <row r="252" spans="1:33" ht="14.9" customHeight="1">
      <c r="A252" s="252"/>
      <c r="B252" s="2904" t="s">
        <v>335</v>
      </c>
      <c r="C252" s="2904"/>
      <c r="D252" s="2904"/>
      <c r="E252" s="2904"/>
      <c r="H252" s="480"/>
      <c r="I252" s="713"/>
      <c r="J252" s="713"/>
      <c r="K252" s="526"/>
      <c r="L252" s="713"/>
      <c r="M252" s="713"/>
      <c r="N252" s="526"/>
      <c r="O252" s="713"/>
      <c r="P252" s="713"/>
      <c r="Q252" s="526"/>
      <c r="R252" s="762"/>
      <c r="S252" s="762"/>
      <c r="T252" s="526"/>
      <c r="U252" s="762"/>
      <c r="V252" s="762"/>
      <c r="W252" s="526"/>
      <c r="X252" s="2893"/>
      <c r="Y252" s="2893"/>
      <c r="Z252" s="2893"/>
      <c r="AA252" s="2893"/>
      <c r="AB252" s="2893"/>
      <c r="AC252" s="2893"/>
      <c r="AD252" s="2893"/>
      <c r="AE252" s="2893"/>
      <c r="AF252" s="2893"/>
      <c r="AG252" s="2893"/>
    </row>
    <row r="253" spans="1:33" ht="14.9" customHeight="1">
      <c r="A253" s="252"/>
      <c r="B253" s="2903" t="s">
        <v>336</v>
      </c>
      <c r="C253" s="2903"/>
      <c r="D253" s="2903"/>
      <c r="E253" s="2903"/>
      <c r="F253" s="6"/>
      <c r="G253" s="63"/>
      <c r="H253" s="480"/>
      <c r="I253" s="710"/>
      <c r="J253" s="582"/>
      <c r="K253" s="526"/>
      <c r="L253" s="710"/>
      <c r="M253" s="582"/>
      <c r="N253" s="526"/>
      <c r="O253" s="710"/>
      <c r="P253" s="582"/>
      <c r="Q253" s="526"/>
      <c r="R253" s="762"/>
      <c r="S253" s="762"/>
      <c r="T253" s="526"/>
      <c r="U253" s="762"/>
      <c r="V253" s="762"/>
      <c r="W253" s="526"/>
      <c r="X253" s="2893"/>
      <c r="Y253" s="2893"/>
      <c r="Z253" s="2893"/>
      <c r="AA253" s="2893"/>
      <c r="AB253" s="2893"/>
      <c r="AC253" s="2893"/>
      <c r="AD253" s="2893"/>
      <c r="AE253" s="2893"/>
      <c r="AF253" s="2893"/>
      <c r="AG253" s="2893"/>
    </row>
    <row r="254" spans="1:33" ht="32.9" customHeight="1">
      <c r="A254" s="252"/>
      <c r="B254" s="2903" t="s">
        <v>337</v>
      </c>
      <c r="C254" s="2903"/>
      <c r="D254" s="2903"/>
      <c r="E254" s="2903"/>
      <c r="F254" s="6"/>
      <c r="G254" s="63"/>
      <c r="H254" s="480"/>
      <c r="I254" s="710"/>
      <c r="J254" s="582"/>
      <c r="K254" s="526"/>
      <c r="L254" s="710"/>
      <c r="M254" s="582"/>
      <c r="N254" s="526"/>
      <c r="O254" s="710"/>
      <c r="P254" s="582"/>
      <c r="Q254" s="526"/>
      <c r="R254" s="762"/>
      <c r="S254" s="762"/>
      <c r="T254" s="526"/>
      <c r="U254" s="762"/>
      <c r="V254" s="762"/>
      <c r="W254" s="526"/>
      <c r="X254" s="2893"/>
      <c r="Y254" s="2893"/>
      <c r="Z254" s="2893"/>
      <c r="AA254" s="2893"/>
      <c r="AB254" s="2893"/>
      <c r="AC254" s="2893"/>
      <c r="AD254" s="2893"/>
      <c r="AE254" s="2893"/>
      <c r="AF254" s="2893"/>
      <c r="AG254" s="2893"/>
    </row>
    <row r="255" spans="1:33" ht="32.9" customHeight="1">
      <c r="A255" s="252"/>
      <c r="B255" s="2903" t="s">
        <v>338</v>
      </c>
      <c r="C255" s="2903"/>
      <c r="D255" s="2903"/>
      <c r="E255" s="2903"/>
      <c r="F255" s="6"/>
      <c r="G255" s="63"/>
      <c r="H255" s="480"/>
      <c r="I255" s="710"/>
      <c r="J255" s="582"/>
      <c r="K255" s="526"/>
      <c r="L255" s="710"/>
      <c r="M255" s="582"/>
      <c r="N255" s="526"/>
      <c r="O255" s="710"/>
      <c r="P255" s="582"/>
      <c r="Q255" s="526"/>
      <c r="R255" s="762"/>
      <c r="S255" s="762"/>
      <c r="T255" s="526"/>
      <c r="U255" s="762"/>
      <c r="V255" s="762"/>
      <c r="W255" s="526"/>
      <c r="X255" s="2893"/>
      <c r="Y255" s="2893"/>
      <c r="Z255" s="2893"/>
      <c r="AA255" s="2893"/>
      <c r="AB255" s="2893"/>
      <c r="AC255" s="2893"/>
      <c r="AD255" s="2893"/>
      <c r="AE255" s="2893"/>
      <c r="AF255" s="2893"/>
      <c r="AG255" s="2893"/>
    </row>
    <row r="256" spans="1:33" ht="14.9" customHeight="1">
      <c r="A256" s="252"/>
      <c r="B256" s="2903" t="s">
        <v>735</v>
      </c>
      <c r="C256" s="2903"/>
      <c r="D256" s="2903"/>
      <c r="E256" s="2903"/>
      <c r="F256" s="6"/>
      <c r="G256" s="63"/>
      <c r="H256" s="480"/>
      <c r="I256" s="710"/>
      <c r="J256" s="582"/>
      <c r="K256" s="526"/>
      <c r="L256" s="710"/>
      <c r="M256" s="582"/>
      <c r="N256" s="526"/>
      <c r="O256" s="710"/>
      <c r="P256" s="582"/>
      <c r="Q256" s="526"/>
      <c r="R256" s="762"/>
      <c r="S256" s="762"/>
      <c r="T256" s="526"/>
      <c r="U256" s="762"/>
      <c r="V256" s="762"/>
      <c r="W256" s="526"/>
      <c r="X256" s="2893"/>
      <c r="Y256" s="2893"/>
      <c r="Z256" s="2893"/>
      <c r="AA256" s="2893"/>
      <c r="AB256" s="2893"/>
      <c r="AC256" s="2893"/>
      <c r="AD256" s="2893"/>
      <c r="AE256" s="2893"/>
      <c r="AF256" s="2893"/>
      <c r="AG256" s="2893"/>
    </row>
    <row r="257" spans="1:33" ht="14.9" customHeight="1">
      <c r="A257" s="252"/>
      <c r="B257" s="2903" t="s">
        <v>734</v>
      </c>
      <c r="C257" s="2903"/>
      <c r="D257" s="2903"/>
      <c r="E257" s="2903"/>
      <c r="F257" s="6"/>
      <c r="G257" s="63"/>
      <c r="H257" s="802"/>
      <c r="I257" s="741"/>
      <c r="J257" s="557"/>
      <c r="K257" s="769"/>
      <c r="L257" s="741"/>
      <c r="M257" s="557"/>
      <c r="N257" s="769"/>
      <c r="O257" s="741"/>
      <c r="P257" s="557"/>
      <c r="Q257" s="769"/>
      <c r="R257" s="768"/>
      <c r="S257" s="768"/>
      <c r="T257" s="769"/>
      <c r="U257" s="768"/>
      <c r="V257" s="768"/>
      <c r="W257" s="769"/>
      <c r="X257" s="2893"/>
      <c r="Y257" s="2893"/>
      <c r="Z257" s="2893"/>
      <c r="AA257" s="2893"/>
      <c r="AB257" s="2893"/>
      <c r="AC257" s="2893"/>
      <c r="AD257" s="2893"/>
      <c r="AE257" s="2893"/>
      <c r="AF257" s="2893"/>
      <c r="AG257" s="2893"/>
    </row>
    <row r="258" spans="1:33">
      <c r="A258" s="237"/>
      <c r="B258" s="6"/>
      <c r="C258" s="6"/>
      <c r="D258" s="6"/>
      <c r="E258" s="6"/>
      <c r="F258" s="6"/>
      <c r="G258" s="6"/>
      <c r="H258" s="121"/>
      <c r="I258" s="6"/>
      <c r="J258" s="6"/>
      <c r="K258" s="121"/>
      <c r="L258" s="6"/>
      <c r="M258" s="6"/>
      <c r="N258" s="121"/>
      <c r="O258" s="6"/>
      <c r="P258" s="6"/>
      <c r="Q258" s="1791"/>
      <c r="R258" s="1772"/>
      <c r="S258" s="1772"/>
      <c r="T258" s="1791"/>
      <c r="U258" s="1772"/>
      <c r="V258" s="1772"/>
      <c r="W258" s="1791"/>
      <c r="X258" s="2906"/>
      <c r="Y258" s="2906"/>
      <c r="Z258" s="2906"/>
      <c r="AA258" s="2906"/>
      <c r="AB258" s="2906"/>
      <c r="AC258" s="2906"/>
      <c r="AD258" s="2906"/>
      <c r="AE258" s="2906"/>
      <c r="AF258" s="2906"/>
      <c r="AG258" s="2906"/>
    </row>
    <row r="259" spans="1:33" ht="21.65" customHeight="1">
      <c r="A259" s="2907" t="s">
        <v>733</v>
      </c>
      <c r="B259" s="2907"/>
      <c r="C259" s="2907"/>
      <c r="D259" s="2907"/>
      <c r="E259" s="2907"/>
      <c r="F259" s="2907"/>
      <c r="G259" s="2907"/>
      <c r="H259" s="1793"/>
      <c r="I259" s="597"/>
      <c r="J259" s="594"/>
      <c r="K259" s="1793"/>
      <c r="L259" s="597"/>
      <c r="M259" s="594"/>
      <c r="N259" s="669"/>
      <c r="O259" s="594"/>
      <c r="P259" s="670"/>
      <c r="Q259" s="671"/>
      <c r="R259" s="682"/>
      <c r="S259" s="682"/>
      <c r="T259" s="682"/>
      <c r="U259" s="682"/>
      <c r="V259" s="682"/>
      <c r="W259" s="682"/>
      <c r="X259" s="2909"/>
      <c r="Y259" s="2909"/>
      <c r="Z259" s="2909"/>
      <c r="AA259" s="2909"/>
      <c r="AB259" s="2909"/>
      <c r="AC259" s="2909"/>
      <c r="AD259" s="2909"/>
      <c r="AE259" s="2909"/>
      <c r="AF259" s="2909"/>
      <c r="AG259" s="2909"/>
    </row>
    <row r="260" spans="1:33" ht="18.649999999999999" hidden="1" customHeight="1">
      <c r="A260" s="1"/>
      <c r="B260" s="502"/>
      <c r="C260" s="50"/>
      <c r="D260" s="50"/>
      <c r="E260" s="50"/>
      <c r="G260" s="1773"/>
      <c r="H260" s="60"/>
      <c r="I260" s="6"/>
      <c r="J260" s="65"/>
      <c r="K260" s="60"/>
      <c r="L260" s="6"/>
      <c r="M260" s="65"/>
      <c r="N260" s="60"/>
      <c r="P260" s="66"/>
      <c r="Q260" s="1788"/>
      <c r="R260" s="1772"/>
      <c r="S260" s="1772"/>
      <c r="T260" s="1788"/>
      <c r="U260" s="1772"/>
      <c r="V260" s="1772"/>
      <c r="W260" s="1788"/>
      <c r="X260" s="2910"/>
      <c r="Y260" s="2910"/>
      <c r="Z260" s="2910"/>
      <c r="AA260" s="2910"/>
      <c r="AB260" s="2910"/>
      <c r="AC260" s="2910"/>
      <c r="AD260" s="2910"/>
      <c r="AE260" s="2910"/>
      <c r="AF260" s="2910"/>
      <c r="AG260" s="2910"/>
    </row>
    <row r="261" spans="1:33" ht="14.9" customHeight="1">
      <c r="A261" s="252"/>
      <c r="B261" s="2903" t="s">
        <v>241</v>
      </c>
      <c r="C261" s="2903"/>
      <c r="D261" s="2903"/>
      <c r="E261" s="2903"/>
      <c r="F261" s="6"/>
      <c r="G261" s="65"/>
      <c r="H261" s="801"/>
      <c r="I261" s="710"/>
      <c r="J261" s="711"/>
      <c r="K261" s="588"/>
      <c r="L261" s="710"/>
      <c r="M261" s="711"/>
      <c r="N261" s="588"/>
      <c r="O261" s="710"/>
      <c r="P261" s="712"/>
      <c r="Q261" s="588"/>
      <c r="R261" s="762"/>
      <c r="S261" s="762"/>
      <c r="T261" s="588"/>
      <c r="U261" s="762"/>
      <c r="V261" s="762"/>
      <c r="W261" s="588"/>
      <c r="X261" s="2893"/>
      <c r="Y261" s="2893"/>
      <c r="Z261" s="2893"/>
      <c r="AA261" s="2893"/>
      <c r="AB261" s="2893"/>
      <c r="AC261" s="2893"/>
      <c r="AD261" s="2893"/>
      <c r="AE261" s="2893"/>
      <c r="AF261" s="2893"/>
      <c r="AG261" s="2893"/>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911"/>
      <c r="Y262" s="2911"/>
      <c r="Z262" s="2911"/>
      <c r="AA262" s="2911"/>
      <c r="AB262" s="2911"/>
      <c r="AC262" s="2911"/>
      <c r="AD262" s="2911"/>
      <c r="AE262" s="2911"/>
      <c r="AF262" s="2911"/>
      <c r="AG262" s="2911"/>
    </row>
    <row r="263" spans="1:33" ht="14.9" customHeight="1">
      <c r="A263" s="252"/>
      <c r="B263" s="2903" t="s">
        <v>625</v>
      </c>
      <c r="C263" s="2903"/>
      <c r="D263" s="2903"/>
      <c r="E263" s="2903"/>
      <c r="F263" s="6"/>
      <c r="G263" s="65"/>
      <c r="H263" s="799"/>
      <c r="I263" s="710"/>
      <c r="J263" s="711"/>
      <c r="K263" s="628"/>
      <c r="L263" s="710"/>
      <c r="M263" s="711"/>
      <c r="N263" s="628"/>
      <c r="O263" s="710"/>
      <c r="P263" s="712"/>
      <c r="Q263" s="628"/>
      <c r="R263" s="762"/>
      <c r="S263" s="762"/>
      <c r="T263" s="628"/>
      <c r="U263" s="762"/>
      <c r="V263" s="762"/>
      <c r="W263" s="628"/>
      <c r="X263" s="2893"/>
      <c r="Y263" s="2893"/>
      <c r="Z263" s="2893"/>
      <c r="AA263" s="2893"/>
      <c r="AB263" s="2893"/>
      <c r="AC263" s="2893"/>
      <c r="AD263" s="2893"/>
      <c r="AE263" s="2893"/>
      <c r="AF263" s="2893"/>
      <c r="AG263" s="2893"/>
    </row>
    <row r="264" spans="1:33" ht="14.9" customHeight="1">
      <c r="A264" s="252"/>
      <c r="B264" s="2903" t="s">
        <v>626</v>
      </c>
      <c r="C264" s="2903"/>
      <c r="D264" s="2903"/>
      <c r="E264" s="2903"/>
      <c r="F264" s="6"/>
      <c r="G264" s="65"/>
      <c r="H264" s="480"/>
      <c r="I264" s="710"/>
      <c r="J264" s="711"/>
      <c r="K264" s="526"/>
      <c r="L264" s="710"/>
      <c r="M264" s="711"/>
      <c r="N264" s="526"/>
      <c r="O264" s="710"/>
      <c r="P264" s="712"/>
      <c r="Q264" s="526"/>
      <c r="R264" s="762"/>
      <c r="S264" s="762"/>
      <c r="T264" s="526"/>
      <c r="U264" s="762"/>
      <c r="V264" s="762"/>
      <c r="W264" s="526"/>
      <c r="X264" s="2893"/>
      <c r="Y264" s="2893"/>
      <c r="Z264" s="2893"/>
      <c r="AA264" s="2893"/>
      <c r="AB264" s="2893"/>
      <c r="AC264" s="2893"/>
      <c r="AD264" s="2893"/>
      <c r="AE264" s="2893"/>
      <c r="AF264" s="2893"/>
      <c r="AG264" s="2893"/>
    </row>
    <row r="265" spans="1:33" ht="14.9" customHeight="1">
      <c r="A265" s="252"/>
      <c r="B265" s="2903" t="s">
        <v>627</v>
      </c>
      <c r="C265" s="2903"/>
      <c r="D265" s="2903"/>
      <c r="E265" s="2903"/>
      <c r="F265" s="6"/>
      <c r="G265" s="65"/>
      <c r="H265" s="794"/>
      <c r="I265" s="710"/>
      <c r="J265" s="711"/>
      <c r="K265" s="561"/>
      <c r="L265" s="710"/>
      <c r="M265" s="711"/>
      <c r="N265" s="561"/>
      <c r="O265" s="710"/>
      <c r="P265" s="712"/>
      <c r="Q265" s="561"/>
      <c r="R265" s="762"/>
      <c r="S265" s="762"/>
      <c r="T265" s="561"/>
      <c r="U265" s="762"/>
      <c r="V265" s="762"/>
      <c r="W265" s="561"/>
      <c r="X265" s="2893"/>
      <c r="Y265" s="2893"/>
      <c r="Z265" s="2893"/>
      <c r="AA265" s="2893"/>
      <c r="AB265" s="2893"/>
      <c r="AC265" s="2893"/>
      <c r="AD265" s="2893"/>
      <c r="AE265" s="2893"/>
      <c r="AF265" s="2893"/>
      <c r="AG265" s="2893"/>
    </row>
    <row r="266" spans="1:33" ht="14.9" customHeight="1">
      <c r="A266" s="252"/>
      <c r="B266" s="2904" t="s">
        <v>628</v>
      </c>
      <c r="C266" s="2904"/>
      <c r="D266" s="2904"/>
      <c r="E266" s="2904"/>
      <c r="F266" s="6"/>
      <c r="G266" s="65"/>
      <c r="H266" s="480"/>
      <c r="I266" s="710"/>
      <c r="J266" s="711"/>
      <c r="K266" s="526"/>
      <c r="L266" s="710"/>
      <c r="M266" s="711"/>
      <c r="N266" s="526"/>
      <c r="O266" s="710"/>
      <c r="P266" s="712"/>
      <c r="Q266" s="526"/>
      <c r="R266" s="762"/>
      <c r="S266" s="762"/>
      <c r="T266" s="526"/>
      <c r="U266" s="762"/>
      <c r="V266" s="762"/>
      <c r="W266" s="526"/>
      <c r="X266" s="2893"/>
      <c r="Y266" s="2893"/>
      <c r="Z266" s="2893"/>
      <c r="AA266" s="2893"/>
      <c r="AB266" s="2893"/>
      <c r="AC266" s="2893"/>
      <c r="AD266" s="2893"/>
      <c r="AE266" s="2893"/>
      <c r="AF266" s="2893"/>
      <c r="AG266" s="2893"/>
    </row>
    <row r="267" spans="1:33" ht="32.9" customHeight="1">
      <c r="A267" s="252"/>
      <c r="B267" s="2904" t="s">
        <v>629</v>
      </c>
      <c r="C267" s="2904"/>
      <c r="D267" s="2904"/>
      <c r="E267" s="2904"/>
      <c r="F267" s="6"/>
      <c r="G267" s="65"/>
      <c r="H267" s="795"/>
      <c r="I267" s="710"/>
      <c r="J267" s="711"/>
      <c r="K267" s="568"/>
      <c r="L267" s="710"/>
      <c r="M267" s="711"/>
      <c r="N267" s="568"/>
      <c r="O267" s="710"/>
      <c r="P267" s="712"/>
      <c r="Q267" s="568"/>
      <c r="R267" s="762"/>
      <c r="S267" s="762"/>
      <c r="T267" s="568"/>
      <c r="U267" s="762"/>
      <c r="V267" s="762"/>
      <c r="W267" s="568"/>
      <c r="X267" s="2893"/>
      <c r="Y267" s="2893"/>
      <c r="Z267" s="2893"/>
      <c r="AA267" s="2893"/>
      <c r="AB267" s="2893"/>
      <c r="AC267" s="2893"/>
      <c r="AD267" s="2893"/>
      <c r="AE267" s="2893"/>
      <c r="AF267" s="2893"/>
      <c r="AG267" s="2893"/>
    </row>
    <row r="268" spans="1:33" ht="14.9" customHeight="1">
      <c r="A268" s="252"/>
      <c r="B268" s="2903" t="s">
        <v>630</v>
      </c>
      <c r="C268" s="2903"/>
      <c r="D268" s="2903"/>
      <c r="E268" s="2903"/>
      <c r="F268" s="6"/>
      <c r="G268" s="65"/>
      <c r="H268" s="480"/>
      <c r="I268" s="710"/>
      <c r="J268" s="711"/>
      <c r="K268" s="526"/>
      <c r="L268" s="710"/>
      <c r="M268" s="711"/>
      <c r="N268" s="526"/>
      <c r="O268" s="710"/>
      <c r="P268" s="712"/>
      <c r="Q268" s="526"/>
      <c r="R268" s="762"/>
      <c r="S268" s="762"/>
      <c r="T268" s="526"/>
      <c r="U268" s="762"/>
      <c r="V268" s="762"/>
      <c r="W268" s="526"/>
      <c r="X268" s="2893"/>
      <c r="Y268" s="2893"/>
      <c r="Z268" s="2893"/>
      <c r="AA268" s="2893"/>
      <c r="AB268" s="2893"/>
      <c r="AC268" s="2893"/>
      <c r="AD268" s="2893"/>
      <c r="AE268" s="2893"/>
      <c r="AF268" s="2893"/>
      <c r="AG268" s="2893"/>
    </row>
    <row r="269" spans="1:33" ht="14.9" customHeight="1">
      <c r="A269" s="252"/>
      <c r="B269" s="2904" t="s">
        <v>634</v>
      </c>
      <c r="C269" s="2904"/>
      <c r="D269" s="2904"/>
      <c r="E269" s="2904"/>
      <c r="F269" s="6"/>
      <c r="G269" s="63"/>
      <c r="H269" s="481"/>
      <c r="I269" s="710"/>
      <c r="J269" s="582"/>
      <c r="K269" s="553"/>
      <c r="L269" s="748"/>
      <c r="M269" s="711"/>
      <c r="N269" s="553"/>
      <c r="O269" s="710"/>
      <c r="P269" s="582"/>
      <c r="Q269" s="553"/>
      <c r="R269" s="762"/>
      <c r="S269" s="762"/>
      <c r="T269" s="553"/>
      <c r="U269" s="762"/>
      <c r="V269" s="762"/>
      <c r="W269" s="553"/>
      <c r="X269" s="2893"/>
      <c r="Y269" s="2893"/>
      <c r="Z269" s="2893"/>
      <c r="AA269" s="2893"/>
      <c r="AB269" s="2893"/>
      <c r="AC269" s="2893"/>
      <c r="AD269" s="2893"/>
      <c r="AE269" s="2893"/>
      <c r="AF269" s="2893"/>
      <c r="AG269" s="2893"/>
    </row>
    <row r="270" spans="1:33" ht="29.15" customHeight="1">
      <c r="A270" s="252"/>
      <c r="B270" s="2903" t="s">
        <v>1551</v>
      </c>
      <c r="C270" s="2903"/>
      <c r="D270" s="2903"/>
      <c r="E270" s="2903"/>
      <c r="F270" s="6"/>
      <c r="G270" s="63"/>
      <c r="H270" s="796"/>
      <c r="I270" s="710"/>
      <c r="J270" s="582"/>
      <c r="K270" s="619"/>
      <c r="L270" s="748"/>
      <c r="M270" s="711"/>
      <c r="N270" s="619"/>
      <c r="O270" s="710"/>
      <c r="P270" s="582"/>
      <c r="Q270" s="619"/>
      <c r="R270" s="762"/>
      <c r="S270" s="762"/>
      <c r="T270" s="619"/>
      <c r="U270" s="762"/>
      <c r="V270" s="762"/>
      <c r="W270" s="619"/>
      <c r="X270" s="2893"/>
      <c r="Y270" s="2893"/>
      <c r="Z270" s="2893"/>
      <c r="AA270" s="2893"/>
      <c r="AB270" s="2893"/>
      <c r="AC270" s="2893"/>
      <c r="AD270" s="2893"/>
      <c r="AE270" s="2893"/>
      <c r="AF270" s="2893"/>
      <c r="AG270" s="2893"/>
    </row>
    <row r="271" spans="1:33" ht="29.15" customHeight="1">
      <c r="A271" s="252"/>
      <c r="B271" s="2903" t="s">
        <v>1552</v>
      </c>
      <c r="C271" s="2903"/>
      <c r="D271" s="2903"/>
      <c r="E271" s="2903"/>
      <c r="F271" s="6"/>
      <c r="G271" s="63"/>
      <c r="H271" s="796"/>
      <c r="I271" s="710"/>
      <c r="J271" s="582"/>
      <c r="K271" s="619"/>
      <c r="L271" s="748"/>
      <c r="M271" s="711"/>
      <c r="N271" s="619"/>
      <c r="O271" s="710"/>
      <c r="P271" s="582"/>
      <c r="Q271" s="619"/>
      <c r="R271" s="762"/>
      <c r="S271" s="762"/>
      <c r="T271" s="619"/>
      <c r="U271" s="762"/>
      <c r="V271" s="762"/>
      <c r="W271" s="619"/>
      <c r="X271" s="2893"/>
      <c r="Y271" s="2893"/>
      <c r="Z271" s="2893"/>
      <c r="AA271" s="2893"/>
      <c r="AB271" s="2893"/>
      <c r="AC271" s="2893"/>
      <c r="AD271" s="2893"/>
      <c r="AE271" s="2893"/>
      <c r="AF271" s="2893"/>
      <c r="AG271" s="2893"/>
    </row>
    <row r="272" spans="1:33" ht="32.9" customHeight="1">
      <c r="A272" s="252"/>
      <c r="B272" s="2903" t="s">
        <v>331</v>
      </c>
      <c r="C272" s="2903"/>
      <c r="D272" s="2903"/>
      <c r="E272" s="2903"/>
      <c r="F272" s="6"/>
      <c r="G272" s="65"/>
      <c r="H272" s="480"/>
      <c r="I272" s="710"/>
      <c r="J272" s="711"/>
      <c r="K272" s="526"/>
      <c r="L272" s="710"/>
      <c r="M272" s="711"/>
      <c r="N272" s="526"/>
      <c r="O272" s="710"/>
      <c r="P272" s="712"/>
      <c r="Q272" s="526"/>
      <c r="R272" s="762"/>
      <c r="S272" s="762"/>
      <c r="T272" s="526"/>
      <c r="U272" s="762"/>
      <c r="V272" s="762"/>
      <c r="W272" s="526"/>
      <c r="X272" s="2893"/>
      <c r="Y272" s="2893"/>
      <c r="Z272" s="2893"/>
      <c r="AA272" s="2893"/>
      <c r="AB272" s="2893"/>
      <c r="AC272" s="2893"/>
      <c r="AD272" s="2893"/>
      <c r="AE272" s="2893"/>
      <c r="AF272" s="2893"/>
      <c r="AG272" s="2893"/>
    </row>
    <row r="273" spans="1:33" ht="14.9" customHeight="1">
      <c r="A273" s="252"/>
      <c r="B273" s="2904" t="s">
        <v>332</v>
      </c>
      <c r="C273" s="2904"/>
      <c r="D273" s="2904"/>
      <c r="E273" s="2904"/>
      <c r="F273" s="6"/>
      <c r="G273" s="63"/>
      <c r="H273" s="480"/>
      <c r="I273" s="710"/>
      <c r="J273" s="582"/>
      <c r="K273" s="526"/>
      <c r="L273" s="748"/>
      <c r="M273" s="711"/>
      <c r="N273" s="526"/>
      <c r="O273" s="710"/>
      <c r="P273" s="582"/>
      <c r="Q273" s="526"/>
      <c r="R273" s="762"/>
      <c r="S273" s="762"/>
      <c r="T273" s="526"/>
      <c r="U273" s="762"/>
      <c r="V273" s="762"/>
      <c r="W273" s="526"/>
      <c r="X273" s="2893"/>
      <c r="Y273" s="2893"/>
      <c r="Z273" s="2893"/>
      <c r="AA273" s="2893"/>
      <c r="AB273" s="2893"/>
      <c r="AC273" s="2893"/>
      <c r="AD273" s="2893"/>
      <c r="AE273" s="2893"/>
      <c r="AF273" s="2893"/>
      <c r="AG273" s="2893"/>
    </row>
    <row r="274" spans="1:33" ht="14.9" customHeight="1">
      <c r="A274" s="252"/>
      <c r="B274" s="2903" t="s">
        <v>333</v>
      </c>
      <c r="C274" s="2903"/>
      <c r="D274" s="2903"/>
      <c r="E274" s="2903"/>
      <c r="F274" s="6"/>
      <c r="G274" s="63"/>
      <c r="H274" s="480"/>
      <c r="I274" s="710"/>
      <c r="J274" s="582"/>
      <c r="K274" s="526"/>
      <c r="L274" s="748"/>
      <c r="M274" s="711"/>
      <c r="N274" s="526"/>
      <c r="O274" s="710"/>
      <c r="P274" s="582"/>
      <c r="Q274" s="526"/>
      <c r="R274" s="762"/>
      <c r="S274" s="762"/>
      <c r="T274" s="526"/>
      <c r="U274" s="762"/>
      <c r="V274" s="762"/>
      <c r="W274" s="526"/>
      <c r="X274" s="2893"/>
      <c r="Y274" s="2893"/>
      <c r="Z274" s="2893"/>
      <c r="AA274" s="2893"/>
      <c r="AB274" s="2893"/>
      <c r="AC274" s="2893"/>
      <c r="AD274" s="2893"/>
      <c r="AE274" s="2893"/>
      <c r="AF274" s="2893"/>
      <c r="AG274" s="2893"/>
    </row>
    <row r="275" spans="1:33" ht="14.9" customHeight="1">
      <c r="A275" s="252"/>
      <c r="B275" s="2903" t="s">
        <v>334</v>
      </c>
      <c r="C275" s="2903"/>
      <c r="D275" s="2903"/>
      <c r="E275" s="2903"/>
      <c r="F275" s="6"/>
      <c r="G275" s="63"/>
      <c r="H275" s="480"/>
      <c r="I275" s="710"/>
      <c r="J275" s="582"/>
      <c r="K275" s="526"/>
      <c r="L275" s="748"/>
      <c r="M275" s="711"/>
      <c r="N275" s="526"/>
      <c r="O275" s="710"/>
      <c r="P275" s="582"/>
      <c r="Q275" s="526"/>
      <c r="R275" s="762"/>
      <c r="S275" s="762"/>
      <c r="T275" s="526"/>
      <c r="U275" s="762"/>
      <c r="V275" s="762"/>
      <c r="W275" s="526"/>
      <c r="X275" s="2893"/>
      <c r="Y275" s="2893"/>
      <c r="Z275" s="2893"/>
      <c r="AA275" s="2893"/>
      <c r="AB275" s="2893"/>
      <c r="AC275" s="2893"/>
      <c r="AD275" s="2893"/>
      <c r="AE275" s="2893"/>
      <c r="AF275" s="2893"/>
      <c r="AG275" s="2893"/>
    </row>
    <row r="276" spans="1:33" ht="14.9" customHeight="1">
      <c r="A276" s="252"/>
      <c r="B276" s="2904" t="s">
        <v>335</v>
      </c>
      <c r="C276" s="2904"/>
      <c r="D276" s="2904"/>
      <c r="E276" s="2904"/>
      <c r="F276" s="6"/>
      <c r="G276" s="63"/>
      <c r="H276" s="480"/>
      <c r="I276" s="710"/>
      <c r="J276" s="582"/>
      <c r="K276" s="526"/>
      <c r="L276" s="748"/>
      <c r="M276" s="711"/>
      <c r="N276" s="526"/>
      <c r="O276" s="710"/>
      <c r="P276" s="582"/>
      <c r="Q276" s="526"/>
      <c r="R276" s="762"/>
      <c r="S276" s="762"/>
      <c r="T276" s="526"/>
      <c r="U276" s="762"/>
      <c r="V276" s="762"/>
      <c r="W276" s="526"/>
      <c r="X276" s="2893"/>
      <c r="Y276" s="2893"/>
      <c r="Z276" s="2893"/>
      <c r="AA276" s="2893"/>
      <c r="AB276" s="2893"/>
      <c r="AC276" s="2893"/>
      <c r="AD276" s="2893"/>
      <c r="AE276" s="2893"/>
      <c r="AF276" s="2893"/>
      <c r="AG276" s="2893"/>
    </row>
    <row r="277" spans="1:33" ht="14.9" customHeight="1">
      <c r="A277" s="252"/>
      <c r="B277" s="2903" t="s">
        <v>336</v>
      </c>
      <c r="C277" s="2903"/>
      <c r="D277" s="2903"/>
      <c r="E277" s="2903"/>
      <c r="F277" s="6"/>
      <c r="G277" s="63"/>
      <c r="H277" s="480"/>
      <c r="I277" s="710"/>
      <c r="J277" s="582"/>
      <c r="K277" s="526"/>
      <c r="L277" s="748"/>
      <c r="M277" s="711"/>
      <c r="N277" s="526"/>
      <c r="O277" s="710"/>
      <c r="P277" s="582"/>
      <c r="Q277" s="526"/>
      <c r="R277" s="762"/>
      <c r="S277" s="762"/>
      <c r="T277" s="526"/>
      <c r="U277" s="762"/>
      <c r="V277" s="762"/>
      <c r="W277" s="526"/>
      <c r="X277" s="2893"/>
      <c r="Y277" s="2893"/>
      <c r="Z277" s="2893"/>
      <c r="AA277" s="2893"/>
      <c r="AB277" s="2893"/>
      <c r="AC277" s="2893"/>
      <c r="AD277" s="2893"/>
      <c r="AE277" s="2893"/>
      <c r="AF277" s="2893"/>
      <c r="AG277" s="2893"/>
    </row>
    <row r="278" spans="1:33" ht="32.9" customHeight="1">
      <c r="A278" s="252"/>
      <c r="B278" s="2903" t="s">
        <v>337</v>
      </c>
      <c r="C278" s="2903"/>
      <c r="D278" s="2903"/>
      <c r="E278" s="2903"/>
      <c r="F278" s="6"/>
      <c r="G278" s="63"/>
      <c r="H278" s="480"/>
      <c r="I278" s="710"/>
      <c r="J278" s="582"/>
      <c r="K278" s="526"/>
      <c r="L278" s="748"/>
      <c r="M278" s="711"/>
      <c r="N278" s="526"/>
      <c r="O278" s="710"/>
      <c r="P278" s="582"/>
      <c r="Q278" s="526"/>
      <c r="R278" s="762"/>
      <c r="S278" s="762"/>
      <c r="T278" s="526"/>
      <c r="U278" s="762"/>
      <c r="V278" s="762"/>
      <c r="W278" s="526"/>
      <c r="X278" s="2893"/>
      <c r="Y278" s="2893"/>
      <c r="Z278" s="2893"/>
      <c r="AA278" s="2893"/>
      <c r="AB278" s="2893"/>
      <c r="AC278" s="2893"/>
      <c r="AD278" s="2893"/>
      <c r="AE278" s="2893"/>
      <c r="AF278" s="2893"/>
      <c r="AG278" s="2893"/>
    </row>
    <row r="279" spans="1:33" ht="32.9" customHeight="1">
      <c r="A279" s="252"/>
      <c r="B279" s="2903" t="s">
        <v>338</v>
      </c>
      <c r="C279" s="2903"/>
      <c r="D279" s="2903"/>
      <c r="E279" s="2903"/>
      <c r="F279" s="6"/>
      <c r="G279" s="63"/>
      <c r="H279" s="480"/>
      <c r="I279" s="710"/>
      <c r="J279" s="582"/>
      <c r="K279" s="526"/>
      <c r="L279" s="748"/>
      <c r="M279" s="711"/>
      <c r="N279" s="526"/>
      <c r="O279" s="710"/>
      <c r="P279" s="582"/>
      <c r="Q279" s="526"/>
      <c r="R279" s="762"/>
      <c r="S279" s="762"/>
      <c r="T279" s="526"/>
      <c r="U279" s="762"/>
      <c r="V279" s="762"/>
      <c r="W279" s="526"/>
      <c r="X279" s="2893"/>
      <c r="Y279" s="2893"/>
      <c r="Z279" s="2893"/>
      <c r="AA279" s="2893"/>
      <c r="AB279" s="2893"/>
      <c r="AC279" s="2893"/>
      <c r="AD279" s="2893"/>
      <c r="AE279" s="2893"/>
      <c r="AF279" s="2893"/>
      <c r="AG279" s="2893"/>
    </row>
    <row r="280" spans="1:33" ht="14.9" customHeight="1">
      <c r="A280" s="252"/>
      <c r="B280" s="2903" t="s">
        <v>735</v>
      </c>
      <c r="C280" s="2903"/>
      <c r="D280" s="2903"/>
      <c r="E280" s="2903"/>
      <c r="F280" s="6"/>
      <c r="G280" s="63"/>
      <c r="H280" s="480"/>
      <c r="I280" s="710"/>
      <c r="J280" s="582"/>
      <c r="K280" s="526"/>
      <c r="L280" s="748"/>
      <c r="M280" s="711"/>
      <c r="N280" s="526"/>
      <c r="O280" s="710"/>
      <c r="P280" s="582"/>
      <c r="Q280" s="526"/>
      <c r="R280" s="762"/>
      <c r="S280" s="762"/>
      <c r="T280" s="526"/>
      <c r="U280" s="762"/>
      <c r="V280" s="762"/>
      <c r="W280" s="526"/>
      <c r="X280" s="2893"/>
      <c r="Y280" s="2893"/>
      <c r="Z280" s="2893"/>
      <c r="AA280" s="2893"/>
      <c r="AB280" s="2893"/>
      <c r="AC280" s="2893"/>
      <c r="AD280" s="2893"/>
      <c r="AE280" s="2893"/>
      <c r="AF280" s="2893"/>
      <c r="AG280" s="2893"/>
    </row>
    <row r="281" spans="1:33" ht="14.9" customHeight="1">
      <c r="A281" s="252"/>
      <c r="B281" s="2903" t="s">
        <v>734</v>
      </c>
      <c r="C281" s="2903"/>
      <c r="D281" s="2903"/>
      <c r="E281" s="2903"/>
      <c r="F281" s="6"/>
      <c r="G281" s="63"/>
      <c r="H281" s="797"/>
      <c r="I281" s="710"/>
      <c r="J281" s="582"/>
      <c r="K281" s="562"/>
      <c r="L281" s="748"/>
      <c r="M281" s="711"/>
      <c r="N281" s="562"/>
      <c r="O281" s="710"/>
      <c r="P281" s="582"/>
      <c r="Q281" s="562"/>
      <c r="R281" s="762"/>
      <c r="S281" s="762"/>
      <c r="T281" s="562"/>
      <c r="U281" s="762"/>
      <c r="V281" s="762"/>
      <c r="W281" s="562"/>
      <c r="X281" s="2893"/>
      <c r="Y281" s="2893"/>
      <c r="Z281" s="2893"/>
      <c r="AA281" s="2893"/>
      <c r="AB281" s="2893"/>
      <c r="AC281" s="2893"/>
      <c r="AD281" s="2893"/>
      <c r="AE281" s="2893"/>
      <c r="AF281" s="2893"/>
      <c r="AG281" s="2893"/>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911"/>
      <c r="Y282" s="2911"/>
      <c r="Z282" s="2911"/>
      <c r="AA282" s="2911"/>
      <c r="AB282" s="2911"/>
      <c r="AC282" s="2911"/>
      <c r="AD282" s="2911"/>
      <c r="AE282" s="2911"/>
      <c r="AF282" s="2911"/>
      <c r="AG282" s="2911"/>
    </row>
    <row r="283" spans="1:33" ht="14.9" customHeight="1">
      <c r="A283" s="252"/>
      <c r="B283" s="2903" t="s">
        <v>625</v>
      </c>
      <c r="C283" s="2903"/>
      <c r="D283" s="2903"/>
      <c r="E283" s="2903"/>
      <c r="F283" s="6"/>
      <c r="G283" s="65"/>
      <c r="H283" s="799"/>
      <c r="I283" s="710"/>
      <c r="J283" s="711"/>
      <c r="K283" s="628"/>
      <c r="L283" s="710"/>
      <c r="M283" s="711"/>
      <c r="N283" s="628"/>
      <c r="O283" s="710"/>
      <c r="P283" s="712"/>
      <c r="Q283" s="628"/>
      <c r="R283" s="762"/>
      <c r="S283" s="762"/>
      <c r="T283" s="628"/>
      <c r="U283" s="762"/>
      <c r="V283" s="762"/>
      <c r="W283" s="628"/>
      <c r="X283" s="2893"/>
      <c r="Y283" s="2893"/>
      <c r="Z283" s="2893"/>
      <c r="AA283" s="2893"/>
      <c r="AB283" s="2893"/>
      <c r="AC283" s="2893"/>
      <c r="AD283" s="2893"/>
      <c r="AE283" s="2893"/>
      <c r="AF283" s="2893"/>
      <c r="AG283" s="2893"/>
    </row>
    <row r="284" spans="1:33" ht="14.9" customHeight="1">
      <c r="A284" s="252"/>
      <c r="B284" s="2903" t="s">
        <v>626</v>
      </c>
      <c r="C284" s="2903"/>
      <c r="D284" s="2903"/>
      <c r="E284" s="2903"/>
      <c r="F284" s="6"/>
      <c r="G284" s="63"/>
      <c r="H284" s="480"/>
      <c r="I284" s="710"/>
      <c r="J284" s="582"/>
      <c r="K284" s="526"/>
      <c r="L284" s="748"/>
      <c r="M284" s="711"/>
      <c r="N284" s="526"/>
      <c r="O284" s="710"/>
      <c r="P284" s="582"/>
      <c r="Q284" s="526"/>
      <c r="R284" s="762"/>
      <c r="S284" s="762"/>
      <c r="T284" s="526"/>
      <c r="U284" s="762"/>
      <c r="V284" s="762"/>
      <c r="W284" s="526"/>
      <c r="X284" s="2893"/>
      <c r="Y284" s="2893"/>
      <c r="Z284" s="2893"/>
      <c r="AA284" s="2893"/>
      <c r="AB284" s="2893"/>
      <c r="AC284" s="2893"/>
      <c r="AD284" s="2893"/>
      <c r="AE284" s="2893"/>
      <c r="AF284" s="2893"/>
      <c r="AG284" s="2893"/>
    </row>
    <row r="285" spans="1:33" ht="14.9" customHeight="1">
      <c r="A285" s="252"/>
      <c r="B285" s="2903" t="s">
        <v>627</v>
      </c>
      <c r="C285" s="2903"/>
      <c r="D285" s="2903"/>
      <c r="E285" s="2903"/>
      <c r="F285" s="6"/>
      <c r="G285" s="63"/>
      <c r="H285" s="794"/>
      <c r="I285" s="710"/>
      <c r="J285" s="582"/>
      <c r="K285" s="561"/>
      <c r="L285" s="748"/>
      <c r="M285" s="711"/>
      <c r="N285" s="561"/>
      <c r="O285" s="710"/>
      <c r="P285" s="582"/>
      <c r="Q285" s="561"/>
      <c r="R285" s="762"/>
      <c r="S285" s="762"/>
      <c r="T285" s="561"/>
      <c r="U285" s="762"/>
      <c r="V285" s="762"/>
      <c r="W285" s="561"/>
      <c r="X285" s="2893"/>
      <c r="Y285" s="2893"/>
      <c r="Z285" s="2893"/>
      <c r="AA285" s="2893"/>
      <c r="AB285" s="2893"/>
      <c r="AC285" s="2893"/>
      <c r="AD285" s="2893"/>
      <c r="AE285" s="2893"/>
      <c r="AF285" s="2893"/>
      <c r="AG285" s="2893"/>
    </row>
    <row r="286" spans="1:33" ht="14.9" customHeight="1">
      <c r="A286" s="252"/>
      <c r="B286" s="2904" t="s">
        <v>628</v>
      </c>
      <c r="C286" s="2904"/>
      <c r="D286" s="2904"/>
      <c r="E286" s="2904"/>
      <c r="F286" s="6"/>
      <c r="G286" s="63"/>
      <c r="H286" s="480"/>
      <c r="I286" s="710"/>
      <c r="J286" s="582"/>
      <c r="K286" s="526"/>
      <c r="L286" s="748"/>
      <c r="M286" s="711"/>
      <c r="N286" s="526"/>
      <c r="O286" s="710"/>
      <c r="P286" s="582"/>
      <c r="Q286" s="526"/>
      <c r="R286" s="762"/>
      <c r="S286" s="762"/>
      <c r="T286" s="526"/>
      <c r="U286" s="762"/>
      <c r="V286" s="762"/>
      <c r="W286" s="526"/>
      <c r="X286" s="2893"/>
      <c r="Y286" s="2893"/>
      <c r="Z286" s="2893"/>
      <c r="AA286" s="2893"/>
      <c r="AB286" s="2893"/>
      <c r="AC286" s="2893"/>
      <c r="AD286" s="2893"/>
      <c r="AE286" s="2893"/>
      <c r="AF286" s="2893"/>
      <c r="AG286" s="2893"/>
    </row>
    <row r="287" spans="1:33" ht="33.75" customHeight="1">
      <c r="A287" s="252"/>
      <c r="B287" s="2904" t="s">
        <v>629</v>
      </c>
      <c r="C287" s="2904"/>
      <c r="D287" s="2904"/>
      <c r="E287" s="2904"/>
      <c r="F287" s="6"/>
      <c r="G287" s="65"/>
      <c r="H287" s="795"/>
      <c r="I287" s="710"/>
      <c r="J287" s="711"/>
      <c r="K287" s="568"/>
      <c r="L287" s="710"/>
      <c r="M287" s="711"/>
      <c r="N287" s="568"/>
      <c r="O287" s="710"/>
      <c r="P287" s="712"/>
      <c r="Q287" s="568"/>
      <c r="R287" s="762"/>
      <c r="S287" s="762"/>
      <c r="T287" s="568"/>
      <c r="U287" s="762"/>
      <c r="V287" s="762"/>
      <c r="W287" s="568"/>
      <c r="X287" s="2893"/>
      <c r="Y287" s="2893"/>
      <c r="Z287" s="2893"/>
      <c r="AA287" s="2893"/>
      <c r="AB287" s="2893"/>
      <c r="AC287" s="2893"/>
      <c r="AD287" s="2893"/>
      <c r="AE287" s="2893"/>
      <c r="AF287" s="2893"/>
      <c r="AG287" s="2893"/>
    </row>
    <row r="288" spans="1:33" ht="14.9" customHeight="1">
      <c r="A288" s="252"/>
      <c r="B288" s="2903" t="s">
        <v>630</v>
      </c>
      <c r="C288" s="2903"/>
      <c r="D288" s="2903"/>
      <c r="E288" s="2903"/>
      <c r="F288" s="6"/>
      <c r="G288" s="65"/>
      <c r="H288" s="480"/>
      <c r="I288" s="710"/>
      <c r="J288" s="711"/>
      <c r="K288" s="526"/>
      <c r="L288" s="710"/>
      <c r="M288" s="711"/>
      <c r="N288" s="526"/>
      <c r="O288" s="710"/>
      <c r="P288" s="712"/>
      <c r="Q288" s="526"/>
      <c r="R288" s="762"/>
      <c r="S288" s="762"/>
      <c r="T288" s="526"/>
      <c r="U288" s="762"/>
      <c r="V288" s="762"/>
      <c r="W288" s="526"/>
      <c r="X288" s="2893"/>
      <c r="Y288" s="2893"/>
      <c r="Z288" s="2893"/>
      <c r="AA288" s="2893"/>
      <c r="AB288" s="2893"/>
      <c r="AC288" s="2893"/>
      <c r="AD288" s="2893"/>
      <c r="AE288" s="2893"/>
      <c r="AF288" s="2893"/>
      <c r="AG288" s="2893"/>
    </row>
    <row r="289" spans="1:33" ht="14.9" customHeight="1">
      <c r="A289" s="252"/>
      <c r="B289" s="2904" t="s">
        <v>634</v>
      </c>
      <c r="C289" s="2904"/>
      <c r="D289" s="2904"/>
      <c r="E289" s="2904"/>
      <c r="F289" s="6"/>
      <c r="G289" s="65"/>
      <c r="H289" s="481"/>
      <c r="I289" s="710"/>
      <c r="J289" s="711"/>
      <c r="K289" s="553"/>
      <c r="L289" s="710"/>
      <c r="M289" s="711"/>
      <c r="N289" s="553"/>
      <c r="O289" s="710"/>
      <c r="P289" s="712"/>
      <c r="Q289" s="553"/>
      <c r="R289" s="762"/>
      <c r="S289" s="762"/>
      <c r="T289" s="553"/>
      <c r="U289" s="762"/>
      <c r="V289" s="762"/>
      <c r="W289" s="553"/>
      <c r="X289" s="2893"/>
      <c r="Y289" s="2893"/>
      <c r="Z289" s="2893"/>
      <c r="AA289" s="2893"/>
      <c r="AB289" s="2893"/>
      <c r="AC289" s="2893"/>
      <c r="AD289" s="2893"/>
      <c r="AE289" s="2893"/>
      <c r="AF289" s="2893"/>
      <c r="AG289" s="2893"/>
    </row>
    <row r="290" spans="1:33" ht="29.15" customHeight="1">
      <c r="A290" s="252"/>
      <c r="B290" s="2903" t="s">
        <v>1551</v>
      </c>
      <c r="C290" s="2903"/>
      <c r="D290" s="2903"/>
      <c r="E290" s="2903"/>
      <c r="F290" s="6"/>
      <c r="G290" s="65"/>
      <c r="H290" s="796"/>
      <c r="I290" s="710"/>
      <c r="J290" s="711"/>
      <c r="K290" s="619"/>
      <c r="L290" s="710"/>
      <c r="M290" s="711"/>
      <c r="N290" s="619"/>
      <c r="O290" s="710"/>
      <c r="P290" s="712"/>
      <c r="Q290" s="619"/>
      <c r="R290" s="762"/>
      <c r="S290" s="762"/>
      <c r="T290" s="619"/>
      <c r="U290" s="762"/>
      <c r="V290" s="762"/>
      <c r="W290" s="619"/>
      <c r="X290" s="2893"/>
      <c r="Y290" s="2893"/>
      <c r="Z290" s="2893"/>
      <c r="AA290" s="2893"/>
      <c r="AB290" s="2893"/>
      <c r="AC290" s="2893"/>
      <c r="AD290" s="2893"/>
      <c r="AE290" s="2893"/>
      <c r="AF290" s="2893"/>
      <c r="AG290" s="2893"/>
    </row>
    <row r="291" spans="1:33" ht="29.15" customHeight="1">
      <c r="A291" s="252"/>
      <c r="B291" s="2903" t="s">
        <v>1552</v>
      </c>
      <c r="C291" s="2903"/>
      <c r="D291" s="2903"/>
      <c r="E291" s="2903"/>
      <c r="F291" s="6"/>
      <c r="G291" s="65"/>
      <c r="H291" s="796"/>
      <c r="I291" s="710"/>
      <c r="J291" s="711"/>
      <c r="K291" s="619"/>
      <c r="L291" s="710"/>
      <c r="M291" s="711"/>
      <c r="N291" s="619"/>
      <c r="O291" s="710"/>
      <c r="P291" s="712"/>
      <c r="Q291" s="619"/>
      <c r="R291" s="762"/>
      <c r="S291" s="762"/>
      <c r="T291" s="619"/>
      <c r="U291" s="762"/>
      <c r="V291" s="762"/>
      <c r="W291" s="619"/>
      <c r="X291" s="2893"/>
      <c r="Y291" s="2893"/>
      <c r="Z291" s="2893"/>
      <c r="AA291" s="2893"/>
      <c r="AB291" s="2893"/>
      <c r="AC291" s="2893"/>
      <c r="AD291" s="2893"/>
      <c r="AE291" s="2893"/>
      <c r="AF291" s="2893"/>
      <c r="AG291" s="2893"/>
    </row>
    <row r="292" spans="1:33" ht="33.75" customHeight="1">
      <c r="A292" s="252"/>
      <c r="B292" s="2903" t="s">
        <v>331</v>
      </c>
      <c r="C292" s="2903"/>
      <c r="D292" s="2903"/>
      <c r="E292" s="2903"/>
      <c r="F292" s="6"/>
      <c r="G292" s="65"/>
      <c r="H292" s="480"/>
      <c r="I292" s="710"/>
      <c r="J292" s="711"/>
      <c r="K292" s="526"/>
      <c r="L292" s="710"/>
      <c r="M292" s="711"/>
      <c r="N292" s="526"/>
      <c r="O292" s="710"/>
      <c r="P292" s="712"/>
      <c r="Q292" s="526"/>
      <c r="R292" s="762"/>
      <c r="S292" s="762"/>
      <c r="T292" s="526"/>
      <c r="U292" s="762"/>
      <c r="V292" s="762"/>
      <c r="W292" s="526"/>
      <c r="X292" s="2893"/>
      <c r="Y292" s="2893"/>
      <c r="Z292" s="2893"/>
      <c r="AA292" s="2893"/>
      <c r="AB292" s="2893"/>
      <c r="AC292" s="2893"/>
      <c r="AD292" s="2893"/>
      <c r="AE292" s="2893"/>
      <c r="AF292" s="2893"/>
      <c r="AG292" s="2893"/>
    </row>
    <row r="293" spans="1:33" ht="14.9" customHeight="1">
      <c r="A293" s="252"/>
      <c r="B293" s="2904" t="s">
        <v>332</v>
      </c>
      <c r="C293" s="2904"/>
      <c r="D293" s="2904"/>
      <c r="E293" s="2904"/>
      <c r="F293" s="6"/>
      <c r="G293" s="63"/>
      <c r="H293" s="480"/>
      <c r="I293" s="710"/>
      <c r="J293" s="582"/>
      <c r="K293" s="526"/>
      <c r="L293" s="748"/>
      <c r="M293" s="711"/>
      <c r="N293" s="526"/>
      <c r="O293" s="710"/>
      <c r="P293" s="582"/>
      <c r="Q293" s="526"/>
      <c r="R293" s="762"/>
      <c r="S293" s="762"/>
      <c r="T293" s="526"/>
      <c r="U293" s="762"/>
      <c r="V293" s="762"/>
      <c r="W293" s="526"/>
      <c r="X293" s="2893"/>
      <c r="Y293" s="2893"/>
      <c r="Z293" s="2893"/>
      <c r="AA293" s="2893"/>
      <c r="AB293" s="2893"/>
      <c r="AC293" s="2893"/>
      <c r="AD293" s="2893"/>
      <c r="AE293" s="2893"/>
      <c r="AF293" s="2893"/>
      <c r="AG293" s="2893"/>
    </row>
    <row r="294" spans="1:33" ht="14.9" customHeight="1">
      <c r="A294" s="252"/>
      <c r="B294" s="2903" t="s">
        <v>333</v>
      </c>
      <c r="C294" s="2903"/>
      <c r="D294" s="2903"/>
      <c r="E294" s="2903"/>
      <c r="F294" s="6"/>
      <c r="G294" s="63"/>
      <c r="H294" s="480"/>
      <c r="I294" s="710"/>
      <c r="J294" s="582"/>
      <c r="K294" s="526"/>
      <c r="L294" s="748"/>
      <c r="M294" s="711"/>
      <c r="N294" s="526"/>
      <c r="O294" s="710"/>
      <c r="P294" s="582"/>
      <c r="Q294" s="526"/>
      <c r="R294" s="762"/>
      <c r="S294" s="762"/>
      <c r="T294" s="526"/>
      <c r="U294" s="762"/>
      <c r="V294" s="762"/>
      <c r="W294" s="526"/>
      <c r="X294" s="2893"/>
      <c r="Y294" s="2893"/>
      <c r="Z294" s="2893"/>
      <c r="AA294" s="2893"/>
      <c r="AB294" s="2893"/>
      <c r="AC294" s="2893"/>
      <c r="AD294" s="2893"/>
      <c r="AE294" s="2893"/>
      <c r="AF294" s="2893"/>
      <c r="AG294" s="2893"/>
    </row>
    <row r="295" spans="1:33" ht="14.9" customHeight="1">
      <c r="A295" s="252"/>
      <c r="B295" s="2903" t="s">
        <v>334</v>
      </c>
      <c r="C295" s="2903"/>
      <c r="D295" s="2903"/>
      <c r="E295" s="2903"/>
      <c r="F295" s="6"/>
      <c r="G295" s="63"/>
      <c r="H295" s="480"/>
      <c r="I295" s="710"/>
      <c r="J295" s="582"/>
      <c r="K295" s="526"/>
      <c r="L295" s="748"/>
      <c r="M295" s="711"/>
      <c r="N295" s="526"/>
      <c r="O295" s="710"/>
      <c r="P295" s="582"/>
      <c r="Q295" s="526"/>
      <c r="R295" s="762"/>
      <c r="S295" s="762"/>
      <c r="T295" s="526"/>
      <c r="U295" s="762"/>
      <c r="V295" s="762"/>
      <c r="W295" s="526"/>
      <c r="X295" s="2893"/>
      <c r="Y295" s="2893"/>
      <c r="Z295" s="2893"/>
      <c r="AA295" s="2893"/>
      <c r="AB295" s="2893"/>
      <c r="AC295" s="2893"/>
      <c r="AD295" s="2893"/>
      <c r="AE295" s="2893"/>
      <c r="AF295" s="2893"/>
      <c r="AG295" s="2893"/>
    </row>
    <row r="296" spans="1:33" ht="14.9" customHeight="1">
      <c r="A296" s="252"/>
      <c r="B296" s="2904" t="s">
        <v>335</v>
      </c>
      <c r="C296" s="2904"/>
      <c r="D296" s="2904"/>
      <c r="E296" s="2904"/>
      <c r="F296" s="6"/>
      <c r="G296" s="63"/>
      <c r="H296" s="480"/>
      <c r="I296" s="710"/>
      <c r="J296" s="582"/>
      <c r="K296" s="526"/>
      <c r="L296" s="748"/>
      <c r="M296" s="711"/>
      <c r="N296" s="526"/>
      <c r="O296" s="710"/>
      <c r="P296" s="582"/>
      <c r="Q296" s="526"/>
      <c r="R296" s="762"/>
      <c r="S296" s="762"/>
      <c r="T296" s="526"/>
      <c r="U296" s="762"/>
      <c r="V296" s="762"/>
      <c r="W296" s="526"/>
      <c r="X296" s="2893"/>
      <c r="Y296" s="2893"/>
      <c r="Z296" s="2893"/>
      <c r="AA296" s="2893"/>
      <c r="AB296" s="2893"/>
      <c r="AC296" s="2893"/>
      <c r="AD296" s="2893"/>
      <c r="AE296" s="2893"/>
      <c r="AF296" s="2893"/>
      <c r="AG296" s="2893"/>
    </row>
    <row r="297" spans="1:33" ht="14.9" customHeight="1">
      <c r="A297" s="252"/>
      <c r="B297" s="2903" t="s">
        <v>336</v>
      </c>
      <c r="C297" s="2903"/>
      <c r="D297" s="2903"/>
      <c r="E297" s="2903"/>
      <c r="F297" s="6"/>
      <c r="G297" s="63"/>
      <c r="H297" s="480"/>
      <c r="I297" s="710"/>
      <c r="J297" s="582"/>
      <c r="K297" s="526"/>
      <c r="L297" s="748"/>
      <c r="M297" s="711"/>
      <c r="N297" s="526"/>
      <c r="O297" s="710"/>
      <c r="P297" s="582"/>
      <c r="Q297" s="526"/>
      <c r="R297" s="762"/>
      <c r="S297" s="762"/>
      <c r="T297" s="526"/>
      <c r="U297" s="762"/>
      <c r="V297" s="762"/>
      <c r="W297" s="526"/>
      <c r="X297" s="2893"/>
      <c r="Y297" s="2893"/>
      <c r="Z297" s="2893"/>
      <c r="AA297" s="2893"/>
      <c r="AB297" s="2893"/>
      <c r="AC297" s="2893"/>
      <c r="AD297" s="2893"/>
      <c r="AE297" s="2893"/>
      <c r="AF297" s="2893"/>
      <c r="AG297" s="2893"/>
    </row>
    <row r="298" spans="1:33" ht="33.75" customHeight="1">
      <c r="A298" s="252"/>
      <c r="B298" s="2903" t="s">
        <v>337</v>
      </c>
      <c r="C298" s="2903"/>
      <c r="D298" s="2903"/>
      <c r="E298" s="2903"/>
      <c r="F298" s="6"/>
      <c r="G298" s="63"/>
      <c r="H298" s="480"/>
      <c r="I298" s="710"/>
      <c r="J298" s="582"/>
      <c r="K298" s="526"/>
      <c r="L298" s="748"/>
      <c r="M298" s="711"/>
      <c r="N298" s="526"/>
      <c r="O298" s="710"/>
      <c r="P298" s="582"/>
      <c r="Q298" s="526"/>
      <c r="R298" s="762"/>
      <c r="S298" s="762"/>
      <c r="T298" s="526"/>
      <c r="U298" s="762"/>
      <c r="V298" s="762"/>
      <c r="W298" s="526"/>
      <c r="X298" s="2893"/>
      <c r="Y298" s="2893"/>
      <c r="Z298" s="2893"/>
      <c r="AA298" s="2893"/>
      <c r="AB298" s="2893"/>
      <c r="AC298" s="2893"/>
      <c r="AD298" s="2893"/>
      <c r="AE298" s="2893"/>
      <c r="AF298" s="2893"/>
      <c r="AG298" s="2893"/>
    </row>
    <row r="299" spans="1:33" ht="33.75" customHeight="1">
      <c r="A299" s="252"/>
      <c r="B299" s="2903" t="s">
        <v>338</v>
      </c>
      <c r="C299" s="2903"/>
      <c r="D299" s="2903"/>
      <c r="E299" s="2903"/>
      <c r="F299" s="6"/>
      <c r="G299" s="63"/>
      <c r="H299" s="480"/>
      <c r="I299" s="710"/>
      <c r="J299" s="582"/>
      <c r="K299" s="526"/>
      <c r="L299" s="748"/>
      <c r="M299" s="711"/>
      <c r="N299" s="526"/>
      <c r="O299" s="710"/>
      <c r="P299" s="582"/>
      <c r="Q299" s="526"/>
      <c r="R299" s="762"/>
      <c r="S299" s="762"/>
      <c r="T299" s="526"/>
      <c r="U299" s="762"/>
      <c r="V299" s="762"/>
      <c r="W299" s="526"/>
      <c r="X299" s="2893"/>
      <c r="Y299" s="2893"/>
      <c r="Z299" s="2893"/>
      <c r="AA299" s="2893"/>
      <c r="AB299" s="2893"/>
      <c r="AC299" s="2893"/>
      <c r="AD299" s="2893"/>
      <c r="AE299" s="2893"/>
      <c r="AF299" s="2893"/>
      <c r="AG299" s="2893"/>
    </row>
    <row r="300" spans="1:33" ht="14.9" customHeight="1">
      <c r="A300" s="252"/>
      <c r="B300" s="2903" t="s">
        <v>735</v>
      </c>
      <c r="C300" s="2903"/>
      <c r="D300" s="2903"/>
      <c r="E300" s="2903"/>
      <c r="F300" s="6"/>
      <c r="G300" s="63"/>
      <c r="H300" s="480"/>
      <c r="I300" s="710"/>
      <c r="J300" s="582"/>
      <c r="K300" s="526"/>
      <c r="L300" s="748"/>
      <c r="M300" s="711"/>
      <c r="N300" s="526"/>
      <c r="O300" s="710"/>
      <c r="P300" s="582"/>
      <c r="Q300" s="526"/>
      <c r="R300" s="762"/>
      <c r="S300" s="762"/>
      <c r="T300" s="526"/>
      <c r="U300" s="762"/>
      <c r="V300" s="762"/>
      <c r="W300" s="526"/>
      <c r="X300" s="2893"/>
      <c r="Y300" s="2893"/>
      <c r="Z300" s="2893"/>
      <c r="AA300" s="2893"/>
      <c r="AB300" s="2893"/>
      <c r="AC300" s="2893"/>
      <c r="AD300" s="2893"/>
      <c r="AE300" s="2893"/>
      <c r="AF300" s="2893"/>
      <c r="AG300" s="2893"/>
    </row>
    <row r="301" spans="1:33" ht="14.9" customHeight="1">
      <c r="A301" s="252"/>
      <c r="B301" s="2903" t="s">
        <v>734</v>
      </c>
      <c r="C301" s="2903"/>
      <c r="D301" s="2903"/>
      <c r="E301" s="2903"/>
      <c r="F301" s="6"/>
      <c r="G301" s="63"/>
      <c r="H301" s="797"/>
      <c r="I301" s="710"/>
      <c r="J301" s="582"/>
      <c r="K301" s="562"/>
      <c r="L301" s="748"/>
      <c r="M301" s="711"/>
      <c r="N301" s="562"/>
      <c r="O301" s="710"/>
      <c r="P301" s="582"/>
      <c r="Q301" s="562"/>
      <c r="R301" s="762"/>
      <c r="S301" s="762"/>
      <c r="T301" s="562"/>
      <c r="U301" s="762"/>
      <c r="V301" s="762"/>
      <c r="W301" s="562"/>
      <c r="X301" s="2893"/>
      <c r="Y301" s="2893"/>
      <c r="Z301" s="2893"/>
      <c r="AA301" s="2893"/>
      <c r="AB301" s="2893"/>
      <c r="AC301" s="2893"/>
      <c r="AD301" s="2893"/>
      <c r="AE301" s="2893"/>
      <c r="AF301" s="2893"/>
      <c r="AG301" s="2893"/>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911"/>
      <c r="Y302" s="2911"/>
      <c r="Z302" s="2911"/>
      <c r="AA302" s="2911"/>
      <c r="AB302" s="2911"/>
      <c r="AC302" s="2911"/>
      <c r="AD302" s="2911"/>
      <c r="AE302" s="2911"/>
      <c r="AF302" s="2911"/>
      <c r="AG302" s="2911"/>
    </row>
    <row r="303" spans="1:33" ht="14.9" customHeight="1">
      <c r="A303" s="252"/>
      <c r="B303" s="2903" t="s">
        <v>625</v>
      </c>
      <c r="C303" s="2903"/>
      <c r="D303" s="2903"/>
      <c r="E303" s="2903"/>
      <c r="F303" s="6"/>
      <c r="G303" s="65"/>
      <c r="H303" s="799"/>
      <c r="I303" s="710"/>
      <c r="J303" s="711"/>
      <c r="K303" s="628"/>
      <c r="L303" s="710"/>
      <c r="M303" s="711"/>
      <c r="N303" s="628"/>
      <c r="O303" s="710"/>
      <c r="P303" s="712"/>
      <c r="Q303" s="628"/>
      <c r="R303" s="762"/>
      <c r="S303" s="762"/>
      <c r="T303" s="628"/>
      <c r="U303" s="762"/>
      <c r="V303" s="762"/>
      <c r="W303" s="628"/>
      <c r="X303" s="2893"/>
      <c r="Y303" s="2893"/>
      <c r="Z303" s="2893"/>
      <c r="AA303" s="2893"/>
      <c r="AB303" s="2893"/>
      <c r="AC303" s="2893"/>
      <c r="AD303" s="2893"/>
      <c r="AE303" s="2893"/>
      <c r="AF303" s="2893"/>
      <c r="AG303" s="2893"/>
    </row>
    <row r="304" spans="1:33" ht="14.9" customHeight="1">
      <c r="A304" s="252"/>
      <c r="B304" s="2903" t="s">
        <v>626</v>
      </c>
      <c r="C304" s="2903"/>
      <c r="D304" s="2903"/>
      <c r="E304" s="2903"/>
      <c r="F304" s="6"/>
      <c r="G304" s="63"/>
      <c r="H304" s="480"/>
      <c r="I304" s="710"/>
      <c r="J304" s="582"/>
      <c r="K304" s="526"/>
      <c r="L304" s="748"/>
      <c r="M304" s="711"/>
      <c r="N304" s="526"/>
      <c r="O304" s="710"/>
      <c r="P304" s="582"/>
      <c r="Q304" s="526"/>
      <c r="R304" s="762"/>
      <c r="S304" s="762"/>
      <c r="T304" s="526"/>
      <c r="U304" s="762"/>
      <c r="V304" s="762"/>
      <c r="W304" s="526"/>
      <c r="X304" s="2893"/>
      <c r="Y304" s="2893"/>
      <c r="Z304" s="2893"/>
      <c r="AA304" s="2893"/>
      <c r="AB304" s="2893"/>
      <c r="AC304" s="2893"/>
      <c r="AD304" s="2893"/>
      <c r="AE304" s="2893"/>
      <c r="AF304" s="2893"/>
      <c r="AG304" s="2893"/>
    </row>
    <row r="305" spans="1:33" ht="14.9" customHeight="1">
      <c r="A305" s="252"/>
      <c r="B305" s="2903" t="s">
        <v>627</v>
      </c>
      <c r="C305" s="2903"/>
      <c r="D305" s="2903"/>
      <c r="E305" s="2903"/>
      <c r="F305" s="6"/>
      <c r="G305" s="63"/>
      <c r="H305" s="794"/>
      <c r="I305" s="710"/>
      <c r="J305" s="582"/>
      <c r="K305" s="561"/>
      <c r="L305" s="748"/>
      <c r="M305" s="711"/>
      <c r="N305" s="561"/>
      <c r="O305" s="710"/>
      <c r="P305" s="582"/>
      <c r="Q305" s="561"/>
      <c r="R305" s="762"/>
      <c r="S305" s="762"/>
      <c r="T305" s="561"/>
      <c r="U305" s="762"/>
      <c r="V305" s="762"/>
      <c r="W305" s="561"/>
      <c r="X305" s="2893"/>
      <c r="Y305" s="2893"/>
      <c r="Z305" s="2893"/>
      <c r="AA305" s="2893"/>
      <c r="AB305" s="2893"/>
      <c r="AC305" s="2893"/>
      <c r="AD305" s="2893"/>
      <c r="AE305" s="2893"/>
      <c r="AF305" s="2893"/>
      <c r="AG305" s="2893"/>
    </row>
    <row r="306" spans="1:33" ht="14.9" customHeight="1">
      <c r="A306" s="252"/>
      <c r="B306" s="2904" t="s">
        <v>628</v>
      </c>
      <c r="C306" s="2904"/>
      <c r="D306" s="2904"/>
      <c r="E306" s="2904"/>
      <c r="F306" s="6"/>
      <c r="G306" s="63"/>
      <c r="H306" s="480"/>
      <c r="I306" s="710"/>
      <c r="J306" s="582"/>
      <c r="K306" s="526"/>
      <c r="L306" s="748"/>
      <c r="M306" s="711"/>
      <c r="N306" s="526"/>
      <c r="O306" s="710"/>
      <c r="P306" s="582"/>
      <c r="Q306" s="526"/>
      <c r="R306" s="762"/>
      <c r="S306" s="762"/>
      <c r="T306" s="526"/>
      <c r="U306" s="762"/>
      <c r="V306" s="762"/>
      <c r="W306" s="526"/>
      <c r="X306" s="2893"/>
      <c r="Y306" s="2893"/>
      <c r="Z306" s="2893"/>
      <c r="AA306" s="2893"/>
      <c r="AB306" s="2893"/>
      <c r="AC306" s="2893"/>
      <c r="AD306" s="2893"/>
      <c r="AE306" s="2893"/>
      <c r="AF306" s="2893"/>
      <c r="AG306" s="2893"/>
    </row>
    <row r="307" spans="1:33" ht="33.75" customHeight="1">
      <c r="A307" s="252"/>
      <c r="B307" s="2904" t="s">
        <v>629</v>
      </c>
      <c r="C307" s="2904"/>
      <c r="D307" s="2904"/>
      <c r="E307" s="2904"/>
      <c r="F307" s="6"/>
      <c r="G307" s="65"/>
      <c r="H307" s="795"/>
      <c r="I307" s="710"/>
      <c r="J307" s="711"/>
      <c r="K307" s="568"/>
      <c r="L307" s="710"/>
      <c r="M307" s="711"/>
      <c r="N307" s="568"/>
      <c r="O307" s="710"/>
      <c r="P307" s="712"/>
      <c r="Q307" s="568"/>
      <c r="R307" s="762"/>
      <c r="S307" s="762"/>
      <c r="T307" s="568"/>
      <c r="U307" s="762"/>
      <c r="V307" s="762"/>
      <c r="W307" s="568"/>
      <c r="X307" s="2893"/>
      <c r="Y307" s="2893"/>
      <c r="Z307" s="2893"/>
      <c r="AA307" s="2893"/>
      <c r="AB307" s="2893"/>
      <c r="AC307" s="2893"/>
      <c r="AD307" s="2893"/>
      <c r="AE307" s="2893"/>
      <c r="AF307" s="2893"/>
      <c r="AG307" s="2893"/>
    </row>
    <row r="308" spans="1:33" ht="14.9" customHeight="1">
      <c r="A308" s="252"/>
      <c r="B308" s="2903" t="s">
        <v>630</v>
      </c>
      <c r="C308" s="2903"/>
      <c r="D308" s="2903"/>
      <c r="E308" s="2903"/>
      <c r="F308" s="6"/>
      <c r="G308" s="65"/>
      <c r="H308" s="480"/>
      <c r="I308" s="710"/>
      <c r="J308" s="711"/>
      <c r="K308" s="526"/>
      <c r="L308" s="710"/>
      <c r="M308" s="711"/>
      <c r="N308" s="526"/>
      <c r="O308" s="710"/>
      <c r="P308" s="712"/>
      <c r="Q308" s="526"/>
      <c r="R308" s="762"/>
      <c r="S308" s="762"/>
      <c r="T308" s="526"/>
      <c r="U308" s="762"/>
      <c r="V308" s="762"/>
      <c r="W308" s="526"/>
      <c r="X308" s="2893"/>
      <c r="Y308" s="2893"/>
      <c r="Z308" s="2893"/>
      <c r="AA308" s="2893"/>
      <c r="AB308" s="2893"/>
      <c r="AC308" s="2893"/>
      <c r="AD308" s="2893"/>
      <c r="AE308" s="2893"/>
      <c r="AF308" s="2893"/>
      <c r="AG308" s="2893"/>
    </row>
    <row r="309" spans="1:33" ht="14.9" customHeight="1">
      <c r="A309" s="252"/>
      <c r="B309" s="2904" t="s">
        <v>634</v>
      </c>
      <c r="C309" s="2904"/>
      <c r="D309" s="2904"/>
      <c r="E309" s="2904"/>
      <c r="F309" s="6"/>
      <c r="G309" s="65"/>
      <c r="H309" s="481"/>
      <c r="I309" s="710"/>
      <c r="J309" s="711"/>
      <c r="K309" s="553"/>
      <c r="L309" s="710"/>
      <c r="M309" s="711"/>
      <c r="N309" s="553"/>
      <c r="O309" s="710"/>
      <c r="P309" s="712"/>
      <c r="Q309" s="553"/>
      <c r="R309" s="762"/>
      <c r="S309" s="762"/>
      <c r="T309" s="553"/>
      <c r="U309" s="762"/>
      <c r="V309" s="762"/>
      <c r="W309" s="553"/>
      <c r="X309" s="2893"/>
      <c r="Y309" s="2893"/>
      <c r="Z309" s="2893"/>
      <c r="AA309" s="2893"/>
      <c r="AB309" s="2893"/>
      <c r="AC309" s="2893"/>
      <c r="AD309" s="2893"/>
      <c r="AE309" s="2893"/>
      <c r="AF309" s="2893"/>
      <c r="AG309" s="2893"/>
    </row>
    <row r="310" spans="1:33" ht="29.15" customHeight="1">
      <c r="A310" s="252"/>
      <c r="B310" s="2903" t="s">
        <v>1551</v>
      </c>
      <c r="C310" s="2903"/>
      <c r="D310" s="2903"/>
      <c r="E310" s="2903"/>
      <c r="F310" s="6"/>
      <c r="G310" s="65"/>
      <c r="H310" s="796"/>
      <c r="I310" s="710"/>
      <c r="J310" s="711"/>
      <c r="K310" s="619"/>
      <c r="L310" s="710"/>
      <c r="M310" s="711"/>
      <c r="N310" s="619"/>
      <c r="O310" s="710"/>
      <c r="P310" s="712"/>
      <c r="Q310" s="619"/>
      <c r="R310" s="762"/>
      <c r="S310" s="762"/>
      <c r="T310" s="619"/>
      <c r="U310" s="762"/>
      <c r="V310" s="762"/>
      <c r="W310" s="619"/>
      <c r="X310" s="2893"/>
      <c r="Y310" s="2893"/>
      <c r="Z310" s="2893"/>
      <c r="AA310" s="2893"/>
      <c r="AB310" s="2893"/>
      <c r="AC310" s="2893"/>
      <c r="AD310" s="2893"/>
      <c r="AE310" s="2893"/>
      <c r="AF310" s="2893"/>
      <c r="AG310" s="2893"/>
    </row>
    <row r="311" spans="1:33" ht="29.15" customHeight="1">
      <c r="A311" s="252"/>
      <c r="B311" s="2903" t="s">
        <v>1552</v>
      </c>
      <c r="C311" s="2903"/>
      <c r="D311" s="2903"/>
      <c r="E311" s="2903"/>
      <c r="F311" s="6"/>
      <c r="G311" s="65"/>
      <c r="H311" s="796"/>
      <c r="I311" s="710"/>
      <c r="J311" s="711"/>
      <c r="K311" s="619"/>
      <c r="L311" s="710"/>
      <c r="M311" s="711"/>
      <c r="N311" s="619"/>
      <c r="O311" s="710"/>
      <c r="P311" s="712"/>
      <c r="Q311" s="619"/>
      <c r="R311" s="762"/>
      <c r="S311" s="762"/>
      <c r="T311" s="619"/>
      <c r="U311" s="762"/>
      <c r="V311" s="762"/>
      <c r="W311" s="619"/>
      <c r="X311" s="2893"/>
      <c r="Y311" s="2893"/>
      <c r="Z311" s="2893"/>
      <c r="AA311" s="2893"/>
      <c r="AB311" s="2893"/>
      <c r="AC311" s="2893"/>
      <c r="AD311" s="2893"/>
      <c r="AE311" s="2893"/>
      <c r="AF311" s="2893"/>
      <c r="AG311" s="2893"/>
    </row>
    <row r="312" spans="1:33" ht="33.75" customHeight="1">
      <c r="A312" s="252"/>
      <c r="B312" s="2903" t="s">
        <v>331</v>
      </c>
      <c r="C312" s="2903"/>
      <c r="D312" s="2903"/>
      <c r="E312" s="2903"/>
      <c r="F312" s="6"/>
      <c r="G312" s="65"/>
      <c r="H312" s="480"/>
      <c r="I312" s="710"/>
      <c r="J312" s="711"/>
      <c r="K312" s="526"/>
      <c r="L312" s="710"/>
      <c r="M312" s="711"/>
      <c r="N312" s="526"/>
      <c r="O312" s="710"/>
      <c r="P312" s="712"/>
      <c r="Q312" s="526"/>
      <c r="R312" s="762"/>
      <c r="S312" s="762"/>
      <c r="T312" s="526"/>
      <c r="U312" s="762"/>
      <c r="V312" s="762"/>
      <c r="W312" s="526"/>
      <c r="X312" s="2893"/>
      <c r="Y312" s="2893"/>
      <c r="Z312" s="2893"/>
      <c r="AA312" s="2893"/>
      <c r="AB312" s="2893"/>
      <c r="AC312" s="2893"/>
      <c r="AD312" s="2893"/>
      <c r="AE312" s="2893"/>
      <c r="AF312" s="2893"/>
      <c r="AG312" s="2893"/>
    </row>
    <row r="313" spans="1:33" ht="14.9" customHeight="1">
      <c r="A313" s="252"/>
      <c r="B313" s="2904" t="s">
        <v>332</v>
      </c>
      <c r="C313" s="2904"/>
      <c r="D313" s="2904"/>
      <c r="E313" s="2904"/>
      <c r="F313" s="6"/>
      <c r="G313" s="63"/>
      <c r="H313" s="480"/>
      <c r="I313" s="710"/>
      <c r="J313" s="582"/>
      <c r="K313" s="526"/>
      <c r="L313" s="748"/>
      <c r="M313" s="711"/>
      <c r="N313" s="526"/>
      <c r="O313" s="710"/>
      <c r="P313" s="582"/>
      <c r="Q313" s="526"/>
      <c r="R313" s="762"/>
      <c r="S313" s="762"/>
      <c r="T313" s="526"/>
      <c r="U313" s="762"/>
      <c r="V313" s="762"/>
      <c r="W313" s="526"/>
      <c r="X313" s="2893"/>
      <c r="Y313" s="2893"/>
      <c r="Z313" s="2893"/>
      <c r="AA313" s="2893"/>
      <c r="AB313" s="2893"/>
      <c r="AC313" s="2893"/>
      <c r="AD313" s="2893"/>
      <c r="AE313" s="2893"/>
      <c r="AF313" s="2893"/>
      <c r="AG313" s="2893"/>
    </row>
    <row r="314" spans="1:33" ht="14.9" customHeight="1">
      <c r="A314" s="252"/>
      <c r="B314" s="2903" t="s">
        <v>333</v>
      </c>
      <c r="C314" s="2903"/>
      <c r="D314" s="2903"/>
      <c r="E314" s="2903"/>
      <c r="F314" s="6"/>
      <c r="G314" s="63"/>
      <c r="H314" s="480"/>
      <c r="I314" s="710"/>
      <c r="J314" s="582"/>
      <c r="K314" s="526"/>
      <c r="L314" s="748"/>
      <c r="M314" s="711"/>
      <c r="N314" s="526"/>
      <c r="O314" s="710"/>
      <c r="P314" s="582"/>
      <c r="Q314" s="526"/>
      <c r="R314" s="762"/>
      <c r="S314" s="762"/>
      <c r="T314" s="526"/>
      <c r="U314" s="762"/>
      <c r="V314" s="762"/>
      <c r="W314" s="526"/>
      <c r="X314" s="2893"/>
      <c r="Y314" s="2893"/>
      <c r="Z314" s="2893"/>
      <c r="AA314" s="2893"/>
      <c r="AB314" s="2893"/>
      <c r="AC314" s="2893"/>
      <c r="AD314" s="2893"/>
      <c r="AE314" s="2893"/>
      <c r="AF314" s="2893"/>
      <c r="AG314" s="2893"/>
    </row>
    <row r="315" spans="1:33" ht="14.9" customHeight="1">
      <c r="A315" s="252"/>
      <c r="B315" s="2903" t="s">
        <v>334</v>
      </c>
      <c r="C315" s="2903"/>
      <c r="D315" s="2903"/>
      <c r="E315" s="2903"/>
      <c r="F315" s="6"/>
      <c r="G315" s="63"/>
      <c r="H315" s="480"/>
      <c r="I315" s="710"/>
      <c r="J315" s="582"/>
      <c r="K315" s="526"/>
      <c r="L315" s="748"/>
      <c r="M315" s="711"/>
      <c r="N315" s="526"/>
      <c r="O315" s="710"/>
      <c r="P315" s="582"/>
      <c r="Q315" s="526"/>
      <c r="R315" s="762"/>
      <c r="S315" s="762"/>
      <c r="T315" s="526"/>
      <c r="U315" s="762"/>
      <c r="V315" s="762"/>
      <c r="W315" s="526"/>
      <c r="X315" s="2893"/>
      <c r="Y315" s="2893"/>
      <c r="Z315" s="2893"/>
      <c r="AA315" s="2893"/>
      <c r="AB315" s="2893"/>
      <c r="AC315" s="2893"/>
      <c r="AD315" s="2893"/>
      <c r="AE315" s="2893"/>
      <c r="AF315" s="2893"/>
      <c r="AG315" s="2893"/>
    </row>
    <row r="316" spans="1:33" ht="14.9" customHeight="1">
      <c r="A316" s="252"/>
      <c r="B316" s="2904" t="s">
        <v>335</v>
      </c>
      <c r="C316" s="2904"/>
      <c r="D316" s="2904"/>
      <c r="E316" s="2904"/>
      <c r="F316" s="6"/>
      <c r="G316" s="63"/>
      <c r="H316" s="480"/>
      <c r="I316" s="710"/>
      <c r="J316" s="582"/>
      <c r="K316" s="526"/>
      <c r="L316" s="748"/>
      <c r="M316" s="711"/>
      <c r="N316" s="526"/>
      <c r="O316" s="710"/>
      <c r="P316" s="582"/>
      <c r="Q316" s="526"/>
      <c r="R316" s="762"/>
      <c r="S316" s="762"/>
      <c r="T316" s="526"/>
      <c r="U316" s="762"/>
      <c r="V316" s="762"/>
      <c r="W316" s="526"/>
      <c r="X316" s="2893"/>
      <c r="Y316" s="2893"/>
      <c r="Z316" s="2893"/>
      <c r="AA316" s="2893"/>
      <c r="AB316" s="2893"/>
      <c r="AC316" s="2893"/>
      <c r="AD316" s="2893"/>
      <c r="AE316" s="2893"/>
      <c r="AF316" s="2893"/>
      <c r="AG316" s="2893"/>
    </row>
    <row r="317" spans="1:33" ht="14.9" customHeight="1">
      <c r="A317" s="252"/>
      <c r="B317" s="2903" t="s">
        <v>336</v>
      </c>
      <c r="C317" s="2903"/>
      <c r="D317" s="2903"/>
      <c r="E317" s="2903"/>
      <c r="F317" s="6"/>
      <c r="G317" s="63"/>
      <c r="H317" s="480"/>
      <c r="I317" s="710"/>
      <c r="J317" s="582"/>
      <c r="K317" s="526"/>
      <c r="L317" s="748"/>
      <c r="M317" s="711"/>
      <c r="N317" s="526"/>
      <c r="O317" s="710"/>
      <c r="P317" s="582"/>
      <c r="Q317" s="526"/>
      <c r="R317" s="762"/>
      <c r="S317" s="762"/>
      <c r="T317" s="526"/>
      <c r="U317" s="762"/>
      <c r="V317" s="762"/>
      <c r="W317" s="526"/>
      <c r="X317" s="2893"/>
      <c r="Y317" s="2893"/>
      <c r="Z317" s="2893"/>
      <c r="AA317" s="2893"/>
      <c r="AB317" s="2893"/>
      <c r="AC317" s="2893"/>
      <c r="AD317" s="2893"/>
      <c r="AE317" s="2893"/>
      <c r="AF317" s="2893"/>
      <c r="AG317" s="2893"/>
    </row>
    <row r="318" spans="1:33" ht="33.75" customHeight="1">
      <c r="A318" s="252"/>
      <c r="B318" s="2903" t="s">
        <v>337</v>
      </c>
      <c r="C318" s="2903"/>
      <c r="D318" s="2903"/>
      <c r="E318" s="2903"/>
      <c r="F318" s="6"/>
      <c r="G318" s="63"/>
      <c r="H318" s="480"/>
      <c r="I318" s="710"/>
      <c r="J318" s="582"/>
      <c r="K318" s="526"/>
      <c r="L318" s="748"/>
      <c r="M318" s="711"/>
      <c r="N318" s="526"/>
      <c r="O318" s="710"/>
      <c r="P318" s="582"/>
      <c r="Q318" s="526"/>
      <c r="R318" s="762"/>
      <c r="S318" s="762"/>
      <c r="T318" s="526"/>
      <c r="U318" s="762"/>
      <c r="V318" s="762"/>
      <c r="W318" s="526"/>
      <c r="X318" s="2893"/>
      <c r="Y318" s="2893"/>
      <c r="Z318" s="2893"/>
      <c r="AA318" s="2893"/>
      <c r="AB318" s="2893"/>
      <c r="AC318" s="2893"/>
      <c r="AD318" s="2893"/>
      <c r="AE318" s="2893"/>
      <c r="AF318" s="2893"/>
      <c r="AG318" s="2893"/>
    </row>
    <row r="319" spans="1:33" ht="33.75" customHeight="1">
      <c r="A319" s="252"/>
      <c r="B319" s="2903" t="s">
        <v>338</v>
      </c>
      <c r="C319" s="2903"/>
      <c r="D319" s="2903"/>
      <c r="E319" s="2903"/>
      <c r="F319" s="6"/>
      <c r="G319" s="63"/>
      <c r="H319" s="480"/>
      <c r="I319" s="710"/>
      <c r="J319" s="582"/>
      <c r="K319" s="526"/>
      <c r="L319" s="748"/>
      <c r="M319" s="711"/>
      <c r="N319" s="526"/>
      <c r="O319" s="710"/>
      <c r="P319" s="582"/>
      <c r="Q319" s="526"/>
      <c r="R319" s="762"/>
      <c r="S319" s="762"/>
      <c r="T319" s="526"/>
      <c r="U319" s="762"/>
      <c r="V319" s="762"/>
      <c r="W319" s="526"/>
      <c r="X319" s="2893"/>
      <c r="Y319" s="2893"/>
      <c r="Z319" s="2893"/>
      <c r="AA319" s="2893"/>
      <c r="AB319" s="2893"/>
      <c r="AC319" s="2893"/>
      <c r="AD319" s="2893"/>
      <c r="AE319" s="2893"/>
      <c r="AF319" s="2893"/>
      <c r="AG319" s="2893"/>
    </row>
    <row r="320" spans="1:33" ht="14.9" customHeight="1">
      <c r="A320" s="252"/>
      <c r="B320" s="2903" t="s">
        <v>735</v>
      </c>
      <c r="C320" s="2903"/>
      <c r="D320" s="2903"/>
      <c r="E320" s="2903"/>
      <c r="F320" s="6"/>
      <c r="G320" s="63"/>
      <c r="H320" s="480"/>
      <c r="I320" s="710"/>
      <c r="J320" s="582"/>
      <c r="K320" s="526"/>
      <c r="L320" s="748"/>
      <c r="M320" s="711"/>
      <c r="N320" s="526"/>
      <c r="O320" s="710"/>
      <c r="P320" s="582"/>
      <c r="Q320" s="526"/>
      <c r="R320" s="762"/>
      <c r="S320" s="762"/>
      <c r="T320" s="526"/>
      <c r="U320" s="762"/>
      <c r="V320" s="762"/>
      <c r="W320" s="526"/>
      <c r="X320" s="2893"/>
      <c r="Y320" s="2893"/>
      <c r="Z320" s="2893"/>
      <c r="AA320" s="2893"/>
      <c r="AB320" s="2893"/>
      <c r="AC320" s="2893"/>
      <c r="AD320" s="2893"/>
      <c r="AE320" s="2893"/>
      <c r="AF320" s="2893"/>
      <c r="AG320" s="2893"/>
    </row>
    <row r="321" spans="1:33" ht="14.9" customHeight="1">
      <c r="A321" s="252"/>
      <c r="B321" s="2903" t="s">
        <v>734</v>
      </c>
      <c r="C321" s="2903"/>
      <c r="D321" s="2903"/>
      <c r="E321" s="2903"/>
      <c r="F321" s="6"/>
      <c r="G321" s="63"/>
      <c r="H321" s="802"/>
      <c r="I321" s="741"/>
      <c r="J321" s="557"/>
      <c r="K321" s="769"/>
      <c r="L321" s="770"/>
      <c r="M321" s="742"/>
      <c r="N321" s="769"/>
      <c r="O321" s="741"/>
      <c r="P321" s="557"/>
      <c r="Q321" s="769"/>
      <c r="R321" s="768"/>
      <c r="S321" s="768"/>
      <c r="T321" s="769"/>
      <c r="U321" s="768"/>
      <c r="V321" s="768"/>
      <c r="W321" s="544"/>
      <c r="X321" s="2893"/>
      <c r="Y321" s="2893"/>
      <c r="Z321" s="2893"/>
      <c r="AA321" s="2893"/>
      <c r="AB321" s="2893"/>
      <c r="AC321" s="2893"/>
      <c r="AD321" s="2893"/>
      <c r="AE321" s="2893"/>
      <c r="AF321" s="2893"/>
      <c r="AG321" s="2893"/>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1772"/>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FPMsnrwyA7S/DvCUTjW2PgrjZwB8K6+fcg495lXEOJB3GPdcD0J+Nz1XJr8Xh3yHZgStW/8DZ9t/crJNfuYQGg==" saltValue="Rz0ElplPgaKltIUN3hWPug==" spinCount="100000" sheet="1" objects="1" scenarios="1" formatColumns="0" formatRows="0"/>
  <mergeCells count="498">
    <mergeCell ref="B320:E320"/>
    <mergeCell ref="X320:AG320"/>
    <mergeCell ref="B321:E321"/>
    <mergeCell ref="X321:AG321"/>
    <mergeCell ref="B317:E317"/>
    <mergeCell ref="X317:AG317"/>
    <mergeCell ref="B318:E318"/>
    <mergeCell ref="X318:AG318"/>
    <mergeCell ref="B319:E319"/>
    <mergeCell ref="X319:AG319"/>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X116:AG116"/>
    <mergeCell ref="B117:E117"/>
    <mergeCell ref="X117:AG117"/>
    <mergeCell ref="X120:AG120"/>
    <mergeCell ref="X121:AG121"/>
    <mergeCell ref="X122:AG122"/>
    <mergeCell ref="X111:AG111"/>
    <mergeCell ref="X112:AG112"/>
    <mergeCell ref="A113:A117"/>
    <mergeCell ref="B113:E113"/>
    <mergeCell ref="X113:AG113"/>
    <mergeCell ref="B114:E114"/>
    <mergeCell ref="X114:AG114"/>
    <mergeCell ref="B115:E115"/>
    <mergeCell ref="X115:AG115"/>
    <mergeCell ref="B116:E116"/>
    <mergeCell ref="A105:A107"/>
    <mergeCell ref="X105:AG105"/>
    <mergeCell ref="X106:AG106"/>
    <mergeCell ref="B107:E107"/>
    <mergeCell ref="X107:AG107"/>
    <mergeCell ref="A108:A112"/>
    <mergeCell ref="X108:AG108"/>
    <mergeCell ref="B109:E109"/>
    <mergeCell ref="X109:AG109"/>
    <mergeCell ref="X110:AG110"/>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P83:P84"/>
    <mergeCell ref="Q83:Q84"/>
    <mergeCell ref="T83:T84"/>
    <mergeCell ref="W83:W84"/>
    <mergeCell ref="X83:AG84"/>
    <mergeCell ref="X86:AG86"/>
    <mergeCell ref="G83:G84"/>
    <mergeCell ref="H83:H84"/>
    <mergeCell ref="J83:J84"/>
    <mergeCell ref="K83:K84"/>
    <mergeCell ref="M83:M84"/>
    <mergeCell ref="N83:N84"/>
    <mergeCell ref="C78:E78"/>
    <mergeCell ref="A81:E81"/>
    <mergeCell ref="G82:H82"/>
    <mergeCell ref="J82:K82"/>
    <mergeCell ref="M82:N82"/>
    <mergeCell ref="C75:E75"/>
    <mergeCell ref="C76:E76"/>
    <mergeCell ref="C77:E77"/>
    <mergeCell ref="C72:E72"/>
    <mergeCell ref="C73:E73"/>
    <mergeCell ref="C74:E74"/>
    <mergeCell ref="C69:E69"/>
    <mergeCell ref="C70:E70"/>
    <mergeCell ref="C71:E71"/>
    <mergeCell ref="C66:E66"/>
    <mergeCell ref="C67:E67"/>
    <mergeCell ref="C68:E68"/>
    <mergeCell ref="C63:E63"/>
    <mergeCell ref="C64:E64"/>
    <mergeCell ref="C65:E65"/>
    <mergeCell ref="C60:E60"/>
    <mergeCell ref="C61:E61"/>
    <mergeCell ref="C62:E62"/>
    <mergeCell ref="C57:E57"/>
    <mergeCell ref="C58:E58"/>
    <mergeCell ref="C59:E59"/>
    <mergeCell ref="C54:E54"/>
    <mergeCell ref="C55:E55"/>
    <mergeCell ref="C56:E56"/>
    <mergeCell ref="C51:E51"/>
    <mergeCell ref="C52:E52"/>
    <mergeCell ref="C53:E53"/>
    <mergeCell ref="C49:E49"/>
    <mergeCell ref="C50:E50"/>
    <mergeCell ref="B41:E41"/>
    <mergeCell ref="C42:E42"/>
    <mergeCell ref="K42:T42"/>
    <mergeCell ref="N33:W33"/>
    <mergeCell ref="N34:W34"/>
    <mergeCell ref="N35:W35"/>
    <mergeCell ref="N36:W36"/>
    <mergeCell ref="N37:W37"/>
    <mergeCell ref="N38:W38"/>
    <mergeCell ref="N27:W27"/>
    <mergeCell ref="N28:W28"/>
    <mergeCell ref="N29:W29"/>
    <mergeCell ref="N30:W30"/>
    <mergeCell ref="N31:W31"/>
    <mergeCell ref="N32:W32"/>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B11:E11"/>
    <mergeCell ref="K11:T11"/>
    <mergeCell ref="B12:E12"/>
    <mergeCell ref="K12:T12"/>
    <mergeCell ref="B15:E15"/>
    <mergeCell ref="K15:T15"/>
    <mergeCell ref="B8:E8"/>
    <mergeCell ref="K8:T8"/>
    <mergeCell ref="B9:E9"/>
    <mergeCell ref="K9:T9"/>
    <mergeCell ref="B10:E10"/>
    <mergeCell ref="K10:T10"/>
    <mergeCell ref="B1:E1"/>
    <mergeCell ref="B4:E4"/>
    <mergeCell ref="K4:T4"/>
    <mergeCell ref="K5:T5"/>
    <mergeCell ref="K6:T6"/>
    <mergeCell ref="K7:T7"/>
  </mergeCells>
  <conditionalFormatting sqref="G322">
    <cfRule type="expression" dxfId="52" priority="12">
      <formula>H$24="No"</formula>
    </cfRule>
    <cfRule type="expression" dxfId="51" priority="13">
      <formula>H$24="Yes"</formula>
    </cfRule>
  </conditionalFormatting>
  <conditionalFormatting sqref="P83:Q83 P82">
    <cfRule type="expression" dxfId="50" priority="14">
      <formula>VALUE(RIGHT($P$82,1))&gt;#REF!</formula>
    </cfRule>
  </conditionalFormatting>
  <conditionalFormatting sqref="M83:N83 M82">
    <cfRule type="expression" dxfId="49" priority="15">
      <formula>VALUE(RIGHT($M$82,1))&gt;#REF!</formula>
    </cfRule>
  </conditionalFormatting>
  <conditionalFormatting sqref="J83:K83 J82">
    <cfRule type="expression" dxfId="48" priority="16">
      <formula>VALUE(RIGHT($J$82,1))&gt;#REF!</formula>
    </cfRule>
  </conditionalFormatting>
  <conditionalFormatting sqref="M322">
    <cfRule type="expression" dxfId="47" priority="9">
      <formula>N$24="No"</formula>
    </cfRule>
    <cfRule type="expression" dxfId="46" priority="10">
      <formula>N$24="Yes"</formula>
    </cfRule>
  </conditionalFormatting>
  <conditionalFormatting sqref="M322">
    <cfRule type="expression" dxfId="45" priority="11">
      <formula>VALUE(RIGHT($K$11,1))&gt;#REF!</formula>
    </cfRule>
  </conditionalFormatting>
  <conditionalFormatting sqref="T83">
    <cfRule type="expression" dxfId="44" priority="8">
      <formula>VALUE(RIGHT($P$82,1))&gt;#REF!</formula>
    </cfRule>
  </conditionalFormatting>
  <conditionalFormatting sqref="Q82">
    <cfRule type="expression" dxfId="43" priority="7">
      <formula>VALUE(RIGHT($P$82,1))&gt;#REF!</formula>
    </cfRule>
  </conditionalFormatting>
  <conditionalFormatting sqref="T82">
    <cfRule type="expression" dxfId="42" priority="6">
      <formula>VALUE(RIGHT($P$82,1))&gt;#REF!</formula>
    </cfRule>
  </conditionalFormatting>
  <conditionalFormatting sqref="W83">
    <cfRule type="expression" dxfId="41" priority="5">
      <formula>VALUE(RIGHT($P$82,1))&gt;#REF!</formula>
    </cfRule>
  </conditionalFormatting>
  <conditionalFormatting sqref="W82">
    <cfRule type="expression" dxfId="40" priority="4">
      <formula>VALUE(RIGHT($P$82,1))&gt;#REF!</formula>
    </cfRule>
  </conditionalFormatting>
  <conditionalFormatting sqref="K85:M85">
    <cfRule type="expression" dxfId="39" priority="3">
      <formula>$H$7&lt;3</formula>
    </cfRule>
  </conditionalFormatting>
  <conditionalFormatting sqref="I85:J85">
    <cfRule type="expression" dxfId="38" priority="2">
      <formula>$H$7&lt;2</formula>
    </cfRule>
  </conditionalFormatting>
  <conditionalFormatting sqref="H17">
    <cfRule type="expression" dxfId="37" priority="1">
      <formula>IF(#REF!="","Population changed - check value")</formula>
    </cfRule>
  </conditionalFormatting>
  <dataValidations count="19">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C00-000000000000}">
      <formula1>"Yes, No"</formula1>
    </dataValidation>
    <dataValidation type="list" allowBlank="1" showInputMessage="1" showErrorMessage="1" sqref="H173:H174 H153:H154 H193 K173:K174 K153:K154 K193 N173:N174 N153:N154 N193 Q173:Q174 Q153:Q154 Q193 T173:T174 T153:T154 T193 W173:W174 W153:W154 W193" xr:uid="{00000000-0002-0000-1C00-000001000000}">
      <formula1>"Yes,No"</formula1>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C00-000002000000}">
      <formula1>"Route-based,Point-to-point"</formula1>
    </dataValidation>
    <dataValidation type="whole" allowBlank="1" showInputMessage="1" showErrorMessage="1" sqref="H133:H134 K133:K134 N133:N134 Q133:Q134 T133:T134 W133:W134" xr:uid="{00000000-0002-0000-1C00-000003000000}">
      <formula1>0</formula1>
      <formula2>3</formula2>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C00-000004000000}">
      <formula1>0</formula1>
      <formula2>1</formula2>
    </dataValidation>
    <dataValidation type="list" allowBlank="1" showInputMessage="1" showErrorMessage="1" sqref="H120 K120 N120 Q120 T120 W120" xr:uid="{00000000-0002-0000-1C00-000005000000}">
      <formula1>"Cost per m^3 delivered, Cost as % commodity value"</formula1>
    </dataValidation>
    <dataValidation type="list" allowBlank="1" showInputMessage="1" showErrorMessage="1" sqref="H117 K117 N117 Q117 T117 W117" xr:uid="{00000000-0002-0000-1C00-000006000000}">
      <formula1>"Upstream,Downstream"</formula1>
    </dataValidation>
    <dataValidation type="list" allowBlank="1" showInputMessage="1" showErrorMessage="1" sqref="H105 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N105 K105" xr:uid="{00000000-0002-0000-1C00-000007000000}">
      <formula1>$B$27:$B$38</formula1>
    </dataValidation>
    <dataValidation type="decimal" allowBlank="1" showInputMessage="1" showErrorMessage="1" sqref="H93 K93 N93 Q93 T93 W93" xr:uid="{00000000-0002-0000-1C00-000008000000}">
      <formula1>0.0001</formula1>
      <formula2>2</formula2>
    </dataValidation>
    <dataValidation type="decimal" allowBlank="1" showInputMessage="1" showErrorMessage="1" sqref="H94 K94 N94 Q94 T94 W94" xr:uid="{00000000-0002-0000-1C00-000009000000}">
      <formula1>0</formula1>
      <formula2>99.9999</formula2>
    </dataValidation>
    <dataValidation type="whole" operator="greaterThan" allowBlank="1" showInputMessage="1" showErrorMessage="1" sqref="H95:H96 K95:K96 N95:N96 Q95:Q96 T95:T96 W95:W96" xr:uid="{00000000-0002-0000-1C00-00000A000000}">
      <formula1>0</formula1>
    </dataValidation>
    <dataValidation type="decimal" operator="greaterThanOrEqual" allowBlank="1" showInputMessage="1" showErrorMessage="1" sqref="H97 K97 N97 Q97 T97 W97" xr:uid="{00000000-0002-0000-1C00-00000B000000}">
      <formula1>1</formula1>
    </dataValidation>
    <dataValidation type="decimal" operator="greaterThan" allowBlank="1" showInputMessage="1" showErrorMessage="1" sqref="H6 H9:H11 H17 H21 H19 H68 H77:H78 H71:H72 H59:H66 H44:H45 H47:H48 H53:H54 H92 K92 N92 Q92 T92 W92 H108 H114 K108 K114 N108 N114 Q108 Q114 T108 T114 W108 W114 K180 K160 H184 H164 H191:H192 H171:H172 K140 H144 H151:H152 N180 N160 K184 K164 K191:K192 K171:K172 N140 K144 K151:K152 Q180 Q160 N184 N164 N191:N192 N171:N172 Q140 N144 N151:N152 T180 T160 Q184 Q164 Q191:Q192 Q171:Q172 T140 Q144 Q151:Q15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180" xr:uid="{00000000-0002-0000-1C00-00000C000000}">
      <formula1>0</formula1>
    </dataValidation>
    <dataValidation type="decimal" operator="greaterThanOrEqual" allowBlank="1" showInputMessage="1" showErrorMessage="1" sqref="H12 H8 H18 H28:H38 K28:K38 H46 H49:H52 H73:H76 H43 H55:H58 H67 H69:H70 H98:H99 K98:K99 N98:N99 Q98:Q99 T98:T99 W98:W99 K103:K104 H106:H107 H109:H113 H115:H116 H121:H122 K106:K107 K109:K113 K115:K116 N103:N104 N106:N107 N109:N113 N115:N116 Q103:Q104 Q106:Q107 Q109:Q113 Q115:Q116 T103:T104 T106:T107 T109:T113 T115:T116 W103:W104 W106:W107 W109:W113 W115:W116 H315 K121:K122 N121:N122 Q121:Q122 T121:T122 W121:W122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H103:H104" xr:uid="{00000000-0002-0000-1C00-00000D000000}">
      <formula1>0</formula1>
    </dataValidation>
    <dataValidation type="whole" allowBlank="1" showInputMessage="1" showErrorMessage="1" sqref="H7" xr:uid="{00000000-0002-0000-1C00-00000E000000}">
      <formula1>1</formula1>
      <formula2>6</formula2>
    </dataValidation>
    <dataValidation type="list" allowBlank="1" showInputMessage="1" showErrorMessage="1" sqref="H5 H86 K86 N86 Q86 T86 W86" xr:uid="{00000000-0002-0000-1C00-00000F000000}">
      <formula1>$N$6:$N$11</formula1>
    </dataValidation>
    <dataValidation type="list" allowBlank="1" showInputMessage="1" showErrorMessage="1" sqref="G86" xr:uid="{00000000-0002-0000-1C00-000010000000}">
      <formula1>"ZimbabweZAPS,TEST"</formula1>
    </dataValidation>
    <dataValidation type="list" allowBlank="1" showInputMessage="1" showErrorMessage="1" sqref="G87 G89" xr:uid="{00000000-0002-0000-1C00-000011000000}">
      <formula1>"Tier 1,Tier 2,Tier 3,Tier 4"</formula1>
    </dataValidation>
    <dataValidation type="list" allowBlank="1" showInputMessage="1" showErrorMessage="1" sqref="M289:M291 J180:J182 M245:M247 M205:M207 J136 M225:M227 M136 M156 J156 M176 M160:M162 J176 J160:J162 M180:M182 M309:M311" xr:uid="{00000000-0002-0000-1C00-000012000000}">
      <formula1>"Motorcycle,Land Cruiser,Box Truck/Lorry"</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C00-000013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 type="list" allowBlank="1" showInputMessage="1" showErrorMessage="1" xr:uid="{00000000-0002-0000-1C00-000014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C00-000015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C00-000016000000}">
          <x14:formula1>
            <xm:f>'List Values'!$C$3:$C$8</xm:f>
          </x14:formula1>
          <xm:sqref>K87 N87 Q87 T87 W87 H87</xm:sqref>
        </x14:dataValidation>
        <x14:dataValidation type="list" allowBlank="1" showInputMessage="1" showErrorMessage="1" xr:uid="{00000000-0002-0000-1C00-000017000000}">
          <x14:formula1>
            <xm:f>'List Values'!$B$3:$B$4</xm:f>
          </x14:formula1>
          <xm:sqref>H20</xm:sqref>
        </x14:dataValidation>
        <x14:dataValidation type="list" operator="greaterThan" allowBlank="1" showInputMessage="1" showErrorMessage="1" xr:uid="{00000000-0002-0000-1C00-000018000000}">
          <x14:formula1>
            <xm:f>'List Values'!$B$3:$B$4</xm:f>
          </x14:formula1>
          <xm:sqref>H20</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0.14999847407452621"/>
  </sheetPr>
  <dimension ref="A1:AH350"/>
  <sheetViews>
    <sheetView showGridLines="0" zoomScale="80" zoomScaleNormal="80" workbookViewId="0">
      <selection activeCell="AC23" sqref="AC23"/>
    </sheetView>
  </sheetViews>
  <sheetFormatPr defaultColWidth="8.84375" defaultRowHeight="14.6"/>
  <cols>
    <col min="1" max="1" width="9.69140625" customWidth="1"/>
    <col min="2" max="2" width="30.3046875" customWidth="1"/>
    <col min="3" max="3" width="10.69140625" customWidth="1"/>
    <col min="4" max="4" width="24.3046875" customWidth="1"/>
    <col min="5" max="5" width="41.38281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s>
  <sheetData>
    <row r="1" spans="2:23" ht="243.75" customHeight="1">
      <c r="B1" s="2913" t="s">
        <v>5512</v>
      </c>
      <c r="C1" s="2913"/>
      <c r="D1" s="2913"/>
      <c r="E1" s="2913"/>
      <c r="H1" s="771"/>
    </row>
    <row r="4" spans="2:23" ht="27" customHeight="1">
      <c r="B4" s="2856" t="s">
        <v>304</v>
      </c>
      <c r="C4" s="2857"/>
      <c r="D4" s="2857"/>
      <c r="E4" s="2858"/>
      <c r="G4" s="25" t="s">
        <v>17</v>
      </c>
      <c r="H4" s="1784" t="s">
        <v>10</v>
      </c>
      <c r="K4" s="2859" t="s">
        <v>405</v>
      </c>
      <c r="L4" s="2859"/>
      <c r="M4" s="2859"/>
      <c r="N4" s="2859"/>
      <c r="O4" s="2859"/>
      <c r="P4" s="2859"/>
      <c r="Q4" s="2859"/>
      <c r="R4" s="2859"/>
      <c r="S4" s="2859"/>
      <c r="T4" s="2859"/>
    </row>
    <row r="5" spans="2:23" ht="15" customHeight="1">
      <c r="B5" s="665" t="s">
        <v>117</v>
      </c>
      <c r="C5" s="664"/>
      <c r="D5" s="664"/>
      <c r="E5" s="663"/>
      <c r="H5" s="521"/>
      <c r="K5" s="2860"/>
      <c r="L5" s="2860"/>
      <c r="M5" s="2860"/>
      <c r="N5" s="2860"/>
      <c r="O5" s="2860"/>
      <c r="P5" s="2860"/>
      <c r="Q5" s="2860"/>
      <c r="R5" s="2860"/>
      <c r="S5" s="2860"/>
      <c r="T5" s="2860"/>
    </row>
    <row r="6" spans="2:23" ht="15" customHeight="1">
      <c r="B6" s="665" t="s">
        <v>165</v>
      </c>
      <c r="C6" s="664"/>
      <c r="D6" s="664"/>
      <c r="E6" s="663"/>
      <c r="F6" s="83"/>
      <c r="G6" s="84"/>
      <c r="H6" s="695">
        <v>1</v>
      </c>
      <c r="K6" s="2860" t="s">
        <v>1554</v>
      </c>
      <c r="L6" s="2860"/>
      <c r="M6" s="2860"/>
      <c r="N6" s="2860"/>
      <c r="O6" s="2860"/>
      <c r="P6" s="2860"/>
      <c r="Q6" s="2860"/>
      <c r="R6" s="2860"/>
      <c r="S6" s="2860"/>
      <c r="T6" s="2860"/>
    </row>
    <row r="7" spans="2:23" ht="16" customHeight="1">
      <c r="B7" s="662" t="s">
        <v>57</v>
      </c>
      <c r="C7" s="659"/>
      <c r="D7" s="659"/>
      <c r="E7" s="791"/>
      <c r="G7" s="41">
        <v>3</v>
      </c>
      <c r="H7" s="695">
        <v>3</v>
      </c>
      <c r="K7" s="2860"/>
      <c r="L7" s="2860"/>
      <c r="M7" s="2860"/>
      <c r="N7" s="2860"/>
      <c r="O7" s="2860"/>
      <c r="P7" s="2860"/>
      <c r="Q7" s="2860"/>
      <c r="R7" s="2860"/>
      <c r="S7" s="2860"/>
      <c r="T7" s="2860"/>
    </row>
    <row r="8" spans="2:23">
      <c r="B8" s="2861" t="s">
        <v>11</v>
      </c>
      <c r="C8" s="2250"/>
      <c r="D8" s="2250"/>
      <c r="E8" s="2862"/>
      <c r="G8" s="40">
        <v>1.37</v>
      </c>
      <c r="H8" s="701">
        <v>1.06</v>
      </c>
      <c r="K8" s="2860" t="s">
        <v>1553</v>
      </c>
      <c r="L8" s="2860"/>
      <c r="M8" s="2860"/>
      <c r="N8" s="2860"/>
      <c r="O8" s="2860"/>
      <c r="P8" s="2860"/>
      <c r="Q8" s="2860"/>
      <c r="R8" s="2860"/>
      <c r="S8" s="2860"/>
      <c r="T8" s="2860"/>
    </row>
    <row r="9" spans="2:23" ht="18.75" customHeight="1">
      <c r="B9" s="2861" t="s">
        <v>12</v>
      </c>
      <c r="C9" s="2250"/>
      <c r="D9" s="2250"/>
      <c r="E9" s="2862"/>
      <c r="G9" s="41">
        <v>240</v>
      </c>
      <c r="H9" s="695">
        <v>260</v>
      </c>
      <c r="K9" s="2860"/>
      <c r="L9" s="2860"/>
      <c r="M9" s="2860"/>
      <c r="N9" s="2860"/>
      <c r="O9" s="2860"/>
      <c r="P9" s="2860"/>
      <c r="Q9" s="2860"/>
      <c r="R9" s="2860"/>
      <c r="S9" s="2860"/>
      <c r="T9" s="2860"/>
      <c r="U9" s="655"/>
      <c r="V9" s="655"/>
    </row>
    <row r="10" spans="2:23" ht="15" customHeight="1">
      <c r="B10" s="2861" t="s">
        <v>13</v>
      </c>
      <c r="C10" s="2250"/>
      <c r="D10" s="2250"/>
      <c r="E10" s="2862"/>
      <c r="G10" s="41">
        <v>8</v>
      </c>
      <c r="H10" s="695">
        <v>8</v>
      </c>
      <c r="K10" s="2860"/>
      <c r="L10" s="2860"/>
      <c r="M10" s="2860"/>
      <c r="N10" s="2860"/>
      <c r="O10" s="2860"/>
      <c r="P10" s="2860"/>
      <c r="Q10" s="2860"/>
      <c r="R10" s="2860"/>
      <c r="S10" s="2860"/>
      <c r="T10" s="2860"/>
      <c r="U10" s="62"/>
      <c r="V10" s="62"/>
    </row>
    <row r="11" spans="2:23" ht="15" customHeight="1">
      <c r="B11" s="2861" t="s">
        <v>15</v>
      </c>
      <c r="C11" s="2250"/>
      <c r="D11" s="2250"/>
      <c r="E11" s="2862"/>
      <c r="G11" s="41">
        <v>5</v>
      </c>
      <c r="H11" s="695">
        <v>7</v>
      </c>
      <c r="K11" s="2860" t="s">
        <v>1555</v>
      </c>
      <c r="L11" s="2860"/>
      <c r="M11" s="2860"/>
      <c r="N11" s="2860"/>
      <c r="O11" s="2860"/>
      <c r="P11" s="2860"/>
      <c r="Q11" s="2860"/>
      <c r="R11" s="2860"/>
      <c r="S11" s="2860"/>
      <c r="T11" s="2860"/>
      <c r="U11" s="62"/>
      <c r="V11" s="62"/>
    </row>
    <row r="12" spans="2:23" ht="15" customHeight="1">
      <c r="B12" s="2861" t="s">
        <v>400</v>
      </c>
      <c r="C12" s="2250"/>
      <c r="D12" s="2250"/>
      <c r="E12" s="2862"/>
      <c r="G12" s="42">
        <v>3</v>
      </c>
      <c r="H12" s="702">
        <v>5</v>
      </c>
      <c r="K12" s="2860"/>
      <c r="L12" s="2860"/>
      <c r="M12" s="2860"/>
      <c r="N12" s="2860"/>
      <c r="O12" s="2860"/>
      <c r="P12" s="2860"/>
      <c r="Q12" s="2860"/>
      <c r="R12" s="2860"/>
      <c r="S12" s="2860"/>
      <c r="T12" s="2860"/>
      <c r="U12" s="62"/>
      <c r="V12" s="62"/>
    </row>
    <row r="13" spans="2:23">
      <c r="B13" s="39"/>
      <c r="C13" s="39"/>
      <c r="D13" s="39"/>
      <c r="E13" s="39"/>
      <c r="G13" s="1772"/>
      <c r="H13" s="11"/>
      <c r="S13" s="240"/>
      <c r="T13" s="62"/>
      <c r="U13" s="62"/>
      <c r="V13" s="62"/>
    </row>
    <row r="14" spans="2:23">
      <c r="B14" s="39"/>
      <c r="C14" s="39"/>
      <c r="D14" s="39"/>
      <c r="E14" s="39"/>
      <c r="G14" s="1772"/>
      <c r="H14" s="11"/>
      <c r="T14" s="93"/>
      <c r="U14" s="93"/>
      <c r="V14" s="661"/>
      <c r="W14" s="4"/>
    </row>
    <row r="15" spans="2:23" ht="30" customHeight="1">
      <c r="B15" s="2856" t="s">
        <v>296</v>
      </c>
      <c r="C15" s="2857"/>
      <c r="D15" s="2857"/>
      <c r="E15" s="2858"/>
      <c r="G15" s="25" t="s">
        <v>17</v>
      </c>
      <c r="H15" s="1783" t="s">
        <v>10</v>
      </c>
      <c r="K15" s="2863" t="s">
        <v>405</v>
      </c>
      <c r="L15" s="2863"/>
      <c r="M15" s="2863"/>
      <c r="N15" s="2863"/>
      <c r="O15" s="2863"/>
      <c r="P15" s="2863"/>
      <c r="Q15" s="2863"/>
      <c r="R15" s="2863"/>
      <c r="S15" s="2863"/>
      <c r="T15" s="2863"/>
      <c r="U15" s="62"/>
      <c r="V15" s="62"/>
      <c r="W15" s="4"/>
    </row>
    <row r="16" spans="2:23" ht="10.5" customHeight="1">
      <c r="B16" s="814"/>
      <c r="C16" s="815"/>
      <c r="D16" s="815"/>
      <c r="E16" s="816"/>
      <c r="G16" s="15"/>
      <c r="H16" s="998"/>
      <c r="I16" s="27"/>
      <c r="J16" s="27"/>
      <c r="K16" s="999"/>
      <c r="L16" s="999"/>
      <c r="M16" s="999"/>
      <c r="N16" s="999"/>
      <c r="O16" s="999"/>
      <c r="P16" s="999"/>
      <c r="Q16" s="999"/>
      <c r="R16" s="999"/>
      <c r="S16" s="999"/>
      <c r="T16" s="999"/>
      <c r="U16" s="62"/>
      <c r="V16" s="62"/>
      <c r="W16" s="4"/>
    </row>
    <row r="17" spans="2:23">
      <c r="B17" s="43" t="s">
        <v>367</v>
      </c>
      <c r="C17" s="44"/>
      <c r="D17" s="44"/>
      <c r="E17" s="45"/>
      <c r="G17" s="46">
        <v>1955</v>
      </c>
      <c r="H17" s="730">
        <v>14.3</v>
      </c>
      <c r="K17" s="2920"/>
      <c r="L17" s="2920"/>
      <c r="M17" s="2920"/>
      <c r="N17" s="2920"/>
      <c r="O17" s="2920"/>
      <c r="P17" s="2920"/>
      <c r="Q17" s="2920"/>
      <c r="R17" s="2920"/>
      <c r="S17" s="2920"/>
      <c r="T17" s="2920"/>
      <c r="U17" s="95"/>
      <c r="V17" s="95"/>
      <c r="W17" s="4"/>
    </row>
    <row r="18" spans="2:23">
      <c r="B18" s="43" t="s">
        <v>368</v>
      </c>
      <c r="C18" s="44"/>
      <c r="D18" s="44"/>
      <c r="E18" s="45"/>
      <c r="G18" s="41"/>
      <c r="H18" s="695">
        <v>9.4</v>
      </c>
      <c r="K18" s="2860"/>
      <c r="L18" s="2860"/>
      <c r="M18" s="2860"/>
      <c r="N18" s="2860"/>
      <c r="O18" s="2860"/>
      <c r="P18" s="2860"/>
      <c r="Q18" s="2860"/>
      <c r="R18" s="2860"/>
      <c r="S18" s="2860"/>
      <c r="T18" s="2860"/>
      <c r="U18" s="95"/>
      <c r="V18" s="95"/>
      <c r="W18" s="4"/>
    </row>
    <row r="19" spans="2:23">
      <c r="B19" s="43" t="s">
        <v>130</v>
      </c>
      <c r="C19" s="44"/>
      <c r="D19" s="44"/>
      <c r="E19" s="45"/>
      <c r="G19" s="41"/>
      <c r="H19" s="695">
        <v>15</v>
      </c>
      <c r="K19" s="2860"/>
      <c r="L19" s="2860"/>
      <c r="M19" s="2860"/>
      <c r="N19" s="2860"/>
      <c r="O19" s="2860"/>
      <c r="P19" s="2860"/>
      <c r="Q19" s="2860"/>
      <c r="R19" s="2860"/>
      <c r="S19" s="2860"/>
      <c r="T19" s="2860"/>
      <c r="U19" s="95"/>
      <c r="V19" s="62"/>
      <c r="W19" s="4"/>
    </row>
    <row r="20" spans="2:23">
      <c r="B20" s="660" t="s">
        <v>369</v>
      </c>
      <c r="C20" s="44"/>
      <c r="D20" s="44"/>
      <c r="E20" s="45"/>
      <c r="G20" s="41"/>
      <c r="H20" s="543" t="s">
        <v>126</v>
      </c>
      <c r="K20" s="2860"/>
      <c r="L20" s="2860"/>
      <c r="M20" s="2860"/>
      <c r="N20" s="2860"/>
      <c r="O20" s="2860"/>
      <c r="P20" s="2860"/>
      <c r="Q20" s="2860"/>
      <c r="R20" s="2860"/>
      <c r="S20" s="2860"/>
      <c r="T20" s="2860"/>
      <c r="U20" s="95"/>
      <c r="V20" s="62"/>
      <c r="W20" s="4"/>
    </row>
    <row r="21" spans="2:23" ht="16" customHeight="1">
      <c r="B21" s="68" t="s">
        <v>55</v>
      </c>
      <c r="C21" s="44"/>
      <c r="D21" s="44"/>
      <c r="E21" s="45"/>
      <c r="G21" s="55">
        <v>12300000</v>
      </c>
      <c r="H21" s="696">
        <v>264768</v>
      </c>
      <c r="K21" s="2860"/>
      <c r="L21" s="2860"/>
      <c r="M21" s="2860"/>
      <c r="N21" s="2860"/>
      <c r="O21" s="2860"/>
      <c r="P21" s="2860"/>
      <c r="Q21" s="2860"/>
      <c r="R21" s="2860"/>
      <c r="S21" s="2860"/>
      <c r="T21" s="2860"/>
      <c r="U21" s="97"/>
      <c r="V21" s="97"/>
      <c r="W21" s="4"/>
    </row>
    <row r="22" spans="2:23" ht="18.45">
      <c r="B22" s="50"/>
      <c r="C22" s="50"/>
      <c r="D22" s="50"/>
      <c r="E22" s="50"/>
      <c r="G22" s="50"/>
      <c r="H22" s="50"/>
      <c r="I22" s="50"/>
      <c r="J22" s="50"/>
      <c r="K22" s="50"/>
      <c r="S22" s="240"/>
      <c r="T22" s="95"/>
      <c r="U22" s="95"/>
      <c r="V22" s="95"/>
    </row>
    <row r="23" spans="2:23">
      <c r="S23" s="1"/>
      <c r="T23" s="272"/>
    </row>
    <row r="24" spans="2:23" ht="27.65" customHeight="1">
      <c r="B24" s="2856" t="s">
        <v>297</v>
      </c>
      <c r="C24" s="2857"/>
      <c r="D24" s="2857"/>
      <c r="E24" s="2858"/>
      <c r="G24" s="2873" t="s">
        <v>72</v>
      </c>
      <c r="H24" s="2874"/>
      <c r="I24" s="697"/>
      <c r="J24" s="2871" t="s">
        <v>24</v>
      </c>
      <c r="K24" s="2871"/>
    </row>
    <row r="25" spans="2:23" ht="15" customHeight="1">
      <c r="B25" s="2865" t="s">
        <v>23</v>
      </c>
      <c r="C25" s="2661"/>
      <c r="D25" s="2661"/>
      <c r="E25" s="2866"/>
      <c r="G25" s="2867" t="s">
        <v>17</v>
      </c>
      <c r="H25" s="2869" t="s">
        <v>10</v>
      </c>
      <c r="J25" s="2871" t="s">
        <v>17</v>
      </c>
      <c r="K25" s="2872" t="s">
        <v>10</v>
      </c>
      <c r="N25" s="2859" t="s">
        <v>405</v>
      </c>
      <c r="O25" s="2859"/>
      <c r="P25" s="2859"/>
      <c r="Q25" s="2859"/>
      <c r="R25" s="2859"/>
      <c r="S25" s="2859"/>
      <c r="T25" s="2859"/>
      <c r="U25" s="2859"/>
      <c r="V25" s="2859"/>
      <c r="W25" s="2859"/>
    </row>
    <row r="26" spans="2:23">
      <c r="B26" s="2611"/>
      <c r="C26" s="2612"/>
      <c r="D26" s="2612"/>
      <c r="E26" s="2613"/>
      <c r="G26" s="2868"/>
      <c r="H26" s="2870"/>
      <c r="J26" s="2871"/>
      <c r="K26" s="2872"/>
      <c r="N26" s="2859"/>
      <c r="O26" s="2859"/>
      <c r="P26" s="2859"/>
      <c r="Q26" s="2859"/>
      <c r="R26" s="2859"/>
      <c r="S26" s="2859"/>
      <c r="T26" s="2859"/>
      <c r="U26" s="2859"/>
      <c r="V26" s="2859"/>
      <c r="W26" s="2859"/>
    </row>
    <row r="27" spans="2:23" ht="15" customHeight="1">
      <c r="B27" s="495" t="s">
        <v>605</v>
      </c>
      <c r="C27" s="1778"/>
      <c r="D27" s="1778"/>
      <c r="E27" s="1781"/>
      <c r="G27" s="1782"/>
      <c r="H27" s="698"/>
      <c r="I27" s="703"/>
      <c r="J27" s="704"/>
      <c r="K27" s="698"/>
      <c r="N27" s="1794"/>
      <c r="O27" s="1795"/>
      <c r="P27" s="1795"/>
      <c r="Q27" s="1795"/>
      <c r="R27" s="1795"/>
      <c r="S27" s="1795"/>
      <c r="T27" s="1795"/>
      <c r="U27" s="1795"/>
      <c r="V27" s="1795"/>
      <c r="W27" s="1796"/>
    </row>
    <row r="28" spans="2:23">
      <c r="B28" s="231" t="s">
        <v>19</v>
      </c>
      <c r="C28" s="26"/>
      <c r="D28" s="26"/>
      <c r="E28" s="16"/>
      <c r="G28" s="47" t="e">
        <v>#REF!</v>
      </c>
      <c r="H28" s="524">
        <v>6.01</v>
      </c>
      <c r="I28" s="705"/>
      <c r="J28" s="706"/>
      <c r="K28" s="524">
        <v>25</v>
      </c>
      <c r="N28" s="1794" t="s">
        <v>1556</v>
      </c>
      <c r="O28" s="1795"/>
      <c r="P28" s="1795"/>
      <c r="Q28" s="1795"/>
      <c r="R28" s="1795"/>
      <c r="S28" s="1795"/>
      <c r="T28" s="1795"/>
      <c r="U28" s="1795"/>
      <c r="V28" s="1795"/>
      <c r="W28" s="1796"/>
    </row>
    <row r="29" spans="2:23" ht="17.25" customHeight="1">
      <c r="B29" s="231" t="s">
        <v>20</v>
      </c>
      <c r="C29" s="26"/>
      <c r="D29" s="26"/>
      <c r="E29" s="16"/>
      <c r="G29" s="48" t="e">
        <v>#REF!</v>
      </c>
      <c r="H29" s="524">
        <v>5.03</v>
      </c>
      <c r="I29" s="705"/>
      <c r="J29" s="706"/>
      <c r="K29" s="524">
        <v>0</v>
      </c>
      <c r="N29" s="1794" t="s">
        <v>1557</v>
      </c>
      <c r="O29" s="1795"/>
      <c r="P29" s="1795"/>
      <c r="Q29" s="1795"/>
      <c r="R29" s="1795"/>
      <c r="S29" s="1795"/>
      <c r="T29" s="1795"/>
      <c r="U29" s="1795"/>
      <c r="V29" s="1795"/>
      <c r="W29" s="1796"/>
    </row>
    <row r="30" spans="2:23" ht="17.25" customHeight="1">
      <c r="B30" s="231" t="s">
        <v>21</v>
      </c>
      <c r="C30" s="26"/>
      <c r="D30" s="26"/>
      <c r="E30" s="16"/>
      <c r="G30" s="48">
        <v>6.58</v>
      </c>
      <c r="H30" s="524">
        <v>11.11</v>
      </c>
      <c r="I30" s="705"/>
      <c r="J30" s="706"/>
      <c r="K30" s="524">
        <v>31.65</v>
      </c>
      <c r="N30" s="1794" t="s">
        <v>1558</v>
      </c>
      <c r="O30" s="1795"/>
      <c r="P30" s="1795"/>
      <c r="Q30" s="1795"/>
      <c r="R30" s="1795"/>
      <c r="S30" s="1795"/>
      <c r="T30" s="1795"/>
      <c r="U30" s="1795"/>
      <c r="V30" s="1795"/>
      <c r="W30" s="1796"/>
    </row>
    <row r="31" spans="2:23" ht="17.25" customHeight="1">
      <c r="B31" s="231" t="s">
        <v>22</v>
      </c>
      <c r="C31" s="26"/>
      <c r="D31" s="26"/>
      <c r="E31" s="16"/>
      <c r="G31" s="48">
        <v>5.91</v>
      </c>
      <c r="H31" s="524">
        <v>3.56</v>
      </c>
      <c r="I31" s="705"/>
      <c r="J31" s="706"/>
      <c r="K31" s="524">
        <v>18</v>
      </c>
      <c r="N31" s="1794" t="s">
        <v>1559</v>
      </c>
      <c r="O31" s="1795"/>
      <c r="P31" s="1795"/>
      <c r="Q31" s="1795"/>
      <c r="R31" s="1795"/>
      <c r="S31" s="1795"/>
      <c r="T31" s="1795"/>
      <c r="U31" s="1795"/>
      <c r="V31" s="1795"/>
      <c r="W31" s="1796"/>
    </row>
    <row r="32" spans="2:23" ht="17.25" customHeight="1">
      <c r="B32" s="231" t="s">
        <v>402</v>
      </c>
      <c r="C32" s="26"/>
      <c r="D32" s="26"/>
      <c r="E32" s="16"/>
      <c r="G32" s="48" t="e">
        <v>#REF!</v>
      </c>
      <c r="H32" s="524">
        <v>9.6999999999999993</v>
      </c>
      <c r="I32" s="705"/>
      <c r="J32" s="706"/>
      <c r="K32" s="524">
        <v>12</v>
      </c>
      <c r="N32" s="1794" t="s">
        <v>1560</v>
      </c>
      <c r="O32" s="1795"/>
      <c r="P32" s="1795"/>
      <c r="Q32" s="1795"/>
      <c r="R32" s="1795"/>
      <c r="S32" s="1795"/>
      <c r="T32" s="1795"/>
      <c r="U32" s="1795"/>
      <c r="V32" s="1795"/>
      <c r="W32" s="1796"/>
    </row>
    <row r="33" spans="1:23" ht="17.25" customHeight="1">
      <c r="B33" s="231" t="s">
        <v>401</v>
      </c>
      <c r="C33" s="26"/>
      <c r="D33" s="26"/>
      <c r="E33" s="16"/>
      <c r="G33" s="48"/>
      <c r="H33" s="524">
        <v>5.91</v>
      </c>
      <c r="I33" s="705"/>
      <c r="J33" s="706"/>
      <c r="K33" s="524">
        <v>30</v>
      </c>
      <c r="N33" s="1794"/>
      <c r="O33" s="1795"/>
      <c r="P33" s="1795"/>
      <c r="Q33" s="1795"/>
      <c r="R33" s="1795"/>
      <c r="S33" s="1795"/>
      <c r="T33" s="1795"/>
      <c r="U33" s="1795"/>
      <c r="V33" s="1795"/>
      <c r="W33" s="1796"/>
    </row>
    <row r="34" spans="1:23">
      <c r="B34" s="231" t="s">
        <v>403</v>
      </c>
      <c r="C34" s="26"/>
      <c r="D34" s="26"/>
      <c r="E34" s="16"/>
      <c r="G34" s="48">
        <v>5.91</v>
      </c>
      <c r="H34" s="524">
        <v>17.28</v>
      </c>
      <c r="I34" s="705"/>
      <c r="J34" s="706"/>
      <c r="K34" s="524">
        <v>30</v>
      </c>
      <c r="N34" s="1794" t="s">
        <v>1561</v>
      </c>
      <c r="O34" s="1795"/>
      <c r="P34" s="1795"/>
      <c r="Q34" s="1795"/>
      <c r="R34" s="1795"/>
      <c r="S34" s="1795"/>
      <c r="T34" s="1795"/>
      <c r="U34" s="1795"/>
      <c r="V34" s="1795"/>
      <c r="W34" s="1796"/>
    </row>
    <row r="35" spans="1:23">
      <c r="B35" s="232" t="s">
        <v>404</v>
      </c>
      <c r="C35" s="26"/>
      <c r="D35" s="26"/>
      <c r="E35" s="16"/>
      <c r="G35" s="48" t="e">
        <v>#REF!</v>
      </c>
      <c r="H35" s="524">
        <v>5</v>
      </c>
      <c r="I35" s="705"/>
      <c r="J35" s="706"/>
      <c r="K35" s="524">
        <v>0</v>
      </c>
      <c r="N35" s="1794"/>
      <c r="O35" s="1795"/>
      <c r="P35" s="1795"/>
      <c r="Q35" s="1795"/>
      <c r="R35" s="1795"/>
      <c r="S35" s="1795"/>
      <c r="T35" s="1795"/>
      <c r="U35" s="1795"/>
      <c r="V35" s="1795"/>
      <c r="W35" s="1796"/>
    </row>
    <row r="36" spans="1:23">
      <c r="B36" s="232" t="s">
        <v>416</v>
      </c>
      <c r="C36" s="26"/>
      <c r="D36" s="26"/>
      <c r="E36" s="16"/>
      <c r="G36" s="48"/>
      <c r="H36" s="699"/>
      <c r="I36" s="705"/>
      <c r="J36" s="706"/>
      <c r="K36" s="699"/>
      <c r="N36" s="1794"/>
      <c r="O36" s="1795"/>
      <c r="P36" s="1795"/>
      <c r="Q36" s="1795"/>
      <c r="R36" s="1795"/>
      <c r="S36" s="1795"/>
      <c r="T36" s="1795"/>
      <c r="U36" s="1795"/>
      <c r="V36" s="1795"/>
      <c r="W36" s="1796"/>
    </row>
    <row r="37" spans="1:23">
      <c r="B37" s="232" t="s">
        <v>417</v>
      </c>
      <c r="C37" s="26"/>
      <c r="D37" s="26"/>
      <c r="E37" s="16"/>
      <c r="G37" s="48"/>
      <c r="H37" s="699"/>
      <c r="I37" s="705"/>
      <c r="J37" s="706"/>
      <c r="K37" s="699"/>
      <c r="N37" s="1794"/>
      <c r="O37" s="1795"/>
      <c r="P37" s="1795"/>
      <c r="Q37" s="1795"/>
      <c r="R37" s="1795"/>
      <c r="S37" s="1795"/>
      <c r="T37" s="1795"/>
      <c r="U37" s="1795"/>
      <c r="V37" s="1795"/>
      <c r="W37" s="1796"/>
    </row>
    <row r="38" spans="1:23">
      <c r="B38" s="232" t="s">
        <v>418</v>
      </c>
      <c r="C38" s="27"/>
      <c r="D38" s="27"/>
      <c r="E38" s="17"/>
      <c r="G38" s="49" t="e">
        <v>#REF!</v>
      </c>
      <c r="H38" s="700"/>
      <c r="I38" s="705"/>
      <c r="J38" s="707"/>
      <c r="K38" s="700"/>
      <c r="N38" s="1794"/>
      <c r="O38" s="1795"/>
      <c r="P38" s="1795"/>
      <c r="Q38" s="1795"/>
      <c r="R38" s="1795"/>
      <c r="S38" s="1795"/>
      <c r="T38" s="1795"/>
      <c r="U38" s="1795"/>
      <c r="V38" s="1795"/>
      <c r="W38" s="1796"/>
    </row>
    <row r="40" spans="1:23" ht="18.45">
      <c r="A40" s="10"/>
      <c r="B40" s="1772"/>
      <c r="C40" s="1772"/>
      <c r="S40" s="277"/>
    </row>
    <row r="41" spans="1:23" ht="28" customHeight="1">
      <c r="A41" s="10"/>
      <c r="B41" s="2856" t="s">
        <v>646</v>
      </c>
      <c r="C41" s="2857"/>
      <c r="D41" s="2857"/>
      <c r="E41" s="2858"/>
      <c r="T41" s="1"/>
      <c r="U41" s="1"/>
      <c r="V41" s="1"/>
    </row>
    <row r="42" spans="1:23" ht="32.25" customHeight="1">
      <c r="A42" s="10"/>
      <c r="B42" s="72" t="s">
        <v>34</v>
      </c>
      <c r="C42" s="2880" t="s">
        <v>35</v>
      </c>
      <c r="D42" s="2880"/>
      <c r="E42" s="2881"/>
      <c r="G42" s="15" t="s">
        <v>17</v>
      </c>
      <c r="H42" s="782" t="s">
        <v>10</v>
      </c>
      <c r="K42" s="2859" t="s">
        <v>405</v>
      </c>
      <c r="L42" s="2859"/>
      <c r="M42" s="2859"/>
      <c r="N42" s="2859"/>
      <c r="O42" s="2859"/>
      <c r="P42" s="2859"/>
      <c r="Q42" s="2859"/>
      <c r="R42" s="2859"/>
      <c r="S42" s="2859"/>
      <c r="T42" s="2859"/>
      <c r="U42" s="112"/>
      <c r="V42" s="226"/>
    </row>
    <row r="43" spans="1:23">
      <c r="B43" s="73" t="s">
        <v>136</v>
      </c>
      <c r="C43" s="1785" t="s">
        <v>164</v>
      </c>
      <c r="D43" s="784"/>
      <c r="E43" s="785"/>
      <c r="F43" s="549"/>
      <c r="G43" s="75"/>
      <c r="H43" s="538">
        <v>2.86</v>
      </c>
      <c r="K43" s="1794" t="s">
        <v>1571</v>
      </c>
      <c r="L43" s="1795"/>
      <c r="M43" s="1795"/>
      <c r="N43" s="1795"/>
      <c r="O43" s="1795"/>
      <c r="P43" s="1795"/>
      <c r="Q43" s="1795"/>
      <c r="R43" s="1795"/>
      <c r="S43" s="1795"/>
      <c r="T43" s="1796"/>
      <c r="U43" s="6"/>
      <c r="V43" s="6"/>
    </row>
    <row r="44" spans="1:23">
      <c r="A44" s="10"/>
      <c r="B44" s="1773" t="s">
        <v>136</v>
      </c>
      <c r="C44" s="1775" t="s">
        <v>138</v>
      </c>
      <c r="D44" s="81"/>
      <c r="E44" s="82"/>
      <c r="F44" s="549"/>
      <c r="G44" s="75"/>
      <c r="H44" s="539">
        <v>4</v>
      </c>
      <c r="K44" s="1794" t="s">
        <v>100</v>
      </c>
      <c r="L44" s="1795"/>
      <c r="M44" s="1795"/>
      <c r="N44" s="1795"/>
      <c r="O44" s="1795"/>
      <c r="P44" s="1795"/>
      <c r="Q44" s="1795"/>
      <c r="R44" s="1795"/>
      <c r="S44" s="1795"/>
      <c r="T44" s="1796"/>
      <c r="U44" s="224"/>
      <c r="V44" s="224"/>
    </row>
    <row r="45" spans="1:23">
      <c r="A45" s="10"/>
      <c r="B45" s="1773" t="s">
        <v>136</v>
      </c>
      <c r="C45" s="1775" t="s">
        <v>161</v>
      </c>
      <c r="D45" s="81"/>
      <c r="E45" s="82"/>
      <c r="F45" s="549"/>
      <c r="G45" s="75"/>
      <c r="H45" s="539">
        <v>3.3999999999999998E-3</v>
      </c>
      <c r="K45" s="1794" t="s">
        <v>1572</v>
      </c>
      <c r="L45" s="1795"/>
      <c r="M45" s="1795"/>
      <c r="N45" s="1795"/>
      <c r="O45" s="1795"/>
      <c r="P45" s="1795"/>
      <c r="Q45" s="1795"/>
      <c r="R45" s="1795"/>
      <c r="S45" s="1795"/>
      <c r="T45" s="1796"/>
      <c r="U45" s="6"/>
      <c r="V45" s="6"/>
    </row>
    <row r="46" spans="1:23">
      <c r="A46" s="10"/>
      <c r="B46" s="73" t="s">
        <v>137</v>
      </c>
      <c r="C46" s="1785" t="s">
        <v>164</v>
      </c>
      <c r="D46" s="784"/>
      <c r="E46" s="785"/>
      <c r="F46" s="549"/>
      <c r="G46" s="75"/>
      <c r="H46" s="538">
        <v>2.86</v>
      </c>
      <c r="K46" s="1794" t="s">
        <v>1573</v>
      </c>
      <c r="L46" s="1795"/>
      <c r="M46" s="1795"/>
      <c r="N46" s="1795"/>
      <c r="O46" s="1795"/>
      <c r="P46" s="1795"/>
      <c r="Q46" s="1795"/>
      <c r="R46" s="1795"/>
      <c r="S46" s="1795"/>
      <c r="T46" s="1796"/>
      <c r="U46" s="6"/>
      <c r="V46" s="6"/>
    </row>
    <row r="47" spans="1:23">
      <c r="A47" s="10"/>
      <c r="B47" s="1773" t="s">
        <v>137</v>
      </c>
      <c r="C47" s="1775" t="s">
        <v>138</v>
      </c>
      <c r="D47" s="81"/>
      <c r="E47" s="82"/>
      <c r="F47" s="549"/>
      <c r="G47" s="75"/>
      <c r="H47" s="539">
        <v>5</v>
      </c>
      <c r="K47" s="1794" t="s">
        <v>1565</v>
      </c>
      <c r="L47" s="1795"/>
      <c r="M47" s="1795"/>
      <c r="N47" s="1795"/>
      <c r="O47" s="1795"/>
      <c r="P47" s="1795"/>
      <c r="Q47" s="1795"/>
      <c r="R47" s="1795"/>
      <c r="S47" s="1795"/>
      <c r="T47" s="1796"/>
      <c r="U47" s="6"/>
      <c r="V47" s="6"/>
    </row>
    <row r="48" spans="1:23">
      <c r="A48" s="10"/>
      <c r="B48" s="1774" t="s">
        <v>137</v>
      </c>
      <c r="C48" s="1786" t="s">
        <v>161</v>
      </c>
      <c r="D48" s="667"/>
      <c r="E48" s="668"/>
      <c r="F48" s="549"/>
      <c r="G48" s="75"/>
      <c r="H48" s="539">
        <v>3.3999999999999998E-3</v>
      </c>
      <c r="K48" s="1794"/>
      <c r="L48" s="1795"/>
      <c r="M48" s="1795"/>
      <c r="N48" s="1795"/>
      <c r="O48" s="1795"/>
      <c r="P48" s="1795"/>
      <c r="Q48" s="1795"/>
      <c r="R48" s="1795"/>
      <c r="S48" s="1795"/>
      <c r="T48" s="1796"/>
      <c r="U48" s="658"/>
      <c r="V48" s="658"/>
    </row>
    <row r="49" spans="1:22">
      <c r="A49" s="10"/>
      <c r="B49" s="1773" t="s">
        <v>36</v>
      </c>
      <c r="C49" s="2877" t="s">
        <v>39</v>
      </c>
      <c r="D49" s="2877"/>
      <c r="E49" s="2878"/>
      <c r="F49" s="549" t="str">
        <f t="shared" ref="F49:F66" si="0">B49&amp;C49</f>
        <v>MotorcyclePurchase Price</v>
      </c>
      <c r="G49" s="32">
        <v>15000</v>
      </c>
      <c r="H49" s="540">
        <v>5000</v>
      </c>
      <c r="K49" s="1794" t="s">
        <v>1563</v>
      </c>
      <c r="L49" s="1795"/>
      <c r="M49" s="1795"/>
      <c r="N49" s="1795"/>
      <c r="O49" s="1795"/>
      <c r="P49" s="1795"/>
      <c r="Q49" s="1795"/>
      <c r="R49" s="1795"/>
      <c r="S49" s="1795"/>
      <c r="T49" s="1796"/>
      <c r="U49" s="181"/>
      <c r="V49" s="181"/>
    </row>
    <row r="50" spans="1:22">
      <c r="A50" s="10"/>
      <c r="B50" s="1773" t="s">
        <v>36</v>
      </c>
      <c r="C50" s="2552" t="s">
        <v>40</v>
      </c>
      <c r="D50" s="2552"/>
      <c r="E50" s="2879"/>
      <c r="F50" s="549" t="str">
        <f t="shared" si="0"/>
        <v>MotorcycleDepreciation Cost / yr</v>
      </c>
      <c r="G50" s="30">
        <f>G49/$H$11</f>
        <v>2142.8571428571427</v>
      </c>
      <c r="H50" s="541">
        <v>1250</v>
      </c>
      <c r="K50" s="1794" t="s">
        <v>1564</v>
      </c>
      <c r="L50" s="1795"/>
      <c r="M50" s="1795"/>
      <c r="N50" s="1795"/>
      <c r="O50" s="1795"/>
      <c r="P50" s="1795"/>
      <c r="Q50" s="1795"/>
      <c r="R50" s="1795"/>
      <c r="S50" s="1795"/>
      <c r="T50" s="1796"/>
      <c r="U50" s="181"/>
      <c r="V50" s="181"/>
    </row>
    <row r="51" spans="1:22">
      <c r="A51" s="10"/>
      <c r="B51" s="1773" t="s">
        <v>36</v>
      </c>
      <c r="C51" s="2552" t="s">
        <v>44</v>
      </c>
      <c r="D51" s="2552"/>
      <c r="E51" s="2879"/>
      <c r="F51" s="549" t="str">
        <f t="shared" si="0"/>
        <v>MotorcycleInsurance cost /yr</v>
      </c>
      <c r="G51" s="32">
        <v>1000</v>
      </c>
      <c r="H51" s="542">
        <v>0</v>
      </c>
      <c r="K51" s="1794" t="s">
        <v>100</v>
      </c>
      <c r="L51" s="1795"/>
      <c r="M51" s="1795"/>
      <c r="N51" s="1795"/>
      <c r="O51" s="1795"/>
      <c r="P51" s="1795"/>
      <c r="Q51" s="1795"/>
      <c r="R51" s="1795"/>
      <c r="S51" s="1795"/>
      <c r="T51" s="1796"/>
      <c r="U51" t="s">
        <v>700</v>
      </c>
      <c r="V51" s="181"/>
    </row>
    <row r="52" spans="1:22">
      <c r="A52" s="10"/>
      <c r="B52" s="1773" t="s">
        <v>36</v>
      </c>
      <c r="C52" s="2552" t="s">
        <v>42</v>
      </c>
      <c r="D52" s="2552"/>
      <c r="E52" s="2879"/>
      <c r="F52" s="549" t="str">
        <f t="shared" si="0"/>
        <v>MotorcycleMaintenance cost/km</v>
      </c>
      <c r="G52" s="32">
        <v>0.05</v>
      </c>
      <c r="H52" s="542">
        <v>0</v>
      </c>
      <c r="K52" s="1794" t="s">
        <v>100</v>
      </c>
      <c r="L52" s="1795"/>
      <c r="M52" s="1795"/>
      <c r="N52" s="1795"/>
      <c r="O52" s="1795"/>
      <c r="P52" s="1795"/>
      <c r="Q52" s="1795"/>
      <c r="R52" s="1795"/>
      <c r="S52" s="1795"/>
      <c r="T52" s="1796"/>
      <c r="U52" t="s">
        <v>700</v>
      </c>
      <c r="V52" s="181"/>
    </row>
    <row r="53" spans="1:22">
      <c r="A53" s="10"/>
      <c r="B53" s="1773" t="s">
        <v>36</v>
      </c>
      <c r="C53" s="2552" t="s">
        <v>41</v>
      </c>
      <c r="D53" s="2552"/>
      <c r="E53" s="2879"/>
      <c r="F53" s="549" t="str">
        <f t="shared" si="0"/>
        <v>MotorcycleFuel Efficiency (km/liter)</v>
      </c>
      <c r="G53" s="31">
        <v>27.5</v>
      </c>
      <c r="H53" s="543">
        <v>6</v>
      </c>
      <c r="K53" s="1794" t="s">
        <v>1565</v>
      </c>
      <c r="L53" s="1795"/>
      <c r="M53" s="1795"/>
      <c r="N53" s="1795"/>
      <c r="O53" s="1795"/>
      <c r="P53" s="1795"/>
      <c r="Q53" s="1795"/>
      <c r="R53" s="1795"/>
      <c r="S53" s="1795"/>
      <c r="T53" s="1796"/>
      <c r="U53" t="s">
        <v>700</v>
      </c>
      <c r="V53" s="181"/>
    </row>
    <row r="54" spans="1:22">
      <c r="A54" s="10"/>
      <c r="B54" s="1774" t="s">
        <v>36</v>
      </c>
      <c r="C54" s="2882" t="s">
        <v>43</v>
      </c>
      <c r="D54" s="2882"/>
      <c r="E54" s="2883"/>
      <c r="F54" s="549" t="str">
        <f t="shared" si="0"/>
        <v>MotorcycleDelivery Capacity (m^3)</v>
      </c>
      <c r="G54" s="33">
        <v>0.25</v>
      </c>
      <c r="H54" s="544">
        <v>3.4000000000000002E-2</v>
      </c>
      <c r="K54" s="1794" t="s">
        <v>1566</v>
      </c>
      <c r="L54" s="1795"/>
      <c r="M54" s="1795"/>
      <c r="N54" s="1795"/>
      <c r="O54" s="1795"/>
      <c r="P54" s="1795"/>
      <c r="Q54" s="1795"/>
      <c r="R54" s="1795"/>
      <c r="S54" s="1795"/>
      <c r="T54" s="1796"/>
      <c r="U54" t="s">
        <v>699</v>
      </c>
      <c r="V54" s="181"/>
    </row>
    <row r="55" spans="1:22">
      <c r="A55" s="10"/>
      <c r="B55" s="1773" t="s">
        <v>407</v>
      </c>
      <c r="C55" s="2877" t="s">
        <v>39</v>
      </c>
      <c r="D55" s="2877"/>
      <c r="E55" s="2878"/>
      <c r="F55" s="549" t="str">
        <f t="shared" si="0"/>
        <v>Car/Sport Utility/Consumer VehiclePurchase Price</v>
      </c>
      <c r="G55" s="28">
        <v>60939.499795095864</v>
      </c>
      <c r="H55" s="540">
        <v>35000</v>
      </c>
      <c r="K55" s="1794" t="s">
        <v>1574</v>
      </c>
      <c r="L55" s="1795"/>
      <c r="M55" s="1795"/>
      <c r="N55" s="1795"/>
      <c r="O55" s="1795"/>
      <c r="P55" s="1795"/>
      <c r="Q55" s="1795"/>
      <c r="R55" s="1795"/>
      <c r="S55" s="1795"/>
      <c r="T55" s="1796"/>
      <c r="U55" s="181"/>
      <c r="V55" s="181"/>
    </row>
    <row r="56" spans="1:22">
      <c r="A56" s="10"/>
      <c r="B56" s="1773" t="s">
        <v>407</v>
      </c>
      <c r="C56" s="2552" t="s">
        <v>40</v>
      </c>
      <c r="D56" s="2552"/>
      <c r="E56" s="2879"/>
      <c r="F56" s="549" t="str">
        <f t="shared" si="0"/>
        <v>Car/Sport Utility/Consumer VehicleDepreciation Cost / yr</v>
      </c>
      <c r="G56" s="29">
        <f>G55/$H$11</f>
        <v>8705.6428278708372</v>
      </c>
      <c r="H56" s="541">
        <v>5000</v>
      </c>
      <c r="K56" s="1794" t="s">
        <v>1575</v>
      </c>
      <c r="L56" s="1795"/>
      <c r="M56" s="1795"/>
      <c r="N56" s="1795"/>
      <c r="O56" s="1795"/>
      <c r="P56" s="1795"/>
      <c r="Q56" s="1795"/>
      <c r="R56" s="1795"/>
      <c r="S56" s="1795"/>
      <c r="T56" s="1796"/>
      <c r="U56" s="181"/>
      <c r="V56" s="181"/>
    </row>
    <row r="57" spans="1:22">
      <c r="A57" s="10"/>
      <c r="B57" s="1773" t="s">
        <v>407</v>
      </c>
      <c r="C57" s="2552" t="s">
        <v>44</v>
      </c>
      <c r="D57" s="2552"/>
      <c r="E57" s="2879"/>
      <c r="F57" s="549" t="str">
        <f t="shared" si="0"/>
        <v>Car/Sport Utility/Consumer VehicleInsurance cost /yr</v>
      </c>
      <c r="G57" s="28">
        <v>2323.9499999999998</v>
      </c>
      <c r="H57" s="542">
        <v>0</v>
      </c>
      <c r="K57" s="1794" t="s">
        <v>100</v>
      </c>
      <c r="L57" s="1795"/>
      <c r="M57" s="1795"/>
      <c r="N57" s="1795"/>
      <c r="O57" s="1795"/>
      <c r="P57" s="1795"/>
      <c r="Q57" s="1795"/>
      <c r="R57" s="1795"/>
      <c r="S57" s="1795"/>
      <c r="T57" s="1796"/>
      <c r="U57" s="181"/>
      <c r="V57" s="181"/>
    </row>
    <row r="58" spans="1:22">
      <c r="A58" s="10"/>
      <c r="B58" s="1773" t="s">
        <v>407</v>
      </c>
      <c r="C58" s="2918" t="s">
        <v>42</v>
      </c>
      <c r="D58" s="2918"/>
      <c r="E58" s="2919"/>
      <c r="F58" s="549" t="str">
        <f t="shared" si="0"/>
        <v>Car/Sport Utility/Consumer VehicleMaintenance cost/km</v>
      </c>
      <c r="G58" s="28">
        <v>0.12</v>
      </c>
      <c r="H58" s="542">
        <v>0</v>
      </c>
      <c r="K58" s="1794" t="s">
        <v>100</v>
      </c>
      <c r="L58" s="1795"/>
      <c r="M58" s="1795"/>
      <c r="N58" s="1795"/>
      <c r="O58" s="1795"/>
      <c r="P58" s="1795"/>
      <c r="Q58" s="1795"/>
      <c r="R58" s="1795"/>
      <c r="S58" s="1795"/>
      <c r="T58" s="1796"/>
      <c r="U58" s="181"/>
      <c r="V58" s="181"/>
    </row>
    <row r="59" spans="1:22">
      <c r="A59" s="10"/>
      <c r="B59" s="1773" t="s">
        <v>407</v>
      </c>
      <c r="C59" s="2552" t="s">
        <v>41</v>
      </c>
      <c r="D59" s="2552"/>
      <c r="E59" s="2879"/>
      <c r="F59" s="549" t="str">
        <f t="shared" si="0"/>
        <v>Car/Sport Utility/Consumer VehicleFuel Efficiency (km/liter)</v>
      </c>
      <c r="G59" s="12">
        <v>6.9</v>
      </c>
      <c r="H59" s="543">
        <v>15</v>
      </c>
      <c r="K59" s="1794" t="s">
        <v>1569</v>
      </c>
      <c r="L59" s="1795"/>
      <c r="M59" s="1795"/>
      <c r="N59" s="1795"/>
      <c r="O59" s="1795"/>
      <c r="P59" s="1795"/>
      <c r="Q59" s="1795"/>
      <c r="R59" s="1795"/>
      <c r="S59" s="1795"/>
      <c r="T59" s="1796"/>
      <c r="U59" s="181"/>
      <c r="V59" s="181"/>
    </row>
    <row r="60" spans="1:22">
      <c r="A60" s="10"/>
      <c r="B60" s="1774" t="s">
        <v>407</v>
      </c>
      <c r="C60" s="2882" t="s">
        <v>43</v>
      </c>
      <c r="D60" s="2882"/>
      <c r="E60" s="2883"/>
      <c r="F60" s="549" t="str">
        <f t="shared" si="0"/>
        <v>Car/Sport Utility/Consumer VehicleDelivery Capacity (m^3)</v>
      </c>
      <c r="G60" s="14">
        <v>2</v>
      </c>
      <c r="H60" s="544">
        <v>2</v>
      </c>
      <c r="K60" s="1794" t="s">
        <v>1570</v>
      </c>
      <c r="L60" s="1795"/>
      <c r="M60" s="1795"/>
      <c r="N60" s="1795"/>
      <c r="O60" s="1795"/>
      <c r="P60" s="1795"/>
      <c r="Q60" s="1795"/>
      <c r="R60" s="1795"/>
      <c r="S60" s="1795"/>
      <c r="T60" s="1796"/>
      <c r="U60" s="181"/>
      <c r="V60" s="181"/>
    </row>
    <row r="61" spans="1:22">
      <c r="A61" s="10"/>
      <c r="B61" s="1773" t="s">
        <v>279</v>
      </c>
      <c r="C61" s="2877" t="s">
        <v>39</v>
      </c>
      <c r="D61" s="2877"/>
      <c r="E61" s="2878"/>
      <c r="F61" s="803" t="str">
        <f t="shared" si="0"/>
        <v>Commercial TruckPurchase Price</v>
      </c>
      <c r="G61" s="28">
        <v>70448.990000000005</v>
      </c>
      <c r="H61" s="540">
        <v>50000</v>
      </c>
      <c r="K61" s="1794" t="s">
        <v>1567</v>
      </c>
      <c r="L61" s="1795"/>
      <c r="M61" s="1795"/>
      <c r="N61" s="1795"/>
      <c r="O61" s="1795"/>
      <c r="P61" s="1795"/>
      <c r="Q61" s="1795"/>
      <c r="R61" s="1795"/>
      <c r="S61" s="1795"/>
      <c r="T61" s="1796"/>
      <c r="U61" s="104"/>
      <c r="V61" s="104"/>
    </row>
    <row r="62" spans="1:22">
      <c r="A62" s="10"/>
      <c r="B62" s="1773" t="s">
        <v>279</v>
      </c>
      <c r="C62" s="2552" t="s">
        <v>40</v>
      </c>
      <c r="D62" s="2552"/>
      <c r="E62" s="2879"/>
      <c r="F62" s="803" t="str">
        <f t="shared" si="0"/>
        <v>Commercial TruckDepreciation Cost / yr</v>
      </c>
      <c r="G62" s="29">
        <f>G61/$H$11</f>
        <v>10064.141428571429</v>
      </c>
      <c r="H62" s="541">
        <v>16666.666666666668</v>
      </c>
      <c r="K62" s="1794" t="s">
        <v>2065</v>
      </c>
      <c r="L62" s="1795"/>
      <c r="M62" s="1795"/>
      <c r="N62" s="1795"/>
      <c r="O62" s="1795"/>
      <c r="P62" s="1795"/>
      <c r="Q62" s="1795"/>
      <c r="R62" s="1795"/>
      <c r="S62" s="1795"/>
      <c r="T62" s="1796"/>
    </row>
    <row r="63" spans="1:22">
      <c r="A63" s="10"/>
      <c r="B63" s="1773" t="s">
        <v>279</v>
      </c>
      <c r="C63" s="2552" t="s">
        <v>44</v>
      </c>
      <c r="D63" s="2552"/>
      <c r="E63" s="2879"/>
      <c r="F63" s="803" t="str">
        <f t="shared" si="0"/>
        <v>Commercial TruckInsurance cost /yr</v>
      </c>
      <c r="G63" s="28">
        <v>2575.86</v>
      </c>
      <c r="H63" s="542"/>
      <c r="K63" s="1794"/>
      <c r="L63" s="1795"/>
      <c r="M63" s="1795"/>
      <c r="N63" s="1795"/>
      <c r="O63" s="1795"/>
      <c r="P63" s="1795"/>
      <c r="Q63" s="1795"/>
      <c r="R63" s="1795"/>
      <c r="S63" s="1795"/>
      <c r="T63" s="1796"/>
    </row>
    <row r="64" spans="1:22">
      <c r="A64" s="10"/>
      <c r="B64" s="1773" t="s">
        <v>279</v>
      </c>
      <c r="C64" s="2552" t="s">
        <v>42</v>
      </c>
      <c r="D64" s="2552"/>
      <c r="E64" s="2879"/>
      <c r="F64" s="803" t="str">
        <f t="shared" si="0"/>
        <v>Commercial TruckMaintenance cost/km</v>
      </c>
      <c r="G64" s="28">
        <v>0.38</v>
      </c>
      <c r="H64" s="542">
        <v>0.03</v>
      </c>
      <c r="K64" s="1794" t="s">
        <v>2066</v>
      </c>
      <c r="L64" s="1795"/>
      <c r="M64" s="1795"/>
      <c r="N64" s="1795"/>
      <c r="O64" s="1795"/>
      <c r="P64" s="1795"/>
      <c r="Q64" s="1795"/>
      <c r="R64" s="1795"/>
      <c r="S64" s="1795"/>
      <c r="T64" s="1796"/>
    </row>
    <row r="65" spans="1:23">
      <c r="A65" s="10"/>
      <c r="B65" s="1773" t="s">
        <v>279</v>
      </c>
      <c r="C65" s="2552" t="s">
        <v>41</v>
      </c>
      <c r="D65" s="2552"/>
      <c r="E65" s="2879"/>
      <c r="F65" s="803" t="str">
        <f t="shared" si="0"/>
        <v>Commercial TruckFuel Efficiency (km/liter)</v>
      </c>
      <c r="G65" s="12">
        <v>3.86</v>
      </c>
      <c r="H65" s="543">
        <v>5</v>
      </c>
      <c r="K65" s="1794" t="s">
        <v>1569</v>
      </c>
      <c r="L65" s="1795"/>
      <c r="M65" s="1795"/>
      <c r="N65" s="1795"/>
      <c r="O65" s="1795"/>
      <c r="P65" s="1795"/>
      <c r="Q65" s="1795"/>
      <c r="R65" s="1795"/>
      <c r="S65" s="1795"/>
      <c r="T65" s="1796"/>
    </row>
    <row r="66" spans="1:23">
      <c r="A66" s="10"/>
      <c r="B66" s="1774" t="s">
        <v>279</v>
      </c>
      <c r="C66" s="2882" t="s">
        <v>43</v>
      </c>
      <c r="D66" s="2882"/>
      <c r="E66" s="2883"/>
      <c r="F66" s="803" t="str">
        <f t="shared" si="0"/>
        <v>Commercial TruckDelivery Capacity (m^3)</v>
      </c>
      <c r="G66" s="14">
        <v>12</v>
      </c>
      <c r="H66" s="544">
        <v>10</v>
      </c>
      <c r="K66" s="1794" t="s">
        <v>1570</v>
      </c>
      <c r="L66" s="1795"/>
      <c r="M66" s="1795"/>
      <c r="N66" s="1795"/>
      <c r="O66" s="1795"/>
      <c r="P66" s="1795"/>
      <c r="Q66" s="1795"/>
      <c r="R66" s="1795"/>
      <c r="S66" s="1795"/>
      <c r="T66" s="1796"/>
    </row>
    <row r="67" spans="1:23">
      <c r="A67" s="10"/>
      <c r="B67" s="1773" t="s">
        <v>408</v>
      </c>
      <c r="C67" s="2877" t="s">
        <v>39</v>
      </c>
      <c r="D67" s="2877"/>
      <c r="E67" s="2878"/>
      <c r="F67" s="549"/>
      <c r="H67" s="540">
        <v>150000</v>
      </c>
      <c r="K67" s="1794"/>
      <c r="L67" s="1795"/>
      <c r="M67" s="1795"/>
      <c r="N67" s="1795"/>
      <c r="O67" s="1795"/>
      <c r="P67" s="1795"/>
      <c r="Q67" s="1795"/>
      <c r="R67" s="1795"/>
      <c r="S67" s="1795"/>
      <c r="T67" s="1796"/>
      <c r="W67" s="37"/>
    </row>
    <row r="68" spans="1:23">
      <c r="A68" s="10"/>
      <c r="B68" s="1773" t="s">
        <v>408</v>
      </c>
      <c r="C68" s="2552" t="s">
        <v>40</v>
      </c>
      <c r="D68" s="2552"/>
      <c r="E68" s="2879"/>
      <c r="F68" s="549"/>
      <c r="H68" s="541">
        <v>21428.571428571428</v>
      </c>
      <c r="K68" s="1794"/>
      <c r="L68" s="1795"/>
      <c r="M68" s="1795"/>
      <c r="N68" s="1795"/>
      <c r="O68" s="1795"/>
      <c r="P68" s="1795"/>
      <c r="Q68" s="1795"/>
      <c r="R68" s="1795"/>
      <c r="S68" s="1795"/>
      <c r="T68" s="1796"/>
    </row>
    <row r="69" spans="1:23">
      <c r="A69" s="10"/>
      <c r="B69" s="1773" t="s">
        <v>408</v>
      </c>
      <c r="C69" s="2552" t="s">
        <v>44</v>
      </c>
      <c r="D69" s="2552"/>
      <c r="E69" s="2879"/>
      <c r="F69" s="549"/>
      <c r="H69" s="542">
        <v>0</v>
      </c>
      <c r="K69" s="1794"/>
      <c r="L69" s="1795"/>
      <c r="M69" s="1795"/>
      <c r="N69" s="1795"/>
      <c r="O69" s="1795"/>
      <c r="P69" s="1795"/>
      <c r="Q69" s="1795"/>
      <c r="R69" s="1795"/>
      <c r="S69" s="1795"/>
      <c r="T69" s="1796"/>
      <c r="U69" s="655"/>
      <c r="V69" s="655"/>
    </row>
    <row r="70" spans="1:23">
      <c r="A70" s="10"/>
      <c r="B70" s="1773" t="s">
        <v>408</v>
      </c>
      <c r="C70" s="2552" t="s">
        <v>42</v>
      </c>
      <c r="D70" s="2552"/>
      <c r="E70" s="2879"/>
      <c r="F70" s="549"/>
      <c r="H70" s="542">
        <v>5.2999999999999999E-2</v>
      </c>
      <c r="K70" s="1794" t="s">
        <v>2066</v>
      </c>
      <c r="L70" s="1795"/>
      <c r="M70" s="1795"/>
      <c r="N70" s="1795"/>
      <c r="O70" s="1795"/>
      <c r="P70" s="1795"/>
      <c r="Q70" s="1795"/>
      <c r="R70" s="1795"/>
      <c r="S70" s="1795"/>
      <c r="T70" s="1796"/>
      <c r="U70" s="37"/>
      <c r="V70" s="654"/>
    </row>
    <row r="71" spans="1:23" ht="15" customHeight="1">
      <c r="A71" s="10"/>
      <c r="B71" s="1773" t="s">
        <v>408</v>
      </c>
      <c r="C71" s="2552" t="s">
        <v>41</v>
      </c>
      <c r="D71" s="2552"/>
      <c r="E71" s="2879"/>
      <c r="F71" s="549"/>
      <c r="H71" s="543">
        <v>3</v>
      </c>
      <c r="K71" s="1794"/>
      <c r="L71" s="1795"/>
      <c r="M71" s="1795"/>
      <c r="N71" s="1795"/>
      <c r="O71" s="1795"/>
      <c r="P71" s="1795"/>
      <c r="Q71" s="1795"/>
      <c r="R71" s="1795"/>
      <c r="S71" s="1795"/>
      <c r="T71" s="1796"/>
      <c r="U71" s="37"/>
      <c r="V71" s="654"/>
    </row>
    <row r="72" spans="1:23">
      <c r="A72" s="10"/>
      <c r="B72" s="1774" t="s">
        <v>408</v>
      </c>
      <c r="C72" s="2882" t="s">
        <v>43</v>
      </c>
      <c r="D72" s="2882"/>
      <c r="E72" s="2883"/>
      <c r="F72" s="549"/>
      <c r="H72" s="544">
        <v>2</v>
      </c>
      <c r="K72" s="1794"/>
      <c r="L72" s="1795"/>
      <c r="M72" s="1795"/>
      <c r="N72" s="1795"/>
      <c r="O72" s="1795"/>
      <c r="P72" s="1795"/>
      <c r="Q72" s="1795"/>
      <c r="R72" s="1795"/>
      <c r="S72" s="1795"/>
      <c r="T72" s="1796"/>
      <c r="U72" s="37"/>
      <c r="V72" s="654"/>
    </row>
    <row r="73" spans="1:23">
      <c r="A73" t="s">
        <v>698</v>
      </c>
      <c r="B73" s="1773" t="s">
        <v>409</v>
      </c>
      <c r="C73" s="2877" t="s">
        <v>39</v>
      </c>
      <c r="D73" s="2877"/>
      <c r="E73" s="2878"/>
      <c r="F73" s="549"/>
      <c r="H73" s="540">
        <v>50</v>
      </c>
      <c r="K73" s="1794" t="s">
        <v>1562</v>
      </c>
      <c r="L73" s="1795"/>
      <c r="M73" s="1795"/>
      <c r="N73" s="1795"/>
      <c r="O73" s="1795"/>
      <c r="P73" s="1795"/>
      <c r="Q73" s="1795"/>
      <c r="R73" s="1795"/>
      <c r="S73" s="1795"/>
      <c r="T73" s="1796"/>
      <c r="U73" s="37"/>
      <c r="V73" s="654"/>
    </row>
    <row r="74" spans="1:23">
      <c r="A74" s="10"/>
      <c r="B74" s="1773" t="s">
        <v>409</v>
      </c>
      <c r="C74" s="2552" t="s">
        <v>40</v>
      </c>
      <c r="D74" s="2552"/>
      <c r="E74" s="2879"/>
      <c r="F74" s="549"/>
      <c r="H74" s="541">
        <v>0</v>
      </c>
      <c r="K74" s="1794"/>
      <c r="L74" s="1795"/>
      <c r="M74" s="1795"/>
      <c r="N74" s="1795"/>
      <c r="O74" s="1795"/>
      <c r="P74" s="1795"/>
      <c r="Q74" s="1795"/>
      <c r="R74" s="1795"/>
      <c r="S74" s="1795"/>
      <c r="T74" s="1796"/>
      <c r="U74" s="653"/>
      <c r="V74" s="652"/>
    </row>
    <row r="75" spans="1:23">
      <c r="A75" s="10"/>
      <c r="B75" s="1773" t="s">
        <v>409</v>
      </c>
      <c r="C75" s="2552" t="s">
        <v>44</v>
      </c>
      <c r="D75" s="2552"/>
      <c r="E75" s="2879"/>
      <c r="F75" s="549"/>
      <c r="H75" s="542">
        <v>0</v>
      </c>
      <c r="K75" s="1794"/>
      <c r="L75" s="1795"/>
      <c r="M75" s="1795"/>
      <c r="N75" s="1795"/>
      <c r="O75" s="1795"/>
      <c r="P75" s="1795"/>
      <c r="Q75" s="1795"/>
      <c r="R75" s="1795"/>
      <c r="S75" s="1795"/>
      <c r="T75" s="1796"/>
    </row>
    <row r="76" spans="1:23" ht="14.25" customHeight="1">
      <c r="A76" s="10"/>
      <c r="B76" s="1773" t="s">
        <v>409</v>
      </c>
      <c r="C76" s="2552" t="s">
        <v>42</v>
      </c>
      <c r="D76" s="2552"/>
      <c r="E76" s="2879"/>
      <c r="F76" s="549"/>
      <c r="H76" s="542">
        <v>0</v>
      </c>
      <c r="K76" s="1794"/>
      <c r="L76" s="1795"/>
      <c r="M76" s="1795"/>
      <c r="N76" s="1795"/>
      <c r="O76" s="1795"/>
      <c r="P76" s="1795"/>
      <c r="Q76" s="1795"/>
      <c r="R76" s="1795"/>
      <c r="S76" s="1795"/>
      <c r="T76" s="1796"/>
    </row>
    <row r="77" spans="1:23" ht="15.75" customHeight="1">
      <c r="A77" s="10"/>
      <c r="B77" s="1773" t="s">
        <v>409</v>
      </c>
      <c r="C77" s="2552" t="s">
        <v>41</v>
      </c>
      <c r="D77" s="2552"/>
      <c r="E77" s="2879"/>
      <c r="F77" s="549"/>
      <c r="H77" s="543">
        <v>1.0000000000000001E-5</v>
      </c>
      <c r="K77" s="1794"/>
      <c r="L77" s="1795"/>
      <c r="M77" s="1795"/>
      <c r="N77" s="1795"/>
      <c r="O77" s="1795"/>
      <c r="P77" s="1795"/>
      <c r="Q77" s="1795"/>
      <c r="R77" s="1795"/>
      <c r="S77" s="1795"/>
      <c r="T77" s="1796"/>
    </row>
    <row r="78" spans="1:23">
      <c r="A78" s="10"/>
      <c r="B78" s="1774" t="s">
        <v>409</v>
      </c>
      <c r="C78" s="2882" t="s">
        <v>43</v>
      </c>
      <c r="D78" s="2882"/>
      <c r="E78" s="2883"/>
      <c r="F78" s="549"/>
      <c r="H78" s="544">
        <v>10</v>
      </c>
      <c r="K78" s="1794"/>
      <c r="L78" s="1795"/>
      <c r="M78" s="1795"/>
      <c r="N78" s="1795"/>
      <c r="O78" s="1795"/>
      <c r="P78" s="1795"/>
      <c r="Q78" s="1795"/>
      <c r="R78" s="1795"/>
      <c r="S78" s="1795"/>
      <c r="T78" s="1796"/>
    </row>
    <row r="79" spans="1:23" ht="30" customHeight="1">
      <c r="A79" s="10"/>
      <c r="B79" s="1772"/>
      <c r="C79" s="1772"/>
    </row>
    <row r="80" spans="1:23">
      <c r="A80" s="10"/>
      <c r="B80" s="1772"/>
      <c r="C80" s="1772"/>
    </row>
    <row r="81" spans="1:34" ht="27.65" customHeight="1">
      <c r="A81" s="2886" t="s">
        <v>607</v>
      </c>
      <c r="B81" s="2886"/>
      <c r="C81" s="2886"/>
      <c r="D81" s="2886"/>
      <c r="E81" s="2886"/>
      <c r="G81" t="s">
        <v>3</v>
      </c>
      <c r="H81" t="s">
        <v>692</v>
      </c>
      <c r="J81" t="s">
        <v>47</v>
      </c>
      <c r="K81" t="s">
        <v>695</v>
      </c>
      <c r="M81" t="s">
        <v>96</v>
      </c>
      <c r="N81" t="s">
        <v>694</v>
      </c>
      <c r="Q81" t="s">
        <v>693</v>
      </c>
    </row>
    <row r="82" spans="1:34" ht="15" customHeight="1">
      <c r="A82" s="10"/>
      <c r="B82" s="148"/>
      <c r="C82" s="148"/>
      <c r="D82" s="148"/>
      <c r="E82" s="148"/>
      <c r="G82" s="2887" t="s">
        <v>9</v>
      </c>
      <c r="H82" s="2888"/>
      <c r="I82" s="1772"/>
      <c r="J82" s="2889" t="s">
        <v>6</v>
      </c>
      <c r="K82" s="2890"/>
      <c r="L82" s="1772"/>
      <c r="M82" s="2889" t="s">
        <v>7</v>
      </c>
      <c r="N82" s="2890"/>
      <c r="O82" s="1772"/>
      <c r="P82" s="1787" t="s">
        <v>8</v>
      </c>
      <c r="Q82" s="1787" t="s">
        <v>8</v>
      </c>
      <c r="R82" s="1772"/>
      <c r="S82" s="1772"/>
      <c r="T82" s="1787" t="s">
        <v>411</v>
      </c>
      <c r="U82" s="1772"/>
      <c r="V82" s="1772"/>
      <c r="W82" s="718" t="s">
        <v>412</v>
      </c>
    </row>
    <row r="83" spans="1:34" ht="15" customHeight="1">
      <c r="B83" s="148"/>
      <c r="C83" s="148"/>
      <c r="D83" s="148"/>
      <c r="E83" s="148"/>
      <c r="G83" s="2867" t="s">
        <v>17</v>
      </c>
      <c r="H83" s="2894" t="s">
        <v>10</v>
      </c>
      <c r="I83" s="6"/>
      <c r="J83" s="2637" t="s">
        <v>17</v>
      </c>
      <c r="K83" s="2894" t="s">
        <v>10</v>
      </c>
      <c r="L83" s="6"/>
      <c r="M83" s="2637" t="s">
        <v>17</v>
      </c>
      <c r="N83" s="2894" t="s">
        <v>10</v>
      </c>
      <c r="P83" s="2867" t="s">
        <v>17</v>
      </c>
      <c r="Q83" s="2869" t="s">
        <v>10</v>
      </c>
      <c r="T83" s="2869" t="s">
        <v>10</v>
      </c>
      <c r="W83" s="2869" t="s">
        <v>10</v>
      </c>
      <c r="X83" s="2661" t="s">
        <v>405</v>
      </c>
      <c r="Y83" s="2661"/>
      <c r="Z83" s="2661"/>
      <c r="AA83" s="2661"/>
      <c r="AB83" s="2661"/>
      <c r="AC83" s="2661"/>
      <c r="AD83" s="2661"/>
      <c r="AE83" s="2661"/>
      <c r="AF83" s="2661"/>
      <c r="AG83" s="2866"/>
    </row>
    <row r="84" spans="1:34" ht="15" customHeight="1">
      <c r="B84" s="148"/>
      <c r="C84" s="148"/>
      <c r="D84" s="148"/>
      <c r="E84" s="148"/>
      <c r="G84" s="2891"/>
      <c r="H84" s="2895"/>
      <c r="I84" s="6"/>
      <c r="J84" s="2896"/>
      <c r="K84" s="2895"/>
      <c r="L84" s="6"/>
      <c r="M84" s="2896"/>
      <c r="N84" s="2895"/>
      <c r="P84" s="2891"/>
      <c r="Q84" s="2892"/>
      <c r="T84" s="2892"/>
      <c r="W84" s="2892"/>
      <c r="X84" s="2662"/>
      <c r="Y84" s="2662"/>
      <c r="Z84" s="2662"/>
      <c r="AA84" s="2662"/>
      <c r="AB84" s="2662"/>
      <c r="AC84" s="2662"/>
      <c r="AD84" s="2662"/>
      <c r="AE84" s="2662"/>
      <c r="AF84" s="2662"/>
      <c r="AG84" s="2610"/>
    </row>
    <row r="85" spans="1:34" ht="16.75">
      <c r="A85" s="1792"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34" ht="20.25" customHeight="1">
      <c r="B86" s="44" t="s">
        <v>116</v>
      </c>
      <c r="C86" s="44"/>
      <c r="D86" s="44"/>
      <c r="E86" s="44"/>
      <c r="G86" s="64" t="s">
        <v>26</v>
      </c>
      <c r="H86" s="523"/>
      <c r="I86" s="713"/>
      <c r="J86" s="714"/>
      <c r="K86" s="523"/>
      <c r="L86" s="713"/>
      <c r="M86" s="714"/>
      <c r="N86" s="523"/>
      <c r="O86" s="713"/>
      <c r="P86" s="714"/>
      <c r="Q86" s="523"/>
      <c r="R86" s="713"/>
      <c r="S86" s="713"/>
      <c r="T86" s="523"/>
      <c r="U86" s="713"/>
      <c r="V86" s="713"/>
      <c r="W86" s="695"/>
      <c r="X86" s="2893"/>
      <c r="Y86" s="2893"/>
      <c r="Z86" s="2893"/>
      <c r="AA86" s="2893"/>
      <c r="AB86" s="2893"/>
      <c r="AC86" s="2893"/>
      <c r="AD86" s="2893"/>
      <c r="AE86" s="2893"/>
      <c r="AF86" s="2893"/>
      <c r="AG86" s="2893"/>
    </row>
    <row r="87" spans="1:34" ht="18" customHeight="1">
      <c r="B87" s="44" t="s">
        <v>0</v>
      </c>
      <c r="C87" s="44"/>
      <c r="D87" s="44"/>
      <c r="E87" s="44"/>
      <c r="F87" s="236"/>
      <c r="G87" s="719" t="s">
        <v>31</v>
      </c>
      <c r="H87" s="550"/>
      <c r="I87" s="720"/>
      <c r="J87" s="721"/>
      <c r="K87" s="550"/>
      <c r="L87" s="720"/>
      <c r="M87" s="721"/>
      <c r="N87" s="550"/>
      <c r="O87" s="720"/>
      <c r="P87" s="721"/>
      <c r="Q87" s="550"/>
      <c r="R87" s="720"/>
      <c r="S87" s="720"/>
      <c r="T87" s="550"/>
      <c r="U87" s="720"/>
      <c r="V87" s="720"/>
      <c r="W87" s="722"/>
      <c r="X87" s="2893"/>
      <c r="Y87" s="2893"/>
      <c r="Z87" s="2893"/>
      <c r="AA87" s="2893"/>
      <c r="AB87" s="2893"/>
      <c r="AC87" s="2893"/>
      <c r="AD87" s="2893"/>
      <c r="AE87" s="2893"/>
      <c r="AF87" s="2893"/>
      <c r="AG87" s="2893"/>
    </row>
    <row r="88" spans="1:34" ht="18.45">
      <c r="A88" s="6"/>
      <c r="B88" s="723" t="s">
        <v>54</v>
      </c>
      <c r="C88" s="1779"/>
      <c r="D88" s="1779"/>
      <c r="E88" s="1779"/>
      <c r="F88" s="6"/>
      <c r="G88" s="65"/>
      <c r="H88" s="561" t="s">
        <v>27</v>
      </c>
      <c r="I88" s="708"/>
      <c r="J88" s="709"/>
      <c r="K88" s="561" t="s">
        <v>692</v>
      </c>
      <c r="L88" s="710"/>
      <c r="M88" s="711"/>
      <c r="N88" s="561" t="s">
        <v>1576</v>
      </c>
      <c r="O88" s="710"/>
      <c r="P88" s="712"/>
      <c r="Q88" s="561"/>
      <c r="R88" s="713"/>
      <c r="S88" s="713"/>
      <c r="T88" s="561"/>
      <c r="U88" s="713"/>
      <c r="V88" s="713"/>
      <c r="W88" s="744"/>
      <c r="X88" s="2900"/>
      <c r="Y88" s="2900"/>
      <c r="Z88" s="2900"/>
      <c r="AA88" s="2893"/>
      <c r="AB88" s="2893"/>
      <c r="AC88" s="2893"/>
      <c r="AD88" s="2893"/>
      <c r="AE88" s="2893"/>
      <c r="AF88" s="2893"/>
      <c r="AG88" s="2893"/>
      <c r="AH88" s="9"/>
    </row>
    <row r="89" spans="1:34">
      <c r="B89" s="52"/>
      <c r="C89" s="52"/>
      <c r="D89" s="52"/>
      <c r="E89" s="52"/>
      <c r="G89" s="717"/>
      <c r="H89" s="1777"/>
      <c r="J89" s="1777"/>
      <c r="K89" s="1777"/>
      <c r="M89" s="1777"/>
      <c r="N89" s="1777"/>
      <c r="P89" s="1777"/>
      <c r="Q89" s="1777"/>
      <c r="T89" s="1777"/>
      <c r="W89" s="1777"/>
    </row>
    <row r="90" spans="1:34" ht="18.45">
      <c r="A90" s="1792"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row>
    <row r="91" spans="1:34" ht="18.649999999999999" hidden="1" customHeight="1">
      <c r="A91" s="1"/>
      <c r="B91" s="50"/>
      <c r="C91" s="50"/>
      <c r="D91" s="50"/>
      <c r="E91" s="50"/>
      <c r="G91" s="66"/>
      <c r="H91" s="1789"/>
      <c r="I91" s="6"/>
      <c r="J91" s="1790"/>
      <c r="K91" s="1789"/>
      <c r="L91" s="6"/>
      <c r="M91" s="1790"/>
      <c r="N91" s="1789"/>
      <c r="P91" s="66"/>
      <c r="Q91" s="1788"/>
      <c r="T91" s="1788"/>
      <c r="W91" s="724"/>
    </row>
    <row r="92" spans="1:34" ht="18.45">
      <c r="A92" s="6"/>
      <c r="B92" s="723" t="s">
        <v>16</v>
      </c>
      <c r="C92" s="1779"/>
      <c r="D92" s="1779"/>
      <c r="E92" s="1779"/>
      <c r="F92" s="725"/>
      <c r="G92" s="65"/>
      <c r="H92" s="553">
        <v>62272</v>
      </c>
      <c r="I92" s="710"/>
      <c r="J92" s="711"/>
      <c r="K92" s="553">
        <v>62272</v>
      </c>
      <c r="L92" s="710"/>
      <c r="M92" s="711"/>
      <c r="N92" s="553">
        <v>62272</v>
      </c>
      <c r="O92" s="710"/>
      <c r="P92" s="712"/>
      <c r="Q92" s="553"/>
      <c r="R92" s="713"/>
      <c r="S92" s="713"/>
      <c r="T92" s="553"/>
      <c r="U92" s="713"/>
      <c r="V92" s="713"/>
      <c r="W92" s="730"/>
      <c r="X92" s="2893"/>
      <c r="Y92" s="2893"/>
      <c r="Z92" s="2893"/>
      <c r="AA92" s="2893"/>
      <c r="AB92" s="2893"/>
      <c r="AC92" s="2893"/>
      <c r="AD92" s="2893"/>
      <c r="AE92" s="2893"/>
      <c r="AF92" s="2893"/>
      <c r="AG92" s="2893"/>
    </row>
    <row r="93" spans="1:34" ht="18.45">
      <c r="A93" s="6"/>
      <c r="B93" s="726" t="s">
        <v>124</v>
      </c>
      <c r="C93" s="727"/>
      <c r="D93" s="727"/>
      <c r="E93" s="727"/>
      <c r="F93" s="728"/>
      <c r="G93" s="65"/>
      <c r="H93" s="554">
        <v>1</v>
      </c>
      <c r="I93" s="731"/>
      <c r="J93" s="732"/>
      <c r="K93" s="554">
        <v>1</v>
      </c>
      <c r="L93" s="731"/>
      <c r="M93" s="732"/>
      <c r="N93" s="554">
        <v>1</v>
      </c>
      <c r="O93" s="733"/>
      <c r="P93" s="734"/>
      <c r="Q93" s="554"/>
      <c r="R93" s="735"/>
      <c r="S93" s="735"/>
      <c r="T93" s="554"/>
      <c r="U93" s="735"/>
      <c r="V93" s="735"/>
      <c r="W93" s="736"/>
      <c r="X93" s="2893"/>
      <c r="Y93" s="2893"/>
      <c r="Z93" s="2893"/>
      <c r="AA93" s="2893"/>
      <c r="AB93" s="2893"/>
      <c r="AC93" s="2893"/>
      <c r="AD93" s="2893"/>
      <c r="AE93" s="2893"/>
      <c r="AF93" s="2893"/>
      <c r="AG93" s="2893"/>
      <c r="AH93" s="9"/>
    </row>
    <row r="94" spans="1:34" ht="18.45">
      <c r="A94" s="6"/>
      <c r="B94" s="726" t="s">
        <v>123</v>
      </c>
      <c r="C94" s="727"/>
      <c r="D94" s="727"/>
      <c r="E94" s="727"/>
      <c r="F94" s="728"/>
      <c r="G94" s="65"/>
      <c r="H94" s="806"/>
      <c r="I94" s="731"/>
      <c r="J94" s="732"/>
      <c r="K94" s="1081">
        <v>0.05</v>
      </c>
      <c r="L94" s="708"/>
      <c r="M94" s="709"/>
      <c r="N94" s="737">
        <v>0.05</v>
      </c>
      <c r="O94" s="710"/>
      <c r="P94" s="712"/>
      <c r="Q94" s="737"/>
      <c r="R94" s="713"/>
      <c r="S94" s="713"/>
      <c r="T94" s="737"/>
      <c r="U94" s="713"/>
      <c r="V94" s="713"/>
      <c r="W94" s="738"/>
      <c r="X94" s="2893"/>
      <c r="Y94" s="2893"/>
      <c r="Z94" s="2893"/>
      <c r="AA94" s="2893"/>
      <c r="AB94" s="2893"/>
      <c r="AC94" s="2893"/>
      <c r="AD94" s="2893"/>
      <c r="AE94" s="2893"/>
      <c r="AF94" s="2893"/>
      <c r="AG94" s="2893"/>
      <c r="AH94" s="9"/>
    </row>
    <row r="95" spans="1:34" ht="18.45">
      <c r="A95" s="6"/>
      <c r="B95" s="726" t="s">
        <v>56</v>
      </c>
      <c r="C95" s="727"/>
      <c r="D95" s="727"/>
      <c r="E95" s="727"/>
      <c r="F95" s="728"/>
      <c r="G95" s="65">
        <v>1</v>
      </c>
      <c r="H95" s="523">
        <v>1</v>
      </c>
      <c r="I95" s="708"/>
      <c r="J95" s="709"/>
      <c r="K95" s="523">
        <v>1</v>
      </c>
      <c r="L95" s="708"/>
      <c r="M95" s="709"/>
      <c r="N95" s="523">
        <v>115</v>
      </c>
      <c r="O95" s="710"/>
      <c r="P95" s="712"/>
      <c r="Q95" s="523"/>
      <c r="R95" s="713"/>
      <c r="S95" s="713"/>
      <c r="T95" s="523"/>
      <c r="U95" s="713"/>
      <c r="V95" s="713"/>
      <c r="W95" s="695"/>
      <c r="X95" s="2893"/>
      <c r="Y95" s="2893"/>
      <c r="Z95" s="2893"/>
      <c r="AA95" s="2893"/>
      <c r="AB95" s="2893"/>
      <c r="AC95" s="2893"/>
      <c r="AD95" s="2893"/>
      <c r="AE95" s="2893"/>
      <c r="AF95" s="2893"/>
      <c r="AG95" s="2893"/>
      <c r="AH95" s="9"/>
    </row>
    <row r="96" spans="1:34" ht="21" customHeight="1">
      <c r="A96" s="6"/>
      <c r="B96" s="729" t="s">
        <v>18</v>
      </c>
      <c r="C96" s="727"/>
      <c r="D96" s="727"/>
      <c r="E96" s="727"/>
      <c r="F96" s="728"/>
      <c r="G96" s="65"/>
      <c r="H96" s="523">
        <v>6</v>
      </c>
      <c r="I96" s="710"/>
      <c r="J96" s="711"/>
      <c r="K96" s="523">
        <v>10</v>
      </c>
      <c r="L96" s="710"/>
      <c r="M96" s="711"/>
      <c r="N96" s="523">
        <v>12</v>
      </c>
      <c r="O96" s="710"/>
      <c r="P96" s="712"/>
      <c r="Q96" s="523"/>
      <c r="R96" s="713"/>
      <c r="S96" s="713"/>
      <c r="T96" s="523"/>
      <c r="U96" s="713"/>
      <c r="V96" s="713"/>
      <c r="W96" s="695"/>
      <c r="X96" s="2893"/>
      <c r="Y96" s="2893"/>
      <c r="Z96" s="2893"/>
      <c r="AA96" s="2893"/>
      <c r="AB96" s="2893"/>
      <c r="AC96" s="2893"/>
      <c r="AD96" s="2893"/>
      <c r="AE96" s="2893"/>
      <c r="AF96" s="2893"/>
      <c r="AG96" s="2893"/>
    </row>
    <row r="97" spans="1:34" ht="21" customHeight="1">
      <c r="A97" s="6"/>
      <c r="B97" s="44" t="s">
        <v>602</v>
      </c>
      <c r="C97" s="727"/>
      <c r="D97" s="727"/>
      <c r="E97" s="727"/>
      <c r="F97" s="728"/>
      <c r="G97" s="65"/>
      <c r="H97" s="523">
        <v>1.37</v>
      </c>
      <c r="I97" s="710"/>
      <c r="J97" s="711"/>
      <c r="K97" s="523">
        <v>1.41</v>
      </c>
      <c r="L97" s="710"/>
      <c r="M97" s="711"/>
      <c r="N97" s="523">
        <v>1.57</v>
      </c>
      <c r="O97" s="710"/>
      <c r="P97" s="712"/>
      <c r="Q97" s="523"/>
      <c r="R97" s="739"/>
      <c r="S97" s="739"/>
      <c r="T97" s="523"/>
      <c r="U97" s="739"/>
      <c r="V97" s="739"/>
      <c r="W97" s="695"/>
      <c r="X97" s="2893"/>
      <c r="Y97" s="2893"/>
      <c r="Z97" s="2893"/>
      <c r="AA97" s="2893"/>
      <c r="AB97" s="2893"/>
      <c r="AC97" s="2893"/>
      <c r="AD97" s="2893"/>
      <c r="AE97" s="2893"/>
      <c r="AF97" s="2893"/>
      <c r="AG97" s="2893"/>
    </row>
    <row r="98" spans="1:34" s="6" customFormat="1">
      <c r="B98" s="729" t="s">
        <v>45</v>
      </c>
      <c r="C98" s="1776"/>
      <c r="D98" s="1776"/>
      <c r="E98" s="1776"/>
      <c r="F98" s="728"/>
      <c r="G98" s="65"/>
      <c r="H98" s="809"/>
      <c r="I98" s="710"/>
      <c r="J98" s="711"/>
      <c r="K98" s="523">
        <v>768</v>
      </c>
      <c r="L98" s="710"/>
      <c r="M98" s="740"/>
      <c r="N98" s="523"/>
      <c r="O98" s="710"/>
      <c r="P98" s="711"/>
      <c r="Q98" s="523"/>
      <c r="R98" s="710"/>
      <c r="S98" s="710"/>
      <c r="T98" s="523"/>
      <c r="U98" s="710"/>
      <c r="V98" s="710"/>
      <c r="W98" s="695"/>
      <c r="X98" s="2893"/>
      <c r="Y98" s="2893"/>
      <c r="Z98" s="2893"/>
      <c r="AA98" s="2893"/>
      <c r="AB98" s="2893"/>
      <c r="AC98" s="2893"/>
      <c r="AD98" s="2893"/>
      <c r="AE98" s="2893"/>
      <c r="AF98" s="2893"/>
      <c r="AG98" s="2893"/>
    </row>
    <row r="99" spans="1:34" s="6" customFormat="1">
      <c r="B99" s="584" t="s">
        <v>46</v>
      </c>
      <c r="C99" s="584"/>
      <c r="D99" s="584"/>
      <c r="E99" s="584"/>
      <c r="F99" s="728"/>
      <c r="G99" s="63"/>
      <c r="H99" s="1780">
        <v>0</v>
      </c>
      <c r="I99" s="741"/>
      <c r="J99" s="742"/>
      <c r="K99" s="1780">
        <v>0</v>
      </c>
      <c r="L99" s="741"/>
      <c r="M99" s="743"/>
      <c r="N99" s="1780"/>
      <c r="O99" s="741"/>
      <c r="P99" s="557"/>
      <c r="Q99" s="1780"/>
      <c r="R99" s="741"/>
      <c r="S99" s="741"/>
      <c r="T99" s="1780"/>
      <c r="U99" s="741"/>
      <c r="V99" s="741"/>
      <c r="W99" s="702"/>
      <c r="X99" s="2893"/>
      <c r="Y99" s="2893"/>
      <c r="Z99" s="2893"/>
      <c r="AA99" s="2893"/>
      <c r="AB99" s="2893"/>
      <c r="AC99" s="2893"/>
      <c r="AD99" s="2893"/>
      <c r="AE99" s="2893"/>
      <c r="AF99" s="2893"/>
      <c r="AG99" s="2893"/>
    </row>
    <row r="100" spans="1:34">
      <c r="A100" s="6"/>
      <c r="B100" s="6"/>
      <c r="C100" s="6"/>
      <c r="D100" s="6"/>
      <c r="E100" s="6"/>
      <c r="F100" s="6"/>
      <c r="G100" s="6"/>
      <c r="H100" s="121"/>
      <c r="I100" s="6"/>
      <c r="J100" s="121"/>
      <c r="K100" s="121"/>
      <c r="L100" s="6"/>
      <c r="M100" s="666"/>
      <c r="N100" s="128"/>
      <c r="O100" s="6"/>
      <c r="P100" s="6"/>
      <c r="Q100" s="121"/>
      <c r="T100" s="121"/>
      <c r="W100" s="121"/>
    </row>
    <row r="101" spans="1:34" ht="16.75">
      <c r="A101" s="1792" t="s">
        <v>614</v>
      </c>
      <c r="B101" s="596"/>
      <c r="C101" s="596"/>
      <c r="D101" s="596"/>
      <c r="E101" s="596"/>
      <c r="F101" s="597"/>
      <c r="G101" s="594"/>
      <c r="H101" s="596"/>
      <c r="I101" s="597"/>
      <c r="J101" s="594"/>
      <c r="K101" s="596"/>
      <c r="L101" s="597"/>
      <c r="M101" s="594"/>
      <c r="N101" s="597"/>
      <c r="O101" s="594"/>
      <c r="P101" s="594"/>
      <c r="Q101" s="682"/>
      <c r="T101" s="682"/>
      <c r="U101" s="594"/>
      <c r="V101" s="594"/>
      <c r="W101" s="682"/>
      <c r="X101" s="594"/>
      <c r="Y101" s="594"/>
      <c r="Z101" s="594"/>
      <c r="AA101" s="594"/>
      <c r="AB101" s="594"/>
      <c r="AC101" s="594"/>
      <c r="AD101" s="594"/>
      <c r="AE101" s="594"/>
      <c r="AF101" s="594"/>
      <c r="AG101" s="594"/>
    </row>
    <row r="102" spans="1:34" ht="14.9" hidden="1" customHeight="1">
      <c r="A102" s="1"/>
      <c r="B102" s="1"/>
      <c r="G102" s="53"/>
      <c r="H102" s="118"/>
      <c r="I102" s="6"/>
      <c r="J102" s="63"/>
      <c r="K102" s="118"/>
      <c r="L102" s="6"/>
      <c r="M102" s="63"/>
      <c r="N102" s="118"/>
      <c r="P102" s="53"/>
      <c r="Q102" s="58"/>
      <c r="T102" s="58"/>
      <c r="W102" s="58"/>
    </row>
    <row r="103" spans="1:34" ht="18.649999999999999" hidden="1" customHeight="1">
      <c r="A103" s="2897" t="s">
        <v>341</v>
      </c>
      <c r="B103" s="1398"/>
      <c r="C103" s="1399"/>
      <c r="D103" s="1399"/>
      <c r="E103" s="1399"/>
      <c r="F103" s="1400"/>
      <c r="G103" s="1401"/>
      <c r="H103" s="1389"/>
      <c r="I103" s="1402"/>
      <c r="J103" s="1401"/>
      <c r="K103" s="1389"/>
      <c r="L103" s="1402"/>
      <c r="M103" s="1401"/>
      <c r="N103" s="1389"/>
      <c r="O103" s="1402"/>
      <c r="P103" s="1403"/>
      <c r="Q103" s="1389"/>
      <c r="R103" s="1404"/>
      <c r="S103" s="1404"/>
      <c r="T103" s="1389"/>
      <c r="U103" s="1404"/>
      <c r="V103" s="1404"/>
      <c r="W103" s="1405"/>
      <c r="X103" s="2899"/>
      <c r="Y103" s="2899"/>
      <c r="Z103" s="2899"/>
      <c r="AA103" s="2899"/>
      <c r="AB103" s="2899"/>
      <c r="AC103" s="2899"/>
      <c r="AD103" s="2899"/>
      <c r="AE103" s="2899"/>
      <c r="AF103" s="2899"/>
      <c r="AG103" s="2899"/>
    </row>
    <row r="104" spans="1:34" ht="33" customHeight="1">
      <c r="A104" s="2898"/>
      <c r="B104" s="726" t="s">
        <v>2373</v>
      </c>
      <c r="C104" s="727"/>
      <c r="D104" s="727"/>
      <c r="E104" s="727"/>
      <c r="F104" s="728"/>
      <c r="G104" s="65">
        <v>6</v>
      </c>
      <c r="H104" s="561">
        <v>2</v>
      </c>
      <c r="I104" s="748"/>
      <c r="J104" s="711">
        <v>6</v>
      </c>
      <c r="K104" s="561">
        <v>1</v>
      </c>
      <c r="L104" s="748"/>
      <c r="M104" s="711">
        <v>6</v>
      </c>
      <c r="N104" s="562">
        <v>1</v>
      </c>
      <c r="O104" s="748"/>
      <c r="P104" s="712"/>
      <c r="Q104" s="562"/>
      <c r="R104" s="762"/>
      <c r="S104" s="762"/>
      <c r="T104" s="562"/>
      <c r="U104" s="762"/>
      <c r="V104" s="762"/>
      <c r="W104" s="747"/>
      <c r="X104" s="2893"/>
      <c r="Y104" s="2893"/>
      <c r="Z104" s="2893"/>
      <c r="AA104" s="2893"/>
      <c r="AB104" s="2893"/>
      <c r="AC104" s="2893"/>
      <c r="AD104" s="2893"/>
      <c r="AE104" s="2893"/>
      <c r="AF104" s="2893"/>
      <c r="AG104" s="2893"/>
    </row>
    <row r="105" spans="1:34" ht="43.75">
      <c r="A105" s="2902" t="s">
        <v>185</v>
      </c>
      <c r="B105" s="726" t="s">
        <v>231</v>
      </c>
      <c r="C105" s="727"/>
      <c r="D105" s="727"/>
      <c r="E105" s="727"/>
      <c r="F105" s="728"/>
      <c r="G105" s="114">
        <v>19.246910452309116</v>
      </c>
      <c r="H105" s="563" t="s">
        <v>21</v>
      </c>
      <c r="I105" s="748"/>
      <c r="J105" s="749">
        <v>18.195242733065239</v>
      </c>
      <c r="K105" s="563" t="s">
        <v>20</v>
      </c>
      <c r="L105" s="750"/>
      <c r="M105" s="751">
        <v>11.279092864278667</v>
      </c>
      <c r="N105" s="563" t="s">
        <v>19</v>
      </c>
      <c r="O105" s="748"/>
      <c r="P105" s="711"/>
      <c r="Q105" s="563"/>
      <c r="R105" s="762"/>
      <c r="S105" s="762"/>
      <c r="T105" s="563"/>
      <c r="U105" s="762"/>
      <c r="V105" s="762"/>
      <c r="W105" s="752"/>
      <c r="X105" s="2893"/>
      <c r="Y105" s="2893"/>
      <c r="Z105" s="2893"/>
      <c r="AA105" s="2893"/>
      <c r="AB105" s="2893"/>
      <c r="AC105" s="2893"/>
      <c r="AD105" s="2893"/>
      <c r="AE105" s="2893"/>
      <c r="AF105" s="2893"/>
      <c r="AG105" s="2893"/>
    </row>
    <row r="106" spans="1:34" ht="18.45">
      <c r="A106" s="2897"/>
      <c r="B106" s="726" t="s">
        <v>339</v>
      </c>
      <c r="C106" s="727"/>
      <c r="D106" s="727"/>
      <c r="E106" s="727"/>
      <c r="F106" s="728"/>
      <c r="H106" s="564">
        <v>9.0909090909090912E-2</v>
      </c>
      <c r="I106" s="763"/>
      <c r="J106" s="763"/>
      <c r="K106" s="564">
        <v>1</v>
      </c>
      <c r="L106" s="763"/>
      <c r="M106" s="763"/>
      <c r="N106" s="564">
        <v>3.3288989356378036E-2</v>
      </c>
      <c r="O106" s="763"/>
      <c r="P106" s="763"/>
      <c r="Q106" s="564"/>
      <c r="R106" s="762"/>
      <c r="S106" s="762"/>
      <c r="T106" s="564"/>
      <c r="U106" s="762"/>
      <c r="V106" s="762"/>
      <c r="W106" s="753"/>
      <c r="X106" s="2893"/>
      <c r="Y106" s="2893"/>
      <c r="Z106" s="2893"/>
      <c r="AA106" s="2893"/>
      <c r="AB106" s="2893"/>
      <c r="AC106" s="2893"/>
      <c r="AD106" s="2893"/>
      <c r="AE106" s="2893"/>
      <c r="AF106" s="2893"/>
      <c r="AG106" s="2893"/>
      <c r="AH106" s="9"/>
    </row>
    <row r="107" spans="1:34" s="6" customFormat="1" ht="31.5" customHeight="1">
      <c r="A107" s="2898"/>
      <c r="B107" s="2255" t="s">
        <v>340</v>
      </c>
      <c r="C107" s="2255"/>
      <c r="D107" s="2255"/>
      <c r="E107" s="2255"/>
      <c r="F107" s="728"/>
      <c r="G107" s="63"/>
      <c r="H107" s="565">
        <v>1</v>
      </c>
      <c r="I107" s="754"/>
      <c r="J107" s="755">
        <v>2606.6666666666665</v>
      </c>
      <c r="K107" s="565">
        <v>0.5</v>
      </c>
      <c r="L107" s="754"/>
      <c r="M107" s="755" t="e">
        <v>#REF!</v>
      </c>
      <c r="N107" s="565">
        <v>0.5</v>
      </c>
      <c r="O107" s="748"/>
      <c r="P107" s="711"/>
      <c r="Q107" s="565"/>
      <c r="R107" s="748"/>
      <c r="S107" s="748"/>
      <c r="T107" s="565"/>
      <c r="U107" s="748"/>
      <c r="V107" s="748"/>
      <c r="W107" s="756"/>
      <c r="X107" s="2893"/>
      <c r="Y107" s="2893"/>
      <c r="Z107" s="2893"/>
      <c r="AA107" s="2893"/>
      <c r="AB107" s="2893"/>
      <c r="AC107" s="2893"/>
      <c r="AD107" s="2893"/>
      <c r="AE107" s="2893"/>
      <c r="AF107" s="2893"/>
      <c r="AG107" s="2893"/>
    </row>
    <row r="108" spans="1:34" s="62" customFormat="1" ht="15" customHeight="1">
      <c r="A108" s="2902" t="s">
        <v>394</v>
      </c>
      <c r="B108" s="726" t="s">
        <v>375</v>
      </c>
      <c r="C108" s="727"/>
      <c r="D108" s="727"/>
      <c r="E108" s="727"/>
      <c r="F108" s="728"/>
      <c r="G108" s="115">
        <v>488.75</v>
      </c>
      <c r="H108" s="566">
        <v>84</v>
      </c>
      <c r="I108" s="748"/>
      <c r="J108" s="711">
        <v>488.75</v>
      </c>
      <c r="K108" s="566">
        <v>7.5</v>
      </c>
      <c r="L108" s="748"/>
      <c r="M108" s="711">
        <v>0.88223552894211565</v>
      </c>
      <c r="N108" s="566">
        <v>0.5</v>
      </c>
      <c r="O108" s="748"/>
      <c r="P108" s="711"/>
      <c r="Q108" s="566"/>
      <c r="R108" s="762"/>
      <c r="S108" s="762"/>
      <c r="T108" s="566"/>
      <c r="U108" s="762"/>
      <c r="V108" s="762"/>
      <c r="W108" s="757"/>
      <c r="X108" s="2893"/>
      <c r="Y108" s="2893"/>
      <c r="Z108" s="2893"/>
      <c r="AA108" s="2893"/>
      <c r="AB108" s="2893"/>
      <c r="AC108" s="2893"/>
      <c r="AD108" s="2893"/>
      <c r="AE108" s="2893"/>
      <c r="AF108" s="2893"/>
      <c r="AG108" s="2893"/>
    </row>
    <row r="109" spans="1:34" ht="29.25" customHeight="1">
      <c r="A109" s="2897"/>
      <c r="B109" s="2255" t="s">
        <v>395</v>
      </c>
      <c r="C109" s="2255"/>
      <c r="D109" s="2255"/>
      <c r="E109" s="2255"/>
      <c r="F109" s="728"/>
      <c r="G109" s="113">
        <v>318.09533298035956</v>
      </c>
      <c r="H109" s="567">
        <v>56</v>
      </c>
      <c r="I109" s="762"/>
      <c r="J109" s="762"/>
      <c r="K109" s="567">
        <v>30</v>
      </c>
      <c r="L109" s="762"/>
      <c r="M109" s="762"/>
      <c r="N109" s="567">
        <v>4.0000000000000008E-2</v>
      </c>
      <c r="O109" s="762"/>
      <c r="P109" s="762"/>
      <c r="Q109" s="567"/>
      <c r="R109" s="762"/>
      <c r="S109" s="762"/>
      <c r="T109" s="567"/>
      <c r="U109" s="762"/>
      <c r="V109" s="762"/>
      <c r="W109" s="758"/>
      <c r="X109" s="2893"/>
      <c r="Y109" s="2893"/>
      <c r="Z109" s="2893"/>
      <c r="AA109" s="2893"/>
      <c r="AB109" s="2893"/>
      <c r="AC109" s="2893"/>
      <c r="AD109" s="2893"/>
      <c r="AE109" s="2893"/>
      <c r="AF109" s="2893"/>
      <c r="AG109" s="2893"/>
    </row>
    <row r="110" spans="1:34" ht="14.9" customHeight="1">
      <c r="A110" s="2897"/>
      <c r="B110" s="726" t="s">
        <v>396</v>
      </c>
      <c r="C110" s="727"/>
      <c r="D110" s="727"/>
      <c r="E110" s="727"/>
      <c r="F110" s="728"/>
      <c r="G110" s="117">
        <v>26.045977237650551</v>
      </c>
      <c r="H110" s="568">
        <v>54.658928571428575</v>
      </c>
      <c r="I110" s="705"/>
      <c r="J110" s="706">
        <v>158.83050411577992</v>
      </c>
      <c r="K110" s="568">
        <v>180.23333333333335</v>
      </c>
      <c r="L110" s="748"/>
      <c r="M110" s="764"/>
      <c r="N110" s="568">
        <v>702.83636363636367</v>
      </c>
      <c r="O110" s="748"/>
      <c r="P110" s="711"/>
      <c r="Q110" s="568"/>
      <c r="R110" s="762"/>
      <c r="S110" s="762"/>
      <c r="T110" s="568"/>
      <c r="U110" s="762"/>
      <c r="V110" s="765"/>
      <c r="W110" s="542"/>
      <c r="X110" s="2893"/>
      <c r="Y110" s="2893"/>
      <c r="Z110" s="2893"/>
      <c r="AA110" s="2893"/>
      <c r="AB110" s="2893"/>
      <c r="AC110" s="2893"/>
      <c r="AD110" s="2893"/>
      <c r="AE110" s="2893"/>
      <c r="AF110" s="2893"/>
      <c r="AG110" s="2893"/>
    </row>
    <row r="111" spans="1:34" s="62" customFormat="1" ht="15" customHeight="1">
      <c r="A111" s="2897"/>
      <c r="B111" s="726" t="s">
        <v>397</v>
      </c>
      <c r="C111" s="727"/>
      <c r="D111" s="727"/>
      <c r="E111" s="727"/>
      <c r="F111" s="728"/>
      <c r="G111" s="115"/>
      <c r="H111" s="568">
        <v>4.2857142857142856</v>
      </c>
      <c r="I111" s="705"/>
      <c r="J111" s="707">
        <v>52.78586966721501</v>
      </c>
      <c r="K111" s="568">
        <v>33.333333333333336</v>
      </c>
      <c r="L111" s="748"/>
      <c r="M111" s="742"/>
      <c r="N111" s="568">
        <v>200</v>
      </c>
      <c r="O111" s="748"/>
      <c r="P111" s="742"/>
      <c r="Q111" s="568"/>
      <c r="R111" s="762"/>
      <c r="S111" s="762"/>
      <c r="T111" s="568"/>
      <c r="U111" s="762"/>
      <c r="V111" s="762"/>
      <c r="W111" s="542"/>
      <c r="X111" s="2893"/>
      <c r="Y111" s="2893"/>
      <c r="Z111" s="2893"/>
      <c r="AA111" s="2893"/>
      <c r="AB111" s="2893"/>
      <c r="AC111" s="2893"/>
      <c r="AD111" s="2893"/>
      <c r="AE111" s="2893"/>
      <c r="AF111" s="2893"/>
      <c r="AG111" s="2893"/>
    </row>
    <row r="112" spans="1:34" ht="14.9" customHeight="1">
      <c r="A112" s="2898"/>
      <c r="B112" s="726" t="s">
        <v>398</v>
      </c>
      <c r="C112" s="727"/>
      <c r="D112" s="727"/>
      <c r="E112" s="727"/>
      <c r="F112" s="728"/>
      <c r="H112" s="569">
        <v>308.68</v>
      </c>
      <c r="I112" s="763"/>
      <c r="J112" s="763"/>
      <c r="K112" s="569">
        <v>361.90666666666664</v>
      </c>
      <c r="L112" s="763"/>
      <c r="M112" s="763"/>
      <c r="N112" s="569">
        <v>11084.105318400001</v>
      </c>
      <c r="O112" s="762"/>
      <c r="P112" s="762"/>
      <c r="Q112" s="569"/>
      <c r="R112" s="762"/>
      <c r="S112" s="762"/>
      <c r="T112" s="569"/>
      <c r="U112" s="762"/>
      <c r="V112" s="762"/>
      <c r="W112" s="759"/>
      <c r="X112" s="2893"/>
      <c r="Y112" s="2893"/>
      <c r="Z112" s="2893"/>
      <c r="AA112" s="2893"/>
      <c r="AB112" s="2893"/>
      <c r="AC112" s="2893"/>
      <c r="AD112" s="2893"/>
      <c r="AE112" s="2893"/>
      <c r="AF112" s="2893"/>
      <c r="AG112" s="2893"/>
    </row>
    <row r="113" spans="1:33" ht="15" customHeight="1">
      <c r="A113" s="2671" t="s">
        <v>380</v>
      </c>
      <c r="B113" s="2250" t="s">
        <v>825</v>
      </c>
      <c r="C113" s="2250"/>
      <c r="D113" s="2250"/>
      <c r="E113" s="2250"/>
      <c r="F113" s="728"/>
      <c r="H113" s="563">
        <v>10</v>
      </c>
      <c r="I113" s="763"/>
      <c r="J113" s="763"/>
      <c r="K113" s="563">
        <v>10</v>
      </c>
      <c r="L113" s="763"/>
      <c r="M113" s="763"/>
      <c r="N113" s="563">
        <v>1</v>
      </c>
      <c r="O113" s="762"/>
      <c r="P113" s="762"/>
      <c r="Q113" s="563"/>
      <c r="R113" s="762"/>
      <c r="S113" s="762"/>
      <c r="T113" s="563"/>
      <c r="U113" s="762"/>
      <c r="V113" s="762"/>
      <c r="W113" s="752"/>
      <c r="X113" s="2893"/>
      <c r="Y113" s="2893"/>
      <c r="Z113" s="2893"/>
      <c r="AA113" s="2893"/>
      <c r="AB113" s="2893"/>
      <c r="AC113" s="2893"/>
      <c r="AD113" s="2893"/>
      <c r="AE113" s="2893"/>
      <c r="AF113" s="2893"/>
      <c r="AG113" s="2893"/>
    </row>
    <row r="114" spans="1:33" ht="15" customHeight="1">
      <c r="A114" s="2672"/>
      <c r="B114" s="2250" t="s">
        <v>826</v>
      </c>
      <c r="C114" s="2250"/>
      <c r="D114" s="2250"/>
      <c r="E114" s="2250"/>
      <c r="F114" s="728"/>
      <c r="H114" s="564">
        <v>0.01</v>
      </c>
      <c r="I114" s="763"/>
      <c r="J114" s="763"/>
      <c r="K114" s="564">
        <v>0.01</v>
      </c>
      <c r="L114" s="763"/>
      <c r="M114" s="763"/>
      <c r="N114" s="564">
        <v>0.01</v>
      </c>
      <c r="O114" s="762"/>
      <c r="P114" s="762"/>
      <c r="Q114" s="564"/>
      <c r="R114" s="762"/>
      <c r="S114" s="762"/>
      <c r="T114" s="564"/>
      <c r="U114" s="762"/>
      <c r="V114" s="762"/>
      <c r="W114" s="753"/>
      <c r="X114" s="2893"/>
      <c r="Y114" s="2893"/>
      <c r="Z114" s="2893"/>
      <c r="AA114" s="2893"/>
      <c r="AB114" s="2893"/>
      <c r="AC114" s="2893"/>
      <c r="AD114" s="2893"/>
      <c r="AE114" s="2893"/>
      <c r="AF114" s="2893"/>
      <c r="AG114" s="2893"/>
    </row>
    <row r="115" spans="1:33" ht="26.25" customHeight="1">
      <c r="A115" s="2672"/>
      <c r="B115" s="2250" t="s">
        <v>827</v>
      </c>
      <c r="C115" s="2250"/>
      <c r="D115" s="2250"/>
      <c r="E115" s="2250"/>
      <c r="F115" s="728"/>
      <c r="H115" s="564">
        <v>150</v>
      </c>
      <c r="I115" s="763"/>
      <c r="J115" s="763"/>
      <c r="K115" s="564">
        <v>150</v>
      </c>
      <c r="L115" s="763"/>
      <c r="M115" s="763"/>
      <c r="N115" s="564">
        <v>150</v>
      </c>
      <c r="O115" s="762"/>
      <c r="P115" s="762"/>
      <c r="Q115" s="564"/>
      <c r="R115" s="762"/>
      <c r="S115" s="762"/>
      <c r="T115" s="564"/>
      <c r="U115" s="762"/>
      <c r="V115" s="762"/>
      <c r="W115" s="753"/>
      <c r="X115" s="2893"/>
      <c r="Y115" s="2893"/>
      <c r="Z115" s="2893"/>
      <c r="AA115" s="2893"/>
      <c r="AB115" s="2893"/>
      <c r="AC115" s="2893"/>
      <c r="AD115" s="2893"/>
      <c r="AE115" s="2893"/>
      <c r="AF115" s="2893"/>
      <c r="AG115" s="2893"/>
    </row>
    <row r="116" spans="1:33" ht="27" customHeight="1">
      <c r="A116" s="2672"/>
      <c r="B116" s="2250" t="s">
        <v>828</v>
      </c>
      <c r="C116" s="2250"/>
      <c r="D116" s="2250"/>
      <c r="E116" s="2250"/>
      <c r="F116" s="728"/>
      <c r="H116" s="564">
        <v>0</v>
      </c>
      <c r="I116" s="763"/>
      <c r="J116" s="763"/>
      <c r="K116" s="564">
        <v>0</v>
      </c>
      <c r="L116" s="763"/>
      <c r="M116" s="763"/>
      <c r="N116" s="564">
        <v>0</v>
      </c>
      <c r="O116" s="762"/>
      <c r="P116" s="762"/>
      <c r="Q116" s="564"/>
      <c r="R116" s="762"/>
      <c r="S116" s="762"/>
      <c r="T116" s="564"/>
      <c r="U116" s="762"/>
      <c r="V116" s="762"/>
      <c r="W116" s="753"/>
      <c r="X116" s="2893"/>
      <c r="Y116" s="2893"/>
      <c r="Z116" s="2893"/>
      <c r="AA116" s="2893"/>
      <c r="AB116" s="2893"/>
      <c r="AC116" s="2893"/>
      <c r="AD116" s="2893"/>
      <c r="AE116" s="2893"/>
      <c r="AF116" s="2893"/>
      <c r="AG116" s="2893"/>
    </row>
    <row r="117" spans="1:33" ht="35.25" customHeight="1">
      <c r="A117" s="2673"/>
      <c r="B117" s="2250" t="s">
        <v>829</v>
      </c>
      <c r="C117" s="2250"/>
      <c r="D117" s="2250"/>
      <c r="E117" s="2250"/>
      <c r="F117" s="728"/>
      <c r="H117" s="766" t="s">
        <v>588</v>
      </c>
      <c r="I117" s="760"/>
      <c r="J117" s="760"/>
      <c r="K117" s="766" t="s">
        <v>588</v>
      </c>
      <c r="L117" s="760"/>
      <c r="M117" s="760"/>
      <c r="N117" s="766" t="s">
        <v>589</v>
      </c>
      <c r="O117" s="760"/>
      <c r="P117" s="760"/>
      <c r="Q117" s="766"/>
      <c r="R117" s="760"/>
      <c r="S117" s="760"/>
      <c r="T117" s="766"/>
      <c r="U117" s="760"/>
      <c r="V117" s="760"/>
      <c r="W117" s="761"/>
      <c r="X117" s="2893"/>
      <c r="Y117" s="2893"/>
      <c r="Z117" s="2893"/>
      <c r="AA117" s="2893"/>
      <c r="AB117" s="2893"/>
      <c r="AC117" s="2893"/>
      <c r="AD117" s="2893"/>
      <c r="AE117" s="2893"/>
      <c r="AF117" s="2893"/>
      <c r="AG117" s="2893"/>
    </row>
    <row r="118" spans="1:33">
      <c r="A118" s="6"/>
      <c r="B118" s="6"/>
      <c r="C118" s="6"/>
      <c r="D118" s="6"/>
      <c r="E118" s="6"/>
      <c r="F118" s="6"/>
      <c r="G118" s="113"/>
      <c r="H118" s="116"/>
      <c r="I118" s="112"/>
      <c r="J118" s="113"/>
      <c r="K118" s="116"/>
      <c r="L118" s="6"/>
      <c r="M118" s="63"/>
      <c r="N118" s="118"/>
      <c r="O118" s="6"/>
      <c r="P118" s="63"/>
      <c r="Q118" s="60"/>
      <c r="S118" s="234"/>
      <c r="T118" s="65"/>
      <c r="V118" s="258"/>
      <c r="W118" s="65"/>
      <c r="X118" s="85"/>
    </row>
    <row r="119" spans="1:33" ht="16.75">
      <c r="A119" s="600" t="s">
        <v>603</v>
      </c>
      <c r="B119" s="596"/>
      <c r="C119" s="596"/>
      <c r="D119" s="596"/>
      <c r="E119" s="596"/>
      <c r="F119" s="597"/>
      <c r="G119" s="594"/>
      <c r="H119" s="596"/>
      <c r="I119" s="597"/>
      <c r="J119" s="594"/>
      <c r="K119" s="596"/>
      <c r="L119" s="597"/>
      <c r="M119" s="594"/>
      <c r="N119" s="597"/>
      <c r="O119" s="594"/>
      <c r="P119" s="594"/>
      <c r="Q119" s="682"/>
      <c r="S119" s="235"/>
      <c r="T119" s="683"/>
      <c r="U119" s="594"/>
      <c r="V119" s="684"/>
      <c r="W119" s="683"/>
      <c r="X119" s="715"/>
      <c r="Y119" s="594"/>
      <c r="Z119" s="594"/>
      <c r="AA119" s="594"/>
      <c r="AB119" s="594"/>
      <c r="AC119" s="594"/>
      <c r="AD119" s="594"/>
      <c r="AE119" s="594"/>
      <c r="AF119" s="594"/>
      <c r="AG119" s="594"/>
    </row>
    <row r="120" spans="1:33" ht="18.45">
      <c r="A120" s="1"/>
      <c r="B120" s="726" t="s">
        <v>5467</v>
      </c>
      <c r="C120" s="727"/>
      <c r="D120" s="727"/>
      <c r="E120" s="727"/>
      <c r="F120" s="728"/>
      <c r="G120" s="53"/>
      <c r="H120" s="575"/>
      <c r="I120" s="710"/>
      <c r="J120" s="582"/>
      <c r="K120" s="575"/>
      <c r="L120" s="710"/>
      <c r="M120" s="582"/>
      <c r="N120" s="575"/>
      <c r="O120" s="713"/>
      <c r="P120" s="772"/>
      <c r="Q120" s="575"/>
      <c r="R120" s="713"/>
      <c r="S120" s="773"/>
      <c r="T120" s="575"/>
      <c r="U120" s="713"/>
      <c r="V120" s="774"/>
      <c r="W120" s="575"/>
      <c r="X120" s="2893"/>
      <c r="Y120" s="2893"/>
      <c r="Z120" s="2893"/>
      <c r="AA120" s="2893"/>
      <c r="AB120" s="2893"/>
      <c r="AC120" s="2893"/>
      <c r="AD120" s="2893"/>
      <c r="AE120" s="2893"/>
      <c r="AF120" s="2893"/>
      <c r="AG120" s="2893"/>
    </row>
    <row r="121" spans="1:33" ht="18.45">
      <c r="A121" s="6"/>
      <c r="B121" s="726" t="s">
        <v>5466</v>
      </c>
      <c r="C121" s="727"/>
      <c r="D121" s="727"/>
      <c r="E121" s="727"/>
      <c r="F121" s="728"/>
      <c r="G121" s="119">
        <v>35.047741961833388</v>
      </c>
      <c r="H121" s="576"/>
      <c r="I121" s="710"/>
      <c r="J121" s="764"/>
      <c r="K121" s="576"/>
      <c r="L121" s="710"/>
      <c r="M121" s="764"/>
      <c r="N121" s="576"/>
      <c r="O121" s="710"/>
      <c r="P121" s="582"/>
      <c r="Q121" s="576"/>
      <c r="R121" s="713"/>
      <c r="S121" s="773"/>
      <c r="T121" s="576"/>
      <c r="U121" s="713"/>
      <c r="V121" s="774"/>
      <c r="W121" s="576"/>
      <c r="X121" s="2893"/>
      <c r="Y121" s="2893"/>
      <c r="Z121" s="2893"/>
      <c r="AA121" s="2893"/>
      <c r="AB121" s="2893"/>
      <c r="AC121" s="2893"/>
      <c r="AD121" s="2893"/>
      <c r="AE121" s="2893"/>
      <c r="AF121" s="2893"/>
      <c r="AG121" s="2893"/>
    </row>
    <row r="122" spans="1:33" ht="17.25" customHeight="1">
      <c r="A122" s="6"/>
      <c r="B122" s="726" t="s">
        <v>82</v>
      </c>
      <c r="C122" s="727"/>
      <c r="D122" s="727"/>
      <c r="E122" s="727"/>
      <c r="F122" s="728"/>
      <c r="G122" s="120">
        <v>5.5705963849905903E-3</v>
      </c>
      <c r="H122" s="804"/>
      <c r="I122" s="710"/>
      <c r="J122" s="775"/>
      <c r="K122" s="577"/>
      <c r="L122" s="710"/>
      <c r="M122" s="775"/>
      <c r="N122" s="577"/>
      <c r="O122" s="710"/>
      <c r="P122" s="582"/>
      <c r="Q122" s="577"/>
      <c r="R122" s="713"/>
      <c r="S122" s="776"/>
      <c r="T122" s="577"/>
      <c r="U122" s="713"/>
      <c r="V122" s="777"/>
      <c r="W122" s="577"/>
      <c r="X122" s="2893"/>
      <c r="Y122" s="2893"/>
      <c r="Z122" s="2893"/>
      <c r="AA122" s="2893"/>
      <c r="AB122" s="2893"/>
      <c r="AC122" s="2893"/>
      <c r="AD122" s="2893"/>
      <c r="AE122" s="2893"/>
      <c r="AF122" s="2893"/>
      <c r="AG122" s="2893"/>
    </row>
    <row r="123" spans="1:33" ht="17.25" customHeight="1">
      <c r="A123" s="6"/>
      <c r="B123" s="6"/>
      <c r="C123" s="6"/>
      <c r="D123" s="6"/>
      <c r="E123" s="6"/>
      <c r="F123" s="6"/>
      <c r="G123" s="133"/>
      <c r="H123" s="121"/>
      <c r="I123" s="6"/>
      <c r="J123" s="133"/>
      <c r="K123" s="121"/>
      <c r="L123" s="6"/>
      <c r="M123" s="133"/>
      <c r="N123" s="121"/>
      <c r="O123" s="6"/>
      <c r="P123" s="6"/>
      <c r="Q123" s="121"/>
      <c r="S123" s="650"/>
      <c r="T123" s="121"/>
      <c r="V123" s="651"/>
      <c r="W123" s="121"/>
      <c r="X123" s="4"/>
    </row>
    <row r="124" spans="1:33"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row>
    <row r="125" spans="1:33"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row>
    <row r="126" spans="1:33"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row>
    <row r="127" spans="1:33"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row>
    <row r="128" spans="1:33">
      <c r="A128" s="6"/>
      <c r="B128" s="6"/>
      <c r="C128" s="6"/>
      <c r="D128" s="6"/>
      <c r="E128" s="6"/>
      <c r="F128" s="6"/>
      <c r="G128" s="6"/>
      <c r="H128" s="121"/>
      <c r="I128" s="6"/>
      <c r="J128" s="121"/>
      <c r="K128" s="121"/>
      <c r="L128" s="6"/>
      <c r="M128" s="666"/>
      <c r="N128" s="128"/>
      <c r="O128" s="6"/>
      <c r="P128" s="6"/>
      <c r="Q128" s="121"/>
      <c r="T128" s="121"/>
      <c r="W128" s="121"/>
    </row>
    <row r="129" spans="1:34" ht="32.9" customHeight="1">
      <c r="A129" s="2318" t="s">
        <v>606</v>
      </c>
      <c r="B129" s="2318"/>
      <c r="C129" s="2318"/>
      <c r="D129" s="496"/>
      <c r="E129" s="496"/>
      <c r="F129" s="497"/>
      <c r="G129" s="498"/>
      <c r="H129" s="121"/>
      <c r="I129" s="6"/>
      <c r="J129" s="121"/>
      <c r="K129" s="121"/>
      <c r="L129" s="6"/>
      <c r="M129" s="666"/>
      <c r="N129" s="128"/>
      <c r="O129" s="6"/>
      <c r="P129" s="6"/>
      <c r="Q129" s="121"/>
      <c r="T129" s="121"/>
      <c r="W129" s="121"/>
    </row>
    <row r="130" spans="1:34" ht="22" customHeight="1">
      <c r="A130" s="2905" t="s">
        <v>615</v>
      </c>
      <c r="B130" s="2905"/>
      <c r="C130" s="2905"/>
      <c r="D130" s="2905"/>
      <c r="E130" s="2905"/>
      <c r="F130" s="2905"/>
      <c r="G130" s="2905"/>
      <c r="H130" s="601"/>
      <c r="I130" s="602"/>
      <c r="J130" s="602"/>
      <c r="K130" s="601"/>
      <c r="L130" s="602"/>
      <c r="M130" s="602"/>
      <c r="N130" s="685"/>
      <c r="O130" s="594"/>
      <c r="P130" s="686"/>
      <c r="Q130" s="687"/>
      <c r="R130" s="594"/>
      <c r="S130" s="594"/>
      <c r="T130" s="594"/>
      <c r="U130" s="594"/>
      <c r="V130" s="594"/>
      <c r="W130" s="594"/>
      <c r="X130" s="2859" t="s">
        <v>405</v>
      </c>
      <c r="Y130" s="2859"/>
      <c r="Z130" s="2859"/>
      <c r="AA130" s="2859"/>
      <c r="AB130" s="2859"/>
      <c r="AC130" s="2859"/>
      <c r="AD130" s="2859"/>
      <c r="AE130" s="2859"/>
      <c r="AF130" s="2859"/>
      <c r="AG130" s="2859"/>
    </row>
    <row r="131" spans="1:34" ht="18.649999999999999" hidden="1" customHeight="1">
      <c r="A131" s="1"/>
      <c r="B131" s="502"/>
      <c r="C131" s="50"/>
      <c r="D131" s="50"/>
      <c r="E131" s="50"/>
      <c r="G131" s="1773"/>
      <c r="H131" s="60"/>
      <c r="I131" s="6"/>
      <c r="J131" s="65"/>
      <c r="K131" s="60"/>
      <c r="L131" s="6"/>
      <c r="M131" s="65"/>
      <c r="N131" s="60"/>
      <c r="P131" s="66"/>
      <c r="Q131" s="1788"/>
      <c r="T131" s="1788"/>
      <c r="W131" s="1788"/>
    </row>
    <row r="132" spans="1:34" ht="18.649999999999999" hidden="1" customHeight="1">
      <c r="A132" s="1"/>
      <c r="B132" s="502"/>
      <c r="C132" s="50"/>
      <c r="D132" s="50"/>
      <c r="E132" s="50"/>
      <c r="G132" s="1773"/>
      <c r="H132" s="60"/>
      <c r="I132" s="6"/>
      <c r="J132" s="65"/>
      <c r="K132" s="60"/>
      <c r="L132" s="6"/>
      <c r="M132" s="65"/>
      <c r="N132" s="60"/>
      <c r="P132" s="66"/>
      <c r="Q132" s="1788"/>
      <c r="T132" s="1788"/>
      <c r="W132" s="1788"/>
    </row>
    <row r="133" spans="1:34" ht="14.9" customHeight="1">
      <c r="A133" s="1"/>
      <c r="B133" s="2903" t="s">
        <v>207</v>
      </c>
      <c r="C133" s="2903"/>
      <c r="D133" s="2903"/>
      <c r="E133" s="2903"/>
      <c r="G133" s="1773"/>
      <c r="H133" s="792"/>
      <c r="I133" s="710"/>
      <c r="J133" s="711"/>
      <c r="K133" s="579">
        <v>1</v>
      </c>
      <c r="L133" s="710"/>
      <c r="M133" s="711"/>
      <c r="N133" s="579">
        <v>1</v>
      </c>
      <c r="O133" s="713"/>
      <c r="P133" s="714"/>
      <c r="Q133" s="579"/>
      <c r="R133" s="762"/>
      <c r="S133" s="762"/>
      <c r="T133" s="579"/>
      <c r="U133" s="762"/>
      <c r="V133" s="762"/>
      <c r="W133" s="579"/>
      <c r="X133" s="2893"/>
      <c r="Y133" s="2893"/>
      <c r="Z133" s="2893"/>
      <c r="AA133" s="2893"/>
      <c r="AB133" s="2893"/>
      <c r="AC133" s="2893"/>
      <c r="AD133" s="2893"/>
      <c r="AE133" s="2893"/>
      <c r="AF133" s="2893"/>
      <c r="AG133" s="2893"/>
    </row>
    <row r="134" spans="1:34"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34" ht="15.75" customHeight="1">
      <c r="A135" s="252"/>
      <c r="B135" s="2903" t="s">
        <v>631</v>
      </c>
      <c r="C135" s="2903"/>
      <c r="D135" s="2903"/>
      <c r="E135" s="2903"/>
      <c r="F135" s="6"/>
      <c r="G135" s="65"/>
      <c r="H135" s="793"/>
      <c r="I135" s="710"/>
      <c r="J135" s="711"/>
      <c r="K135" s="581">
        <v>1</v>
      </c>
      <c r="L135" s="708"/>
      <c r="M135" s="709"/>
      <c r="N135" s="581">
        <v>1</v>
      </c>
      <c r="O135" s="710"/>
      <c r="P135" s="712"/>
      <c r="Q135" s="581"/>
      <c r="R135" s="762"/>
      <c r="S135" s="762"/>
      <c r="T135" s="581"/>
      <c r="U135" s="762"/>
      <c r="V135" s="762"/>
      <c r="W135" s="581"/>
      <c r="X135" s="2893"/>
      <c r="Y135" s="2893"/>
      <c r="Z135" s="2893"/>
      <c r="AA135" s="2893"/>
      <c r="AB135" s="2893"/>
      <c r="AC135" s="2893"/>
      <c r="AD135" s="2893"/>
      <c r="AE135" s="2893"/>
      <c r="AF135" s="2893"/>
      <c r="AG135" s="2893"/>
      <c r="AH135" s="9"/>
    </row>
    <row r="136" spans="1:34" ht="15.75" customHeight="1">
      <c r="A136" s="252"/>
      <c r="B136" s="2903" t="s">
        <v>633</v>
      </c>
      <c r="C136" s="2903"/>
      <c r="D136" s="2903"/>
      <c r="E136" s="2903"/>
      <c r="F136" s="6"/>
      <c r="G136" s="65"/>
      <c r="H136" s="480"/>
      <c r="I136" s="710"/>
      <c r="J136" s="711" t="s">
        <v>38</v>
      </c>
      <c r="K136" s="526" t="s">
        <v>406</v>
      </c>
      <c r="L136" s="710"/>
      <c r="M136" s="711"/>
      <c r="N136" s="526" t="s">
        <v>279</v>
      </c>
      <c r="O136" s="710"/>
      <c r="P136" s="712"/>
      <c r="Q136" s="526"/>
      <c r="R136" s="762"/>
      <c r="S136" s="762"/>
      <c r="T136" s="526"/>
      <c r="U136" s="762"/>
      <c r="V136" s="762"/>
      <c r="W136" s="526"/>
      <c r="X136" s="2893"/>
      <c r="Y136" s="2893"/>
      <c r="Z136" s="2893"/>
      <c r="AA136" s="2893"/>
      <c r="AB136" s="2893"/>
      <c r="AC136" s="2893"/>
      <c r="AD136" s="2893"/>
      <c r="AE136" s="2893"/>
      <c r="AF136" s="2893"/>
      <c r="AG136" s="2893"/>
    </row>
    <row r="137" spans="1:34" ht="15.75" customHeight="1">
      <c r="A137" s="252"/>
      <c r="B137" s="2903" t="s">
        <v>627</v>
      </c>
      <c r="C137" s="2903"/>
      <c r="D137" s="2903"/>
      <c r="E137" s="2903"/>
      <c r="F137" s="6"/>
      <c r="G137" s="65"/>
      <c r="H137" s="794"/>
      <c r="I137" s="710"/>
      <c r="J137" s="711"/>
      <c r="K137" s="561" t="s">
        <v>220</v>
      </c>
      <c r="L137" s="710"/>
      <c r="M137" s="711"/>
      <c r="N137" s="561" t="s">
        <v>218</v>
      </c>
      <c r="O137" s="710"/>
      <c r="P137" s="712"/>
      <c r="Q137" s="561"/>
      <c r="R137" s="762"/>
      <c r="S137" s="762"/>
      <c r="T137" s="561"/>
      <c r="U137" s="762"/>
      <c r="V137" s="762"/>
      <c r="W137" s="561"/>
      <c r="X137" s="2893"/>
      <c r="Y137" s="2893"/>
      <c r="Z137" s="2893"/>
      <c r="AA137" s="2893"/>
      <c r="AB137" s="2893"/>
      <c r="AC137" s="2893"/>
      <c r="AD137" s="2893"/>
      <c r="AE137" s="2893"/>
      <c r="AF137" s="2893"/>
      <c r="AG137" s="2893"/>
    </row>
    <row r="138" spans="1:34" ht="15.75" customHeight="1">
      <c r="A138" s="252"/>
      <c r="B138" s="2904" t="s">
        <v>628</v>
      </c>
      <c r="C138" s="2904"/>
      <c r="D138" s="2904"/>
      <c r="E138" s="2904"/>
      <c r="F138" s="6"/>
      <c r="G138" s="65"/>
      <c r="H138" s="480"/>
      <c r="I138" s="710"/>
      <c r="J138" s="711"/>
      <c r="K138" s="526" t="s">
        <v>223</v>
      </c>
      <c r="L138" s="710"/>
      <c r="M138" s="711"/>
      <c r="N138" s="526"/>
      <c r="O138" s="710"/>
      <c r="P138" s="712"/>
      <c r="Q138" s="526"/>
      <c r="R138" s="762"/>
      <c r="S138" s="762"/>
      <c r="T138" s="526"/>
      <c r="U138" s="762"/>
      <c r="V138" s="762"/>
      <c r="W138" s="526"/>
      <c r="X138" s="2893"/>
      <c r="Y138" s="2893"/>
      <c r="Z138" s="2893"/>
      <c r="AA138" s="2893"/>
      <c r="AB138" s="2893"/>
      <c r="AC138" s="2893"/>
      <c r="AD138" s="2893"/>
      <c r="AE138" s="2893"/>
      <c r="AF138" s="2893"/>
      <c r="AG138" s="2893"/>
    </row>
    <row r="139" spans="1:34" ht="32.25" customHeight="1">
      <c r="A139" s="252"/>
      <c r="B139" s="2904" t="s">
        <v>629</v>
      </c>
      <c r="C139" s="2904"/>
      <c r="D139" s="2904"/>
      <c r="E139" s="2904"/>
      <c r="F139" s="6"/>
      <c r="G139" s="65"/>
      <c r="H139" s="795"/>
      <c r="I139" s="710"/>
      <c r="J139" s="711"/>
      <c r="K139" s="568">
        <v>14712</v>
      </c>
      <c r="L139" s="710"/>
      <c r="M139" s="711"/>
      <c r="N139" s="568"/>
      <c r="O139" s="710"/>
      <c r="P139" s="712"/>
      <c r="Q139" s="568"/>
      <c r="R139" s="762"/>
      <c r="S139" s="762"/>
      <c r="T139" s="568"/>
      <c r="U139" s="762"/>
      <c r="V139" s="762"/>
      <c r="W139" s="568"/>
      <c r="X139" s="2893"/>
      <c r="Y139" s="2893"/>
      <c r="Z139" s="2893"/>
      <c r="AA139" s="2893"/>
      <c r="AB139" s="2893"/>
      <c r="AC139" s="2893"/>
      <c r="AD139" s="2893"/>
      <c r="AE139" s="2893"/>
      <c r="AF139" s="2893"/>
      <c r="AG139" s="2893"/>
    </row>
    <row r="140" spans="1:34" ht="15.75" customHeight="1">
      <c r="A140" s="252"/>
      <c r="B140" s="2903" t="s">
        <v>632</v>
      </c>
      <c r="C140" s="2903"/>
      <c r="D140" s="2903"/>
      <c r="E140" s="2903"/>
      <c r="F140" s="6"/>
      <c r="G140" s="65"/>
      <c r="H140" s="480"/>
      <c r="I140" s="710"/>
      <c r="J140" s="711">
        <v>1.5</v>
      </c>
      <c r="K140" s="526">
        <v>1</v>
      </c>
      <c r="L140" s="710"/>
      <c r="M140" s="711"/>
      <c r="N140" s="526">
        <v>3</v>
      </c>
      <c r="O140" s="710"/>
      <c r="P140" s="712"/>
      <c r="Q140" s="526"/>
      <c r="R140" s="762"/>
      <c r="S140" s="762"/>
      <c r="T140" s="526"/>
      <c r="U140" s="762"/>
      <c r="V140" s="762"/>
      <c r="W140" s="526"/>
      <c r="X140" s="2893"/>
      <c r="Y140" s="2893"/>
      <c r="Z140" s="2893"/>
      <c r="AA140" s="2893"/>
      <c r="AB140" s="2893"/>
      <c r="AC140" s="2893"/>
      <c r="AD140" s="2893"/>
      <c r="AE140" s="2893"/>
      <c r="AF140" s="2893"/>
      <c r="AG140" s="2893"/>
    </row>
    <row r="141" spans="1:34" ht="26.25" customHeight="1">
      <c r="A141" s="252"/>
      <c r="B141" s="2903" t="s">
        <v>1551</v>
      </c>
      <c r="C141" s="2903"/>
      <c r="D141" s="2903"/>
      <c r="E141" s="2903"/>
      <c r="F141" s="6"/>
      <c r="G141" s="65"/>
      <c r="H141" s="796"/>
      <c r="I141" s="710"/>
      <c r="J141" s="711"/>
      <c r="K141" s="619">
        <v>0</v>
      </c>
      <c r="L141" s="710"/>
      <c r="M141" s="711"/>
      <c r="N141" s="619">
        <v>0</v>
      </c>
      <c r="O141" s="710"/>
      <c r="P141" s="712"/>
      <c r="Q141" s="619"/>
      <c r="R141" s="762"/>
      <c r="S141" s="762"/>
      <c r="T141" s="619"/>
      <c r="U141" s="762"/>
      <c r="V141" s="762"/>
      <c r="W141" s="619"/>
      <c r="X141" s="2893"/>
      <c r="Y141" s="2893"/>
      <c r="Z141" s="2893"/>
      <c r="AA141" s="2893"/>
      <c r="AB141" s="2893"/>
      <c r="AC141" s="2893"/>
      <c r="AD141" s="2893"/>
      <c r="AE141" s="2893"/>
      <c r="AF141" s="2893"/>
      <c r="AG141" s="2893"/>
      <c r="AH141" s="9"/>
    </row>
    <row r="142" spans="1:34" ht="26.25" customHeight="1">
      <c r="A142" s="252"/>
      <c r="B142" s="2903" t="s">
        <v>1552</v>
      </c>
      <c r="C142" s="2903"/>
      <c r="D142" s="2903"/>
      <c r="E142" s="2903"/>
      <c r="F142" s="6"/>
      <c r="G142" s="65"/>
      <c r="H142" s="796"/>
      <c r="I142" s="710"/>
      <c r="J142" s="711"/>
      <c r="K142" s="619">
        <v>0</v>
      </c>
      <c r="L142" s="710"/>
      <c r="M142" s="711"/>
      <c r="N142" s="619">
        <v>0</v>
      </c>
      <c r="O142" s="710"/>
      <c r="P142" s="712"/>
      <c r="Q142" s="619"/>
      <c r="R142" s="762"/>
      <c r="S142" s="762"/>
      <c r="T142" s="619"/>
      <c r="U142" s="762"/>
      <c r="V142" s="762"/>
      <c r="W142" s="619"/>
      <c r="X142" s="2893"/>
      <c r="Y142" s="2893"/>
      <c r="Z142" s="2893"/>
      <c r="AA142" s="2893"/>
      <c r="AB142" s="2893"/>
      <c r="AC142" s="2893"/>
      <c r="AD142" s="2893"/>
      <c r="AE142" s="2893"/>
      <c r="AF142" s="2893"/>
      <c r="AG142" s="2893"/>
      <c r="AH142" s="9"/>
    </row>
    <row r="143" spans="1:34" ht="32.25" customHeight="1">
      <c r="A143" s="252"/>
      <c r="B143" s="2903" t="s">
        <v>331</v>
      </c>
      <c r="C143" s="2903"/>
      <c r="D143" s="2903"/>
      <c r="E143" s="2903"/>
      <c r="F143" s="6"/>
      <c r="G143" s="65"/>
      <c r="H143" s="480"/>
      <c r="I143" s="710"/>
      <c r="J143" s="711"/>
      <c r="K143" s="526" t="s">
        <v>132</v>
      </c>
      <c r="L143" s="710"/>
      <c r="M143" s="711"/>
      <c r="N143" s="526" t="s">
        <v>131</v>
      </c>
      <c r="O143" s="710"/>
      <c r="P143" s="712"/>
      <c r="Q143" s="526"/>
      <c r="R143" s="762"/>
      <c r="S143" s="762"/>
      <c r="T143" s="526"/>
      <c r="U143" s="762"/>
      <c r="V143" s="762"/>
      <c r="W143" s="526"/>
      <c r="X143" s="2893"/>
      <c r="Y143" s="2893"/>
      <c r="Z143" s="2893"/>
      <c r="AA143" s="2893"/>
      <c r="AB143" s="2893"/>
      <c r="AC143" s="2893"/>
      <c r="AD143" s="2893"/>
      <c r="AE143" s="2893"/>
      <c r="AF143" s="2893"/>
      <c r="AG143" s="2893"/>
    </row>
    <row r="144" spans="1:34" ht="15.75" customHeight="1">
      <c r="A144" s="252"/>
      <c r="B144" s="2904" t="s">
        <v>332</v>
      </c>
      <c r="C144" s="2904"/>
      <c r="D144" s="2904"/>
      <c r="E144" s="2904"/>
      <c r="F144" s="6"/>
      <c r="G144" s="65"/>
      <c r="H144" s="480"/>
      <c r="I144" s="748"/>
      <c r="J144" s="711">
        <v>2</v>
      </c>
      <c r="K144" s="526"/>
      <c r="L144" s="748"/>
      <c r="M144" s="711"/>
      <c r="N144" s="526">
        <v>1</v>
      </c>
      <c r="O144" s="710"/>
      <c r="P144" s="582"/>
      <c r="Q144" s="526"/>
      <c r="R144" s="762"/>
      <c r="S144" s="762"/>
      <c r="T144" s="526"/>
      <c r="U144" s="762"/>
      <c r="V144" s="762"/>
      <c r="W144" s="526"/>
      <c r="X144" s="2893"/>
      <c r="Y144" s="2893"/>
      <c r="Z144" s="2893"/>
      <c r="AA144" s="2893"/>
      <c r="AB144" s="2893"/>
      <c r="AC144" s="2893"/>
      <c r="AD144" s="2893"/>
      <c r="AE144" s="2893"/>
      <c r="AF144" s="2893"/>
      <c r="AG144" s="2893"/>
    </row>
    <row r="145" spans="1:34" ht="15.75" customHeight="1">
      <c r="A145" s="252"/>
      <c r="B145" s="2903" t="s">
        <v>333</v>
      </c>
      <c r="C145" s="2903"/>
      <c r="D145" s="2903"/>
      <c r="E145" s="2903"/>
      <c r="F145" s="6"/>
      <c r="G145" s="63"/>
      <c r="H145" s="480"/>
      <c r="I145" s="713"/>
      <c r="J145" s="713"/>
      <c r="K145" s="526" t="s">
        <v>605</v>
      </c>
      <c r="L145" s="713"/>
      <c r="M145" s="713"/>
      <c r="N145" s="526" t="s">
        <v>19</v>
      </c>
      <c r="O145" s="713"/>
      <c r="P145" s="713"/>
      <c r="Q145" s="526"/>
      <c r="R145" s="762"/>
      <c r="S145" s="762"/>
      <c r="T145" s="526"/>
      <c r="U145" s="762"/>
      <c r="V145" s="762"/>
      <c r="W145" s="526"/>
      <c r="X145" s="2893"/>
      <c r="Y145" s="2893"/>
      <c r="Z145" s="2893"/>
      <c r="AA145" s="2893"/>
      <c r="AB145" s="2893"/>
      <c r="AC145" s="2893"/>
      <c r="AD145" s="2893"/>
      <c r="AE145" s="2893"/>
      <c r="AF145" s="2893"/>
      <c r="AG145" s="2893"/>
    </row>
    <row r="146" spans="1:34" ht="15.75" customHeight="1">
      <c r="A146" s="252"/>
      <c r="B146" s="2903" t="s">
        <v>334</v>
      </c>
      <c r="C146" s="2903"/>
      <c r="D146" s="2903"/>
      <c r="E146" s="2903"/>
      <c r="H146" s="480"/>
      <c r="I146" s="748"/>
      <c r="J146" s="711">
        <v>0</v>
      </c>
      <c r="K146" s="526">
        <v>0</v>
      </c>
      <c r="L146" s="748"/>
      <c r="M146" s="711"/>
      <c r="N146" s="526">
        <v>1</v>
      </c>
      <c r="O146" s="710"/>
      <c r="P146" s="582"/>
      <c r="Q146" s="526"/>
      <c r="R146" s="762"/>
      <c r="S146" s="762"/>
      <c r="T146" s="526"/>
      <c r="U146" s="762"/>
      <c r="V146" s="762"/>
      <c r="W146" s="526"/>
      <c r="X146" s="2893"/>
      <c r="Y146" s="2893"/>
      <c r="Z146" s="2893"/>
      <c r="AA146" s="2893"/>
      <c r="AB146" s="2893"/>
      <c r="AC146" s="2893"/>
      <c r="AD146" s="2893"/>
      <c r="AE146" s="2893"/>
      <c r="AF146" s="2893"/>
      <c r="AG146" s="2893"/>
    </row>
    <row r="147" spans="1:34" ht="15.75" customHeight="1">
      <c r="A147" s="252"/>
      <c r="B147" s="2904" t="s">
        <v>335</v>
      </c>
      <c r="C147" s="2904"/>
      <c r="D147" s="2904"/>
      <c r="E147" s="2904"/>
      <c r="F147" s="6"/>
      <c r="G147" s="63"/>
      <c r="H147" s="480"/>
      <c r="I147" s="748"/>
      <c r="J147" s="711"/>
      <c r="K147" s="526"/>
      <c r="L147" s="748"/>
      <c r="M147" s="711"/>
      <c r="N147" s="526" t="s">
        <v>22</v>
      </c>
      <c r="O147" s="710"/>
      <c r="P147" s="582"/>
      <c r="Q147" s="526"/>
      <c r="R147" s="762"/>
      <c r="S147" s="762"/>
      <c r="T147" s="526"/>
      <c r="U147" s="762"/>
      <c r="V147" s="762"/>
      <c r="W147" s="526"/>
      <c r="X147" s="2893"/>
      <c r="Y147" s="2893"/>
      <c r="Z147" s="2893"/>
      <c r="AA147" s="2893"/>
      <c r="AB147" s="2893"/>
      <c r="AC147" s="2893"/>
      <c r="AD147" s="2893"/>
      <c r="AE147" s="2893"/>
      <c r="AF147" s="2893"/>
      <c r="AG147" s="2893"/>
    </row>
    <row r="148" spans="1:34" ht="15.75" customHeight="1">
      <c r="A148" s="252"/>
      <c r="B148" s="2903" t="s">
        <v>336</v>
      </c>
      <c r="C148" s="2903"/>
      <c r="D148" s="2903"/>
      <c r="E148" s="2903"/>
      <c r="F148" s="6"/>
      <c r="G148" s="63"/>
      <c r="H148" s="480"/>
      <c r="I148" s="748"/>
      <c r="J148" s="711">
        <v>0.25</v>
      </c>
      <c r="K148" s="526">
        <v>90</v>
      </c>
      <c r="L148" s="748"/>
      <c r="M148" s="711"/>
      <c r="N148" s="526">
        <v>90</v>
      </c>
      <c r="O148" s="710"/>
      <c r="P148" s="582"/>
      <c r="Q148" s="526"/>
      <c r="R148" s="762"/>
      <c r="S148" s="762"/>
      <c r="T148" s="526"/>
      <c r="U148" s="762"/>
      <c r="V148" s="762"/>
      <c r="W148" s="526"/>
      <c r="X148" s="2893"/>
      <c r="Y148" s="2893"/>
      <c r="Z148" s="2893"/>
      <c r="AA148" s="2893"/>
      <c r="AB148" s="2893"/>
      <c r="AC148" s="2893"/>
      <c r="AD148" s="2893"/>
      <c r="AE148" s="2893"/>
      <c r="AF148" s="2893"/>
      <c r="AG148" s="2893"/>
    </row>
    <row r="149" spans="1:34" ht="32.25" customHeight="1">
      <c r="A149" s="252"/>
      <c r="B149" s="2903" t="s">
        <v>337</v>
      </c>
      <c r="C149" s="2903"/>
      <c r="D149" s="2903"/>
      <c r="E149" s="2903"/>
      <c r="F149" s="6"/>
      <c r="G149" s="63"/>
      <c r="H149" s="480"/>
      <c r="I149" s="748"/>
      <c r="J149" s="748"/>
      <c r="K149" s="526">
        <v>0</v>
      </c>
      <c r="L149" s="748"/>
      <c r="M149" s="748"/>
      <c r="N149" s="526">
        <v>0</v>
      </c>
      <c r="O149" s="710"/>
      <c r="P149" s="710"/>
      <c r="Q149" s="526"/>
      <c r="R149" s="762"/>
      <c r="S149" s="762"/>
      <c r="T149" s="526"/>
      <c r="U149" s="762"/>
      <c r="V149" s="762"/>
      <c r="W149" s="526"/>
      <c r="X149" s="2893"/>
      <c r="Y149" s="2893"/>
      <c r="Z149" s="2893"/>
      <c r="AA149" s="2893"/>
      <c r="AB149" s="2893"/>
      <c r="AC149" s="2893"/>
      <c r="AD149" s="2893"/>
      <c r="AE149" s="2893"/>
      <c r="AF149" s="2893"/>
      <c r="AG149" s="2893"/>
      <c r="AH149" s="9"/>
    </row>
    <row r="150" spans="1:34" ht="32.25" customHeight="1">
      <c r="A150" s="252"/>
      <c r="B150" s="2903" t="s">
        <v>338</v>
      </c>
      <c r="C150" s="2903"/>
      <c r="D150" s="2903"/>
      <c r="E150" s="2903"/>
      <c r="F150" s="6"/>
      <c r="G150" s="63"/>
      <c r="H150" s="480"/>
      <c r="I150" s="748"/>
      <c r="J150" s="748"/>
      <c r="K150" s="526">
        <v>0</v>
      </c>
      <c r="L150" s="748"/>
      <c r="M150" s="748"/>
      <c r="N150" s="526">
        <v>0</v>
      </c>
      <c r="O150" s="710"/>
      <c r="P150" s="710"/>
      <c r="Q150" s="526"/>
      <c r="R150" s="762"/>
      <c r="S150" s="762"/>
      <c r="T150" s="526"/>
      <c r="U150" s="762"/>
      <c r="V150" s="762"/>
      <c r="W150" s="526"/>
      <c r="X150" s="2893"/>
      <c r="Y150" s="2893"/>
      <c r="Z150" s="2893"/>
      <c r="AA150" s="2893"/>
      <c r="AB150" s="2893"/>
      <c r="AC150" s="2893"/>
      <c r="AD150" s="2893"/>
      <c r="AE150" s="2893"/>
      <c r="AF150" s="2893"/>
      <c r="AG150" s="2893"/>
      <c r="AH150" s="9"/>
    </row>
    <row r="151" spans="1:34" s="6" customFormat="1" ht="15.75" customHeight="1">
      <c r="A151" s="252"/>
      <c r="B151" s="2903" t="s">
        <v>648</v>
      </c>
      <c r="C151" s="2903"/>
      <c r="D151" s="2903"/>
      <c r="E151" s="2903"/>
      <c r="G151" s="63"/>
      <c r="H151" s="480"/>
      <c r="I151" s="748"/>
      <c r="J151" s="748">
        <v>25</v>
      </c>
      <c r="K151" s="526">
        <v>200</v>
      </c>
      <c r="L151" s="748"/>
      <c r="M151" s="748"/>
      <c r="N151" s="526">
        <v>45</v>
      </c>
      <c r="O151" s="710"/>
      <c r="P151" s="710"/>
      <c r="Q151" s="526"/>
      <c r="R151" s="748"/>
      <c r="S151" s="748"/>
      <c r="T151" s="526"/>
      <c r="U151" s="748"/>
      <c r="V151" s="748"/>
      <c r="W151" s="526"/>
      <c r="X151" s="2893"/>
      <c r="Y151" s="2893"/>
      <c r="Z151" s="2893"/>
      <c r="AA151" s="2893"/>
      <c r="AB151" s="2893"/>
      <c r="AC151" s="2893"/>
      <c r="AD151" s="2893"/>
      <c r="AE151" s="2893"/>
      <c r="AF151" s="2893"/>
      <c r="AG151" s="2893"/>
    </row>
    <row r="152" spans="1:34" ht="15.75" customHeight="1">
      <c r="A152" s="252"/>
      <c r="B152" s="2903" t="s">
        <v>649</v>
      </c>
      <c r="C152" s="2903"/>
      <c r="D152" s="2903"/>
      <c r="E152" s="2903"/>
      <c r="F152" s="6"/>
      <c r="G152" s="63"/>
      <c r="H152" s="797"/>
      <c r="I152" s="748"/>
      <c r="J152" s="711"/>
      <c r="K152" s="562">
        <v>200</v>
      </c>
      <c r="L152" s="748"/>
      <c r="M152" s="711"/>
      <c r="N152" s="562">
        <v>90</v>
      </c>
      <c r="O152" s="710"/>
      <c r="P152" s="582"/>
      <c r="Q152" s="562"/>
      <c r="R152" s="762"/>
      <c r="S152" s="762"/>
      <c r="T152" s="562"/>
      <c r="U152" s="762"/>
      <c r="V152" s="762"/>
      <c r="W152" s="562"/>
      <c r="X152" s="2893"/>
      <c r="Y152" s="2893"/>
      <c r="Z152" s="2893"/>
      <c r="AA152" s="2893"/>
      <c r="AB152" s="2893"/>
      <c r="AC152" s="2893"/>
      <c r="AD152" s="2893"/>
      <c r="AE152" s="2893"/>
      <c r="AF152" s="2893"/>
      <c r="AG152" s="2893"/>
    </row>
    <row r="153" spans="1:34" ht="15.75" customHeight="1">
      <c r="A153" s="237"/>
      <c r="B153" s="2903" t="s">
        <v>415</v>
      </c>
      <c r="C153" s="2903"/>
      <c r="D153" s="2903"/>
      <c r="E153" s="2903"/>
      <c r="F153" s="6"/>
      <c r="G153" s="6"/>
      <c r="H153" s="798"/>
      <c r="I153" s="748"/>
      <c r="J153" s="748"/>
      <c r="K153" s="586" t="s">
        <v>5</v>
      </c>
      <c r="L153" s="748"/>
      <c r="M153" s="748"/>
      <c r="N153" s="586" t="s">
        <v>5</v>
      </c>
      <c r="O153" s="710"/>
      <c r="P153" s="710"/>
      <c r="Q153" s="586"/>
      <c r="R153" s="762"/>
      <c r="S153" s="762"/>
      <c r="T153" s="586"/>
      <c r="U153" s="762"/>
      <c r="V153" s="762"/>
      <c r="W153" s="586"/>
      <c r="X153" s="2893"/>
      <c r="Y153" s="2893"/>
      <c r="Z153" s="2893"/>
      <c r="AA153" s="2893"/>
      <c r="AB153" s="2893"/>
      <c r="AC153" s="2893"/>
      <c r="AD153" s="2893"/>
      <c r="AE153" s="2893"/>
      <c r="AF153" s="2893"/>
      <c r="AG153" s="2893"/>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903" t="s">
        <v>631</v>
      </c>
      <c r="C155" s="2903"/>
      <c r="D155" s="2903"/>
      <c r="E155" s="2903"/>
      <c r="F155" s="6"/>
      <c r="G155" s="65"/>
      <c r="H155" s="799"/>
      <c r="I155" s="710"/>
      <c r="J155" s="711"/>
      <c r="K155" s="628"/>
      <c r="L155" s="708"/>
      <c r="M155" s="709"/>
      <c r="N155" s="628"/>
      <c r="O155" s="710"/>
      <c r="P155" s="712"/>
      <c r="Q155" s="628"/>
      <c r="R155" s="762"/>
      <c r="S155" s="762"/>
      <c r="T155" s="628"/>
      <c r="U155" s="762"/>
      <c r="V155" s="762"/>
      <c r="W155" s="628"/>
      <c r="X155" s="2893"/>
      <c r="Y155" s="2893"/>
      <c r="Z155" s="2893"/>
      <c r="AA155" s="2893"/>
      <c r="AB155" s="2893"/>
      <c r="AC155" s="2893"/>
      <c r="AD155" s="2893"/>
      <c r="AE155" s="2893"/>
      <c r="AF155" s="2893"/>
      <c r="AG155" s="2893"/>
      <c r="AH155" s="9"/>
    </row>
    <row r="156" spans="1:34" ht="15.75" customHeight="1">
      <c r="A156" s="252"/>
      <c r="B156" s="2903" t="s">
        <v>633</v>
      </c>
      <c r="C156" s="2903"/>
      <c r="D156" s="2903"/>
      <c r="E156" s="2903"/>
      <c r="F156" s="6"/>
      <c r="G156" s="65"/>
      <c r="H156" s="480"/>
      <c r="I156" s="710"/>
      <c r="J156" s="711" t="s">
        <v>37</v>
      </c>
      <c r="K156" s="526"/>
      <c r="L156" s="710"/>
      <c r="M156" s="711"/>
      <c r="N156" s="526"/>
      <c r="O156" s="710"/>
      <c r="P156" s="712"/>
      <c r="Q156" s="526"/>
      <c r="R156" s="762"/>
      <c r="S156" s="762"/>
      <c r="T156" s="526"/>
      <c r="U156" s="762"/>
      <c r="V156" s="762"/>
      <c r="W156" s="526"/>
      <c r="X156" s="2893"/>
      <c r="Y156" s="2893"/>
      <c r="Z156" s="2893"/>
      <c r="AA156" s="2893"/>
      <c r="AB156" s="2893"/>
      <c r="AC156" s="2893"/>
      <c r="AD156" s="2893"/>
      <c r="AE156" s="2893"/>
      <c r="AF156" s="2893"/>
      <c r="AG156" s="2893"/>
    </row>
    <row r="157" spans="1:34" ht="15.75" customHeight="1">
      <c r="A157" s="252"/>
      <c r="B157" s="2903" t="s">
        <v>627</v>
      </c>
      <c r="C157" s="2903"/>
      <c r="D157" s="2903"/>
      <c r="E157" s="2903"/>
      <c r="F157" s="6"/>
      <c r="G157" s="63"/>
      <c r="H157" s="794"/>
      <c r="I157" s="748"/>
      <c r="J157" s="711"/>
      <c r="K157" s="561"/>
      <c r="L157" s="748"/>
      <c r="M157" s="711"/>
      <c r="N157" s="561"/>
      <c r="O157" s="710"/>
      <c r="P157" s="582"/>
      <c r="Q157" s="561"/>
      <c r="R157" s="762"/>
      <c r="S157" s="762"/>
      <c r="T157" s="561"/>
      <c r="U157" s="762"/>
      <c r="V157" s="762"/>
      <c r="W157" s="561"/>
      <c r="X157" s="2893"/>
      <c r="Y157" s="2893"/>
      <c r="Z157" s="2893"/>
      <c r="AA157" s="2893"/>
      <c r="AB157" s="2893"/>
      <c r="AC157" s="2893"/>
      <c r="AD157" s="2893"/>
      <c r="AE157" s="2893"/>
      <c r="AF157" s="2893"/>
      <c r="AG157" s="2893"/>
    </row>
    <row r="158" spans="1:34" ht="15.75" customHeight="1">
      <c r="A158" s="252"/>
      <c r="B158" s="2904" t="s">
        <v>628</v>
      </c>
      <c r="C158" s="2904"/>
      <c r="D158" s="2904"/>
      <c r="E158" s="2904"/>
      <c r="F158" s="6"/>
      <c r="G158" s="63"/>
      <c r="H158" s="480"/>
      <c r="I158" s="748"/>
      <c r="J158" s="711"/>
      <c r="K158" s="526"/>
      <c r="L158" s="748"/>
      <c r="M158" s="711"/>
      <c r="N158" s="526"/>
      <c r="O158" s="710"/>
      <c r="P158" s="582"/>
      <c r="Q158" s="526"/>
      <c r="R158" s="762"/>
      <c r="S158" s="762"/>
      <c r="T158" s="526"/>
      <c r="U158" s="762"/>
      <c r="V158" s="762"/>
      <c r="W158" s="526"/>
      <c r="X158" s="2893"/>
      <c r="Y158" s="2893"/>
      <c r="Z158" s="2893"/>
      <c r="AA158" s="2893"/>
      <c r="AB158" s="2893"/>
      <c r="AC158" s="2893"/>
      <c r="AD158" s="2893"/>
      <c r="AE158" s="2893"/>
      <c r="AF158" s="2893"/>
      <c r="AG158" s="2893"/>
    </row>
    <row r="159" spans="1:34" ht="31.5" customHeight="1">
      <c r="A159" s="252"/>
      <c r="B159" s="2904" t="s">
        <v>629</v>
      </c>
      <c r="C159" s="2904"/>
      <c r="D159" s="2904"/>
      <c r="E159" s="2904"/>
      <c r="F159" s="6"/>
      <c r="G159" s="63"/>
      <c r="H159" s="795"/>
      <c r="I159" s="748"/>
      <c r="J159" s="711"/>
      <c r="K159" s="568"/>
      <c r="L159" s="748"/>
      <c r="M159" s="711"/>
      <c r="N159" s="568"/>
      <c r="O159" s="710"/>
      <c r="P159" s="582"/>
      <c r="Q159" s="568"/>
      <c r="R159" s="762"/>
      <c r="S159" s="762"/>
      <c r="T159" s="568"/>
      <c r="U159" s="762"/>
      <c r="V159" s="762"/>
      <c r="W159" s="568"/>
      <c r="X159" s="2893"/>
      <c r="Y159" s="2893"/>
      <c r="Z159" s="2893"/>
      <c r="AA159" s="2893"/>
      <c r="AB159" s="2893"/>
      <c r="AC159" s="2893"/>
      <c r="AD159" s="2893"/>
      <c r="AE159" s="2893"/>
      <c r="AF159" s="2893"/>
      <c r="AG159" s="2893"/>
    </row>
    <row r="160" spans="1:34" ht="15.75" customHeight="1">
      <c r="A160" s="252"/>
      <c r="B160" s="2903" t="s">
        <v>632</v>
      </c>
      <c r="C160" s="2903"/>
      <c r="D160" s="2903"/>
      <c r="E160" s="2903"/>
      <c r="F160" s="6"/>
      <c r="G160" s="65"/>
      <c r="H160" s="480"/>
      <c r="I160" s="710"/>
      <c r="J160" s="711">
        <v>4</v>
      </c>
      <c r="K160" s="526"/>
      <c r="L160" s="710"/>
      <c r="M160" s="711"/>
      <c r="N160" s="526"/>
      <c r="O160" s="710"/>
      <c r="P160" s="712"/>
      <c r="Q160" s="526"/>
      <c r="R160" s="762"/>
      <c r="S160" s="762"/>
      <c r="T160" s="526"/>
      <c r="U160" s="762"/>
      <c r="V160" s="762"/>
      <c r="W160" s="526"/>
      <c r="X160" s="2893"/>
      <c r="Y160" s="2893"/>
      <c r="Z160" s="2893"/>
      <c r="AA160" s="2893"/>
      <c r="AB160" s="2893"/>
      <c r="AC160" s="2893"/>
      <c r="AD160" s="2893"/>
      <c r="AE160" s="2893"/>
      <c r="AF160" s="2893"/>
      <c r="AG160" s="2893"/>
    </row>
    <row r="161" spans="1:34" ht="29.9" customHeight="1">
      <c r="A161" s="252"/>
      <c r="B161" s="2903" t="s">
        <v>1551</v>
      </c>
      <c r="C161" s="2903"/>
      <c r="D161" s="2903"/>
      <c r="E161" s="2903"/>
      <c r="F161" s="6"/>
      <c r="G161" s="65"/>
      <c r="H161" s="796"/>
      <c r="I161" s="710"/>
      <c r="J161" s="711"/>
      <c r="K161" s="619"/>
      <c r="L161" s="710"/>
      <c r="M161" s="711"/>
      <c r="N161" s="619"/>
      <c r="O161" s="710"/>
      <c r="P161" s="712"/>
      <c r="Q161" s="619"/>
      <c r="R161" s="762"/>
      <c r="S161" s="762"/>
      <c r="T161" s="619"/>
      <c r="U161" s="762"/>
      <c r="V161" s="762"/>
      <c r="W161" s="619"/>
      <c r="X161" s="2893"/>
      <c r="Y161" s="2893"/>
      <c r="Z161" s="2893"/>
      <c r="AA161" s="2893"/>
      <c r="AB161" s="2893"/>
      <c r="AC161" s="2893"/>
      <c r="AD161" s="2893"/>
      <c r="AE161" s="2893"/>
      <c r="AF161" s="2893"/>
      <c r="AG161" s="2893"/>
      <c r="AH161" s="9"/>
    </row>
    <row r="162" spans="1:34" ht="29.9" customHeight="1">
      <c r="A162" s="252"/>
      <c r="B162" s="2903" t="s">
        <v>1552</v>
      </c>
      <c r="C162" s="2903"/>
      <c r="D162" s="2903"/>
      <c r="E162" s="2903"/>
      <c r="F162" s="6"/>
      <c r="G162" s="65"/>
      <c r="H162" s="796"/>
      <c r="I162" s="710"/>
      <c r="J162" s="711"/>
      <c r="K162" s="619"/>
      <c r="L162" s="710"/>
      <c r="M162" s="711"/>
      <c r="N162" s="619"/>
      <c r="O162" s="710"/>
      <c r="P162" s="712"/>
      <c r="Q162" s="619"/>
      <c r="R162" s="762"/>
      <c r="S162" s="762"/>
      <c r="T162" s="619"/>
      <c r="U162" s="762"/>
      <c r="V162" s="762"/>
      <c r="W162" s="619"/>
      <c r="X162" s="2893"/>
      <c r="Y162" s="2893"/>
      <c r="Z162" s="2893"/>
      <c r="AA162" s="2893"/>
      <c r="AB162" s="2893"/>
      <c r="AC162" s="2893"/>
      <c r="AD162" s="2893"/>
      <c r="AE162" s="2893"/>
      <c r="AF162" s="2893"/>
      <c r="AG162" s="2893"/>
      <c r="AH162" s="9"/>
    </row>
    <row r="163" spans="1:34" ht="31.5" customHeight="1">
      <c r="A163" s="252"/>
      <c r="B163" s="2903" t="s">
        <v>331</v>
      </c>
      <c r="C163" s="2903"/>
      <c r="D163" s="2903"/>
      <c r="E163" s="2903"/>
      <c r="F163" s="6"/>
      <c r="G163" s="65"/>
      <c r="H163" s="480"/>
      <c r="I163" s="710"/>
      <c r="J163" s="711"/>
      <c r="K163" s="526"/>
      <c r="L163" s="710"/>
      <c r="M163" s="711"/>
      <c r="N163" s="526"/>
      <c r="O163" s="710"/>
      <c r="P163" s="712"/>
      <c r="Q163" s="526"/>
      <c r="R163" s="762"/>
      <c r="S163" s="762"/>
      <c r="T163" s="526"/>
      <c r="U163" s="762"/>
      <c r="V163" s="762"/>
      <c r="W163" s="526"/>
      <c r="X163" s="2893"/>
      <c r="Y163" s="2893"/>
      <c r="Z163" s="2893"/>
      <c r="AA163" s="2893"/>
      <c r="AB163" s="2893"/>
      <c r="AC163" s="2893"/>
      <c r="AD163" s="2893"/>
      <c r="AE163" s="2893"/>
      <c r="AF163" s="2893"/>
      <c r="AG163" s="2893"/>
    </row>
    <row r="164" spans="1:34" ht="15.75" customHeight="1">
      <c r="A164" s="252"/>
      <c r="B164" s="2904" t="s">
        <v>332</v>
      </c>
      <c r="C164" s="2904"/>
      <c r="D164" s="2904"/>
      <c r="E164" s="2904"/>
      <c r="F164" s="6"/>
      <c r="G164" s="65"/>
      <c r="H164" s="480"/>
      <c r="I164" s="748"/>
      <c r="J164" s="711">
        <v>2</v>
      </c>
      <c r="K164" s="526"/>
      <c r="L164" s="748"/>
      <c r="M164" s="711"/>
      <c r="N164" s="526"/>
      <c r="O164" s="710"/>
      <c r="P164" s="582"/>
      <c r="Q164" s="526"/>
      <c r="R164" s="762"/>
      <c r="S164" s="762"/>
      <c r="T164" s="526"/>
      <c r="U164" s="762"/>
      <c r="V164" s="762"/>
      <c r="W164" s="526"/>
      <c r="X164" s="2893"/>
      <c r="Y164" s="2893"/>
      <c r="Z164" s="2893"/>
      <c r="AA164" s="2893"/>
      <c r="AB164" s="2893"/>
      <c r="AC164" s="2893"/>
      <c r="AD164" s="2893"/>
      <c r="AE164" s="2893"/>
      <c r="AF164" s="2893"/>
      <c r="AG164" s="2893"/>
    </row>
    <row r="165" spans="1:34" ht="15.75" customHeight="1">
      <c r="A165" s="252"/>
      <c r="B165" s="2903" t="s">
        <v>333</v>
      </c>
      <c r="C165" s="2903"/>
      <c r="D165" s="2903"/>
      <c r="E165" s="2903"/>
      <c r="F165" s="6"/>
      <c r="G165" s="65"/>
      <c r="H165" s="480"/>
      <c r="I165" s="710"/>
      <c r="J165" s="711"/>
      <c r="K165" s="526"/>
      <c r="L165" s="710"/>
      <c r="M165" s="711"/>
      <c r="N165" s="526"/>
      <c r="O165" s="710"/>
      <c r="P165" s="712"/>
      <c r="Q165" s="526"/>
      <c r="R165" s="762"/>
      <c r="S165" s="762"/>
      <c r="T165" s="526"/>
      <c r="U165" s="762"/>
      <c r="V165" s="762"/>
      <c r="W165" s="526"/>
      <c r="X165" s="2893"/>
      <c r="Y165" s="2893"/>
      <c r="Z165" s="2893"/>
      <c r="AA165" s="2893"/>
      <c r="AB165" s="2893"/>
      <c r="AC165" s="2893"/>
      <c r="AD165" s="2893"/>
      <c r="AE165" s="2893"/>
      <c r="AF165" s="2893"/>
      <c r="AG165" s="2893"/>
    </row>
    <row r="166" spans="1:34" ht="15.75" customHeight="1">
      <c r="A166" s="252"/>
      <c r="B166" s="2903" t="s">
        <v>334</v>
      </c>
      <c r="C166" s="2903"/>
      <c r="D166" s="2903"/>
      <c r="E166" s="2903"/>
      <c r="F166" s="6"/>
      <c r="G166" s="65"/>
      <c r="H166" s="480"/>
      <c r="I166" s="710"/>
      <c r="J166" s="711"/>
      <c r="K166" s="526"/>
      <c r="L166" s="710"/>
      <c r="M166" s="711"/>
      <c r="N166" s="526"/>
      <c r="O166" s="710"/>
      <c r="P166" s="712"/>
      <c r="Q166" s="526"/>
      <c r="R166" s="762"/>
      <c r="S166" s="762"/>
      <c r="T166" s="526"/>
      <c r="U166" s="762"/>
      <c r="V166" s="762"/>
      <c r="W166" s="526"/>
      <c r="X166" s="2893"/>
      <c r="Y166" s="2893"/>
      <c r="Z166" s="2893"/>
      <c r="AA166" s="2893"/>
      <c r="AB166" s="2893"/>
      <c r="AC166" s="2893"/>
      <c r="AD166" s="2893"/>
      <c r="AE166" s="2893"/>
      <c r="AF166" s="2893"/>
      <c r="AG166" s="2893"/>
    </row>
    <row r="167" spans="1:34" ht="15.75" customHeight="1">
      <c r="A167" s="252"/>
      <c r="B167" s="2904" t="s">
        <v>335</v>
      </c>
      <c r="C167" s="2904"/>
      <c r="D167" s="2904"/>
      <c r="E167" s="2904"/>
      <c r="F167" s="6"/>
      <c r="G167" s="65"/>
      <c r="H167" s="480"/>
      <c r="I167" s="710"/>
      <c r="J167" s="711"/>
      <c r="K167" s="526"/>
      <c r="L167" s="710"/>
      <c r="M167" s="711"/>
      <c r="N167" s="526"/>
      <c r="O167" s="710"/>
      <c r="P167" s="712"/>
      <c r="Q167" s="526"/>
      <c r="R167" s="762"/>
      <c r="S167" s="762"/>
      <c r="T167" s="526"/>
      <c r="U167" s="762"/>
      <c r="V167" s="762"/>
      <c r="W167" s="526"/>
      <c r="X167" s="2893"/>
      <c r="Y167" s="2893"/>
      <c r="Z167" s="2893"/>
      <c r="AA167" s="2893"/>
      <c r="AB167" s="2893"/>
      <c r="AC167" s="2893"/>
      <c r="AD167" s="2893"/>
      <c r="AE167" s="2893"/>
      <c r="AF167" s="2893"/>
      <c r="AG167" s="2893"/>
    </row>
    <row r="168" spans="1:34" ht="15.75" customHeight="1">
      <c r="A168" s="252"/>
      <c r="B168" s="2903" t="s">
        <v>336</v>
      </c>
      <c r="C168" s="2903"/>
      <c r="D168" s="2903"/>
      <c r="E168" s="2903"/>
      <c r="F168" s="6"/>
      <c r="G168" s="65"/>
      <c r="H168" s="480"/>
      <c r="I168" s="710"/>
      <c r="J168" s="711"/>
      <c r="K168" s="526"/>
      <c r="L168" s="710"/>
      <c r="M168" s="711"/>
      <c r="N168" s="526"/>
      <c r="O168" s="710"/>
      <c r="P168" s="712"/>
      <c r="Q168" s="526"/>
      <c r="R168" s="762"/>
      <c r="S168" s="762"/>
      <c r="T168" s="526"/>
      <c r="U168" s="762"/>
      <c r="V168" s="762"/>
      <c r="W168" s="526"/>
      <c r="X168" s="2893"/>
      <c r="Y168" s="2893"/>
      <c r="Z168" s="2893"/>
      <c r="AA168" s="2893"/>
      <c r="AB168" s="2893"/>
      <c r="AC168" s="2893"/>
      <c r="AD168" s="2893"/>
      <c r="AE168" s="2893"/>
      <c r="AF168" s="2893"/>
      <c r="AG168" s="2893"/>
    </row>
    <row r="169" spans="1:34" ht="31.5" customHeight="1">
      <c r="A169" s="252"/>
      <c r="B169" s="2903" t="s">
        <v>337</v>
      </c>
      <c r="C169" s="2903"/>
      <c r="D169" s="2903"/>
      <c r="E169" s="2903"/>
      <c r="F169" s="6"/>
      <c r="G169" s="65"/>
      <c r="H169" s="480"/>
      <c r="I169" s="710"/>
      <c r="J169" s="711"/>
      <c r="K169" s="526"/>
      <c r="L169" s="710"/>
      <c r="M169" s="711"/>
      <c r="N169" s="526"/>
      <c r="O169" s="710"/>
      <c r="P169" s="712"/>
      <c r="Q169" s="526"/>
      <c r="R169" s="762"/>
      <c r="S169" s="762"/>
      <c r="T169" s="526"/>
      <c r="U169" s="762"/>
      <c r="V169" s="762"/>
      <c r="W169" s="526"/>
      <c r="X169" s="2893"/>
      <c r="Y169" s="2893"/>
      <c r="Z169" s="2893"/>
      <c r="AA169" s="2893"/>
      <c r="AB169" s="2893"/>
      <c r="AC169" s="2893"/>
      <c r="AD169" s="2893"/>
      <c r="AE169" s="2893"/>
      <c r="AF169" s="2893"/>
      <c r="AG169" s="2893"/>
      <c r="AH169" s="9"/>
    </row>
    <row r="170" spans="1:34" ht="31.5" customHeight="1">
      <c r="A170" s="252"/>
      <c r="B170" s="2903" t="s">
        <v>338</v>
      </c>
      <c r="C170" s="2903"/>
      <c r="D170" s="2903"/>
      <c r="E170" s="2903"/>
      <c r="F170" s="6"/>
      <c r="G170" s="65"/>
      <c r="H170" s="480"/>
      <c r="I170" s="710"/>
      <c r="J170" s="711"/>
      <c r="K170" s="526"/>
      <c r="L170" s="710"/>
      <c r="M170" s="711"/>
      <c r="N170" s="526"/>
      <c r="O170" s="710"/>
      <c r="P170" s="712"/>
      <c r="Q170" s="526"/>
      <c r="R170" s="762"/>
      <c r="S170" s="762"/>
      <c r="T170" s="526"/>
      <c r="U170" s="762"/>
      <c r="V170" s="762"/>
      <c r="W170" s="526"/>
      <c r="X170" s="2893"/>
      <c r="Y170" s="2893"/>
      <c r="Z170" s="2893"/>
      <c r="AA170" s="2893"/>
      <c r="AB170" s="2893"/>
      <c r="AC170" s="2893"/>
      <c r="AD170" s="2893"/>
      <c r="AE170" s="2893"/>
      <c r="AF170" s="2893"/>
      <c r="AG170" s="2893"/>
      <c r="AH170" s="9"/>
    </row>
    <row r="171" spans="1:34" ht="15.75" customHeight="1">
      <c r="A171" s="252"/>
      <c r="B171" s="2903" t="s">
        <v>648</v>
      </c>
      <c r="C171" s="2903"/>
      <c r="D171" s="2903"/>
      <c r="E171" s="2903"/>
      <c r="F171" s="6"/>
      <c r="G171" s="65"/>
      <c r="H171" s="480"/>
      <c r="I171" s="710"/>
      <c r="J171" s="711"/>
      <c r="K171" s="526"/>
      <c r="L171" s="710"/>
      <c r="M171" s="711"/>
      <c r="N171" s="526"/>
      <c r="O171" s="710"/>
      <c r="P171" s="712"/>
      <c r="Q171" s="526"/>
      <c r="R171" s="762"/>
      <c r="S171" s="762"/>
      <c r="T171" s="526"/>
      <c r="U171" s="762"/>
      <c r="V171" s="762"/>
      <c r="W171" s="526"/>
      <c r="X171" s="2893"/>
      <c r="Y171" s="2893"/>
      <c r="Z171" s="2893"/>
      <c r="AA171" s="2893"/>
      <c r="AB171" s="2893"/>
      <c r="AC171" s="2893"/>
      <c r="AD171" s="2893"/>
      <c r="AE171" s="2893"/>
      <c r="AF171" s="2893"/>
      <c r="AG171" s="2893"/>
    </row>
    <row r="172" spans="1:34" ht="15.75" customHeight="1">
      <c r="A172" s="252"/>
      <c r="B172" s="2903" t="s">
        <v>649</v>
      </c>
      <c r="C172" s="2903"/>
      <c r="D172" s="2903"/>
      <c r="E172" s="2903"/>
      <c r="F172" s="6"/>
      <c r="G172" s="65"/>
      <c r="H172" s="797"/>
      <c r="I172" s="710"/>
      <c r="J172" s="711"/>
      <c r="K172" s="562"/>
      <c r="L172" s="710"/>
      <c r="M172" s="711"/>
      <c r="N172" s="562"/>
      <c r="O172" s="710"/>
      <c r="P172" s="712"/>
      <c r="Q172" s="562"/>
      <c r="R172" s="762"/>
      <c r="S172" s="762"/>
      <c r="T172" s="562"/>
      <c r="U172" s="762"/>
      <c r="V172" s="762"/>
      <c r="W172" s="562"/>
      <c r="X172" s="2893"/>
      <c r="Y172" s="2893"/>
      <c r="Z172" s="2893"/>
      <c r="AA172" s="2893"/>
      <c r="AB172" s="2893"/>
      <c r="AC172" s="2893"/>
      <c r="AD172" s="2893"/>
      <c r="AE172" s="2893"/>
      <c r="AF172" s="2893"/>
      <c r="AG172" s="2893"/>
    </row>
    <row r="173" spans="1:34" ht="15.75" customHeight="1">
      <c r="A173" s="237"/>
      <c r="B173" s="2903" t="s">
        <v>415</v>
      </c>
      <c r="C173" s="2903"/>
      <c r="D173" s="2903"/>
      <c r="E173" s="2903"/>
      <c r="F173" s="6"/>
      <c r="G173" s="65"/>
      <c r="H173" s="798"/>
      <c r="I173" s="710"/>
      <c r="J173" s="711"/>
      <c r="K173" s="586"/>
      <c r="L173" s="710"/>
      <c r="M173" s="711"/>
      <c r="N173" s="586"/>
      <c r="O173" s="710"/>
      <c r="P173" s="712"/>
      <c r="Q173" s="586"/>
      <c r="R173" s="762"/>
      <c r="S173" s="762"/>
      <c r="T173" s="586"/>
      <c r="U173" s="762"/>
      <c r="V173" s="762"/>
      <c r="W173" s="586"/>
      <c r="X173" s="2893"/>
      <c r="Y173" s="2893"/>
      <c r="Z173" s="2893"/>
      <c r="AA173" s="2893"/>
      <c r="AB173" s="2893"/>
      <c r="AC173" s="2893"/>
      <c r="AD173" s="2893"/>
      <c r="AE173" s="2893"/>
      <c r="AF173" s="2893"/>
      <c r="AG173" s="2893"/>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903" t="s">
        <v>631</v>
      </c>
      <c r="C175" s="2903"/>
      <c r="D175" s="2903"/>
      <c r="E175" s="2903"/>
      <c r="F175" s="6"/>
      <c r="G175" s="65"/>
      <c r="H175" s="799"/>
      <c r="I175" s="710"/>
      <c r="J175" s="711"/>
      <c r="K175" s="628"/>
      <c r="L175" s="710"/>
      <c r="M175" s="711"/>
      <c r="N175" s="628"/>
      <c r="O175" s="710"/>
      <c r="P175" s="712"/>
      <c r="Q175" s="628"/>
      <c r="R175" s="762"/>
      <c r="S175" s="762"/>
      <c r="T175" s="628"/>
      <c r="U175" s="762"/>
      <c r="V175" s="762"/>
      <c r="W175" s="628"/>
      <c r="X175" s="2893"/>
      <c r="Y175" s="2893"/>
      <c r="Z175" s="2893"/>
      <c r="AA175" s="2893"/>
      <c r="AB175" s="2893"/>
      <c r="AC175" s="2893"/>
      <c r="AD175" s="2893"/>
      <c r="AE175" s="2893"/>
      <c r="AF175" s="2893"/>
      <c r="AG175" s="2893"/>
      <c r="AH175" s="9"/>
    </row>
    <row r="176" spans="1:34" ht="15.75" customHeight="1">
      <c r="A176" s="252"/>
      <c r="B176" s="2903" t="s">
        <v>633</v>
      </c>
      <c r="C176" s="2903"/>
      <c r="D176" s="2903"/>
      <c r="E176" s="2903"/>
      <c r="F176" s="6"/>
      <c r="G176" s="65"/>
      <c r="H176" s="480"/>
      <c r="I176" s="710"/>
      <c r="J176" s="711" t="s">
        <v>37</v>
      </c>
      <c r="K176" s="526"/>
      <c r="L176" s="710"/>
      <c r="M176" s="711"/>
      <c r="N176" s="526"/>
      <c r="O176" s="710"/>
      <c r="P176" s="712"/>
      <c r="Q176" s="526"/>
      <c r="R176" s="762"/>
      <c r="S176" s="762"/>
      <c r="T176" s="526"/>
      <c r="U176" s="762"/>
      <c r="V176" s="762"/>
      <c r="W176" s="526"/>
      <c r="X176" s="2893"/>
      <c r="Y176" s="2893"/>
      <c r="Z176" s="2893"/>
      <c r="AA176" s="2893"/>
      <c r="AB176" s="2893"/>
      <c r="AC176" s="2893"/>
      <c r="AD176" s="2893"/>
      <c r="AE176" s="2893"/>
      <c r="AF176" s="2893"/>
      <c r="AG176" s="2893"/>
    </row>
    <row r="177" spans="1:33" ht="15.75" customHeight="1">
      <c r="A177" s="252"/>
      <c r="B177" s="2903" t="s">
        <v>627</v>
      </c>
      <c r="C177" s="2903"/>
      <c r="D177" s="2903"/>
      <c r="E177" s="2903"/>
      <c r="F177" s="6"/>
      <c r="G177" s="63"/>
      <c r="H177" s="794"/>
      <c r="I177" s="748"/>
      <c r="J177" s="711"/>
      <c r="K177" s="561"/>
      <c r="L177" s="748"/>
      <c r="M177" s="711"/>
      <c r="N177" s="561"/>
      <c r="O177" s="710"/>
      <c r="P177" s="582"/>
      <c r="Q177" s="561"/>
      <c r="R177" s="762"/>
      <c r="S177" s="762"/>
      <c r="T177" s="561"/>
      <c r="U177" s="762"/>
      <c r="V177" s="762"/>
      <c r="W177" s="561"/>
      <c r="X177" s="2893"/>
      <c r="Y177" s="2893"/>
      <c r="Z177" s="2893"/>
      <c r="AA177" s="2893"/>
      <c r="AB177" s="2893"/>
      <c r="AC177" s="2893"/>
      <c r="AD177" s="2893"/>
      <c r="AE177" s="2893"/>
      <c r="AF177" s="2893"/>
      <c r="AG177" s="2893"/>
    </row>
    <row r="178" spans="1:33" ht="15.75" customHeight="1">
      <c r="A178" s="252"/>
      <c r="B178" s="2904" t="s">
        <v>628</v>
      </c>
      <c r="C178" s="2904"/>
      <c r="D178" s="2904"/>
      <c r="E178" s="2904"/>
      <c r="F178" s="6"/>
      <c r="G178" s="63"/>
      <c r="H178" s="480"/>
      <c r="I178" s="748"/>
      <c r="J178" s="711"/>
      <c r="K178" s="526"/>
      <c r="L178" s="748"/>
      <c r="M178" s="711"/>
      <c r="N178" s="526"/>
      <c r="O178" s="710"/>
      <c r="P178" s="582"/>
      <c r="Q178" s="526"/>
      <c r="R178" s="762"/>
      <c r="S178" s="762"/>
      <c r="T178" s="526"/>
      <c r="U178" s="762"/>
      <c r="V178" s="762"/>
      <c r="W178" s="526"/>
      <c r="X178" s="2893"/>
      <c r="Y178" s="2893"/>
      <c r="Z178" s="2893"/>
      <c r="AA178" s="2893"/>
      <c r="AB178" s="2893"/>
      <c r="AC178" s="2893"/>
      <c r="AD178" s="2893"/>
      <c r="AE178" s="2893"/>
      <c r="AF178" s="2893"/>
      <c r="AG178" s="2893"/>
    </row>
    <row r="179" spans="1:33" ht="33" customHeight="1">
      <c r="A179" s="252"/>
      <c r="B179" s="2904" t="s">
        <v>629</v>
      </c>
      <c r="C179" s="2904"/>
      <c r="D179" s="2904"/>
      <c r="E179" s="2904"/>
      <c r="F179" s="6"/>
      <c r="G179" s="63"/>
      <c r="H179" s="795"/>
      <c r="I179" s="748"/>
      <c r="J179" s="711"/>
      <c r="K179" s="568"/>
      <c r="L179" s="748"/>
      <c r="M179" s="711"/>
      <c r="N179" s="568"/>
      <c r="O179" s="710"/>
      <c r="P179" s="582"/>
      <c r="Q179" s="568"/>
      <c r="R179" s="762"/>
      <c r="S179" s="762"/>
      <c r="T179" s="568"/>
      <c r="U179" s="762"/>
      <c r="V179" s="762"/>
      <c r="W179" s="568"/>
      <c r="X179" s="2893"/>
      <c r="Y179" s="2893"/>
      <c r="Z179" s="2893"/>
      <c r="AA179" s="2893"/>
      <c r="AB179" s="2893"/>
      <c r="AC179" s="2893"/>
      <c r="AD179" s="2893"/>
      <c r="AE179" s="2893"/>
      <c r="AF179" s="2893"/>
      <c r="AG179" s="2893"/>
    </row>
    <row r="180" spans="1:33" ht="15.75" customHeight="1">
      <c r="A180" s="252"/>
      <c r="B180" s="2903" t="s">
        <v>632</v>
      </c>
      <c r="C180" s="2903"/>
      <c r="D180" s="2903"/>
      <c r="E180" s="2903"/>
      <c r="F180" s="6"/>
      <c r="G180" s="65"/>
      <c r="H180" s="480"/>
      <c r="I180" s="710"/>
      <c r="J180" s="711">
        <v>4</v>
      </c>
      <c r="K180" s="526"/>
      <c r="L180" s="710"/>
      <c r="M180" s="711"/>
      <c r="N180" s="526"/>
      <c r="O180" s="710"/>
      <c r="P180" s="712"/>
      <c r="Q180" s="526"/>
      <c r="R180" s="762"/>
      <c r="S180" s="762"/>
      <c r="T180" s="526"/>
      <c r="U180" s="762"/>
      <c r="V180" s="762"/>
      <c r="W180" s="526"/>
      <c r="X180" s="2893"/>
      <c r="Y180" s="2893"/>
      <c r="Z180" s="2893"/>
      <c r="AA180" s="2893"/>
      <c r="AB180" s="2893"/>
      <c r="AC180" s="2893"/>
      <c r="AD180" s="2893"/>
      <c r="AE180" s="2893"/>
      <c r="AF180" s="2893"/>
      <c r="AG180" s="2893"/>
    </row>
    <row r="181" spans="1:33" ht="34.5" customHeight="1">
      <c r="A181" s="252"/>
      <c r="B181" s="2903" t="s">
        <v>1551</v>
      </c>
      <c r="C181" s="2903"/>
      <c r="D181" s="2903"/>
      <c r="E181" s="2903"/>
      <c r="F181" s="6"/>
      <c r="G181" s="65"/>
      <c r="H181" s="796"/>
      <c r="I181" s="710"/>
      <c r="J181" s="711"/>
      <c r="K181" s="619"/>
      <c r="L181" s="710"/>
      <c r="M181" s="711"/>
      <c r="N181" s="619"/>
      <c r="O181" s="710"/>
      <c r="P181" s="712"/>
      <c r="Q181" s="619"/>
      <c r="R181" s="762"/>
      <c r="S181" s="762"/>
      <c r="T181" s="619"/>
      <c r="U181" s="762"/>
      <c r="V181" s="762"/>
      <c r="W181" s="619"/>
      <c r="X181" s="2893"/>
      <c r="Y181" s="2893"/>
      <c r="Z181" s="2893"/>
      <c r="AA181" s="2893"/>
      <c r="AB181" s="2893"/>
      <c r="AC181" s="2893"/>
      <c r="AD181" s="2893"/>
      <c r="AE181" s="2893"/>
      <c r="AF181" s="2893"/>
      <c r="AG181" s="2893"/>
    </row>
    <row r="182" spans="1:33" ht="34.5" customHeight="1">
      <c r="A182" s="252"/>
      <c r="B182" s="2903" t="s">
        <v>1552</v>
      </c>
      <c r="C182" s="2903"/>
      <c r="D182" s="2903"/>
      <c r="E182" s="2903"/>
      <c r="F182" s="6"/>
      <c r="G182" s="65"/>
      <c r="H182" s="796"/>
      <c r="I182" s="710"/>
      <c r="J182" s="711"/>
      <c r="K182" s="619"/>
      <c r="L182" s="710"/>
      <c r="M182" s="711"/>
      <c r="N182" s="619"/>
      <c r="O182" s="710"/>
      <c r="P182" s="712"/>
      <c r="Q182" s="619"/>
      <c r="R182" s="762"/>
      <c r="S182" s="762"/>
      <c r="T182" s="619"/>
      <c r="U182" s="762"/>
      <c r="V182" s="762"/>
      <c r="W182" s="619"/>
      <c r="X182" s="2893"/>
      <c r="Y182" s="2893"/>
      <c r="Z182" s="2893"/>
      <c r="AA182" s="2893"/>
      <c r="AB182" s="2893"/>
      <c r="AC182" s="2893"/>
      <c r="AD182" s="2893"/>
      <c r="AE182" s="2893"/>
      <c r="AF182" s="2893"/>
      <c r="AG182" s="2893"/>
    </row>
    <row r="183" spans="1:33" ht="33" customHeight="1">
      <c r="A183" s="252"/>
      <c r="B183" s="2903" t="s">
        <v>331</v>
      </c>
      <c r="C183" s="2903"/>
      <c r="D183" s="2903"/>
      <c r="E183" s="2903"/>
      <c r="F183" s="6"/>
      <c r="G183" s="65"/>
      <c r="H183" s="480"/>
      <c r="I183" s="710"/>
      <c r="J183" s="711"/>
      <c r="K183" s="526"/>
      <c r="L183" s="710"/>
      <c r="M183" s="711"/>
      <c r="N183" s="526"/>
      <c r="O183" s="710"/>
      <c r="P183" s="712"/>
      <c r="Q183" s="526"/>
      <c r="R183" s="762"/>
      <c r="S183" s="762"/>
      <c r="T183" s="526"/>
      <c r="U183" s="762"/>
      <c r="V183" s="762"/>
      <c r="W183" s="526"/>
      <c r="X183" s="2893"/>
      <c r="Y183" s="2893"/>
      <c r="Z183" s="2893"/>
      <c r="AA183" s="2893"/>
      <c r="AB183" s="2893"/>
      <c r="AC183" s="2893"/>
      <c r="AD183" s="2893"/>
      <c r="AE183" s="2893"/>
      <c r="AF183" s="2893"/>
      <c r="AG183" s="2893"/>
    </row>
    <row r="184" spans="1:33" ht="15.75" customHeight="1">
      <c r="A184" s="252"/>
      <c r="B184" s="2904" t="s">
        <v>332</v>
      </c>
      <c r="C184" s="2904"/>
      <c r="D184" s="2904"/>
      <c r="E184" s="2904"/>
      <c r="F184" s="6"/>
      <c r="G184" s="65"/>
      <c r="H184" s="480"/>
      <c r="I184" s="748"/>
      <c r="J184" s="711">
        <v>2</v>
      </c>
      <c r="K184" s="526"/>
      <c r="L184" s="748"/>
      <c r="M184" s="711"/>
      <c r="N184" s="526"/>
      <c r="O184" s="710"/>
      <c r="P184" s="582"/>
      <c r="Q184" s="526"/>
      <c r="R184" s="762"/>
      <c r="S184" s="762"/>
      <c r="T184" s="526"/>
      <c r="U184" s="762"/>
      <c r="V184" s="762"/>
      <c r="W184" s="526"/>
      <c r="X184" s="2893"/>
      <c r="Y184" s="2893"/>
      <c r="Z184" s="2893"/>
      <c r="AA184" s="2893"/>
      <c r="AB184" s="2893"/>
      <c r="AC184" s="2893"/>
      <c r="AD184" s="2893"/>
      <c r="AE184" s="2893"/>
      <c r="AF184" s="2893"/>
      <c r="AG184" s="2893"/>
    </row>
    <row r="185" spans="1:33" ht="15.75" customHeight="1">
      <c r="A185" s="252"/>
      <c r="B185" s="2903" t="s">
        <v>333</v>
      </c>
      <c r="C185" s="2903"/>
      <c r="D185" s="2903"/>
      <c r="E185" s="2903"/>
      <c r="F185" s="6"/>
      <c r="G185" s="65"/>
      <c r="H185" s="480"/>
      <c r="I185" s="710"/>
      <c r="J185" s="711"/>
      <c r="K185" s="526"/>
      <c r="L185" s="710"/>
      <c r="M185" s="711"/>
      <c r="N185" s="526"/>
      <c r="O185" s="710"/>
      <c r="P185" s="712"/>
      <c r="Q185" s="526"/>
      <c r="R185" s="762"/>
      <c r="S185" s="762"/>
      <c r="T185" s="526"/>
      <c r="U185" s="762"/>
      <c r="V185" s="762"/>
      <c r="W185" s="526"/>
      <c r="X185" s="2893"/>
      <c r="Y185" s="2893"/>
      <c r="Z185" s="2893"/>
      <c r="AA185" s="2893"/>
      <c r="AB185" s="2893"/>
      <c r="AC185" s="2893"/>
      <c r="AD185" s="2893"/>
      <c r="AE185" s="2893"/>
      <c r="AF185" s="2893"/>
      <c r="AG185" s="2893"/>
    </row>
    <row r="186" spans="1:33" ht="15.75" customHeight="1">
      <c r="A186" s="252"/>
      <c r="B186" s="2903" t="s">
        <v>334</v>
      </c>
      <c r="C186" s="2903"/>
      <c r="D186" s="2903"/>
      <c r="E186" s="2903"/>
      <c r="F186" s="6"/>
      <c r="G186" s="65"/>
      <c r="H186" s="480"/>
      <c r="I186" s="710"/>
      <c r="J186" s="711"/>
      <c r="K186" s="526"/>
      <c r="L186" s="710"/>
      <c r="M186" s="711"/>
      <c r="N186" s="526"/>
      <c r="O186" s="710"/>
      <c r="P186" s="712"/>
      <c r="Q186" s="526"/>
      <c r="R186" s="762"/>
      <c r="S186" s="762"/>
      <c r="T186" s="526"/>
      <c r="U186" s="762"/>
      <c r="V186" s="762"/>
      <c r="W186" s="526"/>
      <c r="X186" s="2893"/>
      <c r="Y186" s="2893"/>
      <c r="Z186" s="2893"/>
      <c r="AA186" s="2893"/>
      <c r="AB186" s="2893"/>
      <c r="AC186" s="2893"/>
      <c r="AD186" s="2893"/>
      <c r="AE186" s="2893"/>
      <c r="AF186" s="2893"/>
      <c r="AG186" s="2893"/>
    </row>
    <row r="187" spans="1:33" ht="15.75" customHeight="1">
      <c r="A187" s="252"/>
      <c r="B187" s="2904" t="s">
        <v>335</v>
      </c>
      <c r="C187" s="2904"/>
      <c r="D187" s="2904"/>
      <c r="E187" s="2904"/>
      <c r="F187" s="6"/>
      <c r="G187" s="65"/>
      <c r="H187" s="480"/>
      <c r="I187" s="710"/>
      <c r="J187" s="711"/>
      <c r="K187" s="526"/>
      <c r="L187" s="710"/>
      <c r="M187" s="711"/>
      <c r="N187" s="526"/>
      <c r="O187" s="710"/>
      <c r="P187" s="712"/>
      <c r="Q187" s="526"/>
      <c r="R187" s="762"/>
      <c r="S187" s="762"/>
      <c r="T187" s="526"/>
      <c r="U187" s="762"/>
      <c r="V187" s="762"/>
      <c r="W187" s="526"/>
      <c r="X187" s="2893"/>
      <c r="Y187" s="2893"/>
      <c r="Z187" s="2893"/>
      <c r="AA187" s="2893"/>
      <c r="AB187" s="2893"/>
      <c r="AC187" s="2893"/>
      <c r="AD187" s="2893"/>
      <c r="AE187" s="2893"/>
      <c r="AF187" s="2893"/>
      <c r="AG187" s="2893"/>
    </row>
    <row r="188" spans="1:33" ht="15.75" customHeight="1">
      <c r="A188" s="252"/>
      <c r="B188" s="2903" t="s">
        <v>336</v>
      </c>
      <c r="C188" s="2903"/>
      <c r="D188" s="2903"/>
      <c r="E188" s="2903"/>
      <c r="F188" s="6"/>
      <c r="G188" s="65"/>
      <c r="H188" s="480"/>
      <c r="I188" s="710"/>
      <c r="J188" s="711"/>
      <c r="K188" s="526"/>
      <c r="L188" s="710"/>
      <c r="M188" s="711"/>
      <c r="N188" s="526"/>
      <c r="O188" s="710"/>
      <c r="P188" s="712"/>
      <c r="Q188" s="526"/>
      <c r="R188" s="762"/>
      <c r="S188" s="762"/>
      <c r="T188" s="526"/>
      <c r="U188" s="762"/>
      <c r="V188" s="762"/>
      <c r="W188" s="526"/>
      <c r="X188" s="2893"/>
      <c r="Y188" s="2893"/>
      <c r="Z188" s="2893"/>
      <c r="AA188" s="2893"/>
      <c r="AB188" s="2893"/>
      <c r="AC188" s="2893"/>
      <c r="AD188" s="2893"/>
      <c r="AE188" s="2893"/>
      <c r="AF188" s="2893"/>
      <c r="AG188" s="2893"/>
    </row>
    <row r="189" spans="1:33" ht="33" customHeight="1">
      <c r="A189" s="252"/>
      <c r="B189" s="2903" t="s">
        <v>337</v>
      </c>
      <c r="C189" s="2903"/>
      <c r="D189" s="2903"/>
      <c r="E189" s="2903"/>
      <c r="F189" s="6"/>
      <c r="G189" s="65"/>
      <c r="H189" s="480"/>
      <c r="I189" s="710"/>
      <c r="J189" s="711"/>
      <c r="K189" s="526"/>
      <c r="L189" s="710"/>
      <c r="M189" s="711"/>
      <c r="N189" s="526"/>
      <c r="O189" s="710"/>
      <c r="P189" s="712"/>
      <c r="Q189" s="526"/>
      <c r="R189" s="762"/>
      <c r="S189" s="762"/>
      <c r="T189" s="526"/>
      <c r="U189" s="762"/>
      <c r="V189" s="762"/>
      <c r="W189" s="526"/>
      <c r="X189" s="2893"/>
      <c r="Y189" s="2893"/>
      <c r="Z189" s="2893"/>
      <c r="AA189" s="2893"/>
      <c r="AB189" s="2893"/>
      <c r="AC189" s="2893"/>
      <c r="AD189" s="2893"/>
      <c r="AE189" s="2893"/>
      <c r="AF189" s="2893"/>
      <c r="AG189" s="2893"/>
    </row>
    <row r="190" spans="1:33" ht="33" customHeight="1">
      <c r="A190" s="252"/>
      <c r="B190" s="2903" t="s">
        <v>338</v>
      </c>
      <c r="C190" s="2903"/>
      <c r="D190" s="2903"/>
      <c r="E190" s="2903"/>
      <c r="F190" s="6"/>
      <c r="G190" s="65"/>
      <c r="H190" s="480"/>
      <c r="I190" s="710"/>
      <c r="J190" s="711"/>
      <c r="K190" s="526"/>
      <c r="L190" s="710"/>
      <c r="M190" s="711"/>
      <c r="N190" s="526"/>
      <c r="O190" s="710"/>
      <c r="P190" s="712"/>
      <c r="Q190" s="526"/>
      <c r="R190" s="762"/>
      <c r="S190" s="762"/>
      <c r="T190" s="526"/>
      <c r="U190" s="762"/>
      <c r="V190" s="762"/>
      <c r="W190" s="526"/>
      <c r="X190" s="2893"/>
      <c r="Y190" s="2893"/>
      <c r="Z190" s="2893"/>
      <c r="AA190" s="2893"/>
      <c r="AB190" s="2893"/>
      <c r="AC190" s="2893"/>
      <c r="AD190" s="2893"/>
      <c r="AE190" s="2893"/>
      <c r="AF190" s="2893"/>
      <c r="AG190" s="2893"/>
    </row>
    <row r="191" spans="1:33" ht="15.75" customHeight="1">
      <c r="A191" s="252"/>
      <c r="B191" s="2903" t="s">
        <v>648</v>
      </c>
      <c r="C191" s="2903"/>
      <c r="D191" s="2903"/>
      <c r="E191" s="2903"/>
      <c r="F191" s="6"/>
      <c r="G191" s="65"/>
      <c r="H191" s="480"/>
      <c r="I191" s="710"/>
      <c r="J191" s="711"/>
      <c r="K191" s="526"/>
      <c r="L191" s="710"/>
      <c r="M191" s="711"/>
      <c r="N191" s="526"/>
      <c r="O191" s="710"/>
      <c r="P191" s="712"/>
      <c r="Q191" s="526"/>
      <c r="R191" s="762"/>
      <c r="S191" s="762"/>
      <c r="T191" s="526"/>
      <c r="U191" s="762"/>
      <c r="V191" s="762"/>
      <c r="W191" s="526"/>
      <c r="X191" s="2893"/>
      <c r="Y191" s="2893"/>
      <c r="Z191" s="2893"/>
      <c r="AA191" s="2893"/>
      <c r="AB191" s="2893"/>
      <c r="AC191" s="2893"/>
      <c r="AD191" s="2893"/>
      <c r="AE191" s="2893"/>
      <c r="AF191" s="2893"/>
      <c r="AG191" s="2893"/>
    </row>
    <row r="192" spans="1:33" ht="15.75" customHeight="1">
      <c r="A192" s="252"/>
      <c r="B192" s="2903" t="s">
        <v>649</v>
      </c>
      <c r="C192" s="2903"/>
      <c r="D192" s="2903"/>
      <c r="E192" s="2903"/>
      <c r="F192" s="6"/>
      <c r="G192" s="65"/>
      <c r="H192" s="797"/>
      <c r="I192" s="710"/>
      <c r="J192" s="711"/>
      <c r="K192" s="562"/>
      <c r="L192" s="710"/>
      <c r="M192" s="711"/>
      <c r="N192" s="562"/>
      <c r="O192" s="710"/>
      <c r="P192" s="712"/>
      <c r="Q192" s="562"/>
      <c r="R192" s="762"/>
      <c r="S192" s="762"/>
      <c r="T192" s="562"/>
      <c r="U192" s="762"/>
      <c r="V192" s="762"/>
      <c r="W192" s="562"/>
      <c r="X192" s="2893"/>
      <c r="Y192" s="2893"/>
      <c r="Z192" s="2893"/>
      <c r="AA192" s="2893"/>
      <c r="AB192" s="2893"/>
      <c r="AC192" s="2893"/>
      <c r="AD192" s="2893"/>
      <c r="AE192" s="2893"/>
      <c r="AF192" s="2893"/>
      <c r="AG192" s="2893"/>
    </row>
    <row r="193" spans="1:33" ht="15.75" customHeight="1">
      <c r="A193" s="237"/>
      <c r="B193" s="2903" t="s">
        <v>415</v>
      </c>
      <c r="C193" s="2903"/>
      <c r="D193" s="2903"/>
      <c r="E193" s="2903"/>
      <c r="F193" s="6"/>
      <c r="G193" s="65"/>
      <c r="H193" s="800"/>
      <c r="I193" s="741"/>
      <c r="J193" s="742"/>
      <c r="K193" s="766"/>
      <c r="L193" s="741"/>
      <c r="M193" s="742"/>
      <c r="N193" s="766"/>
      <c r="O193" s="741"/>
      <c r="P193" s="767"/>
      <c r="Q193" s="766"/>
      <c r="R193" s="768"/>
      <c r="S193" s="768"/>
      <c r="T193" s="766"/>
      <c r="U193" s="768"/>
      <c r="V193" s="768"/>
      <c r="W193" s="766"/>
      <c r="X193" s="2893"/>
      <c r="Y193" s="2893"/>
      <c r="Z193" s="2893"/>
      <c r="AA193" s="2893"/>
      <c r="AB193" s="2893"/>
      <c r="AC193" s="2893"/>
      <c r="AD193" s="2893"/>
      <c r="AE193" s="2893"/>
      <c r="AF193" s="2893"/>
      <c r="AG193" s="2893"/>
    </row>
    <row r="194" spans="1:33" ht="15.75" customHeight="1">
      <c r="A194" s="237"/>
      <c r="B194" s="6"/>
      <c r="C194" s="110"/>
      <c r="D194" s="110"/>
      <c r="E194" s="110"/>
      <c r="F194" s="6"/>
      <c r="G194" s="121"/>
      <c r="H194" s="121"/>
      <c r="I194" s="6"/>
      <c r="J194" s="121"/>
      <c r="K194" s="121"/>
      <c r="L194" s="6"/>
      <c r="M194" s="121"/>
      <c r="N194" s="121"/>
      <c r="O194" s="6"/>
      <c r="P194" s="1791"/>
      <c r="Q194" s="121"/>
      <c r="R194" s="1772"/>
      <c r="S194" s="1772"/>
      <c r="T194" s="121"/>
      <c r="U194" s="1772"/>
      <c r="V194" s="1772"/>
      <c r="W194" s="121"/>
      <c r="X194" s="2906"/>
      <c r="Y194" s="2906"/>
      <c r="Z194" s="2906"/>
      <c r="AA194" s="2906"/>
      <c r="AB194" s="2906"/>
      <c r="AC194" s="2906"/>
      <c r="AD194" s="2906"/>
      <c r="AE194" s="2906"/>
      <c r="AF194" s="2906"/>
      <c r="AG194" s="2906"/>
    </row>
    <row r="195" spans="1:33" ht="22.5" customHeight="1">
      <c r="A195" s="2907" t="s">
        <v>636</v>
      </c>
      <c r="B195" s="2907"/>
      <c r="C195" s="2907"/>
      <c r="D195" s="2907"/>
      <c r="E195" s="2907"/>
      <c r="F195" s="2907"/>
      <c r="G195" s="2907"/>
      <c r="H195" s="693"/>
      <c r="I195" s="597"/>
      <c r="J195" s="594"/>
      <c r="K195" s="693"/>
      <c r="L195" s="2908"/>
      <c r="M195" s="2908"/>
      <c r="N195" s="669"/>
      <c r="O195" s="594"/>
      <c r="P195" s="670"/>
      <c r="Q195" s="671"/>
      <c r="R195" s="682"/>
      <c r="S195" s="682"/>
      <c r="T195" s="682"/>
      <c r="U195" s="682"/>
      <c r="V195" s="682"/>
      <c r="W195" s="682"/>
      <c r="X195" s="2909"/>
      <c r="Y195" s="2909"/>
      <c r="Z195" s="2909"/>
      <c r="AA195" s="2909"/>
      <c r="AB195" s="2909"/>
      <c r="AC195" s="2909"/>
      <c r="AD195" s="2909"/>
      <c r="AE195" s="2909"/>
      <c r="AF195" s="2909"/>
      <c r="AG195" s="2909"/>
    </row>
    <row r="196" spans="1:33" ht="18.649999999999999" hidden="1" customHeight="1">
      <c r="A196" s="1"/>
      <c r="B196" s="51"/>
      <c r="C196" s="110"/>
      <c r="D196" s="110"/>
      <c r="E196" s="110"/>
      <c r="G196" s="1773"/>
      <c r="H196" s="60"/>
      <c r="I196" s="6"/>
      <c r="J196" s="65"/>
      <c r="K196" s="60"/>
      <c r="L196" s="6"/>
      <c r="M196" s="65"/>
      <c r="N196" s="60"/>
      <c r="P196" s="66"/>
      <c r="Q196" s="1788"/>
      <c r="R196" s="1772"/>
      <c r="S196" s="1772"/>
      <c r="T196" s="1788"/>
      <c r="U196" s="1772"/>
      <c r="V196" s="1772"/>
      <c r="W196" s="1788"/>
      <c r="X196" s="2910"/>
      <c r="Y196" s="2910"/>
      <c r="Z196" s="2910"/>
      <c r="AA196" s="2910"/>
      <c r="AB196" s="2910"/>
      <c r="AC196" s="2910"/>
      <c r="AD196" s="2910"/>
      <c r="AE196" s="2910"/>
      <c r="AF196" s="2910"/>
      <c r="AG196" s="2910"/>
    </row>
    <row r="197" spans="1:33" ht="14.9" customHeight="1">
      <c r="A197" s="252"/>
      <c r="B197" s="2903" t="s">
        <v>242</v>
      </c>
      <c r="C197" s="2903"/>
      <c r="D197" s="2903"/>
      <c r="E197" s="2903"/>
      <c r="F197" s="6"/>
      <c r="G197" s="65"/>
      <c r="H197" s="801"/>
      <c r="I197" s="710"/>
      <c r="J197" s="711"/>
      <c r="K197" s="588"/>
      <c r="L197" s="710"/>
      <c r="M197" s="711"/>
      <c r="N197" s="588"/>
      <c r="O197" s="710"/>
      <c r="P197" s="712"/>
      <c r="Q197" s="588"/>
      <c r="R197" s="762"/>
      <c r="S197" s="762"/>
      <c r="T197" s="588"/>
      <c r="U197" s="762"/>
      <c r="V197" s="762"/>
      <c r="W197" s="588"/>
      <c r="X197" s="2893"/>
      <c r="Y197" s="2893"/>
      <c r="Z197" s="2893"/>
      <c r="AA197" s="2893"/>
      <c r="AB197" s="2893"/>
      <c r="AC197" s="2893"/>
      <c r="AD197" s="2893"/>
      <c r="AE197" s="2893"/>
      <c r="AF197" s="2893"/>
      <c r="AG197" s="2893"/>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911"/>
      <c r="Y198" s="2911"/>
      <c r="Z198" s="2911"/>
      <c r="AA198" s="2911"/>
      <c r="AB198" s="2911"/>
      <c r="AC198" s="2911"/>
      <c r="AD198" s="2911"/>
      <c r="AE198" s="2911"/>
      <c r="AF198" s="2911"/>
      <c r="AG198" s="2911"/>
    </row>
    <row r="199" spans="1:33" ht="18.649999999999999" customHeight="1">
      <c r="A199" s="252"/>
      <c r="B199" s="2903" t="s">
        <v>625</v>
      </c>
      <c r="C199" s="2903"/>
      <c r="D199" s="2903"/>
      <c r="E199" s="2903"/>
      <c r="F199" s="6"/>
      <c r="G199" s="65"/>
      <c r="H199" s="799"/>
      <c r="I199" s="710"/>
      <c r="J199" s="711"/>
      <c r="K199" s="628"/>
      <c r="L199" s="710"/>
      <c r="M199" s="711"/>
      <c r="N199" s="628"/>
      <c r="O199" s="710"/>
      <c r="P199" s="712"/>
      <c r="Q199" s="628"/>
      <c r="R199" s="762"/>
      <c r="S199" s="762"/>
      <c r="T199" s="628"/>
      <c r="U199" s="762"/>
      <c r="V199" s="762"/>
      <c r="W199" s="628"/>
      <c r="X199" s="2893"/>
      <c r="Y199" s="2893"/>
      <c r="Z199" s="2893"/>
      <c r="AA199" s="2893"/>
      <c r="AB199" s="2893"/>
      <c r="AC199" s="2893"/>
      <c r="AD199" s="2893"/>
      <c r="AE199" s="2893"/>
      <c r="AF199" s="2893"/>
      <c r="AG199" s="2893"/>
    </row>
    <row r="200" spans="1:33" ht="18.649999999999999" customHeight="1">
      <c r="A200" s="252"/>
      <c r="B200" s="2903" t="s">
        <v>626</v>
      </c>
      <c r="C200" s="2903"/>
      <c r="D200" s="2903"/>
      <c r="E200" s="2903"/>
      <c r="F200" s="6"/>
      <c r="G200" s="65"/>
      <c r="H200" s="480"/>
      <c r="I200" s="710"/>
      <c r="J200" s="711"/>
      <c r="K200" s="526"/>
      <c r="L200" s="710"/>
      <c r="M200" s="711"/>
      <c r="N200" s="526"/>
      <c r="O200" s="710"/>
      <c r="P200" s="712"/>
      <c r="Q200" s="526"/>
      <c r="R200" s="762"/>
      <c r="S200" s="762"/>
      <c r="T200" s="526"/>
      <c r="U200" s="762"/>
      <c r="V200" s="762"/>
      <c r="W200" s="526"/>
      <c r="X200" s="2893"/>
      <c r="Y200" s="2893"/>
      <c r="Z200" s="2893"/>
      <c r="AA200" s="2893"/>
      <c r="AB200" s="2893"/>
      <c r="AC200" s="2893"/>
      <c r="AD200" s="2893"/>
      <c r="AE200" s="2893"/>
      <c r="AF200" s="2893"/>
      <c r="AG200" s="2893"/>
    </row>
    <row r="201" spans="1:33" ht="28.5" customHeight="1">
      <c r="A201" s="252"/>
      <c r="B201" s="2903" t="s">
        <v>627</v>
      </c>
      <c r="C201" s="2903"/>
      <c r="D201" s="2903"/>
      <c r="E201" s="2903"/>
      <c r="F201" s="6"/>
      <c r="G201" s="65"/>
      <c r="H201" s="794"/>
      <c r="I201" s="710"/>
      <c r="J201" s="711"/>
      <c r="K201" s="561"/>
      <c r="L201" s="710"/>
      <c r="M201" s="711"/>
      <c r="N201" s="561"/>
      <c r="O201" s="710"/>
      <c r="P201" s="712"/>
      <c r="Q201" s="561"/>
      <c r="R201" s="762"/>
      <c r="S201" s="762"/>
      <c r="T201" s="561"/>
      <c r="U201" s="762"/>
      <c r="V201" s="762"/>
      <c r="W201" s="561"/>
      <c r="X201" s="2893"/>
      <c r="Y201" s="2893"/>
      <c r="Z201" s="2893"/>
      <c r="AA201" s="2893"/>
      <c r="AB201" s="2893"/>
      <c r="AC201" s="2893"/>
      <c r="AD201" s="2893"/>
      <c r="AE201" s="2893"/>
      <c r="AF201" s="2893"/>
      <c r="AG201" s="2893"/>
    </row>
    <row r="202" spans="1:33" ht="28.5" customHeight="1">
      <c r="A202" s="252"/>
      <c r="B202" s="2904" t="s">
        <v>628</v>
      </c>
      <c r="C202" s="2904"/>
      <c r="D202" s="2904"/>
      <c r="E202" s="2904"/>
      <c r="F202" s="6"/>
      <c r="G202" s="65"/>
      <c r="H202" s="480"/>
      <c r="I202" s="710"/>
      <c r="J202" s="711"/>
      <c r="K202" s="526"/>
      <c r="L202" s="710"/>
      <c r="M202" s="711"/>
      <c r="N202" s="526"/>
      <c r="O202" s="710"/>
      <c r="P202" s="712"/>
      <c r="Q202" s="526"/>
      <c r="R202" s="762"/>
      <c r="S202" s="762"/>
      <c r="T202" s="526"/>
      <c r="U202" s="762"/>
      <c r="V202" s="762"/>
      <c r="W202" s="526"/>
      <c r="X202" s="2893"/>
      <c r="Y202" s="2893"/>
      <c r="Z202" s="2893"/>
      <c r="AA202" s="2893"/>
      <c r="AB202" s="2893"/>
      <c r="AC202" s="2893"/>
      <c r="AD202" s="2893"/>
      <c r="AE202" s="2893"/>
      <c r="AF202" s="2893"/>
      <c r="AG202" s="2893"/>
    </row>
    <row r="203" spans="1:33" ht="32.9" customHeight="1">
      <c r="A203" s="252"/>
      <c r="B203" s="2904" t="s">
        <v>629</v>
      </c>
      <c r="C203" s="2904"/>
      <c r="D203" s="2904"/>
      <c r="E203" s="2904"/>
      <c r="F203" s="6"/>
      <c r="G203" s="65"/>
      <c r="H203" s="795"/>
      <c r="I203" s="710"/>
      <c r="J203" s="711"/>
      <c r="K203" s="568"/>
      <c r="L203" s="710"/>
      <c r="M203" s="711"/>
      <c r="N203" s="568"/>
      <c r="O203" s="710"/>
      <c r="P203" s="712"/>
      <c r="Q203" s="568"/>
      <c r="R203" s="762"/>
      <c r="S203" s="762"/>
      <c r="T203" s="568"/>
      <c r="U203" s="762"/>
      <c r="V203" s="762"/>
      <c r="W203" s="568"/>
      <c r="X203" s="2893"/>
      <c r="Y203" s="2893"/>
      <c r="Z203" s="2893"/>
      <c r="AA203" s="2893"/>
      <c r="AB203" s="2893"/>
      <c r="AC203" s="2893"/>
      <c r="AD203" s="2893"/>
      <c r="AE203" s="2893"/>
      <c r="AF203" s="2893"/>
      <c r="AG203" s="2893"/>
    </row>
    <row r="204" spans="1:33" ht="18.649999999999999" customHeight="1">
      <c r="A204" s="252"/>
      <c r="B204" s="2903" t="s">
        <v>630</v>
      </c>
      <c r="C204" s="2903"/>
      <c r="D204" s="2903"/>
      <c r="E204" s="2903"/>
      <c r="F204" s="6"/>
      <c r="G204" s="65"/>
      <c r="H204" s="480"/>
      <c r="I204" s="710"/>
      <c r="J204" s="711"/>
      <c r="K204" s="526"/>
      <c r="L204" s="710"/>
      <c r="M204" s="711"/>
      <c r="N204" s="526"/>
      <c r="O204" s="710"/>
      <c r="P204" s="712"/>
      <c r="Q204" s="526"/>
      <c r="R204" s="762"/>
      <c r="S204" s="762"/>
      <c r="T204" s="526"/>
      <c r="U204" s="762"/>
      <c r="V204" s="762"/>
      <c r="W204" s="526"/>
      <c r="X204" s="2893"/>
      <c r="Y204" s="2893"/>
      <c r="Z204" s="2893"/>
      <c r="AA204" s="2893"/>
      <c r="AB204" s="2893"/>
      <c r="AC204" s="2893"/>
      <c r="AD204" s="2893"/>
      <c r="AE204" s="2893"/>
      <c r="AF204" s="2893"/>
      <c r="AG204" s="2893"/>
    </row>
    <row r="205" spans="1:33" ht="18.649999999999999" customHeight="1">
      <c r="A205" s="252"/>
      <c r="B205" s="2904" t="s">
        <v>634</v>
      </c>
      <c r="C205" s="2904"/>
      <c r="D205" s="2904"/>
      <c r="E205" s="2904"/>
      <c r="F205" s="6"/>
      <c r="G205" s="65"/>
      <c r="H205" s="481"/>
      <c r="I205" s="710"/>
      <c r="J205" s="711"/>
      <c r="K205" s="553"/>
      <c r="L205" s="710"/>
      <c r="M205" s="711"/>
      <c r="N205" s="553"/>
      <c r="O205" s="710"/>
      <c r="P205" s="712"/>
      <c r="Q205" s="553"/>
      <c r="R205" s="762"/>
      <c r="S205" s="762"/>
      <c r="T205" s="553"/>
      <c r="U205" s="762"/>
      <c r="V205" s="762"/>
      <c r="W205" s="553"/>
      <c r="X205" s="2893"/>
      <c r="Y205" s="2893"/>
      <c r="Z205" s="2893"/>
      <c r="AA205" s="2893"/>
      <c r="AB205" s="2893"/>
      <c r="AC205" s="2893"/>
      <c r="AD205" s="2893"/>
      <c r="AE205" s="2893"/>
      <c r="AF205" s="2893"/>
      <c r="AG205" s="2893"/>
    </row>
    <row r="206" spans="1:33" ht="36.75" customHeight="1">
      <c r="A206" s="252"/>
      <c r="B206" s="2903" t="s">
        <v>1551</v>
      </c>
      <c r="C206" s="2903"/>
      <c r="D206" s="2903"/>
      <c r="E206" s="2903"/>
      <c r="F206" s="6"/>
      <c r="G206" s="65"/>
      <c r="H206" s="796"/>
      <c r="I206" s="710"/>
      <c r="J206" s="711"/>
      <c r="K206" s="619"/>
      <c r="L206" s="710"/>
      <c r="M206" s="711"/>
      <c r="N206" s="619"/>
      <c r="O206" s="710"/>
      <c r="P206" s="712"/>
      <c r="Q206" s="619"/>
      <c r="R206" s="762"/>
      <c r="S206" s="762"/>
      <c r="T206" s="619"/>
      <c r="U206" s="762"/>
      <c r="V206" s="762"/>
      <c r="W206" s="619"/>
      <c r="X206" s="2893"/>
      <c r="Y206" s="2893"/>
      <c r="Z206" s="2893"/>
      <c r="AA206" s="2893"/>
      <c r="AB206" s="2893"/>
      <c r="AC206" s="2893"/>
      <c r="AD206" s="2893"/>
      <c r="AE206" s="2893"/>
      <c r="AF206" s="2893"/>
      <c r="AG206" s="2893"/>
    </row>
    <row r="207" spans="1:33" ht="36.75" customHeight="1">
      <c r="A207" s="252"/>
      <c r="B207" s="2903" t="s">
        <v>1552</v>
      </c>
      <c r="C207" s="2903"/>
      <c r="D207" s="2903"/>
      <c r="E207" s="2903"/>
      <c r="F207" s="6"/>
      <c r="G207" s="65"/>
      <c r="H207" s="796"/>
      <c r="I207" s="710"/>
      <c r="J207" s="711"/>
      <c r="K207" s="619"/>
      <c r="L207" s="710"/>
      <c r="M207" s="711"/>
      <c r="N207" s="619"/>
      <c r="O207" s="710"/>
      <c r="P207" s="712"/>
      <c r="Q207" s="619"/>
      <c r="R207" s="762"/>
      <c r="S207" s="762"/>
      <c r="T207" s="619"/>
      <c r="U207" s="762"/>
      <c r="V207" s="762"/>
      <c r="W207" s="619"/>
      <c r="X207" s="2893"/>
      <c r="Y207" s="2893"/>
      <c r="Z207" s="2893"/>
      <c r="AA207" s="2893"/>
      <c r="AB207" s="2893"/>
      <c r="AC207" s="2893"/>
      <c r="AD207" s="2893"/>
      <c r="AE207" s="2893"/>
      <c r="AF207" s="2893"/>
      <c r="AG207" s="2893"/>
    </row>
    <row r="208" spans="1:33" ht="32.9" customHeight="1">
      <c r="A208" s="252"/>
      <c r="B208" s="2903" t="s">
        <v>331</v>
      </c>
      <c r="C208" s="2903"/>
      <c r="D208" s="2903"/>
      <c r="E208" s="2903"/>
      <c r="F208" s="6"/>
      <c r="G208" s="65"/>
      <c r="H208" s="480"/>
      <c r="I208" s="710"/>
      <c r="J208" s="711"/>
      <c r="K208" s="526"/>
      <c r="L208" s="710"/>
      <c r="M208" s="711"/>
      <c r="N208" s="526"/>
      <c r="O208" s="710"/>
      <c r="P208" s="712"/>
      <c r="Q208" s="526"/>
      <c r="R208" s="762"/>
      <c r="S208" s="762"/>
      <c r="T208" s="526"/>
      <c r="U208" s="762"/>
      <c r="V208" s="762"/>
      <c r="W208" s="526"/>
      <c r="X208" s="2893"/>
      <c r="Y208" s="2893"/>
      <c r="Z208" s="2893"/>
      <c r="AA208" s="2893"/>
      <c r="AB208" s="2893"/>
      <c r="AC208" s="2893"/>
      <c r="AD208" s="2893"/>
      <c r="AE208" s="2893"/>
      <c r="AF208" s="2893"/>
      <c r="AG208" s="2893"/>
    </row>
    <row r="209" spans="1:33" ht="14.9" customHeight="1">
      <c r="A209" s="252"/>
      <c r="B209" s="2904" t="s">
        <v>332</v>
      </c>
      <c r="C209" s="2904"/>
      <c r="D209" s="2904"/>
      <c r="E209" s="2904"/>
      <c r="F209" s="6"/>
      <c r="G209" s="63"/>
      <c r="H209" s="480"/>
      <c r="I209" s="710"/>
      <c r="J209" s="582"/>
      <c r="K209" s="526"/>
      <c r="L209" s="710"/>
      <c r="M209" s="582"/>
      <c r="N209" s="526"/>
      <c r="O209" s="710"/>
      <c r="P209" s="582"/>
      <c r="Q209" s="526"/>
      <c r="R209" s="762"/>
      <c r="S209" s="762"/>
      <c r="T209" s="526"/>
      <c r="U209" s="762"/>
      <c r="V209" s="762"/>
      <c r="W209" s="526"/>
      <c r="X209" s="2893"/>
      <c r="Y209" s="2893"/>
      <c r="Z209" s="2893"/>
      <c r="AA209" s="2893"/>
      <c r="AB209" s="2893"/>
      <c r="AC209" s="2893"/>
      <c r="AD209" s="2893"/>
      <c r="AE209" s="2893"/>
      <c r="AF209" s="2893"/>
      <c r="AG209" s="2893"/>
    </row>
    <row r="210" spans="1:33" ht="18.649999999999999" customHeight="1">
      <c r="A210" s="252"/>
      <c r="B210" s="2903" t="s">
        <v>333</v>
      </c>
      <c r="C210" s="2903"/>
      <c r="D210" s="2903"/>
      <c r="E210" s="2903"/>
      <c r="F210" s="6"/>
      <c r="G210" s="65"/>
      <c r="H210" s="480"/>
      <c r="I210" s="710"/>
      <c r="J210" s="711"/>
      <c r="K210" s="526"/>
      <c r="L210" s="710"/>
      <c r="M210" s="711"/>
      <c r="N210" s="526"/>
      <c r="O210" s="710"/>
      <c r="P210" s="712"/>
      <c r="Q210" s="526"/>
      <c r="R210" s="762"/>
      <c r="S210" s="762"/>
      <c r="T210" s="526"/>
      <c r="U210" s="762"/>
      <c r="V210" s="762"/>
      <c r="W210" s="526"/>
      <c r="X210" s="2893"/>
      <c r="Y210" s="2893"/>
      <c r="Z210" s="2893"/>
      <c r="AA210" s="2893"/>
      <c r="AB210" s="2893"/>
      <c r="AC210" s="2893"/>
      <c r="AD210" s="2893"/>
      <c r="AE210" s="2893"/>
      <c r="AF210" s="2893"/>
      <c r="AG210" s="2893"/>
    </row>
    <row r="211" spans="1:33" ht="14.9" customHeight="1">
      <c r="A211" s="252"/>
      <c r="B211" s="2903" t="s">
        <v>334</v>
      </c>
      <c r="C211" s="2903"/>
      <c r="D211" s="2903"/>
      <c r="E211" s="2903"/>
      <c r="F211" s="6"/>
      <c r="G211" s="63"/>
      <c r="H211" s="480"/>
      <c r="I211" s="710"/>
      <c r="J211" s="582"/>
      <c r="K211" s="526"/>
      <c r="L211" s="710"/>
      <c r="M211" s="582"/>
      <c r="N211" s="526"/>
      <c r="O211" s="710"/>
      <c r="P211" s="582"/>
      <c r="Q211" s="526"/>
      <c r="R211" s="762"/>
      <c r="S211" s="762"/>
      <c r="T211" s="526"/>
      <c r="U211" s="762"/>
      <c r="V211" s="762"/>
      <c r="W211" s="526"/>
      <c r="X211" s="2893"/>
      <c r="Y211" s="2893"/>
      <c r="Z211" s="2893"/>
      <c r="AA211" s="2893"/>
      <c r="AB211" s="2893"/>
      <c r="AC211" s="2893"/>
      <c r="AD211" s="2893"/>
      <c r="AE211" s="2893"/>
      <c r="AF211" s="2893"/>
      <c r="AG211" s="2893"/>
    </row>
    <row r="212" spans="1:33" ht="14.9" customHeight="1">
      <c r="A212" s="252"/>
      <c r="B212" s="2904" t="s">
        <v>335</v>
      </c>
      <c r="C212" s="2904"/>
      <c r="D212" s="2904"/>
      <c r="E212" s="2904"/>
      <c r="H212" s="480"/>
      <c r="I212" s="713"/>
      <c r="J212" s="713"/>
      <c r="K212" s="526"/>
      <c r="L212" s="713"/>
      <c r="M212" s="713"/>
      <c r="N212" s="526"/>
      <c r="O212" s="713"/>
      <c r="P212" s="713"/>
      <c r="Q212" s="526"/>
      <c r="R212" s="762"/>
      <c r="S212" s="762"/>
      <c r="T212" s="526"/>
      <c r="U212" s="762"/>
      <c r="V212" s="762"/>
      <c r="W212" s="526"/>
      <c r="X212" s="2893"/>
      <c r="Y212" s="2893"/>
      <c r="Z212" s="2893"/>
      <c r="AA212" s="2893"/>
      <c r="AB212" s="2893"/>
      <c r="AC212" s="2893"/>
      <c r="AD212" s="2893"/>
      <c r="AE212" s="2893"/>
      <c r="AF212" s="2893"/>
      <c r="AG212" s="2893"/>
    </row>
    <row r="213" spans="1:33" ht="14.9" customHeight="1">
      <c r="A213" s="252"/>
      <c r="B213" s="2903" t="s">
        <v>336</v>
      </c>
      <c r="C213" s="2903"/>
      <c r="D213" s="2903"/>
      <c r="E213" s="2903"/>
      <c r="F213" s="6"/>
      <c r="G213" s="63"/>
      <c r="H213" s="480"/>
      <c r="I213" s="710"/>
      <c r="J213" s="582"/>
      <c r="K213" s="526"/>
      <c r="L213" s="710"/>
      <c r="M213" s="582"/>
      <c r="N213" s="526"/>
      <c r="O213" s="710"/>
      <c r="P213" s="582"/>
      <c r="Q213" s="526"/>
      <c r="R213" s="762"/>
      <c r="S213" s="762"/>
      <c r="T213" s="526"/>
      <c r="U213" s="762"/>
      <c r="V213" s="762"/>
      <c r="W213" s="526"/>
      <c r="X213" s="2893"/>
      <c r="Y213" s="2893"/>
      <c r="Z213" s="2893"/>
      <c r="AA213" s="2893"/>
      <c r="AB213" s="2893"/>
      <c r="AC213" s="2893"/>
      <c r="AD213" s="2893"/>
      <c r="AE213" s="2893"/>
      <c r="AF213" s="2893"/>
      <c r="AG213" s="2893"/>
    </row>
    <row r="214" spans="1:33" ht="32.9" customHeight="1">
      <c r="A214" s="252"/>
      <c r="B214" s="2903" t="s">
        <v>337</v>
      </c>
      <c r="C214" s="2903"/>
      <c r="D214" s="2903"/>
      <c r="E214" s="2903"/>
      <c r="F214" s="6"/>
      <c r="G214" s="63"/>
      <c r="H214" s="480"/>
      <c r="I214" s="710"/>
      <c r="J214" s="582"/>
      <c r="K214" s="526"/>
      <c r="L214" s="710"/>
      <c r="M214" s="582"/>
      <c r="N214" s="526"/>
      <c r="O214" s="710"/>
      <c r="P214" s="582"/>
      <c r="Q214" s="526"/>
      <c r="R214" s="762"/>
      <c r="S214" s="762"/>
      <c r="T214" s="526"/>
      <c r="U214" s="762"/>
      <c r="V214" s="762"/>
      <c r="W214" s="526"/>
      <c r="X214" s="2893"/>
      <c r="Y214" s="2893"/>
      <c r="Z214" s="2893"/>
      <c r="AA214" s="2893"/>
      <c r="AB214" s="2893"/>
      <c r="AC214" s="2893"/>
      <c r="AD214" s="2893"/>
      <c r="AE214" s="2893"/>
      <c r="AF214" s="2893"/>
      <c r="AG214" s="2893"/>
    </row>
    <row r="215" spans="1:33" ht="32.9" customHeight="1">
      <c r="A215" s="252"/>
      <c r="B215" s="2903" t="s">
        <v>338</v>
      </c>
      <c r="C215" s="2903"/>
      <c r="D215" s="2903"/>
      <c r="E215" s="2903"/>
      <c r="F215" s="6"/>
      <c r="G215" s="63"/>
      <c r="H215" s="480"/>
      <c r="I215" s="710"/>
      <c r="J215" s="582"/>
      <c r="K215" s="526"/>
      <c r="L215" s="710"/>
      <c r="M215" s="582"/>
      <c r="N215" s="526"/>
      <c r="O215" s="710"/>
      <c r="P215" s="582"/>
      <c r="Q215" s="526"/>
      <c r="R215" s="762"/>
      <c r="S215" s="762"/>
      <c r="T215" s="526"/>
      <c r="U215" s="762"/>
      <c r="V215" s="762"/>
      <c r="W215" s="526"/>
      <c r="X215" s="2893"/>
      <c r="Y215" s="2893"/>
      <c r="Z215" s="2893"/>
      <c r="AA215" s="2893"/>
      <c r="AB215" s="2893"/>
      <c r="AC215" s="2893"/>
      <c r="AD215" s="2893"/>
      <c r="AE215" s="2893"/>
      <c r="AF215" s="2893"/>
      <c r="AG215" s="2893"/>
    </row>
    <row r="216" spans="1:33" ht="14.9" customHeight="1">
      <c r="A216" s="252"/>
      <c r="B216" s="2903" t="s">
        <v>735</v>
      </c>
      <c r="C216" s="2903"/>
      <c r="D216" s="2903"/>
      <c r="E216" s="2903"/>
      <c r="F216" s="6"/>
      <c r="G216" s="63"/>
      <c r="H216" s="480"/>
      <c r="I216" s="710"/>
      <c r="J216" s="582"/>
      <c r="K216" s="526"/>
      <c r="L216" s="710"/>
      <c r="M216" s="582"/>
      <c r="N216" s="526"/>
      <c r="O216" s="710"/>
      <c r="P216" s="582"/>
      <c r="Q216" s="526"/>
      <c r="R216" s="762"/>
      <c r="S216" s="762"/>
      <c r="T216" s="526"/>
      <c r="U216" s="762"/>
      <c r="V216" s="762"/>
      <c r="W216" s="526"/>
      <c r="X216" s="2893"/>
      <c r="Y216" s="2893"/>
      <c r="Z216" s="2893"/>
      <c r="AA216" s="2893"/>
      <c r="AB216" s="2893"/>
      <c r="AC216" s="2893"/>
      <c r="AD216" s="2893"/>
      <c r="AE216" s="2893"/>
      <c r="AF216" s="2893"/>
      <c r="AG216" s="2893"/>
    </row>
    <row r="217" spans="1:33" ht="15" customHeight="1">
      <c r="A217" s="252"/>
      <c r="B217" s="2903" t="s">
        <v>734</v>
      </c>
      <c r="C217" s="2903"/>
      <c r="D217" s="2903"/>
      <c r="E217" s="2903"/>
      <c r="F217" s="6"/>
      <c r="G217" s="63"/>
      <c r="H217" s="797"/>
      <c r="I217" s="710"/>
      <c r="J217" s="582"/>
      <c r="K217" s="562"/>
      <c r="L217" s="710"/>
      <c r="M217" s="582"/>
      <c r="N217" s="562"/>
      <c r="O217" s="710"/>
      <c r="P217" s="582"/>
      <c r="Q217" s="562"/>
      <c r="R217" s="762"/>
      <c r="S217" s="762"/>
      <c r="T217" s="562"/>
      <c r="U217" s="762"/>
      <c r="V217" s="762"/>
      <c r="W217" s="562"/>
      <c r="X217" s="2893"/>
      <c r="Y217" s="2893"/>
      <c r="Z217" s="2893"/>
      <c r="AA217" s="2893"/>
      <c r="AB217" s="2893"/>
      <c r="AC217" s="2893"/>
      <c r="AD217" s="2893"/>
      <c r="AE217" s="2893"/>
      <c r="AF217" s="2893"/>
      <c r="AG217" s="2893"/>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911"/>
      <c r="Y218" s="2911"/>
      <c r="Z218" s="2911"/>
      <c r="AA218" s="2911"/>
      <c r="AB218" s="2911"/>
      <c r="AC218" s="2911"/>
      <c r="AD218" s="2911"/>
      <c r="AE218" s="2911"/>
      <c r="AF218" s="2911"/>
      <c r="AG218" s="2911"/>
    </row>
    <row r="219" spans="1:33" ht="14.9" customHeight="1">
      <c r="A219" s="252"/>
      <c r="B219" s="2903" t="s">
        <v>625</v>
      </c>
      <c r="C219" s="2903"/>
      <c r="D219" s="2903"/>
      <c r="E219" s="2903"/>
      <c r="F219" s="6"/>
      <c r="G219" s="65"/>
      <c r="H219" s="799"/>
      <c r="I219" s="710"/>
      <c r="J219" s="711"/>
      <c r="K219" s="628"/>
      <c r="L219" s="710"/>
      <c r="M219" s="711"/>
      <c r="N219" s="628"/>
      <c r="O219" s="710"/>
      <c r="P219" s="712"/>
      <c r="Q219" s="628"/>
      <c r="R219" s="762"/>
      <c r="S219" s="762"/>
      <c r="T219" s="628"/>
      <c r="U219" s="762"/>
      <c r="V219" s="762"/>
      <c r="W219" s="628"/>
      <c r="X219" s="2893"/>
      <c r="Y219" s="2893"/>
      <c r="Z219" s="2893"/>
      <c r="AA219" s="2893"/>
      <c r="AB219" s="2893"/>
      <c r="AC219" s="2893"/>
      <c r="AD219" s="2893"/>
      <c r="AE219" s="2893"/>
      <c r="AF219" s="2893"/>
      <c r="AG219" s="2893"/>
    </row>
    <row r="220" spans="1:33" ht="14.9" customHeight="1">
      <c r="A220" s="252"/>
      <c r="B220" s="2903" t="s">
        <v>626</v>
      </c>
      <c r="C220" s="2903"/>
      <c r="D220" s="2903"/>
      <c r="E220" s="2903"/>
      <c r="F220" s="6"/>
      <c r="G220" s="63"/>
      <c r="H220" s="480"/>
      <c r="I220" s="710"/>
      <c r="J220" s="582"/>
      <c r="K220" s="526"/>
      <c r="L220" s="710"/>
      <c r="M220" s="582"/>
      <c r="N220" s="526"/>
      <c r="O220" s="710"/>
      <c r="P220" s="582"/>
      <c r="Q220" s="526"/>
      <c r="R220" s="762"/>
      <c r="S220" s="762"/>
      <c r="T220" s="526"/>
      <c r="U220" s="762"/>
      <c r="V220" s="762"/>
      <c r="W220" s="526"/>
      <c r="X220" s="2893"/>
      <c r="Y220" s="2893"/>
      <c r="Z220" s="2893"/>
      <c r="AA220" s="2893"/>
      <c r="AB220" s="2893"/>
      <c r="AC220" s="2893"/>
      <c r="AD220" s="2893"/>
      <c r="AE220" s="2893"/>
      <c r="AF220" s="2893"/>
      <c r="AG220" s="2893"/>
    </row>
    <row r="221" spans="1:33" ht="14.9" customHeight="1">
      <c r="A221" s="252"/>
      <c r="B221" s="2903" t="s">
        <v>627</v>
      </c>
      <c r="C221" s="2903"/>
      <c r="D221" s="2903"/>
      <c r="E221" s="2903"/>
      <c r="F221" s="6"/>
      <c r="G221" s="63"/>
      <c r="H221" s="794"/>
      <c r="I221" s="710"/>
      <c r="J221" s="582"/>
      <c r="K221" s="561"/>
      <c r="L221" s="710"/>
      <c r="M221" s="582"/>
      <c r="N221" s="561"/>
      <c r="O221" s="710"/>
      <c r="P221" s="582"/>
      <c r="Q221" s="561"/>
      <c r="R221" s="762"/>
      <c r="S221" s="762"/>
      <c r="T221" s="561"/>
      <c r="U221" s="762"/>
      <c r="V221" s="762"/>
      <c r="W221" s="561"/>
      <c r="X221" s="2893"/>
      <c r="Y221" s="2893"/>
      <c r="Z221" s="2893"/>
      <c r="AA221" s="2893"/>
      <c r="AB221" s="2893"/>
      <c r="AC221" s="2893"/>
      <c r="AD221" s="2893"/>
      <c r="AE221" s="2893"/>
      <c r="AF221" s="2893"/>
      <c r="AG221" s="2893"/>
    </row>
    <row r="222" spans="1:33" ht="14.9" customHeight="1">
      <c r="A222" s="252"/>
      <c r="B222" s="2904" t="s">
        <v>628</v>
      </c>
      <c r="C222" s="2904"/>
      <c r="D222" s="2904"/>
      <c r="E222" s="2904"/>
      <c r="F222" s="6"/>
      <c r="G222" s="63"/>
      <c r="H222" s="480"/>
      <c r="I222" s="710"/>
      <c r="J222" s="582"/>
      <c r="K222" s="526"/>
      <c r="L222" s="710"/>
      <c r="M222" s="582"/>
      <c r="N222" s="526"/>
      <c r="O222" s="710"/>
      <c r="P222" s="582"/>
      <c r="Q222" s="526"/>
      <c r="R222" s="762"/>
      <c r="S222" s="762"/>
      <c r="T222" s="526"/>
      <c r="U222" s="762"/>
      <c r="V222" s="762"/>
      <c r="W222" s="526"/>
      <c r="X222" s="2893"/>
      <c r="Y222" s="2893"/>
      <c r="Z222" s="2893"/>
      <c r="AA222" s="2893"/>
      <c r="AB222" s="2893"/>
      <c r="AC222" s="2893"/>
      <c r="AD222" s="2893"/>
      <c r="AE222" s="2893"/>
      <c r="AF222" s="2893"/>
      <c r="AG222" s="2893"/>
    </row>
    <row r="223" spans="1:33" ht="32.9" customHeight="1">
      <c r="A223" s="252"/>
      <c r="B223" s="2904" t="s">
        <v>629</v>
      </c>
      <c r="C223" s="2904"/>
      <c r="D223" s="2904"/>
      <c r="E223" s="2904"/>
      <c r="F223" s="6"/>
      <c r="G223" s="65"/>
      <c r="H223" s="795"/>
      <c r="I223" s="710"/>
      <c r="J223" s="711"/>
      <c r="K223" s="568"/>
      <c r="L223" s="710"/>
      <c r="M223" s="711"/>
      <c r="N223" s="568"/>
      <c r="O223" s="710"/>
      <c r="P223" s="712"/>
      <c r="Q223" s="568"/>
      <c r="R223" s="762"/>
      <c r="S223" s="762"/>
      <c r="T223" s="568"/>
      <c r="U223" s="762"/>
      <c r="V223" s="762"/>
      <c r="W223" s="568"/>
      <c r="X223" s="2893"/>
      <c r="Y223" s="2893"/>
      <c r="Z223" s="2893"/>
      <c r="AA223" s="2893"/>
      <c r="AB223" s="2893"/>
      <c r="AC223" s="2893"/>
      <c r="AD223" s="2893"/>
      <c r="AE223" s="2893"/>
      <c r="AF223" s="2893"/>
      <c r="AG223" s="2893"/>
    </row>
    <row r="224" spans="1:33" ht="14.9" customHeight="1">
      <c r="A224" s="252"/>
      <c r="B224" s="2903" t="s">
        <v>630</v>
      </c>
      <c r="C224" s="2903"/>
      <c r="D224" s="2903"/>
      <c r="E224" s="2903"/>
      <c r="F224" s="6"/>
      <c r="G224" s="65"/>
      <c r="H224" s="480"/>
      <c r="I224" s="710"/>
      <c r="J224" s="711"/>
      <c r="K224" s="526"/>
      <c r="L224" s="710"/>
      <c r="M224" s="711"/>
      <c r="N224" s="526"/>
      <c r="O224" s="710"/>
      <c r="P224" s="712"/>
      <c r="Q224" s="526"/>
      <c r="R224" s="762"/>
      <c r="S224" s="762"/>
      <c r="T224" s="526"/>
      <c r="U224" s="762"/>
      <c r="V224" s="762"/>
      <c r="W224" s="526"/>
      <c r="X224" s="2893"/>
      <c r="Y224" s="2893"/>
      <c r="Z224" s="2893"/>
      <c r="AA224" s="2893"/>
      <c r="AB224" s="2893"/>
      <c r="AC224" s="2893"/>
      <c r="AD224" s="2893"/>
      <c r="AE224" s="2893"/>
      <c r="AF224" s="2893"/>
      <c r="AG224" s="2893"/>
    </row>
    <row r="225" spans="1:33" ht="14.9" customHeight="1">
      <c r="A225" s="252"/>
      <c r="B225" s="2904" t="s">
        <v>634</v>
      </c>
      <c r="C225" s="2904"/>
      <c r="D225" s="2904"/>
      <c r="E225" s="2904"/>
      <c r="F225" s="6"/>
      <c r="G225" s="65"/>
      <c r="H225" s="481"/>
      <c r="I225" s="710"/>
      <c r="J225" s="711"/>
      <c r="K225" s="553"/>
      <c r="L225" s="710"/>
      <c r="M225" s="711"/>
      <c r="N225" s="553"/>
      <c r="O225" s="710"/>
      <c r="P225" s="712"/>
      <c r="Q225" s="553"/>
      <c r="R225" s="762"/>
      <c r="S225" s="762"/>
      <c r="T225" s="553"/>
      <c r="U225" s="762"/>
      <c r="V225" s="762"/>
      <c r="W225" s="553"/>
      <c r="X225" s="2893"/>
      <c r="Y225" s="2893"/>
      <c r="Z225" s="2893"/>
      <c r="AA225" s="2893"/>
      <c r="AB225" s="2893"/>
      <c r="AC225" s="2893"/>
      <c r="AD225" s="2893"/>
      <c r="AE225" s="2893"/>
      <c r="AF225" s="2893"/>
      <c r="AG225" s="2893"/>
    </row>
    <row r="226" spans="1:33" ht="30.75" customHeight="1">
      <c r="A226" s="252"/>
      <c r="B226" s="2903" t="s">
        <v>1551</v>
      </c>
      <c r="C226" s="2903"/>
      <c r="D226" s="2903"/>
      <c r="E226" s="2903"/>
      <c r="F226" s="6"/>
      <c r="G226" s="65"/>
      <c r="H226" s="796"/>
      <c r="I226" s="710"/>
      <c r="J226" s="711"/>
      <c r="K226" s="619"/>
      <c r="L226" s="710"/>
      <c r="M226" s="711"/>
      <c r="N226" s="619"/>
      <c r="O226" s="710"/>
      <c r="P226" s="712"/>
      <c r="Q226" s="619"/>
      <c r="R226" s="762"/>
      <c r="S226" s="762"/>
      <c r="T226" s="619"/>
      <c r="U226" s="762"/>
      <c r="V226" s="762"/>
      <c r="W226" s="619"/>
      <c r="X226" s="2893"/>
      <c r="Y226" s="2893"/>
      <c r="Z226" s="2893"/>
      <c r="AA226" s="2893"/>
      <c r="AB226" s="2893"/>
      <c r="AC226" s="2893"/>
      <c r="AD226" s="2893"/>
      <c r="AE226" s="2893"/>
      <c r="AF226" s="2893"/>
      <c r="AG226" s="2893"/>
    </row>
    <row r="227" spans="1:33" ht="30.75" customHeight="1">
      <c r="A227" s="252"/>
      <c r="B227" s="2903" t="s">
        <v>1552</v>
      </c>
      <c r="C227" s="2903"/>
      <c r="D227" s="2903"/>
      <c r="E227" s="2903"/>
      <c r="F227" s="6"/>
      <c r="G227" s="65"/>
      <c r="H227" s="796"/>
      <c r="I227" s="710"/>
      <c r="J227" s="711"/>
      <c r="K227" s="619"/>
      <c r="L227" s="710"/>
      <c r="M227" s="711"/>
      <c r="N227" s="619"/>
      <c r="O227" s="710"/>
      <c r="P227" s="712"/>
      <c r="Q227" s="619"/>
      <c r="R227" s="762"/>
      <c r="S227" s="762"/>
      <c r="T227" s="619"/>
      <c r="U227" s="762"/>
      <c r="V227" s="762"/>
      <c r="W227" s="619"/>
      <c r="X227" s="2893"/>
      <c r="Y227" s="2893"/>
      <c r="Z227" s="2893"/>
      <c r="AA227" s="2893"/>
      <c r="AB227" s="2893"/>
      <c r="AC227" s="2893"/>
      <c r="AD227" s="2893"/>
      <c r="AE227" s="2893"/>
      <c r="AF227" s="2893"/>
      <c r="AG227" s="2893"/>
    </row>
    <row r="228" spans="1:33" ht="32.9" customHeight="1">
      <c r="A228" s="252"/>
      <c r="B228" s="2903" t="s">
        <v>331</v>
      </c>
      <c r="C228" s="2903"/>
      <c r="D228" s="2903"/>
      <c r="E228" s="2903"/>
      <c r="F228" s="6"/>
      <c r="G228" s="65"/>
      <c r="H228" s="480"/>
      <c r="I228" s="710"/>
      <c r="J228" s="711"/>
      <c r="K228" s="526"/>
      <c r="L228" s="710"/>
      <c r="M228" s="711"/>
      <c r="N228" s="526"/>
      <c r="O228" s="710"/>
      <c r="P228" s="712"/>
      <c r="Q228" s="526"/>
      <c r="R228" s="762"/>
      <c r="S228" s="762"/>
      <c r="T228" s="526"/>
      <c r="U228" s="762"/>
      <c r="V228" s="762"/>
      <c r="W228" s="526"/>
      <c r="X228" s="2893"/>
      <c r="Y228" s="2893"/>
      <c r="Z228" s="2893"/>
      <c r="AA228" s="2893"/>
      <c r="AB228" s="2893"/>
      <c r="AC228" s="2893"/>
      <c r="AD228" s="2893"/>
      <c r="AE228" s="2893"/>
      <c r="AF228" s="2893"/>
      <c r="AG228" s="2893"/>
    </row>
    <row r="229" spans="1:33" ht="14.9" customHeight="1">
      <c r="A229" s="252"/>
      <c r="B229" s="2904" t="s">
        <v>332</v>
      </c>
      <c r="C229" s="2904"/>
      <c r="D229" s="2904"/>
      <c r="E229" s="2904"/>
      <c r="F229" s="6"/>
      <c r="G229" s="63"/>
      <c r="H229" s="480"/>
      <c r="I229" s="710"/>
      <c r="J229" s="582"/>
      <c r="K229" s="526"/>
      <c r="L229" s="710"/>
      <c r="M229" s="582"/>
      <c r="N229" s="526"/>
      <c r="O229" s="710"/>
      <c r="P229" s="582"/>
      <c r="Q229" s="526"/>
      <c r="R229" s="762"/>
      <c r="S229" s="762"/>
      <c r="T229" s="526"/>
      <c r="U229" s="762"/>
      <c r="V229" s="762"/>
      <c r="W229" s="526"/>
      <c r="X229" s="2893"/>
      <c r="Y229" s="2893"/>
      <c r="Z229" s="2893"/>
      <c r="AA229" s="2893"/>
      <c r="AB229" s="2893"/>
      <c r="AC229" s="2893"/>
      <c r="AD229" s="2893"/>
      <c r="AE229" s="2893"/>
      <c r="AF229" s="2893"/>
      <c r="AG229" s="2893"/>
    </row>
    <row r="230" spans="1:33" ht="14.9" customHeight="1">
      <c r="A230" s="252"/>
      <c r="B230" s="2903" t="s">
        <v>333</v>
      </c>
      <c r="C230" s="2903"/>
      <c r="D230" s="2903"/>
      <c r="E230" s="2903"/>
      <c r="F230" s="6"/>
      <c r="G230" s="65"/>
      <c r="H230" s="480"/>
      <c r="I230" s="710"/>
      <c r="J230" s="711"/>
      <c r="K230" s="526"/>
      <c r="L230" s="710"/>
      <c r="M230" s="711"/>
      <c r="N230" s="526"/>
      <c r="O230" s="710"/>
      <c r="P230" s="712"/>
      <c r="Q230" s="526"/>
      <c r="R230" s="762"/>
      <c r="S230" s="762"/>
      <c r="T230" s="526"/>
      <c r="U230" s="762"/>
      <c r="V230" s="762"/>
      <c r="W230" s="526"/>
      <c r="X230" s="2893"/>
      <c r="Y230" s="2893"/>
      <c r="Z230" s="2893"/>
      <c r="AA230" s="2893"/>
      <c r="AB230" s="2893"/>
      <c r="AC230" s="2893"/>
      <c r="AD230" s="2893"/>
      <c r="AE230" s="2893"/>
      <c r="AF230" s="2893"/>
      <c r="AG230" s="2893"/>
    </row>
    <row r="231" spans="1:33" ht="14.9" customHeight="1">
      <c r="A231" s="252"/>
      <c r="B231" s="2903" t="s">
        <v>334</v>
      </c>
      <c r="C231" s="2903"/>
      <c r="D231" s="2903"/>
      <c r="E231" s="2903"/>
      <c r="F231" s="6"/>
      <c r="G231" s="63"/>
      <c r="H231" s="480"/>
      <c r="I231" s="710"/>
      <c r="J231" s="582"/>
      <c r="K231" s="526"/>
      <c r="L231" s="710"/>
      <c r="M231" s="582"/>
      <c r="N231" s="526"/>
      <c r="O231" s="710"/>
      <c r="P231" s="582"/>
      <c r="Q231" s="526"/>
      <c r="R231" s="762"/>
      <c r="S231" s="762"/>
      <c r="T231" s="526"/>
      <c r="U231" s="762"/>
      <c r="V231" s="762"/>
      <c r="W231" s="526"/>
      <c r="X231" s="2893"/>
      <c r="Y231" s="2893"/>
      <c r="Z231" s="2893"/>
      <c r="AA231" s="2893"/>
      <c r="AB231" s="2893"/>
      <c r="AC231" s="2893"/>
      <c r="AD231" s="2893"/>
      <c r="AE231" s="2893"/>
      <c r="AF231" s="2893"/>
      <c r="AG231" s="2893"/>
    </row>
    <row r="232" spans="1:33" ht="14.9" customHeight="1">
      <c r="A232" s="252"/>
      <c r="B232" s="2904" t="s">
        <v>335</v>
      </c>
      <c r="C232" s="2904"/>
      <c r="D232" s="2904"/>
      <c r="E232" s="2904"/>
      <c r="H232" s="480"/>
      <c r="I232" s="713"/>
      <c r="J232" s="713"/>
      <c r="K232" s="526"/>
      <c r="L232" s="713"/>
      <c r="M232" s="713"/>
      <c r="N232" s="526"/>
      <c r="O232" s="713"/>
      <c r="P232" s="713"/>
      <c r="Q232" s="526"/>
      <c r="R232" s="762"/>
      <c r="S232" s="762"/>
      <c r="T232" s="526"/>
      <c r="U232" s="762"/>
      <c r="V232" s="762"/>
      <c r="W232" s="526"/>
      <c r="X232" s="2893"/>
      <c r="Y232" s="2893"/>
      <c r="Z232" s="2893"/>
      <c r="AA232" s="2893"/>
      <c r="AB232" s="2893"/>
      <c r="AC232" s="2893"/>
      <c r="AD232" s="2893"/>
      <c r="AE232" s="2893"/>
      <c r="AF232" s="2893"/>
      <c r="AG232" s="2893"/>
    </row>
    <row r="233" spans="1:33" ht="14.9" customHeight="1">
      <c r="A233" s="252"/>
      <c r="B233" s="2903" t="s">
        <v>336</v>
      </c>
      <c r="C233" s="2903"/>
      <c r="D233" s="2903"/>
      <c r="E233" s="2903"/>
      <c r="F233" s="6"/>
      <c r="G233" s="63"/>
      <c r="H233" s="480"/>
      <c r="I233" s="710"/>
      <c r="J233" s="582"/>
      <c r="K233" s="526"/>
      <c r="L233" s="710"/>
      <c r="M233" s="582"/>
      <c r="N233" s="526"/>
      <c r="O233" s="710"/>
      <c r="P233" s="582"/>
      <c r="Q233" s="526"/>
      <c r="R233" s="762"/>
      <c r="S233" s="762"/>
      <c r="T233" s="526"/>
      <c r="U233" s="762"/>
      <c r="V233" s="762"/>
      <c r="W233" s="526"/>
      <c r="X233" s="2893"/>
      <c r="Y233" s="2893"/>
      <c r="Z233" s="2893"/>
      <c r="AA233" s="2893"/>
      <c r="AB233" s="2893"/>
      <c r="AC233" s="2893"/>
      <c r="AD233" s="2893"/>
      <c r="AE233" s="2893"/>
      <c r="AF233" s="2893"/>
      <c r="AG233" s="2893"/>
    </row>
    <row r="234" spans="1:33" ht="32.9" customHeight="1">
      <c r="A234" s="252"/>
      <c r="B234" s="2903" t="s">
        <v>337</v>
      </c>
      <c r="C234" s="2903"/>
      <c r="D234" s="2903"/>
      <c r="E234" s="2903"/>
      <c r="F234" s="6"/>
      <c r="G234" s="63"/>
      <c r="H234" s="480"/>
      <c r="I234" s="710"/>
      <c r="J234" s="582"/>
      <c r="K234" s="526"/>
      <c r="L234" s="710"/>
      <c r="M234" s="582"/>
      <c r="N234" s="526"/>
      <c r="O234" s="710"/>
      <c r="P234" s="582"/>
      <c r="Q234" s="526"/>
      <c r="R234" s="762"/>
      <c r="S234" s="762"/>
      <c r="T234" s="526"/>
      <c r="U234" s="762"/>
      <c r="V234" s="762"/>
      <c r="W234" s="526"/>
      <c r="X234" s="2893"/>
      <c r="Y234" s="2893"/>
      <c r="Z234" s="2893"/>
      <c r="AA234" s="2893"/>
      <c r="AB234" s="2893"/>
      <c r="AC234" s="2893"/>
      <c r="AD234" s="2893"/>
      <c r="AE234" s="2893"/>
      <c r="AF234" s="2893"/>
      <c r="AG234" s="2893"/>
    </row>
    <row r="235" spans="1:33" ht="32.9" customHeight="1">
      <c r="A235" s="252"/>
      <c r="B235" s="2903" t="s">
        <v>338</v>
      </c>
      <c r="C235" s="2903"/>
      <c r="D235" s="2903"/>
      <c r="E235" s="2903"/>
      <c r="F235" s="6"/>
      <c r="G235" s="63"/>
      <c r="H235" s="480"/>
      <c r="I235" s="710"/>
      <c r="J235" s="582"/>
      <c r="K235" s="526"/>
      <c r="L235" s="710"/>
      <c r="M235" s="582"/>
      <c r="N235" s="526"/>
      <c r="O235" s="710"/>
      <c r="P235" s="582"/>
      <c r="Q235" s="526"/>
      <c r="R235" s="762"/>
      <c r="S235" s="762"/>
      <c r="T235" s="526"/>
      <c r="U235" s="762"/>
      <c r="V235" s="762"/>
      <c r="W235" s="526"/>
      <c r="X235" s="2893"/>
      <c r="Y235" s="2893"/>
      <c r="Z235" s="2893"/>
      <c r="AA235" s="2893"/>
      <c r="AB235" s="2893"/>
      <c r="AC235" s="2893"/>
      <c r="AD235" s="2893"/>
      <c r="AE235" s="2893"/>
      <c r="AF235" s="2893"/>
      <c r="AG235" s="2893"/>
    </row>
    <row r="236" spans="1:33" ht="14.9" customHeight="1">
      <c r="A236" s="252"/>
      <c r="B236" s="2903" t="s">
        <v>735</v>
      </c>
      <c r="C236" s="2903"/>
      <c r="D236" s="2903"/>
      <c r="E236" s="2903"/>
      <c r="F236" s="6"/>
      <c r="G236" s="63"/>
      <c r="H236" s="480"/>
      <c r="I236" s="710"/>
      <c r="J236" s="582"/>
      <c r="K236" s="526"/>
      <c r="L236" s="710"/>
      <c r="M236" s="582"/>
      <c r="N236" s="526"/>
      <c r="O236" s="710"/>
      <c r="P236" s="582"/>
      <c r="Q236" s="526"/>
      <c r="R236" s="762"/>
      <c r="S236" s="762"/>
      <c r="T236" s="526"/>
      <c r="U236" s="762"/>
      <c r="V236" s="762"/>
      <c r="W236" s="526"/>
      <c r="X236" s="2893"/>
      <c r="Y236" s="2893"/>
      <c r="Z236" s="2893"/>
      <c r="AA236" s="2893"/>
      <c r="AB236" s="2893"/>
      <c r="AC236" s="2893"/>
      <c r="AD236" s="2893"/>
      <c r="AE236" s="2893"/>
      <c r="AF236" s="2893"/>
      <c r="AG236" s="2893"/>
    </row>
    <row r="237" spans="1:33" ht="14.9" customHeight="1">
      <c r="A237" s="252"/>
      <c r="B237" s="2903" t="s">
        <v>734</v>
      </c>
      <c r="C237" s="2903"/>
      <c r="D237" s="2903"/>
      <c r="E237" s="2903"/>
      <c r="F237" s="6"/>
      <c r="G237" s="63"/>
      <c r="H237" s="797"/>
      <c r="I237" s="710"/>
      <c r="J237" s="582"/>
      <c r="K237" s="562"/>
      <c r="L237" s="710"/>
      <c r="M237" s="582"/>
      <c r="N237" s="562"/>
      <c r="O237" s="710"/>
      <c r="P237" s="582"/>
      <c r="Q237" s="562"/>
      <c r="R237" s="762"/>
      <c r="S237" s="762"/>
      <c r="T237" s="562"/>
      <c r="U237" s="762"/>
      <c r="V237" s="762"/>
      <c r="W237" s="562"/>
      <c r="X237" s="2893"/>
      <c r="Y237" s="2893"/>
      <c r="Z237" s="2893"/>
      <c r="AA237" s="2893"/>
      <c r="AB237" s="2893"/>
      <c r="AC237" s="2893"/>
      <c r="AD237" s="2893"/>
      <c r="AE237" s="2893"/>
      <c r="AF237" s="2893"/>
      <c r="AG237" s="2893"/>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911"/>
      <c r="Y238" s="2911"/>
      <c r="Z238" s="2911"/>
      <c r="AA238" s="2911"/>
      <c r="AB238" s="2911"/>
      <c r="AC238" s="2911"/>
      <c r="AD238" s="2911"/>
      <c r="AE238" s="2911"/>
      <c r="AF238" s="2911"/>
      <c r="AG238" s="2911"/>
    </row>
    <row r="239" spans="1:33" ht="14.9" customHeight="1">
      <c r="A239" s="252"/>
      <c r="B239" s="2903" t="s">
        <v>625</v>
      </c>
      <c r="C239" s="2903"/>
      <c r="D239" s="2903"/>
      <c r="E239" s="2903"/>
      <c r="F239" s="6"/>
      <c r="G239" s="65"/>
      <c r="H239" s="799"/>
      <c r="I239" s="710"/>
      <c r="J239" s="711"/>
      <c r="K239" s="628"/>
      <c r="L239" s="710"/>
      <c r="M239" s="711"/>
      <c r="N239" s="628"/>
      <c r="O239" s="710"/>
      <c r="P239" s="712"/>
      <c r="Q239" s="628"/>
      <c r="R239" s="762"/>
      <c r="S239" s="762"/>
      <c r="T239" s="628"/>
      <c r="U239" s="762"/>
      <c r="V239" s="762"/>
      <c r="W239" s="628"/>
      <c r="X239" s="2893"/>
      <c r="Y239" s="2893"/>
      <c r="Z239" s="2893"/>
      <c r="AA239" s="2893"/>
      <c r="AB239" s="2893"/>
      <c r="AC239" s="2893"/>
      <c r="AD239" s="2893"/>
      <c r="AE239" s="2893"/>
      <c r="AF239" s="2893"/>
      <c r="AG239" s="2893"/>
    </row>
    <row r="240" spans="1:33" ht="14.9" customHeight="1">
      <c r="A240" s="252"/>
      <c r="B240" s="2903" t="s">
        <v>626</v>
      </c>
      <c r="C240" s="2903"/>
      <c r="D240" s="2903"/>
      <c r="E240" s="2903"/>
      <c r="F240" s="6"/>
      <c r="G240" s="63"/>
      <c r="H240" s="480"/>
      <c r="I240" s="710"/>
      <c r="J240" s="582"/>
      <c r="K240" s="526"/>
      <c r="L240" s="710"/>
      <c r="M240" s="582"/>
      <c r="N240" s="526"/>
      <c r="O240" s="710"/>
      <c r="P240" s="582"/>
      <c r="Q240" s="526"/>
      <c r="R240" s="762"/>
      <c r="S240" s="762"/>
      <c r="T240" s="526"/>
      <c r="U240" s="762"/>
      <c r="V240" s="762"/>
      <c r="W240" s="526"/>
      <c r="X240" s="2893"/>
      <c r="Y240" s="2893"/>
      <c r="Z240" s="2893"/>
      <c r="AA240" s="2893"/>
      <c r="AB240" s="2893"/>
      <c r="AC240" s="2893"/>
      <c r="AD240" s="2893"/>
      <c r="AE240" s="2893"/>
      <c r="AF240" s="2893"/>
      <c r="AG240" s="2893"/>
    </row>
    <row r="241" spans="1:33" ht="14.9" customHeight="1">
      <c r="A241" s="252"/>
      <c r="B241" s="2903" t="s">
        <v>627</v>
      </c>
      <c r="C241" s="2903"/>
      <c r="D241" s="2903"/>
      <c r="E241" s="2903"/>
      <c r="F241" s="6"/>
      <c r="G241" s="63"/>
      <c r="H241" s="794"/>
      <c r="I241" s="710"/>
      <c r="J241" s="582"/>
      <c r="K241" s="561"/>
      <c r="L241" s="710"/>
      <c r="M241" s="582"/>
      <c r="N241" s="561"/>
      <c r="O241" s="710"/>
      <c r="P241" s="582"/>
      <c r="Q241" s="561"/>
      <c r="R241" s="762"/>
      <c r="S241" s="762"/>
      <c r="T241" s="561"/>
      <c r="U241" s="762"/>
      <c r="V241" s="762"/>
      <c r="W241" s="561"/>
      <c r="X241" s="2893"/>
      <c r="Y241" s="2893"/>
      <c r="Z241" s="2893"/>
      <c r="AA241" s="2893"/>
      <c r="AB241" s="2893"/>
      <c r="AC241" s="2893"/>
      <c r="AD241" s="2893"/>
      <c r="AE241" s="2893"/>
      <c r="AF241" s="2893"/>
      <c r="AG241" s="2893"/>
    </row>
    <row r="242" spans="1:33" ht="14.9" customHeight="1">
      <c r="A242" s="252"/>
      <c r="B242" s="2904" t="s">
        <v>628</v>
      </c>
      <c r="C242" s="2904"/>
      <c r="D242" s="2904"/>
      <c r="E242" s="2904"/>
      <c r="F242" s="6"/>
      <c r="G242" s="63"/>
      <c r="H242" s="480"/>
      <c r="I242" s="710"/>
      <c r="J242" s="582"/>
      <c r="K242" s="526"/>
      <c r="L242" s="710"/>
      <c r="M242" s="582"/>
      <c r="N242" s="526"/>
      <c r="O242" s="710"/>
      <c r="P242" s="582"/>
      <c r="Q242" s="526"/>
      <c r="R242" s="762"/>
      <c r="S242" s="762"/>
      <c r="T242" s="526"/>
      <c r="U242" s="762"/>
      <c r="V242" s="762"/>
      <c r="W242" s="526"/>
      <c r="X242" s="2893"/>
      <c r="Y242" s="2893"/>
      <c r="Z242" s="2893"/>
      <c r="AA242" s="2893"/>
      <c r="AB242" s="2893"/>
      <c r="AC242" s="2893"/>
      <c r="AD242" s="2893"/>
      <c r="AE242" s="2893"/>
      <c r="AF242" s="2893"/>
      <c r="AG242" s="2893"/>
    </row>
    <row r="243" spans="1:33" ht="32.9" customHeight="1">
      <c r="A243" s="252"/>
      <c r="B243" s="2904" t="s">
        <v>629</v>
      </c>
      <c r="C243" s="2904"/>
      <c r="D243" s="2904"/>
      <c r="E243" s="2904"/>
      <c r="F243" s="6"/>
      <c r="G243" s="65"/>
      <c r="H243" s="795"/>
      <c r="I243" s="710"/>
      <c r="J243" s="711"/>
      <c r="K243" s="568"/>
      <c r="L243" s="710"/>
      <c r="M243" s="711"/>
      <c r="N243" s="568"/>
      <c r="O243" s="710"/>
      <c r="P243" s="712"/>
      <c r="Q243" s="568"/>
      <c r="R243" s="762"/>
      <c r="S243" s="762"/>
      <c r="T243" s="568"/>
      <c r="U243" s="762"/>
      <c r="V243" s="762"/>
      <c r="W243" s="568"/>
      <c r="X243" s="2893"/>
      <c r="Y243" s="2893"/>
      <c r="Z243" s="2893"/>
      <c r="AA243" s="2893"/>
      <c r="AB243" s="2893"/>
      <c r="AC243" s="2893"/>
      <c r="AD243" s="2893"/>
      <c r="AE243" s="2893"/>
      <c r="AF243" s="2893"/>
      <c r="AG243" s="2893"/>
    </row>
    <row r="244" spans="1:33" ht="14.9" customHeight="1">
      <c r="A244" s="252"/>
      <c r="B244" s="2903" t="s">
        <v>630</v>
      </c>
      <c r="C244" s="2903"/>
      <c r="D244" s="2903"/>
      <c r="E244" s="2903"/>
      <c r="F244" s="6"/>
      <c r="G244" s="65"/>
      <c r="H244" s="480"/>
      <c r="I244" s="710"/>
      <c r="J244" s="711"/>
      <c r="K244" s="526"/>
      <c r="L244" s="710"/>
      <c r="M244" s="711"/>
      <c r="N244" s="526"/>
      <c r="O244" s="710"/>
      <c r="P244" s="712"/>
      <c r="Q244" s="526"/>
      <c r="R244" s="762"/>
      <c r="S244" s="762"/>
      <c r="T244" s="526"/>
      <c r="U244" s="762"/>
      <c r="V244" s="762"/>
      <c r="W244" s="526"/>
      <c r="X244" s="2893"/>
      <c r="Y244" s="2893"/>
      <c r="Z244" s="2893"/>
      <c r="AA244" s="2893"/>
      <c r="AB244" s="2893"/>
      <c r="AC244" s="2893"/>
      <c r="AD244" s="2893"/>
      <c r="AE244" s="2893"/>
      <c r="AF244" s="2893"/>
      <c r="AG244" s="2893"/>
    </row>
    <row r="245" spans="1:33" ht="14.9" customHeight="1">
      <c r="A245" s="252"/>
      <c r="B245" s="2904" t="s">
        <v>634</v>
      </c>
      <c r="C245" s="2904"/>
      <c r="D245" s="2904"/>
      <c r="E245" s="2904"/>
      <c r="F245" s="6"/>
      <c r="G245" s="65"/>
      <c r="H245" s="481"/>
      <c r="I245" s="710"/>
      <c r="J245" s="711"/>
      <c r="K245" s="553"/>
      <c r="L245" s="710"/>
      <c r="M245" s="711"/>
      <c r="N245" s="553"/>
      <c r="O245" s="710"/>
      <c r="P245" s="712"/>
      <c r="Q245" s="553"/>
      <c r="R245" s="762"/>
      <c r="S245" s="762"/>
      <c r="T245" s="553"/>
      <c r="U245" s="762"/>
      <c r="V245" s="762"/>
      <c r="W245" s="553"/>
      <c r="X245" s="2893"/>
      <c r="Y245" s="2893"/>
      <c r="Z245" s="2893"/>
      <c r="AA245" s="2893"/>
      <c r="AB245" s="2893"/>
      <c r="AC245" s="2893"/>
      <c r="AD245" s="2893"/>
      <c r="AE245" s="2893"/>
      <c r="AF245" s="2893"/>
      <c r="AG245" s="2893"/>
    </row>
    <row r="246" spans="1:33" ht="32.15" customHeight="1">
      <c r="A246" s="252"/>
      <c r="B246" s="2903" t="s">
        <v>1551</v>
      </c>
      <c r="C246" s="2903"/>
      <c r="D246" s="2903"/>
      <c r="E246" s="2903"/>
      <c r="F246" s="6"/>
      <c r="G246" s="65"/>
      <c r="H246" s="796"/>
      <c r="I246" s="710"/>
      <c r="J246" s="711"/>
      <c r="K246" s="619"/>
      <c r="L246" s="710"/>
      <c r="M246" s="711"/>
      <c r="N246" s="619"/>
      <c r="O246" s="710"/>
      <c r="P246" s="712"/>
      <c r="Q246" s="619"/>
      <c r="R246" s="762"/>
      <c r="S246" s="762"/>
      <c r="T246" s="619"/>
      <c r="U246" s="762"/>
      <c r="V246" s="762"/>
      <c r="W246" s="619"/>
      <c r="X246" s="2893"/>
      <c r="Y246" s="2893"/>
      <c r="Z246" s="2893"/>
      <c r="AA246" s="2893"/>
      <c r="AB246" s="2893"/>
      <c r="AC246" s="2893"/>
      <c r="AD246" s="2893"/>
      <c r="AE246" s="2893"/>
      <c r="AF246" s="2893"/>
      <c r="AG246" s="2893"/>
    </row>
    <row r="247" spans="1:33" ht="32.15" customHeight="1">
      <c r="A247" s="252"/>
      <c r="B247" s="2903" t="s">
        <v>1552</v>
      </c>
      <c r="C247" s="2903"/>
      <c r="D247" s="2903"/>
      <c r="E247" s="2903"/>
      <c r="F247" s="6"/>
      <c r="G247" s="65"/>
      <c r="H247" s="796"/>
      <c r="I247" s="710"/>
      <c r="J247" s="711"/>
      <c r="K247" s="619"/>
      <c r="L247" s="710"/>
      <c r="M247" s="711"/>
      <c r="N247" s="619"/>
      <c r="O247" s="710"/>
      <c r="P247" s="712"/>
      <c r="Q247" s="619"/>
      <c r="R247" s="762"/>
      <c r="S247" s="762"/>
      <c r="T247" s="619"/>
      <c r="U247" s="762"/>
      <c r="V247" s="762"/>
      <c r="W247" s="619"/>
      <c r="X247" s="2893"/>
      <c r="Y247" s="2893"/>
      <c r="Z247" s="2893"/>
      <c r="AA247" s="2893"/>
      <c r="AB247" s="2893"/>
      <c r="AC247" s="2893"/>
      <c r="AD247" s="2893"/>
      <c r="AE247" s="2893"/>
      <c r="AF247" s="2893"/>
      <c r="AG247" s="2893"/>
    </row>
    <row r="248" spans="1:33" ht="32.9" customHeight="1">
      <c r="A248" s="252"/>
      <c r="B248" s="2903" t="s">
        <v>331</v>
      </c>
      <c r="C248" s="2903"/>
      <c r="D248" s="2903"/>
      <c r="E248" s="2903"/>
      <c r="F248" s="6"/>
      <c r="G248" s="65"/>
      <c r="H248" s="480"/>
      <c r="I248" s="710"/>
      <c r="J248" s="711"/>
      <c r="K248" s="526"/>
      <c r="L248" s="710"/>
      <c r="M248" s="711"/>
      <c r="N248" s="526"/>
      <c r="O248" s="710"/>
      <c r="P248" s="712"/>
      <c r="Q248" s="526"/>
      <c r="R248" s="762"/>
      <c r="S248" s="762"/>
      <c r="T248" s="526"/>
      <c r="U248" s="762"/>
      <c r="V248" s="762"/>
      <c r="W248" s="526"/>
      <c r="X248" s="2893"/>
      <c r="Y248" s="2893"/>
      <c r="Z248" s="2893"/>
      <c r="AA248" s="2893"/>
      <c r="AB248" s="2893"/>
      <c r="AC248" s="2893"/>
      <c r="AD248" s="2893"/>
      <c r="AE248" s="2893"/>
      <c r="AF248" s="2893"/>
      <c r="AG248" s="2893"/>
    </row>
    <row r="249" spans="1:33" ht="14.9" customHeight="1">
      <c r="A249" s="252"/>
      <c r="B249" s="2904" t="s">
        <v>332</v>
      </c>
      <c r="C249" s="2904"/>
      <c r="D249" s="2904"/>
      <c r="E249" s="2904"/>
      <c r="F249" s="6"/>
      <c r="G249" s="63"/>
      <c r="H249" s="480"/>
      <c r="I249" s="710"/>
      <c r="J249" s="582"/>
      <c r="K249" s="526"/>
      <c r="L249" s="710"/>
      <c r="M249" s="582"/>
      <c r="N249" s="526"/>
      <c r="O249" s="710"/>
      <c r="P249" s="582"/>
      <c r="Q249" s="526"/>
      <c r="R249" s="762"/>
      <c r="S249" s="762"/>
      <c r="T249" s="526"/>
      <c r="U249" s="762"/>
      <c r="V249" s="762"/>
      <c r="W249" s="526"/>
      <c r="X249" s="2893"/>
      <c r="Y249" s="2893"/>
      <c r="Z249" s="2893"/>
      <c r="AA249" s="2893"/>
      <c r="AB249" s="2893"/>
      <c r="AC249" s="2893"/>
      <c r="AD249" s="2893"/>
      <c r="AE249" s="2893"/>
      <c r="AF249" s="2893"/>
      <c r="AG249" s="2893"/>
    </row>
    <row r="250" spans="1:33" ht="14.9" customHeight="1">
      <c r="A250" s="252"/>
      <c r="B250" s="2903" t="s">
        <v>333</v>
      </c>
      <c r="C250" s="2903"/>
      <c r="D250" s="2903"/>
      <c r="E250" s="2903"/>
      <c r="F250" s="6"/>
      <c r="G250" s="65"/>
      <c r="H250" s="480"/>
      <c r="I250" s="710"/>
      <c r="J250" s="711"/>
      <c r="K250" s="526"/>
      <c r="L250" s="710"/>
      <c r="M250" s="711"/>
      <c r="N250" s="526"/>
      <c r="O250" s="710"/>
      <c r="P250" s="712"/>
      <c r="Q250" s="526"/>
      <c r="R250" s="762"/>
      <c r="S250" s="762"/>
      <c r="T250" s="526"/>
      <c r="U250" s="762"/>
      <c r="V250" s="762"/>
      <c r="W250" s="526"/>
      <c r="X250" s="2893"/>
      <c r="Y250" s="2893"/>
      <c r="Z250" s="2893"/>
      <c r="AA250" s="2893"/>
      <c r="AB250" s="2893"/>
      <c r="AC250" s="2893"/>
      <c r="AD250" s="2893"/>
      <c r="AE250" s="2893"/>
      <c r="AF250" s="2893"/>
      <c r="AG250" s="2893"/>
    </row>
    <row r="251" spans="1:33" ht="14.9" customHeight="1">
      <c r="A251" s="252"/>
      <c r="B251" s="2903" t="s">
        <v>334</v>
      </c>
      <c r="C251" s="2903"/>
      <c r="D251" s="2903"/>
      <c r="E251" s="2903"/>
      <c r="F251" s="6"/>
      <c r="G251" s="63"/>
      <c r="H251" s="480"/>
      <c r="I251" s="710"/>
      <c r="J251" s="582"/>
      <c r="K251" s="526"/>
      <c r="L251" s="710"/>
      <c r="M251" s="582"/>
      <c r="N251" s="526"/>
      <c r="O251" s="710"/>
      <c r="P251" s="582"/>
      <c r="Q251" s="526"/>
      <c r="R251" s="762"/>
      <c r="S251" s="762"/>
      <c r="T251" s="526"/>
      <c r="U251" s="762"/>
      <c r="V251" s="762"/>
      <c r="W251" s="526"/>
      <c r="X251" s="2893"/>
      <c r="Y251" s="2893"/>
      <c r="Z251" s="2893"/>
      <c r="AA251" s="2893"/>
      <c r="AB251" s="2893"/>
      <c r="AC251" s="2893"/>
      <c r="AD251" s="2893"/>
      <c r="AE251" s="2893"/>
      <c r="AF251" s="2893"/>
      <c r="AG251" s="2893"/>
    </row>
    <row r="252" spans="1:33" ht="14.9" customHeight="1">
      <c r="A252" s="252"/>
      <c r="B252" s="2904" t="s">
        <v>335</v>
      </c>
      <c r="C252" s="2904"/>
      <c r="D252" s="2904"/>
      <c r="E252" s="2904"/>
      <c r="H252" s="480"/>
      <c r="I252" s="713"/>
      <c r="J252" s="713"/>
      <c r="K252" s="526"/>
      <c r="L252" s="713"/>
      <c r="M252" s="713"/>
      <c r="N252" s="526"/>
      <c r="O252" s="713"/>
      <c r="P252" s="713"/>
      <c r="Q252" s="526"/>
      <c r="R252" s="762"/>
      <c r="S252" s="762"/>
      <c r="T252" s="526"/>
      <c r="U252" s="762"/>
      <c r="V252" s="762"/>
      <c r="W252" s="526"/>
      <c r="X252" s="2893"/>
      <c r="Y252" s="2893"/>
      <c r="Z252" s="2893"/>
      <c r="AA252" s="2893"/>
      <c r="AB252" s="2893"/>
      <c r="AC252" s="2893"/>
      <c r="AD252" s="2893"/>
      <c r="AE252" s="2893"/>
      <c r="AF252" s="2893"/>
      <c r="AG252" s="2893"/>
    </row>
    <row r="253" spans="1:33" ht="14.9" customHeight="1">
      <c r="A253" s="252"/>
      <c r="B253" s="2903" t="s">
        <v>336</v>
      </c>
      <c r="C253" s="2903"/>
      <c r="D253" s="2903"/>
      <c r="E253" s="2903"/>
      <c r="F253" s="6"/>
      <c r="G253" s="63"/>
      <c r="H253" s="480"/>
      <c r="I253" s="710"/>
      <c r="J253" s="582"/>
      <c r="K253" s="526"/>
      <c r="L253" s="710"/>
      <c r="M253" s="582"/>
      <c r="N253" s="526"/>
      <c r="O253" s="710"/>
      <c r="P253" s="582"/>
      <c r="Q253" s="526"/>
      <c r="R253" s="762"/>
      <c r="S253" s="762"/>
      <c r="T253" s="526"/>
      <c r="U253" s="762"/>
      <c r="V253" s="762"/>
      <c r="W253" s="526"/>
      <c r="X253" s="2893"/>
      <c r="Y253" s="2893"/>
      <c r="Z253" s="2893"/>
      <c r="AA253" s="2893"/>
      <c r="AB253" s="2893"/>
      <c r="AC253" s="2893"/>
      <c r="AD253" s="2893"/>
      <c r="AE253" s="2893"/>
      <c r="AF253" s="2893"/>
      <c r="AG253" s="2893"/>
    </row>
    <row r="254" spans="1:33" ht="32.9" customHeight="1">
      <c r="A254" s="252"/>
      <c r="B254" s="2903" t="s">
        <v>337</v>
      </c>
      <c r="C254" s="2903"/>
      <c r="D254" s="2903"/>
      <c r="E254" s="2903"/>
      <c r="F254" s="6"/>
      <c r="G254" s="63"/>
      <c r="H254" s="480"/>
      <c r="I254" s="710"/>
      <c r="J254" s="582"/>
      <c r="K254" s="526"/>
      <c r="L254" s="710"/>
      <c r="M254" s="582"/>
      <c r="N254" s="526"/>
      <c r="O254" s="710"/>
      <c r="P254" s="582"/>
      <c r="Q254" s="526"/>
      <c r="R254" s="762"/>
      <c r="S254" s="762"/>
      <c r="T254" s="526"/>
      <c r="U254" s="762"/>
      <c r="V254" s="762"/>
      <c r="W254" s="526"/>
      <c r="X254" s="2893"/>
      <c r="Y254" s="2893"/>
      <c r="Z254" s="2893"/>
      <c r="AA254" s="2893"/>
      <c r="AB254" s="2893"/>
      <c r="AC254" s="2893"/>
      <c r="AD254" s="2893"/>
      <c r="AE254" s="2893"/>
      <c r="AF254" s="2893"/>
      <c r="AG254" s="2893"/>
    </row>
    <row r="255" spans="1:33" ht="32.9" customHeight="1">
      <c r="A255" s="252"/>
      <c r="B255" s="2903" t="s">
        <v>338</v>
      </c>
      <c r="C255" s="2903"/>
      <c r="D255" s="2903"/>
      <c r="E255" s="2903"/>
      <c r="F255" s="6"/>
      <c r="G255" s="63"/>
      <c r="H255" s="480"/>
      <c r="I255" s="710"/>
      <c r="J255" s="582"/>
      <c r="K255" s="526"/>
      <c r="L255" s="710"/>
      <c r="M255" s="582"/>
      <c r="N255" s="526"/>
      <c r="O255" s="710"/>
      <c r="P255" s="582"/>
      <c r="Q255" s="526"/>
      <c r="R255" s="762"/>
      <c r="S255" s="762"/>
      <c r="T255" s="526"/>
      <c r="U255" s="762"/>
      <c r="V255" s="762"/>
      <c r="W255" s="526"/>
      <c r="X255" s="2893"/>
      <c r="Y255" s="2893"/>
      <c r="Z255" s="2893"/>
      <c r="AA255" s="2893"/>
      <c r="AB255" s="2893"/>
      <c r="AC255" s="2893"/>
      <c r="AD255" s="2893"/>
      <c r="AE255" s="2893"/>
      <c r="AF255" s="2893"/>
      <c r="AG255" s="2893"/>
    </row>
    <row r="256" spans="1:33" ht="14.9" customHeight="1">
      <c r="A256" s="252"/>
      <c r="B256" s="2903" t="s">
        <v>735</v>
      </c>
      <c r="C256" s="2903"/>
      <c r="D256" s="2903"/>
      <c r="E256" s="2903"/>
      <c r="F256" s="6"/>
      <c r="G256" s="63"/>
      <c r="H256" s="480"/>
      <c r="I256" s="710"/>
      <c r="J256" s="582"/>
      <c r="K256" s="526"/>
      <c r="L256" s="710"/>
      <c r="M256" s="582"/>
      <c r="N256" s="526"/>
      <c r="O256" s="710"/>
      <c r="P256" s="582"/>
      <c r="Q256" s="526"/>
      <c r="R256" s="762"/>
      <c r="S256" s="762"/>
      <c r="T256" s="526"/>
      <c r="U256" s="762"/>
      <c r="V256" s="762"/>
      <c r="W256" s="526"/>
      <c r="X256" s="2893"/>
      <c r="Y256" s="2893"/>
      <c r="Z256" s="2893"/>
      <c r="AA256" s="2893"/>
      <c r="AB256" s="2893"/>
      <c r="AC256" s="2893"/>
      <c r="AD256" s="2893"/>
      <c r="AE256" s="2893"/>
      <c r="AF256" s="2893"/>
      <c r="AG256" s="2893"/>
    </row>
    <row r="257" spans="1:33" ht="14.9" customHeight="1">
      <c r="A257" s="252"/>
      <c r="B257" s="2903" t="s">
        <v>734</v>
      </c>
      <c r="C257" s="2903"/>
      <c r="D257" s="2903"/>
      <c r="E257" s="2903"/>
      <c r="F257" s="6"/>
      <c r="G257" s="63"/>
      <c r="H257" s="802"/>
      <c r="I257" s="741"/>
      <c r="J257" s="557"/>
      <c r="K257" s="769"/>
      <c r="L257" s="741"/>
      <c r="M257" s="557"/>
      <c r="N257" s="769"/>
      <c r="O257" s="741"/>
      <c r="P257" s="557"/>
      <c r="Q257" s="769"/>
      <c r="R257" s="768"/>
      <c r="S257" s="768"/>
      <c r="T257" s="769"/>
      <c r="U257" s="768"/>
      <c r="V257" s="768"/>
      <c r="W257" s="769"/>
      <c r="X257" s="2893"/>
      <c r="Y257" s="2893"/>
      <c r="Z257" s="2893"/>
      <c r="AA257" s="2893"/>
      <c r="AB257" s="2893"/>
      <c r="AC257" s="2893"/>
      <c r="AD257" s="2893"/>
      <c r="AE257" s="2893"/>
      <c r="AF257" s="2893"/>
      <c r="AG257" s="2893"/>
    </row>
    <row r="258" spans="1:33">
      <c r="A258" s="237"/>
      <c r="B258" s="6"/>
      <c r="C258" s="6"/>
      <c r="D258" s="6"/>
      <c r="E258" s="6"/>
      <c r="F258" s="6"/>
      <c r="G258" s="6"/>
      <c r="H258" s="121"/>
      <c r="I258" s="6"/>
      <c r="J258" s="6"/>
      <c r="K258" s="121"/>
      <c r="L258" s="6"/>
      <c r="M258" s="6"/>
      <c r="N258" s="121"/>
      <c r="O258" s="6"/>
      <c r="P258" s="6"/>
      <c r="Q258" s="1791"/>
      <c r="R258" s="1772"/>
      <c r="S258" s="1772"/>
      <c r="T258" s="1791"/>
      <c r="U258" s="1772"/>
      <c r="V258" s="1772"/>
      <c r="W258" s="1791"/>
      <c r="X258" s="2906"/>
      <c r="Y258" s="2906"/>
      <c r="Z258" s="2906"/>
      <c r="AA258" s="2906"/>
      <c r="AB258" s="2906"/>
      <c r="AC258" s="2906"/>
      <c r="AD258" s="2906"/>
      <c r="AE258" s="2906"/>
      <c r="AF258" s="2906"/>
      <c r="AG258" s="2906"/>
    </row>
    <row r="259" spans="1:33" ht="21.65" customHeight="1">
      <c r="A259" s="2907" t="s">
        <v>733</v>
      </c>
      <c r="B259" s="2907"/>
      <c r="C259" s="2907"/>
      <c r="D259" s="2907"/>
      <c r="E259" s="2907"/>
      <c r="F259" s="2907"/>
      <c r="G259" s="2907"/>
      <c r="H259" s="1793"/>
      <c r="I259" s="597"/>
      <c r="J259" s="594"/>
      <c r="K259" s="1793"/>
      <c r="L259" s="597"/>
      <c r="M259" s="594"/>
      <c r="N259" s="669"/>
      <c r="O259" s="594"/>
      <c r="P259" s="670"/>
      <c r="Q259" s="671"/>
      <c r="R259" s="682"/>
      <c r="S259" s="682"/>
      <c r="T259" s="682"/>
      <c r="U259" s="682"/>
      <c r="V259" s="682"/>
      <c r="W259" s="682"/>
      <c r="X259" s="2909"/>
      <c r="Y259" s="2909"/>
      <c r="Z259" s="2909"/>
      <c r="AA259" s="2909"/>
      <c r="AB259" s="2909"/>
      <c r="AC259" s="2909"/>
      <c r="AD259" s="2909"/>
      <c r="AE259" s="2909"/>
      <c r="AF259" s="2909"/>
      <c r="AG259" s="2909"/>
    </row>
    <row r="260" spans="1:33" ht="18.649999999999999" hidden="1" customHeight="1">
      <c r="A260" s="1"/>
      <c r="B260" s="502"/>
      <c r="C260" s="50"/>
      <c r="D260" s="50"/>
      <c r="E260" s="50"/>
      <c r="G260" s="1773"/>
      <c r="H260" s="60"/>
      <c r="I260" s="6"/>
      <c r="J260" s="65"/>
      <c r="K260" s="60"/>
      <c r="L260" s="6"/>
      <c r="M260" s="65"/>
      <c r="N260" s="60"/>
      <c r="P260" s="66"/>
      <c r="Q260" s="1788"/>
      <c r="R260" s="1772"/>
      <c r="S260" s="1772"/>
      <c r="T260" s="1788"/>
      <c r="U260" s="1772"/>
      <c r="V260" s="1772"/>
      <c r="W260" s="1788"/>
      <c r="X260" s="2910"/>
      <c r="Y260" s="2910"/>
      <c r="Z260" s="2910"/>
      <c r="AA260" s="2910"/>
      <c r="AB260" s="2910"/>
      <c r="AC260" s="2910"/>
      <c r="AD260" s="2910"/>
      <c r="AE260" s="2910"/>
      <c r="AF260" s="2910"/>
      <c r="AG260" s="2910"/>
    </row>
    <row r="261" spans="1:33" ht="14.9" customHeight="1">
      <c r="A261" s="252"/>
      <c r="B261" s="2903" t="s">
        <v>241</v>
      </c>
      <c r="C261" s="2903"/>
      <c r="D261" s="2903"/>
      <c r="E261" s="2903"/>
      <c r="F261" s="6"/>
      <c r="G261" s="65"/>
      <c r="H261" s="801"/>
      <c r="I261" s="710"/>
      <c r="J261" s="711"/>
      <c r="K261" s="588"/>
      <c r="L261" s="710"/>
      <c r="M261" s="711"/>
      <c r="N261" s="588"/>
      <c r="O261" s="710"/>
      <c r="P261" s="712"/>
      <c r="Q261" s="588"/>
      <c r="R261" s="762"/>
      <c r="S261" s="762"/>
      <c r="T261" s="588"/>
      <c r="U261" s="762"/>
      <c r="V261" s="762"/>
      <c r="W261" s="588"/>
      <c r="X261" s="2893"/>
      <c r="Y261" s="2893"/>
      <c r="Z261" s="2893"/>
      <c r="AA261" s="2893"/>
      <c r="AB261" s="2893"/>
      <c r="AC261" s="2893"/>
      <c r="AD261" s="2893"/>
      <c r="AE261" s="2893"/>
      <c r="AF261" s="2893"/>
      <c r="AG261" s="2893"/>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911"/>
      <c r="Y262" s="2911"/>
      <c r="Z262" s="2911"/>
      <c r="AA262" s="2911"/>
      <c r="AB262" s="2911"/>
      <c r="AC262" s="2911"/>
      <c r="AD262" s="2911"/>
      <c r="AE262" s="2911"/>
      <c r="AF262" s="2911"/>
      <c r="AG262" s="2911"/>
    </row>
    <row r="263" spans="1:33" ht="14.9" customHeight="1">
      <c r="A263" s="252"/>
      <c r="B263" s="2903" t="s">
        <v>625</v>
      </c>
      <c r="C263" s="2903"/>
      <c r="D263" s="2903"/>
      <c r="E263" s="2903"/>
      <c r="F263" s="6"/>
      <c r="G263" s="65"/>
      <c r="H263" s="799"/>
      <c r="I263" s="710"/>
      <c r="J263" s="711"/>
      <c r="K263" s="628"/>
      <c r="L263" s="710"/>
      <c r="M263" s="711"/>
      <c r="N263" s="628"/>
      <c r="O263" s="710"/>
      <c r="P263" s="712"/>
      <c r="Q263" s="628"/>
      <c r="R263" s="762"/>
      <c r="S263" s="762"/>
      <c r="T263" s="628"/>
      <c r="U263" s="762"/>
      <c r="V263" s="762"/>
      <c r="W263" s="628"/>
      <c r="X263" s="2893"/>
      <c r="Y263" s="2893"/>
      <c r="Z263" s="2893"/>
      <c r="AA263" s="2893"/>
      <c r="AB263" s="2893"/>
      <c r="AC263" s="2893"/>
      <c r="AD263" s="2893"/>
      <c r="AE263" s="2893"/>
      <c r="AF263" s="2893"/>
      <c r="AG263" s="2893"/>
    </row>
    <row r="264" spans="1:33" ht="14.9" customHeight="1">
      <c r="A264" s="252"/>
      <c r="B264" s="2903" t="s">
        <v>626</v>
      </c>
      <c r="C264" s="2903"/>
      <c r="D264" s="2903"/>
      <c r="E264" s="2903"/>
      <c r="F264" s="6"/>
      <c r="G264" s="65"/>
      <c r="H264" s="480"/>
      <c r="I264" s="710"/>
      <c r="J264" s="711"/>
      <c r="K264" s="526"/>
      <c r="L264" s="710"/>
      <c r="M264" s="711"/>
      <c r="N264" s="526"/>
      <c r="O264" s="710"/>
      <c r="P264" s="712"/>
      <c r="Q264" s="526"/>
      <c r="R264" s="762"/>
      <c r="S264" s="762"/>
      <c r="T264" s="526"/>
      <c r="U264" s="762"/>
      <c r="V264" s="762"/>
      <c r="W264" s="526"/>
      <c r="X264" s="2893"/>
      <c r="Y264" s="2893"/>
      <c r="Z264" s="2893"/>
      <c r="AA264" s="2893"/>
      <c r="AB264" s="2893"/>
      <c r="AC264" s="2893"/>
      <c r="AD264" s="2893"/>
      <c r="AE264" s="2893"/>
      <c r="AF264" s="2893"/>
      <c r="AG264" s="2893"/>
    </row>
    <row r="265" spans="1:33" ht="14.9" customHeight="1">
      <c r="A265" s="252"/>
      <c r="B265" s="2903" t="s">
        <v>627</v>
      </c>
      <c r="C265" s="2903"/>
      <c r="D265" s="2903"/>
      <c r="E265" s="2903"/>
      <c r="F265" s="6"/>
      <c r="G265" s="65"/>
      <c r="H265" s="794"/>
      <c r="I265" s="710"/>
      <c r="J265" s="711"/>
      <c r="K265" s="561"/>
      <c r="L265" s="710"/>
      <c r="M265" s="711"/>
      <c r="N265" s="561"/>
      <c r="O265" s="710"/>
      <c r="P265" s="712"/>
      <c r="Q265" s="561"/>
      <c r="R265" s="762"/>
      <c r="S265" s="762"/>
      <c r="T265" s="561"/>
      <c r="U265" s="762"/>
      <c r="V265" s="762"/>
      <c r="W265" s="561"/>
      <c r="X265" s="2893"/>
      <c r="Y265" s="2893"/>
      <c r="Z265" s="2893"/>
      <c r="AA265" s="2893"/>
      <c r="AB265" s="2893"/>
      <c r="AC265" s="2893"/>
      <c r="AD265" s="2893"/>
      <c r="AE265" s="2893"/>
      <c r="AF265" s="2893"/>
      <c r="AG265" s="2893"/>
    </row>
    <row r="266" spans="1:33" ht="14.9" customHeight="1">
      <c r="A266" s="252"/>
      <c r="B266" s="2904" t="s">
        <v>628</v>
      </c>
      <c r="C266" s="2904"/>
      <c r="D266" s="2904"/>
      <c r="E266" s="2904"/>
      <c r="F266" s="6"/>
      <c r="G266" s="65"/>
      <c r="H266" s="480"/>
      <c r="I266" s="710"/>
      <c r="J266" s="711"/>
      <c r="K266" s="526"/>
      <c r="L266" s="710"/>
      <c r="M266" s="711"/>
      <c r="N266" s="526"/>
      <c r="O266" s="710"/>
      <c r="P266" s="712"/>
      <c r="Q266" s="526"/>
      <c r="R266" s="762"/>
      <c r="S266" s="762"/>
      <c r="T266" s="526"/>
      <c r="U266" s="762"/>
      <c r="V266" s="762"/>
      <c r="W266" s="526"/>
      <c r="X266" s="2893"/>
      <c r="Y266" s="2893"/>
      <c r="Z266" s="2893"/>
      <c r="AA266" s="2893"/>
      <c r="AB266" s="2893"/>
      <c r="AC266" s="2893"/>
      <c r="AD266" s="2893"/>
      <c r="AE266" s="2893"/>
      <c r="AF266" s="2893"/>
      <c r="AG266" s="2893"/>
    </row>
    <row r="267" spans="1:33" ht="32.9" customHeight="1">
      <c r="A267" s="252"/>
      <c r="B267" s="2904" t="s">
        <v>629</v>
      </c>
      <c r="C267" s="2904"/>
      <c r="D267" s="2904"/>
      <c r="E267" s="2904"/>
      <c r="F267" s="6"/>
      <c r="G267" s="65"/>
      <c r="H267" s="795"/>
      <c r="I267" s="710"/>
      <c r="J267" s="711"/>
      <c r="K267" s="568"/>
      <c r="L267" s="710"/>
      <c r="M267" s="711"/>
      <c r="N267" s="568"/>
      <c r="O267" s="710"/>
      <c r="P267" s="712"/>
      <c r="Q267" s="568"/>
      <c r="R267" s="762"/>
      <c r="S267" s="762"/>
      <c r="T267" s="568"/>
      <c r="U267" s="762"/>
      <c r="V267" s="762"/>
      <c r="W267" s="568"/>
      <c r="X267" s="2893"/>
      <c r="Y267" s="2893"/>
      <c r="Z267" s="2893"/>
      <c r="AA267" s="2893"/>
      <c r="AB267" s="2893"/>
      <c r="AC267" s="2893"/>
      <c r="AD267" s="2893"/>
      <c r="AE267" s="2893"/>
      <c r="AF267" s="2893"/>
      <c r="AG267" s="2893"/>
    </row>
    <row r="268" spans="1:33" ht="14.9" customHeight="1">
      <c r="A268" s="252"/>
      <c r="B268" s="2903" t="s">
        <v>630</v>
      </c>
      <c r="C268" s="2903"/>
      <c r="D268" s="2903"/>
      <c r="E268" s="2903"/>
      <c r="F268" s="6"/>
      <c r="G268" s="65"/>
      <c r="H268" s="480"/>
      <c r="I268" s="710"/>
      <c r="J268" s="711"/>
      <c r="K268" s="526"/>
      <c r="L268" s="710"/>
      <c r="M268" s="711"/>
      <c r="N268" s="526"/>
      <c r="O268" s="710"/>
      <c r="P268" s="712"/>
      <c r="Q268" s="526"/>
      <c r="R268" s="762"/>
      <c r="S268" s="762"/>
      <c r="T268" s="526"/>
      <c r="U268" s="762"/>
      <c r="V268" s="762"/>
      <c r="W268" s="526"/>
      <c r="X268" s="2893"/>
      <c r="Y268" s="2893"/>
      <c r="Z268" s="2893"/>
      <c r="AA268" s="2893"/>
      <c r="AB268" s="2893"/>
      <c r="AC268" s="2893"/>
      <c r="AD268" s="2893"/>
      <c r="AE268" s="2893"/>
      <c r="AF268" s="2893"/>
      <c r="AG268" s="2893"/>
    </row>
    <row r="269" spans="1:33" ht="14.9" customHeight="1">
      <c r="A269" s="252"/>
      <c r="B269" s="2904" t="s">
        <v>634</v>
      </c>
      <c r="C269" s="2904"/>
      <c r="D269" s="2904"/>
      <c r="E269" s="2904"/>
      <c r="F269" s="6"/>
      <c r="G269" s="63"/>
      <c r="H269" s="481"/>
      <c r="I269" s="710"/>
      <c r="J269" s="582"/>
      <c r="K269" s="553"/>
      <c r="L269" s="748"/>
      <c r="M269" s="711"/>
      <c r="N269" s="553"/>
      <c r="O269" s="710"/>
      <c r="P269" s="582"/>
      <c r="Q269" s="553"/>
      <c r="R269" s="762"/>
      <c r="S269" s="762"/>
      <c r="T269" s="553"/>
      <c r="U269" s="762"/>
      <c r="V269" s="762"/>
      <c r="W269" s="553"/>
      <c r="X269" s="2893"/>
      <c r="Y269" s="2893"/>
      <c r="Z269" s="2893"/>
      <c r="AA269" s="2893"/>
      <c r="AB269" s="2893"/>
      <c r="AC269" s="2893"/>
      <c r="AD269" s="2893"/>
      <c r="AE269" s="2893"/>
      <c r="AF269" s="2893"/>
      <c r="AG269" s="2893"/>
    </row>
    <row r="270" spans="1:33" ht="29.15" customHeight="1">
      <c r="A270" s="252"/>
      <c r="B270" s="2903" t="s">
        <v>1551</v>
      </c>
      <c r="C270" s="2903"/>
      <c r="D270" s="2903"/>
      <c r="E270" s="2903"/>
      <c r="F270" s="6"/>
      <c r="G270" s="63"/>
      <c r="H270" s="796"/>
      <c r="I270" s="710"/>
      <c r="J270" s="582"/>
      <c r="K270" s="619"/>
      <c r="L270" s="748"/>
      <c r="M270" s="711"/>
      <c r="N270" s="619"/>
      <c r="O270" s="710"/>
      <c r="P270" s="582"/>
      <c r="Q270" s="619"/>
      <c r="R270" s="762"/>
      <c r="S270" s="762"/>
      <c r="T270" s="619"/>
      <c r="U270" s="762"/>
      <c r="V270" s="762"/>
      <c r="W270" s="619"/>
      <c r="X270" s="2893"/>
      <c r="Y270" s="2893"/>
      <c r="Z270" s="2893"/>
      <c r="AA270" s="2893"/>
      <c r="AB270" s="2893"/>
      <c r="AC270" s="2893"/>
      <c r="AD270" s="2893"/>
      <c r="AE270" s="2893"/>
      <c r="AF270" s="2893"/>
      <c r="AG270" s="2893"/>
    </row>
    <row r="271" spans="1:33" ht="29.15" customHeight="1">
      <c r="A271" s="252"/>
      <c r="B271" s="2903" t="s">
        <v>1552</v>
      </c>
      <c r="C271" s="2903"/>
      <c r="D271" s="2903"/>
      <c r="E271" s="2903"/>
      <c r="F271" s="6"/>
      <c r="G271" s="63"/>
      <c r="H271" s="796"/>
      <c r="I271" s="710"/>
      <c r="J271" s="582"/>
      <c r="K271" s="619"/>
      <c r="L271" s="748"/>
      <c r="M271" s="711"/>
      <c r="N271" s="619"/>
      <c r="O271" s="710"/>
      <c r="P271" s="582"/>
      <c r="Q271" s="619"/>
      <c r="R271" s="762"/>
      <c r="S271" s="762"/>
      <c r="T271" s="619"/>
      <c r="U271" s="762"/>
      <c r="V271" s="762"/>
      <c r="W271" s="619"/>
      <c r="X271" s="2893"/>
      <c r="Y271" s="2893"/>
      <c r="Z271" s="2893"/>
      <c r="AA271" s="2893"/>
      <c r="AB271" s="2893"/>
      <c r="AC271" s="2893"/>
      <c r="AD271" s="2893"/>
      <c r="AE271" s="2893"/>
      <c r="AF271" s="2893"/>
      <c r="AG271" s="2893"/>
    </row>
    <row r="272" spans="1:33" ht="32.9" customHeight="1">
      <c r="A272" s="252"/>
      <c r="B272" s="2903" t="s">
        <v>331</v>
      </c>
      <c r="C272" s="2903"/>
      <c r="D272" s="2903"/>
      <c r="E272" s="2903"/>
      <c r="F272" s="6"/>
      <c r="G272" s="65"/>
      <c r="H272" s="480"/>
      <c r="I272" s="710"/>
      <c r="J272" s="711"/>
      <c r="K272" s="526"/>
      <c r="L272" s="710"/>
      <c r="M272" s="711"/>
      <c r="N272" s="526"/>
      <c r="O272" s="710"/>
      <c r="P272" s="712"/>
      <c r="Q272" s="526"/>
      <c r="R272" s="762"/>
      <c r="S272" s="762"/>
      <c r="T272" s="526"/>
      <c r="U272" s="762"/>
      <c r="V272" s="762"/>
      <c r="W272" s="526"/>
      <c r="X272" s="2893"/>
      <c r="Y272" s="2893"/>
      <c r="Z272" s="2893"/>
      <c r="AA272" s="2893"/>
      <c r="AB272" s="2893"/>
      <c r="AC272" s="2893"/>
      <c r="AD272" s="2893"/>
      <c r="AE272" s="2893"/>
      <c r="AF272" s="2893"/>
      <c r="AG272" s="2893"/>
    </row>
    <row r="273" spans="1:33" ht="14.9" customHeight="1">
      <c r="A273" s="252"/>
      <c r="B273" s="2904" t="s">
        <v>332</v>
      </c>
      <c r="C273" s="2904"/>
      <c r="D273" s="2904"/>
      <c r="E273" s="2904"/>
      <c r="F273" s="6"/>
      <c r="G273" s="63"/>
      <c r="H273" s="480"/>
      <c r="I273" s="710"/>
      <c r="J273" s="582"/>
      <c r="K273" s="526"/>
      <c r="L273" s="748"/>
      <c r="M273" s="711"/>
      <c r="N273" s="526"/>
      <c r="O273" s="710"/>
      <c r="P273" s="582"/>
      <c r="Q273" s="526"/>
      <c r="R273" s="762"/>
      <c r="S273" s="762"/>
      <c r="T273" s="526"/>
      <c r="U273" s="762"/>
      <c r="V273" s="762"/>
      <c r="W273" s="526"/>
      <c r="X273" s="2893"/>
      <c r="Y273" s="2893"/>
      <c r="Z273" s="2893"/>
      <c r="AA273" s="2893"/>
      <c r="AB273" s="2893"/>
      <c r="AC273" s="2893"/>
      <c r="AD273" s="2893"/>
      <c r="AE273" s="2893"/>
      <c r="AF273" s="2893"/>
      <c r="AG273" s="2893"/>
    </row>
    <row r="274" spans="1:33" ht="14.9" customHeight="1">
      <c r="A274" s="252"/>
      <c r="B274" s="2903" t="s">
        <v>333</v>
      </c>
      <c r="C274" s="2903"/>
      <c r="D274" s="2903"/>
      <c r="E274" s="2903"/>
      <c r="F274" s="6"/>
      <c r="G274" s="63"/>
      <c r="H274" s="480"/>
      <c r="I274" s="710"/>
      <c r="J274" s="582"/>
      <c r="K274" s="526"/>
      <c r="L274" s="748"/>
      <c r="M274" s="711"/>
      <c r="N274" s="526"/>
      <c r="O274" s="710"/>
      <c r="P274" s="582"/>
      <c r="Q274" s="526"/>
      <c r="R274" s="762"/>
      <c r="S274" s="762"/>
      <c r="T274" s="526"/>
      <c r="U274" s="762"/>
      <c r="V274" s="762"/>
      <c r="W274" s="526"/>
      <c r="X274" s="2893"/>
      <c r="Y274" s="2893"/>
      <c r="Z274" s="2893"/>
      <c r="AA274" s="2893"/>
      <c r="AB274" s="2893"/>
      <c r="AC274" s="2893"/>
      <c r="AD274" s="2893"/>
      <c r="AE274" s="2893"/>
      <c r="AF274" s="2893"/>
      <c r="AG274" s="2893"/>
    </row>
    <row r="275" spans="1:33" ht="14.9" customHeight="1">
      <c r="A275" s="252"/>
      <c r="B275" s="2903" t="s">
        <v>334</v>
      </c>
      <c r="C275" s="2903"/>
      <c r="D275" s="2903"/>
      <c r="E275" s="2903"/>
      <c r="F275" s="6"/>
      <c r="G275" s="63"/>
      <c r="H275" s="480"/>
      <c r="I275" s="710"/>
      <c r="J275" s="582"/>
      <c r="K275" s="526"/>
      <c r="L275" s="748"/>
      <c r="M275" s="711"/>
      <c r="N275" s="526"/>
      <c r="O275" s="710"/>
      <c r="P275" s="582"/>
      <c r="Q275" s="526"/>
      <c r="R275" s="762"/>
      <c r="S275" s="762"/>
      <c r="T275" s="526"/>
      <c r="U275" s="762"/>
      <c r="V275" s="762"/>
      <c r="W275" s="526"/>
      <c r="X275" s="2893"/>
      <c r="Y275" s="2893"/>
      <c r="Z275" s="2893"/>
      <c r="AA275" s="2893"/>
      <c r="AB275" s="2893"/>
      <c r="AC275" s="2893"/>
      <c r="AD275" s="2893"/>
      <c r="AE275" s="2893"/>
      <c r="AF275" s="2893"/>
      <c r="AG275" s="2893"/>
    </row>
    <row r="276" spans="1:33" ht="14.9" customHeight="1">
      <c r="A276" s="252"/>
      <c r="B276" s="2904" t="s">
        <v>335</v>
      </c>
      <c r="C276" s="2904"/>
      <c r="D276" s="2904"/>
      <c r="E276" s="2904"/>
      <c r="F276" s="6"/>
      <c r="G276" s="63"/>
      <c r="H276" s="480"/>
      <c r="I276" s="710"/>
      <c r="J276" s="582"/>
      <c r="K276" s="526"/>
      <c r="L276" s="748"/>
      <c r="M276" s="711"/>
      <c r="N276" s="526"/>
      <c r="O276" s="710"/>
      <c r="P276" s="582"/>
      <c r="Q276" s="526"/>
      <c r="R276" s="762"/>
      <c r="S276" s="762"/>
      <c r="T276" s="526"/>
      <c r="U276" s="762"/>
      <c r="V276" s="762"/>
      <c r="W276" s="526"/>
      <c r="X276" s="2893"/>
      <c r="Y276" s="2893"/>
      <c r="Z276" s="2893"/>
      <c r="AA276" s="2893"/>
      <c r="AB276" s="2893"/>
      <c r="AC276" s="2893"/>
      <c r="AD276" s="2893"/>
      <c r="AE276" s="2893"/>
      <c r="AF276" s="2893"/>
      <c r="AG276" s="2893"/>
    </row>
    <row r="277" spans="1:33" ht="14.9" customHeight="1">
      <c r="A277" s="252"/>
      <c r="B277" s="2903" t="s">
        <v>336</v>
      </c>
      <c r="C277" s="2903"/>
      <c r="D277" s="2903"/>
      <c r="E277" s="2903"/>
      <c r="F277" s="6"/>
      <c r="G277" s="63"/>
      <c r="H277" s="480"/>
      <c r="I277" s="710"/>
      <c r="J277" s="582"/>
      <c r="K277" s="526"/>
      <c r="L277" s="748"/>
      <c r="M277" s="711"/>
      <c r="N277" s="526"/>
      <c r="O277" s="710"/>
      <c r="P277" s="582"/>
      <c r="Q277" s="526"/>
      <c r="R277" s="762"/>
      <c r="S277" s="762"/>
      <c r="T277" s="526"/>
      <c r="U277" s="762"/>
      <c r="V277" s="762"/>
      <c r="W277" s="526"/>
      <c r="X277" s="2893"/>
      <c r="Y277" s="2893"/>
      <c r="Z277" s="2893"/>
      <c r="AA277" s="2893"/>
      <c r="AB277" s="2893"/>
      <c r="AC277" s="2893"/>
      <c r="AD277" s="2893"/>
      <c r="AE277" s="2893"/>
      <c r="AF277" s="2893"/>
      <c r="AG277" s="2893"/>
    </row>
    <row r="278" spans="1:33" ht="32.9" customHeight="1">
      <c r="A278" s="252"/>
      <c r="B278" s="2903" t="s">
        <v>337</v>
      </c>
      <c r="C278" s="2903"/>
      <c r="D278" s="2903"/>
      <c r="E278" s="2903"/>
      <c r="F278" s="6"/>
      <c r="G278" s="63"/>
      <c r="H278" s="480"/>
      <c r="I278" s="710"/>
      <c r="J278" s="582"/>
      <c r="K278" s="526"/>
      <c r="L278" s="748"/>
      <c r="M278" s="711"/>
      <c r="N278" s="526"/>
      <c r="O278" s="710"/>
      <c r="P278" s="582"/>
      <c r="Q278" s="526"/>
      <c r="R278" s="762"/>
      <c r="S278" s="762"/>
      <c r="T278" s="526"/>
      <c r="U278" s="762"/>
      <c r="V278" s="762"/>
      <c r="W278" s="526"/>
      <c r="X278" s="2893"/>
      <c r="Y278" s="2893"/>
      <c r="Z278" s="2893"/>
      <c r="AA278" s="2893"/>
      <c r="AB278" s="2893"/>
      <c r="AC278" s="2893"/>
      <c r="AD278" s="2893"/>
      <c r="AE278" s="2893"/>
      <c r="AF278" s="2893"/>
      <c r="AG278" s="2893"/>
    </row>
    <row r="279" spans="1:33" ht="32.9" customHeight="1">
      <c r="A279" s="252"/>
      <c r="B279" s="2903" t="s">
        <v>338</v>
      </c>
      <c r="C279" s="2903"/>
      <c r="D279" s="2903"/>
      <c r="E279" s="2903"/>
      <c r="F279" s="6"/>
      <c r="G279" s="63"/>
      <c r="H279" s="480"/>
      <c r="I279" s="710"/>
      <c r="J279" s="582"/>
      <c r="K279" s="526"/>
      <c r="L279" s="748"/>
      <c r="M279" s="711"/>
      <c r="N279" s="526"/>
      <c r="O279" s="710"/>
      <c r="P279" s="582"/>
      <c r="Q279" s="526"/>
      <c r="R279" s="762"/>
      <c r="S279" s="762"/>
      <c r="T279" s="526"/>
      <c r="U279" s="762"/>
      <c r="V279" s="762"/>
      <c r="W279" s="526"/>
      <c r="X279" s="2893"/>
      <c r="Y279" s="2893"/>
      <c r="Z279" s="2893"/>
      <c r="AA279" s="2893"/>
      <c r="AB279" s="2893"/>
      <c r="AC279" s="2893"/>
      <c r="AD279" s="2893"/>
      <c r="AE279" s="2893"/>
      <c r="AF279" s="2893"/>
      <c r="AG279" s="2893"/>
    </row>
    <row r="280" spans="1:33" ht="14.9" customHeight="1">
      <c r="A280" s="252"/>
      <c r="B280" s="2903" t="s">
        <v>735</v>
      </c>
      <c r="C280" s="2903"/>
      <c r="D280" s="2903"/>
      <c r="E280" s="2903"/>
      <c r="F280" s="6"/>
      <c r="G280" s="63"/>
      <c r="H280" s="480"/>
      <c r="I280" s="710"/>
      <c r="J280" s="582"/>
      <c r="K280" s="526"/>
      <c r="L280" s="748"/>
      <c r="M280" s="711"/>
      <c r="N280" s="526"/>
      <c r="O280" s="710"/>
      <c r="P280" s="582"/>
      <c r="Q280" s="526"/>
      <c r="R280" s="762"/>
      <c r="S280" s="762"/>
      <c r="T280" s="526"/>
      <c r="U280" s="762"/>
      <c r="V280" s="762"/>
      <c r="W280" s="526"/>
      <c r="X280" s="2893"/>
      <c r="Y280" s="2893"/>
      <c r="Z280" s="2893"/>
      <c r="AA280" s="2893"/>
      <c r="AB280" s="2893"/>
      <c r="AC280" s="2893"/>
      <c r="AD280" s="2893"/>
      <c r="AE280" s="2893"/>
      <c r="AF280" s="2893"/>
      <c r="AG280" s="2893"/>
    </row>
    <row r="281" spans="1:33" ht="14.9" customHeight="1">
      <c r="A281" s="252"/>
      <c r="B281" s="2903" t="s">
        <v>734</v>
      </c>
      <c r="C281" s="2903"/>
      <c r="D281" s="2903"/>
      <c r="E281" s="2903"/>
      <c r="F281" s="6"/>
      <c r="G281" s="63"/>
      <c r="H281" s="797"/>
      <c r="I281" s="710"/>
      <c r="J281" s="582"/>
      <c r="K281" s="562"/>
      <c r="L281" s="748"/>
      <c r="M281" s="711"/>
      <c r="N281" s="562"/>
      <c r="O281" s="710"/>
      <c r="P281" s="582"/>
      <c r="Q281" s="562"/>
      <c r="R281" s="762"/>
      <c r="S281" s="762"/>
      <c r="T281" s="562"/>
      <c r="U281" s="762"/>
      <c r="V281" s="762"/>
      <c r="W281" s="562"/>
      <c r="X281" s="2893"/>
      <c r="Y281" s="2893"/>
      <c r="Z281" s="2893"/>
      <c r="AA281" s="2893"/>
      <c r="AB281" s="2893"/>
      <c r="AC281" s="2893"/>
      <c r="AD281" s="2893"/>
      <c r="AE281" s="2893"/>
      <c r="AF281" s="2893"/>
      <c r="AG281" s="2893"/>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911"/>
      <c r="Y282" s="2911"/>
      <c r="Z282" s="2911"/>
      <c r="AA282" s="2911"/>
      <c r="AB282" s="2911"/>
      <c r="AC282" s="2911"/>
      <c r="AD282" s="2911"/>
      <c r="AE282" s="2911"/>
      <c r="AF282" s="2911"/>
      <c r="AG282" s="2911"/>
    </row>
    <row r="283" spans="1:33" ht="14.9" customHeight="1">
      <c r="A283" s="252"/>
      <c r="B283" s="2903" t="s">
        <v>625</v>
      </c>
      <c r="C283" s="2903"/>
      <c r="D283" s="2903"/>
      <c r="E283" s="2903"/>
      <c r="F283" s="6"/>
      <c r="G283" s="65"/>
      <c r="H283" s="799"/>
      <c r="I283" s="710"/>
      <c r="J283" s="711"/>
      <c r="K283" s="628"/>
      <c r="L283" s="710"/>
      <c r="M283" s="711"/>
      <c r="N283" s="628"/>
      <c r="O283" s="710"/>
      <c r="P283" s="712"/>
      <c r="Q283" s="628"/>
      <c r="R283" s="762"/>
      <c r="S283" s="762"/>
      <c r="T283" s="628"/>
      <c r="U283" s="762"/>
      <c r="V283" s="762"/>
      <c r="W283" s="628"/>
      <c r="X283" s="2893"/>
      <c r="Y283" s="2893"/>
      <c r="Z283" s="2893"/>
      <c r="AA283" s="2893"/>
      <c r="AB283" s="2893"/>
      <c r="AC283" s="2893"/>
      <c r="AD283" s="2893"/>
      <c r="AE283" s="2893"/>
      <c r="AF283" s="2893"/>
      <c r="AG283" s="2893"/>
    </row>
    <row r="284" spans="1:33" ht="14.9" customHeight="1">
      <c r="A284" s="252"/>
      <c r="B284" s="2903" t="s">
        <v>626</v>
      </c>
      <c r="C284" s="2903"/>
      <c r="D284" s="2903"/>
      <c r="E284" s="2903"/>
      <c r="F284" s="6"/>
      <c r="G284" s="63"/>
      <c r="H284" s="480"/>
      <c r="I284" s="710"/>
      <c r="J284" s="582"/>
      <c r="K284" s="526"/>
      <c r="L284" s="748"/>
      <c r="M284" s="711"/>
      <c r="N284" s="526"/>
      <c r="O284" s="710"/>
      <c r="P284" s="582"/>
      <c r="Q284" s="526"/>
      <c r="R284" s="762"/>
      <c r="S284" s="762"/>
      <c r="T284" s="526"/>
      <c r="U284" s="762"/>
      <c r="V284" s="762"/>
      <c r="W284" s="526"/>
      <c r="X284" s="2893"/>
      <c r="Y284" s="2893"/>
      <c r="Z284" s="2893"/>
      <c r="AA284" s="2893"/>
      <c r="AB284" s="2893"/>
      <c r="AC284" s="2893"/>
      <c r="AD284" s="2893"/>
      <c r="AE284" s="2893"/>
      <c r="AF284" s="2893"/>
      <c r="AG284" s="2893"/>
    </row>
    <row r="285" spans="1:33" ht="14.9" customHeight="1">
      <c r="A285" s="252"/>
      <c r="B285" s="2903" t="s">
        <v>627</v>
      </c>
      <c r="C285" s="2903"/>
      <c r="D285" s="2903"/>
      <c r="E285" s="2903"/>
      <c r="F285" s="6"/>
      <c r="G285" s="63"/>
      <c r="H285" s="794"/>
      <c r="I285" s="710"/>
      <c r="J285" s="582"/>
      <c r="K285" s="561"/>
      <c r="L285" s="748"/>
      <c r="M285" s="711"/>
      <c r="N285" s="561"/>
      <c r="O285" s="710"/>
      <c r="P285" s="582"/>
      <c r="Q285" s="561"/>
      <c r="R285" s="762"/>
      <c r="S285" s="762"/>
      <c r="T285" s="561"/>
      <c r="U285" s="762"/>
      <c r="V285" s="762"/>
      <c r="W285" s="561"/>
      <c r="X285" s="2893"/>
      <c r="Y285" s="2893"/>
      <c r="Z285" s="2893"/>
      <c r="AA285" s="2893"/>
      <c r="AB285" s="2893"/>
      <c r="AC285" s="2893"/>
      <c r="AD285" s="2893"/>
      <c r="AE285" s="2893"/>
      <c r="AF285" s="2893"/>
      <c r="AG285" s="2893"/>
    </row>
    <row r="286" spans="1:33" ht="14.9" customHeight="1">
      <c r="A286" s="252"/>
      <c r="B286" s="2904" t="s">
        <v>628</v>
      </c>
      <c r="C286" s="2904"/>
      <c r="D286" s="2904"/>
      <c r="E286" s="2904"/>
      <c r="F286" s="6"/>
      <c r="G286" s="63"/>
      <c r="H286" s="480"/>
      <c r="I286" s="710"/>
      <c r="J286" s="582"/>
      <c r="K286" s="526"/>
      <c r="L286" s="748"/>
      <c r="M286" s="711"/>
      <c r="N286" s="526"/>
      <c r="O286" s="710"/>
      <c r="P286" s="582"/>
      <c r="Q286" s="526"/>
      <c r="R286" s="762"/>
      <c r="S286" s="762"/>
      <c r="T286" s="526"/>
      <c r="U286" s="762"/>
      <c r="V286" s="762"/>
      <c r="W286" s="526"/>
      <c r="X286" s="2893"/>
      <c r="Y286" s="2893"/>
      <c r="Z286" s="2893"/>
      <c r="AA286" s="2893"/>
      <c r="AB286" s="2893"/>
      <c r="AC286" s="2893"/>
      <c r="AD286" s="2893"/>
      <c r="AE286" s="2893"/>
      <c r="AF286" s="2893"/>
      <c r="AG286" s="2893"/>
    </row>
    <row r="287" spans="1:33" ht="33.75" customHeight="1">
      <c r="A287" s="252"/>
      <c r="B287" s="2904" t="s">
        <v>629</v>
      </c>
      <c r="C287" s="2904"/>
      <c r="D287" s="2904"/>
      <c r="E287" s="2904"/>
      <c r="F287" s="6"/>
      <c r="G287" s="65"/>
      <c r="H287" s="795"/>
      <c r="I287" s="710"/>
      <c r="J287" s="711"/>
      <c r="K287" s="568"/>
      <c r="L287" s="710"/>
      <c r="M287" s="711"/>
      <c r="N287" s="568"/>
      <c r="O287" s="710"/>
      <c r="P287" s="712"/>
      <c r="Q287" s="568"/>
      <c r="R287" s="762"/>
      <c r="S287" s="762"/>
      <c r="T287" s="568"/>
      <c r="U287" s="762"/>
      <c r="V287" s="762"/>
      <c r="W287" s="568"/>
      <c r="X287" s="2893"/>
      <c r="Y287" s="2893"/>
      <c r="Z287" s="2893"/>
      <c r="AA287" s="2893"/>
      <c r="AB287" s="2893"/>
      <c r="AC287" s="2893"/>
      <c r="AD287" s="2893"/>
      <c r="AE287" s="2893"/>
      <c r="AF287" s="2893"/>
      <c r="AG287" s="2893"/>
    </row>
    <row r="288" spans="1:33" ht="14.9" customHeight="1">
      <c r="A288" s="252"/>
      <c r="B288" s="2903" t="s">
        <v>630</v>
      </c>
      <c r="C288" s="2903"/>
      <c r="D288" s="2903"/>
      <c r="E288" s="2903"/>
      <c r="F288" s="6"/>
      <c r="G288" s="65"/>
      <c r="H288" s="480"/>
      <c r="I288" s="710"/>
      <c r="J288" s="711"/>
      <c r="K288" s="526"/>
      <c r="L288" s="710"/>
      <c r="M288" s="711"/>
      <c r="N288" s="526"/>
      <c r="O288" s="710"/>
      <c r="P288" s="712"/>
      <c r="Q288" s="526"/>
      <c r="R288" s="762"/>
      <c r="S288" s="762"/>
      <c r="T288" s="526"/>
      <c r="U288" s="762"/>
      <c r="V288" s="762"/>
      <c r="W288" s="526"/>
      <c r="X288" s="2893"/>
      <c r="Y288" s="2893"/>
      <c r="Z288" s="2893"/>
      <c r="AA288" s="2893"/>
      <c r="AB288" s="2893"/>
      <c r="AC288" s="2893"/>
      <c r="AD288" s="2893"/>
      <c r="AE288" s="2893"/>
      <c r="AF288" s="2893"/>
      <c r="AG288" s="2893"/>
    </row>
    <row r="289" spans="1:33" ht="14.9" customHeight="1">
      <c r="A289" s="252"/>
      <c r="B289" s="2904" t="s">
        <v>634</v>
      </c>
      <c r="C289" s="2904"/>
      <c r="D289" s="2904"/>
      <c r="E289" s="2904"/>
      <c r="F289" s="6"/>
      <c r="G289" s="65"/>
      <c r="H289" s="481"/>
      <c r="I289" s="710"/>
      <c r="J289" s="711"/>
      <c r="K289" s="553"/>
      <c r="L289" s="710"/>
      <c r="M289" s="711"/>
      <c r="N289" s="553"/>
      <c r="O289" s="710"/>
      <c r="P289" s="712"/>
      <c r="Q289" s="553"/>
      <c r="R289" s="762"/>
      <c r="S289" s="762"/>
      <c r="T289" s="553"/>
      <c r="U289" s="762"/>
      <c r="V289" s="762"/>
      <c r="W289" s="553"/>
      <c r="X289" s="2893"/>
      <c r="Y289" s="2893"/>
      <c r="Z289" s="2893"/>
      <c r="AA289" s="2893"/>
      <c r="AB289" s="2893"/>
      <c r="AC289" s="2893"/>
      <c r="AD289" s="2893"/>
      <c r="AE289" s="2893"/>
      <c r="AF289" s="2893"/>
      <c r="AG289" s="2893"/>
    </row>
    <row r="290" spans="1:33" ht="29.15" customHeight="1">
      <c r="A290" s="252"/>
      <c r="B290" s="2903" t="s">
        <v>1551</v>
      </c>
      <c r="C290" s="2903"/>
      <c r="D290" s="2903"/>
      <c r="E290" s="2903"/>
      <c r="F290" s="6"/>
      <c r="G290" s="65"/>
      <c r="H290" s="796"/>
      <c r="I290" s="710"/>
      <c r="J290" s="711"/>
      <c r="K290" s="619"/>
      <c r="L290" s="710"/>
      <c r="M290" s="711"/>
      <c r="N290" s="619"/>
      <c r="O290" s="710"/>
      <c r="P290" s="712"/>
      <c r="Q290" s="619"/>
      <c r="R290" s="762"/>
      <c r="S290" s="762"/>
      <c r="T290" s="619"/>
      <c r="U290" s="762"/>
      <c r="V290" s="762"/>
      <c r="W290" s="619"/>
      <c r="X290" s="2893"/>
      <c r="Y290" s="2893"/>
      <c r="Z290" s="2893"/>
      <c r="AA290" s="2893"/>
      <c r="AB290" s="2893"/>
      <c r="AC290" s="2893"/>
      <c r="AD290" s="2893"/>
      <c r="AE290" s="2893"/>
      <c r="AF290" s="2893"/>
      <c r="AG290" s="2893"/>
    </row>
    <row r="291" spans="1:33" ht="29.15" customHeight="1">
      <c r="A291" s="252"/>
      <c r="B291" s="2903" t="s">
        <v>1552</v>
      </c>
      <c r="C291" s="2903"/>
      <c r="D291" s="2903"/>
      <c r="E291" s="2903"/>
      <c r="F291" s="6"/>
      <c r="G291" s="65"/>
      <c r="H291" s="796"/>
      <c r="I291" s="710"/>
      <c r="J291" s="711"/>
      <c r="K291" s="619"/>
      <c r="L291" s="710"/>
      <c r="M291" s="711"/>
      <c r="N291" s="619"/>
      <c r="O291" s="710"/>
      <c r="P291" s="712"/>
      <c r="Q291" s="619"/>
      <c r="R291" s="762"/>
      <c r="S291" s="762"/>
      <c r="T291" s="619"/>
      <c r="U291" s="762"/>
      <c r="V291" s="762"/>
      <c r="W291" s="619"/>
      <c r="X291" s="2893"/>
      <c r="Y291" s="2893"/>
      <c r="Z291" s="2893"/>
      <c r="AA291" s="2893"/>
      <c r="AB291" s="2893"/>
      <c r="AC291" s="2893"/>
      <c r="AD291" s="2893"/>
      <c r="AE291" s="2893"/>
      <c r="AF291" s="2893"/>
      <c r="AG291" s="2893"/>
    </row>
    <row r="292" spans="1:33" ht="33.75" customHeight="1">
      <c r="A292" s="252"/>
      <c r="B292" s="2903" t="s">
        <v>331</v>
      </c>
      <c r="C292" s="2903"/>
      <c r="D292" s="2903"/>
      <c r="E292" s="2903"/>
      <c r="F292" s="6"/>
      <c r="G292" s="65"/>
      <c r="H292" s="480"/>
      <c r="I292" s="710"/>
      <c r="J292" s="711"/>
      <c r="K292" s="526"/>
      <c r="L292" s="710"/>
      <c r="M292" s="711"/>
      <c r="N292" s="526"/>
      <c r="O292" s="710"/>
      <c r="P292" s="712"/>
      <c r="Q292" s="526"/>
      <c r="R292" s="762"/>
      <c r="S292" s="762"/>
      <c r="T292" s="526"/>
      <c r="U292" s="762"/>
      <c r="V292" s="762"/>
      <c r="W292" s="526"/>
      <c r="X292" s="2893"/>
      <c r="Y292" s="2893"/>
      <c r="Z292" s="2893"/>
      <c r="AA292" s="2893"/>
      <c r="AB292" s="2893"/>
      <c r="AC292" s="2893"/>
      <c r="AD292" s="2893"/>
      <c r="AE292" s="2893"/>
      <c r="AF292" s="2893"/>
      <c r="AG292" s="2893"/>
    </row>
    <row r="293" spans="1:33" ht="14.9" customHeight="1">
      <c r="A293" s="252"/>
      <c r="B293" s="2904" t="s">
        <v>332</v>
      </c>
      <c r="C293" s="2904"/>
      <c r="D293" s="2904"/>
      <c r="E293" s="2904"/>
      <c r="F293" s="6"/>
      <c r="G293" s="63"/>
      <c r="H293" s="480"/>
      <c r="I293" s="710"/>
      <c r="J293" s="582"/>
      <c r="K293" s="526"/>
      <c r="L293" s="748"/>
      <c r="M293" s="711"/>
      <c r="N293" s="526"/>
      <c r="O293" s="710"/>
      <c r="P293" s="582"/>
      <c r="Q293" s="526"/>
      <c r="R293" s="762"/>
      <c r="S293" s="762"/>
      <c r="T293" s="526"/>
      <c r="U293" s="762"/>
      <c r="V293" s="762"/>
      <c r="W293" s="526"/>
      <c r="X293" s="2893"/>
      <c r="Y293" s="2893"/>
      <c r="Z293" s="2893"/>
      <c r="AA293" s="2893"/>
      <c r="AB293" s="2893"/>
      <c r="AC293" s="2893"/>
      <c r="AD293" s="2893"/>
      <c r="AE293" s="2893"/>
      <c r="AF293" s="2893"/>
      <c r="AG293" s="2893"/>
    </row>
    <row r="294" spans="1:33" ht="14.9" customHeight="1">
      <c r="A294" s="252"/>
      <c r="B294" s="2903" t="s">
        <v>333</v>
      </c>
      <c r="C294" s="2903"/>
      <c r="D294" s="2903"/>
      <c r="E294" s="2903"/>
      <c r="F294" s="6"/>
      <c r="G294" s="63"/>
      <c r="H294" s="480"/>
      <c r="I294" s="710"/>
      <c r="J294" s="582"/>
      <c r="K294" s="526"/>
      <c r="L294" s="748"/>
      <c r="M294" s="711"/>
      <c r="N294" s="526"/>
      <c r="O294" s="710"/>
      <c r="P294" s="582"/>
      <c r="Q294" s="526"/>
      <c r="R294" s="762"/>
      <c r="S294" s="762"/>
      <c r="T294" s="526"/>
      <c r="U294" s="762"/>
      <c r="V294" s="762"/>
      <c r="W294" s="526"/>
      <c r="X294" s="2893"/>
      <c r="Y294" s="2893"/>
      <c r="Z294" s="2893"/>
      <c r="AA294" s="2893"/>
      <c r="AB294" s="2893"/>
      <c r="AC294" s="2893"/>
      <c r="AD294" s="2893"/>
      <c r="AE294" s="2893"/>
      <c r="AF294" s="2893"/>
      <c r="AG294" s="2893"/>
    </row>
    <row r="295" spans="1:33" ht="14.9" customHeight="1">
      <c r="A295" s="252"/>
      <c r="B295" s="2903" t="s">
        <v>334</v>
      </c>
      <c r="C295" s="2903"/>
      <c r="D295" s="2903"/>
      <c r="E295" s="2903"/>
      <c r="F295" s="6"/>
      <c r="G295" s="63"/>
      <c r="H295" s="480"/>
      <c r="I295" s="710"/>
      <c r="J295" s="582"/>
      <c r="K295" s="526"/>
      <c r="L295" s="748"/>
      <c r="M295" s="711"/>
      <c r="N295" s="526"/>
      <c r="O295" s="710"/>
      <c r="P295" s="582"/>
      <c r="Q295" s="526"/>
      <c r="R295" s="762"/>
      <c r="S295" s="762"/>
      <c r="T295" s="526"/>
      <c r="U295" s="762"/>
      <c r="V295" s="762"/>
      <c r="W295" s="526"/>
      <c r="X295" s="2893"/>
      <c r="Y295" s="2893"/>
      <c r="Z295" s="2893"/>
      <c r="AA295" s="2893"/>
      <c r="AB295" s="2893"/>
      <c r="AC295" s="2893"/>
      <c r="AD295" s="2893"/>
      <c r="AE295" s="2893"/>
      <c r="AF295" s="2893"/>
      <c r="AG295" s="2893"/>
    </row>
    <row r="296" spans="1:33" ht="14.9" customHeight="1">
      <c r="A296" s="252"/>
      <c r="B296" s="2904" t="s">
        <v>335</v>
      </c>
      <c r="C296" s="2904"/>
      <c r="D296" s="2904"/>
      <c r="E296" s="2904"/>
      <c r="F296" s="6"/>
      <c r="G296" s="63"/>
      <c r="H296" s="480"/>
      <c r="I296" s="710"/>
      <c r="J296" s="582"/>
      <c r="K296" s="526"/>
      <c r="L296" s="748"/>
      <c r="M296" s="711"/>
      <c r="N296" s="526"/>
      <c r="O296" s="710"/>
      <c r="P296" s="582"/>
      <c r="Q296" s="526"/>
      <c r="R296" s="762"/>
      <c r="S296" s="762"/>
      <c r="T296" s="526"/>
      <c r="U296" s="762"/>
      <c r="V296" s="762"/>
      <c r="W296" s="526"/>
      <c r="X296" s="2893"/>
      <c r="Y296" s="2893"/>
      <c r="Z296" s="2893"/>
      <c r="AA296" s="2893"/>
      <c r="AB296" s="2893"/>
      <c r="AC296" s="2893"/>
      <c r="AD296" s="2893"/>
      <c r="AE296" s="2893"/>
      <c r="AF296" s="2893"/>
      <c r="AG296" s="2893"/>
    </row>
    <row r="297" spans="1:33" ht="14.9" customHeight="1">
      <c r="A297" s="252"/>
      <c r="B297" s="2903" t="s">
        <v>336</v>
      </c>
      <c r="C297" s="2903"/>
      <c r="D297" s="2903"/>
      <c r="E297" s="2903"/>
      <c r="F297" s="6"/>
      <c r="G297" s="63"/>
      <c r="H297" s="480"/>
      <c r="I297" s="710"/>
      <c r="J297" s="582"/>
      <c r="K297" s="526"/>
      <c r="L297" s="748"/>
      <c r="M297" s="711"/>
      <c r="N297" s="526"/>
      <c r="O297" s="710"/>
      <c r="P297" s="582"/>
      <c r="Q297" s="526"/>
      <c r="R297" s="762"/>
      <c r="S297" s="762"/>
      <c r="T297" s="526"/>
      <c r="U297" s="762"/>
      <c r="V297" s="762"/>
      <c r="W297" s="526"/>
      <c r="X297" s="2893"/>
      <c r="Y297" s="2893"/>
      <c r="Z297" s="2893"/>
      <c r="AA297" s="2893"/>
      <c r="AB297" s="2893"/>
      <c r="AC297" s="2893"/>
      <c r="AD297" s="2893"/>
      <c r="AE297" s="2893"/>
      <c r="AF297" s="2893"/>
      <c r="AG297" s="2893"/>
    </row>
    <row r="298" spans="1:33" ht="33.75" customHeight="1">
      <c r="A298" s="252"/>
      <c r="B298" s="2903" t="s">
        <v>337</v>
      </c>
      <c r="C298" s="2903"/>
      <c r="D298" s="2903"/>
      <c r="E298" s="2903"/>
      <c r="F298" s="6"/>
      <c r="G298" s="63"/>
      <c r="H298" s="480"/>
      <c r="I298" s="710"/>
      <c r="J298" s="582"/>
      <c r="K298" s="526"/>
      <c r="L298" s="748"/>
      <c r="M298" s="711"/>
      <c r="N298" s="526"/>
      <c r="O298" s="710"/>
      <c r="P298" s="582"/>
      <c r="Q298" s="526"/>
      <c r="R298" s="762"/>
      <c r="S298" s="762"/>
      <c r="T298" s="526"/>
      <c r="U298" s="762"/>
      <c r="V298" s="762"/>
      <c r="W298" s="526"/>
      <c r="X298" s="2893"/>
      <c r="Y298" s="2893"/>
      <c r="Z298" s="2893"/>
      <c r="AA298" s="2893"/>
      <c r="AB298" s="2893"/>
      <c r="AC298" s="2893"/>
      <c r="AD298" s="2893"/>
      <c r="AE298" s="2893"/>
      <c r="AF298" s="2893"/>
      <c r="AG298" s="2893"/>
    </row>
    <row r="299" spans="1:33" ht="33.75" customHeight="1">
      <c r="A299" s="252"/>
      <c r="B299" s="2903" t="s">
        <v>338</v>
      </c>
      <c r="C299" s="2903"/>
      <c r="D299" s="2903"/>
      <c r="E299" s="2903"/>
      <c r="F299" s="6"/>
      <c r="G299" s="63"/>
      <c r="H299" s="480"/>
      <c r="I299" s="710"/>
      <c r="J299" s="582"/>
      <c r="K299" s="526"/>
      <c r="L299" s="748"/>
      <c r="M299" s="711"/>
      <c r="N299" s="526"/>
      <c r="O299" s="710"/>
      <c r="P299" s="582"/>
      <c r="Q299" s="526"/>
      <c r="R299" s="762"/>
      <c r="S299" s="762"/>
      <c r="T299" s="526"/>
      <c r="U299" s="762"/>
      <c r="V299" s="762"/>
      <c r="W299" s="526"/>
      <c r="X299" s="2893"/>
      <c r="Y299" s="2893"/>
      <c r="Z299" s="2893"/>
      <c r="AA299" s="2893"/>
      <c r="AB299" s="2893"/>
      <c r="AC299" s="2893"/>
      <c r="AD299" s="2893"/>
      <c r="AE299" s="2893"/>
      <c r="AF299" s="2893"/>
      <c r="AG299" s="2893"/>
    </row>
    <row r="300" spans="1:33" ht="14.9" customHeight="1">
      <c r="A300" s="252"/>
      <c r="B300" s="2903" t="s">
        <v>735</v>
      </c>
      <c r="C300" s="2903"/>
      <c r="D300" s="2903"/>
      <c r="E300" s="2903"/>
      <c r="F300" s="6"/>
      <c r="G300" s="63"/>
      <c r="H300" s="480"/>
      <c r="I300" s="710"/>
      <c r="J300" s="582"/>
      <c r="K300" s="526"/>
      <c r="L300" s="748"/>
      <c r="M300" s="711"/>
      <c r="N300" s="526"/>
      <c r="O300" s="710"/>
      <c r="P300" s="582"/>
      <c r="Q300" s="526"/>
      <c r="R300" s="762"/>
      <c r="S300" s="762"/>
      <c r="T300" s="526"/>
      <c r="U300" s="762"/>
      <c r="V300" s="762"/>
      <c r="W300" s="526"/>
      <c r="X300" s="2893"/>
      <c r="Y300" s="2893"/>
      <c r="Z300" s="2893"/>
      <c r="AA300" s="2893"/>
      <c r="AB300" s="2893"/>
      <c r="AC300" s="2893"/>
      <c r="AD300" s="2893"/>
      <c r="AE300" s="2893"/>
      <c r="AF300" s="2893"/>
      <c r="AG300" s="2893"/>
    </row>
    <row r="301" spans="1:33" ht="14.9" customHeight="1">
      <c r="A301" s="252"/>
      <c r="B301" s="2903" t="s">
        <v>734</v>
      </c>
      <c r="C301" s="2903"/>
      <c r="D301" s="2903"/>
      <c r="E301" s="2903"/>
      <c r="F301" s="6"/>
      <c r="G301" s="63"/>
      <c r="H301" s="797"/>
      <c r="I301" s="710"/>
      <c r="J301" s="582"/>
      <c r="K301" s="562"/>
      <c r="L301" s="748"/>
      <c r="M301" s="711"/>
      <c r="N301" s="562"/>
      <c r="O301" s="710"/>
      <c r="P301" s="582"/>
      <c r="Q301" s="562"/>
      <c r="R301" s="762"/>
      <c r="S301" s="762"/>
      <c r="T301" s="562"/>
      <c r="U301" s="762"/>
      <c r="V301" s="762"/>
      <c r="W301" s="562"/>
      <c r="X301" s="2893"/>
      <c r="Y301" s="2893"/>
      <c r="Z301" s="2893"/>
      <c r="AA301" s="2893"/>
      <c r="AB301" s="2893"/>
      <c r="AC301" s="2893"/>
      <c r="AD301" s="2893"/>
      <c r="AE301" s="2893"/>
      <c r="AF301" s="2893"/>
      <c r="AG301" s="2893"/>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911"/>
      <c r="Y302" s="2911"/>
      <c r="Z302" s="2911"/>
      <c r="AA302" s="2911"/>
      <c r="AB302" s="2911"/>
      <c r="AC302" s="2911"/>
      <c r="AD302" s="2911"/>
      <c r="AE302" s="2911"/>
      <c r="AF302" s="2911"/>
      <c r="AG302" s="2911"/>
    </row>
    <row r="303" spans="1:33" ht="14.9" customHeight="1">
      <c r="A303" s="252"/>
      <c r="B303" s="2903" t="s">
        <v>625</v>
      </c>
      <c r="C303" s="2903"/>
      <c r="D303" s="2903"/>
      <c r="E303" s="2903"/>
      <c r="F303" s="6"/>
      <c r="G303" s="65"/>
      <c r="H303" s="799"/>
      <c r="I303" s="710"/>
      <c r="J303" s="711"/>
      <c r="K303" s="628"/>
      <c r="L303" s="710"/>
      <c r="M303" s="711"/>
      <c r="N303" s="628"/>
      <c r="O303" s="710"/>
      <c r="P303" s="712"/>
      <c r="Q303" s="628"/>
      <c r="R303" s="762"/>
      <c r="S303" s="762"/>
      <c r="T303" s="628"/>
      <c r="U303" s="762"/>
      <c r="V303" s="762"/>
      <c r="W303" s="628"/>
      <c r="X303" s="2893"/>
      <c r="Y303" s="2893"/>
      <c r="Z303" s="2893"/>
      <c r="AA303" s="2893"/>
      <c r="AB303" s="2893"/>
      <c r="AC303" s="2893"/>
      <c r="AD303" s="2893"/>
      <c r="AE303" s="2893"/>
      <c r="AF303" s="2893"/>
      <c r="AG303" s="2893"/>
    </row>
    <row r="304" spans="1:33" ht="14.9" customHeight="1">
      <c r="A304" s="252"/>
      <c r="B304" s="2903" t="s">
        <v>626</v>
      </c>
      <c r="C304" s="2903"/>
      <c r="D304" s="2903"/>
      <c r="E304" s="2903"/>
      <c r="F304" s="6"/>
      <c r="G304" s="63"/>
      <c r="H304" s="480"/>
      <c r="I304" s="710"/>
      <c r="J304" s="582"/>
      <c r="K304" s="526"/>
      <c r="L304" s="748"/>
      <c r="M304" s="711"/>
      <c r="N304" s="526"/>
      <c r="O304" s="710"/>
      <c r="P304" s="582"/>
      <c r="Q304" s="526"/>
      <c r="R304" s="762"/>
      <c r="S304" s="762"/>
      <c r="T304" s="526"/>
      <c r="U304" s="762"/>
      <c r="V304" s="762"/>
      <c r="W304" s="526"/>
      <c r="X304" s="2893"/>
      <c r="Y304" s="2893"/>
      <c r="Z304" s="2893"/>
      <c r="AA304" s="2893"/>
      <c r="AB304" s="2893"/>
      <c r="AC304" s="2893"/>
      <c r="AD304" s="2893"/>
      <c r="AE304" s="2893"/>
      <c r="AF304" s="2893"/>
      <c r="AG304" s="2893"/>
    </row>
    <row r="305" spans="1:33" ht="14.9" customHeight="1">
      <c r="A305" s="252"/>
      <c r="B305" s="2903" t="s">
        <v>627</v>
      </c>
      <c r="C305" s="2903"/>
      <c r="D305" s="2903"/>
      <c r="E305" s="2903"/>
      <c r="F305" s="6"/>
      <c r="G305" s="63"/>
      <c r="H305" s="794"/>
      <c r="I305" s="710"/>
      <c r="J305" s="582"/>
      <c r="K305" s="561"/>
      <c r="L305" s="748"/>
      <c r="M305" s="711"/>
      <c r="N305" s="561"/>
      <c r="O305" s="710"/>
      <c r="P305" s="582"/>
      <c r="Q305" s="561"/>
      <c r="R305" s="762"/>
      <c r="S305" s="762"/>
      <c r="T305" s="561"/>
      <c r="U305" s="762"/>
      <c r="V305" s="762"/>
      <c r="W305" s="561"/>
      <c r="X305" s="2893"/>
      <c r="Y305" s="2893"/>
      <c r="Z305" s="2893"/>
      <c r="AA305" s="2893"/>
      <c r="AB305" s="2893"/>
      <c r="AC305" s="2893"/>
      <c r="AD305" s="2893"/>
      <c r="AE305" s="2893"/>
      <c r="AF305" s="2893"/>
      <c r="AG305" s="2893"/>
    </row>
    <row r="306" spans="1:33" ht="14.9" customHeight="1">
      <c r="A306" s="252"/>
      <c r="B306" s="2904" t="s">
        <v>628</v>
      </c>
      <c r="C306" s="2904"/>
      <c r="D306" s="2904"/>
      <c r="E306" s="2904"/>
      <c r="F306" s="6"/>
      <c r="G306" s="63"/>
      <c r="H306" s="480"/>
      <c r="I306" s="710"/>
      <c r="J306" s="582"/>
      <c r="K306" s="526"/>
      <c r="L306" s="748"/>
      <c r="M306" s="711"/>
      <c r="N306" s="526"/>
      <c r="O306" s="710"/>
      <c r="P306" s="582"/>
      <c r="Q306" s="526"/>
      <c r="R306" s="762"/>
      <c r="S306" s="762"/>
      <c r="T306" s="526"/>
      <c r="U306" s="762"/>
      <c r="V306" s="762"/>
      <c r="W306" s="526"/>
      <c r="X306" s="2893"/>
      <c r="Y306" s="2893"/>
      <c r="Z306" s="2893"/>
      <c r="AA306" s="2893"/>
      <c r="AB306" s="2893"/>
      <c r="AC306" s="2893"/>
      <c r="AD306" s="2893"/>
      <c r="AE306" s="2893"/>
      <c r="AF306" s="2893"/>
      <c r="AG306" s="2893"/>
    </row>
    <row r="307" spans="1:33" ht="33.75" customHeight="1">
      <c r="A307" s="252"/>
      <c r="B307" s="2904" t="s">
        <v>629</v>
      </c>
      <c r="C307" s="2904"/>
      <c r="D307" s="2904"/>
      <c r="E307" s="2904"/>
      <c r="F307" s="6"/>
      <c r="G307" s="65"/>
      <c r="H307" s="795"/>
      <c r="I307" s="710"/>
      <c r="J307" s="711"/>
      <c r="K307" s="568"/>
      <c r="L307" s="710"/>
      <c r="M307" s="711"/>
      <c r="N307" s="568"/>
      <c r="O307" s="710"/>
      <c r="P307" s="712"/>
      <c r="Q307" s="568"/>
      <c r="R307" s="762"/>
      <c r="S307" s="762"/>
      <c r="T307" s="568"/>
      <c r="U307" s="762"/>
      <c r="V307" s="762"/>
      <c r="W307" s="568"/>
      <c r="X307" s="2893"/>
      <c r="Y307" s="2893"/>
      <c r="Z307" s="2893"/>
      <c r="AA307" s="2893"/>
      <c r="AB307" s="2893"/>
      <c r="AC307" s="2893"/>
      <c r="AD307" s="2893"/>
      <c r="AE307" s="2893"/>
      <c r="AF307" s="2893"/>
      <c r="AG307" s="2893"/>
    </row>
    <row r="308" spans="1:33" ht="14.9" customHeight="1">
      <c r="A308" s="252"/>
      <c r="B308" s="2903" t="s">
        <v>630</v>
      </c>
      <c r="C308" s="2903"/>
      <c r="D308" s="2903"/>
      <c r="E308" s="2903"/>
      <c r="F308" s="6"/>
      <c r="G308" s="65"/>
      <c r="H308" s="480"/>
      <c r="I308" s="710"/>
      <c r="J308" s="711"/>
      <c r="K308" s="526"/>
      <c r="L308" s="710"/>
      <c r="M308" s="711"/>
      <c r="N308" s="526"/>
      <c r="O308" s="710"/>
      <c r="P308" s="712"/>
      <c r="Q308" s="526"/>
      <c r="R308" s="762"/>
      <c r="S308" s="762"/>
      <c r="T308" s="526"/>
      <c r="U308" s="762"/>
      <c r="V308" s="762"/>
      <c r="W308" s="526"/>
      <c r="X308" s="2893"/>
      <c r="Y308" s="2893"/>
      <c r="Z308" s="2893"/>
      <c r="AA308" s="2893"/>
      <c r="AB308" s="2893"/>
      <c r="AC308" s="2893"/>
      <c r="AD308" s="2893"/>
      <c r="AE308" s="2893"/>
      <c r="AF308" s="2893"/>
      <c r="AG308" s="2893"/>
    </row>
    <row r="309" spans="1:33" ht="14.9" customHeight="1">
      <c r="A309" s="252"/>
      <c r="B309" s="2904" t="s">
        <v>634</v>
      </c>
      <c r="C309" s="2904"/>
      <c r="D309" s="2904"/>
      <c r="E309" s="2904"/>
      <c r="F309" s="6"/>
      <c r="G309" s="65"/>
      <c r="H309" s="481"/>
      <c r="I309" s="710"/>
      <c r="J309" s="711"/>
      <c r="K309" s="553"/>
      <c r="L309" s="710"/>
      <c r="M309" s="711"/>
      <c r="N309" s="553"/>
      <c r="O309" s="710"/>
      <c r="P309" s="712"/>
      <c r="Q309" s="553"/>
      <c r="R309" s="762"/>
      <c r="S309" s="762"/>
      <c r="T309" s="553"/>
      <c r="U309" s="762"/>
      <c r="V309" s="762"/>
      <c r="W309" s="553"/>
      <c r="X309" s="2893"/>
      <c r="Y309" s="2893"/>
      <c r="Z309" s="2893"/>
      <c r="AA309" s="2893"/>
      <c r="AB309" s="2893"/>
      <c r="AC309" s="2893"/>
      <c r="AD309" s="2893"/>
      <c r="AE309" s="2893"/>
      <c r="AF309" s="2893"/>
      <c r="AG309" s="2893"/>
    </row>
    <row r="310" spans="1:33" ht="29.15" customHeight="1">
      <c r="A310" s="252"/>
      <c r="B310" s="2903" t="s">
        <v>1551</v>
      </c>
      <c r="C310" s="2903"/>
      <c r="D310" s="2903"/>
      <c r="E310" s="2903"/>
      <c r="F310" s="6"/>
      <c r="G310" s="65"/>
      <c r="H310" s="796"/>
      <c r="I310" s="710"/>
      <c r="J310" s="711"/>
      <c r="K310" s="619"/>
      <c r="L310" s="710"/>
      <c r="M310" s="711"/>
      <c r="N310" s="619"/>
      <c r="O310" s="710"/>
      <c r="P310" s="712"/>
      <c r="Q310" s="619"/>
      <c r="R310" s="762"/>
      <c r="S310" s="762"/>
      <c r="T310" s="619"/>
      <c r="U310" s="762"/>
      <c r="V310" s="762"/>
      <c r="W310" s="619"/>
      <c r="X310" s="2893"/>
      <c r="Y310" s="2893"/>
      <c r="Z310" s="2893"/>
      <c r="AA310" s="2893"/>
      <c r="AB310" s="2893"/>
      <c r="AC310" s="2893"/>
      <c r="AD310" s="2893"/>
      <c r="AE310" s="2893"/>
      <c r="AF310" s="2893"/>
      <c r="AG310" s="2893"/>
    </row>
    <row r="311" spans="1:33" ht="29.15" customHeight="1">
      <c r="A311" s="252"/>
      <c r="B311" s="2903" t="s">
        <v>1552</v>
      </c>
      <c r="C311" s="2903"/>
      <c r="D311" s="2903"/>
      <c r="E311" s="2903"/>
      <c r="F311" s="6"/>
      <c r="G311" s="65"/>
      <c r="H311" s="796"/>
      <c r="I311" s="710"/>
      <c r="J311" s="711"/>
      <c r="K311" s="619"/>
      <c r="L311" s="710"/>
      <c r="M311" s="711"/>
      <c r="N311" s="619"/>
      <c r="O311" s="710"/>
      <c r="P311" s="712"/>
      <c r="Q311" s="619"/>
      <c r="R311" s="762"/>
      <c r="S311" s="762"/>
      <c r="T311" s="619"/>
      <c r="U311" s="762"/>
      <c r="V311" s="762"/>
      <c r="W311" s="619"/>
      <c r="X311" s="2893"/>
      <c r="Y311" s="2893"/>
      <c r="Z311" s="2893"/>
      <c r="AA311" s="2893"/>
      <c r="AB311" s="2893"/>
      <c r="AC311" s="2893"/>
      <c r="AD311" s="2893"/>
      <c r="AE311" s="2893"/>
      <c r="AF311" s="2893"/>
      <c r="AG311" s="2893"/>
    </row>
    <row r="312" spans="1:33" ht="33.75" customHeight="1">
      <c r="A312" s="252"/>
      <c r="B312" s="2903" t="s">
        <v>331</v>
      </c>
      <c r="C312" s="2903"/>
      <c r="D312" s="2903"/>
      <c r="E312" s="2903"/>
      <c r="F312" s="6"/>
      <c r="G312" s="65"/>
      <c r="H312" s="480"/>
      <c r="I312" s="710"/>
      <c r="J312" s="711"/>
      <c r="K312" s="526"/>
      <c r="L312" s="710"/>
      <c r="M312" s="711"/>
      <c r="N312" s="526"/>
      <c r="O312" s="710"/>
      <c r="P312" s="712"/>
      <c r="Q312" s="526"/>
      <c r="R312" s="762"/>
      <c r="S312" s="762"/>
      <c r="T312" s="526"/>
      <c r="U312" s="762"/>
      <c r="V312" s="762"/>
      <c r="W312" s="526"/>
      <c r="X312" s="2893"/>
      <c r="Y312" s="2893"/>
      <c r="Z312" s="2893"/>
      <c r="AA312" s="2893"/>
      <c r="AB312" s="2893"/>
      <c r="AC312" s="2893"/>
      <c r="AD312" s="2893"/>
      <c r="AE312" s="2893"/>
      <c r="AF312" s="2893"/>
      <c r="AG312" s="2893"/>
    </row>
    <row r="313" spans="1:33" ht="14.9" customHeight="1">
      <c r="A313" s="252"/>
      <c r="B313" s="2904" t="s">
        <v>332</v>
      </c>
      <c r="C313" s="2904"/>
      <c r="D313" s="2904"/>
      <c r="E313" s="2904"/>
      <c r="F313" s="6"/>
      <c r="G313" s="63"/>
      <c r="H313" s="480"/>
      <c r="I313" s="710"/>
      <c r="J313" s="582"/>
      <c r="K313" s="526"/>
      <c r="L313" s="748"/>
      <c r="M313" s="711"/>
      <c r="N313" s="526"/>
      <c r="O313" s="710"/>
      <c r="P313" s="582"/>
      <c r="Q313" s="526"/>
      <c r="R313" s="762"/>
      <c r="S313" s="762"/>
      <c r="T313" s="526"/>
      <c r="U313" s="762"/>
      <c r="V313" s="762"/>
      <c r="W313" s="526"/>
      <c r="X313" s="2893"/>
      <c r="Y313" s="2893"/>
      <c r="Z313" s="2893"/>
      <c r="AA313" s="2893"/>
      <c r="AB313" s="2893"/>
      <c r="AC313" s="2893"/>
      <c r="AD313" s="2893"/>
      <c r="AE313" s="2893"/>
      <c r="AF313" s="2893"/>
      <c r="AG313" s="2893"/>
    </row>
    <row r="314" spans="1:33" ht="14.9" customHeight="1">
      <c r="A314" s="252"/>
      <c r="B314" s="2903" t="s">
        <v>333</v>
      </c>
      <c r="C314" s="2903"/>
      <c r="D314" s="2903"/>
      <c r="E314" s="2903"/>
      <c r="F314" s="6"/>
      <c r="G314" s="63"/>
      <c r="H314" s="480"/>
      <c r="I314" s="710"/>
      <c r="J314" s="582"/>
      <c r="K314" s="526"/>
      <c r="L314" s="748"/>
      <c r="M314" s="711"/>
      <c r="N314" s="526"/>
      <c r="O314" s="710"/>
      <c r="P314" s="582"/>
      <c r="Q314" s="526"/>
      <c r="R314" s="762"/>
      <c r="S314" s="762"/>
      <c r="T314" s="526"/>
      <c r="U314" s="762"/>
      <c r="V314" s="762"/>
      <c r="W314" s="526"/>
      <c r="X314" s="2893"/>
      <c r="Y314" s="2893"/>
      <c r="Z314" s="2893"/>
      <c r="AA314" s="2893"/>
      <c r="AB314" s="2893"/>
      <c r="AC314" s="2893"/>
      <c r="AD314" s="2893"/>
      <c r="AE314" s="2893"/>
      <c r="AF314" s="2893"/>
      <c r="AG314" s="2893"/>
    </row>
    <row r="315" spans="1:33" ht="14.9" customHeight="1">
      <c r="A315" s="252"/>
      <c r="B315" s="2903" t="s">
        <v>334</v>
      </c>
      <c r="C315" s="2903"/>
      <c r="D315" s="2903"/>
      <c r="E315" s="2903"/>
      <c r="F315" s="6"/>
      <c r="G315" s="63"/>
      <c r="H315" s="480"/>
      <c r="I315" s="710"/>
      <c r="J315" s="582"/>
      <c r="K315" s="526"/>
      <c r="L315" s="748"/>
      <c r="M315" s="711"/>
      <c r="N315" s="526"/>
      <c r="O315" s="710"/>
      <c r="P315" s="582"/>
      <c r="Q315" s="526"/>
      <c r="R315" s="762"/>
      <c r="S315" s="762"/>
      <c r="T315" s="526"/>
      <c r="U315" s="762"/>
      <c r="V315" s="762"/>
      <c r="W315" s="526"/>
      <c r="X315" s="2893"/>
      <c r="Y315" s="2893"/>
      <c r="Z315" s="2893"/>
      <c r="AA315" s="2893"/>
      <c r="AB315" s="2893"/>
      <c r="AC315" s="2893"/>
      <c r="AD315" s="2893"/>
      <c r="AE315" s="2893"/>
      <c r="AF315" s="2893"/>
      <c r="AG315" s="2893"/>
    </row>
    <row r="316" spans="1:33" ht="14.9" customHeight="1">
      <c r="A316" s="252"/>
      <c r="B316" s="2904" t="s">
        <v>335</v>
      </c>
      <c r="C316" s="2904"/>
      <c r="D316" s="2904"/>
      <c r="E316" s="2904"/>
      <c r="F316" s="6"/>
      <c r="G316" s="63"/>
      <c r="H316" s="480"/>
      <c r="I316" s="710"/>
      <c r="J316" s="582"/>
      <c r="K316" s="526"/>
      <c r="L316" s="748"/>
      <c r="M316" s="711"/>
      <c r="N316" s="526"/>
      <c r="O316" s="710"/>
      <c r="P316" s="582"/>
      <c r="Q316" s="526"/>
      <c r="R316" s="762"/>
      <c r="S316" s="762"/>
      <c r="T316" s="526"/>
      <c r="U316" s="762"/>
      <c r="V316" s="762"/>
      <c r="W316" s="526"/>
      <c r="X316" s="2893"/>
      <c r="Y316" s="2893"/>
      <c r="Z316" s="2893"/>
      <c r="AA316" s="2893"/>
      <c r="AB316" s="2893"/>
      <c r="AC316" s="2893"/>
      <c r="AD316" s="2893"/>
      <c r="AE316" s="2893"/>
      <c r="AF316" s="2893"/>
      <c r="AG316" s="2893"/>
    </row>
    <row r="317" spans="1:33" ht="14.9" customHeight="1">
      <c r="A317" s="252"/>
      <c r="B317" s="2903" t="s">
        <v>336</v>
      </c>
      <c r="C317" s="2903"/>
      <c r="D317" s="2903"/>
      <c r="E317" s="2903"/>
      <c r="F317" s="6"/>
      <c r="G317" s="63"/>
      <c r="H317" s="480"/>
      <c r="I317" s="710"/>
      <c r="J317" s="582"/>
      <c r="K317" s="526"/>
      <c r="L317" s="748"/>
      <c r="M317" s="711"/>
      <c r="N317" s="526"/>
      <c r="O317" s="710"/>
      <c r="P317" s="582"/>
      <c r="Q317" s="526"/>
      <c r="R317" s="762"/>
      <c r="S317" s="762"/>
      <c r="T317" s="526"/>
      <c r="U317" s="762"/>
      <c r="V317" s="762"/>
      <c r="W317" s="526"/>
      <c r="X317" s="2893"/>
      <c r="Y317" s="2893"/>
      <c r="Z317" s="2893"/>
      <c r="AA317" s="2893"/>
      <c r="AB317" s="2893"/>
      <c r="AC317" s="2893"/>
      <c r="AD317" s="2893"/>
      <c r="AE317" s="2893"/>
      <c r="AF317" s="2893"/>
      <c r="AG317" s="2893"/>
    </row>
    <row r="318" spans="1:33" ht="33.75" customHeight="1">
      <c r="A318" s="252"/>
      <c r="B318" s="2903" t="s">
        <v>337</v>
      </c>
      <c r="C318" s="2903"/>
      <c r="D318" s="2903"/>
      <c r="E318" s="2903"/>
      <c r="F318" s="6"/>
      <c r="G318" s="63"/>
      <c r="H318" s="480"/>
      <c r="I318" s="710"/>
      <c r="J318" s="582"/>
      <c r="K318" s="526"/>
      <c r="L318" s="748"/>
      <c r="M318" s="711"/>
      <c r="N318" s="526"/>
      <c r="O318" s="710"/>
      <c r="P318" s="582"/>
      <c r="Q318" s="526"/>
      <c r="R318" s="762"/>
      <c r="S318" s="762"/>
      <c r="T318" s="526"/>
      <c r="U318" s="762"/>
      <c r="V318" s="762"/>
      <c r="W318" s="526"/>
      <c r="X318" s="2893"/>
      <c r="Y318" s="2893"/>
      <c r="Z318" s="2893"/>
      <c r="AA318" s="2893"/>
      <c r="AB318" s="2893"/>
      <c r="AC318" s="2893"/>
      <c r="AD318" s="2893"/>
      <c r="AE318" s="2893"/>
      <c r="AF318" s="2893"/>
      <c r="AG318" s="2893"/>
    </row>
    <row r="319" spans="1:33" ht="33.75" customHeight="1">
      <c r="A319" s="252"/>
      <c r="B319" s="2903" t="s">
        <v>338</v>
      </c>
      <c r="C319" s="2903"/>
      <c r="D319" s="2903"/>
      <c r="E319" s="2903"/>
      <c r="F319" s="6"/>
      <c r="G319" s="63"/>
      <c r="H319" s="480"/>
      <c r="I319" s="710"/>
      <c r="J319" s="582"/>
      <c r="K319" s="526"/>
      <c r="L319" s="748"/>
      <c r="M319" s="711"/>
      <c r="N319" s="526"/>
      <c r="O319" s="710"/>
      <c r="P319" s="582"/>
      <c r="Q319" s="526"/>
      <c r="R319" s="762"/>
      <c r="S319" s="762"/>
      <c r="T319" s="526"/>
      <c r="U319" s="762"/>
      <c r="V319" s="762"/>
      <c r="W319" s="526"/>
      <c r="X319" s="2893"/>
      <c r="Y319" s="2893"/>
      <c r="Z319" s="2893"/>
      <c r="AA319" s="2893"/>
      <c r="AB319" s="2893"/>
      <c r="AC319" s="2893"/>
      <c r="AD319" s="2893"/>
      <c r="AE319" s="2893"/>
      <c r="AF319" s="2893"/>
      <c r="AG319" s="2893"/>
    </row>
    <row r="320" spans="1:33" ht="14.9" customHeight="1">
      <c r="A320" s="252"/>
      <c r="B320" s="2903" t="s">
        <v>735</v>
      </c>
      <c r="C320" s="2903"/>
      <c r="D320" s="2903"/>
      <c r="E320" s="2903"/>
      <c r="F320" s="6"/>
      <c r="G320" s="63"/>
      <c r="H320" s="480"/>
      <c r="I320" s="710"/>
      <c r="J320" s="582"/>
      <c r="K320" s="526"/>
      <c r="L320" s="748"/>
      <c r="M320" s="711"/>
      <c r="N320" s="526"/>
      <c r="O320" s="710"/>
      <c r="P320" s="582"/>
      <c r="Q320" s="526"/>
      <c r="R320" s="762"/>
      <c r="S320" s="762"/>
      <c r="T320" s="526"/>
      <c r="U320" s="762"/>
      <c r="V320" s="762"/>
      <c r="W320" s="526"/>
      <c r="X320" s="2893"/>
      <c r="Y320" s="2893"/>
      <c r="Z320" s="2893"/>
      <c r="AA320" s="2893"/>
      <c r="AB320" s="2893"/>
      <c r="AC320" s="2893"/>
      <c r="AD320" s="2893"/>
      <c r="AE320" s="2893"/>
      <c r="AF320" s="2893"/>
      <c r="AG320" s="2893"/>
    </row>
    <row r="321" spans="1:33" ht="14.9" customHeight="1">
      <c r="A321" s="252"/>
      <c r="B321" s="2903" t="s">
        <v>734</v>
      </c>
      <c r="C321" s="2903"/>
      <c r="D321" s="2903"/>
      <c r="E321" s="2903"/>
      <c r="F321" s="6"/>
      <c r="G321" s="63"/>
      <c r="H321" s="802"/>
      <c r="I321" s="741"/>
      <c r="J321" s="557"/>
      <c r="K321" s="769"/>
      <c r="L321" s="770"/>
      <c r="M321" s="742"/>
      <c r="N321" s="769"/>
      <c r="O321" s="741"/>
      <c r="P321" s="557"/>
      <c r="Q321" s="769"/>
      <c r="R321" s="768"/>
      <c r="S321" s="768"/>
      <c r="T321" s="769"/>
      <c r="U321" s="768"/>
      <c r="V321" s="768"/>
      <c r="W321" s="544"/>
      <c r="X321" s="2893"/>
      <c r="Y321" s="2893"/>
      <c r="Z321" s="2893"/>
      <c r="AA321" s="2893"/>
      <c r="AB321" s="2893"/>
      <c r="AC321" s="2893"/>
      <c r="AD321" s="2893"/>
      <c r="AE321" s="2893"/>
      <c r="AF321" s="2893"/>
      <c r="AG321" s="2893"/>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1772"/>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K0vCSrpjEd7IIgzissUhKVUehaFMVBJrjKLkD//B5RsgcjLkhfzIcHNJ87x8bNyQFHU/X8OI8k35h+rJHgpIzA==" saltValue="v5/OFpAyhrSx3AE2I2hxVg==" spinCount="100000" sheet="1" objects="1" scenarios="1" formatColumns="0" formatRows="0"/>
  <mergeCells count="486">
    <mergeCell ref="B320:E320"/>
    <mergeCell ref="X320:AG320"/>
    <mergeCell ref="B321:E321"/>
    <mergeCell ref="X321:AG321"/>
    <mergeCell ref="B317:E317"/>
    <mergeCell ref="X317:AG317"/>
    <mergeCell ref="B318:E318"/>
    <mergeCell ref="X318:AG318"/>
    <mergeCell ref="B319:E319"/>
    <mergeCell ref="X319:AG319"/>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X116:AG116"/>
    <mergeCell ref="B117:E117"/>
    <mergeCell ref="X117:AG117"/>
    <mergeCell ref="X120:AG120"/>
    <mergeCell ref="X121:AG121"/>
    <mergeCell ref="X122:AG122"/>
    <mergeCell ref="X111:AG111"/>
    <mergeCell ref="X112:AG112"/>
    <mergeCell ref="A113:A117"/>
    <mergeCell ref="B113:E113"/>
    <mergeCell ref="X113:AG113"/>
    <mergeCell ref="B114:E114"/>
    <mergeCell ref="X114:AG114"/>
    <mergeCell ref="B115:E115"/>
    <mergeCell ref="X115:AG115"/>
    <mergeCell ref="B116:E116"/>
    <mergeCell ref="A105:A107"/>
    <mergeCell ref="X105:AG105"/>
    <mergeCell ref="X106:AG106"/>
    <mergeCell ref="B107:E107"/>
    <mergeCell ref="X107:AG107"/>
    <mergeCell ref="A108:A112"/>
    <mergeCell ref="X108:AG108"/>
    <mergeCell ref="B109:E109"/>
    <mergeCell ref="X109:AG109"/>
    <mergeCell ref="X110:AG110"/>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P83:P84"/>
    <mergeCell ref="Q83:Q84"/>
    <mergeCell ref="T83:T84"/>
    <mergeCell ref="W83:W84"/>
    <mergeCell ref="X83:AG84"/>
    <mergeCell ref="X86:AG86"/>
    <mergeCell ref="G83:G84"/>
    <mergeCell ref="H83:H84"/>
    <mergeCell ref="J83:J84"/>
    <mergeCell ref="K83:K84"/>
    <mergeCell ref="M83:M84"/>
    <mergeCell ref="N83:N84"/>
    <mergeCell ref="C78:E78"/>
    <mergeCell ref="A81:E81"/>
    <mergeCell ref="G82:H82"/>
    <mergeCell ref="J82:K82"/>
    <mergeCell ref="M82:N82"/>
    <mergeCell ref="C75:E75"/>
    <mergeCell ref="C76:E76"/>
    <mergeCell ref="C77:E77"/>
    <mergeCell ref="C72:E72"/>
    <mergeCell ref="C73:E73"/>
    <mergeCell ref="C74:E74"/>
    <mergeCell ref="C69:E69"/>
    <mergeCell ref="C70:E70"/>
    <mergeCell ref="C71:E71"/>
    <mergeCell ref="C66:E66"/>
    <mergeCell ref="C67:E67"/>
    <mergeCell ref="C68:E68"/>
    <mergeCell ref="C63:E63"/>
    <mergeCell ref="C64:E64"/>
    <mergeCell ref="C65:E65"/>
    <mergeCell ref="C60:E60"/>
    <mergeCell ref="C61:E61"/>
    <mergeCell ref="C62:E62"/>
    <mergeCell ref="C57:E57"/>
    <mergeCell ref="C58:E58"/>
    <mergeCell ref="C59:E59"/>
    <mergeCell ref="C54:E54"/>
    <mergeCell ref="C55:E55"/>
    <mergeCell ref="C56:E56"/>
    <mergeCell ref="C51:E51"/>
    <mergeCell ref="C52:E52"/>
    <mergeCell ref="C53:E53"/>
    <mergeCell ref="C49:E49"/>
    <mergeCell ref="C50:E50"/>
    <mergeCell ref="B41:E41"/>
    <mergeCell ref="C42:E42"/>
    <mergeCell ref="K42:T42"/>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B11:E11"/>
    <mergeCell ref="K11:T11"/>
    <mergeCell ref="B12:E12"/>
    <mergeCell ref="K12:T12"/>
    <mergeCell ref="B15:E15"/>
    <mergeCell ref="K15:T15"/>
    <mergeCell ref="B8:E8"/>
    <mergeCell ref="K8:T8"/>
    <mergeCell ref="B9:E9"/>
    <mergeCell ref="K9:T9"/>
    <mergeCell ref="B10:E10"/>
    <mergeCell ref="K10:T10"/>
    <mergeCell ref="B1:E1"/>
    <mergeCell ref="B4:E4"/>
    <mergeCell ref="K4:T4"/>
    <mergeCell ref="K5:T5"/>
    <mergeCell ref="K6:T6"/>
    <mergeCell ref="K7:T7"/>
  </mergeCells>
  <conditionalFormatting sqref="G322">
    <cfRule type="expression" dxfId="36" priority="12">
      <formula>H$24="No"</formula>
    </cfRule>
    <cfRule type="expression" dxfId="35" priority="13">
      <formula>H$24="Yes"</formula>
    </cfRule>
  </conditionalFormatting>
  <conditionalFormatting sqref="P83:Q83 P82">
    <cfRule type="expression" dxfId="34" priority="14">
      <formula>VALUE(RIGHT($P$82,1))&gt;#REF!</formula>
    </cfRule>
  </conditionalFormatting>
  <conditionalFormatting sqref="M83:N83 M82">
    <cfRule type="expression" dxfId="33" priority="15">
      <formula>VALUE(RIGHT($M$82,1))&gt;#REF!</formula>
    </cfRule>
  </conditionalFormatting>
  <conditionalFormatting sqref="J83:K83 J82">
    <cfRule type="expression" dxfId="32" priority="16">
      <formula>VALUE(RIGHT($J$82,1))&gt;#REF!</formula>
    </cfRule>
  </conditionalFormatting>
  <conditionalFormatting sqref="M322">
    <cfRule type="expression" dxfId="31" priority="9">
      <formula>N$24="No"</formula>
    </cfRule>
    <cfRule type="expression" dxfId="30" priority="10">
      <formula>N$24="Yes"</formula>
    </cfRule>
  </conditionalFormatting>
  <conditionalFormatting sqref="M322">
    <cfRule type="expression" dxfId="29" priority="11">
      <formula>VALUE(RIGHT($K$11,1))&gt;#REF!</formula>
    </cfRule>
  </conditionalFormatting>
  <conditionalFormatting sqref="T83">
    <cfRule type="expression" dxfId="28" priority="8">
      <formula>VALUE(RIGHT($P$82,1))&gt;#REF!</formula>
    </cfRule>
  </conditionalFormatting>
  <conditionalFormatting sqref="Q82">
    <cfRule type="expression" dxfId="27" priority="7">
      <formula>VALUE(RIGHT($P$82,1))&gt;#REF!</formula>
    </cfRule>
  </conditionalFormatting>
  <conditionalFormatting sqref="T82">
    <cfRule type="expression" dxfId="26" priority="6">
      <formula>VALUE(RIGHT($P$82,1))&gt;#REF!</formula>
    </cfRule>
  </conditionalFormatting>
  <conditionalFormatting sqref="W83">
    <cfRule type="expression" dxfId="25" priority="5">
      <formula>VALUE(RIGHT($P$82,1))&gt;#REF!</formula>
    </cfRule>
  </conditionalFormatting>
  <conditionalFormatting sqref="W82">
    <cfRule type="expression" dxfId="24" priority="4">
      <formula>VALUE(RIGHT($P$82,1))&gt;#REF!</formula>
    </cfRule>
  </conditionalFormatting>
  <conditionalFormatting sqref="K85:M85">
    <cfRule type="expression" dxfId="23" priority="3">
      <formula>$H$7&lt;3</formula>
    </cfRule>
  </conditionalFormatting>
  <conditionalFormatting sqref="I85:J85">
    <cfRule type="expression" dxfId="22" priority="2">
      <formula>$H$7&lt;2</formula>
    </cfRule>
  </conditionalFormatting>
  <conditionalFormatting sqref="H17">
    <cfRule type="expression" dxfId="21" priority="1">
      <formula>IF(#REF!="","Population changed - check value")</formula>
    </cfRule>
  </conditionalFormatting>
  <dataValidations count="19">
    <dataValidation type="list" allowBlank="1" showInputMessage="1" showErrorMessage="1" sqref="M289:M291 J180:J182 M245:M247 M205:M207 J136 M225:M227 M136 M156 J156 M176 M160:M162 J176 J160:J162 M180:M182 M309:M311" xr:uid="{00000000-0002-0000-1D00-000000000000}">
      <formula1>"Motorcycle,Land Cruiser,Box Truck/Lorry"</formula1>
    </dataValidation>
    <dataValidation type="list" allowBlank="1" showInputMessage="1" showErrorMessage="1" sqref="G87 G89" xr:uid="{00000000-0002-0000-1D00-000001000000}">
      <formula1>"Tier 1,Tier 2,Tier 3,Tier 4"</formula1>
    </dataValidation>
    <dataValidation type="list" allowBlank="1" showInputMessage="1" showErrorMessage="1" sqref="G86" xr:uid="{00000000-0002-0000-1D00-000002000000}">
      <formula1>"ZimbabweZAPS,TEST"</formula1>
    </dataValidation>
    <dataValidation type="list" allowBlank="1" showInputMessage="1" showErrorMessage="1" sqref="H5 H86 K86 N86 Q86 T86 W86" xr:uid="{00000000-0002-0000-1D00-000003000000}">
      <formula1>$N$6:$N$11</formula1>
    </dataValidation>
    <dataValidation type="whole" allowBlank="1" showInputMessage="1" showErrorMessage="1" sqref="H7" xr:uid="{00000000-0002-0000-1D00-000004000000}">
      <formula1>1</formula1>
      <formula2>6</formula2>
    </dataValidation>
    <dataValidation type="decimal" operator="greaterThanOrEqual" allowBlank="1" showInputMessage="1" showErrorMessage="1" sqref="H12 H8 H18 H28:H38 K28:K38 H46 H49:H52 H73:H76 H43 H55:H58 H67 H69:H70 H98:H99 K98:K99 N98:N99 Q98:Q99 T98:T99 W98:W99 K103:K104 H106:H107 H109:H113 H115:H116 H121:H122 K106:K107 K109:K113 K115:K116 N103:N104 N106:N107 N109:N113 N115:N116 Q103:Q104 Q106:Q107 Q109:Q113 Q115:Q116 T103:T104 T106:T107 T109:T113 T115:T116 W103:W104 W106:W107 W109:W113 W115:W116 H315 K121:K122 N121:N122 Q121:Q122 T121:T122 W121:W122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H103:H104" xr:uid="{00000000-0002-0000-1D00-000005000000}">
      <formula1>0</formula1>
    </dataValidation>
    <dataValidation type="decimal" operator="greaterThan" allowBlank="1" showInputMessage="1" showErrorMessage="1" sqref="H6 H9:H11 H17 H21 H19 H68 H77:H78 H71:H72 H59:H66 H44:H45 H47:H48 H53:H54 H92 K92 N92 Q92 T92 W92 H108 H114 K108 K114 N108 N114 Q108 Q114 T108 T114 W108 W114 K180 K160 H184 H164 H191:H192 H171:H172 K140 H144 H151:H152 N180 N160 K184 K164 K191:K192 K171:K172 N140 K144 K151:K152 Q180 Q160 N184 N164 N191:N192 N171:N172 Q140 N144 N151:N152 T180 T160 Q184 Q164 Q191:Q192 Q171:Q172 T140 Q144 Q151:Q15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180" xr:uid="{00000000-0002-0000-1D00-000006000000}">
      <formula1>0</formula1>
    </dataValidation>
    <dataValidation type="decimal" operator="greaterThanOrEqual" allowBlank="1" showInputMessage="1" showErrorMessage="1" sqref="H97 K97 N97 Q97 T97 W97" xr:uid="{00000000-0002-0000-1D00-000007000000}">
      <formula1>1</formula1>
    </dataValidation>
    <dataValidation type="whole" operator="greaterThan" allowBlank="1" showInputMessage="1" showErrorMessage="1" sqref="H95:H96 K95:K96 N95:N96 Q95:Q96 T95:T96 W95:W96" xr:uid="{00000000-0002-0000-1D00-000008000000}">
      <formula1>0</formula1>
    </dataValidation>
    <dataValidation type="decimal" allowBlank="1" showInputMessage="1" showErrorMessage="1" sqref="H94 K94 N94 Q94 T94 W94" xr:uid="{00000000-0002-0000-1D00-000009000000}">
      <formula1>0</formula1>
      <formula2>99.9999</formula2>
    </dataValidation>
    <dataValidation type="decimal" allowBlank="1" showInputMessage="1" showErrorMessage="1" sqref="H93 K93 N93 Q93 T93 W93" xr:uid="{00000000-0002-0000-1D00-00000A000000}">
      <formula1>0.0001</formula1>
      <formula2>2</formula2>
    </dataValidation>
    <dataValidation type="list" allowBlank="1" showInputMessage="1" showErrorMessage="1" sqref="H105 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N105 K105" xr:uid="{00000000-0002-0000-1D00-00000B000000}">
      <formula1>$B$27:$B$38</formula1>
    </dataValidation>
    <dataValidation type="list" allowBlank="1" showInputMessage="1" showErrorMessage="1" sqref="H117 K117 N117 Q117 T117 W117" xr:uid="{00000000-0002-0000-1D00-00000C000000}">
      <formula1>"Upstream,Downstream"</formula1>
    </dataValidation>
    <dataValidation type="list" allowBlank="1" showInputMessage="1" showErrorMessage="1" sqref="H120 K120 N120 Q120 T120 W120" xr:uid="{00000000-0002-0000-1D00-00000D000000}">
      <formula1>"Cost per m^3 delivered, Cost as % commodity value"</formula1>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D00-00000E000000}">
      <formula1>0</formula1>
      <formula2>1</formula2>
    </dataValidation>
    <dataValidation type="whole" allowBlank="1" showInputMessage="1" showErrorMessage="1" sqref="H133:H134 K133:K134 N133:N134 Q133:Q134 T133:T134 W133:W134" xr:uid="{00000000-0002-0000-1D00-00000F000000}">
      <formula1>0</formula1>
      <formula2>3</formula2>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D00-000010000000}">
      <formula1>"Route-based,Point-to-point"</formula1>
    </dataValidation>
    <dataValidation type="list" allowBlank="1" showInputMessage="1" showErrorMessage="1" sqref="H173:H174 H153:H154 H193 K173:K174 K153:K154 K193 N173:N174 N153:N154 N193 Q173:Q174 Q153:Q154 Q193 T173:T174 T153:T154 T193 W173:W174 W153:W154 W193" xr:uid="{00000000-0002-0000-1D00-000011000000}">
      <formula1>"Yes,No"</formula1>
    </dataValidation>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D00-000012000000}">
      <formula1>"Yes, 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operator="greaterThan" allowBlank="1" showInputMessage="1" showErrorMessage="1" xr:uid="{00000000-0002-0000-1D00-000013000000}">
          <x14:formula1>
            <xm:f>'List Values'!$B$3:$B$4</xm:f>
          </x14:formula1>
          <xm:sqref>H20</xm:sqref>
        </x14:dataValidation>
        <x14:dataValidation type="list" allowBlank="1" showInputMessage="1" showErrorMessage="1" xr:uid="{00000000-0002-0000-1D00-000014000000}">
          <x14:formula1>
            <xm:f>'List Values'!$B$3:$B$4</xm:f>
          </x14:formula1>
          <xm:sqref>H20</xm:sqref>
        </x14:dataValidation>
        <x14:dataValidation type="list" allowBlank="1" showInputMessage="1" showErrorMessage="1" xr:uid="{00000000-0002-0000-1D00-000015000000}">
          <x14:formula1>
            <xm:f>'List Values'!$C$3:$C$8</xm:f>
          </x14:formula1>
          <xm:sqref>K87 N87 Q87 T87 W87 H87</xm:sqref>
        </x14:dataValidation>
        <x14:dataValidation type="list" allowBlank="1" showInputMessage="1" showErrorMessage="1" xr:uid="{00000000-0002-0000-1D00-000016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D00-000017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D00-000018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tabColor theme="0" tint="-0.14999847407452621"/>
  </sheetPr>
  <dimension ref="A1:CK350"/>
  <sheetViews>
    <sheetView showGridLines="0" zoomScale="80" zoomScaleNormal="80" workbookViewId="0">
      <selection activeCell="H55" sqref="H55"/>
    </sheetView>
  </sheetViews>
  <sheetFormatPr defaultColWidth="8.84375" defaultRowHeight="14.6"/>
  <cols>
    <col min="1" max="1" width="9.69140625" customWidth="1"/>
    <col min="2" max="2" width="30.3046875" customWidth="1"/>
    <col min="3" max="3" width="10.69140625" customWidth="1"/>
    <col min="4" max="4" width="24.3046875" customWidth="1"/>
    <col min="5" max="5" width="32.535156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5" max="25" width="11.3828125" bestFit="1" customWidth="1"/>
    <col min="33" max="33" width="19.3046875" customWidth="1"/>
    <col min="54" max="54" width="14.3046875" customWidth="1"/>
    <col min="55" max="55" width="11.84375" customWidth="1"/>
    <col min="57" max="57" width="19.69140625" customWidth="1"/>
    <col min="58" max="58" width="11.3828125" customWidth="1"/>
    <col min="60" max="60" width="14.15234375" customWidth="1"/>
    <col min="62" max="62" width="11" customWidth="1"/>
    <col min="71" max="71" width="12.84375" customWidth="1"/>
    <col min="73" max="73" width="10.15234375" customWidth="1"/>
    <col min="79" max="79" width="17.15234375" customWidth="1"/>
    <col min="82" max="82" width="13.53515625" customWidth="1"/>
    <col min="83" max="83" width="15.15234375" bestFit="1" customWidth="1"/>
    <col min="84" max="84" width="11.3828125" customWidth="1"/>
    <col min="85" max="85" width="10.69140625" customWidth="1"/>
    <col min="86" max="86" width="12.3046875" bestFit="1" customWidth="1"/>
    <col min="88" max="88" width="10.84375" bestFit="1" customWidth="1"/>
  </cols>
  <sheetData>
    <row r="1" spans="2:87" ht="215.25" customHeight="1">
      <c r="B1" s="2913" t="s">
        <v>5608</v>
      </c>
      <c r="C1" s="2913"/>
      <c r="D1" s="2913"/>
      <c r="E1" s="2913"/>
      <c r="H1" s="771"/>
    </row>
    <row r="2" spans="2:87" ht="18.45">
      <c r="CD2" s="277" t="s">
        <v>2031</v>
      </c>
    </row>
    <row r="3" spans="2:87" ht="54" customHeight="1" thickBot="1">
      <c r="AQ3" s="1171" t="s">
        <v>1988</v>
      </c>
      <c r="AR3" s="1171" t="s">
        <v>1989</v>
      </c>
      <c r="AS3" s="1171" t="s">
        <v>1990</v>
      </c>
      <c r="AT3" s="1171" t="s">
        <v>1991</v>
      </c>
      <c r="AU3" s="1171" t="s">
        <v>1992</v>
      </c>
      <c r="AV3" s="1171" t="s">
        <v>1993</v>
      </c>
      <c r="AW3" s="1171" t="s">
        <v>1994</v>
      </c>
      <c r="AX3" s="1171" t="s">
        <v>1995</v>
      </c>
      <c r="AY3" s="1171" t="s">
        <v>1996</v>
      </c>
      <c r="AZ3" s="1171" t="s">
        <v>1997</v>
      </c>
      <c r="BA3" s="1171" t="s">
        <v>5614</v>
      </c>
      <c r="BB3" s="1178" t="s">
        <v>2044</v>
      </c>
      <c r="BE3" s="1171" t="s">
        <v>1988</v>
      </c>
      <c r="BF3" s="1171" t="s">
        <v>1989</v>
      </c>
      <c r="BG3" s="1171" t="s">
        <v>2007</v>
      </c>
      <c r="BH3" s="1171" t="s">
        <v>2008</v>
      </c>
      <c r="BI3" s="1171" t="s">
        <v>5614</v>
      </c>
      <c r="BJ3" s="1171" t="s">
        <v>5615</v>
      </c>
      <c r="BK3" s="1171" t="s">
        <v>2009</v>
      </c>
      <c r="BL3" s="1171" t="s">
        <v>2010</v>
      </c>
      <c r="BM3" s="1171" t="s">
        <v>5616</v>
      </c>
      <c r="BN3" s="1171" t="s">
        <v>2011</v>
      </c>
      <c r="BO3" s="1171" t="s">
        <v>2012</v>
      </c>
      <c r="BP3" s="1171" t="s">
        <v>2013</v>
      </c>
      <c r="BQ3" s="1171" t="s">
        <v>2014</v>
      </c>
      <c r="BR3" s="1234" t="s">
        <v>5613</v>
      </c>
      <c r="BS3" s="1234" t="s">
        <v>5612</v>
      </c>
      <c r="BT3" s="1234" t="s">
        <v>2023</v>
      </c>
      <c r="BU3" s="1234"/>
      <c r="CA3" s="1228" t="s">
        <v>2032</v>
      </c>
      <c r="CD3" s="1228" t="s">
        <v>5617</v>
      </c>
      <c r="CE3" s="697" t="s">
        <v>2038</v>
      </c>
      <c r="CF3" s="697" t="s">
        <v>2039</v>
      </c>
      <c r="CG3" s="697" t="s">
        <v>2040</v>
      </c>
      <c r="CH3" s="1225" t="s">
        <v>2041</v>
      </c>
      <c r="CI3" s="1225" t="s">
        <v>2037</v>
      </c>
    </row>
    <row r="4" spans="2:87" ht="27" customHeight="1" thickBot="1">
      <c r="B4" s="2856" t="s">
        <v>304</v>
      </c>
      <c r="C4" s="2857"/>
      <c r="D4" s="2857"/>
      <c r="E4" s="2858"/>
      <c r="G4" s="25" t="s">
        <v>17</v>
      </c>
      <c r="H4" s="789" t="s">
        <v>10</v>
      </c>
      <c r="K4" s="2859" t="s">
        <v>405</v>
      </c>
      <c r="L4" s="2859"/>
      <c r="M4" s="2859"/>
      <c r="N4" s="2859"/>
      <c r="O4" s="2859"/>
      <c r="P4" s="2859"/>
      <c r="Q4" s="2859"/>
      <c r="R4" s="2859"/>
      <c r="S4" s="2859"/>
      <c r="T4" s="2859"/>
      <c r="AQ4" s="1172" t="s">
        <v>1998</v>
      </c>
      <c r="AR4" s="1172" t="s">
        <v>1989</v>
      </c>
      <c r="AS4" s="1172" t="s">
        <v>1999</v>
      </c>
      <c r="AT4" s="1172" t="s">
        <v>2000</v>
      </c>
      <c r="AU4" s="1172" t="s">
        <v>2000</v>
      </c>
      <c r="AV4" s="1172" t="s">
        <v>2001</v>
      </c>
      <c r="AW4" s="1172" t="s">
        <v>2000</v>
      </c>
      <c r="AX4" s="1172" t="s">
        <v>2002</v>
      </c>
      <c r="AY4" s="1172" t="s">
        <v>2000</v>
      </c>
      <c r="AZ4" s="1172"/>
      <c r="BA4" s="1172" t="s">
        <v>2001</v>
      </c>
      <c r="BE4" s="1172" t="s">
        <v>1998</v>
      </c>
      <c r="BF4" s="1172" t="s">
        <v>1989</v>
      </c>
      <c r="BG4" s="1172" t="s">
        <v>2002</v>
      </c>
      <c r="BH4" s="1172" t="s">
        <v>2000</v>
      </c>
      <c r="BI4" s="1172"/>
      <c r="BJ4" s="1172" t="s">
        <v>2002</v>
      </c>
      <c r="BK4" s="1172" t="s">
        <v>2015</v>
      </c>
      <c r="BL4" s="1172"/>
      <c r="BM4" s="1172" t="s">
        <v>2016</v>
      </c>
      <c r="BN4" s="1172"/>
      <c r="BO4" s="1172"/>
      <c r="BP4" s="1172"/>
      <c r="BQ4" s="1172"/>
      <c r="BR4" s="1221"/>
      <c r="BS4" s="1221"/>
      <c r="BT4" s="1221"/>
      <c r="CA4" t="s">
        <v>2033</v>
      </c>
      <c r="CB4">
        <v>800</v>
      </c>
      <c r="CE4" s="246">
        <v>214996.89497716894</v>
      </c>
      <c r="CF4" s="246">
        <v>17280</v>
      </c>
      <c r="CG4" s="246">
        <v>164383.56164383559</v>
      </c>
      <c r="CH4" s="1227">
        <f>CE4-CF4-CG4</f>
        <v>33333.333333333343</v>
      </c>
      <c r="CI4" s="1221">
        <f>CF4*(1/$CB$4)*(1/$CB$7)*(1/$CB$5)</f>
        <v>100.00000000000001</v>
      </c>
    </row>
    <row r="5" spans="2:87" ht="15" customHeight="1">
      <c r="B5" s="665" t="s">
        <v>117</v>
      </c>
      <c r="C5" s="664"/>
      <c r="D5" s="664"/>
      <c r="E5" s="663"/>
      <c r="H5" s="521"/>
      <c r="K5" s="2860"/>
      <c r="L5" s="2860"/>
      <c r="M5" s="2860"/>
      <c r="N5" s="2860"/>
      <c r="O5" s="2860"/>
      <c r="P5" s="2860"/>
      <c r="Q5" s="2860"/>
      <c r="R5" s="2860"/>
      <c r="S5" s="2860"/>
      <c r="T5" s="2860"/>
      <c r="AQ5" s="1173"/>
      <c r="AR5" s="1173"/>
      <c r="AS5" s="1173"/>
      <c r="AT5" s="1174">
        <v>5</v>
      </c>
      <c r="AU5" s="1173">
        <v>10</v>
      </c>
      <c r="AV5" s="1174">
        <v>0</v>
      </c>
      <c r="AW5" s="1173">
        <v>120</v>
      </c>
      <c r="AX5" s="1173">
        <v>17</v>
      </c>
      <c r="AY5" s="1174">
        <v>7.0588235294117645</v>
      </c>
      <c r="AZ5" s="1175">
        <v>5</v>
      </c>
      <c r="BA5" s="1174">
        <v>0</v>
      </c>
      <c r="BB5" s="1221">
        <f>ROUNDUP(AX5/AZ5,0)</f>
        <v>4</v>
      </c>
      <c r="BC5" s="1221"/>
      <c r="BE5" s="1173"/>
      <c r="BF5" s="1173"/>
      <c r="BG5" s="1176">
        <v>10</v>
      </c>
      <c r="BH5" s="1176">
        <v>100</v>
      </c>
      <c r="BI5" s="1176">
        <v>0</v>
      </c>
      <c r="BJ5" s="1176">
        <v>10</v>
      </c>
      <c r="BK5" s="1173">
        <v>10</v>
      </c>
      <c r="BL5" s="1173">
        <v>0</v>
      </c>
      <c r="BM5" s="1173">
        <v>0</v>
      </c>
      <c r="BN5" s="1173">
        <v>160</v>
      </c>
      <c r="BO5" s="1173">
        <v>5</v>
      </c>
      <c r="BP5" s="1176">
        <v>0</v>
      </c>
      <c r="BQ5" s="1236">
        <v>1300</v>
      </c>
      <c r="BR5" s="1235">
        <v>0</v>
      </c>
      <c r="BS5" s="1235">
        <v>0</v>
      </c>
      <c r="BT5" s="1235">
        <v>0</v>
      </c>
      <c r="CA5" t="s">
        <v>2034</v>
      </c>
      <c r="CB5">
        <v>0.18</v>
      </c>
      <c r="CE5" s="246">
        <v>119349.15799086758</v>
      </c>
      <c r="CF5" s="246">
        <v>40262.400000000001</v>
      </c>
      <c r="CG5" s="246">
        <v>65753.42465753424</v>
      </c>
      <c r="CH5" s="1227">
        <f t="shared" ref="CH5:CH17" si="0">CE5-CF5-CG5</f>
        <v>13333.333333333328</v>
      </c>
      <c r="CI5" s="1221">
        <f t="shared" ref="CI5:CI17" si="1">CF5*(1/$CB$4)*(1/$CB$7)*(1/$CB$5)</f>
        <v>233.00000000000003</v>
      </c>
    </row>
    <row r="6" spans="2:87" ht="15" customHeight="1">
      <c r="B6" s="665" t="s">
        <v>165</v>
      </c>
      <c r="C6" s="664"/>
      <c r="D6" s="664"/>
      <c r="E6" s="663"/>
      <c r="F6" s="83"/>
      <c r="G6" s="84"/>
      <c r="H6" s="695">
        <v>1</v>
      </c>
      <c r="K6" s="2860" t="s">
        <v>5619</v>
      </c>
      <c r="L6" s="2860"/>
      <c r="M6" s="2860"/>
      <c r="N6" s="2860"/>
      <c r="O6" s="2860"/>
      <c r="P6" s="2860"/>
      <c r="Q6" s="2860"/>
      <c r="R6" s="2860"/>
      <c r="S6" s="2860"/>
      <c r="T6" s="2860"/>
      <c r="AQ6" s="1173"/>
      <c r="AR6" s="1173"/>
      <c r="AS6" s="1173"/>
      <c r="AT6" s="1174">
        <v>5</v>
      </c>
      <c r="AU6" s="1173">
        <v>10</v>
      </c>
      <c r="AV6" s="1174">
        <v>0</v>
      </c>
      <c r="AW6" s="1173">
        <v>120</v>
      </c>
      <c r="AX6" s="1173">
        <v>12</v>
      </c>
      <c r="AY6" s="1174">
        <v>10</v>
      </c>
      <c r="AZ6" s="1175">
        <v>5</v>
      </c>
      <c r="BA6" s="1174">
        <v>0</v>
      </c>
      <c r="BB6" s="1221">
        <f t="shared" ref="BB6:BB69" si="2">ROUNDUP(AX6/AZ6,0)</f>
        <v>3</v>
      </c>
      <c r="BC6" s="1221"/>
      <c r="BE6" s="1173"/>
      <c r="BF6" s="1173"/>
      <c r="BG6" s="1176">
        <v>4</v>
      </c>
      <c r="BH6" s="1176">
        <v>233</v>
      </c>
      <c r="BI6" s="1176">
        <v>0</v>
      </c>
      <c r="BJ6" s="1176">
        <v>4</v>
      </c>
      <c r="BK6" s="1173">
        <v>6</v>
      </c>
      <c r="BL6" s="1176">
        <v>5</v>
      </c>
      <c r="BM6" s="1173">
        <v>400</v>
      </c>
      <c r="BN6" s="1173">
        <v>93</v>
      </c>
      <c r="BO6" s="1173">
        <v>4</v>
      </c>
      <c r="BP6" s="1176">
        <v>11.625</v>
      </c>
      <c r="BQ6" s="1236">
        <v>3115</v>
      </c>
      <c r="BR6" s="1235">
        <v>157</v>
      </c>
      <c r="BS6" s="1235">
        <v>129.80000000000001</v>
      </c>
      <c r="BT6" s="1221">
        <f>BR6/BS6</f>
        <v>1.2095531587057009</v>
      </c>
      <c r="CA6" t="s">
        <v>2035</v>
      </c>
      <c r="CB6">
        <v>0.15</v>
      </c>
      <c r="CE6" s="246">
        <v>250203.42648401824</v>
      </c>
      <c r="CF6" s="246">
        <v>111801.59999999999</v>
      </c>
      <c r="CG6" s="246">
        <v>115068.49315068492</v>
      </c>
      <c r="CH6" s="1227">
        <f t="shared" si="0"/>
        <v>23333.333333333314</v>
      </c>
      <c r="CI6" s="1221">
        <f t="shared" si="1"/>
        <v>646.99999999999989</v>
      </c>
    </row>
    <row r="7" spans="2:87" ht="16" customHeight="1">
      <c r="B7" s="662" t="s">
        <v>57</v>
      </c>
      <c r="C7" s="659"/>
      <c r="D7" s="659"/>
      <c r="E7" s="791"/>
      <c r="G7" s="41">
        <v>3</v>
      </c>
      <c r="H7" s="695">
        <v>4</v>
      </c>
      <c r="K7" s="2860"/>
      <c r="L7" s="2860"/>
      <c r="M7" s="2860"/>
      <c r="N7" s="2860"/>
      <c r="O7" s="2860"/>
      <c r="P7" s="2860"/>
      <c r="Q7" s="2860"/>
      <c r="R7" s="2860"/>
      <c r="S7" s="2860"/>
      <c r="T7" s="2860"/>
      <c r="AQ7" s="1173"/>
      <c r="AR7" s="1173"/>
      <c r="AS7" s="1173"/>
      <c r="AT7" s="1174">
        <v>5</v>
      </c>
      <c r="AU7" s="1173">
        <v>10</v>
      </c>
      <c r="AV7" s="1174">
        <v>0</v>
      </c>
      <c r="AW7" s="1173">
        <v>120</v>
      </c>
      <c r="AX7" s="1173">
        <v>18</v>
      </c>
      <c r="AY7" s="1174">
        <v>6.666666666666667</v>
      </c>
      <c r="AZ7" s="1175">
        <v>5</v>
      </c>
      <c r="BA7" s="1174">
        <v>0</v>
      </c>
      <c r="BB7" s="1221">
        <f t="shared" si="2"/>
        <v>4</v>
      </c>
      <c r="BC7" s="1221"/>
      <c r="BE7" s="1173"/>
      <c r="BF7" s="1173"/>
      <c r="BG7" s="1176">
        <v>7</v>
      </c>
      <c r="BH7" s="1176">
        <v>647</v>
      </c>
      <c r="BI7" s="1176">
        <v>0</v>
      </c>
      <c r="BJ7" s="1176">
        <v>7</v>
      </c>
      <c r="BK7" s="1173">
        <v>9</v>
      </c>
      <c r="BL7" s="1176">
        <v>8</v>
      </c>
      <c r="BM7" s="1173">
        <v>400</v>
      </c>
      <c r="BN7" s="1173">
        <v>99</v>
      </c>
      <c r="BO7" s="1173">
        <v>4</v>
      </c>
      <c r="BP7" s="1176">
        <v>12.375</v>
      </c>
      <c r="BQ7" s="1236">
        <v>5185</v>
      </c>
      <c r="BR7" s="1235">
        <v>148</v>
      </c>
      <c r="BS7" s="1235">
        <v>118</v>
      </c>
      <c r="BT7" s="1221">
        <f t="shared" ref="BT7:BT19" si="3">BR7/BS7</f>
        <v>1.2542372881355932</v>
      </c>
      <c r="CA7" t="s">
        <v>2036</v>
      </c>
      <c r="CB7">
        <v>1.2</v>
      </c>
      <c r="CE7" s="246">
        <v>191406.75799086757</v>
      </c>
      <c r="CF7" s="246">
        <v>112320</v>
      </c>
      <c r="CG7" s="246">
        <v>65753.42465753424</v>
      </c>
      <c r="CH7" s="1227">
        <f t="shared" si="0"/>
        <v>13333.333333333328</v>
      </c>
      <c r="CI7" s="1221">
        <f t="shared" si="1"/>
        <v>650</v>
      </c>
    </row>
    <row r="8" spans="2:87">
      <c r="B8" s="2861" t="s">
        <v>11</v>
      </c>
      <c r="C8" s="2250"/>
      <c r="D8" s="2250"/>
      <c r="E8" s="2862"/>
      <c r="G8" s="40">
        <v>1.37</v>
      </c>
      <c r="H8" s="701">
        <f>800/600</f>
        <v>1.3333333333333333</v>
      </c>
      <c r="K8" s="2860"/>
      <c r="L8" s="2860"/>
      <c r="M8" s="2860"/>
      <c r="N8" s="2860"/>
      <c r="O8" s="2860"/>
      <c r="P8" s="2860"/>
      <c r="Q8" s="2860"/>
      <c r="R8" s="2860"/>
      <c r="S8" s="2860"/>
      <c r="T8" s="2860"/>
      <c r="AQ8" s="1173"/>
      <c r="AR8" s="1173"/>
      <c r="AS8" s="1173"/>
      <c r="AT8" s="1174">
        <v>5</v>
      </c>
      <c r="AU8" s="1173">
        <v>10</v>
      </c>
      <c r="AV8" s="1174">
        <v>0</v>
      </c>
      <c r="AW8" s="1173">
        <v>120</v>
      </c>
      <c r="AX8" s="1173">
        <v>8</v>
      </c>
      <c r="AY8" s="1174">
        <v>15</v>
      </c>
      <c r="AZ8" s="1175">
        <v>4</v>
      </c>
      <c r="BA8" s="1174">
        <v>0</v>
      </c>
      <c r="BB8" s="1221">
        <f t="shared" si="2"/>
        <v>2</v>
      </c>
      <c r="BC8" s="1221"/>
      <c r="BE8" s="1173"/>
      <c r="BF8" s="1173"/>
      <c r="BG8" s="1176">
        <v>4</v>
      </c>
      <c r="BH8" s="1176">
        <v>230</v>
      </c>
      <c r="BI8" s="1176">
        <v>0</v>
      </c>
      <c r="BJ8" s="1176">
        <f>4+4</f>
        <v>8</v>
      </c>
      <c r="BK8" s="1173">
        <v>6</v>
      </c>
      <c r="BL8" s="1176">
        <v>5</v>
      </c>
      <c r="BM8" s="1173">
        <v>600</v>
      </c>
      <c r="BN8" s="1173">
        <v>93</v>
      </c>
      <c r="BO8" s="1173">
        <v>4</v>
      </c>
      <c r="BP8" s="1176">
        <v>11.625</v>
      </c>
      <c r="BQ8" s="1236">
        <v>4426</v>
      </c>
      <c r="BR8" s="1235">
        <v>200</v>
      </c>
      <c r="BS8" s="1235">
        <v>160</v>
      </c>
      <c r="BT8" s="1221">
        <f t="shared" si="3"/>
        <v>1.25</v>
      </c>
      <c r="CE8" s="246">
        <v>191406.75799086757</v>
      </c>
      <c r="CF8" s="246">
        <v>112320</v>
      </c>
      <c r="CG8" s="246">
        <v>65753.42465753424</v>
      </c>
      <c r="CH8" s="1227">
        <f t="shared" si="0"/>
        <v>13333.333333333328</v>
      </c>
      <c r="CI8" s="1221">
        <f t="shared" si="1"/>
        <v>650</v>
      </c>
    </row>
    <row r="9" spans="2:87" ht="18.75" customHeight="1">
      <c r="B9" s="2861" t="s">
        <v>12</v>
      </c>
      <c r="C9" s="2250"/>
      <c r="D9" s="2250"/>
      <c r="E9" s="2862"/>
      <c r="G9" s="41">
        <v>240</v>
      </c>
      <c r="H9" s="695">
        <v>240</v>
      </c>
      <c r="K9" s="2860"/>
      <c r="L9" s="2860"/>
      <c r="M9" s="2860"/>
      <c r="N9" s="2860"/>
      <c r="O9" s="2860"/>
      <c r="P9" s="2860"/>
      <c r="Q9" s="2860"/>
      <c r="R9" s="2860"/>
      <c r="S9" s="2860"/>
      <c r="T9" s="2860"/>
      <c r="U9" s="655"/>
      <c r="V9" s="655"/>
      <c r="AQ9" s="1173"/>
      <c r="AR9" s="1173"/>
      <c r="AS9" s="1173"/>
      <c r="AT9" s="1174">
        <v>5</v>
      </c>
      <c r="AU9" s="1173">
        <v>10</v>
      </c>
      <c r="AV9" s="1174">
        <v>0</v>
      </c>
      <c r="AW9" s="1173">
        <v>120</v>
      </c>
      <c r="AX9" s="1173">
        <v>24</v>
      </c>
      <c r="AY9" s="1174">
        <v>5</v>
      </c>
      <c r="AZ9" s="1175">
        <v>5</v>
      </c>
      <c r="BA9" s="1174">
        <v>0</v>
      </c>
      <c r="BB9" s="1221">
        <f t="shared" si="2"/>
        <v>5</v>
      </c>
      <c r="BC9" s="1221"/>
      <c r="BE9" s="1173"/>
      <c r="BF9" s="1173"/>
      <c r="BG9" s="1176">
        <v>4</v>
      </c>
      <c r="BH9" s="1176">
        <v>650</v>
      </c>
      <c r="BI9" s="1176">
        <v>0</v>
      </c>
      <c r="BJ9" s="1176"/>
      <c r="BK9" s="1173">
        <v>6</v>
      </c>
      <c r="BL9" s="1176">
        <v>5</v>
      </c>
      <c r="BM9" s="1173">
        <v>800</v>
      </c>
      <c r="BN9" s="1173">
        <v>83</v>
      </c>
      <c r="BO9" s="1173">
        <v>4</v>
      </c>
      <c r="BP9" s="1176">
        <v>16.600000000000001</v>
      </c>
      <c r="BQ9" s="1236">
        <v>4094</v>
      </c>
      <c r="BR9" s="1235"/>
      <c r="BS9" s="1235"/>
      <c r="BT9" s="1221"/>
      <c r="CE9" s="246">
        <v>139321.46849315066</v>
      </c>
      <c r="CF9" s="246">
        <v>80006.399999999994</v>
      </c>
      <c r="CG9" s="246">
        <v>49315.068493150684</v>
      </c>
      <c r="CH9" s="1227">
        <f t="shared" si="0"/>
        <v>9999.9999999999854</v>
      </c>
      <c r="CI9" s="1221">
        <f t="shared" si="1"/>
        <v>463</v>
      </c>
    </row>
    <row r="10" spans="2:87" ht="15" customHeight="1">
      <c r="B10" s="2861" t="s">
        <v>13</v>
      </c>
      <c r="C10" s="2250"/>
      <c r="D10" s="2250"/>
      <c r="E10" s="2862"/>
      <c r="G10" s="41">
        <v>8</v>
      </c>
      <c r="H10" s="695">
        <v>8</v>
      </c>
      <c r="K10" s="2860"/>
      <c r="L10" s="2860"/>
      <c r="M10" s="2860"/>
      <c r="N10" s="2860"/>
      <c r="O10" s="2860"/>
      <c r="P10" s="2860"/>
      <c r="Q10" s="2860"/>
      <c r="R10" s="2860"/>
      <c r="S10" s="2860"/>
      <c r="T10" s="2860"/>
      <c r="U10" s="62"/>
      <c r="V10" s="62"/>
      <c r="AQ10" s="1173"/>
      <c r="AR10" s="1173"/>
      <c r="AS10" s="1173"/>
      <c r="AT10" s="1174">
        <v>5</v>
      </c>
      <c r="AU10" s="1173">
        <v>10</v>
      </c>
      <c r="AV10" s="1174">
        <v>0</v>
      </c>
      <c r="AW10" s="1173">
        <v>120</v>
      </c>
      <c r="AX10" s="1173">
        <v>15</v>
      </c>
      <c r="AY10" s="1174">
        <v>8</v>
      </c>
      <c r="AZ10" s="1175">
        <v>5</v>
      </c>
      <c r="BA10" s="1174">
        <v>0</v>
      </c>
      <c r="BB10" s="1221">
        <f t="shared" si="2"/>
        <v>3</v>
      </c>
      <c r="BC10" s="1221"/>
      <c r="BE10" s="1173"/>
      <c r="BF10" s="1173"/>
      <c r="BG10" s="1176">
        <v>3</v>
      </c>
      <c r="BH10" s="1176">
        <v>463</v>
      </c>
      <c r="BI10" s="1176">
        <v>0</v>
      </c>
      <c r="BJ10" s="1176">
        <f>3+3</f>
        <v>6</v>
      </c>
      <c r="BK10" s="1173">
        <v>5</v>
      </c>
      <c r="BL10" s="1176">
        <v>4</v>
      </c>
      <c r="BM10" s="1173">
        <v>1200</v>
      </c>
      <c r="BN10" s="1173">
        <v>52</v>
      </c>
      <c r="BO10" s="1173">
        <v>4</v>
      </c>
      <c r="BP10" s="1176">
        <v>10.4</v>
      </c>
      <c r="BQ10" s="1236">
        <v>2808</v>
      </c>
      <c r="BR10" s="1235">
        <v>441</v>
      </c>
      <c r="BS10" s="1235">
        <v>334</v>
      </c>
      <c r="BT10" s="1221">
        <f t="shared" si="3"/>
        <v>1.3203592814371257</v>
      </c>
      <c r="CE10" s="246">
        <v>189087.86849315069</v>
      </c>
      <c r="CF10" s="246">
        <v>129772.79999999999</v>
      </c>
      <c r="CG10" s="246">
        <v>49315.068493150684</v>
      </c>
      <c r="CH10" s="1227">
        <f t="shared" si="0"/>
        <v>10000.000000000015</v>
      </c>
      <c r="CI10" s="1221">
        <f t="shared" si="1"/>
        <v>750.99999999999989</v>
      </c>
    </row>
    <row r="11" spans="2:87" ht="15" customHeight="1">
      <c r="B11" s="2861" t="s">
        <v>15</v>
      </c>
      <c r="C11" s="2250"/>
      <c r="D11" s="2250"/>
      <c r="E11" s="2862"/>
      <c r="G11" s="41">
        <v>5</v>
      </c>
      <c r="H11" s="695">
        <v>5</v>
      </c>
      <c r="K11" s="2860"/>
      <c r="L11" s="2860"/>
      <c r="M11" s="2860"/>
      <c r="N11" s="2860"/>
      <c r="O11" s="2860"/>
      <c r="P11" s="2860"/>
      <c r="Q11" s="2860"/>
      <c r="R11" s="2860"/>
      <c r="S11" s="2860"/>
      <c r="T11" s="2860"/>
      <c r="U11" s="62"/>
      <c r="V11" s="62"/>
      <c r="AQ11" s="1173"/>
      <c r="AR11" s="1173"/>
      <c r="AS11" s="1173"/>
      <c r="AT11" s="1174">
        <v>5</v>
      </c>
      <c r="AU11" s="1173">
        <v>10</v>
      </c>
      <c r="AV11" s="1174">
        <v>0</v>
      </c>
      <c r="AW11" s="1173">
        <v>120</v>
      </c>
      <c r="AX11" s="1173">
        <v>15</v>
      </c>
      <c r="AY11" s="1174">
        <v>8</v>
      </c>
      <c r="AZ11" s="1175">
        <v>5</v>
      </c>
      <c r="BA11" s="1174">
        <v>0</v>
      </c>
      <c r="BB11" s="1221">
        <f t="shared" si="2"/>
        <v>3</v>
      </c>
      <c r="BC11" s="1221"/>
      <c r="BE11" s="1173"/>
      <c r="BF11" s="1173"/>
      <c r="BG11" s="1176">
        <v>3</v>
      </c>
      <c r="BH11" s="1176">
        <v>751</v>
      </c>
      <c r="BI11" s="1176">
        <v>0</v>
      </c>
      <c r="BJ11" s="1176"/>
      <c r="BK11" s="1173">
        <v>5</v>
      </c>
      <c r="BL11" s="1176">
        <v>4</v>
      </c>
      <c r="BM11" s="1173">
        <v>1200</v>
      </c>
      <c r="BN11" s="1173">
        <v>50</v>
      </c>
      <c r="BO11" s="1173">
        <v>4</v>
      </c>
      <c r="BP11" s="1176">
        <v>10</v>
      </c>
      <c r="BQ11" s="1236">
        <v>3075</v>
      </c>
      <c r="BR11" s="1235"/>
      <c r="BS11" s="1235"/>
      <c r="BT11" s="1221"/>
      <c r="CE11" s="246">
        <v>139321.46849315066</v>
      </c>
      <c r="CF11" s="246">
        <v>80006.399999999994</v>
      </c>
      <c r="CG11" s="246">
        <v>49315.068493150684</v>
      </c>
      <c r="CH11" s="1227">
        <f t="shared" si="0"/>
        <v>9999.9999999999854</v>
      </c>
      <c r="CI11" s="1221">
        <f t="shared" si="1"/>
        <v>463</v>
      </c>
    </row>
    <row r="12" spans="2:87" ht="15" customHeight="1">
      <c r="B12" s="2861" t="s">
        <v>400</v>
      </c>
      <c r="C12" s="2250"/>
      <c r="D12" s="2250"/>
      <c r="E12" s="2862"/>
      <c r="G12" s="42">
        <v>3</v>
      </c>
      <c r="H12" s="702"/>
      <c r="K12" s="2860"/>
      <c r="L12" s="2860"/>
      <c r="M12" s="2860"/>
      <c r="N12" s="2860"/>
      <c r="O12" s="2860"/>
      <c r="P12" s="2860"/>
      <c r="Q12" s="2860"/>
      <c r="R12" s="2860"/>
      <c r="S12" s="2860"/>
      <c r="T12" s="2860"/>
      <c r="U12" s="62"/>
      <c r="V12" s="62"/>
      <c r="AQ12" s="1173"/>
      <c r="AR12" s="1173"/>
      <c r="AS12" s="1173"/>
      <c r="AT12" s="1174">
        <v>5</v>
      </c>
      <c r="AU12" s="1173">
        <v>10</v>
      </c>
      <c r="AV12" s="1174">
        <v>0</v>
      </c>
      <c r="AW12" s="1173">
        <v>120</v>
      </c>
      <c r="AX12" s="1173">
        <v>21</v>
      </c>
      <c r="AY12" s="1174">
        <v>5.7142857142857144</v>
      </c>
      <c r="AZ12" s="1175">
        <v>5</v>
      </c>
      <c r="BA12" s="1174">
        <v>0</v>
      </c>
      <c r="BB12" s="1221">
        <f t="shared" si="2"/>
        <v>5</v>
      </c>
      <c r="BC12" s="1221"/>
      <c r="BE12" s="1173"/>
      <c r="BF12" s="1173"/>
      <c r="BG12" s="1176">
        <v>8</v>
      </c>
      <c r="BH12" s="1176">
        <v>842</v>
      </c>
      <c r="BI12" s="1176">
        <v>0</v>
      </c>
      <c r="BJ12" s="1176">
        <v>8</v>
      </c>
      <c r="BK12" s="1173">
        <v>10</v>
      </c>
      <c r="BL12" s="1176">
        <v>9</v>
      </c>
      <c r="BM12" s="1173">
        <v>800</v>
      </c>
      <c r="BN12" s="1173">
        <v>118</v>
      </c>
      <c r="BO12" s="1173">
        <v>4</v>
      </c>
      <c r="BP12" s="1176">
        <v>23.6</v>
      </c>
      <c r="BQ12" s="1236">
        <v>5594</v>
      </c>
      <c r="BR12" s="1235">
        <v>193</v>
      </c>
      <c r="BS12" s="1235">
        <v>164</v>
      </c>
      <c r="BT12" s="1221">
        <f t="shared" si="3"/>
        <v>1.1768292682926829</v>
      </c>
      <c r="CE12" s="246">
        <v>139321.46849315066</v>
      </c>
      <c r="CF12" s="246">
        <v>80006.399999999994</v>
      </c>
      <c r="CG12" s="246">
        <v>49315.068493150684</v>
      </c>
      <c r="CH12" s="1227">
        <f t="shared" si="0"/>
        <v>9999.9999999999854</v>
      </c>
      <c r="CI12" s="1221">
        <f t="shared" si="1"/>
        <v>463</v>
      </c>
    </row>
    <row r="13" spans="2:87">
      <c r="B13" s="39"/>
      <c r="C13" s="39"/>
      <c r="D13" s="39"/>
      <c r="E13" s="39"/>
      <c r="G13" s="8"/>
      <c r="H13" s="11"/>
      <c r="S13" s="240"/>
      <c r="T13" s="62"/>
      <c r="U13" s="62"/>
      <c r="V13" s="62"/>
      <c r="AQ13" s="1173"/>
      <c r="AR13" s="1173"/>
      <c r="AS13" s="1173"/>
      <c r="AT13" s="1174">
        <v>5</v>
      </c>
      <c r="AU13" s="1173">
        <v>10</v>
      </c>
      <c r="AV13" s="1174">
        <v>0</v>
      </c>
      <c r="AW13" s="1173">
        <v>120</v>
      </c>
      <c r="AX13" s="1173">
        <v>15</v>
      </c>
      <c r="AY13" s="1174">
        <v>8</v>
      </c>
      <c r="AZ13" s="1175">
        <v>5</v>
      </c>
      <c r="BA13" s="1174">
        <v>0</v>
      </c>
      <c r="BB13" s="1221">
        <f t="shared" si="2"/>
        <v>3</v>
      </c>
      <c r="BC13" s="1221"/>
      <c r="BE13" s="1173"/>
      <c r="BF13" s="1173"/>
      <c r="BG13" s="1176">
        <v>4</v>
      </c>
      <c r="BH13" s="1176">
        <v>368</v>
      </c>
      <c r="BI13" s="1176">
        <v>0</v>
      </c>
      <c r="BJ13" s="1176">
        <v>4</v>
      </c>
      <c r="BK13" s="1173">
        <v>6</v>
      </c>
      <c r="BL13" s="1176">
        <v>5</v>
      </c>
      <c r="BM13" s="1173">
        <v>1000</v>
      </c>
      <c r="BN13" s="1173">
        <v>80</v>
      </c>
      <c r="BO13" s="1173">
        <v>4</v>
      </c>
      <c r="BP13" s="1176">
        <v>16</v>
      </c>
      <c r="BQ13" s="1236">
        <v>7515</v>
      </c>
      <c r="BR13" s="1235">
        <v>521</v>
      </c>
      <c r="BS13" s="1235">
        <v>453</v>
      </c>
      <c r="BT13" s="1221">
        <f t="shared" si="3"/>
        <v>1.1501103752759383</v>
      </c>
      <c r="CE13" s="246">
        <v>425249.82648401824</v>
      </c>
      <c r="CF13" s="246">
        <v>286848</v>
      </c>
      <c r="CG13" s="246">
        <v>115068.49315068492</v>
      </c>
      <c r="CH13" s="1227">
        <f t="shared" si="0"/>
        <v>23333.333333333314</v>
      </c>
      <c r="CI13" s="1221">
        <f t="shared" si="1"/>
        <v>1660</v>
      </c>
    </row>
    <row r="14" spans="2:87">
      <c r="B14" s="39"/>
      <c r="C14" s="39"/>
      <c r="D14" s="39"/>
      <c r="E14" s="39"/>
      <c r="G14" s="8"/>
      <c r="H14" s="11"/>
      <c r="T14" s="93"/>
      <c r="U14" s="93"/>
      <c r="V14" s="661"/>
      <c r="W14" s="4"/>
      <c r="AQ14" s="1173"/>
      <c r="AR14" s="1173"/>
      <c r="AS14" s="1173"/>
      <c r="AT14" s="1174">
        <v>5</v>
      </c>
      <c r="AU14" s="1173">
        <v>10</v>
      </c>
      <c r="AV14" s="1174">
        <v>0</v>
      </c>
      <c r="AW14" s="1173">
        <v>120</v>
      </c>
      <c r="AX14" s="1173">
        <v>15</v>
      </c>
      <c r="AY14" s="1174">
        <v>8</v>
      </c>
      <c r="AZ14" s="1175">
        <v>5</v>
      </c>
      <c r="BA14" s="1174">
        <v>0</v>
      </c>
      <c r="BB14" s="1221">
        <f t="shared" si="2"/>
        <v>3</v>
      </c>
      <c r="BC14" s="1221"/>
      <c r="BE14" s="1173"/>
      <c r="BF14" s="1173"/>
      <c r="BG14" s="1176">
        <v>5</v>
      </c>
      <c r="BH14" s="1176">
        <v>1660</v>
      </c>
      <c r="BI14" s="1176">
        <v>2</v>
      </c>
      <c r="BJ14" s="1176">
        <v>7</v>
      </c>
      <c r="BK14" s="1173">
        <v>7</v>
      </c>
      <c r="BL14" s="1176">
        <v>6</v>
      </c>
      <c r="BM14" s="1173">
        <v>900</v>
      </c>
      <c r="BN14" s="1173">
        <v>124</v>
      </c>
      <c r="BO14" s="1173">
        <v>4</v>
      </c>
      <c r="BP14" s="1176">
        <v>24.8</v>
      </c>
      <c r="BQ14" s="1236">
        <v>3930</v>
      </c>
      <c r="BR14" s="1235">
        <v>262</v>
      </c>
      <c r="BS14" s="1235">
        <v>179</v>
      </c>
      <c r="BT14" s="1221">
        <f t="shared" si="3"/>
        <v>1.4636871508379887</v>
      </c>
      <c r="CE14" s="246">
        <v>479581.51598173514</v>
      </c>
      <c r="CF14" s="246">
        <v>321408</v>
      </c>
      <c r="CG14" s="246">
        <v>131506.84931506848</v>
      </c>
      <c r="CH14" s="1227">
        <f t="shared" si="0"/>
        <v>26666.666666666657</v>
      </c>
      <c r="CI14" s="1221">
        <f t="shared" si="1"/>
        <v>1860</v>
      </c>
    </row>
    <row r="15" spans="2:87" ht="30" customHeight="1">
      <c r="B15" s="2856" t="s">
        <v>296</v>
      </c>
      <c r="C15" s="2857"/>
      <c r="D15" s="2857"/>
      <c r="E15" s="2858"/>
      <c r="G15" s="25" t="s">
        <v>17</v>
      </c>
      <c r="H15" s="818" t="s">
        <v>10</v>
      </c>
      <c r="K15" s="2863" t="s">
        <v>405</v>
      </c>
      <c r="L15" s="2863"/>
      <c r="M15" s="2863"/>
      <c r="N15" s="2863"/>
      <c r="O15" s="2863"/>
      <c r="P15" s="2863"/>
      <c r="Q15" s="2863"/>
      <c r="R15" s="2863"/>
      <c r="S15" s="2863"/>
      <c r="T15" s="2863"/>
      <c r="U15" s="62"/>
      <c r="V15" s="62"/>
      <c r="W15" s="4"/>
      <c r="AQ15" s="1173"/>
      <c r="AR15" s="1173"/>
      <c r="AS15" s="1173"/>
      <c r="AT15" s="1174">
        <v>1.5</v>
      </c>
      <c r="AU15" s="1173">
        <v>3</v>
      </c>
      <c r="AV15" s="1174">
        <v>0</v>
      </c>
      <c r="AW15" s="1173">
        <v>576</v>
      </c>
      <c r="AX15" s="1173">
        <v>22</v>
      </c>
      <c r="AY15" s="1174">
        <v>26.181818181818183</v>
      </c>
      <c r="AZ15" s="1175">
        <v>4</v>
      </c>
      <c r="BA15" s="1174">
        <v>0</v>
      </c>
      <c r="BB15" s="1221">
        <f t="shared" si="2"/>
        <v>6</v>
      </c>
      <c r="BC15" s="1221"/>
      <c r="BE15" s="1173"/>
      <c r="BF15" s="1173"/>
      <c r="BG15" s="1176">
        <v>7</v>
      </c>
      <c r="BH15" s="1176">
        <v>1860</v>
      </c>
      <c r="BI15" s="1176">
        <v>1</v>
      </c>
      <c r="BJ15" s="1176">
        <f>8+6</f>
        <v>14</v>
      </c>
      <c r="BK15" s="1173">
        <v>9</v>
      </c>
      <c r="BL15" s="1176">
        <v>8</v>
      </c>
      <c r="BM15" s="1173">
        <v>800</v>
      </c>
      <c r="BN15" s="1173">
        <v>89</v>
      </c>
      <c r="BO15" s="1173">
        <v>4</v>
      </c>
      <c r="BP15" s="1176">
        <v>17.8</v>
      </c>
      <c r="BQ15" s="1236">
        <v>5742</v>
      </c>
      <c r="BR15" s="1235">
        <v>475</v>
      </c>
      <c r="BS15" s="1235">
        <v>419</v>
      </c>
      <c r="BT15" s="1221">
        <f t="shared" si="3"/>
        <v>1.1336515513126493</v>
      </c>
      <c r="CE15" s="246">
        <v>191406.75799086757</v>
      </c>
      <c r="CF15" s="246">
        <v>112320</v>
      </c>
      <c r="CG15" s="246">
        <v>65753.42465753424</v>
      </c>
      <c r="CH15" s="1227">
        <f t="shared" si="0"/>
        <v>13333.333333333328</v>
      </c>
      <c r="CI15" s="1221">
        <f t="shared" si="1"/>
        <v>650</v>
      </c>
    </row>
    <row r="16" spans="2:87" ht="15" customHeight="1">
      <c r="B16" s="814"/>
      <c r="C16" s="815"/>
      <c r="D16" s="815"/>
      <c r="E16" s="816"/>
      <c r="G16" s="15"/>
      <c r="H16" s="998"/>
      <c r="I16" s="27"/>
      <c r="J16" s="27"/>
      <c r="K16" s="999"/>
      <c r="L16" s="999"/>
      <c r="M16" s="999"/>
      <c r="N16" s="999"/>
      <c r="O16" s="999"/>
      <c r="P16" s="999"/>
      <c r="Q16" s="999"/>
      <c r="R16" s="999"/>
      <c r="S16" s="999"/>
      <c r="T16" s="999"/>
      <c r="U16" s="62"/>
      <c r="V16" s="62"/>
      <c r="W16" s="4"/>
      <c r="AQ16" s="1173"/>
      <c r="AR16" s="1173"/>
      <c r="AS16" s="1173"/>
      <c r="AT16" s="1174">
        <v>25</v>
      </c>
      <c r="AU16" s="1173">
        <v>50</v>
      </c>
      <c r="AV16" s="1174">
        <v>0</v>
      </c>
      <c r="AW16" s="1173">
        <v>1000</v>
      </c>
      <c r="AX16" s="1173">
        <v>25</v>
      </c>
      <c r="AY16" s="1174">
        <v>40</v>
      </c>
      <c r="AZ16" s="1175">
        <v>3</v>
      </c>
      <c r="BA16" s="1174">
        <v>0</v>
      </c>
      <c r="BB16" s="1221">
        <f t="shared" si="2"/>
        <v>9</v>
      </c>
      <c r="BC16" s="1221"/>
      <c r="BE16" s="1173"/>
      <c r="BF16" s="1173"/>
      <c r="BG16" s="1176">
        <v>3</v>
      </c>
      <c r="BH16" s="1176">
        <v>1710</v>
      </c>
      <c r="BI16" s="1176">
        <v>3</v>
      </c>
      <c r="BJ16" s="1176"/>
      <c r="BK16" s="1173">
        <v>5</v>
      </c>
      <c r="BL16" s="1176">
        <v>4</v>
      </c>
      <c r="BM16" s="1173">
        <v>1200</v>
      </c>
      <c r="BN16" s="1173">
        <v>28</v>
      </c>
      <c r="BO16" s="1173">
        <v>4</v>
      </c>
      <c r="BP16" s="1176">
        <v>5.6000000000000005</v>
      </c>
      <c r="BQ16" s="1236">
        <v>3321</v>
      </c>
      <c r="BR16" s="1235"/>
      <c r="BS16" s="1235"/>
      <c r="BT16" s="1221"/>
      <c r="CE16" s="246">
        <v>295449.20547945204</v>
      </c>
      <c r="CF16" s="246">
        <v>117504</v>
      </c>
      <c r="CG16" s="246">
        <v>147945.20547945204</v>
      </c>
      <c r="CH16" s="1227">
        <f t="shared" si="0"/>
        <v>30000</v>
      </c>
      <c r="CI16" s="1221">
        <f t="shared" si="1"/>
        <v>680</v>
      </c>
    </row>
    <row r="17" spans="2:89">
      <c r="B17" s="43" t="s">
        <v>367</v>
      </c>
      <c r="C17" s="44"/>
      <c r="D17" s="44"/>
      <c r="E17" s="45"/>
      <c r="G17" s="46">
        <v>1955</v>
      </c>
      <c r="H17" s="1293"/>
      <c r="K17" s="2920"/>
      <c r="L17" s="2920"/>
      <c r="M17" s="2920"/>
      <c r="N17" s="2920"/>
      <c r="O17" s="2920"/>
      <c r="P17" s="2920"/>
      <c r="Q17" s="2920"/>
      <c r="R17" s="2920"/>
      <c r="S17" s="2920"/>
      <c r="T17" s="2920"/>
      <c r="U17" s="95"/>
      <c r="V17" s="95"/>
      <c r="W17" s="4"/>
      <c r="AQ17" s="1173"/>
      <c r="AR17" s="1173"/>
      <c r="AS17" s="1173"/>
      <c r="AT17" s="1174">
        <v>40</v>
      </c>
      <c r="AU17" s="1173">
        <v>80</v>
      </c>
      <c r="AV17" s="1174">
        <v>0</v>
      </c>
      <c r="AW17" s="1173">
        <v>838</v>
      </c>
      <c r="AX17" s="1173">
        <v>21</v>
      </c>
      <c r="AY17" s="1174">
        <v>39.904761904761905</v>
      </c>
      <c r="AZ17" s="1175">
        <v>3</v>
      </c>
      <c r="BA17" s="1174">
        <v>0</v>
      </c>
      <c r="BB17" s="1221">
        <f t="shared" si="2"/>
        <v>7</v>
      </c>
      <c r="BC17" s="1221"/>
      <c r="BE17" s="1173"/>
      <c r="BF17" s="1173"/>
      <c r="BG17" s="1176">
        <v>9</v>
      </c>
      <c r="BH17" s="1176">
        <v>680</v>
      </c>
      <c r="BI17" s="1176">
        <v>0</v>
      </c>
      <c r="BJ17" s="1176">
        <v>9</v>
      </c>
      <c r="BK17" s="1173">
        <v>11</v>
      </c>
      <c r="BL17" s="1176">
        <v>10</v>
      </c>
      <c r="BM17" s="1173">
        <v>200</v>
      </c>
      <c r="BN17" s="1173">
        <v>148</v>
      </c>
      <c r="BO17" s="1173">
        <v>4</v>
      </c>
      <c r="BP17" s="1176">
        <v>18.5</v>
      </c>
      <c r="BQ17" s="1236">
        <v>4898</v>
      </c>
      <c r="BR17" s="1235">
        <v>66.7</v>
      </c>
      <c r="BS17" s="1235">
        <v>55</v>
      </c>
      <c r="BT17" s="1221">
        <f t="shared" si="3"/>
        <v>1.2127272727272729</v>
      </c>
      <c r="CE17" s="246">
        <v>175236.04748858445</v>
      </c>
      <c r="CF17" s="246">
        <v>76377.599999999991</v>
      </c>
      <c r="CG17" s="246">
        <v>82191.780821917797</v>
      </c>
      <c r="CH17" s="1227">
        <f t="shared" si="0"/>
        <v>16666.666666666657</v>
      </c>
      <c r="CI17" s="1221">
        <f t="shared" si="1"/>
        <v>442</v>
      </c>
    </row>
    <row r="18" spans="2:89" ht="18.45">
      <c r="B18" s="43" t="s">
        <v>368</v>
      </c>
      <c r="C18" s="44"/>
      <c r="D18" s="44"/>
      <c r="E18" s="45"/>
      <c r="G18" s="41"/>
      <c r="H18" s="1294"/>
      <c r="K18" s="2860"/>
      <c r="L18" s="2860"/>
      <c r="M18" s="2860"/>
      <c r="N18" s="2860"/>
      <c r="O18" s="2860"/>
      <c r="P18" s="2860"/>
      <c r="Q18" s="2860"/>
      <c r="R18" s="2860"/>
      <c r="S18" s="2860"/>
      <c r="T18" s="2860"/>
      <c r="U18" s="95"/>
      <c r="V18" s="95"/>
      <c r="W18" s="4"/>
      <c r="AQ18" s="1173"/>
      <c r="AR18" s="1173"/>
      <c r="AS18" s="1173"/>
      <c r="AT18" s="1174">
        <v>50</v>
      </c>
      <c r="AU18" s="1173">
        <v>100</v>
      </c>
      <c r="AV18" s="1174">
        <v>0</v>
      </c>
      <c r="AW18" s="1173">
        <v>468</v>
      </c>
      <c r="AX18" s="1173">
        <v>25</v>
      </c>
      <c r="AY18" s="1174">
        <v>18.72</v>
      </c>
      <c r="AZ18" s="1175">
        <v>4</v>
      </c>
      <c r="BA18" s="1174">
        <v>0</v>
      </c>
      <c r="BB18" s="1221">
        <f t="shared" si="2"/>
        <v>7</v>
      </c>
      <c r="BC18" s="1221"/>
      <c r="BE18" s="1173"/>
      <c r="BF18" s="1173"/>
      <c r="BG18" s="1176">
        <v>5</v>
      </c>
      <c r="BH18" s="1176">
        <v>442</v>
      </c>
      <c r="BI18" s="1176">
        <v>0</v>
      </c>
      <c r="BJ18" s="1237">
        <v>5</v>
      </c>
      <c r="BK18" s="1173">
        <v>7</v>
      </c>
      <c r="BL18" s="1176">
        <v>6</v>
      </c>
      <c r="BM18" s="1173">
        <v>1200</v>
      </c>
      <c r="BN18" s="1173">
        <v>102</v>
      </c>
      <c r="BO18" s="1173">
        <v>4</v>
      </c>
      <c r="BP18" s="1176">
        <v>20.400000000000002</v>
      </c>
      <c r="BQ18" s="1236">
        <v>3623</v>
      </c>
      <c r="BR18" s="1235">
        <v>450</v>
      </c>
      <c r="BS18" s="1235">
        <v>271.5</v>
      </c>
      <c r="BT18" s="1221">
        <f t="shared" si="3"/>
        <v>1.6574585635359116</v>
      </c>
      <c r="CH18" s="1229">
        <f>SUM(CH4:CH17)</f>
        <v>246666.6666666666</v>
      </c>
      <c r="CI18" s="1221">
        <f>SUM(CI4:CI17)</f>
        <v>9712</v>
      </c>
      <c r="CJ18" s="1230">
        <f>CH18/CI18</f>
        <v>25.398132894014271</v>
      </c>
      <c r="CK18" t="s">
        <v>2043</v>
      </c>
    </row>
    <row r="19" spans="2:89" ht="20.6">
      <c r="B19" s="43" t="s">
        <v>130</v>
      </c>
      <c r="C19" s="44"/>
      <c r="D19" s="44"/>
      <c r="E19" s="45"/>
      <c r="G19" s="41"/>
      <c r="H19" s="1294">
        <v>9</v>
      </c>
      <c r="K19" s="2860"/>
      <c r="L19" s="2860"/>
      <c r="M19" s="2860"/>
      <c r="N19" s="2860"/>
      <c r="O19" s="2860"/>
      <c r="P19" s="2860"/>
      <c r="Q19" s="2860"/>
      <c r="R19" s="2860"/>
      <c r="S19" s="2860"/>
      <c r="T19" s="2860"/>
      <c r="U19" s="95"/>
      <c r="V19" s="62"/>
      <c r="W19" s="4"/>
      <c r="AQ19" s="1173"/>
      <c r="AR19" s="1173"/>
      <c r="AS19" s="1173"/>
      <c r="AT19" s="1174">
        <v>2.5</v>
      </c>
      <c r="AU19" s="1173">
        <v>5</v>
      </c>
      <c r="AV19" s="1174">
        <v>0</v>
      </c>
      <c r="AW19" s="1173">
        <v>1098</v>
      </c>
      <c r="AX19" s="1173">
        <v>29</v>
      </c>
      <c r="AY19" s="1174">
        <v>37.862068965517238</v>
      </c>
      <c r="AZ19" s="1175">
        <v>3</v>
      </c>
      <c r="BA19" s="1174">
        <v>0</v>
      </c>
      <c r="BB19" s="1221">
        <f t="shared" si="2"/>
        <v>10</v>
      </c>
      <c r="BC19" s="1221"/>
      <c r="BJ19" s="1241">
        <f>AVERAGE(BJ5:BJ18)</f>
        <v>7.4545454545454541</v>
      </c>
      <c r="BK19" s="1220" t="s">
        <v>5611</v>
      </c>
      <c r="BQ19" t="s">
        <v>80</v>
      </c>
      <c r="BR19" s="1222">
        <f>SUM(BR6:BR18)</f>
        <v>2913.7</v>
      </c>
      <c r="BS19" s="1222">
        <f>SUM(BS6:BS18)</f>
        <v>2283.3000000000002</v>
      </c>
      <c r="BT19" s="1221">
        <f t="shared" si="3"/>
        <v>1.2760916217755003</v>
      </c>
      <c r="CI19" s="1221"/>
    </row>
    <row r="20" spans="2:89" ht="20.6">
      <c r="B20" s="660" t="s">
        <v>369</v>
      </c>
      <c r="C20" s="44"/>
      <c r="D20" s="44"/>
      <c r="E20" s="45"/>
      <c r="G20" s="41"/>
      <c r="H20" s="1295"/>
      <c r="K20" s="2860"/>
      <c r="L20" s="2860"/>
      <c r="M20" s="2860"/>
      <c r="N20" s="2860"/>
      <c r="O20" s="2860"/>
      <c r="P20" s="2860"/>
      <c r="Q20" s="2860"/>
      <c r="R20" s="2860"/>
      <c r="S20" s="2860"/>
      <c r="T20" s="2860"/>
      <c r="U20" s="95"/>
      <c r="V20" s="62"/>
      <c r="W20" s="4"/>
      <c r="AQ20" s="1173"/>
      <c r="AR20" s="1173"/>
      <c r="AS20" s="1173"/>
      <c r="AT20" s="1174">
        <v>20</v>
      </c>
      <c r="AU20" s="1173">
        <v>40</v>
      </c>
      <c r="AV20" s="1174">
        <v>0</v>
      </c>
      <c r="AW20" s="1173">
        <v>96</v>
      </c>
      <c r="AX20" s="1173">
        <v>7</v>
      </c>
      <c r="AY20" s="1174">
        <v>13.714285714285714</v>
      </c>
      <c r="AZ20" s="1175">
        <v>5</v>
      </c>
      <c r="BA20" s="1174">
        <v>0</v>
      </c>
      <c r="BB20" s="1221">
        <f t="shared" si="2"/>
        <v>2</v>
      </c>
      <c r="BC20" s="1221"/>
      <c r="BJ20" s="1238">
        <f>BJ19/30</f>
        <v>0.24848484848484848</v>
      </c>
      <c r="BK20" s="1220" t="s">
        <v>2047</v>
      </c>
      <c r="CD20" s="1226" t="s">
        <v>5617</v>
      </c>
      <c r="CI20" s="1221"/>
    </row>
    <row r="21" spans="2:89" ht="16" customHeight="1">
      <c r="B21" s="68" t="s">
        <v>55</v>
      </c>
      <c r="C21" s="44"/>
      <c r="D21" s="44"/>
      <c r="E21" s="45"/>
      <c r="G21" s="55">
        <v>12300000</v>
      </c>
      <c r="H21" s="1296"/>
      <c r="K21" s="2860"/>
      <c r="L21" s="2860"/>
      <c r="M21" s="2860"/>
      <c r="N21" s="2860"/>
      <c r="O21" s="2860"/>
      <c r="P21" s="2860"/>
      <c r="Q21" s="2860"/>
      <c r="R21" s="2860"/>
      <c r="S21" s="2860"/>
      <c r="T21" s="2860"/>
      <c r="U21" s="97"/>
      <c r="V21" s="97"/>
      <c r="W21" s="4"/>
      <c r="AQ21" s="1173"/>
      <c r="AR21" s="1173"/>
      <c r="AS21" s="1173"/>
      <c r="AT21" s="1174">
        <v>22</v>
      </c>
      <c r="AU21" s="1173">
        <v>44</v>
      </c>
      <c r="AV21" s="1174">
        <v>0</v>
      </c>
      <c r="AW21" s="1173">
        <v>808</v>
      </c>
      <c r="AX21" s="1173">
        <v>10</v>
      </c>
      <c r="AY21" s="1174">
        <v>80.8</v>
      </c>
      <c r="AZ21" s="1175">
        <v>2</v>
      </c>
      <c r="BA21" s="1174">
        <v>0</v>
      </c>
      <c r="BB21" s="1221">
        <f t="shared" si="2"/>
        <v>5</v>
      </c>
      <c r="BC21" s="1221"/>
      <c r="BJ21" s="1238">
        <f>SUM(BI5:BI18)/SUM(BJ5:BJ18,BB5:BB80)</f>
        <v>1.1472275334608031E-2</v>
      </c>
      <c r="BK21" s="1220" t="s">
        <v>2050</v>
      </c>
      <c r="CE21" s="246">
        <v>768918.72146118723</v>
      </c>
      <c r="CF21" s="246">
        <v>172800</v>
      </c>
      <c r="CG21" s="246">
        <v>479452.05479452055</v>
      </c>
      <c r="CH21" s="1227">
        <f t="shared" ref="CH21:CH34" si="4">CE21-CF21-CG21</f>
        <v>116666.66666666669</v>
      </c>
      <c r="CI21" s="1221">
        <f>CF21*(1/$CB$4)*(1/$CB$7)*(1/$CB$6)</f>
        <v>1200</v>
      </c>
    </row>
    <row r="22" spans="2:89" ht="18.45">
      <c r="B22" s="50"/>
      <c r="C22" s="50"/>
      <c r="D22" s="50"/>
      <c r="E22" s="50"/>
      <c r="G22" s="50"/>
      <c r="H22" s="50"/>
      <c r="I22" s="50"/>
      <c r="J22" s="50"/>
      <c r="K22" s="50"/>
      <c r="S22" s="240"/>
      <c r="T22" s="95"/>
      <c r="U22" s="95"/>
      <c r="V22" s="95"/>
      <c r="AQ22" s="1173"/>
      <c r="AR22" s="1173"/>
      <c r="AS22" s="1173"/>
      <c r="AT22" s="1174">
        <v>47</v>
      </c>
      <c r="AU22" s="1173">
        <v>94</v>
      </c>
      <c r="AV22" s="1174">
        <v>0</v>
      </c>
      <c r="AW22" s="1173">
        <v>754</v>
      </c>
      <c r="AX22" s="1173">
        <v>13</v>
      </c>
      <c r="AY22" s="1174">
        <v>58</v>
      </c>
      <c r="AZ22" s="1175">
        <v>3</v>
      </c>
      <c r="BA22" s="1174">
        <v>0</v>
      </c>
      <c r="BB22" s="1221">
        <f t="shared" si="2"/>
        <v>5</v>
      </c>
      <c r="BC22" s="1221"/>
      <c r="CE22" s="246">
        <v>908934.94063926942</v>
      </c>
      <c r="CF22" s="246">
        <v>415008</v>
      </c>
      <c r="CG22" s="246">
        <v>397260.27397260268</v>
      </c>
      <c r="CH22" s="1227">
        <f t="shared" si="4"/>
        <v>96666.666666666744</v>
      </c>
      <c r="CI22" s="1221">
        <f t="shared" ref="CI22:CI34" si="5">CF22*(1/$CB$4)*(1/$CB$7)*(1/$CB$6)</f>
        <v>2882</v>
      </c>
    </row>
    <row r="23" spans="2:89">
      <c r="S23" s="1"/>
      <c r="T23" s="272"/>
      <c r="AQ23" s="1173"/>
      <c r="AR23" s="1173"/>
      <c r="AS23" s="1173"/>
      <c r="AT23" s="1174">
        <v>67</v>
      </c>
      <c r="AU23" s="1173">
        <v>134</v>
      </c>
      <c r="AV23" s="1174">
        <v>0</v>
      </c>
      <c r="AW23" s="1173">
        <v>486</v>
      </c>
      <c r="AX23" s="1173">
        <v>14</v>
      </c>
      <c r="AY23" s="1174">
        <v>34.714285714285715</v>
      </c>
      <c r="AZ23" s="1175">
        <v>3</v>
      </c>
      <c r="BA23" s="1174">
        <v>0</v>
      </c>
      <c r="BB23" s="1221">
        <f t="shared" si="2"/>
        <v>5</v>
      </c>
      <c r="BC23" s="1221"/>
      <c r="CE23" s="246">
        <v>1317718.5753424657</v>
      </c>
      <c r="CF23" s="246">
        <v>653472</v>
      </c>
      <c r="CG23" s="246">
        <v>534246.57534246566</v>
      </c>
      <c r="CH23" s="1227">
        <f t="shared" si="4"/>
        <v>130000</v>
      </c>
      <c r="CI23" s="1221">
        <f t="shared" si="5"/>
        <v>4538.0000000000009</v>
      </c>
    </row>
    <row r="24" spans="2:89" ht="27.65" customHeight="1">
      <c r="B24" s="2856" t="s">
        <v>297</v>
      </c>
      <c r="C24" s="2857"/>
      <c r="D24" s="2857"/>
      <c r="E24" s="2858"/>
      <c r="G24" s="2873" t="s">
        <v>72</v>
      </c>
      <c r="H24" s="2874"/>
      <c r="I24" s="697"/>
      <c r="J24" s="2871" t="s">
        <v>24</v>
      </c>
      <c r="K24" s="2871"/>
      <c r="AQ24" s="1173"/>
      <c r="AR24" s="1173"/>
      <c r="AS24" s="1173"/>
      <c r="AT24" s="1174">
        <v>74</v>
      </c>
      <c r="AU24" s="1173">
        <v>148</v>
      </c>
      <c r="AV24" s="1174">
        <v>0</v>
      </c>
      <c r="AW24" s="1173">
        <v>164</v>
      </c>
      <c r="AX24" s="1173">
        <v>9</v>
      </c>
      <c r="AY24" s="1174">
        <v>18.222222222222221</v>
      </c>
      <c r="AZ24" s="1175">
        <v>4</v>
      </c>
      <c r="BA24" s="1174">
        <v>0</v>
      </c>
      <c r="BB24" s="1221">
        <f t="shared" si="2"/>
        <v>3</v>
      </c>
      <c r="BC24" s="1221"/>
      <c r="BE24" s="1220" t="s">
        <v>2026</v>
      </c>
      <c r="BF24" s="1221"/>
      <c r="BG24" s="1221"/>
      <c r="BH24" s="1221"/>
      <c r="BI24" s="1221"/>
      <c r="CE24" s="246">
        <v>1149246.8310502283</v>
      </c>
      <c r="CF24" s="246">
        <v>604224</v>
      </c>
      <c r="CG24" s="246">
        <v>438356.16438356164</v>
      </c>
      <c r="CH24" s="1227">
        <f t="shared" si="4"/>
        <v>106666.66666666669</v>
      </c>
      <c r="CI24" s="1221">
        <f t="shared" si="5"/>
        <v>4196</v>
      </c>
    </row>
    <row r="25" spans="2:89" ht="15" customHeight="1">
      <c r="B25" s="2865" t="s">
        <v>23</v>
      </c>
      <c r="C25" s="2661"/>
      <c r="D25" s="2661"/>
      <c r="E25" s="2866"/>
      <c r="G25" s="2867" t="s">
        <v>17</v>
      </c>
      <c r="H25" s="2869" t="s">
        <v>10</v>
      </c>
      <c r="J25" s="2871" t="s">
        <v>17</v>
      </c>
      <c r="K25" s="2872" t="s">
        <v>10</v>
      </c>
      <c r="N25" s="2859" t="s">
        <v>405</v>
      </c>
      <c r="O25" s="2859"/>
      <c r="P25" s="2859"/>
      <c r="Q25" s="2859"/>
      <c r="R25" s="2859"/>
      <c r="S25" s="2859"/>
      <c r="T25" s="2859"/>
      <c r="U25" s="2859"/>
      <c r="V25" s="2859"/>
      <c r="W25" s="2859"/>
      <c r="AQ25" s="1173"/>
      <c r="AR25" s="1173"/>
      <c r="AS25" s="1173"/>
      <c r="AT25" s="1174">
        <v>91</v>
      </c>
      <c r="AU25" s="1173">
        <v>182</v>
      </c>
      <c r="AV25" s="1174">
        <v>0</v>
      </c>
      <c r="AW25" s="1173">
        <v>1132</v>
      </c>
      <c r="AX25" s="1173">
        <v>17</v>
      </c>
      <c r="AY25" s="1174">
        <v>66.588235294117652</v>
      </c>
      <c r="AZ25" s="1175">
        <v>2</v>
      </c>
      <c r="BA25" s="1174">
        <v>0</v>
      </c>
      <c r="BB25" s="1221">
        <f t="shared" si="2"/>
        <v>9</v>
      </c>
      <c r="BC25" s="1221"/>
      <c r="BE25" s="1221" t="s">
        <v>2024</v>
      </c>
      <c r="BF25" s="1221"/>
      <c r="BG25" s="1221"/>
      <c r="BH25" s="1222">
        <f>AVERAGE(BR6:BR18)</f>
        <v>291.37</v>
      </c>
      <c r="BI25" s="1221" t="s">
        <v>2025</v>
      </c>
      <c r="CE25" s="246">
        <v>1023926.8675799086</v>
      </c>
      <c r="CF25" s="246">
        <v>495936</v>
      </c>
      <c r="CG25" s="246">
        <v>424657.53424657532</v>
      </c>
      <c r="CH25" s="1227">
        <f t="shared" si="4"/>
        <v>103333.33333333326</v>
      </c>
      <c r="CI25" s="1221">
        <f t="shared" si="5"/>
        <v>3444.0000000000005</v>
      </c>
    </row>
    <row r="26" spans="2:89">
      <c r="B26" s="2611"/>
      <c r="C26" s="2612"/>
      <c r="D26" s="2612"/>
      <c r="E26" s="2613"/>
      <c r="G26" s="2868"/>
      <c r="H26" s="2870"/>
      <c r="J26" s="2871"/>
      <c r="K26" s="2872"/>
      <c r="N26" s="2859"/>
      <c r="O26" s="2859"/>
      <c r="P26" s="2859"/>
      <c r="Q26" s="2859"/>
      <c r="R26" s="2859"/>
      <c r="S26" s="2859"/>
      <c r="T26" s="2859"/>
      <c r="U26" s="2859"/>
      <c r="V26" s="2859"/>
      <c r="W26" s="2859"/>
      <c r="AQ26" s="1173"/>
      <c r="AR26" s="1173"/>
      <c r="AS26" s="1173"/>
      <c r="AT26" s="1174">
        <v>0</v>
      </c>
      <c r="AU26" s="1173">
        <v>0</v>
      </c>
      <c r="AV26" s="1174">
        <v>0</v>
      </c>
      <c r="AW26" s="1173">
        <v>254</v>
      </c>
      <c r="AX26" s="1173">
        <v>27</v>
      </c>
      <c r="AY26" s="1174">
        <v>9.4074074074074066</v>
      </c>
      <c r="AZ26" s="1175">
        <v>5</v>
      </c>
      <c r="BA26" s="1174">
        <v>0</v>
      </c>
      <c r="BB26" s="1221">
        <f t="shared" si="2"/>
        <v>6</v>
      </c>
      <c r="BC26" s="1221"/>
      <c r="BE26" s="1221" t="s">
        <v>2017</v>
      </c>
      <c r="BF26" s="1221"/>
      <c r="BG26" s="1221"/>
      <c r="BH26" s="1223">
        <f>AVERAGE(AT5:AT80)</f>
        <v>69.973684210526315</v>
      </c>
      <c r="BI26" s="1221" t="s">
        <v>2021</v>
      </c>
      <c r="CE26" s="246">
        <v>678319.2694063927</v>
      </c>
      <c r="CF26" s="246">
        <v>337680</v>
      </c>
      <c r="CG26" s="246">
        <v>273972.60273972602</v>
      </c>
      <c r="CH26" s="1227">
        <f t="shared" si="4"/>
        <v>66666.666666666686</v>
      </c>
      <c r="CI26" s="1221">
        <f t="shared" si="5"/>
        <v>2345.0000000000005</v>
      </c>
    </row>
    <row r="27" spans="2:89" ht="15" customHeight="1">
      <c r="B27" s="495" t="s">
        <v>605</v>
      </c>
      <c r="C27" s="781"/>
      <c r="D27" s="781"/>
      <c r="E27" s="783"/>
      <c r="G27" s="790"/>
      <c r="H27" s="1050"/>
      <c r="I27" s="1051"/>
      <c r="J27" s="1052"/>
      <c r="K27" s="1050"/>
      <c r="N27" s="2860"/>
      <c r="O27" s="2860"/>
      <c r="P27" s="2860"/>
      <c r="Q27" s="2860"/>
      <c r="R27" s="2860"/>
      <c r="S27" s="2860"/>
      <c r="T27" s="2860"/>
      <c r="U27" s="2860"/>
      <c r="V27" s="2860"/>
      <c r="W27" s="2860"/>
      <c r="X27" s="4"/>
      <c r="AE27" s="1"/>
      <c r="AQ27" s="1173"/>
      <c r="AR27" s="1173"/>
      <c r="AS27" s="1173"/>
      <c r="AT27" s="1174">
        <v>30</v>
      </c>
      <c r="AU27" s="1173">
        <v>60</v>
      </c>
      <c r="AV27" s="1174">
        <v>0</v>
      </c>
      <c r="AW27" s="1173">
        <v>1510</v>
      </c>
      <c r="AX27" s="1173">
        <v>17</v>
      </c>
      <c r="AY27" s="1174">
        <v>88.82352941176471</v>
      </c>
      <c r="AZ27" s="1175">
        <v>2</v>
      </c>
      <c r="BA27" s="1174">
        <v>0</v>
      </c>
      <c r="BB27" s="1221">
        <f t="shared" si="2"/>
        <v>9</v>
      </c>
      <c r="BC27" s="1221"/>
      <c r="BE27" s="1221" t="s">
        <v>2018</v>
      </c>
      <c r="BF27" s="1221"/>
      <c r="BG27" s="1221"/>
      <c r="BH27" s="1224">
        <f>AVERAGE(AY5:AY80)</f>
        <v>39.089759201762888</v>
      </c>
      <c r="BI27" s="1221" t="s">
        <v>2021</v>
      </c>
      <c r="CE27" s="246">
        <v>641231.34246575343</v>
      </c>
      <c r="CF27" s="246">
        <v>334656</v>
      </c>
      <c r="CG27" s="246">
        <v>246575.34246575343</v>
      </c>
      <c r="CH27" s="1227">
        <f t="shared" si="4"/>
        <v>60000</v>
      </c>
      <c r="CI27" s="1221">
        <f t="shared" si="5"/>
        <v>2324.0000000000005</v>
      </c>
    </row>
    <row r="28" spans="2:89">
      <c r="B28" s="231" t="s">
        <v>19</v>
      </c>
      <c r="C28" s="26"/>
      <c r="D28" s="26"/>
      <c r="E28" s="16"/>
      <c r="G28" s="47" t="e">
        <v>#REF!</v>
      </c>
      <c r="H28" s="524">
        <f>10313/600</f>
        <v>17.188333333333333</v>
      </c>
      <c r="I28" s="705"/>
      <c r="J28" s="706"/>
      <c r="K28" s="1242">
        <f>10200/600</f>
        <v>17</v>
      </c>
      <c r="N28" s="2875" t="s">
        <v>2051</v>
      </c>
      <c r="O28" s="2875"/>
      <c r="P28" s="2875"/>
      <c r="Q28" s="2875"/>
      <c r="R28" s="2875"/>
      <c r="S28" s="2875"/>
      <c r="T28" s="2875"/>
      <c r="U28" s="2875"/>
      <c r="V28" s="2875"/>
      <c r="W28" s="2875"/>
      <c r="AQ28" s="1173"/>
      <c r="AR28" s="1173"/>
      <c r="AS28" s="1173"/>
      <c r="AT28" s="1174">
        <v>55</v>
      </c>
      <c r="AU28" s="1173">
        <v>110</v>
      </c>
      <c r="AV28" s="1174">
        <v>0</v>
      </c>
      <c r="AW28" s="1173">
        <v>1782</v>
      </c>
      <c r="AX28" s="1173">
        <v>31</v>
      </c>
      <c r="AY28" s="1174">
        <v>57.483870967741936</v>
      </c>
      <c r="AZ28" s="1175">
        <v>3</v>
      </c>
      <c r="BA28" s="1174">
        <v>0</v>
      </c>
      <c r="BB28" s="1221">
        <f t="shared" si="2"/>
        <v>11</v>
      </c>
      <c r="BC28" s="1221"/>
      <c r="BE28" s="1221" t="s">
        <v>2019</v>
      </c>
      <c r="BF28" s="1221"/>
      <c r="BG28" s="1221"/>
      <c r="BH28" s="1221">
        <f>COUNTA(AS5:AS80)</f>
        <v>0</v>
      </c>
      <c r="BI28" s="1221"/>
      <c r="CE28" s="246">
        <v>1702766.319634703</v>
      </c>
      <c r="CF28" s="246">
        <v>919296</v>
      </c>
      <c r="CG28" s="246">
        <v>630136.98630136985</v>
      </c>
      <c r="CH28" s="1227">
        <f t="shared" si="4"/>
        <v>153333.33333333314</v>
      </c>
      <c r="CI28" s="1221">
        <f t="shared" si="5"/>
        <v>6384.0000000000009</v>
      </c>
    </row>
    <row r="29" spans="2:89" ht="17.25" customHeight="1">
      <c r="B29" s="231" t="s">
        <v>20</v>
      </c>
      <c r="C29" s="26"/>
      <c r="D29" s="26"/>
      <c r="E29" s="16"/>
      <c r="G29" s="48" t="e">
        <v>#REF!</v>
      </c>
      <c r="H29" s="524">
        <f>3988/600</f>
        <v>6.6466666666666665</v>
      </c>
      <c r="I29" s="705"/>
      <c r="J29" s="706"/>
      <c r="K29" s="1242">
        <f t="shared" ref="K29:K31" si="6">10200/600</f>
        <v>17</v>
      </c>
      <c r="N29" s="2876" t="s">
        <v>2052</v>
      </c>
      <c r="O29" s="2876"/>
      <c r="P29" s="2876"/>
      <c r="Q29" s="2876"/>
      <c r="R29" s="2876"/>
      <c r="S29" s="2876"/>
      <c r="T29" s="2876"/>
      <c r="U29" s="2876"/>
      <c r="V29" s="2876"/>
      <c r="W29" s="2876"/>
      <c r="AI29" s="460"/>
      <c r="AQ29" s="1173"/>
      <c r="AR29" s="1173"/>
      <c r="AS29" s="1173"/>
      <c r="AT29" s="1174">
        <v>30</v>
      </c>
      <c r="AU29" s="1173">
        <v>60</v>
      </c>
      <c r="AV29" s="1174">
        <v>0</v>
      </c>
      <c r="AW29" s="1173">
        <v>650</v>
      </c>
      <c r="AX29" s="1173">
        <v>18</v>
      </c>
      <c r="AY29" s="1174">
        <v>36.111111111111114</v>
      </c>
      <c r="AZ29" s="1175">
        <v>3</v>
      </c>
      <c r="BA29" s="1174">
        <v>0</v>
      </c>
      <c r="BB29" s="1221">
        <f t="shared" si="2"/>
        <v>6</v>
      </c>
      <c r="BC29" s="1221"/>
      <c r="BE29" s="1221" t="s">
        <v>2020</v>
      </c>
      <c r="BF29" s="1221"/>
      <c r="BG29" s="1221"/>
      <c r="BH29" s="1221">
        <f>SUM(AX5:AX80)</f>
        <v>1319</v>
      </c>
      <c r="BI29" s="1221"/>
      <c r="CE29" s="246">
        <v>1746406.5753424657</v>
      </c>
      <c r="CF29" s="246">
        <v>1082160</v>
      </c>
      <c r="CG29" s="246">
        <v>534246.57534246577</v>
      </c>
      <c r="CH29" s="1227">
        <f t="shared" si="4"/>
        <v>129999.99999999988</v>
      </c>
      <c r="CI29" s="1221">
        <f t="shared" si="5"/>
        <v>7515</v>
      </c>
    </row>
    <row r="30" spans="2:89" ht="17.25" customHeight="1">
      <c r="B30" s="231" t="s">
        <v>21</v>
      </c>
      <c r="C30" s="26"/>
      <c r="D30" s="26"/>
      <c r="E30" s="16"/>
      <c r="G30" s="48">
        <v>6.58</v>
      </c>
      <c r="H30" s="524">
        <f>8148/600</f>
        <v>13.58</v>
      </c>
      <c r="I30" s="705"/>
      <c r="J30" s="706"/>
      <c r="K30" s="1242">
        <f t="shared" si="6"/>
        <v>17</v>
      </c>
      <c r="N30" s="2860"/>
      <c r="O30" s="2860"/>
      <c r="P30" s="2860"/>
      <c r="Q30" s="2860"/>
      <c r="R30" s="2860"/>
      <c r="S30" s="2860"/>
      <c r="T30" s="2860"/>
      <c r="U30" s="2860"/>
      <c r="V30" s="2860"/>
      <c r="W30" s="2860"/>
      <c r="AI30" s="460"/>
      <c r="AQ30" s="1173"/>
      <c r="AR30" s="1173"/>
      <c r="AS30" s="1173"/>
      <c r="AT30" s="1174">
        <v>55</v>
      </c>
      <c r="AU30" s="1173">
        <v>110</v>
      </c>
      <c r="AV30" s="1174">
        <v>0</v>
      </c>
      <c r="AW30" s="1173">
        <v>598</v>
      </c>
      <c r="AX30" s="1173">
        <v>28</v>
      </c>
      <c r="AY30" s="1174">
        <v>21.357142857142858</v>
      </c>
      <c r="AZ30" s="1175">
        <v>4</v>
      </c>
      <c r="BA30" s="1174">
        <v>0</v>
      </c>
      <c r="BB30" s="1221">
        <f t="shared" si="2"/>
        <v>7</v>
      </c>
      <c r="BC30" s="1221"/>
      <c r="CE30" s="246">
        <v>871902.83105022833</v>
      </c>
      <c r="CF30" s="246">
        <v>326880</v>
      </c>
      <c r="CG30" s="246">
        <v>438356.16438356164</v>
      </c>
      <c r="CH30" s="1227">
        <f t="shared" si="4"/>
        <v>106666.66666666669</v>
      </c>
      <c r="CI30" s="1221">
        <f t="shared" si="5"/>
        <v>2270.0000000000005</v>
      </c>
    </row>
    <row r="31" spans="2:89" ht="17.25" customHeight="1">
      <c r="B31" s="231" t="s">
        <v>22</v>
      </c>
      <c r="C31" s="26"/>
      <c r="D31" s="26"/>
      <c r="E31" s="16"/>
      <c r="G31" s="48">
        <v>5.91</v>
      </c>
      <c r="H31" s="524">
        <f>3376/600</f>
        <v>5.6266666666666669</v>
      </c>
      <c r="I31" s="705"/>
      <c r="J31" s="706"/>
      <c r="K31" s="1242">
        <f t="shared" si="6"/>
        <v>17</v>
      </c>
      <c r="N31" s="2860"/>
      <c r="O31" s="2860"/>
      <c r="P31" s="2860"/>
      <c r="Q31" s="2860"/>
      <c r="R31" s="2860"/>
      <c r="S31" s="2860"/>
      <c r="T31" s="2860"/>
      <c r="U31" s="2860"/>
      <c r="V31" s="2860"/>
      <c r="W31" s="2860"/>
      <c r="AQ31" s="1173"/>
      <c r="AR31" s="1173"/>
      <c r="AS31" s="1173"/>
      <c r="AT31" s="1174">
        <v>55</v>
      </c>
      <c r="AU31" s="1173">
        <v>110</v>
      </c>
      <c r="AV31" s="1174">
        <v>0</v>
      </c>
      <c r="AW31" s="1173">
        <v>506</v>
      </c>
      <c r="AX31" s="1173">
        <v>19</v>
      </c>
      <c r="AY31" s="1174">
        <v>26.631578947368421</v>
      </c>
      <c r="AZ31" s="1175">
        <v>4</v>
      </c>
      <c r="BA31" s="1174">
        <v>0</v>
      </c>
      <c r="BB31" s="1221">
        <f t="shared" si="2"/>
        <v>5</v>
      </c>
      <c r="BC31" s="1221"/>
      <c r="CE31" s="246">
        <v>1155126.7214611871</v>
      </c>
      <c r="CF31" s="246">
        <v>559008</v>
      </c>
      <c r="CG31" s="246">
        <v>479452.05479452055</v>
      </c>
      <c r="CH31" s="1227">
        <f t="shared" si="4"/>
        <v>116666.66666666657</v>
      </c>
      <c r="CI31" s="1221">
        <f t="shared" si="5"/>
        <v>3882.0000000000005</v>
      </c>
    </row>
    <row r="32" spans="2:89" ht="17.25" customHeight="1">
      <c r="B32" s="231" t="s">
        <v>402</v>
      </c>
      <c r="C32" s="26"/>
      <c r="D32" s="26"/>
      <c r="E32" s="16"/>
      <c r="G32" s="48" t="e">
        <v>#REF!</v>
      </c>
      <c r="H32" s="524"/>
      <c r="I32" s="705"/>
      <c r="J32" s="706"/>
      <c r="K32" s="1242"/>
      <c r="N32" s="2860"/>
      <c r="O32" s="2860"/>
      <c r="P32" s="2860"/>
      <c r="Q32" s="2860"/>
      <c r="R32" s="2860"/>
      <c r="S32" s="2860"/>
      <c r="T32" s="2860"/>
      <c r="U32" s="2860"/>
      <c r="V32" s="2860"/>
      <c r="W32" s="2860"/>
      <c r="AQ32" s="1173"/>
      <c r="AR32" s="1173"/>
      <c r="AS32" s="1173"/>
      <c r="AT32" s="1174">
        <v>100</v>
      </c>
      <c r="AU32" s="1173">
        <v>200</v>
      </c>
      <c r="AV32" s="1174">
        <v>0</v>
      </c>
      <c r="AW32" s="1173">
        <v>1040</v>
      </c>
      <c r="AX32" s="1173">
        <v>17</v>
      </c>
      <c r="AY32" s="1174">
        <v>61.176470588235297</v>
      </c>
      <c r="AZ32" s="1175">
        <v>2</v>
      </c>
      <c r="BA32" s="1174">
        <v>0</v>
      </c>
      <c r="BB32" s="1221">
        <f t="shared" si="2"/>
        <v>9</v>
      </c>
      <c r="BC32" s="1221"/>
      <c r="CE32" s="246">
        <v>436367.56164383562</v>
      </c>
      <c r="CF32" s="246">
        <v>231984</v>
      </c>
      <c r="CG32" s="246">
        <v>164383.56164383562</v>
      </c>
      <c r="CH32" s="1227">
        <f t="shared" si="4"/>
        <v>40000</v>
      </c>
      <c r="CI32" s="1221">
        <f t="shared" si="5"/>
        <v>1611.0000000000002</v>
      </c>
    </row>
    <row r="33" spans="1:89" ht="17.25" customHeight="1">
      <c r="B33" s="231" t="s">
        <v>401</v>
      </c>
      <c r="C33" s="26"/>
      <c r="D33" s="26"/>
      <c r="E33" s="16"/>
      <c r="G33" s="48"/>
      <c r="H33" s="524"/>
      <c r="I33" s="705"/>
      <c r="J33" s="706"/>
      <c r="K33" s="1242"/>
      <c r="N33" s="2860"/>
      <c r="O33" s="2860"/>
      <c r="P33" s="2860"/>
      <c r="Q33" s="2860"/>
      <c r="R33" s="2860"/>
      <c r="S33" s="2860"/>
      <c r="T33" s="2860"/>
      <c r="U33" s="2860"/>
      <c r="V33" s="2860"/>
      <c r="W33" s="2860"/>
      <c r="AQ33" s="1173"/>
      <c r="AR33" s="1173"/>
      <c r="AS33" s="1173"/>
      <c r="AT33" s="1174">
        <v>115</v>
      </c>
      <c r="AU33" s="1173">
        <v>230</v>
      </c>
      <c r="AV33" s="1174">
        <v>0</v>
      </c>
      <c r="AW33" s="1173">
        <v>1300</v>
      </c>
      <c r="AX33" s="1173">
        <v>19</v>
      </c>
      <c r="AY33" s="1174">
        <v>68.421052631578945</v>
      </c>
      <c r="AZ33" s="1175">
        <v>2</v>
      </c>
      <c r="BA33" s="1174">
        <v>0</v>
      </c>
      <c r="BB33" s="1221">
        <f t="shared" si="2"/>
        <v>10</v>
      </c>
      <c r="BC33" s="1221"/>
      <c r="CE33" s="246">
        <v>1322734.4657534247</v>
      </c>
      <c r="CF33" s="246">
        <v>607392</v>
      </c>
      <c r="CG33" s="246">
        <v>575342.46575342468</v>
      </c>
      <c r="CH33" s="1227">
        <f t="shared" si="4"/>
        <v>140000</v>
      </c>
      <c r="CI33" s="1221">
        <f t="shared" si="5"/>
        <v>4218.0000000000009</v>
      </c>
    </row>
    <row r="34" spans="1:89">
      <c r="B34" s="231" t="s">
        <v>403</v>
      </c>
      <c r="C34" s="26"/>
      <c r="D34" s="26"/>
      <c r="E34" s="16"/>
      <c r="G34" s="48">
        <v>5.91</v>
      </c>
      <c r="H34" s="524"/>
      <c r="I34" s="705"/>
      <c r="J34" s="706"/>
      <c r="K34" s="1242"/>
      <c r="N34" s="2860"/>
      <c r="O34" s="2860"/>
      <c r="P34" s="2860"/>
      <c r="Q34" s="2860"/>
      <c r="R34" s="2860"/>
      <c r="S34" s="2860"/>
      <c r="T34" s="2860"/>
      <c r="U34" s="2860"/>
      <c r="V34" s="2860"/>
      <c r="W34" s="2860"/>
      <c r="AQ34" s="1173"/>
      <c r="AR34" s="1173"/>
      <c r="AS34" s="1173"/>
      <c r="AT34" s="1174">
        <v>1.5</v>
      </c>
      <c r="AU34" s="1173">
        <v>3</v>
      </c>
      <c r="AV34" s="1174">
        <v>0</v>
      </c>
      <c r="AW34" s="1173">
        <v>830</v>
      </c>
      <c r="AX34" s="1173">
        <v>23</v>
      </c>
      <c r="AY34" s="1174">
        <v>36.086956521739133</v>
      </c>
      <c r="AZ34" s="1175">
        <v>3</v>
      </c>
      <c r="BA34" s="1174">
        <v>0</v>
      </c>
      <c r="BB34" s="1221">
        <f t="shared" si="2"/>
        <v>8</v>
      </c>
      <c r="BC34" s="1221"/>
      <c r="CE34" s="246">
        <v>986054.86757990869</v>
      </c>
      <c r="CF34" s="246">
        <v>458064</v>
      </c>
      <c r="CG34" s="246">
        <v>424657.53424657532</v>
      </c>
      <c r="CH34" s="1227">
        <f t="shared" si="4"/>
        <v>103333.33333333337</v>
      </c>
      <c r="CI34" s="1221">
        <f t="shared" si="5"/>
        <v>3181.0000000000005</v>
      </c>
    </row>
    <row r="35" spans="1:89" ht="18.45">
      <c r="B35" s="232" t="s">
        <v>404</v>
      </c>
      <c r="C35" s="26"/>
      <c r="D35" s="26"/>
      <c r="E35" s="16"/>
      <c r="G35" s="48" t="e">
        <v>#REF!</v>
      </c>
      <c r="H35" s="524"/>
      <c r="I35" s="705"/>
      <c r="J35" s="706"/>
      <c r="K35" s="1242"/>
      <c r="N35" s="2860"/>
      <c r="O35" s="2860"/>
      <c r="P35" s="2860"/>
      <c r="Q35" s="2860"/>
      <c r="R35" s="2860"/>
      <c r="S35" s="2860"/>
      <c r="T35" s="2860"/>
      <c r="U35" s="2860"/>
      <c r="V35" s="2860"/>
      <c r="W35" s="2860"/>
      <c r="AQ35" s="1173"/>
      <c r="AR35" s="1173"/>
      <c r="AS35" s="1173"/>
      <c r="AT35" s="1174">
        <v>91</v>
      </c>
      <c r="AU35" s="1173">
        <v>182</v>
      </c>
      <c r="AV35" s="1174">
        <v>0</v>
      </c>
      <c r="AW35" s="1173">
        <v>578</v>
      </c>
      <c r="AX35" s="1173">
        <v>16</v>
      </c>
      <c r="AY35" s="1174">
        <v>36.125</v>
      </c>
      <c r="AZ35" s="1175">
        <v>3</v>
      </c>
      <c r="BA35" s="1174">
        <v>0</v>
      </c>
      <c r="BB35" s="1221">
        <f t="shared" si="2"/>
        <v>6</v>
      </c>
      <c r="BC35" s="1221"/>
      <c r="CH35" s="1229">
        <f>SUM(CH21:CH34)</f>
        <v>1469999.9999999995</v>
      </c>
      <c r="CI35" s="1221">
        <f>SUM(CI21:CI34)</f>
        <v>49990</v>
      </c>
      <c r="CJ35" s="1230">
        <f>CH35/CI35</f>
        <v>29.405881176235237</v>
      </c>
      <c r="CK35" t="s">
        <v>2042</v>
      </c>
    </row>
    <row r="36" spans="1:89">
      <c r="B36" s="232" t="s">
        <v>416</v>
      </c>
      <c r="C36" s="26"/>
      <c r="D36" s="26"/>
      <c r="E36" s="16"/>
      <c r="G36" s="48"/>
      <c r="H36" s="699">
        <f>2846/600</f>
        <v>4.7433333333333332</v>
      </c>
      <c r="I36" s="705"/>
      <c r="J36" s="706"/>
      <c r="K36" s="1242">
        <f t="shared" ref="K36:K38" si="7">10200/600</f>
        <v>17</v>
      </c>
      <c r="N36" s="2860"/>
      <c r="O36" s="2860"/>
      <c r="P36" s="2860"/>
      <c r="Q36" s="2860"/>
      <c r="R36" s="2860"/>
      <c r="S36" s="2860"/>
      <c r="T36" s="2860"/>
      <c r="U36" s="2860"/>
      <c r="V36" s="2860"/>
      <c r="W36" s="2860"/>
      <c r="AQ36" s="1173"/>
      <c r="AR36" s="1173"/>
      <c r="AS36" s="1173"/>
      <c r="AT36" s="1174">
        <v>100</v>
      </c>
      <c r="AU36" s="1173">
        <v>200</v>
      </c>
      <c r="AV36" s="1174">
        <v>0</v>
      </c>
      <c r="AW36" s="1173">
        <v>602</v>
      </c>
      <c r="AX36" s="1173">
        <v>10</v>
      </c>
      <c r="AY36" s="1174">
        <v>60.2</v>
      </c>
      <c r="AZ36" s="1175">
        <v>2</v>
      </c>
      <c r="BA36" s="1174">
        <v>0</v>
      </c>
      <c r="BB36" s="1221">
        <f t="shared" si="2"/>
        <v>5</v>
      </c>
      <c r="BC36" s="1221"/>
    </row>
    <row r="37" spans="1:89">
      <c r="B37" s="232" t="s">
        <v>417</v>
      </c>
      <c r="C37" s="26"/>
      <c r="D37" s="26"/>
      <c r="E37" s="16"/>
      <c r="G37" s="48"/>
      <c r="H37" s="699">
        <f>2385/600</f>
        <v>3.9750000000000001</v>
      </c>
      <c r="I37" s="705"/>
      <c r="J37" s="706"/>
      <c r="K37" s="1242">
        <f t="shared" si="7"/>
        <v>17</v>
      </c>
      <c r="N37" s="2860"/>
      <c r="O37" s="2860"/>
      <c r="P37" s="2860"/>
      <c r="Q37" s="2860"/>
      <c r="R37" s="2860"/>
      <c r="S37" s="2860"/>
      <c r="T37" s="2860"/>
      <c r="U37" s="2860"/>
      <c r="V37" s="2860"/>
      <c r="W37" s="2860"/>
      <c r="Y37" s="37"/>
      <c r="AQ37" s="1173"/>
      <c r="AR37" s="1173"/>
      <c r="AS37" s="1173"/>
      <c r="AT37" s="1174">
        <v>130</v>
      </c>
      <c r="AU37" s="1173">
        <v>260</v>
      </c>
      <c r="AV37" s="1174">
        <v>0</v>
      </c>
      <c r="AW37" s="1173">
        <v>913</v>
      </c>
      <c r="AX37" s="1173">
        <v>19</v>
      </c>
      <c r="AY37" s="1174">
        <v>48.05263157894737</v>
      </c>
      <c r="AZ37" s="1175">
        <v>3</v>
      </c>
      <c r="BA37" s="1174">
        <v>0</v>
      </c>
      <c r="BB37" s="1221">
        <f t="shared" si="2"/>
        <v>7</v>
      </c>
      <c r="BC37" s="1221"/>
    </row>
    <row r="38" spans="1:89">
      <c r="B38" s="232" t="s">
        <v>418</v>
      </c>
      <c r="C38" s="27"/>
      <c r="D38" s="27"/>
      <c r="E38" s="17"/>
      <c r="G38" s="49" t="e">
        <v>#REF!</v>
      </c>
      <c r="H38" s="700">
        <f>2703/600</f>
        <v>4.5049999999999999</v>
      </c>
      <c r="I38" s="705"/>
      <c r="J38" s="707"/>
      <c r="K38" s="1243">
        <f t="shared" si="7"/>
        <v>17</v>
      </c>
      <c r="N38" s="2860"/>
      <c r="O38" s="2860"/>
      <c r="P38" s="2860"/>
      <c r="Q38" s="2860"/>
      <c r="R38" s="2860"/>
      <c r="S38" s="2860"/>
      <c r="T38" s="2860"/>
      <c r="U38" s="2860"/>
      <c r="V38" s="2860"/>
      <c r="W38" s="2860"/>
      <c r="AQ38" s="1173"/>
      <c r="AR38" s="1173"/>
      <c r="AS38" s="1173"/>
      <c r="AT38" s="1174">
        <v>135</v>
      </c>
      <c r="AU38" s="1173">
        <v>270</v>
      </c>
      <c r="AV38" s="1174">
        <v>0</v>
      </c>
      <c r="AW38" s="1173">
        <v>983</v>
      </c>
      <c r="AX38" s="1173">
        <v>21</v>
      </c>
      <c r="AY38" s="1174">
        <v>46.80952380952381</v>
      </c>
      <c r="AZ38" s="1175">
        <v>3</v>
      </c>
      <c r="BA38" s="1174">
        <v>0</v>
      </c>
      <c r="BB38" s="1221">
        <f t="shared" si="2"/>
        <v>7</v>
      </c>
      <c r="BC38" s="1221"/>
    </row>
    <row r="39" spans="1:89">
      <c r="AQ39" s="1173"/>
      <c r="AR39" s="1173"/>
      <c r="AS39" s="1173"/>
      <c r="AT39" s="1174">
        <v>149.5</v>
      </c>
      <c r="AU39" s="1173">
        <v>299</v>
      </c>
      <c r="AV39" s="1174">
        <v>0</v>
      </c>
      <c r="AW39" s="1173">
        <v>763</v>
      </c>
      <c r="AX39" s="1173">
        <v>13</v>
      </c>
      <c r="AY39" s="1174">
        <v>58.692307692307693</v>
      </c>
      <c r="AZ39" s="1175">
        <v>3</v>
      </c>
      <c r="BA39" s="1174">
        <v>0</v>
      </c>
      <c r="BB39" s="1221">
        <f t="shared" si="2"/>
        <v>5</v>
      </c>
      <c r="BC39" s="1221"/>
    </row>
    <row r="40" spans="1:89" ht="18.45">
      <c r="A40" s="10"/>
      <c r="B40" s="8"/>
      <c r="C40" s="8"/>
      <c r="S40" s="277"/>
      <c r="AQ40" s="1173"/>
      <c r="AR40" s="1173"/>
      <c r="AS40" s="1173"/>
      <c r="AT40" s="1174">
        <v>0</v>
      </c>
      <c r="AU40" s="1173">
        <v>0</v>
      </c>
      <c r="AV40" s="1174">
        <v>0</v>
      </c>
      <c r="AW40" s="1173">
        <v>130</v>
      </c>
      <c r="AX40" s="1173">
        <v>16</v>
      </c>
      <c r="AY40" s="1174">
        <v>8.125</v>
      </c>
      <c r="AZ40" s="1175">
        <v>5</v>
      </c>
      <c r="BA40" s="1174">
        <v>0</v>
      </c>
      <c r="BB40" s="1221">
        <f t="shared" si="2"/>
        <v>4</v>
      </c>
      <c r="BC40" s="1221"/>
      <c r="BH40" s="1353">
        <f>BH26*BH28*12*2</f>
        <v>0</v>
      </c>
    </row>
    <row r="41" spans="1:89" ht="28" customHeight="1">
      <c r="A41" s="10"/>
      <c r="B41" s="2856" t="s">
        <v>646</v>
      </c>
      <c r="C41" s="2857"/>
      <c r="D41" s="2857"/>
      <c r="E41" s="2858"/>
      <c r="T41" s="1"/>
      <c r="U41" s="1"/>
      <c r="V41" s="1"/>
      <c r="AQ41" s="1173"/>
      <c r="AR41" s="1173"/>
      <c r="AS41" s="1173"/>
      <c r="AT41" s="1174">
        <v>30</v>
      </c>
      <c r="AU41" s="1173">
        <v>60</v>
      </c>
      <c r="AV41" s="1174">
        <v>0</v>
      </c>
      <c r="AW41" s="1173">
        <v>240</v>
      </c>
      <c r="AX41" s="1173">
        <v>11</v>
      </c>
      <c r="AY41" s="1174">
        <v>21.818181818181817</v>
      </c>
      <c r="AZ41" s="1175">
        <v>4</v>
      </c>
      <c r="BA41" s="1174">
        <v>0</v>
      </c>
      <c r="BB41" s="1221">
        <f t="shared" si="2"/>
        <v>3</v>
      </c>
      <c r="BC41" s="1221"/>
    </row>
    <row r="42" spans="1:89" ht="32.25" customHeight="1">
      <c r="A42" s="10"/>
      <c r="B42" s="72" t="s">
        <v>34</v>
      </c>
      <c r="C42" s="2880" t="s">
        <v>35</v>
      </c>
      <c r="D42" s="2880"/>
      <c r="E42" s="2881"/>
      <c r="G42" s="15" t="s">
        <v>17</v>
      </c>
      <c r="H42" s="782" t="s">
        <v>10</v>
      </c>
      <c r="K42" s="2859" t="s">
        <v>405</v>
      </c>
      <c r="L42" s="2859"/>
      <c r="M42" s="2859"/>
      <c r="N42" s="2859"/>
      <c r="O42" s="2859"/>
      <c r="P42" s="2859"/>
      <c r="Q42" s="2859"/>
      <c r="R42" s="2859"/>
      <c r="S42" s="2859"/>
      <c r="T42" s="2859"/>
      <c r="U42" s="112"/>
      <c r="V42" s="226"/>
      <c r="AQ42" s="1173"/>
      <c r="AR42" s="1173"/>
      <c r="AS42" s="1173"/>
      <c r="AT42" s="1174">
        <v>30</v>
      </c>
      <c r="AU42" s="1173">
        <v>60</v>
      </c>
      <c r="AV42" s="1174">
        <v>0</v>
      </c>
      <c r="AW42" s="1173">
        <v>866</v>
      </c>
      <c r="AX42" s="1173">
        <v>12</v>
      </c>
      <c r="AY42" s="1174">
        <v>72.166666666666671</v>
      </c>
      <c r="AZ42" s="1175">
        <v>2</v>
      </c>
      <c r="BA42" s="1174">
        <v>0</v>
      </c>
      <c r="BB42" s="1221">
        <f t="shared" si="2"/>
        <v>6</v>
      </c>
      <c r="BC42" s="1221"/>
    </row>
    <row r="43" spans="1:89">
      <c r="B43" s="73" t="s">
        <v>136</v>
      </c>
      <c r="C43" s="74" t="s">
        <v>164</v>
      </c>
      <c r="D43" s="784"/>
      <c r="E43" s="785"/>
      <c r="F43" s="549"/>
      <c r="G43" s="75"/>
      <c r="H43" s="538"/>
      <c r="K43" s="2860"/>
      <c r="L43" s="2860"/>
      <c r="M43" s="2860"/>
      <c r="N43" s="2860"/>
      <c r="O43" s="2860"/>
      <c r="P43" s="2860"/>
      <c r="Q43" s="2860"/>
      <c r="R43" s="2860"/>
      <c r="S43" s="2860"/>
      <c r="T43" s="2860"/>
      <c r="U43" s="6"/>
      <c r="V43" s="6"/>
      <c r="AQ43" s="1173"/>
      <c r="AR43" s="1173"/>
      <c r="AS43" s="1173"/>
      <c r="AT43" s="1174">
        <v>32</v>
      </c>
      <c r="AU43" s="1173">
        <v>64</v>
      </c>
      <c r="AV43" s="1174">
        <v>0</v>
      </c>
      <c r="AW43" s="1173">
        <v>792</v>
      </c>
      <c r="AX43" s="1173">
        <v>17</v>
      </c>
      <c r="AY43" s="1174">
        <v>46.588235294117645</v>
      </c>
      <c r="AZ43" s="1175">
        <v>3</v>
      </c>
      <c r="BA43" s="1174">
        <v>0</v>
      </c>
      <c r="BB43" s="1221">
        <f t="shared" si="2"/>
        <v>6</v>
      </c>
      <c r="BC43" s="1221"/>
    </row>
    <row r="44" spans="1:89">
      <c r="A44" s="10"/>
      <c r="B44" s="13" t="s">
        <v>136</v>
      </c>
      <c r="C44" s="80" t="s">
        <v>138</v>
      </c>
      <c r="D44" s="81"/>
      <c r="E44" s="82"/>
      <c r="F44" s="549"/>
      <c r="G44" s="75"/>
      <c r="H44" s="539"/>
      <c r="K44" s="2860"/>
      <c r="L44" s="2860"/>
      <c r="M44" s="2860"/>
      <c r="N44" s="2860"/>
      <c r="O44" s="2860"/>
      <c r="P44" s="2860"/>
      <c r="Q44" s="2860"/>
      <c r="R44" s="2860"/>
      <c r="S44" s="2860"/>
      <c r="T44" s="2860"/>
      <c r="U44" s="224"/>
      <c r="V44" s="224"/>
      <c r="AQ44" s="1173"/>
      <c r="AR44" s="1173"/>
      <c r="AS44" s="1173"/>
      <c r="AT44" s="1174">
        <v>35</v>
      </c>
      <c r="AU44" s="1173">
        <v>70</v>
      </c>
      <c r="AV44" s="1174">
        <v>0</v>
      </c>
      <c r="AW44" s="1173">
        <v>1182</v>
      </c>
      <c r="AX44" s="1173">
        <v>17</v>
      </c>
      <c r="AY44" s="1174">
        <v>69.529411764705884</v>
      </c>
      <c r="AZ44" s="1175">
        <v>2</v>
      </c>
      <c r="BA44" s="1174">
        <v>0</v>
      </c>
      <c r="BB44" s="1221">
        <f t="shared" si="2"/>
        <v>9</v>
      </c>
      <c r="BC44" s="1221"/>
    </row>
    <row r="45" spans="1:89">
      <c r="A45" s="10"/>
      <c r="B45" s="13" t="s">
        <v>136</v>
      </c>
      <c r="C45" s="80" t="s">
        <v>161</v>
      </c>
      <c r="D45" s="81"/>
      <c r="E45" s="82"/>
      <c r="F45" s="549"/>
      <c r="G45" s="75"/>
      <c r="H45" s="539"/>
      <c r="K45" s="2860"/>
      <c r="L45" s="2860"/>
      <c r="M45" s="2860"/>
      <c r="N45" s="2860"/>
      <c r="O45" s="2860"/>
      <c r="P45" s="2860"/>
      <c r="Q45" s="2860"/>
      <c r="R45" s="2860"/>
      <c r="S45" s="2860"/>
      <c r="T45" s="2860"/>
      <c r="U45" s="6"/>
      <c r="V45" s="6"/>
      <c r="AQ45" s="1173"/>
      <c r="AR45" s="1173"/>
      <c r="AS45" s="1173"/>
      <c r="AT45" s="1174">
        <v>54</v>
      </c>
      <c r="AU45" s="1173">
        <v>108</v>
      </c>
      <c r="AV45" s="1174">
        <v>0</v>
      </c>
      <c r="AW45" s="1173">
        <v>750</v>
      </c>
      <c r="AX45" s="1173">
        <v>16</v>
      </c>
      <c r="AY45" s="1174">
        <v>46.875</v>
      </c>
      <c r="AZ45" s="1175">
        <v>3</v>
      </c>
      <c r="BA45" s="1174">
        <v>0</v>
      </c>
      <c r="BB45" s="1221">
        <f t="shared" si="2"/>
        <v>6</v>
      </c>
      <c r="BC45" s="1221"/>
    </row>
    <row r="46" spans="1:89">
      <c r="A46" s="10"/>
      <c r="B46" s="73" t="s">
        <v>137</v>
      </c>
      <c r="C46" s="74" t="s">
        <v>164</v>
      </c>
      <c r="D46" s="784"/>
      <c r="E46" s="785"/>
      <c r="F46" s="549"/>
      <c r="G46" s="75"/>
      <c r="H46" s="538"/>
      <c r="K46" s="2860"/>
      <c r="L46" s="2860"/>
      <c r="M46" s="2860"/>
      <c r="N46" s="2860"/>
      <c r="O46" s="2860"/>
      <c r="P46" s="2860"/>
      <c r="Q46" s="2860"/>
      <c r="R46" s="2860"/>
      <c r="S46" s="2860"/>
      <c r="T46" s="2860"/>
      <c r="U46" s="6"/>
      <c r="V46" s="6"/>
      <c r="AQ46" s="1173"/>
      <c r="AR46" s="1173"/>
      <c r="AS46" s="1173"/>
      <c r="AT46" s="1174">
        <v>105</v>
      </c>
      <c r="AU46" s="1173">
        <v>210</v>
      </c>
      <c r="AV46" s="1174">
        <v>0</v>
      </c>
      <c r="AW46" s="1173">
        <v>792</v>
      </c>
      <c r="AX46" s="1173">
        <v>15</v>
      </c>
      <c r="AY46" s="1174">
        <v>52.8</v>
      </c>
      <c r="AZ46" s="1175">
        <v>3</v>
      </c>
      <c r="BA46" s="1174">
        <v>0</v>
      </c>
      <c r="BB46" s="1221">
        <f t="shared" si="2"/>
        <v>5</v>
      </c>
      <c r="BC46" s="1221"/>
    </row>
    <row r="47" spans="1:89">
      <c r="A47" s="10"/>
      <c r="B47" s="13" t="s">
        <v>137</v>
      </c>
      <c r="C47" s="80" t="s">
        <v>138</v>
      </c>
      <c r="D47" s="81"/>
      <c r="E47" s="82"/>
      <c r="F47" s="549"/>
      <c r="G47" s="75"/>
      <c r="H47" s="539"/>
      <c r="K47" s="2860"/>
      <c r="L47" s="2860"/>
      <c r="M47" s="2860"/>
      <c r="N47" s="2860"/>
      <c r="O47" s="2860"/>
      <c r="P47" s="2860"/>
      <c r="Q47" s="2860"/>
      <c r="R47" s="2860"/>
      <c r="S47" s="2860"/>
      <c r="T47" s="2860"/>
      <c r="U47" s="6"/>
      <c r="V47" s="6"/>
      <c r="AQ47" s="1173"/>
      <c r="AR47" s="1173"/>
      <c r="AS47" s="1173"/>
      <c r="AT47" s="1174">
        <v>135</v>
      </c>
      <c r="AU47" s="1173">
        <v>270</v>
      </c>
      <c r="AV47" s="1174">
        <v>0</v>
      </c>
      <c r="AW47" s="1173">
        <v>1632</v>
      </c>
      <c r="AX47" s="1173">
        <v>14</v>
      </c>
      <c r="AY47" s="1174">
        <v>116.57142857142857</v>
      </c>
      <c r="AZ47" s="1175">
        <v>2</v>
      </c>
      <c r="BA47" s="1174">
        <v>0</v>
      </c>
      <c r="BB47" s="1221">
        <f t="shared" si="2"/>
        <v>7</v>
      </c>
      <c r="BC47" s="1221"/>
    </row>
    <row r="48" spans="1:89">
      <c r="A48" s="10"/>
      <c r="B48" s="657" t="s">
        <v>137</v>
      </c>
      <c r="C48" s="656" t="s">
        <v>161</v>
      </c>
      <c r="D48" s="667"/>
      <c r="E48" s="668"/>
      <c r="F48" s="549"/>
      <c r="G48" s="75"/>
      <c r="H48" s="539"/>
      <c r="K48" s="2860"/>
      <c r="L48" s="2860"/>
      <c r="M48" s="2860"/>
      <c r="N48" s="2860"/>
      <c r="O48" s="2860"/>
      <c r="P48" s="2860"/>
      <c r="Q48" s="2860"/>
      <c r="R48" s="2860"/>
      <c r="S48" s="2860"/>
      <c r="T48" s="2860"/>
      <c r="U48" s="658"/>
      <c r="V48" s="658"/>
      <c r="AQ48" s="1173"/>
      <c r="AR48" s="1173"/>
      <c r="AS48" s="1173"/>
      <c r="AT48" s="1174">
        <v>8</v>
      </c>
      <c r="AU48" s="1173">
        <v>16</v>
      </c>
      <c r="AV48" s="1174">
        <v>0</v>
      </c>
      <c r="AW48" s="1173">
        <v>1346</v>
      </c>
      <c r="AX48" s="1173">
        <v>19</v>
      </c>
      <c r="AY48" s="1174">
        <v>70.84210526315789</v>
      </c>
      <c r="AZ48" s="1175">
        <v>2</v>
      </c>
      <c r="BA48" s="1174">
        <v>0</v>
      </c>
      <c r="BB48" s="1221">
        <f t="shared" si="2"/>
        <v>10</v>
      </c>
      <c r="BC48" s="1221"/>
    </row>
    <row r="49" spans="1:55">
      <c r="A49" s="10"/>
      <c r="B49" s="13" t="s">
        <v>36</v>
      </c>
      <c r="C49" s="2877" t="s">
        <v>39</v>
      </c>
      <c r="D49" s="2877"/>
      <c r="E49" s="2878"/>
      <c r="F49" s="549" t="str">
        <f t="shared" ref="F49:F66" si="8">B49&amp;C49</f>
        <v>MotorcyclePurchase Price</v>
      </c>
      <c r="G49" s="32">
        <v>15000</v>
      </c>
      <c r="H49" s="540"/>
      <c r="K49" s="2860"/>
      <c r="L49" s="2860"/>
      <c r="M49" s="2860"/>
      <c r="N49" s="2860"/>
      <c r="O49" s="2860"/>
      <c r="P49" s="2860"/>
      <c r="Q49" s="2860"/>
      <c r="R49" s="2860"/>
      <c r="S49" s="2860"/>
      <c r="T49" s="2860"/>
      <c r="U49" s="181"/>
      <c r="V49" s="181"/>
      <c r="AQ49" s="1173"/>
      <c r="AR49" s="1173"/>
      <c r="AS49" s="1173"/>
      <c r="AT49" s="1174">
        <v>36</v>
      </c>
      <c r="AU49" s="1173">
        <v>72</v>
      </c>
      <c r="AV49" s="1174">
        <v>0</v>
      </c>
      <c r="AW49" s="1173">
        <v>3718</v>
      </c>
      <c r="AX49" s="1173">
        <v>38</v>
      </c>
      <c r="AY49" s="1174">
        <v>97.84210526315789</v>
      </c>
      <c r="AZ49" s="1175">
        <v>2</v>
      </c>
      <c r="BA49" s="1174">
        <v>0</v>
      </c>
      <c r="BB49" s="1221">
        <f t="shared" si="2"/>
        <v>19</v>
      </c>
      <c r="BC49" s="1221"/>
    </row>
    <row r="50" spans="1:55">
      <c r="A50" s="10"/>
      <c r="B50" s="13" t="s">
        <v>36</v>
      </c>
      <c r="C50" s="2552" t="s">
        <v>40</v>
      </c>
      <c r="D50" s="2552"/>
      <c r="E50" s="2879"/>
      <c r="F50" s="549" t="str">
        <f t="shared" si="8"/>
        <v>MotorcycleDepreciation Cost / yr</v>
      </c>
      <c r="G50" s="30">
        <f>G49/$H$11</f>
        <v>3000</v>
      </c>
      <c r="H50" s="541"/>
      <c r="K50" s="2860"/>
      <c r="L50" s="2860"/>
      <c r="M50" s="2860"/>
      <c r="N50" s="2860"/>
      <c r="O50" s="2860"/>
      <c r="P50" s="2860"/>
      <c r="Q50" s="2860"/>
      <c r="R50" s="2860"/>
      <c r="S50" s="2860"/>
      <c r="T50" s="2860"/>
      <c r="U50" s="181"/>
      <c r="V50" s="181"/>
      <c r="AQ50" s="1173"/>
      <c r="AR50" s="1173"/>
      <c r="AS50" s="1173"/>
      <c r="AT50" s="1174">
        <v>60</v>
      </c>
      <c r="AU50" s="1173">
        <v>120</v>
      </c>
      <c r="AV50" s="1174">
        <v>0</v>
      </c>
      <c r="AW50" s="1173">
        <v>351</v>
      </c>
      <c r="AX50" s="1173">
        <v>9</v>
      </c>
      <c r="AY50" s="1174">
        <v>39</v>
      </c>
      <c r="AZ50" s="1175">
        <v>3</v>
      </c>
      <c r="BA50" s="1174">
        <v>0</v>
      </c>
      <c r="BB50" s="1221">
        <f t="shared" si="2"/>
        <v>3</v>
      </c>
      <c r="BC50" s="1221"/>
    </row>
    <row r="51" spans="1:55">
      <c r="A51" s="10"/>
      <c r="B51" s="13" t="s">
        <v>36</v>
      </c>
      <c r="C51" s="2552" t="s">
        <v>44</v>
      </c>
      <c r="D51" s="2552"/>
      <c r="E51" s="2879"/>
      <c r="F51" s="549" t="str">
        <f t="shared" si="8"/>
        <v>MotorcycleInsurance cost /yr</v>
      </c>
      <c r="G51" s="32">
        <v>1000</v>
      </c>
      <c r="H51" s="542"/>
      <c r="K51" s="2860"/>
      <c r="L51" s="2860"/>
      <c r="M51" s="2860"/>
      <c r="N51" s="2860"/>
      <c r="O51" s="2860"/>
      <c r="P51" s="2860"/>
      <c r="Q51" s="2860"/>
      <c r="R51" s="2860"/>
      <c r="S51" s="2860"/>
      <c r="T51" s="2860"/>
      <c r="U51" t="s">
        <v>700</v>
      </c>
      <c r="V51" s="181"/>
      <c r="AQ51" s="1173"/>
      <c r="AR51" s="1173"/>
      <c r="AS51" s="1173"/>
      <c r="AT51" s="1174">
        <v>80</v>
      </c>
      <c r="AU51" s="1173">
        <v>160</v>
      </c>
      <c r="AV51" s="1174">
        <v>0</v>
      </c>
      <c r="AW51" s="1173">
        <v>2100</v>
      </c>
      <c r="AX51" s="1173">
        <v>14</v>
      </c>
      <c r="AY51" s="1174">
        <v>150</v>
      </c>
      <c r="AZ51" s="1175">
        <v>2</v>
      </c>
      <c r="BA51" s="1174">
        <v>0</v>
      </c>
      <c r="BB51" s="1221">
        <f t="shared" si="2"/>
        <v>7</v>
      </c>
      <c r="BC51" s="1221"/>
    </row>
    <row r="52" spans="1:55">
      <c r="A52" s="10"/>
      <c r="B52" s="13" t="s">
        <v>36</v>
      </c>
      <c r="C52" s="2552" t="s">
        <v>42</v>
      </c>
      <c r="D52" s="2552"/>
      <c r="E52" s="2879"/>
      <c r="F52" s="549" t="str">
        <f t="shared" si="8"/>
        <v>MotorcycleMaintenance cost/km</v>
      </c>
      <c r="G52" s="32">
        <v>0.05</v>
      </c>
      <c r="H52" s="542"/>
      <c r="K52" s="2860"/>
      <c r="L52" s="2860"/>
      <c r="M52" s="2860"/>
      <c r="N52" s="2860"/>
      <c r="O52" s="2860"/>
      <c r="P52" s="2860"/>
      <c r="Q52" s="2860"/>
      <c r="R52" s="2860"/>
      <c r="S52" s="2860"/>
      <c r="T52" s="2860"/>
      <c r="U52" t="s">
        <v>700</v>
      </c>
      <c r="V52" s="181"/>
      <c r="AQ52" s="1173"/>
      <c r="AR52" s="1173"/>
      <c r="AS52" s="1173"/>
      <c r="AT52" s="1174">
        <v>0</v>
      </c>
      <c r="AU52" s="1173">
        <v>0</v>
      </c>
      <c r="AV52" s="1174">
        <v>0</v>
      </c>
      <c r="AW52" s="1173">
        <v>120</v>
      </c>
      <c r="AX52" s="1173">
        <v>21</v>
      </c>
      <c r="AY52" s="1174">
        <v>5.7142857142857144</v>
      </c>
      <c r="AZ52" s="1175">
        <v>5</v>
      </c>
      <c r="BA52" s="1174">
        <v>0</v>
      </c>
      <c r="BB52" s="1221">
        <f t="shared" si="2"/>
        <v>5</v>
      </c>
      <c r="BC52" s="1221"/>
    </row>
    <row r="53" spans="1:55">
      <c r="A53" s="10"/>
      <c r="B53" s="13" t="s">
        <v>36</v>
      </c>
      <c r="C53" s="2552" t="s">
        <v>41</v>
      </c>
      <c r="D53" s="2552"/>
      <c r="E53" s="2879"/>
      <c r="F53" s="549" t="str">
        <f t="shared" si="8"/>
        <v>MotorcycleFuel Efficiency (km/liter)</v>
      </c>
      <c r="G53" s="31">
        <v>27.5</v>
      </c>
      <c r="H53" s="543"/>
      <c r="K53" s="2860"/>
      <c r="L53" s="2860"/>
      <c r="M53" s="2860"/>
      <c r="N53" s="2860"/>
      <c r="O53" s="2860"/>
      <c r="P53" s="2860"/>
      <c r="Q53" s="2860"/>
      <c r="R53" s="2860"/>
      <c r="S53" s="2860"/>
      <c r="T53" s="2860"/>
      <c r="U53" t="s">
        <v>700</v>
      </c>
      <c r="V53" s="181"/>
      <c r="AQ53" s="1173"/>
      <c r="AR53" s="1173"/>
      <c r="AS53" s="1173"/>
      <c r="AT53" s="1174">
        <v>100</v>
      </c>
      <c r="AU53" s="1173">
        <v>200</v>
      </c>
      <c r="AV53" s="1174">
        <v>0</v>
      </c>
      <c r="AW53" s="1173">
        <v>400</v>
      </c>
      <c r="AX53" s="1173">
        <v>21</v>
      </c>
      <c r="AY53" s="1174">
        <v>19.047619047619047</v>
      </c>
      <c r="AZ53" s="1175">
        <v>4</v>
      </c>
      <c r="BA53" s="1174">
        <v>0</v>
      </c>
      <c r="BB53" s="1221">
        <f t="shared" si="2"/>
        <v>6</v>
      </c>
      <c r="BC53" s="1221"/>
    </row>
    <row r="54" spans="1:55">
      <c r="A54" s="10"/>
      <c r="B54" s="657" t="s">
        <v>36</v>
      </c>
      <c r="C54" s="2882" t="s">
        <v>43</v>
      </c>
      <c r="D54" s="2882"/>
      <c r="E54" s="2883"/>
      <c r="F54" s="549" t="str">
        <f t="shared" si="8"/>
        <v>MotorcycleDelivery Capacity (m^3)</v>
      </c>
      <c r="G54" s="33">
        <v>0.25</v>
      </c>
      <c r="H54" s="544"/>
      <c r="K54" s="2860"/>
      <c r="L54" s="2860"/>
      <c r="M54" s="2860"/>
      <c r="N54" s="2860"/>
      <c r="O54" s="2860"/>
      <c r="P54" s="2860"/>
      <c r="Q54" s="2860"/>
      <c r="R54" s="2860"/>
      <c r="S54" s="2860"/>
      <c r="T54" s="2860"/>
      <c r="U54" t="s">
        <v>699</v>
      </c>
      <c r="V54" s="181"/>
      <c r="AQ54" s="1173"/>
      <c r="AR54" s="1173"/>
      <c r="AS54" s="1173"/>
      <c r="AT54" s="1174">
        <v>138</v>
      </c>
      <c r="AU54" s="1173">
        <v>276</v>
      </c>
      <c r="AV54" s="1174">
        <v>0</v>
      </c>
      <c r="AW54" s="1173">
        <v>300</v>
      </c>
      <c r="AX54" s="1173">
        <v>12</v>
      </c>
      <c r="AY54" s="1174">
        <v>25</v>
      </c>
      <c r="AZ54" s="1175">
        <v>4</v>
      </c>
      <c r="BA54" s="1174">
        <v>0</v>
      </c>
      <c r="BB54" s="1221">
        <f t="shared" si="2"/>
        <v>3</v>
      </c>
      <c r="BC54" s="1221"/>
    </row>
    <row r="55" spans="1:55">
      <c r="A55" s="10"/>
      <c r="B55" s="13" t="s">
        <v>407</v>
      </c>
      <c r="C55" s="2877" t="s">
        <v>39</v>
      </c>
      <c r="D55" s="2877"/>
      <c r="E55" s="2878"/>
      <c r="F55" s="549" t="str">
        <f t="shared" si="8"/>
        <v>Car/Sport Utility/Consumer VehiclePurchase Price</v>
      </c>
      <c r="G55" s="28">
        <v>60939.499795095864</v>
      </c>
      <c r="H55" s="540">
        <f>25000000/600</f>
        <v>41666.666666666664</v>
      </c>
      <c r="K55" s="2860" t="s">
        <v>2030</v>
      </c>
      <c r="L55" s="2860"/>
      <c r="M55" s="2860"/>
      <c r="N55" s="2860"/>
      <c r="O55" s="2860"/>
      <c r="P55" s="2860"/>
      <c r="Q55" s="2860"/>
      <c r="R55" s="2860"/>
      <c r="S55" s="2860"/>
      <c r="T55" s="2860"/>
      <c r="U55" s="181"/>
      <c r="V55" s="181"/>
      <c r="AQ55" s="1173"/>
      <c r="AR55" s="1173"/>
      <c r="AS55" s="1173"/>
      <c r="AT55" s="1174">
        <v>250</v>
      </c>
      <c r="AU55" s="1173">
        <v>500</v>
      </c>
      <c r="AV55" s="1174">
        <v>1</v>
      </c>
      <c r="AW55" s="1173">
        <v>600</v>
      </c>
      <c r="AX55" s="1173">
        <v>35</v>
      </c>
      <c r="AY55" s="1174">
        <v>17.142857142857142</v>
      </c>
      <c r="AZ55" s="1175">
        <v>4</v>
      </c>
      <c r="BA55" s="1174">
        <v>0</v>
      </c>
      <c r="BB55" s="1221">
        <f t="shared" si="2"/>
        <v>9</v>
      </c>
      <c r="BC55" s="1221"/>
    </row>
    <row r="56" spans="1:55">
      <c r="A56" s="10"/>
      <c r="B56" s="13" t="s">
        <v>407</v>
      </c>
      <c r="C56" s="2552" t="s">
        <v>40</v>
      </c>
      <c r="D56" s="2552"/>
      <c r="E56" s="2879"/>
      <c r="F56" s="549" t="str">
        <f t="shared" si="8"/>
        <v>Car/Sport Utility/Consumer VehicleDepreciation Cost / yr</v>
      </c>
      <c r="G56" s="29">
        <f>G55/$H$11</f>
        <v>12187.899959019172</v>
      </c>
      <c r="H56" s="541">
        <f>5000000/600</f>
        <v>8333.3333333333339</v>
      </c>
      <c r="K56" s="2860"/>
      <c r="L56" s="2860"/>
      <c r="M56" s="2860"/>
      <c r="N56" s="2860"/>
      <c r="O56" s="2860"/>
      <c r="P56" s="2860"/>
      <c r="Q56" s="2860"/>
      <c r="R56" s="2860"/>
      <c r="S56" s="2860"/>
      <c r="T56" s="2860"/>
      <c r="U56" s="181"/>
      <c r="V56" s="181"/>
      <c r="AQ56" s="1173"/>
      <c r="AR56" s="1173"/>
      <c r="AS56" s="1173"/>
      <c r="AT56" s="1174">
        <v>342</v>
      </c>
      <c r="AU56" s="1173">
        <v>684</v>
      </c>
      <c r="AV56" s="1174">
        <v>1</v>
      </c>
      <c r="AW56" s="1173">
        <v>850</v>
      </c>
      <c r="AX56" s="1173">
        <v>35</v>
      </c>
      <c r="AY56" s="1174">
        <v>24.285714285714285</v>
      </c>
      <c r="AZ56" s="1175">
        <v>4</v>
      </c>
      <c r="BA56" s="1174">
        <v>0</v>
      </c>
      <c r="BB56" s="1221">
        <f t="shared" si="2"/>
        <v>9</v>
      </c>
      <c r="BC56" s="1221"/>
    </row>
    <row r="57" spans="1:55">
      <c r="A57" s="10"/>
      <c r="B57" s="13" t="s">
        <v>407</v>
      </c>
      <c r="C57" s="2552" t="s">
        <v>44</v>
      </c>
      <c r="D57" s="2552"/>
      <c r="E57" s="2879"/>
      <c r="F57" s="549" t="str">
        <f t="shared" si="8"/>
        <v>Car/Sport Utility/Consumer VehicleInsurance cost /yr</v>
      </c>
      <c r="G57" s="28">
        <v>2323.9499999999998</v>
      </c>
      <c r="H57" s="542">
        <v>0</v>
      </c>
      <c r="K57" s="2860"/>
      <c r="L57" s="2860"/>
      <c r="M57" s="2860"/>
      <c r="N57" s="2860"/>
      <c r="O57" s="2860"/>
      <c r="P57" s="2860"/>
      <c r="Q57" s="2860"/>
      <c r="R57" s="2860"/>
      <c r="S57" s="2860"/>
      <c r="T57" s="2860"/>
      <c r="U57" s="181"/>
      <c r="V57" s="181"/>
      <c r="AQ57" s="1173"/>
      <c r="AR57" s="1173"/>
      <c r="AS57" s="1173"/>
      <c r="AT57" s="1174">
        <v>0</v>
      </c>
      <c r="AU57" s="1173">
        <v>0</v>
      </c>
      <c r="AV57" s="1174">
        <v>0</v>
      </c>
      <c r="AW57" s="1173">
        <v>554</v>
      </c>
      <c r="AX57" s="1173">
        <v>16</v>
      </c>
      <c r="AY57" s="1174">
        <v>34.625</v>
      </c>
      <c r="AZ57" s="1175">
        <v>3</v>
      </c>
      <c r="BA57" s="1174">
        <v>0</v>
      </c>
      <c r="BB57" s="1221">
        <f t="shared" si="2"/>
        <v>6</v>
      </c>
      <c r="BC57" s="1221"/>
    </row>
    <row r="58" spans="1:55">
      <c r="A58" s="10"/>
      <c r="B58" s="13" t="s">
        <v>407</v>
      </c>
      <c r="C58" s="2918" t="s">
        <v>42</v>
      </c>
      <c r="D58" s="2918"/>
      <c r="E58" s="2919"/>
      <c r="F58" s="549" t="str">
        <f t="shared" si="8"/>
        <v>Car/Sport Utility/Consumer VehicleMaintenance cost/km</v>
      </c>
      <c r="G58" s="28">
        <v>0.12</v>
      </c>
      <c r="H58" s="542">
        <f>CJ35/600</f>
        <v>4.9009801960392063E-2</v>
      </c>
      <c r="K58" s="2860"/>
      <c r="L58" s="2860"/>
      <c r="M58" s="2860"/>
      <c r="N58" s="2860"/>
      <c r="O58" s="2860"/>
      <c r="P58" s="2860"/>
      <c r="Q58" s="2860"/>
      <c r="R58" s="2860"/>
      <c r="S58" s="2860"/>
      <c r="T58" s="2860"/>
      <c r="U58" s="181"/>
      <c r="V58" s="181"/>
      <c r="AQ58" s="1173"/>
      <c r="AR58" s="1173"/>
      <c r="AS58" s="1173"/>
      <c r="AT58" s="1174">
        <v>100</v>
      </c>
      <c r="AU58" s="1173">
        <v>200</v>
      </c>
      <c r="AV58" s="1174">
        <v>0</v>
      </c>
      <c r="AW58" s="1173">
        <v>340</v>
      </c>
      <c r="AX58" s="1173">
        <v>10</v>
      </c>
      <c r="AY58" s="1174">
        <v>34</v>
      </c>
      <c r="AZ58" s="1175">
        <v>3</v>
      </c>
      <c r="BA58" s="1174">
        <v>0</v>
      </c>
      <c r="BB58" s="1221">
        <f t="shared" si="2"/>
        <v>4</v>
      </c>
      <c r="BC58" s="1221"/>
    </row>
    <row r="59" spans="1:55">
      <c r="A59" s="10"/>
      <c r="B59" s="13" t="s">
        <v>407</v>
      </c>
      <c r="C59" s="2552" t="s">
        <v>41</v>
      </c>
      <c r="D59" s="2552"/>
      <c r="E59" s="2879"/>
      <c r="F59" s="549" t="str">
        <f t="shared" si="8"/>
        <v>Car/Sport Utility/Consumer VehicleFuel Efficiency (km/liter)</v>
      </c>
      <c r="G59" s="12">
        <v>6.9</v>
      </c>
      <c r="H59" s="543">
        <f>1/0.15</f>
        <v>6.666666666666667</v>
      </c>
      <c r="K59" s="2860"/>
      <c r="L59" s="2860"/>
      <c r="M59" s="2860"/>
      <c r="N59" s="2860"/>
      <c r="O59" s="2860"/>
      <c r="P59" s="2860"/>
      <c r="Q59" s="2860"/>
      <c r="R59" s="2860"/>
      <c r="S59" s="2860"/>
      <c r="T59" s="2860"/>
      <c r="U59" s="181"/>
      <c r="V59" s="181"/>
      <c r="AQ59" s="1173"/>
      <c r="AR59" s="1173"/>
      <c r="AS59" s="1173"/>
      <c r="AT59" s="1174">
        <v>120</v>
      </c>
      <c r="AU59" s="1173">
        <v>240</v>
      </c>
      <c r="AV59" s="1174">
        <v>0</v>
      </c>
      <c r="AW59" s="1173">
        <v>868</v>
      </c>
      <c r="AX59" s="1173">
        <v>13</v>
      </c>
      <c r="AY59" s="1174">
        <v>66.769230769230774</v>
      </c>
      <c r="AZ59" s="1175">
        <v>2</v>
      </c>
      <c r="BA59" s="1174">
        <v>0</v>
      </c>
      <c r="BB59" s="1221">
        <f t="shared" si="2"/>
        <v>7</v>
      </c>
      <c r="BC59" s="1221"/>
    </row>
    <row r="60" spans="1:55">
      <c r="A60" s="10"/>
      <c r="B60" s="657" t="s">
        <v>407</v>
      </c>
      <c r="C60" s="2882" t="s">
        <v>43</v>
      </c>
      <c r="D60" s="2882"/>
      <c r="E60" s="2883"/>
      <c r="F60" s="549" t="str">
        <f t="shared" si="8"/>
        <v>Car/Sport Utility/Consumer VehicleDelivery Capacity (m^3)</v>
      </c>
      <c r="G60" s="14">
        <v>2</v>
      </c>
      <c r="H60" s="544">
        <v>2</v>
      </c>
      <c r="K60" s="2860"/>
      <c r="L60" s="2860"/>
      <c r="M60" s="2860"/>
      <c r="N60" s="2860"/>
      <c r="O60" s="2860"/>
      <c r="P60" s="2860"/>
      <c r="Q60" s="2860"/>
      <c r="R60" s="2860"/>
      <c r="S60" s="2860"/>
      <c r="T60" s="2860"/>
      <c r="U60" s="181"/>
      <c r="V60" s="181"/>
      <c r="AQ60" s="1173"/>
      <c r="AR60" s="1173"/>
      <c r="AS60" s="1173"/>
      <c r="AT60" s="1174">
        <v>135</v>
      </c>
      <c r="AU60" s="1173">
        <v>270</v>
      </c>
      <c r="AV60" s="1174">
        <v>0</v>
      </c>
      <c r="AW60" s="1173">
        <v>340</v>
      </c>
      <c r="AX60" s="1173">
        <v>8</v>
      </c>
      <c r="AY60" s="1174">
        <v>42.5</v>
      </c>
      <c r="AZ60" s="1175">
        <v>3</v>
      </c>
      <c r="BA60" s="1174">
        <v>0</v>
      </c>
      <c r="BB60" s="1221">
        <f t="shared" si="2"/>
        <v>3</v>
      </c>
      <c r="BC60" s="1221"/>
    </row>
    <row r="61" spans="1:55">
      <c r="A61" s="10"/>
      <c r="B61" s="13" t="s">
        <v>279</v>
      </c>
      <c r="C61" s="2877" t="s">
        <v>39</v>
      </c>
      <c r="D61" s="2877"/>
      <c r="E61" s="2878"/>
      <c r="F61" s="803" t="str">
        <f t="shared" si="8"/>
        <v>Commercial TruckPurchase Price</v>
      </c>
      <c r="G61" s="28">
        <v>70448.990000000005</v>
      </c>
      <c r="H61" s="540">
        <f>30000000/600</f>
        <v>50000</v>
      </c>
      <c r="K61" s="2860" t="s">
        <v>2029</v>
      </c>
      <c r="L61" s="2860"/>
      <c r="M61" s="2860"/>
      <c r="N61" s="2860"/>
      <c r="O61" s="2860"/>
      <c r="P61" s="2860"/>
      <c r="Q61" s="2860"/>
      <c r="R61" s="2860"/>
      <c r="S61" s="2860"/>
      <c r="T61" s="2860"/>
      <c r="U61" s="104"/>
      <c r="V61" s="104"/>
      <c r="AQ61" s="1173"/>
      <c r="AR61" s="1173"/>
      <c r="AS61" s="1173"/>
      <c r="AT61" s="1174">
        <v>135</v>
      </c>
      <c r="AU61" s="1173">
        <v>270</v>
      </c>
      <c r="AV61" s="1174">
        <v>0</v>
      </c>
      <c r="AW61" s="1173">
        <v>340</v>
      </c>
      <c r="AX61" s="1173">
        <v>8</v>
      </c>
      <c r="AY61" s="1174">
        <v>42.5</v>
      </c>
      <c r="AZ61" s="1175">
        <v>3</v>
      </c>
      <c r="BA61" s="1174">
        <v>0</v>
      </c>
      <c r="BB61" s="1221">
        <f t="shared" si="2"/>
        <v>3</v>
      </c>
      <c r="BC61" s="1221"/>
    </row>
    <row r="62" spans="1:55">
      <c r="A62" s="10"/>
      <c r="B62" s="13" t="s">
        <v>279</v>
      </c>
      <c r="C62" s="2552" t="s">
        <v>40</v>
      </c>
      <c r="D62" s="2552"/>
      <c r="E62" s="2879"/>
      <c r="F62" s="803" t="str">
        <f t="shared" si="8"/>
        <v>Commercial TruckDepreciation Cost / yr</v>
      </c>
      <c r="G62" s="29">
        <f>G61/$H$11</f>
        <v>14089.798000000001</v>
      </c>
      <c r="H62" s="541">
        <f>6000000/600</f>
        <v>10000</v>
      </c>
      <c r="K62" s="2860"/>
      <c r="L62" s="2860"/>
      <c r="M62" s="2860"/>
      <c r="N62" s="2860"/>
      <c r="O62" s="2860"/>
      <c r="P62" s="2860"/>
      <c r="Q62" s="2860"/>
      <c r="R62" s="2860"/>
      <c r="S62" s="2860"/>
      <c r="T62" s="2860"/>
      <c r="AQ62" s="1173"/>
      <c r="AR62" s="1173"/>
      <c r="AS62" s="1173"/>
      <c r="AT62" s="1174">
        <v>185</v>
      </c>
      <c r="AU62" s="1173">
        <v>370</v>
      </c>
      <c r="AV62" s="1174">
        <v>0</v>
      </c>
      <c r="AW62" s="1173">
        <v>919</v>
      </c>
      <c r="AX62" s="1173">
        <v>14</v>
      </c>
      <c r="AY62" s="1174">
        <v>65.642857142857139</v>
      </c>
      <c r="AZ62" s="1175">
        <v>2</v>
      </c>
      <c r="BA62" s="1174">
        <v>0</v>
      </c>
      <c r="BB62" s="1221">
        <f t="shared" si="2"/>
        <v>7</v>
      </c>
      <c r="BC62" s="1221"/>
    </row>
    <row r="63" spans="1:55">
      <c r="A63" s="10"/>
      <c r="B63" s="13" t="s">
        <v>279</v>
      </c>
      <c r="C63" s="2552" t="s">
        <v>44</v>
      </c>
      <c r="D63" s="2552"/>
      <c r="E63" s="2879"/>
      <c r="F63" s="803" t="str">
        <f t="shared" si="8"/>
        <v>Commercial TruckInsurance cost /yr</v>
      </c>
      <c r="G63" s="28">
        <v>2575.86</v>
      </c>
      <c r="H63" s="542">
        <v>0</v>
      </c>
      <c r="K63" s="2860"/>
      <c r="L63" s="2860"/>
      <c r="M63" s="2860"/>
      <c r="N63" s="2860"/>
      <c r="O63" s="2860"/>
      <c r="P63" s="2860"/>
      <c r="Q63" s="2860"/>
      <c r="R63" s="2860"/>
      <c r="S63" s="2860"/>
      <c r="T63" s="2860"/>
      <c r="AQ63" s="1173"/>
      <c r="AR63" s="1173"/>
      <c r="AS63" s="1173"/>
      <c r="AT63" s="1174">
        <v>236</v>
      </c>
      <c r="AU63" s="1173">
        <v>472</v>
      </c>
      <c r="AV63" s="1174">
        <v>1</v>
      </c>
      <c r="AW63" s="1173">
        <v>609</v>
      </c>
      <c r="AX63" s="1173">
        <v>11</v>
      </c>
      <c r="AY63" s="1174">
        <v>55.363636363636367</v>
      </c>
      <c r="AZ63" s="1175">
        <v>3</v>
      </c>
      <c r="BA63" s="1174">
        <v>0</v>
      </c>
      <c r="BB63" s="1221">
        <f t="shared" si="2"/>
        <v>4</v>
      </c>
      <c r="BC63" s="1221"/>
    </row>
    <row r="64" spans="1:55">
      <c r="A64" s="10"/>
      <c r="B64" s="13" t="s">
        <v>279</v>
      </c>
      <c r="C64" s="2552" t="s">
        <v>42</v>
      </c>
      <c r="D64" s="2552"/>
      <c r="E64" s="2879"/>
      <c r="F64" s="803" t="str">
        <f t="shared" si="8"/>
        <v>Commercial TruckMaintenance cost/km</v>
      </c>
      <c r="G64" s="28">
        <v>0.38</v>
      </c>
      <c r="H64" s="542">
        <f>CJ18/600</f>
        <v>4.2330221490023787E-2</v>
      </c>
      <c r="K64" s="2860"/>
      <c r="L64" s="2860"/>
      <c r="M64" s="2860"/>
      <c r="N64" s="2860"/>
      <c r="O64" s="2860"/>
      <c r="P64" s="2860"/>
      <c r="Q64" s="2860"/>
      <c r="R64" s="2860"/>
      <c r="S64" s="2860"/>
      <c r="T64" s="2860"/>
      <c r="AQ64" s="1173"/>
      <c r="AR64" s="1173"/>
      <c r="AS64" s="1173"/>
      <c r="AT64" s="1174">
        <v>255</v>
      </c>
      <c r="AU64" s="1173">
        <v>510</v>
      </c>
      <c r="AV64" s="1174">
        <v>1</v>
      </c>
      <c r="AW64" s="1173">
        <v>521</v>
      </c>
      <c r="AX64" s="1173">
        <v>20</v>
      </c>
      <c r="AY64" s="1174">
        <v>26.05</v>
      </c>
      <c r="AZ64" s="1175">
        <v>4</v>
      </c>
      <c r="BA64" s="1174">
        <v>0</v>
      </c>
      <c r="BB64" s="1221">
        <f t="shared" si="2"/>
        <v>5</v>
      </c>
      <c r="BC64" s="1221"/>
    </row>
    <row r="65" spans="1:55">
      <c r="A65" s="10"/>
      <c r="B65" s="13" t="s">
        <v>279</v>
      </c>
      <c r="C65" s="2552" t="s">
        <v>41</v>
      </c>
      <c r="D65" s="2552"/>
      <c r="E65" s="2879"/>
      <c r="F65" s="803" t="str">
        <f t="shared" si="8"/>
        <v>Commercial TruckFuel Efficiency (km/liter)</v>
      </c>
      <c r="G65" s="12">
        <v>3.86</v>
      </c>
      <c r="H65" s="543">
        <f>1/0.18</f>
        <v>5.5555555555555554</v>
      </c>
      <c r="K65" s="2860"/>
      <c r="L65" s="2860"/>
      <c r="M65" s="2860"/>
      <c r="N65" s="2860"/>
      <c r="O65" s="2860"/>
      <c r="P65" s="2860"/>
      <c r="Q65" s="2860"/>
      <c r="R65" s="2860"/>
      <c r="S65" s="2860"/>
      <c r="T65" s="2860"/>
      <c r="AQ65" s="1173"/>
      <c r="AR65" s="1173"/>
      <c r="AS65" s="1173"/>
      <c r="AT65" s="1174">
        <v>301</v>
      </c>
      <c r="AU65" s="1173">
        <v>602</v>
      </c>
      <c r="AV65" s="1174">
        <v>1</v>
      </c>
      <c r="AW65" s="1173">
        <v>702</v>
      </c>
      <c r="AX65" s="1173">
        <v>11</v>
      </c>
      <c r="AY65" s="1174">
        <v>63.81818181818182</v>
      </c>
      <c r="AZ65" s="1175">
        <v>2</v>
      </c>
      <c r="BA65" s="1174">
        <v>0</v>
      </c>
      <c r="BB65" s="1221">
        <f t="shared" si="2"/>
        <v>6</v>
      </c>
      <c r="BC65" s="1221"/>
    </row>
    <row r="66" spans="1:55">
      <c r="A66" s="10"/>
      <c r="B66" s="657" t="s">
        <v>279</v>
      </c>
      <c r="C66" s="2882" t="s">
        <v>43</v>
      </c>
      <c r="D66" s="2882"/>
      <c r="E66" s="2883"/>
      <c r="F66" s="803" t="str">
        <f t="shared" si="8"/>
        <v>Commercial TruckDelivery Capacity (m^3)</v>
      </c>
      <c r="G66" s="14">
        <v>12</v>
      </c>
      <c r="H66" s="544">
        <v>30</v>
      </c>
      <c r="K66" s="2860"/>
      <c r="L66" s="2860"/>
      <c r="M66" s="2860"/>
      <c r="N66" s="2860"/>
      <c r="O66" s="2860"/>
      <c r="P66" s="2860"/>
      <c r="Q66" s="2860"/>
      <c r="R66" s="2860"/>
      <c r="S66" s="2860"/>
      <c r="T66" s="2860"/>
      <c r="AQ66" s="1173"/>
      <c r="AR66" s="1173"/>
      <c r="AS66" s="1173"/>
      <c r="AT66" s="1174">
        <v>318</v>
      </c>
      <c r="AU66" s="1173">
        <v>636</v>
      </c>
      <c r="AV66" s="1174">
        <v>1</v>
      </c>
      <c r="AW66" s="1173">
        <v>300</v>
      </c>
      <c r="AX66" s="1173">
        <v>6</v>
      </c>
      <c r="AY66" s="1174">
        <v>50</v>
      </c>
      <c r="AZ66" s="1175">
        <v>3</v>
      </c>
      <c r="BA66" s="1174">
        <v>0</v>
      </c>
      <c r="BB66" s="1221">
        <f t="shared" si="2"/>
        <v>2</v>
      </c>
      <c r="BC66" s="1221"/>
    </row>
    <row r="67" spans="1:55">
      <c r="A67" s="10"/>
      <c r="B67" s="13" t="s">
        <v>408</v>
      </c>
      <c r="C67" s="2877" t="s">
        <v>39</v>
      </c>
      <c r="D67" s="2877"/>
      <c r="E67" s="2878"/>
      <c r="F67" s="549"/>
      <c r="H67" s="540"/>
      <c r="K67" s="2860"/>
      <c r="L67" s="2860"/>
      <c r="M67" s="2860"/>
      <c r="N67" s="2860"/>
      <c r="O67" s="2860"/>
      <c r="P67" s="2860"/>
      <c r="Q67" s="2860"/>
      <c r="R67" s="2860"/>
      <c r="S67" s="2860"/>
      <c r="T67" s="2860"/>
      <c r="W67" s="37"/>
      <c r="AQ67" s="1173"/>
      <c r="AR67" s="1173"/>
      <c r="AS67" s="1173"/>
      <c r="AT67" s="1174">
        <v>0</v>
      </c>
      <c r="AU67" s="1173">
        <v>0</v>
      </c>
      <c r="AV67" s="1174">
        <v>0</v>
      </c>
      <c r="AW67" s="1173">
        <v>460</v>
      </c>
      <c r="AX67" s="1173">
        <v>34</v>
      </c>
      <c r="AY67" s="1174">
        <v>13.529411764705882</v>
      </c>
      <c r="AZ67" s="1175">
        <v>5</v>
      </c>
      <c r="BA67" s="1174">
        <v>0</v>
      </c>
      <c r="BB67" s="1221">
        <f t="shared" si="2"/>
        <v>7</v>
      </c>
      <c r="BC67" s="1221"/>
    </row>
    <row r="68" spans="1:55">
      <c r="A68" s="10"/>
      <c r="B68" s="13" t="s">
        <v>408</v>
      </c>
      <c r="C68" s="2552" t="s">
        <v>40</v>
      </c>
      <c r="D68" s="2552"/>
      <c r="E68" s="2879"/>
      <c r="F68" s="549"/>
      <c r="H68" s="541"/>
      <c r="K68" s="2860"/>
      <c r="L68" s="2860"/>
      <c r="M68" s="2860"/>
      <c r="N68" s="2860"/>
      <c r="O68" s="2860"/>
      <c r="P68" s="2860"/>
      <c r="Q68" s="2860"/>
      <c r="R68" s="2860"/>
      <c r="S68" s="2860"/>
      <c r="T68" s="2860"/>
      <c r="AQ68" s="1173"/>
      <c r="AR68" s="1173"/>
      <c r="AS68" s="1173"/>
      <c r="AT68" s="1174">
        <v>15</v>
      </c>
      <c r="AU68" s="1173">
        <v>30</v>
      </c>
      <c r="AV68" s="1174">
        <v>0</v>
      </c>
      <c r="AW68" s="1173">
        <v>180</v>
      </c>
      <c r="AX68" s="1173">
        <v>8</v>
      </c>
      <c r="AY68" s="1174">
        <v>22.5</v>
      </c>
      <c r="AZ68" s="1175">
        <v>4</v>
      </c>
      <c r="BA68" s="1174">
        <v>0</v>
      </c>
      <c r="BB68" s="1221">
        <f t="shared" si="2"/>
        <v>2</v>
      </c>
      <c r="BC68" s="1221"/>
    </row>
    <row r="69" spans="1:55">
      <c r="A69" s="10"/>
      <c r="B69" s="13" t="s">
        <v>408</v>
      </c>
      <c r="C69" s="2552" t="s">
        <v>44</v>
      </c>
      <c r="D69" s="2552"/>
      <c r="E69" s="2879"/>
      <c r="F69" s="549"/>
      <c r="H69" s="542"/>
      <c r="K69" s="2860"/>
      <c r="L69" s="2860"/>
      <c r="M69" s="2860"/>
      <c r="N69" s="2860"/>
      <c r="O69" s="2860"/>
      <c r="P69" s="2860"/>
      <c r="Q69" s="2860"/>
      <c r="R69" s="2860"/>
      <c r="S69" s="2860"/>
      <c r="T69" s="2860"/>
      <c r="U69" s="655"/>
      <c r="V69" s="655"/>
      <c r="AQ69" s="1173"/>
      <c r="AR69" s="1173"/>
      <c r="AS69" s="1173"/>
      <c r="AT69" s="1174">
        <v>22</v>
      </c>
      <c r="AU69" s="1173">
        <v>44</v>
      </c>
      <c r="AV69" s="1174">
        <v>0</v>
      </c>
      <c r="AW69" s="1173">
        <v>1200</v>
      </c>
      <c r="AX69" s="1173">
        <v>25</v>
      </c>
      <c r="AY69" s="1174">
        <v>48</v>
      </c>
      <c r="AZ69" s="1175">
        <v>3</v>
      </c>
      <c r="BA69" s="1174">
        <v>0</v>
      </c>
      <c r="BB69" s="1221">
        <f t="shared" si="2"/>
        <v>9</v>
      </c>
      <c r="BC69" s="1221"/>
    </row>
    <row r="70" spans="1:55">
      <c r="A70" s="10"/>
      <c r="B70" s="13" t="s">
        <v>408</v>
      </c>
      <c r="C70" s="2552" t="s">
        <v>42</v>
      </c>
      <c r="D70" s="2552"/>
      <c r="E70" s="2879"/>
      <c r="F70" s="549"/>
      <c r="H70" s="542"/>
      <c r="K70" s="2860"/>
      <c r="L70" s="2860"/>
      <c r="M70" s="2860"/>
      <c r="N70" s="2860"/>
      <c r="O70" s="2860"/>
      <c r="P70" s="2860"/>
      <c r="Q70" s="2860"/>
      <c r="R70" s="2860"/>
      <c r="S70" s="2860"/>
      <c r="T70" s="2860"/>
      <c r="U70" s="37"/>
      <c r="V70" s="654"/>
      <c r="AQ70" s="1173"/>
      <c r="AR70" s="1173"/>
      <c r="AS70" s="1173"/>
      <c r="AT70" s="1174">
        <v>23</v>
      </c>
      <c r="AU70" s="1173">
        <v>46</v>
      </c>
      <c r="AV70" s="1174">
        <v>0</v>
      </c>
      <c r="AW70" s="1173">
        <v>290</v>
      </c>
      <c r="AX70" s="1173">
        <v>15</v>
      </c>
      <c r="AY70" s="1174">
        <v>19.333333333333332</v>
      </c>
      <c r="AZ70" s="1175">
        <v>4</v>
      </c>
      <c r="BA70" s="1174">
        <v>0</v>
      </c>
      <c r="BB70" s="1221">
        <f t="shared" ref="BB70:BB80" si="9">ROUNDUP(AX70/AZ70,0)</f>
        <v>4</v>
      </c>
      <c r="BC70" s="1221"/>
    </row>
    <row r="71" spans="1:55" ht="15" customHeight="1">
      <c r="A71" s="10"/>
      <c r="B71" s="13" t="s">
        <v>408</v>
      </c>
      <c r="C71" s="2552" t="s">
        <v>41</v>
      </c>
      <c r="D71" s="2552"/>
      <c r="E71" s="2879"/>
      <c r="F71" s="549"/>
      <c r="H71" s="543"/>
      <c r="K71" s="2860"/>
      <c r="L71" s="2860"/>
      <c r="M71" s="2860"/>
      <c r="N71" s="2860"/>
      <c r="O71" s="2860"/>
      <c r="P71" s="2860"/>
      <c r="Q71" s="2860"/>
      <c r="R71" s="2860"/>
      <c r="S71" s="2860"/>
      <c r="T71" s="2860"/>
      <c r="U71" s="37"/>
      <c r="V71" s="654"/>
      <c r="AQ71" s="1173"/>
      <c r="AR71" s="1173"/>
      <c r="AS71" s="1173"/>
      <c r="AT71" s="1174">
        <v>35</v>
      </c>
      <c r="AU71" s="1173">
        <v>70</v>
      </c>
      <c r="AV71" s="1174">
        <v>0</v>
      </c>
      <c r="AW71" s="1173">
        <v>440</v>
      </c>
      <c r="AX71" s="1173">
        <v>9</v>
      </c>
      <c r="AY71" s="1174">
        <v>48.888888888888886</v>
      </c>
      <c r="AZ71" s="1175">
        <v>3</v>
      </c>
      <c r="BA71" s="1174">
        <v>0</v>
      </c>
      <c r="BB71" s="1221">
        <f t="shared" si="9"/>
        <v>3</v>
      </c>
      <c r="BC71" s="1221"/>
    </row>
    <row r="72" spans="1:55">
      <c r="A72" s="10"/>
      <c r="B72" s="657" t="s">
        <v>408</v>
      </c>
      <c r="C72" s="2882" t="s">
        <v>43</v>
      </c>
      <c r="D72" s="2882"/>
      <c r="E72" s="2883"/>
      <c r="F72" s="549"/>
      <c r="H72" s="544"/>
      <c r="K72" s="2860"/>
      <c r="L72" s="2860"/>
      <c r="M72" s="2860"/>
      <c r="N72" s="2860"/>
      <c r="O72" s="2860"/>
      <c r="P72" s="2860"/>
      <c r="Q72" s="2860"/>
      <c r="R72" s="2860"/>
      <c r="S72" s="2860"/>
      <c r="T72" s="2860"/>
      <c r="U72" s="37"/>
      <c r="V72" s="654"/>
      <c r="AQ72" s="1173"/>
      <c r="AR72" s="1173"/>
      <c r="AS72" s="1173"/>
      <c r="AT72" s="1174">
        <v>45</v>
      </c>
      <c r="AU72" s="1173">
        <v>90</v>
      </c>
      <c r="AV72" s="1174">
        <v>0</v>
      </c>
      <c r="AW72" s="1173">
        <v>350</v>
      </c>
      <c r="AX72" s="1173">
        <v>24</v>
      </c>
      <c r="AY72" s="1174">
        <v>14.583333333333334</v>
      </c>
      <c r="AZ72" s="1175">
        <v>5</v>
      </c>
      <c r="BA72" s="1174">
        <v>0</v>
      </c>
      <c r="BB72" s="1221">
        <f t="shared" si="9"/>
        <v>5</v>
      </c>
      <c r="BC72" s="1221"/>
    </row>
    <row r="73" spans="1:55">
      <c r="B73" s="13" t="s">
        <v>409</v>
      </c>
      <c r="C73" s="2877" t="s">
        <v>39</v>
      </c>
      <c r="D73" s="2877"/>
      <c r="E73" s="2878"/>
      <c r="F73" s="549"/>
      <c r="H73" s="540">
        <f>60000000/600</f>
        <v>100000</v>
      </c>
      <c r="K73" s="2860" t="s">
        <v>2028</v>
      </c>
      <c r="L73" s="2860"/>
      <c r="M73" s="2860"/>
      <c r="N73" s="2860"/>
      <c r="O73" s="2860"/>
      <c r="P73" s="2860"/>
      <c r="Q73" s="2860"/>
      <c r="R73" s="2860"/>
      <c r="S73" s="2860"/>
      <c r="T73" s="2860"/>
      <c r="U73" s="37"/>
      <c r="V73" s="654"/>
      <c r="AQ73" s="1173"/>
      <c r="AR73" s="1173"/>
      <c r="AS73" s="1173"/>
      <c r="AT73" s="1174">
        <v>50</v>
      </c>
      <c r="AU73" s="1173">
        <v>100</v>
      </c>
      <c r="AV73" s="1174">
        <v>0</v>
      </c>
      <c r="AW73" s="1173">
        <v>838</v>
      </c>
      <c r="AX73" s="1173">
        <v>16</v>
      </c>
      <c r="AY73" s="1174">
        <v>52.375</v>
      </c>
      <c r="AZ73" s="1175">
        <v>3</v>
      </c>
      <c r="BA73" s="1174">
        <v>0</v>
      </c>
      <c r="BB73" s="1221">
        <f t="shared" si="9"/>
        <v>6</v>
      </c>
      <c r="BC73" s="1221"/>
    </row>
    <row r="74" spans="1:55">
      <c r="A74" s="10"/>
      <c r="B74" s="13" t="s">
        <v>409</v>
      </c>
      <c r="C74" s="2552" t="s">
        <v>40</v>
      </c>
      <c r="D74" s="2552"/>
      <c r="E74" s="2879"/>
      <c r="F74" s="549"/>
      <c r="H74" s="541">
        <f>6000000/600</f>
        <v>10000</v>
      </c>
      <c r="K74" s="2860"/>
      <c r="L74" s="2860"/>
      <c r="M74" s="2860"/>
      <c r="N74" s="2860"/>
      <c r="O74" s="2860"/>
      <c r="P74" s="2860"/>
      <c r="Q74" s="2860"/>
      <c r="R74" s="2860"/>
      <c r="S74" s="2860"/>
      <c r="T74" s="2860"/>
      <c r="U74" s="653"/>
      <c r="V74" s="652"/>
      <c r="AQ74" s="1173"/>
      <c r="AR74" s="1173"/>
      <c r="AS74" s="1173"/>
      <c r="AT74" s="1174">
        <v>75</v>
      </c>
      <c r="AU74" s="1173">
        <v>150</v>
      </c>
      <c r="AV74" s="1174">
        <v>0</v>
      </c>
      <c r="AW74" s="1173">
        <v>100</v>
      </c>
      <c r="AX74" s="1173">
        <v>7</v>
      </c>
      <c r="AY74" s="1174">
        <v>14.285714285714286</v>
      </c>
      <c r="AZ74" s="1175">
        <v>5</v>
      </c>
      <c r="BA74" s="1174">
        <v>0</v>
      </c>
      <c r="BB74" s="1221">
        <f t="shared" si="9"/>
        <v>2</v>
      </c>
      <c r="BC74" s="1221"/>
    </row>
    <row r="75" spans="1:55">
      <c r="A75" s="10"/>
      <c r="B75" s="13" t="s">
        <v>409</v>
      </c>
      <c r="C75" s="2552" t="s">
        <v>44</v>
      </c>
      <c r="D75" s="2552"/>
      <c r="E75" s="2879"/>
      <c r="F75" s="549"/>
      <c r="H75" s="542">
        <v>0</v>
      </c>
      <c r="K75" s="2860"/>
      <c r="L75" s="2860"/>
      <c r="M75" s="2860"/>
      <c r="N75" s="2860"/>
      <c r="O75" s="2860"/>
      <c r="P75" s="2860"/>
      <c r="Q75" s="2860"/>
      <c r="R75" s="2860"/>
      <c r="S75" s="2860"/>
      <c r="T75" s="2860"/>
      <c r="AQ75" s="1173"/>
      <c r="AR75" s="1173"/>
      <c r="AS75" s="1173"/>
      <c r="AT75" s="1174">
        <v>75</v>
      </c>
      <c r="AU75" s="1173">
        <v>150</v>
      </c>
      <c r="AV75" s="1174">
        <v>0</v>
      </c>
      <c r="AW75" s="1173">
        <v>360</v>
      </c>
      <c r="AX75" s="1173">
        <v>10</v>
      </c>
      <c r="AY75" s="1174">
        <v>36</v>
      </c>
      <c r="AZ75" s="1175">
        <v>3</v>
      </c>
      <c r="BA75" s="1174">
        <v>0</v>
      </c>
      <c r="BB75" s="1221">
        <f t="shared" si="9"/>
        <v>4</v>
      </c>
      <c r="BC75" s="1221"/>
    </row>
    <row r="76" spans="1:55" ht="14.25" customHeight="1">
      <c r="A76" s="10"/>
      <c r="B76" s="13" t="s">
        <v>409</v>
      </c>
      <c r="C76" s="2552" t="s">
        <v>42</v>
      </c>
      <c r="D76" s="2552"/>
      <c r="E76" s="2879"/>
      <c r="F76" s="549"/>
      <c r="H76" s="1292">
        <f>CJ18/600</f>
        <v>4.2330221490023787E-2</v>
      </c>
      <c r="K76" s="2860" t="s">
        <v>5610</v>
      </c>
      <c r="L76" s="2860"/>
      <c r="M76" s="2860"/>
      <c r="N76" s="2860"/>
      <c r="O76" s="2860"/>
      <c r="P76" s="2860"/>
      <c r="Q76" s="2860"/>
      <c r="R76" s="2860"/>
      <c r="S76" s="2860"/>
      <c r="T76" s="2860"/>
      <c r="AQ76" s="1173"/>
      <c r="AR76" s="1173"/>
      <c r="AS76" s="1173"/>
      <c r="AT76" s="1174">
        <v>0</v>
      </c>
      <c r="AU76" s="1173">
        <v>0</v>
      </c>
      <c r="AV76" s="1174">
        <v>0</v>
      </c>
      <c r="AW76" s="1173">
        <v>598</v>
      </c>
      <c r="AX76" s="1173">
        <v>28</v>
      </c>
      <c r="AY76" s="1174">
        <v>21.357142857142858</v>
      </c>
      <c r="AZ76" s="1175">
        <v>4</v>
      </c>
      <c r="BA76" s="1174">
        <v>0</v>
      </c>
      <c r="BB76" s="1221">
        <f t="shared" si="9"/>
        <v>7</v>
      </c>
      <c r="BC76" s="1221"/>
    </row>
    <row r="77" spans="1:55" ht="15.75" customHeight="1">
      <c r="A77" s="10"/>
      <c r="B77" s="13" t="s">
        <v>409</v>
      </c>
      <c r="C77" s="2552" t="s">
        <v>41</v>
      </c>
      <c r="D77" s="2552"/>
      <c r="E77" s="2879"/>
      <c r="F77" s="549"/>
      <c r="H77" s="543">
        <f>1/0.3</f>
        <v>3.3333333333333335</v>
      </c>
      <c r="K77" s="2860"/>
      <c r="L77" s="2860"/>
      <c r="M77" s="2860"/>
      <c r="N77" s="2860"/>
      <c r="O77" s="2860"/>
      <c r="P77" s="2860"/>
      <c r="Q77" s="2860"/>
      <c r="R77" s="2860"/>
      <c r="S77" s="2860"/>
      <c r="T77" s="2860"/>
      <c r="AQ77" s="1173"/>
      <c r="AR77" s="1173"/>
      <c r="AS77" s="1173"/>
      <c r="AT77" s="1174">
        <v>27</v>
      </c>
      <c r="AU77" s="1173">
        <v>54</v>
      </c>
      <c r="AV77" s="1174">
        <v>0</v>
      </c>
      <c r="AW77" s="1173">
        <v>750</v>
      </c>
      <c r="AX77" s="1173">
        <v>27</v>
      </c>
      <c r="AY77" s="1174">
        <v>27.777777777777779</v>
      </c>
      <c r="AZ77" s="1175">
        <v>4</v>
      </c>
      <c r="BA77" s="1174">
        <v>0</v>
      </c>
      <c r="BB77" s="1221">
        <f t="shared" si="9"/>
        <v>7</v>
      </c>
      <c r="BC77" s="1221"/>
    </row>
    <row r="78" spans="1:55">
      <c r="A78" s="10"/>
      <c r="B78" s="657" t="s">
        <v>409</v>
      </c>
      <c r="C78" s="2882" t="s">
        <v>43</v>
      </c>
      <c r="D78" s="2882"/>
      <c r="E78" s="2883"/>
      <c r="F78" s="549"/>
      <c r="H78" s="544">
        <v>60</v>
      </c>
      <c r="K78" s="2860"/>
      <c r="L78" s="2860"/>
      <c r="M78" s="2860"/>
      <c r="N78" s="2860"/>
      <c r="O78" s="2860"/>
      <c r="P78" s="2860"/>
      <c r="Q78" s="2860"/>
      <c r="R78" s="2860"/>
      <c r="S78" s="2860"/>
      <c r="T78" s="2860"/>
      <c r="AQ78" s="1173"/>
      <c r="AR78" s="1173"/>
      <c r="AS78" s="1173"/>
      <c r="AT78" s="1174">
        <v>43</v>
      </c>
      <c r="AU78" s="1173">
        <v>86</v>
      </c>
      <c r="AV78" s="1174">
        <v>0</v>
      </c>
      <c r="AW78" s="1173">
        <v>440</v>
      </c>
      <c r="AX78" s="1173">
        <v>13</v>
      </c>
      <c r="AY78" s="1174">
        <v>33.846153846153847</v>
      </c>
      <c r="AZ78" s="1175">
        <v>3</v>
      </c>
      <c r="BA78" s="1174">
        <v>0</v>
      </c>
      <c r="BB78" s="1221">
        <f t="shared" si="9"/>
        <v>5</v>
      </c>
      <c r="BC78" s="1221"/>
    </row>
    <row r="79" spans="1:55" ht="30" customHeight="1">
      <c r="A79" s="10"/>
      <c r="B79" s="8"/>
      <c r="C79" s="8"/>
      <c r="AQ79" s="1173"/>
      <c r="AR79" s="1173"/>
      <c r="AS79" s="1173"/>
      <c r="AT79" s="1174">
        <v>71</v>
      </c>
      <c r="AU79" s="1173">
        <v>142</v>
      </c>
      <c r="AV79" s="1174">
        <v>0</v>
      </c>
      <c r="AW79" s="1173">
        <v>693</v>
      </c>
      <c r="AX79" s="1173">
        <v>16</v>
      </c>
      <c r="AY79" s="1174">
        <v>43.3125</v>
      </c>
      <c r="AZ79" s="1175">
        <v>3</v>
      </c>
      <c r="BA79" s="1174">
        <v>0</v>
      </c>
      <c r="BB79" s="1221">
        <f t="shared" si="9"/>
        <v>6</v>
      </c>
      <c r="BC79" s="1221"/>
    </row>
    <row r="80" spans="1:55">
      <c r="A80" s="10"/>
      <c r="B80" s="8"/>
      <c r="C80" s="8"/>
      <c r="AQ80" s="1173"/>
      <c r="AR80" s="1173"/>
      <c r="AS80" s="1173"/>
      <c r="AT80" s="1174">
        <v>80</v>
      </c>
      <c r="AU80" s="1173">
        <v>160</v>
      </c>
      <c r="AV80" s="1174">
        <v>0</v>
      </c>
      <c r="AW80" s="1173">
        <v>700</v>
      </c>
      <c r="AX80" s="1173">
        <v>18</v>
      </c>
      <c r="AY80" s="1174">
        <v>38.888888888888886</v>
      </c>
      <c r="AZ80" s="1175">
        <v>3</v>
      </c>
      <c r="BA80" s="1174">
        <v>0</v>
      </c>
      <c r="BB80" s="1221">
        <f t="shared" si="9"/>
        <v>6</v>
      </c>
      <c r="BC80" s="1221"/>
    </row>
    <row r="81" spans="1:55" ht="27.65" customHeight="1">
      <c r="A81" s="2886" t="s">
        <v>607</v>
      </c>
      <c r="B81" s="2886"/>
      <c r="C81" s="2886"/>
      <c r="D81" s="2886"/>
      <c r="E81" s="2886"/>
      <c r="G81" t="s">
        <v>3</v>
      </c>
      <c r="H81" t="s">
        <v>692</v>
      </c>
      <c r="J81" t="s">
        <v>47</v>
      </c>
      <c r="K81" t="s">
        <v>695</v>
      </c>
      <c r="M81" t="s">
        <v>96</v>
      </c>
      <c r="N81" t="s">
        <v>694</v>
      </c>
      <c r="Q81" t="s">
        <v>693</v>
      </c>
      <c r="BB81" s="1233">
        <f>AVERAGE(BB5:BB80)</f>
        <v>5.8026315789473681</v>
      </c>
      <c r="BC81" s="1232">
        <f>BB81/30</f>
        <v>0.19342105263157894</v>
      </c>
    </row>
    <row r="82" spans="1:55" ht="15" customHeight="1">
      <c r="A82" s="10"/>
      <c r="B82" s="148"/>
      <c r="C82" s="148"/>
      <c r="D82" s="148"/>
      <c r="E82" s="148"/>
      <c r="G82" s="2887" t="s">
        <v>9</v>
      </c>
      <c r="H82" s="2888"/>
      <c r="I82" s="8"/>
      <c r="J82" s="2889" t="s">
        <v>6</v>
      </c>
      <c r="K82" s="2890"/>
      <c r="L82" s="8"/>
      <c r="M82" s="2889" t="s">
        <v>7</v>
      </c>
      <c r="N82" s="2890"/>
      <c r="O82" s="8"/>
      <c r="P82" s="786" t="s">
        <v>8</v>
      </c>
      <c r="Q82" s="786" t="s">
        <v>8</v>
      </c>
      <c r="R82" s="8"/>
      <c r="S82" s="8"/>
      <c r="T82" s="786" t="s">
        <v>411</v>
      </c>
      <c r="U82" s="8"/>
      <c r="V82" s="8"/>
      <c r="W82" s="718" t="s">
        <v>412</v>
      </c>
      <c r="BB82" s="1231" t="s">
        <v>2045</v>
      </c>
      <c r="BC82" s="1231" t="s">
        <v>2046</v>
      </c>
    </row>
    <row r="83" spans="1:55" ht="15" customHeight="1">
      <c r="B83" s="148"/>
      <c r="C83" s="148"/>
      <c r="D83" s="148"/>
      <c r="E83" s="148"/>
      <c r="G83" s="2867" t="s">
        <v>17</v>
      </c>
      <c r="H83" s="2894" t="s">
        <v>10</v>
      </c>
      <c r="I83" s="6"/>
      <c r="J83" s="2637" t="s">
        <v>17</v>
      </c>
      <c r="K83" s="2894" t="s">
        <v>10</v>
      </c>
      <c r="L83" s="6"/>
      <c r="M83" s="2637" t="s">
        <v>17</v>
      </c>
      <c r="N83" s="2894" t="s">
        <v>10</v>
      </c>
      <c r="P83" s="2867" t="s">
        <v>17</v>
      </c>
      <c r="Q83" s="2869" t="s">
        <v>10</v>
      </c>
      <c r="T83" s="2869" t="s">
        <v>10</v>
      </c>
      <c r="W83" s="2869" t="s">
        <v>10</v>
      </c>
      <c r="X83" s="2661"/>
      <c r="Y83" s="2661"/>
      <c r="Z83" s="2661"/>
      <c r="AA83" s="2661"/>
      <c r="AB83" s="2661"/>
      <c r="AC83" s="2661"/>
      <c r="AD83" s="2661"/>
      <c r="AE83" s="2661"/>
      <c r="AF83" s="2661"/>
      <c r="AG83" s="2866"/>
    </row>
    <row r="84" spans="1:55" ht="15" customHeight="1">
      <c r="B84" s="148"/>
      <c r="C84" s="148"/>
      <c r="D84" s="148"/>
      <c r="E84" s="148"/>
      <c r="G84" s="2891"/>
      <c r="H84" s="2895"/>
      <c r="I84" s="6"/>
      <c r="J84" s="2896"/>
      <c r="K84" s="2895"/>
      <c r="L84" s="6"/>
      <c r="M84" s="2896"/>
      <c r="N84" s="2895"/>
      <c r="P84" s="2891"/>
      <c r="Q84" s="2892"/>
      <c r="T84" s="2892"/>
      <c r="W84" s="2892"/>
      <c r="X84" s="2662"/>
      <c r="Y84" s="2662"/>
      <c r="Z84" s="2662"/>
      <c r="AA84" s="2662"/>
      <c r="AB84" s="2662"/>
      <c r="AC84" s="2662"/>
      <c r="AD84" s="2662"/>
      <c r="AE84" s="2662"/>
      <c r="AF84" s="2662"/>
      <c r="AG84" s="2610"/>
    </row>
    <row r="85" spans="1:55"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55" ht="20.2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X86" s="2893"/>
      <c r="Y86" s="2893"/>
      <c r="Z86" s="2893"/>
      <c r="AA86" s="2893"/>
      <c r="AB86" s="2893"/>
      <c r="AC86" s="2893"/>
      <c r="AD86" s="2893"/>
      <c r="AE86" s="2893"/>
      <c r="AF86" s="2893"/>
      <c r="AG86" s="2893"/>
    </row>
    <row r="87" spans="1:55" ht="18" customHeight="1">
      <c r="B87" s="44" t="s">
        <v>0</v>
      </c>
      <c r="C87" s="44"/>
      <c r="D87" s="44"/>
      <c r="E87" s="44"/>
      <c r="F87" s="236"/>
      <c r="G87" s="719" t="s">
        <v>31</v>
      </c>
      <c r="H87" s="482"/>
      <c r="I87" s="466"/>
      <c r="J87" s="501"/>
      <c r="K87" s="482"/>
      <c r="L87" s="466"/>
      <c r="M87" s="501"/>
      <c r="N87" s="482"/>
      <c r="O87" s="466"/>
      <c r="P87" s="501"/>
      <c r="Q87" s="482"/>
      <c r="R87" s="466"/>
      <c r="S87" s="466"/>
      <c r="T87" s="482"/>
      <c r="U87" s="466"/>
      <c r="V87" s="466"/>
      <c r="W87" s="1056"/>
      <c r="X87" s="2893"/>
      <c r="Y87" s="2893"/>
      <c r="Z87" s="2893"/>
      <c r="AA87" s="2893"/>
      <c r="AB87" s="2893"/>
      <c r="AC87" s="2893"/>
      <c r="AD87" s="2893"/>
      <c r="AE87" s="2893"/>
      <c r="AF87" s="2893"/>
      <c r="AG87" s="2893"/>
    </row>
    <row r="88" spans="1:55" ht="18.45">
      <c r="A88" s="6"/>
      <c r="B88" s="723" t="s">
        <v>54</v>
      </c>
      <c r="C88" s="180"/>
      <c r="D88" s="180"/>
      <c r="E88" s="180"/>
      <c r="F88" s="129"/>
      <c r="G88" s="1165"/>
      <c r="H88" s="766" t="s">
        <v>1987</v>
      </c>
      <c r="I88" s="1166"/>
      <c r="J88" s="1167"/>
      <c r="K88" s="766" t="s">
        <v>1986</v>
      </c>
      <c r="L88" s="741"/>
      <c r="M88" s="742"/>
      <c r="N88" s="766" t="s">
        <v>635</v>
      </c>
      <c r="O88" s="741"/>
      <c r="P88" s="767"/>
      <c r="Q88" s="766" t="s">
        <v>2</v>
      </c>
      <c r="R88" s="720"/>
      <c r="S88" s="720"/>
      <c r="T88" s="766"/>
      <c r="U88" s="720"/>
      <c r="V88" s="720"/>
      <c r="W88" s="761"/>
      <c r="X88" s="2900"/>
      <c r="Y88" s="2900"/>
      <c r="Z88" s="2900"/>
      <c r="AA88" s="2901"/>
      <c r="AB88" s="2901"/>
      <c r="AC88" s="2901"/>
      <c r="AD88" s="2901"/>
      <c r="AE88" s="2901"/>
      <c r="AF88" s="2901"/>
      <c r="AG88" s="2901"/>
      <c r="AH88" s="9"/>
    </row>
    <row r="89" spans="1:55">
      <c r="B89" s="52"/>
      <c r="C89" s="52"/>
      <c r="D89" s="52"/>
      <c r="E89" s="52"/>
      <c r="G89" s="717"/>
      <c r="H89" s="780"/>
      <c r="J89" s="780"/>
      <c r="K89" s="780"/>
      <c r="M89" s="780"/>
      <c r="N89" s="780"/>
      <c r="P89" s="780"/>
      <c r="Q89" s="780"/>
      <c r="T89" s="780"/>
      <c r="W89" s="780"/>
    </row>
    <row r="90" spans="1:55"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row>
    <row r="91" spans="1:55" ht="18.649999999999999" hidden="1" customHeight="1">
      <c r="A91" s="1"/>
      <c r="B91" s="50"/>
      <c r="C91" s="50"/>
      <c r="D91" s="50"/>
      <c r="E91" s="50"/>
      <c r="G91" s="66"/>
      <c r="H91" s="787"/>
      <c r="I91" s="6"/>
      <c r="J91" s="111"/>
      <c r="K91" s="787"/>
      <c r="L91" s="6"/>
      <c r="M91" s="111"/>
      <c r="N91" s="787"/>
      <c r="P91" s="66"/>
      <c r="Q91" s="788"/>
      <c r="T91" s="788"/>
      <c r="W91" s="724"/>
    </row>
    <row r="92" spans="1:55" ht="18.45">
      <c r="A92" s="6"/>
      <c r="B92" s="723" t="s">
        <v>16</v>
      </c>
      <c r="C92" s="180"/>
      <c r="D92" s="180"/>
      <c r="E92" s="180"/>
      <c r="F92" s="725"/>
      <c r="G92" s="65"/>
      <c r="H92" s="553">
        <v>196712</v>
      </c>
      <c r="I92" s="710">
        <v>196712</v>
      </c>
      <c r="J92" s="711">
        <v>196712</v>
      </c>
      <c r="K92" s="553">
        <v>196712</v>
      </c>
      <c r="L92" s="710">
        <v>196712</v>
      </c>
      <c r="M92" s="711">
        <v>196712</v>
      </c>
      <c r="N92" s="553">
        <v>196712</v>
      </c>
      <c r="O92" s="710">
        <v>196712</v>
      </c>
      <c r="P92" s="712">
        <v>196712</v>
      </c>
      <c r="Q92" s="553">
        <v>196712</v>
      </c>
      <c r="R92" s="713"/>
      <c r="S92" s="713"/>
      <c r="T92" s="553"/>
      <c r="U92" s="713"/>
      <c r="V92" s="713"/>
      <c r="W92" s="730"/>
      <c r="X92" s="2893"/>
      <c r="Y92" s="2893"/>
      <c r="Z92" s="2893"/>
      <c r="AA92" s="2893"/>
      <c r="AB92" s="2893"/>
      <c r="AC92" s="2893"/>
      <c r="AD92" s="2893"/>
      <c r="AE92" s="2893"/>
      <c r="AF92" s="2893"/>
      <c r="AG92" s="2893"/>
    </row>
    <row r="93" spans="1:55" ht="18.45">
      <c r="A93" s="6"/>
      <c r="B93" s="726" t="s">
        <v>124</v>
      </c>
      <c r="C93" s="727"/>
      <c r="D93" s="727"/>
      <c r="E93" s="727"/>
      <c r="F93" s="728"/>
      <c r="G93" s="65"/>
      <c r="H93" s="554">
        <v>1</v>
      </c>
      <c r="I93" s="731"/>
      <c r="J93" s="732"/>
      <c r="K93" s="554">
        <v>1</v>
      </c>
      <c r="L93" s="731"/>
      <c r="M93" s="732"/>
      <c r="N93" s="554">
        <v>1</v>
      </c>
      <c r="O93" s="733"/>
      <c r="P93" s="734"/>
      <c r="Q93" s="554">
        <v>1</v>
      </c>
      <c r="R93" s="735"/>
      <c r="S93" s="735"/>
      <c r="T93" s="554"/>
      <c r="U93" s="735"/>
      <c r="V93" s="735"/>
      <c r="W93" s="736"/>
      <c r="X93" s="2893"/>
      <c r="Y93" s="2893"/>
      <c r="Z93" s="2893"/>
      <c r="AA93" s="2893"/>
      <c r="AB93" s="2893"/>
      <c r="AC93" s="2893"/>
      <c r="AD93" s="2893"/>
      <c r="AE93" s="2893"/>
      <c r="AF93" s="2893"/>
      <c r="AG93" s="2893"/>
      <c r="AH93" s="9"/>
    </row>
    <row r="94" spans="1:55" ht="18.45">
      <c r="A94" s="6"/>
      <c r="B94" s="726" t="s">
        <v>123</v>
      </c>
      <c r="C94" s="727"/>
      <c r="D94" s="727"/>
      <c r="E94" s="727"/>
      <c r="F94" s="728"/>
      <c r="G94" s="65"/>
      <c r="H94" s="806"/>
      <c r="I94" s="731"/>
      <c r="J94" s="732"/>
      <c r="K94" s="737">
        <v>0</v>
      </c>
      <c r="L94" s="710"/>
      <c r="M94" s="711"/>
      <c r="N94" s="737">
        <v>0</v>
      </c>
      <c r="O94" s="710"/>
      <c r="P94" s="712"/>
      <c r="Q94" s="737">
        <v>0</v>
      </c>
      <c r="R94" s="713"/>
      <c r="S94" s="713"/>
      <c r="T94" s="737"/>
      <c r="U94" s="713"/>
      <c r="V94" s="713"/>
      <c r="W94" s="738"/>
      <c r="X94" s="2893"/>
      <c r="Y94" s="2893"/>
      <c r="Z94" s="2893"/>
      <c r="AA94" s="2893"/>
      <c r="AB94" s="2893"/>
      <c r="AC94" s="2893"/>
      <c r="AD94" s="2893"/>
      <c r="AE94" s="2893"/>
      <c r="AF94" s="2893"/>
      <c r="AG94" s="2893"/>
      <c r="AH94" s="9"/>
    </row>
    <row r="95" spans="1:55" ht="18.45">
      <c r="A95" s="6"/>
      <c r="B95" s="726" t="s">
        <v>56</v>
      </c>
      <c r="C95" s="727"/>
      <c r="D95" s="727"/>
      <c r="E95" s="727"/>
      <c r="F95" s="728"/>
      <c r="G95" s="65">
        <v>1</v>
      </c>
      <c r="H95" s="523">
        <v>1</v>
      </c>
      <c r="I95" s="708"/>
      <c r="J95" s="709"/>
      <c r="K95" s="523">
        <v>11</v>
      </c>
      <c r="L95" s="708"/>
      <c r="M95" s="709"/>
      <c r="N95" s="523">
        <v>76</v>
      </c>
      <c r="O95" s="710"/>
      <c r="P95" s="712"/>
      <c r="Q95" s="523">
        <v>1319</v>
      </c>
      <c r="R95" s="713"/>
      <c r="S95" s="713"/>
      <c r="T95" s="523"/>
      <c r="U95" s="713"/>
      <c r="V95" s="713"/>
      <c r="W95" s="695"/>
      <c r="X95" s="2893"/>
      <c r="Y95" s="2893"/>
      <c r="Z95" s="2893"/>
      <c r="AA95" s="2893"/>
      <c r="AB95" s="2893"/>
      <c r="AC95" s="2893"/>
      <c r="AD95" s="2893"/>
      <c r="AE95" s="2893"/>
      <c r="AF95" s="2893"/>
      <c r="AG95" s="2893"/>
      <c r="AH95" s="9"/>
    </row>
    <row r="96" spans="1:55" ht="21" customHeight="1">
      <c r="A96" s="6"/>
      <c r="B96" s="729" t="s">
        <v>18</v>
      </c>
      <c r="C96" s="727"/>
      <c r="D96" s="727"/>
      <c r="E96" s="727"/>
      <c r="F96" s="728"/>
      <c r="G96" s="65"/>
      <c r="H96" s="1168">
        <v>12</v>
      </c>
      <c r="I96" s="1169"/>
      <c r="J96" s="1170"/>
      <c r="K96" s="1168">
        <v>12</v>
      </c>
      <c r="L96" s="710"/>
      <c r="M96" s="711"/>
      <c r="N96" s="523">
        <v>12</v>
      </c>
      <c r="O96" s="710"/>
      <c r="P96" s="712"/>
      <c r="Q96" s="523">
        <v>12</v>
      </c>
      <c r="R96" s="713"/>
      <c r="S96" s="713"/>
      <c r="T96" s="523"/>
      <c r="U96" s="713"/>
      <c r="V96" s="713"/>
      <c r="W96" s="695"/>
      <c r="X96" s="2893"/>
      <c r="Y96" s="2893"/>
      <c r="Z96" s="2893"/>
      <c r="AA96" s="2893"/>
      <c r="AB96" s="2893"/>
      <c r="AC96" s="2893"/>
      <c r="AD96" s="2893"/>
      <c r="AE96" s="2893"/>
      <c r="AF96" s="2893"/>
      <c r="AG96" s="2893"/>
    </row>
    <row r="97" spans="1:34" ht="21" customHeight="1">
      <c r="A97" s="6"/>
      <c r="B97" s="44" t="s">
        <v>602</v>
      </c>
      <c r="C97" s="727"/>
      <c r="D97" s="727"/>
      <c r="E97" s="727"/>
      <c r="F97" s="728"/>
      <c r="G97" s="65"/>
      <c r="H97" s="523">
        <v>1.3</v>
      </c>
      <c r="I97" s="710"/>
      <c r="J97" s="711"/>
      <c r="K97" s="523">
        <v>1.75</v>
      </c>
      <c r="L97" s="710"/>
      <c r="M97" s="711"/>
      <c r="N97" s="523">
        <v>1.375</v>
      </c>
      <c r="O97" s="710"/>
      <c r="P97" s="712"/>
      <c r="Q97" s="523">
        <v>1</v>
      </c>
      <c r="R97" s="739"/>
      <c r="S97" s="739"/>
      <c r="T97" s="523"/>
      <c r="U97" s="739"/>
      <c r="V97" s="739"/>
      <c r="W97" s="695"/>
      <c r="X97" s="2893" t="s">
        <v>2022</v>
      </c>
      <c r="Y97" s="2893"/>
      <c r="Z97" s="2893"/>
      <c r="AA97" s="2893"/>
      <c r="AB97" s="2893"/>
      <c r="AC97" s="2893"/>
      <c r="AD97" s="2893"/>
      <c r="AE97" s="2893"/>
      <c r="AF97" s="2893"/>
      <c r="AG97" s="2893"/>
    </row>
    <row r="98" spans="1:34" s="6" customFormat="1">
      <c r="B98" s="729" t="s">
        <v>45</v>
      </c>
      <c r="C98" s="694"/>
      <c r="D98" s="694"/>
      <c r="E98" s="694"/>
      <c r="F98" s="728"/>
      <c r="G98" s="65"/>
      <c r="H98" s="809"/>
      <c r="I98" s="710"/>
      <c r="J98" s="711"/>
      <c r="K98" s="523"/>
      <c r="L98" s="710"/>
      <c r="M98" s="740"/>
      <c r="N98" s="523"/>
      <c r="O98" s="710"/>
      <c r="P98" s="711"/>
      <c r="Q98" s="523"/>
      <c r="R98" s="710"/>
      <c r="S98" s="710"/>
      <c r="T98" s="523"/>
      <c r="U98" s="710"/>
      <c r="V98" s="710"/>
      <c r="W98" s="695"/>
      <c r="X98" s="2893"/>
      <c r="Y98" s="2893"/>
      <c r="Z98" s="2893"/>
      <c r="AA98" s="2893"/>
      <c r="AB98" s="2893"/>
      <c r="AC98" s="2893"/>
      <c r="AD98" s="2893"/>
      <c r="AE98" s="2893"/>
      <c r="AF98" s="2893"/>
      <c r="AG98" s="2893"/>
    </row>
    <row r="99" spans="1:34" s="6" customFormat="1">
      <c r="B99" s="584" t="s">
        <v>46</v>
      </c>
      <c r="C99" s="584"/>
      <c r="D99" s="584"/>
      <c r="E99" s="584"/>
      <c r="F99" s="728"/>
      <c r="G99" s="63"/>
      <c r="H99" s="525"/>
      <c r="I99" s="741"/>
      <c r="J99" s="742"/>
      <c r="K99" s="525"/>
      <c r="L99" s="741"/>
      <c r="M99" s="743"/>
      <c r="N99" s="525"/>
      <c r="O99" s="741"/>
      <c r="P99" s="557"/>
      <c r="Q99" s="525"/>
      <c r="R99" s="741"/>
      <c r="S99" s="741"/>
      <c r="T99" s="525"/>
      <c r="U99" s="741"/>
      <c r="V99" s="741"/>
      <c r="W99" s="702"/>
      <c r="X99" s="2893"/>
      <c r="Y99" s="2893"/>
      <c r="Z99" s="2893"/>
      <c r="AA99" s="2893"/>
      <c r="AB99" s="2893"/>
      <c r="AC99" s="2893"/>
      <c r="AD99" s="2893"/>
      <c r="AE99" s="2893"/>
      <c r="AF99" s="2893"/>
      <c r="AG99" s="2893"/>
    </row>
    <row r="100" spans="1:34">
      <c r="A100" s="6"/>
      <c r="B100" s="6"/>
      <c r="C100" s="6"/>
      <c r="D100" s="6"/>
      <c r="E100" s="6"/>
      <c r="F100" s="6"/>
      <c r="G100" s="6"/>
      <c r="H100" s="121"/>
      <c r="I100" s="6"/>
      <c r="J100" s="121"/>
      <c r="K100" s="121"/>
      <c r="L100" s="6"/>
      <c r="M100" s="666"/>
      <c r="N100" s="128"/>
      <c r="O100" s="6"/>
      <c r="P100" s="6"/>
      <c r="Q100" s="121"/>
      <c r="T100" s="121"/>
      <c r="W100" s="121"/>
    </row>
    <row r="101" spans="1:34" ht="16.75">
      <c r="A101" s="591" t="s">
        <v>614</v>
      </c>
      <c r="B101" s="596"/>
      <c r="C101" s="596"/>
      <c r="D101" s="596"/>
      <c r="E101" s="596"/>
      <c r="F101" s="597"/>
      <c r="G101" s="594"/>
      <c r="H101" s="596"/>
      <c r="I101" s="597"/>
      <c r="J101" s="594"/>
      <c r="K101" s="596"/>
      <c r="L101" s="597"/>
      <c r="M101" s="594"/>
      <c r="N101" s="597"/>
      <c r="O101" s="594"/>
      <c r="P101" s="594"/>
      <c r="Q101" s="682"/>
      <c r="T101" s="682"/>
      <c r="U101" s="594"/>
      <c r="V101" s="594"/>
      <c r="W101" s="682"/>
      <c r="X101" s="594"/>
      <c r="Y101" s="594"/>
      <c r="Z101" s="594"/>
      <c r="AA101" s="594"/>
      <c r="AB101" s="594"/>
      <c r="AC101" s="594"/>
      <c r="AD101" s="594"/>
      <c r="AE101" s="594"/>
      <c r="AF101" s="594"/>
      <c r="AG101" s="594"/>
    </row>
    <row r="102" spans="1:34" ht="14.9" hidden="1" customHeight="1">
      <c r="A102" s="1"/>
      <c r="B102" s="1"/>
      <c r="G102" s="53"/>
      <c r="H102" s="118"/>
      <c r="I102" s="6"/>
      <c r="J102" s="63"/>
      <c r="K102" s="118"/>
      <c r="L102" s="6"/>
      <c r="M102" s="63"/>
      <c r="N102" s="118"/>
      <c r="P102" s="53"/>
      <c r="Q102" s="58"/>
      <c r="T102" s="58"/>
      <c r="W102" s="58"/>
    </row>
    <row r="103" spans="1:34" ht="18.649999999999999" hidden="1" customHeight="1">
      <c r="A103" s="2897" t="s">
        <v>341</v>
      </c>
      <c r="B103" s="1398"/>
      <c r="C103" s="1399"/>
      <c r="D103" s="1399"/>
      <c r="E103" s="1399"/>
      <c r="F103" s="1400"/>
      <c r="G103" s="1401"/>
      <c r="H103" s="1389"/>
      <c r="I103" s="1402"/>
      <c r="J103" s="1401"/>
      <c r="K103" s="1389"/>
      <c r="L103" s="1402"/>
      <c r="M103" s="1401"/>
      <c r="N103" s="1389"/>
      <c r="O103" s="1402"/>
      <c r="P103" s="1403"/>
      <c r="Q103" s="1389"/>
      <c r="R103" s="1404"/>
      <c r="S103" s="1404"/>
      <c r="T103" s="1389"/>
      <c r="U103" s="1404"/>
      <c r="V103" s="1404"/>
      <c r="W103" s="1405"/>
      <c r="X103" s="2899"/>
      <c r="Y103" s="2899"/>
      <c r="Z103" s="2899"/>
      <c r="AA103" s="2899"/>
      <c r="AB103" s="2899"/>
      <c r="AC103" s="2899"/>
      <c r="AD103" s="2899"/>
      <c r="AE103" s="2899"/>
      <c r="AF103" s="2899"/>
      <c r="AG103" s="2899"/>
    </row>
    <row r="104" spans="1:34" ht="33.75" customHeight="1">
      <c r="A104" s="2898"/>
      <c r="B104" s="726" t="s">
        <v>2373</v>
      </c>
      <c r="C104" s="727"/>
      <c r="D104" s="727"/>
      <c r="E104" s="727"/>
      <c r="F104" s="728"/>
      <c r="G104" s="65">
        <v>6</v>
      </c>
      <c r="H104" s="1181">
        <v>1</v>
      </c>
      <c r="I104" s="1179"/>
      <c r="J104" s="1170"/>
      <c r="K104" s="1181">
        <v>1</v>
      </c>
      <c r="L104" s="1179"/>
      <c r="M104" s="1170"/>
      <c r="N104" s="1181">
        <v>1</v>
      </c>
      <c r="O104" s="1179"/>
      <c r="P104" s="1180"/>
      <c r="Q104" s="1181">
        <v>1</v>
      </c>
      <c r="R104" s="762"/>
      <c r="S104" s="762"/>
      <c r="T104" s="562"/>
      <c r="U104" s="762"/>
      <c r="V104" s="762"/>
      <c r="W104" s="747"/>
      <c r="X104" s="2893"/>
      <c r="Y104" s="2893"/>
      <c r="Z104" s="2893"/>
      <c r="AA104" s="2893"/>
      <c r="AB104" s="2893"/>
      <c r="AC104" s="2893"/>
      <c r="AD104" s="2893"/>
      <c r="AE104" s="2893"/>
      <c r="AF104" s="2893"/>
      <c r="AG104" s="2893"/>
    </row>
    <row r="105" spans="1:34" ht="18.45">
      <c r="A105" s="2902" t="s">
        <v>185</v>
      </c>
      <c r="B105" s="726" t="s">
        <v>231</v>
      </c>
      <c r="C105" s="727"/>
      <c r="D105" s="727"/>
      <c r="E105" s="727"/>
      <c r="F105" s="728"/>
      <c r="G105" s="114">
        <v>19.246910452309116</v>
      </c>
      <c r="H105" s="1182"/>
      <c r="I105" s="1179"/>
      <c r="J105" s="1183"/>
      <c r="K105" s="1182"/>
      <c r="L105" s="1184"/>
      <c r="M105" s="1185"/>
      <c r="N105" s="1182"/>
      <c r="O105" s="1179"/>
      <c r="P105" s="1170"/>
      <c r="Q105" s="1182"/>
      <c r="R105" s="762"/>
      <c r="S105" s="762"/>
      <c r="T105" s="563"/>
      <c r="U105" s="762"/>
      <c r="V105" s="762"/>
      <c r="W105" s="752"/>
      <c r="X105" s="2893"/>
      <c r="Y105" s="2893"/>
      <c r="Z105" s="2893"/>
      <c r="AA105" s="2893"/>
      <c r="AB105" s="2893"/>
      <c r="AC105" s="2893"/>
      <c r="AD105" s="2893"/>
      <c r="AE105" s="2893"/>
      <c r="AF105" s="2893"/>
      <c r="AG105" s="2893"/>
    </row>
    <row r="106" spans="1:34" ht="18.45">
      <c r="A106" s="2897"/>
      <c r="B106" s="726" t="s">
        <v>339</v>
      </c>
      <c r="C106" s="727"/>
      <c r="D106" s="727"/>
      <c r="E106" s="727"/>
      <c r="F106" s="728"/>
      <c r="H106" s="1186">
        <v>0</v>
      </c>
      <c r="I106" s="1187"/>
      <c r="J106" s="1187"/>
      <c r="K106" s="1186">
        <v>0</v>
      </c>
      <c r="L106" s="1187"/>
      <c r="M106" s="1187"/>
      <c r="N106" s="1186">
        <v>0</v>
      </c>
      <c r="O106" s="1187"/>
      <c r="P106" s="1187"/>
      <c r="Q106" s="1186">
        <v>0</v>
      </c>
      <c r="R106" s="762"/>
      <c r="S106" s="762"/>
      <c r="T106" s="564"/>
      <c r="U106" s="762"/>
      <c r="V106" s="762"/>
      <c r="W106" s="753"/>
      <c r="X106" s="2893"/>
      <c r="Y106" s="2893"/>
      <c r="Z106" s="2893"/>
      <c r="AA106" s="2893"/>
      <c r="AB106" s="2893"/>
      <c r="AC106" s="2893"/>
      <c r="AD106" s="2893"/>
      <c r="AE106" s="2893"/>
      <c r="AF106" s="2893"/>
      <c r="AG106" s="2893"/>
      <c r="AH106" s="9"/>
    </row>
    <row r="107" spans="1:34" s="6" customFormat="1" ht="31.5" customHeight="1">
      <c r="A107" s="2898"/>
      <c r="B107" s="2255" t="s">
        <v>340</v>
      </c>
      <c r="C107" s="2255"/>
      <c r="D107" s="2255"/>
      <c r="E107" s="2255"/>
      <c r="F107" s="728"/>
      <c r="G107" s="63"/>
      <c r="H107" s="1188"/>
      <c r="I107" s="1189"/>
      <c r="J107" s="1190"/>
      <c r="K107" s="1188"/>
      <c r="L107" s="1189"/>
      <c r="M107" s="1190"/>
      <c r="N107" s="1188"/>
      <c r="O107" s="1179"/>
      <c r="P107" s="1170"/>
      <c r="Q107" s="1188"/>
      <c r="R107" s="748"/>
      <c r="S107" s="748"/>
      <c r="T107" s="565"/>
      <c r="U107" s="748"/>
      <c r="V107" s="748"/>
      <c r="W107" s="756"/>
      <c r="X107" s="2893"/>
      <c r="Y107" s="2893"/>
      <c r="Z107" s="2893"/>
      <c r="AA107" s="2893"/>
      <c r="AB107" s="2893"/>
      <c r="AC107" s="2893"/>
      <c r="AD107" s="2893"/>
      <c r="AE107" s="2893"/>
      <c r="AF107" s="2893"/>
      <c r="AG107" s="2893"/>
    </row>
    <row r="108" spans="1:34" s="62" customFormat="1" ht="15" customHeight="1">
      <c r="A108" s="2902" t="s">
        <v>394</v>
      </c>
      <c r="B108" s="726" t="s">
        <v>375</v>
      </c>
      <c r="C108" s="727"/>
      <c r="D108" s="727"/>
      <c r="E108" s="727"/>
      <c r="F108" s="728"/>
      <c r="G108" s="115">
        <v>488.75</v>
      </c>
      <c r="H108" s="1191">
        <v>1</v>
      </c>
      <c r="I108" s="1179"/>
      <c r="J108" s="1170"/>
      <c r="K108" s="1191">
        <v>1</v>
      </c>
      <c r="L108" s="1179"/>
      <c r="M108" s="1170"/>
      <c r="N108" s="1191">
        <v>1</v>
      </c>
      <c r="O108" s="1179"/>
      <c r="P108" s="1170"/>
      <c r="Q108" s="1191">
        <v>1</v>
      </c>
      <c r="R108" s="762"/>
      <c r="S108" s="762"/>
      <c r="T108" s="566"/>
      <c r="U108" s="762"/>
      <c r="V108" s="762"/>
      <c r="W108" s="757"/>
      <c r="X108" s="2893"/>
      <c r="Y108" s="2893"/>
      <c r="Z108" s="2893"/>
      <c r="AA108" s="2893"/>
      <c r="AB108" s="2893"/>
      <c r="AC108" s="2893"/>
      <c r="AD108" s="2893"/>
      <c r="AE108" s="2893"/>
      <c r="AF108" s="2893"/>
      <c r="AG108" s="2893"/>
    </row>
    <row r="109" spans="1:34" ht="29.25" customHeight="1">
      <c r="A109" s="2897"/>
      <c r="B109" s="2255" t="s">
        <v>395</v>
      </c>
      <c r="C109" s="2255"/>
      <c r="D109" s="2255"/>
      <c r="E109" s="2255"/>
      <c r="F109" s="728"/>
      <c r="G109" s="113">
        <v>318.09533298035956</v>
      </c>
      <c r="H109" s="1192">
        <v>0</v>
      </c>
      <c r="I109" s="1193"/>
      <c r="J109" s="1193"/>
      <c r="K109" s="1192">
        <v>0</v>
      </c>
      <c r="L109" s="1193"/>
      <c r="M109" s="1193"/>
      <c r="N109" s="1192">
        <v>0</v>
      </c>
      <c r="O109" s="1193"/>
      <c r="P109" s="1193"/>
      <c r="Q109" s="1192">
        <v>0</v>
      </c>
      <c r="R109" s="762"/>
      <c r="S109" s="762"/>
      <c r="T109" s="567"/>
      <c r="U109" s="762"/>
      <c r="V109" s="762"/>
      <c r="W109" s="758"/>
      <c r="X109" s="2893"/>
      <c r="Y109" s="2893"/>
      <c r="Z109" s="2893"/>
      <c r="AA109" s="2893"/>
      <c r="AB109" s="2893"/>
      <c r="AC109" s="2893"/>
      <c r="AD109" s="2893"/>
      <c r="AE109" s="2893"/>
      <c r="AF109" s="2893"/>
      <c r="AG109" s="2893"/>
    </row>
    <row r="110" spans="1:34" ht="14.9" customHeight="1">
      <c r="A110" s="2897"/>
      <c r="B110" s="726" t="s">
        <v>396</v>
      </c>
      <c r="C110" s="727"/>
      <c r="D110" s="727"/>
      <c r="E110" s="727"/>
      <c r="F110" s="728"/>
      <c r="G110" s="117">
        <v>26.045977237650551</v>
      </c>
      <c r="H110" s="1194">
        <v>0</v>
      </c>
      <c r="I110" s="1195"/>
      <c r="J110" s="1196"/>
      <c r="K110" s="1194">
        <v>0</v>
      </c>
      <c r="L110" s="1179"/>
      <c r="M110" s="1197"/>
      <c r="N110" s="1194">
        <v>0</v>
      </c>
      <c r="O110" s="1179"/>
      <c r="P110" s="1170"/>
      <c r="Q110" s="1194">
        <v>0</v>
      </c>
      <c r="R110" s="762"/>
      <c r="S110" s="762"/>
      <c r="T110" s="568"/>
      <c r="U110" s="762"/>
      <c r="V110" s="765"/>
      <c r="W110" s="542"/>
      <c r="X110" s="2893"/>
      <c r="Y110" s="2893"/>
      <c r="Z110" s="2893"/>
      <c r="AA110" s="2893"/>
      <c r="AB110" s="2893"/>
      <c r="AC110" s="2893"/>
      <c r="AD110" s="2893"/>
      <c r="AE110" s="2893"/>
      <c r="AF110" s="2893"/>
      <c r="AG110" s="2893"/>
    </row>
    <row r="111" spans="1:34" s="62" customFormat="1" ht="15" customHeight="1">
      <c r="A111" s="2897"/>
      <c r="B111" s="726" t="s">
        <v>397</v>
      </c>
      <c r="C111" s="727"/>
      <c r="D111" s="727"/>
      <c r="E111" s="727"/>
      <c r="F111" s="728"/>
      <c r="G111" s="115"/>
      <c r="H111" s="1194">
        <v>0</v>
      </c>
      <c r="I111" s="1195"/>
      <c r="J111" s="1198"/>
      <c r="K111" s="1194">
        <v>0</v>
      </c>
      <c r="L111" s="1179"/>
      <c r="M111" s="1199"/>
      <c r="N111" s="1194">
        <v>0</v>
      </c>
      <c r="O111" s="1179"/>
      <c r="P111" s="1199"/>
      <c r="Q111" s="1194">
        <v>0</v>
      </c>
      <c r="R111" s="762"/>
      <c r="S111" s="762"/>
      <c r="T111" s="568"/>
      <c r="U111" s="762"/>
      <c r="V111" s="762"/>
      <c r="W111" s="542"/>
      <c r="X111" s="2893"/>
      <c r="Y111" s="2893"/>
      <c r="Z111" s="2893"/>
      <c r="AA111" s="2893"/>
      <c r="AB111" s="2893"/>
      <c r="AC111" s="2893"/>
      <c r="AD111" s="2893"/>
      <c r="AE111" s="2893"/>
      <c r="AF111" s="2893"/>
      <c r="AG111" s="2893"/>
    </row>
    <row r="112" spans="1:34" ht="14.9" customHeight="1">
      <c r="A112" s="2898"/>
      <c r="B112" s="726" t="s">
        <v>398</v>
      </c>
      <c r="C112" s="727"/>
      <c r="D112" s="727"/>
      <c r="E112" s="727"/>
      <c r="F112" s="728"/>
      <c r="H112" s="1200">
        <v>0</v>
      </c>
      <c r="I112" s="1187"/>
      <c r="J112" s="1187"/>
      <c r="K112" s="1200">
        <v>0</v>
      </c>
      <c r="L112" s="1187"/>
      <c r="M112" s="1187"/>
      <c r="N112" s="1200">
        <v>0</v>
      </c>
      <c r="O112" s="1193"/>
      <c r="P112" s="1193"/>
      <c r="Q112" s="1200">
        <v>0</v>
      </c>
      <c r="R112" s="762"/>
      <c r="S112" s="762"/>
      <c r="T112" s="569"/>
      <c r="U112" s="762"/>
      <c r="V112" s="762"/>
      <c r="W112" s="759"/>
      <c r="X112" s="2893"/>
      <c r="Y112" s="2893"/>
      <c r="Z112" s="2893"/>
      <c r="AA112" s="2893"/>
      <c r="AB112" s="2893"/>
      <c r="AC112" s="2893"/>
      <c r="AD112" s="2893"/>
      <c r="AE112" s="2893"/>
      <c r="AF112" s="2893"/>
      <c r="AG112" s="2893"/>
    </row>
    <row r="113" spans="1:33" ht="15" customHeight="1">
      <c r="A113" s="2671" t="s">
        <v>380</v>
      </c>
      <c r="B113" s="2250" t="s">
        <v>825</v>
      </c>
      <c r="C113" s="2250"/>
      <c r="D113" s="2250"/>
      <c r="E113" s="2250"/>
      <c r="F113" s="728"/>
      <c r="H113" s="1182">
        <v>0</v>
      </c>
      <c r="I113" s="1187"/>
      <c r="J113" s="1187"/>
      <c r="K113" s="1182">
        <v>0</v>
      </c>
      <c r="L113" s="1187"/>
      <c r="M113" s="1187"/>
      <c r="N113" s="1182">
        <v>0</v>
      </c>
      <c r="O113" s="1193"/>
      <c r="P113" s="1193"/>
      <c r="Q113" s="1182">
        <v>0</v>
      </c>
      <c r="R113" s="762"/>
      <c r="S113" s="762"/>
      <c r="T113" s="563"/>
      <c r="U113" s="762"/>
      <c r="V113" s="762"/>
      <c r="W113" s="752"/>
      <c r="X113" s="2893"/>
      <c r="Y113" s="2893"/>
      <c r="Z113" s="2893"/>
      <c r="AA113" s="2893"/>
      <c r="AB113" s="2893"/>
      <c r="AC113" s="2893"/>
      <c r="AD113" s="2893"/>
      <c r="AE113" s="2893"/>
      <c r="AF113" s="2893"/>
      <c r="AG113" s="2893"/>
    </row>
    <row r="114" spans="1:33" ht="15" customHeight="1">
      <c r="A114" s="2672"/>
      <c r="B114" s="2250" t="s">
        <v>826</v>
      </c>
      <c r="C114" s="2250"/>
      <c r="D114" s="2250"/>
      <c r="E114" s="2250"/>
      <c r="F114" s="728"/>
      <c r="H114" s="1186">
        <v>1</v>
      </c>
      <c r="I114" s="1187"/>
      <c r="J114" s="1187"/>
      <c r="K114" s="1186">
        <v>1</v>
      </c>
      <c r="L114" s="1187"/>
      <c r="M114" s="1187"/>
      <c r="N114" s="1186">
        <v>1</v>
      </c>
      <c r="O114" s="1193"/>
      <c r="P114" s="1193"/>
      <c r="Q114" s="1186">
        <v>1</v>
      </c>
      <c r="R114" s="762"/>
      <c r="S114" s="762"/>
      <c r="T114" s="564"/>
      <c r="U114" s="762"/>
      <c r="V114" s="762"/>
      <c r="W114" s="753"/>
      <c r="X114" s="2893"/>
      <c r="Y114" s="2893"/>
      <c r="Z114" s="2893"/>
      <c r="AA114" s="2893"/>
      <c r="AB114" s="2893"/>
      <c r="AC114" s="2893"/>
      <c r="AD114" s="2893"/>
      <c r="AE114" s="2893"/>
      <c r="AF114" s="2893"/>
      <c r="AG114" s="2893"/>
    </row>
    <row r="115" spans="1:33" ht="26.25" customHeight="1">
      <c r="A115" s="2672"/>
      <c r="B115" s="2250" t="s">
        <v>827</v>
      </c>
      <c r="C115" s="2250"/>
      <c r="D115" s="2250"/>
      <c r="E115" s="2250"/>
      <c r="F115" s="728"/>
      <c r="H115" s="1186">
        <v>0</v>
      </c>
      <c r="I115" s="1187"/>
      <c r="J115" s="1187"/>
      <c r="K115" s="1186">
        <v>0</v>
      </c>
      <c r="L115" s="1187"/>
      <c r="M115" s="1187"/>
      <c r="N115" s="1186">
        <v>0</v>
      </c>
      <c r="O115" s="1193"/>
      <c r="P115" s="1193"/>
      <c r="Q115" s="1186">
        <v>0</v>
      </c>
      <c r="R115" s="762"/>
      <c r="S115" s="762"/>
      <c r="T115" s="564"/>
      <c r="U115" s="762"/>
      <c r="V115" s="762"/>
      <c r="W115" s="753"/>
      <c r="X115" s="2893"/>
      <c r="Y115" s="2893"/>
      <c r="Z115" s="2893"/>
      <c r="AA115" s="2893"/>
      <c r="AB115" s="2893"/>
      <c r="AC115" s="2893"/>
      <c r="AD115" s="2893"/>
      <c r="AE115" s="2893"/>
      <c r="AF115" s="2893"/>
      <c r="AG115" s="2893"/>
    </row>
    <row r="116" spans="1:33" ht="27" customHeight="1">
      <c r="A116" s="2672"/>
      <c r="B116" s="2250" t="s">
        <v>828</v>
      </c>
      <c r="C116" s="2250"/>
      <c r="D116" s="2250"/>
      <c r="E116" s="2250"/>
      <c r="F116" s="728"/>
      <c r="H116" s="1186">
        <v>0</v>
      </c>
      <c r="I116" s="1187"/>
      <c r="J116" s="1187"/>
      <c r="K116" s="1186">
        <v>0</v>
      </c>
      <c r="L116" s="1187"/>
      <c r="M116" s="1187"/>
      <c r="N116" s="1186">
        <v>0</v>
      </c>
      <c r="O116" s="1193"/>
      <c r="P116" s="1193"/>
      <c r="Q116" s="1186">
        <v>0</v>
      </c>
      <c r="R116" s="762"/>
      <c r="S116" s="762"/>
      <c r="T116" s="564"/>
      <c r="U116" s="762"/>
      <c r="V116" s="762"/>
      <c r="W116" s="753"/>
      <c r="X116" s="2893"/>
      <c r="Y116" s="2893"/>
      <c r="Z116" s="2893"/>
      <c r="AA116" s="2893"/>
      <c r="AB116" s="2893"/>
      <c r="AC116" s="2893"/>
      <c r="AD116" s="2893"/>
      <c r="AE116" s="2893"/>
      <c r="AF116" s="2893"/>
      <c r="AG116" s="2893"/>
    </row>
    <row r="117" spans="1:33" ht="35.25" customHeight="1">
      <c r="A117" s="2673"/>
      <c r="B117" s="2250" t="s">
        <v>829</v>
      </c>
      <c r="C117" s="2250"/>
      <c r="D117" s="2250"/>
      <c r="E117" s="2250"/>
      <c r="F117" s="728"/>
      <c r="H117" s="1201"/>
      <c r="I117" s="1202"/>
      <c r="J117" s="1202"/>
      <c r="K117" s="1201"/>
      <c r="L117" s="1202"/>
      <c r="M117" s="1202"/>
      <c r="N117" s="1201"/>
      <c r="O117" s="1202"/>
      <c r="P117" s="1202"/>
      <c r="Q117" s="1201"/>
      <c r="R117" s="760"/>
      <c r="S117" s="760"/>
      <c r="T117" s="766"/>
      <c r="U117" s="760"/>
      <c r="V117" s="760"/>
      <c r="W117" s="761"/>
      <c r="X117" s="2893"/>
      <c r="Y117" s="2893"/>
      <c r="Z117" s="2893"/>
      <c r="AA117" s="2893"/>
      <c r="AB117" s="2893"/>
      <c r="AC117" s="2893"/>
      <c r="AD117" s="2893"/>
      <c r="AE117" s="2893"/>
      <c r="AF117" s="2893"/>
      <c r="AG117" s="2893"/>
    </row>
    <row r="118" spans="1:33">
      <c r="A118" s="6"/>
      <c r="B118" s="6"/>
      <c r="C118" s="6"/>
      <c r="D118" s="6"/>
      <c r="E118" s="6"/>
      <c r="F118" s="6"/>
      <c r="G118" s="113"/>
      <c r="H118" s="116"/>
      <c r="I118" s="112"/>
      <c r="J118" s="113"/>
      <c r="K118" s="116"/>
      <c r="L118" s="6"/>
      <c r="M118" s="63"/>
      <c r="N118" s="118"/>
      <c r="O118" s="6"/>
      <c r="P118" s="63"/>
      <c r="Q118" s="60"/>
      <c r="S118" s="234"/>
      <c r="T118" s="65"/>
      <c r="V118" s="258"/>
      <c r="W118" s="65"/>
      <c r="X118" s="85"/>
    </row>
    <row r="119" spans="1:33" ht="16.75">
      <c r="A119" s="600" t="s">
        <v>603</v>
      </c>
      <c r="B119" s="596"/>
      <c r="C119" s="596"/>
      <c r="D119" s="596"/>
      <c r="E119" s="596"/>
      <c r="F119" s="597"/>
      <c r="G119" s="594"/>
      <c r="H119" s="596"/>
      <c r="I119" s="597"/>
      <c r="J119" s="594"/>
      <c r="K119" s="596"/>
      <c r="L119" s="597"/>
      <c r="M119" s="594"/>
      <c r="N119" s="597"/>
      <c r="O119" s="594"/>
      <c r="P119" s="594"/>
      <c r="Q119" s="682"/>
      <c r="S119" s="235"/>
      <c r="T119" s="683"/>
      <c r="U119" s="594"/>
      <c r="V119" s="684"/>
      <c r="W119" s="683"/>
      <c r="X119" s="715"/>
      <c r="Y119" s="594"/>
      <c r="Z119" s="594"/>
      <c r="AA119" s="594"/>
      <c r="AB119" s="594"/>
      <c r="AC119" s="594"/>
      <c r="AD119" s="594"/>
      <c r="AE119" s="594"/>
      <c r="AF119" s="594"/>
      <c r="AG119" s="594"/>
    </row>
    <row r="120" spans="1:33" ht="18.45">
      <c r="A120" s="1"/>
      <c r="B120" s="726" t="s">
        <v>5467</v>
      </c>
      <c r="C120" s="727"/>
      <c r="D120" s="727"/>
      <c r="E120" s="727"/>
      <c r="F120" s="728"/>
      <c r="G120" s="53"/>
      <c r="H120" s="575"/>
      <c r="I120" s="710"/>
      <c r="J120" s="582"/>
      <c r="K120" s="575"/>
      <c r="L120" s="710"/>
      <c r="M120" s="582"/>
      <c r="N120" s="575"/>
      <c r="O120" s="713"/>
      <c r="P120" s="772"/>
      <c r="Q120" s="575"/>
      <c r="R120" s="713"/>
      <c r="S120" s="773"/>
      <c r="T120" s="575"/>
      <c r="U120" s="713"/>
      <c r="V120" s="774"/>
      <c r="W120" s="575"/>
      <c r="X120" s="2893"/>
      <c r="Y120" s="2893"/>
      <c r="Z120" s="2893"/>
      <c r="AA120" s="2893"/>
      <c r="AB120" s="2893"/>
      <c r="AC120" s="2893"/>
      <c r="AD120" s="2893"/>
      <c r="AE120" s="2893"/>
      <c r="AF120" s="2893"/>
      <c r="AG120" s="2893"/>
    </row>
    <row r="121" spans="1:33" ht="18.45">
      <c r="A121" s="6"/>
      <c r="B121" s="726" t="s">
        <v>5466</v>
      </c>
      <c r="C121" s="727"/>
      <c r="D121" s="727"/>
      <c r="E121" s="727"/>
      <c r="F121" s="728"/>
      <c r="G121" s="119">
        <v>35.047741961833388</v>
      </c>
      <c r="H121" s="576"/>
      <c r="I121" s="710"/>
      <c r="J121" s="764"/>
      <c r="K121" s="576"/>
      <c r="L121" s="710"/>
      <c r="M121" s="764"/>
      <c r="N121" s="576"/>
      <c r="O121" s="710"/>
      <c r="P121" s="582"/>
      <c r="Q121" s="576"/>
      <c r="R121" s="713"/>
      <c r="S121" s="773"/>
      <c r="T121" s="576"/>
      <c r="U121" s="713"/>
      <c r="V121" s="774"/>
      <c r="W121" s="576"/>
      <c r="X121" s="2893"/>
      <c r="Y121" s="2893"/>
      <c r="Z121" s="2893"/>
      <c r="AA121" s="2893"/>
      <c r="AB121" s="2893"/>
      <c r="AC121" s="2893"/>
      <c r="AD121" s="2893"/>
      <c r="AE121" s="2893"/>
      <c r="AF121" s="2893"/>
      <c r="AG121" s="2893"/>
    </row>
    <row r="122" spans="1:33" ht="17.25" customHeight="1">
      <c r="A122" s="6"/>
      <c r="B122" s="726" t="s">
        <v>82</v>
      </c>
      <c r="C122" s="727"/>
      <c r="D122" s="727"/>
      <c r="E122" s="727"/>
      <c r="F122" s="728"/>
      <c r="G122" s="120">
        <v>5.5705963849905903E-3</v>
      </c>
      <c r="H122" s="804"/>
      <c r="I122" s="710"/>
      <c r="J122" s="775"/>
      <c r="K122" s="577"/>
      <c r="L122" s="710"/>
      <c r="M122" s="775"/>
      <c r="N122" s="577"/>
      <c r="O122" s="710"/>
      <c r="P122" s="582"/>
      <c r="Q122" s="577"/>
      <c r="R122" s="713"/>
      <c r="S122" s="776"/>
      <c r="T122" s="577"/>
      <c r="U122" s="713"/>
      <c r="V122" s="777"/>
      <c r="W122" s="577"/>
      <c r="X122" s="2893"/>
      <c r="Y122" s="2893"/>
      <c r="Z122" s="2893"/>
      <c r="AA122" s="2893"/>
      <c r="AB122" s="2893"/>
      <c r="AC122" s="2893"/>
      <c r="AD122" s="2893"/>
      <c r="AE122" s="2893"/>
      <c r="AF122" s="2893"/>
      <c r="AG122" s="2893"/>
    </row>
    <row r="123" spans="1:33" ht="17.25" customHeight="1">
      <c r="A123" s="6"/>
      <c r="B123" s="6"/>
      <c r="C123" s="6"/>
      <c r="D123" s="6"/>
      <c r="E123" s="6"/>
      <c r="F123" s="6"/>
      <c r="G123" s="133"/>
      <c r="H123" s="121"/>
      <c r="I123" s="6"/>
      <c r="J123" s="133"/>
      <c r="K123" s="121"/>
      <c r="L123" s="6"/>
      <c r="M123" s="133"/>
      <c r="N123" s="121"/>
      <c r="O123" s="6"/>
      <c r="P123" s="6"/>
      <c r="Q123" s="121"/>
      <c r="S123" s="650"/>
      <c r="T123" s="121"/>
      <c r="V123" s="651"/>
      <c r="W123" s="121"/>
      <c r="X123" s="4"/>
    </row>
    <row r="124" spans="1:33"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row>
    <row r="125" spans="1:33"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row>
    <row r="126" spans="1:33"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row>
    <row r="127" spans="1:33"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row>
    <row r="128" spans="1:33">
      <c r="A128" s="6"/>
      <c r="B128" s="6"/>
      <c r="C128" s="6"/>
      <c r="D128" s="6"/>
      <c r="E128" s="6"/>
      <c r="F128" s="6"/>
      <c r="G128" s="6"/>
      <c r="H128" s="121"/>
      <c r="I128" s="6"/>
      <c r="J128" s="121"/>
      <c r="K128" s="121"/>
      <c r="L128" s="6"/>
      <c r="M128" s="666"/>
      <c r="N128" s="128"/>
      <c r="O128" s="6"/>
      <c r="P128" s="6"/>
      <c r="Q128" s="121"/>
      <c r="T128" s="121"/>
      <c r="W128" s="121"/>
    </row>
    <row r="129" spans="1:34" ht="32.9" customHeight="1">
      <c r="A129" s="2318" t="s">
        <v>606</v>
      </c>
      <c r="B129" s="2318"/>
      <c r="C129" s="2318"/>
      <c r="D129" s="496"/>
      <c r="E129" s="496"/>
      <c r="F129" s="497"/>
      <c r="G129" s="498"/>
      <c r="H129" s="121"/>
      <c r="I129" s="6"/>
      <c r="J129" s="121"/>
      <c r="K129" s="121"/>
      <c r="L129" s="6"/>
      <c r="M129" s="666"/>
      <c r="N129" s="128"/>
      <c r="O129" s="6"/>
      <c r="P129" s="6"/>
      <c r="Q129" s="121"/>
      <c r="T129" s="121"/>
      <c r="W129" s="121"/>
    </row>
    <row r="130" spans="1:34" ht="22" customHeight="1">
      <c r="A130" s="2905" t="s">
        <v>615</v>
      </c>
      <c r="B130" s="2905"/>
      <c r="C130" s="2905"/>
      <c r="D130" s="2905"/>
      <c r="E130" s="2905"/>
      <c r="F130" s="2905"/>
      <c r="G130" s="2905"/>
      <c r="H130" s="601"/>
      <c r="I130" s="602"/>
      <c r="J130" s="602"/>
      <c r="K130" s="601"/>
      <c r="L130" s="602"/>
      <c r="M130" s="602"/>
      <c r="N130" s="685"/>
      <c r="O130" s="594"/>
      <c r="P130" s="686"/>
      <c r="Q130" s="687"/>
      <c r="R130" s="594"/>
      <c r="S130" s="594"/>
      <c r="T130" s="594"/>
      <c r="U130" s="594"/>
      <c r="V130" s="594"/>
      <c r="W130" s="594"/>
      <c r="X130" s="2859"/>
      <c r="Y130" s="2859"/>
      <c r="Z130" s="2859"/>
      <c r="AA130" s="2859"/>
      <c r="AB130" s="2859"/>
      <c r="AC130" s="2859"/>
      <c r="AD130" s="2859"/>
      <c r="AE130" s="2859"/>
      <c r="AF130" s="2859"/>
      <c r="AG130" s="2859"/>
    </row>
    <row r="131" spans="1:34" ht="18.649999999999999" hidden="1" customHeight="1">
      <c r="A131" s="1"/>
      <c r="B131" s="502"/>
      <c r="C131" s="50"/>
      <c r="D131" s="50"/>
      <c r="E131" s="50"/>
      <c r="G131" s="13"/>
      <c r="H131" s="60"/>
      <c r="I131" s="6"/>
      <c r="J131" s="65"/>
      <c r="K131" s="60"/>
      <c r="L131" s="6"/>
      <c r="M131" s="65"/>
      <c r="N131" s="60"/>
      <c r="P131" s="66"/>
      <c r="Q131" s="788"/>
      <c r="T131" s="788"/>
      <c r="W131" s="788"/>
    </row>
    <row r="132" spans="1:34" ht="18.649999999999999" hidden="1" customHeight="1">
      <c r="A132" s="1"/>
      <c r="B132" s="502"/>
      <c r="C132" s="50"/>
      <c r="D132" s="50"/>
      <c r="E132" s="50"/>
      <c r="G132" s="13"/>
      <c r="H132" s="60"/>
      <c r="I132" s="6"/>
      <c r="J132" s="65"/>
      <c r="K132" s="60"/>
      <c r="L132" s="6"/>
      <c r="M132" s="65"/>
      <c r="N132" s="60"/>
      <c r="P132" s="66"/>
      <c r="Q132" s="788"/>
      <c r="T132" s="788"/>
      <c r="W132" s="788"/>
    </row>
    <row r="133" spans="1:34" ht="14.9" customHeight="1">
      <c r="A133" s="1"/>
      <c r="B133" s="2903" t="s">
        <v>207</v>
      </c>
      <c r="C133" s="2903"/>
      <c r="D133" s="2903"/>
      <c r="E133" s="2903"/>
      <c r="G133" s="13"/>
      <c r="H133" s="792"/>
      <c r="I133" s="710"/>
      <c r="J133" s="711"/>
      <c r="K133" s="1354">
        <v>0</v>
      </c>
      <c r="L133" s="710"/>
      <c r="M133" s="711"/>
      <c r="N133" s="579">
        <v>1</v>
      </c>
      <c r="O133" s="713"/>
      <c r="P133" s="714"/>
      <c r="Q133" s="579">
        <v>1</v>
      </c>
      <c r="R133" s="762"/>
      <c r="S133" s="762"/>
      <c r="T133" s="579"/>
      <c r="U133" s="762"/>
      <c r="V133" s="762"/>
      <c r="W133" s="579"/>
      <c r="X133" s="2922" t="s">
        <v>5618</v>
      </c>
      <c r="Y133" s="2922"/>
      <c r="Z133" s="2922"/>
      <c r="AA133" s="2922"/>
      <c r="AB133" s="2922"/>
      <c r="AC133" s="2922"/>
      <c r="AD133" s="2922"/>
      <c r="AE133" s="2922"/>
      <c r="AF133" s="2922"/>
      <c r="AG133" s="2922"/>
    </row>
    <row r="134" spans="1:34"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34" ht="15.75" customHeight="1">
      <c r="A135" s="252"/>
      <c r="B135" s="2903" t="s">
        <v>631</v>
      </c>
      <c r="C135" s="2903"/>
      <c r="D135" s="2903"/>
      <c r="E135" s="2903"/>
      <c r="F135" s="6"/>
      <c r="G135" s="65"/>
      <c r="H135" s="793"/>
      <c r="I135" s="710"/>
      <c r="J135" s="711"/>
      <c r="K135" s="1355">
        <v>1</v>
      </c>
      <c r="L135" s="708"/>
      <c r="M135" s="709"/>
      <c r="N135" s="581">
        <v>1</v>
      </c>
      <c r="O135" s="710"/>
      <c r="P135" s="712"/>
      <c r="Q135" s="581">
        <v>1</v>
      </c>
      <c r="R135" s="762"/>
      <c r="S135" s="762"/>
      <c r="T135" s="581"/>
      <c r="U135" s="762"/>
      <c r="V135" s="762"/>
      <c r="W135" s="581"/>
      <c r="X135" s="2893"/>
      <c r="Y135" s="2893"/>
      <c r="Z135" s="2893"/>
      <c r="AA135" s="2893"/>
      <c r="AB135" s="2893"/>
      <c r="AC135" s="2893"/>
      <c r="AD135" s="2893"/>
      <c r="AE135" s="2893"/>
      <c r="AF135" s="2893"/>
      <c r="AG135" s="2893"/>
      <c r="AH135" s="9"/>
    </row>
    <row r="136" spans="1:34" ht="15.75" customHeight="1">
      <c r="A136" s="252"/>
      <c r="B136" s="2903" t="s">
        <v>633</v>
      </c>
      <c r="C136" s="2903"/>
      <c r="D136" s="2903"/>
      <c r="E136" s="2903"/>
      <c r="F136" s="6"/>
      <c r="G136" s="65"/>
      <c r="H136" s="480"/>
      <c r="I136" s="710"/>
      <c r="J136" s="711"/>
      <c r="K136" s="1356" t="s">
        <v>279</v>
      </c>
      <c r="L136" s="710"/>
      <c r="M136" s="711"/>
      <c r="N136" s="526" t="s">
        <v>279</v>
      </c>
      <c r="O136" s="710"/>
      <c r="P136" s="712"/>
      <c r="Q136" s="526" t="s">
        <v>407</v>
      </c>
      <c r="R136" s="762"/>
      <c r="S136" s="762"/>
      <c r="T136" s="526"/>
      <c r="U136" s="762"/>
      <c r="V136" s="762"/>
      <c r="W136" s="526"/>
      <c r="X136" s="2893"/>
      <c r="Y136" s="2893"/>
      <c r="Z136" s="2893"/>
      <c r="AA136" s="2893"/>
      <c r="AB136" s="2893"/>
      <c r="AC136" s="2893"/>
      <c r="AD136" s="2893"/>
      <c r="AE136" s="2893"/>
      <c r="AF136" s="2893"/>
      <c r="AG136" s="2893"/>
    </row>
    <row r="137" spans="1:34" ht="15.75" customHeight="1">
      <c r="A137" s="252"/>
      <c r="B137" s="2903" t="s">
        <v>627</v>
      </c>
      <c r="C137" s="2903"/>
      <c r="D137" s="2903"/>
      <c r="E137" s="2903"/>
      <c r="F137" s="6"/>
      <c r="G137" s="65"/>
      <c r="H137" s="794"/>
      <c r="I137" s="710"/>
      <c r="J137" s="711"/>
      <c r="K137" s="1357" t="s">
        <v>218</v>
      </c>
      <c r="L137" s="710"/>
      <c r="M137" s="711"/>
      <c r="N137" s="561" t="s">
        <v>218</v>
      </c>
      <c r="O137" s="710"/>
      <c r="P137" s="712"/>
      <c r="Q137" s="561" t="s">
        <v>218</v>
      </c>
      <c r="R137" s="762"/>
      <c r="S137" s="762"/>
      <c r="T137" s="561"/>
      <c r="U137" s="762"/>
      <c r="V137" s="762"/>
      <c r="W137" s="561"/>
      <c r="X137" s="2893"/>
      <c r="Y137" s="2893"/>
      <c r="Z137" s="2893"/>
      <c r="AA137" s="2893"/>
      <c r="AB137" s="2893"/>
      <c r="AC137" s="2893"/>
      <c r="AD137" s="2893"/>
      <c r="AE137" s="2893"/>
      <c r="AF137" s="2893"/>
      <c r="AG137" s="2893"/>
    </row>
    <row r="138" spans="1:34" ht="15.75" customHeight="1">
      <c r="A138" s="252"/>
      <c r="B138" s="2904" t="s">
        <v>628</v>
      </c>
      <c r="C138" s="2904"/>
      <c r="D138" s="2904"/>
      <c r="E138" s="2904"/>
      <c r="F138" s="6"/>
      <c r="G138" s="65"/>
      <c r="H138" s="480"/>
      <c r="I138" s="710"/>
      <c r="J138" s="711"/>
      <c r="K138" s="1356"/>
      <c r="L138" s="710"/>
      <c r="M138" s="711"/>
      <c r="N138" s="526"/>
      <c r="O138" s="710"/>
      <c r="P138" s="712"/>
      <c r="Q138" s="526"/>
      <c r="R138" s="762"/>
      <c r="S138" s="762"/>
      <c r="T138" s="526"/>
      <c r="U138" s="762"/>
      <c r="V138" s="762"/>
      <c r="W138" s="526"/>
      <c r="X138" s="2893"/>
      <c r="Y138" s="2893"/>
      <c r="Z138" s="2893"/>
      <c r="AA138" s="2893"/>
      <c r="AB138" s="2893"/>
      <c r="AC138" s="2893"/>
      <c r="AD138" s="2893"/>
      <c r="AE138" s="2893"/>
      <c r="AF138" s="2893"/>
      <c r="AG138" s="2893"/>
    </row>
    <row r="139" spans="1:34" ht="32.25" customHeight="1">
      <c r="A139" s="252"/>
      <c r="B139" s="2904" t="s">
        <v>629</v>
      </c>
      <c r="C139" s="2904"/>
      <c r="D139" s="2904"/>
      <c r="E139" s="2904"/>
      <c r="F139" s="6"/>
      <c r="G139" s="65"/>
      <c r="H139" s="795"/>
      <c r="I139" s="710"/>
      <c r="J139" s="711"/>
      <c r="K139" s="1358"/>
      <c r="L139" s="710"/>
      <c r="M139" s="711"/>
      <c r="N139" s="568"/>
      <c r="O139" s="710"/>
      <c r="P139" s="712"/>
      <c r="Q139" s="568"/>
      <c r="R139" s="762"/>
      <c r="S139" s="762"/>
      <c r="T139" s="568"/>
      <c r="U139" s="762"/>
      <c r="V139" s="762"/>
      <c r="W139" s="568"/>
      <c r="X139" s="2893"/>
      <c r="Y139" s="2893"/>
      <c r="Z139" s="2893"/>
      <c r="AA139" s="2893"/>
      <c r="AB139" s="2893"/>
      <c r="AC139" s="2893"/>
      <c r="AD139" s="2893"/>
      <c r="AE139" s="2893"/>
      <c r="AF139" s="2893"/>
      <c r="AG139" s="2893"/>
    </row>
    <row r="140" spans="1:34" ht="15.75" customHeight="1">
      <c r="A140" s="252"/>
      <c r="B140" s="2903" t="s">
        <v>632</v>
      </c>
      <c r="C140" s="2903"/>
      <c r="D140" s="2903"/>
      <c r="E140" s="2903"/>
      <c r="F140" s="6"/>
      <c r="G140" s="65"/>
      <c r="H140" s="480"/>
      <c r="I140" s="710"/>
      <c r="J140" s="711"/>
      <c r="K140" s="1356">
        <v>3</v>
      </c>
      <c r="L140" s="710"/>
      <c r="M140" s="711"/>
      <c r="N140" s="526">
        <f>K95</f>
        <v>11</v>
      </c>
      <c r="O140" s="710"/>
      <c r="P140" s="712"/>
      <c r="Q140" s="526">
        <f>N95</f>
        <v>76</v>
      </c>
      <c r="R140" s="762"/>
      <c r="S140" s="762"/>
      <c r="T140" s="526"/>
      <c r="U140" s="762"/>
      <c r="V140" s="762"/>
      <c r="W140" s="526"/>
      <c r="X140" s="2893" t="s">
        <v>2049</v>
      </c>
      <c r="Y140" s="2893"/>
      <c r="Z140" s="2893"/>
      <c r="AA140" s="2893"/>
      <c r="AB140" s="2893"/>
      <c r="AC140" s="2893"/>
      <c r="AD140" s="2893"/>
      <c r="AE140" s="2893"/>
      <c r="AF140" s="2893"/>
      <c r="AG140" s="2893"/>
    </row>
    <row r="141" spans="1:34" ht="26.25" customHeight="1">
      <c r="A141" s="252"/>
      <c r="B141" s="2903" t="s">
        <v>1551</v>
      </c>
      <c r="C141" s="2903"/>
      <c r="D141" s="2903"/>
      <c r="E141" s="2903"/>
      <c r="F141" s="6"/>
      <c r="G141" s="65"/>
      <c r="H141" s="796"/>
      <c r="I141" s="710"/>
      <c r="J141" s="711"/>
      <c r="K141" s="1361">
        <v>0.75</v>
      </c>
      <c r="L141" s="710"/>
      <c r="M141" s="711"/>
      <c r="N141" s="619">
        <f>1-BJ20</f>
        <v>0.75151515151515147</v>
      </c>
      <c r="O141" s="710"/>
      <c r="P141" s="712"/>
      <c r="Q141" s="619">
        <f>1-BC81</f>
        <v>0.80657894736842106</v>
      </c>
      <c r="R141" s="762"/>
      <c r="S141" s="762"/>
      <c r="T141" s="619"/>
      <c r="U141" s="762"/>
      <c r="V141" s="762"/>
      <c r="W141" s="619"/>
      <c r="X141" s="2893" t="s">
        <v>2048</v>
      </c>
      <c r="Y141" s="2893"/>
      <c r="Z141" s="2893"/>
      <c r="AA141" s="2893"/>
      <c r="AB141" s="2893"/>
      <c r="AC141" s="2893"/>
      <c r="AD141" s="2893"/>
      <c r="AE141" s="2893"/>
      <c r="AF141" s="2893"/>
      <c r="AG141" s="2893"/>
      <c r="AH141" s="9"/>
    </row>
    <row r="142" spans="1:34" ht="26.25" customHeight="1">
      <c r="A142" s="252"/>
      <c r="B142" s="2903" t="s">
        <v>1552</v>
      </c>
      <c r="C142" s="2903"/>
      <c r="D142" s="2903"/>
      <c r="E142" s="2903"/>
      <c r="F142" s="6"/>
      <c r="G142" s="65"/>
      <c r="H142" s="796"/>
      <c r="I142" s="710"/>
      <c r="J142" s="711"/>
      <c r="K142" s="1361">
        <v>0</v>
      </c>
      <c r="L142" s="710"/>
      <c r="M142" s="711"/>
      <c r="N142" s="619">
        <v>0</v>
      </c>
      <c r="O142" s="710"/>
      <c r="P142" s="712"/>
      <c r="Q142" s="619">
        <v>0</v>
      </c>
      <c r="R142" s="762"/>
      <c r="S142" s="762"/>
      <c r="T142" s="619"/>
      <c r="U142" s="762"/>
      <c r="V142" s="762"/>
      <c r="W142" s="619"/>
      <c r="X142" s="2893"/>
      <c r="Y142" s="2893"/>
      <c r="Z142" s="2893"/>
      <c r="AA142" s="2893"/>
      <c r="AB142" s="2893"/>
      <c r="AC142" s="2893"/>
      <c r="AD142" s="2893"/>
      <c r="AE142" s="2893"/>
      <c r="AF142" s="2893"/>
      <c r="AG142" s="2893"/>
      <c r="AH142" s="9"/>
    </row>
    <row r="143" spans="1:34" ht="32.25" customHeight="1">
      <c r="A143" s="252"/>
      <c r="B143" s="2903" t="s">
        <v>331</v>
      </c>
      <c r="C143" s="2903"/>
      <c r="D143" s="2903"/>
      <c r="E143" s="2903"/>
      <c r="F143" s="6"/>
      <c r="G143" s="65"/>
      <c r="H143" s="480"/>
      <c r="I143" s="710"/>
      <c r="J143" s="711"/>
      <c r="K143" s="1356" t="s">
        <v>132</v>
      </c>
      <c r="L143" s="710"/>
      <c r="M143" s="711"/>
      <c r="N143" s="1239" t="s">
        <v>132</v>
      </c>
      <c r="O143" s="710"/>
      <c r="P143" s="712"/>
      <c r="Q143" s="526" t="s">
        <v>131</v>
      </c>
      <c r="R143" s="762"/>
      <c r="S143" s="762"/>
      <c r="T143" s="526"/>
      <c r="U143" s="762"/>
      <c r="V143" s="762"/>
      <c r="W143" s="526"/>
      <c r="X143" s="2893"/>
      <c r="Y143" s="2893"/>
      <c r="Z143" s="2893"/>
      <c r="AA143" s="2893"/>
      <c r="AB143" s="2893"/>
      <c r="AC143" s="2893"/>
      <c r="AD143" s="2893"/>
      <c r="AE143" s="2893"/>
      <c r="AF143" s="2893"/>
      <c r="AG143" s="2893"/>
    </row>
    <row r="144" spans="1:34" ht="15.75" customHeight="1">
      <c r="A144" s="252"/>
      <c r="B144" s="2904" t="s">
        <v>332</v>
      </c>
      <c r="C144" s="2904"/>
      <c r="D144" s="2904"/>
      <c r="E144" s="2904"/>
      <c r="F144" s="6"/>
      <c r="G144" s="65"/>
      <c r="H144" s="480"/>
      <c r="I144" s="748"/>
      <c r="J144" s="711"/>
      <c r="K144" s="1356"/>
      <c r="L144" s="748"/>
      <c r="M144" s="711"/>
      <c r="N144" s="526"/>
      <c r="O144" s="710"/>
      <c r="P144" s="582"/>
      <c r="Q144" s="526">
        <v>2</v>
      </c>
      <c r="R144" s="762"/>
      <c r="S144" s="762"/>
      <c r="T144" s="526"/>
      <c r="U144" s="762"/>
      <c r="V144" s="762"/>
      <c r="W144" s="526"/>
      <c r="X144" s="2893"/>
      <c r="Y144" s="2893"/>
      <c r="Z144" s="2893"/>
      <c r="AA144" s="2893"/>
      <c r="AB144" s="2893"/>
      <c r="AC144" s="2893"/>
      <c r="AD144" s="2893"/>
      <c r="AE144" s="2893"/>
      <c r="AF144" s="2893"/>
      <c r="AG144" s="2893"/>
    </row>
    <row r="145" spans="1:34" ht="15.75" customHeight="1">
      <c r="A145" s="252"/>
      <c r="B145" s="2903" t="s">
        <v>333</v>
      </c>
      <c r="C145" s="2903"/>
      <c r="D145" s="2903"/>
      <c r="E145" s="2903"/>
      <c r="F145" s="6"/>
      <c r="G145" s="63"/>
      <c r="H145" s="480"/>
      <c r="I145" s="713"/>
      <c r="J145" s="713"/>
      <c r="K145" s="1356" t="s">
        <v>22</v>
      </c>
      <c r="L145" s="713"/>
      <c r="M145" s="713"/>
      <c r="N145" s="526" t="s">
        <v>22</v>
      </c>
      <c r="O145" s="713"/>
      <c r="P145" s="713"/>
      <c r="Q145" s="526" t="s">
        <v>22</v>
      </c>
      <c r="R145" s="762"/>
      <c r="S145" s="762"/>
      <c r="T145" s="526"/>
      <c r="U145" s="762"/>
      <c r="V145" s="762"/>
      <c r="W145" s="526"/>
      <c r="X145" s="2893"/>
      <c r="Y145" s="2893"/>
      <c r="Z145" s="2893"/>
      <c r="AA145" s="2893"/>
      <c r="AB145" s="2893"/>
      <c r="AC145" s="2893"/>
      <c r="AD145" s="2893"/>
      <c r="AE145" s="2893"/>
      <c r="AF145" s="2893"/>
      <c r="AG145" s="2893"/>
    </row>
    <row r="146" spans="1:34" ht="15.75" customHeight="1">
      <c r="A146" s="252"/>
      <c r="B146" s="2903" t="s">
        <v>334</v>
      </c>
      <c r="C146" s="2903"/>
      <c r="D146" s="2903"/>
      <c r="E146" s="2903"/>
      <c r="H146" s="480"/>
      <c r="I146" s="748"/>
      <c r="J146" s="711"/>
      <c r="K146" s="1356">
        <v>2</v>
      </c>
      <c r="L146" s="748"/>
      <c r="M146" s="711"/>
      <c r="N146" s="526">
        <v>2</v>
      </c>
      <c r="O146" s="710"/>
      <c r="P146" s="582"/>
      <c r="Q146" s="526">
        <v>2</v>
      </c>
      <c r="R146" s="762"/>
      <c r="S146" s="762"/>
      <c r="T146" s="526"/>
      <c r="U146" s="762"/>
      <c r="V146" s="762"/>
      <c r="W146" s="526"/>
      <c r="X146" s="2893"/>
      <c r="Y146" s="2893"/>
      <c r="Z146" s="2893"/>
      <c r="AA146" s="2893"/>
      <c r="AB146" s="2893"/>
      <c r="AC146" s="2893"/>
      <c r="AD146" s="2893"/>
      <c r="AE146" s="2893"/>
      <c r="AF146" s="2893"/>
      <c r="AG146" s="2893"/>
    </row>
    <row r="147" spans="1:34" ht="15.75" customHeight="1">
      <c r="A147" s="252"/>
      <c r="B147" s="2904" t="s">
        <v>335</v>
      </c>
      <c r="C147" s="2904"/>
      <c r="D147" s="2904"/>
      <c r="E147" s="2904"/>
      <c r="F147" s="6"/>
      <c r="G147" s="63"/>
      <c r="H147" s="480"/>
      <c r="I147" s="748"/>
      <c r="J147" s="711"/>
      <c r="K147" s="1356" t="s">
        <v>21</v>
      </c>
      <c r="L147" s="748"/>
      <c r="M147" s="711"/>
      <c r="N147" s="526" t="s">
        <v>21</v>
      </c>
      <c r="O147" s="710"/>
      <c r="P147" s="582"/>
      <c r="Q147" s="526" t="s">
        <v>417</v>
      </c>
      <c r="R147" s="762"/>
      <c r="S147" s="762"/>
      <c r="T147" s="526"/>
      <c r="U147" s="762"/>
      <c r="V147" s="762"/>
      <c r="W147" s="526"/>
      <c r="X147" s="2893"/>
      <c r="Y147" s="2893"/>
      <c r="Z147" s="2893"/>
      <c r="AA147" s="2893"/>
      <c r="AB147" s="2893"/>
      <c r="AC147" s="2893"/>
      <c r="AD147" s="2893"/>
      <c r="AE147" s="2893"/>
      <c r="AF147" s="2893"/>
      <c r="AG147" s="2893"/>
    </row>
    <row r="148" spans="1:34" ht="27.45" customHeight="1">
      <c r="A148" s="252"/>
      <c r="B148" s="2903" t="s">
        <v>336</v>
      </c>
      <c r="C148" s="2903"/>
      <c r="D148" s="2903"/>
      <c r="E148" s="2903"/>
      <c r="F148" s="6"/>
      <c r="G148" s="63"/>
      <c r="H148" s="480"/>
      <c r="I148" s="748"/>
      <c r="J148" s="711"/>
      <c r="K148" s="1356">
        <v>60</v>
      </c>
      <c r="L148" s="748"/>
      <c r="M148" s="711"/>
      <c r="N148" s="1239">
        <v>60</v>
      </c>
      <c r="O148" s="710"/>
      <c r="P148" s="582"/>
      <c r="Q148" s="526">
        <v>15</v>
      </c>
      <c r="R148" s="762"/>
      <c r="S148" s="762"/>
      <c r="T148" s="526"/>
      <c r="U148" s="762"/>
      <c r="V148" s="762"/>
      <c r="W148" s="526"/>
      <c r="X148" s="2893"/>
      <c r="Y148" s="2893"/>
      <c r="Z148" s="2893"/>
      <c r="AA148" s="2893"/>
      <c r="AB148" s="2893"/>
      <c r="AC148" s="2893"/>
      <c r="AD148" s="2893"/>
      <c r="AE148" s="2893"/>
      <c r="AF148" s="2893"/>
      <c r="AG148" s="2893"/>
    </row>
    <row r="149" spans="1:34" ht="32.25" customHeight="1">
      <c r="A149" s="252"/>
      <c r="B149" s="2903" t="s">
        <v>337</v>
      </c>
      <c r="C149" s="2903"/>
      <c r="D149" s="2903"/>
      <c r="E149" s="2903"/>
      <c r="F149" s="6"/>
      <c r="G149" s="63"/>
      <c r="H149" s="480"/>
      <c r="I149" s="748"/>
      <c r="J149" s="748"/>
      <c r="K149" s="1356">
        <v>0</v>
      </c>
      <c r="L149" s="748"/>
      <c r="M149" s="748"/>
      <c r="N149" s="526">
        <v>0</v>
      </c>
      <c r="O149" s="710"/>
      <c r="P149" s="710"/>
      <c r="Q149" s="526">
        <v>3</v>
      </c>
      <c r="R149" s="762"/>
      <c r="S149" s="762"/>
      <c r="T149" s="526"/>
      <c r="U149" s="762"/>
      <c r="V149" s="762"/>
      <c r="W149" s="526"/>
      <c r="X149" s="2893" t="s">
        <v>2053</v>
      </c>
      <c r="Y149" s="2893"/>
      <c r="Z149" s="2893"/>
      <c r="AA149" s="2893"/>
      <c r="AB149" s="2893"/>
      <c r="AC149" s="2893"/>
      <c r="AD149" s="2893"/>
      <c r="AE149" s="2893"/>
      <c r="AF149" s="2893"/>
      <c r="AG149" s="2893"/>
      <c r="AH149" s="9"/>
    </row>
    <row r="150" spans="1:34" ht="32.25" customHeight="1">
      <c r="A150" s="252"/>
      <c r="B150" s="2903" t="s">
        <v>338</v>
      </c>
      <c r="C150" s="2903"/>
      <c r="D150" s="2903"/>
      <c r="E150" s="2903"/>
      <c r="F150" s="6"/>
      <c r="G150" s="63"/>
      <c r="H150" s="480"/>
      <c r="I150" s="748"/>
      <c r="J150" s="748"/>
      <c r="K150" s="1356">
        <v>0</v>
      </c>
      <c r="L150" s="748"/>
      <c r="M150" s="748"/>
      <c r="N150" s="526">
        <v>0</v>
      </c>
      <c r="O150" s="710"/>
      <c r="P150" s="710"/>
      <c r="Q150" s="526">
        <v>0</v>
      </c>
      <c r="R150" s="762"/>
      <c r="S150" s="762"/>
      <c r="T150" s="526"/>
      <c r="U150" s="762"/>
      <c r="V150" s="762"/>
      <c r="W150" s="526"/>
      <c r="X150" s="2893"/>
      <c r="Y150" s="2893"/>
      <c r="Z150" s="2893"/>
      <c r="AA150" s="2893"/>
      <c r="AB150" s="2893"/>
      <c r="AC150" s="2893"/>
      <c r="AD150" s="2893"/>
      <c r="AE150" s="2893"/>
      <c r="AF150" s="2893"/>
      <c r="AG150" s="2893"/>
      <c r="AH150" s="9"/>
    </row>
    <row r="151" spans="1:34" s="6" customFormat="1" ht="15.75" customHeight="1">
      <c r="A151" s="252"/>
      <c r="B151" s="2903" t="s">
        <v>648</v>
      </c>
      <c r="C151" s="2903"/>
      <c r="D151" s="2903"/>
      <c r="E151" s="2903"/>
      <c r="G151" s="63"/>
      <c r="H151" s="480"/>
      <c r="I151" s="748"/>
      <c r="J151" s="748"/>
      <c r="K151" s="1359">
        <f>3*N151</f>
        <v>85.714285714285722</v>
      </c>
      <c r="L151" s="748"/>
      <c r="M151" s="748"/>
      <c r="N151" s="526">
        <f>25/0.875</f>
        <v>28.571428571428573</v>
      </c>
      <c r="O151" s="710"/>
      <c r="P151" s="710"/>
      <c r="Q151" s="526">
        <f>25/0.875</f>
        <v>28.571428571428573</v>
      </c>
      <c r="R151" s="748"/>
      <c r="S151" s="748"/>
      <c r="T151" s="526"/>
      <c r="U151" s="748"/>
      <c r="V151" s="748"/>
      <c r="W151" s="526"/>
      <c r="X151" s="2893" t="s">
        <v>2054</v>
      </c>
      <c r="Y151" s="2893"/>
      <c r="Z151" s="2893"/>
      <c r="AA151" s="2893"/>
      <c r="AB151" s="2893"/>
      <c r="AC151" s="2893"/>
      <c r="AD151" s="2893"/>
      <c r="AE151" s="2893"/>
      <c r="AF151" s="2893"/>
      <c r="AG151" s="2893"/>
    </row>
    <row r="152" spans="1:34" ht="15.75" customHeight="1">
      <c r="A152" s="252"/>
      <c r="B152" s="2903" t="s">
        <v>649</v>
      </c>
      <c r="C152" s="2903"/>
      <c r="D152" s="2903"/>
      <c r="E152" s="2903"/>
      <c r="F152" s="6"/>
      <c r="G152" s="63"/>
      <c r="H152" s="797"/>
      <c r="I152" s="748"/>
      <c r="J152" s="711"/>
      <c r="K152" s="1359">
        <f>3*N151</f>
        <v>85.714285714285722</v>
      </c>
      <c r="L152" s="748"/>
      <c r="M152" s="711"/>
      <c r="N152" s="562">
        <f>3*N151</f>
        <v>85.714285714285722</v>
      </c>
      <c r="O152" s="710"/>
      <c r="P152" s="582"/>
      <c r="Q152" s="526">
        <f>25/0.875</f>
        <v>28.571428571428573</v>
      </c>
      <c r="R152" s="762"/>
      <c r="S152" s="762"/>
      <c r="T152" s="562"/>
      <c r="U152" s="762"/>
      <c r="V152" s="762"/>
      <c r="W152" s="562"/>
      <c r="X152" s="2893" t="s">
        <v>2055</v>
      </c>
      <c r="Y152" s="2893"/>
      <c r="Z152" s="2893"/>
      <c r="AA152" s="2893"/>
      <c r="AB152" s="2893"/>
      <c r="AC152" s="2893"/>
      <c r="AD152" s="2893"/>
      <c r="AE152" s="2893"/>
      <c r="AF152" s="2893"/>
      <c r="AG152" s="2893"/>
    </row>
    <row r="153" spans="1:34" ht="15.75" customHeight="1">
      <c r="A153" s="237"/>
      <c r="B153" s="2903" t="s">
        <v>415</v>
      </c>
      <c r="C153" s="2903"/>
      <c r="D153" s="2903"/>
      <c r="E153" s="2903"/>
      <c r="F153" s="6"/>
      <c r="G153" s="6"/>
      <c r="H153" s="798"/>
      <c r="I153" s="748"/>
      <c r="J153" s="748"/>
      <c r="K153" s="1360" t="s">
        <v>5</v>
      </c>
      <c r="L153" s="748"/>
      <c r="M153" s="748"/>
      <c r="N153" s="586" t="s">
        <v>5</v>
      </c>
      <c r="O153" s="710"/>
      <c r="P153" s="710"/>
      <c r="Q153" s="586" t="s">
        <v>5</v>
      </c>
      <c r="R153" s="762"/>
      <c r="S153" s="762"/>
      <c r="T153" s="586"/>
      <c r="U153" s="762"/>
      <c r="V153" s="762"/>
      <c r="W153" s="586"/>
      <c r="X153" s="2893"/>
      <c r="Y153" s="2893"/>
      <c r="Z153" s="2893"/>
      <c r="AA153" s="2893"/>
      <c r="AB153" s="2893"/>
      <c r="AC153" s="2893"/>
      <c r="AD153" s="2893"/>
      <c r="AE153" s="2893"/>
      <c r="AF153" s="2893"/>
      <c r="AG153" s="2893"/>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903" t="s">
        <v>631</v>
      </c>
      <c r="C155" s="2903"/>
      <c r="D155" s="2903"/>
      <c r="E155" s="2903"/>
      <c r="F155" s="6"/>
      <c r="G155" s="65"/>
      <c r="H155" s="799"/>
      <c r="I155" s="710"/>
      <c r="J155" s="711"/>
      <c r="K155" s="628"/>
      <c r="L155" s="708"/>
      <c r="M155" s="709"/>
      <c r="N155" s="628"/>
      <c r="O155" s="710"/>
      <c r="P155" s="712"/>
      <c r="Q155" s="628"/>
      <c r="R155" s="762"/>
      <c r="S155" s="762"/>
      <c r="T155" s="628"/>
      <c r="U155" s="762"/>
      <c r="V155" s="762"/>
      <c r="W155" s="628"/>
      <c r="X155" s="2893"/>
      <c r="Y155" s="2893"/>
      <c r="Z155" s="2893"/>
      <c r="AA155" s="2893"/>
      <c r="AB155" s="2893"/>
      <c r="AC155" s="2893"/>
      <c r="AD155" s="2893"/>
      <c r="AE155" s="2893"/>
      <c r="AF155" s="2893"/>
      <c r="AG155" s="2893"/>
      <c r="AH155" s="9"/>
    </row>
    <row r="156" spans="1:34" ht="15.75" customHeight="1">
      <c r="A156" s="252"/>
      <c r="B156" s="2903" t="s">
        <v>633</v>
      </c>
      <c r="C156" s="2903"/>
      <c r="D156" s="2903"/>
      <c r="E156" s="2903"/>
      <c r="F156" s="6"/>
      <c r="G156" s="65"/>
      <c r="H156" s="480"/>
      <c r="I156" s="710"/>
      <c r="J156" s="711"/>
      <c r="K156" s="526"/>
      <c r="L156" s="710"/>
      <c r="M156" s="711"/>
      <c r="N156" s="526"/>
      <c r="O156" s="710"/>
      <c r="P156" s="712"/>
      <c r="Q156" s="526"/>
      <c r="R156" s="762"/>
      <c r="S156" s="762"/>
      <c r="T156" s="526"/>
      <c r="U156" s="762"/>
      <c r="V156" s="762"/>
      <c r="W156" s="526"/>
      <c r="X156" s="2893"/>
      <c r="Y156" s="2893"/>
      <c r="Z156" s="2893"/>
      <c r="AA156" s="2893"/>
      <c r="AB156" s="2893"/>
      <c r="AC156" s="2893"/>
      <c r="AD156" s="2893"/>
      <c r="AE156" s="2893"/>
      <c r="AF156" s="2893"/>
      <c r="AG156" s="2893"/>
    </row>
    <row r="157" spans="1:34" ht="15.75" customHeight="1">
      <c r="A157" s="252"/>
      <c r="B157" s="2903" t="s">
        <v>627</v>
      </c>
      <c r="C157" s="2903"/>
      <c r="D157" s="2903"/>
      <c r="E157" s="2903"/>
      <c r="F157" s="6"/>
      <c r="G157" s="63"/>
      <c r="H157" s="794"/>
      <c r="I157" s="748"/>
      <c r="J157" s="711"/>
      <c r="K157" s="561"/>
      <c r="L157" s="748"/>
      <c r="M157" s="711"/>
      <c r="N157" s="561"/>
      <c r="O157" s="710"/>
      <c r="P157" s="582"/>
      <c r="Q157" s="561"/>
      <c r="R157" s="762"/>
      <c r="S157" s="762"/>
      <c r="T157" s="561"/>
      <c r="U157" s="762"/>
      <c r="V157" s="762"/>
      <c r="W157" s="561"/>
      <c r="X157" s="2893"/>
      <c r="Y157" s="2893"/>
      <c r="Z157" s="2893"/>
      <c r="AA157" s="2893"/>
      <c r="AB157" s="2893"/>
      <c r="AC157" s="2893"/>
      <c r="AD157" s="2893"/>
      <c r="AE157" s="2893"/>
      <c r="AF157" s="2893"/>
      <c r="AG157" s="2893"/>
    </row>
    <row r="158" spans="1:34" ht="15.75" customHeight="1">
      <c r="A158" s="252"/>
      <c r="B158" s="2904" t="s">
        <v>628</v>
      </c>
      <c r="C158" s="2904"/>
      <c r="D158" s="2904"/>
      <c r="E158" s="2904"/>
      <c r="F158" s="6"/>
      <c r="G158" s="63"/>
      <c r="H158" s="480"/>
      <c r="I158" s="748"/>
      <c r="J158" s="711"/>
      <c r="K158" s="526"/>
      <c r="L158" s="748"/>
      <c r="M158" s="711"/>
      <c r="N158" s="526"/>
      <c r="O158" s="710"/>
      <c r="P158" s="582"/>
      <c r="Q158" s="526"/>
      <c r="R158" s="762"/>
      <c r="S158" s="762"/>
      <c r="T158" s="526"/>
      <c r="U158" s="762"/>
      <c r="V158" s="762"/>
      <c r="W158" s="526"/>
      <c r="X158" s="2893"/>
      <c r="Y158" s="2893"/>
      <c r="Z158" s="2893"/>
      <c r="AA158" s="2893"/>
      <c r="AB158" s="2893"/>
      <c r="AC158" s="2893"/>
      <c r="AD158" s="2893"/>
      <c r="AE158" s="2893"/>
      <c r="AF158" s="2893"/>
      <c r="AG158" s="2893"/>
    </row>
    <row r="159" spans="1:34" ht="31.5" customHeight="1">
      <c r="A159" s="252"/>
      <c r="B159" s="2904" t="s">
        <v>629</v>
      </c>
      <c r="C159" s="2904"/>
      <c r="D159" s="2904"/>
      <c r="E159" s="2904"/>
      <c r="F159" s="6"/>
      <c r="G159" s="63"/>
      <c r="H159" s="795"/>
      <c r="I159" s="748"/>
      <c r="J159" s="711"/>
      <c r="K159" s="568"/>
      <c r="L159" s="748"/>
      <c r="M159" s="711"/>
      <c r="N159" s="568"/>
      <c r="O159" s="710"/>
      <c r="P159" s="582"/>
      <c r="Q159" s="568"/>
      <c r="R159" s="762"/>
      <c r="S159" s="762"/>
      <c r="T159" s="568"/>
      <c r="U159" s="762"/>
      <c r="V159" s="762"/>
      <c r="W159" s="568"/>
      <c r="X159" s="2893"/>
      <c r="Y159" s="2893"/>
      <c r="Z159" s="2893"/>
      <c r="AA159" s="2893"/>
      <c r="AB159" s="2893"/>
      <c r="AC159" s="2893"/>
      <c r="AD159" s="2893"/>
      <c r="AE159" s="2893"/>
      <c r="AF159" s="2893"/>
      <c r="AG159" s="2893"/>
    </row>
    <row r="160" spans="1:34" ht="15.75" customHeight="1">
      <c r="A160" s="252"/>
      <c r="B160" s="2903" t="s">
        <v>632</v>
      </c>
      <c r="C160" s="2903"/>
      <c r="D160" s="2903"/>
      <c r="E160" s="2903"/>
      <c r="F160" s="6"/>
      <c r="G160" s="65"/>
      <c r="H160" s="480"/>
      <c r="I160" s="710"/>
      <c r="J160" s="711"/>
      <c r="K160" s="526"/>
      <c r="L160" s="710"/>
      <c r="M160" s="711"/>
      <c r="N160" s="526"/>
      <c r="O160" s="710"/>
      <c r="P160" s="712"/>
      <c r="Q160" s="526"/>
      <c r="R160" s="762"/>
      <c r="S160" s="762"/>
      <c r="T160" s="526"/>
      <c r="U160" s="762"/>
      <c r="V160" s="762"/>
      <c r="W160" s="526"/>
      <c r="X160" s="2893"/>
      <c r="Y160" s="2893"/>
      <c r="Z160" s="2893"/>
      <c r="AA160" s="2893"/>
      <c r="AB160" s="2893"/>
      <c r="AC160" s="2893"/>
      <c r="AD160" s="2893"/>
      <c r="AE160" s="2893"/>
      <c r="AF160" s="2893"/>
      <c r="AG160" s="2893"/>
    </row>
    <row r="161" spans="1:34" ht="29.9" customHeight="1">
      <c r="A161" s="252"/>
      <c r="B161" s="2903" t="s">
        <v>1551</v>
      </c>
      <c r="C161" s="2903"/>
      <c r="D161" s="2903"/>
      <c r="E161" s="2903"/>
      <c r="F161" s="6"/>
      <c r="G161" s="65"/>
      <c r="H161" s="796"/>
      <c r="I161" s="710"/>
      <c r="J161" s="711"/>
      <c r="K161" s="619"/>
      <c r="L161" s="710"/>
      <c r="M161" s="711"/>
      <c r="N161" s="619"/>
      <c r="O161" s="710"/>
      <c r="P161" s="712"/>
      <c r="Q161" s="619"/>
      <c r="R161" s="762"/>
      <c r="S161" s="762"/>
      <c r="T161" s="619"/>
      <c r="U161" s="762"/>
      <c r="V161" s="762"/>
      <c r="W161" s="619"/>
      <c r="X161" s="2893"/>
      <c r="Y161" s="2893"/>
      <c r="Z161" s="2893"/>
      <c r="AA161" s="2893"/>
      <c r="AB161" s="2893"/>
      <c r="AC161" s="2893"/>
      <c r="AD161" s="2893"/>
      <c r="AE161" s="2893"/>
      <c r="AF161" s="2893"/>
      <c r="AG161" s="2893"/>
      <c r="AH161" s="9"/>
    </row>
    <row r="162" spans="1:34" ht="29.9" customHeight="1">
      <c r="A162" s="252"/>
      <c r="B162" s="2903" t="s">
        <v>1552</v>
      </c>
      <c r="C162" s="2903"/>
      <c r="D162" s="2903"/>
      <c r="E162" s="2903"/>
      <c r="F162" s="6"/>
      <c r="G162" s="65"/>
      <c r="H162" s="796"/>
      <c r="I162" s="710"/>
      <c r="J162" s="711"/>
      <c r="K162" s="619"/>
      <c r="L162" s="710"/>
      <c r="M162" s="711"/>
      <c r="N162" s="619"/>
      <c r="O162" s="710"/>
      <c r="P162" s="712"/>
      <c r="Q162" s="619"/>
      <c r="R162" s="762"/>
      <c r="S162" s="762"/>
      <c r="T162" s="619"/>
      <c r="U162" s="762"/>
      <c r="V162" s="762"/>
      <c r="W162" s="619"/>
      <c r="X162" s="2893"/>
      <c r="Y162" s="2893"/>
      <c r="Z162" s="2893"/>
      <c r="AA162" s="2893"/>
      <c r="AB162" s="2893"/>
      <c r="AC162" s="2893"/>
      <c r="AD162" s="2893"/>
      <c r="AE162" s="2893"/>
      <c r="AF162" s="2893"/>
      <c r="AG162" s="2893"/>
      <c r="AH162" s="9"/>
    </row>
    <row r="163" spans="1:34" ht="31.5" customHeight="1">
      <c r="A163" s="252"/>
      <c r="B163" s="2903" t="s">
        <v>331</v>
      </c>
      <c r="C163" s="2903"/>
      <c r="D163" s="2903"/>
      <c r="E163" s="2903"/>
      <c r="F163" s="6"/>
      <c r="G163" s="65"/>
      <c r="H163" s="480"/>
      <c r="I163" s="710"/>
      <c r="J163" s="711"/>
      <c r="K163" s="526"/>
      <c r="L163" s="710"/>
      <c r="M163" s="711"/>
      <c r="N163" s="526"/>
      <c r="O163" s="710"/>
      <c r="P163" s="712"/>
      <c r="Q163" s="526"/>
      <c r="R163" s="762"/>
      <c r="S163" s="762"/>
      <c r="T163" s="526"/>
      <c r="U163" s="762"/>
      <c r="V163" s="762"/>
      <c r="W163" s="526"/>
      <c r="X163" s="2893"/>
      <c r="Y163" s="2893"/>
      <c r="Z163" s="2893"/>
      <c r="AA163" s="2893"/>
      <c r="AB163" s="2893"/>
      <c r="AC163" s="2893"/>
      <c r="AD163" s="2893"/>
      <c r="AE163" s="2893"/>
      <c r="AF163" s="2893"/>
      <c r="AG163" s="2893"/>
    </row>
    <row r="164" spans="1:34" ht="15.75" customHeight="1">
      <c r="A164" s="252"/>
      <c r="B164" s="2904" t="s">
        <v>332</v>
      </c>
      <c r="C164" s="2904"/>
      <c r="D164" s="2904"/>
      <c r="E164" s="2904"/>
      <c r="F164" s="6"/>
      <c r="G164" s="65"/>
      <c r="H164" s="480"/>
      <c r="I164" s="748"/>
      <c r="J164" s="711"/>
      <c r="K164" s="526"/>
      <c r="L164" s="748"/>
      <c r="M164" s="711"/>
      <c r="N164" s="526"/>
      <c r="O164" s="710"/>
      <c r="P164" s="582"/>
      <c r="Q164" s="526"/>
      <c r="R164" s="762"/>
      <c r="S164" s="762"/>
      <c r="T164" s="526"/>
      <c r="U164" s="762"/>
      <c r="V164" s="762"/>
      <c r="W164" s="526"/>
      <c r="X164" s="2893"/>
      <c r="Y164" s="2893"/>
      <c r="Z164" s="2893"/>
      <c r="AA164" s="2893"/>
      <c r="AB164" s="2893"/>
      <c r="AC164" s="2893"/>
      <c r="AD164" s="2893"/>
      <c r="AE164" s="2893"/>
      <c r="AF164" s="2893"/>
      <c r="AG164" s="2893"/>
    </row>
    <row r="165" spans="1:34" ht="15.75" customHeight="1">
      <c r="A165" s="252"/>
      <c r="B165" s="2903" t="s">
        <v>333</v>
      </c>
      <c r="C165" s="2903"/>
      <c r="D165" s="2903"/>
      <c r="E165" s="2903"/>
      <c r="F165" s="6"/>
      <c r="G165" s="65"/>
      <c r="H165" s="480"/>
      <c r="I165" s="710"/>
      <c r="J165" s="711"/>
      <c r="K165" s="526"/>
      <c r="L165" s="710"/>
      <c r="M165" s="711"/>
      <c r="N165" s="526"/>
      <c r="O165" s="710"/>
      <c r="P165" s="712"/>
      <c r="Q165" s="526"/>
      <c r="R165" s="762"/>
      <c r="S165" s="762"/>
      <c r="T165" s="526"/>
      <c r="U165" s="762"/>
      <c r="V165" s="762"/>
      <c r="W165" s="526"/>
      <c r="X165" s="2893"/>
      <c r="Y165" s="2893"/>
      <c r="Z165" s="2893"/>
      <c r="AA165" s="2893"/>
      <c r="AB165" s="2893"/>
      <c r="AC165" s="2893"/>
      <c r="AD165" s="2893"/>
      <c r="AE165" s="2893"/>
      <c r="AF165" s="2893"/>
      <c r="AG165" s="2893"/>
    </row>
    <row r="166" spans="1:34" ht="15.75" customHeight="1">
      <c r="A166" s="252"/>
      <c r="B166" s="2903" t="s">
        <v>334</v>
      </c>
      <c r="C166" s="2903"/>
      <c r="D166" s="2903"/>
      <c r="E166" s="2903"/>
      <c r="F166" s="6"/>
      <c r="G166" s="65"/>
      <c r="H166" s="480"/>
      <c r="I166" s="710"/>
      <c r="J166" s="711"/>
      <c r="K166" s="526"/>
      <c r="L166" s="710"/>
      <c r="M166" s="711"/>
      <c r="N166" s="526"/>
      <c r="O166" s="710"/>
      <c r="P166" s="712"/>
      <c r="Q166" s="526"/>
      <c r="R166" s="762"/>
      <c r="S166" s="762"/>
      <c r="T166" s="526"/>
      <c r="U166" s="762"/>
      <c r="V166" s="762"/>
      <c r="W166" s="526"/>
      <c r="X166" s="2893"/>
      <c r="Y166" s="2893"/>
      <c r="Z166" s="2893"/>
      <c r="AA166" s="2893"/>
      <c r="AB166" s="2893"/>
      <c r="AC166" s="2893"/>
      <c r="AD166" s="2893"/>
      <c r="AE166" s="2893"/>
      <c r="AF166" s="2893"/>
      <c r="AG166" s="2893"/>
    </row>
    <row r="167" spans="1:34" ht="15.75" customHeight="1">
      <c r="A167" s="252"/>
      <c r="B167" s="2904" t="s">
        <v>335</v>
      </c>
      <c r="C167" s="2904"/>
      <c r="D167" s="2904"/>
      <c r="E167" s="2904"/>
      <c r="F167" s="6"/>
      <c r="G167" s="65"/>
      <c r="H167" s="480"/>
      <c r="I167" s="710"/>
      <c r="J167" s="711"/>
      <c r="K167" s="526"/>
      <c r="L167" s="710"/>
      <c r="M167" s="711"/>
      <c r="N167" s="526"/>
      <c r="O167" s="710"/>
      <c r="P167" s="712"/>
      <c r="Q167" s="526"/>
      <c r="R167" s="762"/>
      <c r="S167" s="762"/>
      <c r="T167" s="526"/>
      <c r="U167" s="762"/>
      <c r="V167" s="762"/>
      <c r="W167" s="526"/>
      <c r="X167" s="2893"/>
      <c r="Y167" s="2893"/>
      <c r="Z167" s="2893"/>
      <c r="AA167" s="2893"/>
      <c r="AB167" s="2893"/>
      <c r="AC167" s="2893"/>
      <c r="AD167" s="2893"/>
      <c r="AE167" s="2893"/>
      <c r="AF167" s="2893"/>
      <c r="AG167" s="2893"/>
    </row>
    <row r="168" spans="1:34" ht="15.75" customHeight="1">
      <c r="A168" s="252"/>
      <c r="B168" s="2903" t="s">
        <v>336</v>
      </c>
      <c r="C168" s="2903"/>
      <c r="D168" s="2903"/>
      <c r="E168" s="2903"/>
      <c r="F168" s="6"/>
      <c r="G168" s="65"/>
      <c r="H168" s="480"/>
      <c r="I168" s="710"/>
      <c r="J168" s="711"/>
      <c r="K168" s="526"/>
      <c r="L168" s="710"/>
      <c r="M168" s="711"/>
      <c r="N168" s="526"/>
      <c r="O168" s="710"/>
      <c r="P168" s="712"/>
      <c r="Q168" s="526"/>
      <c r="R168" s="762"/>
      <c r="S168" s="762"/>
      <c r="T168" s="526"/>
      <c r="U168" s="762"/>
      <c r="V168" s="762"/>
      <c r="W168" s="526"/>
      <c r="X168" s="2893"/>
      <c r="Y168" s="2893"/>
      <c r="Z168" s="2893"/>
      <c r="AA168" s="2893"/>
      <c r="AB168" s="2893"/>
      <c r="AC168" s="2893"/>
      <c r="AD168" s="2893"/>
      <c r="AE168" s="2893"/>
      <c r="AF168" s="2893"/>
      <c r="AG168" s="2893"/>
    </row>
    <row r="169" spans="1:34" ht="31.5" customHeight="1">
      <c r="A169" s="252"/>
      <c r="B169" s="2903" t="s">
        <v>337</v>
      </c>
      <c r="C169" s="2903"/>
      <c r="D169" s="2903"/>
      <c r="E169" s="2903"/>
      <c r="F169" s="6"/>
      <c r="G169" s="65"/>
      <c r="H169" s="480"/>
      <c r="I169" s="710"/>
      <c r="J169" s="711"/>
      <c r="K169" s="526"/>
      <c r="L169" s="710"/>
      <c r="M169" s="711"/>
      <c r="N169" s="526"/>
      <c r="O169" s="710"/>
      <c r="P169" s="712"/>
      <c r="Q169" s="526"/>
      <c r="R169" s="762"/>
      <c r="S169" s="762"/>
      <c r="T169" s="526"/>
      <c r="U169" s="762"/>
      <c r="V169" s="762"/>
      <c r="W169" s="526"/>
      <c r="X169" s="2893"/>
      <c r="Y169" s="2893"/>
      <c r="Z169" s="2893"/>
      <c r="AA169" s="2893"/>
      <c r="AB169" s="2893"/>
      <c r="AC169" s="2893"/>
      <c r="AD169" s="2893"/>
      <c r="AE169" s="2893"/>
      <c r="AF169" s="2893"/>
      <c r="AG169" s="2893"/>
      <c r="AH169" s="9"/>
    </row>
    <row r="170" spans="1:34" ht="31.5" customHeight="1">
      <c r="A170" s="252"/>
      <c r="B170" s="2903" t="s">
        <v>338</v>
      </c>
      <c r="C170" s="2903"/>
      <c r="D170" s="2903"/>
      <c r="E170" s="2903"/>
      <c r="F170" s="6"/>
      <c r="G170" s="65"/>
      <c r="H170" s="480"/>
      <c r="I170" s="710"/>
      <c r="J170" s="711"/>
      <c r="K170" s="526"/>
      <c r="L170" s="710"/>
      <c r="M170" s="711"/>
      <c r="N170" s="526"/>
      <c r="O170" s="710"/>
      <c r="P170" s="712"/>
      <c r="Q170" s="526"/>
      <c r="R170" s="762"/>
      <c r="S170" s="762"/>
      <c r="T170" s="526"/>
      <c r="U170" s="762"/>
      <c r="V170" s="762"/>
      <c r="W170" s="526"/>
      <c r="X170" s="2893"/>
      <c r="Y170" s="2893"/>
      <c r="Z170" s="2893"/>
      <c r="AA170" s="2893"/>
      <c r="AB170" s="2893"/>
      <c r="AC170" s="2893"/>
      <c r="AD170" s="2893"/>
      <c r="AE170" s="2893"/>
      <c r="AF170" s="2893"/>
      <c r="AG170" s="2893"/>
      <c r="AH170" s="9"/>
    </row>
    <row r="171" spans="1:34" ht="15.75" customHeight="1">
      <c r="A171" s="252"/>
      <c r="B171" s="2903" t="s">
        <v>648</v>
      </c>
      <c r="C171" s="2903"/>
      <c r="D171" s="2903"/>
      <c r="E171" s="2903"/>
      <c r="F171" s="6"/>
      <c r="G171" s="65"/>
      <c r="H171" s="480"/>
      <c r="I171" s="710"/>
      <c r="J171" s="711"/>
      <c r="K171" s="526"/>
      <c r="L171" s="710"/>
      <c r="M171" s="711"/>
      <c r="N171" s="526"/>
      <c r="O171" s="710"/>
      <c r="P171" s="712"/>
      <c r="Q171" s="526"/>
      <c r="R171" s="762"/>
      <c r="S171" s="762"/>
      <c r="T171" s="526"/>
      <c r="U171" s="762"/>
      <c r="V171" s="762"/>
      <c r="W171" s="526"/>
      <c r="X171" s="2893"/>
      <c r="Y171" s="2893"/>
      <c r="Z171" s="2893"/>
      <c r="AA171" s="2893"/>
      <c r="AB171" s="2893"/>
      <c r="AC171" s="2893"/>
      <c r="AD171" s="2893"/>
      <c r="AE171" s="2893"/>
      <c r="AF171" s="2893"/>
      <c r="AG171" s="2893"/>
    </row>
    <row r="172" spans="1:34" ht="15.75" customHeight="1">
      <c r="A172" s="252"/>
      <c r="B172" s="2903" t="s">
        <v>649</v>
      </c>
      <c r="C172" s="2903"/>
      <c r="D172" s="2903"/>
      <c r="E172" s="2903"/>
      <c r="F172" s="6"/>
      <c r="G172" s="65"/>
      <c r="H172" s="797"/>
      <c r="I172" s="710"/>
      <c r="J172" s="711"/>
      <c r="K172" s="562"/>
      <c r="L172" s="710"/>
      <c r="M172" s="711"/>
      <c r="N172" s="562"/>
      <c r="O172" s="710"/>
      <c r="P172" s="712"/>
      <c r="Q172" s="562"/>
      <c r="R172" s="762"/>
      <c r="S172" s="762"/>
      <c r="T172" s="562"/>
      <c r="U172" s="762"/>
      <c r="V172" s="762"/>
      <c r="W172" s="562"/>
      <c r="X172" s="2893"/>
      <c r="Y172" s="2893"/>
      <c r="Z172" s="2893"/>
      <c r="AA172" s="2893"/>
      <c r="AB172" s="2893"/>
      <c r="AC172" s="2893"/>
      <c r="AD172" s="2893"/>
      <c r="AE172" s="2893"/>
      <c r="AF172" s="2893"/>
      <c r="AG172" s="2893"/>
    </row>
    <row r="173" spans="1:34" ht="15.75" customHeight="1">
      <c r="A173" s="237"/>
      <c r="B173" s="2903" t="s">
        <v>415</v>
      </c>
      <c r="C173" s="2903"/>
      <c r="D173" s="2903"/>
      <c r="E173" s="2903"/>
      <c r="F173" s="6"/>
      <c r="G173" s="65"/>
      <c r="H173" s="798"/>
      <c r="I173" s="710"/>
      <c r="J173" s="711"/>
      <c r="K173" s="586"/>
      <c r="L173" s="710"/>
      <c r="M173" s="711"/>
      <c r="N173" s="586"/>
      <c r="O173" s="710"/>
      <c r="P173" s="712"/>
      <c r="Q173" s="586"/>
      <c r="R173" s="762"/>
      <c r="S173" s="762"/>
      <c r="T173" s="586"/>
      <c r="U173" s="762"/>
      <c r="V173" s="762"/>
      <c r="W173" s="586"/>
      <c r="X173" s="2893"/>
      <c r="Y173" s="2893"/>
      <c r="Z173" s="2893"/>
      <c r="AA173" s="2893"/>
      <c r="AB173" s="2893"/>
      <c r="AC173" s="2893"/>
      <c r="AD173" s="2893"/>
      <c r="AE173" s="2893"/>
      <c r="AF173" s="2893"/>
      <c r="AG173" s="2893"/>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903" t="s">
        <v>631</v>
      </c>
      <c r="C175" s="2903"/>
      <c r="D175" s="2903"/>
      <c r="E175" s="2903"/>
      <c r="F175" s="6"/>
      <c r="G175" s="65"/>
      <c r="H175" s="799"/>
      <c r="I175" s="710"/>
      <c r="J175" s="711"/>
      <c r="K175" s="628"/>
      <c r="L175" s="710"/>
      <c r="M175" s="711"/>
      <c r="N175" s="628"/>
      <c r="O175" s="710"/>
      <c r="P175" s="712"/>
      <c r="Q175" s="628"/>
      <c r="R175" s="762"/>
      <c r="S175" s="762"/>
      <c r="T175" s="628"/>
      <c r="U175" s="762"/>
      <c r="V175" s="762"/>
      <c r="W175" s="628"/>
      <c r="X175" s="2893"/>
      <c r="Y175" s="2893"/>
      <c r="Z175" s="2893"/>
      <c r="AA175" s="2893"/>
      <c r="AB175" s="2893"/>
      <c r="AC175" s="2893"/>
      <c r="AD175" s="2893"/>
      <c r="AE175" s="2893"/>
      <c r="AF175" s="2893"/>
      <c r="AG175" s="2893"/>
      <c r="AH175" s="9"/>
    </row>
    <row r="176" spans="1:34" ht="15.75" customHeight="1">
      <c r="A176" s="252"/>
      <c r="B176" s="2903" t="s">
        <v>633</v>
      </c>
      <c r="C176" s="2903"/>
      <c r="D176" s="2903"/>
      <c r="E176" s="2903"/>
      <c r="F176" s="6"/>
      <c r="G176" s="65"/>
      <c r="H176" s="480"/>
      <c r="I176" s="710"/>
      <c r="J176" s="711"/>
      <c r="K176" s="526"/>
      <c r="L176" s="710"/>
      <c r="M176" s="711"/>
      <c r="N176" s="526"/>
      <c r="O176" s="710"/>
      <c r="P176" s="712"/>
      <c r="Q176" s="526"/>
      <c r="R176" s="762"/>
      <c r="S176" s="762"/>
      <c r="T176" s="526"/>
      <c r="U176" s="762"/>
      <c r="V176" s="762"/>
      <c r="W176" s="526"/>
      <c r="X176" s="2893"/>
      <c r="Y176" s="2893"/>
      <c r="Z176" s="2893"/>
      <c r="AA176" s="2893"/>
      <c r="AB176" s="2893"/>
      <c r="AC176" s="2893"/>
      <c r="AD176" s="2893"/>
      <c r="AE176" s="2893"/>
      <c r="AF176" s="2893"/>
      <c r="AG176" s="2893"/>
    </row>
    <row r="177" spans="1:33" ht="15.75" customHeight="1">
      <c r="A177" s="252"/>
      <c r="B177" s="2903" t="s">
        <v>627</v>
      </c>
      <c r="C177" s="2903"/>
      <c r="D177" s="2903"/>
      <c r="E177" s="2903"/>
      <c r="F177" s="6"/>
      <c r="G177" s="63"/>
      <c r="H177" s="794"/>
      <c r="I177" s="748"/>
      <c r="J177" s="711"/>
      <c r="K177" s="561"/>
      <c r="L177" s="748"/>
      <c r="M177" s="711"/>
      <c r="N177" s="561"/>
      <c r="O177" s="710"/>
      <c r="P177" s="582"/>
      <c r="Q177" s="561"/>
      <c r="R177" s="762"/>
      <c r="S177" s="762"/>
      <c r="T177" s="561"/>
      <c r="U177" s="762"/>
      <c r="V177" s="762"/>
      <c r="W177" s="561"/>
      <c r="X177" s="2893"/>
      <c r="Y177" s="2893"/>
      <c r="Z177" s="2893"/>
      <c r="AA177" s="2893"/>
      <c r="AB177" s="2893"/>
      <c r="AC177" s="2893"/>
      <c r="AD177" s="2893"/>
      <c r="AE177" s="2893"/>
      <c r="AF177" s="2893"/>
      <c r="AG177" s="2893"/>
    </row>
    <row r="178" spans="1:33" ht="15.75" customHeight="1">
      <c r="A178" s="252"/>
      <c r="B178" s="2904" t="s">
        <v>628</v>
      </c>
      <c r="C178" s="2904"/>
      <c r="D178" s="2904"/>
      <c r="E178" s="2904"/>
      <c r="F178" s="6"/>
      <c r="G178" s="63"/>
      <c r="H178" s="480"/>
      <c r="I178" s="748"/>
      <c r="J178" s="711"/>
      <c r="K178" s="526"/>
      <c r="L178" s="748"/>
      <c r="M178" s="711"/>
      <c r="N178" s="526"/>
      <c r="O178" s="710"/>
      <c r="P178" s="582"/>
      <c r="Q178" s="526"/>
      <c r="R178" s="762"/>
      <c r="S178" s="762"/>
      <c r="T178" s="526"/>
      <c r="U178" s="762"/>
      <c r="V178" s="762"/>
      <c r="W178" s="526"/>
      <c r="X178" s="2893"/>
      <c r="Y178" s="2893"/>
      <c r="Z178" s="2893"/>
      <c r="AA178" s="2893"/>
      <c r="AB178" s="2893"/>
      <c r="AC178" s="2893"/>
      <c r="AD178" s="2893"/>
      <c r="AE178" s="2893"/>
      <c r="AF178" s="2893"/>
      <c r="AG178" s="2893"/>
    </row>
    <row r="179" spans="1:33" ht="33" customHeight="1">
      <c r="A179" s="252"/>
      <c r="B179" s="2904" t="s">
        <v>629</v>
      </c>
      <c r="C179" s="2904"/>
      <c r="D179" s="2904"/>
      <c r="E179" s="2904"/>
      <c r="F179" s="6"/>
      <c r="G179" s="63"/>
      <c r="H179" s="795"/>
      <c r="I179" s="748"/>
      <c r="J179" s="711"/>
      <c r="K179" s="568"/>
      <c r="L179" s="748"/>
      <c r="M179" s="711"/>
      <c r="N179" s="568"/>
      <c r="O179" s="710"/>
      <c r="P179" s="582"/>
      <c r="Q179" s="568"/>
      <c r="R179" s="762"/>
      <c r="S179" s="762"/>
      <c r="T179" s="568"/>
      <c r="U179" s="762"/>
      <c r="V179" s="762"/>
      <c r="W179" s="568"/>
      <c r="X179" s="2893"/>
      <c r="Y179" s="2893"/>
      <c r="Z179" s="2893"/>
      <c r="AA179" s="2893"/>
      <c r="AB179" s="2893"/>
      <c r="AC179" s="2893"/>
      <c r="AD179" s="2893"/>
      <c r="AE179" s="2893"/>
      <c r="AF179" s="2893"/>
      <c r="AG179" s="2893"/>
    </row>
    <row r="180" spans="1:33" ht="15.75" customHeight="1">
      <c r="A180" s="252"/>
      <c r="B180" s="2903" t="s">
        <v>632</v>
      </c>
      <c r="C180" s="2903"/>
      <c r="D180" s="2903"/>
      <c r="E180" s="2903"/>
      <c r="F180" s="6"/>
      <c r="G180" s="65"/>
      <c r="H180" s="480"/>
      <c r="I180" s="710"/>
      <c r="J180" s="711"/>
      <c r="K180" s="526"/>
      <c r="L180" s="710"/>
      <c r="M180" s="711"/>
      <c r="N180" s="526"/>
      <c r="O180" s="710"/>
      <c r="P180" s="712"/>
      <c r="Q180" s="526"/>
      <c r="R180" s="762"/>
      <c r="S180" s="762"/>
      <c r="T180" s="526"/>
      <c r="U180" s="762"/>
      <c r="V180" s="762"/>
      <c r="W180" s="526"/>
      <c r="X180" s="2893"/>
      <c r="Y180" s="2893"/>
      <c r="Z180" s="2893"/>
      <c r="AA180" s="2893"/>
      <c r="AB180" s="2893"/>
      <c r="AC180" s="2893"/>
      <c r="AD180" s="2893"/>
      <c r="AE180" s="2893"/>
      <c r="AF180" s="2893"/>
      <c r="AG180" s="2893"/>
    </row>
    <row r="181" spans="1:33" ht="34.5" customHeight="1">
      <c r="A181" s="252"/>
      <c r="B181" s="2903" t="s">
        <v>1551</v>
      </c>
      <c r="C181" s="2903"/>
      <c r="D181" s="2903"/>
      <c r="E181" s="2903"/>
      <c r="F181" s="6"/>
      <c r="G181" s="65"/>
      <c r="H181" s="796"/>
      <c r="I181" s="710"/>
      <c r="J181" s="711"/>
      <c r="K181" s="619"/>
      <c r="L181" s="710"/>
      <c r="M181" s="711"/>
      <c r="N181" s="619"/>
      <c r="O181" s="710"/>
      <c r="P181" s="712"/>
      <c r="Q181" s="619"/>
      <c r="R181" s="762"/>
      <c r="S181" s="762"/>
      <c r="T181" s="619"/>
      <c r="U181" s="762"/>
      <c r="V181" s="762"/>
      <c r="W181" s="619"/>
      <c r="X181" s="2893"/>
      <c r="Y181" s="2893"/>
      <c r="Z181" s="2893"/>
      <c r="AA181" s="2893"/>
      <c r="AB181" s="2893"/>
      <c r="AC181" s="2893"/>
      <c r="AD181" s="2893"/>
      <c r="AE181" s="2893"/>
      <c r="AF181" s="2893"/>
      <c r="AG181" s="2893"/>
    </row>
    <row r="182" spans="1:33" ht="34.5" customHeight="1">
      <c r="A182" s="252"/>
      <c r="B182" s="2903" t="s">
        <v>1552</v>
      </c>
      <c r="C182" s="2903"/>
      <c r="D182" s="2903"/>
      <c r="E182" s="2903"/>
      <c r="F182" s="6"/>
      <c r="G182" s="65"/>
      <c r="H182" s="796"/>
      <c r="I182" s="710"/>
      <c r="J182" s="711"/>
      <c r="K182" s="619"/>
      <c r="L182" s="710"/>
      <c r="M182" s="711"/>
      <c r="N182" s="619"/>
      <c r="O182" s="710"/>
      <c r="P182" s="712"/>
      <c r="Q182" s="619"/>
      <c r="R182" s="762"/>
      <c r="S182" s="762"/>
      <c r="T182" s="619"/>
      <c r="U182" s="762"/>
      <c r="V182" s="762"/>
      <c r="W182" s="619"/>
      <c r="X182" s="2893"/>
      <c r="Y182" s="2893"/>
      <c r="Z182" s="2893"/>
      <c r="AA182" s="2893"/>
      <c r="AB182" s="2893"/>
      <c r="AC182" s="2893"/>
      <c r="AD182" s="2893"/>
      <c r="AE182" s="2893"/>
      <c r="AF182" s="2893"/>
      <c r="AG182" s="2893"/>
    </row>
    <row r="183" spans="1:33" ht="33" customHeight="1">
      <c r="A183" s="252"/>
      <c r="B183" s="2903" t="s">
        <v>331</v>
      </c>
      <c r="C183" s="2903"/>
      <c r="D183" s="2903"/>
      <c r="E183" s="2903"/>
      <c r="F183" s="6"/>
      <c r="G183" s="65"/>
      <c r="H183" s="480"/>
      <c r="I183" s="710"/>
      <c r="J183" s="711"/>
      <c r="K183" s="526"/>
      <c r="L183" s="710"/>
      <c r="M183" s="711"/>
      <c r="N183" s="526"/>
      <c r="O183" s="710"/>
      <c r="P183" s="712"/>
      <c r="Q183" s="526"/>
      <c r="R183" s="762"/>
      <c r="S183" s="762"/>
      <c r="T183" s="526"/>
      <c r="U183" s="762"/>
      <c r="V183" s="762"/>
      <c r="W183" s="526"/>
      <c r="X183" s="2893"/>
      <c r="Y183" s="2893"/>
      <c r="Z183" s="2893"/>
      <c r="AA183" s="2893"/>
      <c r="AB183" s="2893"/>
      <c r="AC183" s="2893"/>
      <c r="AD183" s="2893"/>
      <c r="AE183" s="2893"/>
      <c r="AF183" s="2893"/>
      <c r="AG183" s="2893"/>
    </row>
    <row r="184" spans="1:33" ht="15.75" customHeight="1">
      <c r="A184" s="252"/>
      <c r="B184" s="2904" t="s">
        <v>332</v>
      </c>
      <c r="C184" s="2904"/>
      <c r="D184" s="2904"/>
      <c r="E184" s="2904"/>
      <c r="F184" s="6"/>
      <c r="G184" s="65"/>
      <c r="H184" s="480"/>
      <c r="I184" s="748"/>
      <c r="J184" s="711"/>
      <c r="K184" s="526"/>
      <c r="L184" s="748"/>
      <c r="M184" s="711"/>
      <c r="N184" s="526"/>
      <c r="O184" s="710"/>
      <c r="P184" s="582"/>
      <c r="Q184" s="526"/>
      <c r="R184" s="762"/>
      <c r="S184" s="762"/>
      <c r="T184" s="526"/>
      <c r="U184" s="762"/>
      <c r="V184" s="762"/>
      <c r="W184" s="526"/>
      <c r="X184" s="2893"/>
      <c r="Y184" s="2893"/>
      <c r="Z184" s="2893"/>
      <c r="AA184" s="2893"/>
      <c r="AB184" s="2893"/>
      <c r="AC184" s="2893"/>
      <c r="AD184" s="2893"/>
      <c r="AE184" s="2893"/>
      <c r="AF184" s="2893"/>
      <c r="AG184" s="2893"/>
    </row>
    <row r="185" spans="1:33" ht="15.75" customHeight="1">
      <c r="A185" s="252"/>
      <c r="B185" s="2903" t="s">
        <v>333</v>
      </c>
      <c r="C185" s="2903"/>
      <c r="D185" s="2903"/>
      <c r="E185" s="2903"/>
      <c r="F185" s="6"/>
      <c r="G185" s="65"/>
      <c r="H185" s="480"/>
      <c r="I185" s="710"/>
      <c r="J185" s="711"/>
      <c r="K185" s="526"/>
      <c r="L185" s="710"/>
      <c r="M185" s="711"/>
      <c r="N185" s="526"/>
      <c r="O185" s="710"/>
      <c r="P185" s="712"/>
      <c r="Q185" s="526"/>
      <c r="R185" s="762"/>
      <c r="S185" s="762"/>
      <c r="T185" s="526"/>
      <c r="U185" s="762"/>
      <c r="V185" s="762"/>
      <c r="W185" s="526"/>
      <c r="X185" s="2893"/>
      <c r="Y185" s="2893"/>
      <c r="Z185" s="2893"/>
      <c r="AA185" s="2893"/>
      <c r="AB185" s="2893"/>
      <c r="AC185" s="2893"/>
      <c r="AD185" s="2893"/>
      <c r="AE185" s="2893"/>
      <c r="AF185" s="2893"/>
      <c r="AG185" s="2893"/>
    </row>
    <row r="186" spans="1:33" ht="15.75" customHeight="1">
      <c r="A186" s="252"/>
      <c r="B186" s="2903" t="s">
        <v>334</v>
      </c>
      <c r="C186" s="2903"/>
      <c r="D186" s="2903"/>
      <c r="E186" s="2903"/>
      <c r="F186" s="6"/>
      <c r="G186" s="65"/>
      <c r="H186" s="480"/>
      <c r="I186" s="710"/>
      <c r="J186" s="711"/>
      <c r="K186" s="526"/>
      <c r="L186" s="710"/>
      <c r="M186" s="711"/>
      <c r="N186" s="526"/>
      <c r="O186" s="710"/>
      <c r="P186" s="712"/>
      <c r="Q186" s="526"/>
      <c r="R186" s="762"/>
      <c r="S186" s="762"/>
      <c r="T186" s="526"/>
      <c r="U186" s="762"/>
      <c r="V186" s="762"/>
      <c r="W186" s="526"/>
      <c r="X186" s="2893"/>
      <c r="Y186" s="2893"/>
      <c r="Z186" s="2893"/>
      <c r="AA186" s="2893"/>
      <c r="AB186" s="2893"/>
      <c r="AC186" s="2893"/>
      <c r="AD186" s="2893"/>
      <c r="AE186" s="2893"/>
      <c r="AF186" s="2893"/>
      <c r="AG186" s="2893"/>
    </row>
    <row r="187" spans="1:33" ht="15.75" customHeight="1">
      <c r="A187" s="252"/>
      <c r="B187" s="2904" t="s">
        <v>335</v>
      </c>
      <c r="C187" s="2904"/>
      <c r="D187" s="2904"/>
      <c r="E187" s="2904"/>
      <c r="F187" s="6"/>
      <c r="G187" s="65"/>
      <c r="H187" s="480"/>
      <c r="I187" s="710"/>
      <c r="J187" s="711"/>
      <c r="K187" s="526"/>
      <c r="L187" s="710"/>
      <c r="M187" s="711"/>
      <c r="N187" s="526"/>
      <c r="O187" s="710"/>
      <c r="P187" s="712"/>
      <c r="Q187" s="526"/>
      <c r="R187" s="762"/>
      <c r="S187" s="762"/>
      <c r="T187" s="526"/>
      <c r="U187" s="762"/>
      <c r="V187" s="762"/>
      <c r="W187" s="526"/>
      <c r="X187" s="2893"/>
      <c r="Y187" s="2893"/>
      <c r="Z187" s="2893"/>
      <c r="AA187" s="2893"/>
      <c r="AB187" s="2893"/>
      <c r="AC187" s="2893"/>
      <c r="AD187" s="2893"/>
      <c r="AE187" s="2893"/>
      <c r="AF187" s="2893"/>
      <c r="AG187" s="2893"/>
    </row>
    <row r="188" spans="1:33" ht="15.75" customHeight="1">
      <c r="A188" s="252"/>
      <c r="B188" s="2903" t="s">
        <v>336</v>
      </c>
      <c r="C188" s="2903"/>
      <c r="D188" s="2903"/>
      <c r="E188" s="2903"/>
      <c r="F188" s="6"/>
      <c r="G188" s="65"/>
      <c r="H188" s="480"/>
      <c r="I188" s="710"/>
      <c r="J188" s="711"/>
      <c r="K188" s="526"/>
      <c r="L188" s="710"/>
      <c r="M188" s="711"/>
      <c r="N188" s="526"/>
      <c r="O188" s="710"/>
      <c r="P188" s="712"/>
      <c r="Q188" s="526"/>
      <c r="R188" s="762"/>
      <c r="S188" s="762"/>
      <c r="T188" s="526"/>
      <c r="U188" s="762"/>
      <c r="V188" s="762"/>
      <c r="W188" s="526"/>
      <c r="X188" s="2893"/>
      <c r="Y188" s="2893"/>
      <c r="Z188" s="2893"/>
      <c r="AA188" s="2893"/>
      <c r="AB188" s="2893"/>
      <c r="AC188" s="2893"/>
      <c r="AD188" s="2893"/>
      <c r="AE188" s="2893"/>
      <c r="AF188" s="2893"/>
      <c r="AG188" s="2893"/>
    </row>
    <row r="189" spans="1:33" ht="33" customHeight="1">
      <c r="A189" s="252"/>
      <c r="B189" s="2903" t="s">
        <v>337</v>
      </c>
      <c r="C189" s="2903"/>
      <c r="D189" s="2903"/>
      <c r="E189" s="2903"/>
      <c r="F189" s="6"/>
      <c r="G189" s="65"/>
      <c r="H189" s="480"/>
      <c r="I189" s="710"/>
      <c r="J189" s="711"/>
      <c r="K189" s="526"/>
      <c r="L189" s="710"/>
      <c r="M189" s="711"/>
      <c r="N189" s="526"/>
      <c r="O189" s="710"/>
      <c r="P189" s="712"/>
      <c r="Q189" s="526"/>
      <c r="R189" s="762"/>
      <c r="S189" s="762"/>
      <c r="T189" s="526"/>
      <c r="U189" s="762"/>
      <c r="V189" s="762"/>
      <c r="W189" s="526"/>
      <c r="X189" s="2893"/>
      <c r="Y189" s="2893"/>
      <c r="Z189" s="2893"/>
      <c r="AA189" s="2893"/>
      <c r="AB189" s="2893"/>
      <c r="AC189" s="2893"/>
      <c r="AD189" s="2893"/>
      <c r="AE189" s="2893"/>
      <c r="AF189" s="2893"/>
      <c r="AG189" s="2893"/>
    </row>
    <row r="190" spans="1:33" ht="33" customHeight="1">
      <c r="A190" s="252"/>
      <c r="B190" s="2903" t="s">
        <v>338</v>
      </c>
      <c r="C190" s="2903"/>
      <c r="D190" s="2903"/>
      <c r="E190" s="2903"/>
      <c r="F190" s="6"/>
      <c r="G190" s="65"/>
      <c r="H190" s="480"/>
      <c r="I190" s="710"/>
      <c r="J190" s="711"/>
      <c r="K190" s="526"/>
      <c r="L190" s="710"/>
      <c r="M190" s="711"/>
      <c r="N190" s="526"/>
      <c r="O190" s="710"/>
      <c r="P190" s="712"/>
      <c r="Q190" s="526"/>
      <c r="R190" s="762"/>
      <c r="S190" s="762"/>
      <c r="T190" s="526"/>
      <c r="U190" s="762"/>
      <c r="V190" s="762"/>
      <c r="W190" s="526"/>
      <c r="X190" s="2893"/>
      <c r="Y190" s="2893"/>
      <c r="Z190" s="2893"/>
      <c r="AA190" s="2893"/>
      <c r="AB190" s="2893"/>
      <c r="AC190" s="2893"/>
      <c r="AD190" s="2893"/>
      <c r="AE190" s="2893"/>
      <c r="AF190" s="2893"/>
      <c r="AG190" s="2893"/>
    </row>
    <row r="191" spans="1:33" ht="15.75" customHeight="1">
      <c r="A191" s="252"/>
      <c r="B191" s="2903" t="s">
        <v>648</v>
      </c>
      <c r="C191" s="2903"/>
      <c r="D191" s="2903"/>
      <c r="E191" s="2903"/>
      <c r="F191" s="6"/>
      <c r="G191" s="65"/>
      <c r="H191" s="480"/>
      <c r="I191" s="710"/>
      <c r="J191" s="711"/>
      <c r="K191" s="526"/>
      <c r="L191" s="710"/>
      <c r="M191" s="711"/>
      <c r="N191" s="526"/>
      <c r="O191" s="710"/>
      <c r="P191" s="712"/>
      <c r="Q191" s="526"/>
      <c r="R191" s="762"/>
      <c r="S191" s="762"/>
      <c r="T191" s="526"/>
      <c r="U191" s="762"/>
      <c r="V191" s="762"/>
      <c r="W191" s="526"/>
      <c r="X191" s="2893"/>
      <c r="Y191" s="2893"/>
      <c r="Z191" s="2893"/>
      <c r="AA191" s="2893"/>
      <c r="AB191" s="2893"/>
      <c r="AC191" s="2893"/>
      <c r="AD191" s="2893"/>
      <c r="AE191" s="2893"/>
      <c r="AF191" s="2893"/>
      <c r="AG191" s="2893"/>
    </row>
    <row r="192" spans="1:33" ht="15.75" customHeight="1">
      <c r="A192" s="252"/>
      <c r="B192" s="2903" t="s">
        <v>649</v>
      </c>
      <c r="C192" s="2903"/>
      <c r="D192" s="2903"/>
      <c r="E192" s="2903"/>
      <c r="F192" s="6"/>
      <c r="G192" s="65"/>
      <c r="H192" s="797"/>
      <c r="I192" s="710"/>
      <c r="J192" s="711"/>
      <c r="K192" s="562"/>
      <c r="L192" s="710"/>
      <c r="M192" s="711"/>
      <c r="N192" s="562"/>
      <c r="O192" s="710"/>
      <c r="P192" s="712"/>
      <c r="Q192" s="562"/>
      <c r="R192" s="762"/>
      <c r="S192" s="762"/>
      <c r="T192" s="562"/>
      <c r="U192" s="762"/>
      <c r="V192" s="762"/>
      <c r="W192" s="562"/>
      <c r="X192" s="2893"/>
      <c r="Y192" s="2893"/>
      <c r="Z192" s="2893"/>
      <c r="AA192" s="2893"/>
      <c r="AB192" s="2893"/>
      <c r="AC192" s="2893"/>
      <c r="AD192" s="2893"/>
      <c r="AE192" s="2893"/>
      <c r="AF192" s="2893"/>
      <c r="AG192" s="2893"/>
    </row>
    <row r="193" spans="1:33" ht="15.75" customHeight="1">
      <c r="A193" s="237"/>
      <c r="B193" s="2903" t="s">
        <v>415</v>
      </c>
      <c r="C193" s="2903"/>
      <c r="D193" s="2903"/>
      <c r="E193" s="2903"/>
      <c r="F193" s="6"/>
      <c r="G193" s="65"/>
      <c r="H193" s="800"/>
      <c r="I193" s="741"/>
      <c r="J193" s="742"/>
      <c r="K193" s="766"/>
      <c r="L193" s="741"/>
      <c r="M193" s="742"/>
      <c r="N193" s="766"/>
      <c r="O193" s="741"/>
      <c r="P193" s="767"/>
      <c r="Q193" s="766"/>
      <c r="R193" s="768"/>
      <c r="S193" s="768"/>
      <c r="T193" s="766"/>
      <c r="U193" s="768"/>
      <c r="V193" s="768"/>
      <c r="W193" s="766"/>
      <c r="X193" s="2893"/>
      <c r="Y193" s="2893"/>
      <c r="Z193" s="2893"/>
      <c r="AA193" s="2893"/>
      <c r="AB193" s="2893"/>
      <c r="AC193" s="2893"/>
      <c r="AD193" s="2893"/>
      <c r="AE193" s="2893"/>
      <c r="AF193" s="2893"/>
      <c r="AG193" s="2893"/>
    </row>
    <row r="194" spans="1:33"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906"/>
      <c r="Y194" s="2906"/>
      <c r="Z194" s="2906"/>
      <c r="AA194" s="2906"/>
      <c r="AB194" s="2906"/>
      <c r="AC194" s="2906"/>
      <c r="AD194" s="2906"/>
      <c r="AE194" s="2906"/>
      <c r="AF194" s="2906"/>
      <c r="AG194" s="2906"/>
    </row>
    <row r="195" spans="1:33" ht="22.5" customHeight="1">
      <c r="A195" s="2907" t="s">
        <v>636</v>
      </c>
      <c r="B195" s="2907"/>
      <c r="C195" s="2907"/>
      <c r="D195" s="2907"/>
      <c r="E195" s="2907"/>
      <c r="F195" s="2907"/>
      <c r="G195" s="2907"/>
      <c r="H195" s="693"/>
      <c r="I195" s="597"/>
      <c r="J195" s="594"/>
      <c r="K195" s="693"/>
      <c r="L195" s="2908"/>
      <c r="M195" s="2908"/>
      <c r="N195" s="669"/>
      <c r="O195" s="594"/>
      <c r="P195" s="670"/>
      <c r="Q195" s="671"/>
      <c r="R195" s="682"/>
      <c r="S195" s="682"/>
      <c r="T195" s="682"/>
      <c r="U195" s="682"/>
      <c r="V195" s="682"/>
      <c r="W195" s="682"/>
      <c r="X195" s="2909"/>
      <c r="Y195" s="2909"/>
      <c r="Z195" s="2909"/>
      <c r="AA195" s="2909"/>
      <c r="AB195" s="2909"/>
      <c r="AC195" s="2909"/>
      <c r="AD195" s="2909"/>
      <c r="AE195" s="2909"/>
      <c r="AF195" s="2909"/>
      <c r="AG195" s="2909"/>
    </row>
    <row r="196" spans="1:33"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910"/>
      <c r="Y196" s="2910"/>
      <c r="Z196" s="2910"/>
      <c r="AA196" s="2910"/>
      <c r="AB196" s="2910"/>
      <c r="AC196" s="2910"/>
      <c r="AD196" s="2910"/>
      <c r="AE196" s="2910"/>
      <c r="AF196" s="2910"/>
      <c r="AG196" s="2910"/>
    </row>
    <row r="197" spans="1:33" ht="31.5" customHeight="1">
      <c r="A197" s="252"/>
      <c r="B197" s="2903" t="s">
        <v>242</v>
      </c>
      <c r="C197" s="2903"/>
      <c r="D197" s="2903"/>
      <c r="E197" s="2903"/>
      <c r="F197" s="6"/>
      <c r="G197" s="65"/>
      <c r="H197" s="801"/>
      <c r="I197" s="710"/>
      <c r="J197" s="711"/>
      <c r="K197" s="588"/>
      <c r="L197" s="710"/>
      <c r="M197" s="711"/>
      <c r="N197" s="588"/>
      <c r="O197" s="710"/>
      <c r="P197" s="712"/>
      <c r="Q197" s="588"/>
      <c r="R197" s="762"/>
      <c r="S197" s="762"/>
      <c r="T197" s="588"/>
      <c r="U197" s="762"/>
      <c r="V197" s="762"/>
      <c r="W197" s="588"/>
      <c r="X197" s="2893"/>
      <c r="Y197" s="2893"/>
      <c r="Z197" s="2893"/>
      <c r="AA197" s="2893"/>
      <c r="AB197" s="2893"/>
      <c r="AC197" s="2893"/>
      <c r="AD197" s="2893"/>
      <c r="AE197" s="2893"/>
      <c r="AF197" s="2893"/>
      <c r="AG197" s="2893"/>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911"/>
      <c r="Y198" s="2911"/>
      <c r="Z198" s="2911"/>
      <c r="AA198" s="2911"/>
      <c r="AB198" s="2911"/>
      <c r="AC198" s="2911"/>
      <c r="AD198" s="2911"/>
      <c r="AE198" s="2911"/>
      <c r="AF198" s="2911"/>
      <c r="AG198" s="2911"/>
    </row>
    <row r="199" spans="1:33" ht="18.649999999999999" customHeight="1">
      <c r="A199" s="252"/>
      <c r="B199" s="2903" t="s">
        <v>625</v>
      </c>
      <c r="C199" s="2903"/>
      <c r="D199" s="2903"/>
      <c r="E199" s="2903"/>
      <c r="F199" s="6"/>
      <c r="G199" s="65"/>
      <c r="H199" s="799"/>
      <c r="I199" s="710"/>
      <c r="J199" s="711"/>
      <c r="K199" s="628"/>
      <c r="L199" s="710"/>
      <c r="M199" s="711"/>
      <c r="N199" s="628"/>
      <c r="O199" s="710"/>
      <c r="P199" s="712"/>
      <c r="Q199" s="628"/>
      <c r="R199" s="762"/>
      <c r="S199" s="762"/>
      <c r="T199" s="628"/>
      <c r="U199" s="762"/>
      <c r="V199" s="762"/>
      <c r="W199" s="628"/>
      <c r="X199" s="2893"/>
      <c r="Y199" s="2893"/>
      <c r="Z199" s="2893"/>
      <c r="AA199" s="2893"/>
      <c r="AB199" s="2893"/>
      <c r="AC199" s="2893"/>
      <c r="AD199" s="2893"/>
      <c r="AE199" s="2893"/>
      <c r="AF199" s="2893"/>
      <c r="AG199" s="2893"/>
    </row>
    <row r="200" spans="1:33" ht="18.649999999999999" customHeight="1">
      <c r="A200" s="252"/>
      <c r="B200" s="2903" t="s">
        <v>626</v>
      </c>
      <c r="C200" s="2903"/>
      <c r="D200" s="2903"/>
      <c r="E200" s="2903"/>
      <c r="F200" s="6"/>
      <c r="G200" s="65"/>
      <c r="H200" s="480"/>
      <c r="I200" s="710"/>
      <c r="J200" s="711"/>
      <c r="K200" s="526"/>
      <c r="L200" s="710"/>
      <c r="M200" s="711"/>
      <c r="N200" s="526"/>
      <c r="O200" s="710"/>
      <c r="P200" s="712"/>
      <c r="Q200" s="526"/>
      <c r="R200" s="762"/>
      <c r="S200" s="762"/>
      <c r="T200" s="526"/>
      <c r="U200" s="762"/>
      <c r="V200" s="762"/>
      <c r="W200" s="526"/>
      <c r="X200" s="2893"/>
      <c r="Y200" s="2893"/>
      <c r="Z200" s="2893"/>
      <c r="AA200" s="2893"/>
      <c r="AB200" s="2893"/>
      <c r="AC200" s="2893"/>
      <c r="AD200" s="2893"/>
      <c r="AE200" s="2893"/>
      <c r="AF200" s="2893"/>
      <c r="AG200" s="2893"/>
    </row>
    <row r="201" spans="1:33" ht="28.5" customHeight="1">
      <c r="A201" s="252"/>
      <c r="B201" s="2903" t="s">
        <v>627</v>
      </c>
      <c r="C201" s="2903"/>
      <c r="D201" s="2903"/>
      <c r="E201" s="2903"/>
      <c r="F201" s="6"/>
      <c r="G201" s="65"/>
      <c r="H201" s="794"/>
      <c r="I201" s="710"/>
      <c r="J201" s="711"/>
      <c r="K201" s="561"/>
      <c r="L201" s="710"/>
      <c r="M201" s="711"/>
      <c r="N201" s="561"/>
      <c r="O201" s="710"/>
      <c r="P201" s="712"/>
      <c r="Q201" s="561"/>
      <c r="R201" s="762"/>
      <c r="S201" s="762"/>
      <c r="T201" s="561"/>
      <c r="U201" s="762"/>
      <c r="V201" s="762"/>
      <c r="W201" s="561"/>
      <c r="X201" s="2893"/>
      <c r="Y201" s="2893"/>
      <c r="Z201" s="2893"/>
      <c r="AA201" s="2893"/>
      <c r="AB201" s="2893"/>
      <c r="AC201" s="2893"/>
      <c r="AD201" s="2893"/>
      <c r="AE201" s="2893"/>
      <c r="AF201" s="2893"/>
      <c r="AG201" s="2893"/>
    </row>
    <row r="202" spans="1:33" ht="28.5" customHeight="1">
      <c r="A202" s="252"/>
      <c r="B202" s="2904" t="s">
        <v>628</v>
      </c>
      <c r="C202" s="2904"/>
      <c r="D202" s="2904"/>
      <c r="E202" s="2904"/>
      <c r="F202" s="6"/>
      <c r="G202" s="65"/>
      <c r="H202" s="480"/>
      <c r="I202" s="710"/>
      <c r="J202" s="711"/>
      <c r="K202" s="526"/>
      <c r="L202" s="710"/>
      <c r="M202" s="711"/>
      <c r="N202" s="526"/>
      <c r="O202" s="710"/>
      <c r="P202" s="712"/>
      <c r="Q202" s="526"/>
      <c r="R202" s="762"/>
      <c r="S202" s="762"/>
      <c r="T202" s="526"/>
      <c r="U202" s="762"/>
      <c r="V202" s="762"/>
      <c r="W202" s="526"/>
      <c r="X202" s="2893"/>
      <c r="Y202" s="2893"/>
      <c r="Z202" s="2893"/>
      <c r="AA202" s="2893"/>
      <c r="AB202" s="2893"/>
      <c r="AC202" s="2893"/>
      <c r="AD202" s="2893"/>
      <c r="AE202" s="2893"/>
      <c r="AF202" s="2893"/>
      <c r="AG202" s="2893"/>
    </row>
    <row r="203" spans="1:33" ht="32.9" customHeight="1">
      <c r="A203" s="252"/>
      <c r="B203" s="2904" t="s">
        <v>629</v>
      </c>
      <c r="C203" s="2904"/>
      <c r="D203" s="2904"/>
      <c r="E203" s="2904"/>
      <c r="F203" s="6"/>
      <c r="G203" s="65"/>
      <c r="H203" s="795"/>
      <c r="I203" s="710"/>
      <c r="J203" s="711"/>
      <c r="K203" s="568"/>
      <c r="L203" s="710"/>
      <c r="M203" s="711"/>
      <c r="N203" s="568"/>
      <c r="O203" s="710"/>
      <c r="P203" s="712"/>
      <c r="Q203" s="568"/>
      <c r="R203" s="762"/>
      <c r="S203" s="762"/>
      <c r="T203" s="568"/>
      <c r="U203" s="762"/>
      <c r="V203" s="762"/>
      <c r="W203" s="568"/>
      <c r="X203" s="2893"/>
      <c r="Y203" s="2893"/>
      <c r="Z203" s="2893"/>
      <c r="AA203" s="2893"/>
      <c r="AB203" s="2893"/>
      <c r="AC203" s="2893"/>
      <c r="AD203" s="2893"/>
      <c r="AE203" s="2893"/>
      <c r="AF203" s="2893"/>
      <c r="AG203" s="2893"/>
    </row>
    <row r="204" spans="1:33" ht="18.649999999999999" customHeight="1">
      <c r="A204" s="252"/>
      <c r="B204" s="2903" t="s">
        <v>630</v>
      </c>
      <c r="C204" s="2903"/>
      <c r="D204" s="2903"/>
      <c r="E204" s="2903"/>
      <c r="F204" s="6"/>
      <c r="G204" s="65"/>
      <c r="H204" s="480"/>
      <c r="I204" s="710"/>
      <c r="J204" s="711"/>
      <c r="K204" s="526"/>
      <c r="L204" s="710"/>
      <c r="M204" s="711"/>
      <c r="N204" s="526"/>
      <c r="O204" s="710"/>
      <c r="P204" s="712"/>
      <c r="Q204" s="526"/>
      <c r="R204" s="762"/>
      <c r="S204" s="762"/>
      <c r="T204" s="526"/>
      <c r="U204" s="762"/>
      <c r="V204" s="762"/>
      <c r="W204" s="526"/>
      <c r="X204" s="2893"/>
      <c r="Y204" s="2893"/>
      <c r="Z204" s="2893"/>
      <c r="AA204" s="2893"/>
      <c r="AB204" s="2893"/>
      <c r="AC204" s="2893"/>
      <c r="AD204" s="2893"/>
      <c r="AE204" s="2893"/>
      <c r="AF204" s="2893"/>
      <c r="AG204" s="2893"/>
    </row>
    <row r="205" spans="1:33" ht="18.649999999999999" customHeight="1">
      <c r="A205" s="252"/>
      <c r="B205" s="2904" t="s">
        <v>634</v>
      </c>
      <c r="C205" s="2904"/>
      <c r="D205" s="2904"/>
      <c r="E205" s="2904"/>
      <c r="F205" s="6"/>
      <c r="G205" s="65"/>
      <c r="H205" s="481"/>
      <c r="I205" s="710"/>
      <c r="J205" s="711"/>
      <c r="K205" s="553"/>
      <c r="L205" s="710"/>
      <c r="M205" s="711"/>
      <c r="N205" s="553"/>
      <c r="O205" s="710"/>
      <c r="P205" s="712"/>
      <c r="Q205" s="553"/>
      <c r="R205" s="762"/>
      <c r="S205" s="762"/>
      <c r="T205" s="553"/>
      <c r="U205" s="762"/>
      <c r="V205" s="762"/>
      <c r="W205" s="553"/>
      <c r="X205" s="2893"/>
      <c r="Y205" s="2893"/>
      <c r="Z205" s="2893"/>
      <c r="AA205" s="2893"/>
      <c r="AB205" s="2893"/>
      <c r="AC205" s="2893"/>
      <c r="AD205" s="2893"/>
      <c r="AE205" s="2893"/>
      <c r="AF205" s="2893"/>
      <c r="AG205" s="2893"/>
    </row>
    <row r="206" spans="1:33" ht="36.75" customHeight="1">
      <c r="A206" s="252"/>
      <c r="B206" s="2903" t="s">
        <v>1551</v>
      </c>
      <c r="C206" s="2903"/>
      <c r="D206" s="2903"/>
      <c r="E206" s="2903"/>
      <c r="F206" s="6"/>
      <c r="G206" s="65"/>
      <c r="H206" s="796"/>
      <c r="I206" s="710"/>
      <c r="J206" s="711"/>
      <c r="K206" s="619"/>
      <c r="L206" s="710"/>
      <c r="M206" s="711"/>
      <c r="N206" s="619"/>
      <c r="O206" s="710"/>
      <c r="P206" s="712"/>
      <c r="Q206" s="619"/>
      <c r="R206" s="762"/>
      <c r="S206" s="762"/>
      <c r="T206" s="619"/>
      <c r="U206" s="762"/>
      <c r="V206" s="762"/>
      <c r="W206" s="619"/>
      <c r="X206" s="2893"/>
      <c r="Y206" s="2893"/>
      <c r="Z206" s="2893"/>
      <c r="AA206" s="2893"/>
      <c r="AB206" s="2893"/>
      <c r="AC206" s="2893"/>
      <c r="AD206" s="2893"/>
      <c r="AE206" s="2893"/>
      <c r="AF206" s="2893"/>
      <c r="AG206" s="2893"/>
    </row>
    <row r="207" spans="1:33" ht="36.75" customHeight="1">
      <c r="A207" s="252"/>
      <c r="B207" s="2903" t="s">
        <v>1552</v>
      </c>
      <c r="C207" s="2903"/>
      <c r="D207" s="2903"/>
      <c r="E207" s="2903"/>
      <c r="F207" s="6"/>
      <c r="G207" s="65"/>
      <c r="H207" s="796"/>
      <c r="I207" s="710"/>
      <c r="J207" s="711"/>
      <c r="K207" s="619"/>
      <c r="L207" s="710"/>
      <c r="M207" s="711"/>
      <c r="N207" s="619"/>
      <c r="O207" s="710"/>
      <c r="P207" s="712"/>
      <c r="Q207" s="619"/>
      <c r="R207" s="762"/>
      <c r="S207" s="762"/>
      <c r="T207" s="619"/>
      <c r="U207" s="762"/>
      <c r="V207" s="762"/>
      <c r="W207" s="619"/>
      <c r="X207" s="2893"/>
      <c r="Y207" s="2893"/>
      <c r="Z207" s="2893"/>
      <c r="AA207" s="2893"/>
      <c r="AB207" s="2893"/>
      <c r="AC207" s="2893"/>
      <c r="AD207" s="2893"/>
      <c r="AE207" s="2893"/>
      <c r="AF207" s="2893"/>
      <c r="AG207" s="2893"/>
    </row>
    <row r="208" spans="1:33" ht="32.9" customHeight="1">
      <c r="A208" s="252"/>
      <c r="B208" s="2903" t="s">
        <v>331</v>
      </c>
      <c r="C208" s="2903"/>
      <c r="D208" s="2903"/>
      <c r="E208" s="2903"/>
      <c r="F208" s="6"/>
      <c r="G208" s="65"/>
      <c r="H208" s="480"/>
      <c r="I208" s="710"/>
      <c r="J208" s="711"/>
      <c r="K208" s="526"/>
      <c r="L208" s="710"/>
      <c r="M208" s="711"/>
      <c r="N208" s="526"/>
      <c r="O208" s="710"/>
      <c r="P208" s="712"/>
      <c r="Q208" s="526"/>
      <c r="R208" s="762"/>
      <c r="S208" s="762"/>
      <c r="T208" s="526"/>
      <c r="U208" s="762"/>
      <c r="V208" s="762"/>
      <c r="W208" s="526"/>
      <c r="X208" s="2893"/>
      <c r="Y208" s="2893"/>
      <c r="Z208" s="2893"/>
      <c r="AA208" s="2893"/>
      <c r="AB208" s="2893"/>
      <c r="AC208" s="2893"/>
      <c r="AD208" s="2893"/>
      <c r="AE208" s="2893"/>
      <c r="AF208" s="2893"/>
      <c r="AG208" s="2893"/>
    </row>
    <row r="209" spans="1:33" ht="14.9" customHeight="1">
      <c r="A209" s="252"/>
      <c r="B209" s="2904" t="s">
        <v>332</v>
      </c>
      <c r="C209" s="2904"/>
      <c r="D209" s="2904"/>
      <c r="E209" s="2904"/>
      <c r="F209" s="6"/>
      <c r="G209" s="63"/>
      <c r="H209" s="480"/>
      <c r="I209" s="710"/>
      <c r="J209" s="582"/>
      <c r="K209" s="526"/>
      <c r="L209" s="710"/>
      <c r="M209" s="582"/>
      <c r="N209" s="526"/>
      <c r="O209" s="710"/>
      <c r="P209" s="582"/>
      <c r="Q209" s="526"/>
      <c r="R209" s="762"/>
      <c r="S209" s="762"/>
      <c r="T209" s="526"/>
      <c r="U209" s="762"/>
      <c r="V209" s="762"/>
      <c r="W209" s="526"/>
      <c r="X209" s="2893"/>
      <c r="Y209" s="2893"/>
      <c r="Z209" s="2893"/>
      <c r="AA209" s="2893"/>
      <c r="AB209" s="2893"/>
      <c r="AC209" s="2893"/>
      <c r="AD209" s="2893"/>
      <c r="AE209" s="2893"/>
      <c r="AF209" s="2893"/>
      <c r="AG209" s="2893"/>
    </row>
    <row r="210" spans="1:33" ht="18.649999999999999" customHeight="1">
      <c r="A210" s="252"/>
      <c r="B210" s="2903" t="s">
        <v>333</v>
      </c>
      <c r="C210" s="2903"/>
      <c r="D210" s="2903"/>
      <c r="E210" s="2903"/>
      <c r="F210" s="6"/>
      <c r="G210" s="65"/>
      <c r="H210" s="480"/>
      <c r="I210" s="710"/>
      <c r="J210" s="711"/>
      <c r="K210" s="526"/>
      <c r="L210" s="710"/>
      <c r="M210" s="711"/>
      <c r="N210" s="526"/>
      <c r="O210" s="710"/>
      <c r="P210" s="712"/>
      <c r="Q210" s="526"/>
      <c r="R210" s="762"/>
      <c r="S210" s="762"/>
      <c r="T210" s="526"/>
      <c r="U210" s="762"/>
      <c r="V210" s="762"/>
      <c r="W210" s="526"/>
      <c r="X210" s="2893"/>
      <c r="Y210" s="2893"/>
      <c r="Z210" s="2893"/>
      <c r="AA210" s="2893"/>
      <c r="AB210" s="2893"/>
      <c r="AC210" s="2893"/>
      <c r="AD210" s="2893"/>
      <c r="AE210" s="2893"/>
      <c r="AF210" s="2893"/>
      <c r="AG210" s="2893"/>
    </row>
    <row r="211" spans="1:33" ht="14.9" customHeight="1">
      <c r="A211" s="252"/>
      <c r="B211" s="2903" t="s">
        <v>334</v>
      </c>
      <c r="C211" s="2903"/>
      <c r="D211" s="2903"/>
      <c r="E211" s="2903"/>
      <c r="F211" s="6"/>
      <c r="G211" s="63"/>
      <c r="H211" s="480"/>
      <c r="I211" s="710"/>
      <c r="J211" s="582"/>
      <c r="K211" s="526"/>
      <c r="L211" s="710"/>
      <c r="M211" s="582"/>
      <c r="N211" s="526"/>
      <c r="O211" s="710"/>
      <c r="P211" s="582"/>
      <c r="Q211" s="526"/>
      <c r="R211" s="762"/>
      <c r="S211" s="762"/>
      <c r="T211" s="526"/>
      <c r="U211" s="762"/>
      <c r="V211" s="762"/>
      <c r="W211" s="526"/>
      <c r="X211" s="2893"/>
      <c r="Y211" s="2893"/>
      <c r="Z211" s="2893"/>
      <c r="AA211" s="2893"/>
      <c r="AB211" s="2893"/>
      <c r="AC211" s="2893"/>
      <c r="AD211" s="2893"/>
      <c r="AE211" s="2893"/>
      <c r="AF211" s="2893"/>
      <c r="AG211" s="2893"/>
    </row>
    <row r="212" spans="1:33" ht="14.9" customHeight="1">
      <c r="A212" s="252"/>
      <c r="B212" s="2904" t="s">
        <v>335</v>
      </c>
      <c r="C212" s="2904"/>
      <c r="D212" s="2904"/>
      <c r="E212" s="2904"/>
      <c r="H212" s="480"/>
      <c r="I212" s="713"/>
      <c r="J212" s="713"/>
      <c r="K212" s="526"/>
      <c r="L212" s="713"/>
      <c r="M212" s="713"/>
      <c r="N212" s="526"/>
      <c r="O212" s="713"/>
      <c r="P212" s="713"/>
      <c r="Q212" s="526"/>
      <c r="R212" s="762"/>
      <c r="S212" s="762"/>
      <c r="T212" s="526"/>
      <c r="U212" s="762"/>
      <c r="V212" s="762"/>
      <c r="W212" s="526"/>
      <c r="X212" s="2893"/>
      <c r="Y212" s="2893"/>
      <c r="Z212" s="2893"/>
      <c r="AA212" s="2893"/>
      <c r="AB212" s="2893"/>
      <c r="AC212" s="2893"/>
      <c r="AD212" s="2893"/>
      <c r="AE212" s="2893"/>
      <c r="AF212" s="2893"/>
      <c r="AG212" s="2893"/>
    </row>
    <row r="213" spans="1:33" ht="14.9" customHeight="1">
      <c r="A213" s="252"/>
      <c r="B213" s="2903" t="s">
        <v>336</v>
      </c>
      <c r="C213" s="2903"/>
      <c r="D213" s="2903"/>
      <c r="E213" s="2903"/>
      <c r="F213" s="6"/>
      <c r="G213" s="63"/>
      <c r="H213" s="480"/>
      <c r="I213" s="710"/>
      <c r="J213" s="582"/>
      <c r="K213" s="526"/>
      <c r="L213" s="710"/>
      <c r="M213" s="582"/>
      <c r="N213" s="526"/>
      <c r="O213" s="710"/>
      <c r="P213" s="582"/>
      <c r="Q213" s="526"/>
      <c r="R213" s="762"/>
      <c r="S213" s="762"/>
      <c r="T213" s="526"/>
      <c r="U213" s="762"/>
      <c r="V213" s="762"/>
      <c r="W213" s="526"/>
      <c r="X213" s="2893"/>
      <c r="Y213" s="2893"/>
      <c r="Z213" s="2893"/>
      <c r="AA213" s="2893"/>
      <c r="AB213" s="2893"/>
      <c r="AC213" s="2893"/>
      <c r="AD213" s="2893"/>
      <c r="AE213" s="2893"/>
      <c r="AF213" s="2893"/>
      <c r="AG213" s="2893"/>
    </row>
    <row r="214" spans="1:33" ht="32.9" customHeight="1">
      <c r="A214" s="252"/>
      <c r="B214" s="2903" t="s">
        <v>337</v>
      </c>
      <c r="C214" s="2903"/>
      <c r="D214" s="2903"/>
      <c r="E214" s="2903"/>
      <c r="F214" s="6"/>
      <c r="G214" s="63"/>
      <c r="H214" s="480"/>
      <c r="I214" s="710"/>
      <c r="J214" s="582"/>
      <c r="K214" s="526"/>
      <c r="L214" s="710"/>
      <c r="M214" s="582"/>
      <c r="N214" s="526"/>
      <c r="O214" s="710"/>
      <c r="P214" s="582"/>
      <c r="Q214" s="526"/>
      <c r="R214" s="762"/>
      <c r="S214" s="762"/>
      <c r="T214" s="526"/>
      <c r="U214" s="762"/>
      <c r="V214" s="762"/>
      <c r="W214" s="526"/>
      <c r="X214" s="2893"/>
      <c r="Y214" s="2893"/>
      <c r="Z214" s="2893"/>
      <c r="AA214" s="2893"/>
      <c r="AB214" s="2893"/>
      <c r="AC214" s="2893"/>
      <c r="AD214" s="2893"/>
      <c r="AE214" s="2893"/>
      <c r="AF214" s="2893"/>
      <c r="AG214" s="2893"/>
    </row>
    <row r="215" spans="1:33" ht="32.9" customHeight="1">
      <c r="A215" s="252"/>
      <c r="B215" s="2903" t="s">
        <v>338</v>
      </c>
      <c r="C215" s="2903"/>
      <c r="D215" s="2903"/>
      <c r="E215" s="2903"/>
      <c r="F215" s="6"/>
      <c r="G215" s="63"/>
      <c r="H215" s="480"/>
      <c r="I215" s="710"/>
      <c r="J215" s="582"/>
      <c r="K215" s="526"/>
      <c r="L215" s="710"/>
      <c r="M215" s="582"/>
      <c r="N215" s="526"/>
      <c r="O215" s="710"/>
      <c r="P215" s="582"/>
      <c r="Q215" s="526"/>
      <c r="R215" s="762"/>
      <c r="S215" s="762"/>
      <c r="T215" s="526"/>
      <c r="U215" s="762"/>
      <c r="V215" s="762"/>
      <c r="W215" s="526"/>
      <c r="X215" s="2893"/>
      <c r="Y215" s="2893"/>
      <c r="Z215" s="2893"/>
      <c r="AA215" s="2893"/>
      <c r="AB215" s="2893"/>
      <c r="AC215" s="2893"/>
      <c r="AD215" s="2893"/>
      <c r="AE215" s="2893"/>
      <c r="AF215" s="2893"/>
      <c r="AG215" s="2893"/>
    </row>
    <row r="216" spans="1:33" ht="14.9" customHeight="1">
      <c r="A216" s="252"/>
      <c r="B216" s="2903" t="s">
        <v>735</v>
      </c>
      <c r="C216" s="2903"/>
      <c r="D216" s="2903"/>
      <c r="E216" s="2903"/>
      <c r="F216" s="6"/>
      <c r="G216" s="63"/>
      <c r="H216" s="480"/>
      <c r="I216" s="710"/>
      <c r="J216" s="582"/>
      <c r="K216" s="526"/>
      <c r="L216" s="710"/>
      <c r="M216" s="582"/>
      <c r="N216" s="526"/>
      <c r="O216" s="710"/>
      <c r="P216" s="582"/>
      <c r="Q216" s="526"/>
      <c r="R216" s="762"/>
      <c r="S216" s="762"/>
      <c r="T216" s="526"/>
      <c r="U216" s="762"/>
      <c r="V216" s="762"/>
      <c r="W216" s="526"/>
      <c r="X216" s="2893"/>
      <c r="Y216" s="2893"/>
      <c r="Z216" s="2893"/>
      <c r="AA216" s="2893"/>
      <c r="AB216" s="2893"/>
      <c r="AC216" s="2893"/>
      <c r="AD216" s="2893"/>
      <c r="AE216" s="2893"/>
      <c r="AF216" s="2893"/>
      <c r="AG216" s="2893"/>
    </row>
    <row r="217" spans="1:33" ht="15" customHeight="1">
      <c r="A217" s="252"/>
      <c r="B217" s="2903" t="s">
        <v>734</v>
      </c>
      <c r="C217" s="2903"/>
      <c r="D217" s="2903"/>
      <c r="E217" s="2903"/>
      <c r="F217" s="6"/>
      <c r="G217" s="63"/>
      <c r="H217" s="797"/>
      <c r="I217" s="710"/>
      <c r="J217" s="582"/>
      <c r="K217" s="562"/>
      <c r="L217" s="710"/>
      <c r="M217" s="582"/>
      <c r="N217" s="562"/>
      <c r="O217" s="710"/>
      <c r="P217" s="582"/>
      <c r="Q217" s="562"/>
      <c r="R217" s="762"/>
      <c r="S217" s="762"/>
      <c r="T217" s="562"/>
      <c r="U217" s="762"/>
      <c r="V217" s="762"/>
      <c r="W217" s="562"/>
      <c r="X217" s="2893"/>
      <c r="Y217" s="2893"/>
      <c r="Z217" s="2893"/>
      <c r="AA217" s="2893"/>
      <c r="AB217" s="2893"/>
      <c r="AC217" s="2893"/>
      <c r="AD217" s="2893"/>
      <c r="AE217" s="2893"/>
      <c r="AF217" s="2893"/>
      <c r="AG217" s="2893"/>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911"/>
      <c r="Y218" s="2911"/>
      <c r="Z218" s="2911"/>
      <c r="AA218" s="2911"/>
      <c r="AB218" s="2911"/>
      <c r="AC218" s="2911"/>
      <c r="AD218" s="2911"/>
      <c r="AE218" s="2911"/>
      <c r="AF218" s="2911"/>
      <c r="AG218" s="2911"/>
    </row>
    <row r="219" spans="1:33" ht="14.9" customHeight="1">
      <c r="A219" s="252"/>
      <c r="B219" s="2903" t="s">
        <v>625</v>
      </c>
      <c r="C219" s="2903"/>
      <c r="D219" s="2903"/>
      <c r="E219" s="2903"/>
      <c r="F219" s="6"/>
      <c r="G219" s="65"/>
      <c r="H219" s="799"/>
      <c r="I219" s="710"/>
      <c r="J219" s="711"/>
      <c r="K219" s="628"/>
      <c r="L219" s="710"/>
      <c r="M219" s="711"/>
      <c r="N219" s="628"/>
      <c r="O219" s="710"/>
      <c r="P219" s="712"/>
      <c r="Q219" s="628"/>
      <c r="R219" s="762"/>
      <c r="S219" s="762"/>
      <c r="T219" s="628"/>
      <c r="U219" s="762"/>
      <c r="V219" s="762"/>
      <c r="W219" s="628"/>
      <c r="X219" s="2893"/>
      <c r="Y219" s="2893"/>
      <c r="Z219" s="2893"/>
      <c r="AA219" s="2893"/>
      <c r="AB219" s="2893"/>
      <c r="AC219" s="2893"/>
      <c r="AD219" s="2893"/>
      <c r="AE219" s="2893"/>
      <c r="AF219" s="2893"/>
      <c r="AG219" s="2893"/>
    </row>
    <row r="220" spans="1:33" ht="14.9" customHeight="1">
      <c r="A220" s="252"/>
      <c r="B220" s="2903" t="s">
        <v>626</v>
      </c>
      <c r="C220" s="2903"/>
      <c r="D220" s="2903"/>
      <c r="E220" s="2903"/>
      <c r="F220" s="6"/>
      <c r="G220" s="63"/>
      <c r="H220" s="480"/>
      <c r="I220" s="710"/>
      <c r="J220" s="582"/>
      <c r="K220" s="526"/>
      <c r="L220" s="710"/>
      <c r="M220" s="582"/>
      <c r="N220" s="526"/>
      <c r="O220" s="710"/>
      <c r="P220" s="582"/>
      <c r="Q220" s="526"/>
      <c r="R220" s="762"/>
      <c r="S220" s="762"/>
      <c r="T220" s="526"/>
      <c r="U220" s="762"/>
      <c r="V220" s="762"/>
      <c r="W220" s="526"/>
      <c r="X220" s="2893"/>
      <c r="Y220" s="2893"/>
      <c r="Z220" s="2893"/>
      <c r="AA220" s="2893"/>
      <c r="AB220" s="2893"/>
      <c r="AC220" s="2893"/>
      <c r="AD220" s="2893"/>
      <c r="AE220" s="2893"/>
      <c r="AF220" s="2893"/>
      <c r="AG220" s="2893"/>
    </row>
    <row r="221" spans="1:33" ht="14.9" customHeight="1">
      <c r="A221" s="252"/>
      <c r="B221" s="2903" t="s">
        <v>627</v>
      </c>
      <c r="C221" s="2903"/>
      <c r="D221" s="2903"/>
      <c r="E221" s="2903"/>
      <c r="F221" s="6"/>
      <c r="G221" s="63"/>
      <c r="H221" s="794"/>
      <c r="I221" s="710"/>
      <c r="J221" s="582"/>
      <c r="K221" s="561"/>
      <c r="L221" s="710"/>
      <c r="M221" s="582"/>
      <c r="N221" s="561"/>
      <c r="O221" s="710"/>
      <c r="P221" s="582"/>
      <c r="Q221" s="561"/>
      <c r="R221" s="762"/>
      <c r="S221" s="762"/>
      <c r="T221" s="561"/>
      <c r="U221" s="762"/>
      <c r="V221" s="762"/>
      <c r="W221" s="561"/>
      <c r="X221" s="2893"/>
      <c r="Y221" s="2893"/>
      <c r="Z221" s="2893"/>
      <c r="AA221" s="2893"/>
      <c r="AB221" s="2893"/>
      <c r="AC221" s="2893"/>
      <c r="AD221" s="2893"/>
      <c r="AE221" s="2893"/>
      <c r="AF221" s="2893"/>
      <c r="AG221" s="2893"/>
    </row>
    <row r="222" spans="1:33" ht="14.9" customHeight="1">
      <c r="A222" s="252"/>
      <c r="B222" s="2904" t="s">
        <v>628</v>
      </c>
      <c r="C222" s="2904"/>
      <c r="D222" s="2904"/>
      <c r="E222" s="2904"/>
      <c r="F222" s="6"/>
      <c r="G222" s="63"/>
      <c r="H222" s="480"/>
      <c r="I222" s="710"/>
      <c r="J222" s="582"/>
      <c r="K222" s="526"/>
      <c r="L222" s="710"/>
      <c r="M222" s="582"/>
      <c r="N222" s="526"/>
      <c r="O222" s="710"/>
      <c r="P222" s="582"/>
      <c r="Q222" s="526"/>
      <c r="R222" s="762"/>
      <c r="S222" s="762"/>
      <c r="T222" s="526"/>
      <c r="U222" s="762"/>
      <c r="V222" s="762"/>
      <c r="W222" s="526"/>
      <c r="X222" s="2893"/>
      <c r="Y222" s="2893"/>
      <c r="Z222" s="2893"/>
      <c r="AA222" s="2893"/>
      <c r="AB222" s="2893"/>
      <c r="AC222" s="2893"/>
      <c r="AD222" s="2893"/>
      <c r="AE222" s="2893"/>
      <c r="AF222" s="2893"/>
      <c r="AG222" s="2893"/>
    </row>
    <row r="223" spans="1:33" ht="32.9" customHeight="1">
      <c r="A223" s="252"/>
      <c r="B223" s="2904" t="s">
        <v>629</v>
      </c>
      <c r="C223" s="2904"/>
      <c r="D223" s="2904"/>
      <c r="E223" s="2904"/>
      <c r="F223" s="6"/>
      <c r="G223" s="65"/>
      <c r="H223" s="795"/>
      <c r="I223" s="710"/>
      <c r="J223" s="711"/>
      <c r="K223" s="568"/>
      <c r="L223" s="710"/>
      <c r="M223" s="711"/>
      <c r="N223" s="568"/>
      <c r="O223" s="710"/>
      <c r="P223" s="712"/>
      <c r="Q223" s="568"/>
      <c r="R223" s="762"/>
      <c r="S223" s="762"/>
      <c r="T223" s="568"/>
      <c r="U223" s="762"/>
      <c r="V223" s="762"/>
      <c r="W223" s="568"/>
      <c r="X223" s="2893"/>
      <c r="Y223" s="2893"/>
      <c r="Z223" s="2893"/>
      <c r="AA223" s="2893"/>
      <c r="AB223" s="2893"/>
      <c r="AC223" s="2893"/>
      <c r="AD223" s="2893"/>
      <c r="AE223" s="2893"/>
      <c r="AF223" s="2893"/>
      <c r="AG223" s="2893"/>
    </row>
    <row r="224" spans="1:33" ht="14.9" customHeight="1">
      <c r="A224" s="252"/>
      <c r="B224" s="2903" t="s">
        <v>630</v>
      </c>
      <c r="C224" s="2903"/>
      <c r="D224" s="2903"/>
      <c r="E224" s="2903"/>
      <c r="F224" s="6"/>
      <c r="G224" s="65"/>
      <c r="H224" s="480"/>
      <c r="I224" s="710"/>
      <c r="J224" s="711"/>
      <c r="K224" s="526"/>
      <c r="L224" s="710"/>
      <c r="M224" s="711"/>
      <c r="N224" s="526"/>
      <c r="O224" s="710"/>
      <c r="P224" s="712"/>
      <c r="Q224" s="526"/>
      <c r="R224" s="762"/>
      <c r="S224" s="762"/>
      <c r="T224" s="526"/>
      <c r="U224" s="762"/>
      <c r="V224" s="762"/>
      <c r="W224" s="526"/>
      <c r="X224" s="2893"/>
      <c r="Y224" s="2893"/>
      <c r="Z224" s="2893"/>
      <c r="AA224" s="2893"/>
      <c r="AB224" s="2893"/>
      <c r="AC224" s="2893"/>
      <c r="AD224" s="2893"/>
      <c r="AE224" s="2893"/>
      <c r="AF224" s="2893"/>
      <c r="AG224" s="2893"/>
    </row>
    <row r="225" spans="1:33" ht="14.9" customHeight="1">
      <c r="A225" s="252"/>
      <c r="B225" s="2904" t="s">
        <v>634</v>
      </c>
      <c r="C225" s="2904"/>
      <c r="D225" s="2904"/>
      <c r="E225" s="2904"/>
      <c r="F225" s="6"/>
      <c r="G225" s="65"/>
      <c r="H225" s="481"/>
      <c r="I225" s="710"/>
      <c r="J225" s="711"/>
      <c r="K225" s="553"/>
      <c r="L225" s="710"/>
      <c r="M225" s="711"/>
      <c r="N225" s="553"/>
      <c r="O225" s="710"/>
      <c r="P225" s="712"/>
      <c r="Q225" s="553"/>
      <c r="R225" s="762"/>
      <c r="S225" s="762"/>
      <c r="T225" s="553"/>
      <c r="U225" s="762"/>
      <c r="V225" s="762"/>
      <c r="W225" s="553"/>
      <c r="X225" s="2893"/>
      <c r="Y225" s="2893"/>
      <c r="Z225" s="2893"/>
      <c r="AA225" s="2893"/>
      <c r="AB225" s="2893"/>
      <c r="AC225" s="2893"/>
      <c r="AD225" s="2893"/>
      <c r="AE225" s="2893"/>
      <c r="AF225" s="2893"/>
      <c r="AG225" s="2893"/>
    </row>
    <row r="226" spans="1:33" ht="30.75" customHeight="1">
      <c r="A226" s="252"/>
      <c r="B226" s="2903" t="s">
        <v>1551</v>
      </c>
      <c r="C226" s="2903"/>
      <c r="D226" s="2903"/>
      <c r="E226" s="2903"/>
      <c r="F226" s="6"/>
      <c r="G226" s="65"/>
      <c r="H226" s="796"/>
      <c r="I226" s="710"/>
      <c r="J226" s="711"/>
      <c r="K226" s="619"/>
      <c r="L226" s="710"/>
      <c r="M226" s="711"/>
      <c r="N226" s="619"/>
      <c r="O226" s="710"/>
      <c r="P226" s="712"/>
      <c r="Q226" s="619"/>
      <c r="R226" s="762"/>
      <c r="S226" s="762"/>
      <c r="T226" s="619"/>
      <c r="U226" s="762"/>
      <c r="V226" s="762"/>
      <c r="W226" s="619"/>
      <c r="X226" s="2893"/>
      <c r="Y226" s="2893"/>
      <c r="Z226" s="2893"/>
      <c r="AA226" s="2893"/>
      <c r="AB226" s="2893"/>
      <c r="AC226" s="2893"/>
      <c r="AD226" s="2893"/>
      <c r="AE226" s="2893"/>
      <c r="AF226" s="2893"/>
      <c r="AG226" s="2893"/>
    </row>
    <row r="227" spans="1:33" ht="30.75" customHeight="1">
      <c r="A227" s="252"/>
      <c r="B227" s="2903" t="s">
        <v>1552</v>
      </c>
      <c r="C227" s="2903"/>
      <c r="D227" s="2903"/>
      <c r="E227" s="2903"/>
      <c r="F227" s="6"/>
      <c r="G227" s="65"/>
      <c r="H227" s="796"/>
      <c r="I227" s="710"/>
      <c r="J227" s="711"/>
      <c r="K227" s="619"/>
      <c r="L227" s="710"/>
      <c r="M227" s="711"/>
      <c r="N227" s="619"/>
      <c r="O227" s="710"/>
      <c r="P227" s="712"/>
      <c r="Q227" s="619"/>
      <c r="R227" s="762"/>
      <c r="S227" s="762"/>
      <c r="T227" s="619"/>
      <c r="U227" s="762"/>
      <c r="V227" s="762"/>
      <c r="W227" s="619"/>
      <c r="X227" s="2893"/>
      <c r="Y227" s="2893"/>
      <c r="Z227" s="2893"/>
      <c r="AA227" s="2893"/>
      <c r="AB227" s="2893"/>
      <c r="AC227" s="2893"/>
      <c r="AD227" s="2893"/>
      <c r="AE227" s="2893"/>
      <c r="AF227" s="2893"/>
      <c r="AG227" s="2893"/>
    </row>
    <row r="228" spans="1:33" ht="32.9" customHeight="1">
      <c r="A228" s="252"/>
      <c r="B228" s="2903" t="s">
        <v>331</v>
      </c>
      <c r="C228" s="2903"/>
      <c r="D228" s="2903"/>
      <c r="E228" s="2903"/>
      <c r="F228" s="6"/>
      <c r="G228" s="65"/>
      <c r="H228" s="480"/>
      <c r="I228" s="710"/>
      <c r="J228" s="711"/>
      <c r="K228" s="526"/>
      <c r="L228" s="710"/>
      <c r="M228" s="711"/>
      <c r="N228" s="526"/>
      <c r="O228" s="710"/>
      <c r="P228" s="712"/>
      <c r="Q228" s="526"/>
      <c r="R228" s="762"/>
      <c r="S228" s="762"/>
      <c r="T228" s="526"/>
      <c r="U228" s="762"/>
      <c r="V228" s="762"/>
      <c r="W228" s="526"/>
      <c r="X228" s="2893"/>
      <c r="Y228" s="2893"/>
      <c r="Z228" s="2893"/>
      <c r="AA228" s="2893"/>
      <c r="AB228" s="2893"/>
      <c r="AC228" s="2893"/>
      <c r="AD228" s="2893"/>
      <c r="AE228" s="2893"/>
      <c r="AF228" s="2893"/>
      <c r="AG228" s="2893"/>
    </row>
    <row r="229" spans="1:33" ht="14.9" customHeight="1">
      <c r="A229" s="252"/>
      <c r="B229" s="2904" t="s">
        <v>332</v>
      </c>
      <c r="C229" s="2904"/>
      <c r="D229" s="2904"/>
      <c r="E229" s="2904"/>
      <c r="F229" s="6"/>
      <c r="G229" s="63"/>
      <c r="H229" s="480"/>
      <c r="I229" s="710"/>
      <c r="J229" s="582"/>
      <c r="K229" s="526"/>
      <c r="L229" s="710"/>
      <c r="M229" s="582"/>
      <c r="N229" s="526"/>
      <c r="O229" s="710"/>
      <c r="P229" s="582"/>
      <c r="Q229" s="526"/>
      <c r="R229" s="762"/>
      <c r="S229" s="762"/>
      <c r="T229" s="526"/>
      <c r="U229" s="762"/>
      <c r="V229" s="762"/>
      <c r="W229" s="526"/>
      <c r="X229" s="2893"/>
      <c r="Y229" s="2893"/>
      <c r="Z229" s="2893"/>
      <c r="AA229" s="2893"/>
      <c r="AB229" s="2893"/>
      <c r="AC229" s="2893"/>
      <c r="AD229" s="2893"/>
      <c r="AE229" s="2893"/>
      <c r="AF229" s="2893"/>
      <c r="AG229" s="2893"/>
    </row>
    <row r="230" spans="1:33" ht="14.9" customHeight="1">
      <c r="A230" s="252"/>
      <c r="B230" s="2903" t="s">
        <v>333</v>
      </c>
      <c r="C230" s="2903"/>
      <c r="D230" s="2903"/>
      <c r="E230" s="2903"/>
      <c r="F230" s="6"/>
      <c r="G230" s="65"/>
      <c r="H230" s="480"/>
      <c r="I230" s="710"/>
      <c r="J230" s="711"/>
      <c r="K230" s="526"/>
      <c r="L230" s="710"/>
      <c r="M230" s="711"/>
      <c r="N230" s="526"/>
      <c r="O230" s="710"/>
      <c r="P230" s="712"/>
      <c r="Q230" s="526"/>
      <c r="R230" s="762"/>
      <c r="S230" s="762"/>
      <c r="T230" s="526"/>
      <c r="U230" s="762"/>
      <c r="V230" s="762"/>
      <c r="W230" s="526"/>
      <c r="X230" s="2893"/>
      <c r="Y230" s="2893"/>
      <c r="Z230" s="2893"/>
      <c r="AA230" s="2893"/>
      <c r="AB230" s="2893"/>
      <c r="AC230" s="2893"/>
      <c r="AD230" s="2893"/>
      <c r="AE230" s="2893"/>
      <c r="AF230" s="2893"/>
      <c r="AG230" s="2893"/>
    </row>
    <row r="231" spans="1:33" ht="14.9" customHeight="1">
      <c r="A231" s="252"/>
      <c r="B231" s="2903" t="s">
        <v>334</v>
      </c>
      <c r="C231" s="2903"/>
      <c r="D231" s="2903"/>
      <c r="E231" s="2903"/>
      <c r="F231" s="6"/>
      <c r="G231" s="63"/>
      <c r="H231" s="480"/>
      <c r="I231" s="710"/>
      <c r="J231" s="582"/>
      <c r="K231" s="526"/>
      <c r="L231" s="710"/>
      <c r="M231" s="582"/>
      <c r="N231" s="526"/>
      <c r="O231" s="710"/>
      <c r="P231" s="582"/>
      <c r="Q231" s="526"/>
      <c r="R231" s="762"/>
      <c r="S231" s="762"/>
      <c r="T231" s="526"/>
      <c r="U231" s="762"/>
      <c r="V231" s="762"/>
      <c r="W231" s="526"/>
      <c r="X231" s="2893"/>
      <c r="Y231" s="2893"/>
      <c r="Z231" s="2893"/>
      <c r="AA231" s="2893"/>
      <c r="AB231" s="2893"/>
      <c r="AC231" s="2893"/>
      <c r="AD231" s="2893"/>
      <c r="AE231" s="2893"/>
      <c r="AF231" s="2893"/>
      <c r="AG231" s="2893"/>
    </row>
    <row r="232" spans="1:33" ht="14.9" customHeight="1">
      <c r="A232" s="252"/>
      <c r="B232" s="2904" t="s">
        <v>335</v>
      </c>
      <c r="C232" s="2904"/>
      <c r="D232" s="2904"/>
      <c r="E232" s="2904"/>
      <c r="H232" s="480"/>
      <c r="I232" s="713"/>
      <c r="J232" s="713"/>
      <c r="K232" s="526"/>
      <c r="L232" s="713"/>
      <c r="M232" s="713"/>
      <c r="N232" s="526"/>
      <c r="O232" s="713"/>
      <c r="P232" s="713"/>
      <c r="Q232" s="526"/>
      <c r="R232" s="762"/>
      <c r="S232" s="762"/>
      <c r="T232" s="526"/>
      <c r="U232" s="762"/>
      <c r="V232" s="762"/>
      <c r="W232" s="526"/>
      <c r="X232" s="2893"/>
      <c r="Y232" s="2893"/>
      <c r="Z232" s="2893"/>
      <c r="AA232" s="2893"/>
      <c r="AB232" s="2893"/>
      <c r="AC232" s="2893"/>
      <c r="AD232" s="2893"/>
      <c r="AE232" s="2893"/>
      <c r="AF232" s="2893"/>
      <c r="AG232" s="2893"/>
    </row>
    <row r="233" spans="1:33" ht="14.9" customHeight="1">
      <c r="A233" s="252"/>
      <c r="B233" s="2903" t="s">
        <v>336</v>
      </c>
      <c r="C233" s="2903"/>
      <c r="D233" s="2903"/>
      <c r="E233" s="2903"/>
      <c r="F233" s="6"/>
      <c r="G233" s="63"/>
      <c r="H233" s="480"/>
      <c r="I233" s="710"/>
      <c r="J233" s="582"/>
      <c r="K233" s="526"/>
      <c r="L233" s="710"/>
      <c r="M233" s="582"/>
      <c r="N233" s="526"/>
      <c r="O233" s="710"/>
      <c r="P233" s="582"/>
      <c r="Q233" s="526"/>
      <c r="R233" s="762"/>
      <c r="S233" s="762"/>
      <c r="T233" s="526"/>
      <c r="U233" s="762"/>
      <c r="V233" s="762"/>
      <c r="W233" s="526"/>
      <c r="X233" s="2893"/>
      <c r="Y233" s="2893"/>
      <c r="Z233" s="2893"/>
      <c r="AA233" s="2893"/>
      <c r="AB233" s="2893"/>
      <c r="AC233" s="2893"/>
      <c r="AD233" s="2893"/>
      <c r="AE233" s="2893"/>
      <c r="AF233" s="2893"/>
      <c r="AG233" s="2893"/>
    </row>
    <row r="234" spans="1:33" ht="32.9" customHeight="1">
      <c r="A234" s="252"/>
      <c r="B234" s="2903" t="s">
        <v>337</v>
      </c>
      <c r="C234" s="2903"/>
      <c r="D234" s="2903"/>
      <c r="E234" s="2903"/>
      <c r="F234" s="6"/>
      <c r="G234" s="63"/>
      <c r="H234" s="480"/>
      <c r="I234" s="710"/>
      <c r="J234" s="582"/>
      <c r="K234" s="526"/>
      <c r="L234" s="710"/>
      <c r="M234" s="582"/>
      <c r="N234" s="526"/>
      <c r="O234" s="710"/>
      <c r="P234" s="582"/>
      <c r="Q234" s="526"/>
      <c r="R234" s="762"/>
      <c r="S234" s="762"/>
      <c r="T234" s="526"/>
      <c r="U234" s="762"/>
      <c r="V234" s="762"/>
      <c r="W234" s="526"/>
      <c r="X234" s="2893"/>
      <c r="Y234" s="2893"/>
      <c r="Z234" s="2893"/>
      <c r="AA234" s="2893"/>
      <c r="AB234" s="2893"/>
      <c r="AC234" s="2893"/>
      <c r="AD234" s="2893"/>
      <c r="AE234" s="2893"/>
      <c r="AF234" s="2893"/>
      <c r="AG234" s="2893"/>
    </row>
    <row r="235" spans="1:33" ht="32.9" customHeight="1">
      <c r="A235" s="252"/>
      <c r="B235" s="2903" t="s">
        <v>338</v>
      </c>
      <c r="C235" s="2903"/>
      <c r="D235" s="2903"/>
      <c r="E235" s="2903"/>
      <c r="F235" s="6"/>
      <c r="G235" s="63"/>
      <c r="H235" s="480"/>
      <c r="I235" s="710"/>
      <c r="J235" s="582"/>
      <c r="K235" s="526"/>
      <c r="L235" s="710"/>
      <c r="M235" s="582"/>
      <c r="N235" s="526"/>
      <c r="O235" s="710"/>
      <c r="P235" s="582"/>
      <c r="Q235" s="526"/>
      <c r="R235" s="762"/>
      <c r="S235" s="762"/>
      <c r="T235" s="526"/>
      <c r="U235" s="762"/>
      <c r="V235" s="762"/>
      <c r="W235" s="526"/>
      <c r="X235" s="2893"/>
      <c r="Y235" s="2893"/>
      <c r="Z235" s="2893"/>
      <c r="AA235" s="2893"/>
      <c r="AB235" s="2893"/>
      <c r="AC235" s="2893"/>
      <c r="AD235" s="2893"/>
      <c r="AE235" s="2893"/>
      <c r="AF235" s="2893"/>
      <c r="AG235" s="2893"/>
    </row>
    <row r="236" spans="1:33" ht="14.9" customHeight="1">
      <c r="A236" s="252"/>
      <c r="B236" s="2903" t="s">
        <v>735</v>
      </c>
      <c r="C236" s="2903"/>
      <c r="D236" s="2903"/>
      <c r="E236" s="2903"/>
      <c r="F236" s="6"/>
      <c r="G236" s="63"/>
      <c r="H236" s="480"/>
      <c r="I236" s="710"/>
      <c r="J236" s="582"/>
      <c r="K236" s="526"/>
      <c r="L236" s="710"/>
      <c r="M236" s="582"/>
      <c r="N236" s="526"/>
      <c r="O236" s="710"/>
      <c r="P236" s="582"/>
      <c r="Q236" s="526"/>
      <c r="R236" s="762"/>
      <c r="S236" s="762"/>
      <c r="T236" s="526"/>
      <c r="U236" s="762"/>
      <c r="V236" s="762"/>
      <c r="W236" s="526"/>
      <c r="X236" s="2893"/>
      <c r="Y236" s="2893"/>
      <c r="Z236" s="2893"/>
      <c r="AA236" s="2893"/>
      <c r="AB236" s="2893"/>
      <c r="AC236" s="2893"/>
      <c r="AD236" s="2893"/>
      <c r="AE236" s="2893"/>
      <c r="AF236" s="2893"/>
      <c r="AG236" s="2893"/>
    </row>
    <row r="237" spans="1:33" ht="14.9" customHeight="1">
      <c r="A237" s="252"/>
      <c r="B237" s="2903" t="s">
        <v>734</v>
      </c>
      <c r="C237" s="2903"/>
      <c r="D237" s="2903"/>
      <c r="E237" s="2903"/>
      <c r="F237" s="6"/>
      <c r="G237" s="63"/>
      <c r="H237" s="797"/>
      <c r="I237" s="710"/>
      <c r="J237" s="582"/>
      <c r="K237" s="562"/>
      <c r="L237" s="710"/>
      <c r="M237" s="582"/>
      <c r="N237" s="562"/>
      <c r="O237" s="710"/>
      <c r="P237" s="582"/>
      <c r="Q237" s="562"/>
      <c r="R237" s="762"/>
      <c r="S237" s="762"/>
      <c r="T237" s="562"/>
      <c r="U237" s="762"/>
      <c r="V237" s="762"/>
      <c r="W237" s="562"/>
      <c r="X237" s="2893"/>
      <c r="Y237" s="2893"/>
      <c r="Z237" s="2893"/>
      <c r="AA237" s="2893"/>
      <c r="AB237" s="2893"/>
      <c r="AC237" s="2893"/>
      <c r="AD237" s="2893"/>
      <c r="AE237" s="2893"/>
      <c r="AF237" s="2893"/>
      <c r="AG237" s="2893"/>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911"/>
      <c r="Y238" s="2911"/>
      <c r="Z238" s="2911"/>
      <c r="AA238" s="2911"/>
      <c r="AB238" s="2911"/>
      <c r="AC238" s="2911"/>
      <c r="AD238" s="2911"/>
      <c r="AE238" s="2911"/>
      <c r="AF238" s="2911"/>
      <c r="AG238" s="2911"/>
    </row>
    <row r="239" spans="1:33" ht="14.9" customHeight="1">
      <c r="A239" s="252"/>
      <c r="B239" s="2903" t="s">
        <v>625</v>
      </c>
      <c r="C239" s="2903"/>
      <c r="D239" s="2903"/>
      <c r="E239" s="2903"/>
      <c r="F239" s="6"/>
      <c r="G239" s="65"/>
      <c r="H239" s="799"/>
      <c r="I239" s="710"/>
      <c r="J239" s="711"/>
      <c r="K239" s="628"/>
      <c r="L239" s="710"/>
      <c r="M239" s="711"/>
      <c r="N239" s="628"/>
      <c r="O239" s="710"/>
      <c r="P239" s="712"/>
      <c r="Q239" s="628"/>
      <c r="R239" s="762"/>
      <c r="S239" s="762"/>
      <c r="T239" s="628"/>
      <c r="U239" s="762"/>
      <c r="V239" s="762"/>
      <c r="W239" s="628"/>
      <c r="X239" s="2893"/>
      <c r="Y239" s="2893"/>
      <c r="Z239" s="2893"/>
      <c r="AA239" s="2893"/>
      <c r="AB239" s="2893"/>
      <c r="AC239" s="2893"/>
      <c r="AD239" s="2893"/>
      <c r="AE239" s="2893"/>
      <c r="AF239" s="2893"/>
      <c r="AG239" s="2893"/>
    </row>
    <row r="240" spans="1:33" ht="14.9" customHeight="1">
      <c r="A240" s="252"/>
      <c r="B240" s="2903" t="s">
        <v>626</v>
      </c>
      <c r="C240" s="2903"/>
      <c r="D240" s="2903"/>
      <c r="E240" s="2903"/>
      <c r="F240" s="6"/>
      <c r="G240" s="63"/>
      <c r="H240" s="480"/>
      <c r="I240" s="710"/>
      <c r="J240" s="582"/>
      <c r="K240" s="526"/>
      <c r="L240" s="710"/>
      <c r="M240" s="582"/>
      <c r="N240" s="526"/>
      <c r="O240" s="710"/>
      <c r="P240" s="582"/>
      <c r="Q240" s="526"/>
      <c r="R240" s="762"/>
      <c r="S240" s="762"/>
      <c r="T240" s="526"/>
      <c r="U240" s="762"/>
      <c r="V240" s="762"/>
      <c r="W240" s="526"/>
      <c r="X240" s="2893"/>
      <c r="Y240" s="2893"/>
      <c r="Z240" s="2893"/>
      <c r="AA240" s="2893"/>
      <c r="AB240" s="2893"/>
      <c r="AC240" s="2893"/>
      <c r="AD240" s="2893"/>
      <c r="AE240" s="2893"/>
      <c r="AF240" s="2893"/>
      <c r="AG240" s="2893"/>
    </row>
    <row r="241" spans="1:33" ht="14.9" customHeight="1">
      <c r="A241" s="252"/>
      <c r="B241" s="2903" t="s">
        <v>627</v>
      </c>
      <c r="C241" s="2903"/>
      <c r="D241" s="2903"/>
      <c r="E241" s="2903"/>
      <c r="F241" s="6"/>
      <c r="G241" s="63"/>
      <c r="H241" s="794"/>
      <c r="I241" s="710"/>
      <c r="J241" s="582"/>
      <c r="K241" s="561"/>
      <c r="L241" s="710"/>
      <c r="M241" s="582"/>
      <c r="N241" s="561"/>
      <c r="O241" s="710"/>
      <c r="P241" s="582"/>
      <c r="Q241" s="561"/>
      <c r="R241" s="762"/>
      <c r="S241" s="762"/>
      <c r="T241" s="561"/>
      <c r="U241" s="762"/>
      <c r="V241" s="762"/>
      <c r="W241" s="561"/>
      <c r="X241" s="2893"/>
      <c r="Y241" s="2893"/>
      <c r="Z241" s="2893"/>
      <c r="AA241" s="2893"/>
      <c r="AB241" s="2893"/>
      <c r="AC241" s="2893"/>
      <c r="AD241" s="2893"/>
      <c r="AE241" s="2893"/>
      <c r="AF241" s="2893"/>
      <c r="AG241" s="2893"/>
    </row>
    <row r="242" spans="1:33" ht="14.9" customHeight="1">
      <c r="A242" s="252"/>
      <c r="B242" s="2904" t="s">
        <v>628</v>
      </c>
      <c r="C242" s="2904"/>
      <c r="D242" s="2904"/>
      <c r="E242" s="2904"/>
      <c r="F242" s="6"/>
      <c r="G242" s="63"/>
      <c r="H242" s="480"/>
      <c r="I242" s="710"/>
      <c r="J242" s="582"/>
      <c r="K242" s="526"/>
      <c r="L242" s="710"/>
      <c r="M242" s="582"/>
      <c r="N242" s="526"/>
      <c r="O242" s="710"/>
      <c r="P242" s="582"/>
      <c r="Q242" s="526"/>
      <c r="R242" s="762"/>
      <c r="S242" s="762"/>
      <c r="T242" s="526"/>
      <c r="U242" s="762"/>
      <c r="V242" s="762"/>
      <c r="W242" s="526"/>
      <c r="X242" s="2893"/>
      <c r="Y242" s="2893"/>
      <c r="Z242" s="2893"/>
      <c r="AA242" s="2893"/>
      <c r="AB242" s="2893"/>
      <c r="AC242" s="2893"/>
      <c r="AD242" s="2893"/>
      <c r="AE242" s="2893"/>
      <c r="AF242" s="2893"/>
      <c r="AG242" s="2893"/>
    </row>
    <row r="243" spans="1:33" ht="32.9" customHeight="1">
      <c r="A243" s="252"/>
      <c r="B243" s="2904" t="s">
        <v>629</v>
      </c>
      <c r="C243" s="2904"/>
      <c r="D243" s="2904"/>
      <c r="E243" s="2904"/>
      <c r="F243" s="6"/>
      <c r="G243" s="65"/>
      <c r="H243" s="795"/>
      <c r="I243" s="710"/>
      <c r="J243" s="711"/>
      <c r="K243" s="568"/>
      <c r="L243" s="710"/>
      <c r="M243" s="711"/>
      <c r="N243" s="568"/>
      <c r="O243" s="710"/>
      <c r="P243" s="712"/>
      <c r="Q243" s="568"/>
      <c r="R243" s="762"/>
      <c r="S243" s="762"/>
      <c r="T243" s="568"/>
      <c r="U243" s="762"/>
      <c r="V243" s="762"/>
      <c r="W243" s="568"/>
      <c r="X243" s="2893"/>
      <c r="Y243" s="2893"/>
      <c r="Z243" s="2893"/>
      <c r="AA243" s="2893"/>
      <c r="AB243" s="2893"/>
      <c r="AC243" s="2893"/>
      <c r="AD243" s="2893"/>
      <c r="AE243" s="2893"/>
      <c r="AF243" s="2893"/>
      <c r="AG243" s="2893"/>
    </row>
    <row r="244" spans="1:33" ht="14.9" customHeight="1">
      <c r="A244" s="252"/>
      <c r="B244" s="2903" t="s">
        <v>630</v>
      </c>
      <c r="C244" s="2903"/>
      <c r="D244" s="2903"/>
      <c r="E244" s="2903"/>
      <c r="F244" s="6"/>
      <c r="G244" s="65"/>
      <c r="H244" s="480"/>
      <c r="I244" s="710"/>
      <c r="J244" s="711"/>
      <c r="K244" s="526"/>
      <c r="L244" s="710"/>
      <c r="M244" s="711"/>
      <c r="N244" s="526"/>
      <c r="O244" s="710"/>
      <c r="P244" s="712"/>
      <c r="Q244" s="526"/>
      <c r="R244" s="762"/>
      <c r="S244" s="762"/>
      <c r="T244" s="526"/>
      <c r="U244" s="762"/>
      <c r="V244" s="762"/>
      <c r="W244" s="526"/>
      <c r="X244" s="2893"/>
      <c r="Y244" s="2893"/>
      <c r="Z244" s="2893"/>
      <c r="AA244" s="2893"/>
      <c r="AB244" s="2893"/>
      <c r="AC244" s="2893"/>
      <c r="AD244" s="2893"/>
      <c r="AE244" s="2893"/>
      <c r="AF244" s="2893"/>
      <c r="AG244" s="2893"/>
    </row>
    <row r="245" spans="1:33" ht="14.9" customHeight="1">
      <c r="A245" s="252"/>
      <c r="B245" s="2904" t="s">
        <v>634</v>
      </c>
      <c r="C245" s="2904"/>
      <c r="D245" s="2904"/>
      <c r="E245" s="2904"/>
      <c r="F245" s="6"/>
      <c r="G245" s="65"/>
      <c r="H245" s="481"/>
      <c r="I245" s="710"/>
      <c r="J245" s="711"/>
      <c r="K245" s="553"/>
      <c r="L245" s="710"/>
      <c r="M245" s="711"/>
      <c r="N245" s="553"/>
      <c r="O245" s="710"/>
      <c r="P245" s="712"/>
      <c r="Q245" s="553"/>
      <c r="R245" s="762"/>
      <c r="S245" s="762"/>
      <c r="T245" s="553"/>
      <c r="U245" s="762"/>
      <c r="V245" s="762"/>
      <c r="W245" s="553"/>
      <c r="X245" s="2893"/>
      <c r="Y245" s="2893"/>
      <c r="Z245" s="2893"/>
      <c r="AA245" s="2893"/>
      <c r="AB245" s="2893"/>
      <c r="AC245" s="2893"/>
      <c r="AD245" s="2893"/>
      <c r="AE245" s="2893"/>
      <c r="AF245" s="2893"/>
      <c r="AG245" s="2893"/>
    </row>
    <row r="246" spans="1:33" ht="32.15" customHeight="1">
      <c r="A246" s="252"/>
      <c r="B246" s="2903" t="s">
        <v>1551</v>
      </c>
      <c r="C246" s="2903"/>
      <c r="D246" s="2903"/>
      <c r="E246" s="2903"/>
      <c r="F246" s="6"/>
      <c r="G246" s="65"/>
      <c r="H246" s="796"/>
      <c r="I246" s="710"/>
      <c r="J246" s="711"/>
      <c r="K246" s="619"/>
      <c r="L246" s="710"/>
      <c r="M246" s="711"/>
      <c r="N246" s="619"/>
      <c r="O246" s="710"/>
      <c r="P246" s="712"/>
      <c r="Q246" s="619"/>
      <c r="R246" s="762"/>
      <c r="S246" s="762"/>
      <c r="T246" s="619"/>
      <c r="U246" s="762"/>
      <c r="V246" s="762"/>
      <c r="W246" s="619"/>
      <c r="X246" s="2893"/>
      <c r="Y246" s="2893"/>
      <c r="Z246" s="2893"/>
      <c r="AA246" s="2893"/>
      <c r="AB246" s="2893"/>
      <c r="AC246" s="2893"/>
      <c r="AD246" s="2893"/>
      <c r="AE246" s="2893"/>
      <c r="AF246" s="2893"/>
      <c r="AG246" s="2893"/>
    </row>
    <row r="247" spans="1:33" ht="32.15" customHeight="1">
      <c r="A247" s="252"/>
      <c r="B247" s="2903" t="s">
        <v>1552</v>
      </c>
      <c r="C247" s="2903"/>
      <c r="D247" s="2903"/>
      <c r="E247" s="2903"/>
      <c r="F247" s="6"/>
      <c r="G247" s="65"/>
      <c r="H247" s="796"/>
      <c r="I247" s="710"/>
      <c r="J247" s="711"/>
      <c r="K247" s="619"/>
      <c r="L247" s="710"/>
      <c r="M247" s="711"/>
      <c r="N247" s="619"/>
      <c r="O247" s="710"/>
      <c r="P247" s="712"/>
      <c r="Q247" s="619"/>
      <c r="R247" s="762"/>
      <c r="S247" s="762"/>
      <c r="T247" s="619"/>
      <c r="U247" s="762"/>
      <c r="V247" s="762"/>
      <c r="W247" s="619"/>
      <c r="X247" s="2893"/>
      <c r="Y247" s="2893"/>
      <c r="Z247" s="2893"/>
      <c r="AA247" s="2893"/>
      <c r="AB247" s="2893"/>
      <c r="AC247" s="2893"/>
      <c r="AD247" s="2893"/>
      <c r="AE247" s="2893"/>
      <c r="AF247" s="2893"/>
      <c r="AG247" s="2893"/>
    </row>
    <row r="248" spans="1:33" ht="32.9" customHeight="1">
      <c r="A248" s="252"/>
      <c r="B248" s="2903" t="s">
        <v>331</v>
      </c>
      <c r="C248" s="2903"/>
      <c r="D248" s="2903"/>
      <c r="E248" s="2903"/>
      <c r="F248" s="6"/>
      <c r="G248" s="65"/>
      <c r="H248" s="480"/>
      <c r="I248" s="710"/>
      <c r="J248" s="711"/>
      <c r="K248" s="526"/>
      <c r="L248" s="710"/>
      <c r="M248" s="711"/>
      <c r="N248" s="526"/>
      <c r="O248" s="710"/>
      <c r="P248" s="712"/>
      <c r="Q248" s="526"/>
      <c r="R248" s="762"/>
      <c r="S248" s="762"/>
      <c r="T248" s="526"/>
      <c r="U248" s="762"/>
      <c r="V248" s="762"/>
      <c r="W248" s="526"/>
      <c r="X248" s="2893"/>
      <c r="Y248" s="2893"/>
      <c r="Z248" s="2893"/>
      <c r="AA248" s="2893"/>
      <c r="AB248" s="2893"/>
      <c r="AC248" s="2893"/>
      <c r="AD248" s="2893"/>
      <c r="AE248" s="2893"/>
      <c r="AF248" s="2893"/>
      <c r="AG248" s="2893"/>
    </row>
    <row r="249" spans="1:33" ht="14.9" customHeight="1">
      <c r="A249" s="252"/>
      <c r="B249" s="2904" t="s">
        <v>332</v>
      </c>
      <c r="C249" s="2904"/>
      <c r="D249" s="2904"/>
      <c r="E249" s="2904"/>
      <c r="F249" s="6"/>
      <c r="G249" s="63"/>
      <c r="H249" s="480"/>
      <c r="I249" s="710"/>
      <c r="J249" s="582"/>
      <c r="K249" s="526"/>
      <c r="L249" s="710"/>
      <c r="M249" s="582"/>
      <c r="N249" s="526"/>
      <c r="O249" s="710"/>
      <c r="P249" s="582"/>
      <c r="Q249" s="526"/>
      <c r="R249" s="762"/>
      <c r="S249" s="762"/>
      <c r="T249" s="526"/>
      <c r="U249" s="762"/>
      <c r="V249" s="762"/>
      <c r="W249" s="526"/>
      <c r="X249" s="2893"/>
      <c r="Y249" s="2893"/>
      <c r="Z249" s="2893"/>
      <c r="AA249" s="2893"/>
      <c r="AB249" s="2893"/>
      <c r="AC249" s="2893"/>
      <c r="AD249" s="2893"/>
      <c r="AE249" s="2893"/>
      <c r="AF249" s="2893"/>
      <c r="AG249" s="2893"/>
    </row>
    <row r="250" spans="1:33" ht="14.9" customHeight="1">
      <c r="A250" s="252"/>
      <c r="B250" s="2903" t="s">
        <v>333</v>
      </c>
      <c r="C250" s="2903"/>
      <c r="D250" s="2903"/>
      <c r="E250" s="2903"/>
      <c r="F250" s="6"/>
      <c r="G250" s="65"/>
      <c r="H250" s="480"/>
      <c r="I250" s="710"/>
      <c r="J250" s="711"/>
      <c r="K250" s="526"/>
      <c r="L250" s="710"/>
      <c r="M250" s="711"/>
      <c r="N250" s="526"/>
      <c r="O250" s="710"/>
      <c r="P250" s="712"/>
      <c r="Q250" s="526"/>
      <c r="R250" s="762"/>
      <c r="S250" s="762"/>
      <c r="T250" s="526"/>
      <c r="U250" s="762"/>
      <c r="V250" s="762"/>
      <c r="W250" s="526"/>
      <c r="X250" s="2893"/>
      <c r="Y250" s="2893"/>
      <c r="Z250" s="2893"/>
      <c r="AA250" s="2893"/>
      <c r="AB250" s="2893"/>
      <c r="AC250" s="2893"/>
      <c r="AD250" s="2893"/>
      <c r="AE250" s="2893"/>
      <c r="AF250" s="2893"/>
      <c r="AG250" s="2893"/>
    </row>
    <row r="251" spans="1:33" ht="14.9" customHeight="1">
      <c r="A251" s="252"/>
      <c r="B251" s="2903" t="s">
        <v>334</v>
      </c>
      <c r="C251" s="2903"/>
      <c r="D251" s="2903"/>
      <c r="E251" s="2903"/>
      <c r="F251" s="6"/>
      <c r="G251" s="63"/>
      <c r="H251" s="480"/>
      <c r="I251" s="710"/>
      <c r="J251" s="582"/>
      <c r="K251" s="526"/>
      <c r="L251" s="710"/>
      <c r="M251" s="582"/>
      <c r="N251" s="526"/>
      <c r="O251" s="710"/>
      <c r="P251" s="582"/>
      <c r="Q251" s="526"/>
      <c r="R251" s="762"/>
      <c r="S251" s="762"/>
      <c r="T251" s="526"/>
      <c r="U251" s="762"/>
      <c r="V251" s="762"/>
      <c r="W251" s="526"/>
      <c r="X251" s="2893"/>
      <c r="Y251" s="2893"/>
      <c r="Z251" s="2893"/>
      <c r="AA251" s="2893"/>
      <c r="AB251" s="2893"/>
      <c r="AC251" s="2893"/>
      <c r="AD251" s="2893"/>
      <c r="AE251" s="2893"/>
      <c r="AF251" s="2893"/>
      <c r="AG251" s="2893"/>
    </row>
    <row r="252" spans="1:33" ht="14.9" customHeight="1">
      <c r="A252" s="252"/>
      <c r="B252" s="2904" t="s">
        <v>335</v>
      </c>
      <c r="C252" s="2904"/>
      <c r="D252" s="2904"/>
      <c r="E252" s="2904"/>
      <c r="H252" s="480"/>
      <c r="I252" s="713"/>
      <c r="J252" s="713"/>
      <c r="K252" s="526"/>
      <c r="L252" s="713"/>
      <c r="M252" s="713"/>
      <c r="N252" s="526"/>
      <c r="O252" s="713"/>
      <c r="P252" s="713"/>
      <c r="Q252" s="526"/>
      <c r="R252" s="762"/>
      <c r="S252" s="762"/>
      <c r="T252" s="526"/>
      <c r="U252" s="762"/>
      <c r="V252" s="762"/>
      <c r="W252" s="526"/>
      <c r="X252" s="2893"/>
      <c r="Y252" s="2893"/>
      <c r="Z252" s="2893"/>
      <c r="AA252" s="2893"/>
      <c r="AB252" s="2893"/>
      <c r="AC252" s="2893"/>
      <c r="AD252" s="2893"/>
      <c r="AE252" s="2893"/>
      <c r="AF252" s="2893"/>
      <c r="AG252" s="2893"/>
    </row>
    <row r="253" spans="1:33" ht="14.9" customHeight="1">
      <c r="A253" s="252"/>
      <c r="B253" s="2903" t="s">
        <v>336</v>
      </c>
      <c r="C253" s="2903"/>
      <c r="D253" s="2903"/>
      <c r="E253" s="2903"/>
      <c r="F253" s="6"/>
      <c r="G253" s="63"/>
      <c r="H253" s="480"/>
      <c r="I253" s="710"/>
      <c r="J253" s="582"/>
      <c r="K253" s="526"/>
      <c r="L253" s="710"/>
      <c r="M253" s="582"/>
      <c r="N253" s="526"/>
      <c r="O253" s="710"/>
      <c r="P253" s="582"/>
      <c r="Q253" s="526"/>
      <c r="R253" s="762"/>
      <c r="S253" s="762"/>
      <c r="T253" s="526"/>
      <c r="U253" s="762"/>
      <c r="V253" s="762"/>
      <c r="W253" s="526"/>
      <c r="X253" s="2893"/>
      <c r="Y253" s="2893"/>
      <c r="Z253" s="2893"/>
      <c r="AA253" s="2893"/>
      <c r="AB253" s="2893"/>
      <c r="AC253" s="2893"/>
      <c r="AD253" s="2893"/>
      <c r="AE253" s="2893"/>
      <c r="AF253" s="2893"/>
      <c r="AG253" s="2893"/>
    </row>
    <row r="254" spans="1:33" ht="32.9" customHeight="1">
      <c r="A254" s="252"/>
      <c r="B254" s="2903" t="s">
        <v>337</v>
      </c>
      <c r="C254" s="2903"/>
      <c r="D254" s="2903"/>
      <c r="E254" s="2903"/>
      <c r="F254" s="6"/>
      <c r="G254" s="63"/>
      <c r="H254" s="480"/>
      <c r="I254" s="710"/>
      <c r="J254" s="582"/>
      <c r="K254" s="526"/>
      <c r="L254" s="710"/>
      <c r="M254" s="582"/>
      <c r="N254" s="526"/>
      <c r="O254" s="710"/>
      <c r="P254" s="582"/>
      <c r="Q254" s="526"/>
      <c r="R254" s="762"/>
      <c r="S254" s="762"/>
      <c r="T254" s="526"/>
      <c r="U254" s="762"/>
      <c r="V254" s="762"/>
      <c r="W254" s="526"/>
      <c r="X254" s="2893"/>
      <c r="Y254" s="2893"/>
      <c r="Z254" s="2893"/>
      <c r="AA254" s="2893"/>
      <c r="AB254" s="2893"/>
      <c r="AC254" s="2893"/>
      <c r="AD254" s="2893"/>
      <c r="AE254" s="2893"/>
      <c r="AF254" s="2893"/>
      <c r="AG254" s="2893"/>
    </row>
    <row r="255" spans="1:33" ht="32.9" customHeight="1">
      <c r="A255" s="252"/>
      <c r="B255" s="2903" t="s">
        <v>338</v>
      </c>
      <c r="C255" s="2903"/>
      <c r="D255" s="2903"/>
      <c r="E255" s="2903"/>
      <c r="F255" s="6"/>
      <c r="G255" s="63"/>
      <c r="H255" s="480"/>
      <c r="I255" s="710"/>
      <c r="J255" s="582"/>
      <c r="K255" s="526"/>
      <c r="L255" s="710"/>
      <c r="M255" s="582"/>
      <c r="N255" s="526"/>
      <c r="O255" s="710"/>
      <c r="P255" s="582"/>
      <c r="Q255" s="526"/>
      <c r="R255" s="762"/>
      <c r="S255" s="762"/>
      <c r="T255" s="526"/>
      <c r="U255" s="762"/>
      <c r="V255" s="762"/>
      <c r="W255" s="526"/>
      <c r="X255" s="2893"/>
      <c r="Y255" s="2893"/>
      <c r="Z255" s="2893"/>
      <c r="AA255" s="2893"/>
      <c r="AB255" s="2893"/>
      <c r="AC255" s="2893"/>
      <c r="AD255" s="2893"/>
      <c r="AE255" s="2893"/>
      <c r="AF255" s="2893"/>
      <c r="AG255" s="2893"/>
    </row>
    <row r="256" spans="1:33" ht="14.9" customHeight="1">
      <c r="A256" s="252"/>
      <c r="B256" s="2903" t="s">
        <v>735</v>
      </c>
      <c r="C256" s="2903"/>
      <c r="D256" s="2903"/>
      <c r="E256" s="2903"/>
      <c r="F256" s="6"/>
      <c r="G256" s="63"/>
      <c r="H256" s="480"/>
      <c r="I256" s="710"/>
      <c r="J256" s="582"/>
      <c r="K256" s="526"/>
      <c r="L256" s="710"/>
      <c r="M256" s="582"/>
      <c r="N256" s="526"/>
      <c r="O256" s="710"/>
      <c r="P256" s="582"/>
      <c r="Q256" s="526"/>
      <c r="R256" s="762"/>
      <c r="S256" s="762"/>
      <c r="T256" s="526"/>
      <c r="U256" s="762"/>
      <c r="V256" s="762"/>
      <c r="W256" s="526"/>
      <c r="X256" s="2893"/>
      <c r="Y256" s="2893"/>
      <c r="Z256" s="2893"/>
      <c r="AA256" s="2893"/>
      <c r="AB256" s="2893"/>
      <c r="AC256" s="2893"/>
      <c r="AD256" s="2893"/>
      <c r="AE256" s="2893"/>
      <c r="AF256" s="2893"/>
      <c r="AG256" s="2893"/>
    </row>
    <row r="257" spans="1:33" ht="14.9" customHeight="1">
      <c r="A257" s="252"/>
      <c r="B257" s="2903" t="s">
        <v>734</v>
      </c>
      <c r="C257" s="2903"/>
      <c r="D257" s="2903"/>
      <c r="E257" s="2903"/>
      <c r="F257" s="6"/>
      <c r="G257" s="63"/>
      <c r="H257" s="802"/>
      <c r="I257" s="741"/>
      <c r="J257" s="557"/>
      <c r="K257" s="769"/>
      <c r="L257" s="741"/>
      <c r="M257" s="557"/>
      <c r="N257" s="769"/>
      <c r="O257" s="741"/>
      <c r="P257" s="557"/>
      <c r="Q257" s="769"/>
      <c r="R257" s="768"/>
      <c r="S257" s="768"/>
      <c r="T257" s="769"/>
      <c r="U257" s="768"/>
      <c r="V257" s="768"/>
      <c r="W257" s="769"/>
      <c r="X257" s="2893"/>
      <c r="Y257" s="2893"/>
      <c r="Z257" s="2893"/>
      <c r="AA257" s="2893"/>
      <c r="AB257" s="2893"/>
      <c r="AC257" s="2893"/>
      <c r="AD257" s="2893"/>
      <c r="AE257" s="2893"/>
      <c r="AF257" s="2893"/>
      <c r="AG257" s="2893"/>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906"/>
      <c r="Y258" s="2906"/>
      <c r="Z258" s="2906"/>
      <c r="AA258" s="2906"/>
      <c r="AB258" s="2906"/>
      <c r="AC258" s="2906"/>
      <c r="AD258" s="2906"/>
      <c r="AE258" s="2906"/>
      <c r="AF258" s="2906"/>
      <c r="AG258" s="2906"/>
    </row>
    <row r="259" spans="1:33" ht="21.65" customHeight="1">
      <c r="A259" s="2907" t="s">
        <v>733</v>
      </c>
      <c r="B259" s="2907"/>
      <c r="C259" s="2907"/>
      <c r="D259" s="2907"/>
      <c r="E259" s="2907"/>
      <c r="F259" s="2907"/>
      <c r="G259" s="2907"/>
      <c r="H259" s="779"/>
      <c r="I259" s="597"/>
      <c r="J259" s="594"/>
      <c r="K259" s="779"/>
      <c r="L259" s="597"/>
      <c r="M259" s="594"/>
      <c r="N259" s="669"/>
      <c r="O259" s="594"/>
      <c r="P259" s="670"/>
      <c r="Q259" s="671"/>
      <c r="R259" s="682"/>
      <c r="S259" s="682"/>
      <c r="T259" s="682"/>
      <c r="U259" s="682"/>
      <c r="V259" s="682"/>
      <c r="W259" s="682"/>
      <c r="X259" s="2909"/>
      <c r="Y259" s="2909"/>
      <c r="Z259" s="2909"/>
      <c r="AA259" s="2909"/>
      <c r="AB259" s="2909"/>
      <c r="AC259" s="2909"/>
      <c r="AD259" s="2909"/>
      <c r="AE259" s="2909"/>
      <c r="AF259" s="2909"/>
      <c r="AG259" s="2909"/>
    </row>
    <row r="260" spans="1:33" ht="18.649999999999999" customHeight="1">
      <c r="A260" s="1"/>
      <c r="B260" s="502"/>
      <c r="C260" s="50"/>
      <c r="D260" s="50"/>
      <c r="E260" s="50"/>
      <c r="G260" s="13"/>
      <c r="H260" s="60"/>
      <c r="I260" s="6"/>
      <c r="J260" s="65"/>
      <c r="K260" s="60"/>
      <c r="L260" s="6"/>
      <c r="M260" s="65"/>
      <c r="N260" s="60"/>
      <c r="P260" s="66"/>
      <c r="Q260" s="788"/>
      <c r="R260" s="8"/>
      <c r="S260" s="8"/>
      <c r="T260" s="788"/>
      <c r="U260" s="8"/>
      <c r="V260" s="8"/>
      <c r="W260" s="788"/>
      <c r="X260" s="2910"/>
      <c r="Y260" s="2910"/>
      <c r="Z260" s="2910"/>
      <c r="AA260" s="2910"/>
      <c r="AB260" s="2910"/>
      <c r="AC260" s="2910"/>
      <c r="AD260" s="2910"/>
      <c r="AE260" s="2910"/>
      <c r="AF260" s="2910"/>
      <c r="AG260" s="2910"/>
    </row>
    <row r="261" spans="1:33" ht="30.75" customHeight="1">
      <c r="A261" s="252"/>
      <c r="B261" s="2903" t="s">
        <v>241</v>
      </c>
      <c r="C261" s="2903"/>
      <c r="D261" s="2903"/>
      <c r="E261" s="2903"/>
      <c r="F261" s="6"/>
      <c r="G261" s="65"/>
      <c r="H261" s="801"/>
      <c r="I261" s="710"/>
      <c r="J261" s="711"/>
      <c r="K261" s="588"/>
      <c r="L261" s="710"/>
      <c r="M261" s="711"/>
      <c r="N261" s="588"/>
      <c r="O261" s="710"/>
      <c r="P261" s="712"/>
      <c r="Q261" s="588"/>
      <c r="R261" s="762"/>
      <c r="S261" s="762"/>
      <c r="T261" s="588"/>
      <c r="U261" s="762"/>
      <c r="V261" s="762"/>
      <c r="W261" s="588"/>
      <c r="X261" s="2893"/>
      <c r="Y261" s="2893"/>
      <c r="Z261" s="2893"/>
      <c r="AA261" s="2893"/>
      <c r="AB261" s="2893"/>
      <c r="AC261" s="2893"/>
      <c r="AD261" s="2893"/>
      <c r="AE261" s="2893"/>
      <c r="AF261" s="2893"/>
      <c r="AG261" s="2893"/>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911"/>
      <c r="Y262" s="2911"/>
      <c r="Z262" s="2911"/>
      <c r="AA262" s="2911"/>
      <c r="AB262" s="2911"/>
      <c r="AC262" s="2911"/>
      <c r="AD262" s="2911"/>
      <c r="AE262" s="2911"/>
      <c r="AF262" s="2911"/>
      <c r="AG262" s="2911"/>
    </row>
    <row r="263" spans="1:33" ht="14.9" customHeight="1">
      <c r="A263" s="252"/>
      <c r="B263" s="2903" t="s">
        <v>625</v>
      </c>
      <c r="C263" s="2903"/>
      <c r="D263" s="2903"/>
      <c r="E263" s="2903"/>
      <c r="F263" s="6"/>
      <c r="G263" s="65"/>
      <c r="H263" s="799"/>
      <c r="I263" s="710"/>
      <c r="J263" s="711"/>
      <c r="K263" s="628"/>
      <c r="L263" s="710"/>
      <c r="M263" s="711"/>
      <c r="N263" s="628"/>
      <c r="O263" s="710"/>
      <c r="P263" s="712"/>
      <c r="Q263" s="628"/>
      <c r="R263" s="762"/>
      <c r="S263" s="762"/>
      <c r="T263" s="628"/>
      <c r="U263" s="762"/>
      <c r="V263" s="762"/>
      <c r="W263" s="628"/>
      <c r="X263" s="2893"/>
      <c r="Y263" s="2893"/>
      <c r="Z263" s="2893"/>
      <c r="AA263" s="2893"/>
      <c r="AB263" s="2893"/>
      <c r="AC263" s="2893"/>
      <c r="AD263" s="2893"/>
      <c r="AE263" s="2893"/>
      <c r="AF263" s="2893"/>
      <c r="AG263" s="2893"/>
    </row>
    <row r="264" spans="1:33" ht="14.9" customHeight="1">
      <c r="A264" s="252"/>
      <c r="B264" s="2903" t="s">
        <v>626</v>
      </c>
      <c r="C264" s="2903"/>
      <c r="D264" s="2903"/>
      <c r="E264" s="2903"/>
      <c r="F264" s="6"/>
      <c r="G264" s="65"/>
      <c r="H264" s="480"/>
      <c r="I264" s="710"/>
      <c r="J264" s="711"/>
      <c r="K264" s="526"/>
      <c r="L264" s="710"/>
      <c r="M264" s="711"/>
      <c r="N264" s="526"/>
      <c r="O264" s="710"/>
      <c r="P264" s="712"/>
      <c r="Q264" s="526"/>
      <c r="R264" s="762"/>
      <c r="S264" s="762"/>
      <c r="T264" s="526"/>
      <c r="U264" s="762"/>
      <c r="V264" s="762"/>
      <c r="W264" s="526"/>
      <c r="X264" s="2893"/>
      <c r="Y264" s="2893"/>
      <c r="Z264" s="2893"/>
      <c r="AA264" s="2893"/>
      <c r="AB264" s="2893"/>
      <c r="AC264" s="2893"/>
      <c r="AD264" s="2893"/>
      <c r="AE264" s="2893"/>
      <c r="AF264" s="2893"/>
      <c r="AG264" s="2893"/>
    </row>
    <row r="265" spans="1:33" ht="14.9" customHeight="1">
      <c r="A265" s="252"/>
      <c r="B265" s="2903" t="s">
        <v>627</v>
      </c>
      <c r="C265" s="2903"/>
      <c r="D265" s="2903"/>
      <c r="E265" s="2903"/>
      <c r="F265" s="6"/>
      <c r="G265" s="65"/>
      <c r="H265" s="794"/>
      <c r="I265" s="710"/>
      <c r="J265" s="711"/>
      <c r="K265" s="561"/>
      <c r="L265" s="710"/>
      <c r="M265" s="711"/>
      <c r="N265" s="561"/>
      <c r="O265" s="710"/>
      <c r="P265" s="712"/>
      <c r="Q265" s="561"/>
      <c r="R265" s="762"/>
      <c r="S265" s="762"/>
      <c r="T265" s="561"/>
      <c r="U265" s="762"/>
      <c r="V265" s="762"/>
      <c r="W265" s="561"/>
      <c r="X265" s="2893"/>
      <c r="Y265" s="2893"/>
      <c r="Z265" s="2893"/>
      <c r="AA265" s="2893"/>
      <c r="AB265" s="2893"/>
      <c r="AC265" s="2893"/>
      <c r="AD265" s="2893"/>
      <c r="AE265" s="2893"/>
      <c r="AF265" s="2893"/>
      <c r="AG265" s="2893"/>
    </row>
    <row r="266" spans="1:33" ht="14.9" customHeight="1">
      <c r="A266" s="252"/>
      <c r="B266" s="2904" t="s">
        <v>628</v>
      </c>
      <c r="C266" s="2904"/>
      <c r="D266" s="2904"/>
      <c r="E266" s="2904"/>
      <c r="F266" s="6"/>
      <c r="G266" s="65"/>
      <c r="H266" s="480"/>
      <c r="I266" s="710"/>
      <c r="J266" s="711"/>
      <c r="K266" s="526"/>
      <c r="L266" s="710"/>
      <c r="M266" s="711"/>
      <c r="N266" s="526"/>
      <c r="O266" s="710"/>
      <c r="P266" s="712"/>
      <c r="Q266" s="526"/>
      <c r="R266" s="762"/>
      <c r="S266" s="762"/>
      <c r="T266" s="526"/>
      <c r="U266" s="762"/>
      <c r="V266" s="762"/>
      <c r="W266" s="526"/>
      <c r="X266" s="2893"/>
      <c r="Y266" s="2893"/>
      <c r="Z266" s="2893"/>
      <c r="AA266" s="2893"/>
      <c r="AB266" s="2893"/>
      <c r="AC266" s="2893"/>
      <c r="AD266" s="2893"/>
      <c r="AE266" s="2893"/>
      <c r="AF266" s="2893"/>
      <c r="AG266" s="2893"/>
    </row>
    <row r="267" spans="1:33" ht="32.9" customHeight="1">
      <c r="A267" s="252"/>
      <c r="B267" s="2904" t="s">
        <v>629</v>
      </c>
      <c r="C267" s="2904"/>
      <c r="D267" s="2904"/>
      <c r="E267" s="2904"/>
      <c r="F267" s="6"/>
      <c r="G267" s="65"/>
      <c r="H267" s="795"/>
      <c r="I267" s="710"/>
      <c r="J267" s="711"/>
      <c r="K267" s="568"/>
      <c r="L267" s="710"/>
      <c r="M267" s="711"/>
      <c r="N267" s="568"/>
      <c r="O267" s="710"/>
      <c r="P267" s="712"/>
      <c r="Q267" s="568"/>
      <c r="R267" s="762"/>
      <c r="S267" s="762"/>
      <c r="T267" s="568"/>
      <c r="U267" s="762"/>
      <c r="V267" s="762"/>
      <c r="W267" s="568"/>
      <c r="X267" s="2893"/>
      <c r="Y267" s="2893"/>
      <c r="Z267" s="2893"/>
      <c r="AA267" s="2893"/>
      <c r="AB267" s="2893"/>
      <c r="AC267" s="2893"/>
      <c r="AD267" s="2893"/>
      <c r="AE267" s="2893"/>
      <c r="AF267" s="2893"/>
      <c r="AG267" s="2893"/>
    </row>
    <row r="268" spans="1:33" ht="14.9" customHeight="1">
      <c r="A268" s="252"/>
      <c r="B268" s="2903" t="s">
        <v>630</v>
      </c>
      <c r="C268" s="2903"/>
      <c r="D268" s="2903"/>
      <c r="E268" s="2903"/>
      <c r="F268" s="6"/>
      <c r="G268" s="65"/>
      <c r="H268" s="480"/>
      <c r="I268" s="710"/>
      <c r="J268" s="711"/>
      <c r="K268" s="526"/>
      <c r="L268" s="710"/>
      <c r="M268" s="711"/>
      <c r="N268" s="526"/>
      <c r="O268" s="710"/>
      <c r="P268" s="712"/>
      <c r="Q268" s="526"/>
      <c r="R268" s="762"/>
      <c r="S268" s="762"/>
      <c r="T268" s="526"/>
      <c r="U268" s="762"/>
      <c r="V268" s="762"/>
      <c r="W268" s="526"/>
      <c r="X268" s="2893"/>
      <c r="Y268" s="2893"/>
      <c r="Z268" s="2893"/>
      <c r="AA268" s="2893"/>
      <c r="AB268" s="2893"/>
      <c r="AC268" s="2893"/>
      <c r="AD268" s="2893"/>
      <c r="AE268" s="2893"/>
      <c r="AF268" s="2893"/>
      <c r="AG268" s="2893"/>
    </row>
    <row r="269" spans="1:33" ht="14.9" customHeight="1">
      <c r="A269" s="252"/>
      <c r="B269" s="2904" t="s">
        <v>634</v>
      </c>
      <c r="C269" s="2904"/>
      <c r="D269" s="2904"/>
      <c r="E269" s="2904"/>
      <c r="F269" s="6"/>
      <c r="G269" s="63"/>
      <c r="H269" s="481"/>
      <c r="I269" s="710"/>
      <c r="J269" s="582"/>
      <c r="K269" s="553"/>
      <c r="L269" s="748"/>
      <c r="M269" s="711"/>
      <c r="N269" s="553"/>
      <c r="O269" s="710"/>
      <c r="P269" s="582"/>
      <c r="Q269" s="553"/>
      <c r="R269" s="762"/>
      <c r="S269" s="762"/>
      <c r="T269" s="553"/>
      <c r="U269" s="762"/>
      <c r="V269" s="762"/>
      <c r="W269" s="553"/>
      <c r="X269" s="2893"/>
      <c r="Y269" s="2893"/>
      <c r="Z269" s="2893"/>
      <c r="AA269" s="2893"/>
      <c r="AB269" s="2893"/>
      <c r="AC269" s="2893"/>
      <c r="AD269" s="2893"/>
      <c r="AE269" s="2893"/>
      <c r="AF269" s="2893"/>
      <c r="AG269" s="2893"/>
    </row>
    <row r="270" spans="1:33" ht="29.15" customHeight="1">
      <c r="A270" s="252"/>
      <c r="B270" s="2903" t="s">
        <v>1551</v>
      </c>
      <c r="C270" s="2903"/>
      <c r="D270" s="2903"/>
      <c r="E270" s="2903"/>
      <c r="F270" s="6"/>
      <c r="G270" s="63"/>
      <c r="H270" s="796"/>
      <c r="I270" s="710"/>
      <c r="J270" s="582"/>
      <c r="K270" s="619"/>
      <c r="L270" s="748"/>
      <c r="M270" s="711"/>
      <c r="N270" s="619"/>
      <c r="O270" s="710"/>
      <c r="P270" s="582"/>
      <c r="Q270" s="619"/>
      <c r="R270" s="762"/>
      <c r="S270" s="762"/>
      <c r="T270" s="619"/>
      <c r="U270" s="762"/>
      <c r="V270" s="762"/>
      <c r="W270" s="619"/>
      <c r="X270" s="2893"/>
      <c r="Y270" s="2893"/>
      <c r="Z270" s="2893"/>
      <c r="AA270" s="2893"/>
      <c r="AB270" s="2893"/>
      <c r="AC270" s="2893"/>
      <c r="AD270" s="2893"/>
      <c r="AE270" s="2893"/>
      <c r="AF270" s="2893"/>
      <c r="AG270" s="2893"/>
    </row>
    <row r="271" spans="1:33" ht="29.15" customHeight="1">
      <c r="A271" s="252"/>
      <c r="B271" s="2903" t="s">
        <v>1552</v>
      </c>
      <c r="C271" s="2903"/>
      <c r="D271" s="2903"/>
      <c r="E271" s="2903"/>
      <c r="F271" s="6"/>
      <c r="G271" s="63"/>
      <c r="H271" s="796"/>
      <c r="I271" s="710"/>
      <c r="J271" s="582"/>
      <c r="K271" s="619"/>
      <c r="L271" s="748"/>
      <c r="M271" s="711"/>
      <c r="N271" s="619"/>
      <c r="O271" s="710"/>
      <c r="P271" s="582"/>
      <c r="Q271" s="619"/>
      <c r="R271" s="762"/>
      <c r="S271" s="762"/>
      <c r="T271" s="619"/>
      <c r="U271" s="762"/>
      <c r="V271" s="762"/>
      <c r="W271" s="619"/>
      <c r="X271" s="2893"/>
      <c r="Y271" s="2893"/>
      <c r="Z271" s="2893"/>
      <c r="AA271" s="2893"/>
      <c r="AB271" s="2893"/>
      <c r="AC271" s="2893"/>
      <c r="AD271" s="2893"/>
      <c r="AE271" s="2893"/>
      <c r="AF271" s="2893"/>
      <c r="AG271" s="2893"/>
    </row>
    <row r="272" spans="1:33" ht="32.9" customHeight="1">
      <c r="A272" s="252"/>
      <c r="B272" s="2903" t="s">
        <v>331</v>
      </c>
      <c r="C272" s="2903"/>
      <c r="D272" s="2903"/>
      <c r="E272" s="2903"/>
      <c r="F272" s="6"/>
      <c r="G272" s="65"/>
      <c r="H272" s="480"/>
      <c r="I272" s="710"/>
      <c r="J272" s="711"/>
      <c r="K272" s="526"/>
      <c r="L272" s="710"/>
      <c r="M272" s="711"/>
      <c r="N272" s="526"/>
      <c r="O272" s="710"/>
      <c r="P272" s="712"/>
      <c r="Q272" s="526"/>
      <c r="R272" s="762"/>
      <c r="S272" s="762"/>
      <c r="T272" s="526"/>
      <c r="U272" s="762"/>
      <c r="V272" s="762"/>
      <c r="W272" s="526"/>
      <c r="X272" s="2893"/>
      <c r="Y272" s="2893"/>
      <c r="Z272" s="2893"/>
      <c r="AA272" s="2893"/>
      <c r="AB272" s="2893"/>
      <c r="AC272" s="2893"/>
      <c r="AD272" s="2893"/>
      <c r="AE272" s="2893"/>
      <c r="AF272" s="2893"/>
      <c r="AG272" s="2893"/>
    </row>
    <row r="273" spans="1:33" ht="14.9" customHeight="1">
      <c r="A273" s="252"/>
      <c r="B273" s="2904" t="s">
        <v>332</v>
      </c>
      <c r="C273" s="2904"/>
      <c r="D273" s="2904"/>
      <c r="E273" s="2904"/>
      <c r="F273" s="6"/>
      <c r="G273" s="63"/>
      <c r="H273" s="480"/>
      <c r="I273" s="710"/>
      <c r="J273" s="582"/>
      <c r="K273" s="526"/>
      <c r="L273" s="748"/>
      <c r="M273" s="711"/>
      <c r="N273" s="526"/>
      <c r="O273" s="710"/>
      <c r="P273" s="582"/>
      <c r="Q273" s="526"/>
      <c r="R273" s="762"/>
      <c r="S273" s="762"/>
      <c r="T273" s="526"/>
      <c r="U273" s="762"/>
      <c r="V273" s="762"/>
      <c r="W273" s="526"/>
      <c r="X273" s="2893"/>
      <c r="Y273" s="2893"/>
      <c r="Z273" s="2893"/>
      <c r="AA273" s="2893"/>
      <c r="AB273" s="2893"/>
      <c r="AC273" s="2893"/>
      <c r="AD273" s="2893"/>
      <c r="AE273" s="2893"/>
      <c r="AF273" s="2893"/>
      <c r="AG273" s="2893"/>
    </row>
    <row r="274" spans="1:33" ht="14.9" customHeight="1">
      <c r="A274" s="252"/>
      <c r="B274" s="2903" t="s">
        <v>333</v>
      </c>
      <c r="C274" s="2903"/>
      <c r="D274" s="2903"/>
      <c r="E274" s="2903"/>
      <c r="F274" s="6"/>
      <c r="G274" s="63"/>
      <c r="H274" s="480"/>
      <c r="I274" s="710"/>
      <c r="J274" s="582"/>
      <c r="K274" s="526"/>
      <c r="L274" s="748"/>
      <c r="M274" s="711"/>
      <c r="N274" s="526"/>
      <c r="O274" s="710"/>
      <c r="P274" s="582"/>
      <c r="Q274" s="526"/>
      <c r="R274" s="762"/>
      <c r="S274" s="762"/>
      <c r="T274" s="526"/>
      <c r="U274" s="762"/>
      <c r="V274" s="762"/>
      <c r="W274" s="526"/>
      <c r="X274" s="2893"/>
      <c r="Y274" s="2893"/>
      <c r="Z274" s="2893"/>
      <c r="AA274" s="2893"/>
      <c r="AB274" s="2893"/>
      <c r="AC274" s="2893"/>
      <c r="AD274" s="2893"/>
      <c r="AE274" s="2893"/>
      <c r="AF274" s="2893"/>
      <c r="AG274" s="2893"/>
    </row>
    <row r="275" spans="1:33" ht="14.9" customHeight="1">
      <c r="A275" s="252"/>
      <c r="B275" s="2903" t="s">
        <v>334</v>
      </c>
      <c r="C275" s="2903"/>
      <c r="D275" s="2903"/>
      <c r="E275" s="2903"/>
      <c r="F275" s="6"/>
      <c r="G275" s="63"/>
      <c r="H275" s="480"/>
      <c r="I275" s="710"/>
      <c r="J275" s="582"/>
      <c r="K275" s="526"/>
      <c r="L275" s="748"/>
      <c r="M275" s="711"/>
      <c r="N275" s="526"/>
      <c r="O275" s="710"/>
      <c r="P275" s="582"/>
      <c r="Q275" s="526"/>
      <c r="R275" s="762"/>
      <c r="S275" s="762"/>
      <c r="T275" s="526"/>
      <c r="U275" s="762"/>
      <c r="V275" s="762"/>
      <c r="W275" s="526"/>
      <c r="X275" s="2893"/>
      <c r="Y275" s="2893"/>
      <c r="Z275" s="2893"/>
      <c r="AA275" s="2893"/>
      <c r="AB275" s="2893"/>
      <c r="AC275" s="2893"/>
      <c r="AD275" s="2893"/>
      <c r="AE275" s="2893"/>
      <c r="AF275" s="2893"/>
      <c r="AG275" s="2893"/>
    </row>
    <row r="276" spans="1:33" ht="14.9" customHeight="1">
      <c r="A276" s="252"/>
      <c r="B276" s="2904" t="s">
        <v>335</v>
      </c>
      <c r="C276" s="2904"/>
      <c r="D276" s="2904"/>
      <c r="E276" s="2904"/>
      <c r="F276" s="6"/>
      <c r="G276" s="63"/>
      <c r="H276" s="480"/>
      <c r="I276" s="710"/>
      <c r="J276" s="582"/>
      <c r="K276" s="526"/>
      <c r="L276" s="748"/>
      <c r="M276" s="711"/>
      <c r="N276" s="526"/>
      <c r="O276" s="710"/>
      <c r="P276" s="582"/>
      <c r="Q276" s="526"/>
      <c r="R276" s="762"/>
      <c r="S276" s="762"/>
      <c r="T276" s="526"/>
      <c r="U276" s="762"/>
      <c r="V276" s="762"/>
      <c r="W276" s="526"/>
      <c r="X276" s="2893"/>
      <c r="Y276" s="2893"/>
      <c r="Z276" s="2893"/>
      <c r="AA276" s="2893"/>
      <c r="AB276" s="2893"/>
      <c r="AC276" s="2893"/>
      <c r="AD276" s="2893"/>
      <c r="AE276" s="2893"/>
      <c r="AF276" s="2893"/>
      <c r="AG276" s="2893"/>
    </row>
    <row r="277" spans="1:33" ht="14.9" customHeight="1">
      <c r="A277" s="252"/>
      <c r="B277" s="2903" t="s">
        <v>336</v>
      </c>
      <c r="C277" s="2903"/>
      <c r="D277" s="2903"/>
      <c r="E277" s="2903"/>
      <c r="F277" s="6"/>
      <c r="G277" s="63"/>
      <c r="H277" s="480"/>
      <c r="I277" s="710"/>
      <c r="J277" s="582"/>
      <c r="K277" s="526"/>
      <c r="L277" s="748"/>
      <c r="M277" s="711"/>
      <c r="N277" s="526"/>
      <c r="O277" s="710"/>
      <c r="P277" s="582"/>
      <c r="Q277" s="526"/>
      <c r="R277" s="762"/>
      <c r="S277" s="762"/>
      <c r="T277" s="526"/>
      <c r="U277" s="762"/>
      <c r="V277" s="762"/>
      <c r="W277" s="526"/>
      <c r="X277" s="2893"/>
      <c r="Y277" s="2893"/>
      <c r="Z277" s="2893"/>
      <c r="AA277" s="2893"/>
      <c r="AB277" s="2893"/>
      <c r="AC277" s="2893"/>
      <c r="AD277" s="2893"/>
      <c r="AE277" s="2893"/>
      <c r="AF277" s="2893"/>
      <c r="AG277" s="2893"/>
    </row>
    <row r="278" spans="1:33" ht="32.9" customHeight="1">
      <c r="A278" s="252"/>
      <c r="B278" s="2903" t="s">
        <v>337</v>
      </c>
      <c r="C278" s="2903"/>
      <c r="D278" s="2903"/>
      <c r="E278" s="2903"/>
      <c r="F278" s="6"/>
      <c r="G278" s="63"/>
      <c r="H278" s="480"/>
      <c r="I278" s="710"/>
      <c r="J278" s="582"/>
      <c r="K278" s="526"/>
      <c r="L278" s="748"/>
      <c r="M278" s="711"/>
      <c r="N278" s="526"/>
      <c r="O278" s="710"/>
      <c r="P278" s="582"/>
      <c r="Q278" s="526"/>
      <c r="R278" s="762"/>
      <c r="S278" s="762"/>
      <c r="T278" s="526"/>
      <c r="U278" s="762"/>
      <c r="V278" s="762"/>
      <c r="W278" s="526"/>
      <c r="X278" s="2893"/>
      <c r="Y278" s="2893"/>
      <c r="Z278" s="2893"/>
      <c r="AA278" s="2893"/>
      <c r="AB278" s="2893"/>
      <c r="AC278" s="2893"/>
      <c r="AD278" s="2893"/>
      <c r="AE278" s="2893"/>
      <c r="AF278" s="2893"/>
      <c r="AG278" s="2893"/>
    </row>
    <row r="279" spans="1:33" ht="32.9" customHeight="1">
      <c r="A279" s="252"/>
      <c r="B279" s="2903" t="s">
        <v>338</v>
      </c>
      <c r="C279" s="2903"/>
      <c r="D279" s="2903"/>
      <c r="E279" s="2903"/>
      <c r="F279" s="6"/>
      <c r="G279" s="63"/>
      <c r="H279" s="480"/>
      <c r="I279" s="710"/>
      <c r="J279" s="582"/>
      <c r="K279" s="526"/>
      <c r="L279" s="748"/>
      <c r="M279" s="711"/>
      <c r="N279" s="526"/>
      <c r="O279" s="710"/>
      <c r="P279" s="582"/>
      <c r="Q279" s="526"/>
      <c r="R279" s="762"/>
      <c r="S279" s="762"/>
      <c r="T279" s="526"/>
      <c r="U279" s="762"/>
      <c r="V279" s="762"/>
      <c r="W279" s="526"/>
      <c r="X279" s="2893"/>
      <c r="Y279" s="2893"/>
      <c r="Z279" s="2893"/>
      <c r="AA279" s="2893"/>
      <c r="AB279" s="2893"/>
      <c r="AC279" s="2893"/>
      <c r="AD279" s="2893"/>
      <c r="AE279" s="2893"/>
      <c r="AF279" s="2893"/>
      <c r="AG279" s="2893"/>
    </row>
    <row r="280" spans="1:33" ht="14.9" customHeight="1">
      <c r="A280" s="252"/>
      <c r="B280" s="2903" t="s">
        <v>735</v>
      </c>
      <c r="C280" s="2903"/>
      <c r="D280" s="2903"/>
      <c r="E280" s="2903"/>
      <c r="F280" s="6"/>
      <c r="G280" s="63"/>
      <c r="H280" s="480"/>
      <c r="I280" s="710"/>
      <c r="J280" s="582"/>
      <c r="K280" s="526"/>
      <c r="L280" s="748"/>
      <c r="M280" s="711"/>
      <c r="N280" s="526"/>
      <c r="O280" s="710"/>
      <c r="P280" s="582"/>
      <c r="Q280" s="526"/>
      <c r="R280" s="762"/>
      <c r="S280" s="762"/>
      <c r="T280" s="526"/>
      <c r="U280" s="762"/>
      <c r="V280" s="762"/>
      <c r="W280" s="526"/>
      <c r="X280" s="2893"/>
      <c r="Y280" s="2893"/>
      <c r="Z280" s="2893"/>
      <c r="AA280" s="2893"/>
      <c r="AB280" s="2893"/>
      <c r="AC280" s="2893"/>
      <c r="AD280" s="2893"/>
      <c r="AE280" s="2893"/>
      <c r="AF280" s="2893"/>
      <c r="AG280" s="2893"/>
    </row>
    <row r="281" spans="1:33" ht="14.9" customHeight="1">
      <c r="A281" s="252"/>
      <c r="B281" s="2903" t="s">
        <v>734</v>
      </c>
      <c r="C281" s="2903"/>
      <c r="D281" s="2903"/>
      <c r="E281" s="2903"/>
      <c r="F281" s="6"/>
      <c r="G281" s="63"/>
      <c r="H281" s="797"/>
      <c r="I281" s="710"/>
      <c r="J281" s="582"/>
      <c r="K281" s="562"/>
      <c r="L281" s="748"/>
      <c r="M281" s="711"/>
      <c r="N281" s="562"/>
      <c r="O281" s="710"/>
      <c r="P281" s="582"/>
      <c r="Q281" s="562"/>
      <c r="R281" s="762"/>
      <c r="S281" s="762"/>
      <c r="T281" s="562"/>
      <c r="U281" s="762"/>
      <c r="V281" s="762"/>
      <c r="W281" s="562"/>
      <c r="X281" s="2893"/>
      <c r="Y281" s="2893"/>
      <c r="Z281" s="2893"/>
      <c r="AA281" s="2893"/>
      <c r="AB281" s="2893"/>
      <c r="AC281" s="2893"/>
      <c r="AD281" s="2893"/>
      <c r="AE281" s="2893"/>
      <c r="AF281" s="2893"/>
      <c r="AG281" s="2893"/>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911"/>
      <c r="Y282" s="2911"/>
      <c r="Z282" s="2911"/>
      <c r="AA282" s="2911"/>
      <c r="AB282" s="2911"/>
      <c r="AC282" s="2911"/>
      <c r="AD282" s="2911"/>
      <c r="AE282" s="2911"/>
      <c r="AF282" s="2911"/>
      <c r="AG282" s="2911"/>
    </row>
    <row r="283" spans="1:33" ht="14.9" customHeight="1">
      <c r="A283" s="252"/>
      <c r="B283" s="2903" t="s">
        <v>625</v>
      </c>
      <c r="C283" s="2903"/>
      <c r="D283" s="2903"/>
      <c r="E283" s="2903"/>
      <c r="F283" s="6"/>
      <c r="G283" s="65"/>
      <c r="H283" s="799"/>
      <c r="I283" s="710"/>
      <c r="J283" s="711"/>
      <c r="K283" s="628"/>
      <c r="L283" s="710"/>
      <c r="M283" s="711"/>
      <c r="N283" s="628"/>
      <c r="O283" s="710"/>
      <c r="P283" s="712"/>
      <c r="Q283" s="628"/>
      <c r="R283" s="762"/>
      <c r="S283" s="762"/>
      <c r="T283" s="628"/>
      <c r="U283" s="762"/>
      <c r="V283" s="762"/>
      <c r="W283" s="628"/>
      <c r="X283" s="2893"/>
      <c r="Y283" s="2893"/>
      <c r="Z283" s="2893"/>
      <c r="AA283" s="2893"/>
      <c r="AB283" s="2893"/>
      <c r="AC283" s="2893"/>
      <c r="AD283" s="2893"/>
      <c r="AE283" s="2893"/>
      <c r="AF283" s="2893"/>
      <c r="AG283" s="2893"/>
    </row>
    <row r="284" spans="1:33" ht="14.9" customHeight="1">
      <c r="A284" s="252"/>
      <c r="B284" s="2903" t="s">
        <v>626</v>
      </c>
      <c r="C284" s="2903"/>
      <c r="D284" s="2903"/>
      <c r="E284" s="2903"/>
      <c r="F284" s="6"/>
      <c r="G284" s="63"/>
      <c r="H284" s="480"/>
      <c r="I284" s="710"/>
      <c r="J284" s="582"/>
      <c r="K284" s="526"/>
      <c r="L284" s="748"/>
      <c r="M284" s="711"/>
      <c r="N284" s="526"/>
      <c r="O284" s="710"/>
      <c r="P284" s="582"/>
      <c r="Q284" s="526"/>
      <c r="R284" s="762"/>
      <c r="S284" s="762"/>
      <c r="T284" s="526"/>
      <c r="U284" s="762"/>
      <c r="V284" s="762"/>
      <c r="W284" s="526"/>
      <c r="X284" s="2893"/>
      <c r="Y284" s="2893"/>
      <c r="Z284" s="2893"/>
      <c r="AA284" s="2893"/>
      <c r="AB284" s="2893"/>
      <c r="AC284" s="2893"/>
      <c r="AD284" s="2893"/>
      <c r="AE284" s="2893"/>
      <c r="AF284" s="2893"/>
      <c r="AG284" s="2893"/>
    </row>
    <row r="285" spans="1:33" ht="14.9" customHeight="1">
      <c r="A285" s="252"/>
      <c r="B285" s="2903" t="s">
        <v>627</v>
      </c>
      <c r="C285" s="2903"/>
      <c r="D285" s="2903"/>
      <c r="E285" s="2903"/>
      <c r="F285" s="6"/>
      <c r="G285" s="63"/>
      <c r="H285" s="794"/>
      <c r="I285" s="710"/>
      <c r="J285" s="582"/>
      <c r="K285" s="561"/>
      <c r="L285" s="748"/>
      <c r="M285" s="711"/>
      <c r="N285" s="561"/>
      <c r="O285" s="710"/>
      <c r="P285" s="582"/>
      <c r="Q285" s="561"/>
      <c r="R285" s="762"/>
      <c r="S285" s="762"/>
      <c r="T285" s="561"/>
      <c r="U285" s="762"/>
      <c r="V285" s="762"/>
      <c r="W285" s="561"/>
      <c r="X285" s="2893"/>
      <c r="Y285" s="2893"/>
      <c r="Z285" s="2893"/>
      <c r="AA285" s="2893"/>
      <c r="AB285" s="2893"/>
      <c r="AC285" s="2893"/>
      <c r="AD285" s="2893"/>
      <c r="AE285" s="2893"/>
      <c r="AF285" s="2893"/>
      <c r="AG285" s="2893"/>
    </row>
    <row r="286" spans="1:33" ht="14.9" customHeight="1">
      <c r="A286" s="252"/>
      <c r="B286" s="2904" t="s">
        <v>628</v>
      </c>
      <c r="C286" s="2904"/>
      <c r="D286" s="2904"/>
      <c r="E286" s="2904"/>
      <c r="F286" s="6"/>
      <c r="G286" s="63"/>
      <c r="H286" s="480"/>
      <c r="I286" s="710"/>
      <c r="J286" s="582"/>
      <c r="K286" s="526"/>
      <c r="L286" s="748"/>
      <c r="M286" s="711"/>
      <c r="N286" s="526"/>
      <c r="O286" s="710"/>
      <c r="P286" s="582"/>
      <c r="Q286" s="526"/>
      <c r="R286" s="762"/>
      <c r="S286" s="762"/>
      <c r="T286" s="526"/>
      <c r="U286" s="762"/>
      <c r="V286" s="762"/>
      <c r="W286" s="526"/>
      <c r="X286" s="2893"/>
      <c r="Y286" s="2893"/>
      <c r="Z286" s="2893"/>
      <c r="AA286" s="2893"/>
      <c r="AB286" s="2893"/>
      <c r="AC286" s="2893"/>
      <c r="AD286" s="2893"/>
      <c r="AE286" s="2893"/>
      <c r="AF286" s="2893"/>
      <c r="AG286" s="2893"/>
    </row>
    <row r="287" spans="1:33" ht="33.75" customHeight="1">
      <c r="A287" s="252"/>
      <c r="B287" s="2904" t="s">
        <v>629</v>
      </c>
      <c r="C287" s="2904"/>
      <c r="D287" s="2904"/>
      <c r="E287" s="2904"/>
      <c r="F287" s="6"/>
      <c r="G287" s="65"/>
      <c r="H287" s="795"/>
      <c r="I287" s="710"/>
      <c r="J287" s="711"/>
      <c r="K287" s="568"/>
      <c r="L287" s="710"/>
      <c r="M287" s="711"/>
      <c r="N287" s="568"/>
      <c r="O287" s="710"/>
      <c r="P287" s="712"/>
      <c r="Q287" s="568"/>
      <c r="R287" s="762"/>
      <c r="S287" s="762"/>
      <c r="T287" s="568"/>
      <c r="U287" s="762"/>
      <c r="V287" s="762"/>
      <c r="W287" s="568"/>
      <c r="X287" s="2893"/>
      <c r="Y287" s="2893"/>
      <c r="Z287" s="2893"/>
      <c r="AA287" s="2893"/>
      <c r="AB287" s="2893"/>
      <c r="AC287" s="2893"/>
      <c r="AD287" s="2893"/>
      <c r="AE287" s="2893"/>
      <c r="AF287" s="2893"/>
      <c r="AG287" s="2893"/>
    </row>
    <row r="288" spans="1:33" ht="14.9" customHeight="1">
      <c r="A288" s="252"/>
      <c r="B288" s="2903" t="s">
        <v>630</v>
      </c>
      <c r="C288" s="2903"/>
      <c r="D288" s="2903"/>
      <c r="E288" s="2903"/>
      <c r="F288" s="6"/>
      <c r="G288" s="65"/>
      <c r="H288" s="480"/>
      <c r="I288" s="710"/>
      <c r="J288" s="711"/>
      <c r="K288" s="526"/>
      <c r="L288" s="710"/>
      <c r="M288" s="711"/>
      <c r="N288" s="526"/>
      <c r="O288" s="710"/>
      <c r="P288" s="712"/>
      <c r="Q288" s="526"/>
      <c r="R288" s="762"/>
      <c r="S288" s="762"/>
      <c r="T288" s="526"/>
      <c r="U288" s="762"/>
      <c r="V288" s="762"/>
      <c r="W288" s="526"/>
      <c r="X288" s="2893"/>
      <c r="Y288" s="2893"/>
      <c r="Z288" s="2893"/>
      <c r="AA288" s="2893"/>
      <c r="AB288" s="2893"/>
      <c r="AC288" s="2893"/>
      <c r="AD288" s="2893"/>
      <c r="AE288" s="2893"/>
      <c r="AF288" s="2893"/>
      <c r="AG288" s="2893"/>
    </row>
    <row r="289" spans="1:33" ht="14.9" customHeight="1">
      <c r="A289" s="252"/>
      <c r="B289" s="2904" t="s">
        <v>634</v>
      </c>
      <c r="C289" s="2904"/>
      <c r="D289" s="2904"/>
      <c r="E289" s="2904"/>
      <c r="F289" s="6"/>
      <c r="G289" s="65"/>
      <c r="H289" s="481"/>
      <c r="I289" s="710"/>
      <c r="J289" s="711"/>
      <c r="K289" s="553"/>
      <c r="L289" s="710"/>
      <c r="M289" s="711"/>
      <c r="N289" s="553"/>
      <c r="O289" s="710"/>
      <c r="P289" s="712"/>
      <c r="Q289" s="553"/>
      <c r="R289" s="762"/>
      <c r="S289" s="762"/>
      <c r="T289" s="553"/>
      <c r="U289" s="762"/>
      <c r="V289" s="762"/>
      <c r="W289" s="553"/>
      <c r="X289" s="2893"/>
      <c r="Y289" s="2893"/>
      <c r="Z289" s="2893"/>
      <c r="AA289" s="2893"/>
      <c r="AB289" s="2893"/>
      <c r="AC289" s="2893"/>
      <c r="AD289" s="2893"/>
      <c r="AE289" s="2893"/>
      <c r="AF289" s="2893"/>
      <c r="AG289" s="2893"/>
    </row>
    <row r="290" spans="1:33" ht="29.15" customHeight="1">
      <c r="A290" s="252"/>
      <c r="B290" s="2903" t="s">
        <v>1551</v>
      </c>
      <c r="C290" s="2903"/>
      <c r="D290" s="2903"/>
      <c r="E290" s="2903"/>
      <c r="F290" s="6"/>
      <c r="G290" s="65"/>
      <c r="H290" s="796"/>
      <c r="I290" s="710"/>
      <c r="J290" s="711"/>
      <c r="K290" s="619"/>
      <c r="L290" s="710"/>
      <c r="M290" s="711"/>
      <c r="N290" s="619"/>
      <c r="O290" s="710"/>
      <c r="P290" s="712"/>
      <c r="Q290" s="619"/>
      <c r="R290" s="762"/>
      <c r="S290" s="762"/>
      <c r="T290" s="619"/>
      <c r="U290" s="762"/>
      <c r="V290" s="762"/>
      <c r="W290" s="619"/>
      <c r="X290" s="2893"/>
      <c r="Y290" s="2893"/>
      <c r="Z290" s="2893"/>
      <c r="AA290" s="2893"/>
      <c r="AB290" s="2893"/>
      <c r="AC290" s="2893"/>
      <c r="AD290" s="2893"/>
      <c r="AE290" s="2893"/>
      <c r="AF290" s="2893"/>
      <c r="AG290" s="2893"/>
    </row>
    <row r="291" spans="1:33" ht="29.15" customHeight="1">
      <c r="A291" s="252"/>
      <c r="B291" s="2903" t="s">
        <v>1552</v>
      </c>
      <c r="C291" s="2903"/>
      <c r="D291" s="2903"/>
      <c r="E291" s="2903"/>
      <c r="F291" s="6"/>
      <c r="G291" s="65"/>
      <c r="H291" s="796"/>
      <c r="I291" s="710"/>
      <c r="J291" s="711"/>
      <c r="K291" s="619"/>
      <c r="L291" s="710"/>
      <c r="M291" s="711"/>
      <c r="N291" s="619"/>
      <c r="O291" s="710"/>
      <c r="P291" s="712"/>
      <c r="Q291" s="619"/>
      <c r="R291" s="762"/>
      <c r="S291" s="762"/>
      <c r="T291" s="619"/>
      <c r="U291" s="762"/>
      <c r="V291" s="762"/>
      <c r="W291" s="619"/>
      <c r="X291" s="2893"/>
      <c r="Y291" s="2893"/>
      <c r="Z291" s="2893"/>
      <c r="AA291" s="2893"/>
      <c r="AB291" s="2893"/>
      <c r="AC291" s="2893"/>
      <c r="AD291" s="2893"/>
      <c r="AE291" s="2893"/>
      <c r="AF291" s="2893"/>
      <c r="AG291" s="2893"/>
    </row>
    <row r="292" spans="1:33" ht="33.75" customHeight="1">
      <c r="A292" s="252"/>
      <c r="B292" s="2903" t="s">
        <v>331</v>
      </c>
      <c r="C292" s="2903"/>
      <c r="D292" s="2903"/>
      <c r="E292" s="2903"/>
      <c r="F292" s="6"/>
      <c r="G292" s="65"/>
      <c r="H292" s="480"/>
      <c r="I292" s="710"/>
      <c r="J292" s="711"/>
      <c r="K292" s="526"/>
      <c r="L292" s="710"/>
      <c r="M292" s="711"/>
      <c r="N292" s="526"/>
      <c r="O292" s="710"/>
      <c r="P292" s="712"/>
      <c r="Q292" s="526"/>
      <c r="R292" s="762"/>
      <c r="S292" s="762"/>
      <c r="T292" s="526"/>
      <c r="U292" s="762"/>
      <c r="V292" s="762"/>
      <c r="W292" s="526"/>
      <c r="X292" s="2893"/>
      <c r="Y292" s="2893"/>
      <c r="Z292" s="2893"/>
      <c r="AA292" s="2893"/>
      <c r="AB292" s="2893"/>
      <c r="AC292" s="2893"/>
      <c r="AD292" s="2893"/>
      <c r="AE292" s="2893"/>
      <c r="AF292" s="2893"/>
      <c r="AG292" s="2893"/>
    </row>
    <row r="293" spans="1:33" ht="14.9" customHeight="1">
      <c r="A293" s="252"/>
      <c r="B293" s="2904" t="s">
        <v>332</v>
      </c>
      <c r="C293" s="2904"/>
      <c r="D293" s="2904"/>
      <c r="E293" s="2904"/>
      <c r="F293" s="6"/>
      <c r="G293" s="63"/>
      <c r="H293" s="480"/>
      <c r="I293" s="710"/>
      <c r="J293" s="582"/>
      <c r="K293" s="526"/>
      <c r="L293" s="748"/>
      <c r="M293" s="711"/>
      <c r="N293" s="526"/>
      <c r="O293" s="710"/>
      <c r="P293" s="582"/>
      <c r="Q293" s="526"/>
      <c r="R293" s="762"/>
      <c r="S293" s="762"/>
      <c r="T293" s="526"/>
      <c r="U293" s="762"/>
      <c r="V293" s="762"/>
      <c r="W293" s="526"/>
      <c r="X293" s="2893"/>
      <c r="Y293" s="2893"/>
      <c r="Z293" s="2893"/>
      <c r="AA293" s="2893"/>
      <c r="AB293" s="2893"/>
      <c r="AC293" s="2893"/>
      <c r="AD293" s="2893"/>
      <c r="AE293" s="2893"/>
      <c r="AF293" s="2893"/>
      <c r="AG293" s="2893"/>
    </row>
    <row r="294" spans="1:33" ht="14.9" customHeight="1">
      <c r="A294" s="252"/>
      <c r="B294" s="2903" t="s">
        <v>333</v>
      </c>
      <c r="C294" s="2903"/>
      <c r="D294" s="2903"/>
      <c r="E294" s="2903"/>
      <c r="F294" s="6"/>
      <c r="G294" s="63"/>
      <c r="H294" s="480"/>
      <c r="I294" s="710"/>
      <c r="J294" s="582"/>
      <c r="K294" s="526"/>
      <c r="L294" s="748"/>
      <c r="M294" s="711"/>
      <c r="N294" s="526"/>
      <c r="O294" s="710"/>
      <c r="P294" s="582"/>
      <c r="Q294" s="526"/>
      <c r="R294" s="762"/>
      <c r="S294" s="762"/>
      <c r="T294" s="526"/>
      <c r="U294" s="762"/>
      <c r="V294" s="762"/>
      <c r="W294" s="526"/>
      <c r="X294" s="2893"/>
      <c r="Y294" s="2893"/>
      <c r="Z294" s="2893"/>
      <c r="AA294" s="2893"/>
      <c r="AB294" s="2893"/>
      <c r="AC294" s="2893"/>
      <c r="AD294" s="2893"/>
      <c r="AE294" s="2893"/>
      <c r="AF294" s="2893"/>
      <c r="AG294" s="2893"/>
    </row>
    <row r="295" spans="1:33" ht="14.9" customHeight="1">
      <c r="A295" s="252"/>
      <c r="B295" s="2903" t="s">
        <v>334</v>
      </c>
      <c r="C295" s="2903"/>
      <c r="D295" s="2903"/>
      <c r="E295" s="2903"/>
      <c r="F295" s="6"/>
      <c r="G295" s="63"/>
      <c r="H295" s="480"/>
      <c r="I295" s="710"/>
      <c r="J295" s="582"/>
      <c r="K295" s="526"/>
      <c r="L295" s="748"/>
      <c r="M295" s="711"/>
      <c r="N295" s="526"/>
      <c r="O295" s="710"/>
      <c r="P295" s="582"/>
      <c r="Q295" s="526"/>
      <c r="R295" s="762"/>
      <c r="S295" s="762"/>
      <c r="T295" s="526"/>
      <c r="U295" s="762"/>
      <c r="V295" s="762"/>
      <c r="W295" s="526"/>
      <c r="X295" s="2893"/>
      <c r="Y295" s="2893"/>
      <c r="Z295" s="2893"/>
      <c r="AA295" s="2893"/>
      <c r="AB295" s="2893"/>
      <c r="AC295" s="2893"/>
      <c r="AD295" s="2893"/>
      <c r="AE295" s="2893"/>
      <c r="AF295" s="2893"/>
      <c r="AG295" s="2893"/>
    </row>
    <row r="296" spans="1:33" ht="14.9" customHeight="1">
      <c r="A296" s="252"/>
      <c r="B296" s="2904" t="s">
        <v>335</v>
      </c>
      <c r="C296" s="2904"/>
      <c r="D296" s="2904"/>
      <c r="E296" s="2904"/>
      <c r="F296" s="6"/>
      <c r="G296" s="63"/>
      <c r="H296" s="480"/>
      <c r="I296" s="710"/>
      <c r="J296" s="582"/>
      <c r="K296" s="526"/>
      <c r="L296" s="748"/>
      <c r="M296" s="711"/>
      <c r="N296" s="526"/>
      <c r="O296" s="710"/>
      <c r="P296" s="582"/>
      <c r="Q296" s="526"/>
      <c r="R296" s="762"/>
      <c r="S296" s="762"/>
      <c r="T296" s="526"/>
      <c r="U296" s="762"/>
      <c r="V296" s="762"/>
      <c r="W296" s="526"/>
      <c r="X296" s="2893"/>
      <c r="Y296" s="2893"/>
      <c r="Z296" s="2893"/>
      <c r="AA296" s="2893"/>
      <c r="AB296" s="2893"/>
      <c r="AC296" s="2893"/>
      <c r="AD296" s="2893"/>
      <c r="AE296" s="2893"/>
      <c r="AF296" s="2893"/>
      <c r="AG296" s="2893"/>
    </row>
    <row r="297" spans="1:33" ht="14.9" customHeight="1">
      <c r="A297" s="252"/>
      <c r="B297" s="2903" t="s">
        <v>336</v>
      </c>
      <c r="C297" s="2903"/>
      <c r="D297" s="2903"/>
      <c r="E297" s="2903"/>
      <c r="F297" s="6"/>
      <c r="G297" s="63"/>
      <c r="H297" s="480"/>
      <c r="I297" s="710"/>
      <c r="J297" s="582"/>
      <c r="K297" s="526"/>
      <c r="L297" s="748"/>
      <c r="M297" s="711"/>
      <c r="N297" s="526"/>
      <c r="O297" s="710"/>
      <c r="P297" s="582"/>
      <c r="Q297" s="526"/>
      <c r="R297" s="762"/>
      <c r="S297" s="762"/>
      <c r="T297" s="526"/>
      <c r="U297" s="762"/>
      <c r="V297" s="762"/>
      <c r="W297" s="526"/>
      <c r="X297" s="2893"/>
      <c r="Y297" s="2893"/>
      <c r="Z297" s="2893"/>
      <c r="AA297" s="2893"/>
      <c r="AB297" s="2893"/>
      <c r="AC297" s="2893"/>
      <c r="AD297" s="2893"/>
      <c r="AE297" s="2893"/>
      <c r="AF297" s="2893"/>
      <c r="AG297" s="2893"/>
    </row>
    <row r="298" spans="1:33" ht="33.75" customHeight="1">
      <c r="A298" s="252"/>
      <c r="B298" s="2903" t="s">
        <v>337</v>
      </c>
      <c r="C298" s="2903"/>
      <c r="D298" s="2903"/>
      <c r="E298" s="2903"/>
      <c r="F298" s="6"/>
      <c r="G298" s="63"/>
      <c r="H298" s="480"/>
      <c r="I298" s="710"/>
      <c r="J298" s="582"/>
      <c r="K298" s="526"/>
      <c r="L298" s="748"/>
      <c r="M298" s="711"/>
      <c r="N298" s="526"/>
      <c r="O298" s="710"/>
      <c r="P298" s="582"/>
      <c r="Q298" s="526"/>
      <c r="R298" s="762"/>
      <c r="S298" s="762"/>
      <c r="T298" s="526"/>
      <c r="U298" s="762"/>
      <c r="V298" s="762"/>
      <c r="W298" s="526"/>
      <c r="X298" s="2893"/>
      <c r="Y298" s="2893"/>
      <c r="Z298" s="2893"/>
      <c r="AA298" s="2893"/>
      <c r="AB298" s="2893"/>
      <c r="AC298" s="2893"/>
      <c r="AD298" s="2893"/>
      <c r="AE298" s="2893"/>
      <c r="AF298" s="2893"/>
      <c r="AG298" s="2893"/>
    </row>
    <row r="299" spans="1:33" ht="33.75" customHeight="1">
      <c r="A299" s="252"/>
      <c r="B299" s="2903" t="s">
        <v>338</v>
      </c>
      <c r="C299" s="2903"/>
      <c r="D299" s="2903"/>
      <c r="E299" s="2903"/>
      <c r="F299" s="6"/>
      <c r="G299" s="63"/>
      <c r="H299" s="480"/>
      <c r="I299" s="710"/>
      <c r="J299" s="582"/>
      <c r="K299" s="526"/>
      <c r="L299" s="748"/>
      <c r="M299" s="711"/>
      <c r="N299" s="526"/>
      <c r="O299" s="710"/>
      <c r="P299" s="582"/>
      <c r="Q299" s="526"/>
      <c r="R299" s="762"/>
      <c r="S299" s="762"/>
      <c r="T299" s="526"/>
      <c r="U299" s="762"/>
      <c r="V299" s="762"/>
      <c r="W299" s="526"/>
      <c r="X299" s="2893"/>
      <c r="Y299" s="2893"/>
      <c r="Z299" s="2893"/>
      <c r="AA299" s="2893"/>
      <c r="AB299" s="2893"/>
      <c r="AC299" s="2893"/>
      <c r="AD299" s="2893"/>
      <c r="AE299" s="2893"/>
      <c r="AF299" s="2893"/>
      <c r="AG299" s="2893"/>
    </row>
    <row r="300" spans="1:33" ht="14.9" customHeight="1">
      <c r="A300" s="252"/>
      <c r="B300" s="2903" t="s">
        <v>735</v>
      </c>
      <c r="C300" s="2903"/>
      <c r="D300" s="2903"/>
      <c r="E300" s="2903"/>
      <c r="F300" s="6"/>
      <c r="G300" s="63"/>
      <c r="H300" s="480"/>
      <c r="I300" s="710"/>
      <c r="J300" s="582"/>
      <c r="K300" s="526"/>
      <c r="L300" s="748"/>
      <c r="M300" s="711"/>
      <c r="N300" s="526"/>
      <c r="O300" s="710"/>
      <c r="P300" s="582"/>
      <c r="Q300" s="526"/>
      <c r="R300" s="762"/>
      <c r="S300" s="762"/>
      <c r="T300" s="526"/>
      <c r="U300" s="762"/>
      <c r="V300" s="762"/>
      <c r="W300" s="526"/>
      <c r="X300" s="2893"/>
      <c r="Y300" s="2893"/>
      <c r="Z300" s="2893"/>
      <c r="AA300" s="2893"/>
      <c r="AB300" s="2893"/>
      <c r="AC300" s="2893"/>
      <c r="AD300" s="2893"/>
      <c r="AE300" s="2893"/>
      <c r="AF300" s="2893"/>
      <c r="AG300" s="2893"/>
    </row>
    <row r="301" spans="1:33" ht="14.9" customHeight="1">
      <c r="A301" s="252"/>
      <c r="B301" s="2903" t="s">
        <v>734</v>
      </c>
      <c r="C301" s="2903"/>
      <c r="D301" s="2903"/>
      <c r="E301" s="2903"/>
      <c r="F301" s="6"/>
      <c r="G301" s="63"/>
      <c r="H301" s="797"/>
      <c r="I301" s="710"/>
      <c r="J301" s="582"/>
      <c r="K301" s="562"/>
      <c r="L301" s="748"/>
      <c r="M301" s="711"/>
      <c r="N301" s="562"/>
      <c r="O301" s="710"/>
      <c r="P301" s="582"/>
      <c r="Q301" s="562"/>
      <c r="R301" s="762"/>
      <c r="S301" s="762"/>
      <c r="T301" s="562"/>
      <c r="U301" s="762"/>
      <c r="V301" s="762"/>
      <c r="W301" s="562"/>
      <c r="X301" s="2893"/>
      <c r="Y301" s="2893"/>
      <c r="Z301" s="2893"/>
      <c r="AA301" s="2893"/>
      <c r="AB301" s="2893"/>
      <c r="AC301" s="2893"/>
      <c r="AD301" s="2893"/>
      <c r="AE301" s="2893"/>
      <c r="AF301" s="2893"/>
      <c r="AG301" s="2893"/>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911"/>
      <c r="Y302" s="2911"/>
      <c r="Z302" s="2911"/>
      <c r="AA302" s="2911"/>
      <c r="AB302" s="2911"/>
      <c r="AC302" s="2911"/>
      <c r="AD302" s="2911"/>
      <c r="AE302" s="2911"/>
      <c r="AF302" s="2911"/>
      <c r="AG302" s="2911"/>
    </row>
    <row r="303" spans="1:33" ht="14.9" customHeight="1">
      <c r="A303" s="252"/>
      <c r="B303" s="2903" t="s">
        <v>625</v>
      </c>
      <c r="C303" s="2903"/>
      <c r="D303" s="2903"/>
      <c r="E303" s="2903"/>
      <c r="F303" s="6"/>
      <c r="G303" s="65"/>
      <c r="H303" s="799"/>
      <c r="I303" s="710"/>
      <c r="J303" s="711"/>
      <c r="K303" s="628"/>
      <c r="L303" s="710"/>
      <c r="M303" s="711"/>
      <c r="N303" s="628"/>
      <c r="O303" s="710"/>
      <c r="P303" s="712"/>
      <c r="Q303" s="628"/>
      <c r="R303" s="762"/>
      <c r="S303" s="762"/>
      <c r="T303" s="628"/>
      <c r="U303" s="762"/>
      <c r="V303" s="762"/>
      <c r="W303" s="628"/>
      <c r="X303" s="2893"/>
      <c r="Y303" s="2893"/>
      <c r="Z303" s="2893"/>
      <c r="AA303" s="2893"/>
      <c r="AB303" s="2893"/>
      <c r="AC303" s="2893"/>
      <c r="AD303" s="2893"/>
      <c r="AE303" s="2893"/>
      <c r="AF303" s="2893"/>
      <c r="AG303" s="2893"/>
    </row>
    <row r="304" spans="1:33" ht="14.9" customHeight="1">
      <c r="A304" s="252"/>
      <c r="B304" s="2903" t="s">
        <v>626</v>
      </c>
      <c r="C304" s="2903"/>
      <c r="D304" s="2903"/>
      <c r="E304" s="2903"/>
      <c r="F304" s="6"/>
      <c r="G304" s="63"/>
      <c r="H304" s="480"/>
      <c r="I304" s="710"/>
      <c r="J304" s="582"/>
      <c r="K304" s="526"/>
      <c r="L304" s="748"/>
      <c r="M304" s="711"/>
      <c r="N304" s="526"/>
      <c r="O304" s="710"/>
      <c r="P304" s="582"/>
      <c r="Q304" s="526"/>
      <c r="R304" s="762"/>
      <c r="S304" s="762"/>
      <c r="T304" s="526"/>
      <c r="U304" s="762"/>
      <c r="V304" s="762"/>
      <c r="W304" s="526"/>
      <c r="X304" s="2893"/>
      <c r="Y304" s="2893"/>
      <c r="Z304" s="2893"/>
      <c r="AA304" s="2893"/>
      <c r="AB304" s="2893"/>
      <c r="AC304" s="2893"/>
      <c r="AD304" s="2893"/>
      <c r="AE304" s="2893"/>
      <c r="AF304" s="2893"/>
      <c r="AG304" s="2893"/>
    </row>
    <row r="305" spans="1:33" ht="14.9" customHeight="1">
      <c r="A305" s="252"/>
      <c r="B305" s="2903" t="s">
        <v>627</v>
      </c>
      <c r="C305" s="2903"/>
      <c r="D305" s="2903"/>
      <c r="E305" s="2903"/>
      <c r="F305" s="6"/>
      <c r="G305" s="63"/>
      <c r="H305" s="794"/>
      <c r="I305" s="710"/>
      <c r="J305" s="582"/>
      <c r="K305" s="561"/>
      <c r="L305" s="748"/>
      <c r="M305" s="711"/>
      <c r="N305" s="561"/>
      <c r="O305" s="710"/>
      <c r="P305" s="582"/>
      <c r="Q305" s="561"/>
      <c r="R305" s="762"/>
      <c r="S305" s="762"/>
      <c r="T305" s="561"/>
      <c r="U305" s="762"/>
      <c r="V305" s="762"/>
      <c r="W305" s="561"/>
      <c r="X305" s="2893"/>
      <c r="Y305" s="2893"/>
      <c r="Z305" s="2893"/>
      <c r="AA305" s="2893"/>
      <c r="AB305" s="2893"/>
      <c r="AC305" s="2893"/>
      <c r="AD305" s="2893"/>
      <c r="AE305" s="2893"/>
      <c r="AF305" s="2893"/>
      <c r="AG305" s="2893"/>
    </row>
    <row r="306" spans="1:33" ht="14.9" customHeight="1">
      <c r="A306" s="252"/>
      <c r="B306" s="2904" t="s">
        <v>628</v>
      </c>
      <c r="C306" s="2904"/>
      <c r="D306" s="2904"/>
      <c r="E306" s="2904"/>
      <c r="F306" s="6"/>
      <c r="G306" s="63"/>
      <c r="H306" s="480"/>
      <c r="I306" s="710"/>
      <c r="J306" s="582"/>
      <c r="K306" s="526"/>
      <c r="L306" s="748"/>
      <c r="M306" s="711"/>
      <c r="N306" s="526"/>
      <c r="O306" s="710"/>
      <c r="P306" s="582"/>
      <c r="Q306" s="526"/>
      <c r="R306" s="762"/>
      <c r="S306" s="762"/>
      <c r="T306" s="526"/>
      <c r="U306" s="762"/>
      <c r="V306" s="762"/>
      <c r="W306" s="526"/>
      <c r="X306" s="2893"/>
      <c r="Y306" s="2893"/>
      <c r="Z306" s="2893"/>
      <c r="AA306" s="2893"/>
      <c r="AB306" s="2893"/>
      <c r="AC306" s="2893"/>
      <c r="AD306" s="2893"/>
      <c r="AE306" s="2893"/>
      <c r="AF306" s="2893"/>
      <c r="AG306" s="2893"/>
    </row>
    <row r="307" spans="1:33" ht="33.75" customHeight="1">
      <c r="A307" s="252"/>
      <c r="B307" s="2904" t="s">
        <v>629</v>
      </c>
      <c r="C307" s="2904"/>
      <c r="D307" s="2904"/>
      <c r="E307" s="2904"/>
      <c r="F307" s="6"/>
      <c r="G307" s="65"/>
      <c r="H307" s="795"/>
      <c r="I307" s="710"/>
      <c r="J307" s="711"/>
      <c r="K307" s="568"/>
      <c r="L307" s="710"/>
      <c r="M307" s="711"/>
      <c r="N307" s="568"/>
      <c r="O307" s="710"/>
      <c r="P307" s="712"/>
      <c r="Q307" s="568"/>
      <c r="R307" s="762"/>
      <c r="S307" s="762"/>
      <c r="T307" s="568"/>
      <c r="U307" s="762"/>
      <c r="V307" s="762"/>
      <c r="W307" s="568"/>
      <c r="X307" s="2893"/>
      <c r="Y307" s="2893"/>
      <c r="Z307" s="2893"/>
      <c r="AA307" s="2893"/>
      <c r="AB307" s="2893"/>
      <c r="AC307" s="2893"/>
      <c r="AD307" s="2893"/>
      <c r="AE307" s="2893"/>
      <c r="AF307" s="2893"/>
      <c r="AG307" s="2893"/>
    </row>
    <row r="308" spans="1:33" ht="14.9" customHeight="1">
      <c r="A308" s="252"/>
      <c r="B308" s="2903" t="s">
        <v>630</v>
      </c>
      <c r="C308" s="2903"/>
      <c r="D308" s="2903"/>
      <c r="E308" s="2903"/>
      <c r="F308" s="6"/>
      <c r="G308" s="65"/>
      <c r="H308" s="480"/>
      <c r="I308" s="710"/>
      <c r="J308" s="711"/>
      <c r="K308" s="526"/>
      <c r="L308" s="710"/>
      <c r="M308" s="711"/>
      <c r="N308" s="526"/>
      <c r="O308" s="710"/>
      <c r="P308" s="712"/>
      <c r="Q308" s="526"/>
      <c r="R308" s="762"/>
      <c r="S308" s="762"/>
      <c r="T308" s="526"/>
      <c r="U308" s="762"/>
      <c r="V308" s="762"/>
      <c r="W308" s="526"/>
      <c r="X308" s="2893"/>
      <c r="Y308" s="2893"/>
      <c r="Z308" s="2893"/>
      <c r="AA308" s="2893"/>
      <c r="AB308" s="2893"/>
      <c r="AC308" s="2893"/>
      <c r="AD308" s="2893"/>
      <c r="AE308" s="2893"/>
      <c r="AF308" s="2893"/>
      <c r="AG308" s="2893"/>
    </row>
    <row r="309" spans="1:33" ht="14.9" customHeight="1">
      <c r="A309" s="252"/>
      <c r="B309" s="2904" t="s">
        <v>634</v>
      </c>
      <c r="C309" s="2904"/>
      <c r="D309" s="2904"/>
      <c r="E309" s="2904"/>
      <c r="F309" s="6"/>
      <c r="G309" s="65"/>
      <c r="H309" s="481"/>
      <c r="I309" s="710"/>
      <c r="J309" s="711"/>
      <c r="K309" s="553"/>
      <c r="L309" s="710"/>
      <c r="M309" s="711"/>
      <c r="N309" s="553"/>
      <c r="O309" s="710"/>
      <c r="P309" s="712"/>
      <c r="Q309" s="553"/>
      <c r="R309" s="762"/>
      <c r="S309" s="762"/>
      <c r="T309" s="553"/>
      <c r="U309" s="762"/>
      <c r="V309" s="762"/>
      <c r="W309" s="553"/>
      <c r="X309" s="2893"/>
      <c r="Y309" s="2893"/>
      <c r="Z309" s="2893"/>
      <c r="AA309" s="2893"/>
      <c r="AB309" s="2893"/>
      <c r="AC309" s="2893"/>
      <c r="AD309" s="2893"/>
      <c r="AE309" s="2893"/>
      <c r="AF309" s="2893"/>
      <c r="AG309" s="2893"/>
    </row>
    <row r="310" spans="1:33" ht="29.15" customHeight="1">
      <c r="A310" s="252"/>
      <c r="B310" s="2903" t="s">
        <v>1551</v>
      </c>
      <c r="C310" s="2903"/>
      <c r="D310" s="2903"/>
      <c r="E310" s="2903"/>
      <c r="F310" s="6"/>
      <c r="G310" s="65"/>
      <c r="H310" s="796"/>
      <c r="I310" s="710"/>
      <c r="J310" s="711"/>
      <c r="K310" s="619"/>
      <c r="L310" s="710"/>
      <c r="M310" s="711"/>
      <c r="N310" s="619"/>
      <c r="O310" s="710"/>
      <c r="P310" s="712"/>
      <c r="Q310" s="619"/>
      <c r="R310" s="762"/>
      <c r="S310" s="762"/>
      <c r="T310" s="619"/>
      <c r="U310" s="762"/>
      <c r="V310" s="762"/>
      <c r="W310" s="619"/>
      <c r="X310" s="2893"/>
      <c r="Y310" s="2893"/>
      <c r="Z310" s="2893"/>
      <c r="AA310" s="2893"/>
      <c r="AB310" s="2893"/>
      <c r="AC310" s="2893"/>
      <c r="AD310" s="2893"/>
      <c r="AE310" s="2893"/>
      <c r="AF310" s="2893"/>
      <c r="AG310" s="2893"/>
    </row>
    <row r="311" spans="1:33" ht="29.15" customHeight="1">
      <c r="A311" s="252"/>
      <c r="B311" s="2903" t="s">
        <v>1552</v>
      </c>
      <c r="C311" s="2903"/>
      <c r="D311" s="2903"/>
      <c r="E311" s="2903"/>
      <c r="F311" s="6"/>
      <c r="G311" s="65"/>
      <c r="H311" s="796"/>
      <c r="I311" s="710"/>
      <c r="J311" s="711"/>
      <c r="K311" s="619"/>
      <c r="L311" s="710"/>
      <c r="M311" s="711"/>
      <c r="N311" s="619"/>
      <c r="O311" s="710"/>
      <c r="P311" s="712"/>
      <c r="Q311" s="619"/>
      <c r="R311" s="762"/>
      <c r="S311" s="762"/>
      <c r="T311" s="619"/>
      <c r="U311" s="762"/>
      <c r="V311" s="762"/>
      <c r="W311" s="619"/>
      <c r="X311" s="2893"/>
      <c r="Y311" s="2893"/>
      <c r="Z311" s="2893"/>
      <c r="AA311" s="2893"/>
      <c r="AB311" s="2893"/>
      <c r="AC311" s="2893"/>
      <c r="AD311" s="2893"/>
      <c r="AE311" s="2893"/>
      <c r="AF311" s="2893"/>
      <c r="AG311" s="2893"/>
    </row>
    <row r="312" spans="1:33" ht="33.75" customHeight="1">
      <c r="A312" s="252"/>
      <c r="B312" s="2903" t="s">
        <v>331</v>
      </c>
      <c r="C312" s="2903"/>
      <c r="D312" s="2903"/>
      <c r="E312" s="2903"/>
      <c r="F312" s="6"/>
      <c r="G312" s="65"/>
      <c r="H312" s="480"/>
      <c r="I312" s="710"/>
      <c r="J312" s="711"/>
      <c r="K312" s="526"/>
      <c r="L312" s="710"/>
      <c r="M312" s="711"/>
      <c r="N312" s="526"/>
      <c r="O312" s="710"/>
      <c r="P312" s="712"/>
      <c r="Q312" s="526"/>
      <c r="R312" s="762"/>
      <c r="S312" s="762"/>
      <c r="T312" s="526"/>
      <c r="U312" s="762"/>
      <c r="V312" s="762"/>
      <c r="W312" s="526"/>
      <c r="X312" s="2893"/>
      <c r="Y312" s="2893"/>
      <c r="Z312" s="2893"/>
      <c r="AA312" s="2893"/>
      <c r="AB312" s="2893"/>
      <c r="AC312" s="2893"/>
      <c r="AD312" s="2893"/>
      <c r="AE312" s="2893"/>
      <c r="AF312" s="2893"/>
      <c r="AG312" s="2893"/>
    </row>
    <row r="313" spans="1:33" ht="14.9" customHeight="1">
      <c r="A313" s="252"/>
      <c r="B313" s="2904" t="s">
        <v>332</v>
      </c>
      <c r="C313" s="2904"/>
      <c r="D313" s="2904"/>
      <c r="E313" s="2904"/>
      <c r="F313" s="6"/>
      <c r="G313" s="63"/>
      <c r="H313" s="480"/>
      <c r="I313" s="710"/>
      <c r="J313" s="582"/>
      <c r="K313" s="526"/>
      <c r="L313" s="748"/>
      <c r="M313" s="711"/>
      <c r="N313" s="526"/>
      <c r="O313" s="710"/>
      <c r="P313" s="582"/>
      <c r="Q313" s="526"/>
      <c r="R313" s="762"/>
      <c r="S313" s="762"/>
      <c r="T313" s="526"/>
      <c r="U313" s="762"/>
      <c r="V313" s="762"/>
      <c r="W313" s="526"/>
      <c r="X313" s="2893"/>
      <c r="Y313" s="2893"/>
      <c r="Z313" s="2893"/>
      <c r="AA313" s="2893"/>
      <c r="AB313" s="2893"/>
      <c r="AC313" s="2893"/>
      <c r="AD313" s="2893"/>
      <c r="AE313" s="2893"/>
      <c r="AF313" s="2893"/>
      <c r="AG313" s="2893"/>
    </row>
    <row r="314" spans="1:33" ht="14.9" customHeight="1">
      <c r="A314" s="252"/>
      <c r="B314" s="2903" t="s">
        <v>333</v>
      </c>
      <c r="C314" s="2903"/>
      <c r="D314" s="2903"/>
      <c r="E314" s="2903"/>
      <c r="F314" s="6"/>
      <c r="G314" s="63"/>
      <c r="H314" s="480"/>
      <c r="I314" s="710"/>
      <c r="J314" s="582"/>
      <c r="K314" s="526"/>
      <c r="L314" s="748"/>
      <c r="M314" s="711"/>
      <c r="N314" s="526"/>
      <c r="O314" s="710"/>
      <c r="P314" s="582"/>
      <c r="Q314" s="526"/>
      <c r="R314" s="762"/>
      <c r="S314" s="762"/>
      <c r="T314" s="526"/>
      <c r="U314" s="762"/>
      <c r="V314" s="762"/>
      <c r="W314" s="526"/>
      <c r="X314" s="2893"/>
      <c r="Y314" s="2893"/>
      <c r="Z314" s="2893"/>
      <c r="AA314" s="2893"/>
      <c r="AB314" s="2893"/>
      <c r="AC314" s="2893"/>
      <c r="AD314" s="2893"/>
      <c r="AE314" s="2893"/>
      <c r="AF314" s="2893"/>
      <c r="AG314" s="2893"/>
    </row>
    <row r="315" spans="1:33" ht="14.9" customHeight="1">
      <c r="A315" s="252"/>
      <c r="B315" s="2903" t="s">
        <v>334</v>
      </c>
      <c r="C315" s="2903"/>
      <c r="D315" s="2903"/>
      <c r="E315" s="2903"/>
      <c r="F315" s="6"/>
      <c r="G315" s="63"/>
      <c r="H315" s="480"/>
      <c r="I315" s="710"/>
      <c r="J315" s="582"/>
      <c r="K315" s="526"/>
      <c r="L315" s="748"/>
      <c r="M315" s="711"/>
      <c r="N315" s="526"/>
      <c r="O315" s="710"/>
      <c r="P315" s="582"/>
      <c r="Q315" s="526"/>
      <c r="R315" s="762"/>
      <c r="S315" s="762"/>
      <c r="T315" s="526"/>
      <c r="U315" s="762"/>
      <c r="V315" s="762"/>
      <c r="W315" s="526"/>
      <c r="X315" s="2893"/>
      <c r="Y315" s="2893"/>
      <c r="Z315" s="2893"/>
      <c r="AA315" s="2893"/>
      <c r="AB315" s="2893"/>
      <c r="AC315" s="2893"/>
      <c r="AD315" s="2893"/>
      <c r="AE315" s="2893"/>
      <c r="AF315" s="2893"/>
      <c r="AG315" s="2893"/>
    </row>
    <row r="316" spans="1:33" ht="14.9" customHeight="1">
      <c r="A316" s="252"/>
      <c r="B316" s="2904" t="s">
        <v>335</v>
      </c>
      <c r="C316" s="2904"/>
      <c r="D316" s="2904"/>
      <c r="E316" s="2904"/>
      <c r="F316" s="6"/>
      <c r="G316" s="63"/>
      <c r="H316" s="480"/>
      <c r="I316" s="710"/>
      <c r="J316" s="582"/>
      <c r="K316" s="526"/>
      <c r="L316" s="748"/>
      <c r="M316" s="711"/>
      <c r="N316" s="526"/>
      <c r="O316" s="710"/>
      <c r="P316" s="582"/>
      <c r="Q316" s="526"/>
      <c r="R316" s="762"/>
      <c r="S316" s="762"/>
      <c r="T316" s="526"/>
      <c r="U316" s="762"/>
      <c r="V316" s="762"/>
      <c r="W316" s="526"/>
      <c r="X316" s="2893"/>
      <c r="Y316" s="2893"/>
      <c r="Z316" s="2893"/>
      <c r="AA316" s="2893"/>
      <c r="AB316" s="2893"/>
      <c r="AC316" s="2893"/>
      <c r="AD316" s="2893"/>
      <c r="AE316" s="2893"/>
      <c r="AF316" s="2893"/>
      <c r="AG316" s="2893"/>
    </row>
    <row r="317" spans="1:33" ht="14.9" customHeight="1">
      <c r="A317" s="252"/>
      <c r="B317" s="2903" t="s">
        <v>336</v>
      </c>
      <c r="C317" s="2903"/>
      <c r="D317" s="2903"/>
      <c r="E317" s="2903"/>
      <c r="F317" s="6"/>
      <c r="G317" s="63"/>
      <c r="H317" s="480"/>
      <c r="I317" s="710"/>
      <c r="J317" s="582"/>
      <c r="K317" s="526"/>
      <c r="L317" s="748"/>
      <c r="M317" s="711"/>
      <c r="N317" s="526"/>
      <c r="O317" s="710"/>
      <c r="P317" s="582"/>
      <c r="Q317" s="526"/>
      <c r="R317" s="762"/>
      <c r="S317" s="762"/>
      <c r="T317" s="526"/>
      <c r="U317" s="762"/>
      <c r="V317" s="762"/>
      <c r="W317" s="526"/>
      <c r="X317" s="2893"/>
      <c r="Y317" s="2893"/>
      <c r="Z317" s="2893"/>
      <c r="AA317" s="2893"/>
      <c r="AB317" s="2893"/>
      <c r="AC317" s="2893"/>
      <c r="AD317" s="2893"/>
      <c r="AE317" s="2893"/>
      <c r="AF317" s="2893"/>
      <c r="AG317" s="2893"/>
    </row>
    <row r="318" spans="1:33" ht="33.75" customHeight="1">
      <c r="A318" s="252"/>
      <c r="B318" s="2903" t="s">
        <v>337</v>
      </c>
      <c r="C318" s="2903"/>
      <c r="D318" s="2903"/>
      <c r="E318" s="2903"/>
      <c r="F318" s="6"/>
      <c r="G318" s="63"/>
      <c r="H318" s="480"/>
      <c r="I318" s="710"/>
      <c r="J318" s="582"/>
      <c r="K318" s="526"/>
      <c r="L318" s="748"/>
      <c r="M318" s="711"/>
      <c r="N318" s="526"/>
      <c r="O318" s="710"/>
      <c r="P318" s="582"/>
      <c r="Q318" s="526"/>
      <c r="R318" s="762"/>
      <c r="S318" s="762"/>
      <c r="T318" s="526"/>
      <c r="U318" s="762"/>
      <c r="V318" s="762"/>
      <c r="W318" s="526"/>
      <c r="X318" s="2893"/>
      <c r="Y318" s="2893"/>
      <c r="Z318" s="2893"/>
      <c r="AA318" s="2893"/>
      <c r="AB318" s="2893"/>
      <c r="AC318" s="2893"/>
      <c r="AD318" s="2893"/>
      <c r="AE318" s="2893"/>
      <c r="AF318" s="2893"/>
      <c r="AG318" s="2893"/>
    </row>
    <row r="319" spans="1:33" ht="33.75" customHeight="1">
      <c r="A319" s="252"/>
      <c r="B319" s="2903" t="s">
        <v>338</v>
      </c>
      <c r="C319" s="2903"/>
      <c r="D319" s="2903"/>
      <c r="E319" s="2903"/>
      <c r="F319" s="6"/>
      <c r="G319" s="63"/>
      <c r="H319" s="480"/>
      <c r="I319" s="710"/>
      <c r="J319" s="582"/>
      <c r="K319" s="526"/>
      <c r="L319" s="748"/>
      <c r="M319" s="711"/>
      <c r="N319" s="526"/>
      <c r="O319" s="710"/>
      <c r="P319" s="582"/>
      <c r="Q319" s="526"/>
      <c r="R319" s="762"/>
      <c r="S319" s="762"/>
      <c r="T319" s="526"/>
      <c r="U319" s="762"/>
      <c r="V319" s="762"/>
      <c r="W319" s="526"/>
      <c r="X319" s="2893"/>
      <c r="Y319" s="2893"/>
      <c r="Z319" s="2893"/>
      <c r="AA319" s="2893"/>
      <c r="AB319" s="2893"/>
      <c r="AC319" s="2893"/>
      <c r="AD319" s="2893"/>
      <c r="AE319" s="2893"/>
      <c r="AF319" s="2893"/>
      <c r="AG319" s="2893"/>
    </row>
    <row r="320" spans="1:33" ht="14.9" customHeight="1">
      <c r="A320" s="252"/>
      <c r="B320" s="2903" t="s">
        <v>735</v>
      </c>
      <c r="C320" s="2903"/>
      <c r="D320" s="2903"/>
      <c r="E320" s="2903"/>
      <c r="F320" s="6"/>
      <c r="G320" s="63"/>
      <c r="H320" s="480"/>
      <c r="I320" s="710"/>
      <c r="J320" s="582"/>
      <c r="K320" s="526"/>
      <c r="L320" s="748"/>
      <c r="M320" s="711"/>
      <c r="N320" s="526"/>
      <c r="O320" s="710"/>
      <c r="P320" s="582"/>
      <c r="Q320" s="526"/>
      <c r="R320" s="762"/>
      <c r="S320" s="762"/>
      <c r="T320" s="526"/>
      <c r="U320" s="762"/>
      <c r="V320" s="762"/>
      <c r="W320" s="526"/>
      <c r="X320" s="2893"/>
      <c r="Y320" s="2893"/>
      <c r="Z320" s="2893"/>
      <c r="AA320" s="2893"/>
      <c r="AB320" s="2893"/>
      <c r="AC320" s="2893"/>
      <c r="AD320" s="2893"/>
      <c r="AE320" s="2893"/>
      <c r="AF320" s="2893"/>
      <c r="AG320" s="2893"/>
    </row>
    <row r="321" spans="1:33" ht="14.9" customHeight="1">
      <c r="A321" s="252"/>
      <c r="B321" s="2903" t="s">
        <v>734</v>
      </c>
      <c r="C321" s="2903"/>
      <c r="D321" s="2903"/>
      <c r="E321" s="2903"/>
      <c r="F321" s="6"/>
      <c r="G321" s="63"/>
      <c r="H321" s="802"/>
      <c r="I321" s="741"/>
      <c r="J321" s="557"/>
      <c r="K321" s="769"/>
      <c r="L321" s="770"/>
      <c r="M321" s="742"/>
      <c r="N321" s="769"/>
      <c r="O321" s="741"/>
      <c r="P321" s="557"/>
      <c r="Q321" s="769"/>
      <c r="R321" s="768"/>
      <c r="S321" s="768"/>
      <c r="T321" s="769"/>
      <c r="U321" s="768"/>
      <c r="V321" s="768"/>
      <c r="W321" s="544"/>
      <c r="X321" s="2893"/>
      <c r="Y321" s="2893"/>
      <c r="Z321" s="2893"/>
      <c r="AA321" s="2893"/>
      <c r="AB321" s="2893"/>
      <c r="AC321" s="2893"/>
      <c r="AD321" s="2893"/>
      <c r="AE321" s="2893"/>
      <c r="AF321" s="2893"/>
      <c r="AG321" s="2893"/>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9mCvO5wOjkoJb1tJTDkDYoOAV8cV00jhsd0DRW43Td0T9hxMExUwWpbY91lad59V5ZnJcFu6DGtlwgKFa0iWvQ==" saltValue="6GhAS6vVHjj6Z70s/+1HMg==" spinCount="100000" sheet="1" objects="1" scenarios="1" formatColumns="0" formatRows="0"/>
  <mergeCells count="534">
    <mergeCell ref="B1:E1"/>
    <mergeCell ref="B4:E4"/>
    <mergeCell ref="K4:T4"/>
    <mergeCell ref="K5:T5"/>
    <mergeCell ref="K6:T6"/>
    <mergeCell ref="K7:T7"/>
    <mergeCell ref="B11:E11"/>
    <mergeCell ref="K11:T11"/>
    <mergeCell ref="B12:E12"/>
    <mergeCell ref="K12:T1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N33:W33"/>
    <mergeCell ref="N34:W34"/>
    <mergeCell ref="N35:W35"/>
    <mergeCell ref="N36:W36"/>
    <mergeCell ref="N37:W37"/>
    <mergeCell ref="N38:W38"/>
    <mergeCell ref="N27:W27"/>
    <mergeCell ref="N28:W28"/>
    <mergeCell ref="N29:W29"/>
    <mergeCell ref="N30:W30"/>
    <mergeCell ref="N31:W31"/>
    <mergeCell ref="N32:W32"/>
    <mergeCell ref="K46:T46"/>
    <mergeCell ref="K47:T47"/>
    <mergeCell ref="K48:T48"/>
    <mergeCell ref="C49:E49"/>
    <mergeCell ref="K49:T49"/>
    <mergeCell ref="C50:E50"/>
    <mergeCell ref="K50:T50"/>
    <mergeCell ref="B41:E41"/>
    <mergeCell ref="C42:E42"/>
    <mergeCell ref="K42:T42"/>
    <mergeCell ref="K43:T43"/>
    <mergeCell ref="K44:T44"/>
    <mergeCell ref="K45:T45"/>
    <mergeCell ref="C54:E54"/>
    <mergeCell ref="K54:T54"/>
    <mergeCell ref="C55:E55"/>
    <mergeCell ref="K55:T55"/>
    <mergeCell ref="C56:E56"/>
    <mergeCell ref="K56:T56"/>
    <mergeCell ref="C51:E51"/>
    <mergeCell ref="K51:T51"/>
    <mergeCell ref="C52:E52"/>
    <mergeCell ref="K52:T52"/>
    <mergeCell ref="C53:E53"/>
    <mergeCell ref="K53:T53"/>
    <mergeCell ref="C60:E60"/>
    <mergeCell ref="K60:T60"/>
    <mergeCell ref="C61:E61"/>
    <mergeCell ref="K61:T61"/>
    <mergeCell ref="C62:E62"/>
    <mergeCell ref="K62:T62"/>
    <mergeCell ref="C57:E57"/>
    <mergeCell ref="K57:T57"/>
    <mergeCell ref="C58:E58"/>
    <mergeCell ref="K58:T58"/>
    <mergeCell ref="C59:E59"/>
    <mergeCell ref="K59:T59"/>
    <mergeCell ref="C66:E66"/>
    <mergeCell ref="K66:T66"/>
    <mergeCell ref="C67:E67"/>
    <mergeCell ref="K67:T67"/>
    <mergeCell ref="C68:E68"/>
    <mergeCell ref="K68:T68"/>
    <mergeCell ref="C63:E63"/>
    <mergeCell ref="K63:T63"/>
    <mergeCell ref="C64:E64"/>
    <mergeCell ref="K64:T64"/>
    <mergeCell ref="C65:E65"/>
    <mergeCell ref="K65:T65"/>
    <mergeCell ref="C72:E72"/>
    <mergeCell ref="K72:T72"/>
    <mergeCell ref="C73:E73"/>
    <mergeCell ref="K73:T73"/>
    <mergeCell ref="C74:E74"/>
    <mergeCell ref="K74:T74"/>
    <mergeCell ref="C69:E69"/>
    <mergeCell ref="K69:T69"/>
    <mergeCell ref="C70:E70"/>
    <mergeCell ref="K70:T70"/>
    <mergeCell ref="C71:E71"/>
    <mergeCell ref="K71:T71"/>
    <mergeCell ref="C78:E78"/>
    <mergeCell ref="K78:T78"/>
    <mergeCell ref="A81:E81"/>
    <mergeCell ref="G82:H82"/>
    <mergeCell ref="J82:K82"/>
    <mergeCell ref="M82:N82"/>
    <mergeCell ref="C75:E75"/>
    <mergeCell ref="K75:T75"/>
    <mergeCell ref="C76:E76"/>
    <mergeCell ref="K76:T76"/>
    <mergeCell ref="C77:E77"/>
    <mergeCell ref="K77:T77"/>
    <mergeCell ref="P83:P84"/>
    <mergeCell ref="Q83:Q84"/>
    <mergeCell ref="T83:T84"/>
    <mergeCell ref="W83:W84"/>
    <mergeCell ref="X83:AG84"/>
    <mergeCell ref="X86:AG86"/>
    <mergeCell ref="G83:G84"/>
    <mergeCell ref="H83:H84"/>
    <mergeCell ref="J83:J84"/>
    <mergeCell ref="K83:K84"/>
    <mergeCell ref="M83:M84"/>
    <mergeCell ref="N83:N84"/>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A105:A107"/>
    <mergeCell ref="X105:AG105"/>
    <mergeCell ref="X106:AG106"/>
    <mergeCell ref="B107:E107"/>
    <mergeCell ref="X107:AG107"/>
    <mergeCell ref="A108:A112"/>
    <mergeCell ref="X108:AG108"/>
    <mergeCell ref="B109:E109"/>
    <mergeCell ref="X109:AG109"/>
    <mergeCell ref="X110:AG110"/>
    <mergeCell ref="X116:AG116"/>
    <mergeCell ref="B117:E117"/>
    <mergeCell ref="X117:AG117"/>
    <mergeCell ref="X120:AG120"/>
    <mergeCell ref="X121:AG121"/>
    <mergeCell ref="X122:AG122"/>
    <mergeCell ref="X111:AG111"/>
    <mergeCell ref="X112:AG112"/>
    <mergeCell ref="A113:A117"/>
    <mergeCell ref="B113:E113"/>
    <mergeCell ref="X113:AG113"/>
    <mergeCell ref="B114:E114"/>
    <mergeCell ref="X114:AG114"/>
    <mergeCell ref="B115:E115"/>
    <mergeCell ref="X115:AG115"/>
    <mergeCell ref="B116:E116"/>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20:E320"/>
    <mergeCell ref="X320:AG320"/>
    <mergeCell ref="B321:E321"/>
    <mergeCell ref="X321:AG321"/>
    <mergeCell ref="B317:E317"/>
    <mergeCell ref="X317:AG317"/>
    <mergeCell ref="B318:E318"/>
    <mergeCell ref="X318:AG318"/>
    <mergeCell ref="B319:E319"/>
    <mergeCell ref="X319:AG319"/>
  </mergeCells>
  <dataValidations count="19">
    <dataValidation type="list" allowBlank="1" showInputMessage="1" showErrorMessage="1" sqref="M289:M291 J180:J182 M245:M247 M205:M207 J136 M225:M227 M136 M156 J156 M176 M160:M162 J176 J160:J162 M180:M182 M309:M311" xr:uid="{00000000-0002-0000-1E00-000000000000}">
      <formula1>"Motorcycle,Land Cruiser,Box Truck/Lorry"</formula1>
    </dataValidation>
    <dataValidation type="list" allowBlank="1" showInputMessage="1" showErrorMessage="1" sqref="G87 G89" xr:uid="{00000000-0002-0000-1E00-000001000000}">
      <formula1>"Tier 1,Tier 2,Tier 3,Tier 4"</formula1>
    </dataValidation>
    <dataValidation type="list" allowBlank="1" showInputMessage="1" showErrorMessage="1" sqref="G86" xr:uid="{00000000-0002-0000-1E00-000002000000}">
      <formula1>"ZimbabweZAPS,TEST"</formula1>
    </dataValidation>
    <dataValidation type="list" allowBlank="1" showInputMessage="1" showErrorMessage="1" sqref="H5 H86 K86 N86 Q86 T86 W86" xr:uid="{00000000-0002-0000-1E00-000003000000}">
      <formula1>$N$6:$N$11</formula1>
    </dataValidation>
    <dataValidation type="whole" allowBlank="1" showInputMessage="1" showErrorMessage="1" sqref="H7" xr:uid="{00000000-0002-0000-1E00-000004000000}">
      <formula1>1</formula1>
      <formula2>6</formula2>
    </dataValidation>
    <dataValidation type="decimal" operator="greaterThanOrEqual" allowBlank="1" showInputMessage="1" showErrorMessage="1" sqref="H12 H8 H18 H28:H38 H63 H46 H49:H52 H73:H76 H43 H55:H58 H67 H69:H70 H98:H99 K98:K99 N98:N99 Q98:Q99 T98:T99 W98:W99 H103:H104 H106:H107 H109:H113 H115:H116 K103:K104 K106:K107 K109:K113 K115:K116 N103:N104 N106:N107 N109:N113 N115:N116 Q103:Q104 Q106:Q107 Q109:Q113 Q115:Q116 T103:T104 T106:T107 T109:T113 T115:T116 W103:W104 W106:W107 W109:W113 W115:W116 H315 K121:K122 N121:N122 Q121:Q122 T121:T122 W121:W122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H121:H122 K28:K38" xr:uid="{00000000-0002-0000-1E00-000005000000}">
      <formula1>0</formula1>
    </dataValidation>
    <dataValidation type="decimal" operator="greaterThan" allowBlank="1" showInputMessage="1" showErrorMessage="1" sqref="H6 H9:H11 H17 H21 H19 H68 H77:H78 H71:H72 H180 H44:H45 H47:H48 H53:H54 H92 K92 N92 Q92 T92 W92 H108 H114 K108 K114 N108 N114 Q108 Q114 T108 T114 W108 W114 K180 K160 H184 H164 H191:H192 H171:H172 K140 H144 H151:H152 N180 N160 K184 K164 K191:K192 K171:K172 N140 K144 Q151:Q152 Q180 Q160 N184 N164 N191:N192 N171:N172 Q140 N144 N151:N152 T180 T160 Q184 Q164 Q191:Q192 Q171:Q172 T140 Q144 H64:H66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59:H62 K151:K152" xr:uid="{00000000-0002-0000-1E00-000006000000}">
      <formula1>0</formula1>
    </dataValidation>
    <dataValidation type="decimal" operator="greaterThanOrEqual" allowBlank="1" showInputMessage="1" showErrorMessage="1" sqref="H97 K97 N97 Q97 T97 W97" xr:uid="{00000000-0002-0000-1E00-000007000000}">
      <formula1>1</formula1>
    </dataValidation>
    <dataValidation type="whole" operator="greaterThan" allowBlank="1" showInputMessage="1" showErrorMessage="1" sqref="H95:H96 K95:K96 N95:N96 Q95:Q96 T95:T96 W95:W96" xr:uid="{00000000-0002-0000-1E00-000008000000}">
      <formula1>0</formula1>
    </dataValidation>
    <dataValidation type="decimal" allowBlank="1" showInputMessage="1" showErrorMessage="1" sqref="H94 K94 N94 Q94 T94 W94" xr:uid="{00000000-0002-0000-1E00-000009000000}">
      <formula1>0</formula1>
      <formula2>99.9999</formula2>
    </dataValidation>
    <dataValidation type="decimal" allowBlank="1" showInputMessage="1" showErrorMessage="1" sqref="H93 K93 N93 Q93 T93 W93" xr:uid="{00000000-0002-0000-1E00-00000A000000}">
      <formula1>0.0001</formula1>
      <formula2>2</formula2>
    </dataValidation>
    <dataValidation type="list" allowBlank="1" showInputMessage="1" showErrorMessage="1" sqref="H105 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N105 K105" xr:uid="{00000000-0002-0000-1E00-00000B000000}">
      <formula1>$B$27:$B$38</formula1>
    </dataValidation>
    <dataValidation type="list" allowBlank="1" showInputMessage="1" showErrorMessage="1" sqref="H117 K117 N117 Q117 T117 W117" xr:uid="{00000000-0002-0000-1E00-00000C000000}">
      <formula1>"Upstream,Downstream"</formula1>
    </dataValidation>
    <dataValidation type="list" allowBlank="1" showInputMessage="1" showErrorMessage="1" sqref="H120 K120 N120 Q120 T120 W120" xr:uid="{00000000-0002-0000-1E00-00000D000000}">
      <formula1>"Cost per m^3 delivered, Cost as % commodity value"</formula1>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E00-00000E000000}">
      <formula1>0</formula1>
      <formula2>1</formula2>
    </dataValidation>
    <dataValidation type="whole" allowBlank="1" showInputMessage="1" showErrorMessage="1" sqref="H133:H134 K133:K134 N133:N134 Q133:Q134 T133:T134 W133:W134" xr:uid="{00000000-0002-0000-1E00-00000F000000}">
      <formula1>0</formula1>
      <formula2>3</formula2>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E00-000010000000}">
      <formula1>"Route-based,Point-to-point"</formula1>
    </dataValidation>
    <dataValidation type="list" allowBlank="1" showInputMessage="1" showErrorMessage="1" sqref="H173:H174 H153:H154 H193 K173:K174 K153:K154 K193 N173:N174 W193 N193 Q173:Q174 N153:N154 Q193 T173:T174 T153:T154 T193 W173:W174 W153:W154 Q153:Q154" xr:uid="{00000000-0002-0000-1E00-000011000000}">
      <formula1>"Yes,No"</formula1>
    </dataValidation>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E00-000012000000}">
      <formula1>"Yes, 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operator="greaterThan" allowBlank="1" showInputMessage="1" showErrorMessage="1" xr:uid="{00000000-0002-0000-1E00-000013000000}">
          <x14:formula1>
            <xm:f>'List Values'!$B$3:$B$4</xm:f>
          </x14:formula1>
          <xm:sqref>H20</xm:sqref>
        </x14:dataValidation>
        <x14:dataValidation type="list" allowBlank="1" showInputMessage="1" showErrorMessage="1" xr:uid="{00000000-0002-0000-1E00-000014000000}">
          <x14:formula1>
            <xm:f>'List Values'!$B$3:$B$4</xm:f>
          </x14:formula1>
          <xm:sqref>H20</xm:sqref>
        </x14:dataValidation>
        <x14:dataValidation type="list" allowBlank="1" showInputMessage="1" showErrorMessage="1" xr:uid="{00000000-0002-0000-1E00-000015000000}">
          <x14:formula1>
            <xm:f>'List Values'!$C$3:$C$8</xm:f>
          </x14:formula1>
          <xm:sqref>K87 N87 Q87 T87 W87 H87</xm:sqref>
        </x14:dataValidation>
        <x14:dataValidation type="list" allowBlank="1" showInputMessage="1" showErrorMessage="1" xr:uid="{00000000-0002-0000-1E00-000016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E00-000017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E00-000018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
    <tabColor theme="0" tint="-0.14999847407452621"/>
  </sheetPr>
  <dimension ref="A1:AG364"/>
  <sheetViews>
    <sheetView showGridLines="0" zoomScale="90" zoomScaleNormal="90" workbookViewId="0">
      <selection activeCell="B1" sqref="B1:E1"/>
    </sheetView>
  </sheetViews>
  <sheetFormatPr defaultColWidth="8.84375" defaultRowHeight="14.6"/>
  <cols>
    <col min="1" max="1" width="9.69140625" customWidth="1"/>
    <col min="2" max="2" width="30.3046875" customWidth="1"/>
    <col min="3" max="3" width="10.69140625" customWidth="1"/>
    <col min="4" max="4" width="24.3046875" customWidth="1"/>
    <col min="5" max="5" width="34.69140625" customWidth="1"/>
    <col min="6" max="6" width="0.69140625" customWidth="1"/>
    <col min="7" max="7" width="0.84375" hidden="1" customWidth="1"/>
    <col min="8" max="8" width="15.84375" customWidth="1"/>
    <col min="9" max="9" width="3.69140625" hidden="1" customWidth="1"/>
    <col min="10" max="10" width="6.15234375" hidden="1" customWidth="1"/>
    <col min="11" max="11" width="18.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6" max="26" width="44.84375" customWidth="1"/>
    <col min="27" max="27" width="50.15234375" customWidth="1"/>
    <col min="28" max="28" width="14.3046875" customWidth="1"/>
    <col min="29" max="29" width="16.3046875" customWidth="1"/>
    <col min="30" max="30" width="21.69140625" customWidth="1"/>
    <col min="31" max="31" width="15.3046875" customWidth="1"/>
  </cols>
  <sheetData>
    <row r="1" spans="2:32" ht="237" customHeight="1">
      <c r="B1" s="2913" t="s">
        <v>5513</v>
      </c>
      <c r="C1" s="2913"/>
      <c r="D1" s="2913"/>
      <c r="E1" s="2913"/>
      <c r="H1" s="771"/>
      <c r="K1" s="240"/>
    </row>
    <row r="4" spans="2:32" ht="27" customHeight="1">
      <c r="B4" s="2856" t="s">
        <v>304</v>
      </c>
      <c r="C4" s="2857"/>
      <c r="D4" s="2857"/>
      <c r="E4" s="2858"/>
      <c r="G4" s="25" t="s">
        <v>17</v>
      </c>
      <c r="H4" s="789" t="s">
        <v>10</v>
      </c>
      <c r="K4" s="2859" t="s">
        <v>405</v>
      </c>
      <c r="L4" s="2859"/>
      <c r="M4" s="2859"/>
      <c r="N4" s="2859"/>
      <c r="O4" s="2859"/>
      <c r="P4" s="2859"/>
      <c r="Q4" s="2859"/>
      <c r="R4" s="2859"/>
      <c r="S4" s="2859"/>
      <c r="T4" s="2859"/>
    </row>
    <row r="5" spans="2:32" ht="15" customHeight="1">
      <c r="B5" s="665" t="s">
        <v>117</v>
      </c>
      <c r="C5" s="664"/>
      <c r="D5" s="664"/>
      <c r="E5" s="663"/>
      <c r="H5" s="1049"/>
      <c r="K5" s="2860"/>
      <c r="L5" s="2860"/>
      <c r="M5" s="2860"/>
      <c r="N5" s="2860"/>
      <c r="O5" s="2860"/>
      <c r="P5" s="2860"/>
      <c r="Q5" s="2860"/>
      <c r="R5" s="2860"/>
      <c r="S5" s="2860"/>
      <c r="T5" s="2860"/>
    </row>
    <row r="6" spans="2:32" ht="15" customHeight="1">
      <c r="B6" s="665" t="s">
        <v>165</v>
      </c>
      <c r="C6" s="664"/>
      <c r="D6" s="664"/>
      <c r="E6" s="663"/>
      <c r="F6" s="83"/>
      <c r="G6" s="84"/>
      <c r="H6" s="695">
        <v>1</v>
      </c>
      <c r="K6" s="2860"/>
      <c r="L6" s="2860"/>
      <c r="M6" s="2860"/>
      <c r="N6" s="2860"/>
      <c r="O6" s="2860"/>
      <c r="P6" s="2860"/>
      <c r="Q6" s="2860"/>
      <c r="R6" s="2860"/>
      <c r="S6" s="2860"/>
      <c r="T6" s="2860"/>
    </row>
    <row r="7" spans="2:32" ht="16" customHeight="1">
      <c r="B7" s="662" t="s">
        <v>413</v>
      </c>
      <c r="C7" s="659"/>
      <c r="D7" s="659"/>
      <c r="E7" s="791"/>
      <c r="G7" s="41">
        <v>3</v>
      </c>
      <c r="H7" s="695">
        <v>3</v>
      </c>
      <c r="K7" s="2860"/>
      <c r="L7" s="2860"/>
      <c r="M7" s="2860"/>
      <c r="N7" s="2860"/>
      <c r="O7" s="2860"/>
      <c r="P7" s="2860"/>
      <c r="Q7" s="2860"/>
      <c r="R7" s="2860"/>
      <c r="S7" s="2860"/>
      <c r="T7" s="2860"/>
      <c r="AF7" t="e">
        <f>#REF!*2</f>
        <v>#REF!</v>
      </c>
    </row>
    <row r="8" spans="2:32">
      <c r="B8" s="2861" t="s">
        <v>11</v>
      </c>
      <c r="C8" s="2250"/>
      <c r="D8" s="2250"/>
      <c r="E8" s="2862"/>
      <c r="G8" s="40">
        <v>1.37</v>
      </c>
      <c r="H8" s="701">
        <v>1.37</v>
      </c>
      <c r="K8" s="2860"/>
      <c r="L8" s="2860"/>
      <c r="M8" s="2860"/>
      <c r="N8" s="2860"/>
      <c r="O8" s="2860"/>
      <c r="P8" s="2860"/>
      <c r="Q8" s="2860"/>
      <c r="R8" s="2860"/>
      <c r="S8" s="2860"/>
      <c r="T8" s="2860"/>
      <c r="AC8">
        <f>AC10/N95</f>
        <v>5.666666666666667</v>
      </c>
    </row>
    <row r="9" spans="2:32" ht="18.75" customHeight="1">
      <c r="B9" s="2861" t="s">
        <v>12</v>
      </c>
      <c r="C9" s="2250"/>
      <c r="D9" s="2250"/>
      <c r="E9" s="2862"/>
      <c r="G9" s="41">
        <v>240</v>
      </c>
      <c r="H9" s="695">
        <v>240</v>
      </c>
      <c r="K9" s="2860"/>
      <c r="L9" s="2860"/>
      <c r="M9" s="2860"/>
      <c r="N9" s="2860"/>
      <c r="O9" s="2860"/>
      <c r="P9" s="2860"/>
      <c r="Q9" s="2860"/>
      <c r="R9" s="2860"/>
      <c r="S9" s="2860"/>
      <c r="T9" s="2860"/>
      <c r="U9" s="655"/>
      <c r="V9" s="655"/>
      <c r="AA9" s="88" t="s">
        <v>114</v>
      </c>
      <c r="AB9" s="89" t="s">
        <v>27</v>
      </c>
      <c r="AC9" s="89" t="s">
        <v>47</v>
      </c>
      <c r="AD9" s="90" t="s">
        <v>2</v>
      </c>
    </row>
    <row r="10" spans="2:32" ht="15" customHeight="1">
      <c r="B10" s="2861" t="s">
        <v>13</v>
      </c>
      <c r="C10" s="2250"/>
      <c r="D10" s="2250"/>
      <c r="E10" s="2862"/>
      <c r="G10" s="41">
        <v>8</v>
      </c>
      <c r="H10" s="695">
        <v>8</v>
      </c>
      <c r="K10" s="2860"/>
      <c r="L10" s="2860"/>
      <c r="M10" s="2860"/>
      <c r="N10" s="2860"/>
      <c r="O10" s="2860"/>
      <c r="P10" s="2860"/>
      <c r="Q10" s="2860"/>
      <c r="R10" s="2860"/>
      <c r="S10" s="2860"/>
      <c r="T10" s="2860"/>
      <c r="U10" s="62"/>
      <c r="V10" s="62"/>
      <c r="AA10" s="91" t="s">
        <v>101</v>
      </c>
      <c r="AB10" s="62">
        <v>1955</v>
      </c>
      <c r="AC10" s="62">
        <v>1955</v>
      </c>
      <c r="AD10" s="92">
        <v>5.666666666666667</v>
      </c>
    </row>
    <row r="11" spans="2:32" ht="15" customHeight="1">
      <c r="B11" s="2861" t="s">
        <v>15</v>
      </c>
      <c r="C11" s="2250"/>
      <c r="D11" s="2250"/>
      <c r="E11" s="2862"/>
      <c r="G11" s="41">
        <v>5</v>
      </c>
      <c r="H11" s="695">
        <v>5</v>
      </c>
      <c r="K11" s="2860"/>
      <c r="L11" s="2860"/>
      <c r="M11" s="2860"/>
      <c r="N11" s="2860"/>
      <c r="O11" s="2860"/>
      <c r="P11" s="2860"/>
      <c r="Q11" s="2860"/>
      <c r="R11" s="2860"/>
      <c r="S11" s="2860"/>
      <c r="T11" s="2860"/>
      <c r="U11" s="62"/>
      <c r="V11" s="62"/>
      <c r="AA11" s="91" t="s">
        <v>106</v>
      </c>
      <c r="AB11" s="62">
        <v>488.75</v>
      </c>
      <c r="AC11" s="62">
        <v>488.75</v>
      </c>
      <c r="AD11" s="92">
        <v>1.4166666666666667</v>
      </c>
    </row>
    <row r="12" spans="2:32" ht="15" customHeight="1">
      <c r="B12" s="2861" t="s">
        <v>400</v>
      </c>
      <c r="C12" s="2250"/>
      <c r="D12" s="2250"/>
      <c r="E12" s="2862"/>
      <c r="G12" s="42">
        <v>3</v>
      </c>
      <c r="H12" s="702">
        <v>5</v>
      </c>
      <c r="K12" s="2860"/>
      <c r="L12" s="2860"/>
      <c r="M12" s="2860"/>
      <c r="N12" s="2860"/>
      <c r="O12" s="2860"/>
      <c r="P12" s="2860"/>
      <c r="Q12" s="2860"/>
      <c r="R12" s="2860"/>
      <c r="S12" s="2860"/>
      <c r="T12" s="2860"/>
      <c r="U12" s="62"/>
      <c r="V12" s="62"/>
      <c r="AA12" s="91" t="s">
        <v>102</v>
      </c>
      <c r="AB12" s="62">
        <v>162.91666666666666</v>
      </c>
      <c r="AC12" s="62">
        <v>162.91666666666666</v>
      </c>
      <c r="AD12" s="92">
        <f>AD11*N103</f>
        <v>0</v>
      </c>
    </row>
    <row r="13" spans="2:32" ht="15" customHeight="1">
      <c r="B13" s="39"/>
      <c r="C13" s="39"/>
      <c r="D13" s="39"/>
      <c r="E13" s="39"/>
      <c r="G13" s="8"/>
      <c r="H13" s="11"/>
      <c r="S13" s="240"/>
      <c r="T13" s="62"/>
      <c r="U13" s="62"/>
      <c r="V13" s="62"/>
      <c r="AA13" s="91"/>
      <c r="AB13" s="62"/>
      <c r="AC13" s="62"/>
      <c r="AD13" s="92"/>
    </row>
    <row r="14" spans="2:32" ht="15" customHeight="1">
      <c r="B14" s="39"/>
      <c r="C14" s="39"/>
      <c r="D14" s="39"/>
      <c r="E14" s="39"/>
      <c r="G14" s="8"/>
      <c r="H14" s="11"/>
      <c r="T14" s="93"/>
      <c r="U14" s="93"/>
      <c r="V14" s="661"/>
      <c r="W14" s="4"/>
      <c r="AA14" s="91" t="s">
        <v>103</v>
      </c>
      <c r="AB14" s="62">
        <v>325.83333333333331</v>
      </c>
      <c r="AC14" s="62">
        <v>325.83333333333331</v>
      </c>
      <c r="AD14" s="92">
        <f>AD11*N104</f>
        <v>4.25</v>
      </c>
    </row>
    <row r="15" spans="2:32" ht="26.25" customHeight="1">
      <c r="B15" s="2856" t="s">
        <v>296</v>
      </c>
      <c r="C15" s="2857"/>
      <c r="D15" s="2857"/>
      <c r="E15" s="2858"/>
      <c r="G15" s="25" t="s">
        <v>17</v>
      </c>
      <c r="H15" s="818" t="s">
        <v>10</v>
      </c>
      <c r="K15" s="2863" t="s">
        <v>405</v>
      </c>
      <c r="L15" s="2863"/>
      <c r="M15" s="2863"/>
      <c r="N15" s="2863"/>
      <c r="O15" s="2863"/>
      <c r="P15" s="2863"/>
      <c r="Q15" s="2863"/>
      <c r="R15" s="2863"/>
      <c r="S15" s="2863"/>
      <c r="T15" s="2863"/>
      <c r="U15" s="62"/>
      <c r="V15" s="62"/>
      <c r="W15" s="4"/>
      <c r="AA15" s="91" t="s">
        <v>104</v>
      </c>
      <c r="AB15" s="62">
        <v>244.375</v>
      </c>
      <c r="AC15" s="62">
        <v>244.375</v>
      </c>
      <c r="AD15" s="92">
        <f>(AD12+AD14)/2</f>
        <v>2.125</v>
      </c>
    </row>
    <row r="16" spans="2:32" ht="6.75" customHeight="1">
      <c r="B16" s="814"/>
      <c r="C16" s="815"/>
      <c r="D16" s="815"/>
      <c r="E16" s="816"/>
      <c r="G16" s="15"/>
      <c r="H16" s="998"/>
      <c r="I16" s="27"/>
      <c r="J16" s="27"/>
      <c r="K16" s="999"/>
      <c r="L16" s="999"/>
      <c r="M16" s="999"/>
      <c r="N16" s="999"/>
      <c r="O16" s="999"/>
      <c r="P16" s="999"/>
      <c r="Q16" s="999"/>
      <c r="R16" s="999"/>
      <c r="S16" s="999"/>
      <c r="T16" s="999"/>
      <c r="U16" s="62"/>
      <c r="V16" s="62"/>
      <c r="W16" s="4"/>
      <c r="AA16" s="91"/>
      <c r="AB16" s="62"/>
      <c r="AC16" s="62"/>
      <c r="AD16" s="92"/>
    </row>
    <row r="17" spans="2:31">
      <c r="B17" s="43" t="s">
        <v>367</v>
      </c>
      <c r="C17" s="44"/>
      <c r="D17" s="44"/>
      <c r="E17" s="45"/>
      <c r="G17" s="46">
        <v>1955</v>
      </c>
      <c r="H17" s="730">
        <v>1955</v>
      </c>
      <c r="K17" s="2920"/>
      <c r="L17" s="2920"/>
      <c r="M17" s="2920"/>
      <c r="N17" s="2920"/>
      <c r="O17" s="2920"/>
      <c r="P17" s="2920"/>
      <c r="Q17" s="2920"/>
      <c r="R17" s="2920"/>
      <c r="S17" s="2920"/>
      <c r="T17" s="2920"/>
      <c r="U17" s="95"/>
      <c r="V17" s="95"/>
      <c r="W17" s="4"/>
      <c r="AA17" s="53" t="s">
        <v>50</v>
      </c>
      <c r="AB17" s="93">
        <v>0.8</v>
      </c>
      <c r="AC17" s="93">
        <v>0.8</v>
      </c>
      <c r="AD17" s="94">
        <v>0.80288461538461542</v>
      </c>
      <c r="AE17" s="4"/>
    </row>
    <row r="18" spans="2:31">
      <c r="B18" s="43" t="s">
        <v>368</v>
      </c>
      <c r="C18" s="44"/>
      <c r="D18" s="44"/>
      <c r="E18" s="45"/>
      <c r="G18" s="41"/>
      <c r="H18" s="695">
        <v>0</v>
      </c>
      <c r="K18" s="2860"/>
      <c r="L18" s="2860"/>
      <c r="M18" s="2860"/>
      <c r="N18" s="2860"/>
      <c r="O18" s="2860"/>
      <c r="P18" s="2860"/>
      <c r="Q18" s="2860"/>
      <c r="R18" s="2860"/>
      <c r="S18" s="2860"/>
      <c r="T18" s="2860"/>
      <c r="U18" s="95"/>
      <c r="V18" s="95"/>
      <c r="W18" s="4"/>
      <c r="AA18" s="91" t="s">
        <v>105</v>
      </c>
      <c r="AB18" s="62">
        <v>488.75</v>
      </c>
      <c r="AC18" s="62">
        <v>488.75</v>
      </c>
      <c r="AD18" s="92">
        <f>AD15/AD17</f>
        <v>2.6467065868263471</v>
      </c>
      <c r="AE18" s="4" t="s">
        <v>348</v>
      </c>
    </row>
    <row r="19" spans="2:31">
      <c r="B19" s="43" t="s">
        <v>130</v>
      </c>
      <c r="C19" s="44"/>
      <c r="D19" s="44"/>
      <c r="E19" s="45"/>
      <c r="G19" s="41"/>
      <c r="H19" s="695">
        <v>109</v>
      </c>
      <c r="K19" s="2860"/>
      <c r="L19" s="2860"/>
      <c r="M19" s="2860"/>
      <c r="N19" s="2860"/>
      <c r="O19" s="2860"/>
      <c r="P19" s="2860"/>
      <c r="Q19" s="2860"/>
      <c r="R19" s="2860"/>
      <c r="S19" s="2860"/>
      <c r="T19" s="2860"/>
      <c r="U19" s="95"/>
      <c r="V19" s="62"/>
      <c r="W19" s="4"/>
      <c r="AA19" s="91" t="s">
        <v>60</v>
      </c>
      <c r="AB19" s="95">
        <v>168199.06536905243</v>
      </c>
      <c r="AC19" s="95">
        <v>103427.50268643878</v>
      </c>
      <c r="AD19" s="96">
        <v>549.62264150943395</v>
      </c>
      <c r="AE19" s="4" t="s">
        <v>350</v>
      </c>
    </row>
    <row r="20" spans="2:31">
      <c r="B20" s="660" t="s">
        <v>369</v>
      </c>
      <c r="C20" s="44"/>
      <c r="D20" s="44"/>
      <c r="E20" s="45"/>
      <c r="G20" s="41"/>
      <c r="H20" s="543" t="s">
        <v>126</v>
      </c>
      <c r="K20" s="2860"/>
      <c r="L20" s="2860"/>
      <c r="M20" s="2860"/>
      <c r="N20" s="2860"/>
      <c r="O20" s="2860"/>
      <c r="P20" s="2860"/>
      <c r="Q20" s="2860"/>
      <c r="R20" s="2860"/>
      <c r="S20" s="2860"/>
      <c r="T20" s="2860"/>
      <c r="U20" s="95"/>
      <c r="V20" s="62"/>
      <c r="W20" s="4"/>
      <c r="AA20" s="91"/>
      <c r="AB20" s="95"/>
      <c r="AC20" s="95"/>
      <c r="AD20" s="95"/>
      <c r="AE20" s="4"/>
    </row>
    <row r="21" spans="2:31">
      <c r="B21" s="68" t="s">
        <v>55</v>
      </c>
      <c r="C21" s="44"/>
      <c r="D21" s="44"/>
      <c r="E21" s="45"/>
      <c r="G21" s="55">
        <v>12300000</v>
      </c>
      <c r="H21" s="696">
        <v>12300000</v>
      </c>
      <c r="K21" s="2860"/>
      <c r="L21" s="2860"/>
      <c r="M21" s="2860"/>
      <c r="N21" s="2860"/>
      <c r="O21" s="2860"/>
      <c r="P21" s="2860"/>
      <c r="Q21" s="2860"/>
      <c r="R21" s="2860"/>
      <c r="S21" s="2860"/>
      <c r="T21" s="2860"/>
      <c r="U21" s="97"/>
      <c r="V21" s="97"/>
      <c r="W21" s="4"/>
      <c r="AA21" s="91" t="s">
        <v>184</v>
      </c>
      <c r="AB21" s="95"/>
      <c r="AC21" s="95"/>
      <c r="AD21" s="62">
        <v>313</v>
      </c>
      <c r="AE21" s="4"/>
    </row>
    <row r="22" spans="2:31" ht="18.45">
      <c r="B22" s="50"/>
      <c r="C22" s="50"/>
      <c r="D22" s="50"/>
      <c r="E22" s="50"/>
      <c r="G22" s="50"/>
      <c r="H22" s="50"/>
      <c r="I22" s="50"/>
      <c r="J22" s="50"/>
      <c r="K22" s="50"/>
      <c r="S22" s="240"/>
      <c r="T22" s="95"/>
      <c r="U22" s="95"/>
      <c r="V22" s="95"/>
      <c r="AA22" s="91"/>
      <c r="AB22" s="95"/>
      <c r="AC22" s="95"/>
      <c r="AD22" s="62"/>
      <c r="AE22" s="4"/>
    </row>
    <row r="23" spans="2:31" ht="16" customHeight="1">
      <c r="S23" s="1"/>
      <c r="T23" s="272"/>
      <c r="AA23" s="91" t="s">
        <v>107</v>
      </c>
      <c r="AB23" s="97">
        <v>168199.06536905243</v>
      </c>
      <c r="AC23" s="97">
        <v>103427.50268643878</v>
      </c>
      <c r="AD23" s="98">
        <v>498.64315012305173</v>
      </c>
      <c r="AE23" s="4" t="s">
        <v>349</v>
      </c>
    </row>
    <row r="24" spans="2:31" ht="28" customHeight="1">
      <c r="B24" s="2856" t="s">
        <v>297</v>
      </c>
      <c r="C24" s="2857"/>
      <c r="D24" s="2857"/>
      <c r="E24" s="2858"/>
      <c r="G24" s="2873" t="s">
        <v>72</v>
      </c>
      <c r="H24" s="2874"/>
      <c r="I24" s="697"/>
      <c r="J24" s="2871" t="s">
        <v>24</v>
      </c>
      <c r="K24" s="2871"/>
      <c r="AA24" s="91" t="s">
        <v>112</v>
      </c>
      <c r="AB24" s="95">
        <v>318.09533298035956</v>
      </c>
      <c r="AC24" s="95">
        <v>158.83050411577992</v>
      </c>
      <c r="AD24" s="96">
        <v>565.20411360101571</v>
      </c>
    </row>
    <row r="25" spans="2:31" ht="15" customHeight="1">
      <c r="B25" s="2865" t="s">
        <v>23</v>
      </c>
      <c r="C25" s="2661"/>
      <c r="D25" s="2661"/>
      <c r="E25" s="2866"/>
      <c r="G25" s="2867" t="s">
        <v>17</v>
      </c>
      <c r="H25" s="2869" t="s">
        <v>10</v>
      </c>
      <c r="J25" s="2871" t="s">
        <v>17</v>
      </c>
      <c r="K25" s="2872" t="s">
        <v>10</v>
      </c>
      <c r="N25" s="2859" t="s">
        <v>405</v>
      </c>
      <c r="O25" s="2859"/>
      <c r="P25" s="2859"/>
      <c r="Q25" s="2859"/>
      <c r="R25" s="2859"/>
      <c r="S25" s="2859"/>
      <c r="T25" s="2859"/>
      <c r="U25" s="2859"/>
      <c r="V25" s="2859"/>
      <c r="W25" s="2859"/>
      <c r="AA25" s="99" t="s">
        <v>113</v>
      </c>
      <c r="AB25" s="100">
        <v>26.045977237650551</v>
      </c>
      <c r="AC25" s="101">
        <v>52.78586966721501</v>
      </c>
      <c r="AD25" s="5"/>
    </row>
    <row r="26" spans="2:31" ht="15" customHeight="1">
      <c r="B26" s="2611"/>
      <c r="C26" s="2612"/>
      <c r="D26" s="2612"/>
      <c r="E26" s="2613"/>
      <c r="G26" s="2868"/>
      <c r="H26" s="2870"/>
      <c r="J26" s="2871"/>
      <c r="K26" s="2872"/>
      <c r="N26" s="2863"/>
      <c r="O26" s="2863"/>
      <c r="P26" s="2863"/>
      <c r="Q26" s="2863"/>
      <c r="R26" s="2863"/>
      <c r="S26" s="2863"/>
      <c r="T26" s="2863"/>
      <c r="U26" s="2863"/>
      <c r="V26" s="2863"/>
      <c r="W26" s="2863"/>
    </row>
    <row r="27" spans="2:31" ht="15" customHeight="1">
      <c r="B27" s="495" t="s">
        <v>605</v>
      </c>
      <c r="C27" s="781"/>
      <c r="D27" s="781"/>
      <c r="E27" s="783"/>
      <c r="G27" s="790"/>
      <c r="H27" s="1050">
        <v>0</v>
      </c>
      <c r="I27" s="1051"/>
      <c r="J27" s="1052"/>
      <c r="K27" s="1050">
        <v>0</v>
      </c>
      <c r="N27" s="1045"/>
      <c r="O27" s="1046"/>
      <c r="P27" s="1046"/>
      <c r="Q27" s="1046"/>
      <c r="R27" s="1046"/>
      <c r="S27" s="1046"/>
      <c r="T27" s="1046"/>
      <c r="U27" s="1046"/>
      <c r="V27" s="1046"/>
      <c r="W27" s="1047"/>
    </row>
    <row r="28" spans="2:31" ht="15.75" customHeight="1">
      <c r="B28" s="231" t="s">
        <v>19</v>
      </c>
      <c r="C28" s="26"/>
      <c r="D28" s="26"/>
      <c r="E28" s="16"/>
      <c r="G28" s="47" t="e">
        <v>#REF!</v>
      </c>
      <c r="H28" s="524">
        <v>2.7965144230769217</v>
      </c>
      <c r="I28" s="705"/>
      <c r="J28" s="706"/>
      <c r="K28" s="524">
        <v>30</v>
      </c>
      <c r="N28" s="1048"/>
      <c r="O28" s="1046"/>
      <c r="P28" s="1046"/>
      <c r="Q28" s="1046"/>
      <c r="R28" s="1046"/>
      <c r="S28" s="1046"/>
      <c r="T28" s="1046"/>
      <c r="U28" s="1046"/>
      <c r="V28" s="1046"/>
      <c r="W28" s="1047"/>
      <c r="AA28" s="102" t="s">
        <v>182</v>
      </c>
      <c r="AB28" s="57"/>
    </row>
    <row r="29" spans="2:31">
      <c r="B29" s="231" t="s">
        <v>20</v>
      </c>
      <c r="C29" s="26"/>
      <c r="D29" s="26"/>
      <c r="E29" s="16"/>
      <c r="G29" s="48" t="e">
        <v>#REF!</v>
      </c>
      <c r="H29" s="524">
        <v>2.36</v>
      </c>
      <c r="I29" s="705"/>
      <c r="J29" s="706"/>
      <c r="K29" s="524">
        <v>30</v>
      </c>
      <c r="N29" s="1048"/>
      <c r="O29" s="1046"/>
      <c r="P29" s="1046"/>
      <c r="Q29" s="1046"/>
      <c r="R29" s="1046"/>
      <c r="S29" s="1046"/>
      <c r="T29" s="1072"/>
      <c r="U29" s="1072"/>
      <c r="V29" s="1072"/>
      <c r="W29" s="1073"/>
      <c r="AA29" s="56" t="s">
        <v>178</v>
      </c>
      <c r="AB29" s="3"/>
    </row>
    <row r="30" spans="2:31">
      <c r="B30" s="231" t="s">
        <v>21</v>
      </c>
      <c r="C30" s="26"/>
      <c r="D30" s="26"/>
      <c r="E30" s="16"/>
      <c r="G30" s="48">
        <v>6.58</v>
      </c>
      <c r="H30" s="524">
        <f>39.3262/8</f>
        <v>4.915775</v>
      </c>
      <c r="I30" s="705"/>
      <c r="J30" s="706">
        <v>50</v>
      </c>
      <c r="K30" s="524">
        <v>31.65</v>
      </c>
      <c r="N30" s="1048"/>
      <c r="O30" s="1046"/>
      <c r="P30" s="1046"/>
      <c r="Q30" s="1046"/>
      <c r="R30" s="1046"/>
      <c r="S30" s="1046"/>
      <c r="T30" s="1072"/>
      <c r="U30" s="1072"/>
      <c r="V30" s="1072"/>
      <c r="W30" s="1073"/>
      <c r="AA30" s="122" t="s">
        <v>174</v>
      </c>
      <c r="AB30" s="123">
        <v>77628.408886587436</v>
      </c>
    </row>
    <row r="31" spans="2:31">
      <c r="B31" s="231" t="s">
        <v>22</v>
      </c>
      <c r="C31" s="26"/>
      <c r="D31" s="26"/>
      <c r="E31" s="16"/>
      <c r="G31" s="48">
        <v>5.91</v>
      </c>
      <c r="H31" s="524">
        <v>5.91</v>
      </c>
      <c r="I31" s="705"/>
      <c r="J31" s="706">
        <v>30</v>
      </c>
      <c r="K31" s="524">
        <v>30</v>
      </c>
      <c r="N31" s="1048"/>
      <c r="O31" s="1046"/>
      <c r="P31" s="1046"/>
      <c r="Q31" s="1046"/>
      <c r="R31" s="1046"/>
      <c r="S31" s="1046"/>
      <c r="T31" s="1046"/>
      <c r="U31" s="1046"/>
      <c r="V31" s="1046"/>
      <c r="W31" s="1047"/>
      <c r="AA31" s="124" t="s">
        <v>175</v>
      </c>
      <c r="AB31" s="125">
        <v>7663.9408319482854</v>
      </c>
    </row>
    <row r="32" spans="2:31">
      <c r="B32" s="231" t="s">
        <v>402</v>
      </c>
      <c r="C32" s="26"/>
      <c r="D32" s="26"/>
      <c r="E32" s="16"/>
      <c r="G32" s="48" t="e">
        <v>#REF!</v>
      </c>
      <c r="H32" s="524">
        <v>5</v>
      </c>
      <c r="I32" s="705"/>
      <c r="J32" s="706"/>
      <c r="K32" s="524">
        <v>30</v>
      </c>
      <c r="N32" s="1048"/>
      <c r="O32" s="1046"/>
      <c r="P32" s="1046"/>
      <c r="Q32" s="1046"/>
      <c r="R32" s="1046"/>
      <c r="S32" s="1046"/>
      <c r="T32" s="1046"/>
      <c r="U32" s="1046"/>
      <c r="V32" s="1046"/>
      <c r="W32" s="1047"/>
      <c r="AA32" s="124" t="s">
        <v>176</v>
      </c>
      <c r="AB32" s="125">
        <v>18135.15296790305</v>
      </c>
    </row>
    <row r="33" spans="1:28">
      <c r="B33" s="231" t="s">
        <v>401</v>
      </c>
      <c r="C33" s="26"/>
      <c r="D33" s="26"/>
      <c r="E33" s="16"/>
      <c r="G33" s="48"/>
      <c r="H33" s="524">
        <v>5.91</v>
      </c>
      <c r="I33" s="705"/>
      <c r="J33" s="706"/>
      <c r="K33" s="524">
        <v>30</v>
      </c>
      <c r="N33" s="1048"/>
      <c r="O33" s="1046"/>
      <c r="P33" s="1046"/>
      <c r="Q33" s="1046"/>
      <c r="R33" s="1046"/>
      <c r="S33" s="1046"/>
      <c r="T33" s="1072"/>
      <c r="U33" s="1072"/>
      <c r="V33" s="1072"/>
      <c r="W33" s="1073"/>
      <c r="AA33" s="106" t="s">
        <v>4</v>
      </c>
      <c r="AB33" s="126">
        <v>103427.50268643878</v>
      </c>
    </row>
    <row r="34" spans="1:28">
      <c r="B34" s="231" t="s">
        <v>403</v>
      </c>
      <c r="C34" s="26"/>
      <c r="D34" s="26"/>
      <c r="E34" s="16"/>
      <c r="G34" s="48">
        <v>5.91</v>
      </c>
      <c r="H34" s="524">
        <v>5.91</v>
      </c>
      <c r="I34" s="705"/>
      <c r="J34" s="706">
        <v>30</v>
      </c>
      <c r="K34" s="524">
        <v>30</v>
      </c>
      <c r="N34" s="1048"/>
      <c r="O34" s="1046"/>
      <c r="P34" s="1046"/>
      <c r="Q34" s="1046"/>
      <c r="R34" s="1046"/>
      <c r="S34" s="1046"/>
      <c r="T34" s="1072"/>
      <c r="U34" s="1072"/>
      <c r="V34" s="1072"/>
      <c r="W34" s="1073"/>
      <c r="AA34" s="53"/>
      <c r="AB34" s="3"/>
    </row>
    <row r="35" spans="1:28" ht="15" customHeight="1">
      <c r="B35" s="232" t="s">
        <v>404</v>
      </c>
      <c r="C35" s="26"/>
      <c r="D35" s="26"/>
      <c r="E35" s="16"/>
      <c r="G35" s="48" t="e">
        <v>#REF!</v>
      </c>
      <c r="H35" s="524">
        <v>5</v>
      </c>
      <c r="I35" s="705"/>
      <c r="J35" s="706"/>
      <c r="K35" s="524">
        <v>30</v>
      </c>
      <c r="N35" s="1045"/>
      <c r="O35" s="1046"/>
      <c r="P35" s="1046"/>
      <c r="Q35" s="1046"/>
      <c r="R35" s="1046"/>
      <c r="S35" s="1046"/>
      <c r="T35" s="1046"/>
      <c r="U35" s="1046"/>
      <c r="V35" s="1046"/>
      <c r="W35" s="1047"/>
      <c r="AA35" s="127" t="s">
        <v>177</v>
      </c>
      <c r="AB35" s="57"/>
    </row>
    <row r="36" spans="1:28">
      <c r="B36" s="232" t="s">
        <v>416</v>
      </c>
      <c r="C36" s="26"/>
      <c r="D36" s="26"/>
      <c r="E36" s="16"/>
      <c r="G36" s="48"/>
      <c r="H36" s="699"/>
      <c r="I36" s="705"/>
      <c r="J36" s="706"/>
      <c r="K36" s="699"/>
      <c r="N36" s="1045"/>
      <c r="O36" s="1046"/>
      <c r="P36" s="1046"/>
      <c r="Q36" s="1046"/>
      <c r="R36" s="1046"/>
      <c r="S36" s="1046"/>
      <c r="T36" s="1046"/>
      <c r="U36" s="1046"/>
      <c r="V36" s="1046"/>
      <c r="W36" s="1047"/>
      <c r="AA36" s="124" t="s">
        <v>179</v>
      </c>
      <c r="AB36" s="125">
        <v>149477.73981166162</v>
      </c>
    </row>
    <row r="37" spans="1:28">
      <c r="B37" s="232" t="s">
        <v>417</v>
      </c>
      <c r="C37" s="26"/>
      <c r="D37" s="26"/>
      <c r="E37" s="16"/>
      <c r="G37" s="48"/>
      <c r="H37" s="699"/>
      <c r="I37" s="705"/>
      <c r="J37" s="706"/>
      <c r="K37" s="699"/>
      <c r="N37" s="1045"/>
      <c r="O37" s="1046"/>
      <c r="P37" s="1046"/>
      <c r="Q37" s="1046"/>
      <c r="R37" s="1046"/>
      <c r="S37" s="1046"/>
      <c r="T37" s="1046"/>
      <c r="U37" s="1046"/>
      <c r="V37" s="1046"/>
      <c r="W37" s="1047"/>
      <c r="AA37" s="124" t="s">
        <v>180</v>
      </c>
      <c r="AB37" s="125">
        <v>5572.8633350289929</v>
      </c>
    </row>
    <row r="38" spans="1:28" ht="17.25" customHeight="1">
      <c r="B38" s="232" t="s">
        <v>418</v>
      </c>
      <c r="C38" s="27"/>
      <c r="D38" s="27"/>
      <c r="E38" s="17"/>
      <c r="G38" s="49" t="e">
        <v>#REF!</v>
      </c>
      <c r="H38" s="700">
        <f>63.0008/8</f>
        <v>7.8750999999999998</v>
      </c>
      <c r="I38" s="705"/>
      <c r="J38" s="707"/>
      <c r="K38" s="700">
        <v>75</v>
      </c>
      <c r="N38" s="1045"/>
      <c r="O38" s="1046"/>
      <c r="P38" s="1046"/>
      <c r="Q38" s="1046"/>
      <c r="R38" s="1046"/>
      <c r="S38" s="1046"/>
      <c r="T38" s="1046"/>
      <c r="U38" s="1046"/>
      <c r="V38" s="1046"/>
      <c r="W38" s="1047"/>
      <c r="AA38" s="53" t="s">
        <v>346</v>
      </c>
      <c r="AB38" s="125">
        <v>5991.3541824890926</v>
      </c>
    </row>
    <row r="39" spans="1:28" ht="17.25" customHeight="1">
      <c r="AA39" s="53" t="s">
        <v>347</v>
      </c>
      <c r="AB39" s="125">
        <v>2726.5138558268122</v>
      </c>
    </row>
    <row r="40" spans="1:28" ht="17.25" customHeight="1">
      <c r="A40" s="10"/>
      <c r="B40" s="8"/>
      <c r="C40" s="8"/>
      <c r="S40" s="277"/>
      <c r="AA40" s="53" t="s">
        <v>186</v>
      </c>
      <c r="AB40" s="125">
        <v>4430.5941840459027</v>
      </c>
    </row>
    <row r="41" spans="1:28" ht="26.9" customHeight="1">
      <c r="A41" s="10"/>
      <c r="B41" s="2856" t="s">
        <v>646</v>
      </c>
      <c r="C41" s="2857"/>
      <c r="D41" s="2857"/>
      <c r="E41" s="2858"/>
      <c r="T41" s="1"/>
      <c r="U41" s="1"/>
      <c r="V41" s="1"/>
      <c r="AA41" s="106" t="s">
        <v>4</v>
      </c>
      <c r="AB41" s="126">
        <v>168199.06536905243</v>
      </c>
    </row>
    <row r="42" spans="1:28" ht="17.25" customHeight="1">
      <c r="A42" s="10"/>
      <c r="B42" s="72" t="s">
        <v>34</v>
      </c>
      <c r="C42" s="2880" t="s">
        <v>35</v>
      </c>
      <c r="D42" s="2880"/>
      <c r="E42" s="2881"/>
      <c r="G42" s="15" t="s">
        <v>17</v>
      </c>
      <c r="H42" s="782" t="s">
        <v>10</v>
      </c>
      <c r="K42" s="2859"/>
      <c r="L42" s="2859"/>
      <c r="M42" s="2859"/>
      <c r="N42" s="2859"/>
      <c r="O42" s="2859"/>
      <c r="P42" s="2859"/>
      <c r="Q42" s="2859"/>
      <c r="R42" s="2859"/>
      <c r="S42" s="2859"/>
      <c r="T42" s="2859"/>
      <c r="U42" s="112"/>
      <c r="V42" s="226"/>
      <c r="AB42" s="256"/>
    </row>
    <row r="43" spans="1:28">
      <c r="B43" s="73" t="s">
        <v>136</v>
      </c>
      <c r="C43" s="74" t="s">
        <v>164</v>
      </c>
      <c r="D43" s="784"/>
      <c r="E43" s="785"/>
      <c r="F43" s="549"/>
      <c r="G43" s="75"/>
      <c r="H43" s="538">
        <v>0</v>
      </c>
      <c r="K43" s="1055"/>
      <c r="L43" s="1053"/>
      <c r="M43" s="1053"/>
      <c r="N43" s="1053"/>
      <c r="O43" s="1053"/>
      <c r="P43" s="1053"/>
      <c r="Q43" s="1053"/>
      <c r="R43" s="1053"/>
      <c r="S43" s="1053"/>
      <c r="T43" s="1054"/>
      <c r="U43" s="6"/>
      <c r="V43" s="6"/>
    </row>
    <row r="44" spans="1:28">
      <c r="A44" s="10"/>
      <c r="B44" s="13" t="s">
        <v>136</v>
      </c>
      <c r="C44" s="80" t="s">
        <v>138</v>
      </c>
      <c r="D44" s="81"/>
      <c r="E44" s="82"/>
      <c r="F44" s="549"/>
      <c r="G44" s="75"/>
      <c r="H44" s="539">
        <v>0</v>
      </c>
      <c r="K44" s="1055"/>
      <c r="L44" s="1053"/>
      <c r="M44" s="1053"/>
      <c r="N44" s="1053"/>
      <c r="O44" s="1053"/>
      <c r="P44" s="1053"/>
      <c r="Q44" s="1053"/>
      <c r="R44" s="1053"/>
      <c r="S44" s="1053"/>
      <c r="T44" s="1054"/>
      <c r="U44" s="224"/>
      <c r="V44" s="224"/>
    </row>
    <row r="45" spans="1:28">
      <c r="A45" s="10"/>
      <c r="B45" s="13" t="s">
        <v>136</v>
      </c>
      <c r="C45" s="80" t="s">
        <v>161</v>
      </c>
      <c r="D45" s="81"/>
      <c r="E45" s="82"/>
      <c r="F45" s="549"/>
      <c r="G45" s="75"/>
      <c r="H45" s="539">
        <v>0</v>
      </c>
      <c r="K45" s="1055"/>
      <c r="L45" s="1053"/>
      <c r="M45" s="1053"/>
      <c r="N45" s="1053"/>
      <c r="O45" s="1053"/>
      <c r="P45" s="1053"/>
      <c r="Q45" s="1053"/>
      <c r="R45" s="1053"/>
      <c r="S45" s="1053"/>
      <c r="T45" s="1054"/>
      <c r="U45" s="6"/>
      <c r="V45" s="6"/>
    </row>
    <row r="46" spans="1:28">
      <c r="A46" s="10"/>
      <c r="B46" s="73" t="s">
        <v>137</v>
      </c>
      <c r="C46" s="74" t="s">
        <v>164</v>
      </c>
      <c r="D46" s="784"/>
      <c r="E46" s="785"/>
      <c r="F46" s="549"/>
      <c r="G46" s="75"/>
      <c r="H46" s="538">
        <v>0</v>
      </c>
      <c r="K46" s="1055"/>
      <c r="L46" s="1053"/>
      <c r="M46" s="1053"/>
      <c r="N46" s="1053"/>
      <c r="O46" s="1053"/>
      <c r="P46" s="1053"/>
      <c r="Q46" s="1053"/>
      <c r="R46" s="1053"/>
      <c r="S46" s="1053"/>
      <c r="T46" s="1054"/>
      <c r="U46" s="6"/>
      <c r="V46" s="6"/>
    </row>
    <row r="47" spans="1:28">
      <c r="A47" s="10"/>
      <c r="B47" s="13" t="s">
        <v>137</v>
      </c>
      <c r="C47" s="80" t="s">
        <v>138</v>
      </c>
      <c r="D47" s="81"/>
      <c r="E47" s="82"/>
      <c r="F47" s="549"/>
      <c r="G47" s="75"/>
      <c r="H47" s="539">
        <v>0</v>
      </c>
      <c r="K47" s="1055"/>
      <c r="L47" s="1053"/>
      <c r="M47" s="1053"/>
      <c r="N47" s="1053"/>
      <c r="O47" s="1053"/>
      <c r="P47" s="1053"/>
      <c r="Q47" s="1053"/>
      <c r="R47" s="1053"/>
      <c r="S47" s="1053"/>
      <c r="T47" s="1054"/>
      <c r="U47" s="6"/>
      <c r="V47" s="6"/>
    </row>
    <row r="48" spans="1:28" ht="15" customHeight="1">
      <c r="A48" s="10"/>
      <c r="B48" s="657" t="s">
        <v>137</v>
      </c>
      <c r="C48" s="656" t="s">
        <v>161</v>
      </c>
      <c r="D48" s="667"/>
      <c r="E48" s="668"/>
      <c r="F48" s="549"/>
      <c r="G48" s="75"/>
      <c r="H48" s="539">
        <v>0</v>
      </c>
      <c r="K48" s="1055"/>
      <c r="L48" s="1053"/>
      <c r="M48" s="1053"/>
      <c r="N48" s="1053"/>
      <c r="O48" s="1053"/>
      <c r="P48" s="1053"/>
      <c r="Q48" s="1053"/>
      <c r="R48" s="1053"/>
      <c r="S48" s="1053"/>
      <c r="T48" s="1054"/>
      <c r="U48" s="658"/>
      <c r="V48" s="658"/>
    </row>
    <row r="49" spans="1:33" ht="18.45">
      <c r="A49" s="10"/>
      <c r="B49" s="13" t="s">
        <v>36</v>
      </c>
      <c r="C49" s="2877" t="s">
        <v>39</v>
      </c>
      <c r="D49" s="2877"/>
      <c r="E49" s="2878"/>
      <c r="F49" s="549" t="str">
        <f t="shared" ref="F49:F66" si="0">B49&amp;C49</f>
        <v>MotorcyclePurchase Price</v>
      </c>
      <c r="G49" s="32">
        <v>15000</v>
      </c>
      <c r="H49" s="540"/>
      <c r="K49" s="1055"/>
      <c r="L49" s="1053"/>
      <c r="M49" s="1053"/>
      <c r="N49" s="1053"/>
      <c r="O49" s="1053"/>
      <c r="P49" s="1053"/>
      <c r="Q49" s="1053"/>
      <c r="R49" s="1053"/>
      <c r="S49" s="1053"/>
      <c r="T49" s="1054"/>
      <c r="U49" s="181"/>
      <c r="V49" s="181"/>
      <c r="AA49" s="102" t="s">
        <v>110</v>
      </c>
      <c r="AB49" s="61"/>
      <c r="AC49" s="61"/>
      <c r="AD49" s="57"/>
    </row>
    <row r="50" spans="1:33">
      <c r="A50" s="10"/>
      <c r="B50" s="13" t="s">
        <v>36</v>
      </c>
      <c r="C50" s="2552" t="s">
        <v>40</v>
      </c>
      <c r="D50" s="2552"/>
      <c r="E50" s="2879"/>
      <c r="F50" s="549" t="str">
        <f t="shared" si="0"/>
        <v>MotorcycleDepreciation Cost / yr</v>
      </c>
      <c r="G50" s="30">
        <f>G49/$H$11</f>
        <v>3000</v>
      </c>
      <c r="H50" s="541"/>
      <c r="K50" s="1055"/>
      <c r="L50" s="1053"/>
      <c r="M50" s="1053"/>
      <c r="N50" s="1053"/>
      <c r="O50" s="1053"/>
      <c r="P50" s="1053"/>
      <c r="Q50" s="1053"/>
      <c r="R50" s="1053"/>
      <c r="S50" s="1053"/>
      <c r="T50" s="1054"/>
      <c r="U50" s="181"/>
      <c r="V50" s="181"/>
      <c r="AA50" s="53"/>
      <c r="AB50" s="1" t="s">
        <v>109</v>
      </c>
      <c r="AC50" s="1" t="s">
        <v>108</v>
      </c>
      <c r="AD50" s="103" t="s">
        <v>111</v>
      </c>
    </row>
    <row r="51" spans="1:33" ht="15" customHeight="1">
      <c r="A51" s="10"/>
      <c r="B51" s="13" t="s">
        <v>36</v>
      </c>
      <c r="C51" s="2552" t="s">
        <v>44</v>
      </c>
      <c r="D51" s="2552"/>
      <c r="E51" s="2879"/>
      <c r="F51" s="549" t="str">
        <f t="shared" si="0"/>
        <v>MotorcycleInsurance cost /yr</v>
      </c>
      <c r="G51" s="32">
        <v>1000</v>
      </c>
      <c r="H51" s="542"/>
      <c r="K51" s="1055"/>
      <c r="L51" s="1053"/>
      <c r="M51" s="1053"/>
      <c r="N51" s="1053"/>
      <c r="O51" s="1053"/>
      <c r="P51" s="1053"/>
      <c r="Q51" s="1053"/>
      <c r="R51" s="1053"/>
      <c r="S51" s="1053"/>
      <c r="T51" s="1054"/>
      <c r="V51" s="181"/>
      <c r="AA51" s="53" t="s">
        <v>30</v>
      </c>
      <c r="AB51" s="112">
        <v>188138.54967132158</v>
      </c>
      <c r="AC51" s="112">
        <v>177858.49771571273</v>
      </c>
      <c r="AD51" s="227">
        <v>61664.895184020497</v>
      </c>
    </row>
    <row r="52" spans="1:33">
      <c r="A52" s="10"/>
      <c r="B52" s="13" t="s">
        <v>36</v>
      </c>
      <c r="C52" s="2552" t="s">
        <v>42</v>
      </c>
      <c r="D52" s="2552"/>
      <c r="E52" s="2879"/>
      <c r="F52" s="549" t="str">
        <f t="shared" si="0"/>
        <v>MotorcycleMaintenance cost/km</v>
      </c>
      <c r="G52" s="32">
        <v>0.05</v>
      </c>
      <c r="H52" s="542"/>
      <c r="K52" s="1055"/>
      <c r="L52" s="1053"/>
      <c r="M52" s="1053"/>
      <c r="N52" s="1053"/>
      <c r="O52" s="1053"/>
      <c r="P52" s="1053"/>
      <c r="Q52" s="1053"/>
      <c r="R52" s="1053"/>
      <c r="S52" s="1053"/>
      <c r="T52" s="1054"/>
      <c r="V52" s="181"/>
      <c r="AA52" s="53" t="s">
        <v>61</v>
      </c>
      <c r="AB52" s="6">
        <v>1955</v>
      </c>
      <c r="AC52" s="6">
        <v>1955</v>
      </c>
      <c r="AD52" s="223">
        <v>1955</v>
      </c>
    </row>
    <row r="53" spans="1:33">
      <c r="A53" s="10"/>
      <c r="B53" s="13" t="s">
        <v>36</v>
      </c>
      <c r="C53" s="2552" t="s">
        <v>41</v>
      </c>
      <c r="D53" s="2552"/>
      <c r="E53" s="2879"/>
      <c r="F53" s="549" t="str">
        <f t="shared" si="0"/>
        <v>MotorcycleFuel Efficiency (km/liter)</v>
      </c>
      <c r="G53" s="31">
        <v>27.5</v>
      </c>
      <c r="H53" s="543"/>
      <c r="K53" s="1055"/>
      <c r="L53" s="1053"/>
      <c r="M53" s="1053"/>
      <c r="N53" s="1053"/>
      <c r="O53" s="1053"/>
      <c r="P53" s="1053"/>
      <c r="Q53" s="1053"/>
      <c r="R53" s="1053"/>
      <c r="S53" s="1053"/>
      <c r="T53" s="1054"/>
      <c r="V53" s="181"/>
      <c r="AA53" s="53" t="s">
        <v>62</v>
      </c>
      <c r="AB53" s="224">
        <v>0.8</v>
      </c>
      <c r="AC53" s="224">
        <v>0.8</v>
      </c>
      <c r="AD53" s="225">
        <v>0.8</v>
      </c>
    </row>
    <row r="54" spans="1:33">
      <c r="A54" s="10"/>
      <c r="B54" s="657" t="s">
        <v>36</v>
      </c>
      <c r="C54" s="2882" t="s">
        <v>43</v>
      </c>
      <c r="D54" s="2882"/>
      <c r="E54" s="2883"/>
      <c r="F54" s="549" t="str">
        <f t="shared" si="0"/>
        <v>MotorcycleDelivery Capacity (m^3)</v>
      </c>
      <c r="G54" s="33">
        <v>0.25</v>
      </c>
      <c r="H54" s="544"/>
      <c r="K54" s="1055"/>
      <c r="L54" s="1053"/>
      <c r="M54" s="1053"/>
      <c r="N54" s="1053"/>
      <c r="O54" s="1053"/>
      <c r="P54" s="1053"/>
      <c r="Q54" s="1053"/>
      <c r="R54" s="1053"/>
      <c r="S54" s="1053"/>
      <c r="T54" s="1054"/>
      <c r="V54" s="181"/>
      <c r="AA54" s="53" t="s">
        <v>63</v>
      </c>
      <c r="AB54" s="6">
        <v>2606.6666666666665</v>
      </c>
      <c r="AC54" s="6">
        <v>2606.6666666666665</v>
      </c>
      <c r="AD54" s="223">
        <f>AD52/N95/AD53</f>
        <v>7.083333333333333</v>
      </c>
    </row>
    <row r="55" spans="1:33" ht="20.25" customHeight="1">
      <c r="A55" s="10"/>
      <c r="B55" s="13" t="s">
        <v>407</v>
      </c>
      <c r="C55" s="2877" t="s">
        <v>39</v>
      </c>
      <c r="D55" s="2877"/>
      <c r="E55" s="2878"/>
      <c r="F55" s="549" t="str">
        <f t="shared" si="0"/>
        <v>Car/Sport Utility/Consumer VehiclePurchase Price</v>
      </c>
      <c r="G55" s="28">
        <v>60939.499795095864</v>
      </c>
      <c r="H55" s="540">
        <v>60939.499795095864</v>
      </c>
      <c r="K55" s="1055"/>
      <c r="L55" s="1053"/>
      <c r="M55" s="1053"/>
      <c r="N55" s="1053"/>
      <c r="O55" s="1053"/>
      <c r="P55" s="1053"/>
      <c r="Q55" s="1053"/>
      <c r="R55" s="1053"/>
      <c r="S55" s="1053"/>
      <c r="T55" s="1054"/>
      <c r="U55" s="181"/>
      <c r="V55" s="181"/>
      <c r="AA55" s="53" t="s">
        <v>64</v>
      </c>
      <c r="AB55" s="226">
        <v>72.175914196159184</v>
      </c>
      <c r="AC55" s="226">
        <v>68.23216024899466</v>
      </c>
      <c r="AD55" s="227">
        <v>23.656609405634459</v>
      </c>
    </row>
    <row r="56" spans="1:33" ht="16" customHeight="1">
      <c r="A56" s="10"/>
      <c r="B56" s="13" t="s">
        <v>407</v>
      </c>
      <c r="C56" s="2552" t="s">
        <v>40</v>
      </c>
      <c r="D56" s="2552"/>
      <c r="E56" s="2879"/>
      <c r="F56" s="549" t="str">
        <f t="shared" si="0"/>
        <v>Car/Sport Utility/Consumer VehicleDepreciation Cost / yr</v>
      </c>
      <c r="G56" s="29">
        <f>G55/$H$11</f>
        <v>12187.899959019172</v>
      </c>
      <c r="H56" s="541">
        <f>H55/H11</f>
        <v>12187.899959019172</v>
      </c>
      <c r="K56" s="1055"/>
      <c r="L56" s="1053"/>
      <c r="M56" s="1053"/>
      <c r="N56" s="1053"/>
      <c r="O56" s="1053"/>
      <c r="P56" s="1053"/>
      <c r="Q56" s="1053"/>
      <c r="R56" s="1053"/>
      <c r="S56" s="1053"/>
      <c r="T56" s="1054"/>
      <c r="U56" s="181"/>
      <c r="V56" s="181"/>
      <c r="AA56" s="53" t="s">
        <v>65</v>
      </c>
      <c r="AB56" s="6">
        <v>14.4351828392318</v>
      </c>
      <c r="AC56" s="6">
        <v>13.646432049798932</v>
      </c>
      <c r="AD56" s="226">
        <f>AD51/(AD54*N95*AD57)</f>
        <v>9.0232742914229398</v>
      </c>
      <c r="AE56" s="37"/>
      <c r="AF56" s="37"/>
      <c r="AG56" s="37"/>
    </row>
    <row r="57" spans="1:33" ht="17.25" customHeight="1">
      <c r="A57" s="10"/>
      <c r="B57" s="13" t="s">
        <v>407</v>
      </c>
      <c r="C57" s="2552" t="s">
        <v>44</v>
      </c>
      <c r="D57" s="2552"/>
      <c r="E57" s="2879"/>
      <c r="F57" s="549" t="str">
        <f t="shared" si="0"/>
        <v>Car/Sport Utility/Consumer VehicleInsurance cost /yr</v>
      </c>
      <c r="G57" s="28">
        <v>2323.9499999999998</v>
      </c>
      <c r="H57" s="542">
        <v>2323.9499999999998</v>
      </c>
      <c r="K57" s="1055"/>
      <c r="L57" s="1053"/>
      <c r="M57" s="1053"/>
      <c r="N57" s="1053"/>
      <c r="O57" s="1053"/>
      <c r="P57" s="1053"/>
      <c r="Q57" s="1053"/>
      <c r="R57" s="1053"/>
      <c r="S57" s="1053"/>
      <c r="T57" s="1054"/>
      <c r="U57" s="181"/>
      <c r="V57" s="181"/>
      <c r="AA57" s="53" t="s">
        <v>66</v>
      </c>
      <c r="AB57" s="226">
        <v>5</v>
      </c>
      <c r="AC57" s="226">
        <v>5</v>
      </c>
      <c r="AD57" s="228">
        <v>2.7965144230769199</v>
      </c>
    </row>
    <row r="58" spans="1:33">
      <c r="A58" s="10"/>
      <c r="B58" s="13" t="s">
        <v>407</v>
      </c>
      <c r="C58" s="2918" t="s">
        <v>42</v>
      </c>
      <c r="D58" s="2918"/>
      <c r="E58" s="2919"/>
      <c r="F58" s="549" t="str">
        <f t="shared" si="0"/>
        <v>Car/Sport Utility/Consumer VehicleMaintenance cost/km</v>
      </c>
      <c r="G58" s="28">
        <v>0.12</v>
      </c>
      <c r="H58" s="542">
        <v>0.12</v>
      </c>
      <c r="K58" s="1055"/>
      <c r="L58" s="1053"/>
      <c r="M58" s="1053"/>
      <c r="N58" s="1053"/>
      <c r="O58" s="1053"/>
      <c r="P58" s="1053"/>
      <c r="Q58" s="1053"/>
      <c r="R58" s="1053"/>
      <c r="S58" s="1053"/>
      <c r="T58" s="1054"/>
      <c r="U58" s="181"/>
      <c r="V58" s="181"/>
      <c r="AA58" s="53" t="s">
        <v>67</v>
      </c>
      <c r="AB58" s="6">
        <v>37627.70993426432</v>
      </c>
      <c r="AC58" s="6">
        <v>35571.699543142546</v>
      </c>
      <c r="AD58" s="223">
        <f>AD51/AD57</f>
        <v>22050.626549664808</v>
      </c>
    </row>
    <row r="59" spans="1:33">
      <c r="A59" s="10"/>
      <c r="B59" s="13" t="s">
        <v>407</v>
      </c>
      <c r="C59" s="2552" t="s">
        <v>41</v>
      </c>
      <c r="D59" s="2552"/>
      <c r="E59" s="2879"/>
      <c r="F59" s="549" t="str">
        <f t="shared" si="0"/>
        <v>Car/Sport Utility/Consumer VehicleFuel Efficiency (km/liter)</v>
      </c>
      <c r="G59" s="12">
        <v>6.9</v>
      </c>
      <c r="H59" s="543">
        <v>6.9</v>
      </c>
      <c r="K59" s="1055"/>
      <c r="L59" s="1053"/>
      <c r="M59" s="1053"/>
      <c r="N59" s="1053"/>
      <c r="O59" s="1053"/>
      <c r="P59" s="1053"/>
      <c r="Q59" s="1053"/>
      <c r="R59" s="1053"/>
      <c r="S59" s="1053"/>
      <c r="T59" s="1054"/>
      <c r="U59" s="181"/>
      <c r="V59" s="181"/>
      <c r="AA59" s="53" t="s">
        <v>342</v>
      </c>
      <c r="AB59" s="6">
        <v>19.597765590762666</v>
      </c>
      <c r="AC59" s="6">
        <v>18.526926845386743</v>
      </c>
      <c r="AD59" s="223">
        <f>AD58/H9/H10</f>
        <v>11.484701327950422</v>
      </c>
    </row>
    <row r="60" spans="1:33">
      <c r="A60" s="10"/>
      <c r="B60" s="657" t="s">
        <v>407</v>
      </c>
      <c r="C60" s="2882" t="s">
        <v>43</v>
      </c>
      <c r="D60" s="2882"/>
      <c r="E60" s="2883"/>
      <c r="F60" s="549" t="str">
        <f t="shared" si="0"/>
        <v>Car/Sport Utility/Consumer VehicleDelivery Capacity (m^3)</v>
      </c>
      <c r="G60" s="14">
        <v>2</v>
      </c>
      <c r="H60" s="544">
        <v>2</v>
      </c>
      <c r="K60" s="1055"/>
      <c r="L60" s="1053"/>
      <c r="M60" s="1053"/>
      <c r="N60" s="1053"/>
      <c r="O60" s="1053"/>
      <c r="P60" s="1053"/>
      <c r="Q60" s="1053"/>
      <c r="R60" s="1053"/>
      <c r="S60" s="1053"/>
      <c r="T60" s="1054"/>
      <c r="U60" s="181"/>
      <c r="V60" s="181"/>
      <c r="AA60" s="132" t="s">
        <v>68</v>
      </c>
      <c r="AB60" s="229">
        <v>19.246910452309116</v>
      </c>
      <c r="AC60" s="229">
        <v>18.195242733065239</v>
      </c>
      <c r="AD60" s="230">
        <v>11.279092864278667</v>
      </c>
    </row>
    <row r="61" spans="1:33" ht="15" customHeight="1">
      <c r="A61" s="10"/>
      <c r="B61" s="13" t="s">
        <v>279</v>
      </c>
      <c r="C61" s="2877" t="s">
        <v>39</v>
      </c>
      <c r="D61" s="2877"/>
      <c r="E61" s="2878"/>
      <c r="F61" s="803" t="str">
        <f t="shared" si="0"/>
        <v>Commercial TruckPurchase Price</v>
      </c>
      <c r="G61" s="28">
        <v>70448.990000000005</v>
      </c>
      <c r="H61" s="540">
        <v>70448.990000000005</v>
      </c>
      <c r="K61" s="1055" t="s">
        <v>1577</v>
      </c>
      <c r="L61" s="1053"/>
      <c r="M61" s="1053"/>
      <c r="N61" s="1053"/>
      <c r="O61" s="1053"/>
      <c r="P61" s="1053"/>
      <c r="Q61" s="1053"/>
      <c r="R61" s="1053"/>
      <c r="S61" s="1053"/>
      <c r="T61" s="1054"/>
      <c r="U61" s="104"/>
      <c r="V61" s="104"/>
      <c r="AA61" s="53" t="s">
        <v>343</v>
      </c>
      <c r="AB61" s="181">
        <f>AB59/H95</f>
        <v>19.597765590762666</v>
      </c>
      <c r="AC61" s="181">
        <f>AC59/K95</f>
        <v>18.526926845386743</v>
      </c>
      <c r="AD61" s="181">
        <f>AD59/N95</f>
        <v>3.3288989356378036E-2</v>
      </c>
    </row>
    <row r="62" spans="1:33">
      <c r="A62" s="10"/>
      <c r="B62" s="13" t="s">
        <v>279</v>
      </c>
      <c r="C62" s="2552" t="s">
        <v>40</v>
      </c>
      <c r="D62" s="2552"/>
      <c r="E62" s="2879"/>
      <c r="F62" s="803" t="str">
        <f t="shared" si="0"/>
        <v>Commercial TruckDepreciation Cost / yr</v>
      </c>
      <c r="G62" s="29">
        <f>G61/$H$11</f>
        <v>14089.798000000001</v>
      </c>
      <c r="H62" s="541">
        <f>H61/$H$11</f>
        <v>14089.798000000001</v>
      </c>
      <c r="K62" s="1055"/>
      <c r="L62" s="1053"/>
      <c r="M62" s="1053"/>
      <c r="N62" s="1053"/>
      <c r="O62" s="1053"/>
      <c r="P62" s="1053"/>
      <c r="Q62" s="1053"/>
      <c r="R62" s="1053"/>
      <c r="S62" s="1053"/>
      <c r="T62" s="1054"/>
      <c r="AA62" s="53" t="s">
        <v>345</v>
      </c>
      <c r="AB62" s="181">
        <f>AB52/AB59/$H$9</f>
        <v>0.41565112592084685</v>
      </c>
      <c r="AC62" s="181">
        <f>AC52/AC59/$H$9</f>
        <v>0.43967536555376796</v>
      </c>
      <c r="AD62" s="181">
        <f>AD52/AD59/H9</f>
        <v>0.709276898086043</v>
      </c>
    </row>
    <row r="63" spans="1:33">
      <c r="A63" s="10"/>
      <c r="B63" s="13" t="s">
        <v>279</v>
      </c>
      <c r="C63" s="2552" t="s">
        <v>44</v>
      </c>
      <c r="D63" s="2552"/>
      <c r="E63" s="2879"/>
      <c r="F63" s="803" t="str">
        <f t="shared" si="0"/>
        <v>Commercial TruckInsurance cost /yr</v>
      </c>
      <c r="G63" s="28">
        <v>2575.86</v>
      </c>
      <c r="H63" s="542">
        <v>2575.86</v>
      </c>
      <c r="K63" s="2893"/>
      <c r="L63" s="2893"/>
      <c r="M63" s="2893"/>
      <c r="N63" s="2893"/>
      <c r="O63" s="2893"/>
      <c r="P63" s="2893"/>
      <c r="Q63" s="2893"/>
      <c r="R63" s="2893"/>
      <c r="S63" s="2893"/>
      <c r="T63" s="2893"/>
      <c r="AA63" s="53" t="s">
        <v>344</v>
      </c>
      <c r="AB63" s="181">
        <f>AB62/AB53</f>
        <v>0.51956390740105851</v>
      </c>
      <c r="AC63" s="181">
        <f>AC62/AC53</f>
        <v>0.54959420694220995</v>
      </c>
      <c r="AD63" s="181">
        <f>AD62/AD53</f>
        <v>0.88659612260755372</v>
      </c>
    </row>
    <row r="64" spans="1:33">
      <c r="A64" s="10"/>
      <c r="B64" s="13" t="s">
        <v>279</v>
      </c>
      <c r="C64" s="2552" t="s">
        <v>42</v>
      </c>
      <c r="D64" s="2552"/>
      <c r="E64" s="2879"/>
      <c r="F64" s="803" t="str">
        <f t="shared" si="0"/>
        <v>Commercial TruckMaintenance cost/km</v>
      </c>
      <c r="G64" s="28">
        <v>0.38</v>
      </c>
      <c r="H64" s="542">
        <v>0.38</v>
      </c>
      <c r="K64" s="2893"/>
      <c r="L64" s="2893"/>
      <c r="M64" s="2893"/>
      <c r="N64" s="2893"/>
      <c r="O64" s="2893"/>
      <c r="P64" s="2893"/>
      <c r="Q64" s="2893"/>
      <c r="R64" s="2893"/>
      <c r="S64" s="2893"/>
      <c r="T64" s="2893"/>
      <c r="AB64" s="181"/>
      <c r="AC64" s="181"/>
      <c r="AD64" s="181"/>
    </row>
    <row r="65" spans="1:30">
      <c r="A65" s="10"/>
      <c r="B65" s="13" t="s">
        <v>279</v>
      </c>
      <c r="C65" s="2552" t="s">
        <v>41</v>
      </c>
      <c r="D65" s="2552"/>
      <c r="E65" s="2879"/>
      <c r="F65" s="803" t="str">
        <f t="shared" si="0"/>
        <v>Commercial TruckFuel Efficiency (km/liter)</v>
      </c>
      <c r="G65" s="12">
        <v>3.86</v>
      </c>
      <c r="H65" s="543">
        <v>3.86</v>
      </c>
      <c r="K65" s="1055"/>
      <c r="L65" s="1053"/>
      <c r="M65" s="1053"/>
      <c r="N65" s="1053"/>
      <c r="O65" s="1053"/>
      <c r="P65" s="1053"/>
      <c r="Q65" s="1053"/>
      <c r="R65" s="1053"/>
      <c r="S65" s="1053"/>
      <c r="T65" s="1054"/>
      <c r="AB65" s="181"/>
      <c r="AC65" s="181"/>
      <c r="AD65" s="181"/>
    </row>
    <row r="66" spans="1:30">
      <c r="A66" s="10"/>
      <c r="B66" s="657" t="s">
        <v>279</v>
      </c>
      <c r="C66" s="2882" t="s">
        <v>43</v>
      </c>
      <c r="D66" s="2882"/>
      <c r="E66" s="2883"/>
      <c r="F66" s="803" t="str">
        <f t="shared" si="0"/>
        <v>Commercial TruckDelivery Capacity (m^3)</v>
      </c>
      <c r="G66" s="14">
        <v>12</v>
      </c>
      <c r="H66" s="544">
        <v>12</v>
      </c>
      <c r="K66" s="1055"/>
      <c r="L66" s="1053"/>
      <c r="M66" s="1053"/>
      <c r="N66" s="1053"/>
      <c r="O66" s="1053"/>
      <c r="P66" s="1053"/>
      <c r="Q66" s="1053"/>
      <c r="R66" s="1053"/>
      <c r="S66" s="1053"/>
      <c r="T66" s="1054"/>
      <c r="AB66" s="181"/>
      <c r="AC66" s="181"/>
      <c r="AD66" s="181"/>
    </row>
    <row r="67" spans="1:30">
      <c r="A67" s="10"/>
      <c r="B67" s="13" t="s">
        <v>408</v>
      </c>
      <c r="C67" s="2877" t="s">
        <v>39</v>
      </c>
      <c r="D67" s="2877"/>
      <c r="E67" s="2878"/>
      <c r="F67" s="549"/>
      <c r="H67" s="540"/>
      <c r="K67" s="1055"/>
      <c r="L67" s="1053"/>
      <c r="M67" s="1053"/>
      <c r="N67" s="1053"/>
      <c r="O67" s="1053"/>
      <c r="P67" s="1053"/>
      <c r="Q67" s="1053"/>
      <c r="R67" s="1053"/>
      <c r="S67" s="1053"/>
      <c r="T67" s="1054"/>
      <c r="W67" s="37"/>
      <c r="AB67" s="181"/>
      <c r="AC67" s="181"/>
      <c r="AD67" s="181"/>
    </row>
    <row r="68" spans="1:30">
      <c r="A68" s="10"/>
      <c r="B68" s="13" t="s">
        <v>408</v>
      </c>
      <c r="C68" s="2552" t="s">
        <v>40</v>
      </c>
      <c r="D68" s="2552"/>
      <c r="E68" s="2879"/>
      <c r="F68" s="549"/>
      <c r="H68" s="541"/>
      <c r="K68" s="1055"/>
      <c r="L68" s="1053"/>
      <c r="M68" s="1053"/>
      <c r="N68" s="1053"/>
      <c r="O68" s="1053"/>
      <c r="P68" s="1053"/>
      <c r="Q68" s="1053"/>
      <c r="R68" s="1053"/>
      <c r="S68" s="1053"/>
      <c r="T68" s="1054"/>
      <c r="AB68" s="181"/>
      <c r="AC68" s="181"/>
      <c r="AD68" s="181"/>
    </row>
    <row r="69" spans="1:30">
      <c r="A69" s="10"/>
      <c r="B69" s="13" t="s">
        <v>408</v>
      </c>
      <c r="C69" s="2552" t="s">
        <v>44</v>
      </c>
      <c r="D69" s="2552"/>
      <c r="E69" s="2879"/>
      <c r="F69" s="549"/>
      <c r="H69" s="542"/>
      <c r="K69" s="1055"/>
      <c r="L69" s="1053"/>
      <c r="M69" s="1053"/>
      <c r="N69" s="1053"/>
      <c r="O69" s="1053"/>
      <c r="P69" s="1053"/>
      <c r="Q69" s="1053"/>
      <c r="R69" s="1053"/>
      <c r="S69" s="1053"/>
      <c r="T69" s="1054"/>
      <c r="U69" s="655"/>
      <c r="V69" s="655"/>
      <c r="AB69" s="181"/>
      <c r="AC69" s="181"/>
      <c r="AD69" s="181"/>
    </row>
    <row r="70" spans="1:30">
      <c r="A70" s="10"/>
      <c r="B70" s="13" t="s">
        <v>408</v>
      </c>
      <c r="C70" s="2552" t="s">
        <v>42</v>
      </c>
      <c r="D70" s="2552"/>
      <c r="E70" s="2879"/>
      <c r="F70" s="549"/>
      <c r="H70" s="542"/>
      <c r="K70" s="1055"/>
      <c r="L70" s="1053"/>
      <c r="M70" s="1053"/>
      <c r="N70" s="1053"/>
      <c r="O70" s="1053"/>
      <c r="P70" s="1053"/>
      <c r="Q70" s="1053"/>
      <c r="R70" s="1053"/>
      <c r="S70" s="1053"/>
      <c r="T70" s="1054"/>
      <c r="U70" s="37"/>
      <c r="V70" s="654"/>
      <c r="AB70" s="181"/>
      <c r="AC70" s="181"/>
      <c r="AD70" s="181"/>
    </row>
    <row r="71" spans="1:30">
      <c r="A71" s="10"/>
      <c r="B71" s="13" t="s">
        <v>408</v>
      </c>
      <c r="C71" s="2552" t="s">
        <v>41</v>
      </c>
      <c r="D71" s="2552"/>
      <c r="E71" s="2879"/>
      <c r="F71" s="549"/>
      <c r="H71" s="543"/>
      <c r="K71" s="1055"/>
      <c r="L71" s="1053"/>
      <c r="M71" s="1053"/>
      <c r="N71" s="1053"/>
      <c r="O71" s="1053"/>
      <c r="P71" s="1053"/>
      <c r="Q71" s="1053"/>
      <c r="R71" s="1053"/>
      <c r="S71" s="1053"/>
      <c r="T71" s="1054"/>
      <c r="U71" s="37"/>
      <c r="V71" s="654"/>
      <c r="AB71" s="181"/>
      <c r="AC71" s="181"/>
      <c r="AD71" s="181"/>
    </row>
    <row r="72" spans="1:30">
      <c r="A72" s="10"/>
      <c r="B72" s="657" t="s">
        <v>408</v>
      </c>
      <c r="C72" s="2882" t="s">
        <v>43</v>
      </c>
      <c r="D72" s="2882"/>
      <c r="E72" s="2883"/>
      <c r="F72" s="549"/>
      <c r="H72" s="544"/>
      <c r="K72" s="1055"/>
      <c r="L72" s="1053"/>
      <c r="M72" s="1053"/>
      <c r="N72" s="1053"/>
      <c r="O72" s="1053"/>
      <c r="P72" s="1053"/>
      <c r="Q72" s="1053"/>
      <c r="R72" s="1053"/>
      <c r="S72" s="1053"/>
      <c r="T72" s="1054"/>
      <c r="U72" s="37"/>
      <c r="V72" s="654"/>
      <c r="AB72" s="181"/>
      <c r="AC72" s="181"/>
      <c r="AD72" s="181"/>
    </row>
    <row r="73" spans="1:30">
      <c r="B73" s="13" t="s">
        <v>409</v>
      </c>
      <c r="C73" s="2877" t="s">
        <v>39</v>
      </c>
      <c r="D73" s="2877"/>
      <c r="E73" s="2878"/>
      <c r="F73" s="549"/>
      <c r="H73" s="540"/>
      <c r="K73" s="1055"/>
      <c r="L73" s="1053"/>
      <c r="M73" s="1053"/>
      <c r="N73" s="1053" t="s">
        <v>100</v>
      </c>
      <c r="O73" s="1053"/>
      <c r="P73" s="1053"/>
      <c r="Q73" s="1053"/>
      <c r="R73" s="1053"/>
      <c r="S73" s="1053"/>
      <c r="T73" s="1054"/>
      <c r="U73" s="37"/>
      <c r="V73" s="654"/>
      <c r="AB73" s="181"/>
      <c r="AC73" s="181"/>
      <c r="AD73" s="181"/>
    </row>
    <row r="74" spans="1:30">
      <c r="A74" s="10"/>
      <c r="B74" s="13" t="s">
        <v>409</v>
      </c>
      <c r="C74" s="2552" t="s">
        <v>40</v>
      </c>
      <c r="D74" s="2552"/>
      <c r="E74" s="2879"/>
      <c r="F74" s="549"/>
      <c r="H74" s="541"/>
      <c r="K74" s="1055"/>
      <c r="L74" s="1053"/>
      <c r="M74" s="1053"/>
      <c r="N74" s="1053" t="s">
        <v>100</v>
      </c>
      <c r="O74" s="1053"/>
      <c r="P74" s="1053"/>
      <c r="Q74" s="1053"/>
      <c r="R74" s="1053"/>
      <c r="S74" s="1053"/>
      <c r="T74" s="1054"/>
      <c r="U74" s="653"/>
      <c r="V74" s="652"/>
      <c r="AB74" s="181"/>
      <c r="AC74" s="181"/>
      <c r="AD74" s="181"/>
    </row>
    <row r="75" spans="1:30">
      <c r="A75" s="10"/>
      <c r="B75" s="13" t="s">
        <v>409</v>
      </c>
      <c r="C75" s="2552" t="s">
        <v>44</v>
      </c>
      <c r="D75" s="2552"/>
      <c r="E75" s="2879"/>
      <c r="F75" s="549"/>
      <c r="H75" s="542"/>
      <c r="K75" s="1055"/>
      <c r="L75" s="1053"/>
      <c r="M75" s="1053"/>
      <c r="N75" s="1053"/>
      <c r="O75" s="1053"/>
      <c r="P75" s="1053"/>
      <c r="Q75" s="1053"/>
      <c r="R75" s="1053"/>
      <c r="S75" s="1053"/>
      <c r="T75" s="1054"/>
      <c r="AB75" s="181"/>
      <c r="AC75" s="181"/>
      <c r="AD75" s="181"/>
    </row>
    <row r="76" spans="1:30">
      <c r="A76" s="10"/>
      <c r="B76" s="13" t="s">
        <v>409</v>
      </c>
      <c r="C76" s="2552" t="s">
        <v>42</v>
      </c>
      <c r="D76" s="2552"/>
      <c r="E76" s="2879"/>
      <c r="F76" s="549"/>
      <c r="H76" s="542"/>
      <c r="K76" s="1055"/>
      <c r="L76" s="1053"/>
      <c r="M76" s="1053"/>
      <c r="N76" s="1053"/>
      <c r="O76" s="1053"/>
      <c r="P76" s="1053"/>
      <c r="Q76" s="1053"/>
      <c r="R76" s="1053"/>
      <c r="S76" s="1053"/>
      <c r="T76" s="1054"/>
      <c r="AB76" s="104"/>
      <c r="AC76" s="104"/>
      <c r="AD76" s="104"/>
    </row>
    <row r="77" spans="1:30" ht="18.45">
      <c r="A77" s="10"/>
      <c r="B77" s="13" t="s">
        <v>409</v>
      </c>
      <c r="C77" s="2552" t="s">
        <v>41</v>
      </c>
      <c r="D77" s="2552"/>
      <c r="E77" s="2879"/>
      <c r="F77" s="549"/>
      <c r="H77" s="543"/>
      <c r="K77" s="1055"/>
      <c r="L77" s="1053"/>
      <c r="M77" s="1053"/>
      <c r="N77" s="1053"/>
      <c r="O77" s="1053"/>
      <c r="P77" s="1053"/>
      <c r="Q77" s="1053"/>
      <c r="R77" s="1053"/>
      <c r="S77" s="1053"/>
      <c r="T77" s="1054"/>
      <c r="AA77" s="102" t="s">
        <v>181</v>
      </c>
      <c r="AB77" s="57"/>
    </row>
    <row r="78" spans="1:30">
      <c r="A78" s="10"/>
      <c r="B78" s="657" t="s">
        <v>409</v>
      </c>
      <c r="C78" s="2882" t="s">
        <v>43</v>
      </c>
      <c r="D78" s="2882"/>
      <c r="E78" s="2883"/>
      <c r="F78" s="549"/>
      <c r="H78" s="544"/>
      <c r="K78" s="1055"/>
      <c r="L78" s="1053"/>
      <c r="M78" s="1053"/>
      <c r="N78" s="1053"/>
      <c r="O78" s="1053"/>
      <c r="P78" s="1053"/>
      <c r="Q78" s="1053"/>
      <c r="R78" s="1053"/>
      <c r="S78" s="1053"/>
      <c r="T78" s="1054"/>
      <c r="AA78" s="53" t="s">
        <v>69</v>
      </c>
      <c r="AB78" s="3">
        <v>13872</v>
      </c>
    </row>
    <row r="79" spans="1:30" ht="37" customHeight="1">
      <c r="A79" s="10"/>
      <c r="B79" s="8"/>
      <c r="C79" s="8"/>
      <c r="AA79" s="53" t="s">
        <v>70</v>
      </c>
      <c r="AB79" s="3">
        <v>578</v>
      </c>
      <c r="AC79" t="s">
        <v>351</v>
      </c>
    </row>
    <row r="80" spans="1:30">
      <c r="A80" s="10"/>
      <c r="B80" s="8"/>
      <c r="C80" s="8"/>
      <c r="G80" t="s">
        <v>3</v>
      </c>
      <c r="J80" t="s">
        <v>47</v>
      </c>
      <c r="M80" t="s">
        <v>96</v>
      </c>
      <c r="AA80" s="54" t="s">
        <v>71</v>
      </c>
      <c r="AB80" s="5">
        <v>24</v>
      </c>
    </row>
    <row r="81" spans="1:31" ht="27" customHeight="1">
      <c r="A81" s="2886" t="s">
        <v>607</v>
      </c>
      <c r="B81" s="2886"/>
      <c r="C81" s="2886"/>
      <c r="D81" s="2886"/>
      <c r="E81" s="2886"/>
    </row>
    <row r="82" spans="1:31" ht="18.45">
      <c r="A82" s="10" t="s">
        <v>613</v>
      </c>
      <c r="B82" s="148"/>
      <c r="C82" s="148"/>
      <c r="D82" s="148"/>
      <c r="E82" s="148"/>
      <c r="G82" s="2887"/>
      <c r="H82" s="2888"/>
      <c r="I82" s="8"/>
      <c r="J82" s="2889"/>
      <c r="K82" s="2890"/>
      <c r="L82" s="8"/>
      <c r="M82" s="2889"/>
      <c r="N82" s="2890"/>
      <c r="O82" s="8"/>
      <c r="P82" s="786"/>
      <c r="Q82" s="786"/>
      <c r="R82" s="8"/>
      <c r="S82" s="8"/>
      <c r="T82" s="786"/>
      <c r="U82" s="8"/>
      <c r="V82" s="8"/>
      <c r="W82" s="718"/>
      <c r="AA82" s="102" t="s">
        <v>73</v>
      </c>
      <c r="AB82" s="89" t="s">
        <v>25</v>
      </c>
      <c r="AC82" s="89" t="s">
        <v>78</v>
      </c>
      <c r="AD82" s="90" t="s">
        <v>79</v>
      </c>
    </row>
    <row r="83" spans="1:31" ht="18.75" customHeight="1">
      <c r="B83" s="148"/>
      <c r="C83" s="148"/>
      <c r="D83" s="148"/>
      <c r="E83" s="148"/>
      <c r="G83" s="2867" t="s">
        <v>9</v>
      </c>
      <c r="H83" s="2894"/>
      <c r="I83" s="6"/>
      <c r="J83" s="2637" t="s">
        <v>6</v>
      </c>
      <c r="K83" s="2894"/>
      <c r="L83" s="6"/>
      <c r="M83" s="2637" t="s">
        <v>7</v>
      </c>
      <c r="N83" s="2894"/>
      <c r="P83" s="2867" t="s">
        <v>8</v>
      </c>
      <c r="Q83" s="2869"/>
      <c r="T83" s="2869"/>
      <c r="W83" s="2869"/>
    </row>
    <row r="84" spans="1:31" ht="14.9" customHeight="1">
      <c r="B84" s="148"/>
      <c r="C84" s="148"/>
      <c r="D84" s="148"/>
      <c r="E84" s="148"/>
      <c r="G84" s="2891" t="s">
        <v>17</v>
      </c>
      <c r="H84" s="2895" t="s">
        <v>10</v>
      </c>
      <c r="I84" s="6"/>
      <c r="J84" s="2896" t="s">
        <v>17</v>
      </c>
      <c r="K84" s="2895" t="s">
        <v>10</v>
      </c>
      <c r="L84" s="6"/>
      <c r="M84" s="2896" t="s">
        <v>17</v>
      </c>
      <c r="N84" s="2895" t="s">
        <v>10</v>
      </c>
      <c r="P84" s="2891" t="s">
        <v>17</v>
      </c>
      <c r="Q84" s="2892" t="s">
        <v>10</v>
      </c>
      <c r="T84" s="2892"/>
      <c r="W84" s="2892"/>
      <c r="AE84" s="37"/>
    </row>
    <row r="85" spans="1:31" ht="14.9" customHeight="1">
      <c r="A85" s="591"/>
      <c r="B85" s="592"/>
      <c r="C85" s="592"/>
      <c r="D85" s="592"/>
      <c r="E85" s="592"/>
      <c r="F85" s="593"/>
      <c r="G85" s="592"/>
      <c r="H85" s="592"/>
      <c r="I85" s="593"/>
      <c r="J85" s="592"/>
      <c r="K85" s="592"/>
      <c r="L85" s="593"/>
      <c r="M85" s="592"/>
      <c r="N85" s="745"/>
      <c r="O85" s="594"/>
      <c r="P85" s="686"/>
      <c r="Q85" s="687"/>
      <c r="R85" s="594"/>
      <c r="S85" s="594"/>
      <c r="T85" s="687"/>
      <c r="U85" s="594"/>
      <c r="V85" s="594"/>
      <c r="W85" s="687"/>
    </row>
    <row r="86" spans="1:31" ht="1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AA86" s="53" t="s">
        <v>75</v>
      </c>
      <c r="AB86" s="7">
        <v>13104</v>
      </c>
      <c r="AC86" s="37">
        <v>6.7028132992327363</v>
      </c>
      <c r="AD86" s="105">
        <v>1.0653658536585366E-3</v>
      </c>
    </row>
    <row r="87" spans="1:31" ht="72.900000000000006">
      <c r="B87" s="44" t="s">
        <v>0</v>
      </c>
      <c r="C87" s="44"/>
      <c r="D87" s="44"/>
      <c r="E87" s="44"/>
      <c r="F87" s="236"/>
      <c r="G87" s="719" t="s">
        <v>31</v>
      </c>
      <c r="H87" s="1057"/>
      <c r="I87" s="1058"/>
      <c r="J87" s="1044"/>
      <c r="K87" s="1057"/>
      <c r="L87" s="1058"/>
      <c r="M87" s="1044"/>
      <c r="N87" s="1057"/>
      <c r="O87" s="1058"/>
      <c r="P87" s="1044"/>
      <c r="Q87" s="1057"/>
      <c r="R87" s="1058"/>
      <c r="S87" s="1058"/>
      <c r="T87" s="1057"/>
      <c r="U87" s="1058"/>
      <c r="V87" s="1058"/>
      <c r="W87" s="1059"/>
      <c r="AA87" s="53" t="s">
        <v>76</v>
      </c>
      <c r="AB87" s="7">
        <v>51399.652317405686</v>
      </c>
      <c r="AC87" s="37">
        <v>26.291382259542551</v>
      </c>
      <c r="AD87" s="105">
        <v>4.1788335217402993E-3</v>
      </c>
    </row>
    <row r="88" spans="1:31" ht="18.45">
      <c r="A88" s="6"/>
      <c r="B88" s="723" t="s">
        <v>54</v>
      </c>
      <c r="C88" s="180"/>
      <c r="D88" s="180"/>
      <c r="E88" s="180"/>
      <c r="F88" s="6"/>
      <c r="G88" s="65"/>
      <c r="H88" s="561" t="s">
        <v>677</v>
      </c>
      <c r="I88" s="708"/>
      <c r="J88" s="709"/>
      <c r="K88" s="561" t="s">
        <v>584</v>
      </c>
      <c r="L88" s="710"/>
      <c r="M88" s="711"/>
      <c r="N88" s="561" t="s">
        <v>583</v>
      </c>
      <c r="O88" s="710"/>
      <c r="P88" s="712"/>
      <c r="Q88" s="561"/>
      <c r="R88" s="713"/>
      <c r="S88" s="713"/>
      <c r="T88" s="561"/>
      <c r="U88" s="713"/>
      <c r="V88" s="713"/>
      <c r="W88" s="744"/>
      <c r="AA88" s="53" t="s">
        <v>74</v>
      </c>
      <c r="AB88" s="7">
        <v>50452.347965689754</v>
      </c>
      <c r="AC88" s="37">
        <v>25.806827603933378</v>
      </c>
      <c r="AD88" s="105">
        <v>4.1018169077796547E-3</v>
      </c>
    </row>
    <row r="89" spans="1:31">
      <c r="B89" s="52"/>
      <c r="C89" s="52"/>
      <c r="D89" s="52"/>
      <c r="E89" s="52"/>
      <c r="G89" s="717"/>
      <c r="H89" s="780"/>
      <c r="J89" s="780"/>
      <c r="K89" s="780"/>
      <c r="M89" s="780"/>
      <c r="N89" s="780"/>
      <c r="P89" s="780"/>
      <c r="Q89" s="780"/>
      <c r="T89" s="780"/>
      <c r="W89" s="780"/>
      <c r="AA89" s="53" t="s">
        <v>77</v>
      </c>
      <c r="AB89" s="7">
        <v>17118.683217978585</v>
      </c>
      <c r="AC89" s="37">
        <v>8.7563597022908368</v>
      </c>
      <c r="AD89" s="105">
        <v>1.3917628632502915E-3</v>
      </c>
    </row>
    <row r="90" spans="1:31"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AA90" s="53"/>
      <c r="AB90" s="7"/>
      <c r="AC90" s="37"/>
      <c r="AD90" s="105"/>
    </row>
    <row r="91" spans="1:31" ht="18.45">
      <c r="A91" s="1"/>
      <c r="B91" s="50"/>
      <c r="C91" s="50"/>
      <c r="D91" s="50"/>
      <c r="E91" s="50"/>
      <c r="G91" s="66"/>
      <c r="H91" s="787"/>
      <c r="I91" s="6"/>
      <c r="J91" s="111"/>
      <c r="K91" s="787"/>
      <c r="L91" s="6"/>
      <c r="M91" s="111"/>
      <c r="N91" s="787"/>
      <c r="P91" s="66"/>
      <c r="Q91" s="788"/>
      <c r="T91" s="788"/>
      <c r="W91" s="724"/>
      <c r="AA91" s="106" t="s">
        <v>80</v>
      </c>
      <c r="AB91" s="107">
        <v>132074.68350107403</v>
      </c>
      <c r="AC91" s="107">
        <v>67.557382864999511</v>
      </c>
      <c r="AD91" s="108">
        <v>1.0737779146428782E-2</v>
      </c>
    </row>
    <row r="92" spans="1:31" ht="18.45">
      <c r="A92" s="6"/>
      <c r="B92" s="723" t="s">
        <v>16</v>
      </c>
      <c r="C92" s="180"/>
      <c r="D92" s="180"/>
      <c r="E92" s="180"/>
      <c r="F92" s="725"/>
      <c r="G92" s="65"/>
      <c r="H92" s="553">
        <v>390757</v>
      </c>
      <c r="I92" s="710"/>
      <c r="J92" s="711"/>
      <c r="K92" s="553">
        <v>36459</v>
      </c>
      <c r="L92" s="710"/>
      <c r="M92" s="711"/>
      <c r="N92" s="553">
        <v>36459</v>
      </c>
      <c r="O92" s="710"/>
      <c r="P92" s="712"/>
      <c r="Q92" s="553"/>
      <c r="R92" s="713"/>
      <c r="S92" s="713"/>
      <c r="T92" s="553"/>
      <c r="U92" s="713"/>
      <c r="V92" s="713"/>
      <c r="W92" s="730"/>
    </row>
    <row r="93" spans="1:31" ht="15.75" customHeight="1">
      <c r="A93" s="6"/>
      <c r="B93" s="726" t="s">
        <v>124</v>
      </c>
      <c r="C93" s="727"/>
      <c r="D93" s="727"/>
      <c r="E93" s="727"/>
      <c r="F93" s="728"/>
      <c r="G93" s="65"/>
      <c r="H93" s="554">
        <v>1</v>
      </c>
      <c r="I93" s="731"/>
      <c r="J93" s="732"/>
      <c r="K93" s="554">
        <v>1</v>
      </c>
      <c r="L93" s="731"/>
      <c r="M93" s="732"/>
      <c r="N93" s="554">
        <v>1</v>
      </c>
      <c r="O93" s="733"/>
      <c r="P93" s="734"/>
      <c r="Q93" s="554"/>
      <c r="R93" s="735"/>
      <c r="S93" s="735"/>
      <c r="T93" s="554"/>
      <c r="U93" s="735"/>
      <c r="V93" s="735"/>
      <c r="W93" s="736"/>
    </row>
    <row r="94" spans="1:31" ht="18.45">
      <c r="A94" s="6"/>
      <c r="B94" s="726" t="s">
        <v>123</v>
      </c>
      <c r="C94" s="727"/>
      <c r="D94" s="727"/>
      <c r="E94" s="727"/>
      <c r="F94" s="728"/>
      <c r="G94" s="65"/>
      <c r="H94" s="1087">
        <v>0</v>
      </c>
      <c r="I94" s="731"/>
      <c r="J94" s="732"/>
      <c r="K94" s="737">
        <v>0.05</v>
      </c>
      <c r="L94" s="708">
        <v>0</v>
      </c>
      <c r="M94" s="709"/>
      <c r="N94" s="737">
        <v>0.05</v>
      </c>
      <c r="O94" s="710"/>
      <c r="P94" s="712"/>
      <c r="Q94" s="737"/>
      <c r="R94" s="713"/>
      <c r="S94" s="713"/>
      <c r="T94" s="737"/>
      <c r="U94" s="713"/>
      <c r="V94" s="713"/>
      <c r="W94" s="738"/>
    </row>
    <row r="95" spans="1:31" ht="18.45">
      <c r="A95" s="6"/>
      <c r="B95" s="726" t="s">
        <v>56</v>
      </c>
      <c r="C95" s="727"/>
      <c r="D95" s="727"/>
      <c r="E95" s="727"/>
      <c r="F95" s="728"/>
      <c r="G95" s="65">
        <v>1</v>
      </c>
      <c r="H95" s="523">
        <v>1</v>
      </c>
      <c r="I95" s="708"/>
      <c r="J95" s="709">
        <v>1</v>
      </c>
      <c r="K95" s="523">
        <v>1</v>
      </c>
      <c r="L95" s="708"/>
      <c r="M95" s="709">
        <v>345</v>
      </c>
      <c r="N95" s="523">
        <v>345</v>
      </c>
      <c r="O95" s="710"/>
      <c r="P95" s="712"/>
      <c r="Q95" s="523"/>
      <c r="R95" s="713"/>
      <c r="S95" s="713"/>
      <c r="T95" s="523"/>
      <c r="U95" s="713"/>
      <c r="V95" s="713"/>
      <c r="W95" s="695"/>
    </row>
    <row r="96" spans="1:31" ht="18.45">
      <c r="A96" s="6"/>
      <c r="B96" s="729" t="s">
        <v>18</v>
      </c>
      <c r="C96" s="727"/>
      <c r="D96" s="727"/>
      <c r="E96" s="727"/>
      <c r="F96" s="728"/>
      <c r="G96" s="65"/>
      <c r="H96" s="523">
        <v>4</v>
      </c>
      <c r="I96" s="710"/>
      <c r="J96" s="711">
        <v>4</v>
      </c>
      <c r="K96" s="523">
        <v>4</v>
      </c>
      <c r="L96" s="710"/>
      <c r="M96" s="711">
        <v>4</v>
      </c>
      <c r="N96" s="523">
        <v>4</v>
      </c>
      <c r="O96" s="710"/>
      <c r="P96" s="712"/>
      <c r="Q96" s="523"/>
      <c r="R96" s="713"/>
      <c r="S96" s="713"/>
      <c r="T96" s="523"/>
      <c r="U96" s="713"/>
      <c r="V96" s="713"/>
      <c r="W96" s="695"/>
    </row>
    <row r="97" spans="1:23" ht="18.45">
      <c r="A97" s="6"/>
      <c r="B97" s="44" t="s">
        <v>602</v>
      </c>
      <c r="C97" s="727"/>
      <c r="D97" s="727"/>
      <c r="E97" s="727"/>
      <c r="F97" s="728"/>
      <c r="G97" s="65"/>
      <c r="H97" s="523">
        <v>1.3</v>
      </c>
      <c r="I97" s="710"/>
      <c r="J97" s="711"/>
      <c r="K97" s="523">
        <v>1.5</v>
      </c>
      <c r="L97" s="710"/>
      <c r="M97" s="711"/>
      <c r="N97" s="523">
        <v>1.7</v>
      </c>
      <c r="O97" s="710"/>
      <c r="P97" s="712"/>
      <c r="Q97" s="523"/>
      <c r="R97" s="739"/>
      <c r="S97" s="739"/>
      <c r="T97" s="523"/>
      <c r="U97" s="739"/>
      <c r="V97" s="739"/>
      <c r="W97" s="695"/>
    </row>
    <row r="98" spans="1:23" ht="15" customHeight="1">
      <c r="A98" s="6"/>
      <c r="B98" s="729" t="s">
        <v>45</v>
      </c>
      <c r="C98" s="694"/>
      <c r="D98" s="694"/>
      <c r="E98" s="694"/>
      <c r="F98" s="728"/>
      <c r="G98" s="65"/>
      <c r="H98" s="809">
        <v>0</v>
      </c>
      <c r="I98" s="710"/>
      <c r="J98" s="711">
        <v>289</v>
      </c>
      <c r="K98" s="523">
        <v>289</v>
      </c>
      <c r="L98" s="710"/>
      <c r="M98" s="740"/>
      <c r="N98" s="523">
        <f>N97*(SQRT(K92/K95)/6)*(SQRT(2)+LN(1+SQRT(2)))</f>
        <v>124.19206038512104</v>
      </c>
      <c r="O98" s="710"/>
      <c r="P98" s="711"/>
      <c r="Q98" s="523"/>
      <c r="R98" s="710"/>
      <c r="S98" s="710"/>
      <c r="T98" s="523"/>
      <c r="U98" s="710"/>
      <c r="V98" s="710"/>
      <c r="W98" s="695"/>
    </row>
    <row r="99" spans="1:23" ht="15" customHeight="1">
      <c r="A99" s="6"/>
      <c r="B99" s="584" t="s">
        <v>46</v>
      </c>
      <c r="C99" s="584"/>
      <c r="D99" s="584"/>
      <c r="E99" s="584"/>
      <c r="F99" s="728"/>
      <c r="G99" s="63"/>
      <c r="H99" s="525">
        <v>0</v>
      </c>
      <c r="I99" s="741"/>
      <c r="J99" s="742">
        <v>0</v>
      </c>
      <c r="K99" s="525">
        <f>IF(K95=1,0,0.5*K97*(SQRT(K92/K95)+SQRT(2*K92/K95)))</f>
        <v>0</v>
      </c>
      <c r="L99" s="741"/>
      <c r="M99" s="743"/>
      <c r="N99" s="525">
        <f>0.5*N97*(SQRT(N92/N95)+SQRT(2*N92/N95))</f>
        <v>21.09538422148453</v>
      </c>
      <c r="O99" s="1078"/>
      <c r="P99" s="1079"/>
      <c r="Q99" s="525"/>
      <c r="R99" s="741"/>
      <c r="S99" s="741"/>
      <c r="T99" s="525"/>
      <c r="U99" s="741"/>
      <c r="V99" s="741"/>
      <c r="W99" s="702"/>
    </row>
    <row r="100" spans="1:23" ht="15" customHeight="1">
      <c r="A100" s="6"/>
      <c r="B100" s="6"/>
      <c r="C100" s="6"/>
      <c r="D100" s="6"/>
      <c r="E100" s="6"/>
      <c r="F100" s="6"/>
      <c r="G100" s="6"/>
      <c r="H100" s="121"/>
      <c r="I100" s="6"/>
      <c r="J100" s="121"/>
      <c r="K100" s="121"/>
      <c r="L100" s="6"/>
      <c r="M100" s="666"/>
      <c r="N100" s="128"/>
      <c r="O100" s="6"/>
      <c r="P100" s="6"/>
      <c r="Q100" s="121"/>
      <c r="T100" s="121"/>
      <c r="W100" s="121"/>
    </row>
    <row r="101" spans="1:23" ht="16.75">
      <c r="A101" s="591" t="s">
        <v>614</v>
      </c>
      <c r="B101" s="596"/>
      <c r="C101" s="596"/>
      <c r="D101" s="596"/>
      <c r="E101" s="596"/>
      <c r="F101" s="597"/>
      <c r="G101" s="594"/>
      <c r="H101" s="596"/>
      <c r="I101" s="597"/>
      <c r="J101" s="594"/>
      <c r="K101" s="596"/>
      <c r="L101" s="597"/>
      <c r="M101" s="594"/>
      <c r="N101" s="597"/>
      <c r="O101" s="594"/>
      <c r="P101" s="594"/>
      <c r="Q101" s="682"/>
      <c r="T101" s="682"/>
      <c r="U101" s="594"/>
      <c r="V101" s="594"/>
      <c r="W101" s="682"/>
    </row>
    <row r="102" spans="1:23" hidden="1">
      <c r="A102" s="1"/>
      <c r="B102" s="1"/>
      <c r="G102" s="53"/>
      <c r="H102" s="118"/>
      <c r="I102" s="6"/>
      <c r="J102" s="63"/>
      <c r="K102" s="118"/>
      <c r="L102" s="6"/>
      <c r="M102" s="63"/>
      <c r="N102" s="118"/>
      <c r="P102" s="53"/>
      <c r="Q102" s="58"/>
      <c r="T102" s="58"/>
      <c r="W102" s="58"/>
    </row>
    <row r="103" spans="1:23" ht="18.75" hidden="1" customHeight="1">
      <c r="A103" s="2897" t="s">
        <v>341</v>
      </c>
      <c r="B103" s="1398"/>
      <c r="C103" s="1399"/>
      <c r="D103" s="1399"/>
      <c r="E103" s="1399"/>
      <c r="F103" s="1400"/>
      <c r="G103" s="1401"/>
      <c r="H103" s="1389"/>
      <c r="I103" s="1402"/>
      <c r="J103" s="1401"/>
      <c r="K103" s="1389"/>
      <c r="L103" s="1402"/>
      <c r="M103" s="1401"/>
      <c r="N103" s="1389"/>
      <c r="O103" s="1402"/>
      <c r="P103" s="1403"/>
      <c r="Q103" s="1389"/>
      <c r="R103" s="1404"/>
      <c r="S103" s="1404"/>
      <c r="T103" s="1389"/>
      <c r="U103" s="1404"/>
      <c r="V103" s="1404"/>
      <c r="W103" s="1405"/>
    </row>
    <row r="104" spans="1:23" ht="31.5" customHeight="1">
      <c r="A104" s="2898"/>
      <c r="B104" s="726" t="s">
        <v>2373</v>
      </c>
      <c r="C104" s="727"/>
      <c r="D104" s="727"/>
      <c r="E104" s="727"/>
      <c r="F104" s="728"/>
      <c r="G104" s="65">
        <v>6</v>
      </c>
      <c r="H104" s="562">
        <v>3</v>
      </c>
      <c r="I104" s="748"/>
      <c r="J104" s="711">
        <v>6</v>
      </c>
      <c r="K104" s="562">
        <v>3</v>
      </c>
      <c r="L104" s="748"/>
      <c r="M104" s="711">
        <v>6</v>
      </c>
      <c r="N104" s="562">
        <v>3</v>
      </c>
      <c r="O104" s="748"/>
      <c r="P104" s="712"/>
      <c r="Q104" s="562"/>
      <c r="R104" s="762"/>
      <c r="S104" s="762"/>
      <c r="T104" s="562"/>
      <c r="U104" s="762"/>
      <c r="V104" s="762"/>
      <c r="W104" s="747"/>
    </row>
    <row r="105" spans="1:23" ht="43.75">
      <c r="A105" s="2902" t="s">
        <v>185</v>
      </c>
      <c r="B105" s="726" t="s">
        <v>231</v>
      </c>
      <c r="C105" s="727"/>
      <c r="D105" s="727"/>
      <c r="E105" s="727"/>
      <c r="F105" s="728"/>
      <c r="G105" s="114">
        <v>19.246910452309116</v>
      </c>
      <c r="H105" s="563" t="s">
        <v>402</v>
      </c>
      <c r="I105" s="748"/>
      <c r="J105" s="749">
        <v>18.195242733065239</v>
      </c>
      <c r="K105" s="563" t="s">
        <v>402</v>
      </c>
      <c r="L105" s="750"/>
      <c r="M105" s="751">
        <v>11.279092864278667</v>
      </c>
      <c r="N105" s="563" t="s">
        <v>19</v>
      </c>
      <c r="O105" s="748"/>
      <c r="P105" s="711"/>
      <c r="Q105" s="563"/>
      <c r="R105" s="762"/>
      <c r="S105" s="762"/>
      <c r="T105" s="563"/>
      <c r="U105" s="762"/>
      <c r="V105" s="762"/>
      <c r="W105" s="752"/>
    </row>
    <row r="106" spans="1:23" ht="18.45">
      <c r="A106" s="2897"/>
      <c r="B106" s="726" t="s">
        <v>339</v>
      </c>
      <c r="C106" s="727"/>
      <c r="D106" s="727"/>
      <c r="E106" s="727"/>
      <c r="F106" s="728"/>
      <c r="H106" s="1074">
        <f>AB61</f>
        <v>19.597765590762666</v>
      </c>
      <c r="I106" s="763"/>
      <c r="J106" s="763"/>
      <c r="K106" s="573">
        <f>AC61</f>
        <v>18.526926845386743</v>
      </c>
      <c r="L106" s="763"/>
      <c r="M106" s="763"/>
      <c r="N106" s="1075">
        <f>AD61</f>
        <v>3.3288989356378036E-2</v>
      </c>
      <c r="O106" s="1076"/>
      <c r="P106" s="1076"/>
      <c r="Q106" s="1075"/>
      <c r="R106" s="762"/>
      <c r="S106" s="762"/>
      <c r="T106" s="564"/>
      <c r="U106" s="762"/>
      <c r="V106" s="762"/>
      <c r="W106" s="753"/>
    </row>
    <row r="107" spans="1:23">
      <c r="A107" s="2898"/>
      <c r="B107" s="2255" t="s">
        <v>340</v>
      </c>
      <c r="C107" s="2255"/>
      <c r="D107" s="2255"/>
      <c r="E107" s="2255"/>
      <c r="F107" s="728"/>
      <c r="G107" s="63"/>
      <c r="H107" s="565">
        <f>AB63</f>
        <v>0.51956390740105851</v>
      </c>
      <c r="I107" s="754"/>
      <c r="J107" s="755">
        <v>2606.6666666666665</v>
      </c>
      <c r="K107" s="571">
        <f>AC63</f>
        <v>0.54959420694220995</v>
      </c>
      <c r="L107" s="754"/>
      <c r="M107" s="755" t="e">
        <v>#REF!</v>
      </c>
      <c r="N107" s="571">
        <f>AD63</f>
        <v>0.88659612260755372</v>
      </c>
      <c r="O107" s="748"/>
      <c r="P107" s="711"/>
      <c r="Q107" s="565"/>
      <c r="R107" s="748"/>
      <c r="S107" s="748"/>
      <c r="T107" s="565"/>
      <c r="U107" s="748"/>
      <c r="V107" s="748"/>
      <c r="W107" s="756"/>
    </row>
    <row r="108" spans="1:23" ht="15" customHeight="1">
      <c r="A108" s="2902" t="s">
        <v>394</v>
      </c>
      <c r="B108" s="726" t="s">
        <v>375</v>
      </c>
      <c r="C108" s="727"/>
      <c r="D108" s="727"/>
      <c r="E108" s="727"/>
      <c r="F108" s="728"/>
      <c r="G108" s="115">
        <v>488.75</v>
      </c>
      <c r="H108" s="566">
        <f>(1/0.8)*AVERAGE($AB$10/4, 2*$AB$10/4)</f>
        <v>916.40625</v>
      </c>
      <c r="I108" s="748"/>
      <c r="J108" s="711">
        <v>488.75</v>
      </c>
      <c r="K108" s="1071">
        <f>(1/0.8)*AVERAGE($AB$10/4, 2*$AB$10/4)</f>
        <v>916.40625</v>
      </c>
      <c r="L108" s="748"/>
      <c r="M108" s="711">
        <v>0.88223552894211565</v>
      </c>
      <c r="N108" s="566">
        <v>2.66</v>
      </c>
      <c r="O108" s="748"/>
      <c r="P108" s="711"/>
      <c r="Q108" s="566"/>
      <c r="R108" s="762"/>
      <c r="S108" s="762"/>
      <c r="T108" s="566"/>
      <c r="U108" s="762"/>
      <c r="V108" s="762"/>
      <c r="W108" s="757"/>
    </row>
    <row r="109" spans="1:23">
      <c r="A109" s="2897"/>
      <c r="B109" s="2255" t="s">
        <v>395</v>
      </c>
      <c r="C109" s="2255"/>
      <c r="D109" s="2255"/>
      <c r="E109" s="2255"/>
      <c r="F109" s="728"/>
      <c r="G109" s="113">
        <v>318.09533298035956</v>
      </c>
      <c r="H109" s="1077"/>
      <c r="I109" s="763"/>
      <c r="J109" s="763"/>
      <c r="K109" s="1077"/>
      <c r="L109" s="763"/>
      <c r="M109" s="763"/>
      <c r="N109" s="1077"/>
      <c r="O109" s="763"/>
      <c r="P109" s="763"/>
      <c r="Q109" s="1077"/>
      <c r="R109" s="762"/>
      <c r="S109" s="762"/>
      <c r="T109" s="567"/>
      <c r="U109" s="762"/>
      <c r="V109" s="762"/>
      <c r="W109" s="758"/>
    </row>
    <row r="110" spans="1:23" ht="18.45">
      <c r="A110" s="2897"/>
      <c r="B110" s="726" t="s">
        <v>396</v>
      </c>
      <c r="C110" s="727"/>
      <c r="D110" s="727"/>
      <c r="E110" s="727"/>
      <c r="F110" s="728"/>
      <c r="G110" s="117">
        <v>26.045977237650551</v>
      </c>
      <c r="H110" s="1086">
        <f>SUM(AB36,AB38)/H108</f>
        <v>169.65084425619176</v>
      </c>
      <c r="I110" s="705"/>
      <c r="J110" s="706">
        <v>158.83050411577992</v>
      </c>
      <c r="K110" s="568">
        <f>AB30/K108</f>
        <v>84.709602195082624</v>
      </c>
      <c r="L110" s="748"/>
      <c r="M110" s="764" t="e">
        <v>#REF!</v>
      </c>
      <c r="N110" s="568">
        <f>AD23/N108</f>
        <v>187.45983087332772</v>
      </c>
      <c r="O110" s="748"/>
      <c r="P110" s="711"/>
      <c r="Q110" s="1084"/>
      <c r="R110" s="762"/>
      <c r="S110" s="762"/>
      <c r="T110" s="568"/>
      <c r="U110" s="762"/>
      <c r="V110" s="765"/>
      <c r="W110" s="542"/>
    </row>
    <row r="111" spans="1:23" ht="18.45">
      <c r="A111" s="2897"/>
      <c r="B111" s="726" t="s">
        <v>397</v>
      </c>
      <c r="C111" s="727"/>
      <c r="D111" s="727"/>
      <c r="E111" s="727"/>
      <c r="F111" s="728"/>
      <c r="G111" s="115"/>
      <c r="H111" s="1086">
        <f>SUM(AB37,AB39,AB40)/H108</f>
        <v>13.891187860080294</v>
      </c>
      <c r="I111" s="705"/>
      <c r="J111" s="707">
        <v>52.78586966721501</v>
      </c>
      <c r="K111" s="568">
        <f>(AB31+AB32)/K108</f>
        <v>28.152463822514672</v>
      </c>
      <c r="L111" s="748"/>
      <c r="M111" s="742">
        <v>0</v>
      </c>
      <c r="N111" s="568">
        <v>0</v>
      </c>
      <c r="O111" s="748"/>
      <c r="P111" s="742"/>
      <c r="Q111" s="1084"/>
      <c r="R111" s="762"/>
      <c r="S111" s="762"/>
      <c r="T111" s="568"/>
      <c r="U111" s="762"/>
      <c r="V111" s="762"/>
      <c r="W111" s="542"/>
    </row>
    <row r="112" spans="1:23" ht="18.45">
      <c r="A112" s="2898"/>
      <c r="B112" s="726" t="s">
        <v>398</v>
      </c>
      <c r="C112" s="727"/>
      <c r="D112" s="727"/>
      <c r="E112" s="727"/>
      <c r="F112" s="728"/>
      <c r="H112" s="569">
        <v>15</v>
      </c>
      <c r="I112" s="748"/>
      <c r="J112" s="748"/>
      <c r="K112" s="569">
        <v>15</v>
      </c>
      <c r="L112" s="748"/>
      <c r="M112" s="748"/>
      <c r="N112" s="569">
        <v>15</v>
      </c>
      <c r="O112" s="763"/>
      <c r="P112" s="763"/>
      <c r="Q112" s="1085"/>
      <c r="R112" s="762"/>
      <c r="S112" s="762"/>
      <c r="T112" s="569"/>
      <c r="U112" s="762"/>
      <c r="V112" s="762"/>
      <c r="W112" s="759"/>
    </row>
    <row r="113" spans="1:23" ht="14.9" customHeight="1">
      <c r="A113" s="2671" t="s">
        <v>380</v>
      </c>
      <c r="B113" s="2250" t="s">
        <v>376</v>
      </c>
      <c r="C113" s="2250"/>
      <c r="D113" s="2250"/>
      <c r="E113" s="2250"/>
      <c r="F113" s="728"/>
      <c r="H113" s="563">
        <v>20</v>
      </c>
      <c r="I113" s="763"/>
      <c r="J113" s="763"/>
      <c r="K113" s="563">
        <v>10</v>
      </c>
      <c r="L113" s="763"/>
      <c r="M113" s="763"/>
      <c r="N113" s="563">
        <v>1</v>
      </c>
      <c r="O113" s="762"/>
      <c r="P113" s="762"/>
      <c r="Q113" s="563"/>
      <c r="R113" s="762"/>
      <c r="S113" s="762"/>
      <c r="T113" s="563"/>
      <c r="U113" s="762"/>
      <c r="V113" s="762"/>
      <c r="W113" s="752"/>
    </row>
    <row r="114" spans="1:23">
      <c r="A114" s="2672"/>
      <c r="B114" s="2250" t="s">
        <v>377</v>
      </c>
      <c r="C114" s="2250"/>
      <c r="D114" s="2250"/>
      <c r="E114" s="2250"/>
      <c r="F114" s="728"/>
      <c r="H114" s="573">
        <v>0.01</v>
      </c>
      <c r="I114" s="1060"/>
      <c r="J114" s="1060"/>
      <c r="K114" s="573">
        <v>0.01</v>
      </c>
      <c r="L114" s="1060"/>
      <c r="M114" s="1060"/>
      <c r="N114" s="573">
        <v>0.01</v>
      </c>
      <c r="O114" s="1061"/>
      <c r="P114" s="1061"/>
      <c r="Q114" s="573"/>
      <c r="R114" s="1061"/>
      <c r="S114" s="1061"/>
      <c r="T114" s="573"/>
      <c r="U114" s="1061"/>
      <c r="V114" s="1061"/>
      <c r="W114" s="1062"/>
    </row>
    <row r="115" spans="1:23">
      <c r="A115" s="2672"/>
      <c r="B115" s="2250" t="s">
        <v>378</v>
      </c>
      <c r="C115" s="2250"/>
      <c r="D115" s="2250"/>
      <c r="E115" s="2250"/>
      <c r="F115" s="728"/>
      <c r="H115" s="568">
        <v>150</v>
      </c>
      <c r="I115" s="705"/>
      <c r="J115" s="705"/>
      <c r="K115" s="568">
        <v>150</v>
      </c>
      <c r="L115" s="1063"/>
      <c r="M115" s="1063"/>
      <c r="N115" s="568">
        <v>150</v>
      </c>
      <c r="O115" s="762"/>
      <c r="P115" s="762"/>
      <c r="Q115" s="564"/>
      <c r="R115" s="762"/>
      <c r="S115" s="762"/>
      <c r="T115" s="564"/>
      <c r="U115" s="762"/>
      <c r="V115" s="762"/>
      <c r="W115" s="753"/>
    </row>
    <row r="116" spans="1:23">
      <c r="A116" s="2672"/>
      <c r="B116" s="2250" t="s">
        <v>379</v>
      </c>
      <c r="C116" s="2250"/>
      <c r="D116" s="2250"/>
      <c r="E116" s="2250"/>
      <c r="F116" s="728"/>
      <c r="H116" s="568">
        <v>0</v>
      </c>
      <c r="I116" s="705"/>
      <c r="J116" s="705"/>
      <c r="K116" s="568">
        <v>0</v>
      </c>
      <c r="L116" s="1063"/>
      <c r="M116" s="1063"/>
      <c r="N116" s="568">
        <v>0</v>
      </c>
      <c r="O116" s="762"/>
      <c r="P116" s="762"/>
      <c r="Q116" s="564"/>
      <c r="R116" s="762"/>
      <c r="S116" s="762"/>
      <c r="T116" s="564"/>
      <c r="U116" s="762"/>
      <c r="V116" s="762"/>
      <c r="W116" s="753"/>
    </row>
    <row r="117" spans="1:23">
      <c r="A117" s="2673"/>
      <c r="B117" s="2250" t="s">
        <v>587</v>
      </c>
      <c r="C117" s="2250"/>
      <c r="D117" s="2250"/>
      <c r="E117" s="2250"/>
      <c r="F117" s="728"/>
      <c r="H117" s="766" t="s">
        <v>588</v>
      </c>
      <c r="I117" s="760"/>
      <c r="J117" s="760"/>
      <c r="K117" s="766" t="s">
        <v>588</v>
      </c>
      <c r="L117" s="760"/>
      <c r="M117" s="760"/>
      <c r="N117" s="766" t="s">
        <v>589</v>
      </c>
      <c r="O117" s="760"/>
      <c r="P117" s="760"/>
      <c r="Q117" s="766"/>
      <c r="R117" s="760"/>
      <c r="S117" s="760"/>
      <c r="T117" s="766"/>
      <c r="U117" s="760"/>
      <c r="V117" s="760"/>
      <c r="W117" s="761"/>
    </row>
    <row r="118" spans="1:23">
      <c r="A118" s="6"/>
      <c r="B118" s="6"/>
      <c r="C118" s="6"/>
      <c r="D118" s="6"/>
      <c r="E118" s="6"/>
      <c r="F118" s="6"/>
      <c r="G118" s="113"/>
      <c r="H118" s="116"/>
      <c r="I118" s="112"/>
      <c r="J118" s="113"/>
      <c r="K118" s="116"/>
      <c r="L118" s="6"/>
      <c r="M118" s="63"/>
      <c r="N118" s="118"/>
      <c r="O118" s="6"/>
      <c r="P118" s="63"/>
      <c r="Q118" s="60"/>
      <c r="S118" s="234"/>
      <c r="T118" s="65"/>
      <c r="V118" s="258"/>
      <c r="W118" s="65"/>
    </row>
    <row r="119" spans="1:23" ht="16.75">
      <c r="A119" s="1829" t="s">
        <v>603</v>
      </c>
      <c r="B119" s="1830"/>
      <c r="C119" s="1830"/>
      <c r="D119" s="1830"/>
      <c r="E119" s="1830"/>
      <c r="F119" s="1831"/>
      <c r="G119" s="1832"/>
      <c r="H119" s="1830"/>
      <c r="I119" s="597"/>
      <c r="J119" s="594"/>
      <c r="K119" s="596"/>
      <c r="L119" s="597"/>
      <c r="M119" s="594"/>
      <c r="N119" s="597"/>
      <c r="O119" s="594"/>
      <c r="P119" s="594"/>
      <c r="Q119" s="682"/>
      <c r="S119" s="235"/>
      <c r="T119" s="683"/>
      <c r="U119" s="594"/>
      <c r="V119" s="684"/>
      <c r="W119" s="683"/>
    </row>
    <row r="120" spans="1:23" ht="10.4" customHeight="1">
      <c r="A120" s="1833"/>
      <c r="B120" s="1834"/>
      <c r="C120" s="1835"/>
      <c r="D120" s="1835"/>
      <c r="E120" s="1835"/>
      <c r="F120" s="1831"/>
      <c r="G120" s="1832"/>
      <c r="H120" s="1836"/>
      <c r="I120" s="597"/>
      <c r="J120" s="1826"/>
      <c r="K120" s="1825"/>
      <c r="L120" s="597"/>
      <c r="M120" s="1826"/>
      <c r="N120" s="1825"/>
      <c r="O120" s="594"/>
      <c r="P120" s="1824"/>
      <c r="Q120" s="1825"/>
      <c r="R120" s="594"/>
      <c r="S120" s="1827"/>
      <c r="T120" s="1825"/>
      <c r="U120" s="594"/>
      <c r="V120" s="1828"/>
      <c r="W120" s="1825"/>
    </row>
    <row r="121" spans="1:23" ht="18.45">
      <c r="A121" s="6"/>
      <c r="B121" s="723" t="s">
        <v>5467</v>
      </c>
      <c r="C121" s="1806"/>
      <c r="D121" s="1806"/>
      <c r="E121" s="1806"/>
      <c r="F121" s="725"/>
      <c r="G121" s="119"/>
      <c r="H121" s="575" t="s">
        <v>5465</v>
      </c>
      <c r="I121" s="710"/>
      <c r="J121" s="764"/>
      <c r="K121" s="575" t="s">
        <v>5465</v>
      </c>
      <c r="L121" s="710"/>
      <c r="M121" s="764"/>
      <c r="N121" s="575" t="s">
        <v>5465</v>
      </c>
      <c r="O121" s="710"/>
      <c r="P121" s="582"/>
      <c r="Q121" s="576"/>
      <c r="R121" s="713"/>
      <c r="S121" s="773"/>
      <c r="T121" s="576"/>
      <c r="U121" s="713"/>
      <c r="V121" s="774"/>
      <c r="W121" s="576"/>
    </row>
    <row r="122" spans="1:23" ht="18.45">
      <c r="A122" s="6"/>
      <c r="B122" s="726" t="s">
        <v>5466</v>
      </c>
      <c r="C122" s="727"/>
      <c r="D122" s="727"/>
      <c r="E122" s="727"/>
      <c r="F122" s="728"/>
      <c r="G122" s="120">
        <v>35.047741961833388</v>
      </c>
      <c r="H122" s="804">
        <f>(AB87+AB89)/$H$95</f>
        <v>68518.335535384278</v>
      </c>
      <c r="I122" s="710"/>
      <c r="J122" s="775">
        <v>6.7028132992327363</v>
      </c>
      <c r="K122" s="1823">
        <f>AB86/$K$95</f>
        <v>13104</v>
      </c>
      <c r="L122" s="710"/>
      <c r="M122" s="775">
        <v>25.806827603933378</v>
      </c>
      <c r="N122" s="804">
        <f>AB88/$N$95</f>
        <v>146.23868975562249</v>
      </c>
      <c r="O122" s="710"/>
      <c r="P122" s="582"/>
      <c r="Q122" s="577"/>
      <c r="R122" s="713"/>
      <c r="S122" s="776"/>
      <c r="T122" s="577"/>
      <c r="U122" s="713"/>
      <c r="V122" s="777"/>
      <c r="W122" s="577"/>
    </row>
    <row r="123" spans="1:23">
      <c r="A123" s="6"/>
      <c r="B123" s="6" t="s">
        <v>82</v>
      </c>
      <c r="C123" s="6"/>
      <c r="D123" s="6"/>
      <c r="E123" s="6"/>
      <c r="F123" s="6"/>
      <c r="G123" s="133">
        <v>5.5705963849905903E-3</v>
      </c>
      <c r="H123" s="121">
        <f>(AB87/$H$21)+(AB89/$H$21)</f>
        <v>5.5705963849905903E-3</v>
      </c>
      <c r="I123" s="6"/>
      <c r="J123" s="133">
        <v>1.0653658536585366E-3</v>
      </c>
      <c r="K123" s="121">
        <f>AB86/H21</f>
        <v>1.0653658536585366E-3</v>
      </c>
      <c r="L123" s="6"/>
      <c r="M123" s="133">
        <v>4.1018169077796547E-3</v>
      </c>
      <c r="N123" s="121">
        <f>AB88/H21</f>
        <v>4.1018169077796547E-3</v>
      </c>
      <c r="O123" s="6"/>
      <c r="P123" s="6"/>
      <c r="Q123" s="121"/>
      <c r="S123" s="650"/>
      <c r="T123" s="121"/>
      <c r="V123" s="651"/>
      <c r="W123" s="121"/>
    </row>
    <row r="124" spans="1:23" s="62" customFormat="1" ht="15" customHeight="1">
      <c r="A124" s="6"/>
      <c r="B124" s="6"/>
      <c r="C124" s="6"/>
      <c r="D124" s="6"/>
      <c r="E124" s="6"/>
      <c r="F124" s="6"/>
      <c r="G124" s="133"/>
      <c r="H124" s="121"/>
      <c r="I124" s="6"/>
      <c r="J124" s="133"/>
      <c r="K124" s="121"/>
      <c r="L124" s="6"/>
      <c r="M124" s="133"/>
      <c r="N124" s="121"/>
      <c r="O124" s="6"/>
      <c r="P124" s="6"/>
      <c r="Q124" s="121"/>
      <c r="R124"/>
      <c r="S124" s="650"/>
      <c r="T124" s="121"/>
      <c r="U124"/>
      <c r="V124" s="651"/>
      <c r="W124" s="121"/>
    </row>
    <row r="125" spans="1:23" s="62" customFormat="1" ht="15" customHeight="1">
      <c r="A125" s="6"/>
      <c r="B125" s="6"/>
      <c r="C125" s="6"/>
      <c r="D125" s="6"/>
      <c r="E125" s="6"/>
      <c r="F125" s="6"/>
      <c r="G125" s="133"/>
      <c r="H125" s="121"/>
      <c r="I125" s="6"/>
      <c r="J125" s="133"/>
      <c r="K125" s="121"/>
      <c r="L125" s="6"/>
      <c r="M125" s="133"/>
      <c r="N125" s="121"/>
      <c r="O125" s="6"/>
      <c r="P125" s="6"/>
      <c r="Q125" s="121"/>
      <c r="R125"/>
      <c r="S125" s="650"/>
      <c r="T125" s="121"/>
      <c r="U125"/>
      <c r="V125" s="651"/>
      <c r="W125" s="121"/>
    </row>
    <row r="126" spans="1:23" s="62" customFormat="1" ht="15" customHeight="1">
      <c r="A126" s="6"/>
      <c r="B126" s="6"/>
      <c r="C126" s="6"/>
      <c r="D126" s="6"/>
      <c r="E126" s="6"/>
      <c r="F126" s="6"/>
      <c r="G126" s="133"/>
      <c r="H126" s="121"/>
      <c r="I126" s="6"/>
      <c r="J126" s="133"/>
      <c r="K126" s="121"/>
      <c r="L126" s="6"/>
      <c r="M126" s="133"/>
      <c r="N126" s="121"/>
      <c r="O126" s="6"/>
      <c r="P126" s="6"/>
      <c r="Q126" s="121"/>
      <c r="R126"/>
      <c r="S126" s="650"/>
      <c r="T126" s="121"/>
      <c r="U126"/>
      <c r="V126" s="651"/>
      <c r="W126" s="121"/>
    </row>
    <row r="127" spans="1:23" s="62" customFormat="1" ht="15" customHeight="1">
      <c r="A127" s="6"/>
      <c r="B127" s="6"/>
      <c r="C127" s="6"/>
      <c r="D127" s="6"/>
      <c r="E127" s="6"/>
      <c r="F127" s="6"/>
      <c r="G127" s="133"/>
      <c r="H127" s="121"/>
      <c r="I127" s="6"/>
      <c r="J127" s="133"/>
      <c r="K127" s="121"/>
      <c r="L127" s="6"/>
      <c r="M127" s="133"/>
      <c r="N127" s="121"/>
      <c r="O127" s="6"/>
      <c r="P127" s="6"/>
      <c r="Q127" s="121"/>
      <c r="R127"/>
      <c r="S127" s="650"/>
      <c r="T127" s="121"/>
      <c r="U127"/>
      <c r="V127" s="651"/>
      <c r="W127" s="121"/>
    </row>
    <row r="128" spans="1:23" s="62" customFormat="1" ht="15" customHeight="1">
      <c r="A128" s="6"/>
      <c r="B128" s="6"/>
      <c r="C128" s="6"/>
      <c r="D128" s="6"/>
      <c r="E128" s="6"/>
      <c r="F128" s="6"/>
      <c r="G128" s="6"/>
      <c r="H128" s="121"/>
      <c r="I128" s="6"/>
      <c r="J128" s="121"/>
      <c r="K128" s="121"/>
      <c r="L128" s="6"/>
      <c r="M128" s="666"/>
      <c r="N128" s="128"/>
      <c r="O128" s="6"/>
      <c r="P128" s="6"/>
      <c r="Q128" s="121"/>
      <c r="R128"/>
      <c r="S128"/>
      <c r="T128" s="121"/>
      <c r="U128"/>
      <c r="V128"/>
      <c r="W128" s="121"/>
    </row>
    <row r="129" spans="1:29" s="62" customFormat="1" ht="33.65" customHeight="1">
      <c r="A129" s="2318" t="s">
        <v>606</v>
      </c>
      <c r="B129" s="2318"/>
      <c r="C129" s="2318"/>
      <c r="D129" s="496"/>
      <c r="E129" s="496"/>
      <c r="F129" s="497"/>
      <c r="G129" s="498"/>
      <c r="H129" s="121"/>
      <c r="I129" s="6"/>
      <c r="J129" s="121"/>
      <c r="K129" s="121"/>
      <c r="L129" s="6"/>
      <c r="M129" s="666"/>
      <c r="N129" s="128"/>
      <c r="O129" s="6"/>
      <c r="P129" s="6"/>
      <c r="Q129" s="121"/>
      <c r="R129"/>
      <c r="S129"/>
      <c r="T129" s="121"/>
      <c r="U129"/>
      <c r="V129"/>
      <c r="W129" s="121"/>
    </row>
    <row r="130" spans="1:29" ht="22" customHeight="1">
      <c r="A130" s="2905" t="s">
        <v>615</v>
      </c>
      <c r="B130" s="2905"/>
      <c r="C130" s="2905"/>
      <c r="D130" s="2905"/>
      <c r="E130" s="2905"/>
      <c r="F130" s="2905"/>
      <c r="G130" s="2905"/>
      <c r="H130" s="601"/>
      <c r="I130" s="602"/>
      <c r="J130" s="602"/>
      <c r="K130" s="601"/>
      <c r="L130" s="602"/>
      <c r="M130" s="602"/>
      <c r="N130" s="685"/>
      <c r="O130" s="594"/>
      <c r="P130" s="686"/>
      <c r="Q130" s="687"/>
      <c r="R130" s="594"/>
      <c r="S130" s="594"/>
      <c r="T130" s="594"/>
      <c r="U130" s="594"/>
      <c r="V130" s="594"/>
      <c r="W130" s="594"/>
      <c r="AA130" s="594"/>
      <c r="AB130" s="594"/>
      <c r="AC130" s="594"/>
    </row>
    <row r="131" spans="1:29" ht="18.45">
      <c r="A131" s="1"/>
      <c r="B131" s="502"/>
      <c r="C131" s="50"/>
      <c r="D131" s="50"/>
      <c r="E131" s="50"/>
      <c r="G131" s="13"/>
      <c r="H131" s="60"/>
      <c r="I131" s="6"/>
      <c r="J131" s="65"/>
      <c r="K131" s="60"/>
      <c r="L131" s="6"/>
      <c r="M131" s="65"/>
      <c r="N131" s="60"/>
      <c r="P131" s="66"/>
      <c r="Q131" s="788"/>
      <c r="T131" s="788"/>
      <c r="W131" s="788"/>
    </row>
    <row r="132" spans="1:29" ht="18.45">
      <c r="A132" s="1"/>
      <c r="B132" s="502"/>
      <c r="C132" s="50"/>
      <c r="D132" s="50"/>
      <c r="E132" s="50"/>
      <c r="G132" s="13"/>
      <c r="H132" s="60"/>
      <c r="I132" s="6"/>
      <c r="J132" s="65"/>
      <c r="K132" s="60"/>
      <c r="L132" s="6"/>
      <c r="M132" s="65"/>
      <c r="N132" s="60"/>
      <c r="P132" s="66"/>
      <c r="Q132" s="788"/>
      <c r="T132" s="788"/>
      <c r="W132" s="788"/>
    </row>
    <row r="133" spans="1:29" ht="30" customHeight="1">
      <c r="A133" s="1"/>
      <c r="B133" s="2903" t="s">
        <v>207</v>
      </c>
      <c r="C133" s="2903"/>
      <c r="D133" s="2903"/>
      <c r="E133" s="2903"/>
      <c r="G133" s="13"/>
      <c r="H133" s="792">
        <v>0</v>
      </c>
      <c r="I133" s="710"/>
      <c r="J133" s="711"/>
      <c r="K133" s="579">
        <v>1</v>
      </c>
      <c r="L133" s="710"/>
      <c r="M133" s="711"/>
      <c r="N133" s="579">
        <v>1</v>
      </c>
      <c r="O133" s="713"/>
      <c r="P133" s="714"/>
      <c r="Q133" s="579">
        <v>0</v>
      </c>
      <c r="R133" s="762"/>
      <c r="S133" s="762"/>
      <c r="T133" s="579"/>
      <c r="U133" s="762"/>
      <c r="V133" s="762"/>
      <c r="W133" s="579"/>
    </row>
    <row r="134" spans="1:29"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AA134" s="679"/>
      <c r="AB134" s="679"/>
      <c r="AC134" s="679"/>
    </row>
    <row r="135" spans="1:29">
      <c r="A135" s="252"/>
      <c r="B135" s="2903" t="s">
        <v>731</v>
      </c>
      <c r="C135" s="2903"/>
      <c r="D135" s="2903"/>
      <c r="E135" s="2903"/>
      <c r="F135" s="6"/>
      <c r="G135" s="65"/>
      <c r="H135" s="793"/>
      <c r="I135" s="710"/>
      <c r="J135" s="711"/>
      <c r="K135" s="581">
        <v>1</v>
      </c>
      <c r="L135" s="708"/>
      <c r="M135" s="709"/>
      <c r="N135" s="581">
        <v>1</v>
      </c>
      <c r="O135" s="710"/>
      <c r="P135" s="712"/>
      <c r="Q135" s="581"/>
      <c r="R135" s="762"/>
      <c r="S135" s="762"/>
      <c r="T135" s="581"/>
      <c r="U135" s="762"/>
      <c r="V135" s="762"/>
      <c r="W135" s="581"/>
    </row>
    <row r="136" spans="1:29">
      <c r="A136" s="252"/>
      <c r="B136" s="2903" t="s">
        <v>626</v>
      </c>
      <c r="C136" s="2903"/>
      <c r="D136" s="2903"/>
      <c r="E136" s="2903"/>
      <c r="F136" s="6"/>
      <c r="G136" s="65"/>
      <c r="H136" s="480"/>
      <c r="I136" s="710"/>
      <c r="J136" s="711" t="s">
        <v>38</v>
      </c>
      <c r="K136" s="526" t="s">
        <v>279</v>
      </c>
      <c r="L136" s="710"/>
      <c r="M136" s="711" t="s">
        <v>38</v>
      </c>
      <c r="N136" s="526" t="s">
        <v>279</v>
      </c>
      <c r="O136" s="710"/>
      <c r="P136" s="712"/>
      <c r="Q136" s="526"/>
      <c r="R136" s="762"/>
      <c r="S136" s="762"/>
      <c r="T136" s="526"/>
      <c r="U136" s="762"/>
      <c r="V136" s="762"/>
      <c r="W136" s="526"/>
    </row>
    <row r="137" spans="1:29">
      <c r="A137" s="252"/>
      <c r="B137" s="2903" t="s">
        <v>725</v>
      </c>
      <c r="C137" s="2903"/>
      <c r="D137" s="2903"/>
      <c r="E137" s="2903"/>
      <c r="F137" s="6"/>
      <c r="G137" s="65"/>
      <c r="H137" s="794"/>
      <c r="I137" s="710"/>
      <c r="J137" s="711"/>
      <c r="K137" s="561" t="s">
        <v>218</v>
      </c>
      <c r="L137" s="710"/>
      <c r="M137" s="711"/>
      <c r="N137" s="561" t="s">
        <v>218</v>
      </c>
      <c r="O137" s="710"/>
      <c r="P137" s="712"/>
      <c r="Q137" s="561"/>
      <c r="R137" s="762"/>
      <c r="S137" s="762"/>
      <c r="T137" s="561"/>
      <c r="U137" s="762"/>
      <c r="V137" s="762"/>
      <c r="W137" s="561"/>
    </row>
    <row r="138" spans="1:29">
      <c r="A138" s="252"/>
      <c r="B138" s="2904" t="s">
        <v>726</v>
      </c>
      <c r="C138" s="2904"/>
      <c r="D138" s="2904"/>
      <c r="E138" s="2904"/>
      <c r="F138" s="6"/>
      <c r="G138" s="65"/>
      <c r="H138" s="480"/>
      <c r="I138" s="710"/>
      <c r="J138" s="711"/>
      <c r="K138" s="526" t="s">
        <v>221</v>
      </c>
      <c r="L138" s="710"/>
      <c r="M138" s="711"/>
      <c r="N138" s="526" t="s">
        <v>221</v>
      </c>
      <c r="O138" s="710"/>
      <c r="P138" s="712"/>
      <c r="Q138" s="526"/>
      <c r="R138" s="762"/>
      <c r="S138" s="762"/>
      <c r="T138" s="526"/>
      <c r="U138" s="762"/>
      <c r="V138" s="762"/>
      <c r="W138" s="526"/>
    </row>
    <row r="139" spans="1:29">
      <c r="A139" s="252"/>
      <c r="B139" s="2904" t="s">
        <v>727</v>
      </c>
      <c r="C139" s="2904"/>
      <c r="D139" s="2904"/>
      <c r="E139" s="2904"/>
      <c r="F139" s="6"/>
      <c r="G139" s="65"/>
      <c r="H139" s="795"/>
      <c r="I139" s="710"/>
      <c r="J139" s="711"/>
      <c r="K139" s="568">
        <v>1</v>
      </c>
      <c r="L139" s="710"/>
      <c r="M139" s="711"/>
      <c r="N139" s="568">
        <v>1</v>
      </c>
      <c r="O139" s="710"/>
      <c r="P139" s="712"/>
      <c r="Q139" s="568"/>
      <c r="R139" s="762"/>
      <c r="S139" s="762"/>
      <c r="T139" s="568"/>
      <c r="U139" s="762"/>
      <c r="V139" s="762"/>
      <c r="W139" s="568"/>
    </row>
    <row r="140" spans="1:29">
      <c r="A140" s="252"/>
      <c r="B140" s="2903" t="s">
        <v>732</v>
      </c>
      <c r="C140" s="2903"/>
      <c r="D140" s="2903"/>
      <c r="E140" s="2903"/>
      <c r="F140" s="6"/>
      <c r="G140" s="65"/>
      <c r="H140" s="480"/>
      <c r="I140" s="710"/>
      <c r="J140" s="711">
        <v>1</v>
      </c>
      <c r="K140" s="526">
        <v>1</v>
      </c>
      <c r="L140" s="710"/>
      <c r="M140" s="711">
        <v>1.5</v>
      </c>
      <c r="N140" s="526">
        <v>1.5</v>
      </c>
      <c r="O140" s="710"/>
      <c r="P140" s="712"/>
      <c r="Q140" s="526"/>
      <c r="R140" s="762"/>
      <c r="S140" s="762"/>
      <c r="T140" s="526"/>
      <c r="U140" s="762"/>
      <c r="V140" s="762"/>
      <c r="W140" s="526"/>
    </row>
    <row r="141" spans="1:29">
      <c r="A141" s="252"/>
      <c r="B141" s="2903" t="s">
        <v>728</v>
      </c>
      <c r="C141" s="2903"/>
      <c r="D141" s="2903"/>
      <c r="E141" s="2903"/>
      <c r="F141" s="6"/>
      <c r="G141" s="65"/>
      <c r="H141" s="796"/>
      <c r="I141" s="710"/>
      <c r="J141" s="711"/>
      <c r="K141" s="619">
        <v>0</v>
      </c>
      <c r="L141" s="710"/>
      <c r="M141" s="711"/>
      <c r="N141" s="619">
        <v>0</v>
      </c>
      <c r="O141" s="710"/>
      <c r="P141" s="712"/>
      <c r="Q141" s="1080"/>
      <c r="R141" s="762"/>
      <c r="S141" s="762"/>
      <c r="T141" s="619"/>
      <c r="U141" s="762"/>
      <c r="V141" s="762"/>
      <c r="W141" s="619"/>
    </row>
    <row r="142" spans="1:29">
      <c r="A142" s="252"/>
      <c r="B142" s="2903" t="s">
        <v>728</v>
      </c>
      <c r="C142" s="2903"/>
      <c r="D142" s="2903"/>
      <c r="E142" s="2903"/>
      <c r="F142" s="6"/>
      <c r="G142" s="65"/>
      <c r="H142" s="796"/>
      <c r="I142" s="710"/>
      <c r="J142" s="711"/>
      <c r="K142" s="619">
        <v>0</v>
      </c>
      <c r="L142" s="710"/>
      <c r="M142" s="711"/>
      <c r="N142" s="619">
        <v>0</v>
      </c>
      <c r="O142" s="710"/>
      <c r="P142" s="712"/>
      <c r="Q142" s="1080"/>
      <c r="R142" s="762"/>
      <c r="S142" s="762"/>
      <c r="T142" s="619"/>
      <c r="U142" s="762"/>
      <c r="V142" s="762"/>
      <c r="W142" s="619"/>
    </row>
    <row r="143" spans="1:29">
      <c r="A143" s="252"/>
      <c r="B143" s="2903" t="s">
        <v>253</v>
      </c>
      <c r="C143" s="2903"/>
      <c r="D143" s="2903"/>
      <c r="E143" s="2903"/>
      <c r="F143" s="6"/>
      <c r="G143" s="65"/>
      <c r="H143" s="480"/>
      <c r="I143" s="710"/>
      <c r="J143" s="711"/>
      <c r="K143" s="526" t="s">
        <v>132</v>
      </c>
      <c r="L143" s="710"/>
      <c r="M143" s="711"/>
      <c r="N143" s="526" t="s">
        <v>131</v>
      </c>
      <c r="O143" s="710"/>
      <c r="P143" s="712"/>
      <c r="Q143" s="526"/>
      <c r="R143" s="762"/>
      <c r="S143" s="762"/>
      <c r="T143" s="526"/>
      <c r="U143" s="762"/>
      <c r="V143" s="762"/>
      <c r="W143" s="526"/>
    </row>
    <row r="144" spans="1:29">
      <c r="A144" s="252"/>
      <c r="B144" s="2904" t="s">
        <v>244</v>
      </c>
      <c r="C144" s="2904"/>
      <c r="D144" s="2904"/>
      <c r="E144" s="2904"/>
      <c r="F144" s="6"/>
      <c r="G144" s="65"/>
      <c r="H144" s="480"/>
      <c r="I144" s="748"/>
      <c r="J144" s="711">
        <v>1</v>
      </c>
      <c r="K144" s="526">
        <v>2</v>
      </c>
      <c r="L144" s="748"/>
      <c r="M144" s="711">
        <v>2</v>
      </c>
      <c r="N144" s="526">
        <v>2</v>
      </c>
      <c r="O144" s="710"/>
      <c r="P144" s="582"/>
      <c r="Q144" s="526"/>
      <c r="R144" s="762"/>
      <c r="S144" s="762"/>
      <c r="T144" s="526"/>
      <c r="U144" s="762"/>
      <c r="V144" s="762"/>
      <c r="W144" s="526"/>
    </row>
    <row r="145" spans="1:29">
      <c r="A145" s="252"/>
      <c r="B145" s="2903" t="s">
        <v>683</v>
      </c>
      <c r="C145" s="2903"/>
      <c r="D145" s="2903"/>
      <c r="E145" s="2903"/>
      <c r="F145" s="6"/>
      <c r="G145" s="63"/>
      <c r="H145" s="480"/>
      <c r="I145" s="713"/>
      <c r="J145" s="713"/>
      <c r="K145" s="526" t="s">
        <v>22</v>
      </c>
      <c r="L145" s="713"/>
      <c r="M145" s="713"/>
      <c r="N145" s="526" t="s">
        <v>22</v>
      </c>
      <c r="O145" s="713"/>
      <c r="P145" s="713"/>
      <c r="Q145" s="526"/>
      <c r="R145" s="762"/>
      <c r="S145" s="762"/>
      <c r="T145" s="526"/>
      <c r="U145" s="762"/>
      <c r="V145" s="762"/>
      <c r="W145" s="526"/>
    </row>
    <row r="146" spans="1:29">
      <c r="A146" s="252"/>
      <c r="B146" s="2903" t="s">
        <v>246</v>
      </c>
      <c r="C146" s="2903"/>
      <c r="D146" s="2903"/>
      <c r="E146" s="2903"/>
      <c r="H146" s="480"/>
      <c r="I146" s="748"/>
      <c r="J146" s="711">
        <v>0</v>
      </c>
      <c r="K146" s="526">
        <v>0</v>
      </c>
      <c r="L146" s="748"/>
      <c r="M146" s="711">
        <v>0</v>
      </c>
      <c r="N146" s="526">
        <v>0</v>
      </c>
      <c r="O146" s="710"/>
      <c r="P146" s="582"/>
      <c r="Q146" s="526"/>
      <c r="R146" s="762"/>
      <c r="S146" s="762"/>
      <c r="T146" s="526"/>
      <c r="U146" s="762"/>
      <c r="V146" s="762"/>
      <c r="W146" s="526"/>
    </row>
    <row r="147" spans="1:29">
      <c r="A147" s="252"/>
      <c r="B147" s="2904" t="s">
        <v>247</v>
      </c>
      <c r="C147" s="2904"/>
      <c r="D147" s="2904"/>
      <c r="E147" s="2904"/>
      <c r="F147" s="6"/>
      <c r="G147" s="63"/>
      <c r="H147" s="480"/>
      <c r="I147" s="748"/>
      <c r="J147" s="711"/>
      <c r="K147" s="526"/>
      <c r="L147" s="748"/>
      <c r="M147" s="711"/>
      <c r="N147" s="526"/>
      <c r="O147" s="710"/>
      <c r="P147" s="582"/>
      <c r="Q147" s="526"/>
      <c r="R147" s="762"/>
      <c r="S147" s="762"/>
      <c r="T147" s="526"/>
      <c r="U147" s="762"/>
      <c r="V147" s="762"/>
      <c r="W147" s="526"/>
    </row>
    <row r="148" spans="1:29">
      <c r="A148" s="252"/>
      <c r="B148" s="2903" t="s">
        <v>248</v>
      </c>
      <c r="C148" s="2903"/>
      <c r="D148" s="2903"/>
      <c r="E148" s="2903"/>
      <c r="F148" s="6"/>
      <c r="G148" s="63"/>
      <c r="H148" s="480"/>
      <c r="I148" s="748"/>
      <c r="J148" s="711">
        <v>1</v>
      </c>
      <c r="K148" s="526">
        <v>60</v>
      </c>
      <c r="L148" s="748"/>
      <c r="M148" s="711">
        <v>0.25</v>
      </c>
      <c r="N148" s="526">
        <v>20</v>
      </c>
      <c r="O148" s="710"/>
      <c r="P148" s="582"/>
      <c r="Q148" s="526"/>
      <c r="R148" s="762"/>
      <c r="S148" s="762"/>
      <c r="T148" s="526"/>
      <c r="U148" s="762"/>
      <c r="V148" s="762"/>
      <c r="W148" s="526"/>
    </row>
    <row r="149" spans="1:29">
      <c r="A149" s="252"/>
      <c r="B149" s="2903" t="s">
        <v>243</v>
      </c>
      <c r="C149" s="2903"/>
      <c r="D149" s="2903"/>
      <c r="E149" s="2903"/>
      <c r="F149" s="6"/>
      <c r="G149" s="63"/>
      <c r="H149" s="480"/>
      <c r="I149" s="748"/>
      <c r="J149" s="748"/>
      <c r="K149" s="526">
        <v>0</v>
      </c>
      <c r="L149" s="748"/>
      <c r="M149" s="748"/>
      <c r="N149" s="526">
        <v>0</v>
      </c>
      <c r="O149" s="710"/>
      <c r="P149" s="710"/>
      <c r="Q149" s="526"/>
      <c r="R149" s="762"/>
      <c r="S149" s="762"/>
      <c r="T149" s="526"/>
      <c r="U149" s="762"/>
      <c r="V149" s="762"/>
      <c r="W149" s="526"/>
    </row>
    <row r="150" spans="1:29">
      <c r="A150" s="252"/>
      <c r="B150" s="2903" t="s">
        <v>249</v>
      </c>
      <c r="C150" s="2903"/>
      <c r="D150" s="2903"/>
      <c r="E150" s="2903"/>
      <c r="F150" s="6"/>
      <c r="G150" s="63"/>
      <c r="H150" s="480"/>
      <c r="I150" s="748"/>
      <c r="J150" s="748"/>
      <c r="K150" s="526">
        <v>0</v>
      </c>
      <c r="L150" s="748"/>
      <c r="M150" s="748"/>
      <c r="N150" s="526">
        <v>0</v>
      </c>
      <c r="O150" s="710"/>
      <c r="P150" s="710"/>
      <c r="Q150" s="526"/>
      <c r="R150" s="762"/>
      <c r="S150" s="762"/>
      <c r="T150" s="526"/>
      <c r="U150" s="762"/>
      <c r="V150" s="762"/>
      <c r="W150" s="526"/>
    </row>
    <row r="151" spans="1:29" ht="15.75" customHeight="1">
      <c r="A151" s="252"/>
      <c r="B151" s="2903" t="s">
        <v>650</v>
      </c>
      <c r="C151" s="2903"/>
      <c r="D151" s="2903"/>
      <c r="E151" s="2903"/>
      <c r="F151" s="6"/>
      <c r="G151" s="63"/>
      <c r="H151" s="480"/>
      <c r="I151" s="748"/>
      <c r="J151" s="748">
        <v>100</v>
      </c>
      <c r="K151" s="526">
        <v>100</v>
      </c>
      <c r="L151" s="748"/>
      <c r="M151" s="748">
        <v>25</v>
      </c>
      <c r="N151" s="526">
        <v>25</v>
      </c>
      <c r="O151" s="710"/>
      <c r="P151" s="710"/>
      <c r="Q151" s="526"/>
      <c r="R151" s="748"/>
      <c r="S151" s="748"/>
      <c r="T151" s="526"/>
      <c r="U151" s="748"/>
      <c r="V151" s="748"/>
      <c r="W151" s="526"/>
    </row>
    <row r="152" spans="1:29" ht="15.75" customHeight="1">
      <c r="A152" s="252"/>
      <c r="B152" s="2903" t="s">
        <v>651</v>
      </c>
      <c r="C152" s="2903"/>
      <c r="D152" s="2903"/>
      <c r="E152" s="2903"/>
      <c r="F152" s="6"/>
      <c r="G152" s="63"/>
      <c r="H152" s="797"/>
      <c r="I152" s="748"/>
      <c r="J152" s="711"/>
      <c r="K152" s="562">
        <v>100</v>
      </c>
      <c r="L152" s="748"/>
      <c r="M152" s="711"/>
      <c r="N152" s="562">
        <v>100</v>
      </c>
      <c r="O152" s="710"/>
      <c r="P152" s="582"/>
      <c r="Q152" s="562"/>
      <c r="R152" s="762"/>
      <c r="S152" s="762"/>
      <c r="T152" s="562"/>
      <c r="U152" s="762"/>
      <c r="V152" s="762"/>
      <c r="W152" s="562"/>
    </row>
    <row r="153" spans="1:29" ht="15.75" customHeight="1">
      <c r="A153" s="237"/>
      <c r="B153" s="2903" t="s">
        <v>684</v>
      </c>
      <c r="C153" s="2903"/>
      <c r="D153" s="2903"/>
      <c r="E153" s="2903"/>
      <c r="F153" s="6"/>
      <c r="G153" s="6"/>
      <c r="H153" s="798"/>
      <c r="I153" s="748"/>
      <c r="J153" s="748"/>
      <c r="K153" s="586" t="s">
        <v>5</v>
      </c>
      <c r="L153" s="748"/>
      <c r="M153" s="748"/>
      <c r="N153" s="586" t="s">
        <v>5</v>
      </c>
      <c r="O153" s="710"/>
      <c r="P153" s="710"/>
      <c r="Q153" s="586"/>
      <c r="R153" s="762"/>
      <c r="S153" s="762"/>
      <c r="T153" s="586"/>
      <c r="U153" s="762"/>
      <c r="V153" s="762"/>
      <c r="W153" s="586"/>
    </row>
    <row r="154" spans="1:29" ht="15.75"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AA154" s="679"/>
      <c r="AB154" s="679"/>
      <c r="AC154" s="679"/>
    </row>
    <row r="155" spans="1:29" ht="15.75" customHeight="1">
      <c r="A155" s="252"/>
      <c r="B155" s="2903" t="s">
        <v>731</v>
      </c>
      <c r="C155" s="2903"/>
      <c r="D155" s="2903"/>
      <c r="E155" s="2903"/>
      <c r="F155" s="6"/>
      <c r="G155" s="65"/>
      <c r="H155" s="799"/>
      <c r="I155" s="710"/>
      <c r="J155" s="711"/>
      <c r="K155" s="628"/>
      <c r="L155" s="708"/>
      <c r="M155" s="709"/>
      <c r="N155" s="628"/>
      <c r="O155" s="710"/>
      <c r="P155" s="712"/>
      <c r="Q155" s="628"/>
      <c r="R155" s="762"/>
      <c r="S155" s="762"/>
      <c r="T155" s="628"/>
      <c r="U155" s="762"/>
      <c r="V155" s="762"/>
      <c r="W155" s="628"/>
    </row>
    <row r="156" spans="1:29" ht="15.75" customHeight="1">
      <c r="A156" s="252"/>
      <c r="B156" s="2903" t="s">
        <v>626</v>
      </c>
      <c r="C156" s="2903"/>
      <c r="D156" s="2903"/>
      <c r="E156" s="2903"/>
      <c r="F156" s="6"/>
      <c r="G156" s="65"/>
      <c r="H156" s="480"/>
      <c r="I156" s="710"/>
      <c r="J156" s="711"/>
      <c r="K156" s="526"/>
      <c r="L156" s="710"/>
      <c r="M156" s="711" t="s">
        <v>37</v>
      </c>
      <c r="N156" s="526"/>
      <c r="O156" s="710"/>
      <c r="P156" s="712"/>
      <c r="Q156" s="526"/>
      <c r="R156" s="762"/>
      <c r="S156" s="762"/>
      <c r="T156" s="526"/>
      <c r="U156" s="762"/>
      <c r="V156" s="762"/>
      <c r="W156" s="526"/>
    </row>
    <row r="157" spans="1:29" ht="15.75" customHeight="1">
      <c r="A157" s="252"/>
      <c r="B157" s="2903" t="s">
        <v>725</v>
      </c>
      <c r="C157" s="2903"/>
      <c r="D157" s="2903"/>
      <c r="E157" s="2903"/>
      <c r="F157" s="6"/>
      <c r="G157" s="63"/>
      <c r="H157" s="794"/>
      <c r="I157" s="748"/>
      <c r="J157" s="711"/>
      <c r="K157" s="561"/>
      <c r="L157" s="748"/>
      <c r="M157" s="711"/>
      <c r="N157" s="561"/>
      <c r="O157" s="710"/>
      <c r="P157" s="582"/>
      <c r="Q157" s="561"/>
      <c r="R157" s="762"/>
      <c r="S157" s="762"/>
      <c r="T157" s="561"/>
      <c r="U157" s="762"/>
      <c r="V157" s="762"/>
      <c r="W157" s="561"/>
    </row>
    <row r="158" spans="1:29" ht="15.75" customHeight="1">
      <c r="A158" s="252"/>
      <c r="B158" s="2904" t="s">
        <v>726</v>
      </c>
      <c r="C158" s="2904"/>
      <c r="D158" s="2904"/>
      <c r="E158" s="2904"/>
      <c r="F158" s="6"/>
      <c r="G158" s="63"/>
      <c r="H158" s="480"/>
      <c r="I158" s="748"/>
      <c r="J158" s="711"/>
      <c r="K158" s="526"/>
      <c r="L158" s="748"/>
      <c r="M158" s="711"/>
      <c r="N158" s="526"/>
      <c r="O158" s="710"/>
      <c r="P158" s="582"/>
      <c r="Q158" s="526"/>
      <c r="R158" s="762"/>
      <c r="S158" s="762"/>
      <c r="T158" s="526"/>
      <c r="U158" s="762"/>
      <c r="V158" s="762"/>
      <c r="W158" s="526"/>
    </row>
    <row r="159" spans="1:29" ht="15.75" customHeight="1">
      <c r="A159" s="252"/>
      <c r="B159" s="2904" t="s">
        <v>727</v>
      </c>
      <c r="C159" s="2904"/>
      <c r="D159" s="2904"/>
      <c r="E159" s="2904"/>
      <c r="F159" s="6"/>
      <c r="G159" s="63"/>
      <c r="H159" s="795"/>
      <c r="I159" s="748"/>
      <c r="J159" s="711"/>
      <c r="K159" s="568"/>
      <c r="L159" s="748"/>
      <c r="M159" s="711"/>
      <c r="N159" s="568"/>
      <c r="O159" s="710"/>
      <c r="P159" s="582"/>
      <c r="Q159" s="568"/>
      <c r="R159" s="762"/>
      <c r="S159" s="762"/>
      <c r="T159" s="568"/>
      <c r="U159" s="762"/>
      <c r="V159" s="762"/>
      <c r="W159" s="568"/>
    </row>
    <row r="160" spans="1:29" ht="15.75" customHeight="1">
      <c r="A160" s="252"/>
      <c r="B160" s="2903" t="s">
        <v>732</v>
      </c>
      <c r="C160" s="2903"/>
      <c r="D160" s="2903"/>
      <c r="E160" s="2903"/>
      <c r="F160" s="6"/>
      <c r="G160" s="65"/>
      <c r="H160" s="480"/>
      <c r="I160" s="710"/>
      <c r="J160" s="711"/>
      <c r="K160" s="526"/>
      <c r="L160" s="710"/>
      <c r="M160" s="711">
        <v>4</v>
      </c>
      <c r="N160" s="526"/>
      <c r="O160" s="710"/>
      <c r="P160" s="712"/>
      <c r="Q160" s="526"/>
      <c r="R160" s="762"/>
      <c r="S160" s="762"/>
      <c r="T160" s="526"/>
      <c r="U160" s="762"/>
      <c r="V160" s="762"/>
      <c r="W160" s="526"/>
    </row>
    <row r="161" spans="1:29" ht="15.75" customHeight="1">
      <c r="A161" s="252"/>
      <c r="B161" s="2903" t="s">
        <v>728</v>
      </c>
      <c r="C161" s="2903"/>
      <c r="D161" s="2903"/>
      <c r="E161" s="2903"/>
      <c r="F161" s="6"/>
      <c r="G161" s="65"/>
      <c r="H161" s="796"/>
      <c r="I161" s="710"/>
      <c r="J161" s="711"/>
      <c r="K161" s="619"/>
      <c r="L161" s="710"/>
      <c r="M161" s="711"/>
      <c r="N161" s="619"/>
      <c r="O161" s="710"/>
      <c r="P161" s="712"/>
      <c r="Q161" s="1080"/>
      <c r="R161" s="762"/>
      <c r="S161" s="762"/>
      <c r="T161" s="619"/>
      <c r="U161" s="762"/>
      <c r="V161" s="762"/>
      <c r="W161" s="619"/>
    </row>
    <row r="162" spans="1:29" ht="15.75" customHeight="1">
      <c r="A162" s="252"/>
      <c r="B162" s="2903" t="s">
        <v>728</v>
      </c>
      <c r="C162" s="2903"/>
      <c r="D162" s="2903"/>
      <c r="E162" s="2903"/>
      <c r="F162" s="6"/>
      <c r="G162" s="65"/>
      <c r="H162" s="796"/>
      <c r="I162" s="710"/>
      <c r="J162" s="711"/>
      <c r="K162" s="619"/>
      <c r="L162" s="710"/>
      <c r="M162" s="711"/>
      <c r="N162" s="619"/>
      <c r="O162" s="710"/>
      <c r="P162" s="712"/>
      <c r="Q162" s="1080"/>
      <c r="R162" s="762"/>
      <c r="S162" s="762"/>
      <c r="T162" s="619"/>
      <c r="U162" s="762"/>
      <c r="V162" s="762"/>
      <c r="W162" s="619"/>
    </row>
    <row r="163" spans="1:29" ht="15.75" customHeight="1">
      <c r="A163" s="252"/>
      <c r="B163" s="2903" t="s">
        <v>253</v>
      </c>
      <c r="C163" s="2903"/>
      <c r="D163" s="2903"/>
      <c r="E163" s="2903"/>
      <c r="F163" s="6"/>
      <c r="G163" s="65"/>
      <c r="H163" s="480"/>
      <c r="I163" s="710"/>
      <c r="J163" s="711"/>
      <c r="K163" s="526"/>
      <c r="L163" s="710"/>
      <c r="M163" s="711"/>
      <c r="N163" s="526"/>
      <c r="O163" s="710"/>
      <c r="P163" s="712"/>
      <c r="Q163" s="526"/>
      <c r="R163" s="762"/>
      <c r="S163" s="762"/>
      <c r="T163" s="526"/>
      <c r="U163" s="762"/>
      <c r="V163" s="762"/>
      <c r="W163" s="526"/>
    </row>
    <row r="164" spans="1:29" ht="15.75" customHeight="1">
      <c r="A164" s="252"/>
      <c r="B164" s="2904" t="s">
        <v>244</v>
      </c>
      <c r="C164" s="2904"/>
      <c r="D164" s="2904"/>
      <c r="E164" s="2904"/>
      <c r="F164" s="6"/>
      <c r="G164" s="65"/>
      <c r="H164" s="480"/>
      <c r="I164" s="748"/>
      <c r="J164" s="711">
        <v>1</v>
      </c>
      <c r="K164" s="526"/>
      <c r="L164" s="748"/>
      <c r="M164" s="711">
        <v>2</v>
      </c>
      <c r="N164" s="526"/>
      <c r="O164" s="710"/>
      <c r="P164" s="582"/>
      <c r="Q164" s="526"/>
      <c r="R164" s="762"/>
      <c r="S164" s="762"/>
      <c r="T164" s="526"/>
      <c r="U164" s="762"/>
      <c r="V164" s="762"/>
      <c r="W164" s="526"/>
    </row>
    <row r="165" spans="1:29" ht="15.75" customHeight="1">
      <c r="A165" s="252"/>
      <c r="B165" s="2903" t="s">
        <v>683</v>
      </c>
      <c r="C165" s="2903"/>
      <c r="D165" s="2903"/>
      <c r="E165" s="2903"/>
      <c r="F165" s="6"/>
      <c r="G165" s="65"/>
      <c r="H165" s="480"/>
      <c r="I165" s="710"/>
      <c r="J165" s="711"/>
      <c r="K165" s="526"/>
      <c r="L165" s="710"/>
      <c r="M165" s="711"/>
      <c r="N165" s="526"/>
      <c r="O165" s="710"/>
      <c r="P165" s="712"/>
      <c r="Q165" s="526"/>
      <c r="R165" s="762"/>
      <c r="S165" s="762"/>
      <c r="T165" s="526"/>
      <c r="U165" s="762"/>
      <c r="V165" s="762"/>
      <c r="W165" s="526"/>
    </row>
    <row r="166" spans="1:29" ht="15.75" customHeight="1">
      <c r="A166" s="252"/>
      <c r="B166" s="2903" t="s">
        <v>246</v>
      </c>
      <c r="C166" s="2903"/>
      <c r="D166" s="2903"/>
      <c r="E166" s="2903"/>
      <c r="F166" s="6"/>
      <c r="G166" s="65"/>
      <c r="H166" s="480"/>
      <c r="I166" s="710"/>
      <c r="J166" s="711"/>
      <c r="K166" s="526"/>
      <c r="L166" s="710"/>
      <c r="M166" s="711"/>
      <c r="N166" s="526"/>
      <c r="O166" s="710"/>
      <c r="P166" s="712"/>
      <c r="Q166" s="526"/>
      <c r="R166" s="762"/>
      <c r="S166" s="762"/>
      <c r="T166" s="526"/>
      <c r="U166" s="762"/>
      <c r="V166" s="762"/>
      <c r="W166" s="526"/>
    </row>
    <row r="167" spans="1:29" ht="15.75" customHeight="1">
      <c r="A167" s="252"/>
      <c r="B167" s="2904" t="s">
        <v>247</v>
      </c>
      <c r="C167" s="2904"/>
      <c r="D167" s="2904"/>
      <c r="E167" s="2904"/>
      <c r="F167" s="6"/>
      <c r="G167" s="65"/>
      <c r="H167" s="480"/>
      <c r="I167" s="710"/>
      <c r="J167" s="711"/>
      <c r="K167" s="526"/>
      <c r="L167" s="710"/>
      <c r="M167" s="711"/>
      <c r="N167" s="526"/>
      <c r="O167" s="710"/>
      <c r="P167" s="712"/>
      <c r="Q167" s="526"/>
      <c r="R167" s="762"/>
      <c r="S167" s="762"/>
      <c r="T167" s="526"/>
      <c r="U167" s="762"/>
      <c r="V167" s="762"/>
      <c r="W167" s="526"/>
    </row>
    <row r="168" spans="1:29" ht="15.75" customHeight="1">
      <c r="A168" s="252"/>
      <c r="B168" s="2903" t="s">
        <v>248</v>
      </c>
      <c r="C168" s="2903"/>
      <c r="D168" s="2903"/>
      <c r="E168" s="2903"/>
      <c r="F168" s="6"/>
      <c r="G168" s="65"/>
      <c r="H168" s="480"/>
      <c r="I168" s="710"/>
      <c r="J168" s="711"/>
      <c r="K168" s="526"/>
      <c r="L168" s="710"/>
      <c r="M168" s="711"/>
      <c r="N168" s="526"/>
      <c r="O168" s="710"/>
      <c r="P168" s="712"/>
      <c r="Q168" s="526"/>
      <c r="R168" s="762"/>
      <c r="S168" s="762"/>
      <c r="T168" s="526"/>
      <c r="U168" s="762"/>
      <c r="V168" s="762"/>
      <c r="W168" s="526"/>
    </row>
    <row r="169" spans="1:29" ht="15.75" customHeight="1">
      <c r="A169" s="252"/>
      <c r="B169" s="2903" t="s">
        <v>243</v>
      </c>
      <c r="C169" s="2903"/>
      <c r="D169" s="2903"/>
      <c r="E169" s="2903"/>
      <c r="F169" s="6"/>
      <c r="G169" s="65"/>
      <c r="H169" s="480"/>
      <c r="I169" s="710"/>
      <c r="J169" s="711"/>
      <c r="K169" s="526"/>
      <c r="L169" s="710"/>
      <c r="M169" s="711"/>
      <c r="N169" s="526"/>
      <c r="O169" s="710"/>
      <c r="P169" s="712"/>
      <c r="Q169" s="526"/>
      <c r="R169" s="762"/>
      <c r="S169" s="762"/>
      <c r="T169" s="526"/>
      <c r="U169" s="762"/>
      <c r="V169" s="762"/>
      <c r="W169" s="526"/>
    </row>
    <row r="170" spans="1:29" ht="15.75" customHeight="1">
      <c r="A170" s="252"/>
      <c r="B170" s="2903" t="s">
        <v>249</v>
      </c>
      <c r="C170" s="2903"/>
      <c r="D170" s="2903"/>
      <c r="E170" s="2903"/>
      <c r="F170" s="6"/>
      <c r="G170" s="65"/>
      <c r="H170" s="480"/>
      <c r="I170" s="710"/>
      <c r="J170" s="711"/>
      <c r="K170" s="526"/>
      <c r="L170" s="710"/>
      <c r="M170" s="711"/>
      <c r="N170" s="526"/>
      <c r="O170" s="710"/>
      <c r="P170" s="712"/>
      <c r="Q170" s="526"/>
      <c r="R170" s="762"/>
      <c r="S170" s="762"/>
      <c r="T170" s="526"/>
      <c r="U170" s="762"/>
      <c r="V170" s="762"/>
      <c r="W170" s="526"/>
    </row>
    <row r="171" spans="1:29" ht="15.75" customHeight="1">
      <c r="A171" s="252"/>
      <c r="B171" s="2903" t="s">
        <v>650</v>
      </c>
      <c r="C171" s="2903"/>
      <c r="D171" s="2903"/>
      <c r="E171" s="2903"/>
      <c r="F171" s="6"/>
      <c r="G171" s="65"/>
      <c r="H171" s="480"/>
      <c r="I171" s="710"/>
      <c r="J171" s="711"/>
      <c r="K171" s="526"/>
      <c r="L171" s="710"/>
      <c r="M171" s="711"/>
      <c r="N171" s="526"/>
      <c r="O171" s="710"/>
      <c r="P171" s="712"/>
      <c r="Q171" s="526"/>
      <c r="R171" s="762"/>
      <c r="S171" s="762"/>
      <c r="T171" s="526"/>
      <c r="U171" s="762"/>
      <c r="V171" s="762"/>
      <c r="W171" s="526"/>
    </row>
    <row r="172" spans="1:29" ht="15.75" customHeight="1">
      <c r="A172" s="252"/>
      <c r="B172" s="2903" t="s">
        <v>651</v>
      </c>
      <c r="C172" s="2903"/>
      <c r="D172" s="2903"/>
      <c r="E172" s="2903"/>
      <c r="F172" s="6"/>
      <c r="G172" s="65"/>
      <c r="H172" s="797"/>
      <c r="I172" s="710"/>
      <c r="J172" s="711"/>
      <c r="K172" s="562"/>
      <c r="L172" s="710"/>
      <c r="M172" s="711"/>
      <c r="N172" s="562"/>
      <c r="O172" s="710"/>
      <c r="P172" s="712"/>
      <c r="Q172" s="562"/>
      <c r="R172" s="762"/>
      <c r="S172" s="762"/>
      <c r="T172" s="562"/>
      <c r="U172" s="762"/>
      <c r="V172" s="762"/>
      <c r="W172" s="562"/>
    </row>
    <row r="173" spans="1:29" ht="15.75" customHeight="1">
      <c r="A173" s="237"/>
      <c r="B173" s="2903" t="s">
        <v>684</v>
      </c>
      <c r="C173" s="2903"/>
      <c r="D173" s="2903"/>
      <c r="E173" s="2903"/>
      <c r="F173" s="6"/>
      <c r="G173" s="65"/>
      <c r="H173" s="798"/>
      <c r="I173" s="710"/>
      <c r="J173" s="711"/>
      <c r="K173" s="586"/>
      <c r="L173" s="710"/>
      <c r="M173" s="711"/>
      <c r="N173" s="586"/>
      <c r="O173" s="710"/>
      <c r="P173" s="712"/>
      <c r="Q173" s="586"/>
      <c r="R173" s="762"/>
      <c r="S173" s="762"/>
      <c r="T173" s="586"/>
      <c r="U173" s="762"/>
      <c r="V173" s="762"/>
      <c r="W173" s="586"/>
    </row>
    <row r="174" spans="1:29" ht="15.75"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AA174" s="679"/>
      <c r="AB174" s="679"/>
      <c r="AC174" s="679"/>
    </row>
    <row r="175" spans="1:29" ht="15.75" customHeight="1">
      <c r="A175" s="252"/>
      <c r="B175" s="2903" t="s">
        <v>731</v>
      </c>
      <c r="C175" s="2903"/>
      <c r="D175" s="2903"/>
      <c r="E175" s="2903"/>
      <c r="F175" s="6"/>
      <c r="G175" s="65"/>
      <c r="H175" s="799"/>
      <c r="I175" s="710"/>
      <c r="J175" s="711"/>
      <c r="K175" s="628"/>
      <c r="L175" s="710"/>
      <c r="M175" s="711"/>
      <c r="N175" s="628"/>
      <c r="O175" s="710"/>
      <c r="P175" s="712"/>
      <c r="Q175" s="628"/>
      <c r="R175" s="762"/>
      <c r="S175" s="762"/>
      <c r="T175" s="628"/>
      <c r="U175" s="762"/>
      <c r="V175" s="762"/>
      <c r="W175" s="628"/>
    </row>
    <row r="176" spans="1:29" ht="15.75" customHeight="1">
      <c r="A176" s="252"/>
      <c r="B176" s="2903" t="s">
        <v>626</v>
      </c>
      <c r="C176" s="2903"/>
      <c r="D176" s="2903"/>
      <c r="E176" s="2903"/>
      <c r="F176" s="6"/>
      <c r="G176" s="65"/>
      <c r="H176" s="480"/>
      <c r="I176" s="710"/>
      <c r="J176" s="711"/>
      <c r="K176" s="526"/>
      <c r="L176" s="710"/>
      <c r="M176" s="711" t="s">
        <v>37</v>
      </c>
      <c r="N176" s="526"/>
      <c r="O176" s="710"/>
      <c r="P176" s="712"/>
      <c r="Q176" s="526"/>
      <c r="R176" s="762"/>
      <c r="S176" s="762"/>
      <c r="T176" s="526"/>
      <c r="U176" s="762"/>
      <c r="V176" s="762"/>
      <c r="W176" s="526"/>
    </row>
    <row r="177" spans="1:23" ht="15.75" customHeight="1">
      <c r="A177" s="252"/>
      <c r="B177" s="2903" t="s">
        <v>725</v>
      </c>
      <c r="C177" s="2903"/>
      <c r="D177" s="2903"/>
      <c r="E177" s="2903"/>
      <c r="F177" s="6"/>
      <c r="G177" s="63"/>
      <c r="H177" s="794"/>
      <c r="I177" s="748"/>
      <c r="J177" s="711"/>
      <c r="K177" s="561"/>
      <c r="L177" s="748"/>
      <c r="M177" s="711"/>
      <c r="N177" s="561"/>
      <c r="O177" s="710"/>
      <c r="P177" s="582"/>
      <c r="Q177" s="561"/>
      <c r="R177" s="762"/>
      <c r="S177" s="762"/>
      <c r="T177" s="561"/>
      <c r="U177" s="762"/>
      <c r="V177" s="762"/>
      <c r="W177" s="561"/>
    </row>
    <row r="178" spans="1:23" ht="15.75" customHeight="1">
      <c r="A178" s="252"/>
      <c r="B178" s="2904" t="s">
        <v>726</v>
      </c>
      <c r="C178" s="2904"/>
      <c r="D178" s="2904"/>
      <c r="E178" s="2904"/>
      <c r="F178" s="6"/>
      <c r="G178" s="63"/>
      <c r="H178" s="480"/>
      <c r="I178" s="748"/>
      <c r="J178" s="711"/>
      <c r="K178" s="526"/>
      <c r="L178" s="748"/>
      <c r="M178" s="711"/>
      <c r="N178" s="526"/>
      <c r="O178" s="710"/>
      <c r="P178" s="582"/>
      <c r="Q178" s="526"/>
      <c r="R178" s="762"/>
      <c r="S178" s="762"/>
      <c r="T178" s="526"/>
      <c r="U178" s="762"/>
      <c r="V178" s="762"/>
      <c r="W178" s="526"/>
    </row>
    <row r="179" spans="1:23" ht="15.75" customHeight="1">
      <c r="A179" s="252"/>
      <c r="B179" s="2904" t="s">
        <v>727</v>
      </c>
      <c r="C179" s="2904"/>
      <c r="D179" s="2904"/>
      <c r="E179" s="2904"/>
      <c r="F179" s="6"/>
      <c r="G179" s="63"/>
      <c r="H179" s="795"/>
      <c r="I179" s="748"/>
      <c r="J179" s="711"/>
      <c r="K179" s="568"/>
      <c r="L179" s="748"/>
      <c r="M179" s="711"/>
      <c r="N179" s="568"/>
      <c r="O179" s="710"/>
      <c r="P179" s="582"/>
      <c r="Q179" s="568"/>
      <c r="R179" s="762"/>
      <c r="S179" s="762"/>
      <c r="T179" s="568"/>
      <c r="U179" s="762"/>
      <c r="V179" s="762"/>
      <c r="W179" s="568"/>
    </row>
    <row r="180" spans="1:23" ht="15.75" customHeight="1">
      <c r="A180" s="252"/>
      <c r="B180" s="2903" t="s">
        <v>732</v>
      </c>
      <c r="C180" s="2903"/>
      <c r="D180" s="2903"/>
      <c r="E180" s="2903"/>
      <c r="F180" s="6"/>
      <c r="G180" s="65"/>
      <c r="H180" s="480"/>
      <c r="I180" s="710"/>
      <c r="J180" s="711"/>
      <c r="K180" s="526"/>
      <c r="L180" s="710"/>
      <c r="M180" s="711">
        <v>4</v>
      </c>
      <c r="N180" s="526"/>
      <c r="O180" s="710"/>
      <c r="P180" s="712"/>
      <c r="Q180" s="526"/>
      <c r="R180" s="762"/>
      <c r="S180" s="762"/>
      <c r="T180" s="526"/>
      <c r="U180" s="762"/>
      <c r="V180" s="762"/>
      <c r="W180" s="526"/>
    </row>
    <row r="181" spans="1:23" ht="15.75" customHeight="1">
      <c r="A181" s="252"/>
      <c r="B181" s="2903" t="s">
        <v>728</v>
      </c>
      <c r="C181" s="2903"/>
      <c r="D181" s="2903"/>
      <c r="E181" s="2903"/>
      <c r="F181" s="6"/>
      <c r="G181" s="65"/>
      <c r="H181" s="796"/>
      <c r="I181" s="710"/>
      <c r="J181" s="711"/>
      <c r="K181" s="619"/>
      <c r="L181" s="710"/>
      <c r="M181" s="711"/>
      <c r="N181" s="619"/>
      <c r="O181" s="710"/>
      <c r="P181" s="712"/>
      <c r="Q181" s="619"/>
      <c r="R181" s="762"/>
      <c r="S181" s="762"/>
      <c r="T181" s="619"/>
      <c r="U181" s="762"/>
      <c r="V181" s="762"/>
      <c r="W181" s="619"/>
    </row>
    <row r="182" spans="1:23" ht="15.75" customHeight="1">
      <c r="A182" s="252"/>
      <c r="B182" s="2903" t="s">
        <v>728</v>
      </c>
      <c r="C182" s="2903"/>
      <c r="D182" s="2903"/>
      <c r="E182" s="2903"/>
      <c r="F182" s="6"/>
      <c r="G182" s="65"/>
      <c r="H182" s="796"/>
      <c r="I182" s="710"/>
      <c r="J182" s="711"/>
      <c r="K182" s="619"/>
      <c r="L182" s="710"/>
      <c r="M182" s="711"/>
      <c r="N182" s="619"/>
      <c r="O182" s="710"/>
      <c r="P182" s="712"/>
      <c r="Q182" s="619"/>
      <c r="R182" s="762"/>
      <c r="S182" s="762"/>
      <c r="T182" s="619"/>
      <c r="U182" s="762"/>
      <c r="V182" s="762"/>
      <c r="W182" s="619"/>
    </row>
    <row r="183" spans="1:23" ht="15.75" customHeight="1">
      <c r="A183" s="252"/>
      <c r="B183" s="2903" t="s">
        <v>253</v>
      </c>
      <c r="C183" s="2903"/>
      <c r="D183" s="2903"/>
      <c r="E183" s="2903"/>
      <c r="F183" s="6"/>
      <c r="G183" s="65"/>
      <c r="H183" s="480"/>
      <c r="I183" s="710"/>
      <c r="J183" s="711"/>
      <c r="K183" s="526"/>
      <c r="L183" s="710"/>
      <c r="M183" s="711"/>
      <c r="N183" s="526"/>
      <c r="O183" s="710"/>
      <c r="P183" s="712"/>
      <c r="Q183" s="526"/>
      <c r="R183" s="762"/>
      <c r="S183" s="762"/>
      <c r="T183" s="526"/>
      <c r="U183" s="762"/>
      <c r="V183" s="762"/>
      <c r="W183" s="526"/>
    </row>
    <row r="184" spans="1:23" ht="15.75" customHeight="1">
      <c r="A184" s="252"/>
      <c r="B184" s="2904" t="s">
        <v>244</v>
      </c>
      <c r="C184" s="2904"/>
      <c r="D184" s="2904"/>
      <c r="E184" s="2904"/>
      <c r="F184" s="6"/>
      <c r="G184" s="65"/>
      <c r="H184" s="480"/>
      <c r="I184" s="748"/>
      <c r="J184" s="711">
        <v>1</v>
      </c>
      <c r="K184" s="526"/>
      <c r="L184" s="748"/>
      <c r="M184" s="711">
        <v>2</v>
      </c>
      <c r="N184" s="526"/>
      <c r="O184" s="710"/>
      <c r="P184" s="582"/>
      <c r="Q184" s="526"/>
      <c r="R184" s="762"/>
      <c r="S184" s="762"/>
      <c r="T184" s="526"/>
      <c r="U184" s="762"/>
      <c r="V184" s="762"/>
      <c r="W184" s="526"/>
    </row>
    <row r="185" spans="1:23" ht="15.75" customHeight="1">
      <c r="A185" s="252"/>
      <c r="B185" s="2903" t="s">
        <v>683</v>
      </c>
      <c r="C185" s="2903"/>
      <c r="D185" s="2903"/>
      <c r="E185" s="2903"/>
      <c r="F185" s="6"/>
      <c r="G185" s="65"/>
      <c r="H185" s="480"/>
      <c r="I185" s="710"/>
      <c r="J185" s="711"/>
      <c r="K185" s="526"/>
      <c r="L185" s="710"/>
      <c r="M185" s="711"/>
      <c r="N185" s="526"/>
      <c r="O185" s="710"/>
      <c r="P185" s="712"/>
      <c r="Q185" s="526"/>
      <c r="R185" s="762"/>
      <c r="S185" s="762"/>
      <c r="T185" s="526"/>
      <c r="U185" s="762"/>
      <c r="V185" s="762"/>
      <c r="W185" s="526"/>
    </row>
    <row r="186" spans="1:23" ht="15.75" customHeight="1">
      <c r="A186" s="252"/>
      <c r="B186" s="2903" t="s">
        <v>246</v>
      </c>
      <c r="C186" s="2903"/>
      <c r="D186" s="2903"/>
      <c r="E186" s="2903"/>
      <c r="F186" s="6"/>
      <c r="G186" s="65"/>
      <c r="H186" s="480"/>
      <c r="I186" s="710"/>
      <c r="J186" s="711"/>
      <c r="K186" s="526"/>
      <c r="L186" s="710"/>
      <c r="M186" s="711"/>
      <c r="N186" s="526"/>
      <c r="O186" s="710"/>
      <c r="P186" s="712"/>
      <c r="Q186" s="526"/>
      <c r="R186" s="762"/>
      <c r="S186" s="762"/>
      <c r="T186" s="526"/>
      <c r="U186" s="762"/>
      <c r="V186" s="762"/>
      <c r="W186" s="526"/>
    </row>
    <row r="187" spans="1:23" ht="15.75" customHeight="1">
      <c r="A187" s="252"/>
      <c r="B187" s="2904" t="s">
        <v>247</v>
      </c>
      <c r="C187" s="2904"/>
      <c r="D187" s="2904"/>
      <c r="E187" s="2904"/>
      <c r="F187" s="6"/>
      <c r="G187" s="65"/>
      <c r="H187" s="480"/>
      <c r="I187" s="710"/>
      <c r="J187" s="711"/>
      <c r="K187" s="526"/>
      <c r="L187" s="710"/>
      <c r="M187" s="711"/>
      <c r="N187" s="526"/>
      <c r="O187" s="710"/>
      <c r="P187" s="712"/>
      <c r="Q187" s="526"/>
      <c r="R187" s="762"/>
      <c r="S187" s="762"/>
      <c r="T187" s="526"/>
      <c r="U187" s="762"/>
      <c r="V187" s="762"/>
      <c r="W187" s="526"/>
    </row>
    <row r="188" spans="1:23" ht="15.75" customHeight="1">
      <c r="A188" s="252"/>
      <c r="B188" s="2903" t="s">
        <v>248</v>
      </c>
      <c r="C188" s="2903"/>
      <c r="D188" s="2903"/>
      <c r="E188" s="2903"/>
      <c r="F188" s="6"/>
      <c r="G188" s="65"/>
      <c r="H188" s="480"/>
      <c r="I188" s="710"/>
      <c r="J188" s="711"/>
      <c r="K188" s="526"/>
      <c r="L188" s="710"/>
      <c r="M188" s="711"/>
      <c r="N188" s="526"/>
      <c r="O188" s="710"/>
      <c r="P188" s="712"/>
      <c r="Q188" s="526"/>
      <c r="R188" s="762"/>
      <c r="S188" s="762"/>
      <c r="T188" s="526"/>
      <c r="U188" s="762"/>
      <c r="V188" s="762"/>
      <c r="W188" s="526"/>
    </row>
    <row r="189" spans="1:23" ht="15.75" customHeight="1">
      <c r="A189" s="252"/>
      <c r="B189" s="2903" t="s">
        <v>243</v>
      </c>
      <c r="C189" s="2903"/>
      <c r="D189" s="2903"/>
      <c r="E189" s="2903"/>
      <c r="F189" s="6"/>
      <c r="G189" s="65"/>
      <c r="H189" s="480"/>
      <c r="I189" s="710"/>
      <c r="J189" s="711"/>
      <c r="K189" s="526"/>
      <c r="L189" s="710"/>
      <c r="M189" s="711"/>
      <c r="N189" s="526"/>
      <c r="O189" s="710"/>
      <c r="P189" s="712"/>
      <c r="Q189" s="526"/>
      <c r="R189" s="762"/>
      <c r="S189" s="762"/>
      <c r="T189" s="526"/>
      <c r="U189" s="762"/>
      <c r="V189" s="762"/>
      <c r="W189" s="526"/>
    </row>
    <row r="190" spans="1:23" ht="15.75" customHeight="1">
      <c r="A190" s="252"/>
      <c r="B190" s="2903" t="s">
        <v>249</v>
      </c>
      <c r="C190" s="2903"/>
      <c r="D190" s="2903"/>
      <c r="E190" s="2903"/>
      <c r="F190" s="6"/>
      <c r="G190" s="65"/>
      <c r="H190" s="480"/>
      <c r="I190" s="710"/>
      <c r="J190" s="711"/>
      <c r="K190" s="526"/>
      <c r="L190" s="710"/>
      <c r="M190" s="711"/>
      <c r="N190" s="526"/>
      <c r="O190" s="710"/>
      <c r="P190" s="712"/>
      <c r="Q190" s="526"/>
      <c r="R190" s="762"/>
      <c r="S190" s="762"/>
      <c r="T190" s="526"/>
      <c r="U190" s="762"/>
      <c r="V190" s="762"/>
      <c r="W190" s="526"/>
    </row>
    <row r="191" spans="1:23" ht="15.75" customHeight="1">
      <c r="A191" s="252"/>
      <c r="B191" s="2903" t="s">
        <v>650</v>
      </c>
      <c r="C191" s="2903"/>
      <c r="D191" s="2903"/>
      <c r="E191" s="2903"/>
      <c r="F191" s="6"/>
      <c r="G191" s="65"/>
      <c r="H191" s="480"/>
      <c r="I191" s="710"/>
      <c r="J191" s="711"/>
      <c r="K191" s="526"/>
      <c r="L191" s="710"/>
      <c r="M191" s="711"/>
      <c r="N191" s="526"/>
      <c r="O191" s="710"/>
      <c r="P191" s="712"/>
      <c r="Q191" s="526"/>
      <c r="R191" s="762"/>
      <c r="S191" s="762"/>
      <c r="T191" s="526"/>
      <c r="U191" s="762"/>
      <c r="V191" s="762"/>
      <c r="W191" s="526"/>
    </row>
    <row r="192" spans="1:23" ht="15.75" customHeight="1">
      <c r="A192" s="252"/>
      <c r="B192" s="2903" t="s">
        <v>651</v>
      </c>
      <c r="C192" s="2903"/>
      <c r="D192" s="2903"/>
      <c r="E192" s="2903"/>
      <c r="F192" s="6"/>
      <c r="G192" s="65"/>
      <c r="H192" s="797"/>
      <c r="I192" s="710"/>
      <c r="J192" s="711"/>
      <c r="K192" s="562"/>
      <c r="L192" s="710"/>
      <c r="M192" s="711"/>
      <c r="N192" s="562"/>
      <c r="O192" s="710"/>
      <c r="P192" s="712"/>
      <c r="Q192" s="562"/>
      <c r="R192" s="762"/>
      <c r="S192" s="762"/>
      <c r="T192" s="562"/>
      <c r="U192" s="762"/>
      <c r="V192" s="762"/>
      <c r="W192" s="562"/>
    </row>
    <row r="193" spans="1:29" ht="15.75" customHeight="1">
      <c r="A193" s="237"/>
      <c r="B193" s="2903" t="s">
        <v>684</v>
      </c>
      <c r="C193" s="2903"/>
      <c r="D193" s="2903"/>
      <c r="E193" s="2903"/>
      <c r="F193" s="6"/>
      <c r="G193" s="65"/>
      <c r="H193" s="800"/>
      <c r="I193" s="741"/>
      <c r="J193" s="742"/>
      <c r="K193" s="766"/>
      <c r="L193" s="741"/>
      <c r="M193" s="742"/>
      <c r="N193" s="766"/>
      <c r="O193" s="741"/>
      <c r="P193" s="767"/>
      <c r="Q193" s="766"/>
      <c r="R193" s="768"/>
      <c r="S193" s="768"/>
      <c r="T193" s="766"/>
      <c r="U193" s="768"/>
      <c r="V193" s="768"/>
      <c r="W193" s="766"/>
    </row>
    <row r="194" spans="1:29"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row>
    <row r="195" spans="1:29" ht="22.5" customHeight="1">
      <c r="A195" s="2907" t="s">
        <v>636</v>
      </c>
      <c r="B195" s="2907"/>
      <c r="C195" s="2907"/>
      <c r="D195" s="2907"/>
      <c r="E195" s="2907"/>
      <c r="F195" s="2907"/>
      <c r="G195" s="2907"/>
      <c r="H195" s="693"/>
      <c r="I195" s="597"/>
      <c r="J195" s="594"/>
      <c r="K195" s="693"/>
      <c r="L195" s="2908"/>
      <c r="M195" s="2908"/>
      <c r="N195" s="669"/>
      <c r="O195" s="594"/>
      <c r="P195" s="670"/>
      <c r="Q195" s="671"/>
      <c r="R195" s="682"/>
      <c r="S195" s="682"/>
      <c r="T195" s="682"/>
      <c r="U195" s="682"/>
      <c r="V195" s="682"/>
      <c r="W195" s="682"/>
      <c r="AA195" s="594"/>
      <c r="AB195" s="594"/>
      <c r="AC195" s="594"/>
    </row>
    <row r="196" spans="1:29" ht="15.75" customHeight="1">
      <c r="A196" s="1"/>
      <c r="B196" s="51"/>
      <c r="C196" s="110"/>
      <c r="D196" s="110"/>
      <c r="E196" s="110"/>
      <c r="G196" s="13"/>
      <c r="H196" s="60"/>
      <c r="I196" s="6"/>
      <c r="J196" s="65"/>
      <c r="K196" s="60"/>
      <c r="L196" s="6"/>
      <c r="M196" s="65"/>
      <c r="N196" s="60"/>
      <c r="P196" s="66"/>
      <c r="Q196" s="788"/>
      <c r="R196" s="8"/>
      <c r="S196" s="8"/>
      <c r="T196" s="788"/>
      <c r="U196" s="8"/>
      <c r="V196" s="8"/>
      <c r="W196" s="788"/>
    </row>
    <row r="197" spans="1:29" ht="15.75" customHeight="1">
      <c r="A197" s="252"/>
      <c r="B197" s="2903" t="s">
        <v>139</v>
      </c>
      <c r="C197" s="2903"/>
      <c r="D197" s="2903"/>
      <c r="E197" s="2903"/>
      <c r="F197" s="6"/>
      <c r="G197" s="65"/>
      <c r="H197" s="801">
        <v>0</v>
      </c>
      <c r="I197" s="710"/>
      <c r="J197" s="711"/>
      <c r="K197" s="588"/>
      <c r="L197" s="710"/>
      <c r="M197" s="711"/>
      <c r="N197" s="588">
        <v>1</v>
      </c>
      <c r="O197" s="710"/>
      <c r="P197" s="712"/>
      <c r="Q197" s="588">
        <v>0</v>
      </c>
      <c r="R197" s="762"/>
      <c r="S197" s="762"/>
      <c r="T197" s="588"/>
      <c r="U197" s="762"/>
      <c r="V197" s="762"/>
      <c r="W197" s="588"/>
    </row>
    <row r="198" spans="1:29" ht="15.75"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AA198" s="679"/>
      <c r="AB198" s="679"/>
      <c r="AC198" s="679"/>
    </row>
    <row r="199" spans="1:29" ht="15.75" customHeight="1">
      <c r="A199" s="252"/>
      <c r="B199" s="2903" t="s">
        <v>729</v>
      </c>
      <c r="C199" s="2903"/>
      <c r="D199" s="2903"/>
      <c r="E199" s="2903"/>
      <c r="F199" s="6"/>
      <c r="G199" s="65"/>
      <c r="H199" s="799"/>
      <c r="I199" s="710"/>
      <c r="J199" s="711"/>
      <c r="K199" s="628"/>
      <c r="L199" s="710"/>
      <c r="M199" s="711"/>
      <c r="N199" s="628">
        <v>1</v>
      </c>
      <c r="O199" s="710"/>
      <c r="P199" s="712"/>
      <c r="Q199" s="628"/>
      <c r="R199" s="762"/>
      <c r="S199" s="762"/>
      <c r="T199" s="628"/>
      <c r="U199" s="762"/>
      <c r="V199" s="762"/>
      <c r="W199" s="628"/>
    </row>
    <row r="200" spans="1:29" ht="15.75" customHeight="1">
      <c r="A200" s="252"/>
      <c r="B200" s="2903" t="s">
        <v>626</v>
      </c>
      <c r="C200" s="2903"/>
      <c r="D200" s="2903"/>
      <c r="E200" s="2903"/>
      <c r="F200" s="6"/>
      <c r="G200" s="65"/>
      <c r="H200" s="480"/>
      <c r="I200" s="710"/>
      <c r="J200" s="711"/>
      <c r="K200" s="526"/>
      <c r="L200" s="710"/>
      <c r="M200" s="711" t="s">
        <v>37</v>
      </c>
      <c r="N200" s="526" t="s">
        <v>407</v>
      </c>
      <c r="O200" s="710"/>
      <c r="P200" s="712"/>
      <c r="Q200" s="526"/>
      <c r="R200" s="762"/>
      <c r="S200" s="762"/>
      <c r="T200" s="526"/>
      <c r="U200" s="762"/>
      <c r="V200" s="762"/>
      <c r="W200" s="526"/>
    </row>
    <row r="201" spans="1:29" ht="15.75" customHeight="1">
      <c r="A201" s="252"/>
      <c r="B201" s="2903" t="s">
        <v>725</v>
      </c>
      <c r="C201" s="2903"/>
      <c r="D201" s="2903"/>
      <c r="E201" s="2903"/>
      <c r="F201" s="6"/>
      <c r="G201" s="65"/>
      <c r="H201" s="794"/>
      <c r="I201" s="710"/>
      <c r="J201" s="711"/>
      <c r="K201" s="561"/>
      <c r="L201" s="710"/>
      <c r="M201" s="711"/>
      <c r="N201" s="561" t="s">
        <v>218</v>
      </c>
      <c r="O201" s="710"/>
      <c r="P201" s="712"/>
      <c r="Q201" s="561"/>
      <c r="R201" s="762"/>
      <c r="S201" s="762"/>
      <c r="T201" s="561"/>
      <c r="U201" s="762"/>
      <c r="V201" s="762"/>
      <c r="W201" s="561"/>
    </row>
    <row r="202" spans="1:29" ht="15.75" customHeight="1">
      <c r="A202" s="252"/>
      <c r="B202" s="2904" t="s">
        <v>726</v>
      </c>
      <c r="C202" s="2904"/>
      <c r="D202" s="2904"/>
      <c r="E202" s="2904"/>
      <c r="F202" s="6"/>
      <c r="G202" s="65"/>
      <c r="H202" s="480"/>
      <c r="I202" s="710"/>
      <c r="J202" s="711"/>
      <c r="K202" s="526"/>
      <c r="L202" s="710"/>
      <c r="M202" s="711"/>
      <c r="N202" s="526" t="s">
        <v>122</v>
      </c>
      <c r="O202" s="710"/>
      <c r="P202" s="712"/>
      <c r="Q202" s="526"/>
      <c r="R202" s="762"/>
      <c r="S202" s="762"/>
      <c r="T202" s="526"/>
      <c r="U202" s="762"/>
      <c r="V202" s="762"/>
      <c r="W202" s="526"/>
    </row>
    <row r="203" spans="1:29" ht="15.75" customHeight="1">
      <c r="A203" s="252"/>
      <c r="B203" s="2904" t="s">
        <v>727</v>
      </c>
      <c r="C203" s="2904"/>
      <c r="D203" s="2904"/>
      <c r="E203" s="2904"/>
      <c r="F203" s="6"/>
      <c r="G203" s="65"/>
      <c r="H203" s="795"/>
      <c r="I203" s="710"/>
      <c r="J203" s="711"/>
      <c r="K203" s="568"/>
      <c r="L203" s="710"/>
      <c r="M203" s="711"/>
      <c r="N203" s="568" t="s">
        <v>122</v>
      </c>
      <c r="O203" s="710"/>
      <c r="P203" s="712"/>
      <c r="Q203" s="568"/>
      <c r="R203" s="762"/>
      <c r="S203" s="762"/>
      <c r="T203" s="568"/>
      <c r="U203" s="762"/>
      <c r="V203" s="762"/>
      <c r="W203" s="568"/>
    </row>
    <row r="204" spans="1:29" ht="15.75" customHeight="1">
      <c r="A204" s="252"/>
      <c r="B204" s="2903" t="s">
        <v>208</v>
      </c>
      <c r="C204" s="2903"/>
      <c r="D204" s="2903"/>
      <c r="E204" s="2903"/>
      <c r="F204" s="6"/>
      <c r="G204" s="65"/>
      <c r="H204" s="480"/>
      <c r="I204" s="710"/>
      <c r="J204" s="711"/>
      <c r="K204" s="526"/>
      <c r="L204" s="710"/>
      <c r="M204" s="711">
        <v>4</v>
      </c>
      <c r="N204" s="526">
        <v>5</v>
      </c>
      <c r="O204" s="710"/>
      <c r="P204" s="712"/>
      <c r="Q204" s="526"/>
      <c r="R204" s="762"/>
      <c r="S204" s="762"/>
      <c r="T204" s="526"/>
      <c r="U204" s="762"/>
      <c r="V204" s="762"/>
      <c r="W204" s="526"/>
    </row>
    <row r="205" spans="1:29" ht="15.75" customHeight="1">
      <c r="A205" s="252"/>
      <c r="B205" s="2904" t="s">
        <v>730</v>
      </c>
      <c r="C205" s="2904"/>
      <c r="D205" s="2904"/>
      <c r="E205" s="2904"/>
      <c r="F205" s="6"/>
      <c r="G205" s="65"/>
      <c r="H205" s="481"/>
      <c r="I205" s="710"/>
      <c r="J205" s="711"/>
      <c r="K205" s="553"/>
      <c r="L205" s="710"/>
      <c r="M205" s="711"/>
      <c r="N205" s="553" t="s">
        <v>5</v>
      </c>
      <c r="O205" s="710"/>
      <c r="P205" s="712"/>
      <c r="Q205" s="553"/>
      <c r="R205" s="762"/>
      <c r="S205" s="762"/>
      <c r="T205" s="553"/>
      <c r="U205" s="762"/>
      <c r="V205" s="762"/>
      <c r="W205" s="553"/>
    </row>
    <row r="206" spans="1:29" ht="15.75" customHeight="1">
      <c r="A206" s="252"/>
      <c r="B206" s="2903" t="s">
        <v>728</v>
      </c>
      <c r="C206" s="2903"/>
      <c r="D206" s="2903"/>
      <c r="E206" s="2903"/>
      <c r="F206" s="6"/>
      <c r="G206" s="65"/>
      <c r="H206" s="796"/>
      <c r="I206" s="710"/>
      <c r="J206" s="711"/>
      <c r="K206" s="619"/>
      <c r="L206" s="710"/>
      <c r="M206" s="711"/>
      <c r="N206" s="619">
        <v>0</v>
      </c>
      <c r="O206" s="710"/>
      <c r="P206" s="712"/>
      <c r="Q206" s="619"/>
      <c r="R206" s="762"/>
      <c r="S206" s="762"/>
      <c r="T206" s="619"/>
      <c r="U206" s="762"/>
      <c r="V206" s="762"/>
      <c r="W206" s="619"/>
    </row>
    <row r="207" spans="1:29" ht="15.75" customHeight="1">
      <c r="A207" s="252"/>
      <c r="B207" s="2903" t="s">
        <v>728</v>
      </c>
      <c r="C207" s="2903"/>
      <c r="D207" s="2903"/>
      <c r="E207" s="2903"/>
      <c r="F207" s="6"/>
      <c r="G207" s="65"/>
      <c r="H207" s="796"/>
      <c r="I207" s="710"/>
      <c r="J207" s="711"/>
      <c r="K207" s="619"/>
      <c r="L207" s="710"/>
      <c r="M207" s="711"/>
      <c r="N207" s="619">
        <v>0</v>
      </c>
      <c r="O207" s="710"/>
      <c r="P207" s="712"/>
      <c r="Q207" s="619"/>
      <c r="R207" s="762"/>
      <c r="S207" s="762"/>
      <c r="T207" s="619"/>
      <c r="U207" s="762"/>
      <c r="V207" s="762"/>
      <c r="W207" s="619"/>
    </row>
    <row r="208" spans="1:29" ht="15.75" customHeight="1">
      <c r="A208" s="252"/>
      <c r="B208" s="2903" t="s">
        <v>253</v>
      </c>
      <c r="C208" s="2903"/>
      <c r="D208" s="2903"/>
      <c r="E208" s="2903"/>
      <c r="F208" s="6"/>
      <c r="G208" s="65"/>
      <c r="H208" s="480"/>
      <c r="I208" s="710"/>
      <c r="J208" s="711"/>
      <c r="K208" s="526"/>
      <c r="L208" s="710"/>
      <c r="M208" s="711"/>
      <c r="N208" s="526" t="s">
        <v>131</v>
      </c>
      <c r="O208" s="710"/>
      <c r="P208" s="712"/>
      <c r="Q208" s="526"/>
      <c r="R208" s="762"/>
      <c r="S208" s="762"/>
      <c r="T208" s="526"/>
      <c r="U208" s="762"/>
      <c r="V208" s="762"/>
      <c r="W208" s="526"/>
    </row>
    <row r="209" spans="1:29" ht="15.75" customHeight="1">
      <c r="A209" s="252"/>
      <c r="B209" s="2904" t="s">
        <v>244</v>
      </c>
      <c r="C209" s="2904"/>
      <c r="D209" s="2904"/>
      <c r="E209" s="2904"/>
      <c r="F209" s="6"/>
      <c r="G209" s="63"/>
      <c r="H209" s="480"/>
      <c r="I209" s="710"/>
      <c r="J209" s="582"/>
      <c r="K209" s="526"/>
      <c r="L209" s="710"/>
      <c r="M209" s="582">
        <v>2</v>
      </c>
      <c r="N209" s="526">
        <v>1</v>
      </c>
      <c r="O209" s="710"/>
      <c r="P209" s="582"/>
      <c r="Q209" s="526"/>
      <c r="R209" s="762"/>
      <c r="S209" s="762"/>
      <c r="T209" s="526"/>
      <c r="U209" s="762"/>
      <c r="V209" s="762"/>
      <c r="W209" s="526"/>
    </row>
    <row r="210" spans="1:29" ht="15.75" customHeight="1">
      <c r="A210" s="252"/>
      <c r="B210" s="2903" t="s">
        <v>683</v>
      </c>
      <c r="C210" s="2903"/>
      <c r="D210" s="2903"/>
      <c r="E210" s="2903"/>
      <c r="F210" s="6"/>
      <c r="G210" s="65"/>
      <c r="H210" s="480"/>
      <c r="I210" s="710"/>
      <c r="J210" s="711"/>
      <c r="K210" s="526"/>
      <c r="L210" s="710"/>
      <c r="M210" s="711"/>
      <c r="N210" s="526" t="s">
        <v>22</v>
      </c>
      <c r="O210" s="710"/>
      <c r="P210" s="712"/>
      <c r="Q210" s="526"/>
      <c r="R210" s="762"/>
      <c r="S210" s="762"/>
      <c r="T210" s="526"/>
      <c r="U210" s="762"/>
      <c r="V210" s="762"/>
      <c r="W210" s="526"/>
    </row>
    <row r="211" spans="1:29" ht="15.75" customHeight="1">
      <c r="A211" s="252"/>
      <c r="B211" s="2903" t="s">
        <v>246</v>
      </c>
      <c r="C211" s="2903"/>
      <c r="D211" s="2903"/>
      <c r="E211" s="2903"/>
      <c r="F211" s="6"/>
      <c r="G211" s="63"/>
      <c r="H211" s="480"/>
      <c r="I211" s="710"/>
      <c r="J211" s="582"/>
      <c r="K211" s="526"/>
      <c r="L211" s="710"/>
      <c r="M211" s="582">
        <v>0</v>
      </c>
      <c r="N211" s="526">
        <v>1</v>
      </c>
      <c r="O211" s="710"/>
      <c r="P211" s="582"/>
      <c r="Q211" s="526"/>
      <c r="R211" s="762"/>
      <c r="S211" s="762"/>
      <c r="T211" s="526"/>
      <c r="U211" s="762"/>
      <c r="V211" s="762"/>
      <c r="W211" s="526"/>
    </row>
    <row r="212" spans="1:29" ht="15.75" customHeight="1">
      <c r="A212" s="252"/>
      <c r="B212" s="2904" t="s">
        <v>247</v>
      </c>
      <c r="C212" s="2904"/>
      <c r="D212" s="2904"/>
      <c r="E212" s="2904"/>
      <c r="H212" s="480"/>
      <c r="I212" s="713"/>
      <c r="J212" s="713"/>
      <c r="K212" s="526"/>
      <c r="L212" s="713"/>
      <c r="M212" s="713"/>
      <c r="N212" s="526" t="s">
        <v>122</v>
      </c>
      <c r="O212" s="713"/>
      <c r="P212" s="713"/>
      <c r="Q212" s="526"/>
      <c r="R212" s="762"/>
      <c r="S212" s="762"/>
      <c r="T212" s="526"/>
      <c r="U212" s="762"/>
      <c r="V212" s="762"/>
      <c r="W212" s="526"/>
    </row>
    <row r="213" spans="1:29">
      <c r="A213" s="252"/>
      <c r="B213" s="2903" t="s">
        <v>248</v>
      </c>
      <c r="C213" s="2903"/>
      <c r="D213" s="2903"/>
      <c r="E213" s="2903"/>
      <c r="F213" s="6"/>
      <c r="G213" s="63"/>
      <c r="H213" s="480"/>
      <c r="I213" s="710"/>
      <c r="J213" s="582"/>
      <c r="K213" s="526"/>
      <c r="L213" s="710"/>
      <c r="M213" s="582">
        <v>2.5</v>
      </c>
      <c r="N213" s="526">
        <v>210</v>
      </c>
      <c r="O213" s="710"/>
      <c r="P213" s="582"/>
      <c r="Q213" s="526"/>
      <c r="R213" s="762"/>
      <c r="S213" s="762"/>
      <c r="T213" s="526"/>
      <c r="U213" s="762"/>
      <c r="V213" s="762"/>
      <c r="W213" s="526"/>
    </row>
    <row r="214" spans="1:29">
      <c r="A214" s="252"/>
      <c r="B214" s="2903" t="s">
        <v>243</v>
      </c>
      <c r="C214" s="2903"/>
      <c r="D214" s="2903"/>
      <c r="E214" s="2903"/>
      <c r="F214" s="6"/>
      <c r="G214" s="63"/>
      <c r="H214" s="480"/>
      <c r="I214" s="710"/>
      <c r="J214" s="582"/>
      <c r="K214" s="526"/>
      <c r="L214" s="710"/>
      <c r="M214" s="582"/>
      <c r="N214" s="526">
        <v>0</v>
      </c>
      <c r="O214" s="710"/>
      <c r="P214" s="582"/>
      <c r="Q214" s="526"/>
      <c r="R214" s="762"/>
      <c r="S214" s="762"/>
      <c r="T214" s="526"/>
      <c r="U214" s="762"/>
      <c r="V214" s="762"/>
      <c r="W214" s="526"/>
    </row>
    <row r="215" spans="1:29">
      <c r="A215" s="252"/>
      <c r="B215" s="2903" t="s">
        <v>249</v>
      </c>
      <c r="C215" s="2903"/>
      <c r="D215" s="2903"/>
      <c r="E215" s="2903"/>
      <c r="F215" s="6"/>
      <c r="G215" s="63"/>
      <c r="H215" s="480"/>
      <c r="I215" s="710"/>
      <c r="J215" s="582"/>
      <c r="K215" s="526"/>
      <c r="L215" s="710"/>
      <c r="M215" s="582"/>
      <c r="N215" s="526">
        <v>0</v>
      </c>
      <c r="O215" s="710"/>
      <c r="P215" s="582"/>
      <c r="Q215" s="526"/>
      <c r="R215" s="762"/>
      <c r="S215" s="762"/>
      <c r="T215" s="526"/>
      <c r="U215" s="762"/>
      <c r="V215" s="762"/>
      <c r="W215" s="526"/>
    </row>
    <row r="216" spans="1:29">
      <c r="A216" s="252"/>
      <c r="B216" s="2903" t="s">
        <v>650</v>
      </c>
      <c r="C216" s="2903"/>
      <c r="D216" s="2903"/>
      <c r="E216" s="2903"/>
      <c r="F216" s="6"/>
      <c r="G216" s="63"/>
      <c r="H216" s="480"/>
      <c r="I216" s="710"/>
      <c r="J216" s="582"/>
      <c r="K216" s="526"/>
      <c r="L216" s="710"/>
      <c r="M216" s="582">
        <v>30</v>
      </c>
      <c r="N216" s="526">
        <v>30</v>
      </c>
      <c r="O216" s="710"/>
      <c r="P216" s="582"/>
      <c r="Q216" s="526"/>
      <c r="R216" s="762"/>
      <c r="S216" s="762"/>
      <c r="T216" s="526"/>
      <c r="U216" s="762"/>
      <c r="V216" s="762"/>
      <c r="W216" s="526"/>
    </row>
    <row r="217" spans="1:29">
      <c r="A217" s="252"/>
      <c r="B217" s="2903" t="s">
        <v>651</v>
      </c>
      <c r="C217" s="2903"/>
      <c r="D217" s="2903"/>
      <c r="E217" s="2903"/>
      <c r="F217" s="6"/>
      <c r="G217" s="63"/>
      <c r="H217" s="797"/>
      <c r="I217" s="710"/>
      <c r="J217" s="582"/>
      <c r="K217" s="562"/>
      <c r="L217" s="710"/>
      <c r="M217" s="582"/>
      <c r="N217" s="562">
        <v>100</v>
      </c>
      <c r="O217" s="710"/>
      <c r="P217" s="582"/>
      <c r="Q217" s="562"/>
      <c r="R217" s="762"/>
      <c r="S217" s="762"/>
      <c r="T217" s="562"/>
      <c r="U217" s="762"/>
      <c r="V217" s="762"/>
      <c r="W217" s="562"/>
    </row>
    <row r="218" spans="1:29" ht="18.45">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AA218" s="679"/>
      <c r="AB218" s="679"/>
      <c r="AC218" s="679"/>
    </row>
    <row r="219" spans="1:29">
      <c r="A219" s="252"/>
      <c r="B219" s="2903" t="s">
        <v>729</v>
      </c>
      <c r="C219" s="2903"/>
      <c r="D219" s="2903"/>
      <c r="E219" s="2903"/>
      <c r="F219" s="6"/>
      <c r="G219" s="65"/>
      <c r="H219" s="799"/>
      <c r="I219" s="710"/>
      <c r="J219" s="711"/>
      <c r="K219" s="628"/>
      <c r="L219" s="710"/>
      <c r="M219" s="711"/>
      <c r="N219" s="628"/>
      <c r="O219" s="710"/>
      <c r="P219" s="712"/>
      <c r="Q219" s="628"/>
      <c r="R219" s="762"/>
      <c r="S219" s="762"/>
      <c r="T219" s="628"/>
      <c r="U219" s="762"/>
      <c r="V219" s="762"/>
      <c r="W219" s="628"/>
    </row>
    <row r="220" spans="1:29">
      <c r="A220" s="252"/>
      <c r="B220" s="2903" t="s">
        <v>626</v>
      </c>
      <c r="C220" s="2903"/>
      <c r="D220" s="2903"/>
      <c r="E220" s="2903"/>
      <c r="F220" s="6"/>
      <c r="G220" s="63"/>
      <c r="H220" s="480"/>
      <c r="I220" s="710"/>
      <c r="J220" s="582"/>
      <c r="K220" s="526"/>
      <c r="L220" s="710"/>
      <c r="M220" s="582" t="s">
        <v>37</v>
      </c>
      <c r="N220" s="526"/>
      <c r="O220" s="710"/>
      <c r="P220" s="582"/>
      <c r="Q220" s="526"/>
      <c r="R220" s="762"/>
      <c r="S220" s="762"/>
      <c r="T220" s="526"/>
      <c r="U220" s="762"/>
      <c r="V220" s="762"/>
      <c r="W220" s="526"/>
    </row>
    <row r="221" spans="1:29">
      <c r="A221" s="252"/>
      <c r="B221" s="2903" t="s">
        <v>725</v>
      </c>
      <c r="C221" s="2903"/>
      <c r="D221" s="2903"/>
      <c r="E221" s="2903"/>
      <c r="F221" s="6"/>
      <c r="G221" s="63"/>
      <c r="H221" s="794"/>
      <c r="I221" s="710"/>
      <c r="J221" s="582"/>
      <c r="K221" s="561"/>
      <c r="L221" s="710"/>
      <c r="M221" s="582"/>
      <c r="N221" s="561"/>
      <c r="O221" s="710"/>
      <c r="P221" s="582"/>
      <c r="Q221" s="561"/>
      <c r="R221" s="762"/>
      <c r="S221" s="762"/>
      <c r="T221" s="561"/>
      <c r="U221" s="762"/>
      <c r="V221" s="762"/>
      <c r="W221" s="561"/>
    </row>
    <row r="222" spans="1:29">
      <c r="A222" s="252"/>
      <c r="B222" s="2904" t="s">
        <v>726</v>
      </c>
      <c r="C222" s="2904"/>
      <c r="D222" s="2904"/>
      <c r="E222" s="2904"/>
      <c r="F222" s="6"/>
      <c r="G222" s="63"/>
      <c r="H222" s="480"/>
      <c r="I222" s="710"/>
      <c r="J222" s="582"/>
      <c r="K222" s="526"/>
      <c r="L222" s="710"/>
      <c r="M222" s="582"/>
      <c r="N222" s="526"/>
      <c r="O222" s="710"/>
      <c r="P222" s="582"/>
      <c r="Q222" s="526"/>
      <c r="R222" s="762"/>
      <c r="S222" s="762"/>
      <c r="T222" s="526"/>
      <c r="U222" s="762"/>
      <c r="V222" s="762"/>
      <c r="W222" s="526"/>
    </row>
    <row r="223" spans="1:29">
      <c r="A223" s="252"/>
      <c r="B223" s="2904" t="s">
        <v>727</v>
      </c>
      <c r="C223" s="2904"/>
      <c r="D223" s="2904"/>
      <c r="E223" s="2904"/>
      <c r="F223" s="6"/>
      <c r="G223" s="65"/>
      <c r="H223" s="795"/>
      <c r="I223" s="710"/>
      <c r="J223" s="711"/>
      <c r="K223" s="568"/>
      <c r="L223" s="710"/>
      <c r="M223" s="711"/>
      <c r="N223" s="568"/>
      <c r="O223" s="710"/>
      <c r="P223" s="712"/>
      <c r="Q223" s="568"/>
      <c r="R223" s="762"/>
      <c r="S223" s="762"/>
      <c r="T223" s="568"/>
      <c r="U223" s="762"/>
      <c r="V223" s="762"/>
      <c r="W223" s="568"/>
    </row>
    <row r="224" spans="1:29">
      <c r="A224" s="252"/>
      <c r="B224" s="2903" t="s">
        <v>208</v>
      </c>
      <c r="C224" s="2903"/>
      <c r="D224" s="2903"/>
      <c r="E224" s="2903"/>
      <c r="F224" s="6"/>
      <c r="G224" s="65"/>
      <c r="H224" s="480"/>
      <c r="I224" s="710"/>
      <c r="J224" s="711"/>
      <c r="K224" s="526"/>
      <c r="L224" s="710"/>
      <c r="M224" s="711">
        <v>4</v>
      </c>
      <c r="N224" s="526"/>
      <c r="O224" s="710"/>
      <c r="P224" s="712"/>
      <c r="Q224" s="526"/>
      <c r="R224" s="762"/>
      <c r="S224" s="762"/>
      <c r="T224" s="526"/>
      <c r="U224" s="762"/>
      <c r="V224" s="762"/>
      <c r="W224" s="526"/>
    </row>
    <row r="225" spans="1:29">
      <c r="A225" s="252"/>
      <c r="B225" s="2904" t="s">
        <v>730</v>
      </c>
      <c r="C225" s="2904"/>
      <c r="D225" s="2904"/>
      <c r="E225" s="2904"/>
      <c r="F225" s="6"/>
      <c r="G225" s="65"/>
      <c r="H225" s="481"/>
      <c r="I225" s="710"/>
      <c r="J225" s="711"/>
      <c r="K225" s="553"/>
      <c r="L225" s="710"/>
      <c r="M225" s="711"/>
      <c r="N225" s="553"/>
      <c r="O225" s="710"/>
      <c r="P225" s="712"/>
      <c r="Q225" s="553"/>
      <c r="R225" s="762"/>
      <c r="S225" s="762"/>
      <c r="T225" s="553"/>
      <c r="U225" s="762"/>
      <c r="V225" s="762"/>
      <c r="W225" s="553"/>
    </row>
    <row r="226" spans="1:29">
      <c r="A226" s="252"/>
      <c r="B226" s="2903" t="s">
        <v>728</v>
      </c>
      <c r="C226" s="2903"/>
      <c r="D226" s="2903"/>
      <c r="E226" s="2903"/>
      <c r="F226" s="6"/>
      <c r="G226" s="65"/>
      <c r="H226" s="796"/>
      <c r="I226" s="710"/>
      <c r="J226" s="711"/>
      <c r="K226" s="619"/>
      <c r="L226" s="710"/>
      <c r="M226" s="711"/>
      <c r="N226" s="619"/>
      <c r="O226" s="710"/>
      <c r="P226" s="712"/>
      <c r="Q226" s="619"/>
      <c r="R226" s="762"/>
      <c r="S226" s="762"/>
      <c r="T226" s="619"/>
      <c r="U226" s="762"/>
      <c r="V226" s="762"/>
      <c r="W226" s="619"/>
    </row>
    <row r="227" spans="1:29">
      <c r="A227" s="252"/>
      <c r="B227" s="2903" t="s">
        <v>728</v>
      </c>
      <c r="C227" s="2903"/>
      <c r="D227" s="2903"/>
      <c r="E227" s="2903"/>
      <c r="F227" s="6"/>
      <c r="G227" s="65"/>
      <c r="H227" s="796"/>
      <c r="I227" s="710"/>
      <c r="J227" s="711"/>
      <c r="K227" s="619"/>
      <c r="L227" s="710"/>
      <c r="M227" s="711"/>
      <c r="N227" s="619"/>
      <c r="O227" s="710"/>
      <c r="P227" s="712"/>
      <c r="Q227" s="619"/>
      <c r="R227" s="762"/>
      <c r="S227" s="762"/>
      <c r="T227" s="619"/>
      <c r="U227" s="762"/>
      <c r="V227" s="762"/>
      <c r="W227" s="619"/>
    </row>
    <row r="228" spans="1:29">
      <c r="A228" s="252"/>
      <c r="B228" s="2903" t="s">
        <v>253</v>
      </c>
      <c r="C228" s="2903"/>
      <c r="D228" s="2903"/>
      <c r="E228" s="2903"/>
      <c r="F228" s="6"/>
      <c r="G228" s="65"/>
      <c r="H228" s="480"/>
      <c r="I228" s="710"/>
      <c r="J228" s="711"/>
      <c r="K228" s="526"/>
      <c r="L228" s="710"/>
      <c r="M228" s="711"/>
      <c r="N228" s="526"/>
      <c r="O228" s="710"/>
      <c r="P228" s="712"/>
      <c r="Q228" s="526"/>
      <c r="R228" s="762"/>
      <c r="S228" s="762"/>
      <c r="T228" s="526"/>
      <c r="U228" s="762"/>
      <c r="V228" s="762"/>
      <c r="W228" s="526"/>
    </row>
    <row r="229" spans="1:29">
      <c r="A229" s="252"/>
      <c r="B229" s="2904" t="s">
        <v>244</v>
      </c>
      <c r="C229" s="2904"/>
      <c r="D229" s="2904"/>
      <c r="E229" s="2904"/>
      <c r="F229" s="6"/>
      <c r="G229" s="63"/>
      <c r="H229" s="480"/>
      <c r="I229" s="710"/>
      <c r="J229" s="582"/>
      <c r="K229" s="526"/>
      <c r="L229" s="710"/>
      <c r="M229" s="582">
        <v>2</v>
      </c>
      <c r="N229" s="526"/>
      <c r="O229" s="710"/>
      <c r="P229" s="582"/>
      <c r="Q229" s="526"/>
      <c r="R229" s="762"/>
      <c r="S229" s="762"/>
      <c r="T229" s="526"/>
      <c r="U229" s="762"/>
      <c r="V229" s="762"/>
      <c r="W229" s="526"/>
    </row>
    <row r="230" spans="1:29">
      <c r="A230" s="252"/>
      <c r="B230" s="2903" t="s">
        <v>683</v>
      </c>
      <c r="C230" s="2903"/>
      <c r="D230" s="2903"/>
      <c r="E230" s="2903"/>
      <c r="F230" s="6"/>
      <c r="G230" s="65"/>
      <c r="H230" s="480"/>
      <c r="I230" s="710"/>
      <c r="J230" s="711"/>
      <c r="K230" s="526"/>
      <c r="L230" s="710"/>
      <c r="M230" s="711"/>
      <c r="N230" s="526"/>
      <c r="O230" s="710"/>
      <c r="P230" s="712"/>
      <c r="Q230" s="526"/>
      <c r="R230" s="762"/>
      <c r="S230" s="762"/>
      <c r="T230" s="526"/>
      <c r="U230" s="762"/>
      <c r="V230" s="762"/>
      <c r="W230" s="526"/>
    </row>
    <row r="231" spans="1:29">
      <c r="A231" s="252"/>
      <c r="B231" s="2903" t="s">
        <v>246</v>
      </c>
      <c r="C231" s="2903"/>
      <c r="D231" s="2903"/>
      <c r="E231" s="2903"/>
      <c r="F231" s="6"/>
      <c r="G231" s="63"/>
      <c r="H231" s="480"/>
      <c r="I231" s="710"/>
      <c r="J231" s="582"/>
      <c r="K231" s="526"/>
      <c r="L231" s="710"/>
      <c r="M231" s="582">
        <v>0</v>
      </c>
      <c r="N231" s="526"/>
      <c r="O231" s="710"/>
      <c r="P231" s="582"/>
      <c r="Q231" s="526"/>
      <c r="R231" s="762"/>
      <c r="S231" s="762"/>
      <c r="T231" s="526"/>
      <c r="U231" s="762"/>
      <c r="V231" s="762"/>
      <c r="W231" s="526"/>
    </row>
    <row r="232" spans="1:29">
      <c r="A232" s="252"/>
      <c r="B232" s="2904" t="s">
        <v>247</v>
      </c>
      <c r="C232" s="2904"/>
      <c r="D232" s="2904"/>
      <c r="E232" s="2904"/>
      <c r="H232" s="480"/>
      <c r="I232" s="713"/>
      <c r="J232" s="713"/>
      <c r="K232" s="526"/>
      <c r="L232" s="713"/>
      <c r="M232" s="713"/>
      <c r="N232" s="526"/>
      <c r="O232" s="713"/>
      <c r="P232" s="713"/>
      <c r="Q232" s="526"/>
      <c r="R232" s="762"/>
      <c r="S232" s="762"/>
      <c r="T232" s="526"/>
      <c r="U232" s="762"/>
      <c r="V232" s="762"/>
      <c r="W232" s="526"/>
    </row>
    <row r="233" spans="1:29">
      <c r="A233" s="252"/>
      <c r="B233" s="2903" t="s">
        <v>248</v>
      </c>
      <c r="C233" s="2903"/>
      <c r="D233" s="2903"/>
      <c r="E233" s="2903"/>
      <c r="F233" s="6"/>
      <c r="G233" s="63"/>
      <c r="H233" s="480"/>
      <c r="I233" s="710"/>
      <c r="J233" s="582"/>
      <c r="K233" s="526"/>
      <c r="L233" s="710"/>
      <c r="M233" s="582">
        <v>2.5</v>
      </c>
      <c r="N233" s="526"/>
      <c r="O233" s="710"/>
      <c r="P233" s="582"/>
      <c r="Q233" s="526"/>
      <c r="R233" s="762"/>
      <c r="S233" s="762"/>
      <c r="T233" s="526"/>
      <c r="U233" s="762"/>
      <c r="V233" s="762"/>
      <c r="W233" s="526"/>
    </row>
    <row r="234" spans="1:29">
      <c r="A234" s="252"/>
      <c r="B234" s="2903" t="s">
        <v>243</v>
      </c>
      <c r="C234" s="2903"/>
      <c r="D234" s="2903"/>
      <c r="E234" s="2903"/>
      <c r="F234" s="6"/>
      <c r="G234" s="63"/>
      <c r="H234" s="480"/>
      <c r="I234" s="710"/>
      <c r="J234" s="582"/>
      <c r="K234" s="526"/>
      <c r="L234" s="710"/>
      <c r="M234" s="582"/>
      <c r="N234" s="526"/>
      <c r="O234" s="710"/>
      <c r="P234" s="582"/>
      <c r="Q234" s="526"/>
      <c r="R234" s="762"/>
      <c r="S234" s="762"/>
      <c r="T234" s="526"/>
      <c r="U234" s="762"/>
      <c r="V234" s="762"/>
      <c r="W234" s="526"/>
    </row>
    <row r="235" spans="1:29">
      <c r="A235" s="252"/>
      <c r="B235" s="2903" t="s">
        <v>249</v>
      </c>
      <c r="C235" s="2903"/>
      <c r="D235" s="2903"/>
      <c r="E235" s="2903"/>
      <c r="F235" s="6"/>
      <c r="G235" s="63"/>
      <c r="H235" s="480"/>
      <c r="I235" s="710"/>
      <c r="J235" s="582"/>
      <c r="K235" s="526"/>
      <c r="L235" s="710"/>
      <c r="M235" s="582"/>
      <c r="N235" s="526"/>
      <c r="O235" s="710"/>
      <c r="P235" s="582"/>
      <c r="Q235" s="526"/>
      <c r="R235" s="762"/>
      <c r="S235" s="762"/>
      <c r="T235" s="526"/>
      <c r="U235" s="762"/>
      <c r="V235" s="762"/>
      <c r="W235" s="526"/>
    </row>
    <row r="236" spans="1:29">
      <c r="A236" s="252"/>
      <c r="B236" s="2903" t="s">
        <v>650</v>
      </c>
      <c r="C236" s="2903"/>
      <c r="D236" s="2903"/>
      <c r="E236" s="2903"/>
      <c r="F236" s="6"/>
      <c r="G236" s="63"/>
      <c r="H236" s="480"/>
      <c r="I236" s="710"/>
      <c r="J236" s="582"/>
      <c r="K236" s="526"/>
      <c r="L236" s="710"/>
      <c r="M236" s="582">
        <v>30</v>
      </c>
      <c r="N236" s="526"/>
      <c r="O236" s="710"/>
      <c r="P236" s="582"/>
      <c r="Q236" s="526"/>
      <c r="R236" s="762"/>
      <c r="S236" s="762"/>
      <c r="T236" s="526"/>
      <c r="U236" s="762"/>
      <c r="V236" s="762"/>
      <c r="W236" s="526"/>
    </row>
    <row r="237" spans="1:29">
      <c r="A237" s="252"/>
      <c r="B237" s="2903" t="s">
        <v>651</v>
      </c>
      <c r="C237" s="2903"/>
      <c r="D237" s="2903"/>
      <c r="E237" s="2903"/>
      <c r="F237" s="6"/>
      <c r="G237" s="63"/>
      <c r="H237" s="797"/>
      <c r="I237" s="710"/>
      <c r="J237" s="582"/>
      <c r="K237" s="562"/>
      <c r="L237" s="710"/>
      <c r="M237" s="582"/>
      <c r="N237" s="562"/>
      <c r="O237" s="710"/>
      <c r="P237" s="582"/>
      <c r="Q237" s="562"/>
      <c r="R237" s="762"/>
      <c r="S237" s="762"/>
      <c r="T237" s="562"/>
      <c r="U237" s="762"/>
      <c r="V237" s="762"/>
      <c r="W237" s="562"/>
    </row>
    <row r="238" spans="1:29" ht="18.45">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AA238" s="679"/>
      <c r="AB238" s="679"/>
      <c r="AC238" s="679"/>
    </row>
    <row r="239" spans="1:29">
      <c r="A239" s="252"/>
      <c r="B239" s="2903" t="s">
        <v>729</v>
      </c>
      <c r="C239" s="2903"/>
      <c r="D239" s="2903"/>
      <c r="E239" s="2903"/>
      <c r="F239" s="6"/>
      <c r="G239" s="65"/>
      <c r="H239" s="799"/>
      <c r="I239" s="710"/>
      <c r="J239" s="711"/>
      <c r="K239" s="628"/>
      <c r="L239" s="710"/>
      <c r="M239" s="711"/>
      <c r="N239" s="628"/>
      <c r="O239" s="710"/>
      <c r="P239" s="712"/>
      <c r="Q239" s="628"/>
      <c r="R239" s="762"/>
      <c r="S239" s="762"/>
      <c r="T239" s="628"/>
      <c r="U239" s="762"/>
      <c r="V239" s="762"/>
      <c r="W239" s="628"/>
    </row>
    <row r="240" spans="1:29">
      <c r="A240" s="252"/>
      <c r="B240" s="2903" t="s">
        <v>626</v>
      </c>
      <c r="C240" s="2903"/>
      <c r="D240" s="2903"/>
      <c r="E240" s="2903"/>
      <c r="F240" s="6"/>
      <c r="G240" s="63"/>
      <c r="H240" s="480"/>
      <c r="I240" s="710"/>
      <c r="J240" s="582"/>
      <c r="K240" s="526"/>
      <c r="L240" s="710"/>
      <c r="M240" s="582" t="s">
        <v>37</v>
      </c>
      <c r="N240" s="526"/>
      <c r="O240" s="710"/>
      <c r="P240" s="582"/>
      <c r="Q240" s="526"/>
      <c r="R240" s="762"/>
      <c r="S240" s="762"/>
      <c r="T240" s="526"/>
      <c r="U240" s="762"/>
      <c r="V240" s="762"/>
      <c r="W240" s="526"/>
    </row>
    <row r="241" spans="1:23">
      <c r="A241" s="252"/>
      <c r="B241" s="2903" t="s">
        <v>725</v>
      </c>
      <c r="C241" s="2903"/>
      <c r="D241" s="2903"/>
      <c r="E241" s="2903"/>
      <c r="F241" s="6"/>
      <c r="G241" s="63"/>
      <c r="H241" s="794"/>
      <c r="I241" s="710"/>
      <c r="J241" s="582"/>
      <c r="K241" s="561"/>
      <c r="L241" s="710"/>
      <c r="M241" s="582"/>
      <c r="N241" s="561"/>
      <c r="O241" s="710"/>
      <c r="P241" s="582"/>
      <c r="Q241" s="561"/>
      <c r="R241" s="762"/>
      <c r="S241" s="762"/>
      <c r="T241" s="561"/>
      <c r="U241" s="762"/>
      <c r="V241" s="762"/>
      <c r="W241" s="561"/>
    </row>
    <row r="242" spans="1:23">
      <c r="A242" s="252"/>
      <c r="B242" s="2904" t="s">
        <v>726</v>
      </c>
      <c r="C242" s="2904"/>
      <c r="D242" s="2904"/>
      <c r="E242" s="2904"/>
      <c r="F242" s="6"/>
      <c r="G242" s="63"/>
      <c r="H242" s="480"/>
      <c r="I242" s="710"/>
      <c r="J242" s="582"/>
      <c r="K242" s="526"/>
      <c r="L242" s="710"/>
      <c r="M242" s="582"/>
      <c r="N242" s="526"/>
      <c r="O242" s="710"/>
      <c r="P242" s="582"/>
      <c r="Q242" s="526"/>
      <c r="R242" s="762"/>
      <c r="S242" s="762"/>
      <c r="T242" s="526"/>
      <c r="U242" s="762"/>
      <c r="V242" s="762"/>
      <c r="W242" s="526"/>
    </row>
    <row r="243" spans="1:23">
      <c r="A243" s="252"/>
      <c r="B243" s="2904" t="s">
        <v>727</v>
      </c>
      <c r="C243" s="2904"/>
      <c r="D243" s="2904"/>
      <c r="E243" s="2904"/>
      <c r="F243" s="6"/>
      <c r="G243" s="65"/>
      <c r="H243" s="795"/>
      <c r="I243" s="710"/>
      <c r="J243" s="711"/>
      <c r="K243" s="568"/>
      <c r="L243" s="710"/>
      <c r="M243" s="711"/>
      <c r="N243" s="568"/>
      <c r="O243" s="710"/>
      <c r="P243" s="712"/>
      <c r="Q243" s="568"/>
      <c r="R243" s="762"/>
      <c r="S243" s="762"/>
      <c r="T243" s="568"/>
      <c r="U243" s="762"/>
      <c r="V243" s="762"/>
      <c r="W243" s="568"/>
    </row>
    <row r="244" spans="1:23">
      <c r="A244" s="252"/>
      <c r="B244" s="2903" t="s">
        <v>208</v>
      </c>
      <c r="C244" s="2903"/>
      <c r="D244" s="2903"/>
      <c r="E244" s="2903"/>
      <c r="F244" s="6"/>
      <c r="G244" s="65"/>
      <c r="H244" s="480"/>
      <c r="I244" s="710"/>
      <c r="J244" s="711"/>
      <c r="K244" s="526"/>
      <c r="L244" s="710"/>
      <c r="M244" s="711">
        <v>4</v>
      </c>
      <c r="N244" s="526"/>
      <c r="O244" s="710"/>
      <c r="P244" s="712"/>
      <c r="Q244" s="526"/>
      <c r="R244" s="762"/>
      <c r="S244" s="762"/>
      <c r="T244" s="526"/>
      <c r="U244" s="762"/>
      <c r="V244" s="762"/>
      <c r="W244" s="526"/>
    </row>
    <row r="245" spans="1:23">
      <c r="A245" s="252"/>
      <c r="B245" s="2904" t="s">
        <v>730</v>
      </c>
      <c r="C245" s="2904"/>
      <c r="D245" s="2904"/>
      <c r="E245" s="2904"/>
      <c r="F245" s="6"/>
      <c r="G245" s="65"/>
      <c r="H245" s="481"/>
      <c r="I245" s="710"/>
      <c r="J245" s="711"/>
      <c r="K245" s="553"/>
      <c r="L245" s="710"/>
      <c r="M245" s="711"/>
      <c r="N245" s="553"/>
      <c r="O245" s="710"/>
      <c r="P245" s="712"/>
      <c r="Q245" s="553"/>
      <c r="R245" s="762"/>
      <c r="S245" s="762"/>
      <c r="T245" s="553"/>
      <c r="U245" s="762"/>
      <c r="V245" s="762"/>
      <c r="W245" s="553"/>
    </row>
    <row r="246" spans="1:23">
      <c r="A246" s="252"/>
      <c r="B246" s="2903" t="s">
        <v>728</v>
      </c>
      <c r="C246" s="2903"/>
      <c r="D246" s="2903"/>
      <c r="E246" s="2903"/>
      <c r="F246" s="6"/>
      <c r="G246" s="65"/>
      <c r="H246" s="796"/>
      <c r="I246" s="710"/>
      <c r="J246" s="711"/>
      <c r="K246" s="619"/>
      <c r="L246" s="710"/>
      <c r="M246" s="711"/>
      <c r="N246" s="619"/>
      <c r="O246" s="710"/>
      <c r="P246" s="712"/>
      <c r="Q246" s="619"/>
      <c r="R246" s="762"/>
      <c r="S246" s="762"/>
      <c r="T246" s="619"/>
      <c r="U246" s="762"/>
      <c r="V246" s="762"/>
      <c r="W246" s="619"/>
    </row>
    <row r="247" spans="1:23">
      <c r="A247" s="252"/>
      <c r="B247" s="2903" t="s">
        <v>728</v>
      </c>
      <c r="C247" s="2903"/>
      <c r="D247" s="2903"/>
      <c r="E247" s="2903"/>
      <c r="F247" s="6"/>
      <c r="G247" s="65"/>
      <c r="H247" s="796"/>
      <c r="I247" s="710"/>
      <c r="J247" s="711"/>
      <c r="K247" s="619"/>
      <c r="L247" s="710"/>
      <c r="M247" s="711"/>
      <c r="N247" s="619"/>
      <c r="O247" s="710"/>
      <c r="P247" s="712"/>
      <c r="Q247" s="619"/>
      <c r="R247" s="762"/>
      <c r="S247" s="762"/>
      <c r="T247" s="619"/>
      <c r="U247" s="762"/>
      <c r="V247" s="762"/>
      <c r="W247" s="619"/>
    </row>
    <row r="248" spans="1:23">
      <c r="A248" s="252"/>
      <c r="B248" s="2903" t="s">
        <v>253</v>
      </c>
      <c r="C248" s="2903"/>
      <c r="D248" s="2903"/>
      <c r="E248" s="2903"/>
      <c r="F248" s="6"/>
      <c r="G248" s="65"/>
      <c r="H248" s="480"/>
      <c r="I248" s="710"/>
      <c r="J248" s="711"/>
      <c r="K248" s="526"/>
      <c r="L248" s="710"/>
      <c r="M248" s="711"/>
      <c r="N248" s="526"/>
      <c r="O248" s="710"/>
      <c r="P248" s="712"/>
      <c r="Q248" s="526"/>
      <c r="R248" s="762"/>
      <c r="S248" s="762"/>
      <c r="T248" s="526"/>
      <c r="U248" s="762"/>
      <c r="V248" s="762"/>
      <c r="W248" s="526"/>
    </row>
    <row r="249" spans="1:23">
      <c r="A249" s="252"/>
      <c r="B249" s="2904" t="s">
        <v>244</v>
      </c>
      <c r="C249" s="2904"/>
      <c r="D249" s="2904"/>
      <c r="E249" s="2904"/>
      <c r="F249" s="6"/>
      <c r="G249" s="63"/>
      <c r="H249" s="480"/>
      <c r="I249" s="710"/>
      <c r="J249" s="582"/>
      <c r="K249" s="526"/>
      <c r="L249" s="710"/>
      <c r="M249" s="582">
        <v>2</v>
      </c>
      <c r="N249" s="526"/>
      <c r="O249" s="710"/>
      <c r="P249" s="582"/>
      <c r="Q249" s="526"/>
      <c r="R249" s="762"/>
      <c r="S249" s="762"/>
      <c r="T249" s="526"/>
      <c r="U249" s="762"/>
      <c r="V249" s="762"/>
      <c r="W249" s="526"/>
    </row>
    <row r="250" spans="1:23">
      <c r="A250" s="252"/>
      <c r="B250" s="2903" t="s">
        <v>683</v>
      </c>
      <c r="C250" s="2903"/>
      <c r="D250" s="2903"/>
      <c r="E250" s="2903"/>
      <c r="F250" s="6"/>
      <c r="G250" s="65"/>
      <c r="H250" s="480"/>
      <c r="I250" s="710"/>
      <c r="J250" s="711"/>
      <c r="K250" s="526"/>
      <c r="L250" s="710"/>
      <c r="M250" s="711"/>
      <c r="N250" s="526"/>
      <c r="O250" s="710"/>
      <c r="P250" s="712"/>
      <c r="Q250" s="526"/>
      <c r="R250" s="762"/>
      <c r="S250" s="762"/>
      <c r="T250" s="526"/>
      <c r="U250" s="762"/>
      <c r="V250" s="762"/>
      <c r="W250" s="526"/>
    </row>
    <row r="251" spans="1:23">
      <c r="A251" s="252"/>
      <c r="B251" s="2903" t="s">
        <v>246</v>
      </c>
      <c r="C251" s="2903"/>
      <c r="D251" s="2903"/>
      <c r="E251" s="2903"/>
      <c r="F251" s="6"/>
      <c r="G251" s="63"/>
      <c r="H251" s="480"/>
      <c r="I251" s="710"/>
      <c r="J251" s="582"/>
      <c r="K251" s="526"/>
      <c r="L251" s="710"/>
      <c r="M251" s="582">
        <v>0</v>
      </c>
      <c r="N251" s="526"/>
      <c r="O251" s="710"/>
      <c r="P251" s="582"/>
      <c r="Q251" s="526"/>
      <c r="R251" s="762"/>
      <c r="S251" s="762"/>
      <c r="T251" s="526"/>
      <c r="U251" s="762"/>
      <c r="V251" s="762"/>
      <c r="W251" s="526"/>
    </row>
    <row r="252" spans="1:23">
      <c r="A252" s="252"/>
      <c r="B252" s="2904" t="s">
        <v>247</v>
      </c>
      <c r="C252" s="2904"/>
      <c r="D252" s="2904"/>
      <c r="E252" s="2904"/>
      <c r="H252" s="480"/>
      <c r="I252" s="713"/>
      <c r="J252" s="713"/>
      <c r="K252" s="526"/>
      <c r="L252" s="713"/>
      <c r="M252" s="713"/>
      <c r="N252" s="526"/>
      <c r="O252" s="713"/>
      <c r="P252" s="713"/>
      <c r="Q252" s="526"/>
      <c r="R252" s="762"/>
      <c r="S252" s="762"/>
      <c r="T252" s="526"/>
      <c r="U252" s="762"/>
      <c r="V252" s="762"/>
      <c r="W252" s="526"/>
    </row>
    <row r="253" spans="1:23">
      <c r="A253" s="252"/>
      <c r="B253" s="2903" t="s">
        <v>248</v>
      </c>
      <c r="C253" s="2903"/>
      <c r="D253" s="2903"/>
      <c r="E253" s="2903"/>
      <c r="F253" s="6"/>
      <c r="G253" s="63"/>
      <c r="H253" s="480"/>
      <c r="I253" s="710"/>
      <c r="J253" s="582"/>
      <c r="K253" s="526"/>
      <c r="L253" s="710"/>
      <c r="M253" s="582">
        <v>2.5</v>
      </c>
      <c r="N253" s="526"/>
      <c r="O253" s="710"/>
      <c r="P253" s="582"/>
      <c r="Q253" s="526"/>
      <c r="R253" s="762"/>
      <c r="S253" s="762"/>
      <c r="T253" s="526"/>
      <c r="U253" s="762"/>
      <c r="V253" s="762"/>
      <c r="W253" s="526"/>
    </row>
    <row r="254" spans="1:23">
      <c r="A254" s="252"/>
      <c r="B254" s="2903" t="s">
        <v>243</v>
      </c>
      <c r="C254" s="2903"/>
      <c r="D254" s="2903"/>
      <c r="E254" s="2903"/>
      <c r="F254" s="6"/>
      <c r="G254" s="63"/>
      <c r="H254" s="480"/>
      <c r="I254" s="710"/>
      <c r="J254" s="582"/>
      <c r="K254" s="526"/>
      <c r="L254" s="710"/>
      <c r="M254" s="582"/>
      <c r="N254" s="526"/>
      <c r="O254" s="710"/>
      <c r="P254" s="582"/>
      <c r="Q254" s="526"/>
      <c r="R254" s="762"/>
      <c r="S254" s="762"/>
      <c r="T254" s="526"/>
      <c r="U254" s="762"/>
      <c r="V254" s="762"/>
      <c r="W254" s="526"/>
    </row>
    <row r="255" spans="1:23">
      <c r="A255" s="252"/>
      <c r="B255" s="2903" t="s">
        <v>249</v>
      </c>
      <c r="C255" s="2903"/>
      <c r="D255" s="2903"/>
      <c r="E255" s="2903"/>
      <c r="F255" s="6"/>
      <c r="G255" s="63"/>
      <c r="H255" s="480"/>
      <c r="I255" s="710"/>
      <c r="J255" s="582"/>
      <c r="K255" s="526"/>
      <c r="L255" s="710"/>
      <c r="M255" s="582"/>
      <c r="N255" s="526"/>
      <c r="O255" s="710"/>
      <c r="P255" s="582"/>
      <c r="Q255" s="526"/>
      <c r="R255" s="762"/>
      <c r="S255" s="762"/>
      <c r="T255" s="526"/>
      <c r="U255" s="762"/>
      <c r="V255" s="762"/>
      <c r="W255" s="526"/>
    </row>
    <row r="256" spans="1:23">
      <c r="A256" s="252"/>
      <c r="B256" s="2903" t="s">
        <v>650</v>
      </c>
      <c r="C256" s="2903"/>
      <c r="D256" s="2903"/>
      <c r="E256" s="2903"/>
      <c r="F256" s="6"/>
      <c r="G256" s="63"/>
      <c r="H256" s="480"/>
      <c r="I256" s="710"/>
      <c r="J256" s="582"/>
      <c r="K256" s="526"/>
      <c r="L256" s="710"/>
      <c r="M256" s="582">
        <v>30</v>
      </c>
      <c r="N256" s="526"/>
      <c r="O256" s="710"/>
      <c r="P256" s="582"/>
      <c r="Q256" s="526"/>
      <c r="R256" s="762"/>
      <c r="S256" s="762"/>
      <c r="T256" s="526"/>
      <c r="U256" s="762"/>
      <c r="V256" s="762"/>
      <c r="W256" s="526"/>
    </row>
    <row r="257" spans="1:29">
      <c r="A257" s="252"/>
      <c r="B257" s="2903" t="s">
        <v>651</v>
      </c>
      <c r="C257" s="2903"/>
      <c r="D257" s="2903"/>
      <c r="E257" s="2903"/>
      <c r="F257" s="6"/>
      <c r="G257" s="63"/>
      <c r="H257" s="802"/>
      <c r="I257" s="741"/>
      <c r="J257" s="557"/>
      <c r="K257" s="769"/>
      <c r="L257" s="741"/>
      <c r="M257" s="557"/>
      <c r="N257" s="769"/>
      <c r="O257" s="741"/>
      <c r="P257" s="557"/>
      <c r="Q257" s="769"/>
      <c r="R257" s="768"/>
      <c r="S257" s="768"/>
      <c r="T257" s="769"/>
      <c r="U257" s="768"/>
      <c r="V257" s="768"/>
      <c r="W257" s="769"/>
    </row>
    <row r="258" spans="1:29">
      <c r="A258" s="237"/>
      <c r="B258" s="6"/>
      <c r="C258" s="6"/>
      <c r="D258" s="6"/>
      <c r="E258" s="6"/>
      <c r="F258" s="6"/>
      <c r="G258" s="6"/>
      <c r="H258" s="121"/>
      <c r="I258" s="6"/>
      <c r="J258" s="6"/>
      <c r="K258" s="121"/>
      <c r="L258" s="6"/>
      <c r="M258" s="6"/>
      <c r="N258" s="121"/>
      <c r="O258" s="6"/>
      <c r="P258" s="6"/>
      <c r="Q258" s="503"/>
      <c r="R258" s="8"/>
      <c r="S258" s="8"/>
      <c r="T258" s="503"/>
      <c r="U258" s="8"/>
      <c r="V258" s="8"/>
      <c r="W258" s="503"/>
    </row>
    <row r="259" spans="1:29" ht="21.65" customHeight="1">
      <c r="A259" s="2907" t="s">
        <v>733</v>
      </c>
      <c r="B259" s="2907"/>
      <c r="C259" s="2907"/>
      <c r="D259" s="2907"/>
      <c r="E259" s="2907"/>
      <c r="F259" s="2907"/>
      <c r="G259" s="2907"/>
      <c r="H259" s="779"/>
      <c r="I259" s="597"/>
      <c r="J259" s="594"/>
      <c r="K259" s="779"/>
      <c r="L259" s="597"/>
      <c r="M259" s="594"/>
      <c r="N259" s="669"/>
      <c r="O259" s="594"/>
      <c r="P259" s="670"/>
      <c r="Q259" s="671"/>
      <c r="R259" s="682"/>
      <c r="S259" s="682"/>
      <c r="T259" s="682"/>
      <c r="U259" s="682"/>
      <c r="V259" s="682"/>
      <c r="W259" s="682"/>
      <c r="AA259" s="594"/>
      <c r="AB259" s="594"/>
      <c r="AC259" s="594"/>
    </row>
    <row r="260" spans="1:29" ht="18.45">
      <c r="A260" s="1"/>
      <c r="B260" s="502"/>
      <c r="C260" s="50"/>
      <c r="D260" s="50"/>
      <c r="E260" s="50"/>
      <c r="G260" s="13"/>
      <c r="H260" s="60"/>
      <c r="I260" s="6"/>
      <c r="J260" s="65"/>
      <c r="K260" s="60"/>
      <c r="L260" s="6"/>
      <c r="M260" s="65"/>
      <c r="N260" s="60"/>
      <c r="P260" s="66"/>
      <c r="Q260" s="788"/>
      <c r="R260" s="8"/>
      <c r="S260" s="8"/>
      <c r="T260" s="788"/>
      <c r="U260" s="8"/>
      <c r="V260" s="8"/>
      <c r="W260" s="788"/>
    </row>
    <row r="261" spans="1:29">
      <c r="A261" s="252"/>
      <c r="B261" s="2903" t="s">
        <v>139</v>
      </c>
      <c r="C261" s="2903"/>
      <c r="D261" s="2903"/>
      <c r="E261" s="2903"/>
      <c r="F261" s="6"/>
      <c r="G261" s="65"/>
      <c r="H261" s="801"/>
      <c r="I261" s="710"/>
      <c r="J261" s="711"/>
      <c r="K261" s="588"/>
      <c r="L261" s="710"/>
      <c r="M261" s="711"/>
      <c r="N261" s="588"/>
      <c r="O261" s="710"/>
      <c r="P261" s="712"/>
      <c r="Q261" s="588"/>
      <c r="R261" s="762"/>
      <c r="S261" s="762"/>
      <c r="T261" s="588"/>
      <c r="U261" s="762"/>
      <c r="V261" s="762"/>
      <c r="W261" s="588"/>
    </row>
    <row r="262" spans="1:29"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AA262" s="679"/>
      <c r="AB262" s="679"/>
      <c r="AC262" s="679"/>
    </row>
    <row r="263" spans="1:29">
      <c r="A263" s="252"/>
      <c r="B263" s="2903" t="s">
        <v>729</v>
      </c>
      <c r="C263" s="2903"/>
      <c r="D263" s="2903"/>
      <c r="E263" s="2903"/>
      <c r="F263" s="6"/>
      <c r="G263" s="65"/>
      <c r="H263" s="799"/>
      <c r="I263" s="710"/>
      <c r="J263" s="711"/>
      <c r="K263" s="628"/>
      <c r="L263" s="710"/>
      <c r="M263" s="711"/>
      <c r="N263" s="628"/>
      <c r="O263" s="710"/>
      <c r="P263" s="712"/>
      <c r="Q263" s="628"/>
      <c r="R263" s="762"/>
      <c r="S263" s="762"/>
      <c r="T263" s="628"/>
      <c r="U263" s="762"/>
      <c r="V263" s="762"/>
      <c r="W263" s="628"/>
    </row>
    <row r="264" spans="1:29">
      <c r="A264" s="252"/>
      <c r="B264" s="2903" t="s">
        <v>626</v>
      </c>
      <c r="C264" s="2903"/>
      <c r="D264" s="2903"/>
      <c r="E264" s="2903"/>
      <c r="F264" s="6"/>
      <c r="G264" s="65"/>
      <c r="H264" s="480"/>
      <c r="I264" s="710"/>
      <c r="J264" s="711"/>
      <c r="K264" s="526"/>
      <c r="L264" s="710"/>
      <c r="M264" s="711"/>
      <c r="N264" s="526"/>
      <c r="O264" s="710"/>
      <c r="P264" s="712"/>
      <c r="Q264" s="526"/>
      <c r="R264" s="762"/>
      <c r="S264" s="762"/>
      <c r="T264" s="526"/>
      <c r="U264" s="762"/>
      <c r="V264" s="762"/>
      <c r="W264" s="526"/>
    </row>
    <row r="265" spans="1:29">
      <c r="A265" s="252"/>
      <c r="B265" s="2903" t="s">
        <v>725</v>
      </c>
      <c r="C265" s="2903"/>
      <c r="D265" s="2903"/>
      <c r="E265" s="2903"/>
      <c r="F265" s="6"/>
      <c r="G265" s="65"/>
      <c r="H265" s="794"/>
      <c r="I265" s="710"/>
      <c r="J265" s="711"/>
      <c r="K265" s="561"/>
      <c r="L265" s="710"/>
      <c r="M265" s="711"/>
      <c r="N265" s="561"/>
      <c r="O265" s="710"/>
      <c r="P265" s="712"/>
      <c r="Q265" s="561"/>
      <c r="R265" s="762"/>
      <c r="S265" s="762"/>
      <c r="T265" s="561"/>
      <c r="U265" s="762"/>
      <c r="V265" s="762"/>
      <c r="W265" s="561"/>
    </row>
    <row r="266" spans="1:29">
      <c r="A266" s="252"/>
      <c r="B266" s="2904" t="s">
        <v>726</v>
      </c>
      <c r="C266" s="2904"/>
      <c r="D266" s="2904"/>
      <c r="E266" s="2904"/>
      <c r="F266" s="6"/>
      <c r="G266" s="65"/>
      <c r="H266" s="480"/>
      <c r="I266" s="710"/>
      <c r="J266" s="711"/>
      <c r="K266" s="526"/>
      <c r="L266" s="710"/>
      <c r="M266" s="711"/>
      <c r="N266" s="526"/>
      <c r="O266" s="710"/>
      <c r="P266" s="712"/>
      <c r="Q266" s="526"/>
      <c r="R266" s="762"/>
      <c r="S266" s="762"/>
      <c r="T266" s="526"/>
      <c r="U266" s="762"/>
      <c r="V266" s="762"/>
      <c r="W266" s="526"/>
    </row>
    <row r="267" spans="1:29">
      <c r="A267" s="252"/>
      <c r="B267" s="2904" t="s">
        <v>727</v>
      </c>
      <c r="C267" s="2904"/>
      <c r="D267" s="2904"/>
      <c r="E267" s="2904"/>
      <c r="F267" s="6"/>
      <c r="G267" s="65"/>
      <c r="H267" s="795"/>
      <c r="I267" s="710"/>
      <c r="J267" s="711"/>
      <c r="K267" s="568"/>
      <c r="L267" s="710"/>
      <c r="M267" s="711"/>
      <c r="N267" s="568"/>
      <c r="O267" s="710"/>
      <c r="P267" s="712"/>
      <c r="Q267" s="568"/>
      <c r="R267" s="762"/>
      <c r="S267" s="762"/>
      <c r="T267" s="568"/>
      <c r="U267" s="762"/>
      <c r="V267" s="762"/>
      <c r="W267" s="568"/>
    </row>
    <row r="268" spans="1:29">
      <c r="A268" s="252"/>
      <c r="B268" s="2903" t="s">
        <v>208</v>
      </c>
      <c r="C268" s="2903"/>
      <c r="D268" s="2903"/>
      <c r="E268" s="2903"/>
      <c r="F268" s="6"/>
      <c r="G268" s="65"/>
      <c r="H268" s="480"/>
      <c r="I268" s="710"/>
      <c r="J268" s="711"/>
      <c r="K268" s="526"/>
      <c r="L268" s="710"/>
      <c r="M268" s="711"/>
      <c r="N268" s="526"/>
      <c r="O268" s="710"/>
      <c r="P268" s="712"/>
      <c r="Q268" s="526"/>
      <c r="R268" s="762"/>
      <c r="S268" s="762"/>
      <c r="T268" s="526"/>
      <c r="U268" s="762"/>
      <c r="V268" s="762"/>
      <c r="W268" s="526"/>
    </row>
    <row r="269" spans="1:29">
      <c r="A269" s="252"/>
      <c r="B269" s="2904" t="s">
        <v>730</v>
      </c>
      <c r="C269" s="2904"/>
      <c r="D269" s="2904"/>
      <c r="E269" s="2904"/>
      <c r="F269" s="6"/>
      <c r="G269" s="63"/>
      <c r="H269" s="481"/>
      <c r="I269" s="710"/>
      <c r="J269" s="582"/>
      <c r="K269" s="553"/>
      <c r="L269" s="748"/>
      <c r="M269" s="711"/>
      <c r="N269" s="553"/>
      <c r="O269" s="710"/>
      <c r="P269" s="582"/>
      <c r="Q269" s="553"/>
      <c r="R269" s="762"/>
      <c r="S269" s="762"/>
      <c r="T269" s="553"/>
      <c r="U269" s="762"/>
      <c r="V269" s="762"/>
      <c r="W269" s="553"/>
    </row>
    <row r="270" spans="1:29">
      <c r="A270" s="252"/>
      <c r="B270" s="2903" t="s">
        <v>728</v>
      </c>
      <c r="C270" s="2903"/>
      <c r="D270" s="2903"/>
      <c r="E270" s="2903"/>
      <c r="F270" s="6"/>
      <c r="G270" s="63"/>
      <c r="H270" s="796"/>
      <c r="I270" s="710"/>
      <c r="J270" s="582"/>
      <c r="K270" s="619"/>
      <c r="L270" s="748"/>
      <c r="M270" s="711"/>
      <c r="N270" s="619"/>
      <c r="O270" s="710"/>
      <c r="P270" s="582"/>
      <c r="Q270" s="619"/>
      <c r="R270" s="762"/>
      <c r="S270" s="762"/>
      <c r="T270" s="619"/>
      <c r="U270" s="762"/>
      <c r="V270" s="762"/>
      <c r="W270" s="619"/>
    </row>
    <row r="271" spans="1:29">
      <c r="A271" s="252"/>
      <c r="B271" s="2903" t="s">
        <v>728</v>
      </c>
      <c r="C271" s="2903"/>
      <c r="D271" s="2903"/>
      <c r="E271" s="2903"/>
      <c r="F271" s="6"/>
      <c r="G271" s="63"/>
      <c r="H271" s="796"/>
      <c r="I271" s="710"/>
      <c r="J271" s="582"/>
      <c r="K271" s="619"/>
      <c r="L271" s="748"/>
      <c r="M271" s="711"/>
      <c r="N271" s="619"/>
      <c r="O271" s="710"/>
      <c r="P271" s="582"/>
      <c r="Q271" s="619"/>
      <c r="R271" s="762"/>
      <c r="S271" s="762"/>
      <c r="T271" s="619"/>
      <c r="U271" s="762"/>
      <c r="V271" s="762"/>
      <c r="W271" s="619"/>
    </row>
    <row r="272" spans="1:29">
      <c r="A272" s="252"/>
      <c r="B272" s="2903" t="s">
        <v>253</v>
      </c>
      <c r="C272" s="2903"/>
      <c r="D272" s="2903"/>
      <c r="E272" s="2903"/>
      <c r="F272" s="6"/>
      <c r="G272" s="65"/>
      <c r="H272" s="480"/>
      <c r="I272" s="710"/>
      <c r="J272" s="711"/>
      <c r="K272" s="526"/>
      <c r="L272" s="710"/>
      <c r="M272" s="711"/>
      <c r="N272" s="526"/>
      <c r="O272" s="710"/>
      <c r="P272" s="712"/>
      <c r="Q272" s="526"/>
      <c r="R272" s="762"/>
      <c r="S272" s="762"/>
      <c r="T272" s="526"/>
      <c r="U272" s="762"/>
      <c r="V272" s="762"/>
      <c r="W272" s="526"/>
    </row>
    <row r="273" spans="1:29">
      <c r="A273" s="252"/>
      <c r="B273" s="2904" t="s">
        <v>244</v>
      </c>
      <c r="C273" s="2904"/>
      <c r="D273" s="2904"/>
      <c r="E273" s="2904"/>
      <c r="F273" s="6"/>
      <c r="G273" s="63"/>
      <c r="H273" s="480"/>
      <c r="I273" s="710"/>
      <c r="J273" s="582"/>
      <c r="K273" s="526"/>
      <c r="L273" s="748"/>
      <c r="M273" s="711"/>
      <c r="N273" s="526"/>
      <c r="O273" s="710"/>
      <c r="P273" s="582"/>
      <c r="Q273" s="526"/>
      <c r="R273" s="762"/>
      <c r="S273" s="762"/>
      <c r="T273" s="526"/>
      <c r="U273" s="762"/>
      <c r="V273" s="762"/>
      <c r="W273" s="526"/>
    </row>
    <row r="274" spans="1:29">
      <c r="A274" s="252"/>
      <c r="B274" s="2903" t="s">
        <v>683</v>
      </c>
      <c r="C274" s="2903"/>
      <c r="D274" s="2903"/>
      <c r="E274" s="2903"/>
      <c r="F274" s="6"/>
      <c r="G274" s="63"/>
      <c r="H274" s="480"/>
      <c r="I274" s="710"/>
      <c r="J274" s="582"/>
      <c r="K274" s="526"/>
      <c r="L274" s="748"/>
      <c r="M274" s="711"/>
      <c r="N274" s="526"/>
      <c r="O274" s="710"/>
      <c r="P274" s="582"/>
      <c r="Q274" s="526"/>
      <c r="R274" s="762"/>
      <c r="S274" s="762"/>
      <c r="T274" s="526"/>
      <c r="U274" s="762"/>
      <c r="V274" s="762"/>
      <c r="W274" s="526"/>
    </row>
    <row r="275" spans="1:29">
      <c r="A275" s="252"/>
      <c r="B275" s="2903" t="s">
        <v>246</v>
      </c>
      <c r="C275" s="2903"/>
      <c r="D275" s="2903"/>
      <c r="E275" s="2903"/>
      <c r="F275" s="6"/>
      <c r="G275" s="63"/>
      <c r="H275" s="480"/>
      <c r="I275" s="710"/>
      <c r="J275" s="582"/>
      <c r="K275" s="526"/>
      <c r="L275" s="748"/>
      <c r="M275" s="711"/>
      <c r="N275" s="526"/>
      <c r="O275" s="710"/>
      <c r="P275" s="582"/>
      <c r="Q275" s="526"/>
      <c r="R275" s="762"/>
      <c r="S275" s="762"/>
      <c r="T275" s="526"/>
      <c r="U275" s="762"/>
      <c r="V275" s="762"/>
      <c r="W275" s="526"/>
    </row>
    <row r="276" spans="1:29">
      <c r="A276" s="252"/>
      <c r="B276" s="2904" t="s">
        <v>247</v>
      </c>
      <c r="C276" s="2904"/>
      <c r="D276" s="2904"/>
      <c r="E276" s="2904"/>
      <c r="F276" s="6"/>
      <c r="G276" s="63"/>
      <c r="H276" s="480"/>
      <c r="I276" s="710"/>
      <c r="J276" s="582"/>
      <c r="K276" s="526"/>
      <c r="L276" s="748"/>
      <c r="M276" s="711"/>
      <c r="N276" s="526"/>
      <c r="O276" s="710"/>
      <c r="P276" s="582"/>
      <c r="Q276" s="526"/>
      <c r="R276" s="762"/>
      <c r="S276" s="762"/>
      <c r="T276" s="526"/>
      <c r="U276" s="762"/>
      <c r="V276" s="762"/>
      <c r="W276" s="526"/>
    </row>
    <row r="277" spans="1:29">
      <c r="A277" s="252"/>
      <c r="B277" s="2903" t="s">
        <v>248</v>
      </c>
      <c r="C277" s="2903"/>
      <c r="D277" s="2903"/>
      <c r="E277" s="2903"/>
      <c r="F277" s="6"/>
      <c r="G277" s="63"/>
      <c r="H277" s="480"/>
      <c r="I277" s="710"/>
      <c r="J277" s="582"/>
      <c r="K277" s="526"/>
      <c r="L277" s="748"/>
      <c r="M277" s="711"/>
      <c r="N277" s="526"/>
      <c r="O277" s="710"/>
      <c r="P277" s="582"/>
      <c r="Q277" s="526"/>
      <c r="R277" s="762"/>
      <c r="S277" s="762"/>
      <c r="T277" s="526"/>
      <c r="U277" s="762"/>
      <c r="V277" s="762"/>
      <c r="W277" s="526"/>
    </row>
    <row r="278" spans="1:29">
      <c r="A278" s="252"/>
      <c r="B278" s="2903" t="s">
        <v>243</v>
      </c>
      <c r="C278" s="2903"/>
      <c r="D278" s="2903"/>
      <c r="E278" s="2903"/>
      <c r="F278" s="6"/>
      <c r="G278" s="63"/>
      <c r="H278" s="480"/>
      <c r="I278" s="710"/>
      <c r="J278" s="582"/>
      <c r="K278" s="526"/>
      <c r="L278" s="748"/>
      <c r="M278" s="711"/>
      <c r="N278" s="526"/>
      <c r="O278" s="710"/>
      <c r="P278" s="582"/>
      <c r="Q278" s="526"/>
      <c r="R278" s="762"/>
      <c r="S278" s="762"/>
      <c r="T278" s="526"/>
      <c r="U278" s="762"/>
      <c r="V278" s="762"/>
      <c r="W278" s="526"/>
    </row>
    <row r="279" spans="1:29">
      <c r="A279" s="252"/>
      <c r="B279" s="2903" t="s">
        <v>249</v>
      </c>
      <c r="C279" s="2903"/>
      <c r="D279" s="2903"/>
      <c r="E279" s="2903"/>
      <c r="F279" s="6"/>
      <c r="G279" s="63"/>
      <c r="H279" s="480"/>
      <c r="I279" s="710"/>
      <c r="J279" s="582"/>
      <c r="K279" s="526"/>
      <c r="L279" s="748"/>
      <c r="M279" s="711"/>
      <c r="N279" s="526"/>
      <c r="O279" s="710"/>
      <c r="P279" s="582"/>
      <c r="Q279" s="526"/>
      <c r="R279" s="762"/>
      <c r="S279" s="762"/>
      <c r="T279" s="526"/>
      <c r="U279" s="762"/>
      <c r="V279" s="762"/>
      <c r="W279" s="526"/>
    </row>
    <row r="280" spans="1:29">
      <c r="A280" s="252"/>
      <c r="B280" s="2903" t="s">
        <v>650</v>
      </c>
      <c r="C280" s="2903"/>
      <c r="D280" s="2903"/>
      <c r="E280" s="2903"/>
      <c r="F280" s="6"/>
      <c r="G280" s="63"/>
      <c r="H280" s="480"/>
      <c r="I280" s="710"/>
      <c r="J280" s="582"/>
      <c r="K280" s="526"/>
      <c r="L280" s="748"/>
      <c r="M280" s="711"/>
      <c r="N280" s="526"/>
      <c r="O280" s="710"/>
      <c r="P280" s="582"/>
      <c r="Q280" s="526"/>
      <c r="R280" s="762"/>
      <c r="S280" s="762"/>
      <c r="T280" s="526"/>
      <c r="U280" s="762"/>
      <c r="V280" s="762"/>
      <c r="W280" s="526"/>
    </row>
    <row r="281" spans="1:29">
      <c r="A281" s="252"/>
      <c r="B281" s="2903" t="s">
        <v>651</v>
      </c>
      <c r="C281" s="2903"/>
      <c r="D281" s="2903"/>
      <c r="E281" s="2903"/>
      <c r="F281" s="6"/>
      <c r="G281" s="63"/>
      <c r="H281" s="797"/>
      <c r="I281" s="710"/>
      <c r="J281" s="582"/>
      <c r="K281" s="562"/>
      <c r="L281" s="748"/>
      <c r="M281" s="711"/>
      <c r="N281" s="562"/>
      <c r="O281" s="710"/>
      <c r="P281" s="582"/>
      <c r="Q281" s="562"/>
      <c r="R281" s="762"/>
      <c r="S281" s="762"/>
      <c r="T281" s="562"/>
      <c r="U281" s="762"/>
      <c r="V281" s="762"/>
      <c r="W281" s="562"/>
    </row>
    <row r="282" spans="1:29"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AA282" s="679"/>
      <c r="AB282" s="679"/>
      <c r="AC282" s="679"/>
    </row>
    <row r="283" spans="1:29">
      <c r="A283" s="252"/>
      <c r="B283" s="2903" t="s">
        <v>729</v>
      </c>
      <c r="C283" s="2903"/>
      <c r="D283" s="2903"/>
      <c r="E283" s="2903"/>
      <c r="F283" s="6"/>
      <c r="G283" s="65"/>
      <c r="H283" s="799"/>
      <c r="I283" s="710"/>
      <c r="J283" s="711"/>
      <c r="K283" s="628"/>
      <c r="L283" s="710"/>
      <c r="M283" s="711"/>
      <c r="N283" s="628"/>
      <c r="O283" s="710"/>
      <c r="P283" s="712"/>
      <c r="Q283" s="628"/>
      <c r="R283" s="762"/>
      <c r="S283" s="762"/>
      <c r="T283" s="628"/>
      <c r="U283" s="762"/>
      <c r="V283" s="762"/>
      <c r="W283" s="628"/>
    </row>
    <row r="284" spans="1:29">
      <c r="A284" s="252"/>
      <c r="B284" s="2903" t="s">
        <v>626</v>
      </c>
      <c r="C284" s="2903"/>
      <c r="D284" s="2903"/>
      <c r="E284" s="2903"/>
      <c r="F284" s="6"/>
      <c r="G284" s="63"/>
      <c r="H284" s="480"/>
      <c r="I284" s="710"/>
      <c r="J284" s="582"/>
      <c r="K284" s="526"/>
      <c r="L284" s="748"/>
      <c r="M284" s="711" t="s">
        <v>37</v>
      </c>
      <c r="N284" s="526"/>
      <c r="O284" s="710"/>
      <c r="P284" s="582"/>
      <c r="Q284" s="526"/>
      <c r="R284" s="762"/>
      <c r="S284" s="762"/>
      <c r="T284" s="526"/>
      <c r="U284" s="762"/>
      <c r="V284" s="762"/>
      <c r="W284" s="526"/>
    </row>
    <row r="285" spans="1:29">
      <c r="A285" s="252"/>
      <c r="B285" s="2903" t="s">
        <v>725</v>
      </c>
      <c r="C285" s="2903"/>
      <c r="D285" s="2903"/>
      <c r="E285" s="2903"/>
      <c r="F285" s="6"/>
      <c r="G285" s="63"/>
      <c r="H285" s="794"/>
      <c r="I285" s="710"/>
      <c r="J285" s="582"/>
      <c r="K285" s="561"/>
      <c r="L285" s="748"/>
      <c r="M285" s="711"/>
      <c r="N285" s="561"/>
      <c r="O285" s="710"/>
      <c r="P285" s="582"/>
      <c r="Q285" s="561"/>
      <c r="R285" s="762"/>
      <c r="S285" s="762"/>
      <c r="T285" s="561"/>
      <c r="U285" s="762"/>
      <c r="V285" s="762"/>
      <c r="W285" s="561"/>
    </row>
    <row r="286" spans="1:29">
      <c r="A286" s="252"/>
      <c r="B286" s="2904" t="s">
        <v>726</v>
      </c>
      <c r="C286" s="2904"/>
      <c r="D286" s="2904"/>
      <c r="E286" s="2904"/>
      <c r="F286" s="6"/>
      <c r="G286" s="63"/>
      <c r="H286" s="480"/>
      <c r="I286" s="710"/>
      <c r="J286" s="582"/>
      <c r="K286" s="526"/>
      <c r="L286" s="748"/>
      <c r="M286" s="711"/>
      <c r="N286" s="526"/>
      <c r="O286" s="710"/>
      <c r="P286" s="582"/>
      <c r="Q286" s="526"/>
      <c r="R286" s="762"/>
      <c r="S286" s="762"/>
      <c r="T286" s="526"/>
      <c r="U286" s="762"/>
      <c r="V286" s="762"/>
      <c r="W286" s="526"/>
    </row>
    <row r="287" spans="1:29">
      <c r="A287" s="252"/>
      <c r="B287" s="2904" t="s">
        <v>727</v>
      </c>
      <c r="C287" s="2904"/>
      <c r="D287" s="2904"/>
      <c r="E287" s="2904"/>
      <c r="F287" s="6"/>
      <c r="G287" s="65"/>
      <c r="H287" s="795"/>
      <c r="I287" s="710"/>
      <c r="J287" s="711"/>
      <c r="K287" s="568"/>
      <c r="L287" s="710"/>
      <c r="M287" s="711"/>
      <c r="N287" s="568"/>
      <c r="O287" s="710"/>
      <c r="P287" s="712"/>
      <c r="Q287" s="568"/>
      <c r="R287" s="762"/>
      <c r="S287" s="762"/>
      <c r="T287" s="568"/>
      <c r="U287" s="762"/>
      <c r="V287" s="762"/>
      <c r="W287" s="568"/>
    </row>
    <row r="288" spans="1:29">
      <c r="A288" s="252"/>
      <c r="B288" s="2903" t="s">
        <v>208</v>
      </c>
      <c r="C288" s="2903"/>
      <c r="D288" s="2903"/>
      <c r="E288" s="2903"/>
      <c r="F288" s="6"/>
      <c r="G288" s="65"/>
      <c r="H288" s="480"/>
      <c r="I288" s="710"/>
      <c r="J288" s="711"/>
      <c r="K288" s="526"/>
      <c r="L288" s="710"/>
      <c r="M288" s="711">
        <v>4</v>
      </c>
      <c r="N288" s="526"/>
      <c r="O288" s="710"/>
      <c r="P288" s="712"/>
      <c r="Q288" s="526"/>
      <c r="R288" s="762"/>
      <c r="S288" s="762"/>
      <c r="T288" s="526"/>
      <c r="U288" s="762"/>
      <c r="V288" s="762"/>
      <c r="W288" s="526"/>
    </row>
    <row r="289" spans="1:29">
      <c r="A289" s="252"/>
      <c r="B289" s="2904" t="s">
        <v>730</v>
      </c>
      <c r="C289" s="2904"/>
      <c r="D289" s="2904"/>
      <c r="E289" s="2904"/>
      <c r="F289" s="6"/>
      <c r="G289" s="65"/>
      <c r="H289" s="481"/>
      <c r="I289" s="710"/>
      <c r="J289" s="711"/>
      <c r="K289" s="553"/>
      <c r="L289" s="710"/>
      <c r="M289" s="711"/>
      <c r="N289" s="553"/>
      <c r="O289" s="710"/>
      <c r="P289" s="712"/>
      <c r="Q289" s="553"/>
      <c r="R289" s="762"/>
      <c r="S289" s="762"/>
      <c r="T289" s="553"/>
      <c r="U289" s="762"/>
      <c r="V289" s="762"/>
      <c r="W289" s="553"/>
    </row>
    <row r="290" spans="1:29">
      <c r="A290" s="252"/>
      <c r="B290" s="2903" t="s">
        <v>728</v>
      </c>
      <c r="C290" s="2903"/>
      <c r="D290" s="2903"/>
      <c r="E290" s="2903"/>
      <c r="F290" s="6"/>
      <c r="G290" s="65"/>
      <c r="H290" s="796"/>
      <c r="I290" s="710"/>
      <c r="J290" s="711"/>
      <c r="K290" s="619"/>
      <c r="L290" s="710"/>
      <c r="M290" s="711"/>
      <c r="N290" s="619"/>
      <c r="O290" s="710"/>
      <c r="P290" s="712"/>
      <c r="Q290" s="619"/>
      <c r="R290" s="762"/>
      <c r="S290" s="762"/>
      <c r="T290" s="619"/>
      <c r="U290" s="762"/>
      <c r="V290" s="762"/>
      <c r="W290" s="619"/>
    </row>
    <row r="291" spans="1:29">
      <c r="A291" s="252"/>
      <c r="B291" s="2903" t="s">
        <v>728</v>
      </c>
      <c r="C291" s="2903"/>
      <c r="D291" s="2903"/>
      <c r="E291" s="2903"/>
      <c r="F291" s="6"/>
      <c r="G291" s="65"/>
      <c r="H291" s="796"/>
      <c r="I291" s="710"/>
      <c r="J291" s="711"/>
      <c r="K291" s="619"/>
      <c r="L291" s="710"/>
      <c r="M291" s="711"/>
      <c r="N291" s="619"/>
      <c r="O291" s="710"/>
      <c r="P291" s="712"/>
      <c r="Q291" s="619"/>
      <c r="R291" s="762"/>
      <c r="S291" s="762"/>
      <c r="T291" s="619"/>
      <c r="U291" s="762"/>
      <c r="V291" s="762"/>
      <c r="W291" s="619"/>
    </row>
    <row r="292" spans="1:29">
      <c r="A292" s="252"/>
      <c r="B292" s="2903" t="s">
        <v>253</v>
      </c>
      <c r="C292" s="2903"/>
      <c r="D292" s="2903"/>
      <c r="E292" s="2903"/>
      <c r="F292" s="6"/>
      <c r="G292" s="65"/>
      <c r="H292" s="480"/>
      <c r="I292" s="710"/>
      <c r="J292" s="711"/>
      <c r="K292" s="526"/>
      <c r="L292" s="710"/>
      <c r="M292" s="711"/>
      <c r="N292" s="526"/>
      <c r="O292" s="710"/>
      <c r="P292" s="712"/>
      <c r="Q292" s="526"/>
      <c r="R292" s="762"/>
      <c r="S292" s="762"/>
      <c r="T292" s="526"/>
      <c r="U292" s="762"/>
      <c r="V292" s="762"/>
      <c r="W292" s="526"/>
    </row>
    <row r="293" spans="1:29">
      <c r="A293" s="252"/>
      <c r="B293" s="2904" t="s">
        <v>244</v>
      </c>
      <c r="C293" s="2904"/>
      <c r="D293" s="2904"/>
      <c r="E293" s="2904"/>
      <c r="F293" s="6"/>
      <c r="G293" s="63"/>
      <c r="H293" s="480"/>
      <c r="I293" s="710"/>
      <c r="J293" s="582"/>
      <c r="K293" s="526"/>
      <c r="L293" s="748"/>
      <c r="M293" s="711"/>
      <c r="N293" s="526"/>
      <c r="O293" s="710"/>
      <c r="P293" s="582"/>
      <c r="Q293" s="526"/>
      <c r="R293" s="762"/>
      <c r="S293" s="762"/>
      <c r="T293" s="526"/>
      <c r="U293" s="762"/>
      <c r="V293" s="762"/>
      <c r="W293" s="526"/>
    </row>
    <row r="294" spans="1:29">
      <c r="A294" s="252"/>
      <c r="B294" s="2903" t="s">
        <v>683</v>
      </c>
      <c r="C294" s="2903"/>
      <c r="D294" s="2903"/>
      <c r="E294" s="2903"/>
      <c r="F294" s="6"/>
      <c r="G294" s="63"/>
      <c r="H294" s="480"/>
      <c r="I294" s="710"/>
      <c r="J294" s="582"/>
      <c r="K294" s="526"/>
      <c r="L294" s="748"/>
      <c r="M294" s="711"/>
      <c r="N294" s="526"/>
      <c r="O294" s="710"/>
      <c r="P294" s="582"/>
      <c r="Q294" s="526"/>
      <c r="R294" s="762"/>
      <c r="S294" s="762"/>
      <c r="T294" s="526"/>
      <c r="U294" s="762"/>
      <c r="V294" s="762"/>
      <c r="W294" s="526"/>
    </row>
    <row r="295" spans="1:29">
      <c r="A295" s="252"/>
      <c r="B295" s="2903" t="s">
        <v>246</v>
      </c>
      <c r="C295" s="2903"/>
      <c r="D295" s="2903"/>
      <c r="E295" s="2903"/>
      <c r="F295" s="6"/>
      <c r="G295" s="63"/>
      <c r="H295" s="480"/>
      <c r="I295" s="710"/>
      <c r="J295" s="582"/>
      <c r="K295" s="526"/>
      <c r="L295" s="748"/>
      <c r="M295" s="711"/>
      <c r="N295" s="526"/>
      <c r="O295" s="710"/>
      <c r="P295" s="582"/>
      <c r="Q295" s="526"/>
      <c r="R295" s="762"/>
      <c r="S295" s="762"/>
      <c r="T295" s="526"/>
      <c r="U295" s="762"/>
      <c r="V295" s="762"/>
      <c r="W295" s="526"/>
    </row>
    <row r="296" spans="1:29">
      <c r="A296" s="252"/>
      <c r="B296" s="2904" t="s">
        <v>247</v>
      </c>
      <c r="C296" s="2904"/>
      <c r="D296" s="2904"/>
      <c r="E296" s="2904"/>
      <c r="F296" s="6"/>
      <c r="G296" s="63"/>
      <c r="H296" s="480"/>
      <c r="I296" s="710"/>
      <c r="J296" s="582"/>
      <c r="K296" s="526"/>
      <c r="L296" s="748"/>
      <c r="M296" s="711"/>
      <c r="N296" s="526"/>
      <c r="O296" s="710"/>
      <c r="P296" s="582"/>
      <c r="Q296" s="526"/>
      <c r="R296" s="762"/>
      <c r="S296" s="762"/>
      <c r="T296" s="526"/>
      <c r="U296" s="762"/>
      <c r="V296" s="762"/>
      <c r="W296" s="526"/>
    </row>
    <row r="297" spans="1:29">
      <c r="A297" s="252"/>
      <c r="B297" s="2903" t="s">
        <v>248</v>
      </c>
      <c r="C297" s="2903"/>
      <c r="D297" s="2903"/>
      <c r="E297" s="2903"/>
      <c r="F297" s="6"/>
      <c r="G297" s="63"/>
      <c r="H297" s="480"/>
      <c r="I297" s="710"/>
      <c r="J297" s="582"/>
      <c r="K297" s="526"/>
      <c r="L297" s="748"/>
      <c r="M297" s="711"/>
      <c r="N297" s="526"/>
      <c r="O297" s="710"/>
      <c r="P297" s="582"/>
      <c r="Q297" s="526"/>
      <c r="R297" s="762"/>
      <c r="S297" s="762"/>
      <c r="T297" s="526"/>
      <c r="U297" s="762"/>
      <c r="V297" s="762"/>
      <c r="W297" s="526"/>
    </row>
    <row r="298" spans="1:29">
      <c r="A298" s="252"/>
      <c r="B298" s="2903" t="s">
        <v>243</v>
      </c>
      <c r="C298" s="2903"/>
      <c r="D298" s="2903"/>
      <c r="E298" s="2903"/>
      <c r="F298" s="6"/>
      <c r="G298" s="63"/>
      <c r="H298" s="480"/>
      <c r="I298" s="710"/>
      <c r="J298" s="582"/>
      <c r="K298" s="526"/>
      <c r="L298" s="748"/>
      <c r="M298" s="711"/>
      <c r="N298" s="526"/>
      <c r="O298" s="710"/>
      <c r="P298" s="582"/>
      <c r="Q298" s="526"/>
      <c r="R298" s="762"/>
      <c r="S298" s="762"/>
      <c r="T298" s="526"/>
      <c r="U298" s="762"/>
      <c r="V298" s="762"/>
      <c r="W298" s="526"/>
    </row>
    <row r="299" spans="1:29">
      <c r="A299" s="252"/>
      <c r="B299" s="2903" t="s">
        <v>249</v>
      </c>
      <c r="C299" s="2903"/>
      <c r="D299" s="2903"/>
      <c r="E299" s="2903"/>
      <c r="F299" s="6"/>
      <c r="G299" s="63"/>
      <c r="H299" s="480"/>
      <c r="I299" s="710"/>
      <c r="J299" s="582"/>
      <c r="K299" s="526"/>
      <c r="L299" s="748"/>
      <c r="M299" s="711"/>
      <c r="N299" s="526"/>
      <c r="O299" s="710"/>
      <c r="P299" s="582"/>
      <c r="Q299" s="526"/>
      <c r="R299" s="762"/>
      <c r="S299" s="762"/>
      <c r="T299" s="526"/>
      <c r="U299" s="762"/>
      <c r="V299" s="762"/>
      <c r="W299" s="526"/>
    </row>
    <row r="300" spans="1:29">
      <c r="A300" s="252"/>
      <c r="B300" s="2903" t="s">
        <v>650</v>
      </c>
      <c r="C300" s="2903"/>
      <c r="D300" s="2903"/>
      <c r="E300" s="2903"/>
      <c r="F300" s="6"/>
      <c r="G300" s="63"/>
      <c r="H300" s="480"/>
      <c r="I300" s="710"/>
      <c r="J300" s="582"/>
      <c r="K300" s="526"/>
      <c r="L300" s="748"/>
      <c r="M300" s="711"/>
      <c r="N300" s="526"/>
      <c r="O300" s="710"/>
      <c r="P300" s="582"/>
      <c r="Q300" s="526"/>
      <c r="R300" s="762"/>
      <c r="S300" s="762"/>
      <c r="T300" s="526"/>
      <c r="U300" s="762"/>
      <c r="V300" s="762"/>
      <c r="W300" s="526"/>
    </row>
    <row r="301" spans="1:29">
      <c r="A301" s="252"/>
      <c r="B301" s="2903" t="s">
        <v>651</v>
      </c>
      <c r="C301" s="2903"/>
      <c r="D301" s="2903"/>
      <c r="E301" s="2903"/>
      <c r="F301" s="6"/>
      <c r="G301" s="63"/>
      <c r="H301" s="797"/>
      <c r="I301" s="710"/>
      <c r="J301" s="582"/>
      <c r="K301" s="562"/>
      <c r="L301" s="748"/>
      <c r="M301" s="711"/>
      <c r="N301" s="562"/>
      <c r="O301" s="710"/>
      <c r="P301" s="582"/>
      <c r="Q301" s="562"/>
      <c r="R301" s="762"/>
      <c r="S301" s="762"/>
      <c r="T301" s="562"/>
      <c r="U301" s="762"/>
      <c r="V301" s="762"/>
      <c r="W301" s="562"/>
    </row>
    <row r="302" spans="1:29"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AA302" s="679"/>
      <c r="AB302" s="679"/>
      <c r="AC302" s="679"/>
    </row>
    <row r="303" spans="1:29">
      <c r="A303" s="252"/>
      <c r="B303" s="2903" t="s">
        <v>729</v>
      </c>
      <c r="C303" s="2903"/>
      <c r="D303" s="2903"/>
      <c r="E303" s="2903"/>
      <c r="F303" s="6"/>
      <c r="G303" s="65"/>
      <c r="H303" s="799"/>
      <c r="I303" s="710"/>
      <c r="J303" s="711"/>
      <c r="K303" s="628"/>
      <c r="L303" s="710"/>
      <c r="M303" s="711"/>
      <c r="N303" s="628"/>
      <c r="O303" s="710"/>
      <c r="P303" s="712"/>
      <c r="Q303" s="628"/>
      <c r="R303" s="762"/>
      <c r="S303" s="762"/>
      <c r="T303" s="628"/>
      <c r="U303" s="762"/>
      <c r="V303" s="762"/>
      <c r="W303" s="628"/>
    </row>
    <row r="304" spans="1:29">
      <c r="A304" s="252"/>
      <c r="B304" s="2903" t="s">
        <v>626</v>
      </c>
      <c r="C304" s="2903"/>
      <c r="D304" s="2903"/>
      <c r="E304" s="2903"/>
      <c r="F304" s="6"/>
      <c r="G304" s="63"/>
      <c r="H304" s="480"/>
      <c r="I304" s="710"/>
      <c r="J304" s="582"/>
      <c r="K304" s="526"/>
      <c r="L304" s="748"/>
      <c r="M304" s="711" t="s">
        <v>37</v>
      </c>
      <c r="N304" s="526"/>
      <c r="O304" s="710"/>
      <c r="P304" s="582"/>
      <c r="Q304" s="526"/>
      <c r="R304" s="762"/>
      <c r="S304" s="762"/>
      <c r="T304" s="526"/>
      <c r="U304" s="762"/>
      <c r="V304" s="762"/>
      <c r="W304" s="526"/>
    </row>
    <row r="305" spans="1:23">
      <c r="A305" s="252"/>
      <c r="B305" s="2903" t="s">
        <v>725</v>
      </c>
      <c r="C305" s="2903"/>
      <c r="D305" s="2903"/>
      <c r="E305" s="2903"/>
      <c r="F305" s="6"/>
      <c r="G305" s="63"/>
      <c r="H305" s="794"/>
      <c r="I305" s="710"/>
      <c r="J305" s="582"/>
      <c r="K305" s="561"/>
      <c r="L305" s="748"/>
      <c r="M305" s="711"/>
      <c r="N305" s="561"/>
      <c r="O305" s="710"/>
      <c r="P305" s="582"/>
      <c r="Q305" s="561"/>
      <c r="R305" s="762"/>
      <c r="S305" s="762"/>
      <c r="T305" s="561"/>
      <c r="U305" s="762"/>
      <c r="V305" s="762"/>
      <c r="W305" s="561"/>
    </row>
    <row r="306" spans="1:23">
      <c r="A306" s="252"/>
      <c r="B306" s="2904" t="s">
        <v>726</v>
      </c>
      <c r="C306" s="2904"/>
      <c r="D306" s="2904"/>
      <c r="E306" s="2904"/>
      <c r="F306" s="6"/>
      <c r="G306" s="63"/>
      <c r="H306" s="480"/>
      <c r="I306" s="710"/>
      <c r="J306" s="582"/>
      <c r="K306" s="526"/>
      <c r="L306" s="748"/>
      <c r="M306" s="711"/>
      <c r="N306" s="526"/>
      <c r="O306" s="710"/>
      <c r="P306" s="582"/>
      <c r="Q306" s="526"/>
      <c r="R306" s="762"/>
      <c r="S306" s="762"/>
      <c r="T306" s="526"/>
      <c r="U306" s="762"/>
      <c r="V306" s="762"/>
      <c r="W306" s="526"/>
    </row>
    <row r="307" spans="1:23">
      <c r="A307" s="252"/>
      <c r="B307" s="2904" t="s">
        <v>727</v>
      </c>
      <c r="C307" s="2904"/>
      <c r="D307" s="2904"/>
      <c r="E307" s="2904"/>
      <c r="F307" s="6"/>
      <c r="G307" s="65"/>
      <c r="H307" s="795"/>
      <c r="I307" s="710"/>
      <c r="J307" s="711"/>
      <c r="K307" s="568"/>
      <c r="L307" s="710"/>
      <c r="M307" s="711"/>
      <c r="N307" s="568"/>
      <c r="O307" s="710"/>
      <c r="P307" s="712"/>
      <c r="Q307" s="568"/>
      <c r="R307" s="762"/>
      <c r="S307" s="762"/>
      <c r="T307" s="568"/>
      <c r="U307" s="762"/>
      <c r="V307" s="762"/>
      <c r="W307" s="568"/>
    </row>
    <row r="308" spans="1:23">
      <c r="A308" s="252"/>
      <c r="B308" s="2903" t="s">
        <v>208</v>
      </c>
      <c r="C308" s="2903"/>
      <c r="D308" s="2903"/>
      <c r="E308" s="2903"/>
      <c r="F308" s="6"/>
      <c r="G308" s="65"/>
      <c r="H308" s="480"/>
      <c r="I308" s="710"/>
      <c r="J308" s="711"/>
      <c r="K308" s="526"/>
      <c r="L308" s="710"/>
      <c r="M308" s="711">
        <v>4</v>
      </c>
      <c r="N308" s="526"/>
      <c r="O308" s="710"/>
      <c r="P308" s="712"/>
      <c r="Q308" s="526"/>
      <c r="R308" s="762"/>
      <c r="S308" s="762"/>
      <c r="T308" s="526"/>
      <c r="U308" s="762"/>
      <c r="V308" s="762"/>
      <c r="W308" s="526"/>
    </row>
    <row r="309" spans="1:23">
      <c r="A309" s="252"/>
      <c r="B309" s="2904" t="s">
        <v>730</v>
      </c>
      <c r="C309" s="2904"/>
      <c r="D309" s="2904"/>
      <c r="E309" s="2904"/>
      <c r="F309" s="6"/>
      <c r="G309" s="65"/>
      <c r="H309" s="481"/>
      <c r="I309" s="710"/>
      <c r="J309" s="711"/>
      <c r="K309" s="553"/>
      <c r="L309" s="710"/>
      <c r="M309" s="711"/>
      <c r="N309" s="553"/>
      <c r="O309" s="710"/>
      <c r="P309" s="712"/>
      <c r="Q309" s="553"/>
      <c r="R309" s="762"/>
      <c r="S309" s="762"/>
      <c r="T309" s="553"/>
      <c r="U309" s="762"/>
      <c r="V309" s="762"/>
      <c r="W309" s="553"/>
    </row>
    <row r="310" spans="1:23">
      <c r="A310" s="252"/>
      <c r="B310" s="2903" t="s">
        <v>728</v>
      </c>
      <c r="C310" s="2903"/>
      <c r="D310" s="2903"/>
      <c r="E310" s="2903"/>
      <c r="F310" s="6"/>
      <c r="G310" s="65"/>
      <c r="H310" s="796"/>
      <c r="I310" s="710"/>
      <c r="J310" s="711"/>
      <c r="K310" s="619"/>
      <c r="L310" s="710"/>
      <c r="M310" s="711"/>
      <c r="N310" s="619"/>
      <c r="O310" s="710"/>
      <c r="P310" s="712"/>
      <c r="Q310" s="619"/>
      <c r="R310" s="762"/>
      <c r="S310" s="762"/>
      <c r="T310" s="619"/>
      <c r="U310" s="762"/>
      <c r="V310" s="762"/>
      <c r="W310" s="619"/>
    </row>
    <row r="311" spans="1:23">
      <c r="A311" s="252"/>
      <c r="B311" s="2903" t="s">
        <v>728</v>
      </c>
      <c r="C311" s="2903"/>
      <c r="D311" s="2903"/>
      <c r="E311" s="2903"/>
      <c r="F311" s="6"/>
      <c r="G311" s="65"/>
      <c r="H311" s="796"/>
      <c r="I311" s="710"/>
      <c r="J311" s="711"/>
      <c r="K311" s="619"/>
      <c r="L311" s="710"/>
      <c r="M311" s="711"/>
      <c r="N311" s="619"/>
      <c r="O311" s="710"/>
      <c r="P311" s="712"/>
      <c r="Q311" s="619"/>
      <c r="R311" s="762"/>
      <c r="S311" s="762"/>
      <c r="T311" s="619"/>
      <c r="U311" s="762"/>
      <c r="V311" s="762"/>
      <c r="W311" s="619"/>
    </row>
    <row r="312" spans="1:23">
      <c r="A312" s="252"/>
      <c r="B312" s="2903" t="s">
        <v>253</v>
      </c>
      <c r="C312" s="2903"/>
      <c r="D312" s="2903"/>
      <c r="E312" s="2903"/>
      <c r="F312" s="6"/>
      <c r="G312" s="65"/>
      <c r="H312" s="480"/>
      <c r="I312" s="710"/>
      <c r="J312" s="711"/>
      <c r="K312" s="526"/>
      <c r="L312" s="710"/>
      <c r="M312" s="711"/>
      <c r="N312" s="526"/>
      <c r="O312" s="710"/>
      <c r="P312" s="712"/>
      <c r="Q312" s="526"/>
      <c r="R312" s="762"/>
      <c r="S312" s="762"/>
      <c r="T312" s="526"/>
      <c r="U312" s="762"/>
      <c r="V312" s="762"/>
      <c r="W312" s="526"/>
    </row>
    <row r="313" spans="1:23">
      <c r="A313" s="252"/>
      <c r="B313" s="2904" t="s">
        <v>244</v>
      </c>
      <c r="C313" s="2904"/>
      <c r="D313" s="2904"/>
      <c r="E313" s="2904"/>
      <c r="F313" s="6"/>
      <c r="G313" s="63"/>
      <c r="H313" s="480"/>
      <c r="I313" s="710"/>
      <c r="J313" s="582"/>
      <c r="K313" s="526"/>
      <c r="L313" s="748"/>
      <c r="M313" s="711"/>
      <c r="N313" s="526"/>
      <c r="O313" s="710"/>
      <c r="P313" s="582"/>
      <c r="Q313" s="526"/>
      <c r="R313" s="762"/>
      <c r="S313" s="762"/>
      <c r="T313" s="526"/>
      <c r="U313" s="762"/>
      <c r="V313" s="762"/>
      <c r="W313" s="526"/>
    </row>
    <row r="314" spans="1:23">
      <c r="A314" s="252"/>
      <c r="B314" s="2903" t="s">
        <v>683</v>
      </c>
      <c r="C314" s="2903"/>
      <c r="D314" s="2903"/>
      <c r="E314" s="2903"/>
      <c r="F314" s="6"/>
      <c r="G314" s="63"/>
      <c r="H314" s="480"/>
      <c r="I314" s="710"/>
      <c r="J314" s="582"/>
      <c r="K314" s="526"/>
      <c r="L314" s="748"/>
      <c r="M314" s="711"/>
      <c r="N314" s="526"/>
      <c r="O314" s="710"/>
      <c r="P314" s="582"/>
      <c r="Q314" s="526"/>
      <c r="R314" s="762"/>
      <c r="S314" s="762"/>
      <c r="T314" s="526"/>
      <c r="U314" s="762"/>
      <c r="V314" s="762"/>
      <c r="W314" s="526"/>
    </row>
    <row r="315" spans="1:23">
      <c r="A315" s="252"/>
      <c r="B315" s="2903" t="s">
        <v>246</v>
      </c>
      <c r="C315" s="2903"/>
      <c r="D315" s="2903"/>
      <c r="E315" s="2903"/>
      <c r="F315" s="6"/>
      <c r="G315" s="63"/>
      <c r="H315" s="480"/>
      <c r="I315" s="710"/>
      <c r="J315" s="582"/>
      <c r="K315" s="526"/>
      <c r="L315" s="748"/>
      <c r="M315" s="711"/>
      <c r="N315" s="526"/>
      <c r="O315" s="710"/>
      <c r="P315" s="582"/>
      <c r="Q315" s="526"/>
      <c r="R315" s="762"/>
      <c r="S315" s="762"/>
      <c r="T315" s="526"/>
      <c r="U315" s="762"/>
      <c r="V315" s="762"/>
      <c r="W315" s="526"/>
    </row>
    <row r="316" spans="1:23">
      <c r="A316" s="252"/>
      <c r="B316" s="2904" t="s">
        <v>247</v>
      </c>
      <c r="C316" s="2904"/>
      <c r="D316" s="2904"/>
      <c r="E316" s="2904"/>
      <c r="F316" s="6"/>
      <c r="G316" s="63"/>
      <c r="H316" s="480"/>
      <c r="I316" s="710"/>
      <c r="J316" s="582"/>
      <c r="K316" s="526"/>
      <c r="L316" s="748"/>
      <c r="M316" s="711"/>
      <c r="N316" s="526"/>
      <c r="O316" s="710"/>
      <c r="P316" s="582"/>
      <c r="Q316" s="526"/>
      <c r="R316" s="762"/>
      <c r="S316" s="762"/>
      <c r="T316" s="526"/>
      <c r="U316" s="762"/>
      <c r="V316" s="762"/>
      <c r="W316" s="526"/>
    </row>
    <row r="317" spans="1:23">
      <c r="A317" s="252"/>
      <c r="B317" s="2903" t="s">
        <v>248</v>
      </c>
      <c r="C317" s="2903"/>
      <c r="D317" s="2903"/>
      <c r="E317" s="2903"/>
      <c r="F317" s="6"/>
      <c r="G317" s="63"/>
      <c r="H317" s="480"/>
      <c r="I317" s="710"/>
      <c r="J317" s="582"/>
      <c r="K317" s="526"/>
      <c r="L317" s="748"/>
      <c r="M317" s="711"/>
      <c r="N317" s="526"/>
      <c r="O317" s="710"/>
      <c r="P317" s="582"/>
      <c r="Q317" s="526"/>
      <c r="R317" s="762"/>
      <c r="S317" s="762"/>
      <c r="T317" s="526"/>
      <c r="U317" s="762"/>
      <c r="V317" s="762"/>
      <c r="W317" s="526"/>
    </row>
    <row r="318" spans="1:23">
      <c r="A318" s="252"/>
      <c r="B318" s="2903" t="s">
        <v>243</v>
      </c>
      <c r="C318" s="2903"/>
      <c r="D318" s="2903"/>
      <c r="E318" s="2903"/>
      <c r="F318" s="6"/>
      <c r="G318" s="63"/>
      <c r="H318" s="480"/>
      <c r="I318" s="710"/>
      <c r="J318" s="582"/>
      <c r="K318" s="526"/>
      <c r="L318" s="748"/>
      <c r="M318" s="711"/>
      <c r="N318" s="526"/>
      <c r="O318" s="710"/>
      <c r="P318" s="582"/>
      <c r="Q318" s="526"/>
      <c r="R318" s="762"/>
      <c r="S318" s="762"/>
      <c r="T318" s="526"/>
      <c r="U318" s="762"/>
      <c r="V318" s="762"/>
      <c r="W318" s="526"/>
    </row>
    <row r="319" spans="1:23">
      <c r="A319" s="252"/>
      <c r="B319" s="2903" t="s">
        <v>249</v>
      </c>
      <c r="C319" s="2903"/>
      <c r="D319" s="2903"/>
      <c r="E319" s="2903"/>
      <c r="F319" s="6"/>
      <c r="G319" s="63"/>
      <c r="H319" s="480"/>
      <c r="I319" s="710"/>
      <c r="J319" s="582"/>
      <c r="K319" s="526"/>
      <c r="L319" s="748"/>
      <c r="M319" s="711"/>
      <c r="N319" s="526"/>
      <c r="O319" s="710"/>
      <c r="P319" s="582"/>
      <c r="Q319" s="526"/>
      <c r="R319" s="762"/>
      <c r="S319" s="762"/>
      <c r="T319" s="526"/>
      <c r="U319" s="762"/>
      <c r="V319" s="762"/>
      <c r="W319" s="526"/>
    </row>
    <row r="320" spans="1:23">
      <c r="A320" s="252"/>
      <c r="B320" s="2903" t="s">
        <v>650</v>
      </c>
      <c r="C320" s="2903"/>
      <c r="D320" s="2903"/>
      <c r="E320" s="2903"/>
      <c r="F320" s="6"/>
      <c r="G320" s="63"/>
      <c r="H320" s="480"/>
      <c r="I320" s="710"/>
      <c r="J320" s="582"/>
      <c r="K320" s="526"/>
      <c r="L320" s="748"/>
      <c r="M320" s="711"/>
      <c r="N320" s="526"/>
      <c r="O320" s="710"/>
      <c r="P320" s="582"/>
      <c r="Q320" s="526"/>
      <c r="R320" s="762"/>
      <c r="S320" s="762"/>
      <c r="T320" s="526"/>
      <c r="U320" s="762"/>
      <c r="V320" s="762"/>
      <c r="W320" s="526"/>
    </row>
    <row r="321" spans="1:23">
      <c r="A321" s="252"/>
      <c r="B321" s="2903" t="s">
        <v>651</v>
      </c>
      <c r="C321" s="2903"/>
      <c r="D321" s="2903"/>
      <c r="E321" s="2903"/>
      <c r="F321" s="6"/>
      <c r="G321" s="63"/>
      <c r="H321" s="802"/>
      <c r="I321" s="741"/>
      <c r="J321" s="557"/>
      <c r="K321" s="769"/>
      <c r="L321" s="770"/>
      <c r="M321" s="742"/>
      <c r="N321" s="769"/>
      <c r="O321" s="741"/>
      <c r="P321" s="557"/>
      <c r="Q321" s="769"/>
      <c r="R321" s="768"/>
      <c r="S321" s="768"/>
      <c r="T321" s="769"/>
      <c r="U321" s="768"/>
      <c r="V321" s="768"/>
      <c r="W321" s="544"/>
    </row>
    <row r="322" spans="1:23">
      <c r="A322" s="237"/>
      <c r="B322" s="6"/>
      <c r="C322" s="6"/>
      <c r="D322" s="6"/>
      <c r="E322" s="6"/>
      <c r="F322" s="6"/>
      <c r="G322" s="6"/>
      <c r="H322" s="121"/>
      <c r="I322" s="6"/>
      <c r="J322" s="6"/>
      <c r="K322" s="121"/>
      <c r="L322" s="121"/>
      <c r="M322" s="121"/>
      <c r="N322" s="121"/>
      <c r="O322" s="6"/>
      <c r="P322" s="6"/>
      <c r="Q322" s="121"/>
      <c r="T322" s="121"/>
      <c r="W322" s="121"/>
    </row>
    <row r="323" spans="1:23" ht="15" customHeight="1">
      <c r="A323" s="6"/>
      <c r="B323" s="6"/>
      <c r="C323" s="6"/>
      <c r="D323" s="6"/>
      <c r="E323" s="6"/>
      <c r="F323" s="6"/>
      <c r="G323" s="133"/>
      <c r="H323" s="133"/>
      <c r="I323" s="6"/>
      <c r="J323" s="133"/>
      <c r="K323" s="133"/>
      <c r="L323" s="6"/>
      <c r="M323" s="133"/>
      <c r="N323" s="133"/>
      <c r="O323" s="6"/>
      <c r="P323" s="6"/>
      <c r="Q323" s="121"/>
      <c r="S323" s="650"/>
      <c r="T323" s="121"/>
      <c r="V323" s="651"/>
      <c r="W323" s="4"/>
    </row>
    <row r="324" spans="1:23" ht="14.9" customHeight="1">
      <c r="S324" s="650"/>
      <c r="T324" s="83"/>
      <c r="U324" s="651"/>
      <c r="V324" s="651"/>
      <c r="W324" s="4"/>
    </row>
    <row r="325" spans="1:23" s="62" customFormat="1" ht="15" customHeight="1">
      <c r="A325"/>
      <c r="B325"/>
      <c r="C325"/>
      <c r="D325"/>
      <c r="E325"/>
      <c r="F325"/>
      <c r="G325"/>
      <c r="H325" s="79"/>
      <c r="I325" s="79"/>
      <c r="J325" s="79"/>
      <c r="K325" s="79"/>
      <c r="L325" s="79"/>
      <c r="M325" s="79"/>
      <c r="N325" s="79"/>
      <c r="O325"/>
      <c r="P325"/>
      <c r="Q325" s="8"/>
      <c r="R325"/>
      <c r="S325" s="650"/>
      <c r="T325" s="651"/>
      <c r="U325" s="651"/>
      <c r="V325" s="651"/>
      <c r="W325" s="4"/>
    </row>
    <row r="326" spans="1:23" ht="14.9" customHeight="1">
      <c r="A326" s="6"/>
      <c r="B326" s="6"/>
      <c r="C326" s="6"/>
      <c r="D326" s="6"/>
      <c r="E326" s="6"/>
      <c r="F326" s="6"/>
      <c r="G326" s="6"/>
      <c r="H326" s="142"/>
      <c r="I326" s="121"/>
      <c r="J326" s="121"/>
      <c r="K326" s="142"/>
      <c r="L326" s="121"/>
      <c r="M326" s="121"/>
      <c r="N326" s="142"/>
      <c r="O326" s="6"/>
      <c r="P326" s="6"/>
      <c r="Q326" s="121"/>
      <c r="S326" s="649"/>
      <c r="T326" s="650"/>
      <c r="U326" s="649"/>
      <c r="V326" s="649"/>
      <c r="W326" s="4"/>
    </row>
    <row r="327" spans="1:23" ht="1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row>
    <row r="328" spans="1:23" ht="15" customHeight="1">
      <c r="S328" s="649"/>
      <c r="T328" s="649"/>
      <c r="U328" s="649"/>
      <c r="V328" s="649"/>
      <c r="W328" s="4"/>
    </row>
    <row r="329" spans="1:23" ht="26.25" customHeight="1">
      <c r="S329" s="649"/>
      <c r="T329" s="649"/>
      <c r="U329" s="649"/>
      <c r="V329" s="649"/>
      <c r="W329" s="4"/>
    </row>
    <row r="330" spans="1:23" ht="27" customHeight="1">
      <c r="S330" s="649"/>
      <c r="T330" s="649"/>
      <c r="U330" s="649"/>
      <c r="V330" s="649"/>
    </row>
    <row r="331" spans="1:23" ht="27" customHeight="1">
      <c r="S331" s="649"/>
      <c r="T331" s="649"/>
      <c r="U331" s="649"/>
      <c r="V331" s="649"/>
    </row>
    <row r="336" spans="1:23" ht="17.25" customHeight="1"/>
    <row r="337" spans="18:32" ht="17.25" customHeight="1"/>
    <row r="338" spans="18:32" ht="17.25" customHeight="1">
      <c r="AE338" s="4"/>
      <c r="AF338" s="4"/>
    </row>
    <row r="339" spans="18:32">
      <c r="AE339" s="4"/>
      <c r="AF339" s="4"/>
    </row>
    <row r="340" spans="18:32">
      <c r="AE340" s="4"/>
      <c r="AF340" s="4"/>
    </row>
    <row r="341" spans="18:32" ht="15.75" customHeight="1">
      <c r="AE341" s="4"/>
      <c r="AF341" s="4"/>
    </row>
    <row r="342" spans="18:32">
      <c r="AE342" s="4"/>
      <c r="AF342" s="4"/>
    </row>
    <row r="343" spans="18:32">
      <c r="AE343" s="4"/>
      <c r="AF343" s="4"/>
    </row>
    <row r="350" spans="18:32">
      <c r="R350" s="9"/>
      <c r="S350" s="9"/>
      <c r="T350" s="9"/>
      <c r="U350" s="9"/>
      <c r="V350" s="9"/>
      <c r="W350" s="9"/>
    </row>
    <row r="356" spans="1:30">
      <c r="AA356" s="9"/>
      <c r="AB356" s="9"/>
      <c r="AC356" s="9"/>
      <c r="AD356" s="9"/>
    </row>
    <row r="364" spans="1:30" s="9" customFormat="1">
      <c r="A364"/>
      <c r="B364"/>
      <c r="C364"/>
      <c r="D364"/>
      <c r="E364"/>
      <c r="F364"/>
      <c r="G364"/>
      <c r="H364"/>
      <c r="I364"/>
      <c r="J364"/>
      <c r="K364"/>
      <c r="L364"/>
      <c r="M364"/>
      <c r="N364"/>
      <c r="O364"/>
      <c r="P364"/>
      <c r="Q364"/>
      <c r="R364"/>
      <c r="S364"/>
      <c r="T364"/>
      <c r="U364"/>
      <c r="V364"/>
      <c r="W364"/>
      <c r="AA364"/>
      <c r="AB364"/>
      <c r="AC364"/>
      <c r="AD364"/>
    </row>
  </sheetData>
  <sheetProtection algorithmName="SHA-512" hashValue="V9zSi9GhqQ9u2Rnpu9q3rphQL4hf2dx39zjkTXdhZm+G0C5yyRVy9QkJr07Yj+HOIdZ8c86vLI3Nwyb6dlb3jQ==" saltValue="MAO8nbgLzb5YCbJQ6O38bA==" spinCount="100000" sheet="1" objects="1" scenarios="1" formatColumns="0" formatRows="0"/>
  <mergeCells count="271">
    <mergeCell ref="B320:E320"/>
    <mergeCell ref="B321:E321"/>
    <mergeCell ref="B315:E315"/>
    <mergeCell ref="B316:E316"/>
    <mergeCell ref="B317:E317"/>
    <mergeCell ref="B318:E318"/>
    <mergeCell ref="B319:E319"/>
    <mergeCell ref="B310:E310"/>
    <mergeCell ref="B311:E311"/>
    <mergeCell ref="B312:E312"/>
    <mergeCell ref="B313:E313"/>
    <mergeCell ref="B314:E314"/>
    <mergeCell ref="B305:E305"/>
    <mergeCell ref="B306:E306"/>
    <mergeCell ref="B307:E307"/>
    <mergeCell ref="B308:E308"/>
    <mergeCell ref="B309:E309"/>
    <mergeCell ref="B299:E299"/>
    <mergeCell ref="B300:E300"/>
    <mergeCell ref="B301:E301"/>
    <mergeCell ref="B303:E303"/>
    <mergeCell ref="B304:E304"/>
    <mergeCell ref="B294:E294"/>
    <mergeCell ref="B295:E295"/>
    <mergeCell ref="B296:E296"/>
    <mergeCell ref="B297:E297"/>
    <mergeCell ref="B298:E298"/>
    <mergeCell ref="B289:E289"/>
    <mergeCell ref="B290:E290"/>
    <mergeCell ref="B291:E291"/>
    <mergeCell ref="B292:E292"/>
    <mergeCell ref="B293:E293"/>
    <mergeCell ref="B284:E284"/>
    <mergeCell ref="B285:E285"/>
    <mergeCell ref="B286:E286"/>
    <mergeCell ref="B287:E287"/>
    <mergeCell ref="B288:E288"/>
    <mergeCell ref="B278:E278"/>
    <mergeCell ref="B279:E279"/>
    <mergeCell ref="B280:E280"/>
    <mergeCell ref="B281:E281"/>
    <mergeCell ref="B283:E283"/>
    <mergeCell ref="B273:E273"/>
    <mergeCell ref="B274:E274"/>
    <mergeCell ref="B275:E275"/>
    <mergeCell ref="B276:E276"/>
    <mergeCell ref="B277:E277"/>
    <mergeCell ref="B268:E268"/>
    <mergeCell ref="B269:E269"/>
    <mergeCell ref="B270:E270"/>
    <mergeCell ref="B271:E271"/>
    <mergeCell ref="B272:E272"/>
    <mergeCell ref="B263:E263"/>
    <mergeCell ref="B264:E264"/>
    <mergeCell ref="B265:E265"/>
    <mergeCell ref="B266:E266"/>
    <mergeCell ref="B267:E267"/>
    <mergeCell ref="B254:E254"/>
    <mergeCell ref="B255:E255"/>
    <mergeCell ref="B256:E256"/>
    <mergeCell ref="B257:E257"/>
    <mergeCell ref="B261:E261"/>
    <mergeCell ref="B249:E249"/>
    <mergeCell ref="B250:E250"/>
    <mergeCell ref="B251:E251"/>
    <mergeCell ref="B252:E252"/>
    <mergeCell ref="B253:E253"/>
    <mergeCell ref="B244:E244"/>
    <mergeCell ref="B245:E245"/>
    <mergeCell ref="B246:E246"/>
    <mergeCell ref="B247:E247"/>
    <mergeCell ref="B248:E248"/>
    <mergeCell ref="B239:E239"/>
    <mergeCell ref="B240:E240"/>
    <mergeCell ref="B241:E241"/>
    <mergeCell ref="B242:E242"/>
    <mergeCell ref="B243:E243"/>
    <mergeCell ref="B233:E233"/>
    <mergeCell ref="B234:E234"/>
    <mergeCell ref="B235:E235"/>
    <mergeCell ref="B236:E236"/>
    <mergeCell ref="B237:E237"/>
    <mergeCell ref="B228:E228"/>
    <mergeCell ref="B229:E229"/>
    <mergeCell ref="B230:E230"/>
    <mergeCell ref="B231:E231"/>
    <mergeCell ref="B232:E232"/>
    <mergeCell ref="B223:E223"/>
    <mergeCell ref="B224:E224"/>
    <mergeCell ref="B225:E225"/>
    <mergeCell ref="B226:E226"/>
    <mergeCell ref="B227:E227"/>
    <mergeCell ref="B217:E217"/>
    <mergeCell ref="B219:E219"/>
    <mergeCell ref="B220:E220"/>
    <mergeCell ref="B221:E221"/>
    <mergeCell ref="B222:E222"/>
    <mergeCell ref="B212:E212"/>
    <mergeCell ref="B213:E213"/>
    <mergeCell ref="B214:E214"/>
    <mergeCell ref="B215:E215"/>
    <mergeCell ref="B216:E216"/>
    <mergeCell ref="B207:E207"/>
    <mergeCell ref="B208:E208"/>
    <mergeCell ref="B209:E209"/>
    <mergeCell ref="B210:E210"/>
    <mergeCell ref="B211:E211"/>
    <mergeCell ref="B202:E202"/>
    <mergeCell ref="B203:E203"/>
    <mergeCell ref="B204:E204"/>
    <mergeCell ref="B205:E205"/>
    <mergeCell ref="B206:E206"/>
    <mergeCell ref="B193:E193"/>
    <mergeCell ref="B197:E197"/>
    <mergeCell ref="B199:E199"/>
    <mergeCell ref="B200:E200"/>
    <mergeCell ref="B201:E201"/>
    <mergeCell ref="B188:E188"/>
    <mergeCell ref="B189:E189"/>
    <mergeCell ref="B190:E190"/>
    <mergeCell ref="B191:E191"/>
    <mergeCell ref="B192:E192"/>
    <mergeCell ref="A195:G195"/>
    <mergeCell ref="B183:E183"/>
    <mergeCell ref="B184:E184"/>
    <mergeCell ref="B185:E185"/>
    <mergeCell ref="B186:E186"/>
    <mergeCell ref="B187:E187"/>
    <mergeCell ref="B178:E178"/>
    <mergeCell ref="B179:E179"/>
    <mergeCell ref="B180:E180"/>
    <mergeCell ref="B181:E181"/>
    <mergeCell ref="B182:E182"/>
    <mergeCell ref="B172:E172"/>
    <mergeCell ref="B173:E173"/>
    <mergeCell ref="B175:E175"/>
    <mergeCell ref="B176:E176"/>
    <mergeCell ref="B177:E177"/>
    <mergeCell ref="B167:E167"/>
    <mergeCell ref="B168:E168"/>
    <mergeCell ref="B169:E169"/>
    <mergeCell ref="B170:E170"/>
    <mergeCell ref="B171:E171"/>
    <mergeCell ref="B149:E149"/>
    <mergeCell ref="B150:E150"/>
    <mergeCell ref="B162:E162"/>
    <mergeCell ref="B163:E163"/>
    <mergeCell ref="B164:E164"/>
    <mergeCell ref="B165:E165"/>
    <mergeCell ref="B166:E166"/>
    <mergeCell ref="B157:E157"/>
    <mergeCell ref="B158:E158"/>
    <mergeCell ref="B159:E159"/>
    <mergeCell ref="B160:E160"/>
    <mergeCell ref="B161:E161"/>
    <mergeCell ref="K10:T10"/>
    <mergeCell ref="K11:T11"/>
    <mergeCell ref="K12:T12"/>
    <mergeCell ref="J82:K82"/>
    <mergeCell ref="M82:N82"/>
    <mergeCell ref="G83:G84"/>
    <mergeCell ref="H83:H84"/>
    <mergeCell ref="J83:J84"/>
    <mergeCell ref="K83:K84"/>
    <mergeCell ref="M83:M84"/>
    <mergeCell ref="N83:N84"/>
    <mergeCell ref="K21:T21"/>
    <mergeCell ref="N25:W26"/>
    <mergeCell ref="K42:T42"/>
    <mergeCell ref="K63:T63"/>
    <mergeCell ref="K64:T64"/>
    <mergeCell ref="P83:P84"/>
    <mergeCell ref="Q83:Q84"/>
    <mergeCell ref="G82:H82"/>
    <mergeCell ref="T83:T84"/>
    <mergeCell ref="W83:W84"/>
    <mergeCell ref="B1:E1"/>
    <mergeCell ref="K4:T4"/>
    <mergeCell ref="K5:T5"/>
    <mergeCell ref="K6:T6"/>
    <mergeCell ref="K7:T7"/>
    <mergeCell ref="B25:E26"/>
    <mergeCell ref="G25:G26"/>
    <mergeCell ref="H25:H26"/>
    <mergeCell ref="J25:J26"/>
    <mergeCell ref="K25:K26"/>
    <mergeCell ref="B24:E24"/>
    <mergeCell ref="G24:H24"/>
    <mergeCell ref="J24:K24"/>
    <mergeCell ref="B15:E15"/>
    <mergeCell ref="B12:E12"/>
    <mergeCell ref="B4:E4"/>
    <mergeCell ref="B8:E8"/>
    <mergeCell ref="K15:T15"/>
    <mergeCell ref="K17:T17"/>
    <mergeCell ref="K18:T18"/>
    <mergeCell ref="K19:T19"/>
    <mergeCell ref="K20:T20"/>
    <mergeCell ref="K8:T8"/>
    <mergeCell ref="K9:T9"/>
    <mergeCell ref="A103:A104"/>
    <mergeCell ref="A105:A107"/>
    <mergeCell ref="A108:A112"/>
    <mergeCell ref="A113:A117"/>
    <mergeCell ref="C74:E74"/>
    <mergeCell ref="C78:E78"/>
    <mergeCell ref="C75:E75"/>
    <mergeCell ref="C55:E55"/>
    <mergeCell ref="C56:E56"/>
    <mergeCell ref="C58:E58"/>
    <mergeCell ref="C59:E59"/>
    <mergeCell ref="C60:E60"/>
    <mergeCell ref="C61:E61"/>
    <mergeCell ref="C65:E65"/>
    <mergeCell ref="C66:E66"/>
    <mergeCell ref="C67:E67"/>
    <mergeCell ref="C64:E64"/>
    <mergeCell ref="B114:E114"/>
    <mergeCell ref="B115:E115"/>
    <mergeCell ref="B116:E116"/>
    <mergeCell ref="B117:E117"/>
    <mergeCell ref="B107:E107"/>
    <mergeCell ref="B109:E109"/>
    <mergeCell ref="B113:E113"/>
    <mergeCell ref="L195:M195"/>
    <mergeCell ref="A259:G259"/>
    <mergeCell ref="A130:G130"/>
    <mergeCell ref="A129:C129"/>
    <mergeCell ref="B133:E133"/>
    <mergeCell ref="B136:E136"/>
    <mergeCell ref="B137:E137"/>
    <mergeCell ref="B138:E138"/>
    <mergeCell ref="B139:E139"/>
    <mergeCell ref="B140:E140"/>
    <mergeCell ref="B141:E141"/>
    <mergeCell ref="B142:E142"/>
    <mergeCell ref="B143:E143"/>
    <mergeCell ref="B144:E144"/>
    <mergeCell ref="B145:E145"/>
    <mergeCell ref="B135:E135"/>
    <mergeCell ref="B151:E151"/>
    <mergeCell ref="B152:E152"/>
    <mergeCell ref="B153:E153"/>
    <mergeCell ref="B155:E155"/>
    <mergeCell ref="B156:E156"/>
    <mergeCell ref="B146:E146"/>
    <mergeCell ref="B147:E147"/>
    <mergeCell ref="B148:E148"/>
    <mergeCell ref="C76:E76"/>
    <mergeCell ref="C77:E77"/>
    <mergeCell ref="C69:E69"/>
    <mergeCell ref="C70:E70"/>
    <mergeCell ref="C71:E71"/>
    <mergeCell ref="C72:E72"/>
    <mergeCell ref="C73:E73"/>
    <mergeCell ref="A81:E81"/>
    <mergeCell ref="B9:E9"/>
    <mergeCell ref="B10:E10"/>
    <mergeCell ref="B11:E11"/>
    <mergeCell ref="C53:E53"/>
    <mergeCell ref="C57:E57"/>
    <mergeCell ref="C42:E42"/>
    <mergeCell ref="C51:E51"/>
    <mergeCell ref="C52:E52"/>
    <mergeCell ref="C49:E49"/>
    <mergeCell ref="C50:E50"/>
    <mergeCell ref="C54:E54"/>
    <mergeCell ref="B41:E41"/>
    <mergeCell ref="C62:E62"/>
    <mergeCell ref="C63:E63"/>
    <mergeCell ref="C68:E68"/>
  </mergeCells>
  <conditionalFormatting sqref="AB30:AB32">
    <cfRule type="expression" dxfId="20" priority="125">
      <formula>AB30=""</formula>
    </cfRule>
  </conditionalFormatting>
  <conditionalFormatting sqref="AB36:AB37">
    <cfRule type="expression" dxfId="19" priority="124">
      <formula>AB36=""</formula>
    </cfRule>
  </conditionalFormatting>
  <conditionalFormatting sqref="AB38:AB41">
    <cfRule type="expression" dxfId="18" priority="123">
      <formula>AB38=""</formula>
    </cfRule>
  </conditionalFormatting>
  <conditionalFormatting sqref="AB40">
    <cfRule type="expression" dxfId="17" priority="122">
      <formula>AB40=""</formula>
    </cfRule>
  </conditionalFormatting>
  <conditionalFormatting sqref="AA30:AA32">
    <cfRule type="expression" dxfId="16" priority="1427">
      <formula>$AB30=""</formula>
    </cfRule>
  </conditionalFormatting>
  <conditionalFormatting sqref="G322">
    <cfRule type="expression" dxfId="15" priority="12">
      <formula>H$24="No"</formula>
    </cfRule>
    <cfRule type="expression" dxfId="14" priority="13">
      <formula>H$24="Yes"</formula>
    </cfRule>
  </conditionalFormatting>
  <conditionalFormatting sqref="P83:Q83 P82">
    <cfRule type="expression" dxfId="13" priority="14">
      <formula>VALUE(RIGHT($P$82,1))&gt;#REF!</formula>
    </cfRule>
  </conditionalFormatting>
  <conditionalFormatting sqref="M83:N83 M82">
    <cfRule type="expression" dxfId="12" priority="15">
      <formula>VALUE(RIGHT($M$82,1))&gt;#REF!</formula>
    </cfRule>
  </conditionalFormatting>
  <conditionalFormatting sqref="J83:K83 J82">
    <cfRule type="expression" dxfId="11" priority="16">
      <formula>VALUE(RIGHT($J$82,1))&gt;#REF!</formula>
    </cfRule>
  </conditionalFormatting>
  <conditionalFormatting sqref="M322">
    <cfRule type="expression" dxfId="10" priority="9">
      <formula>N$24="No"</formula>
    </cfRule>
    <cfRule type="expression" dxfId="9" priority="10">
      <formula>N$24="Yes"</formula>
    </cfRule>
  </conditionalFormatting>
  <conditionalFormatting sqref="M322">
    <cfRule type="expression" dxfId="8" priority="11">
      <formula>VALUE(RIGHT($K$11,1))&gt;#REF!</formula>
    </cfRule>
  </conditionalFormatting>
  <conditionalFormatting sqref="T83">
    <cfRule type="expression" dxfId="7" priority="8">
      <formula>VALUE(RIGHT($P$82,1))&gt;#REF!</formula>
    </cfRule>
  </conditionalFormatting>
  <conditionalFormatting sqref="Q82">
    <cfRule type="expression" dxfId="6" priority="7">
      <formula>VALUE(RIGHT($P$82,1))&gt;#REF!</formula>
    </cfRule>
  </conditionalFormatting>
  <conditionalFormatting sqref="T82">
    <cfRule type="expression" dxfId="5" priority="6">
      <formula>VALUE(RIGHT($P$82,1))&gt;#REF!</formula>
    </cfRule>
  </conditionalFormatting>
  <conditionalFormatting sqref="W83">
    <cfRule type="expression" dxfId="4" priority="5">
      <formula>VALUE(RIGHT($P$82,1))&gt;#REF!</formula>
    </cfRule>
  </conditionalFormatting>
  <conditionalFormatting sqref="W82">
    <cfRule type="expression" dxfId="3" priority="4">
      <formula>VALUE(RIGHT($P$82,1))&gt;#REF!</formula>
    </cfRule>
  </conditionalFormatting>
  <conditionalFormatting sqref="K85:M85">
    <cfRule type="expression" dxfId="2" priority="3">
      <formula>$H$7&lt;3</formula>
    </cfRule>
  </conditionalFormatting>
  <conditionalFormatting sqref="I85:J85">
    <cfRule type="expression" dxfId="1" priority="2">
      <formula>$H$7&lt;2</formula>
    </cfRule>
  </conditionalFormatting>
  <conditionalFormatting sqref="H17">
    <cfRule type="expression" dxfId="0" priority="1">
      <formula>IF(#REF!="","Population changed - check value")</formula>
    </cfRule>
  </conditionalFormatting>
  <dataValidations count="5">
    <dataValidation type="list" allowBlank="1" showInputMessage="1" showErrorMessage="1" sqref="N143 K143 N208:N210 N213:N217" xr:uid="{00000000-0002-0000-1F00-000000000000}">
      <formula1>"Route-based,Point-to-point"</formula1>
    </dataValidation>
    <dataValidation type="list" allowBlank="1" showInputMessage="1" showErrorMessage="1" sqref="G86" xr:uid="{00000000-0002-0000-1F00-000001000000}">
      <formula1>"ZimbabweZAPS,TEST"</formula1>
    </dataValidation>
    <dataValidation type="list" allowBlank="1" showInputMessage="1" showErrorMessage="1" sqref="G87 G89" xr:uid="{00000000-0002-0000-1F00-000002000000}">
      <formula1>"Tier 1,Tier 2,Tier 3,Tier 4"</formula1>
    </dataValidation>
    <dataValidation type="list" allowBlank="1" showInputMessage="1" showErrorMessage="1" sqref="J136:K136 M136:N136 M156 M308 M176 M160 M204 M224 M220 M180 M240 M244 M284 M288 M304 M200" xr:uid="{00000000-0002-0000-1F00-000003000000}">
      <formula1>"Motorcycle,Land Cruiser,Box Truck/Lorry"</formula1>
    </dataValidation>
    <dataValidation type="list" allowBlank="1" showInputMessage="1" showErrorMessage="1" sqref="H105 K105 N105" xr:uid="{00000000-0002-0000-1F00-000004000000}">
      <formula1>$B$28:$B$38</formula1>
    </dataValidation>
  </dataValidations>
  <pageMargins left="0.7" right="0.7" top="0.75" bottom="0.75" header="0.3" footer="0.3"/>
  <pageSetup orientation="portrait" r:id="rId1"/>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8">
    <tabColor theme="0" tint="-0.14999847407452621"/>
  </sheetPr>
  <dimension ref="A1:V117"/>
  <sheetViews>
    <sheetView topLeftCell="F1" workbookViewId="0">
      <selection activeCell="P36" sqref="P36"/>
    </sheetView>
  </sheetViews>
  <sheetFormatPr defaultColWidth="8.84375" defaultRowHeight="14.6"/>
  <cols>
    <col min="13" max="13" width="13.3828125" customWidth="1"/>
  </cols>
  <sheetData>
    <row r="1" spans="1:22">
      <c r="A1" t="s">
        <v>422</v>
      </c>
      <c r="D1" t="s">
        <v>425</v>
      </c>
      <c r="G1" t="s">
        <v>427</v>
      </c>
      <c r="R1" t="s">
        <v>447</v>
      </c>
    </row>
    <row r="2" spans="1:22" ht="44.15" thickBot="1">
      <c r="A2" s="278" t="s">
        <v>423</v>
      </c>
      <c r="B2" t="s">
        <v>424</v>
      </c>
      <c r="D2" s="281" t="s">
        <v>423</v>
      </c>
      <c r="E2" t="s">
        <v>426</v>
      </c>
      <c r="G2" s="278" t="s">
        <v>428</v>
      </c>
      <c r="H2" s="278" t="s">
        <v>423</v>
      </c>
      <c r="I2" t="s">
        <v>429</v>
      </c>
      <c r="J2" t="s">
        <v>430</v>
      </c>
      <c r="L2" t="s">
        <v>437</v>
      </c>
      <c r="O2" t="s">
        <v>438</v>
      </c>
      <c r="R2" t="s">
        <v>448</v>
      </c>
      <c r="S2" t="s">
        <v>449</v>
      </c>
      <c r="T2" t="s">
        <v>430</v>
      </c>
      <c r="U2" t="s">
        <v>451</v>
      </c>
    </row>
    <row r="3" spans="1:22" ht="15" thickBot="1">
      <c r="A3" s="279">
        <v>1</v>
      </c>
      <c r="B3" s="280">
        <f>AVERAGE(A3:A102)</f>
        <v>26.633170505050504</v>
      </c>
      <c r="D3" s="281">
        <v>45</v>
      </c>
      <c r="E3" s="282">
        <f>AVERAGE(D3:D117)</f>
        <v>77.8</v>
      </c>
      <c r="G3" s="278" t="s">
        <v>431</v>
      </c>
      <c r="H3" s="278"/>
      <c r="L3" t="s">
        <v>432</v>
      </c>
      <c r="M3" s="283">
        <v>731027.43</v>
      </c>
      <c r="O3" t="s">
        <v>439</v>
      </c>
      <c r="P3">
        <v>184</v>
      </c>
      <c r="R3">
        <v>461</v>
      </c>
      <c r="S3">
        <v>3.8930585683297183</v>
      </c>
      <c r="T3">
        <f>SUMPRODUCT(R3:R9,S3:S9)/SUM(R3:R9)</f>
        <v>4.190384615384616</v>
      </c>
      <c r="U3" t="s">
        <v>439</v>
      </c>
      <c r="V3">
        <v>202</v>
      </c>
    </row>
    <row r="4" spans="1:22" ht="15" thickBot="1">
      <c r="A4" s="279">
        <v>2.4163399999999999</v>
      </c>
      <c r="D4" s="281">
        <v>54.16</v>
      </c>
      <c r="G4" s="279">
        <v>0.03</v>
      </c>
      <c r="H4" s="279">
        <v>1</v>
      </c>
      <c r="I4">
        <f>H4/G4</f>
        <v>33.333333333333336</v>
      </c>
      <c r="J4">
        <f>SUMPRODUCT(H4:H72,I4:I72)/SUM(H4:H72)</f>
        <v>19.499074932261909</v>
      </c>
      <c r="L4" t="s">
        <v>433</v>
      </c>
      <c r="M4" s="284">
        <v>46.954325140000002</v>
      </c>
      <c r="O4" t="s">
        <v>440</v>
      </c>
      <c r="P4">
        <v>100</v>
      </c>
      <c r="R4" s="285">
        <v>345</v>
      </c>
      <c r="S4">
        <v>4.2942028985507248</v>
      </c>
      <c r="U4" t="s">
        <v>440</v>
      </c>
      <c r="V4">
        <v>100</v>
      </c>
    </row>
    <row r="5" spans="1:22" ht="15" thickBot="1">
      <c r="A5" s="279">
        <v>3.6686399999999999</v>
      </c>
      <c r="D5" s="281">
        <v>45</v>
      </c>
      <c r="G5" s="279">
        <v>0.1</v>
      </c>
      <c r="H5" s="279">
        <v>2.4163399999999999</v>
      </c>
      <c r="I5">
        <f t="shared" ref="I5:I68" si="0">H5/G5</f>
        <v>24.163399999999999</v>
      </c>
      <c r="L5" t="s">
        <v>434</v>
      </c>
      <c r="M5">
        <f>M3/M4</f>
        <v>15568.905054440742</v>
      </c>
      <c r="O5" t="s">
        <v>441</v>
      </c>
      <c r="P5">
        <v>27</v>
      </c>
      <c r="R5" s="285">
        <v>220</v>
      </c>
      <c r="S5">
        <v>4.2681818181818185</v>
      </c>
      <c r="U5" t="s">
        <v>441</v>
      </c>
      <c r="V5">
        <v>27</v>
      </c>
    </row>
    <row r="6" spans="1:22" ht="15" thickBot="1">
      <c r="A6" s="279">
        <v>4</v>
      </c>
      <c r="D6" s="281">
        <v>60.6</v>
      </c>
      <c r="G6" s="279">
        <v>7.0000000000000007E-2</v>
      </c>
      <c r="H6" s="279">
        <v>3.6686399999999999</v>
      </c>
      <c r="I6">
        <f t="shared" si="0"/>
        <v>52.409142857142854</v>
      </c>
      <c r="O6" t="s">
        <v>442</v>
      </c>
      <c r="P6">
        <v>4</v>
      </c>
      <c r="R6" s="286">
        <v>200</v>
      </c>
      <c r="S6">
        <v>4.125</v>
      </c>
      <c r="U6" t="s">
        <v>442</v>
      </c>
      <c r="V6">
        <v>4</v>
      </c>
    </row>
    <row r="7" spans="1:22" ht="15" thickBot="1">
      <c r="A7" s="279">
        <v>4</v>
      </c>
      <c r="D7" s="281">
        <v>145</v>
      </c>
      <c r="G7" s="279">
        <v>7.0000000000000007E-2</v>
      </c>
      <c r="H7" s="279">
        <v>4</v>
      </c>
      <c r="I7">
        <f t="shared" si="0"/>
        <v>57.142857142857139</v>
      </c>
      <c r="L7" t="s">
        <v>435</v>
      </c>
      <c r="M7" s="59">
        <v>15.09</v>
      </c>
      <c r="O7" t="s">
        <v>446</v>
      </c>
      <c r="P7">
        <v>78</v>
      </c>
      <c r="R7" s="285">
        <v>275</v>
      </c>
      <c r="S7">
        <v>4.6090909090909093</v>
      </c>
      <c r="U7" t="s">
        <v>446</v>
      </c>
      <c r="V7">
        <v>172</v>
      </c>
    </row>
    <row r="8" spans="1:22" ht="15" thickBot="1">
      <c r="A8" s="279">
        <v>4.0887099999999998</v>
      </c>
      <c r="D8" s="281">
        <v>140</v>
      </c>
      <c r="G8" s="279">
        <v>7.0000000000000007E-2</v>
      </c>
      <c r="H8" s="279">
        <v>4</v>
      </c>
      <c r="I8">
        <f t="shared" si="0"/>
        <v>57.142857142857139</v>
      </c>
      <c r="M8" s="58">
        <v>7.7759999999999998</v>
      </c>
      <c r="O8" t="s">
        <v>443</v>
      </c>
      <c r="P8">
        <f>P4/P3</f>
        <v>0.54347826086956519</v>
      </c>
      <c r="R8" s="285">
        <v>275</v>
      </c>
      <c r="S8">
        <v>4.1727272727272728</v>
      </c>
      <c r="U8" t="s">
        <v>443</v>
      </c>
      <c r="V8">
        <f>V4/V3</f>
        <v>0.49504950495049505</v>
      </c>
    </row>
    <row r="9" spans="1:22" ht="15" thickBot="1">
      <c r="A9" s="279">
        <v>4.1673</v>
      </c>
      <c r="D9" s="281">
        <v>130</v>
      </c>
      <c r="G9" s="279">
        <v>7.0000000000000007E-2</v>
      </c>
      <c r="H9" s="279">
        <v>4.0887099999999998</v>
      </c>
      <c r="I9">
        <f t="shared" si="0"/>
        <v>58.410142857142851</v>
      </c>
      <c r="M9">
        <f>SUM(M7:M8)</f>
        <v>22.866</v>
      </c>
      <c r="O9" t="s">
        <v>444</v>
      </c>
      <c r="P9">
        <f>P6*P5</f>
        <v>108</v>
      </c>
      <c r="R9" s="285">
        <v>200</v>
      </c>
      <c r="S9">
        <v>4.125</v>
      </c>
      <c r="U9" t="s">
        <v>444</v>
      </c>
      <c r="V9">
        <f>V6*V5</f>
        <v>108</v>
      </c>
    </row>
    <row r="10" spans="1:22">
      <c r="A10" s="279">
        <v>6</v>
      </c>
      <c r="D10" s="281">
        <v>110</v>
      </c>
      <c r="G10" s="279">
        <v>0.09</v>
      </c>
      <c r="H10" s="279">
        <v>4.1673</v>
      </c>
      <c r="I10">
        <f t="shared" si="0"/>
        <v>46.303333333333335</v>
      </c>
      <c r="L10" t="s">
        <v>436</v>
      </c>
      <c r="M10">
        <f>M9*M5</f>
        <v>355998.58297484199</v>
      </c>
      <c r="O10" t="s">
        <v>445</v>
      </c>
      <c r="P10">
        <f>P7+(P8*P9)</f>
        <v>136.69565217391303</v>
      </c>
      <c r="U10" t="s">
        <v>445</v>
      </c>
      <c r="V10">
        <f>V7+(V8*V9)</f>
        <v>225.46534653465346</v>
      </c>
    </row>
    <row r="11" spans="1:22">
      <c r="A11" s="279">
        <v>6.3658599999999996</v>
      </c>
      <c r="D11" s="281">
        <v>67</v>
      </c>
      <c r="G11" s="279">
        <v>0.1</v>
      </c>
      <c r="H11" s="279">
        <v>6</v>
      </c>
      <c r="I11">
        <f t="shared" si="0"/>
        <v>60</v>
      </c>
      <c r="R11" t="s">
        <v>450</v>
      </c>
    </row>
    <row r="12" spans="1:22">
      <c r="A12" s="279">
        <v>6.8931199999999997</v>
      </c>
      <c r="D12" s="281">
        <v>110</v>
      </c>
      <c r="G12" s="279">
        <v>0.18</v>
      </c>
      <c r="H12" s="279">
        <v>6.3658599999999996</v>
      </c>
      <c r="I12">
        <f t="shared" si="0"/>
        <v>35.36588888888889</v>
      </c>
      <c r="R12" s="287">
        <v>270</v>
      </c>
      <c r="S12">
        <v>3.3407407407407406</v>
      </c>
      <c r="T12">
        <f>SUMPRODUCT(R12:R13,S12:S13)/SUM(R12:R13)</f>
        <v>3.7748275862068965</v>
      </c>
    </row>
    <row r="13" spans="1:22">
      <c r="A13" s="279">
        <v>7.1228100000000003</v>
      </c>
      <c r="D13" s="281">
        <v>12</v>
      </c>
      <c r="G13" s="279">
        <v>0.27</v>
      </c>
      <c r="H13" s="279">
        <v>6.8931199999999997</v>
      </c>
      <c r="I13">
        <f t="shared" si="0"/>
        <v>25.530074074074072</v>
      </c>
      <c r="R13">
        <v>20</v>
      </c>
      <c r="S13" s="38">
        <v>9.6349999999999998</v>
      </c>
    </row>
    <row r="14" spans="1:22">
      <c r="A14" s="279">
        <v>7.4211299999999998</v>
      </c>
      <c r="D14" s="281">
        <v>68</v>
      </c>
      <c r="G14" s="279">
        <v>0.15</v>
      </c>
      <c r="H14" s="279">
        <v>7.1228100000000003</v>
      </c>
      <c r="I14">
        <f t="shared" si="0"/>
        <v>47.485400000000006</v>
      </c>
    </row>
    <row r="15" spans="1:22">
      <c r="A15" s="279">
        <v>7.8849499999999999</v>
      </c>
      <c r="D15" s="281">
        <v>28</v>
      </c>
      <c r="G15" s="279">
        <v>0.44</v>
      </c>
      <c r="H15" s="279">
        <v>7.4211299999999998</v>
      </c>
      <c r="I15">
        <f t="shared" si="0"/>
        <v>16.866204545454544</v>
      </c>
    </row>
    <row r="16" spans="1:22">
      <c r="A16" s="279">
        <v>8.3071300000000008</v>
      </c>
      <c r="D16" s="281">
        <v>44</v>
      </c>
      <c r="G16" s="279">
        <v>0.65</v>
      </c>
      <c r="H16" s="279">
        <v>7.8849499999999999</v>
      </c>
      <c r="I16">
        <f t="shared" si="0"/>
        <v>12.130692307692307</v>
      </c>
    </row>
    <row r="17" spans="1:9">
      <c r="A17" s="279">
        <v>9.20838</v>
      </c>
      <c r="D17" s="281">
        <v>40</v>
      </c>
      <c r="G17" s="279">
        <v>0.47</v>
      </c>
      <c r="H17" s="279">
        <v>8.3071300000000008</v>
      </c>
      <c r="I17">
        <f t="shared" si="0"/>
        <v>17.674744680851067</v>
      </c>
    </row>
    <row r="18" spans="1:9">
      <c r="A18" s="279">
        <v>10.106170000000001</v>
      </c>
      <c r="D18" s="281">
        <v>77</v>
      </c>
      <c r="G18" s="279">
        <v>0.2</v>
      </c>
      <c r="H18" s="279">
        <v>9.20838</v>
      </c>
      <c r="I18">
        <f t="shared" si="0"/>
        <v>46.041899999999998</v>
      </c>
    </row>
    <row r="19" spans="1:9">
      <c r="A19" s="279">
        <v>10.47696</v>
      </c>
      <c r="D19" s="281">
        <v>66</v>
      </c>
      <c r="G19" s="279">
        <v>0.6</v>
      </c>
      <c r="H19" s="279">
        <v>10.106170000000001</v>
      </c>
      <c r="I19">
        <f t="shared" si="0"/>
        <v>16.843616666666669</v>
      </c>
    </row>
    <row r="20" spans="1:9">
      <c r="A20" s="279">
        <v>12.99953</v>
      </c>
      <c r="D20" s="281">
        <v>32</v>
      </c>
      <c r="G20" s="279">
        <v>0.86</v>
      </c>
      <c r="H20" s="279">
        <v>10.47696</v>
      </c>
      <c r="I20">
        <f t="shared" si="0"/>
        <v>12.182511627906978</v>
      </c>
    </row>
    <row r="21" spans="1:9">
      <c r="A21" s="279">
        <v>13.16412</v>
      </c>
      <c r="D21" s="281">
        <v>61</v>
      </c>
      <c r="G21" s="279">
        <v>0.51</v>
      </c>
      <c r="H21" s="279">
        <v>12.99953</v>
      </c>
      <c r="I21">
        <f t="shared" si="0"/>
        <v>25.48927450980392</v>
      </c>
    </row>
    <row r="22" spans="1:9">
      <c r="A22" s="279">
        <v>13.59018</v>
      </c>
      <c r="D22" s="281">
        <v>79</v>
      </c>
      <c r="G22" s="279">
        <v>0.78</v>
      </c>
      <c r="H22" s="279">
        <v>13.16412</v>
      </c>
      <c r="I22">
        <f t="shared" si="0"/>
        <v>16.877076923076924</v>
      </c>
    </row>
    <row r="23" spans="1:9">
      <c r="A23" s="279">
        <v>13.74973</v>
      </c>
      <c r="D23" s="281">
        <v>56</v>
      </c>
      <c r="G23" s="279">
        <v>0.6</v>
      </c>
      <c r="H23" s="279">
        <v>13.59018</v>
      </c>
      <c r="I23">
        <f t="shared" si="0"/>
        <v>22.650300000000001</v>
      </c>
    </row>
    <row r="24" spans="1:9">
      <c r="A24" s="279">
        <v>14.05822</v>
      </c>
      <c r="D24" s="281">
        <v>9</v>
      </c>
      <c r="G24" s="279">
        <v>0.78</v>
      </c>
      <c r="H24" s="279">
        <v>13.74973</v>
      </c>
      <c r="I24">
        <f t="shared" si="0"/>
        <v>17.627858974358972</v>
      </c>
    </row>
    <row r="25" spans="1:9">
      <c r="A25" s="279">
        <v>14.05822</v>
      </c>
      <c r="D25" s="281">
        <v>57.17</v>
      </c>
      <c r="G25" s="279">
        <v>0.8</v>
      </c>
      <c r="H25" s="279">
        <v>14.05822</v>
      </c>
      <c r="I25">
        <f t="shared" si="0"/>
        <v>17.572775</v>
      </c>
    </row>
    <row r="26" spans="1:9">
      <c r="A26" s="279">
        <v>15</v>
      </c>
      <c r="D26" s="281">
        <v>26.24</v>
      </c>
      <c r="G26" s="279">
        <v>0.8</v>
      </c>
      <c r="H26" s="279">
        <v>14.05822</v>
      </c>
      <c r="I26">
        <f t="shared" si="0"/>
        <v>17.572775</v>
      </c>
    </row>
    <row r="27" spans="1:9">
      <c r="A27" s="279">
        <v>16.217639999999999</v>
      </c>
      <c r="D27" s="281">
        <v>23.83</v>
      </c>
      <c r="G27" s="279">
        <v>1.25</v>
      </c>
      <c r="H27" s="279">
        <v>15</v>
      </c>
      <c r="I27">
        <f t="shared" si="0"/>
        <v>12</v>
      </c>
    </row>
    <row r="28" spans="1:9">
      <c r="A28" s="279">
        <v>16.448350000000001</v>
      </c>
      <c r="D28" s="281">
        <v>148</v>
      </c>
      <c r="G28" s="279">
        <v>0.92</v>
      </c>
      <c r="H28" s="279">
        <v>16.217639999999999</v>
      </c>
      <c r="I28">
        <f t="shared" si="0"/>
        <v>17.627869565217392</v>
      </c>
    </row>
    <row r="29" spans="1:9">
      <c r="A29" s="279">
        <v>16.771419999999999</v>
      </c>
      <c r="D29" s="281">
        <v>28</v>
      </c>
      <c r="G29" s="279">
        <v>0.62</v>
      </c>
      <c r="H29" s="279">
        <v>16.448350000000001</v>
      </c>
      <c r="I29">
        <f t="shared" si="0"/>
        <v>26.52959677419355</v>
      </c>
    </row>
    <row r="30" spans="1:9">
      <c r="A30" s="279">
        <v>17.1431</v>
      </c>
      <c r="D30" s="281">
        <v>113</v>
      </c>
      <c r="G30" s="279">
        <v>1.03</v>
      </c>
      <c r="H30" s="279">
        <v>16.771419999999999</v>
      </c>
      <c r="I30">
        <f t="shared" si="0"/>
        <v>16.28293203883495</v>
      </c>
    </row>
    <row r="31" spans="1:9">
      <c r="A31" s="279">
        <v>17.583919999999999</v>
      </c>
      <c r="D31" s="281">
        <v>36</v>
      </c>
      <c r="G31" s="279">
        <v>0.97</v>
      </c>
      <c r="H31" s="279">
        <v>17.1431</v>
      </c>
      <c r="I31">
        <f t="shared" si="0"/>
        <v>17.673298969072167</v>
      </c>
    </row>
    <row r="32" spans="1:9">
      <c r="A32" s="279">
        <v>18.6691</v>
      </c>
      <c r="D32" s="281">
        <v>135</v>
      </c>
      <c r="G32" s="279">
        <v>1.81</v>
      </c>
      <c r="H32" s="279">
        <v>17.583919999999999</v>
      </c>
      <c r="I32">
        <f t="shared" si="0"/>
        <v>9.7148729281767956</v>
      </c>
    </row>
    <row r="33" spans="1:9">
      <c r="A33" s="279">
        <v>19.615659999999998</v>
      </c>
      <c r="D33" s="281">
        <v>65</v>
      </c>
      <c r="G33" s="279">
        <v>1.1399999999999999</v>
      </c>
      <c r="H33" s="279">
        <v>18.6691</v>
      </c>
      <c r="I33">
        <f t="shared" si="0"/>
        <v>16.376403508771933</v>
      </c>
    </row>
    <row r="34" spans="1:9">
      <c r="A34" s="279">
        <v>19.93019</v>
      </c>
      <c r="D34" s="281">
        <v>104</v>
      </c>
      <c r="G34" s="279">
        <v>1.1599999999999999</v>
      </c>
      <c r="H34" s="279">
        <v>19.615659999999998</v>
      </c>
      <c r="I34">
        <f t="shared" si="0"/>
        <v>16.910051724137929</v>
      </c>
    </row>
    <row r="35" spans="1:9">
      <c r="A35" s="279">
        <v>19.951319999999999</v>
      </c>
      <c r="D35" s="281">
        <v>80</v>
      </c>
      <c r="G35" s="279">
        <v>1.63</v>
      </c>
      <c r="H35" s="279">
        <v>19.93019</v>
      </c>
      <c r="I35">
        <f t="shared" si="0"/>
        <v>12.227110429447853</v>
      </c>
    </row>
    <row r="36" spans="1:9">
      <c r="A36" s="279">
        <v>20.16255</v>
      </c>
      <c r="D36" s="281">
        <v>135</v>
      </c>
      <c r="G36" s="279">
        <v>1.22</v>
      </c>
      <c r="H36" s="279">
        <v>19.951319999999999</v>
      </c>
      <c r="I36">
        <f t="shared" si="0"/>
        <v>16.353540983606557</v>
      </c>
    </row>
    <row r="37" spans="1:9">
      <c r="A37" s="279">
        <v>20.25243</v>
      </c>
      <c r="D37" s="281">
        <v>52</v>
      </c>
      <c r="G37" s="279">
        <v>1.39</v>
      </c>
      <c r="H37" s="279">
        <v>20.16255</v>
      </c>
      <c r="I37">
        <f t="shared" si="0"/>
        <v>14.50543165467626</v>
      </c>
    </row>
    <row r="38" spans="1:9">
      <c r="A38" s="279">
        <v>20.335979999999999</v>
      </c>
      <c r="D38" s="281">
        <v>30</v>
      </c>
      <c r="G38" s="279">
        <v>0.56000000000000005</v>
      </c>
      <c r="H38" s="279">
        <v>20.25243</v>
      </c>
      <c r="I38">
        <f t="shared" si="0"/>
        <v>36.165053571428565</v>
      </c>
    </row>
    <row r="39" spans="1:9">
      <c r="A39" s="279">
        <v>20.34404</v>
      </c>
      <c r="D39" s="281">
        <v>12</v>
      </c>
      <c r="G39" s="279">
        <v>1.24</v>
      </c>
      <c r="H39" s="279">
        <v>20.335979999999999</v>
      </c>
      <c r="I39">
        <f t="shared" si="0"/>
        <v>16.399983870967741</v>
      </c>
    </row>
    <row r="40" spans="1:9">
      <c r="A40" s="279">
        <v>20.566610000000001</v>
      </c>
      <c r="D40" s="281">
        <v>80</v>
      </c>
      <c r="G40" s="279">
        <v>1.66</v>
      </c>
      <c r="H40" s="279">
        <v>20.34404</v>
      </c>
      <c r="I40">
        <f t="shared" si="0"/>
        <v>12.255445783132531</v>
      </c>
    </row>
    <row r="41" spans="1:9">
      <c r="A41" s="279">
        <v>21.280650000000001</v>
      </c>
      <c r="D41" s="281">
        <v>90</v>
      </c>
      <c r="G41" s="279">
        <v>1.21</v>
      </c>
      <c r="H41" s="279">
        <v>20.566610000000001</v>
      </c>
      <c r="I41">
        <f t="shared" si="0"/>
        <v>16.997198347107439</v>
      </c>
    </row>
    <row r="42" spans="1:9">
      <c r="A42" s="279">
        <v>22.24475</v>
      </c>
      <c r="D42" s="281">
        <v>120</v>
      </c>
      <c r="G42" s="279">
        <v>1.74</v>
      </c>
      <c r="H42" s="279">
        <v>21.280650000000001</v>
      </c>
      <c r="I42">
        <f t="shared" si="0"/>
        <v>12.230258620689655</v>
      </c>
    </row>
    <row r="43" spans="1:9">
      <c r="A43" s="279">
        <v>22.282050000000002</v>
      </c>
      <c r="D43" s="281">
        <v>150</v>
      </c>
      <c r="G43" s="279">
        <v>1.31</v>
      </c>
      <c r="H43" s="279">
        <v>22.24475</v>
      </c>
      <c r="I43">
        <f t="shared" si="0"/>
        <v>16.980725190839692</v>
      </c>
    </row>
    <row r="44" spans="1:9">
      <c r="A44" s="279">
        <v>22.851880000000001</v>
      </c>
      <c r="D44" s="281">
        <v>40</v>
      </c>
      <c r="G44" s="279">
        <v>1.31</v>
      </c>
      <c r="H44" s="279">
        <v>22.282050000000002</v>
      </c>
      <c r="I44">
        <f t="shared" si="0"/>
        <v>17.009198473282442</v>
      </c>
    </row>
    <row r="45" spans="1:9">
      <c r="A45" s="279">
        <v>23.491700000000002</v>
      </c>
      <c r="D45" s="281">
        <v>72</v>
      </c>
      <c r="G45" s="279">
        <v>1</v>
      </c>
      <c r="H45" s="279">
        <v>22.851880000000001</v>
      </c>
      <c r="I45">
        <f t="shared" si="0"/>
        <v>22.851880000000001</v>
      </c>
    </row>
    <row r="46" spans="1:9">
      <c r="A46" s="279">
        <v>23.63307</v>
      </c>
      <c r="D46" s="281">
        <v>42</v>
      </c>
      <c r="G46" s="279">
        <v>0.65</v>
      </c>
      <c r="H46" s="279">
        <v>23.491700000000002</v>
      </c>
      <c r="I46">
        <f t="shared" si="0"/>
        <v>36.141076923076923</v>
      </c>
    </row>
    <row r="47" spans="1:9">
      <c r="A47" s="279">
        <v>25.62651</v>
      </c>
      <c r="D47" s="281">
        <v>49</v>
      </c>
      <c r="G47" s="279">
        <v>1.93</v>
      </c>
      <c r="H47" s="279">
        <v>23.63307</v>
      </c>
      <c r="I47">
        <f t="shared" si="0"/>
        <v>12.245113989637305</v>
      </c>
    </row>
    <row r="48" spans="1:9">
      <c r="A48" s="279">
        <v>26.284939999999999</v>
      </c>
      <c r="D48" s="281">
        <v>35</v>
      </c>
      <c r="G48" s="279">
        <v>1.45</v>
      </c>
      <c r="H48" s="279">
        <v>25.62651</v>
      </c>
      <c r="I48">
        <f t="shared" si="0"/>
        <v>17.673455172413792</v>
      </c>
    </row>
    <row r="49" spans="1:9">
      <c r="A49" s="279">
        <v>26.35577</v>
      </c>
      <c r="D49" s="281">
        <v>17</v>
      </c>
      <c r="G49" s="279">
        <v>1.82</v>
      </c>
      <c r="H49" s="279">
        <v>26.284939999999999</v>
      </c>
      <c r="I49">
        <f t="shared" si="0"/>
        <v>14.442274725274725</v>
      </c>
    </row>
    <row r="50" spans="1:9">
      <c r="A50" s="279">
        <v>27.250019999999999</v>
      </c>
      <c r="D50" s="281">
        <v>25</v>
      </c>
      <c r="G50" s="279">
        <v>2.15</v>
      </c>
      <c r="H50" s="279">
        <v>26.35577</v>
      </c>
      <c r="I50">
        <f t="shared" si="0"/>
        <v>12.258497674418605</v>
      </c>
    </row>
    <row r="51" spans="1:9">
      <c r="A51" s="279">
        <v>27.270600000000002</v>
      </c>
      <c r="D51" s="281">
        <v>47</v>
      </c>
      <c r="G51" s="279">
        <v>1.57</v>
      </c>
      <c r="H51" s="279">
        <v>27.250019999999999</v>
      </c>
      <c r="I51">
        <f t="shared" si="0"/>
        <v>17.356700636942673</v>
      </c>
    </row>
    <row r="52" spans="1:9">
      <c r="A52" s="279">
        <v>28.22899</v>
      </c>
      <c r="D52" s="281">
        <v>67</v>
      </c>
      <c r="G52" s="279">
        <v>2.23</v>
      </c>
      <c r="H52" s="279">
        <v>27.270600000000002</v>
      </c>
      <c r="I52">
        <f t="shared" si="0"/>
        <v>12.228968609865472</v>
      </c>
    </row>
    <row r="53" spans="1:9">
      <c r="A53" s="279">
        <v>28.926850000000002</v>
      </c>
      <c r="D53" s="281">
        <v>80</v>
      </c>
      <c r="G53" s="279">
        <v>2.2999999999999998</v>
      </c>
      <c r="H53" s="279">
        <v>28.22899</v>
      </c>
      <c r="I53">
        <f t="shared" si="0"/>
        <v>12.273473913043478</v>
      </c>
    </row>
    <row r="54" spans="1:9">
      <c r="A54" s="279">
        <v>30.08043</v>
      </c>
      <c r="D54" s="281">
        <v>99</v>
      </c>
      <c r="G54" s="279">
        <v>1.77</v>
      </c>
      <c r="H54" s="279">
        <v>28.926850000000002</v>
      </c>
      <c r="I54">
        <f t="shared" si="0"/>
        <v>16.342853107344634</v>
      </c>
    </row>
    <row r="55" spans="1:9">
      <c r="A55" s="279">
        <v>31.49624</v>
      </c>
      <c r="D55" s="281">
        <v>24</v>
      </c>
      <c r="G55" s="279">
        <v>2.46</v>
      </c>
      <c r="H55" s="279">
        <v>30.08043</v>
      </c>
      <c r="I55">
        <f t="shared" si="0"/>
        <v>12.227817073170732</v>
      </c>
    </row>
    <row r="56" spans="1:9">
      <c r="A56" s="279">
        <v>31.763629999999999</v>
      </c>
      <c r="D56" s="281">
        <v>48</v>
      </c>
      <c r="G56" s="279">
        <v>2.57</v>
      </c>
      <c r="H56" s="279">
        <v>31.49624</v>
      </c>
      <c r="I56">
        <f t="shared" si="0"/>
        <v>12.255346303501947</v>
      </c>
    </row>
    <row r="57" spans="1:9">
      <c r="A57" s="279">
        <v>34.843200000000003</v>
      </c>
      <c r="D57" s="281">
        <v>101</v>
      </c>
      <c r="G57" s="279">
        <v>1.83</v>
      </c>
      <c r="H57" s="279">
        <v>31.763629999999999</v>
      </c>
      <c r="I57">
        <f t="shared" si="0"/>
        <v>17.357174863387979</v>
      </c>
    </row>
    <row r="58" spans="1:9">
      <c r="A58" s="279">
        <v>35.531440000000003</v>
      </c>
      <c r="D58" s="281">
        <v>56</v>
      </c>
      <c r="G58" s="279">
        <v>0.97</v>
      </c>
      <c r="H58" s="279">
        <v>34.843200000000003</v>
      </c>
      <c r="I58">
        <f t="shared" si="0"/>
        <v>35.920824742268046</v>
      </c>
    </row>
    <row r="59" spans="1:9">
      <c r="A59" s="279">
        <v>35.94173</v>
      </c>
      <c r="D59" s="281">
        <v>35</v>
      </c>
      <c r="G59" s="279">
        <v>1.32</v>
      </c>
      <c r="H59" s="279">
        <v>35.531440000000003</v>
      </c>
      <c r="I59">
        <f t="shared" si="0"/>
        <v>26.917757575757577</v>
      </c>
    </row>
    <row r="60" spans="1:9">
      <c r="A60" s="279">
        <v>36.85877</v>
      </c>
      <c r="D60" s="281">
        <v>78</v>
      </c>
      <c r="G60" s="279">
        <v>1</v>
      </c>
      <c r="H60" s="279">
        <v>35.94173</v>
      </c>
      <c r="I60">
        <f t="shared" si="0"/>
        <v>35.94173</v>
      </c>
    </row>
    <row r="61" spans="1:9">
      <c r="A61" s="279">
        <v>37.739980000000003</v>
      </c>
      <c r="D61" s="281">
        <v>73</v>
      </c>
      <c r="G61" s="279">
        <v>3.33</v>
      </c>
      <c r="H61" s="279">
        <v>36.85877</v>
      </c>
      <c r="I61">
        <f t="shared" si="0"/>
        <v>11.0686996996997</v>
      </c>
    </row>
    <row r="62" spans="1:9">
      <c r="A62" s="279">
        <v>39.574559999999998</v>
      </c>
      <c r="D62" s="281">
        <v>96</v>
      </c>
      <c r="G62" s="279">
        <v>3.41</v>
      </c>
      <c r="H62" s="279">
        <v>37.739980000000003</v>
      </c>
      <c r="I62">
        <f t="shared" si="0"/>
        <v>11.067442815249267</v>
      </c>
    </row>
    <row r="63" spans="1:9">
      <c r="A63" s="279">
        <v>42.983609999999999</v>
      </c>
      <c r="D63" s="281">
        <v>86</v>
      </c>
      <c r="G63" s="279">
        <v>2.23</v>
      </c>
      <c r="H63" s="279">
        <v>39.574559999999998</v>
      </c>
      <c r="I63">
        <f t="shared" si="0"/>
        <v>17.746439461883408</v>
      </c>
    </row>
    <row r="64" spans="1:9">
      <c r="A64" s="279">
        <v>44.064239999999998</v>
      </c>
      <c r="D64" s="281">
        <v>22</v>
      </c>
      <c r="G64" s="279">
        <v>1.19</v>
      </c>
      <c r="H64" s="279">
        <v>42.983609999999999</v>
      </c>
      <c r="I64">
        <f t="shared" si="0"/>
        <v>36.120680672268911</v>
      </c>
    </row>
    <row r="65" spans="1:10">
      <c r="A65" s="279">
        <v>44.080570000000002</v>
      </c>
      <c r="D65" s="281">
        <v>65</v>
      </c>
      <c r="G65" s="279">
        <v>3.59</v>
      </c>
      <c r="H65" s="279">
        <v>44.064239999999998</v>
      </c>
      <c r="I65">
        <f t="shared" si="0"/>
        <v>12.274161559888579</v>
      </c>
    </row>
    <row r="66" spans="1:10">
      <c r="A66" s="279">
        <v>45.321510000000004</v>
      </c>
      <c r="D66" s="281">
        <v>85</v>
      </c>
      <c r="G66" s="279">
        <v>1.93</v>
      </c>
      <c r="H66" s="279">
        <v>44.080570000000002</v>
      </c>
      <c r="I66">
        <f t="shared" si="0"/>
        <v>22.839673575129535</v>
      </c>
    </row>
    <row r="67" spans="1:10">
      <c r="A67" s="279">
        <v>50.654220000000002</v>
      </c>
      <c r="D67" s="281">
        <v>350</v>
      </c>
      <c r="G67" s="279">
        <v>1.26</v>
      </c>
      <c r="H67" s="279">
        <v>45.321510000000004</v>
      </c>
      <c r="I67">
        <f t="shared" si="0"/>
        <v>35.969452380952383</v>
      </c>
    </row>
    <row r="68" spans="1:10">
      <c r="A68" s="279">
        <v>53.72325</v>
      </c>
      <c r="D68" s="281">
        <v>100</v>
      </c>
      <c r="G68" s="279">
        <v>4.57</v>
      </c>
      <c r="H68" s="279">
        <v>50.654220000000002</v>
      </c>
      <c r="I68">
        <f t="shared" si="0"/>
        <v>11.084074398249452</v>
      </c>
    </row>
    <row r="69" spans="1:10">
      <c r="A69" s="279">
        <v>59.548549999999999</v>
      </c>
      <c r="D69" s="281">
        <v>60</v>
      </c>
      <c r="G69" s="279">
        <v>4.8499999999999996</v>
      </c>
      <c r="H69" s="279">
        <v>53.72325</v>
      </c>
      <c r="I69">
        <f t="shared" ref="I69:I103" si="1">H69/G69</f>
        <v>11.0769587628866</v>
      </c>
    </row>
    <row r="70" spans="1:10">
      <c r="A70" s="279">
        <v>61.25909</v>
      </c>
      <c r="D70" s="281">
        <v>220</v>
      </c>
      <c r="G70" s="279">
        <v>2.61</v>
      </c>
      <c r="H70" s="279">
        <v>59.548549999999999</v>
      </c>
      <c r="I70">
        <f t="shared" si="1"/>
        <v>22.815536398467433</v>
      </c>
    </row>
    <row r="71" spans="1:10">
      <c r="A71" s="279">
        <v>68.310320000000004</v>
      </c>
      <c r="D71" s="281">
        <v>320</v>
      </c>
      <c r="G71" s="279">
        <v>5.53</v>
      </c>
      <c r="H71" s="279">
        <v>61.25909</v>
      </c>
      <c r="I71">
        <f t="shared" si="1"/>
        <v>11.077593128390596</v>
      </c>
    </row>
    <row r="72" spans="1:10">
      <c r="A72" s="279"/>
      <c r="D72" s="281">
        <v>80</v>
      </c>
      <c r="G72" s="279">
        <v>3.93</v>
      </c>
      <c r="H72" s="279">
        <v>68.310320000000004</v>
      </c>
      <c r="I72">
        <f t="shared" si="1"/>
        <v>17.381760814249365</v>
      </c>
    </row>
    <row r="73" spans="1:10">
      <c r="A73" s="279">
        <v>6.5016699999999998</v>
      </c>
      <c r="D73" s="281">
        <v>380</v>
      </c>
      <c r="G73" s="279" t="s">
        <v>421</v>
      </c>
      <c r="H73" s="279"/>
    </row>
    <row r="74" spans="1:10">
      <c r="A74" s="279">
        <v>10.36764</v>
      </c>
      <c r="D74" s="281">
        <v>40</v>
      </c>
      <c r="G74" s="279">
        <v>0.7</v>
      </c>
      <c r="H74" s="279">
        <v>6.5016699999999998</v>
      </c>
      <c r="I74">
        <f t="shared" si="1"/>
        <v>9.2881</v>
      </c>
      <c r="J74">
        <f>SUMPRODUCT(H74:H103,I74:I103)/SUM(H74:H103)</f>
        <v>14.538986990669668</v>
      </c>
    </row>
    <row r="75" spans="1:10">
      <c r="A75" s="279">
        <v>12.368779999999999</v>
      </c>
      <c r="D75" s="281">
        <v>35</v>
      </c>
      <c r="G75" s="279">
        <v>0.78</v>
      </c>
      <c r="H75" s="279">
        <v>10.36764</v>
      </c>
      <c r="I75">
        <f t="shared" si="1"/>
        <v>13.291846153846153</v>
      </c>
    </row>
    <row r="76" spans="1:10">
      <c r="A76" s="279">
        <v>13.58179</v>
      </c>
      <c r="D76" s="281">
        <v>90</v>
      </c>
      <c r="G76" s="279">
        <v>1.24</v>
      </c>
      <c r="H76" s="279">
        <v>12.368779999999999</v>
      </c>
      <c r="I76">
        <f t="shared" si="1"/>
        <v>9.97482258064516</v>
      </c>
    </row>
    <row r="77" spans="1:10">
      <c r="A77" s="279">
        <v>14.101889999999999</v>
      </c>
      <c r="D77" s="281">
        <v>135</v>
      </c>
      <c r="G77" s="279">
        <v>1.34</v>
      </c>
      <c r="H77" s="279">
        <v>13.58179</v>
      </c>
      <c r="I77">
        <f t="shared" si="1"/>
        <v>10.135664179104477</v>
      </c>
    </row>
    <row r="78" spans="1:10">
      <c r="A78" s="279">
        <v>14.223039999999999</v>
      </c>
      <c r="D78" s="281">
        <v>45</v>
      </c>
      <c r="G78" s="279">
        <v>1.41</v>
      </c>
      <c r="H78" s="279">
        <v>14.101889999999999</v>
      </c>
      <c r="I78">
        <f t="shared" si="1"/>
        <v>10.001340425531914</v>
      </c>
    </row>
    <row r="79" spans="1:10">
      <c r="A79" s="279">
        <v>15.83676</v>
      </c>
      <c r="D79" s="281">
        <v>57</v>
      </c>
      <c r="G79" s="279">
        <v>1.06</v>
      </c>
      <c r="H79" s="279">
        <v>14.223039999999999</v>
      </c>
      <c r="I79">
        <f t="shared" si="1"/>
        <v>13.417962264150942</v>
      </c>
    </row>
    <row r="80" spans="1:10">
      <c r="A80" s="279">
        <v>20.974989999999998</v>
      </c>
      <c r="D80" s="281">
        <v>90</v>
      </c>
      <c r="G80" s="279">
        <v>1.69</v>
      </c>
      <c r="H80" s="279">
        <v>15.83676</v>
      </c>
      <c r="I80">
        <f t="shared" si="1"/>
        <v>9.3708639053254448</v>
      </c>
    </row>
    <row r="81" spans="1:9">
      <c r="A81" s="279">
        <v>21.528890000000001</v>
      </c>
      <c r="D81" s="281">
        <v>215</v>
      </c>
      <c r="G81" s="279">
        <v>1.57</v>
      </c>
      <c r="H81" s="279">
        <v>20.974989999999998</v>
      </c>
      <c r="I81">
        <f t="shared" si="1"/>
        <v>13.359866242038215</v>
      </c>
    </row>
    <row r="82" spans="1:9">
      <c r="A82" s="279">
        <v>22.318539999999999</v>
      </c>
      <c r="D82" s="281">
        <v>45</v>
      </c>
      <c r="G82" s="279">
        <v>2.29</v>
      </c>
      <c r="H82" s="279">
        <v>21.528890000000001</v>
      </c>
      <c r="I82">
        <f t="shared" si="1"/>
        <v>9.4012620087336245</v>
      </c>
    </row>
    <row r="83" spans="1:9">
      <c r="A83" s="279">
        <v>22.900749999999999</v>
      </c>
      <c r="D83" s="281">
        <v>92</v>
      </c>
      <c r="G83" s="279">
        <v>2.58</v>
      </c>
      <c r="H83" s="279">
        <v>22.318539999999999</v>
      </c>
      <c r="I83">
        <f t="shared" si="1"/>
        <v>8.650596899224805</v>
      </c>
    </row>
    <row r="84" spans="1:9">
      <c r="A84" s="279">
        <v>23.680399999999999</v>
      </c>
      <c r="D84" s="281">
        <v>77</v>
      </c>
      <c r="G84" s="279">
        <v>2.29</v>
      </c>
      <c r="H84" s="279">
        <v>22.900749999999999</v>
      </c>
      <c r="I84">
        <f t="shared" si="1"/>
        <v>10.00032751091703</v>
      </c>
    </row>
    <row r="85" spans="1:9">
      <c r="A85" s="279">
        <v>24.792380000000001</v>
      </c>
      <c r="D85" s="281">
        <v>45</v>
      </c>
      <c r="G85" s="279">
        <v>2.35</v>
      </c>
      <c r="H85" s="279">
        <v>23.680399999999999</v>
      </c>
      <c r="I85">
        <f t="shared" si="1"/>
        <v>10.076765957446808</v>
      </c>
    </row>
    <row r="86" spans="1:9">
      <c r="A86" s="279">
        <v>26.057300000000001</v>
      </c>
      <c r="D86" s="281">
        <v>64</v>
      </c>
      <c r="G86" s="279">
        <v>2.64</v>
      </c>
      <c r="H86" s="279">
        <v>24.792380000000001</v>
      </c>
      <c r="I86">
        <f t="shared" si="1"/>
        <v>9.3910530303030306</v>
      </c>
    </row>
    <row r="87" spans="1:9">
      <c r="A87" s="279">
        <v>27.970680000000002</v>
      </c>
      <c r="D87" s="281">
        <v>28</v>
      </c>
      <c r="G87" s="279">
        <v>2.77</v>
      </c>
      <c r="H87" s="279">
        <v>26.057300000000001</v>
      </c>
      <c r="I87">
        <f t="shared" si="1"/>
        <v>9.4069675090252716</v>
      </c>
    </row>
    <row r="88" spans="1:9">
      <c r="A88" s="279">
        <v>32.181519999999999</v>
      </c>
      <c r="D88" s="281">
        <v>135</v>
      </c>
      <c r="G88" s="279">
        <v>2.78</v>
      </c>
      <c r="H88" s="279">
        <v>27.970680000000002</v>
      </c>
      <c r="I88">
        <f t="shared" si="1"/>
        <v>10.061395683453238</v>
      </c>
    </row>
    <row r="89" spans="1:9">
      <c r="A89" s="279">
        <v>36.527259999999998</v>
      </c>
      <c r="D89" s="281">
        <v>185</v>
      </c>
      <c r="G89" s="279">
        <v>2.38</v>
      </c>
      <c r="H89" s="279">
        <v>32.181519999999999</v>
      </c>
      <c r="I89">
        <f t="shared" si="1"/>
        <v>13.521647058823529</v>
      </c>
    </row>
    <row r="90" spans="1:9">
      <c r="A90" s="279">
        <v>36.634</v>
      </c>
      <c r="D90" s="281">
        <v>80</v>
      </c>
      <c r="G90" s="279">
        <v>3.63</v>
      </c>
      <c r="H90" s="279">
        <v>36.527259999999998</v>
      </c>
      <c r="I90">
        <f t="shared" si="1"/>
        <v>10.062606060606061</v>
      </c>
    </row>
    <row r="91" spans="1:9">
      <c r="A91" s="279">
        <v>37.840060000000001</v>
      </c>
      <c r="D91" s="281">
        <v>40</v>
      </c>
      <c r="G91" s="279">
        <v>3.4</v>
      </c>
      <c r="H91" s="279">
        <v>36.634</v>
      </c>
      <c r="I91">
        <f t="shared" si="1"/>
        <v>10.774705882352942</v>
      </c>
    </row>
    <row r="92" spans="1:9">
      <c r="A92" s="279">
        <v>37.909379999999999</v>
      </c>
      <c r="D92" s="281">
        <v>85</v>
      </c>
      <c r="G92" s="279">
        <v>3.51</v>
      </c>
      <c r="H92" s="279">
        <v>37.840060000000001</v>
      </c>
      <c r="I92">
        <f t="shared" si="1"/>
        <v>10.780643874643875</v>
      </c>
    </row>
    <row r="93" spans="1:9">
      <c r="A93" s="279">
        <v>40.120570000000001</v>
      </c>
      <c r="D93" s="281">
        <v>105</v>
      </c>
      <c r="G93" s="279">
        <v>1.45</v>
      </c>
      <c r="H93" s="279">
        <v>37.909379999999999</v>
      </c>
      <c r="I93">
        <f t="shared" si="1"/>
        <v>26.144400000000001</v>
      </c>
    </row>
    <row r="94" spans="1:9">
      <c r="A94" s="279">
        <v>44.536499999999997</v>
      </c>
      <c r="D94" s="281">
        <v>110</v>
      </c>
      <c r="G94" s="279">
        <v>2.96</v>
      </c>
      <c r="H94" s="279">
        <v>40.120570000000001</v>
      </c>
      <c r="I94">
        <f t="shared" si="1"/>
        <v>13.554246621621623</v>
      </c>
    </row>
    <row r="95" spans="1:9">
      <c r="A95" s="279">
        <v>46.691789999999997</v>
      </c>
      <c r="D95" s="281">
        <v>55</v>
      </c>
      <c r="G95" s="279">
        <v>1.7</v>
      </c>
      <c r="H95" s="279">
        <v>44.536499999999997</v>
      </c>
      <c r="I95">
        <f t="shared" si="1"/>
        <v>26.197941176470586</v>
      </c>
    </row>
    <row r="96" spans="1:9">
      <c r="A96" s="279">
        <v>50.908790000000003</v>
      </c>
      <c r="D96" s="281">
        <v>40</v>
      </c>
      <c r="G96" s="279">
        <v>3.09</v>
      </c>
      <c r="H96" s="279">
        <v>46.691789999999997</v>
      </c>
      <c r="I96">
        <f t="shared" si="1"/>
        <v>15.110611650485437</v>
      </c>
    </row>
    <row r="97" spans="1:9">
      <c r="A97" s="279">
        <v>60.137099999999997</v>
      </c>
      <c r="D97" s="281">
        <v>54</v>
      </c>
      <c r="G97" s="279">
        <v>3.29</v>
      </c>
      <c r="H97" s="279">
        <v>50.908790000000003</v>
      </c>
      <c r="I97">
        <f t="shared" si="1"/>
        <v>15.473796352583587</v>
      </c>
    </row>
    <row r="98" spans="1:9">
      <c r="A98" s="279">
        <v>61.659700000000001</v>
      </c>
      <c r="D98" s="281">
        <v>75</v>
      </c>
      <c r="G98" s="279">
        <v>3.88</v>
      </c>
      <c r="H98" s="279">
        <v>60.137099999999997</v>
      </c>
      <c r="I98">
        <f t="shared" si="1"/>
        <v>15.499252577319588</v>
      </c>
    </row>
    <row r="99" spans="1:9">
      <c r="A99" s="279">
        <v>63.350790000000003</v>
      </c>
      <c r="D99" s="281">
        <v>12</v>
      </c>
      <c r="G99" s="279">
        <v>5.72</v>
      </c>
      <c r="H99" s="279">
        <v>61.659700000000001</v>
      </c>
      <c r="I99">
        <f t="shared" si="1"/>
        <v>10.779667832167833</v>
      </c>
    </row>
    <row r="100" spans="1:9">
      <c r="A100" s="279">
        <v>64.084879999999998</v>
      </c>
      <c r="D100" s="281">
        <v>45</v>
      </c>
      <c r="G100" s="279">
        <v>2.42</v>
      </c>
      <c r="H100" s="279">
        <v>63.350790000000003</v>
      </c>
      <c r="I100">
        <f t="shared" si="1"/>
        <v>26.178012396694218</v>
      </c>
    </row>
    <row r="101" spans="1:9">
      <c r="A101" s="279">
        <v>78.429630000000003</v>
      </c>
      <c r="D101" s="281">
        <v>10</v>
      </c>
      <c r="G101" s="279">
        <v>4.28</v>
      </c>
      <c r="H101" s="279">
        <v>64.084879999999998</v>
      </c>
      <c r="I101">
        <f t="shared" si="1"/>
        <v>14.973102803738316</v>
      </c>
    </row>
    <row r="102" spans="1:9">
      <c r="A102" s="279">
        <v>95.223479999999995</v>
      </c>
      <c r="D102" s="281">
        <v>7</v>
      </c>
      <c r="G102" s="279">
        <v>5.23</v>
      </c>
      <c r="H102" s="279">
        <v>78.429630000000003</v>
      </c>
      <c r="I102">
        <f t="shared" si="1"/>
        <v>14.9961051625239</v>
      </c>
    </row>
    <row r="103" spans="1:9">
      <c r="D103" s="281">
        <v>75</v>
      </c>
      <c r="G103" s="279">
        <v>6.35</v>
      </c>
      <c r="H103" s="279">
        <v>95.223479999999995</v>
      </c>
      <c r="I103">
        <f t="shared" si="1"/>
        <v>14.995823622047244</v>
      </c>
    </row>
    <row r="104" spans="1:9">
      <c r="D104" s="281">
        <v>35</v>
      </c>
    </row>
    <row r="105" spans="1:9">
      <c r="D105" s="281">
        <v>120</v>
      </c>
    </row>
    <row r="106" spans="1:9">
      <c r="D106" s="281">
        <v>60</v>
      </c>
    </row>
    <row r="107" spans="1:9">
      <c r="D107" s="281">
        <v>90</v>
      </c>
    </row>
    <row r="108" spans="1:9">
      <c r="D108" s="281">
        <v>150</v>
      </c>
    </row>
    <row r="109" spans="1:9">
      <c r="D109" s="281">
        <v>80</v>
      </c>
    </row>
    <row r="110" spans="1:9">
      <c r="D110" s="281">
        <v>28</v>
      </c>
    </row>
    <row r="111" spans="1:9">
      <c r="D111" s="281">
        <v>35</v>
      </c>
    </row>
    <row r="112" spans="1:9">
      <c r="D112" s="281">
        <v>75</v>
      </c>
    </row>
    <row r="113" spans="4:4">
      <c r="D113" s="281">
        <v>90</v>
      </c>
    </row>
    <row r="114" spans="4:4">
      <c r="D114" s="281">
        <v>140</v>
      </c>
    </row>
    <row r="115" spans="4:4">
      <c r="D115" s="281">
        <v>30</v>
      </c>
    </row>
    <row r="116" spans="4:4">
      <c r="D116" s="281">
        <v>10</v>
      </c>
    </row>
    <row r="117" spans="4:4">
      <c r="D117" s="281">
        <v>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rgb="FFDCC5ED"/>
  </sheetPr>
  <dimension ref="B1:B83"/>
  <sheetViews>
    <sheetView showGridLines="0" zoomScale="85" zoomScaleNormal="85" workbookViewId="0">
      <selection activeCell="C24" sqref="C24"/>
    </sheetView>
  </sheetViews>
  <sheetFormatPr defaultColWidth="9.15234375" defaultRowHeight="14.6" outlineLevelRow="1"/>
  <cols>
    <col min="1" max="1" width="9.15234375" style="149"/>
    <col min="2" max="2" width="165.69140625" style="149" customWidth="1"/>
    <col min="3" max="16384" width="9.15234375" style="149"/>
  </cols>
  <sheetData>
    <row r="1" spans="2:2" ht="31" customHeight="1"/>
    <row r="2" spans="2:2" ht="18.45">
      <c r="B2" s="168" t="s">
        <v>306</v>
      </c>
    </row>
    <row r="3" spans="2:2" ht="75.650000000000006" customHeight="1" outlineLevel="1">
      <c r="B3" s="2112" t="s">
        <v>5538</v>
      </c>
    </row>
    <row r="4" spans="2:2" ht="43" customHeight="1" outlineLevel="1">
      <c r="B4" s="2113"/>
    </row>
    <row r="5" spans="2:2" ht="43" customHeight="1" outlineLevel="1">
      <c r="B5" s="2113"/>
    </row>
    <row r="6" spans="2:2" ht="41.25" customHeight="1" outlineLevel="1">
      <c r="B6" s="2114"/>
    </row>
    <row r="7" spans="2:2" ht="45.75" customHeight="1"/>
    <row r="8" spans="2:2" ht="18.45">
      <c r="B8" s="168" t="s">
        <v>305</v>
      </c>
    </row>
    <row r="9" spans="2:2" ht="87" customHeight="1" outlineLevel="1">
      <c r="B9" s="2112" t="s">
        <v>310</v>
      </c>
    </row>
    <row r="10" spans="2:2" ht="87" customHeight="1" outlineLevel="1">
      <c r="B10" s="2113"/>
    </row>
    <row r="11" spans="2:2" ht="87" customHeight="1" outlineLevel="1">
      <c r="B11" s="2113"/>
    </row>
    <row r="12" spans="2:2" ht="87" customHeight="1" outlineLevel="1">
      <c r="B12" s="2114"/>
    </row>
    <row r="13" spans="2:2" ht="45.75" customHeight="1"/>
    <row r="14" spans="2:2" ht="18.45">
      <c r="B14" s="168" t="s">
        <v>313</v>
      </c>
    </row>
    <row r="15" spans="2:2" ht="41.25" customHeight="1" outlineLevel="1">
      <c r="B15" s="2123" t="s">
        <v>311</v>
      </c>
    </row>
    <row r="16" spans="2:2" ht="41.25" customHeight="1" outlineLevel="1">
      <c r="B16" s="2124"/>
    </row>
    <row r="17" spans="2:2" ht="41.25" customHeight="1" outlineLevel="1">
      <c r="B17" s="2124"/>
    </row>
    <row r="18" spans="2:2" ht="41.25" customHeight="1" outlineLevel="1">
      <c r="B18" s="2124"/>
    </row>
    <row r="19" spans="2:2" ht="41.25" customHeight="1" outlineLevel="1">
      <c r="B19" s="2125"/>
    </row>
    <row r="20" spans="2:2" ht="45.75" customHeight="1"/>
    <row r="21" spans="2:2" ht="18.45">
      <c r="B21" s="168" t="s">
        <v>314</v>
      </c>
    </row>
    <row r="22" spans="2:2" ht="36" customHeight="1" outlineLevel="1">
      <c r="B22" s="2112" t="s">
        <v>5539</v>
      </c>
    </row>
    <row r="23" spans="2:2" ht="36" customHeight="1" outlineLevel="1">
      <c r="B23" s="2126"/>
    </row>
    <row r="24" spans="2:2" ht="36" customHeight="1" outlineLevel="1">
      <c r="B24" s="2126"/>
    </row>
    <row r="25" spans="2:2" ht="36" customHeight="1" outlineLevel="1">
      <c r="B25" s="2126"/>
    </row>
    <row r="26" spans="2:2" ht="36" customHeight="1" outlineLevel="1">
      <c r="B26" s="2126"/>
    </row>
    <row r="27" spans="2:2" ht="36" customHeight="1" outlineLevel="1">
      <c r="B27" s="2126"/>
    </row>
    <row r="28" spans="2:2" ht="36" customHeight="1" outlineLevel="1">
      <c r="B28" s="2126"/>
    </row>
    <row r="29" spans="2:2" ht="22" customHeight="1" outlineLevel="1">
      <c r="B29" s="2127"/>
    </row>
    <row r="30" spans="2:2" ht="45.75" customHeight="1"/>
    <row r="31" spans="2:2" ht="18.45">
      <c r="B31" s="168" t="s">
        <v>308</v>
      </c>
    </row>
    <row r="32" spans="2:2" ht="50.25" customHeight="1" outlineLevel="1">
      <c r="B32" s="2115" t="s">
        <v>307</v>
      </c>
    </row>
    <row r="33" spans="2:2" ht="53.9" customHeight="1" outlineLevel="1">
      <c r="B33" s="2116"/>
    </row>
    <row r="34" spans="2:2" ht="34.5" customHeight="1" outlineLevel="1">
      <c r="B34" s="2117" t="s">
        <v>309</v>
      </c>
    </row>
    <row r="35" spans="2:2" ht="34.5" customHeight="1" outlineLevel="1">
      <c r="B35" s="2117"/>
    </row>
    <row r="36" spans="2:2" ht="34.5" customHeight="1" outlineLevel="1">
      <c r="B36" s="2117"/>
    </row>
    <row r="37" spans="2:2" ht="34.5" customHeight="1" outlineLevel="1">
      <c r="B37" s="2117"/>
    </row>
    <row r="38" spans="2:2" ht="57.75" customHeight="1" outlineLevel="1">
      <c r="B38" s="2117"/>
    </row>
    <row r="39" spans="2:2" ht="30" customHeight="1" outlineLevel="1">
      <c r="B39" s="2117"/>
    </row>
    <row r="40" spans="2:2" ht="24" customHeight="1" outlineLevel="1">
      <c r="B40" s="2117"/>
    </row>
    <row r="41" spans="2:2" ht="25.5" customHeight="1" outlineLevel="1">
      <c r="B41" s="2116" t="s">
        <v>5540</v>
      </c>
    </row>
    <row r="42" spans="2:2" ht="25.5" customHeight="1" outlineLevel="1">
      <c r="B42" s="2116"/>
    </row>
    <row r="43" spans="2:2" ht="25.5" customHeight="1" outlineLevel="1">
      <c r="B43" s="2116"/>
    </row>
    <row r="44" spans="2:2" ht="25.5" customHeight="1" outlineLevel="1">
      <c r="B44" s="2116"/>
    </row>
    <row r="45" spans="2:2" ht="25.5" customHeight="1" outlineLevel="1">
      <c r="B45" s="2116"/>
    </row>
    <row r="46" spans="2:2" ht="25.5" customHeight="1" outlineLevel="1">
      <c r="B46" s="2116"/>
    </row>
    <row r="47" spans="2:2" ht="25.5" customHeight="1" outlineLevel="1">
      <c r="B47" s="2116"/>
    </row>
    <row r="48" spans="2:2" ht="25.5" customHeight="1" outlineLevel="1">
      <c r="B48" s="2116"/>
    </row>
    <row r="49" spans="2:2" ht="25.5" customHeight="1" outlineLevel="1">
      <c r="B49" s="2116"/>
    </row>
    <row r="50" spans="2:2" ht="25.5" customHeight="1" outlineLevel="1">
      <c r="B50" s="2116"/>
    </row>
    <row r="51" spans="2:2" ht="25.5" customHeight="1" outlineLevel="1">
      <c r="B51" s="2116"/>
    </row>
    <row r="52" spans="2:2" ht="25.5" customHeight="1" outlineLevel="1">
      <c r="B52" s="2116"/>
    </row>
    <row r="53" spans="2:2" ht="25.5" customHeight="1" outlineLevel="1">
      <c r="B53" s="2116"/>
    </row>
    <row r="54" spans="2:2" ht="25.5" customHeight="1" outlineLevel="1">
      <c r="B54" s="2116"/>
    </row>
    <row r="55" spans="2:2" ht="25.5" customHeight="1" outlineLevel="1">
      <c r="B55" s="2118"/>
    </row>
    <row r="56" spans="2:2" ht="45.75" customHeight="1"/>
    <row r="57" spans="2:2" ht="18.45">
      <c r="B57" s="168" t="s">
        <v>312</v>
      </c>
    </row>
    <row r="58" spans="2:2" ht="36.75" customHeight="1" outlineLevel="1">
      <c r="B58" s="2121" t="s">
        <v>5541</v>
      </c>
    </row>
    <row r="59" spans="2:2" ht="36.75" customHeight="1" outlineLevel="1">
      <c r="B59" s="2122"/>
    </row>
    <row r="60" spans="2:2" ht="36.75" customHeight="1" outlineLevel="1">
      <c r="B60" s="2122"/>
    </row>
    <row r="61" spans="2:2" ht="36.75" customHeight="1" outlineLevel="1">
      <c r="B61" s="2122"/>
    </row>
    <row r="62" spans="2:2" ht="36.75" customHeight="1" outlineLevel="1">
      <c r="B62" s="2122"/>
    </row>
    <row r="63" spans="2:2" ht="36.75" customHeight="1" outlineLevel="1">
      <c r="B63" s="2122"/>
    </row>
    <row r="64" spans="2:2" ht="36.75" customHeight="1" outlineLevel="1">
      <c r="B64" s="2122"/>
    </row>
    <row r="65" spans="2:2" ht="36.75" customHeight="1" outlineLevel="1">
      <c r="B65" s="2122"/>
    </row>
    <row r="66" spans="2:2" ht="36.75" customHeight="1" outlineLevel="1">
      <c r="B66" s="2122"/>
    </row>
    <row r="67" spans="2:2" ht="36.75" customHeight="1" outlineLevel="1">
      <c r="B67" s="2122"/>
    </row>
    <row r="68" spans="2:2" ht="36.75" customHeight="1" outlineLevel="1">
      <c r="B68" s="2122"/>
    </row>
    <row r="69" spans="2:2" ht="36.75" customHeight="1" outlineLevel="1">
      <c r="B69" s="2122"/>
    </row>
    <row r="70" spans="2:2" ht="36.75" customHeight="1" outlineLevel="1">
      <c r="B70" s="2122"/>
    </row>
    <row r="71" spans="2:2" ht="36.75" customHeight="1" outlineLevel="1">
      <c r="B71" s="2122"/>
    </row>
    <row r="72" spans="2:2" ht="29.25" customHeight="1" outlineLevel="1">
      <c r="B72" s="2119" t="s">
        <v>317</v>
      </c>
    </row>
    <row r="73" spans="2:2" ht="29.25" customHeight="1" outlineLevel="1">
      <c r="B73" s="2119"/>
    </row>
    <row r="74" spans="2:2" ht="29.25" customHeight="1" outlineLevel="1">
      <c r="B74" s="2119"/>
    </row>
    <row r="75" spans="2:2" ht="29.25" customHeight="1" outlineLevel="1">
      <c r="B75" s="2119"/>
    </row>
    <row r="76" spans="2:2" ht="29.25" customHeight="1" outlineLevel="1">
      <c r="B76" s="2119"/>
    </row>
    <row r="77" spans="2:2" ht="29.25" customHeight="1" outlineLevel="1">
      <c r="B77" s="2119"/>
    </row>
    <row r="78" spans="2:2" ht="29.25" customHeight="1" outlineLevel="1">
      <c r="B78" s="2119"/>
    </row>
    <row r="79" spans="2:2" ht="29.25" customHeight="1" outlineLevel="1">
      <c r="B79" s="2119"/>
    </row>
    <row r="80" spans="2:2" ht="29.25" customHeight="1" outlineLevel="1">
      <c r="B80" s="2119"/>
    </row>
    <row r="81" spans="2:2" ht="29.25" customHeight="1" outlineLevel="1">
      <c r="B81" s="2119"/>
    </row>
    <row r="82" spans="2:2" ht="29.25" customHeight="1" outlineLevel="1">
      <c r="B82" s="2119"/>
    </row>
    <row r="83" spans="2:2" ht="29.25" customHeight="1" outlineLevel="1">
      <c r="B83" s="2120"/>
    </row>
  </sheetData>
  <sheetProtection algorithmName="SHA-512" hashValue="tZ6DZMqIFunViLSkkEnV5hHzpVP8+xqmL9lUg+8IviTQCgmnPJ4NgCrWfNVzyW8STbG4Q5lQiptgtjWdOqbvLg==" saltValue="38eanLxNZvA2jgi5aPg9Hw==" spinCount="100000" sheet="1" objects="1" scenarios="1" formatColumns="0" formatRows="0"/>
  <mergeCells count="9">
    <mergeCell ref="B3:B6"/>
    <mergeCell ref="B32:B33"/>
    <mergeCell ref="B34:B40"/>
    <mergeCell ref="B41:B55"/>
    <mergeCell ref="B72:B83"/>
    <mergeCell ref="B58:B71"/>
    <mergeCell ref="B9:B12"/>
    <mergeCell ref="B15:B19"/>
    <mergeCell ref="B22:B29"/>
  </mergeCell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
    <tabColor theme="1" tint="0.34998626667073579"/>
  </sheetPr>
  <dimension ref="A1"/>
  <sheetViews>
    <sheetView workbookViewId="0">
      <selection activeCell="E11" sqref="E11"/>
    </sheetView>
  </sheetViews>
  <sheetFormatPr defaultColWidth="8.84375" defaultRowHeight="14.6"/>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
    <tabColor theme="0" tint="-0.249977111117893"/>
  </sheetPr>
  <dimension ref="B1:H10"/>
  <sheetViews>
    <sheetView workbookViewId="0">
      <selection activeCell="E11" sqref="E11"/>
    </sheetView>
  </sheetViews>
  <sheetFormatPr defaultColWidth="8.84375" defaultRowHeight="14.6"/>
  <cols>
    <col min="2" max="2" width="36.84375" customWidth="1"/>
    <col min="3" max="3" width="36.3046875" customWidth="1"/>
    <col min="4" max="4" width="7.69140625" customWidth="1"/>
    <col min="5" max="5" width="37" customWidth="1"/>
    <col min="6" max="6" width="33.3046875" customWidth="1"/>
    <col min="7" max="7" width="22.84375" customWidth="1"/>
    <col min="8" max="8" width="18.3046875" customWidth="1"/>
  </cols>
  <sheetData>
    <row r="1" spans="2:8">
      <c r="E1" s="4" t="s">
        <v>228</v>
      </c>
      <c r="F1" s="4" t="s">
        <v>228</v>
      </c>
    </row>
    <row r="2" spans="2:8">
      <c r="B2" s="131" t="s">
        <v>215</v>
      </c>
      <c r="C2" s="131" t="s">
        <v>216</v>
      </c>
      <c r="D2" s="131"/>
      <c r="E2" s="131" t="s">
        <v>217</v>
      </c>
      <c r="F2" s="131" t="s">
        <v>227</v>
      </c>
      <c r="G2" s="131" t="s">
        <v>357</v>
      </c>
      <c r="H2" s="131" t="s">
        <v>361</v>
      </c>
    </row>
    <row r="3" spans="2:8">
      <c r="B3" s="6" t="s">
        <v>370</v>
      </c>
      <c r="C3" s="6" t="s">
        <v>31</v>
      </c>
      <c r="D3" s="805" t="s">
        <v>118</v>
      </c>
      <c r="E3" t="s">
        <v>218</v>
      </c>
      <c r="F3" s="34" t="s">
        <v>221</v>
      </c>
      <c r="G3" t="s">
        <v>136</v>
      </c>
      <c r="H3" t="s">
        <v>131</v>
      </c>
    </row>
    <row r="4" spans="2:8">
      <c r="B4" s="6" t="s">
        <v>126</v>
      </c>
      <c r="C4" s="6" t="s">
        <v>6</v>
      </c>
      <c r="D4" s="805" t="s">
        <v>119</v>
      </c>
      <c r="E4" t="s">
        <v>219</v>
      </c>
      <c r="F4" s="34" t="s">
        <v>224</v>
      </c>
      <c r="G4" t="s">
        <v>137</v>
      </c>
      <c r="H4" t="s">
        <v>132</v>
      </c>
    </row>
    <row r="5" spans="2:8">
      <c r="B5" s="6"/>
      <c r="C5" s="6" t="s">
        <v>7</v>
      </c>
      <c r="D5" s="805" t="s">
        <v>120</v>
      </c>
      <c r="E5" t="s">
        <v>220</v>
      </c>
      <c r="F5" s="34" t="s">
        <v>222</v>
      </c>
      <c r="G5" t="s">
        <v>36</v>
      </c>
    </row>
    <row r="6" spans="2:8">
      <c r="B6" s="6"/>
      <c r="C6" s="6" t="s">
        <v>8</v>
      </c>
      <c r="D6" s="805" t="s">
        <v>121</v>
      </c>
      <c r="F6" s="34" t="s">
        <v>225</v>
      </c>
      <c r="G6" t="s">
        <v>407</v>
      </c>
    </row>
    <row r="7" spans="2:8">
      <c r="C7" s="6" t="s">
        <v>411</v>
      </c>
      <c r="D7" s="805" t="s">
        <v>831</v>
      </c>
      <c r="F7" s="34" t="s">
        <v>223</v>
      </c>
      <c r="G7" t="s">
        <v>279</v>
      </c>
    </row>
    <row r="8" spans="2:8">
      <c r="C8" s="6" t="s">
        <v>412</v>
      </c>
      <c r="D8" s="805" t="s">
        <v>832</v>
      </c>
      <c r="G8" t="s">
        <v>410</v>
      </c>
    </row>
    <row r="9" spans="2:8">
      <c r="C9" s="6"/>
      <c r="G9" t="s">
        <v>406</v>
      </c>
    </row>
    <row r="10" spans="2:8">
      <c r="C10" s="6"/>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CC5ED"/>
  </sheetPr>
  <dimension ref="A2:H349"/>
  <sheetViews>
    <sheetView showGridLines="0" zoomScale="85" zoomScaleNormal="85" workbookViewId="0">
      <selection activeCell="B16" sqref="B16:H25"/>
    </sheetView>
  </sheetViews>
  <sheetFormatPr defaultColWidth="9.15234375" defaultRowHeight="14.6" outlineLevelRow="1"/>
  <cols>
    <col min="1" max="1" width="9.15234375" style="149"/>
    <col min="2" max="2" width="9.84375" style="149" customWidth="1"/>
    <col min="3" max="3" width="33" style="149" customWidth="1"/>
    <col min="4" max="4" width="24" style="149" customWidth="1"/>
    <col min="5" max="5" width="34.3046875" style="149" customWidth="1"/>
    <col min="6" max="6" width="24" style="149" customWidth="1"/>
    <col min="7" max="7" width="22.3828125" style="149" customWidth="1"/>
    <col min="8" max="8" width="29.3046875" style="149" customWidth="1"/>
    <col min="9" max="16384" width="9.15234375" style="149"/>
  </cols>
  <sheetData>
    <row r="2" spans="1:8">
      <c r="A2" s="159"/>
    </row>
    <row r="3" spans="1:8" ht="18.45">
      <c r="B3" s="2131" t="s">
        <v>2497</v>
      </c>
      <c r="C3" s="2132"/>
      <c r="D3" s="2132"/>
      <c r="E3" s="2132"/>
      <c r="F3" s="2132"/>
      <c r="G3" s="2132"/>
      <c r="H3" s="2132"/>
    </row>
    <row r="4" spans="1:8" ht="30.75" customHeight="1">
      <c r="B4" s="1929" t="s">
        <v>5407</v>
      </c>
      <c r="C4" s="1761"/>
      <c r="D4" s="1930"/>
      <c r="E4" s="1761"/>
      <c r="F4" s="1761"/>
      <c r="G4" s="1761"/>
      <c r="H4" s="1762"/>
    </row>
    <row r="5" spans="1:8" ht="48.75" customHeight="1">
      <c r="B5" s="1931"/>
      <c r="C5" s="1932"/>
      <c r="D5" s="2133"/>
      <c r="E5" s="2133"/>
      <c r="F5" s="2133"/>
      <c r="G5" s="2133"/>
      <c r="H5" s="172"/>
    </row>
    <row r="6" spans="1:8" ht="63.75" customHeight="1">
      <c r="B6" s="171"/>
      <c r="C6" s="169"/>
      <c r="D6" s="169"/>
      <c r="E6" s="169"/>
      <c r="F6" s="169"/>
      <c r="G6" s="169"/>
      <c r="H6" s="172"/>
    </row>
    <row r="7" spans="1:8" ht="45" customHeight="1">
      <c r="B7" s="171"/>
      <c r="C7" s="169"/>
      <c r="D7" s="169"/>
      <c r="E7" s="169"/>
      <c r="F7" s="169"/>
      <c r="G7" s="169"/>
      <c r="H7" s="172"/>
    </row>
    <row r="8" spans="1:8" ht="83.25" customHeight="1">
      <c r="B8" s="171"/>
      <c r="C8" s="169"/>
      <c r="D8" s="169"/>
      <c r="E8" s="169"/>
      <c r="F8" s="169"/>
      <c r="G8" s="169"/>
      <c r="H8" s="172"/>
    </row>
    <row r="9" spans="1:8" ht="89.25" customHeight="1">
      <c r="B9" s="171"/>
      <c r="C9" s="169"/>
      <c r="D9" s="169"/>
      <c r="E9" s="169"/>
      <c r="F9" s="169"/>
      <c r="G9" s="169"/>
      <c r="H9" s="172"/>
    </row>
    <row r="10" spans="1:8" ht="84" customHeight="1">
      <c r="B10" s="171"/>
      <c r="C10" s="169"/>
      <c r="D10" s="169"/>
      <c r="E10" s="169"/>
      <c r="F10" s="169"/>
      <c r="G10" s="169"/>
      <c r="H10" s="172"/>
    </row>
    <row r="11" spans="1:8" ht="16.5" customHeight="1">
      <c r="B11" s="173"/>
      <c r="C11" s="174"/>
      <c r="D11" s="174"/>
      <c r="E11" s="174"/>
      <c r="F11" s="174"/>
      <c r="G11" s="174"/>
      <c r="H11" s="175"/>
    </row>
    <row r="12" spans="1:8" ht="20.25" customHeight="1">
      <c r="B12" s="156"/>
      <c r="C12" s="156"/>
      <c r="D12" s="156"/>
      <c r="E12" s="156"/>
      <c r="F12" s="156"/>
      <c r="G12" s="156"/>
      <c r="H12" s="156"/>
    </row>
    <row r="13" spans="1:8" ht="27" customHeight="1">
      <c r="B13" s="156"/>
      <c r="C13" s="156"/>
      <c r="D13" s="156"/>
      <c r="E13" s="156"/>
      <c r="F13" s="156"/>
      <c r="G13" s="156"/>
      <c r="H13" s="156"/>
    </row>
    <row r="14" spans="1:8" ht="36" customHeight="1">
      <c r="B14" s="156"/>
      <c r="C14" s="156"/>
      <c r="D14" s="156"/>
      <c r="E14" s="156"/>
      <c r="F14" s="156"/>
      <c r="G14" s="156"/>
      <c r="H14" s="156"/>
    </row>
    <row r="15" spans="1:8" ht="20.25" customHeight="1">
      <c r="B15" s="2134" t="s">
        <v>5549</v>
      </c>
      <c r="C15" s="2135"/>
      <c r="D15" s="2135"/>
      <c r="E15" s="2135"/>
      <c r="F15" s="2135"/>
      <c r="G15" s="2135"/>
      <c r="H15" s="2136"/>
    </row>
    <row r="16" spans="1:8" ht="88.5" customHeight="1" outlineLevel="1">
      <c r="B16" s="2137" t="s">
        <v>5550</v>
      </c>
      <c r="C16" s="2138"/>
      <c r="D16" s="2138"/>
      <c r="E16" s="2138"/>
      <c r="F16" s="2138"/>
      <c r="G16" s="2138"/>
      <c r="H16" s="2139"/>
    </row>
    <row r="17" spans="1:8" ht="20.25" customHeight="1" outlineLevel="1">
      <c r="B17" s="2140"/>
      <c r="C17" s="2141"/>
      <c r="D17" s="2141"/>
      <c r="E17" s="2141"/>
      <c r="F17" s="2141"/>
      <c r="G17" s="2141"/>
      <c r="H17" s="2142"/>
    </row>
    <row r="18" spans="1:8" ht="20.25" customHeight="1" outlineLevel="1">
      <c r="B18" s="2140"/>
      <c r="C18" s="2141"/>
      <c r="D18" s="2141"/>
      <c r="E18" s="2141"/>
      <c r="F18" s="2141"/>
      <c r="G18" s="2141"/>
      <c r="H18" s="2142"/>
    </row>
    <row r="19" spans="1:8" ht="20.25" customHeight="1" outlineLevel="1">
      <c r="B19" s="2140"/>
      <c r="C19" s="2141"/>
      <c r="D19" s="2141"/>
      <c r="E19" s="2141"/>
      <c r="F19" s="2141"/>
      <c r="G19" s="2141"/>
      <c r="H19" s="2142"/>
    </row>
    <row r="20" spans="1:8" ht="20.25" customHeight="1" outlineLevel="1">
      <c r="B20" s="2140"/>
      <c r="C20" s="2141"/>
      <c r="D20" s="2141"/>
      <c r="E20" s="2141"/>
      <c r="F20" s="2141"/>
      <c r="G20" s="2141"/>
      <c r="H20" s="2142"/>
    </row>
    <row r="21" spans="1:8" ht="20.25" customHeight="1" outlineLevel="1">
      <c r="B21" s="2140"/>
      <c r="C21" s="2141"/>
      <c r="D21" s="2141"/>
      <c r="E21" s="2141"/>
      <c r="F21" s="2141"/>
      <c r="G21" s="2141"/>
      <c r="H21" s="2142"/>
    </row>
    <row r="22" spans="1:8" ht="20.25" customHeight="1" outlineLevel="1">
      <c r="B22" s="2140"/>
      <c r="C22" s="2141"/>
      <c r="D22" s="2141"/>
      <c r="E22" s="2141"/>
      <c r="F22" s="2141"/>
      <c r="G22" s="2141"/>
      <c r="H22" s="2142"/>
    </row>
    <row r="23" spans="1:8" ht="20.25" customHeight="1" outlineLevel="1">
      <c r="B23" s="2140"/>
      <c r="C23" s="2141"/>
      <c r="D23" s="2141"/>
      <c r="E23" s="2141"/>
      <c r="F23" s="2141"/>
      <c r="G23" s="2141"/>
      <c r="H23" s="2142"/>
    </row>
    <row r="24" spans="1:8" ht="20.25" customHeight="1" outlineLevel="1">
      <c r="B24" s="2140"/>
      <c r="C24" s="2141"/>
      <c r="D24" s="2141"/>
      <c r="E24" s="2141"/>
      <c r="F24" s="2141"/>
      <c r="G24" s="2141"/>
      <c r="H24" s="2142"/>
    </row>
    <row r="25" spans="1:8" ht="20.25" customHeight="1" outlineLevel="1">
      <c r="B25" s="2143"/>
      <c r="C25" s="2144"/>
      <c r="D25" s="2144"/>
      <c r="E25" s="2144"/>
      <c r="F25" s="2144"/>
      <c r="G25" s="2144"/>
      <c r="H25" s="2145"/>
    </row>
    <row r="26" spans="1:8">
      <c r="A26" s="2146" t="s">
        <v>5408</v>
      </c>
      <c r="B26" s="2146"/>
      <c r="C26" s="2146"/>
      <c r="D26" s="156"/>
      <c r="E26" s="156"/>
      <c r="F26" s="156"/>
      <c r="G26" s="156"/>
      <c r="H26" s="156"/>
    </row>
    <row r="27" spans="1:8" ht="20.25" customHeight="1">
      <c r="B27" s="156"/>
      <c r="C27" s="156"/>
      <c r="D27" s="156"/>
      <c r="E27" s="156"/>
      <c r="F27" s="156"/>
      <c r="G27" s="156"/>
      <c r="H27" s="156"/>
    </row>
    <row r="28" spans="1:8" ht="20.25" customHeight="1">
      <c r="B28" s="2128" t="s">
        <v>5551</v>
      </c>
      <c r="C28" s="2129"/>
      <c r="D28" s="2129"/>
      <c r="E28" s="2129"/>
      <c r="F28" s="2129"/>
      <c r="G28" s="2129"/>
      <c r="H28" s="2130"/>
    </row>
    <row r="29" spans="1:8" ht="20.25" customHeight="1" outlineLevel="1">
      <c r="B29" s="2150" t="s">
        <v>5552</v>
      </c>
      <c r="C29" s="2151"/>
      <c r="D29" s="2151"/>
      <c r="E29" s="2151"/>
      <c r="F29" s="2151"/>
      <c r="G29" s="2151"/>
      <c r="H29" s="2152"/>
    </row>
    <row r="30" spans="1:8" ht="20.25" customHeight="1" outlineLevel="1">
      <c r="B30" s="2153"/>
      <c r="C30" s="2154"/>
      <c r="D30" s="2154"/>
      <c r="E30" s="2154"/>
      <c r="F30" s="2154"/>
      <c r="G30" s="2154"/>
      <c r="H30" s="2155"/>
    </row>
    <row r="31" spans="1:8" ht="20.25" customHeight="1" outlineLevel="1">
      <c r="B31" s="2153"/>
      <c r="C31" s="2154"/>
      <c r="D31" s="2154"/>
      <c r="E31" s="2154"/>
      <c r="F31" s="2154"/>
      <c r="G31" s="2154"/>
      <c r="H31" s="2155"/>
    </row>
    <row r="32" spans="1:8" ht="20.25" customHeight="1" outlineLevel="1">
      <c r="B32" s="2153"/>
      <c r="C32" s="2154"/>
      <c r="D32" s="2154"/>
      <c r="E32" s="2154"/>
      <c r="F32" s="2154"/>
      <c r="G32" s="2154"/>
      <c r="H32" s="2155"/>
    </row>
    <row r="33" spans="2:8" ht="20.25" customHeight="1" outlineLevel="1">
      <c r="B33" s="2153"/>
      <c r="C33" s="2154"/>
      <c r="D33" s="2154"/>
      <c r="E33" s="2154"/>
      <c r="F33" s="2154"/>
      <c r="G33" s="2154"/>
      <c r="H33" s="2155"/>
    </row>
    <row r="34" spans="2:8" ht="20.25" customHeight="1" outlineLevel="1">
      <c r="B34" s="2153"/>
      <c r="C34" s="2154"/>
      <c r="D34" s="2154"/>
      <c r="E34" s="2154"/>
      <c r="F34" s="2154"/>
      <c r="G34" s="2154"/>
      <c r="H34" s="2155"/>
    </row>
    <row r="35" spans="2:8" ht="20.25" customHeight="1" outlineLevel="1">
      <c r="B35" s="2153"/>
      <c r="C35" s="2154"/>
      <c r="D35" s="2154"/>
      <c r="E35" s="2154"/>
      <c r="F35" s="2154"/>
      <c r="G35" s="2154"/>
      <c r="H35" s="2155"/>
    </row>
    <row r="36" spans="2:8" ht="20.25" customHeight="1" outlineLevel="1">
      <c r="B36" s="2153"/>
      <c r="C36" s="2154"/>
      <c r="D36" s="2154"/>
      <c r="E36" s="2154"/>
      <c r="F36" s="2154"/>
      <c r="G36" s="2154"/>
      <c r="H36" s="2155"/>
    </row>
    <row r="37" spans="2:8" ht="20.25" customHeight="1" outlineLevel="1">
      <c r="B37" s="2153"/>
      <c r="C37" s="2154"/>
      <c r="D37" s="2154"/>
      <c r="E37" s="2154"/>
      <c r="F37" s="2154"/>
      <c r="G37" s="2154"/>
      <c r="H37" s="2155"/>
    </row>
    <row r="38" spans="2:8" ht="20.25" customHeight="1" outlineLevel="1">
      <c r="B38" s="2153"/>
      <c r="C38" s="2154"/>
      <c r="D38" s="2154"/>
      <c r="E38" s="2154"/>
      <c r="F38" s="2154"/>
      <c r="G38" s="2154"/>
      <c r="H38" s="2155"/>
    </row>
    <row r="39" spans="2:8" ht="20.25" customHeight="1" outlineLevel="1">
      <c r="B39" s="2153"/>
      <c r="C39" s="2154"/>
      <c r="D39" s="2154"/>
      <c r="E39" s="2154"/>
      <c r="F39" s="2154"/>
      <c r="G39" s="2154"/>
      <c r="H39" s="2155"/>
    </row>
    <row r="40" spans="2:8" ht="20.25" customHeight="1" outlineLevel="1">
      <c r="B40" s="2153"/>
      <c r="C40" s="2154"/>
      <c r="D40" s="2154"/>
      <c r="E40" s="2154"/>
      <c r="F40" s="2154"/>
      <c r="G40" s="2154"/>
      <c r="H40" s="2155"/>
    </row>
    <row r="41" spans="2:8" ht="20.25" customHeight="1" outlineLevel="1">
      <c r="B41" s="2153"/>
      <c r="C41" s="2154"/>
      <c r="D41" s="2154"/>
      <c r="E41" s="2154"/>
      <c r="F41" s="2154"/>
      <c r="G41" s="2154"/>
      <c r="H41" s="2155"/>
    </row>
    <row r="42" spans="2:8" ht="20.25" customHeight="1" outlineLevel="1">
      <c r="B42" s="2153"/>
      <c r="C42" s="2154"/>
      <c r="D42" s="2154"/>
      <c r="E42" s="2154"/>
      <c r="F42" s="2154"/>
      <c r="G42" s="2154"/>
      <c r="H42" s="2155"/>
    </row>
    <row r="43" spans="2:8" ht="20.25" customHeight="1" outlineLevel="1">
      <c r="B43" s="2153"/>
      <c r="C43" s="2154"/>
      <c r="D43" s="2154"/>
      <c r="E43" s="2154"/>
      <c r="F43" s="2154"/>
      <c r="G43" s="2154"/>
      <c r="H43" s="2155"/>
    </row>
    <row r="44" spans="2:8" ht="20.25" customHeight="1" outlineLevel="1">
      <c r="B44" s="2153"/>
      <c r="C44" s="2154"/>
      <c r="D44" s="2154"/>
      <c r="E44" s="2154"/>
      <c r="F44" s="2154"/>
      <c r="G44" s="2154"/>
      <c r="H44" s="2155"/>
    </row>
    <row r="45" spans="2:8" ht="20.25" customHeight="1" outlineLevel="1">
      <c r="B45" s="2153"/>
      <c r="C45" s="2154"/>
      <c r="D45" s="2154"/>
      <c r="E45" s="2154"/>
      <c r="F45" s="2154"/>
      <c r="G45" s="2154"/>
      <c r="H45" s="2155"/>
    </row>
    <row r="46" spans="2:8" ht="20.25" customHeight="1" outlineLevel="1">
      <c r="B46" s="2153"/>
      <c r="C46" s="2154"/>
      <c r="D46" s="2154"/>
      <c r="E46" s="2154"/>
      <c r="F46" s="2154"/>
      <c r="G46" s="2154"/>
      <c r="H46" s="2155"/>
    </row>
    <row r="47" spans="2:8" ht="20.25" customHeight="1" outlineLevel="1">
      <c r="B47" s="2153"/>
      <c r="C47" s="2154"/>
      <c r="D47" s="2154"/>
      <c r="E47" s="2154"/>
      <c r="F47" s="2154"/>
      <c r="G47" s="2154"/>
      <c r="H47" s="2155"/>
    </row>
    <row r="48" spans="2:8" ht="20.25" customHeight="1" outlineLevel="1">
      <c r="B48" s="2153"/>
      <c r="C48" s="2154"/>
      <c r="D48" s="2154"/>
      <c r="E48" s="2154"/>
      <c r="F48" s="2154"/>
      <c r="G48" s="2154"/>
      <c r="H48" s="2155"/>
    </row>
    <row r="49" spans="2:8" ht="20.25" customHeight="1" outlineLevel="1">
      <c r="B49" s="2153"/>
      <c r="C49" s="2154"/>
      <c r="D49" s="2154"/>
      <c r="E49" s="2154"/>
      <c r="F49" s="2154"/>
      <c r="G49" s="2154"/>
      <c r="H49" s="2155"/>
    </row>
    <row r="50" spans="2:8" ht="20.25" customHeight="1" outlineLevel="1">
      <c r="B50" s="2153"/>
      <c r="C50" s="2154"/>
      <c r="D50" s="2154"/>
      <c r="E50" s="2154"/>
      <c r="F50" s="2154"/>
      <c r="G50" s="2154"/>
      <c r="H50" s="2155"/>
    </row>
    <row r="51" spans="2:8" ht="20.25" customHeight="1" outlineLevel="1">
      <c r="B51" s="2153"/>
      <c r="C51" s="2154"/>
      <c r="D51" s="2154"/>
      <c r="E51" s="2154"/>
      <c r="F51" s="2154"/>
      <c r="G51" s="2154"/>
      <c r="H51" s="2155"/>
    </row>
    <row r="52" spans="2:8" ht="20.25" customHeight="1" outlineLevel="1">
      <c r="B52" s="2153"/>
      <c r="C52" s="2154"/>
      <c r="D52" s="2154"/>
      <c r="E52" s="2154"/>
      <c r="F52" s="2154"/>
      <c r="G52" s="2154"/>
      <c r="H52" s="2155"/>
    </row>
    <row r="53" spans="2:8" ht="20.25" customHeight="1" outlineLevel="1">
      <c r="B53" s="2153"/>
      <c r="C53" s="2154"/>
      <c r="D53" s="2154"/>
      <c r="E53" s="2154"/>
      <c r="F53" s="2154"/>
      <c r="G53" s="2154"/>
      <c r="H53" s="2155"/>
    </row>
    <row r="54" spans="2:8" ht="20.25" customHeight="1" outlineLevel="1">
      <c r="B54" s="2153"/>
      <c r="C54" s="2154"/>
      <c r="D54" s="2154"/>
      <c r="E54" s="2154"/>
      <c r="F54" s="2154"/>
      <c r="G54" s="2154"/>
      <c r="H54" s="2155"/>
    </row>
    <row r="55" spans="2:8" ht="20.25" customHeight="1" outlineLevel="1">
      <c r="B55" s="2153"/>
      <c r="C55" s="2154"/>
      <c r="D55" s="2154"/>
      <c r="E55" s="2154"/>
      <c r="F55" s="2154"/>
      <c r="G55" s="2154"/>
      <c r="H55" s="2155"/>
    </row>
    <row r="56" spans="2:8" ht="20.25" customHeight="1" outlineLevel="1">
      <c r="B56" s="2153"/>
      <c r="C56" s="2154"/>
      <c r="D56" s="2154"/>
      <c r="E56" s="2154"/>
      <c r="F56" s="2154"/>
      <c r="G56" s="2154"/>
      <c r="H56" s="2155"/>
    </row>
    <row r="57" spans="2:8" ht="20.25" customHeight="1" outlineLevel="1">
      <c r="B57" s="2153"/>
      <c r="C57" s="2154"/>
      <c r="D57" s="2154"/>
      <c r="E57" s="2154"/>
      <c r="F57" s="2154"/>
      <c r="G57" s="2154"/>
      <c r="H57" s="2155"/>
    </row>
    <row r="58" spans="2:8" ht="41.25" customHeight="1" outlineLevel="1">
      <c r="B58" s="2153"/>
      <c r="C58" s="2154"/>
      <c r="D58" s="2154"/>
      <c r="E58" s="2154"/>
      <c r="F58" s="2154"/>
      <c r="G58" s="2154"/>
      <c r="H58" s="2155"/>
    </row>
    <row r="59" spans="2:8" ht="41.25" customHeight="1" outlineLevel="1">
      <c r="B59" s="2153"/>
      <c r="C59" s="2154"/>
      <c r="D59" s="2154"/>
      <c r="E59" s="2154"/>
      <c r="F59" s="2154"/>
      <c r="G59" s="2154"/>
      <c r="H59" s="2155"/>
    </row>
    <row r="60" spans="2:8" ht="41.25" customHeight="1" outlineLevel="1">
      <c r="B60" s="2153"/>
      <c r="C60" s="2154"/>
      <c r="D60" s="2154"/>
      <c r="E60" s="2154"/>
      <c r="F60" s="2154"/>
      <c r="G60" s="2154"/>
      <c r="H60" s="2155"/>
    </row>
    <row r="61" spans="2:8" ht="18" customHeight="1" outlineLevel="1">
      <c r="B61" s="2156"/>
      <c r="C61" s="2157"/>
      <c r="D61" s="2157"/>
      <c r="E61" s="2157"/>
      <c r="F61" s="2157"/>
      <c r="G61" s="2157"/>
      <c r="H61" s="2158"/>
    </row>
    <row r="62" spans="2:8" ht="47.25" customHeight="1" outlineLevel="1">
      <c r="B62" s="1763"/>
      <c r="C62" s="1763"/>
      <c r="D62" s="1763"/>
      <c r="E62" s="1763"/>
      <c r="F62" s="1763"/>
      <c r="G62" s="1763"/>
      <c r="H62" s="1763"/>
    </row>
    <row r="63" spans="2:8" ht="18" customHeight="1">
      <c r="B63" s="1763"/>
      <c r="C63" s="1763"/>
      <c r="D63" s="1763"/>
      <c r="E63" s="1763"/>
      <c r="F63" s="1763"/>
      <c r="G63" s="1763"/>
      <c r="H63" s="1763"/>
    </row>
    <row r="64" spans="2:8" ht="18" customHeight="1">
      <c r="B64" s="2128" t="s">
        <v>5553</v>
      </c>
      <c r="C64" s="2129"/>
      <c r="D64" s="2129"/>
      <c r="E64" s="2129"/>
      <c r="F64" s="2129"/>
      <c r="G64" s="2129"/>
      <c r="H64" s="2130"/>
    </row>
    <row r="65" spans="2:8" ht="58.4" customHeight="1" outlineLevel="1">
      <c r="B65" s="2150" t="s">
        <v>5554</v>
      </c>
      <c r="C65" s="2151"/>
      <c r="D65" s="2151"/>
      <c r="E65" s="2151"/>
      <c r="F65" s="2151"/>
      <c r="G65" s="2151"/>
      <c r="H65" s="2152"/>
    </row>
    <row r="66" spans="2:8" ht="18" customHeight="1" outlineLevel="1">
      <c r="B66" s="2153"/>
      <c r="C66" s="2154"/>
      <c r="D66" s="2154"/>
      <c r="E66" s="2154"/>
      <c r="F66" s="2154"/>
      <c r="G66" s="2154"/>
      <c r="H66" s="2155"/>
    </row>
    <row r="67" spans="2:8" ht="18" customHeight="1" outlineLevel="1">
      <c r="B67" s="2153"/>
      <c r="C67" s="2154"/>
      <c r="D67" s="2154"/>
      <c r="E67" s="2154"/>
      <c r="F67" s="2154"/>
      <c r="G67" s="2154"/>
      <c r="H67" s="2155"/>
    </row>
    <row r="68" spans="2:8" ht="18" customHeight="1" outlineLevel="1">
      <c r="B68" s="2153"/>
      <c r="C68" s="2154"/>
      <c r="D68" s="2154"/>
      <c r="E68" s="2154"/>
      <c r="F68" s="2154"/>
      <c r="G68" s="2154"/>
      <c r="H68" s="2155"/>
    </row>
    <row r="69" spans="2:8" ht="18" customHeight="1" outlineLevel="1">
      <c r="B69" s="2153"/>
      <c r="C69" s="2154"/>
      <c r="D69" s="2154"/>
      <c r="E69" s="2154"/>
      <c r="F69" s="2154"/>
      <c r="G69" s="2154"/>
      <c r="H69" s="2155"/>
    </row>
    <row r="70" spans="2:8" ht="18" customHeight="1" outlineLevel="1">
      <c r="B70" s="2153"/>
      <c r="C70" s="2154"/>
      <c r="D70" s="2154"/>
      <c r="E70" s="2154"/>
      <c r="F70" s="2154"/>
      <c r="G70" s="2154"/>
      <c r="H70" s="2155"/>
    </row>
    <row r="71" spans="2:8" ht="18" customHeight="1" outlineLevel="1">
      <c r="B71" s="2153"/>
      <c r="C71" s="2154"/>
      <c r="D71" s="2154"/>
      <c r="E71" s="2154"/>
      <c r="F71" s="2154"/>
      <c r="G71" s="2154"/>
      <c r="H71" s="2155"/>
    </row>
    <row r="72" spans="2:8" ht="18" customHeight="1" outlineLevel="1">
      <c r="B72" s="2153"/>
      <c r="C72" s="2154"/>
      <c r="D72" s="2154"/>
      <c r="E72" s="2154"/>
      <c r="F72" s="2154"/>
      <c r="G72" s="2154"/>
      <c r="H72" s="2155"/>
    </row>
    <row r="73" spans="2:8" ht="18" customHeight="1" outlineLevel="1">
      <c r="B73" s="2153"/>
      <c r="C73" s="2154"/>
      <c r="D73" s="2154"/>
      <c r="E73" s="2154"/>
      <c r="F73" s="2154"/>
      <c r="G73" s="2154"/>
      <c r="H73" s="2155"/>
    </row>
    <row r="74" spans="2:8" ht="18" customHeight="1" outlineLevel="1">
      <c r="B74" s="2153"/>
      <c r="C74" s="2154"/>
      <c r="D74" s="2154"/>
      <c r="E74" s="2154"/>
      <c r="F74" s="2154"/>
      <c r="G74" s="2154"/>
      <c r="H74" s="2155"/>
    </row>
    <row r="75" spans="2:8" ht="18" customHeight="1" outlineLevel="1">
      <c r="B75" s="2153"/>
      <c r="C75" s="2154"/>
      <c r="D75" s="2154"/>
      <c r="E75" s="2154"/>
      <c r="F75" s="2154"/>
      <c r="G75" s="2154"/>
      <c r="H75" s="2155"/>
    </row>
    <row r="76" spans="2:8" ht="18" customHeight="1" outlineLevel="1">
      <c r="B76" s="2153"/>
      <c r="C76" s="2154"/>
      <c r="D76" s="2154"/>
      <c r="E76" s="2154"/>
      <c r="F76" s="2154"/>
      <c r="G76" s="2154"/>
      <c r="H76" s="2155"/>
    </row>
    <row r="77" spans="2:8" ht="18" customHeight="1" outlineLevel="1">
      <c r="B77" s="2153"/>
      <c r="C77" s="2154"/>
      <c r="D77" s="2154"/>
      <c r="E77" s="2154"/>
      <c r="F77" s="2154"/>
      <c r="G77" s="2154"/>
      <c r="H77" s="2155"/>
    </row>
    <row r="78" spans="2:8" ht="18" customHeight="1" outlineLevel="1">
      <c r="B78" s="2153"/>
      <c r="C78" s="2154"/>
      <c r="D78" s="2154"/>
      <c r="E78" s="2154"/>
      <c r="F78" s="2154"/>
      <c r="G78" s="2154"/>
      <c r="H78" s="2155"/>
    </row>
    <row r="79" spans="2:8" ht="18" customHeight="1" outlineLevel="1">
      <c r="B79" s="2153"/>
      <c r="C79" s="2154"/>
      <c r="D79" s="2154"/>
      <c r="E79" s="2154"/>
      <c r="F79" s="2154"/>
      <c r="G79" s="2154"/>
      <c r="H79" s="2155"/>
    </row>
    <row r="80" spans="2:8" ht="18" customHeight="1" outlineLevel="1">
      <c r="B80" s="2153"/>
      <c r="C80" s="2154"/>
      <c r="D80" s="2154"/>
      <c r="E80" s="2154"/>
      <c r="F80" s="2154"/>
      <c r="G80" s="2154"/>
      <c r="H80" s="2155"/>
    </row>
    <row r="81" spans="2:8" ht="18" customHeight="1" outlineLevel="1">
      <c r="B81" s="2153"/>
      <c r="C81" s="2154"/>
      <c r="D81" s="2154"/>
      <c r="E81" s="2154"/>
      <c r="F81" s="2154"/>
      <c r="G81" s="2154"/>
      <c r="H81" s="2155"/>
    </row>
    <row r="82" spans="2:8" ht="18" customHeight="1" outlineLevel="1">
      <c r="B82" s="2153"/>
      <c r="C82" s="2154"/>
      <c r="D82" s="2154"/>
      <c r="E82" s="2154"/>
      <c r="F82" s="2154"/>
      <c r="G82" s="2154"/>
      <c r="H82" s="2155"/>
    </row>
    <row r="83" spans="2:8" ht="18" customHeight="1" outlineLevel="1">
      <c r="B83" s="2153"/>
      <c r="C83" s="2154"/>
      <c r="D83" s="2154"/>
      <c r="E83" s="2154"/>
      <c r="F83" s="2154"/>
      <c r="G83" s="2154"/>
      <c r="H83" s="2155"/>
    </row>
    <row r="84" spans="2:8" ht="18" customHeight="1" outlineLevel="1">
      <c r="B84" s="2153"/>
      <c r="C84" s="2154"/>
      <c r="D84" s="2154"/>
      <c r="E84" s="2154"/>
      <c r="F84" s="2154"/>
      <c r="G84" s="2154"/>
      <c r="H84" s="2155"/>
    </row>
    <row r="85" spans="2:8" ht="18" customHeight="1" outlineLevel="1">
      <c r="B85" s="2153"/>
      <c r="C85" s="2154"/>
      <c r="D85" s="2154"/>
      <c r="E85" s="2154"/>
      <c r="F85" s="2154"/>
      <c r="G85" s="2154"/>
      <c r="H85" s="2155"/>
    </row>
    <row r="86" spans="2:8" ht="18" customHeight="1" outlineLevel="1">
      <c r="B86" s="2153"/>
      <c r="C86" s="2154"/>
      <c r="D86" s="2154"/>
      <c r="E86" s="2154"/>
      <c r="F86" s="2154"/>
      <c r="G86" s="2154"/>
      <c r="H86" s="2155"/>
    </row>
    <row r="87" spans="2:8" ht="18" customHeight="1" outlineLevel="1">
      <c r="B87" s="2153"/>
      <c r="C87" s="2154"/>
      <c r="D87" s="2154"/>
      <c r="E87" s="2154"/>
      <c r="F87" s="2154"/>
      <c r="G87" s="2154"/>
      <c r="H87" s="2155"/>
    </row>
    <row r="88" spans="2:8" ht="18" customHeight="1" outlineLevel="1">
      <c r="B88" s="2153"/>
      <c r="C88" s="2154"/>
      <c r="D88" s="2154"/>
      <c r="E88" s="2154"/>
      <c r="F88" s="2154"/>
      <c r="G88" s="2154"/>
      <c r="H88" s="2155"/>
    </row>
    <row r="89" spans="2:8" ht="18" customHeight="1" outlineLevel="1">
      <c r="B89" s="2153"/>
      <c r="C89" s="2154"/>
      <c r="D89" s="2154"/>
      <c r="E89" s="2154"/>
      <c r="F89" s="2154"/>
      <c r="G89" s="2154"/>
      <c r="H89" s="2155"/>
    </row>
    <row r="90" spans="2:8" ht="18" customHeight="1" outlineLevel="1">
      <c r="B90" s="2153"/>
      <c r="C90" s="2154"/>
      <c r="D90" s="2154"/>
      <c r="E90" s="2154"/>
      <c r="F90" s="2154"/>
      <c r="G90" s="2154"/>
      <c r="H90" s="2155"/>
    </row>
    <row r="91" spans="2:8" ht="18" customHeight="1" outlineLevel="1">
      <c r="B91" s="2153"/>
      <c r="C91" s="2154"/>
      <c r="D91" s="2154"/>
      <c r="E91" s="2154"/>
      <c r="F91" s="2154"/>
      <c r="G91" s="2154"/>
      <c r="H91" s="2155"/>
    </row>
    <row r="92" spans="2:8" ht="18" customHeight="1" outlineLevel="1">
      <c r="B92" s="2153"/>
      <c r="C92" s="2154"/>
      <c r="D92" s="2154"/>
      <c r="E92" s="2154"/>
      <c r="F92" s="2154"/>
      <c r="G92" s="2154"/>
      <c r="H92" s="2155"/>
    </row>
    <row r="93" spans="2:8" ht="18" customHeight="1" outlineLevel="1">
      <c r="B93" s="2153"/>
      <c r="C93" s="2154"/>
      <c r="D93" s="2154"/>
      <c r="E93" s="2154"/>
      <c r="F93" s="2154"/>
      <c r="G93" s="2154"/>
      <c r="H93" s="2155"/>
    </row>
    <row r="94" spans="2:8" ht="18" customHeight="1" outlineLevel="1">
      <c r="B94" s="2153"/>
      <c r="C94" s="2154"/>
      <c r="D94" s="2154"/>
      <c r="E94" s="2154"/>
      <c r="F94" s="2154"/>
      <c r="G94" s="2154"/>
      <c r="H94" s="2155"/>
    </row>
    <row r="95" spans="2:8" ht="18" customHeight="1" outlineLevel="1">
      <c r="B95" s="2153"/>
      <c r="C95" s="2154"/>
      <c r="D95" s="2154"/>
      <c r="E95" s="2154"/>
      <c r="F95" s="2154"/>
      <c r="G95" s="2154"/>
      <c r="H95" s="2155"/>
    </row>
    <row r="96" spans="2:8" ht="18" customHeight="1" outlineLevel="1">
      <c r="B96" s="2153"/>
      <c r="C96" s="2154"/>
      <c r="D96" s="2154"/>
      <c r="E96" s="2154"/>
      <c r="F96" s="2154"/>
      <c r="G96" s="2154"/>
      <c r="H96" s="2155"/>
    </row>
    <row r="97" spans="1:8" ht="18" customHeight="1" outlineLevel="1">
      <c r="B97" s="2153"/>
      <c r="C97" s="2154"/>
      <c r="D97" s="2154"/>
      <c r="E97" s="2154"/>
      <c r="F97" s="2154"/>
      <c r="G97" s="2154"/>
      <c r="H97" s="2155"/>
    </row>
    <row r="98" spans="1:8" ht="18" customHeight="1" outlineLevel="1">
      <c r="B98" s="2156"/>
      <c r="C98" s="2157"/>
      <c r="D98" s="2157"/>
      <c r="E98" s="2157"/>
      <c r="F98" s="2157"/>
      <c r="G98" s="2157"/>
      <c r="H98" s="2158"/>
    </row>
    <row r="99" spans="1:8" s="1934" customFormat="1" ht="18" customHeight="1">
      <c r="A99" s="2146" t="s">
        <v>5408</v>
      </c>
      <c r="B99" s="2146"/>
      <c r="C99" s="2146"/>
      <c r="D99" s="1933"/>
      <c r="E99" s="1933"/>
      <c r="F99" s="1933"/>
      <c r="G99" s="1933"/>
      <c r="H99" s="1933"/>
    </row>
    <row r="100" spans="1:8" ht="18" customHeight="1">
      <c r="B100" s="1763"/>
      <c r="C100" s="1763"/>
      <c r="D100" s="1763"/>
      <c r="E100" s="1763"/>
      <c r="F100" s="1763"/>
      <c r="G100" s="1763"/>
      <c r="H100" s="1763"/>
    </row>
    <row r="101" spans="1:8" ht="22.5" customHeight="1"/>
    <row r="102" spans="1:8" ht="18.45">
      <c r="B102" s="2159" t="s">
        <v>5555</v>
      </c>
      <c r="C102" s="2160"/>
      <c r="D102" s="2160"/>
      <c r="E102" s="2160"/>
      <c r="F102" s="2160"/>
      <c r="G102" s="2160"/>
      <c r="H102" s="2161"/>
    </row>
    <row r="103" spans="1:8" ht="33" customHeight="1" outlineLevel="1">
      <c r="B103" s="2162" t="s">
        <v>5556</v>
      </c>
      <c r="C103" s="2163"/>
      <c r="D103" s="2163"/>
      <c r="E103" s="2163"/>
      <c r="F103" s="2163"/>
      <c r="G103" s="2163"/>
      <c r="H103" s="2164"/>
    </row>
    <row r="104" spans="1:8" ht="7.5" customHeight="1" outlineLevel="1">
      <c r="B104" s="1914"/>
      <c r="C104" s="1913"/>
      <c r="D104" s="1913"/>
      <c r="E104" s="1913"/>
      <c r="F104" s="1913"/>
      <c r="G104" s="1913"/>
      <c r="H104" s="1915"/>
    </row>
    <row r="105" spans="1:8" ht="18" customHeight="1" outlineLevel="1">
      <c r="B105" s="176" t="s">
        <v>318</v>
      </c>
      <c r="C105" s="1913"/>
      <c r="D105" s="1913"/>
      <c r="E105" s="1913"/>
      <c r="F105" s="1913"/>
      <c r="G105" s="1913"/>
      <c r="H105" s="1915"/>
    </row>
    <row r="106" spans="1:8" ht="18" customHeight="1" outlineLevel="1">
      <c r="B106" s="176" t="s">
        <v>5557</v>
      </c>
      <c r="C106" s="1913"/>
      <c r="D106" s="1913"/>
      <c r="E106" s="1913"/>
      <c r="F106" s="1913"/>
      <c r="G106" s="1913"/>
      <c r="H106" s="1915"/>
    </row>
    <row r="107" spans="1:8" ht="18" customHeight="1" outlineLevel="1">
      <c r="B107" s="176" t="s">
        <v>5558</v>
      </c>
      <c r="C107" s="1913"/>
      <c r="D107" s="1913"/>
      <c r="E107" s="1913"/>
      <c r="F107" s="1913"/>
      <c r="G107" s="1913"/>
      <c r="H107" s="1915"/>
    </row>
    <row r="108" spans="1:8" outlineLevel="1">
      <c r="B108" s="2165"/>
      <c r="C108" s="2166"/>
      <c r="D108" s="2166"/>
      <c r="E108" s="2166"/>
      <c r="F108" s="2166"/>
      <c r="G108" s="2166"/>
      <c r="H108" s="2167"/>
    </row>
    <row r="109" spans="1:8" outlineLevel="1">
      <c r="B109" s="2165"/>
      <c r="C109" s="2166"/>
      <c r="D109" s="2166"/>
      <c r="E109" s="2166"/>
      <c r="F109" s="2166"/>
      <c r="G109" s="2166"/>
      <c r="H109" s="2167"/>
    </row>
    <row r="110" spans="1:8" ht="15" outlineLevel="1" thickBot="1">
      <c r="B110" s="177"/>
      <c r="C110" s="1913"/>
      <c r="D110" s="1913"/>
      <c r="E110" s="1913"/>
      <c r="F110" s="1913"/>
      <c r="G110" s="1913"/>
      <c r="H110" s="1915"/>
    </row>
    <row r="111" spans="1:8" ht="18" customHeight="1" outlineLevel="1">
      <c r="B111" s="177"/>
      <c r="C111" s="1913"/>
      <c r="D111" s="1913"/>
      <c r="E111" s="1913"/>
      <c r="F111" s="2147" t="s">
        <v>5559</v>
      </c>
      <c r="G111" s="1913"/>
      <c r="H111" s="1915"/>
    </row>
    <row r="112" spans="1:8" ht="18" customHeight="1" outlineLevel="1">
      <c r="B112" s="177"/>
      <c r="D112" s="1913"/>
      <c r="E112" s="1913"/>
      <c r="F112" s="2148"/>
      <c r="G112" s="1913"/>
      <c r="H112" s="1915"/>
    </row>
    <row r="113" spans="2:8" ht="18" customHeight="1" outlineLevel="1" thickBot="1">
      <c r="B113" s="177"/>
      <c r="C113" s="178"/>
      <c r="D113" s="1913"/>
      <c r="E113" s="1913"/>
      <c r="F113" s="2149"/>
      <c r="G113" s="1913"/>
      <c r="H113" s="1915"/>
    </row>
    <row r="114" spans="2:8" ht="18" customHeight="1" outlineLevel="1">
      <c r="B114" s="177"/>
      <c r="C114" s="178"/>
      <c r="D114" s="1913"/>
      <c r="E114" s="1913"/>
      <c r="F114" s="1913"/>
      <c r="G114" s="1913"/>
      <c r="H114" s="1915"/>
    </row>
    <row r="115" spans="2:8" ht="18" customHeight="1" outlineLevel="1">
      <c r="B115" s="177"/>
      <c r="C115" s="178"/>
      <c r="D115" s="1913"/>
      <c r="E115" s="1913"/>
      <c r="F115" s="1913"/>
      <c r="G115" s="1913"/>
      <c r="H115" s="1915"/>
    </row>
    <row r="116" spans="2:8" ht="63" customHeight="1" outlineLevel="1">
      <c r="B116" s="2165" t="s">
        <v>5560</v>
      </c>
      <c r="C116" s="2166"/>
      <c r="D116" s="2166"/>
      <c r="E116" s="2166"/>
      <c r="F116" s="2166"/>
      <c r="G116" s="2166"/>
      <c r="H116" s="2167"/>
    </row>
    <row r="117" spans="2:8" ht="18" customHeight="1" outlineLevel="1">
      <c r="B117" s="177"/>
      <c r="C117" s="1913"/>
      <c r="D117" s="1913"/>
      <c r="E117" s="1913"/>
      <c r="F117" s="1913"/>
      <c r="G117" s="1913"/>
      <c r="H117" s="1915"/>
    </row>
    <row r="118" spans="2:8" ht="57.75" customHeight="1" outlineLevel="1" thickBot="1">
      <c r="B118" s="2165"/>
      <c r="C118" s="2166"/>
      <c r="D118" s="2166"/>
      <c r="E118" s="2166"/>
      <c r="F118" s="2166"/>
      <c r="G118" s="2166"/>
      <c r="H118" s="2167"/>
    </row>
    <row r="119" spans="2:8" ht="18" customHeight="1" outlineLevel="1">
      <c r="B119" s="177"/>
      <c r="C119" s="1913"/>
      <c r="D119" s="1913"/>
      <c r="E119" s="1913"/>
      <c r="F119" s="1913"/>
      <c r="G119" s="2147" t="s">
        <v>5561</v>
      </c>
      <c r="H119" s="1915"/>
    </row>
    <row r="120" spans="2:8" ht="18" customHeight="1" outlineLevel="1">
      <c r="B120" s="177"/>
      <c r="C120" s="1913"/>
      <c r="D120" s="1913"/>
      <c r="E120" s="1913"/>
      <c r="F120" s="1913"/>
      <c r="G120" s="2148"/>
      <c r="H120" s="1915"/>
    </row>
    <row r="121" spans="2:8" ht="18" customHeight="1" outlineLevel="1">
      <c r="B121" s="177"/>
      <c r="C121" s="1913"/>
      <c r="D121" s="1913"/>
      <c r="E121" s="1913"/>
      <c r="F121" s="1913"/>
      <c r="G121" s="2148"/>
      <c r="H121" s="1915"/>
    </row>
    <row r="122" spans="2:8" ht="18" customHeight="1" outlineLevel="1" thickBot="1">
      <c r="B122" s="177"/>
      <c r="C122" s="1913"/>
      <c r="D122" s="1913"/>
      <c r="E122" s="1913"/>
      <c r="F122" s="1913"/>
      <c r="G122" s="2149"/>
      <c r="H122" s="1915"/>
    </row>
    <row r="123" spans="2:8" ht="18" customHeight="1" outlineLevel="1">
      <c r="B123" s="177"/>
      <c r="C123" s="1913"/>
      <c r="D123" s="1913"/>
      <c r="E123" s="1913"/>
      <c r="F123" s="1913"/>
      <c r="G123" s="1913"/>
      <c r="H123" s="1915"/>
    </row>
    <row r="124" spans="2:8" ht="54" customHeight="1" outlineLevel="1">
      <c r="B124" s="2165" t="s">
        <v>5562</v>
      </c>
      <c r="C124" s="2166"/>
      <c r="D124" s="2166"/>
      <c r="E124" s="2166"/>
      <c r="F124" s="2166"/>
      <c r="G124" s="2166"/>
      <c r="H124" s="2167"/>
    </row>
    <row r="125" spans="2:8" ht="18" customHeight="1" outlineLevel="1">
      <c r="B125" s="177"/>
      <c r="C125" s="1913"/>
      <c r="D125" s="1913"/>
      <c r="E125" s="1913"/>
      <c r="F125" s="1913"/>
      <c r="G125" s="1913"/>
      <c r="H125" s="1915"/>
    </row>
    <row r="126" spans="2:8" ht="18" customHeight="1" outlineLevel="1">
      <c r="B126" s="177"/>
      <c r="C126" s="1913"/>
      <c r="D126" s="1913"/>
      <c r="E126" s="1913"/>
      <c r="F126" s="1913"/>
      <c r="G126" s="1913"/>
      <c r="H126" s="1915"/>
    </row>
    <row r="127" spans="2:8" ht="18" customHeight="1" outlineLevel="1">
      <c r="B127" s="177"/>
      <c r="C127" s="1913"/>
      <c r="D127" s="1913"/>
      <c r="E127" s="1913"/>
      <c r="F127" s="1913"/>
      <c r="G127" s="1913"/>
      <c r="H127" s="1915"/>
    </row>
    <row r="128" spans="2:8" ht="18" customHeight="1" outlineLevel="1">
      <c r="B128" s="177"/>
      <c r="C128" s="1913"/>
      <c r="D128" s="1913"/>
      <c r="E128" s="1913"/>
      <c r="F128" s="1913"/>
      <c r="G128" s="1913"/>
      <c r="H128" s="1915"/>
    </row>
    <row r="129" spans="2:8" ht="18" customHeight="1" outlineLevel="1" thickBot="1">
      <c r="B129" s="177"/>
      <c r="C129" s="1913"/>
      <c r="D129" s="1913"/>
      <c r="E129" s="1913"/>
      <c r="F129" s="1913"/>
      <c r="G129" s="1913"/>
      <c r="H129" s="1915"/>
    </row>
    <row r="130" spans="2:8" ht="18" customHeight="1" outlineLevel="1">
      <c r="B130" s="177"/>
      <c r="C130" s="1913"/>
      <c r="D130" s="1913"/>
      <c r="E130" s="1913"/>
      <c r="F130" s="1913"/>
      <c r="G130" s="2147" t="s">
        <v>319</v>
      </c>
      <c r="H130" s="1915"/>
    </row>
    <row r="131" spans="2:8" ht="18" customHeight="1" outlineLevel="1">
      <c r="B131" s="177"/>
      <c r="C131" s="1913"/>
      <c r="D131" s="1913"/>
      <c r="E131" s="1913"/>
      <c r="F131" s="1913"/>
      <c r="G131" s="2148"/>
      <c r="H131" s="1915"/>
    </row>
    <row r="132" spans="2:8" ht="18" customHeight="1" outlineLevel="1">
      <c r="B132" s="177"/>
      <c r="C132" s="1913"/>
      <c r="D132" s="1913"/>
      <c r="E132" s="1913"/>
      <c r="F132" s="1913"/>
      <c r="G132" s="2148"/>
      <c r="H132" s="1915"/>
    </row>
    <row r="133" spans="2:8" ht="18" customHeight="1" outlineLevel="1" thickBot="1">
      <c r="B133" s="177"/>
      <c r="C133" s="1913"/>
      <c r="D133" s="1913"/>
      <c r="E133" s="1913"/>
      <c r="F133" s="1913"/>
      <c r="G133" s="2149"/>
      <c r="H133" s="1915"/>
    </row>
    <row r="134" spans="2:8" ht="18" customHeight="1" outlineLevel="1">
      <c r="B134" s="179"/>
      <c r="C134" s="1916"/>
      <c r="D134" s="1916"/>
      <c r="E134" s="1916"/>
      <c r="F134" s="1916"/>
      <c r="G134" s="1916"/>
      <c r="H134" s="1917"/>
    </row>
    <row r="135" spans="2:8" ht="37.4" customHeight="1" outlineLevel="1"/>
    <row r="136" spans="2:8" ht="23.25" customHeight="1"/>
    <row r="137" spans="2:8" ht="18.45">
      <c r="B137" s="2159" t="s">
        <v>5563</v>
      </c>
      <c r="C137" s="2160"/>
      <c r="D137" s="2160"/>
      <c r="E137" s="2160"/>
      <c r="F137" s="2160"/>
      <c r="G137" s="2160"/>
      <c r="H137" s="2161"/>
    </row>
    <row r="138" spans="2:8" ht="40.5" customHeight="1" outlineLevel="1">
      <c r="B138" s="2162" t="s">
        <v>5564</v>
      </c>
      <c r="C138" s="2163"/>
      <c r="D138" s="2163"/>
      <c r="E138" s="2163"/>
      <c r="F138" s="2163"/>
      <c r="G138" s="2163"/>
      <c r="H138" s="2164"/>
    </row>
    <row r="139" spans="2:8" ht="15.75" customHeight="1" outlineLevel="1">
      <c r="B139" s="2168"/>
      <c r="C139" s="2169"/>
      <c r="D139" s="2169"/>
      <c r="E139" s="2169"/>
      <c r="F139" s="2169"/>
      <c r="G139" s="2169"/>
      <c r="H139" s="2170"/>
    </row>
    <row r="140" spans="2:8" ht="15.75" customHeight="1" outlineLevel="1">
      <c r="B140" s="2165" t="s">
        <v>5565</v>
      </c>
      <c r="C140" s="2166"/>
      <c r="D140" s="2166"/>
      <c r="E140" s="2166"/>
      <c r="F140" s="2166"/>
      <c r="G140" s="2166"/>
      <c r="H140" s="2167"/>
    </row>
    <row r="141" spans="2:8" s="170" customFormat="1" ht="31.5" customHeight="1" outlineLevel="1">
      <c r="B141" s="2171" t="s">
        <v>5566</v>
      </c>
      <c r="C141" s="2172"/>
      <c r="D141" s="2172"/>
      <c r="E141" s="2172"/>
      <c r="F141" s="2172"/>
      <c r="G141" s="2172"/>
      <c r="H141" s="2173"/>
    </row>
    <row r="142" spans="2:8" outlineLevel="1">
      <c r="B142" s="2171" t="s">
        <v>5567</v>
      </c>
      <c r="C142" s="2172"/>
      <c r="D142" s="2172"/>
      <c r="E142" s="2172"/>
      <c r="F142" s="2172"/>
      <c r="G142" s="2172"/>
      <c r="H142" s="2173"/>
    </row>
    <row r="143" spans="2:8" ht="30.75" customHeight="1" outlineLevel="1">
      <c r="B143" s="2171" t="s">
        <v>5568</v>
      </c>
      <c r="C143" s="2172"/>
      <c r="D143" s="2172"/>
      <c r="E143" s="2172"/>
      <c r="F143" s="2172"/>
      <c r="G143" s="2172"/>
      <c r="H143" s="2173"/>
    </row>
    <row r="144" spans="2:8" ht="15.75" customHeight="1" outlineLevel="1">
      <c r="B144" s="1914"/>
      <c r="C144" s="1913"/>
      <c r="D144" s="1913"/>
      <c r="E144" s="1913"/>
      <c r="F144" s="1913"/>
      <c r="G144" s="1913"/>
      <c r="H144" s="1915"/>
    </row>
    <row r="145" spans="2:8" ht="15.75" customHeight="1" outlineLevel="1">
      <c r="B145" s="1914"/>
      <c r="C145" s="1913"/>
      <c r="D145" s="1913"/>
      <c r="E145" s="1913"/>
      <c r="F145" s="1913"/>
      <c r="G145" s="1913"/>
      <c r="H145" s="1915"/>
    </row>
    <row r="146" spans="2:8" ht="15.75" customHeight="1" outlineLevel="1">
      <c r="B146" s="1914"/>
      <c r="C146" s="1913"/>
      <c r="D146" s="1913"/>
      <c r="E146" s="1913"/>
      <c r="F146" s="1913"/>
      <c r="G146" s="1913"/>
      <c r="H146" s="1915"/>
    </row>
    <row r="147" spans="2:8" ht="15.75" customHeight="1" outlineLevel="1" thickBot="1">
      <c r="B147" s="1914"/>
      <c r="C147" s="1913"/>
      <c r="D147" s="1913"/>
      <c r="E147" s="1913"/>
      <c r="F147" s="1913"/>
      <c r="G147" s="1913"/>
      <c r="H147" s="1915"/>
    </row>
    <row r="148" spans="2:8" ht="15.75" customHeight="1" outlineLevel="1">
      <c r="B148" s="1914"/>
      <c r="C148" s="1913"/>
      <c r="D148" s="1913"/>
      <c r="E148" s="1913"/>
      <c r="F148" s="2174" t="s">
        <v>5569</v>
      </c>
      <c r="G148" s="2175"/>
      <c r="H148" s="1915"/>
    </row>
    <row r="149" spans="2:8" ht="15.75" customHeight="1" outlineLevel="1">
      <c r="B149" s="1914"/>
      <c r="C149" s="1913"/>
      <c r="D149" s="1913"/>
      <c r="E149" s="1913"/>
      <c r="F149" s="2176"/>
      <c r="G149" s="2177"/>
      <c r="H149" s="1915"/>
    </row>
    <row r="150" spans="2:8" ht="15.75" customHeight="1" outlineLevel="1">
      <c r="B150" s="1914"/>
      <c r="C150" s="1913"/>
      <c r="D150" s="1913"/>
      <c r="E150" s="1913"/>
      <c r="F150" s="2176"/>
      <c r="G150" s="2177"/>
      <c r="H150" s="1915"/>
    </row>
    <row r="151" spans="2:8" ht="15.75" customHeight="1" outlineLevel="1" thickBot="1">
      <c r="B151" s="1914"/>
      <c r="C151" s="1913"/>
      <c r="D151" s="1913"/>
      <c r="E151" s="1913"/>
      <c r="F151" s="2178"/>
      <c r="G151" s="2179"/>
      <c r="H151" s="1915"/>
    </row>
    <row r="152" spans="2:8" ht="15.75" customHeight="1" outlineLevel="1">
      <c r="B152" s="1914"/>
      <c r="C152" s="1913"/>
      <c r="D152" s="1913"/>
      <c r="E152" s="1913"/>
      <c r="F152" s="1913"/>
      <c r="G152" s="1913"/>
      <c r="H152" s="1915"/>
    </row>
    <row r="153" spans="2:8" ht="15.75" customHeight="1" outlineLevel="1">
      <c r="B153" s="1914"/>
      <c r="C153" s="1913"/>
      <c r="D153" s="1913"/>
      <c r="E153" s="1913"/>
      <c r="F153" s="1913"/>
      <c r="G153" s="1913"/>
      <c r="H153" s="1915"/>
    </row>
    <row r="154" spans="2:8" ht="15.75" customHeight="1" outlineLevel="1">
      <c r="B154" s="1914"/>
      <c r="C154" s="1913"/>
      <c r="D154" s="1913"/>
      <c r="E154" s="1913"/>
      <c r="F154" s="1913"/>
      <c r="G154" s="1913"/>
      <c r="H154" s="1915"/>
    </row>
    <row r="155" spans="2:8" ht="15.75" customHeight="1" outlineLevel="1">
      <c r="B155" s="1914"/>
      <c r="C155" s="1913"/>
      <c r="D155" s="1913"/>
      <c r="E155" s="1913"/>
      <c r="F155" s="1913"/>
      <c r="G155" s="1913"/>
      <c r="H155" s="1915"/>
    </row>
    <row r="156" spans="2:8" ht="15.75" customHeight="1" outlineLevel="1">
      <c r="B156" s="1914"/>
      <c r="C156" s="1913"/>
      <c r="D156" s="1913"/>
      <c r="E156" s="1913"/>
      <c r="F156" s="1913"/>
      <c r="G156" s="1913"/>
      <c r="H156" s="1915"/>
    </row>
    <row r="157" spans="2:8" ht="15.75" customHeight="1" outlineLevel="1">
      <c r="B157" s="1914"/>
      <c r="C157" s="1913"/>
      <c r="D157" s="1913"/>
      <c r="E157" s="1913"/>
      <c r="F157" s="1913"/>
      <c r="G157" s="1913"/>
      <c r="H157" s="1915"/>
    </row>
    <row r="158" spans="2:8" ht="15.75" customHeight="1" outlineLevel="1">
      <c r="B158" s="1914"/>
      <c r="C158" s="1913"/>
      <c r="D158" s="1913"/>
      <c r="E158" s="1913"/>
      <c r="F158" s="1913"/>
      <c r="G158" s="1913"/>
      <c r="H158" s="1915"/>
    </row>
    <row r="159" spans="2:8" ht="15.75" customHeight="1" outlineLevel="1">
      <c r="B159" s="1914"/>
      <c r="C159" s="1913"/>
      <c r="D159" s="1913"/>
      <c r="E159" s="1913"/>
      <c r="F159" s="1913"/>
      <c r="G159" s="1913"/>
      <c r="H159" s="1915"/>
    </row>
    <row r="160" spans="2:8" ht="15.75" customHeight="1" outlineLevel="1">
      <c r="B160" s="1914"/>
      <c r="C160" s="1913"/>
      <c r="D160" s="1913"/>
      <c r="E160" s="1913"/>
      <c r="F160" s="1913"/>
      <c r="G160" s="1913"/>
      <c r="H160" s="1915"/>
    </row>
    <row r="161" spans="2:8" ht="15.75" customHeight="1" outlineLevel="1" thickBot="1">
      <c r="B161" s="1914"/>
      <c r="C161" s="1913"/>
      <c r="D161" s="1913"/>
      <c r="E161" s="1913"/>
      <c r="F161" s="1913"/>
      <c r="G161" s="1913"/>
      <c r="H161" s="1915"/>
    </row>
    <row r="162" spans="2:8" ht="15.75" customHeight="1" outlineLevel="1">
      <c r="B162" s="1914"/>
      <c r="C162" s="1913"/>
      <c r="D162" s="1913"/>
      <c r="E162" s="1913"/>
      <c r="F162" s="2174" t="s">
        <v>5570</v>
      </c>
      <c r="G162" s="2175"/>
      <c r="H162" s="1915"/>
    </row>
    <row r="163" spans="2:8" ht="15.75" customHeight="1" outlineLevel="1">
      <c r="B163" s="1914"/>
      <c r="C163" s="1913"/>
      <c r="D163" s="1913"/>
      <c r="E163" s="1913"/>
      <c r="F163" s="2176"/>
      <c r="G163" s="2177"/>
      <c r="H163" s="1915"/>
    </row>
    <row r="164" spans="2:8" ht="15.75" customHeight="1" outlineLevel="1">
      <c r="B164" s="1914"/>
      <c r="C164" s="1913"/>
      <c r="D164" s="1913"/>
      <c r="E164" s="1913"/>
      <c r="F164" s="2176"/>
      <c r="G164" s="2177"/>
      <c r="H164" s="1915"/>
    </row>
    <row r="165" spans="2:8" ht="15.75" customHeight="1" outlineLevel="1">
      <c r="B165" s="1914"/>
      <c r="C165" s="1913"/>
      <c r="D165" s="1913"/>
      <c r="E165" s="1913"/>
      <c r="F165" s="2176"/>
      <c r="G165" s="2177"/>
      <c r="H165" s="1915"/>
    </row>
    <row r="166" spans="2:8" ht="15.75" customHeight="1" outlineLevel="1">
      <c r="B166" s="1914"/>
      <c r="C166" s="1913"/>
      <c r="D166" s="1913"/>
      <c r="E166" s="1913"/>
      <c r="F166" s="2176"/>
      <c r="G166" s="2177"/>
      <c r="H166" s="1915"/>
    </row>
    <row r="167" spans="2:8" ht="15.75" customHeight="1" outlineLevel="1" thickBot="1">
      <c r="B167" s="1914"/>
      <c r="C167" s="1913"/>
      <c r="D167" s="1913"/>
      <c r="E167" s="1913"/>
      <c r="F167" s="2178"/>
      <c r="G167" s="2179"/>
      <c r="H167" s="1915"/>
    </row>
    <row r="168" spans="2:8" ht="15.75" customHeight="1" outlineLevel="1">
      <c r="B168" s="2168"/>
      <c r="C168" s="2169"/>
      <c r="D168" s="2169"/>
      <c r="E168" s="2169"/>
      <c r="F168" s="2169"/>
      <c r="G168" s="2169"/>
      <c r="H168" s="2170"/>
    </row>
    <row r="169" spans="2:8" ht="15.75" customHeight="1" outlineLevel="1">
      <c r="B169" s="2183"/>
      <c r="C169" s="2184"/>
      <c r="D169" s="2184"/>
      <c r="E169" s="2184"/>
      <c r="F169" s="2184"/>
      <c r="G169" s="2184"/>
      <c r="H169" s="2185"/>
    </row>
    <row r="170" spans="2:8" ht="18.45" customHeight="1" outlineLevel="1"/>
    <row r="171" spans="2:8" ht="22" customHeight="1"/>
    <row r="172" spans="2:8" ht="18.45">
      <c r="B172" s="2159" t="s">
        <v>5571</v>
      </c>
      <c r="C172" s="2160"/>
      <c r="D172" s="2160"/>
      <c r="E172" s="2160"/>
      <c r="F172" s="2160"/>
      <c r="G172" s="2160"/>
      <c r="H172" s="2161"/>
    </row>
    <row r="173" spans="2:8" ht="20.25" customHeight="1" outlineLevel="1">
      <c r="B173" s="2137" t="s">
        <v>5572</v>
      </c>
      <c r="C173" s="2138"/>
      <c r="D173" s="2138"/>
      <c r="E173" s="2138"/>
      <c r="F173" s="2138"/>
      <c r="G173" s="2138"/>
      <c r="H173" s="2139"/>
    </row>
    <row r="174" spans="2:8" ht="20.25" customHeight="1" outlineLevel="1">
      <c r="B174" s="2140"/>
      <c r="C174" s="2141"/>
      <c r="D174" s="2141"/>
      <c r="E174" s="2141"/>
      <c r="F174" s="2141"/>
      <c r="G174" s="2141"/>
      <c r="H174" s="2142"/>
    </row>
    <row r="175" spans="2:8" ht="20.25" customHeight="1" outlineLevel="1">
      <c r="B175" s="2140"/>
      <c r="C175" s="2141"/>
      <c r="D175" s="2141"/>
      <c r="E175" s="2141"/>
      <c r="F175" s="2141"/>
      <c r="G175" s="2141"/>
      <c r="H175" s="2142"/>
    </row>
    <row r="176" spans="2:8" ht="20.25" customHeight="1" outlineLevel="1">
      <c r="B176" s="2140"/>
      <c r="C176" s="2141"/>
      <c r="D176" s="2141"/>
      <c r="E176" s="2141"/>
      <c r="F176" s="2141"/>
      <c r="G176" s="2141"/>
      <c r="H176" s="2142"/>
    </row>
    <row r="177" spans="1:8" ht="20.25" customHeight="1" outlineLevel="1">
      <c r="B177" s="2140"/>
      <c r="C177" s="2141"/>
      <c r="D177" s="2141"/>
      <c r="E177" s="2141"/>
      <c r="F177" s="2141"/>
      <c r="G177" s="2141"/>
      <c r="H177" s="2142"/>
    </row>
    <row r="178" spans="1:8" ht="20.25" customHeight="1" outlineLevel="1">
      <c r="B178" s="2140"/>
      <c r="C178" s="2141"/>
      <c r="D178" s="2141"/>
      <c r="E178" s="2141"/>
      <c r="F178" s="2141"/>
      <c r="G178" s="2141"/>
      <c r="H178" s="2142"/>
    </row>
    <row r="179" spans="1:8" ht="20.25" customHeight="1" outlineLevel="1">
      <c r="B179" s="2140"/>
      <c r="C179" s="2141"/>
      <c r="D179" s="2141"/>
      <c r="E179" s="2141"/>
      <c r="F179" s="2141"/>
      <c r="G179" s="2141"/>
      <c r="H179" s="2142"/>
    </row>
    <row r="180" spans="1:8" ht="20.25" customHeight="1" outlineLevel="1">
      <c r="B180" s="2140"/>
      <c r="C180" s="2141"/>
      <c r="D180" s="2141"/>
      <c r="E180" s="2141"/>
      <c r="F180" s="2141"/>
      <c r="G180" s="2141"/>
      <c r="H180" s="2142"/>
    </row>
    <row r="181" spans="1:8" ht="20.25" customHeight="1" outlineLevel="1">
      <c r="B181" s="2143"/>
      <c r="C181" s="2144"/>
      <c r="D181" s="2144"/>
      <c r="E181" s="2144"/>
      <c r="F181" s="2144"/>
      <c r="G181" s="2144"/>
      <c r="H181" s="2145"/>
    </row>
    <row r="182" spans="1:8">
      <c r="A182" s="2186" t="s">
        <v>5408</v>
      </c>
      <c r="B182" s="2186"/>
      <c r="C182" s="2186"/>
    </row>
    <row r="183" spans="1:8" ht="27" customHeight="1"/>
    <row r="184" spans="1:8" ht="18.45">
      <c r="B184" s="2187" t="s">
        <v>5573</v>
      </c>
      <c r="C184" s="2188"/>
      <c r="D184" s="2188"/>
      <c r="E184" s="2188"/>
      <c r="F184" s="2188"/>
      <c r="G184" s="2188"/>
      <c r="H184" s="2189"/>
    </row>
    <row r="185" spans="1:8" ht="27" customHeight="1" outlineLevel="1">
      <c r="B185" s="2190" t="s">
        <v>5574</v>
      </c>
      <c r="C185" s="2191"/>
      <c r="D185" s="2191"/>
      <c r="E185" s="2191"/>
      <c r="F185" s="2191"/>
      <c r="G185" s="2191"/>
      <c r="H185" s="2192"/>
    </row>
    <row r="186" spans="1:8" ht="27" customHeight="1" outlineLevel="1">
      <c r="B186" s="2193"/>
      <c r="C186" s="2194"/>
      <c r="D186" s="2194"/>
      <c r="E186" s="2194"/>
      <c r="F186" s="2194"/>
      <c r="G186" s="2194"/>
      <c r="H186" s="2195"/>
    </row>
    <row r="187" spans="1:8" ht="27" customHeight="1" outlineLevel="1">
      <c r="B187" s="2193"/>
      <c r="C187" s="2194"/>
      <c r="D187" s="2194"/>
      <c r="E187" s="2194"/>
      <c r="F187" s="2194"/>
      <c r="G187" s="2194"/>
      <c r="H187" s="2195"/>
    </row>
    <row r="188" spans="1:8" ht="27" customHeight="1" outlineLevel="1">
      <c r="B188" s="2193"/>
      <c r="C188" s="2194"/>
      <c r="D188" s="2194"/>
      <c r="E188" s="2194"/>
      <c r="F188" s="2194"/>
      <c r="G188" s="2194"/>
      <c r="H188" s="2195"/>
    </row>
    <row r="189" spans="1:8" ht="27" customHeight="1" outlineLevel="1">
      <c r="B189" s="2193"/>
      <c r="C189" s="2194"/>
      <c r="D189" s="2194"/>
      <c r="E189" s="2194"/>
      <c r="F189" s="2194"/>
      <c r="G189" s="2194"/>
      <c r="H189" s="2195"/>
    </row>
    <row r="190" spans="1:8" ht="27" customHeight="1" outlineLevel="1">
      <c r="B190" s="2193"/>
      <c r="C190" s="2194"/>
      <c r="D190" s="2194"/>
      <c r="E190" s="2194"/>
      <c r="F190" s="2194"/>
      <c r="G190" s="2194"/>
      <c r="H190" s="2195"/>
    </row>
    <row r="191" spans="1:8" ht="27" customHeight="1" outlineLevel="1">
      <c r="B191" s="2193"/>
      <c r="C191" s="2194"/>
      <c r="D191" s="2194"/>
      <c r="E191" s="2194"/>
      <c r="F191" s="2194"/>
      <c r="G191" s="2194"/>
      <c r="H191" s="2195"/>
    </row>
    <row r="192" spans="1:8" ht="27" customHeight="1" outlineLevel="1">
      <c r="B192" s="2193"/>
      <c r="C192" s="2194"/>
      <c r="D192" s="2194"/>
      <c r="E192" s="2194"/>
      <c r="F192" s="2194"/>
      <c r="G192" s="2194"/>
      <c r="H192" s="2195"/>
    </row>
    <row r="193" spans="2:8" ht="27" customHeight="1" outlineLevel="1">
      <c r="B193" s="2193"/>
      <c r="C193" s="2194"/>
      <c r="D193" s="2194"/>
      <c r="E193" s="2194"/>
      <c r="F193" s="2194"/>
      <c r="G193" s="2194"/>
      <c r="H193" s="2195"/>
    </row>
    <row r="194" spans="2:8" ht="27" customHeight="1" outlineLevel="1">
      <c r="B194" s="2193"/>
      <c r="C194" s="2194"/>
      <c r="D194" s="2194"/>
      <c r="E194" s="2194"/>
      <c r="F194" s="2194"/>
      <c r="G194" s="2194"/>
      <c r="H194" s="2195"/>
    </row>
    <row r="195" spans="2:8" ht="27" customHeight="1" outlineLevel="1">
      <c r="B195" s="2193"/>
      <c r="C195" s="2194"/>
      <c r="D195" s="2194"/>
      <c r="E195" s="2194"/>
      <c r="F195" s="2194"/>
      <c r="G195" s="2194"/>
      <c r="H195" s="2195"/>
    </row>
    <row r="196" spans="2:8" ht="27" customHeight="1" outlineLevel="1">
      <c r="B196" s="2193"/>
      <c r="C196" s="2194"/>
      <c r="D196" s="2194"/>
      <c r="E196" s="2194"/>
      <c r="F196" s="2194"/>
      <c r="G196" s="2194"/>
      <c r="H196" s="2195"/>
    </row>
    <row r="197" spans="2:8" ht="27" customHeight="1" outlineLevel="1">
      <c r="B197" s="2193"/>
      <c r="C197" s="2194"/>
      <c r="D197" s="2194"/>
      <c r="E197" s="2194"/>
      <c r="F197" s="2194"/>
      <c r="G197" s="2194"/>
      <c r="H197" s="2195"/>
    </row>
    <row r="198" spans="2:8" ht="27" customHeight="1" outlineLevel="1">
      <c r="B198" s="2193"/>
      <c r="C198" s="2194"/>
      <c r="D198" s="2194"/>
      <c r="E198" s="2194"/>
      <c r="F198" s="2194"/>
      <c r="G198" s="2194"/>
      <c r="H198" s="2195"/>
    </row>
    <row r="199" spans="2:8" ht="27" customHeight="1" outlineLevel="1">
      <c r="B199" s="2193"/>
      <c r="C199" s="2194"/>
      <c r="D199" s="2194"/>
      <c r="E199" s="2194"/>
      <c r="F199" s="2194"/>
      <c r="G199" s="2194"/>
      <c r="H199" s="2195"/>
    </row>
    <row r="200" spans="2:8" ht="27" customHeight="1" outlineLevel="1">
      <c r="B200" s="2196"/>
      <c r="C200" s="2197"/>
      <c r="D200" s="2197"/>
      <c r="E200" s="2197"/>
      <c r="F200" s="2197"/>
      <c r="G200" s="2197"/>
      <c r="H200" s="2198"/>
    </row>
    <row r="201" spans="2:8" ht="24" customHeight="1" outlineLevel="1"/>
    <row r="202" spans="2:8" ht="24" customHeight="1"/>
    <row r="203" spans="2:8" ht="18.45">
      <c r="B203" s="2187" t="s">
        <v>5575</v>
      </c>
      <c r="C203" s="2188"/>
      <c r="D203" s="2188"/>
      <c r="E203" s="2188"/>
      <c r="F203" s="2188"/>
      <c r="G203" s="2188"/>
      <c r="H203" s="2189"/>
    </row>
    <row r="204" spans="2:8" ht="51" customHeight="1" outlineLevel="1">
      <c r="B204" s="2162" t="s">
        <v>5576</v>
      </c>
      <c r="C204" s="2163"/>
      <c r="D204" s="2163"/>
      <c r="E204" s="2163"/>
      <c r="F204" s="2163"/>
      <c r="G204" s="2163"/>
      <c r="H204" s="2164"/>
    </row>
    <row r="205" spans="2:8" ht="18" customHeight="1" outlineLevel="1">
      <c r="B205" s="177"/>
      <c r="C205" s="1935"/>
      <c r="D205" s="1935"/>
      <c r="E205" s="1935"/>
      <c r="F205" s="1935"/>
      <c r="G205" s="1935"/>
      <c r="H205" s="1918"/>
    </row>
    <row r="206" spans="2:8" outlineLevel="1">
      <c r="B206" s="2199" t="s">
        <v>5577</v>
      </c>
      <c r="C206" s="2200"/>
      <c r="D206" s="2200"/>
      <c r="E206" s="2200"/>
      <c r="F206" s="2200"/>
      <c r="G206" s="2200"/>
      <c r="H206" s="2201"/>
    </row>
    <row r="207" spans="2:8" ht="18" customHeight="1" outlineLevel="1">
      <c r="B207" s="2180" t="s">
        <v>324</v>
      </c>
      <c r="C207" s="2181"/>
      <c r="D207" s="2181"/>
      <c r="E207" s="2181"/>
      <c r="F207" s="2181"/>
      <c r="G207" s="2181"/>
      <c r="H207" s="2182"/>
    </row>
    <row r="208" spans="2:8" ht="18" customHeight="1" outlineLevel="1">
      <c r="B208" s="2180" t="s">
        <v>325</v>
      </c>
      <c r="C208" s="2181"/>
      <c r="D208" s="2181"/>
      <c r="E208" s="2181"/>
      <c r="F208" s="2181"/>
      <c r="G208" s="2181"/>
      <c r="H208" s="2182"/>
    </row>
    <row r="209" spans="2:8" ht="18" customHeight="1" outlineLevel="1">
      <c r="B209" s="2180" t="s">
        <v>5578</v>
      </c>
      <c r="C209" s="2181"/>
      <c r="D209" s="2181"/>
      <c r="E209" s="2181"/>
      <c r="F209" s="2181"/>
      <c r="G209" s="2181"/>
      <c r="H209" s="2182"/>
    </row>
    <row r="210" spans="2:8" ht="48" customHeight="1" outlineLevel="1">
      <c r="B210" s="2165" t="s">
        <v>5579</v>
      </c>
      <c r="C210" s="2205"/>
      <c r="D210" s="2205"/>
      <c r="E210" s="2205"/>
      <c r="F210" s="2205"/>
      <c r="G210" s="2205"/>
      <c r="H210" s="2167"/>
    </row>
    <row r="211" spans="2:8" ht="18" customHeight="1" outlineLevel="1">
      <c r="B211" s="177"/>
      <c r="C211" s="1935"/>
      <c r="D211" s="1935"/>
      <c r="E211" s="1935"/>
      <c r="F211" s="1935"/>
      <c r="G211" s="1935"/>
      <c r="H211" s="1918"/>
    </row>
    <row r="212" spans="2:8" outlineLevel="1">
      <c r="B212" s="2199" t="s">
        <v>5580</v>
      </c>
      <c r="C212" s="2200"/>
      <c r="D212" s="2200"/>
      <c r="E212" s="2200"/>
      <c r="F212" s="2200"/>
      <c r="G212" s="2200"/>
      <c r="H212" s="2201"/>
    </row>
    <row r="213" spans="2:8" ht="18" customHeight="1" outlineLevel="1">
      <c r="B213" s="2180" t="s">
        <v>5581</v>
      </c>
      <c r="C213" s="2181"/>
      <c r="D213" s="2181"/>
      <c r="E213" s="2181"/>
      <c r="F213" s="2181"/>
      <c r="G213" s="2181"/>
      <c r="H213" s="2182"/>
    </row>
    <row r="214" spans="2:8" ht="18" customHeight="1" outlineLevel="1">
      <c r="B214" s="2180" t="s">
        <v>5582</v>
      </c>
      <c r="C214" s="2181"/>
      <c r="D214" s="2181"/>
      <c r="E214" s="2181"/>
      <c r="F214" s="2181"/>
      <c r="G214" s="2181"/>
      <c r="H214" s="2182"/>
    </row>
    <row r="215" spans="2:8" ht="18" customHeight="1" outlineLevel="1">
      <c r="B215" s="2180" t="s">
        <v>320</v>
      </c>
      <c r="C215" s="2181"/>
      <c r="D215" s="2181"/>
      <c r="E215" s="2181"/>
      <c r="F215" s="2181"/>
      <c r="G215" s="2181"/>
      <c r="H215" s="2182"/>
    </row>
    <row r="216" spans="2:8" ht="18" customHeight="1" outlineLevel="1">
      <c r="B216" s="2202" t="s">
        <v>5583</v>
      </c>
      <c r="C216" s="2203"/>
      <c r="D216" s="2203"/>
      <c r="E216" s="2203"/>
      <c r="F216" s="2203"/>
      <c r="G216" s="2203"/>
      <c r="H216" s="2204"/>
    </row>
    <row r="217" spans="2:8" ht="18" customHeight="1" outlineLevel="1">
      <c r="B217" s="2202" t="s">
        <v>5584</v>
      </c>
      <c r="C217" s="2203"/>
      <c r="D217" s="2203"/>
      <c r="E217" s="2203"/>
      <c r="F217" s="2203"/>
      <c r="G217" s="2203"/>
      <c r="H217" s="2204"/>
    </row>
    <row r="218" spans="2:8" ht="18" customHeight="1" outlineLevel="1">
      <c r="B218" s="2202" t="s">
        <v>328</v>
      </c>
      <c r="C218" s="2203"/>
      <c r="D218" s="2203"/>
      <c r="E218" s="2203"/>
      <c r="F218" s="2203"/>
      <c r="G218" s="2203"/>
      <c r="H218" s="2204"/>
    </row>
    <row r="219" spans="2:8" ht="18" customHeight="1" outlineLevel="1">
      <c r="B219" s="2180" t="s">
        <v>326</v>
      </c>
      <c r="C219" s="2181"/>
      <c r="D219" s="2181"/>
      <c r="E219" s="2181"/>
      <c r="F219" s="2181"/>
      <c r="G219" s="2181"/>
      <c r="H219" s="2182"/>
    </row>
    <row r="220" spans="2:8" ht="18" customHeight="1" outlineLevel="1">
      <c r="B220" s="2202" t="s">
        <v>321</v>
      </c>
      <c r="C220" s="2203"/>
      <c r="D220" s="2203"/>
      <c r="E220" s="2203"/>
      <c r="F220" s="2203"/>
      <c r="G220" s="2203"/>
      <c r="H220" s="2204"/>
    </row>
    <row r="221" spans="2:8" ht="18" customHeight="1" outlineLevel="1">
      <c r="B221" s="2202" t="s">
        <v>322</v>
      </c>
      <c r="C221" s="2203"/>
      <c r="D221" s="2203"/>
      <c r="E221" s="2203"/>
      <c r="F221" s="2203"/>
      <c r="G221" s="2203"/>
      <c r="H221" s="2204"/>
    </row>
    <row r="222" spans="2:8" ht="18" customHeight="1" outlineLevel="1">
      <c r="B222" s="1936" t="s">
        <v>323</v>
      </c>
      <c r="C222" s="1937"/>
      <c r="D222" s="1937"/>
      <c r="E222" s="1937"/>
      <c r="F222" s="1937"/>
      <c r="G222" s="1937"/>
      <c r="H222" s="1938"/>
    </row>
    <row r="223" spans="2:8" ht="18" customHeight="1" outlineLevel="1">
      <c r="B223" s="2202" t="s">
        <v>327</v>
      </c>
      <c r="C223" s="2203"/>
      <c r="D223" s="2203"/>
      <c r="E223" s="2203"/>
      <c r="F223" s="2203"/>
      <c r="G223" s="2203"/>
      <c r="H223" s="2204"/>
    </row>
    <row r="224" spans="2:8" ht="18" customHeight="1" outlineLevel="1">
      <c r="B224" s="2212"/>
      <c r="C224" s="2213"/>
      <c r="D224" s="2213"/>
      <c r="E224" s="2213"/>
      <c r="F224" s="2213"/>
      <c r="G224" s="2213"/>
      <c r="H224" s="2214"/>
    </row>
    <row r="225" spans="2:8" ht="18" customHeight="1" outlineLevel="1">
      <c r="B225" s="1764"/>
      <c r="C225" s="1764"/>
      <c r="D225" s="1764"/>
      <c r="E225" s="1764"/>
      <c r="F225" s="1764"/>
      <c r="G225" s="1764"/>
      <c r="H225" s="1764"/>
    </row>
    <row r="226" spans="2:8" ht="18" customHeight="1">
      <c r="B226" s="1764"/>
      <c r="C226" s="1764"/>
      <c r="D226" s="1764"/>
      <c r="E226" s="1764"/>
      <c r="F226" s="1764"/>
      <c r="G226" s="1764"/>
      <c r="H226" s="1764"/>
    </row>
    <row r="227" spans="2:8" ht="18" customHeight="1">
      <c r="B227" s="2187" t="s">
        <v>5585</v>
      </c>
      <c r="C227" s="2188"/>
      <c r="D227" s="2188"/>
      <c r="E227" s="2188"/>
      <c r="F227" s="2188"/>
      <c r="G227" s="2188"/>
      <c r="H227" s="2189"/>
    </row>
    <row r="228" spans="2:8" outlineLevel="1">
      <c r="B228" s="1939"/>
      <c r="C228" s="1940"/>
      <c r="D228" s="1940"/>
      <c r="E228" s="1940"/>
      <c r="F228" s="1940"/>
      <c r="G228" s="1940"/>
      <c r="H228" s="1941"/>
    </row>
    <row r="229" spans="2:8" outlineLevel="1">
      <c r="B229" s="2199" t="s">
        <v>5586</v>
      </c>
      <c r="C229" s="2200"/>
      <c r="D229" s="2200"/>
      <c r="E229" s="2200"/>
      <c r="F229" s="2200"/>
      <c r="G229" s="2200"/>
      <c r="H229" s="2201"/>
    </row>
    <row r="230" spans="2:8" ht="52.5" customHeight="1" outlineLevel="1">
      <c r="B230" s="2165" t="s">
        <v>5587</v>
      </c>
      <c r="C230" s="2205"/>
      <c r="D230" s="2205"/>
      <c r="E230" s="2205"/>
      <c r="F230" s="2205"/>
      <c r="G230" s="2205"/>
      <c r="H230" s="2167"/>
    </row>
    <row r="231" spans="2:8" ht="47.25" customHeight="1" outlineLevel="1">
      <c r="B231" s="2165" t="s">
        <v>5588</v>
      </c>
      <c r="C231" s="2205"/>
      <c r="D231" s="2205"/>
      <c r="E231" s="2205"/>
      <c r="F231" s="2205"/>
      <c r="G231" s="2205"/>
      <c r="H231" s="2167"/>
    </row>
    <row r="232" spans="2:8" ht="46.5" customHeight="1" outlineLevel="1">
      <c r="B232" s="2165" t="s">
        <v>5589</v>
      </c>
      <c r="C232" s="2205"/>
      <c r="D232" s="2205"/>
      <c r="E232" s="2205"/>
      <c r="F232" s="2205"/>
      <c r="G232" s="2205"/>
      <c r="H232" s="2167"/>
    </row>
    <row r="233" spans="2:8" ht="45.75" customHeight="1" outlineLevel="1">
      <c r="B233" s="2165" t="s">
        <v>5590</v>
      </c>
      <c r="C233" s="2205"/>
      <c r="D233" s="2205"/>
      <c r="E233" s="2205"/>
      <c r="F233" s="2205"/>
      <c r="G233" s="2205"/>
      <c r="H233" s="2167"/>
    </row>
    <row r="234" spans="2:8" ht="50.25" customHeight="1" outlineLevel="1">
      <c r="B234" s="2165" t="s">
        <v>5591</v>
      </c>
      <c r="C234" s="2205"/>
      <c r="D234" s="2205"/>
      <c r="E234" s="2205"/>
      <c r="F234" s="2205"/>
      <c r="G234" s="2205"/>
      <c r="H234" s="2167"/>
    </row>
    <row r="235" spans="2:8" ht="18" customHeight="1" outlineLevel="1">
      <c r="B235" s="2180"/>
      <c r="C235" s="2181"/>
      <c r="D235" s="2181"/>
      <c r="E235" s="2181"/>
      <c r="F235" s="2181"/>
      <c r="G235" s="2181"/>
      <c r="H235" s="2182"/>
    </row>
    <row r="236" spans="2:8" ht="18" customHeight="1" outlineLevel="1">
      <c r="B236" s="2180"/>
      <c r="C236" s="2181"/>
      <c r="D236" s="2181"/>
      <c r="E236" s="2181"/>
      <c r="F236" s="2181"/>
      <c r="G236" s="2181"/>
      <c r="H236" s="2182"/>
    </row>
    <row r="237" spans="2:8" ht="18" customHeight="1" outlineLevel="1">
      <c r="B237" s="2180"/>
      <c r="C237" s="2181"/>
      <c r="D237" s="2181"/>
      <c r="E237" s="2181"/>
      <c r="F237" s="2181"/>
      <c r="G237" s="2181"/>
      <c r="H237" s="2182"/>
    </row>
    <row r="238" spans="2:8" ht="28.5" customHeight="1" outlineLevel="1">
      <c r="B238" s="53"/>
      <c r="C238" s="1393"/>
      <c r="D238" s="1393"/>
      <c r="E238" s="1393"/>
      <c r="F238" s="1393"/>
      <c r="G238" s="1393"/>
      <c r="H238" s="3"/>
    </row>
    <row r="239" spans="2:8" ht="28.5" customHeight="1" outlineLevel="1">
      <c r="B239" s="53"/>
      <c r="C239" s="1393"/>
      <c r="D239" s="1393"/>
      <c r="E239" s="1393"/>
      <c r="F239" s="1393"/>
      <c r="G239" s="1393"/>
      <c r="H239" s="3"/>
    </row>
    <row r="240" spans="2:8" ht="28.5" customHeight="1" outlineLevel="1">
      <c r="B240" s="53"/>
      <c r="C240" s="1393"/>
      <c r="D240" s="1393"/>
      <c r="E240" s="1393"/>
      <c r="F240" s="1393"/>
      <c r="G240" s="1393"/>
      <c r="H240" s="1942"/>
    </row>
    <row r="241" spans="2:8" ht="28.5" customHeight="1" outlineLevel="1">
      <c r="B241" s="53"/>
      <c r="C241" s="1393"/>
      <c r="D241" s="1393"/>
      <c r="E241" s="1393"/>
      <c r="F241" s="1393"/>
      <c r="G241" s="1393"/>
      <c r="H241" s="1942"/>
    </row>
    <row r="242" spans="2:8" ht="60.75" customHeight="1" outlineLevel="1">
      <c r="B242" s="53"/>
      <c r="C242" s="1393"/>
      <c r="D242" s="1393"/>
      <c r="E242" s="1393"/>
      <c r="F242" s="1393"/>
      <c r="G242" s="2206" t="s">
        <v>5592</v>
      </c>
      <c r="H242" s="2207"/>
    </row>
    <row r="243" spans="2:8" ht="60.75" customHeight="1" outlineLevel="1">
      <c r="B243" s="53"/>
      <c r="C243" s="1393"/>
      <c r="D243" s="1393"/>
      <c r="E243" s="1393"/>
      <c r="F243" s="1393"/>
      <c r="G243" s="2208"/>
      <c r="H243" s="2209"/>
    </row>
    <row r="244" spans="2:8" ht="60.75" customHeight="1" outlineLevel="1">
      <c r="B244" s="176"/>
      <c r="C244" s="1943"/>
      <c r="D244" s="1943"/>
      <c r="E244" s="1943"/>
      <c r="F244" s="1943"/>
      <c r="G244" s="2210"/>
      <c r="H244" s="2211"/>
    </row>
    <row r="245" spans="2:8" ht="60.75" customHeight="1" outlineLevel="1">
      <c r="B245" s="176"/>
      <c r="C245" s="1943"/>
      <c r="D245" s="1943"/>
      <c r="E245" s="1943"/>
      <c r="F245" s="1943"/>
      <c r="G245" s="1944"/>
      <c r="H245" s="1942"/>
    </row>
    <row r="246" spans="2:8" ht="60.75" customHeight="1" outlineLevel="1">
      <c r="B246" s="176"/>
      <c r="C246" s="1943"/>
      <c r="D246" s="1943"/>
      <c r="E246" s="1943"/>
      <c r="F246" s="1943"/>
      <c r="G246" s="1943"/>
      <c r="H246" s="1945"/>
    </row>
    <row r="247" spans="2:8" ht="47.25" customHeight="1" outlineLevel="1">
      <c r="B247" s="176"/>
      <c r="C247" s="1943"/>
      <c r="D247" s="1943"/>
      <c r="E247" s="1943"/>
      <c r="F247" s="1943"/>
      <c r="G247" s="1943"/>
      <c r="H247" s="1945"/>
    </row>
    <row r="248" spans="2:8" ht="18" customHeight="1" outlineLevel="1">
      <c r="B248" s="176"/>
      <c r="C248" s="1943"/>
      <c r="D248" s="1943"/>
      <c r="E248" s="1943"/>
      <c r="F248" s="1943"/>
      <c r="G248" s="1943"/>
      <c r="H248" s="1945"/>
    </row>
    <row r="249" spans="2:8" ht="18" customHeight="1" outlineLevel="1">
      <c r="B249" s="176"/>
      <c r="C249" s="1943"/>
      <c r="D249" s="1943"/>
      <c r="E249" s="1943"/>
      <c r="F249" s="1943"/>
      <c r="G249" s="1943"/>
      <c r="H249" s="1945"/>
    </row>
    <row r="250" spans="2:8" ht="18" customHeight="1" outlineLevel="1">
      <c r="B250" s="176"/>
      <c r="C250" s="1943"/>
      <c r="D250" s="1943"/>
      <c r="E250" s="1943"/>
      <c r="F250" s="1943"/>
      <c r="G250" s="1943"/>
      <c r="H250" s="1945"/>
    </row>
    <row r="251" spans="2:8" ht="18" customHeight="1" outlineLevel="1">
      <c r="B251" s="176"/>
      <c r="C251" s="1943"/>
      <c r="D251" s="1943"/>
      <c r="E251" s="1943"/>
      <c r="F251" s="1943"/>
      <c r="G251" s="1943"/>
      <c r="H251" s="1945"/>
    </row>
    <row r="252" spans="2:8" ht="18" customHeight="1" outlineLevel="1">
      <c r="B252" s="176"/>
      <c r="C252" s="1943"/>
      <c r="D252" s="1943"/>
      <c r="E252" s="1943"/>
      <c r="F252" s="1943"/>
      <c r="G252" s="1943"/>
      <c r="H252" s="1945"/>
    </row>
    <row r="253" spans="2:8" ht="18" customHeight="1" outlineLevel="1">
      <c r="B253" s="176"/>
      <c r="C253" s="1943"/>
      <c r="D253" s="1943"/>
      <c r="E253" s="1943"/>
      <c r="F253" s="1943"/>
      <c r="G253" s="2215" t="s">
        <v>5593</v>
      </c>
      <c r="H253" s="2216"/>
    </row>
    <row r="254" spans="2:8" ht="21" customHeight="1" outlineLevel="1">
      <c r="B254" s="176"/>
      <c r="C254" s="1943"/>
      <c r="D254" s="1943"/>
      <c r="E254" s="1943"/>
      <c r="F254" s="1943"/>
      <c r="G254" s="2217"/>
      <c r="H254" s="2218"/>
    </row>
    <row r="255" spans="2:8" ht="18" customHeight="1" outlineLevel="1">
      <c r="B255" s="176"/>
      <c r="C255" s="1943"/>
      <c r="D255" s="1943"/>
      <c r="E255" s="1943"/>
      <c r="F255" s="1943"/>
      <c r="G255" s="2219"/>
      <c r="H255" s="2220"/>
    </row>
    <row r="256" spans="2:8" ht="18" customHeight="1" outlineLevel="1">
      <c r="B256" s="176"/>
      <c r="C256" s="1943"/>
      <c r="D256" s="1943"/>
      <c r="E256" s="1943"/>
      <c r="F256" s="1943"/>
      <c r="G256" s="1946"/>
      <c r="H256" s="1947"/>
    </row>
    <row r="257" spans="2:8" ht="18" customHeight="1" outlineLevel="1">
      <c r="B257" s="176"/>
      <c r="C257" s="1943"/>
      <c r="D257" s="1943"/>
      <c r="E257" s="1943"/>
      <c r="F257" s="1943"/>
      <c r="G257" s="1943"/>
      <c r="H257" s="1945"/>
    </row>
    <row r="258" spans="2:8" ht="18" customHeight="1" outlineLevel="1">
      <c r="B258" s="176"/>
      <c r="C258" s="1943"/>
      <c r="D258" s="1943"/>
      <c r="E258" s="1943"/>
      <c r="F258" s="1943"/>
      <c r="G258" s="1943"/>
      <c r="H258" s="1945"/>
    </row>
    <row r="259" spans="2:8" ht="18" customHeight="1" outlineLevel="1">
      <c r="B259" s="176"/>
      <c r="C259" s="1943"/>
      <c r="D259" s="1943"/>
      <c r="E259" s="1943"/>
      <c r="F259" s="1943"/>
      <c r="G259" s="1943"/>
      <c r="H259" s="1945"/>
    </row>
    <row r="260" spans="2:8" ht="18" customHeight="1" outlineLevel="1">
      <c r="B260" s="176"/>
      <c r="C260" s="1943"/>
      <c r="D260" s="1943"/>
      <c r="E260" s="1943"/>
      <c r="F260" s="1943"/>
      <c r="G260" s="2215" t="s">
        <v>5594</v>
      </c>
      <c r="H260" s="2216"/>
    </row>
    <row r="261" spans="2:8" ht="18" customHeight="1" outlineLevel="1">
      <c r="B261" s="176"/>
      <c r="C261" s="1943"/>
      <c r="D261" s="1943"/>
      <c r="E261" s="1943"/>
      <c r="F261" s="1943"/>
      <c r="G261" s="2219"/>
      <c r="H261" s="2220"/>
    </row>
    <row r="262" spans="2:8" ht="18" customHeight="1" outlineLevel="1">
      <c r="B262" s="176"/>
      <c r="C262" s="1943"/>
      <c r="D262" s="1943"/>
      <c r="E262" s="1943"/>
      <c r="F262" s="1943"/>
      <c r="G262" s="1943"/>
      <c r="H262" s="1945"/>
    </row>
    <row r="263" spans="2:8" ht="18" customHeight="1" outlineLevel="1">
      <c r="B263" s="176"/>
      <c r="C263" s="1943"/>
      <c r="D263" s="1943"/>
      <c r="E263" s="1943"/>
      <c r="F263" s="1943"/>
      <c r="G263" s="1943"/>
      <c r="H263" s="1945"/>
    </row>
    <row r="264" spans="2:8" ht="18" customHeight="1" outlineLevel="1">
      <c r="B264" s="176"/>
      <c r="C264" s="1943"/>
      <c r="D264" s="1943"/>
      <c r="E264" s="1943"/>
      <c r="F264" s="1943"/>
      <c r="G264" s="1943"/>
      <c r="H264" s="1945"/>
    </row>
    <row r="265" spans="2:8" ht="18" customHeight="1" outlineLevel="1">
      <c r="B265" s="176"/>
      <c r="C265" s="1943"/>
      <c r="D265" s="1943"/>
      <c r="E265" s="1943"/>
      <c r="F265" s="1943"/>
      <c r="G265" s="1943"/>
      <c r="H265" s="1945"/>
    </row>
    <row r="266" spans="2:8" ht="18" customHeight="1" outlineLevel="1">
      <c r="B266" s="176"/>
      <c r="C266" s="1943"/>
      <c r="D266" s="1943"/>
      <c r="E266" s="1943"/>
      <c r="F266" s="1943"/>
      <c r="G266" s="1943"/>
      <c r="H266" s="1945"/>
    </row>
    <row r="267" spans="2:8" ht="18" customHeight="1" outlineLevel="1">
      <c r="B267" s="176"/>
      <c r="C267" s="1943"/>
      <c r="D267" s="1943"/>
      <c r="E267" s="1943"/>
      <c r="F267" s="1943"/>
      <c r="G267" s="1943"/>
      <c r="H267" s="1945"/>
    </row>
    <row r="268" spans="2:8" ht="18" customHeight="1" outlineLevel="1">
      <c r="B268" s="176"/>
      <c r="C268" s="1943"/>
      <c r="D268" s="1943"/>
      <c r="E268" s="1943"/>
      <c r="F268" s="1943"/>
      <c r="G268" s="2206" t="s">
        <v>5409</v>
      </c>
      <c r="H268" s="2207"/>
    </row>
    <row r="269" spans="2:8" ht="18" customHeight="1" outlineLevel="1">
      <c r="B269" s="176"/>
      <c r="C269" s="1943"/>
      <c r="D269" s="1943"/>
      <c r="E269" s="1943"/>
      <c r="F269" s="1943"/>
      <c r="G269" s="2208"/>
      <c r="H269" s="2209"/>
    </row>
    <row r="270" spans="2:8" ht="18" customHeight="1" outlineLevel="1">
      <c r="B270" s="176"/>
      <c r="C270" s="1943"/>
      <c r="D270" s="1943"/>
      <c r="E270" s="1943"/>
      <c r="F270" s="1943"/>
      <c r="G270" s="2210"/>
      <c r="H270" s="2211"/>
    </row>
    <row r="271" spans="2:8" ht="18" customHeight="1" outlineLevel="1">
      <c r="B271" s="2180"/>
      <c r="C271" s="2181"/>
      <c r="D271" s="2181"/>
      <c r="E271" s="2181"/>
      <c r="F271" s="2181"/>
      <c r="G271" s="2181"/>
      <c r="H271" s="2182"/>
    </row>
    <row r="272" spans="2:8" ht="18" customHeight="1" outlineLevel="1">
      <c r="B272" s="2180"/>
      <c r="C272" s="2181"/>
      <c r="D272" s="2181"/>
      <c r="E272" s="2181"/>
      <c r="F272" s="2181"/>
      <c r="G272" s="2181"/>
      <c r="H272" s="2182"/>
    </row>
    <row r="273" spans="2:8" ht="18" customHeight="1" outlineLevel="1">
      <c r="B273" s="2180"/>
      <c r="C273" s="2181"/>
      <c r="D273" s="2181"/>
      <c r="E273" s="2181"/>
      <c r="F273" s="2181"/>
      <c r="G273" s="2181"/>
      <c r="H273" s="2182"/>
    </row>
    <row r="274" spans="2:8" ht="18" customHeight="1" outlineLevel="1">
      <c r="B274" s="2180"/>
      <c r="C274" s="2181"/>
      <c r="D274" s="2181"/>
      <c r="E274" s="2181"/>
      <c r="F274" s="2181"/>
      <c r="G274" s="2181"/>
      <c r="H274" s="2182"/>
    </row>
    <row r="275" spans="2:8" ht="18" customHeight="1" outlineLevel="1">
      <c r="B275" s="2180"/>
      <c r="C275" s="2181"/>
      <c r="D275" s="2181"/>
      <c r="E275" s="2181"/>
      <c r="F275" s="2181"/>
      <c r="G275" s="2181"/>
      <c r="H275" s="2182"/>
    </row>
    <row r="276" spans="2:8" ht="18" customHeight="1" outlineLevel="1">
      <c r="B276" s="2221"/>
      <c r="C276" s="2222"/>
      <c r="D276" s="2222"/>
      <c r="E276" s="2222"/>
      <c r="F276" s="2222"/>
      <c r="G276" s="2222"/>
      <c r="H276" s="2223"/>
    </row>
    <row r="278" spans="2:8" ht="18.45">
      <c r="B278" s="2187" t="s">
        <v>5595</v>
      </c>
      <c r="C278" s="2188"/>
      <c r="D278" s="2188"/>
      <c r="E278" s="2188"/>
      <c r="F278" s="2188"/>
      <c r="G278" s="2188"/>
      <c r="H278" s="2189"/>
    </row>
    <row r="279" spans="2:8" ht="59.25" customHeight="1">
      <c r="B279" s="2224" t="s">
        <v>5596</v>
      </c>
      <c r="C279" s="2224"/>
      <c r="D279" s="2224"/>
      <c r="E279" s="2224"/>
      <c r="F279" s="2224"/>
      <c r="G279" s="2224"/>
      <c r="H279" s="2224"/>
    </row>
    <row r="280" spans="2:8" ht="15.65" customHeight="1">
      <c r="B280" s="2169"/>
      <c r="C280" s="2169"/>
      <c r="D280" s="2169"/>
      <c r="E280" s="2169"/>
      <c r="F280" s="2169"/>
      <c r="G280" s="2169"/>
      <c r="H280" s="2169"/>
    </row>
    <row r="281" spans="2:8" ht="15.65" customHeight="1">
      <c r="B281" s="2225" t="s">
        <v>329</v>
      </c>
      <c r="C281" s="2226"/>
      <c r="D281" s="2226"/>
      <c r="E281" s="2226"/>
      <c r="F281" s="2226"/>
      <c r="G281" s="2226"/>
      <c r="H281" s="2226"/>
    </row>
    <row r="282" spans="2:8" ht="30.65" customHeight="1">
      <c r="B282" s="2166" t="s">
        <v>5410</v>
      </c>
      <c r="C282" s="2166"/>
      <c r="D282" s="2166"/>
      <c r="E282" s="2166"/>
      <c r="F282" s="2166"/>
      <c r="G282" s="2166"/>
      <c r="H282" s="2166"/>
    </row>
    <row r="283" spans="2:8" ht="30.65" customHeight="1">
      <c r="B283" s="2166" t="s">
        <v>5411</v>
      </c>
      <c r="C283" s="2166"/>
      <c r="D283" s="2166"/>
      <c r="E283" s="2166"/>
      <c r="F283" s="2166"/>
      <c r="G283" s="2166"/>
      <c r="H283" s="2166"/>
    </row>
    <row r="284" spans="2:8" ht="33.65" customHeight="1">
      <c r="B284" s="2166" t="s">
        <v>330</v>
      </c>
      <c r="C284" s="2166"/>
      <c r="D284" s="2166"/>
      <c r="E284" s="2166"/>
      <c r="F284" s="2166"/>
      <c r="G284" s="2166"/>
      <c r="H284" s="2166"/>
    </row>
    <row r="285" spans="2:8" ht="15.65" customHeight="1">
      <c r="B285" s="2169"/>
      <c r="C285" s="2169"/>
      <c r="D285" s="2169"/>
      <c r="E285" s="2169"/>
      <c r="F285" s="2169"/>
      <c r="G285" s="2169"/>
      <c r="H285" s="2169"/>
    </row>
    <row r="286" spans="2:8" ht="25.5" customHeight="1">
      <c r="B286" s="2227" t="s">
        <v>5412</v>
      </c>
      <c r="C286" s="2228"/>
      <c r="D286" s="2228"/>
      <c r="E286" s="2228"/>
      <c r="F286" s="2228"/>
      <c r="G286" s="2228"/>
      <c r="H286" s="2228"/>
    </row>
    <row r="287" spans="2:8" ht="49.5" customHeight="1">
      <c r="B287" s="2229" t="s">
        <v>5413</v>
      </c>
      <c r="C287" s="2229"/>
      <c r="D287" s="2229"/>
      <c r="E287" s="2229"/>
      <c r="F287" s="2229"/>
      <c r="G287" s="2229"/>
      <c r="H287" s="2229"/>
    </row>
    <row r="288" spans="2:8" ht="49" customHeight="1">
      <c r="B288" s="2229" t="s">
        <v>5414</v>
      </c>
      <c r="C288" s="2229"/>
      <c r="D288" s="2229"/>
      <c r="E288" s="2229"/>
      <c r="F288" s="2229"/>
      <c r="G288" s="2229"/>
      <c r="H288" s="2229"/>
    </row>
    <row r="289" spans="1:8" ht="33.75" customHeight="1">
      <c r="B289" s="2229" t="s">
        <v>5415</v>
      </c>
      <c r="C289" s="2229"/>
      <c r="D289" s="2229"/>
      <c r="E289" s="2229"/>
      <c r="F289" s="2229"/>
      <c r="G289" s="2229"/>
      <c r="H289" s="2229"/>
    </row>
    <row r="290" spans="1:8" ht="47.15" customHeight="1">
      <c r="B290" s="2229" t="s">
        <v>5416</v>
      </c>
      <c r="C290" s="2229"/>
      <c r="D290" s="2229"/>
      <c r="E290" s="2229"/>
      <c r="F290" s="2229"/>
      <c r="G290" s="2229"/>
      <c r="H290" s="2229"/>
    </row>
    <row r="291" spans="1:8" ht="37.5" customHeight="1">
      <c r="B291" s="2229" t="s">
        <v>5417</v>
      </c>
      <c r="C291" s="2229"/>
      <c r="D291" s="2229"/>
      <c r="E291" s="2229"/>
      <c r="F291" s="2229"/>
      <c r="G291" s="2229"/>
      <c r="H291" s="2229"/>
    </row>
    <row r="292" spans="1:8" ht="7.4" customHeight="1">
      <c r="B292" s="2169"/>
      <c r="C292" s="2169"/>
      <c r="D292" s="2169"/>
      <c r="E292" s="2169"/>
      <c r="F292" s="2169"/>
      <c r="G292" s="2169"/>
      <c r="H292" s="2169"/>
    </row>
    <row r="293" spans="1:8" ht="9" customHeight="1">
      <c r="B293" s="2169"/>
      <c r="C293" s="2169"/>
      <c r="D293" s="2169"/>
      <c r="E293" s="2169"/>
      <c r="F293" s="2169"/>
      <c r="G293" s="2169"/>
      <c r="H293" s="2169"/>
    </row>
    <row r="294" spans="1:8">
      <c r="A294" s="2186" t="s">
        <v>5408</v>
      </c>
      <c r="B294" s="2186"/>
      <c r="C294" s="2186"/>
    </row>
    <row r="295" spans="1:8">
      <c r="A295" s="1912"/>
      <c r="B295" s="1912"/>
      <c r="C295" s="1912"/>
    </row>
    <row r="296" spans="1:8">
      <c r="A296" s="1912"/>
      <c r="B296" s="1912"/>
      <c r="C296" s="1912"/>
    </row>
    <row r="297" spans="1:8" ht="18.45">
      <c r="B297" s="2233" t="s">
        <v>5597</v>
      </c>
      <c r="C297" s="2234"/>
      <c r="D297" s="2234"/>
      <c r="E297" s="2234"/>
      <c r="F297" s="2234"/>
      <c r="G297" s="2234"/>
      <c r="H297" s="2235"/>
    </row>
    <row r="298" spans="1:8" ht="15" customHeight="1" outlineLevel="1">
      <c r="B298" s="2236" t="s">
        <v>5598</v>
      </c>
      <c r="C298" s="2237"/>
      <c r="D298" s="2237"/>
      <c r="E298" s="2237"/>
      <c r="F298" s="2237"/>
      <c r="G298" s="2237"/>
      <c r="H298" s="2238"/>
    </row>
    <row r="299" spans="1:8" ht="19.5" customHeight="1" outlineLevel="1">
      <c r="B299" s="1948"/>
      <c r="C299" s="1949"/>
      <c r="D299" s="1949"/>
      <c r="E299" s="1949"/>
      <c r="F299" s="1949"/>
      <c r="G299" s="1949"/>
      <c r="H299" s="1950"/>
    </row>
    <row r="300" spans="1:8" ht="19.5" customHeight="1" outlineLevel="1">
      <c r="B300" s="1948"/>
      <c r="C300" s="1949"/>
      <c r="D300" s="1949"/>
      <c r="E300" s="1949"/>
      <c r="F300" s="1949"/>
      <c r="G300" s="1949"/>
      <c r="H300" s="1950"/>
    </row>
    <row r="301" spans="1:8" ht="19.5" customHeight="1" outlineLevel="1">
      <c r="B301" s="1948"/>
      <c r="C301" s="1949"/>
      <c r="D301" s="1949"/>
      <c r="E301" s="1949"/>
      <c r="F301" s="1949"/>
      <c r="G301" s="1949"/>
      <c r="H301" s="1950"/>
    </row>
    <row r="302" spans="1:8" ht="19.5" customHeight="1" outlineLevel="1">
      <c r="B302" s="1948"/>
      <c r="C302" s="1949"/>
      <c r="D302" s="1949"/>
      <c r="E302" s="1949"/>
      <c r="F302" s="1949"/>
      <c r="G302" s="1949"/>
      <c r="H302" s="1950"/>
    </row>
    <row r="303" spans="1:8" ht="19.5" customHeight="1" outlineLevel="1">
      <c r="B303" s="1948"/>
      <c r="C303" s="1949"/>
      <c r="D303" s="1949"/>
      <c r="E303" s="1949"/>
      <c r="F303" s="1949"/>
      <c r="G303" s="1949"/>
      <c r="H303" s="1950"/>
    </row>
    <row r="304" spans="1:8" ht="69.75" customHeight="1" outlineLevel="1">
      <c r="B304" s="1948"/>
      <c r="C304" s="1949"/>
      <c r="D304" s="1949"/>
      <c r="E304" s="1949"/>
      <c r="F304" s="1949"/>
      <c r="G304" s="1949"/>
      <c r="H304" s="1950"/>
    </row>
    <row r="305" spans="2:8" ht="69.75" customHeight="1" outlineLevel="1">
      <c r="B305" s="1948"/>
      <c r="C305" s="1949"/>
      <c r="D305" s="1949"/>
      <c r="E305" s="1949"/>
      <c r="F305" s="1949"/>
      <c r="G305" s="1949"/>
      <c r="H305" s="1950"/>
    </row>
    <row r="306" spans="2:8" ht="69.75" customHeight="1" outlineLevel="1">
      <c r="B306" s="1948"/>
      <c r="C306" s="1949"/>
      <c r="D306" s="1949"/>
      <c r="E306" s="1949"/>
      <c r="F306" s="1949"/>
      <c r="G306" s="1949"/>
      <c r="H306" s="1950"/>
    </row>
    <row r="307" spans="2:8" ht="32.25" customHeight="1" outlineLevel="1">
      <c r="B307" s="1948"/>
      <c r="C307" s="1949"/>
      <c r="D307" s="1949"/>
      <c r="E307" s="1949"/>
      <c r="F307" s="1949"/>
      <c r="G307" s="1949"/>
      <c r="H307" s="1950"/>
    </row>
    <row r="308" spans="2:8" ht="15.75" customHeight="1" outlineLevel="1">
      <c r="B308" s="1948"/>
      <c r="C308" s="1949"/>
      <c r="D308" s="1949"/>
      <c r="E308" s="1949"/>
      <c r="F308" s="1949"/>
      <c r="G308" s="1949"/>
      <c r="H308" s="1950"/>
    </row>
    <row r="309" spans="2:8" ht="15.75" customHeight="1" outlineLevel="1">
      <c r="B309" s="1948"/>
      <c r="C309" s="1949"/>
      <c r="D309" s="1949"/>
      <c r="E309" s="1949"/>
      <c r="F309" s="1949"/>
      <c r="G309" s="1949"/>
      <c r="H309" s="1950"/>
    </row>
    <row r="310" spans="2:8" ht="15.75" customHeight="1" outlineLevel="1">
      <c r="B310" s="1948"/>
      <c r="C310" s="1949"/>
      <c r="D310" s="1949"/>
      <c r="E310" s="1949"/>
      <c r="F310" s="1949"/>
      <c r="G310" s="1949"/>
      <c r="H310" s="1950"/>
    </row>
    <row r="311" spans="2:8" ht="15.75" customHeight="1" outlineLevel="1">
      <c r="B311" s="1948"/>
      <c r="C311" s="1949"/>
      <c r="D311" s="1949"/>
      <c r="E311" s="1949"/>
      <c r="F311" s="1949"/>
      <c r="G311" s="1949"/>
      <c r="H311" s="1950"/>
    </row>
    <row r="312" spans="2:8" ht="15.75" customHeight="1" outlineLevel="1">
      <c r="B312" s="1948"/>
      <c r="C312" s="1949"/>
      <c r="D312" s="1949"/>
      <c r="E312" s="1949"/>
      <c r="F312" s="1949"/>
      <c r="G312" s="1949"/>
      <c r="H312" s="1950"/>
    </row>
    <row r="313" spans="2:8" ht="15.75" customHeight="1" outlineLevel="1">
      <c r="B313" s="1948"/>
      <c r="C313" s="1949"/>
      <c r="D313" s="1949"/>
      <c r="E313" s="1949"/>
      <c r="F313" s="1949"/>
      <c r="G313" s="1949"/>
      <c r="H313" s="1950"/>
    </row>
    <row r="314" spans="2:8" ht="15.75" customHeight="1" outlineLevel="1">
      <c r="B314" s="1948"/>
      <c r="C314" s="1949"/>
      <c r="D314" s="1949"/>
      <c r="E314" s="1949"/>
      <c r="F314" s="1949"/>
      <c r="G314" s="1949"/>
      <c r="H314" s="1950"/>
    </row>
    <row r="315" spans="2:8" ht="15.75" customHeight="1" outlineLevel="1">
      <c r="B315" s="1948"/>
      <c r="C315" s="1949"/>
      <c r="D315" s="1949"/>
      <c r="E315" s="1949"/>
      <c r="F315" s="1949"/>
      <c r="G315" s="1949"/>
      <c r="H315" s="1950"/>
    </row>
    <row r="316" spans="2:8" ht="15.75" customHeight="1" outlineLevel="1">
      <c r="B316" s="1948"/>
      <c r="C316" s="1949"/>
      <c r="D316" s="1949"/>
      <c r="E316" s="1949"/>
      <c r="F316" s="1949"/>
      <c r="G316" s="1949"/>
      <c r="H316" s="1950"/>
    </row>
    <row r="317" spans="2:8" ht="15.75" customHeight="1" outlineLevel="1">
      <c r="B317" s="1951"/>
      <c r="C317" s="1952"/>
      <c r="D317" s="1952"/>
      <c r="E317" s="1952"/>
      <c r="F317" s="1952"/>
      <c r="G317" s="1952"/>
      <c r="H317" s="1953"/>
    </row>
    <row r="318" spans="2:8" ht="15.75" customHeight="1" outlineLevel="1"/>
    <row r="320" spans="2:8" ht="18.45">
      <c r="B320" s="2233" t="s">
        <v>5599</v>
      </c>
      <c r="C320" s="2234"/>
      <c r="D320" s="2234"/>
      <c r="E320" s="2234"/>
      <c r="F320" s="2234"/>
      <c r="G320" s="2234"/>
      <c r="H320" s="2235"/>
    </row>
    <row r="321" spans="2:8" outlineLevel="1">
      <c r="B321" s="2236" t="s">
        <v>5600</v>
      </c>
      <c r="C321" s="2237"/>
      <c r="D321" s="2237"/>
      <c r="E321" s="2237"/>
      <c r="F321" s="2237"/>
      <c r="G321" s="2237"/>
      <c r="H321" s="2238"/>
    </row>
    <row r="322" spans="2:8" ht="26.25" customHeight="1" outlineLevel="1">
      <c r="B322" s="1948"/>
      <c r="C322" s="1949"/>
      <c r="D322" s="1949"/>
      <c r="E322" s="1949"/>
      <c r="F322" s="1949"/>
      <c r="G322" s="1949"/>
      <c r="H322" s="1950"/>
    </row>
    <row r="323" spans="2:8" ht="26.25" customHeight="1" outlineLevel="1">
      <c r="B323" s="1948"/>
      <c r="C323" s="1949"/>
      <c r="D323" s="1949"/>
      <c r="E323" s="1949"/>
      <c r="F323" s="1949"/>
      <c r="G323" s="1949"/>
      <c r="H323" s="1950"/>
    </row>
    <row r="324" spans="2:8" ht="26.25" customHeight="1" outlineLevel="1">
      <c r="B324" s="1948"/>
      <c r="C324" s="1949"/>
      <c r="D324" s="1949"/>
      <c r="E324" s="1949"/>
      <c r="F324" s="1949"/>
      <c r="G324" s="1949"/>
      <c r="H324" s="1950"/>
    </row>
    <row r="325" spans="2:8" ht="26.25" customHeight="1" outlineLevel="1">
      <c r="B325" s="1948"/>
      <c r="C325" s="1949"/>
      <c r="D325" s="1949"/>
      <c r="E325" s="1949"/>
      <c r="F325" s="1949"/>
      <c r="G325" s="1949"/>
      <c r="H325" s="1950"/>
    </row>
    <row r="326" spans="2:8" ht="26.25" customHeight="1" outlineLevel="1">
      <c r="B326" s="1948"/>
      <c r="C326" s="1949"/>
      <c r="D326" s="1949"/>
      <c r="E326" s="1949"/>
      <c r="F326" s="1949"/>
      <c r="G326" s="1949"/>
      <c r="H326" s="1950"/>
    </row>
    <row r="327" spans="2:8" ht="26.25" customHeight="1" outlineLevel="1">
      <c r="B327" s="1948"/>
      <c r="C327" s="1949"/>
      <c r="D327" s="1949"/>
      <c r="E327" s="1949"/>
      <c r="F327" s="1949"/>
      <c r="G327" s="1949"/>
      <c r="H327" s="1950"/>
    </row>
    <row r="328" spans="2:8" ht="26.25" customHeight="1" outlineLevel="1">
      <c r="B328" s="1948"/>
      <c r="C328" s="1949"/>
      <c r="D328" s="1949"/>
      <c r="E328" s="1949"/>
      <c r="F328" s="1949"/>
      <c r="G328" s="1949"/>
      <c r="H328" s="1950"/>
    </row>
    <row r="329" spans="2:8" ht="26.25" customHeight="1" outlineLevel="1">
      <c r="B329" s="1948"/>
      <c r="C329" s="1949"/>
      <c r="D329" s="1949"/>
      <c r="E329" s="1949"/>
      <c r="F329" s="1949"/>
      <c r="G329" s="1949"/>
      <c r="H329" s="1950"/>
    </row>
    <row r="330" spans="2:8" ht="26.25" customHeight="1" outlineLevel="1">
      <c r="B330" s="1948"/>
      <c r="C330" s="1949"/>
      <c r="D330" s="1949"/>
      <c r="E330" s="1949"/>
      <c r="F330" s="1949"/>
      <c r="G330" s="1949"/>
      <c r="H330" s="1950"/>
    </row>
    <row r="331" spans="2:8" ht="26.25" customHeight="1" outlineLevel="1">
      <c r="B331" s="1948"/>
      <c r="C331" s="1949"/>
      <c r="D331" s="1949"/>
      <c r="E331" s="1949"/>
      <c r="F331" s="1949"/>
      <c r="G331" s="1949"/>
      <c r="H331" s="1950"/>
    </row>
    <row r="332" spans="2:8" ht="26.25" customHeight="1" outlineLevel="1">
      <c r="B332" s="1948"/>
      <c r="C332" s="1949"/>
      <c r="D332" s="1949"/>
      <c r="E332" s="1949"/>
      <c r="F332" s="1949"/>
      <c r="G332" s="1949"/>
      <c r="H332" s="1950"/>
    </row>
    <row r="333" spans="2:8" ht="26.25" customHeight="1" outlineLevel="1">
      <c r="B333" s="1948"/>
      <c r="C333" s="1949"/>
      <c r="D333" s="1949"/>
      <c r="E333" s="1949"/>
      <c r="F333" s="1949"/>
      <c r="G333" s="1949"/>
      <c r="H333" s="1950"/>
    </row>
    <row r="334" spans="2:8" ht="26.25" customHeight="1" outlineLevel="1">
      <c r="B334" s="1948"/>
      <c r="C334" s="1949"/>
      <c r="D334" s="1949"/>
      <c r="E334" s="1949"/>
      <c r="F334" s="1949"/>
      <c r="G334" s="1949"/>
      <c r="H334" s="1950"/>
    </row>
    <row r="335" spans="2:8" ht="26.25" customHeight="1" outlineLevel="1">
      <c r="B335" s="1948"/>
      <c r="C335" s="1949"/>
      <c r="D335" s="1949"/>
      <c r="E335" s="1949"/>
      <c r="F335" s="1949"/>
      <c r="G335" s="1949"/>
      <c r="H335" s="1950"/>
    </row>
    <row r="336" spans="2:8" ht="26.25" customHeight="1" outlineLevel="1">
      <c r="B336" s="1948"/>
      <c r="C336" s="1949"/>
      <c r="D336" s="1949"/>
      <c r="E336" s="1949"/>
      <c r="F336" s="1949"/>
      <c r="G336" s="1949"/>
      <c r="H336" s="1950"/>
    </row>
    <row r="337" spans="1:8" ht="26.25" customHeight="1" outlineLevel="1">
      <c r="B337" s="1948"/>
      <c r="C337" s="1949"/>
      <c r="D337" s="1949"/>
      <c r="E337" s="1949"/>
      <c r="F337" s="1949"/>
      <c r="G337" s="1949"/>
      <c r="H337" s="1950"/>
    </row>
    <row r="338" spans="1:8" ht="26.25" customHeight="1" outlineLevel="1">
      <c r="B338" s="1948"/>
      <c r="C338" s="1949"/>
      <c r="D338" s="1949"/>
      <c r="E338" s="1949"/>
      <c r="F338" s="1949"/>
      <c r="G338" s="1949"/>
      <c r="H338" s="1950"/>
    </row>
    <row r="339" spans="1:8" ht="59.25" customHeight="1" outlineLevel="1">
      <c r="B339" s="1948"/>
      <c r="C339" s="1949"/>
      <c r="D339" s="1949"/>
      <c r="E339" s="1949"/>
      <c r="F339" s="1949"/>
      <c r="G339" s="1949"/>
      <c r="H339" s="1950"/>
    </row>
    <row r="340" spans="1:8" ht="59.25" customHeight="1" outlineLevel="1">
      <c r="B340" s="1948"/>
      <c r="C340" s="1949"/>
      <c r="D340" s="1949"/>
      <c r="E340" s="1949"/>
      <c r="F340" s="1949"/>
      <c r="G340" s="1949"/>
      <c r="H340" s="1950"/>
    </row>
    <row r="341" spans="1:8" outlineLevel="1">
      <c r="B341" s="1948"/>
      <c r="C341" s="1949"/>
      <c r="D341" s="1949"/>
      <c r="E341" s="1949"/>
      <c r="F341" s="1949"/>
      <c r="G341" s="1949"/>
      <c r="H341" s="1950"/>
    </row>
    <row r="342" spans="1:8" outlineLevel="1">
      <c r="B342" s="1948"/>
      <c r="C342" s="1949"/>
      <c r="D342" s="1949"/>
      <c r="E342" s="1949"/>
      <c r="F342" s="1949"/>
      <c r="G342" s="1949"/>
      <c r="H342" s="1950"/>
    </row>
    <row r="343" spans="1:8" outlineLevel="1">
      <c r="B343" s="1948"/>
      <c r="C343" s="1949"/>
      <c r="D343" s="1949"/>
      <c r="E343" s="1949"/>
      <c r="F343" s="1949"/>
      <c r="G343" s="1949"/>
      <c r="H343" s="1950"/>
    </row>
    <row r="344" spans="1:8" ht="77.25" customHeight="1" outlineLevel="1">
      <c r="B344" s="2230" t="s">
        <v>5601</v>
      </c>
      <c r="C344" s="2231"/>
      <c r="D344" s="2231"/>
      <c r="E344" s="2231"/>
      <c r="F344" s="2231"/>
      <c r="G344" s="2231"/>
      <c r="H344" s="2232"/>
    </row>
    <row r="345" spans="1:8" outlineLevel="1">
      <c r="B345" s="2230" t="s">
        <v>5602</v>
      </c>
      <c r="C345" s="2231"/>
      <c r="D345" s="2231"/>
      <c r="E345" s="2231"/>
      <c r="F345" s="2231"/>
      <c r="G345" s="2231"/>
      <c r="H345" s="2232"/>
    </row>
    <row r="346" spans="1:8" outlineLevel="1">
      <c r="B346" s="1948"/>
      <c r="C346" s="1949"/>
      <c r="D346" s="1949"/>
      <c r="E346" s="1949"/>
      <c r="F346" s="1949"/>
      <c r="G346" s="1949"/>
      <c r="H346" s="1950"/>
    </row>
    <row r="347" spans="1:8" ht="103.5" customHeight="1" outlineLevel="1">
      <c r="B347" s="2230" t="s">
        <v>5603</v>
      </c>
      <c r="C347" s="2231"/>
      <c r="D347" s="2231"/>
      <c r="E347" s="2231"/>
      <c r="F347" s="2231"/>
      <c r="G347" s="2231"/>
      <c r="H347" s="2232"/>
    </row>
    <row r="348" spans="1:8" outlineLevel="1">
      <c r="B348" s="1951"/>
      <c r="C348" s="1952"/>
      <c r="D348" s="1952"/>
      <c r="E348" s="1952"/>
      <c r="F348" s="1952"/>
      <c r="G348" s="1952"/>
      <c r="H348" s="1953"/>
    </row>
    <row r="349" spans="1:8">
      <c r="A349" s="2186" t="s">
        <v>5408</v>
      </c>
      <c r="B349" s="2186"/>
      <c r="C349" s="2186"/>
    </row>
  </sheetData>
  <sheetProtection algorithmName="SHA-512" hashValue="WINwd97VaWLdWAw0utDKAqv/cm+3HER+fMCzzqixrfvpYpsndgO4ZKN9HzuvgE7V2MDuVc6MlhEXTn42QqXxNw==" saltValue="Roe6f5ijDLq9WUh6RDytVQ==" spinCount="100000" sheet="1" objects="1" scenarios="1" formatColumns="0" formatRows="0"/>
  <mergeCells count="100">
    <mergeCell ref="B344:H344"/>
    <mergeCell ref="B345:H345"/>
    <mergeCell ref="B347:H347"/>
    <mergeCell ref="A349:C349"/>
    <mergeCell ref="B293:H293"/>
    <mergeCell ref="A294:C294"/>
    <mergeCell ref="B297:H297"/>
    <mergeCell ref="B298:H298"/>
    <mergeCell ref="B320:H320"/>
    <mergeCell ref="B321:H321"/>
    <mergeCell ref="B292:H292"/>
    <mergeCell ref="B281:H281"/>
    <mergeCell ref="B282:H282"/>
    <mergeCell ref="B283:H283"/>
    <mergeCell ref="B284:H284"/>
    <mergeCell ref="B285:H285"/>
    <mergeCell ref="B286:H286"/>
    <mergeCell ref="B287:H287"/>
    <mergeCell ref="B288:H288"/>
    <mergeCell ref="B289:H289"/>
    <mergeCell ref="B290:H290"/>
    <mergeCell ref="B291:H291"/>
    <mergeCell ref="B280:H280"/>
    <mergeCell ref="G253:H255"/>
    <mergeCell ref="G260:H261"/>
    <mergeCell ref="G268:H270"/>
    <mergeCell ref="B271:H271"/>
    <mergeCell ref="B272:H272"/>
    <mergeCell ref="B273:H273"/>
    <mergeCell ref="B274:H274"/>
    <mergeCell ref="B275:H275"/>
    <mergeCell ref="B276:H276"/>
    <mergeCell ref="B278:H278"/>
    <mergeCell ref="B279:H279"/>
    <mergeCell ref="G242:H244"/>
    <mergeCell ref="B224:H224"/>
    <mergeCell ref="B227:H227"/>
    <mergeCell ref="B229:H229"/>
    <mergeCell ref="B230:H230"/>
    <mergeCell ref="B231:H231"/>
    <mergeCell ref="B232:H232"/>
    <mergeCell ref="B233:H233"/>
    <mergeCell ref="B234:H234"/>
    <mergeCell ref="B235:H235"/>
    <mergeCell ref="B236:H236"/>
    <mergeCell ref="B237:H237"/>
    <mergeCell ref="B223:H223"/>
    <mergeCell ref="B210:H210"/>
    <mergeCell ref="B212:H212"/>
    <mergeCell ref="B213:H213"/>
    <mergeCell ref="B214:H214"/>
    <mergeCell ref="B215:H215"/>
    <mergeCell ref="B216:H216"/>
    <mergeCell ref="B217:H217"/>
    <mergeCell ref="B218:H218"/>
    <mergeCell ref="B219:H219"/>
    <mergeCell ref="B220:H220"/>
    <mergeCell ref="B221:H221"/>
    <mergeCell ref="B209:H209"/>
    <mergeCell ref="B169:H169"/>
    <mergeCell ref="B172:H172"/>
    <mergeCell ref="B173:H181"/>
    <mergeCell ref="A182:C182"/>
    <mergeCell ref="B184:H184"/>
    <mergeCell ref="B185:H200"/>
    <mergeCell ref="B203:H203"/>
    <mergeCell ref="B204:H204"/>
    <mergeCell ref="B206:H206"/>
    <mergeCell ref="B207:H207"/>
    <mergeCell ref="B208:H208"/>
    <mergeCell ref="B168:H168"/>
    <mergeCell ref="B124:H124"/>
    <mergeCell ref="G130:G133"/>
    <mergeCell ref="B137:H137"/>
    <mergeCell ref="B138:H138"/>
    <mergeCell ref="B139:H139"/>
    <mergeCell ref="B140:H140"/>
    <mergeCell ref="B141:H141"/>
    <mergeCell ref="B142:H142"/>
    <mergeCell ref="B143:H143"/>
    <mergeCell ref="F148:G151"/>
    <mergeCell ref="F162:G167"/>
    <mergeCell ref="G119:G122"/>
    <mergeCell ref="B29:H61"/>
    <mergeCell ref="B64:H64"/>
    <mergeCell ref="B65:H98"/>
    <mergeCell ref="A99:C99"/>
    <mergeCell ref="B102:H102"/>
    <mergeCell ref="B103:H103"/>
    <mergeCell ref="B108:H108"/>
    <mergeCell ref="B109:H109"/>
    <mergeCell ref="F111:F113"/>
    <mergeCell ref="B116:H116"/>
    <mergeCell ref="B118:H118"/>
    <mergeCell ref="B28:H28"/>
    <mergeCell ref="B3:H3"/>
    <mergeCell ref="D5:G5"/>
    <mergeCell ref="B15:H15"/>
    <mergeCell ref="B16:H25"/>
    <mergeCell ref="A26:C26"/>
  </mergeCells>
  <hyperlinks>
    <hyperlink ref="A99" location="'Tool Workflow'!A1" display="Click here to return to the top of this page" xr:uid="{00000000-0004-0000-0400-000000000000}"/>
    <hyperlink ref="A182" location="'Tool Workflow'!A1" display="Click here to return to the top of this page" xr:uid="{00000000-0004-0000-0400-000001000000}"/>
    <hyperlink ref="A294" location="'Tool Workflow'!A1" display="Click here to return to the top of this page" xr:uid="{00000000-0004-0000-0400-000002000000}"/>
    <hyperlink ref="A349" location="'Tool Workflow'!A1" display="Click here to return to the top of this page" xr:uid="{00000000-0004-0000-0400-000003000000}"/>
    <hyperlink ref="A26" location="'Tool Workflow'!A1" display="Click here to return to the top of this page" xr:uid="{00000000-0004-0000-0400-000004000000}"/>
    <hyperlink ref="A349:C349" location="'Instructions &amp; Workflow'!A1" display="Click here to return to the top of this page" xr:uid="{00000000-0004-0000-0400-000005000000}"/>
    <hyperlink ref="A294:C294" location="'Instructions &amp; Workflow'!A1" display="Click here to return to the top of this page" xr:uid="{00000000-0004-0000-0400-000006000000}"/>
    <hyperlink ref="A182:C182" location="'Instructions &amp; Workflow'!A1" display="Click here to return to the top of this page" xr:uid="{00000000-0004-0000-0400-000007000000}"/>
    <hyperlink ref="A99:C99" location="'Instructions &amp; Workflow'!A1" display="Click here to return to the top of this page" xr:uid="{00000000-0004-0000-0400-000008000000}"/>
    <hyperlink ref="A26:C26" location="'Instructions &amp; Workflow'!A1" display="Click here to return to the top of this page" xr:uid="{00000000-0004-0000-0400-000009000000}"/>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CC5ED"/>
    <pageSetUpPr fitToPage="1"/>
  </sheetPr>
  <dimension ref="A2:O172"/>
  <sheetViews>
    <sheetView showGridLines="0" zoomScale="80" zoomScaleNormal="80" workbookViewId="0">
      <selection activeCell="C24" sqref="C24"/>
    </sheetView>
  </sheetViews>
  <sheetFormatPr defaultColWidth="9.15234375" defaultRowHeight="14.6" outlineLevelRow="1" outlineLevelCol="1"/>
  <cols>
    <col min="1" max="1" width="9.15234375" style="149"/>
    <col min="2" max="2" width="8.3828125" style="149" customWidth="1"/>
    <col min="3" max="3" width="14.15234375" style="149" customWidth="1" outlineLevel="1"/>
    <col min="4" max="4" width="32.3828125" style="149" customWidth="1" outlineLevel="1"/>
    <col min="5" max="5" width="21.3046875" style="149" customWidth="1" outlineLevel="1"/>
    <col min="6" max="6" width="18.15234375" style="149" customWidth="1" outlineLevel="1"/>
    <col min="7" max="7" width="18.3046875" style="149" customWidth="1"/>
    <col min="8" max="8" width="17.3046875" style="149" customWidth="1"/>
    <col min="9" max="9" width="30.69140625" style="149" customWidth="1"/>
    <col min="10" max="10" width="13.3046875" style="149" customWidth="1"/>
    <col min="11" max="11" width="103.84375" style="149" customWidth="1"/>
    <col min="12" max="16384" width="9.15234375" style="149"/>
  </cols>
  <sheetData>
    <row r="2" spans="1:11" ht="55.5" customHeight="1">
      <c r="A2" s="2346" t="s">
        <v>5526</v>
      </c>
      <c r="B2" s="2347"/>
      <c r="C2" s="2347"/>
      <c r="D2" s="2347"/>
      <c r="E2" s="2347"/>
      <c r="F2" s="2347"/>
      <c r="G2" s="2348"/>
    </row>
    <row r="3" spans="1:11" ht="27.75" customHeight="1" thickBot="1"/>
    <row r="4" spans="1:11" ht="30" customHeight="1" thickBot="1">
      <c r="B4" s="2349" t="s">
        <v>295</v>
      </c>
      <c r="C4" s="2350"/>
      <c r="D4" s="2350"/>
      <c r="E4" s="2350"/>
      <c r="F4" s="2351"/>
    </row>
    <row r="5" spans="1:11" ht="39" customHeight="1" outlineLevel="1">
      <c r="B5" s="2352" t="s">
        <v>117</v>
      </c>
      <c r="C5" s="2353"/>
      <c r="D5" s="2353"/>
      <c r="E5" s="2353"/>
      <c r="F5" s="2353"/>
      <c r="G5" s="2354" t="s">
        <v>2334</v>
      </c>
      <c r="H5" s="2354"/>
      <c r="I5" s="2354"/>
      <c r="J5" s="2354"/>
      <c r="K5" s="2355"/>
    </row>
    <row r="6" spans="1:11" ht="60.65" customHeight="1" outlineLevel="1">
      <c r="B6" s="2356" t="s">
        <v>165</v>
      </c>
      <c r="C6" s="2357"/>
      <c r="D6" s="2357"/>
      <c r="E6" s="2357"/>
      <c r="F6" s="2357"/>
      <c r="G6" s="2344" t="s">
        <v>2335</v>
      </c>
      <c r="H6" s="2344"/>
      <c r="I6" s="2344"/>
      <c r="J6" s="2344"/>
      <c r="K6" s="2345"/>
    </row>
    <row r="7" spans="1:11" ht="61.5" customHeight="1" outlineLevel="1">
      <c r="B7" s="2356" t="s">
        <v>57</v>
      </c>
      <c r="C7" s="2357"/>
      <c r="D7" s="2357"/>
      <c r="E7" s="2357"/>
      <c r="F7" s="2357"/>
      <c r="G7" s="2344" t="s">
        <v>266</v>
      </c>
      <c r="H7" s="2344"/>
      <c r="I7" s="2344"/>
      <c r="J7" s="2344"/>
      <c r="K7" s="2345"/>
    </row>
    <row r="8" spans="1:11" ht="44.25" customHeight="1" outlineLevel="1">
      <c r="B8" s="2384" t="s">
        <v>267</v>
      </c>
      <c r="C8" s="2344"/>
      <c r="D8" s="2344"/>
      <c r="E8" s="2344"/>
      <c r="F8" s="2344"/>
      <c r="G8" s="2344" t="s">
        <v>2336</v>
      </c>
      <c r="H8" s="2344"/>
      <c r="I8" s="2344"/>
      <c r="J8" s="2344"/>
      <c r="K8" s="2345"/>
    </row>
    <row r="9" spans="1:11" ht="39.75" customHeight="1" outlineLevel="1">
      <c r="B9" s="2385" t="s">
        <v>12</v>
      </c>
      <c r="C9" s="2386"/>
      <c r="D9" s="2386"/>
      <c r="E9" s="2386"/>
      <c r="F9" s="2386"/>
      <c r="G9" s="2344" t="s">
        <v>639</v>
      </c>
      <c r="H9" s="2344"/>
      <c r="I9" s="2344"/>
      <c r="J9" s="2344"/>
      <c r="K9" s="2345"/>
    </row>
    <row r="10" spans="1:11" ht="31.5" customHeight="1" outlineLevel="1">
      <c r="B10" s="2385" t="s">
        <v>13</v>
      </c>
      <c r="C10" s="2386"/>
      <c r="D10" s="2386"/>
      <c r="E10" s="2386"/>
      <c r="F10" s="2386"/>
      <c r="G10" s="2344" t="s">
        <v>638</v>
      </c>
      <c r="H10" s="2344"/>
      <c r="I10" s="2344"/>
      <c r="J10" s="2344"/>
      <c r="K10" s="2345"/>
    </row>
    <row r="11" spans="1:11" ht="57.75" customHeight="1" outlineLevel="1">
      <c r="B11" s="2385" t="s">
        <v>14</v>
      </c>
      <c r="C11" s="2386"/>
      <c r="D11" s="2386"/>
      <c r="E11" s="2386"/>
      <c r="F11" s="2386"/>
      <c r="G11" s="2344" t="s">
        <v>2337</v>
      </c>
      <c r="H11" s="2344"/>
      <c r="I11" s="2344"/>
      <c r="J11" s="2344"/>
      <c r="K11" s="2345"/>
    </row>
    <row r="12" spans="1:11" ht="57.75" customHeight="1" outlineLevel="1" thickBot="1">
      <c r="B12" s="2363" t="s">
        <v>2338</v>
      </c>
      <c r="C12" s="2364"/>
      <c r="D12" s="2364"/>
      <c r="E12" s="2364"/>
      <c r="F12" s="2364"/>
      <c r="G12" s="2365" t="s">
        <v>2339</v>
      </c>
      <c r="H12" s="2365"/>
      <c r="I12" s="2365"/>
      <c r="J12" s="2365"/>
      <c r="K12" s="2366"/>
    </row>
    <row r="13" spans="1:11" ht="16.5" customHeight="1">
      <c r="B13" s="157" t="s">
        <v>294</v>
      </c>
      <c r="C13" s="157"/>
    </row>
    <row r="14" spans="1:11" ht="2.25" customHeight="1">
      <c r="B14" s="157"/>
      <c r="C14" s="157"/>
    </row>
    <row r="15" spans="1:11" ht="39" customHeight="1" thickBot="1">
      <c r="C15" s="150"/>
      <c r="D15" s="150"/>
      <c r="E15" s="150"/>
      <c r="F15" s="150"/>
      <c r="G15" s="151"/>
      <c r="H15" s="152"/>
    </row>
    <row r="16" spans="1:11" ht="30" customHeight="1" thickBot="1">
      <c r="B16" s="2314" t="s">
        <v>296</v>
      </c>
      <c r="C16" s="2315"/>
      <c r="D16" s="2315"/>
      <c r="E16" s="2315"/>
      <c r="F16" s="2316"/>
    </row>
    <row r="17" spans="2:11" ht="186.75" customHeight="1" outlineLevel="1" thickBot="1">
      <c r="B17" s="2361" t="s">
        <v>2341</v>
      </c>
      <c r="C17" s="2362"/>
      <c r="D17" s="2362"/>
      <c r="E17" s="2362"/>
      <c r="F17" s="2362"/>
      <c r="G17" s="2358" t="s">
        <v>2342</v>
      </c>
      <c r="H17" s="2359"/>
      <c r="I17" s="2359"/>
      <c r="J17" s="2359"/>
      <c r="K17" s="2360"/>
    </row>
    <row r="18" spans="2:11" ht="174" customHeight="1" outlineLevel="1" thickBot="1">
      <c r="B18" s="2352" t="s">
        <v>2340</v>
      </c>
      <c r="C18" s="2353"/>
      <c r="D18" s="2353"/>
      <c r="E18" s="2353"/>
      <c r="F18" s="2353"/>
      <c r="G18" s="2358" t="s">
        <v>2400</v>
      </c>
      <c r="H18" s="2359"/>
      <c r="I18" s="2359"/>
      <c r="J18" s="2359"/>
      <c r="K18" s="2360"/>
    </row>
    <row r="19" spans="2:11" ht="81.75" customHeight="1" outlineLevel="1">
      <c r="B19" s="2352" t="s">
        <v>2343</v>
      </c>
      <c r="C19" s="2353"/>
      <c r="D19" s="2353"/>
      <c r="E19" s="2353"/>
      <c r="F19" s="2353"/>
      <c r="G19" s="2358" t="s">
        <v>2344</v>
      </c>
      <c r="H19" s="2359"/>
      <c r="I19" s="2359"/>
      <c r="J19" s="2359"/>
      <c r="K19" s="2360"/>
    </row>
    <row r="20" spans="2:11" ht="181.5" customHeight="1" outlineLevel="1" thickBot="1">
      <c r="B20" s="2370" t="s">
        <v>130</v>
      </c>
      <c r="C20" s="2371"/>
      <c r="D20" s="2371"/>
      <c r="E20" s="2371"/>
      <c r="F20" s="2371"/>
      <c r="G20" s="2390" t="s">
        <v>2345</v>
      </c>
      <c r="H20" s="2327"/>
      <c r="I20" s="2327"/>
      <c r="J20" s="2327"/>
      <c r="K20" s="2328"/>
    </row>
    <row r="21" spans="2:11" ht="180.75" customHeight="1" outlineLevel="1">
      <c r="B21" s="2367" t="s">
        <v>373</v>
      </c>
      <c r="C21" s="2368"/>
      <c r="D21" s="2368"/>
      <c r="E21" s="2368"/>
      <c r="F21" s="2369"/>
      <c r="G21" s="2358" t="s">
        <v>2401</v>
      </c>
      <c r="H21" s="2359"/>
      <c r="I21" s="2359"/>
      <c r="J21" s="2359"/>
      <c r="K21" s="2360"/>
    </row>
    <row r="22" spans="2:11" ht="72.75" customHeight="1" outlineLevel="1" thickBot="1">
      <c r="B22" s="2387" t="s">
        <v>2346</v>
      </c>
      <c r="C22" s="2388"/>
      <c r="D22" s="2388"/>
      <c r="E22" s="2388"/>
      <c r="F22" s="2388"/>
      <c r="G22" s="2389" t="s">
        <v>2347</v>
      </c>
      <c r="H22" s="2329"/>
      <c r="I22" s="2329"/>
      <c r="J22" s="2329"/>
      <c r="K22" s="2330"/>
    </row>
    <row r="23" spans="2:11" ht="9" customHeight="1" outlineLevel="1">
      <c r="C23" s="153"/>
      <c r="D23" s="153"/>
      <c r="E23" s="153"/>
      <c r="F23" s="153"/>
      <c r="G23" s="153"/>
      <c r="H23" s="153"/>
    </row>
    <row r="24" spans="2:11">
      <c r="B24" s="157" t="s">
        <v>293</v>
      </c>
      <c r="C24" s="157"/>
    </row>
    <row r="25" spans="2:11" ht="40.5" customHeight="1" thickBot="1"/>
    <row r="26" spans="2:11" ht="28.5" customHeight="1" thickBot="1">
      <c r="B26" s="2314" t="s">
        <v>297</v>
      </c>
      <c r="C26" s="2315"/>
      <c r="D26" s="2315"/>
      <c r="E26" s="2315"/>
      <c r="F26" s="2316"/>
    </row>
    <row r="27" spans="2:11" ht="15" customHeight="1" outlineLevel="1">
      <c r="B27" s="2372" t="s">
        <v>23</v>
      </c>
      <c r="C27" s="2373"/>
      <c r="D27" s="2373"/>
      <c r="E27" s="2373"/>
      <c r="F27" s="2374"/>
    </row>
    <row r="28" spans="2:11" ht="6.75" customHeight="1" outlineLevel="1" thickBot="1">
      <c r="B28" s="2375"/>
      <c r="C28" s="2376"/>
      <c r="D28" s="2376"/>
      <c r="E28" s="2376"/>
      <c r="F28" s="2377"/>
    </row>
    <row r="29" spans="2:11" ht="26.25" customHeight="1" outlineLevel="1">
      <c r="B29" s="1376" t="s">
        <v>604</v>
      </c>
      <c r="C29" s="1370"/>
      <c r="D29" s="1370"/>
      <c r="E29" s="1370"/>
      <c r="F29" s="1371"/>
      <c r="G29" s="2378" t="s">
        <v>2399</v>
      </c>
      <c r="H29" s="2379"/>
      <c r="I29" s="2379"/>
      <c r="J29" s="2379"/>
      <c r="K29" s="2380"/>
    </row>
    <row r="30" spans="2:11" ht="26.25" customHeight="1" outlineLevel="1">
      <c r="B30" s="1377" t="s">
        <v>19</v>
      </c>
      <c r="C30" s="1372"/>
      <c r="D30" s="1372"/>
      <c r="E30" s="1372"/>
      <c r="F30" s="1373"/>
      <c r="G30" s="2304"/>
      <c r="H30" s="2381"/>
      <c r="I30" s="2381"/>
      <c r="J30" s="2381"/>
      <c r="K30" s="2306"/>
    </row>
    <row r="31" spans="2:11" ht="26.25" customHeight="1" outlineLevel="1">
      <c r="B31" s="1377" t="s">
        <v>20</v>
      </c>
      <c r="C31" s="1372"/>
      <c r="D31" s="1372"/>
      <c r="E31" s="1372"/>
      <c r="F31" s="1373"/>
      <c r="G31" s="2304"/>
      <c r="H31" s="2381"/>
      <c r="I31" s="2381"/>
      <c r="J31" s="2381"/>
      <c r="K31" s="2306"/>
    </row>
    <row r="32" spans="2:11" ht="26.25" customHeight="1" outlineLevel="1">
      <c r="B32" s="1377" t="s">
        <v>21</v>
      </c>
      <c r="C32" s="1372"/>
      <c r="D32" s="1372"/>
      <c r="E32" s="1372"/>
      <c r="F32" s="1373"/>
      <c r="G32" s="2304"/>
      <c r="H32" s="2381"/>
      <c r="I32" s="2381"/>
      <c r="J32" s="2381"/>
      <c r="K32" s="2306"/>
    </row>
    <row r="33" spans="2:11" ht="26.25" customHeight="1" outlineLevel="1">
      <c r="B33" s="1377" t="s">
        <v>22</v>
      </c>
      <c r="C33" s="1372"/>
      <c r="D33" s="1372"/>
      <c r="E33" s="1372"/>
      <c r="F33" s="1373"/>
      <c r="G33" s="2304"/>
      <c r="H33" s="2381"/>
      <c r="I33" s="2381"/>
      <c r="J33" s="2381"/>
      <c r="K33" s="2306"/>
    </row>
    <row r="34" spans="2:11" ht="26.25" customHeight="1" outlineLevel="1">
      <c r="B34" s="1377" t="s">
        <v>402</v>
      </c>
      <c r="C34" s="1372"/>
      <c r="D34" s="1372"/>
      <c r="E34" s="1372"/>
      <c r="F34" s="1373"/>
      <c r="G34" s="2304"/>
      <c r="H34" s="2381"/>
      <c r="I34" s="2381"/>
      <c r="J34" s="2381"/>
      <c r="K34" s="2306"/>
    </row>
    <row r="35" spans="2:11" ht="26.25" customHeight="1" outlineLevel="1">
      <c r="B35" s="1377" t="s">
        <v>401</v>
      </c>
      <c r="C35" s="1372"/>
      <c r="D35" s="1372"/>
      <c r="E35" s="1372"/>
      <c r="F35" s="1373"/>
      <c r="G35" s="2304"/>
      <c r="H35" s="2381"/>
      <c r="I35" s="2381"/>
      <c r="J35" s="2381"/>
      <c r="K35" s="2306"/>
    </row>
    <row r="36" spans="2:11" ht="26.25" customHeight="1" outlineLevel="1">
      <c r="B36" s="1377" t="s">
        <v>403</v>
      </c>
      <c r="C36" s="1372"/>
      <c r="D36" s="1372"/>
      <c r="E36" s="1372"/>
      <c r="F36" s="1373"/>
      <c r="G36" s="2304"/>
      <c r="H36" s="2305"/>
      <c r="I36" s="2305"/>
      <c r="J36" s="2305"/>
      <c r="K36" s="2306"/>
    </row>
    <row r="37" spans="2:11" ht="26.25" customHeight="1" outlineLevel="1">
      <c r="B37" s="1377" t="s">
        <v>404</v>
      </c>
      <c r="C37" s="1372"/>
      <c r="D37" s="1372"/>
      <c r="E37" s="1372"/>
      <c r="F37" s="1373"/>
      <c r="G37" s="2304"/>
      <c r="H37" s="2305"/>
      <c r="I37" s="2305"/>
      <c r="J37" s="2305"/>
      <c r="K37" s="2306"/>
    </row>
    <row r="38" spans="2:11" ht="26.25" customHeight="1" outlineLevel="1">
      <c r="B38" s="1377" t="s">
        <v>416</v>
      </c>
      <c r="C38" s="1372"/>
      <c r="D38" s="1372"/>
      <c r="E38" s="1372"/>
      <c r="F38" s="1373"/>
      <c r="G38" s="2304"/>
      <c r="H38" s="2305"/>
      <c r="I38" s="2305"/>
      <c r="J38" s="2305"/>
      <c r="K38" s="2306"/>
    </row>
    <row r="39" spans="2:11" ht="26.25" customHeight="1" outlineLevel="1">
      <c r="B39" s="1377" t="s">
        <v>417</v>
      </c>
      <c r="C39" s="1372"/>
      <c r="D39" s="1372"/>
      <c r="E39" s="1372"/>
      <c r="F39" s="1373"/>
      <c r="G39" s="2304"/>
      <c r="H39" s="2305"/>
      <c r="I39" s="2305"/>
      <c r="J39" s="2305"/>
      <c r="K39" s="2306"/>
    </row>
    <row r="40" spans="2:11" ht="26.25" customHeight="1" outlineLevel="1" thickBot="1">
      <c r="B40" s="1378" t="s">
        <v>418</v>
      </c>
      <c r="C40" s="1374"/>
      <c r="D40" s="1374"/>
      <c r="E40" s="1374"/>
      <c r="F40" s="1375"/>
      <c r="G40" s="2307"/>
      <c r="H40" s="2308"/>
      <c r="I40" s="2308"/>
      <c r="J40" s="2308"/>
      <c r="K40" s="2309"/>
    </row>
    <row r="41" spans="2:11">
      <c r="B41" s="157" t="s">
        <v>291</v>
      </c>
      <c r="C41" s="157"/>
    </row>
    <row r="42" spans="2:11" ht="35.25" customHeight="1" thickBot="1">
      <c r="B42" s="154"/>
      <c r="C42" s="151"/>
      <c r="D42" s="151"/>
    </row>
    <row r="43" spans="2:11" ht="27" customHeight="1" thickBot="1">
      <c r="B43" s="2314" t="s">
        <v>298</v>
      </c>
      <c r="C43" s="2315"/>
      <c r="D43" s="2315"/>
      <c r="E43" s="2315"/>
      <c r="F43" s="2316"/>
    </row>
    <row r="44" spans="2:11" ht="30" customHeight="1" outlineLevel="1" thickBot="1">
      <c r="B44" s="2382" t="s">
        <v>34</v>
      </c>
      <c r="C44" s="2383"/>
      <c r="D44" s="1385" t="s">
        <v>289</v>
      </c>
      <c r="E44" s="1385"/>
      <c r="F44" s="1386"/>
    </row>
    <row r="45" spans="2:11" ht="34.5" customHeight="1" outlineLevel="1">
      <c r="B45" s="2333" t="s">
        <v>136</v>
      </c>
      <c r="C45" s="2334"/>
      <c r="D45" s="163" t="s">
        <v>164</v>
      </c>
      <c r="E45" s="164"/>
      <c r="F45" s="165"/>
      <c r="G45" s="2359" t="s">
        <v>268</v>
      </c>
      <c r="H45" s="2359"/>
      <c r="I45" s="2359"/>
      <c r="J45" s="2359"/>
      <c r="K45" s="2360"/>
    </row>
    <row r="46" spans="2:11" ht="48.75" customHeight="1" outlineLevel="1">
      <c r="B46" s="2310" t="s">
        <v>136</v>
      </c>
      <c r="C46" s="2311"/>
      <c r="D46" s="1367" t="s">
        <v>135</v>
      </c>
      <c r="E46" s="166"/>
      <c r="F46" s="167"/>
      <c r="G46" s="2327" t="s">
        <v>269</v>
      </c>
      <c r="H46" s="2327"/>
      <c r="I46" s="2327"/>
      <c r="J46" s="2327"/>
      <c r="K46" s="2328"/>
    </row>
    <row r="47" spans="2:11" ht="34.5" customHeight="1" outlineLevel="1" thickBot="1">
      <c r="B47" s="2323" t="s">
        <v>136</v>
      </c>
      <c r="C47" s="2324"/>
      <c r="D47" s="1369" t="s">
        <v>162</v>
      </c>
      <c r="E47" s="1379"/>
      <c r="F47" s="1380"/>
      <c r="G47" s="2329" t="s">
        <v>270</v>
      </c>
      <c r="H47" s="2329"/>
      <c r="I47" s="2329"/>
      <c r="J47" s="2329"/>
      <c r="K47" s="2330"/>
    </row>
    <row r="48" spans="2:11" ht="18" customHeight="1" outlineLevel="1">
      <c r="B48" s="2333" t="s">
        <v>137</v>
      </c>
      <c r="C48" s="2334"/>
      <c r="D48" s="163" t="s">
        <v>164</v>
      </c>
      <c r="E48" s="164"/>
      <c r="F48" s="165"/>
      <c r="G48" s="2335" t="s">
        <v>271</v>
      </c>
      <c r="H48" s="2336"/>
      <c r="I48" s="2336"/>
      <c r="J48" s="2336"/>
      <c r="K48" s="2337"/>
    </row>
    <row r="49" spans="2:11" ht="18" customHeight="1" outlineLevel="1">
      <c r="B49" s="2310" t="s">
        <v>137</v>
      </c>
      <c r="C49" s="2311"/>
      <c r="D49" s="1368" t="s">
        <v>135</v>
      </c>
      <c r="E49" s="166"/>
      <c r="F49" s="1381"/>
      <c r="G49" s="2338"/>
      <c r="H49" s="2339"/>
      <c r="I49" s="2339"/>
      <c r="J49" s="2339"/>
      <c r="K49" s="2340"/>
    </row>
    <row r="50" spans="2:11" ht="18" customHeight="1" outlineLevel="1" thickBot="1">
      <c r="B50" s="2323" t="s">
        <v>137</v>
      </c>
      <c r="C50" s="2324"/>
      <c r="D50" s="1369" t="s">
        <v>162</v>
      </c>
      <c r="E50" s="1379"/>
      <c r="F50" s="1380"/>
      <c r="G50" s="2341"/>
      <c r="H50" s="2342"/>
      <c r="I50" s="2342"/>
      <c r="J50" s="2342"/>
      <c r="K50" s="2343"/>
    </row>
    <row r="51" spans="2:11" ht="33.75" customHeight="1" outlineLevel="1">
      <c r="B51" s="2300" t="s">
        <v>36</v>
      </c>
      <c r="C51" s="2301"/>
      <c r="D51" s="2302" t="s">
        <v>39</v>
      </c>
      <c r="E51" s="2302"/>
      <c r="F51" s="2303"/>
      <c r="G51" s="2331" t="s">
        <v>272</v>
      </c>
      <c r="H51" s="2331"/>
      <c r="I51" s="2331"/>
      <c r="J51" s="2331"/>
      <c r="K51" s="2332"/>
    </row>
    <row r="52" spans="2:11" ht="33.75" customHeight="1" outlineLevel="1">
      <c r="B52" s="2310" t="s">
        <v>36</v>
      </c>
      <c r="C52" s="2311"/>
      <c r="D52" s="2312" t="s">
        <v>40</v>
      </c>
      <c r="E52" s="2312"/>
      <c r="F52" s="2313"/>
      <c r="G52" s="2327" t="s">
        <v>273</v>
      </c>
      <c r="H52" s="2327"/>
      <c r="I52" s="2327"/>
      <c r="J52" s="2327"/>
      <c r="K52" s="2328"/>
    </row>
    <row r="53" spans="2:11" ht="33.75" customHeight="1" outlineLevel="1">
      <c r="B53" s="2310" t="s">
        <v>36</v>
      </c>
      <c r="C53" s="2311"/>
      <c r="D53" s="2312" t="s">
        <v>44</v>
      </c>
      <c r="E53" s="2312"/>
      <c r="F53" s="2313"/>
      <c r="G53" s="2327" t="s">
        <v>274</v>
      </c>
      <c r="H53" s="2327"/>
      <c r="I53" s="2327"/>
      <c r="J53" s="2327"/>
      <c r="K53" s="2328"/>
    </row>
    <row r="54" spans="2:11" ht="33.75" customHeight="1" outlineLevel="1">
      <c r="B54" s="2310" t="s">
        <v>36</v>
      </c>
      <c r="C54" s="2311"/>
      <c r="D54" s="2312" t="s">
        <v>42</v>
      </c>
      <c r="E54" s="2312"/>
      <c r="F54" s="2313"/>
      <c r="G54" s="2327" t="s">
        <v>275</v>
      </c>
      <c r="H54" s="2327"/>
      <c r="I54" s="2327"/>
      <c r="J54" s="2327"/>
      <c r="K54" s="2328"/>
    </row>
    <row r="55" spans="2:11" ht="33.75" customHeight="1" outlineLevel="1">
      <c r="B55" s="2310" t="s">
        <v>36</v>
      </c>
      <c r="C55" s="2311"/>
      <c r="D55" s="2312" t="s">
        <v>41</v>
      </c>
      <c r="E55" s="2312"/>
      <c r="F55" s="2313"/>
      <c r="G55" s="2327" t="s">
        <v>276</v>
      </c>
      <c r="H55" s="2327"/>
      <c r="I55" s="2327"/>
      <c r="J55" s="2327"/>
      <c r="K55" s="2328"/>
    </row>
    <row r="56" spans="2:11" ht="33.75" customHeight="1" outlineLevel="1" thickBot="1">
      <c r="B56" s="2323" t="s">
        <v>36</v>
      </c>
      <c r="C56" s="2324"/>
      <c r="D56" s="2325" t="s">
        <v>43</v>
      </c>
      <c r="E56" s="2325"/>
      <c r="F56" s="2326"/>
      <c r="G56" s="2329" t="s">
        <v>277</v>
      </c>
      <c r="H56" s="2329"/>
      <c r="I56" s="2329"/>
      <c r="J56" s="2329"/>
      <c r="K56" s="2330"/>
    </row>
    <row r="57" spans="2:11" ht="15" customHeight="1" outlineLevel="1">
      <c r="B57" s="2300" t="s">
        <v>278</v>
      </c>
      <c r="C57" s="2301"/>
      <c r="D57" s="2302" t="s">
        <v>39</v>
      </c>
      <c r="E57" s="2302"/>
      <c r="F57" s="2303"/>
      <c r="G57" s="2304" t="s">
        <v>2348</v>
      </c>
      <c r="H57" s="2305"/>
      <c r="I57" s="2305"/>
      <c r="J57" s="2305"/>
      <c r="K57" s="2306"/>
    </row>
    <row r="58" spans="2:11" ht="15" customHeight="1" outlineLevel="1">
      <c r="B58" s="2310" t="s">
        <v>278</v>
      </c>
      <c r="C58" s="2311"/>
      <c r="D58" s="2312" t="s">
        <v>40</v>
      </c>
      <c r="E58" s="2312"/>
      <c r="F58" s="2313"/>
      <c r="G58" s="2304"/>
      <c r="H58" s="2305"/>
      <c r="I58" s="2305"/>
      <c r="J58" s="2305"/>
      <c r="K58" s="2306"/>
    </row>
    <row r="59" spans="2:11" ht="15" customHeight="1" outlineLevel="1">
      <c r="B59" s="2310" t="s">
        <v>278</v>
      </c>
      <c r="C59" s="2311"/>
      <c r="D59" s="2312" t="s">
        <v>44</v>
      </c>
      <c r="E59" s="2312"/>
      <c r="F59" s="2313"/>
      <c r="G59" s="2304"/>
      <c r="H59" s="2305"/>
      <c r="I59" s="2305"/>
      <c r="J59" s="2305"/>
      <c r="K59" s="2306"/>
    </row>
    <row r="60" spans="2:11" ht="15" customHeight="1" outlineLevel="1">
      <c r="B60" s="2310" t="s">
        <v>278</v>
      </c>
      <c r="C60" s="2311"/>
      <c r="D60" s="2312" t="s">
        <v>42</v>
      </c>
      <c r="E60" s="2312"/>
      <c r="F60" s="2313"/>
      <c r="G60" s="2304"/>
      <c r="H60" s="2305"/>
      <c r="I60" s="2305"/>
      <c r="J60" s="2305"/>
      <c r="K60" s="2306"/>
    </row>
    <row r="61" spans="2:11" ht="15" customHeight="1" outlineLevel="1">
      <c r="B61" s="2310" t="s">
        <v>278</v>
      </c>
      <c r="C61" s="2311"/>
      <c r="D61" s="2312" t="s">
        <v>41</v>
      </c>
      <c r="E61" s="2312"/>
      <c r="F61" s="2313"/>
      <c r="G61" s="2304"/>
      <c r="H61" s="2305"/>
      <c r="I61" s="2305"/>
      <c r="J61" s="2305"/>
      <c r="K61" s="2306"/>
    </row>
    <row r="62" spans="2:11" ht="15" customHeight="1" outlineLevel="1" thickBot="1">
      <c r="B62" s="2323" t="s">
        <v>278</v>
      </c>
      <c r="C62" s="2324"/>
      <c r="D62" s="2325" t="s">
        <v>43</v>
      </c>
      <c r="E62" s="2325"/>
      <c r="F62" s="2326"/>
      <c r="G62" s="2307"/>
      <c r="H62" s="2308"/>
      <c r="I62" s="2308"/>
      <c r="J62" s="2308"/>
      <c r="K62" s="2309"/>
    </row>
    <row r="63" spans="2:11" ht="15" customHeight="1" outlineLevel="1">
      <c r="B63" s="2300" t="s">
        <v>279</v>
      </c>
      <c r="C63" s="2301"/>
      <c r="D63" s="2302" t="s">
        <v>39</v>
      </c>
      <c r="E63" s="2302"/>
      <c r="F63" s="2303"/>
      <c r="G63" s="2304" t="s">
        <v>2349</v>
      </c>
      <c r="H63" s="2305"/>
      <c r="I63" s="2305"/>
      <c r="J63" s="2305"/>
      <c r="K63" s="2306"/>
    </row>
    <row r="64" spans="2:11" ht="15" customHeight="1" outlineLevel="1">
      <c r="B64" s="2310" t="s">
        <v>279</v>
      </c>
      <c r="C64" s="2311"/>
      <c r="D64" s="2312" t="s">
        <v>40</v>
      </c>
      <c r="E64" s="2312"/>
      <c r="F64" s="2313"/>
      <c r="G64" s="2304"/>
      <c r="H64" s="2305"/>
      <c r="I64" s="2305"/>
      <c r="J64" s="2305"/>
      <c r="K64" s="2306"/>
    </row>
    <row r="65" spans="2:11" ht="15" customHeight="1" outlineLevel="1">
      <c r="B65" s="2310" t="s">
        <v>279</v>
      </c>
      <c r="C65" s="2311"/>
      <c r="D65" s="2312" t="s">
        <v>44</v>
      </c>
      <c r="E65" s="2312"/>
      <c r="F65" s="2313"/>
      <c r="G65" s="2304"/>
      <c r="H65" s="2305"/>
      <c r="I65" s="2305"/>
      <c r="J65" s="2305"/>
      <c r="K65" s="2306"/>
    </row>
    <row r="66" spans="2:11" ht="15" customHeight="1" outlineLevel="1">
      <c r="B66" s="2310" t="s">
        <v>279</v>
      </c>
      <c r="C66" s="2311"/>
      <c r="D66" s="2312" t="s">
        <v>42</v>
      </c>
      <c r="E66" s="2312"/>
      <c r="F66" s="2313"/>
      <c r="G66" s="2304"/>
      <c r="H66" s="2305"/>
      <c r="I66" s="2305"/>
      <c r="J66" s="2305"/>
      <c r="K66" s="2306"/>
    </row>
    <row r="67" spans="2:11" ht="15" customHeight="1" outlineLevel="1">
      <c r="B67" s="2310" t="s">
        <v>279</v>
      </c>
      <c r="C67" s="2311"/>
      <c r="D67" s="2312" t="s">
        <v>41</v>
      </c>
      <c r="E67" s="2312"/>
      <c r="F67" s="2313"/>
      <c r="G67" s="2304"/>
      <c r="H67" s="2305"/>
      <c r="I67" s="2305"/>
      <c r="J67" s="2305"/>
      <c r="K67" s="2306"/>
    </row>
    <row r="68" spans="2:11" ht="15" customHeight="1" outlineLevel="1" thickBot="1">
      <c r="B68" s="2323" t="s">
        <v>279</v>
      </c>
      <c r="C68" s="2324"/>
      <c r="D68" s="2325" t="s">
        <v>43</v>
      </c>
      <c r="E68" s="2325"/>
      <c r="F68" s="2326"/>
      <c r="G68" s="2307"/>
      <c r="H68" s="2308"/>
      <c r="I68" s="2308"/>
      <c r="J68" s="2308"/>
      <c r="K68" s="2309"/>
    </row>
    <row r="69" spans="2:11" ht="15" customHeight="1" outlineLevel="1">
      <c r="B69" s="2300" t="s">
        <v>408</v>
      </c>
      <c r="C69" s="2301"/>
      <c r="D69" s="2302" t="s">
        <v>39</v>
      </c>
      <c r="E69" s="2302"/>
      <c r="F69" s="2303"/>
      <c r="G69" s="2304" t="s">
        <v>2398</v>
      </c>
      <c r="H69" s="2305"/>
      <c r="I69" s="2305"/>
      <c r="J69" s="2305"/>
      <c r="K69" s="2306"/>
    </row>
    <row r="70" spans="2:11" ht="15" customHeight="1" outlineLevel="1">
      <c r="B70" s="2310" t="s">
        <v>408</v>
      </c>
      <c r="C70" s="2311"/>
      <c r="D70" s="2312" t="s">
        <v>40</v>
      </c>
      <c r="E70" s="2312"/>
      <c r="F70" s="2313"/>
      <c r="G70" s="2304"/>
      <c r="H70" s="2305"/>
      <c r="I70" s="2305"/>
      <c r="J70" s="2305"/>
      <c r="K70" s="2306"/>
    </row>
    <row r="71" spans="2:11" ht="15" customHeight="1" outlineLevel="1">
      <c r="B71" s="2310" t="s">
        <v>408</v>
      </c>
      <c r="C71" s="2311"/>
      <c r="D71" s="2312" t="s">
        <v>44</v>
      </c>
      <c r="E71" s="2312"/>
      <c r="F71" s="2313"/>
      <c r="G71" s="2304"/>
      <c r="H71" s="2305"/>
      <c r="I71" s="2305"/>
      <c r="J71" s="2305"/>
      <c r="K71" s="2306"/>
    </row>
    <row r="72" spans="2:11" ht="15" customHeight="1" outlineLevel="1">
      <c r="B72" s="2310" t="s">
        <v>408</v>
      </c>
      <c r="C72" s="2311"/>
      <c r="D72" s="2312" t="s">
        <v>42</v>
      </c>
      <c r="E72" s="2312"/>
      <c r="F72" s="2313"/>
      <c r="G72" s="2304"/>
      <c r="H72" s="2305"/>
      <c r="I72" s="2305"/>
      <c r="J72" s="2305"/>
      <c r="K72" s="2306"/>
    </row>
    <row r="73" spans="2:11" ht="15" customHeight="1" outlineLevel="1">
      <c r="B73" s="2310" t="s">
        <v>408</v>
      </c>
      <c r="C73" s="2311"/>
      <c r="D73" s="2312" t="s">
        <v>41</v>
      </c>
      <c r="E73" s="2312"/>
      <c r="F73" s="2313"/>
      <c r="G73" s="2304"/>
      <c r="H73" s="2305"/>
      <c r="I73" s="2305"/>
      <c r="J73" s="2305"/>
      <c r="K73" s="2306"/>
    </row>
    <row r="74" spans="2:11" ht="15" customHeight="1" outlineLevel="1" thickBot="1">
      <c r="B74" s="2323" t="s">
        <v>408</v>
      </c>
      <c r="C74" s="2324"/>
      <c r="D74" s="2325" t="s">
        <v>43</v>
      </c>
      <c r="E74" s="2325"/>
      <c r="F74" s="2326"/>
      <c r="G74" s="2307"/>
      <c r="H74" s="2308"/>
      <c r="I74" s="2308"/>
      <c r="J74" s="2308"/>
      <c r="K74" s="2309"/>
    </row>
    <row r="75" spans="2:11" ht="15" customHeight="1" outlineLevel="1">
      <c r="B75" s="2300" t="s">
        <v>406</v>
      </c>
      <c r="C75" s="2301"/>
      <c r="D75" s="2302" t="s">
        <v>39</v>
      </c>
      <c r="E75" s="2302"/>
      <c r="F75" s="2303"/>
      <c r="G75" s="2304" t="s">
        <v>2350</v>
      </c>
      <c r="H75" s="2305"/>
      <c r="I75" s="2305"/>
      <c r="J75" s="2305"/>
      <c r="K75" s="2306"/>
    </row>
    <row r="76" spans="2:11" ht="15" customHeight="1" outlineLevel="1">
      <c r="B76" s="2310" t="s">
        <v>406</v>
      </c>
      <c r="C76" s="2311"/>
      <c r="D76" s="2312" t="s">
        <v>40</v>
      </c>
      <c r="E76" s="2312"/>
      <c r="F76" s="2313"/>
      <c r="G76" s="2304"/>
      <c r="H76" s="2305"/>
      <c r="I76" s="2305"/>
      <c r="J76" s="2305"/>
      <c r="K76" s="2306"/>
    </row>
    <row r="77" spans="2:11" ht="15" customHeight="1" outlineLevel="1">
      <c r="B77" s="2310" t="s">
        <v>406</v>
      </c>
      <c r="C77" s="2311"/>
      <c r="D77" s="2312" t="s">
        <v>44</v>
      </c>
      <c r="E77" s="2312"/>
      <c r="F77" s="2313"/>
      <c r="G77" s="2304"/>
      <c r="H77" s="2305"/>
      <c r="I77" s="2305"/>
      <c r="J77" s="2305"/>
      <c r="K77" s="2306"/>
    </row>
    <row r="78" spans="2:11" ht="15" customHeight="1" outlineLevel="1">
      <c r="B78" s="2310" t="s">
        <v>406</v>
      </c>
      <c r="C78" s="2311"/>
      <c r="D78" s="2312" t="s">
        <v>42</v>
      </c>
      <c r="E78" s="2312"/>
      <c r="F78" s="2313"/>
      <c r="G78" s="2304"/>
      <c r="H78" s="2305"/>
      <c r="I78" s="2305"/>
      <c r="J78" s="2305"/>
      <c r="K78" s="2306"/>
    </row>
    <row r="79" spans="2:11" ht="15" customHeight="1" outlineLevel="1">
      <c r="B79" s="2310" t="s">
        <v>406</v>
      </c>
      <c r="C79" s="2311"/>
      <c r="D79" s="2312" t="s">
        <v>41</v>
      </c>
      <c r="E79" s="2312"/>
      <c r="F79" s="2313"/>
      <c r="G79" s="2304"/>
      <c r="H79" s="2305"/>
      <c r="I79" s="2305"/>
      <c r="J79" s="2305"/>
      <c r="K79" s="2306"/>
    </row>
    <row r="80" spans="2:11" ht="15" customHeight="1" outlineLevel="1" thickBot="1">
      <c r="B80" s="2323" t="s">
        <v>406</v>
      </c>
      <c r="C80" s="2324"/>
      <c r="D80" s="2325" t="s">
        <v>43</v>
      </c>
      <c r="E80" s="2325"/>
      <c r="F80" s="2326"/>
      <c r="G80" s="2307"/>
      <c r="H80" s="2308"/>
      <c r="I80" s="2308"/>
      <c r="J80" s="2308"/>
      <c r="K80" s="2309"/>
    </row>
    <row r="81" spans="2:13">
      <c r="B81" s="157" t="s">
        <v>292</v>
      </c>
      <c r="C81" s="157"/>
      <c r="D81" s="151"/>
    </row>
    <row r="82" spans="2:13" ht="45.75" customHeight="1" thickBot="1">
      <c r="B82" s="154"/>
      <c r="C82" s="151"/>
      <c r="D82" s="151"/>
      <c r="H82" s="155"/>
    </row>
    <row r="83" spans="2:13" ht="9.75" customHeight="1">
      <c r="B83" s="2314" t="s">
        <v>299</v>
      </c>
      <c r="C83" s="2315"/>
      <c r="D83" s="2315"/>
      <c r="E83" s="2315"/>
      <c r="F83" s="2316"/>
    </row>
    <row r="84" spans="2:13" ht="8.25" customHeight="1">
      <c r="B84" s="2317"/>
      <c r="C84" s="2318"/>
      <c r="D84" s="2318"/>
      <c r="E84" s="2318"/>
      <c r="F84" s="2319"/>
    </row>
    <row r="85" spans="2:13" ht="15" customHeight="1" thickBot="1">
      <c r="B85" s="2320"/>
      <c r="C85" s="2321"/>
      <c r="D85" s="2321"/>
      <c r="E85" s="2321"/>
      <c r="F85" s="2322"/>
    </row>
    <row r="86" spans="2:13" ht="18.899999999999999" thickBot="1">
      <c r="B86" s="2239" t="s">
        <v>300</v>
      </c>
      <c r="C86" s="2240"/>
      <c r="D86" s="2240"/>
      <c r="E86" s="2240"/>
      <c r="F86" s="2240"/>
      <c r="G86" s="2240"/>
      <c r="H86" s="2240"/>
      <c r="I86" s="2240"/>
      <c r="J86" s="2240"/>
      <c r="K86" s="2242"/>
    </row>
    <row r="87" spans="2:13" ht="54" customHeight="1" outlineLevel="1">
      <c r="B87" s="2408" t="s">
        <v>612</v>
      </c>
      <c r="C87" s="2409"/>
      <c r="D87" s="2409"/>
      <c r="E87" s="2409"/>
      <c r="F87" s="2409"/>
      <c r="G87" s="2403" t="s">
        <v>2414</v>
      </c>
      <c r="H87" s="2403"/>
      <c r="I87" s="2403"/>
      <c r="J87" s="2403"/>
      <c r="K87" s="2404"/>
    </row>
    <row r="88" spans="2:13" ht="114" customHeight="1" outlineLevel="1">
      <c r="B88" s="2410" t="s">
        <v>641</v>
      </c>
      <c r="C88" s="2093"/>
      <c r="D88" s="2093"/>
      <c r="E88" s="2093"/>
      <c r="F88" s="2093"/>
      <c r="G88" s="2251" t="s">
        <v>2352</v>
      </c>
      <c r="H88" s="2251"/>
      <c r="I88" s="2251"/>
      <c r="J88" s="2251"/>
      <c r="K88" s="2248"/>
    </row>
    <row r="89" spans="2:13" ht="70.5" customHeight="1" outlineLevel="1" thickBot="1">
      <c r="B89" s="2406" t="s">
        <v>2351</v>
      </c>
      <c r="C89" s="2407"/>
      <c r="D89" s="2407"/>
      <c r="E89" s="2407"/>
      <c r="F89" s="2407"/>
      <c r="G89" s="2285" t="s">
        <v>2353</v>
      </c>
      <c r="H89" s="2285"/>
      <c r="I89" s="2285"/>
      <c r="J89" s="2285"/>
      <c r="K89" s="2286"/>
    </row>
    <row r="90" spans="2:13" ht="28.5" customHeight="1" thickBot="1">
      <c r="B90" s="157" t="s">
        <v>290</v>
      </c>
    </row>
    <row r="91" spans="2:13" ht="18.75" customHeight="1" thickBot="1">
      <c r="B91" s="2239" t="s">
        <v>301</v>
      </c>
      <c r="C91" s="2240"/>
      <c r="D91" s="2240"/>
      <c r="E91" s="2240"/>
      <c r="F91" s="2240"/>
      <c r="G91" s="2240"/>
      <c r="H91" s="2240"/>
      <c r="I91" s="2240"/>
      <c r="J91" s="2240"/>
      <c r="K91" s="2242"/>
    </row>
    <row r="92" spans="2:13" ht="85.5" customHeight="1" outlineLevel="1" thickBot="1">
      <c r="B92" s="2296" t="s">
        <v>2372</v>
      </c>
      <c r="C92" s="2297"/>
      <c r="D92" s="2297"/>
      <c r="E92" s="2297"/>
      <c r="F92" s="2298"/>
      <c r="G92" s="2405" t="s">
        <v>262</v>
      </c>
      <c r="H92" s="2247"/>
      <c r="I92" s="2247"/>
      <c r="J92" s="2247"/>
      <c r="K92" s="2248"/>
      <c r="M92" s="156"/>
    </row>
    <row r="93" spans="2:13" ht="84" customHeight="1" outlineLevel="1" thickBot="1">
      <c r="B93" s="2296" t="s">
        <v>125</v>
      </c>
      <c r="C93" s="2297"/>
      <c r="D93" s="2297"/>
      <c r="E93" s="2297"/>
      <c r="F93" s="2298"/>
      <c r="G93" s="2299" t="s">
        <v>263</v>
      </c>
      <c r="H93" s="2247"/>
      <c r="I93" s="2247"/>
      <c r="J93" s="2247"/>
      <c r="K93" s="2248"/>
    </row>
    <row r="94" spans="2:13" ht="163.5" customHeight="1" outlineLevel="1" thickBot="1">
      <c r="B94" s="2296" t="s">
        <v>187</v>
      </c>
      <c r="C94" s="2297"/>
      <c r="D94" s="2297"/>
      <c r="E94" s="2297"/>
      <c r="F94" s="2298"/>
      <c r="G94" s="2299" t="s">
        <v>2396</v>
      </c>
      <c r="H94" s="2247"/>
      <c r="I94" s="2247"/>
      <c r="J94" s="2247"/>
      <c r="K94" s="2248"/>
    </row>
    <row r="95" spans="2:13" ht="66" customHeight="1" outlineLevel="1" thickBot="1">
      <c r="B95" s="2296" t="s">
        <v>642</v>
      </c>
      <c r="C95" s="2297"/>
      <c r="D95" s="2297"/>
      <c r="E95" s="2297"/>
      <c r="F95" s="2298"/>
      <c r="G95" s="2299" t="s">
        <v>264</v>
      </c>
      <c r="H95" s="2247"/>
      <c r="I95" s="2247"/>
      <c r="J95" s="2247"/>
      <c r="K95" s="2248"/>
    </row>
    <row r="96" spans="2:13" ht="94.5" customHeight="1" outlineLevel="1" thickBot="1">
      <c r="B96" s="2296" t="s">
        <v>643</v>
      </c>
      <c r="C96" s="2297"/>
      <c r="D96" s="2297"/>
      <c r="E96" s="2297"/>
      <c r="F96" s="2298"/>
      <c r="G96" s="2299" t="s">
        <v>2397</v>
      </c>
      <c r="H96" s="2247"/>
      <c r="I96" s="2247"/>
      <c r="J96" s="2247"/>
      <c r="K96" s="2248"/>
    </row>
    <row r="97" spans="2:12" ht="97.5" customHeight="1" outlineLevel="1" thickBot="1">
      <c r="B97" s="2296" t="s">
        <v>2354</v>
      </c>
      <c r="C97" s="2297"/>
      <c r="D97" s="2297"/>
      <c r="E97" s="2297"/>
      <c r="F97" s="2298"/>
      <c r="G97" s="2344" t="s">
        <v>637</v>
      </c>
      <c r="H97" s="2344"/>
      <c r="I97" s="2344"/>
      <c r="J97" s="2344"/>
      <c r="K97" s="2345"/>
    </row>
    <row r="98" spans="2:12" ht="174" customHeight="1" outlineLevel="1" thickBot="1">
      <c r="B98" s="2296" t="s">
        <v>644</v>
      </c>
      <c r="C98" s="2297"/>
      <c r="D98" s="2297"/>
      <c r="E98" s="2297"/>
      <c r="F98" s="2298"/>
      <c r="G98" s="2299" t="s">
        <v>2368</v>
      </c>
      <c r="H98" s="2247"/>
      <c r="I98" s="2247"/>
      <c r="J98" s="2247"/>
      <c r="K98" s="2248"/>
    </row>
    <row r="99" spans="2:12" ht="168" customHeight="1" outlineLevel="1" thickBot="1">
      <c r="B99" s="2292" t="s">
        <v>2370</v>
      </c>
      <c r="C99" s="2293"/>
      <c r="D99" s="2293"/>
      <c r="E99" s="2293"/>
      <c r="F99" s="2294"/>
      <c r="G99" s="2295" t="s">
        <v>2369</v>
      </c>
      <c r="H99" s="2252"/>
      <c r="I99" s="2252"/>
      <c r="J99" s="2252"/>
      <c r="K99" s="2253"/>
    </row>
    <row r="100" spans="2:12" ht="27" customHeight="1" thickBot="1">
      <c r="B100" s="157" t="s">
        <v>290</v>
      </c>
      <c r="C100" s="1527"/>
      <c r="D100" s="1527"/>
      <c r="E100" s="1527"/>
      <c r="F100" s="1527"/>
      <c r="G100" s="1526"/>
      <c r="H100" s="1526"/>
      <c r="I100" s="1526"/>
      <c r="J100" s="1526"/>
      <c r="K100" s="1526"/>
      <c r="L100" s="1525"/>
    </row>
    <row r="101" spans="2:12" ht="18.899999999999999" thickBot="1">
      <c r="B101" s="2239" t="s">
        <v>302</v>
      </c>
      <c r="C101" s="2240"/>
      <c r="D101" s="2240"/>
      <c r="E101" s="2240"/>
      <c r="F101" s="2240"/>
      <c r="G101" s="2241"/>
      <c r="H101" s="2241"/>
      <c r="I101" s="2240"/>
      <c r="J101" s="2240"/>
      <c r="K101" s="2242"/>
    </row>
    <row r="102" spans="2:12" ht="106.5" customHeight="1" outlineLevel="1">
      <c r="B102" s="2392" t="s">
        <v>341</v>
      </c>
      <c r="C102" s="2393"/>
      <c r="D102" s="1382" t="s">
        <v>172</v>
      </c>
      <c r="E102" s="1383"/>
      <c r="F102" s="1383"/>
      <c r="G102" s="2243" t="s">
        <v>280</v>
      </c>
      <c r="H102" s="2244"/>
      <c r="I102" s="2244"/>
      <c r="J102" s="2244"/>
      <c r="K102" s="2245"/>
    </row>
    <row r="103" spans="2:12" ht="104.25" customHeight="1" outlineLevel="1">
      <c r="B103" s="2280"/>
      <c r="C103" s="2281"/>
      <c r="D103" s="1384" t="s">
        <v>173</v>
      </c>
      <c r="E103" s="817"/>
      <c r="F103" s="817"/>
      <c r="G103" s="2246" t="s">
        <v>281</v>
      </c>
      <c r="H103" s="2247"/>
      <c r="I103" s="2247"/>
      <c r="J103" s="2247"/>
      <c r="K103" s="2248"/>
    </row>
    <row r="104" spans="2:12" ht="74.25" customHeight="1" outlineLevel="1">
      <c r="B104" s="2276" t="s">
        <v>185</v>
      </c>
      <c r="C104" s="2277"/>
      <c r="D104" s="2249" t="s">
        <v>231</v>
      </c>
      <c r="E104" s="2250"/>
      <c r="F104" s="2103"/>
      <c r="G104" s="2247" t="s">
        <v>282</v>
      </c>
      <c r="H104" s="2247"/>
      <c r="I104" s="2247"/>
      <c r="J104" s="2247"/>
      <c r="K104" s="2248"/>
    </row>
    <row r="105" spans="2:12" ht="93.75" customHeight="1" outlineLevel="1">
      <c r="B105" s="2278"/>
      <c r="C105" s="2279"/>
      <c r="D105" s="2249" t="s">
        <v>356</v>
      </c>
      <c r="E105" s="2250"/>
      <c r="F105" s="2103"/>
      <c r="G105" s="2247" t="s">
        <v>2355</v>
      </c>
      <c r="H105" s="2247"/>
      <c r="I105" s="2247"/>
      <c r="J105" s="2247"/>
      <c r="K105" s="2248"/>
    </row>
    <row r="106" spans="2:12" ht="112.5" customHeight="1" outlineLevel="1">
      <c r="B106" s="2280"/>
      <c r="C106" s="2281"/>
      <c r="D106" s="2254" t="s">
        <v>599</v>
      </c>
      <c r="E106" s="2255"/>
      <c r="F106" s="2256"/>
      <c r="G106" s="2246" t="s">
        <v>2419</v>
      </c>
      <c r="H106" s="2247"/>
      <c r="I106" s="2247"/>
      <c r="J106" s="2247"/>
      <c r="K106" s="2248"/>
    </row>
    <row r="107" spans="2:12" ht="59.25" customHeight="1" outlineLevel="1">
      <c r="B107" s="2415" t="s">
        <v>394</v>
      </c>
      <c r="C107" s="2416"/>
      <c r="D107" s="2257" t="s">
        <v>375</v>
      </c>
      <c r="E107" s="2258"/>
      <c r="F107" s="2259"/>
      <c r="G107" s="2251" t="s">
        <v>2395</v>
      </c>
      <c r="H107" s="2251"/>
      <c r="I107" s="2251"/>
      <c r="J107" s="2251"/>
      <c r="K107" s="2248"/>
    </row>
    <row r="108" spans="2:12" ht="59.25" customHeight="1" outlineLevel="1">
      <c r="B108" s="2417"/>
      <c r="C108" s="2418"/>
      <c r="D108" s="2249" t="s">
        <v>2361</v>
      </c>
      <c r="E108" s="2250"/>
      <c r="F108" s="2103"/>
      <c r="G108" s="2251" t="s">
        <v>2356</v>
      </c>
      <c r="H108" s="2251"/>
      <c r="I108" s="2251"/>
      <c r="J108" s="2251"/>
      <c r="K108" s="2248"/>
    </row>
    <row r="109" spans="2:12" ht="59.25" customHeight="1" outlineLevel="1">
      <c r="B109" s="2417"/>
      <c r="C109" s="2418"/>
      <c r="D109" s="2249" t="s">
        <v>2358</v>
      </c>
      <c r="E109" s="2250"/>
      <c r="F109" s="2103"/>
      <c r="G109" s="2251" t="s">
        <v>283</v>
      </c>
      <c r="H109" s="2251"/>
      <c r="I109" s="2251"/>
      <c r="J109" s="2251"/>
      <c r="K109" s="2248"/>
    </row>
    <row r="110" spans="2:12" ht="59.25" customHeight="1" outlineLevel="1" thickBot="1">
      <c r="B110" s="2417"/>
      <c r="C110" s="2418"/>
      <c r="D110" s="2249" t="s">
        <v>2357</v>
      </c>
      <c r="E110" s="2250"/>
      <c r="F110" s="2103"/>
      <c r="G110" s="2252" t="s">
        <v>284</v>
      </c>
      <c r="H110" s="2252"/>
      <c r="I110" s="2252"/>
      <c r="J110" s="2252"/>
      <c r="K110" s="2253"/>
    </row>
    <row r="111" spans="2:12" ht="59.25" customHeight="1" outlineLevel="1" thickBot="1">
      <c r="B111" s="2419"/>
      <c r="C111" s="2420"/>
      <c r="D111" s="2260" t="s">
        <v>2360</v>
      </c>
      <c r="E111" s="2261"/>
      <c r="F111" s="2262"/>
      <c r="G111" s="2252" t="s">
        <v>2359</v>
      </c>
      <c r="H111" s="2252"/>
      <c r="I111" s="2252"/>
      <c r="J111" s="2252"/>
      <c r="K111" s="2253"/>
    </row>
    <row r="112" spans="2:12" ht="51" customHeight="1" outlineLevel="1">
      <c r="B112" s="2394" t="s">
        <v>2362</v>
      </c>
      <c r="C112" s="2395"/>
      <c r="D112" s="2400" t="s">
        <v>825</v>
      </c>
      <c r="E112" s="2401"/>
      <c r="F112" s="2402"/>
      <c r="G112" s="2403" t="s">
        <v>2363</v>
      </c>
      <c r="H112" s="2403"/>
      <c r="I112" s="2403"/>
      <c r="J112" s="2403"/>
      <c r="K112" s="2404"/>
    </row>
    <row r="113" spans="2:15" ht="59.25" customHeight="1" outlineLevel="1">
      <c r="B113" s="2396"/>
      <c r="C113" s="2397"/>
      <c r="D113" s="2249" t="s">
        <v>826</v>
      </c>
      <c r="E113" s="2250"/>
      <c r="F113" s="2103"/>
      <c r="G113" s="2251" t="s">
        <v>2364</v>
      </c>
      <c r="H113" s="2251"/>
      <c r="I113" s="2251"/>
      <c r="J113" s="2251"/>
      <c r="K113" s="2248"/>
    </row>
    <row r="114" spans="2:15" ht="37.5" customHeight="1" outlineLevel="1">
      <c r="B114" s="2396"/>
      <c r="C114" s="2397"/>
      <c r="D114" s="2249" t="s">
        <v>827</v>
      </c>
      <c r="E114" s="2250"/>
      <c r="F114" s="2103"/>
      <c r="G114" s="2251" t="s">
        <v>2365</v>
      </c>
      <c r="H114" s="2251"/>
      <c r="I114" s="2251"/>
      <c r="J114" s="2251"/>
      <c r="K114" s="2248"/>
    </row>
    <row r="115" spans="2:15" ht="41.25" customHeight="1" outlineLevel="1">
      <c r="B115" s="2396"/>
      <c r="C115" s="2397"/>
      <c r="D115" s="2249" t="s">
        <v>828</v>
      </c>
      <c r="E115" s="2250"/>
      <c r="F115" s="2103"/>
      <c r="G115" s="2251" t="s">
        <v>2366</v>
      </c>
      <c r="H115" s="2251"/>
      <c r="I115" s="2251"/>
      <c r="J115" s="2251"/>
      <c r="K115" s="2248"/>
    </row>
    <row r="116" spans="2:15" ht="59.25" customHeight="1" outlineLevel="1" thickBot="1">
      <c r="B116" s="2398"/>
      <c r="C116" s="2399"/>
      <c r="D116" s="2282" t="s">
        <v>829</v>
      </c>
      <c r="E116" s="2283"/>
      <c r="F116" s="2284"/>
      <c r="G116" s="2285" t="s">
        <v>2367</v>
      </c>
      <c r="H116" s="2285"/>
      <c r="I116" s="2285"/>
      <c r="J116" s="2285"/>
      <c r="K116" s="2286"/>
    </row>
    <row r="117" spans="2:15" ht="28.5" customHeight="1" thickBot="1">
      <c r="B117" s="157" t="s">
        <v>233</v>
      </c>
      <c r="C117" s="158"/>
      <c r="D117" s="158"/>
      <c r="E117" s="158"/>
      <c r="F117" s="158"/>
    </row>
    <row r="118" spans="2:15" ht="19.5" customHeight="1" thickBot="1">
      <c r="B118" s="2239" t="s">
        <v>303</v>
      </c>
      <c r="C118" s="2240"/>
      <c r="D118" s="2240"/>
      <c r="E118" s="2240"/>
      <c r="F118" s="2240"/>
      <c r="G118" s="2240"/>
      <c r="H118" s="2240"/>
      <c r="I118" s="2240"/>
      <c r="J118" s="2240"/>
      <c r="K118" s="2242"/>
    </row>
    <row r="119" spans="2:15" ht="186" customHeight="1" outlineLevel="1">
      <c r="B119" s="2287" t="s">
        <v>171</v>
      </c>
      <c r="C119" s="2127"/>
      <c r="D119" s="2127"/>
      <c r="E119" s="2127"/>
      <c r="F119" s="2127"/>
      <c r="G119" s="2243" t="s">
        <v>285</v>
      </c>
      <c r="H119" s="2244"/>
      <c r="I119" s="2244"/>
      <c r="J119" s="2244"/>
      <c r="K119" s="2245"/>
    </row>
    <row r="120" spans="2:15" ht="102" customHeight="1" outlineLevel="1">
      <c r="B120" s="2288" t="s">
        <v>81</v>
      </c>
      <c r="C120" s="2289"/>
      <c r="D120" s="2289"/>
      <c r="E120" s="2289"/>
      <c r="F120" s="2289"/>
      <c r="G120" s="2247" t="s">
        <v>286</v>
      </c>
      <c r="H120" s="2247"/>
      <c r="I120" s="2247"/>
      <c r="J120" s="2247"/>
      <c r="K120" s="2248"/>
    </row>
    <row r="121" spans="2:15" ht="100.5" customHeight="1" outlineLevel="1" thickBot="1">
      <c r="B121" s="2290" t="s">
        <v>82</v>
      </c>
      <c r="C121" s="2291"/>
      <c r="D121" s="2291"/>
      <c r="E121" s="2291"/>
      <c r="F121" s="2291"/>
      <c r="G121" s="2252" t="s">
        <v>287</v>
      </c>
      <c r="H121" s="2252"/>
      <c r="I121" s="2252"/>
      <c r="J121" s="2252"/>
      <c r="K121" s="2253"/>
    </row>
    <row r="122" spans="2:15" ht="28.5" customHeight="1">
      <c r="B122" s="157" t="s">
        <v>234</v>
      </c>
      <c r="C122" s="158"/>
      <c r="D122" s="158"/>
      <c r="E122" s="158"/>
      <c r="F122" s="1529"/>
      <c r="G122" s="2411"/>
      <c r="H122" s="2412"/>
      <c r="I122" s="2412"/>
      <c r="J122" s="2412"/>
      <c r="K122" s="2412"/>
    </row>
    <row r="123" spans="2:15" ht="73.5" customHeight="1">
      <c r="B123" s="157"/>
      <c r="C123" s="158"/>
      <c r="D123" s="158"/>
      <c r="E123" s="158"/>
      <c r="F123" s="1532"/>
      <c r="G123" s="1528"/>
      <c r="H123" s="1528"/>
      <c r="I123" s="1528"/>
      <c r="J123" s="1528"/>
      <c r="K123" s="1528"/>
    </row>
    <row r="124" spans="2:15" ht="28.5" customHeight="1">
      <c r="B124" s="2391" t="s">
        <v>606</v>
      </c>
      <c r="C124" s="2391"/>
      <c r="D124" s="2391"/>
      <c r="E124" s="2391"/>
      <c r="F124" s="2391"/>
      <c r="G124" s="1528"/>
      <c r="H124" s="1528"/>
      <c r="I124" s="1528"/>
      <c r="J124" s="1528"/>
      <c r="K124" s="1528"/>
    </row>
    <row r="125" spans="2:15" ht="18.75" customHeight="1">
      <c r="B125" s="2413" t="s">
        <v>2384</v>
      </c>
      <c r="C125" s="2413"/>
      <c r="D125" s="2413"/>
      <c r="E125" s="2413"/>
      <c r="F125" s="2413"/>
      <c r="G125" s="2413"/>
      <c r="H125" s="2413"/>
      <c r="I125" s="2413"/>
      <c r="J125" s="2413"/>
      <c r="K125" s="2413"/>
    </row>
    <row r="126" spans="2:15" ht="116.25" customHeight="1" outlineLevel="1">
      <c r="B126" s="2414" t="s">
        <v>207</v>
      </c>
      <c r="C126" s="2414"/>
      <c r="D126" s="2414"/>
      <c r="E126" s="2414"/>
      <c r="F126" s="2414"/>
      <c r="G126" s="2251" t="s">
        <v>2374</v>
      </c>
      <c r="H126" s="2251"/>
      <c r="I126" s="2251"/>
      <c r="J126" s="2251"/>
      <c r="K126" s="2251"/>
    </row>
    <row r="127" spans="2:15" ht="23.25" customHeight="1" outlineLevel="1">
      <c r="B127" s="2275" t="s">
        <v>609</v>
      </c>
      <c r="C127" s="2275"/>
      <c r="D127" s="2275"/>
      <c r="E127" s="2275"/>
      <c r="F127" s="2275"/>
      <c r="G127" s="2275"/>
      <c r="H127" s="2275"/>
      <c r="I127" s="2275"/>
      <c r="J127" s="2275"/>
      <c r="K127" s="2275"/>
    </row>
    <row r="128" spans="2:15" s="160" customFormat="1" ht="138" customHeight="1" outlineLevel="1">
      <c r="B128" s="2264" t="s">
        <v>729</v>
      </c>
      <c r="C128" s="2265"/>
      <c r="D128" s="2265"/>
      <c r="E128" s="2265"/>
      <c r="F128" s="2266"/>
      <c r="G128" s="2251" t="s">
        <v>2390</v>
      </c>
      <c r="H128" s="2251"/>
      <c r="I128" s="2251"/>
      <c r="J128" s="2251"/>
      <c r="K128" s="2251"/>
      <c r="N128" s="1040"/>
      <c r="O128" s="1040"/>
    </row>
    <row r="129" spans="2:15" s="160" customFormat="1" ht="149.25" customHeight="1" outlineLevel="1">
      <c r="B129" s="2264" t="s">
        <v>626</v>
      </c>
      <c r="C129" s="2265"/>
      <c r="D129" s="2265"/>
      <c r="E129" s="2265"/>
      <c r="F129" s="2266"/>
      <c r="G129" s="2251" t="s">
        <v>2391</v>
      </c>
      <c r="H129" s="2251"/>
      <c r="I129" s="2251"/>
      <c r="J129" s="2251"/>
      <c r="K129" s="2251"/>
      <c r="N129" s="1040"/>
      <c r="O129" s="1040"/>
    </row>
    <row r="130" spans="2:15" s="160" customFormat="1" ht="132" customHeight="1" outlineLevel="1">
      <c r="B130" s="2264" t="s">
        <v>725</v>
      </c>
      <c r="C130" s="2265"/>
      <c r="D130" s="2265"/>
      <c r="E130" s="2265"/>
      <c r="F130" s="2266"/>
      <c r="G130" s="2251" t="s">
        <v>2392</v>
      </c>
      <c r="H130" s="2251"/>
      <c r="I130" s="2251"/>
      <c r="J130" s="2251"/>
      <c r="K130" s="2251"/>
      <c r="N130" s="1040"/>
      <c r="O130" s="1040"/>
    </row>
    <row r="131" spans="2:15" s="160" customFormat="1" ht="74.25" customHeight="1" outlineLevel="1">
      <c r="B131" s="2421" t="s">
        <v>726</v>
      </c>
      <c r="C131" s="2422"/>
      <c r="D131" s="2422"/>
      <c r="E131" s="2422"/>
      <c r="F131" s="2423"/>
      <c r="G131" s="2251" t="s">
        <v>265</v>
      </c>
      <c r="H131" s="2251"/>
      <c r="I131" s="2251"/>
      <c r="J131" s="2251"/>
      <c r="K131" s="2251"/>
      <c r="N131" s="1040"/>
      <c r="O131" s="1040"/>
    </row>
    <row r="132" spans="2:15" s="160" customFormat="1" ht="93.75" customHeight="1" outlineLevel="1">
      <c r="B132" s="2421" t="s">
        <v>727</v>
      </c>
      <c r="C132" s="2422"/>
      <c r="D132" s="2422"/>
      <c r="E132" s="2422"/>
      <c r="F132" s="2423"/>
      <c r="G132" s="2251" t="s">
        <v>2393</v>
      </c>
      <c r="H132" s="2251"/>
      <c r="I132" s="2251"/>
      <c r="J132" s="2251"/>
      <c r="K132" s="2251"/>
      <c r="N132" s="1040"/>
      <c r="O132" s="1040"/>
    </row>
    <row r="133" spans="2:15" s="160" customFormat="1" ht="110.25" customHeight="1" outlineLevel="1">
      <c r="B133" s="2264" t="s">
        <v>208</v>
      </c>
      <c r="C133" s="2265"/>
      <c r="D133" s="2265"/>
      <c r="E133" s="2265"/>
      <c r="F133" s="2266"/>
      <c r="G133" s="2251" t="s">
        <v>2377</v>
      </c>
      <c r="H133" s="2251"/>
      <c r="I133" s="2251"/>
      <c r="J133" s="2251"/>
      <c r="K133" s="2251"/>
      <c r="N133" s="1040"/>
      <c r="O133" s="1040"/>
    </row>
    <row r="134" spans="2:15" s="160" customFormat="1" ht="204.75" customHeight="1" outlineLevel="1">
      <c r="B134" s="2264" t="s">
        <v>2375</v>
      </c>
      <c r="C134" s="2265"/>
      <c r="D134" s="2265"/>
      <c r="E134" s="2265"/>
      <c r="F134" s="2266"/>
      <c r="G134" s="2251" t="s">
        <v>2378</v>
      </c>
      <c r="H134" s="2251"/>
      <c r="I134" s="2251"/>
      <c r="J134" s="2251"/>
      <c r="K134" s="2251"/>
      <c r="N134" s="1040"/>
      <c r="O134" s="1040"/>
    </row>
    <row r="135" spans="2:15" s="160" customFormat="1" ht="222.75" customHeight="1" outlineLevel="1">
      <c r="B135" s="2270" t="s">
        <v>2376</v>
      </c>
      <c r="C135" s="2271"/>
      <c r="D135" s="2271"/>
      <c r="E135" s="2271"/>
      <c r="F135" s="2272"/>
      <c r="G135" s="2251" t="s">
        <v>2394</v>
      </c>
      <c r="H135" s="2251"/>
      <c r="I135" s="2251"/>
      <c r="J135" s="2251"/>
      <c r="K135" s="2251"/>
      <c r="N135" s="1040"/>
      <c r="O135" s="1040"/>
    </row>
    <row r="136" spans="2:15" s="160" customFormat="1" ht="117.75" customHeight="1" outlineLevel="1">
      <c r="B136" s="2264" t="s">
        <v>253</v>
      </c>
      <c r="C136" s="2265"/>
      <c r="D136" s="2265"/>
      <c r="E136" s="2265"/>
      <c r="F136" s="2266"/>
      <c r="G136" s="2263" t="s">
        <v>252</v>
      </c>
      <c r="H136" s="2263"/>
      <c r="I136" s="2263"/>
      <c r="J136" s="2263"/>
      <c r="K136" s="2263"/>
      <c r="N136" s="1040"/>
      <c r="O136" s="1040"/>
    </row>
    <row r="137" spans="2:15" s="160" customFormat="1" ht="91.75" customHeight="1" outlineLevel="1">
      <c r="B137" s="2270" t="s">
        <v>244</v>
      </c>
      <c r="C137" s="2271"/>
      <c r="D137" s="2271"/>
      <c r="E137" s="2271"/>
      <c r="F137" s="2272"/>
      <c r="G137" s="2263" t="s">
        <v>254</v>
      </c>
      <c r="H137" s="2263"/>
      <c r="I137" s="2263"/>
      <c r="J137" s="2263"/>
      <c r="K137" s="2263"/>
      <c r="N137" s="1040"/>
      <c r="O137" s="1040"/>
    </row>
    <row r="138" spans="2:15" s="160" customFormat="1" ht="90.75" customHeight="1" outlineLevel="1">
      <c r="B138" s="2264" t="s">
        <v>245</v>
      </c>
      <c r="C138" s="2265"/>
      <c r="D138" s="2265"/>
      <c r="E138" s="2265"/>
      <c r="F138" s="2266"/>
      <c r="G138" s="2263" t="s">
        <v>2383</v>
      </c>
      <c r="H138" s="2263"/>
      <c r="I138" s="2263"/>
      <c r="J138" s="2263"/>
      <c r="K138" s="2263"/>
      <c r="N138" s="1040"/>
      <c r="O138" s="1040"/>
    </row>
    <row r="139" spans="2:15" s="160" customFormat="1" ht="65.25" customHeight="1" outlineLevel="1">
      <c r="B139" s="2264" t="s">
        <v>246</v>
      </c>
      <c r="C139" s="2265"/>
      <c r="D139" s="2265"/>
      <c r="E139" s="2265"/>
      <c r="F139" s="2266"/>
      <c r="G139" s="2263" t="s">
        <v>255</v>
      </c>
      <c r="H139" s="2263"/>
      <c r="I139" s="2263"/>
      <c r="J139" s="2263"/>
      <c r="K139" s="2263"/>
      <c r="N139" s="1040"/>
      <c r="O139" s="1040"/>
    </row>
    <row r="140" spans="2:15" s="160" customFormat="1" ht="90" customHeight="1" outlineLevel="1">
      <c r="B140" s="2270" t="s">
        <v>247</v>
      </c>
      <c r="C140" s="2271"/>
      <c r="D140" s="2271"/>
      <c r="E140" s="2271"/>
      <c r="F140" s="2272"/>
      <c r="G140" s="2263" t="s">
        <v>256</v>
      </c>
      <c r="H140" s="2263"/>
      <c r="I140" s="2263"/>
      <c r="J140" s="2263"/>
      <c r="K140" s="2263"/>
      <c r="N140" s="1040"/>
      <c r="O140" s="1040"/>
    </row>
    <row r="141" spans="2:15" s="160" customFormat="1" ht="136.5" customHeight="1" outlineLevel="1">
      <c r="B141" s="2264" t="s">
        <v>248</v>
      </c>
      <c r="C141" s="2265"/>
      <c r="D141" s="2265"/>
      <c r="E141" s="2265"/>
      <c r="F141" s="2266"/>
      <c r="G141" s="2273" t="s">
        <v>259</v>
      </c>
      <c r="H141" s="2263"/>
      <c r="I141" s="2263"/>
      <c r="J141" s="2263"/>
      <c r="K141" s="2263"/>
      <c r="N141" s="1040"/>
      <c r="O141" s="1040"/>
    </row>
    <row r="142" spans="2:15" s="160" customFormat="1" ht="138.65" customHeight="1" outlineLevel="1">
      <c r="B142" s="2264" t="s">
        <v>243</v>
      </c>
      <c r="C142" s="2265"/>
      <c r="D142" s="2265"/>
      <c r="E142" s="2265"/>
      <c r="F142" s="2266"/>
      <c r="G142" s="2273" t="s">
        <v>257</v>
      </c>
      <c r="H142" s="2263"/>
      <c r="I142" s="2263"/>
      <c r="J142" s="2263"/>
      <c r="K142" s="2263"/>
      <c r="N142" s="1040"/>
      <c r="O142" s="1040"/>
    </row>
    <row r="143" spans="2:15" s="160" customFormat="1" ht="102" customHeight="1" outlineLevel="1">
      <c r="B143" s="2264" t="s">
        <v>249</v>
      </c>
      <c r="C143" s="2265"/>
      <c r="D143" s="2265"/>
      <c r="E143" s="2265"/>
      <c r="F143" s="2266"/>
      <c r="G143" s="2273" t="s">
        <v>258</v>
      </c>
      <c r="H143" s="2263"/>
      <c r="I143" s="2263"/>
      <c r="J143" s="2263"/>
      <c r="K143" s="2263"/>
      <c r="N143" s="1040"/>
      <c r="O143" s="1040"/>
    </row>
    <row r="144" spans="2:15" s="160" customFormat="1" ht="103" customHeight="1" outlineLevel="1">
      <c r="B144" s="2264" t="s">
        <v>250</v>
      </c>
      <c r="C144" s="2265"/>
      <c r="D144" s="2265"/>
      <c r="E144" s="2265"/>
      <c r="F144" s="2266"/>
      <c r="G144" s="2263" t="s">
        <v>260</v>
      </c>
      <c r="H144" s="2263"/>
      <c r="I144" s="2263"/>
      <c r="J144" s="2263"/>
      <c r="K144" s="2263"/>
      <c r="N144" s="1040"/>
      <c r="O144" s="1040"/>
    </row>
    <row r="145" spans="2:15" ht="96.75" customHeight="1" outlineLevel="1">
      <c r="B145" s="2264" t="s">
        <v>251</v>
      </c>
      <c r="C145" s="2265"/>
      <c r="D145" s="2265"/>
      <c r="E145" s="2265"/>
      <c r="F145" s="2266"/>
      <c r="G145" s="2263" t="s">
        <v>261</v>
      </c>
      <c r="H145" s="2263"/>
      <c r="I145" s="2263"/>
      <c r="J145" s="2263"/>
      <c r="K145" s="2263"/>
      <c r="N145" s="1040"/>
      <c r="O145" s="1040"/>
    </row>
    <row r="146" spans="2:15" ht="88.5" customHeight="1" outlineLevel="1">
      <c r="B146" s="2264" t="s">
        <v>684</v>
      </c>
      <c r="C146" s="2265"/>
      <c r="D146" s="2265"/>
      <c r="E146" s="2265"/>
      <c r="F146" s="2266"/>
      <c r="G146" s="2263" t="s">
        <v>2402</v>
      </c>
      <c r="H146" s="2263"/>
      <c r="I146" s="2263"/>
      <c r="J146" s="2263"/>
      <c r="K146" s="2263"/>
      <c r="N146" s="1040"/>
      <c r="O146" s="1040"/>
    </row>
    <row r="147" spans="2:15" ht="25.5" customHeight="1" outlineLevel="1">
      <c r="B147" s="2275" t="s">
        <v>610</v>
      </c>
      <c r="C147" s="2275"/>
      <c r="D147" s="2275"/>
      <c r="E147" s="2275"/>
      <c r="F147" s="2275"/>
      <c r="G147" s="2275"/>
      <c r="H147" s="2275"/>
      <c r="I147" s="2275"/>
      <c r="J147" s="2275"/>
      <c r="K147" s="2275"/>
      <c r="N147" s="1040"/>
      <c r="O147" s="1040"/>
    </row>
    <row r="148" spans="2:15" ht="98.25" customHeight="1" outlineLevel="1">
      <c r="B148" s="2267" t="s">
        <v>2379</v>
      </c>
      <c r="C148" s="2268"/>
      <c r="D148" s="2268"/>
      <c r="E148" s="2268"/>
      <c r="F148" s="2269"/>
      <c r="G148" s="2274" t="s">
        <v>2381</v>
      </c>
      <c r="H148" s="2093"/>
      <c r="I148" s="2093"/>
      <c r="J148" s="2093"/>
      <c r="K148" s="2093"/>
    </row>
    <row r="149" spans="2:15" ht="25.5" customHeight="1" outlineLevel="1">
      <c r="B149" s="2275" t="s">
        <v>611</v>
      </c>
      <c r="C149" s="2275"/>
      <c r="D149" s="2275"/>
      <c r="E149" s="2275"/>
      <c r="F149" s="2275"/>
      <c r="G149" s="2275"/>
      <c r="H149" s="2275"/>
      <c r="I149" s="2275"/>
      <c r="J149" s="2275"/>
      <c r="K149" s="2275"/>
    </row>
    <row r="150" spans="2:15" ht="117" customHeight="1" outlineLevel="1">
      <c r="B150" s="2267" t="s">
        <v>2379</v>
      </c>
      <c r="C150" s="2268"/>
      <c r="D150" s="2268"/>
      <c r="E150" s="2268"/>
      <c r="F150" s="2269"/>
      <c r="G150" s="2274" t="s">
        <v>2382</v>
      </c>
      <c r="H150" s="2274"/>
      <c r="I150" s="2274"/>
      <c r="J150" s="2274"/>
      <c r="K150" s="2274"/>
    </row>
    <row r="151" spans="2:15" ht="18.75" customHeight="1">
      <c r="B151" s="1530" t="s">
        <v>232</v>
      </c>
      <c r="C151" s="1531"/>
      <c r="D151" s="1531"/>
      <c r="E151" s="1531"/>
      <c r="F151" s="1531"/>
      <c r="G151" s="1528"/>
      <c r="H151" s="1528"/>
      <c r="I151" s="1528"/>
      <c r="J151" s="1528"/>
      <c r="K151" s="1528"/>
    </row>
    <row r="152" spans="2:15" ht="78.75" customHeight="1">
      <c r="B152" s="1530"/>
      <c r="C152" s="1531"/>
      <c r="D152" s="1531"/>
      <c r="E152" s="1531"/>
      <c r="F152" s="1531"/>
      <c r="G152" s="1528"/>
      <c r="H152" s="1528"/>
      <c r="I152" s="1528"/>
      <c r="J152" s="1528"/>
      <c r="K152" s="1528"/>
    </row>
    <row r="153" spans="2:15" ht="27" customHeight="1" outlineLevel="1">
      <c r="B153" s="2429" t="s">
        <v>2380</v>
      </c>
      <c r="C153" s="2429"/>
      <c r="D153" s="2429"/>
      <c r="E153" s="2429"/>
      <c r="F153" s="2429"/>
      <c r="G153" s="2429"/>
      <c r="H153" s="2429"/>
      <c r="I153" s="2429"/>
      <c r="J153" s="2429"/>
      <c r="K153" s="2429"/>
    </row>
    <row r="154" spans="2:15" ht="67.5" customHeight="1" outlineLevel="1">
      <c r="B154" s="2414" t="s">
        <v>242</v>
      </c>
      <c r="C154" s="2414"/>
      <c r="D154" s="2414"/>
      <c r="E154" s="2414"/>
      <c r="F154" s="2414"/>
      <c r="G154" s="2263" t="s">
        <v>2385</v>
      </c>
      <c r="H154" s="2263"/>
      <c r="I154" s="2263"/>
      <c r="J154" s="2263"/>
      <c r="K154" s="2263"/>
    </row>
    <row r="155" spans="2:15" ht="27" customHeight="1" outlineLevel="1">
      <c r="B155" s="2275" t="s">
        <v>616</v>
      </c>
      <c r="C155" s="2275"/>
      <c r="D155" s="2275"/>
      <c r="E155" s="2275"/>
      <c r="F155" s="2275"/>
      <c r="G155" s="2275"/>
      <c r="H155" s="2275"/>
      <c r="I155" s="2275"/>
      <c r="J155" s="2275"/>
      <c r="K155" s="2275"/>
    </row>
    <row r="156" spans="2:15" ht="42" customHeight="1" outlineLevel="1">
      <c r="B156" s="2428" t="s">
        <v>2403</v>
      </c>
      <c r="C156" s="2428"/>
      <c r="D156" s="2428"/>
      <c r="E156" s="2428"/>
      <c r="F156" s="2428"/>
      <c r="G156" s="2424"/>
      <c r="H156" s="2425"/>
      <c r="I156" s="2425"/>
      <c r="J156" s="2425"/>
      <c r="K156" s="2426"/>
    </row>
    <row r="157" spans="2:15" ht="126" customHeight="1" outlineLevel="1">
      <c r="B157" s="2427" t="s">
        <v>2386</v>
      </c>
      <c r="C157" s="2427"/>
      <c r="D157" s="2427"/>
      <c r="E157" s="2427"/>
      <c r="F157" s="2427"/>
      <c r="G157" s="2273" t="s">
        <v>288</v>
      </c>
      <c r="H157" s="2263"/>
      <c r="I157" s="2263"/>
      <c r="J157" s="2263"/>
      <c r="K157" s="2263"/>
    </row>
    <row r="158" spans="2:15" ht="27" customHeight="1" outlineLevel="1">
      <c r="B158" s="2275" t="s">
        <v>617</v>
      </c>
      <c r="C158" s="2275"/>
      <c r="D158" s="2275"/>
      <c r="E158" s="2275"/>
      <c r="F158" s="2275"/>
      <c r="G158" s="2275"/>
      <c r="H158" s="2275"/>
      <c r="I158" s="2275"/>
      <c r="J158" s="2275"/>
      <c r="K158" s="2275"/>
    </row>
    <row r="159" spans="2:15" ht="33" customHeight="1" outlineLevel="1">
      <c r="B159" s="2428" t="s">
        <v>2379</v>
      </c>
      <c r="C159" s="2428"/>
      <c r="D159" s="2428"/>
      <c r="E159" s="2428"/>
      <c r="F159" s="2428"/>
      <c r="G159" s="2433"/>
      <c r="H159" s="2433"/>
      <c r="I159" s="2433"/>
      <c r="J159" s="2433"/>
      <c r="K159" s="2433"/>
    </row>
    <row r="160" spans="2:15" ht="29.25" customHeight="1" outlineLevel="1">
      <c r="B160" s="2275" t="s">
        <v>618</v>
      </c>
      <c r="C160" s="2275"/>
      <c r="D160" s="2275"/>
      <c r="E160" s="2275"/>
      <c r="F160" s="2275"/>
      <c r="G160" s="2275"/>
      <c r="H160" s="2275"/>
      <c r="I160" s="2275"/>
      <c r="J160" s="2275"/>
      <c r="K160" s="2275"/>
    </row>
    <row r="161" spans="2:11" ht="33" customHeight="1" outlineLevel="1">
      <c r="B161" s="2428" t="s">
        <v>2379</v>
      </c>
      <c r="C161" s="2428"/>
      <c r="D161" s="2428"/>
      <c r="E161" s="2428"/>
      <c r="F161" s="2428"/>
      <c r="G161" s="2433"/>
      <c r="H161" s="2433"/>
      <c r="I161" s="2433"/>
      <c r="J161" s="2433"/>
      <c r="K161" s="2433"/>
    </row>
    <row r="162" spans="2:11" ht="25.5" customHeight="1">
      <c r="G162" s="161"/>
      <c r="H162" s="162"/>
    </row>
    <row r="163" spans="2:11" ht="55.5" customHeight="1">
      <c r="G163" s="161"/>
      <c r="H163" s="162"/>
    </row>
    <row r="164" spans="2:11" ht="27" customHeight="1" outlineLevel="1">
      <c r="B164" s="2429" t="s">
        <v>2389</v>
      </c>
      <c r="C164" s="2429"/>
      <c r="D164" s="2429"/>
      <c r="E164" s="2429"/>
      <c r="F164" s="2429"/>
      <c r="G164" s="2429"/>
      <c r="H164" s="2429"/>
      <c r="I164" s="2429"/>
      <c r="J164" s="2429"/>
      <c r="K164" s="2429"/>
    </row>
    <row r="165" spans="2:11" ht="67.5" customHeight="1" outlineLevel="1">
      <c r="B165" s="2414" t="s">
        <v>242</v>
      </c>
      <c r="C165" s="2414"/>
      <c r="D165" s="2414"/>
      <c r="E165" s="2414"/>
      <c r="F165" s="2414"/>
      <c r="G165" s="2263" t="s">
        <v>2385</v>
      </c>
      <c r="H165" s="2263"/>
      <c r="I165" s="2263"/>
      <c r="J165" s="2263"/>
      <c r="K165" s="2263"/>
    </row>
    <row r="166" spans="2:11" ht="67.5" customHeight="1" outlineLevel="1">
      <c r="B166" s="2414" t="s">
        <v>2027</v>
      </c>
      <c r="C166" s="2414"/>
      <c r="D166" s="2414"/>
      <c r="E166" s="2414"/>
      <c r="F166" s="2414"/>
      <c r="G166" s="2093" t="s">
        <v>2388</v>
      </c>
      <c r="H166" s="2093"/>
      <c r="I166" s="2093"/>
      <c r="J166" s="2093"/>
      <c r="K166" s="2093"/>
    </row>
    <row r="167" spans="2:11" ht="27" customHeight="1" outlineLevel="1">
      <c r="B167" s="2275" t="s">
        <v>616</v>
      </c>
      <c r="C167" s="2275"/>
      <c r="D167" s="2275"/>
      <c r="E167" s="2275"/>
      <c r="F167" s="2275"/>
      <c r="G167" s="2275"/>
      <c r="H167" s="2275"/>
      <c r="I167" s="2275"/>
      <c r="J167" s="2275"/>
      <c r="K167" s="2275"/>
    </row>
    <row r="168" spans="2:11" ht="31.5" customHeight="1" outlineLevel="1">
      <c r="B168" s="2428" t="s">
        <v>2387</v>
      </c>
      <c r="C168" s="2428"/>
      <c r="D168" s="2428"/>
      <c r="E168" s="2428"/>
      <c r="F168" s="2428"/>
      <c r="G168" s="2424"/>
      <c r="H168" s="2425"/>
      <c r="I168" s="2425"/>
      <c r="J168" s="2425"/>
      <c r="K168" s="2426"/>
    </row>
    <row r="169" spans="2:11" ht="27" customHeight="1" outlineLevel="1">
      <c r="B169" s="2275" t="s">
        <v>617</v>
      </c>
      <c r="C169" s="2275"/>
      <c r="D169" s="2275"/>
      <c r="E169" s="2275"/>
      <c r="F169" s="2275"/>
      <c r="G169" s="2275"/>
      <c r="H169" s="2275"/>
      <c r="I169" s="2275"/>
      <c r="J169" s="2275"/>
      <c r="K169" s="2275"/>
    </row>
    <row r="170" spans="2:11" ht="33" customHeight="1" outlineLevel="1">
      <c r="B170" s="2428" t="s">
        <v>2387</v>
      </c>
      <c r="C170" s="2428"/>
      <c r="D170" s="2428"/>
      <c r="E170" s="2428"/>
      <c r="F170" s="2428"/>
      <c r="G170" s="2430"/>
      <c r="H170" s="2431"/>
      <c r="I170" s="2431"/>
      <c r="J170" s="2431"/>
      <c r="K170" s="2432"/>
    </row>
    <row r="171" spans="2:11" ht="29.25" customHeight="1" outlineLevel="1">
      <c r="B171" s="2275" t="s">
        <v>618</v>
      </c>
      <c r="C171" s="2275"/>
      <c r="D171" s="2275"/>
      <c r="E171" s="2275"/>
      <c r="F171" s="2275"/>
      <c r="G171" s="2275"/>
      <c r="H171" s="2275"/>
      <c r="I171" s="2275"/>
      <c r="J171" s="2275"/>
      <c r="K171" s="2275"/>
    </row>
    <row r="172" spans="2:11" ht="33" customHeight="1" outlineLevel="1">
      <c r="B172" s="2428" t="s">
        <v>2387</v>
      </c>
      <c r="C172" s="2428"/>
      <c r="D172" s="2428"/>
      <c r="E172" s="2428"/>
      <c r="F172" s="2428"/>
      <c r="G172" s="2430"/>
      <c r="H172" s="2431"/>
      <c r="I172" s="2431"/>
      <c r="J172" s="2431"/>
      <c r="K172" s="2432"/>
    </row>
  </sheetData>
  <sheetProtection algorithmName="SHA-512" hashValue="6kMOGJhKTVTLVtKal7Gd1lZyRi7+G7ykXz7CEN82zBXKFgLNcmOaKUAaSiR5HVpj/BWjgM1lyC3jxs7tDEosiA==" saltValue="qhO0L9hD05SoaZttMwdQQw==" spinCount="100000" sheet="1"/>
  <mergeCells count="259">
    <mergeCell ref="B168:F168"/>
    <mergeCell ref="B170:F170"/>
    <mergeCell ref="B172:F172"/>
    <mergeCell ref="G170:K170"/>
    <mergeCell ref="G172:K172"/>
    <mergeCell ref="B166:F166"/>
    <mergeCell ref="G166:K166"/>
    <mergeCell ref="B158:K158"/>
    <mergeCell ref="B164:K164"/>
    <mergeCell ref="B165:F165"/>
    <mergeCell ref="B160:K160"/>
    <mergeCell ref="G165:K165"/>
    <mergeCell ref="G159:K159"/>
    <mergeCell ref="B167:K167"/>
    <mergeCell ref="G168:K168"/>
    <mergeCell ref="B169:K169"/>
    <mergeCell ref="G161:K161"/>
    <mergeCell ref="B171:K171"/>
    <mergeCell ref="B132:F132"/>
    <mergeCell ref="B133:F133"/>
    <mergeCell ref="B134:F134"/>
    <mergeCell ref="B135:F135"/>
    <mergeCell ref="B136:F136"/>
    <mergeCell ref="G156:K156"/>
    <mergeCell ref="B157:F157"/>
    <mergeCell ref="B159:F159"/>
    <mergeCell ref="B161:F161"/>
    <mergeCell ref="G157:K157"/>
    <mergeCell ref="B156:F156"/>
    <mergeCell ref="G132:K132"/>
    <mergeCell ref="G137:K137"/>
    <mergeCell ref="G138:K138"/>
    <mergeCell ref="G139:K139"/>
    <mergeCell ref="G134:K134"/>
    <mergeCell ref="G133:K133"/>
    <mergeCell ref="G136:K136"/>
    <mergeCell ref="B137:F137"/>
    <mergeCell ref="B138:F138"/>
    <mergeCell ref="B139:F139"/>
    <mergeCell ref="B153:K153"/>
    <mergeCell ref="B155:K155"/>
    <mergeCell ref="B154:F154"/>
    <mergeCell ref="G122:K122"/>
    <mergeCell ref="B125:K125"/>
    <mergeCell ref="B126:F126"/>
    <mergeCell ref="G126:K126"/>
    <mergeCell ref="B107:C111"/>
    <mergeCell ref="B128:F128"/>
    <mergeCell ref="B129:F129"/>
    <mergeCell ref="B130:F130"/>
    <mergeCell ref="B131:F131"/>
    <mergeCell ref="G130:K130"/>
    <mergeCell ref="G131:K131"/>
    <mergeCell ref="G128:K128"/>
    <mergeCell ref="G129:K129"/>
    <mergeCell ref="D70:F70"/>
    <mergeCell ref="B71:C71"/>
    <mergeCell ref="D71:F71"/>
    <mergeCell ref="B72:C72"/>
    <mergeCell ref="D72:F72"/>
    <mergeCell ref="B73:C73"/>
    <mergeCell ref="D73:F73"/>
    <mergeCell ref="B74:C74"/>
    <mergeCell ref="D74:F74"/>
    <mergeCell ref="B79:C79"/>
    <mergeCell ref="D79:F79"/>
    <mergeCell ref="B80:C80"/>
    <mergeCell ref="B93:F93"/>
    <mergeCell ref="B94:F94"/>
    <mergeCell ref="B95:F95"/>
    <mergeCell ref="B91:K91"/>
    <mergeCell ref="B92:F92"/>
    <mergeCell ref="G135:K135"/>
    <mergeCell ref="B124:F124"/>
    <mergeCell ref="B127:K127"/>
    <mergeCell ref="B102:C103"/>
    <mergeCell ref="G109:K109"/>
    <mergeCell ref="B112:C116"/>
    <mergeCell ref="D112:F112"/>
    <mergeCell ref="G112:K112"/>
    <mergeCell ref="G92:K92"/>
    <mergeCell ref="D80:F80"/>
    <mergeCell ref="G89:K89"/>
    <mergeCell ref="B89:F89"/>
    <mergeCell ref="B87:F87"/>
    <mergeCell ref="G87:K87"/>
    <mergeCell ref="B88:F88"/>
    <mergeCell ref="G88:K88"/>
    <mergeCell ref="B8:F8"/>
    <mergeCell ref="G8:K8"/>
    <mergeCell ref="B7:F7"/>
    <mergeCell ref="G7:K7"/>
    <mergeCell ref="G10:K10"/>
    <mergeCell ref="B11:F11"/>
    <mergeCell ref="G11:K11"/>
    <mergeCell ref="B22:F22"/>
    <mergeCell ref="G22:K22"/>
    <mergeCell ref="G20:K20"/>
    <mergeCell ref="B9:F9"/>
    <mergeCell ref="G9:K9"/>
    <mergeCell ref="B10:F10"/>
    <mergeCell ref="B26:F26"/>
    <mergeCell ref="B27:F28"/>
    <mergeCell ref="G29:K40"/>
    <mergeCell ref="B47:C47"/>
    <mergeCell ref="G47:K47"/>
    <mergeCell ref="B43:F43"/>
    <mergeCell ref="B44:C44"/>
    <mergeCell ref="B45:C45"/>
    <mergeCell ref="G45:K45"/>
    <mergeCell ref="B46:C46"/>
    <mergeCell ref="G46:K46"/>
    <mergeCell ref="B69:C69"/>
    <mergeCell ref="D69:F69"/>
    <mergeCell ref="G69:K74"/>
    <mergeCell ref="B70:C70"/>
    <mergeCell ref="B97:F97"/>
    <mergeCell ref="G97:K97"/>
    <mergeCell ref="A2:G2"/>
    <mergeCell ref="B4:F4"/>
    <mergeCell ref="B5:F5"/>
    <mergeCell ref="G5:K5"/>
    <mergeCell ref="B6:F6"/>
    <mergeCell ref="G6:K6"/>
    <mergeCell ref="G17:K17"/>
    <mergeCell ref="B17:F17"/>
    <mergeCell ref="G18:K18"/>
    <mergeCell ref="B18:F18"/>
    <mergeCell ref="B19:F19"/>
    <mergeCell ref="G19:K19"/>
    <mergeCell ref="B12:F12"/>
    <mergeCell ref="G12:K12"/>
    <mergeCell ref="B16:F16"/>
    <mergeCell ref="B21:F21"/>
    <mergeCell ref="G21:K21"/>
    <mergeCell ref="B20:F20"/>
    <mergeCell ref="B51:C51"/>
    <mergeCell ref="D51:F51"/>
    <mergeCell ref="G51:K51"/>
    <mergeCell ref="B52:C52"/>
    <mergeCell ref="D52:F52"/>
    <mergeCell ref="G52:K52"/>
    <mergeCell ref="B48:C48"/>
    <mergeCell ref="G48:K50"/>
    <mergeCell ref="B49:C49"/>
    <mergeCell ref="B50:C50"/>
    <mergeCell ref="B55:C55"/>
    <mergeCell ref="D55:F55"/>
    <mergeCell ref="G55:K55"/>
    <mergeCell ref="B56:C56"/>
    <mergeCell ref="D56:F56"/>
    <mergeCell ref="G56:K56"/>
    <mergeCell ref="B53:C53"/>
    <mergeCell ref="D53:F53"/>
    <mergeCell ref="G53:K53"/>
    <mergeCell ref="B54:C54"/>
    <mergeCell ref="D54:F54"/>
    <mergeCell ref="G54:K54"/>
    <mergeCell ref="B57:C57"/>
    <mergeCell ref="D57:F57"/>
    <mergeCell ref="G57:K62"/>
    <mergeCell ref="B58:C58"/>
    <mergeCell ref="D58:F58"/>
    <mergeCell ref="B59:C59"/>
    <mergeCell ref="D59:F59"/>
    <mergeCell ref="B60:C60"/>
    <mergeCell ref="D60:F60"/>
    <mergeCell ref="B61:C61"/>
    <mergeCell ref="D61:F61"/>
    <mergeCell ref="B62:C62"/>
    <mergeCell ref="D62:F62"/>
    <mergeCell ref="B63:C63"/>
    <mergeCell ref="D63:F63"/>
    <mergeCell ref="G63:K68"/>
    <mergeCell ref="B64:C64"/>
    <mergeCell ref="D64:F64"/>
    <mergeCell ref="B65:C65"/>
    <mergeCell ref="D65:F65"/>
    <mergeCell ref="B83:F85"/>
    <mergeCell ref="B86:K86"/>
    <mergeCell ref="B66:C66"/>
    <mergeCell ref="D66:F66"/>
    <mergeCell ref="B67:C67"/>
    <mergeCell ref="D67:F67"/>
    <mergeCell ref="B68:C68"/>
    <mergeCell ref="D68:F68"/>
    <mergeCell ref="B75:C75"/>
    <mergeCell ref="D75:F75"/>
    <mergeCell ref="G75:K80"/>
    <mergeCell ref="B76:C76"/>
    <mergeCell ref="D76:F76"/>
    <mergeCell ref="B77:C77"/>
    <mergeCell ref="D77:F77"/>
    <mergeCell ref="B78:C78"/>
    <mergeCell ref="D78:F78"/>
    <mergeCell ref="B99:F99"/>
    <mergeCell ref="G99:K99"/>
    <mergeCell ref="B98:F98"/>
    <mergeCell ref="B96:F96"/>
    <mergeCell ref="G96:K96"/>
    <mergeCell ref="G98:K98"/>
    <mergeCell ref="G93:K93"/>
    <mergeCell ref="G94:K94"/>
    <mergeCell ref="G95:K95"/>
    <mergeCell ref="B104:C106"/>
    <mergeCell ref="D116:F116"/>
    <mergeCell ref="G116:K116"/>
    <mergeCell ref="B118:K118"/>
    <mergeCell ref="B119:F119"/>
    <mergeCell ref="G119:K119"/>
    <mergeCell ref="B120:F120"/>
    <mergeCell ref="G120:K120"/>
    <mergeCell ref="B121:F121"/>
    <mergeCell ref="G121:K121"/>
    <mergeCell ref="G154:K154"/>
    <mergeCell ref="B146:F146"/>
    <mergeCell ref="B148:F148"/>
    <mergeCell ref="B150:F150"/>
    <mergeCell ref="B140:F140"/>
    <mergeCell ref="B141:F141"/>
    <mergeCell ref="B142:F142"/>
    <mergeCell ref="B143:F143"/>
    <mergeCell ref="B144:F144"/>
    <mergeCell ref="B145:F145"/>
    <mergeCell ref="G140:K140"/>
    <mergeCell ref="G141:K141"/>
    <mergeCell ref="G142:K142"/>
    <mergeCell ref="G148:K148"/>
    <mergeCell ref="B147:K147"/>
    <mergeCell ref="B149:K149"/>
    <mergeCell ref="G150:K150"/>
    <mergeCell ref="G146:K146"/>
    <mergeCell ref="G145:K145"/>
    <mergeCell ref="G143:K143"/>
    <mergeCell ref="G144:K144"/>
    <mergeCell ref="B101:K101"/>
    <mergeCell ref="G102:K102"/>
    <mergeCell ref="G103:K103"/>
    <mergeCell ref="D113:F113"/>
    <mergeCell ref="G113:K113"/>
    <mergeCell ref="D114:F114"/>
    <mergeCell ref="G114:K114"/>
    <mergeCell ref="D115:F115"/>
    <mergeCell ref="G115:K115"/>
    <mergeCell ref="G110:K110"/>
    <mergeCell ref="G111:K111"/>
    <mergeCell ref="D106:F106"/>
    <mergeCell ref="D105:F105"/>
    <mergeCell ref="D104:F104"/>
    <mergeCell ref="G104:K104"/>
    <mergeCell ref="G105:K105"/>
    <mergeCell ref="G106:K106"/>
    <mergeCell ref="G107:K107"/>
    <mergeCell ref="G108:K108"/>
    <mergeCell ref="D108:F108"/>
    <mergeCell ref="D107:F107"/>
    <mergeCell ref="D109:F109"/>
    <mergeCell ref="D110:F110"/>
    <mergeCell ref="D111:F111"/>
  </mergeCells>
  <pageMargins left="0.7" right="0.7" top="0.75" bottom="0.75" header="0.3" footer="0.3"/>
  <pageSetup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CC5ED"/>
  </sheetPr>
  <dimension ref="A2:AU449"/>
  <sheetViews>
    <sheetView showGridLines="0" topLeftCell="A49" zoomScale="85" zoomScaleNormal="85" zoomScalePageLayoutView="117" workbookViewId="0">
      <selection activeCell="H65" sqref="H65:Z70"/>
    </sheetView>
  </sheetViews>
  <sheetFormatPr defaultColWidth="11.3046875" defaultRowHeight="14.6" outlineLevelRow="1"/>
  <cols>
    <col min="1" max="4" width="2.3046875" customWidth="1"/>
    <col min="5" max="5" width="1.84375" customWidth="1"/>
    <col min="6" max="6" width="22.3828125" customWidth="1"/>
    <col min="7" max="7" width="59.84375" customWidth="1"/>
    <col min="8" max="8" width="15.15234375" style="1444" customWidth="1"/>
    <col min="9" max="10" width="15.69140625" style="1444" hidden="1" customWidth="1"/>
    <col min="11" max="11" width="16.3046875" style="1444" customWidth="1"/>
    <col min="12" max="13" width="15.3046875" style="1444" hidden="1" customWidth="1"/>
    <col min="14" max="14" width="15.15234375" style="1444" customWidth="1"/>
    <col min="15" max="16" width="15.3046875" style="1444" hidden="1" customWidth="1"/>
    <col min="17" max="17" width="15.15234375" style="1444" customWidth="1"/>
    <col min="18" max="19" width="20.15234375" style="1444" hidden="1" customWidth="1"/>
    <col min="20" max="20" width="15.15234375" style="1444" customWidth="1"/>
    <col min="21" max="22" width="20.15234375" style="1444" hidden="1" customWidth="1"/>
    <col min="23" max="23" width="15.15234375" style="1444" customWidth="1"/>
    <col min="24" max="24" width="0.53515625" style="1444" customWidth="1"/>
    <col min="25" max="25" width="17" style="1534" customWidth="1"/>
    <col min="26" max="26" width="13.84375" style="1534" customWidth="1"/>
    <col min="28" max="28" width="9.84375" customWidth="1"/>
    <col min="29" max="29" width="7.84375" customWidth="1"/>
    <col min="32" max="32" width="8.3046875" customWidth="1"/>
    <col min="33" max="33" width="7.3828125" customWidth="1"/>
  </cols>
  <sheetData>
    <row r="2" spans="1:26" ht="71.25" customHeight="1">
      <c r="F2" s="2434" t="s">
        <v>5527</v>
      </c>
      <c r="G2" s="2435"/>
      <c r="H2" s="2435"/>
      <c r="I2" s="2435"/>
      <c r="J2" s="2435"/>
      <c r="K2" s="2435"/>
      <c r="L2" s="2436"/>
      <c r="N2" s="1604"/>
    </row>
    <row r="3" spans="1:26" ht="60" customHeight="1">
      <c r="A3" s="486"/>
    </row>
    <row r="4" spans="1:26" ht="26.9" customHeight="1">
      <c r="F4" s="393" t="s">
        <v>316</v>
      </c>
      <c r="G4" s="1537"/>
      <c r="H4" s="2516" t="s">
        <v>2321</v>
      </c>
      <c r="I4" s="2517"/>
      <c r="J4" s="2517"/>
      <c r="K4" s="2518"/>
      <c r="N4" s="1542"/>
    </row>
    <row r="5" spans="1:26" ht="21" customHeight="1">
      <c r="F5" s="394" t="s">
        <v>470</v>
      </c>
      <c r="G5" s="1538"/>
      <c r="H5" s="2519" t="s">
        <v>2320</v>
      </c>
      <c r="I5" s="2520"/>
      <c r="J5" s="2520"/>
      <c r="K5" s="2521"/>
    </row>
    <row r="6" spans="1:26" ht="22.5" customHeight="1"/>
    <row r="7" spans="1:26" ht="22.5" customHeight="1"/>
    <row r="8" spans="1:26" ht="30" customHeight="1"/>
    <row r="9" spans="1:26" ht="18.75" customHeight="1">
      <c r="E9" s="412" t="s">
        <v>457</v>
      </c>
      <c r="F9" s="324"/>
      <c r="G9" s="1563"/>
      <c r="H9" s="2459" t="s">
        <v>358</v>
      </c>
      <c r="I9" s="2460"/>
      <c r="J9" s="2460"/>
      <c r="K9" s="2460"/>
      <c r="L9" s="2460"/>
      <c r="M9" s="2460"/>
      <c r="N9" s="2460"/>
      <c r="O9" s="2460"/>
      <c r="P9" s="2460"/>
      <c r="Q9" s="2460"/>
      <c r="R9" s="2460"/>
      <c r="S9" s="2460"/>
      <c r="T9" s="2460"/>
      <c r="U9" s="2460"/>
      <c r="V9" s="2460"/>
      <c r="W9" s="2460"/>
      <c r="X9" s="2460"/>
      <c r="Y9" s="2460"/>
      <c r="Z9" s="2461"/>
    </row>
    <row r="10" spans="1:26" ht="25" customHeight="1">
      <c r="F10" s="487" t="s">
        <v>453</v>
      </c>
      <c r="G10" s="488"/>
      <c r="H10" s="2456" t="s">
        <v>2411</v>
      </c>
      <c r="I10" s="2457"/>
      <c r="J10" s="2457"/>
      <c r="K10" s="2457"/>
      <c r="L10" s="2457"/>
      <c r="M10" s="2457"/>
      <c r="N10" s="2457"/>
      <c r="O10" s="2457"/>
      <c r="P10" s="2457"/>
      <c r="Q10" s="2457"/>
      <c r="R10" s="2457"/>
      <c r="S10" s="2457"/>
      <c r="T10" s="2457"/>
      <c r="U10" s="2457"/>
      <c r="V10" s="2457"/>
      <c r="W10" s="2457"/>
      <c r="X10" s="2457"/>
      <c r="Y10" s="2457"/>
      <c r="Z10" s="2458"/>
    </row>
    <row r="11" spans="1:26" ht="25" customHeight="1">
      <c r="F11" s="314" t="s">
        <v>454</v>
      </c>
      <c r="G11" s="315"/>
      <c r="H11" s="2456" t="s">
        <v>362</v>
      </c>
      <c r="I11" s="2457"/>
      <c r="J11" s="2457"/>
      <c r="K11" s="2457"/>
      <c r="L11" s="2457"/>
      <c r="M11" s="2457"/>
      <c r="N11" s="2457"/>
      <c r="O11" s="2457"/>
      <c r="P11" s="2457"/>
      <c r="Q11" s="2457"/>
      <c r="R11" s="2457"/>
      <c r="S11" s="2457"/>
      <c r="T11" s="2457"/>
      <c r="U11" s="2457"/>
      <c r="V11" s="2457"/>
      <c r="W11" s="2457"/>
      <c r="X11" s="2457"/>
      <c r="Y11" s="2457"/>
      <c r="Z11" s="2458"/>
    </row>
    <row r="12" spans="1:26" ht="34.5" customHeight="1">
      <c r="F12" s="314" t="s">
        <v>2406</v>
      </c>
      <c r="G12" s="316"/>
      <c r="H12" s="2456" t="s">
        <v>2404</v>
      </c>
      <c r="I12" s="2457"/>
      <c r="J12" s="2457"/>
      <c r="K12" s="2457"/>
      <c r="L12" s="2457"/>
      <c r="M12" s="2457"/>
      <c r="N12" s="2457"/>
      <c r="O12" s="2457"/>
      <c r="P12" s="2457"/>
      <c r="Q12" s="2457"/>
      <c r="R12" s="2457"/>
      <c r="S12" s="2457"/>
      <c r="T12" s="2457"/>
      <c r="U12" s="2457"/>
      <c r="V12" s="2457"/>
      <c r="W12" s="2457"/>
      <c r="X12" s="2457"/>
      <c r="Y12" s="2457"/>
      <c r="Z12" s="2458"/>
    </row>
    <row r="13" spans="1:26" ht="36" customHeight="1">
      <c r="F13" s="479" t="s">
        <v>2407</v>
      </c>
      <c r="G13" s="3"/>
      <c r="H13" s="2456" t="s">
        <v>2408</v>
      </c>
      <c r="I13" s="2457"/>
      <c r="J13" s="2457"/>
      <c r="K13" s="2457"/>
      <c r="L13" s="2457"/>
      <c r="M13" s="2457"/>
      <c r="N13" s="2457"/>
      <c r="O13" s="2457"/>
      <c r="P13" s="2457"/>
      <c r="Q13" s="2457"/>
      <c r="R13" s="2457"/>
      <c r="S13" s="2457"/>
      <c r="T13" s="2457"/>
      <c r="U13" s="2457"/>
      <c r="V13" s="2457"/>
      <c r="W13" s="2457"/>
      <c r="X13" s="2457"/>
      <c r="Y13" s="2457"/>
      <c r="Z13" s="2458"/>
    </row>
    <row r="14" spans="1:26" ht="25" customHeight="1">
      <c r="F14" s="317" t="s">
        <v>374</v>
      </c>
      <c r="G14" s="318"/>
      <c r="H14" s="2456" t="s">
        <v>2409</v>
      </c>
      <c r="I14" s="2457"/>
      <c r="J14" s="2457"/>
      <c r="K14" s="2457"/>
      <c r="L14" s="2457"/>
      <c r="M14" s="2457"/>
      <c r="N14" s="2457"/>
      <c r="O14" s="2457"/>
      <c r="P14" s="2457"/>
      <c r="Q14" s="2457"/>
      <c r="R14" s="2457"/>
      <c r="S14" s="2457"/>
      <c r="T14" s="2457"/>
      <c r="U14" s="2457"/>
      <c r="V14" s="2457"/>
      <c r="W14" s="2457"/>
      <c r="X14" s="2457"/>
      <c r="Y14" s="2457"/>
      <c r="Z14" s="2458"/>
    </row>
    <row r="15" spans="1:26" ht="41.25" customHeight="1">
      <c r="F15" s="2495" t="s">
        <v>830</v>
      </c>
      <c r="G15" s="2496"/>
      <c r="H15" s="2500" t="s">
        <v>2405</v>
      </c>
      <c r="I15" s="2501"/>
      <c r="J15" s="2501"/>
      <c r="K15" s="2501"/>
      <c r="L15" s="2501"/>
      <c r="M15" s="2501"/>
      <c r="N15" s="2501"/>
      <c r="O15" s="2501"/>
      <c r="P15" s="2501"/>
      <c r="Q15" s="2501"/>
      <c r="R15" s="2501"/>
      <c r="S15" s="2501"/>
      <c r="T15" s="2501"/>
      <c r="U15" s="2501"/>
      <c r="V15" s="2501"/>
      <c r="W15" s="2501"/>
      <c r="X15" s="2501"/>
      <c r="Y15" s="2501"/>
      <c r="Z15" s="2502"/>
    </row>
    <row r="16" spans="1:26" ht="35.25" customHeight="1">
      <c r="F16" s="314" t="s">
        <v>456</v>
      </c>
      <c r="G16" s="316"/>
      <c r="H16" s="2456" t="s">
        <v>2410</v>
      </c>
      <c r="I16" s="2457"/>
      <c r="J16" s="2457"/>
      <c r="K16" s="2457"/>
      <c r="L16" s="2457"/>
      <c r="M16" s="2457"/>
      <c r="N16" s="2457"/>
      <c r="O16" s="2457"/>
      <c r="P16" s="2457"/>
      <c r="Q16" s="2457"/>
      <c r="R16" s="2457"/>
      <c r="S16" s="2457"/>
      <c r="T16" s="2457"/>
      <c r="U16" s="2457"/>
      <c r="V16" s="2457"/>
      <c r="W16" s="2457"/>
      <c r="X16" s="2457"/>
      <c r="Y16" s="2457"/>
      <c r="Z16" s="2458"/>
    </row>
    <row r="17" spans="5:29" ht="41.25" customHeight="1">
      <c r="F17" s="319" t="s">
        <v>469</v>
      </c>
      <c r="G17" s="320"/>
      <c r="H17" s="2447" t="s">
        <v>2412</v>
      </c>
      <c r="I17" s="2448"/>
      <c r="J17" s="2448"/>
      <c r="K17" s="2448"/>
      <c r="L17" s="2448"/>
      <c r="M17" s="2448"/>
      <c r="N17" s="2448"/>
      <c r="O17" s="2448"/>
      <c r="P17" s="2448"/>
      <c r="Q17" s="2448"/>
      <c r="R17" s="2448"/>
      <c r="S17" s="2448"/>
      <c r="T17" s="2448"/>
      <c r="U17" s="2448"/>
      <c r="V17" s="2448"/>
      <c r="W17" s="2448"/>
      <c r="X17" s="2448"/>
      <c r="Y17" s="2448"/>
      <c r="Z17" s="2449"/>
    </row>
    <row r="18" spans="5:29" ht="12.75" customHeight="1">
      <c r="F18" s="308"/>
      <c r="G18" s="311"/>
      <c r="H18" s="1574"/>
      <c r="I18" s="1575"/>
      <c r="J18" s="1575"/>
      <c r="K18" s="1575"/>
      <c r="L18" s="1572"/>
      <c r="M18" s="1572"/>
      <c r="Q18" s="1576"/>
      <c r="R18" s="1463"/>
      <c r="S18" s="1463"/>
      <c r="T18" s="1577"/>
      <c r="Y18" s="1573"/>
      <c r="Z18" s="1573"/>
    </row>
    <row r="19" spans="5:29" ht="54.75" customHeight="1">
      <c r="F19" s="417" t="s">
        <v>393</v>
      </c>
      <c r="G19" s="1564"/>
      <c r="H19" s="2497" t="s">
        <v>2413</v>
      </c>
      <c r="I19" s="2498"/>
      <c r="J19" s="2498"/>
      <c r="K19" s="2498"/>
      <c r="L19" s="2498"/>
      <c r="M19" s="2498"/>
      <c r="N19" s="2498"/>
      <c r="O19" s="2498"/>
      <c r="P19" s="2498"/>
      <c r="Q19" s="2498"/>
      <c r="R19" s="2498"/>
      <c r="S19" s="2498"/>
      <c r="T19" s="2498"/>
      <c r="U19" s="2498"/>
      <c r="V19" s="2498"/>
      <c r="W19" s="2498"/>
      <c r="X19" s="2498"/>
      <c r="Y19" s="2498"/>
      <c r="Z19" s="2499"/>
    </row>
    <row r="20" spans="5:29" ht="15" customHeight="1">
      <c r="F20" s="312"/>
      <c r="G20" s="312"/>
      <c r="H20" s="1547"/>
      <c r="I20" s="1547"/>
      <c r="J20" s="1547"/>
      <c r="K20" s="1547"/>
      <c r="L20" s="1545"/>
      <c r="M20" s="1545"/>
      <c r="N20" s="1446"/>
      <c r="O20" s="1446"/>
      <c r="P20" s="1446"/>
      <c r="Q20" s="1543"/>
      <c r="R20" s="1544"/>
      <c r="S20" s="1447"/>
      <c r="T20" s="1546"/>
      <c r="U20" s="1447"/>
      <c r="V20" s="1447"/>
      <c r="W20" s="1447"/>
      <c r="X20" s="1447"/>
    </row>
    <row r="21" spans="5:29" ht="15" customHeight="1">
      <c r="F21" s="312"/>
      <c r="G21" s="312"/>
      <c r="H21" s="1547"/>
      <c r="I21" s="1547"/>
      <c r="J21" s="1547"/>
      <c r="K21" s="1547"/>
      <c r="L21" s="1545"/>
      <c r="M21" s="1545"/>
      <c r="N21" s="1446"/>
      <c r="O21" s="1446"/>
      <c r="P21" s="1446"/>
      <c r="Q21" s="1543"/>
      <c r="R21" s="1544"/>
      <c r="S21" s="1447"/>
      <c r="T21" s="1546"/>
      <c r="U21" s="1447"/>
      <c r="V21" s="1447"/>
      <c r="W21" s="1447"/>
      <c r="X21" s="1447"/>
    </row>
    <row r="22" spans="5:29" ht="15" customHeight="1">
      <c r="L22" s="1548"/>
      <c r="M22" s="1548"/>
      <c r="N22" s="1446"/>
      <c r="O22" s="1446"/>
      <c r="P22" s="1446"/>
      <c r="Q22" s="1543"/>
      <c r="R22" s="1544"/>
      <c r="S22" s="1544"/>
      <c r="U22" s="1446"/>
      <c r="V22" s="1446"/>
      <c r="W22" s="1446"/>
      <c r="X22" s="1446"/>
    </row>
    <row r="23" spans="5:29" ht="15.65" customHeight="1">
      <c r="F23" s="24"/>
      <c r="G23" s="24"/>
      <c r="H23" s="1549"/>
      <c r="I23" s="1549"/>
      <c r="J23" s="1549"/>
      <c r="K23" s="1549"/>
      <c r="L23" s="1548"/>
      <c r="M23" s="1548"/>
      <c r="Q23" s="1494"/>
      <c r="R23" s="1448"/>
      <c r="S23" s="1448"/>
      <c r="T23" s="1448"/>
      <c r="U23" s="1448"/>
      <c r="V23" s="1448"/>
      <c r="W23" s="1448"/>
      <c r="X23" s="1448"/>
    </row>
    <row r="24" spans="5:29" ht="20.25" customHeight="1">
      <c r="E24" s="413" t="s">
        <v>458</v>
      </c>
      <c r="F24" s="1491"/>
      <c r="G24" s="1565"/>
      <c r="H24" s="2459" t="s">
        <v>358</v>
      </c>
      <c r="I24" s="2460"/>
      <c r="J24" s="2460"/>
      <c r="K24" s="2460"/>
      <c r="L24" s="2460"/>
      <c r="M24" s="2460"/>
      <c r="N24" s="2460"/>
      <c r="O24" s="2460"/>
      <c r="P24" s="2460"/>
      <c r="Q24" s="2460"/>
      <c r="R24" s="2460"/>
      <c r="S24" s="2460"/>
      <c r="T24" s="2460"/>
      <c r="U24" s="2460"/>
      <c r="V24" s="2460"/>
      <c r="W24" s="2460"/>
      <c r="X24" s="2460"/>
      <c r="Y24" s="2460"/>
      <c r="Z24" s="2461"/>
    </row>
    <row r="25" spans="5:29" ht="15" customHeight="1">
      <c r="E25" s="367"/>
      <c r="F25" s="351" t="s">
        <v>465</v>
      </c>
      <c r="G25" s="1566"/>
      <c r="H25" s="2472"/>
      <c r="I25" s="2473"/>
      <c r="J25" s="2473"/>
      <c r="K25" s="2473"/>
      <c r="L25" s="2473"/>
      <c r="M25" s="2473"/>
      <c r="N25" s="2473"/>
      <c r="O25" s="2473"/>
      <c r="P25" s="2473"/>
      <c r="Q25" s="2473"/>
      <c r="R25" s="2473"/>
      <c r="S25" s="2473"/>
      <c r="T25" s="2473"/>
      <c r="U25" s="2473"/>
      <c r="V25" s="2473"/>
      <c r="W25" s="2473"/>
      <c r="X25" s="2473"/>
      <c r="Y25" s="2473"/>
      <c r="Z25" s="2474"/>
    </row>
    <row r="26" spans="5:29" ht="85.5" customHeight="1">
      <c r="F26" s="2503" t="s">
        <v>32</v>
      </c>
      <c r="G26" s="2504"/>
      <c r="H26" s="2456" t="s">
        <v>363</v>
      </c>
      <c r="I26" s="2457"/>
      <c r="J26" s="2457"/>
      <c r="K26" s="2457"/>
      <c r="L26" s="2457"/>
      <c r="M26" s="2457"/>
      <c r="N26" s="2457"/>
      <c r="O26" s="2457"/>
      <c r="P26" s="2457"/>
      <c r="Q26" s="2457"/>
      <c r="R26" s="2457"/>
      <c r="S26" s="2457"/>
      <c r="T26" s="2457"/>
      <c r="U26" s="2457"/>
      <c r="V26" s="2457"/>
      <c r="W26" s="2457"/>
      <c r="X26" s="2457"/>
      <c r="Y26" s="2457"/>
      <c r="Z26" s="2458"/>
    </row>
    <row r="27" spans="5:29" ht="85.5" customHeight="1">
      <c r="F27" s="2503" t="s">
        <v>360</v>
      </c>
      <c r="G27" s="2504"/>
      <c r="H27" s="2456" t="s">
        <v>364</v>
      </c>
      <c r="I27" s="2457"/>
      <c r="J27" s="2457"/>
      <c r="K27" s="2457"/>
      <c r="L27" s="2457"/>
      <c r="M27" s="2457"/>
      <c r="N27" s="2457"/>
      <c r="O27" s="2457"/>
      <c r="P27" s="2457"/>
      <c r="Q27" s="2457"/>
      <c r="R27" s="2457"/>
      <c r="S27" s="2457"/>
      <c r="T27" s="2457"/>
      <c r="U27" s="2457"/>
      <c r="V27" s="2457"/>
      <c r="W27" s="2457"/>
      <c r="X27" s="2457"/>
      <c r="Y27" s="2457"/>
      <c r="Z27" s="2458"/>
    </row>
    <row r="28" spans="5:29" ht="85.5" customHeight="1">
      <c r="F28" s="2503" t="s">
        <v>183</v>
      </c>
      <c r="G28" s="2504"/>
      <c r="H28" s="2456" t="s">
        <v>365</v>
      </c>
      <c r="I28" s="2457"/>
      <c r="J28" s="2457"/>
      <c r="K28" s="2457"/>
      <c r="L28" s="2457"/>
      <c r="M28" s="2457"/>
      <c r="N28" s="2457"/>
      <c r="O28" s="2457"/>
      <c r="P28" s="2457"/>
      <c r="Q28" s="2457"/>
      <c r="R28" s="2457"/>
      <c r="S28" s="2457"/>
      <c r="T28" s="2457"/>
      <c r="U28" s="2457"/>
      <c r="V28" s="2457"/>
      <c r="W28" s="2457"/>
      <c r="X28" s="2457"/>
      <c r="Y28" s="2457"/>
      <c r="Z28" s="2458"/>
    </row>
    <row r="29" spans="5:29" ht="187.5" customHeight="1">
      <c r="F29" s="2479" t="s">
        <v>452</v>
      </c>
      <c r="G29" s="2480"/>
      <c r="H29" s="2475" t="s">
        <v>2418</v>
      </c>
      <c r="I29" s="2448"/>
      <c r="J29" s="2448"/>
      <c r="K29" s="2448"/>
      <c r="L29" s="2448"/>
      <c r="M29" s="2448"/>
      <c r="N29" s="2448"/>
      <c r="O29" s="2448"/>
      <c r="P29" s="2448"/>
      <c r="Q29" s="2448"/>
      <c r="R29" s="2448"/>
      <c r="S29" s="2448"/>
      <c r="T29" s="2448"/>
      <c r="U29" s="2448"/>
      <c r="V29" s="2448"/>
      <c r="W29" s="2448"/>
      <c r="X29" s="2448"/>
      <c r="Y29" s="2448"/>
      <c r="Z29" s="2449"/>
    </row>
    <row r="30" spans="5:29" ht="23.25" customHeight="1">
      <c r="H30" s="1418"/>
      <c r="I30" s="1418"/>
      <c r="J30" s="1418"/>
      <c r="K30" s="1418"/>
      <c r="L30" s="1418"/>
      <c r="M30" s="1418"/>
      <c r="N30" s="1418"/>
      <c r="O30" s="1418"/>
      <c r="P30" s="1418"/>
      <c r="Q30" s="1418"/>
      <c r="R30" s="1418"/>
      <c r="S30" s="1418"/>
      <c r="T30" s="1418"/>
      <c r="U30" s="1418"/>
      <c r="V30" s="1418"/>
      <c r="W30" s="1418"/>
      <c r="X30" s="1418"/>
      <c r="Y30" s="1533"/>
    </row>
    <row r="31" spans="5:29" ht="24.75" customHeight="1">
      <c r="F31" s="442" t="s">
        <v>468</v>
      </c>
      <c r="G31" s="1566"/>
      <c r="H31" s="2459" t="s">
        <v>358</v>
      </c>
      <c r="I31" s="2460"/>
      <c r="J31" s="2460"/>
      <c r="K31" s="2460"/>
      <c r="L31" s="2460"/>
      <c r="M31" s="2460"/>
      <c r="N31" s="2460"/>
      <c r="O31" s="2460"/>
      <c r="P31" s="2460"/>
      <c r="Q31" s="2460"/>
      <c r="R31" s="2460"/>
      <c r="S31" s="2460"/>
      <c r="T31" s="2460"/>
      <c r="U31" s="2460"/>
      <c r="V31" s="2460"/>
      <c r="W31" s="2460"/>
      <c r="X31" s="2460"/>
      <c r="Y31" s="2460"/>
      <c r="Z31" s="2461"/>
    </row>
    <row r="32" spans="5:29" ht="46.5" customHeight="1">
      <c r="F32" s="2481" t="s">
        <v>235</v>
      </c>
      <c r="G32" s="1581" t="s">
        <v>209</v>
      </c>
      <c r="H32" s="2492" t="s">
        <v>2416</v>
      </c>
      <c r="I32" s="2493"/>
      <c r="J32" s="2493"/>
      <c r="K32" s="2493"/>
      <c r="L32" s="2493"/>
      <c r="M32" s="2493"/>
      <c r="N32" s="2493"/>
      <c r="O32" s="2493"/>
      <c r="P32" s="2493"/>
      <c r="Q32" s="2493"/>
      <c r="R32" s="2493"/>
      <c r="S32" s="2493"/>
      <c r="T32" s="2493"/>
      <c r="U32" s="2493"/>
      <c r="V32" s="2493"/>
      <c r="W32" s="2493"/>
      <c r="X32" s="2493"/>
      <c r="Y32" s="2493"/>
      <c r="Z32" s="2494"/>
      <c r="AA32" s="273"/>
      <c r="AB32" s="273"/>
      <c r="AC32" s="273"/>
    </row>
    <row r="33" spans="6:36" ht="46.5" customHeight="1">
      <c r="F33" s="2481"/>
      <c r="G33" s="1582" t="s">
        <v>210</v>
      </c>
      <c r="H33" s="2468"/>
      <c r="I33" s="2469"/>
      <c r="J33" s="2469"/>
      <c r="K33" s="2469"/>
      <c r="L33" s="2469"/>
      <c r="M33" s="2469"/>
      <c r="N33" s="2469"/>
      <c r="O33" s="2469"/>
      <c r="P33" s="2469"/>
      <c r="Q33" s="2469"/>
      <c r="R33" s="2469"/>
      <c r="S33" s="2469"/>
      <c r="T33" s="2469"/>
      <c r="U33" s="2469"/>
      <c r="V33" s="2469"/>
      <c r="W33" s="2469"/>
      <c r="X33" s="2469"/>
      <c r="Y33" s="2469"/>
      <c r="Z33" s="2470"/>
      <c r="AA33" s="273"/>
      <c r="AB33" s="273"/>
      <c r="AC33" s="273"/>
    </row>
    <row r="34" spans="6:36" ht="46.5" customHeight="1">
      <c r="F34" s="2482"/>
      <c r="G34" s="1583" t="s">
        <v>211</v>
      </c>
      <c r="H34" s="2447"/>
      <c r="I34" s="2448"/>
      <c r="J34" s="2448"/>
      <c r="K34" s="2448"/>
      <c r="L34" s="2448"/>
      <c r="M34" s="2448"/>
      <c r="N34" s="2448"/>
      <c r="O34" s="2448"/>
      <c r="P34" s="2448"/>
      <c r="Q34" s="2448"/>
      <c r="R34" s="2448"/>
      <c r="S34" s="2448"/>
      <c r="T34" s="2448"/>
      <c r="U34" s="2448"/>
      <c r="V34" s="2448"/>
      <c r="W34" s="2448"/>
      <c r="X34" s="2448"/>
      <c r="Y34" s="2448"/>
      <c r="Z34" s="2449"/>
      <c r="AA34" s="273"/>
      <c r="AB34" s="273"/>
      <c r="AC34" s="273"/>
    </row>
    <row r="35" spans="6:36" ht="11.25" customHeight="1">
      <c r="F35" s="2483" t="s">
        <v>236</v>
      </c>
      <c r="G35" s="1344" t="s">
        <v>359</v>
      </c>
      <c r="H35" s="2486" t="s">
        <v>2415</v>
      </c>
      <c r="I35" s="2487"/>
      <c r="J35" s="2487"/>
      <c r="K35" s="2487"/>
      <c r="L35" s="2487"/>
      <c r="M35" s="2487"/>
      <c r="N35" s="2487"/>
      <c r="O35" s="2487"/>
      <c r="P35" s="2487"/>
      <c r="Q35" s="2487"/>
      <c r="R35" s="2487"/>
      <c r="S35" s="2487"/>
      <c r="T35" s="2487"/>
      <c r="U35" s="2487"/>
      <c r="V35" s="2487"/>
      <c r="W35" s="2487"/>
      <c r="X35" s="2487"/>
      <c r="Y35" s="2487"/>
      <c r="Z35" s="2488"/>
    </row>
    <row r="36" spans="6:36" ht="15" customHeight="1">
      <c r="F36" s="2484"/>
      <c r="G36" s="425" t="s">
        <v>209</v>
      </c>
      <c r="H36" s="2486"/>
      <c r="I36" s="2487"/>
      <c r="J36" s="2487"/>
      <c r="K36" s="2487"/>
      <c r="L36" s="2487"/>
      <c r="M36" s="2487"/>
      <c r="N36" s="2487"/>
      <c r="O36" s="2487"/>
      <c r="P36" s="2487"/>
      <c r="Q36" s="2487"/>
      <c r="R36" s="2487"/>
      <c r="S36" s="2487"/>
      <c r="T36" s="2487"/>
      <c r="U36" s="2487"/>
      <c r="V36" s="2487"/>
      <c r="W36" s="2487"/>
      <c r="X36" s="2487"/>
      <c r="Y36" s="2487"/>
      <c r="Z36" s="2488"/>
    </row>
    <row r="37" spans="6:36" ht="15" customHeight="1">
      <c r="F37" s="2484"/>
      <c r="G37" s="426" t="s">
        <v>210</v>
      </c>
      <c r="H37" s="2486"/>
      <c r="I37" s="2487"/>
      <c r="J37" s="2487"/>
      <c r="K37" s="2487"/>
      <c r="L37" s="2487"/>
      <c r="M37" s="2487"/>
      <c r="N37" s="2487"/>
      <c r="O37" s="2487"/>
      <c r="P37" s="2487"/>
      <c r="Q37" s="2487"/>
      <c r="R37" s="2487"/>
      <c r="S37" s="2487"/>
      <c r="T37" s="2487"/>
      <c r="U37" s="2487"/>
      <c r="V37" s="2487"/>
      <c r="W37" s="2487"/>
      <c r="X37" s="2487"/>
      <c r="Y37" s="2487"/>
      <c r="Z37" s="2488"/>
    </row>
    <row r="38" spans="6:36" ht="15" customHeight="1">
      <c r="F38" s="2485"/>
      <c r="G38" s="427" t="s">
        <v>211</v>
      </c>
      <c r="H38" s="2486"/>
      <c r="I38" s="2487"/>
      <c r="J38" s="2487"/>
      <c r="K38" s="2487"/>
      <c r="L38" s="2487"/>
      <c r="M38" s="2487"/>
      <c r="N38" s="2487"/>
      <c r="O38" s="2487"/>
      <c r="P38" s="2487"/>
      <c r="Q38" s="2487"/>
      <c r="R38" s="2487"/>
      <c r="S38" s="2487"/>
      <c r="T38" s="2487"/>
      <c r="U38" s="2487"/>
      <c r="V38" s="2487"/>
      <c r="W38" s="2487"/>
      <c r="X38" s="2487"/>
      <c r="Y38" s="2487"/>
      <c r="Z38" s="2488"/>
    </row>
    <row r="39" spans="6:36" ht="10.5" customHeight="1">
      <c r="F39" s="2483" t="s">
        <v>238</v>
      </c>
      <c r="G39" s="1344" t="s">
        <v>359</v>
      </c>
      <c r="H39" s="2486"/>
      <c r="I39" s="2487"/>
      <c r="J39" s="2487"/>
      <c r="K39" s="2487"/>
      <c r="L39" s="2487"/>
      <c r="M39" s="2487"/>
      <c r="N39" s="2487"/>
      <c r="O39" s="2487"/>
      <c r="P39" s="2487"/>
      <c r="Q39" s="2487"/>
      <c r="R39" s="2487"/>
      <c r="S39" s="2487"/>
      <c r="T39" s="2487"/>
      <c r="U39" s="2487"/>
      <c r="V39" s="2487"/>
      <c r="W39" s="2487"/>
      <c r="X39" s="2487"/>
      <c r="Y39" s="2487"/>
      <c r="Z39" s="2488"/>
    </row>
    <row r="40" spans="6:36" ht="13.5" customHeight="1">
      <c r="F40" s="2484"/>
      <c r="G40" s="425" t="s">
        <v>209</v>
      </c>
      <c r="H40" s="2486"/>
      <c r="I40" s="2487"/>
      <c r="J40" s="2487"/>
      <c r="K40" s="2487"/>
      <c r="L40" s="2487"/>
      <c r="M40" s="2487"/>
      <c r="N40" s="2487"/>
      <c r="O40" s="2487"/>
      <c r="P40" s="2487"/>
      <c r="Q40" s="2487"/>
      <c r="R40" s="2487"/>
      <c r="S40" s="2487"/>
      <c r="T40" s="2487"/>
      <c r="U40" s="2487"/>
      <c r="V40" s="2487"/>
      <c r="W40" s="2487"/>
      <c r="X40" s="2487"/>
      <c r="Y40" s="2487"/>
      <c r="Z40" s="2488"/>
    </row>
    <row r="41" spans="6:36" ht="15" customHeight="1">
      <c r="F41" s="2484"/>
      <c r="G41" s="426" t="s">
        <v>210</v>
      </c>
      <c r="H41" s="2486"/>
      <c r="I41" s="2487"/>
      <c r="J41" s="2487"/>
      <c r="K41" s="2487"/>
      <c r="L41" s="2487"/>
      <c r="M41" s="2487"/>
      <c r="N41" s="2487"/>
      <c r="O41" s="2487"/>
      <c r="P41" s="2487"/>
      <c r="Q41" s="2487"/>
      <c r="R41" s="2487"/>
      <c r="S41" s="2487"/>
      <c r="T41" s="2487"/>
      <c r="U41" s="2487"/>
      <c r="V41" s="2487"/>
      <c r="W41" s="2487"/>
      <c r="X41" s="2487"/>
      <c r="Y41" s="2487"/>
      <c r="Z41" s="2488"/>
    </row>
    <row r="42" spans="6:36" ht="15" customHeight="1">
      <c r="F42" s="2485"/>
      <c r="G42" s="427" t="s">
        <v>211</v>
      </c>
      <c r="H42" s="2486"/>
      <c r="I42" s="2487"/>
      <c r="J42" s="2487"/>
      <c r="K42" s="2487"/>
      <c r="L42" s="2487"/>
      <c r="M42" s="2487"/>
      <c r="N42" s="2487"/>
      <c r="O42" s="2487"/>
      <c r="P42" s="2487"/>
      <c r="Q42" s="2487"/>
      <c r="R42" s="2487"/>
      <c r="S42" s="2487"/>
      <c r="T42" s="2487"/>
      <c r="U42" s="2487"/>
      <c r="V42" s="2487"/>
      <c r="W42" s="2487"/>
      <c r="X42" s="2487"/>
      <c r="Y42" s="2487"/>
      <c r="Z42" s="2488"/>
    </row>
    <row r="43" spans="6:36" ht="13.5" customHeight="1">
      <c r="F43" s="2483" t="s">
        <v>237</v>
      </c>
      <c r="G43" s="1344" t="s">
        <v>359</v>
      </c>
      <c r="H43" s="2486"/>
      <c r="I43" s="2487"/>
      <c r="J43" s="2487"/>
      <c r="K43" s="2487"/>
      <c r="L43" s="2487"/>
      <c r="M43" s="2487"/>
      <c r="N43" s="2487"/>
      <c r="O43" s="2487"/>
      <c r="P43" s="2487"/>
      <c r="Q43" s="2487"/>
      <c r="R43" s="2487"/>
      <c r="S43" s="2487"/>
      <c r="T43" s="2487"/>
      <c r="U43" s="2487"/>
      <c r="V43" s="2487"/>
      <c r="W43" s="2487"/>
      <c r="X43" s="2487"/>
      <c r="Y43" s="2487"/>
      <c r="Z43" s="2488"/>
    </row>
    <row r="44" spans="6:36" ht="15" customHeight="1">
      <c r="F44" s="2484"/>
      <c r="G44" s="425" t="s">
        <v>209</v>
      </c>
      <c r="H44" s="2486"/>
      <c r="I44" s="2487"/>
      <c r="J44" s="2487"/>
      <c r="K44" s="2487"/>
      <c r="L44" s="2487"/>
      <c r="M44" s="2487"/>
      <c r="N44" s="2487"/>
      <c r="O44" s="2487"/>
      <c r="P44" s="2487"/>
      <c r="Q44" s="2487"/>
      <c r="R44" s="2487"/>
      <c r="S44" s="2487"/>
      <c r="T44" s="2487"/>
      <c r="U44" s="2487"/>
      <c r="V44" s="2487"/>
      <c r="W44" s="2487"/>
      <c r="X44" s="2487"/>
      <c r="Y44" s="2487"/>
      <c r="Z44" s="2488"/>
    </row>
    <row r="45" spans="6:36" ht="15" customHeight="1">
      <c r="F45" s="2484"/>
      <c r="G45" s="426" t="s">
        <v>210</v>
      </c>
      <c r="H45" s="2486"/>
      <c r="I45" s="2487"/>
      <c r="J45" s="2487"/>
      <c r="K45" s="2487"/>
      <c r="L45" s="2487"/>
      <c r="M45" s="2487"/>
      <c r="N45" s="2487"/>
      <c r="O45" s="2487"/>
      <c r="P45" s="2487"/>
      <c r="Q45" s="2487"/>
      <c r="R45" s="2487"/>
      <c r="S45" s="2487"/>
      <c r="T45" s="2487"/>
      <c r="U45" s="2487"/>
      <c r="V45" s="2487"/>
      <c r="W45" s="2487"/>
      <c r="X45" s="2487"/>
      <c r="Y45" s="2487"/>
      <c r="Z45" s="2488"/>
    </row>
    <row r="46" spans="6:36" ht="15" customHeight="1">
      <c r="F46" s="2485"/>
      <c r="G46" s="427" t="s">
        <v>211</v>
      </c>
      <c r="H46" s="2486"/>
      <c r="I46" s="2487"/>
      <c r="J46" s="2487"/>
      <c r="K46" s="2487"/>
      <c r="L46" s="2487"/>
      <c r="M46" s="2487"/>
      <c r="N46" s="2487"/>
      <c r="O46" s="2487"/>
      <c r="P46" s="2487"/>
      <c r="Q46" s="2487"/>
      <c r="R46" s="2487"/>
      <c r="S46" s="2487"/>
      <c r="T46" s="2487"/>
      <c r="U46" s="2487"/>
      <c r="V46" s="2487"/>
      <c r="W46" s="2487"/>
      <c r="X46" s="2487"/>
      <c r="Y46" s="2487"/>
      <c r="Z46" s="2488"/>
    </row>
    <row r="47" spans="6:36" ht="35.25" customHeight="1">
      <c r="F47" s="1584" t="s">
        <v>2417</v>
      </c>
      <c r="G47" s="1567" t="s">
        <v>482</v>
      </c>
      <c r="H47" s="2489"/>
      <c r="I47" s="2490"/>
      <c r="J47" s="2490"/>
      <c r="K47" s="2490"/>
      <c r="L47" s="2490"/>
      <c r="M47" s="2490"/>
      <c r="N47" s="2490"/>
      <c r="O47" s="2490"/>
      <c r="P47" s="2490"/>
      <c r="Q47" s="2490"/>
      <c r="R47" s="2490"/>
      <c r="S47" s="2490"/>
      <c r="T47" s="2490"/>
      <c r="U47" s="2490"/>
      <c r="V47" s="2490"/>
      <c r="W47" s="2490"/>
      <c r="X47" s="2490"/>
      <c r="Y47" s="2490"/>
      <c r="Z47" s="2491"/>
    </row>
    <row r="48" spans="6:36" ht="16.5" customHeight="1">
      <c r="F48" s="240"/>
      <c r="G48" s="52"/>
      <c r="AB48" s="456"/>
      <c r="AC48" s="456"/>
      <c r="AD48" s="456"/>
      <c r="AE48" s="456"/>
      <c r="AF48" s="456"/>
      <c r="AG48" s="456"/>
      <c r="AH48" s="456"/>
      <c r="AI48" s="456"/>
      <c r="AJ48" s="456"/>
    </row>
    <row r="49" spans="5:47" ht="32.9" customHeight="1">
      <c r="AB49" s="456"/>
      <c r="AC49" s="456"/>
      <c r="AD49" s="456"/>
      <c r="AE49" s="456"/>
      <c r="AF49" s="456"/>
      <c r="AG49" s="456"/>
      <c r="AH49" s="456"/>
      <c r="AI49" s="456"/>
      <c r="AJ49" s="456"/>
      <c r="AP49" s="2505" t="s">
        <v>675</v>
      </c>
      <c r="AQ49" s="2506"/>
      <c r="AR49" s="2506"/>
      <c r="AS49" s="2506"/>
      <c r="AT49" s="2506"/>
      <c r="AU49" s="2507"/>
    </row>
    <row r="50" spans="5:47">
      <c r="H50" s="1457"/>
      <c r="I50" s="1457"/>
      <c r="J50" s="1457"/>
      <c r="K50" s="1457"/>
      <c r="L50" s="1457"/>
      <c r="M50" s="1457"/>
      <c r="N50" s="1457"/>
      <c r="O50" s="1457"/>
      <c r="P50" s="1457"/>
      <c r="Q50" s="1457"/>
      <c r="R50" s="1457"/>
      <c r="S50" s="1457"/>
      <c r="T50" s="1457"/>
      <c r="U50" s="1457"/>
      <c r="V50" s="1457"/>
      <c r="W50" s="1457"/>
      <c r="X50" s="1457"/>
      <c r="AB50" s="456"/>
      <c r="AC50" s="456"/>
      <c r="AD50" s="456"/>
      <c r="AE50" s="456"/>
      <c r="AF50" s="456"/>
      <c r="AG50" s="456"/>
      <c r="AH50" s="456"/>
      <c r="AI50" s="456"/>
      <c r="AJ50" s="456"/>
      <c r="AP50" s="449"/>
      <c r="AQ50" s="450"/>
      <c r="AR50" s="450"/>
      <c r="AS50" s="450"/>
      <c r="AT50" s="451" t="s">
        <v>479</v>
      </c>
      <c r="AU50" s="452" t="s">
        <v>480</v>
      </c>
    </row>
    <row r="51" spans="5:47" ht="19.5" customHeight="1">
      <c r="E51" s="1500" t="s">
        <v>459</v>
      </c>
      <c r="F51" s="1496"/>
      <c r="G51" s="1568"/>
      <c r="H51" s="2459" t="s">
        <v>358</v>
      </c>
      <c r="I51" s="2460"/>
      <c r="J51" s="2460"/>
      <c r="K51" s="2460"/>
      <c r="L51" s="2460"/>
      <c r="M51" s="2460"/>
      <c r="N51" s="2460"/>
      <c r="O51" s="2460"/>
      <c r="P51" s="2460"/>
      <c r="Q51" s="2460"/>
      <c r="R51" s="2460"/>
      <c r="S51" s="2460"/>
      <c r="T51" s="2460"/>
      <c r="U51" s="2460"/>
      <c r="V51" s="2460"/>
      <c r="W51" s="2460"/>
      <c r="X51" s="2460"/>
      <c r="Y51" s="2460"/>
      <c r="Z51" s="2461"/>
      <c r="AB51" s="456"/>
      <c r="AC51" s="456"/>
      <c r="AD51" s="456"/>
      <c r="AE51" s="456"/>
      <c r="AF51" s="456"/>
      <c r="AG51" s="456"/>
      <c r="AH51" s="456"/>
      <c r="AI51" s="456"/>
      <c r="AJ51" s="456"/>
      <c r="AP51" s="2508" t="s">
        <v>483</v>
      </c>
      <c r="AQ51" s="2509"/>
      <c r="AR51" s="2509"/>
      <c r="AS51" s="2510"/>
      <c r="AT51" s="2514">
        <v>0.9</v>
      </c>
      <c r="AU51" s="2514">
        <v>0.9</v>
      </c>
    </row>
    <row r="52" spans="5:47" ht="18" customHeight="1">
      <c r="E52" s="277"/>
      <c r="F52" s="351" t="s">
        <v>382</v>
      </c>
      <c r="G52" s="1566"/>
      <c r="H52" s="2472"/>
      <c r="I52" s="2473"/>
      <c r="J52" s="2473"/>
      <c r="K52" s="2473"/>
      <c r="L52" s="2473"/>
      <c r="M52" s="2473"/>
      <c r="N52" s="2473"/>
      <c r="O52" s="2473"/>
      <c r="P52" s="2473"/>
      <c r="Q52" s="2473"/>
      <c r="R52" s="2473"/>
      <c r="S52" s="2473"/>
      <c r="T52" s="2473"/>
      <c r="U52" s="2473"/>
      <c r="V52" s="2473"/>
      <c r="W52" s="2473"/>
      <c r="X52" s="2473"/>
      <c r="Y52" s="2473"/>
      <c r="Z52" s="2474"/>
      <c r="AA52" s="36"/>
      <c r="AB52" s="456"/>
      <c r="AC52" s="456"/>
      <c r="AD52" s="456"/>
      <c r="AE52" s="456"/>
      <c r="AF52" s="456"/>
      <c r="AG52" s="456"/>
      <c r="AH52" s="456"/>
      <c r="AI52" s="456"/>
      <c r="AJ52" s="456"/>
      <c r="AK52" s="36"/>
      <c r="AL52" s="36"/>
      <c r="AP52" s="2511"/>
      <c r="AQ52" s="2512"/>
      <c r="AR52" s="2512"/>
      <c r="AS52" s="2513"/>
      <c r="AT52" s="2515"/>
      <c r="AU52" s="2515"/>
    </row>
    <row r="53" spans="5:47" ht="36" customHeight="1">
      <c r="E53" s="233"/>
      <c r="F53" s="398"/>
      <c r="G53" s="1569" t="s">
        <v>381</v>
      </c>
      <c r="H53" s="2456" t="s">
        <v>2423</v>
      </c>
      <c r="I53" s="2457"/>
      <c r="J53" s="2457"/>
      <c r="K53" s="2457"/>
      <c r="L53" s="2457"/>
      <c r="M53" s="2457"/>
      <c r="N53" s="2457"/>
      <c r="O53" s="2457"/>
      <c r="P53" s="2457"/>
      <c r="Q53" s="2457"/>
      <c r="R53" s="2457"/>
      <c r="S53" s="2457"/>
      <c r="T53" s="2457"/>
      <c r="U53" s="2457"/>
      <c r="V53" s="2457"/>
      <c r="W53" s="2457"/>
      <c r="X53" s="2457"/>
      <c r="Y53" s="2457"/>
      <c r="Z53" s="2458"/>
      <c r="AA53" s="36"/>
      <c r="AB53" s="456"/>
      <c r="AC53" s="456"/>
      <c r="AD53" s="456"/>
      <c r="AE53" s="456"/>
      <c r="AF53" s="456"/>
      <c r="AG53" s="456"/>
      <c r="AH53" s="456"/>
      <c r="AI53" s="456"/>
      <c r="AJ53" s="456"/>
      <c r="AK53" s="36"/>
      <c r="AL53" s="36"/>
      <c r="AP53" s="2508" t="s">
        <v>484</v>
      </c>
      <c r="AQ53" s="2509"/>
      <c r="AR53" s="2509"/>
      <c r="AS53" s="2510"/>
      <c r="AT53" s="2514">
        <v>0.5</v>
      </c>
      <c r="AU53" s="2514">
        <v>0.5</v>
      </c>
    </row>
    <row r="54" spans="5:47" ht="36" customHeight="1">
      <c r="E54" s="233"/>
      <c r="F54" s="398"/>
      <c r="G54" s="1569" t="s">
        <v>601</v>
      </c>
      <c r="H54" s="2456" t="s">
        <v>2420</v>
      </c>
      <c r="I54" s="2457"/>
      <c r="J54" s="2457"/>
      <c r="K54" s="2457"/>
      <c r="L54" s="2457"/>
      <c r="M54" s="2457"/>
      <c r="N54" s="2457"/>
      <c r="O54" s="2457"/>
      <c r="P54" s="2457"/>
      <c r="Q54" s="2457"/>
      <c r="R54" s="2457"/>
      <c r="S54" s="2457"/>
      <c r="T54" s="2457"/>
      <c r="U54" s="2457"/>
      <c r="V54" s="2457"/>
      <c r="W54" s="2457"/>
      <c r="X54" s="2457"/>
      <c r="Y54" s="2457"/>
      <c r="Z54" s="2458"/>
      <c r="AA54" s="36"/>
      <c r="AB54" s="456"/>
      <c r="AC54" s="456"/>
      <c r="AD54" s="456"/>
      <c r="AE54" s="456"/>
      <c r="AF54" s="456"/>
      <c r="AG54" s="456"/>
      <c r="AH54" s="456"/>
      <c r="AI54" s="456"/>
      <c r="AJ54" s="456"/>
      <c r="AK54" s="36"/>
      <c r="AL54" s="36"/>
      <c r="AP54" s="2511"/>
      <c r="AQ54" s="2512"/>
      <c r="AR54" s="2512"/>
      <c r="AS54" s="2513"/>
      <c r="AT54" s="2515"/>
      <c r="AU54" s="2515"/>
    </row>
    <row r="55" spans="5:47" ht="42" customHeight="1">
      <c r="F55" s="397"/>
      <c r="G55" s="1569" t="s">
        <v>600</v>
      </c>
      <c r="H55" s="2456" t="s">
        <v>2421</v>
      </c>
      <c r="I55" s="2457"/>
      <c r="J55" s="2457"/>
      <c r="K55" s="2457"/>
      <c r="L55" s="2457"/>
      <c r="M55" s="2457"/>
      <c r="N55" s="2457"/>
      <c r="O55" s="2457"/>
      <c r="P55" s="2457"/>
      <c r="Q55" s="2457"/>
      <c r="R55" s="2457"/>
      <c r="S55" s="2457"/>
      <c r="T55" s="2457"/>
      <c r="U55" s="2457"/>
      <c r="V55" s="2457"/>
      <c r="W55" s="2457"/>
      <c r="X55" s="2457"/>
      <c r="Y55" s="2457"/>
      <c r="Z55" s="2458"/>
      <c r="AA55" s="36"/>
      <c r="AB55" s="456"/>
      <c r="AC55" s="456"/>
      <c r="AD55" s="456"/>
      <c r="AE55" s="456"/>
      <c r="AF55" s="456"/>
      <c r="AG55" s="456"/>
      <c r="AH55" s="456"/>
      <c r="AI55" s="456"/>
      <c r="AJ55" s="456"/>
      <c r="AK55" s="36"/>
      <c r="AL55" s="36"/>
    </row>
    <row r="56" spans="5:47" ht="36" customHeight="1">
      <c r="F56" s="390"/>
      <c r="G56" s="211" t="s">
        <v>472</v>
      </c>
      <c r="H56" s="2447" t="s">
        <v>2422</v>
      </c>
      <c r="I56" s="2448"/>
      <c r="J56" s="2448"/>
      <c r="K56" s="2448"/>
      <c r="L56" s="2448"/>
      <c r="M56" s="2448"/>
      <c r="N56" s="2448"/>
      <c r="O56" s="2448"/>
      <c r="P56" s="2448"/>
      <c r="Q56" s="2448"/>
      <c r="R56" s="2448"/>
      <c r="S56" s="2448"/>
      <c r="T56" s="2448"/>
      <c r="U56" s="2448"/>
      <c r="V56" s="2448"/>
      <c r="W56" s="2448"/>
      <c r="X56" s="2448"/>
      <c r="Y56" s="2448"/>
      <c r="Z56" s="2449"/>
      <c r="AA56" s="36"/>
      <c r="AB56" s="456"/>
      <c r="AC56" s="456"/>
      <c r="AD56" s="456"/>
      <c r="AE56" s="456"/>
      <c r="AF56" s="456"/>
      <c r="AG56" s="456"/>
      <c r="AH56" s="456"/>
      <c r="AI56" s="456"/>
      <c r="AJ56" s="456"/>
      <c r="AK56" s="36"/>
      <c r="AL56" s="36"/>
    </row>
    <row r="57" spans="5:47" ht="19.5" customHeight="1">
      <c r="E57" s="233"/>
      <c r="F57" s="351" t="s">
        <v>371</v>
      </c>
      <c r="G57" s="1566"/>
      <c r="H57" s="2465"/>
      <c r="I57" s="2466"/>
      <c r="J57" s="2466"/>
      <c r="K57" s="2466"/>
      <c r="L57" s="2466"/>
      <c r="M57" s="2466"/>
      <c r="N57" s="2466"/>
      <c r="O57" s="2466"/>
      <c r="P57" s="2466"/>
      <c r="Q57" s="2466"/>
      <c r="R57" s="2466"/>
      <c r="S57" s="2466"/>
      <c r="T57" s="2466"/>
      <c r="U57" s="2466"/>
      <c r="V57" s="2466"/>
      <c r="W57" s="2466"/>
      <c r="X57" s="2466"/>
      <c r="Y57" s="2466"/>
      <c r="Z57" s="2467"/>
      <c r="AA57" s="36"/>
      <c r="AB57" s="456"/>
      <c r="AC57" s="456"/>
      <c r="AD57" s="456"/>
      <c r="AE57" s="456"/>
      <c r="AF57" s="457"/>
      <c r="AG57" s="457"/>
      <c r="AH57" s="456"/>
      <c r="AI57" s="456"/>
      <c r="AJ57" s="456"/>
      <c r="AK57" s="36"/>
      <c r="AL57" s="36"/>
    </row>
    <row r="58" spans="5:47" ht="41.25" customHeight="1">
      <c r="E58" s="233"/>
      <c r="F58" s="368"/>
      <c r="G58" s="194" t="s">
        <v>115</v>
      </c>
      <c r="H58" s="2456" t="s">
        <v>2424</v>
      </c>
      <c r="I58" s="2457"/>
      <c r="J58" s="2457"/>
      <c r="K58" s="2457"/>
      <c r="L58" s="2457"/>
      <c r="M58" s="2457"/>
      <c r="N58" s="2457"/>
      <c r="O58" s="2457"/>
      <c r="P58" s="2457"/>
      <c r="Q58" s="2457"/>
      <c r="R58" s="2457"/>
      <c r="S58" s="2457"/>
      <c r="T58" s="2457"/>
      <c r="U58" s="2457"/>
      <c r="V58" s="2457"/>
      <c r="W58" s="2457"/>
      <c r="X58" s="2457"/>
      <c r="Y58" s="2457"/>
      <c r="Z58" s="2458"/>
      <c r="AA58" s="36"/>
      <c r="AB58" s="456"/>
      <c r="AC58" s="458"/>
      <c r="AD58" s="459"/>
      <c r="AE58" s="456"/>
      <c r="AF58" s="457"/>
      <c r="AG58" s="457"/>
      <c r="AH58" s="456"/>
      <c r="AI58" s="456"/>
      <c r="AJ58" s="456"/>
      <c r="AK58" s="36"/>
      <c r="AL58" s="36"/>
    </row>
    <row r="59" spans="5:47" ht="23.25" customHeight="1">
      <c r="F59" s="368"/>
      <c r="G59" s="194" t="s">
        <v>239</v>
      </c>
      <c r="H59" s="2456" t="s">
        <v>2426</v>
      </c>
      <c r="I59" s="2457"/>
      <c r="J59" s="2457"/>
      <c r="K59" s="2457"/>
      <c r="L59" s="2457"/>
      <c r="M59" s="2457"/>
      <c r="N59" s="2457"/>
      <c r="O59" s="2457"/>
      <c r="P59" s="2457"/>
      <c r="Q59" s="2457"/>
      <c r="R59" s="2457"/>
      <c r="S59" s="2457"/>
      <c r="T59" s="2457"/>
      <c r="U59" s="2457"/>
      <c r="V59" s="2457"/>
      <c r="W59" s="2457"/>
      <c r="X59" s="2457"/>
      <c r="Y59" s="2457"/>
      <c r="Z59" s="2458"/>
      <c r="AA59" s="36"/>
      <c r="AB59" s="456"/>
      <c r="AC59" s="458"/>
      <c r="AD59" s="459"/>
      <c r="AE59" s="456"/>
      <c r="AF59" s="457"/>
      <c r="AG59" s="457"/>
      <c r="AH59" s="456"/>
      <c r="AI59" s="456"/>
      <c r="AJ59" s="456"/>
      <c r="AK59" s="36"/>
      <c r="AL59" s="36"/>
    </row>
    <row r="60" spans="5:47" ht="32.25" customHeight="1">
      <c r="F60" s="368"/>
      <c r="G60" s="194" t="s">
        <v>53</v>
      </c>
      <c r="H60" s="2456" t="s">
        <v>366</v>
      </c>
      <c r="I60" s="2457"/>
      <c r="J60" s="2457"/>
      <c r="K60" s="2457"/>
      <c r="L60" s="2457"/>
      <c r="M60" s="2457"/>
      <c r="N60" s="2457"/>
      <c r="O60" s="2457"/>
      <c r="P60" s="2457"/>
      <c r="Q60" s="2457"/>
      <c r="R60" s="2457"/>
      <c r="S60" s="2457"/>
      <c r="T60" s="2457"/>
      <c r="U60" s="2457"/>
      <c r="V60" s="2457"/>
      <c r="W60" s="2457"/>
      <c r="X60" s="2457"/>
      <c r="Y60" s="2457"/>
      <c r="Z60" s="2458"/>
      <c r="AA60" s="36"/>
      <c r="AB60" s="456"/>
      <c r="AC60" s="458"/>
      <c r="AD60" s="459"/>
      <c r="AE60" s="456"/>
      <c r="AF60" s="457"/>
      <c r="AG60" s="457"/>
      <c r="AH60" s="456"/>
      <c r="AI60" s="456"/>
      <c r="AJ60" s="456"/>
      <c r="AK60" s="36"/>
      <c r="AL60" s="36"/>
    </row>
    <row r="61" spans="5:47" ht="33" customHeight="1">
      <c r="F61" s="368"/>
      <c r="G61" s="194" t="s">
        <v>51</v>
      </c>
      <c r="H61" s="2456" t="s">
        <v>2427</v>
      </c>
      <c r="I61" s="2457"/>
      <c r="J61" s="2457"/>
      <c r="K61" s="2457"/>
      <c r="L61" s="2457"/>
      <c r="M61" s="2457"/>
      <c r="N61" s="2457"/>
      <c r="O61" s="2457"/>
      <c r="P61" s="2457"/>
      <c r="Q61" s="2457"/>
      <c r="R61" s="2457"/>
      <c r="S61" s="2457"/>
      <c r="T61" s="2457"/>
      <c r="U61" s="2457"/>
      <c r="V61" s="2457"/>
      <c r="W61" s="2457"/>
      <c r="X61" s="2457"/>
      <c r="Y61" s="2457"/>
      <c r="Z61" s="2458"/>
      <c r="AA61" s="36"/>
      <c r="AC61" s="460"/>
      <c r="AF61" s="457"/>
      <c r="AG61" s="457"/>
      <c r="AH61" s="456"/>
      <c r="AI61" s="456"/>
      <c r="AJ61" s="456"/>
      <c r="AK61" s="36"/>
      <c r="AL61" s="36"/>
    </row>
    <row r="62" spans="5:47" ht="31.5" customHeight="1">
      <c r="F62" s="368"/>
      <c r="G62" s="194" t="s">
        <v>52</v>
      </c>
      <c r="H62" s="2456" t="s">
        <v>2428</v>
      </c>
      <c r="I62" s="2457"/>
      <c r="J62" s="2457"/>
      <c r="K62" s="2457"/>
      <c r="L62" s="2457"/>
      <c r="M62" s="2457"/>
      <c r="N62" s="2457"/>
      <c r="O62" s="2457"/>
      <c r="P62" s="2457"/>
      <c r="Q62" s="2457"/>
      <c r="R62" s="2457"/>
      <c r="S62" s="2457"/>
      <c r="T62" s="2457"/>
      <c r="U62" s="2457"/>
      <c r="V62" s="2457"/>
      <c r="W62" s="2457"/>
      <c r="X62" s="2457"/>
      <c r="Y62" s="2457"/>
      <c r="Z62" s="2458"/>
      <c r="AA62" s="36"/>
      <c r="AC62" s="460"/>
      <c r="AF62" s="457"/>
      <c r="AG62" s="457"/>
      <c r="AH62" s="456"/>
      <c r="AI62" s="456"/>
      <c r="AJ62" s="456"/>
      <c r="AK62" s="36"/>
      <c r="AL62" s="36"/>
    </row>
    <row r="63" spans="5:47" ht="30.75" customHeight="1">
      <c r="F63" s="403"/>
      <c r="G63" s="404" t="s">
        <v>240</v>
      </c>
      <c r="H63" s="2447" t="s">
        <v>2421</v>
      </c>
      <c r="I63" s="2448"/>
      <c r="J63" s="2448"/>
      <c r="K63" s="2448"/>
      <c r="L63" s="2448"/>
      <c r="M63" s="2448"/>
      <c r="N63" s="2448"/>
      <c r="O63" s="2448"/>
      <c r="P63" s="2448"/>
      <c r="Q63" s="2448"/>
      <c r="R63" s="2448"/>
      <c r="S63" s="2448"/>
      <c r="T63" s="2448"/>
      <c r="U63" s="2448"/>
      <c r="V63" s="2448"/>
      <c r="W63" s="2448"/>
      <c r="X63" s="2448"/>
      <c r="Y63" s="2448"/>
      <c r="Z63" s="2449"/>
      <c r="AA63" s="36"/>
      <c r="AC63" s="460"/>
      <c r="AF63" s="457"/>
      <c r="AG63" s="457"/>
      <c r="AH63" s="456"/>
      <c r="AI63" s="456"/>
      <c r="AJ63" s="456"/>
      <c r="AK63" s="36"/>
      <c r="AL63" s="36"/>
    </row>
    <row r="64" spans="5:47" ht="15.75" customHeight="1">
      <c r="F64" s="351" t="s">
        <v>372</v>
      </c>
      <c r="G64" s="1566"/>
      <c r="H64" s="1586"/>
      <c r="I64" s="1587"/>
      <c r="J64" s="1587"/>
      <c r="K64" s="1587"/>
      <c r="L64" s="1587"/>
      <c r="M64" s="1587"/>
      <c r="N64" s="1587"/>
      <c r="O64" s="1587"/>
      <c r="P64" s="1587"/>
      <c r="Q64" s="1587"/>
      <c r="R64" s="1587"/>
      <c r="S64" s="1587"/>
      <c r="T64" s="1587"/>
      <c r="U64" s="1587"/>
      <c r="V64" s="1587"/>
      <c r="W64" s="1587"/>
      <c r="X64" s="1587"/>
      <c r="Y64" s="1587"/>
      <c r="Z64" s="1588"/>
      <c r="AA64" s="36"/>
      <c r="AB64" s="456"/>
      <c r="AC64" s="458"/>
      <c r="AD64" s="459"/>
      <c r="AE64" s="456"/>
      <c r="AF64" s="457"/>
      <c r="AG64" s="457"/>
      <c r="AH64" s="456"/>
      <c r="AI64" s="456"/>
      <c r="AJ64" s="456"/>
      <c r="AK64" s="36"/>
      <c r="AL64" s="36"/>
    </row>
    <row r="65" spans="5:38" ht="15" customHeight="1">
      <c r="F65" s="368"/>
      <c r="G65" s="194" t="s">
        <v>101</v>
      </c>
      <c r="H65" s="2468" t="s">
        <v>2425</v>
      </c>
      <c r="I65" s="2469"/>
      <c r="J65" s="2469"/>
      <c r="K65" s="2469"/>
      <c r="L65" s="2469"/>
      <c r="M65" s="2469"/>
      <c r="N65" s="2469"/>
      <c r="O65" s="2469"/>
      <c r="P65" s="2469"/>
      <c r="Q65" s="2469"/>
      <c r="R65" s="2469"/>
      <c r="S65" s="2469"/>
      <c r="T65" s="2469"/>
      <c r="U65" s="2469"/>
      <c r="V65" s="2469"/>
      <c r="W65" s="2469"/>
      <c r="X65" s="2469"/>
      <c r="Y65" s="2469"/>
      <c r="Z65" s="2470"/>
      <c r="AA65" s="36"/>
      <c r="AB65" s="456"/>
      <c r="AC65" s="458"/>
      <c r="AD65" s="459"/>
      <c r="AE65" s="456"/>
      <c r="AF65" s="457"/>
      <c r="AG65" s="457"/>
      <c r="AH65" s="456"/>
      <c r="AI65" s="456"/>
      <c r="AJ65" s="456"/>
      <c r="AK65" s="36"/>
      <c r="AL65" s="36"/>
    </row>
    <row r="66" spans="5:38" ht="15" customHeight="1">
      <c r="F66" s="368"/>
      <c r="G66" s="194" t="s">
        <v>239</v>
      </c>
      <c r="H66" s="2468"/>
      <c r="I66" s="2469"/>
      <c r="J66" s="2469"/>
      <c r="K66" s="2469"/>
      <c r="L66" s="2469"/>
      <c r="M66" s="2469"/>
      <c r="N66" s="2469"/>
      <c r="O66" s="2469"/>
      <c r="P66" s="2469"/>
      <c r="Q66" s="2469"/>
      <c r="R66" s="2469"/>
      <c r="S66" s="2469"/>
      <c r="T66" s="2469"/>
      <c r="U66" s="2469"/>
      <c r="V66" s="2469"/>
      <c r="W66" s="2469"/>
      <c r="X66" s="2469"/>
      <c r="Y66" s="2469"/>
      <c r="Z66" s="2470"/>
      <c r="AA66" s="36"/>
      <c r="AB66" s="456"/>
      <c r="AC66" s="458"/>
      <c r="AD66" s="459"/>
      <c r="AE66" s="456"/>
      <c r="AF66" s="457"/>
      <c r="AG66" s="457"/>
      <c r="AH66" s="456"/>
      <c r="AI66" s="456"/>
      <c r="AJ66" s="456"/>
      <c r="AK66" s="36"/>
      <c r="AL66" s="36"/>
    </row>
    <row r="67" spans="5:38" ht="15" customHeight="1">
      <c r="F67" s="368"/>
      <c r="G67" s="194" t="s">
        <v>53</v>
      </c>
      <c r="H67" s="2468"/>
      <c r="I67" s="2469"/>
      <c r="J67" s="2469"/>
      <c r="K67" s="2469"/>
      <c r="L67" s="2469"/>
      <c r="M67" s="2469"/>
      <c r="N67" s="2469"/>
      <c r="O67" s="2469"/>
      <c r="P67" s="2469"/>
      <c r="Q67" s="2469"/>
      <c r="R67" s="2469"/>
      <c r="S67" s="2469"/>
      <c r="T67" s="2469"/>
      <c r="U67" s="2469"/>
      <c r="V67" s="2469"/>
      <c r="W67" s="2469"/>
      <c r="X67" s="2469"/>
      <c r="Y67" s="2469"/>
      <c r="Z67" s="2470"/>
      <c r="AA67" s="36"/>
      <c r="AB67" s="36"/>
      <c r="AC67" s="458"/>
      <c r="AD67" s="459"/>
      <c r="AE67" s="456"/>
      <c r="AF67" s="457"/>
      <c r="AG67" s="457"/>
      <c r="AH67" s="456"/>
      <c r="AI67" s="456"/>
      <c r="AJ67" s="456"/>
      <c r="AK67" s="36"/>
      <c r="AL67" s="36"/>
    </row>
    <row r="68" spans="5:38" ht="15" customHeight="1">
      <c r="F68" s="368"/>
      <c r="G68" s="194" t="s">
        <v>51</v>
      </c>
      <c r="H68" s="2468"/>
      <c r="I68" s="2469"/>
      <c r="J68" s="2469"/>
      <c r="K68" s="2469"/>
      <c r="L68" s="2469"/>
      <c r="M68" s="2469"/>
      <c r="N68" s="2469"/>
      <c r="O68" s="2469"/>
      <c r="P68" s="2469"/>
      <c r="Q68" s="2469"/>
      <c r="R68" s="2469"/>
      <c r="S68" s="2469"/>
      <c r="T68" s="2469"/>
      <c r="U68" s="2469"/>
      <c r="V68" s="2469"/>
      <c r="W68" s="2469"/>
      <c r="X68" s="2469"/>
      <c r="Y68" s="2469"/>
      <c r="Z68" s="2470"/>
      <c r="AA68" s="36"/>
      <c r="AB68" s="36"/>
      <c r="AC68" s="458"/>
      <c r="AD68" s="459"/>
      <c r="AE68" s="456"/>
      <c r="AF68" s="457"/>
      <c r="AG68" s="457"/>
      <c r="AH68" s="456"/>
      <c r="AI68" s="456"/>
      <c r="AJ68" s="456"/>
      <c r="AK68" s="36"/>
      <c r="AL68" s="36"/>
    </row>
    <row r="69" spans="5:38" ht="15" customHeight="1">
      <c r="F69" s="368"/>
      <c r="G69" s="194" t="s">
        <v>52</v>
      </c>
      <c r="H69" s="2468"/>
      <c r="I69" s="2469"/>
      <c r="J69" s="2469"/>
      <c r="K69" s="2469"/>
      <c r="L69" s="2469"/>
      <c r="M69" s="2469"/>
      <c r="N69" s="2469"/>
      <c r="O69" s="2469"/>
      <c r="P69" s="2469"/>
      <c r="Q69" s="2469"/>
      <c r="R69" s="2469"/>
      <c r="S69" s="2469"/>
      <c r="T69" s="2469"/>
      <c r="U69" s="2469"/>
      <c r="V69" s="2469"/>
      <c r="W69" s="2469"/>
      <c r="X69" s="2469"/>
      <c r="Y69" s="2469"/>
      <c r="Z69" s="2470"/>
      <c r="AA69" s="36"/>
      <c r="AB69" s="36"/>
      <c r="AC69" s="458"/>
      <c r="AD69" s="459"/>
      <c r="AE69" s="456"/>
      <c r="AF69" s="457"/>
      <c r="AG69" s="457"/>
      <c r="AH69" s="456"/>
      <c r="AI69" s="456"/>
      <c r="AJ69" s="456"/>
      <c r="AK69" s="36"/>
      <c r="AL69" s="36"/>
    </row>
    <row r="70" spans="5:38" ht="15" customHeight="1">
      <c r="F70" s="403"/>
      <c r="G70" s="404" t="s">
        <v>5844</v>
      </c>
      <c r="H70" s="2456"/>
      <c r="I70" s="2457"/>
      <c r="J70" s="2457"/>
      <c r="K70" s="2457"/>
      <c r="L70" s="2457"/>
      <c r="M70" s="2457"/>
      <c r="N70" s="2457"/>
      <c r="O70" s="2457"/>
      <c r="P70" s="2457"/>
      <c r="Q70" s="2457"/>
      <c r="R70" s="2457"/>
      <c r="S70" s="2457"/>
      <c r="T70" s="2457"/>
      <c r="U70" s="2457"/>
      <c r="V70" s="2457"/>
      <c r="W70" s="2457"/>
      <c r="X70" s="2457"/>
      <c r="Y70" s="2457"/>
      <c r="Z70" s="2458"/>
      <c r="AA70" s="36"/>
      <c r="AB70" s="456"/>
      <c r="AC70" s="456"/>
      <c r="AD70" s="456"/>
      <c r="AE70" s="456"/>
      <c r="AF70" s="456"/>
      <c r="AG70" s="456"/>
      <c r="AH70" s="456"/>
      <c r="AI70" s="456"/>
      <c r="AJ70" s="456"/>
      <c r="AK70" s="36"/>
      <c r="AL70" s="36"/>
    </row>
    <row r="71" spans="5:38" ht="15.75" customHeight="1">
      <c r="F71" s="351" t="s">
        <v>466</v>
      </c>
      <c r="G71" s="1566"/>
      <c r="H71" s="2462"/>
      <c r="I71" s="2463"/>
      <c r="J71" s="2463"/>
      <c r="K71" s="2463"/>
      <c r="L71" s="2463"/>
      <c r="M71" s="2463"/>
      <c r="N71" s="2463"/>
      <c r="O71" s="2463"/>
      <c r="P71" s="2463"/>
      <c r="Q71" s="2463"/>
      <c r="R71" s="2463"/>
      <c r="S71" s="2463"/>
      <c r="T71" s="2463"/>
      <c r="U71" s="2463"/>
      <c r="V71" s="2463"/>
      <c r="W71" s="2463"/>
      <c r="X71" s="2463"/>
      <c r="Y71" s="2463"/>
      <c r="Z71" s="2464"/>
      <c r="AA71" s="36"/>
      <c r="AB71" s="456"/>
      <c r="AC71" s="456"/>
      <c r="AD71" s="456"/>
      <c r="AE71" s="456"/>
      <c r="AF71" s="456"/>
      <c r="AG71" s="456"/>
      <c r="AH71" s="456"/>
      <c r="AI71" s="456"/>
      <c r="AJ71" s="456"/>
      <c r="AK71" s="36"/>
      <c r="AL71" s="36"/>
    </row>
    <row r="72" spans="5:38" ht="100.5" customHeight="1">
      <c r="F72" s="411"/>
      <c r="G72" s="211" t="s">
        <v>392</v>
      </c>
      <c r="H72" s="2447" t="s">
        <v>2429</v>
      </c>
      <c r="I72" s="2448"/>
      <c r="J72" s="2448"/>
      <c r="K72" s="2448"/>
      <c r="L72" s="2448"/>
      <c r="M72" s="2448"/>
      <c r="N72" s="2448"/>
      <c r="O72" s="2448"/>
      <c r="P72" s="2448"/>
      <c r="Q72" s="2448"/>
      <c r="R72" s="2448"/>
      <c r="S72" s="2448"/>
      <c r="T72" s="2448"/>
      <c r="U72" s="2448"/>
      <c r="V72" s="2448"/>
      <c r="W72" s="2448"/>
      <c r="X72" s="2448"/>
      <c r="Y72" s="2448"/>
      <c r="Z72" s="2449"/>
      <c r="AA72" s="36"/>
      <c r="AB72" s="36"/>
      <c r="AC72" s="36"/>
      <c r="AD72" s="36"/>
      <c r="AE72" s="36"/>
      <c r="AF72" s="36"/>
      <c r="AG72" s="36"/>
      <c r="AH72" s="36"/>
      <c r="AI72" s="36"/>
      <c r="AJ72" s="36"/>
      <c r="AK72" s="36"/>
      <c r="AL72" s="36"/>
    </row>
    <row r="73" spans="5:38" ht="20.25" customHeight="1">
      <c r="F73" s="1406"/>
      <c r="G73" s="1406"/>
      <c r="H73" s="1551"/>
      <c r="I73" s="1551"/>
      <c r="J73" s="1551"/>
      <c r="K73" s="1551"/>
      <c r="L73" s="1551"/>
      <c r="M73" s="1551"/>
      <c r="N73" s="1551"/>
      <c r="O73" s="1551"/>
      <c r="P73" s="1552"/>
      <c r="Q73" s="1553"/>
      <c r="R73" s="1458"/>
      <c r="S73" s="1458"/>
      <c r="T73" s="1458"/>
      <c r="U73" s="1458"/>
      <c r="V73" s="1458"/>
      <c r="W73" s="1458"/>
      <c r="X73" s="1458"/>
      <c r="Y73" s="1458"/>
      <c r="Z73" s="1458"/>
      <c r="AA73" s="447"/>
      <c r="AB73" s="447"/>
      <c r="AC73" s="36"/>
      <c r="AD73" s="36"/>
      <c r="AE73" s="36"/>
      <c r="AF73" s="36"/>
      <c r="AG73" s="36"/>
      <c r="AH73" s="36"/>
      <c r="AI73" s="36"/>
      <c r="AJ73" s="36"/>
      <c r="AK73" s="36"/>
      <c r="AL73" s="36"/>
    </row>
    <row r="74" spans="5:38" ht="20.25" customHeight="1"/>
    <row r="75" spans="5:38" ht="16.5" customHeight="1"/>
    <row r="76" spans="5:38" ht="18.45">
      <c r="E76" s="415" t="s">
        <v>475</v>
      </c>
      <c r="F76" s="324"/>
      <c r="G76" s="324"/>
      <c r="H76" s="2459" t="s">
        <v>358</v>
      </c>
      <c r="I76" s="2460"/>
      <c r="J76" s="2460"/>
      <c r="K76" s="2460"/>
      <c r="L76" s="2460"/>
      <c r="M76" s="2460"/>
      <c r="N76" s="2460"/>
      <c r="O76" s="2460"/>
      <c r="P76" s="2460"/>
      <c r="Q76" s="2460"/>
      <c r="R76" s="2460"/>
      <c r="S76" s="2460"/>
      <c r="T76" s="2460"/>
      <c r="U76" s="2460"/>
      <c r="V76" s="2460"/>
      <c r="W76" s="2460"/>
      <c r="X76" s="2460"/>
      <c r="Y76" s="2460"/>
      <c r="Z76" s="2461"/>
    </row>
    <row r="77" spans="5:38">
      <c r="F77" s="20"/>
      <c r="G77" s="1539"/>
      <c r="H77" s="1459"/>
      <c r="I77" s="1459"/>
      <c r="J77" s="1459"/>
      <c r="K77" s="1459"/>
      <c r="L77" s="1459"/>
      <c r="M77" s="1459"/>
      <c r="N77" s="1459"/>
      <c r="O77" s="1459"/>
      <c r="P77" s="1459"/>
      <c r="Q77" s="1459"/>
      <c r="S77" s="1535"/>
      <c r="T77" s="1459"/>
      <c r="U77" s="1535"/>
      <c r="V77" s="1535"/>
      <c r="W77" s="1459"/>
      <c r="X77" s="1459"/>
      <c r="Y77" s="1535"/>
      <c r="Z77" s="1591"/>
    </row>
    <row r="78" spans="5:38" ht="15" customHeight="1">
      <c r="F78" s="351" t="s">
        <v>464</v>
      </c>
      <c r="G78" s="332"/>
      <c r="H78" s="2476"/>
      <c r="I78" s="2477"/>
      <c r="J78" s="2477"/>
      <c r="K78" s="2477"/>
      <c r="L78" s="2477"/>
      <c r="M78" s="2477"/>
      <c r="N78" s="2477"/>
      <c r="O78" s="2477"/>
      <c r="P78" s="2477"/>
      <c r="Q78" s="2477"/>
      <c r="R78" s="2477"/>
      <c r="S78" s="2477"/>
      <c r="T78" s="2477"/>
      <c r="U78" s="2477"/>
      <c r="V78" s="2477"/>
      <c r="W78" s="2477"/>
      <c r="X78" s="2477"/>
      <c r="Y78" s="2477"/>
      <c r="Z78" s="2478"/>
    </row>
    <row r="79" spans="5:38" ht="15" customHeight="1">
      <c r="F79" s="288" t="s">
        <v>28</v>
      </c>
      <c r="G79" s="1589"/>
      <c r="H79" s="2456" t="s">
        <v>2430</v>
      </c>
      <c r="I79" s="2457"/>
      <c r="J79" s="2457"/>
      <c r="K79" s="2457"/>
      <c r="L79" s="2457"/>
      <c r="M79" s="2457"/>
      <c r="N79" s="2457"/>
      <c r="O79" s="2457"/>
      <c r="P79" s="2457"/>
      <c r="Q79" s="2457"/>
      <c r="R79" s="2457"/>
      <c r="S79" s="2457"/>
      <c r="T79" s="2457"/>
      <c r="U79" s="2457"/>
      <c r="V79" s="2457"/>
      <c r="W79" s="2457"/>
      <c r="X79" s="2457"/>
      <c r="Y79" s="2457"/>
      <c r="Z79" s="2458"/>
      <c r="AA79" s="1"/>
      <c r="AL79" s="1"/>
    </row>
    <row r="80" spans="5:38">
      <c r="F80" s="288" t="s">
        <v>29</v>
      </c>
      <c r="G80" s="1589"/>
      <c r="H80" s="2456" t="s">
        <v>2431</v>
      </c>
      <c r="I80" s="2457"/>
      <c r="J80" s="2457"/>
      <c r="K80" s="2457"/>
      <c r="L80" s="2457"/>
      <c r="M80" s="2457"/>
      <c r="N80" s="2457"/>
      <c r="O80" s="2457"/>
      <c r="P80" s="2457"/>
      <c r="Q80" s="2457"/>
      <c r="R80" s="2457"/>
      <c r="S80" s="2457"/>
      <c r="T80" s="2457"/>
      <c r="U80" s="2457"/>
      <c r="V80" s="2457"/>
      <c r="W80" s="2457"/>
      <c r="X80" s="2457"/>
      <c r="Y80" s="2457"/>
      <c r="Z80" s="2458"/>
    </row>
    <row r="81" spans="5:38">
      <c r="F81" s="288" t="s">
        <v>84</v>
      </c>
      <c r="G81" s="1589"/>
      <c r="H81" s="2456" t="s">
        <v>2432</v>
      </c>
      <c r="I81" s="2457"/>
      <c r="J81" s="2457"/>
      <c r="K81" s="2457"/>
      <c r="L81" s="2457"/>
      <c r="M81" s="2457"/>
      <c r="N81" s="2457"/>
      <c r="O81" s="2457"/>
      <c r="P81" s="2457"/>
      <c r="Q81" s="2457"/>
      <c r="R81" s="2457"/>
      <c r="S81" s="2457"/>
      <c r="T81" s="2457"/>
      <c r="U81" s="2457"/>
      <c r="V81" s="2457"/>
      <c r="W81" s="2457"/>
      <c r="X81" s="2457"/>
      <c r="Y81" s="2457"/>
      <c r="Z81" s="2458"/>
    </row>
    <row r="82" spans="5:38">
      <c r="F82" s="419" t="s">
        <v>33</v>
      </c>
      <c r="G82" s="1590"/>
      <c r="H82" s="2468"/>
      <c r="I82" s="2469"/>
      <c r="J82" s="2469"/>
      <c r="K82" s="2469"/>
      <c r="L82" s="2469"/>
      <c r="M82" s="2469"/>
      <c r="N82" s="2469"/>
      <c r="O82" s="2469"/>
      <c r="P82" s="2469"/>
      <c r="Q82" s="2469"/>
      <c r="R82" s="2469"/>
      <c r="S82" s="2469"/>
      <c r="T82" s="2469"/>
      <c r="U82" s="2469"/>
      <c r="V82" s="2469"/>
      <c r="W82" s="2469"/>
      <c r="X82" s="2469"/>
      <c r="Y82" s="2469"/>
      <c r="Z82" s="2470"/>
    </row>
    <row r="83" spans="5:38" ht="8.25" customHeight="1">
      <c r="E83" s="348"/>
      <c r="F83" s="348"/>
      <c r="G83" s="348"/>
      <c r="H83" s="2471"/>
      <c r="I83" s="2471"/>
      <c r="J83" s="2471"/>
      <c r="K83" s="2471"/>
      <c r="L83" s="2471"/>
      <c r="M83" s="2471"/>
      <c r="N83" s="2471"/>
      <c r="O83" s="2471"/>
      <c r="P83" s="2471"/>
      <c r="Q83" s="2471"/>
      <c r="R83" s="2471"/>
      <c r="S83" s="2471"/>
      <c r="T83" s="2471"/>
      <c r="U83" s="2471"/>
      <c r="V83" s="2471"/>
      <c r="W83" s="2471"/>
      <c r="X83" s="2471"/>
      <c r="Y83" s="2471"/>
      <c r="Z83" s="2471"/>
      <c r="AA83" s="1393"/>
    </row>
    <row r="84" spans="5:38">
      <c r="F84" s="326" t="s">
        <v>476</v>
      </c>
      <c r="G84" s="1566"/>
      <c r="H84" s="2465"/>
      <c r="I84" s="2466"/>
      <c r="J84" s="2466"/>
      <c r="K84" s="2466"/>
      <c r="L84" s="2466"/>
      <c r="M84" s="2466"/>
      <c r="N84" s="2466"/>
      <c r="O84" s="2466"/>
      <c r="P84" s="2466"/>
      <c r="Q84" s="2466"/>
      <c r="R84" s="2466"/>
      <c r="S84" s="2466"/>
      <c r="T84" s="2466"/>
      <c r="U84" s="2466"/>
      <c r="V84" s="2466"/>
      <c r="W84" s="2466"/>
      <c r="X84" s="2466"/>
      <c r="Y84" s="2466"/>
      <c r="Z84" s="2467"/>
    </row>
    <row r="85" spans="5:38">
      <c r="F85" s="443" t="s">
        <v>185</v>
      </c>
      <c r="G85" s="336"/>
      <c r="H85" s="2456" t="s">
        <v>2436</v>
      </c>
      <c r="I85" s="2457"/>
      <c r="J85" s="2457"/>
      <c r="K85" s="2457"/>
      <c r="L85" s="2457"/>
      <c r="M85" s="2457"/>
      <c r="N85" s="2457"/>
      <c r="O85" s="2457"/>
      <c r="P85" s="2457"/>
      <c r="Q85" s="2457"/>
      <c r="R85" s="2457"/>
      <c r="S85" s="2457"/>
      <c r="T85" s="2457"/>
      <c r="U85" s="2457"/>
      <c r="V85" s="2457"/>
      <c r="W85" s="2457"/>
      <c r="X85" s="2457"/>
      <c r="Y85" s="2457"/>
      <c r="Z85" s="2458"/>
      <c r="AL85" s="4"/>
    </row>
    <row r="86" spans="5:38">
      <c r="F86" s="444" t="s">
        <v>462</v>
      </c>
      <c r="G86" s="336"/>
      <c r="H86" s="2456" t="s">
        <v>2434</v>
      </c>
      <c r="I86" s="2457"/>
      <c r="J86" s="2457"/>
      <c r="K86" s="2457"/>
      <c r="L86" s="2457"/>
      <c r="M86" s="2457"/>
      <c r="N86" s="2457"/>
      <c r="O86" s="2457"/>
      <c r="P86" s="2457"/>
      <c r="Q86" s="2457"/>
      <c r="R86" s="2457"/>
      <c r="S86" s="2457"/>
      <c r="T86" s="2457"/>
      <c r="U86" s="2457"/>
      <c r="V86" s="2457"/>
      <c r="W86" s="2457"/>
      <c r="X86" s="2457"/>
      <c r="Y86" s="2457"/>
      <c r="Z86" s="2458"/>
    </row>
    <row r="87" spans="5:38">
      <c r="F87" s="443" t="s">
        <v>478</v>
      </c>
      <c r="G87" s="1570"/>
      <c r="H87" s="2447" t="s">
        <v>2433</v>
      </c>
      <c r="I87" s="2448"/>
      <c r="J87" s="2448"/>
      <c r="K87" s="2448"/>
      <c r="L87" s="2448"/>
      <c r="M87" s="2448"/>
      <c r="N87" s="2448"/>
      <c r="O87" s="2448"/>
      <c r="P87" s="2448"/>
      <c r="Q87" s="2448"/>
      <c r="R87" s="2448"/>
      <c r="S87" s="2448"/>
      <c r="T87" s="2448"/>
      <c r="U87" s="2448"/>
      <c r="V87" s="2448"/>
      <c r="W87" s="2448"/>
      <c r="X87" s="2448"/>
      <c r="Y87" s="2448"/>
      <c r="Z87" s="2449"/>
    </row>
    <row r="88" spans="5:38">
      <c r="F88" s="326" t="s">
        <v>477</v>
      </c>
      <c r="G88" s="1566"/>
      <c r="H88" s="2462"/>
      <c r="I88" s="2463"/>
      <c r="J88" s="2463"/>
      <c r="K88" s="2463"/>
      <c r="L88" s="2463"/>
      <c r="M88" s="2463"/>
      <c r="N88" s="2463"/>
      <c r="O88" s="2463"/>
      <c r="P88" s="2463"/>
      <c r="Q88" s="2463"/>
      <c r="R88" s="2463"/>
      <c r="S88" s="2463"/>
      <c r="T88" s="2463"/>
      <c r="U88" s="2463"/>
      <c r="V88" s="2463"/>
      <c r="W88" s="2463"/>
      <c r="X88" s="2463"/>
      <c r="Y88" s="2463"/>
      <c r="Z88" s="2464"/>
    </row>
    <row r="89" spans="5:38">
      <c r="F89" s="443" t="s">
        <v>185</v>
      </c>
      <c r="G89" s="336"/>
      <c r="H89" s="2456" t="s">
        <v>2437</v>
      </c>
      <c r="I89" s="2457"/>
      <c r="J89" s="2457"/>
      <c r="K89" s="2457"/>
      <c r="L89" s="2457"/>
      <c r="M89" s="2457"/>
      <c r="N89" s="2457"/>
      <c r="O89" s="2457"/>
      <c r="P89" s="2457"/>
      <c r="Q89" s="2457"/>
      <c r="R89" s="2457"/>
      <c r="S89" s="2457"/>
      <c r="T89" s="2457"/>
      <c r="U89" s="2457"/>
      <c r="V89" s="2457"/>
      <c r="W89" s="2457"/>
      <c r="X89" s="2457"/>
      <c r="Y89" s="2457"/>
      <c r="Z89" s="2458"/>
      <c r="AL89" s="4"/>
    </row>
    <row r="90" spans="5:38">
      <c r="F90" s="444" t="s">
        <v>462</v>
      </c>
      <c r="G90" s="336"/>
      <c r="H90" s="2456" t="s">
        <v>2435</v>
      </c>
      <c r="I90" s="2457"/>
      <c r="J90" s="2457"/>
      <c r="K90" s="2457"/>
      <c r="L90" s="2457"/>
      <c r="M90" s="2457"/>
      <c r="N90" s="2457"/>
      <c r="O90" s="2457"/>
      <c r="P90" s="2457"/>
      <c r="Q90" s="2457"/>
      <c r="R90" s="2457"/>
      <c r="S90" s="2457"/>
      <c r="T90" s="2457"/>
      <c r="U90" s="2457"/>
      <c r="V90" s="2457"/>
      <c r="W90" s="2457"/>
      <c r="X90" s="2457"/>
      <c r="Y90" s="2457"/>
      <c r="Z90" s="2458"/>
    </row>
    <row r="91" spans="5:38">
      <c r="F91" s="443" t="s">
        <v>471</v>
      </c>
      <c r="G91" s="336"/>
      <c r="H91" s="2456" t="s">
        <v>2438</v>
      </c>
      <c r="I91" s="2457"/>
      <c r="J91" s="2457"/>
      <c r="K91" s="2457"/>
      <c r="L91" s="2457"/>
      <c r="M91" s="2457"/>
      <c r="N91" s="2457"/>
      <c r="O91" s="2457"/>
      <c r="P91" s="2457"/>
      <c r="Q91" s="2457"/>
      <c r="R91" s="2457"/>
      <c r="S91" s="2457"/>
      <c r="T91" s="2457"/>
      <c r="U91" s="2457"/>
      <c r="V91" s="2457"/>
      <c r="W91" s="2457"/>
      <c r="X91" s="2457"/>
      <c r="Y91" s="2457"/>
      <c r="Z91" s="2458"/>
      <c r="AL91" s="4"/>
    </row>
    <row r="92" spans="5:38">
      <c r="F92" s="445" t="s">
        <v>463</v>
      </c>
      <c r="G92" s="346"/>
      <c r="H92" s="2447" t="s">
        <v>2439</v>
      </c>
      <c r="I92" s="2448"/>
      <c r="J92" s="2448"/>
      <c r="K92" s="2448"/>
      <c r="L92" s="2448"/>
      <c r="M92" s="2448"/>
      <c r="N92" s="2448"/>
      <c r="O92" s="2448"/>
      <c r="P92" s="2448"/>
      <c r="Q92" s="2448"/>
      <c r="R92" s="2448"/>
      <c r="S92" s="2448"/>
      <c r="T92" s="2448"/>
      <c r="U92" s="2448"/>
      <c r="V92" s="2448"/>
      <c r="W92" s="2448"/>
      <c r="X92" s="2448"/>
      <c r="Y92" s="2448"/>
      <c r="Z92" s="2449"/>
    </row>
    <row r="93" spans="5:38">
      <c r="F93" s="6"/>
      <c r="G93" s="6"/>
      <c r="S93" s="1420"/>
      <c r="T93" s="1420"/>
      <c r="U93" s="1420"/>
      <c r="V93" s="1420"/>
      <c r="W93" s="1420"/>
      <c r="X93" s="1420"/>
      <c r="Y93" s="1420"/>
      <c r="AL93" s="4"/>
    </row>
    <row r="94" spans="5:38">
      <c r="F94" s="6"/>
      <c r="G94" s="6"/>
      <c r="S94" s="1420"/>
      <c r="T94" s="1420"/>
      <c r="U94" s="1420"/>
      <c r="V94" s="1420"/>
      <c r="W94" s="1420"/>
      <c r="X94" s="1420"/>
      <c r="Y94" s="1420"/>
      <c r="AL94" s="4"/>
    </row>
    <row r="95" spans="5:38">
      <c r="F95" s="6"/>
      <c r="G95" s="6"/>
      <c r="S95" s="1420"/>
      <c r="T95" s="1420"/>
      <c r="U95" s="1420"/>
      <c r="V95" s="1420"/>
      <c r="W95" s="1420"/>
      <c r="X95" s="1420"/>
      <c r="Y95" s="1420"/>
      <c r="AL95" s="4"/>
    </row>
    <row r="96" spans="5:38">
      <c r="F96" s="6"/>
      <c r="G96" s="6"/>
      <c r="S96" s="1420"/>
      <c r="T96" s="1420"/>
      <c r="U96" s="1420"/>
      <c r="V96" s="1420"/>
      <c r="W96" s="1420"/>
      <c r="X96" s="1420"/>
      <c r="Y96" s="1420"/>
      <c r="AL96" s="4"/>
    </row>
    <row r="97" spans="5:38" ht="18.45">
      <c r="E97" s="415" t="s">
        <v>460</v>
      </c>
      <c r="F97" s="324"/>
      <c r="G97" s="995"/>
      <c r="H97" s="1428"/>
      <c r="I97" s="1428"/>
      <c r="J97" s="1428"/>
      <c r="K97" s="1428"/>
      <c r="L97" s="1428"/>
      <c r="M97" s="1428"/>
      <c r="N97" s="1428"/>
      <c r="O97" s="1428"/>
      <c r="P97" s="1428"/>
      <c r="Q97" s="1428"/>
      <c r="R97" s="1428"/>
      <c r="S97" s="1428"/>
      <c r="T97" s="1428"/>
      <c r="U97" s="1428"/>
      <c r="V97" s="1428"/>
      <c r="W97" s="1428"/>
      <c r="X97" s="1428"/>
      <c r="Y97" s="1536"/>
      <c r="AL97" s="4"/>
    </row>
    <row r="98" spans="5:38" ht="30" customHeight="1">
      <c r="F98" s="994"/>
      <c r="G98" s="1540"/>
      <c r="H98" s="1554"/>
      <c r="I98" s="1554"/>
      <c r="J98" s="1554"/>
      <c r="K98" s="1555"/>
      <c r="L98" s="1555"/>
      <c r="M98" s="1555"/>
      <c r="N98" s="1555"/>
      <c r="O98" s="1555"/>
      <c r="P98" s="1555"/>
      <c r="Q98" s="1555"/>
      <c r="R98" s="1550"/>
      <c r="S98" s="1556"/>
      <c r="T98" s="1555"/>
      <c r="U98" s="1556"/>
      <c r="V98" s="1556"/>
      <c r="W98" s="1555"/>
      <c r="X98" s="1459"/>
      <c r="Y98" s="1535"/>
    </row>
    <row r="99" spans="5:38" ht="18.45">
      <c r="F99" s="352" t="s">
        <v>2442</v>
      </c>
      <c r="G99" s="353"/>
      <c r="H99" s="2459" t="s">
        <v>358</v>
      </c>
      <c r="I99" s="2460"/>
      <c r="J99" s="2460"/>
      <c r="K99" s="2460"/>
      <c r="L99" s="2460"/>
      <c r="M99" s="2460"/>
      <c r="N99" s="2460"/>
      <c r="O99" s="2460"/>
      <c r="P99" s="2460"/>
      <c r="Q99" s="2460"/>
      <c r="R99" s="2460"/>
      <c r="S99" s="2460"/>
      <c r="T99" s="2460"/>
      <c r="U99" s="2460"/>
      <c r="V99" s="2460"/>
      <c r="W99" s="2460"/>
      <c r="X99" s="2460"/>
      <c r="Y99" s="2460"/>
      <c r="Z99" s="2461"/>
    </row>
    <row r="100" spans="5:38" ht="30.75" customHeight="1">
      <c r="F100" s="288"/>
      <c r="G100" s="1592" t="s">
        <v>48</v>
      </c>
      <c r="H100" s="2456" t="s">
        <v>2446</v>
      </c>
      <c r="I100" s="2457"/>
      <c r="J100" s="2457"/>
      <c r="K100" s="2457"/>
      <c r="L100" s="2457"/>
      <c r="M100" s="2457"/>
      <c r="N100" s="2457"/>
      <c r="O100" s="2457"/>
      <c r="P100" s="2457"/>
      <c r="Q100" s="2457"/>
      <c r="R100" s="2457"/>
      <c r="S100" s="2457"/>
      <c r="T100" s="2457"/>
      <c r="U100" s="2457"/>
      <c r="V100" s="2457"/>
      <c r="W100" s="2457"/>
      <c r="X100" s="2457"/>
      <c r="Y100" s="2457"/>
      <c r="Z100" s="2458"/>
    </row>
    <row r="101" spans="5:38" ht="30.75" customHeight="1">
      <c r="F101" s="298"/>
      <c r="G101" s="1593" t="s">
        <v>226</v>
      </c>
      <c r="H101" s="2456" t="s">
        <v>2445</v>
      </c>
      <c r="I101" s="2457"/>
      <c r="J101" s="2457"/>
      <c r="K101" s="2457"/>
      <c r="L101" s="2457"/>
      <c r="M101" s="2457"/>
      <c r="N101" s="2457"/>
      <c r="O101" s="2457"/>
      <c r="P101" s="2457"/>
      <c r="Q101" s="2457"/>
      <c r="R101" s="2457"/>
      <c r="S101" s="2457"/>
      <c r="T101" s="2457"/>
      <c r="U101" s="2457"/>
      <c r="V101" s="2457"/>
      <c r="W101" s="2457"/>
      <c r="X101" s="2457"/>
      <c r="Y101" s="2457"/>
      <c r="Z101" s="2458"/>
    </row>
    <row r="102" spans="5:38" ht="20.25" customHeight="1">
      <c r="F102" s="288"/>
      <c r="G102" s="1592" t="s">
        <v>89</v>
      </c>
      <c r="H102" s="2456" t="s">
        <v>2447</v>
      </c>
      <c r="I102" s="2457"/>
      <c r="J102" s="2457"/>
      <c r="K102" s="2457"/>
      <c r="L102" s="2457"/>
      <c r="M102" s="2457"/>
      <c r="N102" s="2457"/>
      <c r="O102" s="2457"/>
      <c r="P102" s="2457"/>
      <c r="Q102" s="2457"/>
      <c r="R102" s="2457"/>
      <c r="S102" s="2457"/>
      <c r="T102" s="2457"/>
      <c r="U102" s="2457"/>
      <c r="V102" s="2457"/>
      <c r="W102" s="2457"/>
      <c r="X102" s="2457"/>
      <c r="Y102" s="2457"/>
      <c r="Z102" s="2458"/>
      <c r="AL102" s="4"/>
    </row>
    <row r="103" spans="5:38" ht="30.75" customHeight="1">
      <c r="F103" s="288"/>
      <c r="G103" s="1592" t="s">
        <v>90</v>
      </c>
      <c r="H103" s="2456" t="s">
        <v>2449</v>
      </c>
      <c r="I103" s="2457"/>
      <c r="J103" s="2457"/>
      <c r="K103" s="2457"/>
      <c r="L103" s="2457"/>
      <c r="M103" s="2457"/>
      <c r="N103" s="2457"/>
      <c r="O103" s="2457"/>
      <c r="P103" s="2457"/>
      <c r="Q103" s="2457"/>
      <c r="R103" s="2457"/>
      <c r="S103" s="2457"/>
      <c r="T103" s="2457"/>
      <c r="U103" s="2457"/>
      <c r="V103" s="2457"/>
      <c r="W103" s="2457"/>
      <c r="X103" s="2457"/>
      <c r="Y103" s="2457"/>
      <c r="Z103" s="2458"/>
    </row>
    <row r="104" spans="5:38" ht="30.75" customHeight="1">
      <c r="F104" s="357"/>
      <c r="G104" s="1593" t="s">
        <v>1</v>
      </c>
      <c r="H104" s="2456" t="s">
        <v>2448</v>
      </c>
      <c r="I104" s="2457"/>
      <c r="J104" s="2457"/>
      <c r="K104" s="2457"/>
      <c r="L104" s="2457"/>
      <c r="M104" s="2457"/>
      <c r="N104" s="2457"/>
      <c r="O104" s="2457"/>
      <c r="P104" s="2457"/>
      <c r="Q104" s="2457"/>
      <c r="R104" s="2457"/>
      <c r="S104" s="2457"/>
      <c r="T104" s="2457"/>
      <c r="U104" s="2457"/>
      <c r="V104" s="2457"/>
      <c r="W104" s="2457"/>
      <c r="X104" s="2457"/>
      <c r="Y104" s="2457"/>
      <c r="Z104" s="2458"/>
    </row>
    <row r="105" spans="5:38" ht="24" customHeight="1">
      <c r="F105" s="298"/>
      <c r="G105" s="1593" t="s">
        <v>91</v>
      </c>
      <c r="H105" s="2456" t="s">
        <v>2450</v>
      </c>
      <c r="I105" s="2457"/>
      <c r="J105" s="2457"/>
      <c r="K105" s="2457"/>
      <c r="L105" s="2457"/>
      <c r="M105" s="2457"/>
      <c r="N105" s="2457"/>
      <c r="O105" s="2457"/>
      <c r="P105" s="2457"/>
      <c r="Q105" s="2457"/>
      <c r="R105" s="2457"/>
      <c r="S105" s="2457"/>
      <c r="T105" s="2457"/>
      <c r="U105" s="2457"/>
      <c r="V105" s="2457"/>
      <c r="W105" s="2457"/>
      <c r="X105" s="2457"/>
      <c r="Y105" s="2457"/>
      <c r="Z105" s="2458"/>
      <c r="AL105" s="4"/>
    </row>
    <row r="106" spans="5:38" ht="30.75" customHeight="1">
      <c r="F106" s="298"/>
      <c r="G106" s="1593" t="s">
        <v>92</v>
      </c>
      <c r="H106" s="2456" t="s">
        <v>2451</v>
      </c>
      <c r="I106" s="2457"/>
      <c r="J106" s="2457"/>
      <c r="K106" s="2457"/>
      <c r="L106" s="2457"/>
      <c r="M106" s="2457"/>
      <c r="N106" s="2457"/>
      <c r="O106" s="2457"/>
      <c r="P106" s="2457"/>
      <c r="Q106" s="2457"/>
      <c r="R106" s="2457"/>
      <c r="S106" s="2457"/>
      <c r="T106" s="2457"/>
      <c r="U106" s="2457"/>
      <c r="V106" s="2457"/>
      <c r="W106" s="2457"/>
      <c r="X106" s="2457"/>
      <c r="Y106" s="2457"/>
      <c r="Z106" s="2458"/>
      <c r="AF106" s="34"/>
      <c r="AL106" s="4"/>
    </row>
    <row r="107" spans="5:38" ht="30.75" customHeight="1">
      <c r="F107" s="298"/>
      <c r="G107" s="1593" t="s">
        <v>93</v>
      </c>
      <c r="H107" s="2456" t="s">
        <v>2453</v>
      </c>
      <c r="I107" s="2457"/>
      <c r="J107" s="2457"/>
      <c r="K107" s="2457"/>
      <c r="L107" s="2457"/>
      <c r="M107" s="2457"/>
      <c r="N107" s="2457"/>
      <c r="O107" s="2457"/>
      <c r="P107" s="2457"/>
      <c r="Q107" s="2457"/>
      <c r="R107" s="2457"/>
      <c r="S107" s="2457"/>
      <c r="T107" s="2457"/>
      <c r="U107" s="2457"/>
      <c r="V107" s="2457"/>
      <c r="W107" s="2457"/>
      <c r="X107" s="2457"/>
      <c r="Y107" s="2457"/>
      <c r="Z107" s="2458"/>
      <c r="AL107" s="4"/>
    </row>
    <row r="108" spans="5:38" ht="30.75" customHeight="1">
      <c r="F108" s="359"/>
      <c r="G108" s="1594" t="s">
        <v>160</v>
      </c>
      <c r="H108" s="2447" t="s">
        <v>2452</v>
      </c>
      <c r="I108" s="2448"/>
      <c r="J108" s="2448"/>
      <c r="K108" s="2448"/>
      <c r="L108" s="2448"/>
      <c r="M108" s="2448"/>
      <c r="N108" s="2448"/>
      <c r="O108" s="2448"/>
      <c r="P108" s="2448"/>
      <c r="Q108" s="2448"/>
      <c r="R108" s="2448"/>
      <c r="S108" s="2448"/>
      <c r="T108" s="2448"/>
      <c r="U108" s="2448"/>
      <c r="V108" s="2448"/>
      <c r="W108" s="2448"/>
      <c r="X108" s="2448"/>
      <c r="Y108" s="2448"/>
      <c r="Z108" s="2449"/>
    </row>
    <row r="109" spans="5:38">
      <c r="F109" s="352" t="s">
        <v>2443</v>
      </c>
      <c r="G109" s="352"/>
      <c r="H109" s="1595"/>
      <c r="I109" s="1596"/>
      <c r="J109" s="1596"/>
      <c r="K109" s="1596"/>
      <c r="L109" s="1596"/>
      <c r="M109" s="1596"/>
      <c r="N109" s="1596"/>
      <c r="O109" s="1596"/>
      <c r="P109" s="1596"/>
      <c r="Q109" s="1596"/>
      <c r="R109" s="1597"/>
      <c r="S109" s="1598"/>
      <c r="T109" s="1596"/>
      <c r="U109" s="1598"/>
      <c r="V109" s="1598"/>
      <c r="W109" s="1596"/>
      <c r="X109" s="1596"/>
      <c r="Y109" s="1598"/>
      <c r="Z109" s="1599"/>
    </row>
    <row r="110" spans="5:38">
      <c r="F110" s="298"/>
      <c r="G110" s="298" t="s">
        <v>48</v>
      </c>
      <c r="H110" s="2450" t="s">
        <v>2454</v>
      </c>
      <c r="I110" s="2451"/>
      <c r="J110" s="2451"/>
      <c r="K110" s="2451"/>
      <c r="L110" s="2451"/>
      <c r="M110" s="2451"/>
      <c r="N110" s="2451"/>
      <c r="O110" s="2451"/>
      <c r="P110" s="2451"/>
      <c r="Q110" s="2451"/>
      <c r="R110" s="2451"/>
      <c r="S110" s="2451"/>
      <c r="T110" s="2451"/>
      <c r="U110" s="2451"/>
      <c r="V110" s="2451"/>
      <c r="W110" s="2451"/>
      <c r="X110" s="2451"/>
      <c r="Y110" s="2451"/>
      <c r="Z110" s="2452"/>
    </row>
    <row r="111" spans="5:38">
      <c r="F111" s="288"/>
      <c r="G111" s="298" t="s">
        <v>226</v>
      </c>
      <c r="H111" s="2450"/>
      <c r="I111" s="2451"/>
      <c r="J111" s="2451"/>
      <c r="K111" s="2451"/>
      <c r="L111" s="2451"/>
      <c r="M111" s="2451"/>
      <c r="N111" s="2451"/>
      <c r="O111" s="2451"/>
      <c r="P111" s="2451"/>
      <c r="Q111" s="2451"/>
      <c r="R111" s="2451"/>
      <c r="S111" s="2451"/>
      <c r="T111" s="2451"/>
      <c r="U111" s="2451"/>
      <c r="V111" s="2451"/>
      <c r="W111" s="2451"/>
      <c r="X111" s="2451"/>
      <c r="Y111" s="2451"/>
      <c r="Z111" s="2452"/>
    </row>
    <row r="112" spans="5:38">
      <c r="F112" s="298"/>
      <c r="G112" s="298" t="s">
        <v>89</v>
      </c>
      <c r="H112" s="2450"/>
      <c r="I112" s="2451"/>
      <c r="J112" s="2451"/>
      <c r="K112" s="2451"/>
      <c r="L112" s="2451"/>
      <c r="M112" s="2451"/>
      <c r="N112" s="2451"/>
      <c r="O112" s="2451"/>
      <c r="P112" s="2451"/>
      <c r="Q112" s="2451"/>
      <c r="R112" s="2451"/>
      <c r="S112" s="2451"/>
      <c r="T112" s="2451"/>
      <c r="U112" s="2451"/>
      <c r="V112" s="2451"/>
      <c r="W112" s="2451"/>
      <c r="X112" s="2451"/>
      <c r="Y112" s="2451"/>
      <c r="Z112" s="2452"/>
      <c r="AL112" s="4"/>
    </row>
    <row r="113" spans="6:38">
      <c r="F113" s="288"/>
      <c r="G113" s="288" t="s">
        <v>90</v>
      </c>
      <c r="H113" s="2450"/>
      <c r="I113" s="2451"/>
      <c r="J113" s="2451"/>
      <c r="K113" s="2451"/>
      <c r="L113" s="2451"/>
      <c r="M113" s="2451"/>
      <c r="N113" s="2451"/>
      <c r="O113" s="2451"/>
      <c r="P113" s="2451"/>
      <c r="Q113" s="2451"/>
      <c r="R113" s="2451"/>
      <c r="S113" s="2451"/>
      <c r="T113" s="2451"/>
      <c r="U113" s="2451"/>
      <c r="V113" s="2451"/>
      <c r="W113" s="2451"/>
      <c r="X113" s="2451"/>
      <c r="Y113" s="2451"/>
      <c r="Z113" s="2452"/>
    </row>
    <row r="114" spans="6:38">
      <c r="F114" s="288"/>
      <c r="G114" s="288" t="s">
        <v>1</v>
      </c>
      <c r="H114" s="2450"/>
      <c r="I114" s="2451"/>
      <c r="J114" s="2451"/>
      <c r="K114" s="2451"/>
      <c r="L114" s="2451"/>
      <c r="M114" s="2451"/>
      <c r="N114" s="2451"/>
      <c r="O114" s="2451"/>
      <c r="P114" s="2451"/>
      <c r="Q114" s="2451"/>
      <c r="R114" s="2451"/>
      <c r="S114" s="2451"/>
      <c r="T114" s="2451"/>
      <c r="U114" s="2451"/>
      <c r="V114" s="2451"/>
      <c r="W114" s="2451"/>
      <c r="X114" s="2451"/>
      <c r="Y114" s="2451"/>
      <c r="Z114" s="2452"/>
    </row>
    <row r="115" spans="6:38">
      <c r="F115" s="288"/>
      <c r="G115" s="288" t="s">
        <v>91</v>
      </c>
      <c r="H115" s="2450"/>
      <c r="I115" s="2451"/>
      <c r="J115" s="2451"/>
      <c r="K115" s="2451"/>
      <c r="L115" s="2451"/>
      <c r="M115" s="2451"/>
      <c r="N115" s="2451"/>
      <c r="O115" s="2451"/>
      <c r="P115" s="2451"/>
      <c r="Q115" s="2451"/>
      <c r="R115" s="2451"/>
      <c r="S115" s="2451"/>
      <c r="T115" s="2451"/>
      <c r="U115" s="2451"/>
      <c r="V115" s="2451"/>
      <c r="W115" s="2451"/>
      <c r="X115" s="2451"/>
      <c r="Y115" s="2451"/>
      <c r="Z115" s="2452"/>
      <c r="AL115" s="4"/>
    </row>
    <row r="116" spans="6:38">
      <c r="F116" s="288"/>
      <c r="G116" s="288" t="s">
        <v>92</v>
      </c>
      <c r="H116" s="2450"/>
      <c r="I116" s="2451"/>
      <c r="J116" s="2451"/>
      <c r="K116" s="2451"/>
      <c r="L116" s="2451"/>
      <c r="M116" s="2451"/>
      <c r="N116" s="2451"/>
      <c r="O116" s="2451"/>
      <c r="P116" s="2451"/>
      <c r="Q116" s="2451"/>
      <c r="R116" s="2451"/>
      <c r="S116" s="2451"/>
      <c r="T116" s="2451"/>
      <c r="U116" s="2451"/>
      <c r="V116" s="2451"/>
      <c r="W116" s="2451"/>
      <c r="X116" s="2451"/>
      <c r="Y116" s="2451"/>
      <c r="Z116" s="2452"/>
      <c r="AL116" s="4"/>
    </row>
    <row r="117" spans="6:38">
      <c r="F117" s="288"/>
      <c r="G117" s="288" t="s">
        <v>93</v>
      </c>
      <c r="H117" s="2450"/>
      <c r="I117" s="2451"/>
      <c r="J117" s="2451"/>
      <c r="K117" s="2451"/>
      <c r="L117" s="2451"/>
      <c r="M117" s="2451"/>
      <c r="N117" s="2451"/>
      <c r="O117" s="2451"/>
      <c r="P117" s="2451"/>
      <c r="Q117" s="2451"/>
      <c r="R117" s="2451"/>
      <c r="S117" s="2451"/>
      <c r="T117" s="2451"/>
      <c r="U117" s="2451"/>
      <c r="V117" s="2451"/>
      <c r="W117" s="2451"/>
      <c r="X117" s="2451"/>
      <c r="Y117" s="2451"/>
      <c r="Z117" s="2452"/>
      <c r="AL117" s="4"/>
    </row>
    <row r="118" spans="6:38">
      <c r="F118" s="363"/>
      <c r="G118" s="220" t="s">
        <v>160</v>
      </c>
      <c r="H118" s="2453"/>
      <c r="I118" s="2454"/>
      <c r="J118" s="2454"/>
      <c r="K118" s="2454"/>
      <c r="L118" s="2454"/>
      <c r="M118" s="2454"/>
      <c r="N118" s="2454"/>
      <c r="O118" s="2454"/>
      <c r="P118" s="2454"/>
      <c r="Q118" s="2454"/>
      <c r="R118" s="2454"/>
      <c r="S118" s="2454"/>
      <c r="T118" s="2454"/>
      <c r="U118" s="2454"/>
      <c r="V118" s="2454"/>
      <c r="W118" s="2454"/>
      <c r="X118" s="2454"/>
      <c r="Y118" s="2454"/>
      <c r="Z118" s="2455"/>
    </row>
    <row r="119" spans="6:38">
      <c r="F119" s="330" t="s">
        <v>2444</v>
      </c>
      <c r="G119" s="1571"/>
      <c r="H119" s="1595"/>
      <c r="I119" s="1596"/>
      <c r="J119" s="1596"/>
      <c r="K119" s="1596"/>
      <c r="L119" s="1596"/>
      <c r="M119" s="1596"/>
      <c r="N119" s="1596"/>
      <c r="O119" s="1596"/>
      <c r="P119" s="1596"/>
      <c r="Q119" s="1596"/>
      <c r="R119" s="1597"/>
      <c r="S119" s="1598"/>
      <c r="T119" s="1596"/>
      <c r="U119" s="1598"/>
      <c r="V119" s="1598"/>
      <c r="W119" s="1596"/>
      <c r="X119" s="1596"/>
      <c r="Y119" s="1598"/>
      <c r="Z119" s="1599"/>
    </row>
    <row r="120" spans="6:38">
      <c r="F120" s="219"/>
      <c r="G120" s="219" t="s">
        <v>48</v>
      </c>
      <c r="H120" s="2450" t="s">
        <v>2455</v>
      </c>
      <c r="I120" s="2451"/>
      <c r="J120" s="2451"/>
      <c r="K120" s="2451"/>
      <c r="L120" s="2451"/>
      <c r="M120" s="2451"/>
      <c r="N120" s="2451"/>
      <c r="O120" s="2451"/>
      <c r="P120" s="2451"/>
      <c r="Q120" s="2451"/>
      <c r="R120" s="2451"/>
      <c r="S120" s="2451"/>
      <c r="T120" s="2451"/>
      <c r="U120" s="2451"/>
      <c r="V120" s="2451"/>
      <c r="W120" s="2451"/>
      <c r="X120" s="2451"/>
      <c r="Y120" s="2451"/>
      <c r="Z120" s="2452"/>
    </row>
    <row r="121" spans="6:38">
      <c r="F121" s="288"/>
      <c r="G121" s="288" t="s">
        <v>226</v>
      </c>
      <c r="H121" s="2450"/>
      <c r="I121" s="2451"/>
      <c r="J121" s="2451"/>
      <c r="K121" s="2451"/>
      <c r="L121" s="2451"/>
      <c r="M121" s="2451"/>
      <c r="N121" s="2451"/>
      <c r="O121" s="2451"/>
      <c r="P121" s="2451"/>
      <c r="Q121" s="2451"/>
      <c r="R121" s="2451"/>
      <c r="S121" s="2451"/>
      <c r="T121" s="2451"/>
      <c r="U121" s="2451"/>
      <c r="V121" s="2451"/>
      <c r="W121" s="2451"/>
      <c r="X121" s="2451"/>
      <c r="Y121" s="2451"/>
      <c r="Z121" s="2452"/>
      <c r="AL121" s="4"/>
    </row>
    <row r="122" spans="6:38">
      <c r="F122" s="298"/>
      <c r="G122" s="298" t="s">
        <v>89</v>
      </c>
      <c r="H122" s="2450"/>
      <c r="I122" s="2451"/>
      <c r="J122" s="2451"/>
      <c r="K122" s="2451"/>
      <c r="L122" s="2451"/>
      <c r="M122" s="2451"/>
      <c r="N122" s="2451"/>
      <c r="O122" s="2451"/>
      <c r="P122" s="2451"/>
      <c r="Q122" s="2451"/>
      <c r="R122" s="2451"/>
      <c r="S122" s="2451"/>
      <c r="T122" s="2451"/>
      <c r="U122" s="2451"/>
      <c r="V122" s="2451"/>
      <c r="W122" s="2451"/>
      <c r="X122" s="2451"/>
      <c r="Y122" s="2451"/>
      <c r="Z122" s="2452"/>
      <c r="AL122" s="4"/>
    </row>
    <row r="123" spans="6:38">
      <c r="F123" s="288"/>
      <c r="G123" s="288" t="s">
        <v>90</v>
      </c>
      <c r="H123" s="2450"/>
      <c r="I123" s="2451"/>
      <c r="J123" s="2451"/>
      <c r="K123" s="2451"/>
      <c r="L123" s="2451"/>
      <c r="M123" s="2451"/>
      <c r="N123" s="2451"/>
      <c r="O123" s="2451"/>
      <c r="P123" s="2451"/>
      <c r="Q123" s="2451"/>
      <c r="R123" s="2451"/>
      <c r="S123" s="2451"/>
      <c r="T123" s="2451"/>
      <c r="U123" s="2451"/>
      <c r="V123" s="2451"/>
      <c r="W123" s="2451"/>
      <c r="X123" s="2451"/>
      <c r="Y123" s="2451"/>
      <c r="Z123" s="2452"/>
    </row>
    <row r="124" spans="6:38">
      <c r="F124" s="288"/>
      <c r="G124" s="288" t="s">
        <v>1</v>
      </c>
      <c r="H124" s="2450"/>
      <c r="I124" s="2451"/>
      <c r="J124" s="2451"/>
      <c r="K124" s="2451"/>
      <c r="L124" s="2451"/>
      <c r="M124" s="2451"/>
      <c r="N124" s="2451"/>
      <c r="O124" s="2451"/>
      <c r="P124" s="2451"/>
      <c r="Q124" s="2451"/>
      <c r="R124" s="2451"/>
      <c r="S124" s="2451"/>
      <c r="T124" s="2451"/>
      <c r="U124" s="2451"/>
      <c r="V124" s="2451"/>
      <c r="W124" s="2451"/>
      <c r="X124" s="2451"/>
      <c r="Y124" s="2451"/>
      <c r="Z124" s="2452"/>
    </row>
    <row r="125" spans="6:38">
      <c r="F125" s="288"/>
      <c r="G125" s="288" t="s">
        <v>91</v>
      </c>
      <c r="H125" s="2450"/>
      <c r="I125" s="2451"/>
      <c r="J125" s="2451"/>
      <c r="K125" s="2451"/>
      <c r="L125" s="2451"/>
      <c r="M125" s="2451"/>
      <c r="N125" s="2451"/>
      <c r="O125" s="2451"/>
      <c r="P125" s="2451"/>
      <c r="Q125" s="2451"/>
      <c r="R125" s="2451"/>
      <c r="S125" s="2451"/>
      <c r="T125" s="2451"/>
      <c r="U125" s="2451"/>
      <c r="V125" s="2451"/>
      <c r="W125" s="2451"/>
      <c r="X125" s="2451"/>
      <c r="Y125" s="2451"/>
      <c r="Z125" s="2452"/>
      <c r="AA125" s="7"/>
    </row>
    <row r="126" spans="6:38">
      <c r="F126" s="288"/>
      <c r="G126" s="288" t="s">
        <v>92</v>
      </c>
      <c r="H126" s="2450"/>
      <c r="I126" s="2451"/>
      <c r="J126" s="2451"/>
      <c r="K126" s="2451"/>
      <c r="L126" s="2451"/>
      <c r="M126" s="2451"/>
      <c r="N126" s="2451"/>
      <c r="O126" s="2451"/>
      <c r="P126" s="2451"/>
      <c r="Q126" s="2451"/>
      <c r="R126" s="2451"/>
      <c r="S126" s="2451"/>
      <c r="T126" s="2451"/>
      <c r="U126" s="2451"/>
      <c r="V126" s="2451"/>
      <c r="W126" s="2451"/>
      <c r="X126" s="2451"/>
      <c r="Y126" s="2451"/>
      <c r="Z126" s="2452"/>
      <c r="AA126" s="7"/>
    </row>
    <row r="127" spans="6:38">
      <c r="F127" s="288"/>
      <c r="G127" s="288" t="s">
        <v>93</v>
      </c>
      <c r="H127" s="2450"/>
      <c r="I127" s="2451"/>
      <c r="J127" s="2451"/>
      <c r="K127" s="2451"/>
      <c r="L127" s="2451"/>
      <c r="M127" s="2451"/>
      <c r="N127" s="2451"/>
      <c r="O127" s="2451"/>
      <c r="P127" s="2451"/>
      <c r="Q127" s="2451"/>
      <c r="R127" s="2451"/>
      <c r="S127" s="2451"/>
      <c r="T127" s="2451"/>
      <c r="U127" s="2451"/>
      <c r="V127" s="2451"/>
      <c r="W127" s="2451"/>
      <c r="X127" s="2451"/>
      <c r="Y127" s="2451"/>
      <c r="Z127" s="2452"/>
      <c r="AA127" s="7"/>
    </row>
    <row r="128" spans="6:38">
      <c r="F128" s="984"/>
      <c r="G128" s="985" t="s">
        <v>160</v>
      </c>
      <c r="H128" s="2453"/>
      <c r="I128" s="2454"/>
      <c r="J128" s="2454"/>
      <c r="K128" s="2454"/>
      <c r="L128" s="2454"/>
      <c r="M128" s="2454"/>
      <c r="N128" s="2454"/>
      <c r="O128" s="2454"/>
      <c r="P128" s="2454"/>
      <c r="Q128" s="2454"/>
      <c r="R128" s="2454"/>
      <c r="S128" s="2454"/>
      <c r="T128" s="2454"/>
      <c r="U128" s="2454"/>
      <c r="V128" s="2454"/>
      <c r="W128" s="2454"/>
      <c r="X128" s="2454"/>
      <c r="Y128" s="2454"/>
      <c r="Z128" s="2455"/>
      <c r="AA128" s="7"/>
    </row>
    <row r="129" spans="6:38" ht="6.75" customHeight="1">
      <c r="F129" s="1600"/>
      <c r="G129" s="1601"/>
      <c r="S129" s="1420"/>
      <c r="U129" s="1420"/>
      <c r="V129" s="1420"/>
      <c r="Y129" s="1420"/>
      <c r="Z129" s="1444"/>
      <c r="AA129" s="7"/>
    </row>
    <row r="130" spans="6:38">
      <c r="F130" s="1539"/>
      <c r="G130" s="1393"/>
      <c r="H130" s="1555"/>
      <c r="I130" s="1555"/>
      <c r="J130" s="1555"/>
      <c r="K130" s="1555"/>
      <c r="L130" s="1555"/>
      <c r="M130" s="1555"/>
      <c r="N130" s="1555"/>
      <c r="O130" s="1555"/>
      <c r="P130" s="1555"/>
      <c r="Q130" s="1555"/>
      <c r="R130" s="1550"/>
      <c r="S130" s="1556"/>
      <c r="T130" s="1555"/>
      <c r="U130" s="1556"/>
      <c r="V130" s="1556"/>
      <c r="W130" s="1555"/>
      <c r="X130" s="1459"/>
      <c r="Y130" s="1420"/>
      <c r="Z130" s="1444"/>
      <c r="AA130" s="7"/>
    </row>
    <row r="131" spans="6:38">
      <c r="F131" s="352" t="s">
        <v>97</v>
      </c>
      <c r="G131" s="353"/>
      <c r="H131" s="1603"/>
      <c r="I131" s="1597"/>
      <c r="J131" s="1597"/>
      <c r="K131" s="1597"/>
      <c r="L131" s="1597"/>
      <c r="M131" s="1597"/>
      <c r="N131" s="1597"/>
      <c r="O131" s="1597"/>
      <c r="P131" s="1597"/>
      <c r="Q131" s="1597"/>
      <c r="R131" s="1597"/>
      <c r="S131" s="1598"/>
      <c r="T131" s="1597"/>
      <c r="U131" s="1598"/>
      <c r="V131" s="1598"/>
      <c r="W131" s="1597"/>
      <c r="X131" s="1597"/>
      <c r="Y131" s="1598"/>
      <c r="Z131" s="1602"/>
      <c r="AA131" s="7"/>
    </row>
    <row r="132" spans="6:38" ht="15" hidden="1" customHeight="1">
      <c r="F132" s="288"/>
      <c r="G132" s="366" t="s">
        <v>48</v>
      </c>
      <c r="H132" s="1604"/>
      <c r="S132" s="1420"/>
      <c r="U132" s="1420"/>
      <c r="V132" s="1420"/>
      <c r="Y132" s="1420"/>
      <c r="Z132" s="1591"/>
    </row>
    <row r="133" spans="6:38" s="52" customFormat="1" ht="23.25" customHeight="1">
      <c r="F133" s="1605"/>
      <c r="G133" s="1605" t="s">
        <v>94</v>
      </c>
      <c r="H133" s="2456" t="s">
        <v>2436</v>
      </c>
      <c r="I133" s="2457"/>
      <c r="J133" s="2457"/>
      <c r="K133" s="2457"/>
      <c r="L133" s="2457"/>
      <c r="M133" s="2457"/>
      <c r="N133" s="2457"/>
      <c r="O133" s="2457"/>
      <c r="P133" s="2457"/>
      <c r="Q133" s="2457"/>
      <c r="R133" s="2457"/>
      <c r="S133" s="2457"/>
      <c r="T133" s="2457"/>
      <c r="U133" s="2457"/>
      <c r="V133" s="2457"/>
      <c r="W133" s="2457"/>
      <c r="X133" s="2457"/>
      <c r="Y133" s="2457"/>
      <c r="Z133" s="2458"/>
    </row>
    <row r="134" spans="6:38" s="52" customFormat="1" ht="23.25" customHeight="1">
      <c r="F134" s="1605"/>
      <c r="G134" s="1605" t="s">
        <v>485</v>
      </c>
      <c r="H134" s="2456" t="s">
        <v>2433</v>
      </c>
      <c r="I134" s="2457"/>
      <c r="J134" s="2457"/>
      <c r="K134" s="2457"/>
      <c r="L134" s="2457"/>
      <c r="M134" s="2457"/>
      <c r="N134" s="2457"/>
      <c r="O134" s="2457"/>
      <c r="P134" s="2457"/>
      <c r="Q134" s="2457"/>
      <c r="R134" s="2457"/>
      <c r="S134" s="2457"/>
      <c r="T134" s="2457"/>
      <c r="U134" s="2457"/>
      <c r="V134" s="2457"/>
      <c r="W134" s="2457"/>
      <c r="X134" s="2457"/>
      <c r="Y134" s="2457"/>
      <c r="Z134" s="2458"/>
    </row>
    <row r="135" spans="6:38" s="52" customFormat="1" ht="23.25" customHeight="1">
      <c r="F135" s="1605"/>
      <c r="G135" s="1605" t="s">
        <v>383</v>
      </c>
      <c r="H135" s="2456" t="s">
        <v>2456</v>
      </c>
      <c r="I135" s="2457"/>
      <c r="J135" s="2457"/>
      <c r="K135" s="2457"/>
      <c r="L135" s="2457"/>
      <c r="M135" s="2457"/>
      <c r="N135" s="2457"/>
      <c r="O135" s="2457"/>
      <c r="P135" s="2457"/>
      <c r="Q135" s="2457"/>
      <c r="R135" s="2457"/>
      <c r="S135" s="2457"/>
      <c r="T135" s="2457"/>
      <c r="U135" s="2457"/>
      <c r="V135" s="2457"/>
      <c r="W135" s="2457"/>
      <c r="X135" s="2457"/>
      <c r="Y135" s="2457"/>
      <c r="Z135" s="2458"/>
    </row>
    <row r="136" spans="6:38" s="52" customFormat="1" ht="23.25" customHeight="1">
      <c r="F136" s="1605"/>
      <c r="G136" s="1593" t="s">
        <v>384</v>
      </c>
      <c r="H136" s="2456" t="s">
        <v>2457</v>
      </c>
      <c r="I136" s="2457"/>
      <c r="J136" s="2457"/>
      <c r="K136" s="2457"/>
      <c r="L136" s="2457"/>
      <c r="M136" s="2457"/>
      <c r="N136" s="2457"/>
      <c r="O136" s="2457"/>
      <c r="P136" s="2457"/>
      <c r="Q136" s="2457"/>
      <c r="R136" s="2457"/>
      <c r="S136" s="2457"/>
      <c r="T136" s="2457"/>
      <c r="U136" s="2457"/>
      <c r="V136" s="2457"/>
      <c r="W136" s="2457"/>
      <c r="X136" s="2457"/>
      <c r="Y136" s="2457"/>
      <c r="Z136" s="2458"/>
    </row>
    <row r="137" spans="6:38" s="52" customFormat="1" ht="23.25" customHeight="1">
      <c r="F137" s="1605"/>
      <c r="G137" s="1593" t="s">
        <v>385</v>
      </c>
      <c r="H137" s="2456" t="s">
        <v>2458</v>
      </c>
      <c r="I137" s="2457"/>
      <c r="J137" s="2457"/>
      <c r="K137" s="2457"/>
      <c r="L137" s="2457"/>
      <c r="M137" s="2457"/>
      <c r="N137" s="2457"/>
      <c r="O137" s="2457"/>
      <c r="P137" s="2457"/>
      <c r="Q137" s="2457"/>
      <c r="R137" s="2457"/>
      <c r="S137" s="2457"/>
      <c r="T137" s="2457"/>
      <c r="U137" s="2457"/>
      <c r="V137" s="2457"/>
      <c r="W137" s="2457"/>
      <c r="X137" s="2457"/>
      <c r="Y137" s="2457"/>
      <c r="Z137" s="2458"/>
    </row>
    <row r="138" spans="6:38" s="52" customFormat="1" ht="23.25" customHeight="1">
      <c r="F138" s="1606"/>
      <c r="G138" s="1594" t="s">
        <v>386</v>
      </c>
      <c r="H138" s="2447" t="s">
        <v>2459</v>
      </c>
      <c r="I138" s="2448"/>
      <c r="J138" s="2448"/>
      <c r="K138" s="2448"/>
      <c r="L138" s="2448"/>
      <c r="M138" s="2448"/>
      <c r="N138" s="2448"/>
      <c r="O138" s="2448"/>
      <c r="P138" s="2448"/>
      <c r="Q138" s="2448"/>
      <c r="R138" s="2448"/>
      <c r="S138" s="2448"/>
      <c r="T138" s="2448"/>
      <c r="U138" s="2448"/>
      <c r="V138" s="2448"/>
      <c r="W138" s="2448"/>
      <c r="X138" s="2448"/>
      <c r="Y138" s="2448"/>
      <c r="Z138" s="2449"/>
    </row>
    <row r="139" spans="6:38" s="52" customFormat="1" ht="15" customHeight="1">
      <c r="F139" s="1607" t="s">
        <v>83</v>
      </c>
      <c r="G139" s="1608"/>
      <c r="H139" s="1609"/>
      <c r="I139" s="1610"/>
      <c r="J139" s="1610"/>
      <c r="K139" s="1610"/>
      <c r="L139" s="1610"/>
      <c r="M139" s="1610"/>
      <c r="N139" s="1610"/>
      <c r="O139" s="1610"/>
      <c r="P139" s="1610"/>
      <c r="Q139" s="1610"/>
      <c r="R139" s="1610"/>
      <c r="S139" s="1611"/>
      <c r="T139" s="1610"/>
      <c r="U139" s="1611"/>
      <c r="V139" s="1611"/>
      <c r="W139" s="1610"/>
      <c r="X139" s="1610"/>
      <c r="Y139" s="1611"/>
      <c r="Z139" s="1612"/>
      <c r="AA139" s="86"/>
      <c r="AL139" s="86"/>
    </row>
    <row r="140" spans="6:38" s="52" customFormat="1" ht="23.25" customHeight="1">
      <c r="F140" s="1606"/>
      <c r="G140" s="1606" t="s">
        <v>95</v>
      </c>
      <c r="H140" s="2447" t="s">
        <v>2432</v>
      </c>
      <c r="I140" s="2448"/>
      <c r="J140" s="2448"/>
      <c r="K140" s="2448"/>
      <c r="L140" s="2448"/>
      <c r="M140" s="2448"/>
      <c r="N140" s="2448"/>
      <c r="O140" s="2448"/>
      <c r="P140" s="2448"/>
      <c r="Q140" s="2448"/>
      <c r="R140" s="2448"/>
      <c r="S140" s="2448"/>
      <c r="T140" s="2448"/>
      <c r="U140" s="2448"/>
      <c r="V140" s="2448"/>
      <c r="W140" s="2448"/>
      <c r="X140" s="2448"/>
      <c r="Y140" s="2448"/>
      <c r="Z140" s="2449"/>
      <c r="AA140" s="86"/>
      <c r="AL140" s="86"/>
    </row>
    <row r="141" spans="6:38" ht="15" customHeight="1">
      <c r="F141" s="109"/>
      <c r="G141" s="109"/>
      <c r="R141" s="1420"/>
      <c r="S141" s="1420"/>
      <c r="T141" s="1420"/>
      <c r="U141" s="1420"/>
      <c r="V141" s="1420"/>
      <c r="W141" s="1420"/>
      <c r="X141" s="1420"/>
      <c r="AL141" s="1"/>
    </row>
    <row r="142" spans="6:38" ht="15" customHeight="1">
      <c r="F142" s="109"/>
      <c r="G142" s="109"/>
      <c r="R142" s="1420"/>
      <c r="S142" s="1420"/>
      <c r="T142" s="1420"/>
      <c r="U142" s="1420"/>
      <c r="V142" s="1420"/>
      <c r="W142" s="1420"/>
      <c r="X142" s="1420"/>
      <c r="AL142" s="1"/>
    </row>
    <row r="143" spans="6:38" ht="15" customHeight="1">
      <c r="F143" s="109"/>
      <c r="G143" s="109"/>
      <c r="R143" s="1420"/>
      <c r="S143" s="1420"/>
      <c r="T143" s="1420"/>
      <c r="U143" s="1420"/>
      <c r="V143" s="1420"/>
      <c r="W143" s="1420"/>
      <c r="X143" s="1420"/>
      <c r="AL143" s="4"/>
    </row>
    <row r="144" spans="6:38" ht="15" customHeight="1">
      <c r="F144" s="109"/>
      <c r="G144" s="109"/>
      <c r="R144" s="1420"/>
      <c r="S144" s="1420"/>
      <c r="T144" s="1420"/>
      <c r="U144" s="1420"/>
      <c r="V144" s="1420"/>
      <c r="W144" s="1420"/>
      <c r="X144" s="1420"/>
    </row>
    <row r="145" spans="6:40" ht="15" customHeight="1">
      <c r="R145" s="1420"/>
      <c r="S145" s="1420"/>
      <c r="T145" s="1420"/>
      <c r="U145" s="1420"/>
      <c r="V145" s="1420"/>
      <c r="W145" s="1420"/>
      <c r="X145" s="1420"/>
    </row>
    <row r="146" spans="6:40" ht="15" customHeight="1">
      <c r="H146" s="2445"/>
      <c r="I146" s="2445"/>
      <c r="J146" s="2445"/>
      <c r="K146" s="2445"/>
      <c r="L146" s="2445"/>
      <c r="M146" s="2445"/>
      <c r="N146" s="2445"/>
      <c r="O146" s="2445"/>
      <c r="P146" s="2445"/>
      <c r="Q146" s="2445"/>
      <c r="R146" s="2445"/>
      <c r="S146" s="2445"/>
      <c r="T146" s="2445"/>
      <c r="U146" s="2445"/>
      <c r="V146" s="2445"/>
      <c r="W146" s="2445"/>
      <c r="X146" s="2445"/>
      <c r="Y146" s="2445"/>
      <c r="Z146" s="2445"/>
    </row>
    <row r="147" spans="6:40" ht="15" customHeight="1">
      <c r="F147" s="416" t="s">
        <v>461</v>
      </c>
      <c r="G147" s="1541"/>
      <c r="H147" s="1631"/>
      <c r="I147" s="1631"/>
      <c r="J147" s="1631"/>
      <c r="K147" s="1631"/>
      <c r="L147" s="1631"/>
      <c r="M147" s="1631"/>
      <c r="N147" s="1631"/>
      <c r="O147" s="1631"/>
      <c r="P147" s="1631"/>
      <c r="Q147" s="1631"/>
      <c r="R147" s="1631"/>
      <c r="S147" s="1631"/>
      <c r="T147" s="1631"/>
      <c r="U147" s="1631"/>
      <c r="V147" s="1631"/>
      <c r="W147" s="1631"/>
      <c r="X147" s="1631"/>
      <c r="Y147" s="1631"/>
      <c r="Z147" s="1631"/>
      <c r="AA147" s="1625"/>
      <c r="AB147" s="1625"/>
      <c r="AC147" s="1625"/>
      <c r="AD147" s="1625"/>
      <c r="AE147" s="1625"/>
      <c r="AF147" s="1625"/>
      <c r="AG147" s="1625"/>
      <c r="AH147" s="36"/>
      <c r="AI147" s="36"/>
      <c r="AJ147" s="36"/>
      <c r="AK147" s="36"/>
      <c r="AL147" s="36"/>
      <c r="AM147" s="36"/>
      <c r="AN147" s="36"/>
    </row>
    <row r="148" spans="6:40" ht="15" customHeight="1">
      <c r="F148" s="860"/>
      <c r="G148" s="861"/>
      <c r="H148" s="1632"/>
      <c r="I148" s="1632"/>
      <c r="J148" s="1632"/>
      <c r="K148" s="1632"/>
      <c r="L148" s="1632"/>
      <c r="M148" s="1632"/>
      <c r="N148" s="1632"/>
      <c r="O148" s="1632"/>
      <c r="P148" s="1632"/>
      <c r="Q148" s="1632"/>
      <c r="R148" s="1632"/>
      <c r="S148" s="1632"/>
      <c r="T148" s="1632"/>
      <c r="U148" s="1632"/>
      <c r="V148" s="1632"/>
      <c r="W148" s="1632"/>
      <c r="X148" s="1632"/>
      <c r="Y148" s="1632"/>
      <c r="Z148" s="1632"/>
      <c r="AA148" s="1625"/>
      <c r="AB148" s="1625"/>
      <c r="AC148" s="1625"/>
      <c r="AD148" s="1625"/>
      <c r="AE148" s="1625"/>
      <c r="AF148" s="1625"/>
      <c r="AG148" s="1625"/>
      <c r="AH148" s="36"/>
      <c r="AI148" s="36"/>
      <c r="AJ148" s="36"/>
      <c r="AK148" s="36"/>
      <c r="AL148" s="36"/>
      <c r="AM148" s="36"/>
      <c r="AN148" s="36"/>
    </row>
    <row r="149" spans="6:40" ht="150.75" customHeight="1">
      <c r="F149" s="1626"/>
      <c r="G149" s="1627"/>
      <c r="H149" s="2444" t="s">
        <v>2487</v>
      </c>
      <c r="I149" s="2444"/>
      <c r="J149" s="2444"/>
      <c r="K149" s="2444"/>
      <c r="L149" s="2444"/>
      <c r="M149" s="2444"/>
      <c r="N149" s="2444"/>
      <c r="O149" s="2444"/>
      <c r="P149" s="2444"/>
      <c r="Q149" s="2444"/>
      <c r="R149" s="2444"/>
      <c r="S149" s="2444"/>
      <c r="T149" s="2444"/>
      <c r="U149" s="2444"/>
      <c r="V149" s="2444"/>
      <c r="W149" s="2444"/>
      <c r="X149" s="2444"/>
      <c r="Y149" s="2444"/>
      <c r="Z149" s="2444"/>
      <c r="AA149" s="1625"/>
      <c r="AB149" s="1625"/>
      <c r="AC149" s="1625"/>
      <c r="AD149" s="1625"/>
      <c r="AE149" s="1625"/>
      <c r="AF149" s="1625"/>
      <c r="AG149" s="1625"/>
      <c r="AH149" s="36"/>
      <c r="AI149" s="36"/>
      <c r="AJ149" s="36"/>
      <c r="AK149" s="36"/>
      <c r="AL149" s="36"/>
      <c r="AM149" s="36"/>
      <c r="AN149" s="36"/>
    </row>
    <row r="150" spans="6:40" ht="21.75" customHeight="1">
      <c r="F150" s="867" t="s">
        <v>2496</v>
      </c>
      <c r="G150" s="868"/>
      <c r="H150" s="1628"/>
      <c r="I150" s="1628"/>
      <c r="J150" s="1628"/>
      <c r="K150" s="1628"/>
      <c r="L150" s="1628"/>
      <c r="M150" s="1628"/>
      <c r="N150" s="1628"/>
      <c r="O150" s="1628"/>
      <c r="P150" s="1628"/>
      <c r="Q150" s="1628"/>
      <c r="R150" s="1628"/>
      <c r="S150" s="1628"/>
      <c r="T150" s="1628"/>
      <c r="U150" s="1628"/>
      <c r="V150" s="1628"/>
      <c r="W150" s="1628"/>
      <c r="X150" s="1628"/>
      <c r="Y150" s="1628"/>
      <c r="Z150" s="1628"/>
      <c r="AA150" s="1625"/>
      <c r="AB150" s="1625"/>
      <c r="AC150" s="1625"/>
      <c r="AD150" s="1625"/>
      <c r="AE150" s="1625"/>
      <c r="AF150" s="1625"/>
      <c r="AG150" s="1625"/>
    </row>
    <row r="151" spans="6:40" ht="39.75" customHeight="1" outlineLevel="1">
      <c r="F151" s="36"/>
      <c r="G151" s="1629" t="s">
        <v>414</v>
      </c>
      <c r="H151" s="2446" t="s">
        <v>2463</v>
      </c>
      <c r="I151" s="2446"/>
      <c r="J151" s="2446"/>
      <c r="K151" s="2446"/>
      <c r="L151" s="2446"/>
      <c r="M151" s="2446"/>
      <c r="N151" s="2446"/>
      <c r="O151" s="2446"/>
      <c r="P151" s="2446"/>
      <c r="Q151" s="2446"/>
      <c r="R151" s="2446"/>
      <c r="S151" s="2446"/>
      <c r="T151" s="2446"/>
      <c r="U151" s="2446"/>
      <c r="V151" s="2446"/>
      <c r="W151" s="2446"/>
      <c r="X151" s="2446"/>
      <c r="Y151" s="2446"/>
      <c r="Z151" s="2446"/>
      <c r="AK151" s="1"/>
    </row>
    <row r="152" spans="6:40" ht="15" customHeight="1" outlineLevel="1">
      <c r="F152" s="882" t="s">
        <v>387</v>
      </c>
      <c r="G152" s="844"/>
      <c r="H152" s="1615"/>
      <c r="I152" s="1615"/>
      <c r="J152" s="1615"/>
      <c r="K152" s="1615"/>
      <c r="L152" s="1615"/>
      <c r="M152" s="1615"/>
      <c r="N152" s="1615"/>
      <c r="O152" s="1615"/>
      <c r="P152" s="1615"/>
      <c r="Q152" s="1616"/>
      <c r="R152" s="1617"/>
      <c r="S152" s="1617"/>
      <c r="T152" s="1616"/>
      <c r="U152" s="1617"/>
      <c r="V152" s="1617"/>
      <c r="W152" s="1616"/>
      <c r="X152" s="1616"/>
      <c r="Y152" s="1618"/>
      <c r="Z152" s="1618"/>
      <c r="AK152" s="1"/>
    </row>
    <row r="153" spans="6:40" ht="27" customHeight="1" outlineLevel="1">
      <c r="F153" s="885"/>
      <c r="G153" s="203" t="s">
        <v>390</v>
      </c>
      <c r="H153" s="2437" t="s">
        <v>2460</v>
      </c>
      <c r="I153" s="2437"/>
      <c r="J153" s="2437"/>
      <c r="K153" s="2437"/>
      <c r="L153" s="2437"/>
      <c r="M153" s="2437"/>
      <c r="N153" s="2437"/>
      <c r="O153" s="2437"/>
      <c r="P153" s="2437"/>
      <c r="Q153" s="2437"/>
      <c r="R153" s="2437"/>
      <c r="S153" s="2437"/>
      <c r="T153" s="2437"/>
      <c r="U153" s="2437"/>
      <c r="V153" s="2437"/>
      <c r="W153" s="2437"/>
      <c r="X153" s="2437"/>
      <c r="Y153" s="2437"/>
      <c r="Z153" s="2437"/>
      <c r="AK153" s="1"/>
    </row>
    <row r="154" spans="6:40" ht="40.5" customHeight="1" outlineLevel="1">
      <c r="F154" s="885"/>
      <c r="G154" s="1630" t="s">
        <v>391</v>
      </c>
      <c r="H154" s="2439" t="s">
        <v>2461</v>
      </c>
      <c r="I154" s="2439"/>
      <c r="J154" s="2439"/>
      <c r="K154" s="2439"/>
      <c r="L154" s="2439"/>
      <c r="M154" s="2439"/>
      <c r="N154" s="2439"/>
      <c r="O154" s="2439"/>
      <c r="P154" s="2439"/>
      <c r="Q154" s="2439"/>
      <c r="R154" s="2439"/>
      <c r="S154" s="2439"/>
      <c r="T154" s="2439"/>
      <c r="U154" s="2439"/>
      <c r="V154" s="2439"/>
      <c r="W154" s="2439"/>
      <c r="X154" s="2439"/>
      <c r="Y154" s="2439"/>
      <c r="Z154" s="2439"/>
      <c r="AK154" s="1"/>
    </row>
    <row r="155" spans="6:40" ht="15" customHeight="1" outlineLevel="1">
      <c r="F155" s="884" t="s">
        <v>149</v>
      </c>
      <c r="G155" s="844"/>
      <c r="H155" s="1619"/>
      <c r="I155" s="1619"/>
      <c r="J155" s="1619"/>
      <c r="K155" s="1619"/>
      <c r="L155" s="1619"/>
      <c r="M155" s="1619"/>
      <c r="N155" s="1619"/>
      <c r="O155" s="1617"/>
      <c r="P155" s="1617"/>
      <c r="Q155" s="1620"/>
      <c r="R155" s="1617"/>
      <c r="S155" s="1617"/>
      <c r="T155" s="1620"/>
      <c r="U155" s="1617"/>
      <c r="V155" s="1617"/>
      <c r="W155" s="1620"/>
      <c r="X155" s="1620"/>
      <c r="Y155" s="1618"/>
      <c r="Z155" s="1618"/>
      <c r="AK155" s="1"/>
    </row>
    <row r="156" spans="6:40" ht="31.5" customHeight="1" outlineLevel="1">
      <c r="F156" s="883"/>
      <c r="G156" s="1633" t="s">
        <v>146</v>
      </c>
      <c r="H156" s="2437" t="s">
        <v>2462</v>
      </c>
      <c r="I156" s="2437"/>
      <c r="J156" s="2437"/>
      <c r="K156" s="2437"/>
      <c r="L156" s="2437"/>
      <c r="M156" s="2437"/>
      <c r="N156" s="2437"/>
      <c r="O156" s="2437"/>
      <c r="P156" s="2437"/>
      <c r="Q156" s="2437"/>
      <c r="R156" s="2437"/>
      <c r="S156" s="2437"/>
      <c r="T156" s="2437"/>
      <c r="U156" s="2437"/>
      <c r="V156" s="2437"/>
      <c r="W156" s="2437"/>
      <c r="X156" s="2437"/>
      <c r="Y156" s="2437"/>
      <c r="Z156" s="2437"/>
      <c r="AA156" s="36"/>
      <c r="AB156" s="36"/>
      <c r="AC156" s="36"/>
      <c r="AD156" s="36"/>
      <c r="AE156" s="36"/>
      <c r="AF156" s="36"/>
      <c r="AG156" s="36"/>
      <c r="AH156" s="36"/>
      <c r="AI156" s="36"/>
      <c r="AJ156" s="36"/>
      <c r="AK156" s="242"/>
      <c r="AL156" s="36"/>
      <c r="AM156" s="36"/>
      <c r="AN156" s="36"/>
    </row>
    <row r="157" spans="6:40" ht="30.75" customHeight="1" outlineLevel="1">
      <c r="F157" s="883"/>
      <c r="G157" s="1634" t="s">
        <v>147</v>
      </c>
      <c r="H157" s="2438" t="s">
        <v>2471</v>
      </c>
      <c r="I157" s="2438"/>
      <c r="J157" s="2438"/>
      <c r="K157" s="2438"/>
      <c r="L157" s="2438"/>
      <c r="M157" s="2438"/>
      <c r="N157" s="2438"/>
      <c r="O157" s="2438"/>
      <c r="P157" s="2438"/>
      <c r="Q157" s="2438"/>
      <c r="R157" s="2438"/>
      <c r="S157" s="2438"/>
      <c r="T157" s="2438"/>
      <c r="U157" s="2438"/>
      <c r="V157" s="2438"/>
      <c r="W157" s="2438"/>
      <c r="X157" s="2438"/>
      <c r="Y157" s="2438"/>
      <c r="Z157" s="2438"/>
      <c r="AA157" s="36"/>
      <c r="AB157" s="36"/>
      <c r="AC157" s="36"/>
      <c r="AD157" s="36"/>
      <c r="AE157" s="36"/>
      <c r="AF157" s="36"/>
      <c r="AG157" s="36"/>
      <c r="AH157" s="36"/>
      <c r="AI157" s="36"/>
      <c r="AJ157" s="36"/>
      <c r="AK157" s="242"/>
      <c r="AL157" s="36"/>
      <c r="AM157" s="36"/>
      <c r="AN157" s="36"/>
    </row>
    <row r="158" spans="6:40" ht="21" customHeight="1" outlineLevel="1">
      <c r="F158" s="883"/>
      <c r="G158" s="1634" t="s">
        <v>142</v>
      </c>
      <c r="H158" s="2438" t="s">
        <v>2464</v>
      </c>
      <c r="I158" s="2438"/>
      <c r="J158" s="2438"/>
      <c r="K158" s="2438"/>
      <c r="L158" s="2438"/>
      <c r="M158" s="2438"/>
      <c r="N158" s="2438"/>
      <c r="O158" s="2438"/>
      <c r="P158" s="2438"/>
      <c r="Q158" s="2438"/>
      <c r="R158" s="2438"/>
      <c r="S158" s="2438"/>
      <c r="T158" s="2438"/>
      <c r="U158" s="2438"/>
      <c r="V158" s="2438"/>
      <c r="W158" s="2438"/>
      <c r="X158" s="2438"/>
      <c r="Y158" s="2438"/>
      <c r="Z158" s="2438"/>
      <c r="AA158" s="36"/>
      <c r="AB158" s="36"/>
      <c r="AC158" s="36"/>
      <c r="AD158" s="36"/>
      <c r="AE158" s="36"/>
      <c r="AF158" s="36"/>
      <c r="AG158" s="36"/>
      <c r="AH158" s="36"/>
      <c r="AI158" s="36"/>
      <c r="AJ158" s="36"/>
      <c r="AK158" s="36"/>
      <c r="AL158" s="36"/>
      <c r="AM158" s="36"/>
      <c r="AN158" s="36" t="s">
        <v>190</v>
      </c>
    </row>
    <row r="159" spans="6:40" ht="21" customHeight="1" outlineLevel="1">
      <c r="F159" s="883"/>
      <c r="G159" s="1635" t="s">
        <v>163</v>
      </c>
      <c r="H159" s="2439" t="s">
        <v>2465</v>
      </c>
      <c r="I159" s="2439"/>
      <c r="J159" s="2439"/>
      <c r="K159" s="2439"/>
      <c r="L159" s="2439"/>
      <c r="M159" s="2439"/>
      <c r="N159" s="2439"/>
      <c r="O159" s="2439"/>
      <c r="P159" s="2439"/>
      <c r="Q159" s="2439"/>
      <c r="R159" s="2439"/>
      <c r="S159" s="2439"/>
      <c r="T159" s="2439"/>
      <c r="U159" s="2439"/>
      <c r="V159" s="2439"/>
      <c r="W159" s="2439"/>
      <c r="X159" s="2439"/>
      <c r="Y159" s="2439"/>
      <c r="Z159" s="2439"/>
      <c r="AA159" s="36"/>
      <c r="AB159" s="36"/>
      <c r="AC159" s="36"/>
      <c r="AD159" s="36"/>
      <c r="AE159" s="36"/>
      <c r="AF159" s="36"/>
      <c r="AG159" s="36"/>
      <c r="AH159" s="36"/>
      <c r="AI159" s="36"/>
      <c r="AJ159" s="36"/>
      <c r="AK159" s="36"/>
      <c r="AL159" s="36"/>
      <c r="AM159" s="36"/>
      <c r="AN159" s="36"/>
    </row>
    <row r="160" spans="6:40" ht="20.25" customHeight="1" outlineLevel="1">
      <c r="F160" s="883"/>
      <c r="G160" s="1613" t="s">
        <v>150</v>
      </c>
      <c r="H160" s="1621"/>
      <c r="I160" s="1621"/>
      <c r="J160" s="1621"/>
      <c r="K160" s="1621"/>
      <c r="L160" s="1621"/>
      <c r="M160" s="1621"/>
      <c r="N160" s="1621"/>
      <c r="O160" s="1621"/>
      <c r="P160" s="1621"/>
      <c r="Q160" s="1621"/>
      <c r="R160" s="1622"/>
      <c r="S160" s="1622"/>
      <c r="T160" s="1621"/>
      <c r="U160" s="1622"/>
      <c r="V160" s="1622"/>
      <c r="W160" s="1621"/>
      <c r="X160" s="1621"/>
      <c r="Y160" s="1623"/>
      <c r="Z160" s="1623"/>
      <c r="AA160" s="36"/>
      <c r="AB160" s="36"/>
      <c r="AC160" s="36"/>
      <c r="AD160" s="36"/>
      <c r="AE160" s="36"/>
      <c r="AF160" s="36"/>
      <c r="AG160" s="36"/>
      <c r="AH160" s="36"/>
      <c r="AI160" s="36"/>
      <c r="AJ160" s="36"/>
      <c r="AK160" s="36"/>
      <c r="AL160" s="36"/>
      <c r="AM160" s="36"/>
      <c r="AN160" s="36"/>
    </row>
    <row r="161" spans="6:40" ht="15" customHeight="1" outlineLevel="1">
      <c r="F161" s="883"/>
      <c r="G161" s="1633" t="s">
        <v>2466</v>
      </c>
      <c r="H161" s="2437" t="s">
        <v>2467</v>
      </c>
      <c r="I161" s="2437"/>
      <c r="J161" s="2437"/>
      <c r="K161" s="2437"/>
      <c r="L161" s="2437"/>
      <c r="M161" s="2437"/>
      <c r="N161" s="2437"/>
      <c r="O161" s="2437"/>
      <c r="P161" s="2437"/>
      <c r="Q161" s="2437"/>
      <c r="R161" s="2437"/>
      <c r="S161" s="2437"/>
      <c r="T161" s="2437"/>
      <c r="U161" s="2437"/>
      <c r="V161" s="2437"/>
      <c r="W161" s="2437"/>
      <c r="X161" s="2437"/>
      <c r="Y161" s="2437"/>
      <c r="Z161" s="2437"/>
      <c r="AA161" s="36"/>
      <c r="AB161" s="36"/>
      <c r="AC161" s="36"/>
      <c r="AD161" s="36"/>
      <c r="AE161" s="36"/>
      <c r="AF161" s="36"/>
      <c r="AG161" s="36"/>
      <c r="AH161" s="36"/>
      <c r="AI161" s="36"/>
      <c r="AJ161" s="36"/>
      <c r="AK161" s="36"/>
      <c r="AL161" s="36"/>
      <c r="AM161" s="36"/>
      <c r="AN161" s="36"/>
    </row>
    <row r="162" spans="6:40" ht="37.5" customHeight="1" outlineLevel="1">
      <c r="F162" s="883"/>
      <c r="G162" s="1634" t="s">
        <v>141</v>
      </c>
      <c r="H162" s="2438" t="s">
        <v>2470</v>
      </c>
      <c r="I162" s="2438"/>
      <c r="J162" s="2438"/>
      <c r="K162" s="2438"/>
      <c r="L162" s="2438"/>
      <c r="M162" s="2438"/>
      <c r="N162" s="2438"/>
      <c r="O162" s="2438"/>
      <c r="P162" s="2438"/>
      <c r="Q162" s="2438"/>
      <c r="R162" s="2438"/>
      <c r="S162" s="2438"/>
      <c r="T162" s="2438"/>
      <c r="U162" s="2438"/>
      <c r="V162" s="2438"/>
      <c r="W162" s="2438"/>
      <c r="X162" s="2438"/>
      <c r="Y162" s="2438"/>
      <c r="Z162" s="2438"/>
      <c r="AA162" s="36"/>
      <c r="AB162" s="36"/>
      <c r="AC162" s="36"/>
      <c r="AD162" s="36"/>
      <c r="AE162" s="36"/>
      <c r="AF162" s="36"/>
      <c r="AG162" s="36"/>
      <c r="AH162" s="36"/>
      <c r="AI162" s="36"/>
      <c r="AJ162" s="36"/>
      <c r="AK162" s="36"/>
      <c r="AL162" s="36"/>
      <c r="AM162" s="36"/>
      <c r="AN162" s="36"/>
    </row>
    <row r="163" spans="6:40" ht="15" customHeight="1" outlineLevel="1">
      <c r="F163" s="883"/>
      <c r="G163" s="1634" t="s">
        <v>143</v>
      </c>
      <c r="H163" s="2438" t="s">
        <v>2468</v>
      </c>
      <c r="I163" s="2438"/>
      <c r="J163" s="2438"/>
      <c r="K163" s="2438"/>
      <c r="L163" s="2438"/>
      <c r="M163" s="2438"/>
      <c r="N163" s="2438"/>
      <c r="O163" s="2438"/>
      <c r="P163" s="2438"/>
      <c r="Q163" s="2438"/>
      <c r="R163" s="2438"/>
      <c r="S163" s="2438"/>
      <c r="T163" s="2438"/>
      <c r="U163" s="2438"/>
      <c r="V163" s="2438"/>
      <c r="W163" s="2438"/>
      <c r="X163" s="2438"/>
      <c r="Y163" s="2438"/>
      <c r="Z163" s="2438"/>
      <c r="AA163" s="36"/>
      <c r="AB163" s="36"/>
      <c r="AC163" s="36"/>
      <c r="AD163" s="36"/>
      <c r="AE163" s="36"/>
      <c r="AF163" s="36"/>
      <c r="AG163" s="36"/>
      <c r="AH163" s="36"/>
      <c r="AI163" s="36"/>
      <c r="AJ163" s="36"/>
      <c r="AK163" s="36"/>
      <c r="AL163" s="36"/>
      <c r="AM163" s="36"/>
      <c r="AN163" s="36"/>
    </row>
    <row r="164" spans="6:40" ht="39.75" customHeight="1" outlineLevel="1">
      <c r="F164" s="883"/>
      <c r="G164" s="1634" t="s">
        <v>144</v>
      </c>
      <c r="H164" s="2438" t="s">
        <v>2469</v>
      </c>
      <c r="I164" s="2438"/>
      <c r="J164" s="2438"/>
      <c r="K164" s="2438"/>
      <c r="L164" s="2438"/>
      <c r="M164" s="2438"/>
      <c r="N164" s="2438"/>
      <c r="O164" s="2438"/>
      <c r="P164" s="2438"/>
      <c r="Q164" s="2438"/>
      <c r="R164" s="2438"/>
      <c r="S164" s="2438"/>
      <c r="T164" s="2438"/>
      <c r="U164" s="2438"/>
      <c r="V164" s="2438"/>
      <c r="W164" s="2438"/>
      <c r="X164" s="2438"/>
      <c r="Y164" s="2438"/>
      <c r="Z164" s="2438"/>
      <c r="AA164" s="36"/>
      <c r="AB164" s="36"/>
      <c r="AC164" s="36"/>
      <c r="AD164" s="36"/>
      <c r="AE164" s="36"/>
      <c r="AF164" s="36"/>
      <c r="AG164" s="36"/>
      <c r="AH164" s="36"/>
      <c r="AI164" s="36"/>
      <c r="AJ164" s="36"/>
      <c r="AK164" s="242"/>
      <c r="AL164" s="36"/>
      <c r="AM164" s="36"/>
      <c r="AN164" s="36"/>
    </row>
    <row r="165" spans="6:40" ht="15" customHeight="1" outlineLevel="1">
      <c r="F165" s="883"/>
      <c r="G165" s="1635" t="s">
        <v>145</v>
      </c>
      <c r="H165" s="2439" t="s">
        <v>2472</v>
      </c>
      <c r="I165" s="2439"/>
      <c r="J165" s="2439"/>
      <c r="K165" s="2439"/>
      <c r="L165" s="2439"/>
      <c r="M165" s="2439"/>
      <c r="N165" s="2439"/>
      <c r="O165" s="2439"/>
      <c r="P165" s="2439"/>
      <c r="Q165" s="2439"/>
      <c r="R165" s="2439"/>
      <c r="S165" s="2439"/>
      <c r="T165" s="2439"/>
      <c r="U165" s="2439"/>
      <c r="V165" s="2439"/>
      <c r="W165" s="2439"/>
      <c r="X165" s="2439"/>
      <c r="Y165" s="2439"/>
      <c r="Z165" s="2439"/>
      <c r="AA165" s="36"/>
      <c r="AB165" s="36"/>
      <c r="AC165" s="36"/>
      <c r="AD165" s="36"/>
      <c r="AE165" s="36"/>
      <c r="AF165" s="36"/>
      <c r="AG165" s="36"/>
      <c r="AH165" s="36"/>
      <c r="AI165" s="36"/>
      <c r="AJ165" s="36"/>
      <c r="AK165" s="242"/>
      <c r="AL165" s="36"/>
      <c r="AM165" s="36"/>
      <c r="AN165" s="36"/>
    </row>
    <row r="166" spans="6:40" ht="24.75" customHeight="1" outlineLevel="1">
      <c r="F166" s="883"/>
      <c r="G166" s="1613" t="s">
        <v>841</v>
      </c>
      <c r="H166" s="1621"/>
      <c r="I166" s="1621"/>
      <c r="J166" s="1621"/>
      <c r="K166" s="1621"/>
      <c r="L166" s="1621"/>
      <c r="M166" s="1621"/>
      <c r="N166" s="1621"/>
      <c r="O166" s="1621"/>
      <c r="P166" s="1621"/>
      <c r="Q166" s="1621"/>
      <c r="R166" s="1622"/>
      <c r="S166" s="1622"/>
      <c r="T166" s="1621"/>
      <c r="U166" s="1622"/>
      <c r="V166" s="1622"/>
      <c r="W166" s="1621"/>
      <c r="X166" s="1621"/>
      <c r="Y166" s="1623"/>
      <c r="Z166" s="1623"/>
      <c r="AA166" s="36"/>
      <c r="AB166" s="36"/>
      <c r="AC166" s="36"/>
      <c r="AD166" s="36"/>
      <c r="AE166" s="36"/>
      <c r="AF166" s="36"/>
      <c r="AG166" s="36"/>
      <c r="AH166" s="36"/>
      <c r="AI166" s="36"/>
      <c r="AJ166" s="36"/>
      <c r="AK166" s="242"/>
      <c r="AL166" s="36"/>
      <c r="AM166" s="36"/>
      <c r="AN166" s="36"/>
    </row>
    <row r="167" spans="6:40" ht="15" customHeight="1" outlineLevel="1">
      <c r="F167" s="883"/>
      <c r="G167" s="1633" t="s">
        <v>144</v>
      </c>
      <c r="H167" s="2437" t="s">
        <v>2473</v>
      </c>
      <c r="I167" s="2437"/>
      <c r="J167" s="2437"/>
      <c r="K167" s="2437"/>
      <c r="L167" s="2437"/>
      <c r="M167" s="2437"/>
      <c r="N167" s="2437"/>
      <c r="O167" s="2437"/>
      <c r="P167" s="2437"/>
      <c r="Q167" s="2437"/>
      <c r="R167" s="2437"/>
      <c r="S167" s="2437"/>
      <c r="T167" s="2437"/>
      <c r="U167" s="2437"/>
      <c r="V167" s="2437"/>
      <c r="W167" s="2437"/>
      <c r="X167" s="2437"/>
      <c r="Y167" s="2437"/>
      <c r="Z167" s="2437"/>
      <c r="AA167" s="36"/>
      <c r="AB167" s="36"/>
      <c r="AC167" s="36"/>
      <c r="AD167" s="36"/>
      <c r="AE167" s="36"/>
      <c r="AF167" s="36"/>
      <c r="AG167" s="36"/>
      <c r="AH167" s="36"/>
      <c r="AI167" s="36"/>
      <c r="AJ167" s="36"/>
      <c r="AK167" s="36"/>
      <c r="AL167" s="36"/>
      <c r="AM167" s="36"/>
      <c r="AN167" s="36"/>
    </row>
    <row r="168" spans="6:40" ht="37.5" customHeight="1" outlineLevel="1">
      <c r="F168" s="883"/>
      <c r="G168" s="1635" t="s">
        <v>145</v>
      </c>
      <c r="H168" s="2439" t="s">
        <v>2474</v>
      </c>
      <c r="I168" s="2439"/>
      <c r="J168" s="2439"/>
      <c r="K168" s="2439"/>
      <c r="L168" s="2439"/>
      <c r="M168" s="2439"/>
      <c r="N168" s="2439"/>
      <c r="O168" s="2439"/>
      <c r="P168" s="2439"/>
      <c r="Q168" s="2439"/>
      <c r="R168" s="2439"/>
      <c r="S168" s="2439"/>
      <c r="T168" s="2439"/>
      <c r="U168" s="2439"/>
      <c r="V168" s="2439"/>
      <c r="W168" s="2439"/>
      <c r="X168" s="2439"/>
      <c r="Y168" s="2439"/>
      <c r="Z168" s="2439"/>
      <c r="AA168" s="36"/>
      <c r="AB168" s="36"/>
      <c r="AC168" s="36"/>
      <c r="AD168" s="36"/>
      <c r="AE168" s="36"/>
      <c r="AF168" s="36"/>
      <c r="AG168" s="36"/>
      <c r="AH168" s="36"/>
      <c r="AI168" s="36"/>
      <c r="AJ168" s="36"/>
      <c r="AK168" s="36"/>
      <c r="AL168" s="36"/>
      <c r="AM168" s="36"/>
      <c r="AN168" s="36"/>
    </row>
    <row r="169" spans="6:40" ht="15" customHeight="1" outlineLevel="1">
      <c r="F169" s="884" t="s">
        <v>148</v>
      </c>
      <c r="G169" s="1614"/>
      <c r="H169" s="1619"/>
      <c r="I169" s="1619"/>
      <c r="J169" s="1619"/>
      <c r="K169" s="1619"/>
      <c r="L169" s="1619"/>
      <c r="M169" s="1619"/>
      <c r="N169" s="1619"/>
      <c r="O169" s="1619"/>
      <c r="P169" s="1619"/>
      <c r="Q169" s="1619"/>
      <c r="R169" s="1617"/>
      <c r="S169" s="1617"/>
      <c r="T169" s="1619"/>
      <c r="U169" s="1617"/>
      <c r="V169" s="1617"/>
      <c r="W169" s="1619"/>
      <c r="X169" s="1619"/>
      <c r="Y169" s="1624"/>
      <c r="Z169" s="1624"/>
      <c r="AA169" s="36"/>
      <c r="AB169" s="36"/>
      <c r="AC169" s="36"/>
      <c r="AD169" s="36"/>
      <c r="AE169" s="36"/>
      <c r="AF169" s="36"/>
      <c r="AG169" s="36"/>
      <c r="AH169" s="36"/>
      <c r="AI169" s="36"/>
      <c r="AJ169" s="36"/>
      <c r="AK169" s="242"/>
      <c r="AL169" s="36"/>
      <c r="AM169" s="36"/>
      <c r="AN169" s="36"/>
    </row>
    <row r="170" spans="6:40" ht="15" customHeight="1" outlineLevel="1">
      <c r="F170" s="886"/>
      <c r="G170" s="1633" t="s">
        <v>151</v>
      </c>
      <c r="H170" s="2437" t="s">
        <v>2464</v>
      </c>
      <c r="I170" s="2437"/>
      <c r="J170" s="2437"/>
      <c r="K170" s="2437"/>
      <c r="L170" s="2437"/>
      <c r="M170" s="2437"/>
      <c r="N170" s="2437"/>
      <c r="O170" s="2437"/>
      <c r="P170" s="2437"/>
      <c r="Q170" s="2437"/>
      <c r="R170" s="2437"/>
      <c r="S170" s="2437"/>
      <c r="T170" s="2437"/>
      <c r="U170" s="2437"/>
      <c r="V170" s="2437"/>
      <c r="W170" s="2437"/>
      <c r="X170" s="2437"/>
      <c r="Y170" s="2437"/>
      <c r="Z170" s="2437"/>
      <c r="AA170" s="36"/>
      <c r="AB170" s="36"/>
      <c r="AC170" s="36"/>
      <c r="AD170" s="36"/>
      <c r="AE170" s="36"/>
      <c r="AF170" s="36"/>
      <c r="AG170" s="36"/>
      <c r="AH170" s="36"/>
      <c r="AI170" s="36"/>
      <c r="AJ170" s="36"/>
      <c r="AK170" s="242"/>
      <c r="AL170" s="36"/>
      <c r="AM170" s="36"/>
      <c r="AN170" s="36"/>
    </row>
    <row r="171" spans="6:40" ht="36.75" customHeight="1" outlineLevel="1">
      <c r="G171" s="1634" t="s">
        <v>58</v>
      </c>
      <c r="H171" s="2438" t="s">
        <v>2475</v>
      </c>
      <c r="I171" s="2438"/>
      <c r="J171" s="2438"/>
      <c r="K171" s="2438"/>
      <c r="L171" s="2438"/>
      <c r="M171" s="2438"/>
      <c r="N171" s="2438"/>
      <c r="O171" s="2438"/>
      <c r="P171" s="2438"/>
      <c r="Q171" s="2438"/>
      <c r="R171" s="2438"/>
      <c r="S171" s="2438"/>
      <c r="T171" s="2438"/>
      <c r="U171" s="2438"/>
      <c r="V171" s="2438"/>
      <c r="W171" s="2438"/>
      <c r="X171" s="2438"/>
      <c r="Y171" s="2438"/>
      <c r="Z171" s="2438"/>
      <c r="AA171" s="36"/>
      <c r="AB171" s="36"/>
      <c r="AC171" s="36"/>
      <c r="AD171" s="36"/>
      <c r="AE171" s="36"/>
      <c r="AF171" s="36"/>
      <c r="AG171" s="36"/>
      <c r="AH171" s="36"/>
      <c r="AI171" s="36"/>
      <c r="AJ171" s="36"/>
      <c r="AK171" s="36"/>
      <c r="AL171" s="36"/>
      <c r="AM171" s="36"/>
      <c r="AN171" s="36"/>
    </row>
    <row r="172" spans="6:40" ht="35.25" customHeight="1" outlineLevel="1">
      <c r="G172" s="1634" t="s">
        <v>389</v>
      </c>
      <c r="H172" s="2438" t="s">
        <v>2476</v>
      </c>
      <c r="I172" s="2438"/>
      <c r="J172" s="2438"/>
      <c r="K172" s="2438"/>
      <c r="L172" s="2438"/>
      <c r="M172" s="2438"/>
      <c r="N172" s="2438"/>
      <c r="O172" s="2438"/>
      <c r="P172" s="2438"/>
      <c r="Q172" s="2438"/>
      <c r="R172" s="2438"/>
      <c r="S172" s="2438"/>
      <c r="T172" s="2438"/>
      <c r="U172" s="2438"/>
      <c r="V172" s="2438"/>
      <c r="W172" s="2438"/>
      <c r="X172" s="2438"/>
      <c r="Y172" s="2438"/>
      <c r="Z172" s="2438"/>
      <c r="AA172" s="36"/>
      <c r="AB172" s="36"/>
      <c r="AC172" s="36"/>
      <c r="AD172" s="36"/>
      <c r="AE172" s="36"/>
      <c r="AF172" s="36"/>
      <c r="AG172" s="36"/>
      <c r="AH172" s="36"/>
      <c r="AI172" s="36"/>
      <c r="AJ172" s="36"/>
      <c r="AK172" s="36"/>
      <c r="AL172" s="36"/>
      <c r="AM172" s="36"/>
      <c r="AN172" s="36"/>
    </row>
    <row r="173" spans="6:40" ht="20.25" customHeight="1" outlineLevel="1">
      <c r="G173" s="1634" t="s">
        <v>49</v>
      </c>
      <c r="H173" s="2438" t="s">
        <v>2477</v>
      </c>
      <c r="I173" s="2438"/>
      <c r="J173" s="2438"/>
      <c r="K173" s="2438"/>
      <c r="L173" s="2438"/>
      <c r="M173" s="2438"/>
      <c r="N173" s="2438"/>
      <c r="O173" s="2438"/>
      <c r="P173" s="2438"/>
      <c r="Q173" s="2438"/>
      <c r="R173" s="2438"/>
      <c r="S173" s="2438"/>
      <c r="T173" s="2438"/>
      <c r="U173" s="2438"/>
      <c r="V173" s="2438"/>
      <c r="W173" s="2438"/>
      <c r="X173" s="2438"/>
      <c r="Y173" s="2438"/>
      <c r="Z173" s="2438"/>
      <c r="AA173" s="36"/>
      <c r="AB173" s="36"/>
      <c r="AC173" s="36"/>
      <c r="AD173" s="36"/>
      <c r="AE173" s="36"/>
      <c r="AF173" s="36"/>
      <c r="AG173" s="36"/>
      <c r="AH173" s="36"/>
      <c r="AI173" s="36"/>
      <c r="AJ173" s="36"/>
      <c r="AK173" s="36"/>
      <c r="AL173" s="36"/>
      <c r="AM173" s="36"/>
      <c r="AN173" s="36"/>
    </row>
    <row r="174" spans="6:40" ht="34.5" customHeight="1" outlineLevel="1">
      <c r="G174" s="1634" t="s">
        <v>189</v>
      </c>
      <c r="H174" s="2438" t="s">
        <v>2478</v>
      </c>
      <c r="I174" s="2438"/>
      <c r="J174" s="2438"/>
      <c r="K174" s="2438"/>
      <c r="L174" s="2438"/>
      <c r="M174" s="2438"/>
      <c r="N174" s="2438"/>
      <c r="O174" s="2438"/>
      <c r="P174" s="2438"/>
      <c r="Q174" s="2438"/>
      <c r="R174" s="2438"/>
      <c r="S174" s="2438"/>
      <c r="T174" s="2438"/>
      <c r="U174" s="2438"/>
      <c r="V174" s="2438"/>
      <c r="W174" s="2438"/>
      <c r="X174" s="2438"/>
      <c r="Y174" s="2438"/>
      <c r="Z174" s="2438"/>
      <c r="AA174" s="36"/>
      <c r="AB174" s="36"/>
      <c r="AC174" s="36"/>
      <c r="AD174" s="36"/>
      <c r="AE174" s="36"/>
      <c r="AF174" s="36"/>
      <c r="AG174" s="36"/>
      <c r="AH174" s="36"/>
      <c r="AI174" s="36"/>
      <c r="AJ174" s="36"/>
      <c r="AK174" s="36" t="s">
        <v>198</v>
      </c>
      <c r="AL174" s="36"/>
      <c r="AM174" s="36"/>
      <c r="AN174" s="36"/>
    </row>
    <row r="175" spans="6:40" ht="35.25" customHeight="1" outlineLevel="1">
      <c r="G175" s="1635" t="s">
        <v>201</v>
      </c>
      <c r="H175" s="2439" t="s">
        <v>2479</v>
      </c>
      <c r="I175" s="2439"/>
      <c r="J175" s="2439"/>
      <c r="K175" s="2439"/>
      <c r="L175" s="2439"/>
      <c r="M175" s="2439"/>
      <c r="N175" s="2439"/>
      <c r="O175" s="2439"/>
      <c r="P175" s="2439"/>
      <c r="Q175" s="2439"/>
      <c r="R175" s="2439"/>
      <c r="S175" s="2439"/>
      <c r="T175" s="2439"/>
      <c r="U175" s="2439"/>
      <c r="V175" s="2439"/>
      <c r="W175" s="2439"/>
      <c r="X175" s="2439"/>
      <c r="Y175" s="2439"/>
      <c r="Z175" s="2439"/>
      <c r="AA175" s="36"/>
      <c r="AB175" s="36"/>
      <c r="AC175" s="36"/>
      <c r="AD175" s="36"/>
      <c r="AE175" s="36"/>
      <c r="AF175" s="36"/>
      <c r="AG175" s="36"/>
      <c r="AH175" s="36"/>
      <c r="AI175" s="36"/>
      <c r="AJ175" s="36"/>
      <c r="AK175" s="36"/>
      <c r="AL175" s="36"/>
      <c r="AM175" s="36"/>
      <c r="AN175" s="36"/>
    </row>
    <row r="176" spans="6:40" ht="15" customHeight="1" outlineLevel="1">
      <c r="G176" s="1613" t="s">
        <v>133</v>
      </c>
      <c r="H176" s="1621"/>
      <c r="I176" s="1621"/>
      <c r="J176" s="1621"/>
      <c r="K176" s="1621"/>
      <c r="L176" s="1621"/>
      <c r="M176" s="1621"/>
      <c r="N176" s="1621"/>
      <c r="O176" s="1621"/>
      <c r="P176" s="1621"/>
      <c r="Q176" s="1621"/>
      <c r="R176" s="1622"/>
      <c r="S176" s="1622"/>
      <c r="T176" s="1621"/>
      <c r="U176" s="1622"/>
      <c r="V176" s="1622"/>
      <c r="W176" s="1621"/>
      <c r="X176" s="1621"/>
      <c r="Y176" s="1623"/>
      <c r="Z176" s="1623"/>
      <c r="AA176" s="36"/>
      <c r="AB176" s="36"/>
      <c r="AC176" s="36"/>
      <c r="AD176" s="36"/>
      <c r="AE176" s="36"/>
      <c r="AF176" s="36"/>
      <c r="AG176" s="36"/>
      <c r="AH176" s="36"/>
      <c r="AI176" s="36"/>
      <c r="AJ176" s="36"/>
      <c r="AK176" s="36"/>
      <c r="AL176" s="36"/>
      <c r="AM176" s="36"/>
      <c r="AN176" s="36"/>
    </row>
    <row r="177" spans="6:40" ht="15" customHeight="1" outlineLevel="1">
      <c r="G177" s="1633" t="s">
        <v>127</v>
      </c>
      <c r="H177" s="2437" t="s">
        <v>2480</v>
      </c>
      <c r="I177" s="2437"/>
      <c r="J177" s="2437"/>
      <c r="K177" s="2437"/>
      <c r="L177" s="2437"/>
      <c r="M177" s="2437"/>
      <c r="N177" s="2437"/>
      <c r="O177" s="2437"/>
      <c r="P177" s="2437"/>
      <c r="Q177" s="2437"/>
      <c r="R177" s="2437"/>
      <c r="S177" s="2437"/>
      <c r="T177" s="2437"/>
      <c r="U177" s="2437"/>
      <c r="V177" s="2437"/>
      <c r="W177" s="2437"/>
      <c r="X177" s="2437"/>
      <c r="Y177" s="2437"/>
      <c r="Z177" s="2437"/>
      <c r="AA177" s="36"/>
      <c r="AB177" s="36"/>
      <c r="AC177" s="36"/>
      <c r="AD177" s="36"/>
      <c r="AE177" s="36"/>
      <c r="AF177" s="36"/>
      <c r="AG177" s="36"/>
      <c r="AH177" s="36"/>
      <c r="AI177" s="36"/>
      <c r="AJ177" s="36"/>
      <c r="AK177" s="36"/>
      <c r="AL177" s="36"/>
      <c r="AM177" s="36"/>
      <c r="AN177" s="36"/>
    </row>
    <row r="178" spans="6:40" ht="31.5" customHeight="1" outlineLevel="1" collapsed="1">
      <c r="G178" s="1634" t="s">
        <v>128</v>
      </c>
      <c r="H178" s="2438" t="s">
        <v>2481</v>
      </c>
      <c r="I178" s="2438"/>
      <c r="J178" s="2438"/>
      <c r="K178" s="2438"/>
      <c r="L178" s="2438"/>
      <c r="M178" s="2438"/>
      <c r="N178" s="2438"/>
      <c r="O178" s="2438"/>
      <c r="P178" s="2438"/>
      <c r="Q178" s="2438"/>
      <c r="R178" s="2438"/>
      <c r="S178" s="2438"/>
      <c r="T178" s="2438"/>
      <c r="U178" s="2438"/>
      <c r="V178" s="2438"/>
      <c r="W178" s="2438"/>
      <c r="X178" s="2438"/>
      <c r="Y178" s="2438"/>
      <c r="Z178" s="2438"/>
      <c r="AA178" s="36"/>
      <c r="AB178" s="36"/>
      <c r="AC178" s="36"/>
      <c r="AD178" s="36"/>
      <c r="AE178" s="36"/>
      <c r="AF178" s="36"/>
      <c r="AG178" s="36"/>
      <c r="AH178" s="36"/>
      <c r="AI178" s="36"/>
      <c r="AJ178" s="36"/>
      <c r="AK178" s="36"/>
      <c r="AL178" s="36"/>
      <c r="AM178" s="36"/>
      <c r="AN178" s="36"/>
    </row>
    <row r="179" spans="6:40" ht="36" customHeight="1" outlineLevel="1">
      <c r="G179" s="1634" t="s">
        <v>129</v>
      </c>
      <c r="H179" s="2438" t="s">
        <v>2482</v>
      </c>
      <c r="I179" s="2438"/>
      <c r="J179" s="2438"/>
      <c r="K179" s="2438"/>
      <c r="L179" s="2438"/>
      <c r="M179" s="2438"/>
      <c r="N179" s="2438"/>
      <c r="O179" s="2438"/>
      <c r="P179" s="2438"/>
      <c r="Q179" s="2438"/>
      <c r="R179" s="2438"/>
      <c r="S179" s="2438"/>
      <c r="T179" s="2438"/>
      <c r="U179" s="2438"/>
      <c r="V179" s="2438"/>
      <c r="W179" s="2438"/>
      <c r="X179" s="2438"/>
      <c r="Y179" s="2438"/>
      <c r="Z179" s="2438"/>
      <c r="AA179" s="36"/>
      <c r="AB179" s="36"/>
      <c r="AC179" s="36"/>
      <c r="AD179" s="36"/>
      <c r="AE179" s="36"/>
      <c r="AF179" s="36"/>
      <c r="AG179" s="36"/>
      <c r="AH179" s="36"/>
      <c r="AI179" s="36"/>
      <c r="AJ179" s="36"/>
      <c r="AK179" s="36"/>
      <c r="AL179" s="36"/>
      <c r="AM179" s="36"/>
      <c r="AN179" s="36"/>
    </row>
    <row r="180" spans="6:40" ht="15" customHeight="1" outlineLevel="1">
      <c r="G180" s="1634" t="s">
        <v>188</v>
      </c>
      <c r="H180" s="2438" t="s">
        <v>2483</v>
      </c>
      <c r="I180" s="2438"/>
      <c r="J180" s="2438"/>
      <c r="K180" s="2438"/>
      <c r="L180" s="2438"/>
      <c r="M180" s="2438"/>
      <c r="N180" s="2438"/>
      <c r="O180" s="2438"/>
      <c r="P180" s="2438"/>
      <c r="Q180" s="2438"/>
      <c r="R180" s="2438"/>
      <c r="S180" s="2438"/>
      <c r="T180" s="2438"/>
      <c r="U180" s="2438"/>
      <c r="V180" s="2438"/>
      <c r="W180" s="2438"/>
      <c r="X180" s="2438"/>
      <c r="Y180" s="2438"/>
      <c r="Z180" s="2438"/>
      <c r="AA180" s="36"/>
      <c r="AB180" s="36"/>
      <c r="AC180" s="36"/>
      <c r="AD180" s="36"/>
      <c r="AE180" s="36"/>
      <c r="AF180" s="36"/>
      <c r="AG180" s="36"/>
      <c r="AH180" s="36"/>
      <c r="AI180" s="36"/>
      <c r="AJ180" s="36"/>
      <c r="AK180" s="36"/>
      <c r="AL180" s="36"/>
      <c r="AM180" s="36"/>
      <c r="AN180" s="36"/>
    </row>
    <row r="181" spans="6:40" ht="34.5" customHeight="1" outlineLevel="1">
      <c r="G181" s="1634" t="s">
        <v>88</v>
      </c>
      <c r="H181" s="2438" t="s">
        <v>2484</v>
      </c>
      <c r="I181" s="2438"/>
      <c r="J181" s="2438"/>
      <c r="K181" s="2438"/>
      <c r="L181" s="2438"/>
      <c r="M181" s="2438"/>
      <c r="N181" s="2438"/>
      <c r="O181" s="2438"/>
      <c r="P181" s="2438"/>
      <c r="Q181" s="2438"/>
      <c r="R181" s="2438"/>
      <c r="S181" s="2438"/>
      <c r="T181" s="2438"/>
      <c r="U181" s="2438"/>
      <c r="V181" s="2438"/>
      <c r="W181" s="2438"/>
      <c r="X181" s="2438"/>
      <c r="Y181" s="2438"/>
      <c r="Z181" s="2438"/>
      <c r="AA181" s="36"/>
      <c r="AB181" s="36"/>
      <c r="AC181" s="36"/>
      <c r="AD181" s="36"/>
      <c r="AE181" s="36"/>
      <c r="AF181" s="36"/>
      <c r="AG181" s="36"/>
      <c r="AH181" s="36"/>
      <c r="AI181" s="36"/>
      <c r="AJ181" s="36"/>
      <c r="AK181" s="36"/>
      <c r="AL181" s="36"/>
      <c r="AM181" s="36"/>
      <c r="AN181" s="36"/>
    </row>
    <row r="182" spans="6:40" ht="35.25" customHeight="1" outlineLevel="1">
      <c r="G182" s="1634" t="s">
        <v>199</v>
      </c>
      <c r="H182" s="2438" t="s">
        <v>2485</v>
      </c>
      <c r="I182" s="2438"/>
      <c r="J182" s="2438"/>
      <c r="K182" s="2438"/>
      <c r="L182" s="2438"/>
      <c r="M182" s="2438"/>
      <c r="N182" s="2438"/>
      <c r="O182" s="2438"/>
      <c r="P182" s="2438"/>
      <c r="Q182" s="2438"/>
      <c r="R182" s="2438"/>
      <c r="S182" s="2438"/>
      <c r="T182" s="2438"/>
      <c r="U182" s="2438"/>
      <c r="V182" s="2438"/>
      <c r="W182" s="2438"/>
      <c r="X182" s="2438"/>
      <c r="Y182" s="2438"/>
      <c r="Z182" s="2438"/>
      <c r="AA182" s="36"/>
      <c r="AB182" s="36"/>
      <c r="AC182" s="36"/>
      <c r="AD182" s="36"/>
      <c r="AE182" s="36"/>
      <c r="AF182" s="36"/>
      <c r="AG182" s="36"/>
      <c r="AH182" s="36"/>
      <c r="AI182" s="36"/>
      <c r="AJ182" s="36"/>
      <c r="AK182" s="36" t="s">
        <v>205</v>
      </c>
      <c r="AL182" s="36"/>
      <c r="AM182" s="36"/>
      <c r="AN182" s="36"/>
    </row>
    <row r="183" spans="6:40" ht="15" customHeight="1" outlineLevel="1">
      <c r="G183" s="1635" t="s">
        <v>200</v>
      </c>
      <c r="H183" s="2439" t="s">
        <v>2486</v>
      </c>
      <c r="I183" s="2439"/>
      <c r="J183" s="2439"/>
      <c r="K183" s="2439"/>
      <c r="L183" s="2439"/>
      <c r="M183" s="2439"/>
      <c r="N183" s="2439"/>
      <c r="O183" s="2439"/>
      <c r="P183" s="2439"/>
      <c r="Q183" s="2439"/>
      <c r="R183" s="2439"/>
      <c r="S183" s="2439"/>
      <c r="T183" s="2439"/>
      <c r="U183" s="2439"/>
      <c r="V183" s="2439"/>
      <c r="W183" s="2439"/>
      <c r="X183" s="2439"/>
      <c r="Y183" s="2439"/>
      <c r="Z183" s="2439"/>
      <c r="AA183" s="36"/>
      <c r="AB183" s="36"/>
      <c r="AC183" s="36"/>
      <c r="AD183" s="36"/>
      <c r="AE183" s="36"/>
      <c r="AF183" s="36"/>
      <c r="AG183" s="36"/>
      <c r="AH183" s="36"/>
      <c r="AI183" s="36"/>
      <c r="AJ183" s="36"/>
      <c r="AK183" s="36"/>
      <c r="AL183" s="36"/>
      <c r="AM183" s="36"/>
      <c r="AN183" s="36"/>
    </row>
    <row r="184" spans="6:40" ht="15" customHeight="1" outlineLevel="1">
      <c r="G184" s="1613" t="s">
        <v>134</v>
      </c>
      <c r="H184" s="1621"/>
      <c r="I184" s="1621"/>
      <c r="J184" s="1621"/>
      <c r="K184" s="1621"/>
      <c r="L184" s="1621"/>
      <c r="M184" s="1621"/>
      <c r="N184" s="1621"/>
      <c r="O184" s="1621"/>
      <c r="P184" s="1621"/>
      <c r="Q184" s="1621"/>
      <c r="R184" s="1622"/>
      <c r="S184" s="1622"/>
      <c r="T184" s="1621"/>
      <c r="U184" s="1622"/>
      <c r="V184" s="1622"/>
      <c r="W184" s="1621"/>
      <c r="X184" s="1621"/>
      <c r="Y184" s="1623"/>
      <c r="Z184" s="1623"/>
      <c r="AA184" s="4"/>
      <c r="AB184" s="36"/>
      <c r="AC184" s="36"/>
      <c r="AD184" s="36"/>
      <c r="AE184" s="36"/>
      <c r="AF184" s="36"/>
      <c r="AG184" s="36"/>
      <c r="AH184" s="36"/>
      <c r="AI184" s="36"/>
      <c r="AJ184" s="36"/>
      <c r="AK184" s="36"/>
      <c r="AL184" s="36"/>
      <c r="AM184" s="36"/>
      <c r="AN184" s="36"/>
    </row>
    <row r="185" spans="6:40" ht="33" customHeight="1" outlineLevel="1">
      <c r="G185" s="1633" t="s">
        <v>188</v>
      </c>
      <c r="H185" s="2437" t="s">
        <v>2488</v>
      </c>
      <c r="I185" s="2437"/>
      <c r="J185" s="2437"/>
      <c r="K185" s="2437"/>
      <c r="L185" s="2437"/>
      <c r="M185" s="2437"/>
      <c r="N185" s="2437"/>
      <c r="O185" s="2437"/>
      <c r="P185" s="2437"/>
      <c r="Q185" s="2437"/>
      <c r="R185" s="2437"/>
      <c r="S185" s="2437"/>
      <c r="T185" s="2437"/>
      <c r="U185" s="2437"/>
      <c r="V185" s="2437"/>
      <c r="W185" s="2437"/>
      <c r="X185" s="2437"/>
      <c r="Y185" s="2437"/>
      <c r="Z185" s="2437"/>
      <c r="AA185" s="36"/>
      <c r="AB185" s="36"/>
      <c r="AC185" s="36"/>
      <c r="AD185" s="36"/>
      <c r="AE185" s="36"/>
      <c r="AF185" s="36"/>
      <c r="AG185" s="36"/>
      <c r="AH185" s="36"/>
      <c r="AI185" s="36"/>
      <c r="AJ185" s="36"/>
      <c r="AK185" s="36"/>
      <c r="AL185" s="36"/>
      <c r="AM185" s="36"/>
      <c r="AN185" s="36"/>
    </row>
    <row r="186" spans="6:40" ht="23.25" customHeight="1" outlineLevel="1">
      <c r="G186" s="1634" t="s">
        <v>88</v>
      </c>
      <c r="H186" s="2438" t="s">
        <v>2489</v>
      </c>
      <c r="I186" s="2438"/>
      <c r="J186" s="2438"/>
      <c r="K186" s="2438"/>
      <c r="L186" s="2438"/>
      <c r="M186" s="2438"/>
      <c r="N186" s="2438"/>
      <c r="O186" s="2438"/>
      <c r="P186" s="2438"/>
      <c r="Q186" s="2438"/>
      <c r="R186" s="2438"/>
      <c r="S186" s="2438"/>
      <c r="T186" s="2438"/>
      <c r="U186" s="2438"/>
      <c r="V186" s="2438"/>
      <c r="W186" s="2438"/>
      <c r="X186" s="2438"/>
      <c r="Y186" s="2438"/>
      <c r="Z186" s="2438"/>
      <c r="AA186" s="36"/>
      <c r="AB186" s="36"/>
      <c r="AC186" s="36"/>
      <c r="AD186" s="36"/>
      <c r="AE186" s="36"/>
      <c r="AF186" s="36"/>
      <c r="AG186" s="36"/>
      <c r="AH186" s="36"/>
      <c r="AI186" s="36"/>
      <c r="AJ186" s="36"/>
      <c r="AK186" s="36"/>
      <c r="AL186" s="36"/>
      <c r="AM186" s="36"/>
      <c r="AN186" s="36"/>
    </row>
    <row r="187" spans="6:40" ht="15" customHeight="1" outlineLevel="1">
      <c r="G187" s="1635" t="s">
        <v>200</v>
      </c>
      <c r="H187" s="2439" t="s">
        <v>2486</v>
      </c>
      <c r="I187" s="2439"/>
      <c r="J187" s="2439"/>
      <c r="K187" s="2439"/>
      <c r="L187" s="2439"/>
      <c r="M187" s="2439"/>
      <c r="N187" s="2439"/>
      <c r="O187" s="2439"/>
      <c r="P187" s="2439"/>
      <c r="Q187" s="2439"/>
      <c r="R187" s="2439"/>
      <c r="S187" s="2439"/>
      <c r="T187" s="2439"/>
      <c r="U187" s="2439"/>
      <c r="V187" s="2439"/>
      <c r="W187" s="2439"/>
      <c r="X187" s="2439"/>
      <c r="Y187" s="2439"/>
      <c r="Z187" s="2439"/>
      <c r="AA187" s="36"/>
      <c r="AB187" s="36"/>
      <c r="AC187" s="36"/>
      <c r="AD187" s="36"/>
      <c r="AE187" s="36"/>
      <c r="AF187" s="36"/>
      <c r="AG187" s="36"/>
      <c r="AH187" s="36"/>
      <c r="AI187" s="36"/>
      <c r="AJ187" s="36"/>
      <c r="AK187" s="36"/>
      <c r="AL187" s="36"/>
      <c r="AM187" s="36"/>
      <c r="AN187" s="36"/>
    </row>
    <row r="188" spans="6:40" ht="26.25" customHeight="1">
      <c r="F188" s="867" t="s">
        <v>2495</v>
      </c>
      <c r="G188" s="868"/>
      <c r="H188" s="2440" t="s">
        <v>2490</v>
      </c>
      <c r="I188" s="2441"/>
      <c r="J188" s="2441"/>
      <c r="K188" s="2441"/>
      <c r="L188" s="2441"/>
      <c r="M188" s="2441"/>
      <c r="N188" s="2441"/>
      <c r="O188" s="2441"/>
      <c r="P188" s="2441"/>
      <c r="Q188" s="2441"/>
      <c r="R188" s="2441"/>
      <c r="S188" s="2441"/>
      <c r="T188" s="2441"/>
      <c r="U188" s="2441"/>
      <c r="V188" s="2441"/>
      <c r="W188" s="2441"/>
      <c r="X188" s="2441"/>
      <c r="Y188" s="2441"/>
      <c r="Z188" s="2441"/>
      <c r="AA188" s="36"/>
      <c r="AB188" s="36"/>
      <c r="AC188" s="36"/>
      <c r="AD188" s="36"/>
      <c r="AE188" s="36"/>
      <c r="AF188" s="36"/>
      <c r="AG188" s="36"/>
      <c r="AH188" s="36"/>
      <c r="AI188" s="36"/>
      <c r="AJ188" s="36"/>
      <c r="AK188" s="242"/>
      <c r="AL188" s="36"/>
      <c r="AM188" s="36"/>
      <c r="AN188" s="36"/>
    </row>
    <row r="189" spans="6:40" ht="15" hidden="1" customHeight="1" outlineLevel="1">
      <c r="F189" s="36"/>
      <c r="G189" s="6" t="s">
        <v>414</v>
      </c>
      <c r="H189" s="2442"/>
      <c r="I189" s="2442"/>
      <c r="J189" s="2442"/>
      <c r="K189" s="2442"/>
      <c r="L189" s="2442"/>
      <c r="M189" s="2442"/>
      <c r="N189" s="2442"/>
      <c r="O189" s="2442"/>
      <c r="P189" s="2442"/>
      <c r="Q189" s="2442"/>
      <c r="R189" s="2442"/>
      <c r="S189" s="2442"/>
      <c r="T189" s="2442"/>
      <c r="U189" s="2442"/>
      <c r="V189" s="2442"/>
      <c r="W189" s="2442"/>
      <c r="X189" s="2442"/>
      <c r="Y189" s="2442"/>
      <c r="Z189" s="2442"/>
      <c r="AK189" s="1"/>
    </row>
    <row r="190" spans="6:40" ht="15" hidden="1" customHeight="1" outlineLevel="1">
      <c r="F190" s="882" t="s">
        <v>387</v>
      </c>
      <c r="G190" s="844"/>
      <c r="H190" s="2442"/>
      <c r="I190" s="2442"/>
      <c r="J190" s="2442"/>
      <c r="K190" s="2442"/>
      <c r="L190" s="2442"/>
      <c r="M190" s="2442"/>
      <c r="N190" s="2442"/>
      <c r="O190" s="2442"/>
      <c r="P190" s="2442"/>
      <c r="Q190" s="2442"/>
      <c r="R190" s="2442"/>
      <c r="S190" s="2442"/>
      <c r="T190" s="2442"/>
      <c r="U190" s="2442"/>
      <c r="V190" s="2442"/>
      <c r="W190" s="2442"/>
      <c r="X190" s="2442"/>
      <c r="Y190" s="2442"/>
      <c r="Z190" s="2442"/>
      <c r="AK190" s="1"/>
    </row>
    <row r="191" spans="6:40" ht="15" hidden="1" customHeight="1" outlineLevel="1">
      <c r="F191" s="883"/>
      <c r="G191" s="6" t="s">
        <v>390</v>
      </c>
      <c r="H191" s="2442"/>
      <c r="I191" s="2442"/>
      <c r="J191" s="2442"/>
      <c r="K191" s="2442"/>
      <c r="L191" s="2442"/>
      <c r="M191" s="2442"/>
      <c r="N191" s="2442"/>
      <c r="O191" s="2442"/>
      <c r="P191" s="2442"/>
      <c r="Q191" s="2442"/>
      <c r="R191" s="2442"/>
      <c r="S191" s="2442"/>
      <c r="T191" s="2442"/>
      <c r="U191" s="2442"/>
      <c r="V191" s="2442"/>
      <c r="W191" s="2442"/>
      <c r="X191" s="2442"/>
      <c r="Y191" s="2442"/>
      <c r="Z191" s="2442"/>
      <c r="AA191" s="36"/>
      <c r="AB191" s="36"/>
      <c r="AC191" s="36"/>
      <c r="AD191" s="36"/>
      <c r="AE191" s="36"/>
      <c r="AF191" s="36"/>
      <c r="AG191" s="36"/>
      <c r="AH191" s="36"/>
      <c r="AI191" s="36"/>
      <c r="AJ191" s="36"/>
      <c r="AK191" s="242"/>
      <c r="AL191" s="36"/>
      <c r="AM191" s="36"/>
      <c r="AN191" s="36"/>
    </row>
    <row r="192" spans="6:40" ht="15" hidden="1" customHeight="1" outlineLevel="1">
      <c r="F192" s="883"/>
      <c r="G192" s="6" t="s">
        <v>391</v>
      </c>
      <c r="H192" s="2442"/>
      <c r="I192" s="2442"/>
      <c r="J192" s="2442"/>
      <c r="K192" s="2442"/>
      <c r="L192" s="2442"/>
      <c r="M192" s="2442"/>
      <c r="N192" s="2442"/>
      <c r="O192" s="2442"/>
      <c r="P192" s="2442"/>
      <c r="Q192" s="2442"/>
      <c r="R192" s="2442"/>
      <c r="S192" s="2442"/>
      <c r="T192" s="2442"/>
      <c r="U192" s="2442"/>
      <c r="V192" s="2442"/>
      <c r="W192" s="2442"/>
      <c r="X192" s="2442"/>
      <c r="Y192" s="2442"/>
      <c r="Z192" s="2442"/>
      <c r="AA192" s="36"/>
      <c r="AB192" s="36"/>
      <c r="AC192" s="36"/>
      <c r="AD192" s="36"/>
      <c r="AE192" s="36"/>
      <c r="AF192" s="36"/>
      <c r="AG192" s="36"/>
      <c r="AH192" s="36"/>
      <c r="AI192" s="36"/>
      <c r="AJ192" s="36"/>
      <c r="AK192" s="242"/>
      <c r="AL192" s="36"/>
      <c r="AM192" s="36"/>
      <c r="AN192" s="36"/>
    </row>
    <row r="193" spans="6:40" ht="15" hidden="1" customHeight="1" outlineLevel="1">
      <c r="F193" s="884" t="s">
        <v>149</v>
      </c>
      <c r="G193" s="844"/>
      <c r="H193" s="2442"/>
      <c r="I193" s="2442"/>
      <c r="J193" s="2442"/>
      <c r="K193" s="2442"/>
      <c r="L193" s="2442"/>
      <c r="M193" s="2442"/>
      <c r="N193" s="2442"/>
      <c r="O193" s="2442"/>
      <c r="P193" s="2442"/>
      <c r="Q193" s="2442"/>
      <c r="R193" s="2442"/>
      <c r="S193" s="2442"/>
      <c r="T193" s="2442"/>
      <c r="U193" s="2442"/>
      <c r="V193" s="2442"/>
      <c r="W193" s="2442"/>
      <c r="X193" s="2442"/>
      <c r="Y193" s="2442"/>
      <c r="Z193" s="2442"/>
      <c r="AA193" s="36"/>
      <c r="AB193" s="36"/>
      <c r="AC193" s="36"/>
      <c r="AD193" s="36"/>
      <c r="AE193" s="36"/>
      <c r="AF193" s="36"/>
      <c r="AG193" s="36"/>
      <c r="AH193" s="36"/>
      <c r="AI193" s="36"/>
      <c r="AJ193" s="36"/>
      <c r="AK193" s="242"/>
      <c r="AL193" s="36"/>
      <c r="AM193" s="36"/>
      <c r="AN193" s="36"/>
    </row>
    <row r="194" spans="6:40" ht="15" hidden="1" customHeight="1" outlineLevel="1">
      <c r="F194" s="883"/>
      <c r="G194" s="6" t="s">
        <v>146</v>
      </c>
      <c r="H194" s="2442"/>
      <c r="I194" s="2442"/>
      <c r="J194" s="2442"/>
      <c r="K194" s="2442"/>
      <c r="L194" s="2442"/>
      <c r="M194" s="2442"/>
      <c r="N194" s="2442"/>
      <c r="O194" s="2442"/>
      <c r="P194" s="2442"/>
      <c r="Q194" s="2442"/>
      <c r="R194" s="2442"/>
      <c r="S194" s="2442"/>
      <c r="T194" s="2442"/>
      <c r="U194" s="2442"/>
      <c r="V194" s="2442"/>
      <c r="W194" s="2442"/>
      <c r="X194" s="2442"/>
      <c r="Y194" s="2442"/>
      <c r="Z194" s="2442"/>
      <c r="AA194" s="36"/>
      <c r="AB194" s="36"/>
      <c r="AC194" s="36"/>
      <c r="AD194" s="36"/>
      <c r="AE194" s="36"/>
      <c r="AF194" s="36"/>
      <c r="AG194" s="36"/>
      <c r="AH194" s="36"/>
      <c r="AI194" s="36"/>
      <c r="AJ194" s="36"/>
      <c r="AK194" s="242"/>
      <c r="AL194" s="36"/>
      <c r="AM194" s="36"/>
      <c r="AN194" s="36"/>
    </row>
    <row r="195" spans="6:40" ht="15" hidden="1" customHeight="1" outlineLevel="1">
      <c r="F195" s="883"/>
      <c r="G195" s="6" t="s">
        <v>147</v>
      </c>
      <c r="H195" s="2442"/>
      <c r="I195" s="2442"/>
      <c r="J195" s="2442"/>
      <c r="K195" s="2442"/>
      <c r="L195" s="2442"/>
      <c r="M195" s="2442"/>
      <c r="N195" s="2442"/>
      <c r="O195" s="2442"/>
      <c r="P195" s="2442"/>
      <c r="Q195" s="2442"/>
      <c r="R195" s="2442"/>
      <c r="S195" s="2442"/>
      <c r="T195" s="2442"/>
      <c r="U195" s="2442"/>
      <c r="V195" s="2442"/>
      <c r="W195" s="2442"/>
      <c r="X195" s="2442"/>
      <c r="Y195" s="2442"/>
      <c r="Z195" s="2442"/>
      <c r="AA195" s="36"/>
      <c r="AB195" s="36"/>
      <c r="AC195" s="36"/>
      <c r="AD195" s="36"/>
      <c r="AE195" s="36"/>
      <c r="AF195" s="36"/>
      <c r="AG195" s="36"/>
      <c r="AH195" s="36"/>
      <c r="AI195" s="36"/>
      <c r="AJ195" s="36"/>
      <c r="AK195" s="36"/>
      <c r="AL195" s="36"/>
      <c r="AM195" s="36"/>
      <c r="AN195" s="36"/>
    </row>
    <row r="196" spans="6:40" ht="15" hidden="1" customHeight="1" outlineLevel="1">
      <c r="F196" s="883"/>
      <c r="G196" s="6" t="s">
        <v>142</v>
      </c>
      <c r="H196" s="2442"/>
      <c r="I196" s="2442"/>
      <c r="J196" s="2442"/>
      <c r="K196" s="2442"/>
      <c r="L196" s="2442"/>
      <c r="M196" s="2442"/>
      <c r="N196" s="2442"/>
      <c r="O196" s="2442"/>
      <c r="P196" s="2442"/>
      <c r="Q196" s="2442"/>
      <c r="R196" s="2442"/>
      <c r="S196" s="2442"/>
      <c r="T196" s="2442"/>
      <c r="U196" s="2442"/>
      <c r="V196" s="2442"/>
      <c r="W196" s="2442"/>
      <c r="X196" s="2442"/>
      <c r="Y196" s="2442"/>
      <c r="Z196" s="2442"/>
      <c r="AA196" s="36"/>
      <c r="AB196" s="36"/>
      <c r="AC196" s="36"/>
      <c r="AD196" s="36"/>
      <c r="AE196" s="36"/>
      <c r="AF196" s="36"/>
      <c r="AG196" s="36"/>
      <c r="AH196" s="36"/>
      <c r="AI196" s="36"/>
      <c r="AJ196" s="36"/>
      <c r="AK196" s="36"/>
      <c r="AL196" s="36"/>
      <c r="AM196" s="36"/>
      <c r="AN196" s="36" t="s">
        <v>190</v>
      </c>
    </row>
    <row r="197" spans="6:40" ht="15" hidden="1" customHeight="1" outlineLevel="1">
      <c r="F197" s="883"/>
      <c r="G197" s="6" t="s">
        <v>158</v>
      </c>
      <c r="H197" s="2442"/>
      <c r="I197" s="2442"/>
      <c r="J197" s="2442"/>
      <c r="K197" s="2442"/>
      <c r="L197" s="2442"/>
      <c r="M197" s="2442"/>
      <c r="N197" s="2442"/>
      <c r="O197" s="2442"/>
      <c r="P197" s="2442"/>
      <c r="Q197" s="2442"/>
      <c r="R197" s="2442"/>
      <c r="S197" s="2442"/>
      <c r="T197" s="2442"/>
      <c r="U197" s="2442"/>
      <c r="V197" s="2442"/>
      <c r="W197" s="2442"/>
      <c r="X197" s="2442"/>
      <c r="Y197" s="2442"/>
      <c r="Z197" s="2442"/>
      <c r="AA197" s="36"/>
      <c r="AB197" s="36"/>
      <c r="AC197" s="36"/>
      <c r="AD197" s="36"/>
      <c r="AE197" s="36"/>
      <c r="AF197" s="36"/>
      <c r="AG197" s="36"/>
      <c r="AH197" s="36"/>
      <c r="AI197" s="36"/>
      <c r="AJ197" s="36"/>
      <c r="AK197" s="36"/>
      <c r="AL197" s="36"/>
      <c r="AM197" s="36"/>
      <c r="AN197" s="36"/>
    </row>
    <row r="198" spans="6:40" ht="15" hidden="1" customHeight="1" outlineLevel="1">
      <c r="F198" s="883"/>
      <c r="G198" s="241" t="s">
        <v>150</v>
      </c>
      <c r="H198" s="2442"/>
      <c r="I198" s="2442"/>
      <c r="J198" s="2442"/>
      <c r="K198" s="2442"/>
      <c r="L198" s="2442"/>
      <c r="M198" s="2442"/>
      <c r="N198" s="2442"/>
      <c r="O198" s="2442"/>
      <c r="P198" s="2442"/>
      <c r="Q198" s="2442"/>
      <c r="R198" s="2442"/>
      <c r="S198" s="2442"/>
      <c r="T198" s="2442"/>
      <c r="U198" s="2442"/>
      <c r="V198" s="2442"/>
      <c r="W198" s="2442"/>
      <c r="X198" s="2442"/>
      <c r="Y198" s="2442"/>
      <c r="Z198" s="2442"/>
      <c r="AA198" s="36"/>
      <c r="AB198" s="36"/>
      <c r="AC198" s="36"/>
      <c r="AD198" s="36"/>
      <c r="AE198" s="36"/>
      <c r="AF198" s="36"/>
      <c r="AG198" s="36"/>
      <c r="AH198" s="36"/>
      <c r="AI198" s="36"/>
      <c r="AJ198" s="36"/>
      <c r="AK198" s="36"/>
      <c r="AL198" s="36"/>
      <c r="AM198" s="36"/>
      <c r="AN198" s="36"/>
    </row>
    <row r="199" spans="6:40" ht="15" hidden="1" customHeight="1" outlineLevel="1">
      <c r="F199" s="883"/>
      <c r="G199" s="6" t="s">
        <v>140</v>
      </c>
      <c r="H199" s="2442"/>
      <c r="I199" s="2442"/>
      <c r="J199" s="2442"/>
      <c r="K199" s="2442"/>
      <c r="L199" s="2442"/>
      <c r="M199" s="2442"/>
      <c r="N199" s="2442"/>
      <c r="O199" s="2442"/>
      <c r="P199" s="2442"/>
      <c r="Q199" s="2442"/>
      <c r="R199" s="2442"/>
      <c r="S199" s="2442"/>
      <c r="T199" s="2442"/>
      <c r="U199" s="2442"/>
      <c r="V199" s="2442"/>
      <c r="W199" s="2442"/>
      <c r="X199" s="2442"/>
      <c r="Y199" s="2442"/>
      <c r="Z199" s="2442"/>
      <c r="AA199" s="36"/>
      <c r="AB199" s="36"/>
      <c r="AC199" s="36"/>
      <c r="AD199" s="36"/>
      <c r="AE199" s="36"/>
      <c r="AF199" s="36"/>
      <c r="AG199" s="36"/>
      <c r="AH199" s="36"/>
      <c r="AI199" s="36"/>
      <c r="AJ199" s="36"/>
      <c r="AK199" s="36"/>
      <c r="AL199" s="36"/>
      <c r="AM199" s="36"/>
      <c r="AN199" s="36"/>
    </row>
    <row r="200" spans="6:40" ht="15" hidden="1" customHeight="1" outlineLevel="1">
      <c r="F200" s="883"/>
      <c r="G200" s="6" t="s">
        <v>141</v>
      </c>
      <c r="H200" s="2442"/>
      <c r="I200" s="2442"/>
      <c r="J200" s="2442"/>
      <c r="K200" s="2442"/>
      <c r="L200" s="2442"/>
      <c r="M200" s="2442"/>
      <c r="N200" s="2442"/>
      <c r="O200" s="2442"/>
      <c r="P200" s="2442"/>
      <c r="Q200" s="2442"/>
      <c r="R200" s="2442"/>
      <c r="S200" s="2442"/>
      <c r="T200" s="2442"/>
      <c r="U200" s="2442"/>
      <c r="V200" s="2442"/>
      <c r="W200" s="2442"/>
      <c r="X200" s="2442"/>
      <c r="Y200" s="2442"/>
      <c r="Z200" s="2442"/>
      <c r="AA200" s="36"/>
      <c r="AB200" s="36"/>
      <c r="AC200" s="36"/>
      <c r="AD200" s="36"/>
      <c r="AE200" s="36"/>
      <c r="AF200" s="36"/>
      <c r="AG200" s="36"/>
      <c r="AH200" s="36"/>
      <c r="AI200" s="36"/>
      <c r="AJ200" s="36"/>
      <c r="AK200" s="36"/>
      <c r="AL200" s="36"/>
      <c r="AM200" s="36"/>
      <c r="AN200" s="36"/>
    </row>
    <row r="201" spans="6:40" ht="15" hidden="1" customHeight="1" outlineLevel="1">
      <c r="F201" s="883"/>
      <c r="G201" s="6" t="s">
        <v>143</v>
      </c>
      <c r="H201" s="2442"/>
      <c r="I201" s="2442"/>
      <c r="J201" s="2442"/>
      <c r="K201" s="2442"/>
      <c r="L201" s="2442"/>
      <c r="M201" s="2442"/>
      <c r="N201" s="2442"/>
      <c r="O201" s="2442"/>
      <c r="P201" s="2442"/>
      <c r="Q201" s="2442"/>
      <c r="R201" s="2442"/>
      <c r="S201" s="2442"/>
      <c r="T201" s="2442"/>
      <c r="U201" s="2442"/>
      <c r="V201" s="2442"/>
      <c r="W201" s="2442"/>
      <c r="X201" s="2442"/>
      <c r="Y201" s="2442"/>
      <c r="Z201" s="2442"/>
      <c r="AA201" s="36"/>
      <c r="AB201" s="36"/>
      <c r="AC201" s="36"/>
      <c r="AD201" s="36"/>
      <c r="AE201" s="36"/>
      <c r="AF201" s="36"/>
      <c r="AG201" s="36"/>
      <c r="AH201" s="36"/>
      <c r="AI201" s="36"/>
      <c r="AJ201" s="36"/>
      <c r="AK201" s="242"/>
      <c r="AL201" s="36"/>
      <c r="AM201" s="36"/>
      <c r="AN201" s="36"/>
    </row>
    <row r="202" spans="6:40" ht="15" hidden="1" customHeight="1" outlineLevel="1">
      <c r="F202" s="883"/>
      <c r="G202" s="6" t="s">
        <v>144</v>
      </c>
      <c r="H202" s="2442"/>
      <c r="I202" s="2442"/>
      <c r="J202" s="2442"/>
      <c r="K202" s="2442"/>
      <c r="L202" s="2442"/>
      <c r="M202" s="2442"/>
      <c r="N202" s="2442"/>
      <c r="O202" s="2442"/>
      <c r="P202" s="2442"/>
      <c r="Q202" s="2442"/>
      <c r="R202" s="2442"/>
      <c r="S202" s="2442"/>
      <c r="T202" s="2442"/>
      <c r="U202" s="2442"/>
      <c r="V202" s="2442"/>
      <c r="W202" s="2442"/>
      <c r="X202" s="2442"/>
      <c r="Y202" s="2442"/>
      <c r="Z202" s="2442"/>
      <c r="AA202" s="36"/>
      <c r="AB202" s="36"/>
      <c r="AC202" s="36"/>
      <c r="AD202" s="36"/>
      <c r="AE202" s="36"/>
      <c r="AF202" s="36"/>
      <c r="AG202" s="36"/>
      <c r="AH202" s="36"/>
      <c r="AI202" s="36"/>
      <c r="AJ202" s="36"/>
      <c r="AK202" s="242"/>
      <c r="AL202" s="36"/>
      <c r="AM202" s="36"/>
      <c r="AN202" s="36"/>
    </row>
    <row r="203" spans="6:40" ht="15" hidden="1" customHeight="1" outlineLevel="1">
      <c r="F203" s="883"/>
      <c r="G203" s="6" t="s">
        <v>145</v>
      </c>
      <c r="H203" s="2442"/>
      <c r="I203" s="2442"/>
      <c r="J203" s="2442"/>
      <c r="K203" s="2442"/>
      <c r="L203" s="2442"/>
      <c r="M203" s="2442"/>
      <c r="N203" s="2442"/>
      <c r="O203" s="2442"/>
      <c r="P203" s="2442"/>
      <c r="Q203" s="2442"/>
      <c r="R203" s="2442"/>
      <c r="S203" s="2442"/>
      <c r="T203" s="2442"/>
      <c r="U203" s="2442"/>
      <c r="V203" s="2442"/>
      <c r="W203" s="2442"/>
      <c r="X203" s="2442"/>
      <c r="Y203" s="2442"/>
      <c r="Z203" s="2442"/>
      <c r="AA203" s="36"/>
      <c r="AB203" s="36"/>
      <c r="AC203" s="36"/>
      <c r="AD203" s="36"/>
      <c r="AE203" s="36"/>
      <c r="AF203" s="36"/>
      <c r="AG203" s="36"/>
      <c r="AH203" s="36"/>
      <c r="AI203" s="36"/>
      <c r="AJ203" s="36"/>
      <c r="AK203" s="242"/>
      <c r="AL203" s="36"/>
      <c r="AM203" s="36"/>
      <c r="AN203" s="36"/>
    </row>
    <row r="204" spans="6:40" ht="15" hidden="1" customHeight="1" outlineLevel="1">
      <c r="F204" s="883"/>
      <c r="G204" s="241" t="s">
        <v>841</v>
      </c>
      <c r="H204" s="2442"/>
      <c r="I204" s="2442"/>
      <c r="J204" s="2442"/>
      <c r="K204" s="2442"/>
      <c r="L204" s="2442"/>
      <c r="M204" s="2442"/>
      <c r="N204" s="2442"/>
      <c r="O204" s="2442"/>
      <c r="P204" s="2442"/>
      <c r="Q204" s="2442"/>
      <c r="R204" s="2442"/>
      <c r="S204" s="2442"/>
      <c r="T204" s="2442"/>
      <c r="U204" s="2442"/>
      <c r="V204" s="2442"/>
      <c r="W204" s="2442"/>
      <c r="X204" s="2442"/>
      <c r="Y204" s="2442"/>
      <c r="Z204" s="2442"/>
      <c r="AA204" s="36"/>
      <c r="AB204" s="36"/>
      <c r="AC204" s="36"/>
      <c r="AD204" s="36"/>
      <c r="AE204" s="36"/>
      <c r="AF204" s="36"/>
      <c r="AG204" s="36"/>
      <c r="AH204" s="36"/>
      <c r="AI204" s="36"/>
      <c r="AJ204" s="36"/>
      <c r="AK204" s="36"/>
      <c r="AL204" s="36"/>
      <c r="AM204" s="36"/>
      <c r="AN204" s="36"/>
    </row>
    <row r="205" spans="6:40" ht="15" hidden="1" customHeight="1" outlineLevel="1">
      <c r="F205" s="883"/>
      <c r="G205" s="6" t="s">
        <v>144</v>
      </c>
      <c r="H205" s="2442"/>
      <c r="I205" s="2442"/>
      <c r="J205" s="2442"/>
      <c r="K205" s="2442"/>
      <c r="L205" s="2442"/>
      <c r="M205" s="2442"/>
      <c r="N205" s="2442"/>
      <c r="O205" s="2442"/>
      <c r="P205" s="2442"/>
      <c r="Q205" s="2442"/>
      <c r="R205" s="2442"/>
      <c r="S205" s="2442"/>
      <c r="T205" s="2442"/>
      <c r="U205" s="2442"/>
      <c r="V205" s="2442"/>
      <c r="W205" s="2442"/>
      <c r="X205" s="2442"/>
      <c r="Y205" s="2442"/>
      <c r="Z205" s="2442"/>
      <c r="AA205" s="36"/>
      <c r="AB205" s="36"/>
      <c r="AC205" s="36"/>
      <c r="AD205" s="36"/>
      <c r="AE205" s="36"/>
      <c r="AF205" s="36"/>
      <c r="AG205" s="36"/>
      <c r="AH205" s="36"/>
      <c r="AI205" s="36"/>
      <c r="AJ205" s="36"/>
      <c r="AK205" s="36"/>
      <c r="AL205" s="36"/>
      <c r="AM205" s="36"/>
      <c r="AN205" s="36"/>
    </row>
    <row r="206" spans="6:40" ht="15" hidden="1" customHeight="1" outlineLevel="1">
      <c r="F206" s="883"/>
      <c r="G206" s="6" t="s">
        <v>145</v>
      </c>
      <c r="H206" s="2442"/>
      <c r="I206" s="2442"/>
      <c r="J206" s="2442"/>
      <c r="K206" s="2442"/>
      <c r="L206" s="2442"/>
      <c r="M206" s="2442"/>
      <c r="N206" s="2442"/>
      <c r="O206" s="2442"/>
      <c r="P206" s="2442"/>
      <c r="Q206" s="2442"/>
      <c r="R206" s="2442"/>
      <c r="S206" s="2442"/>
      <c r="T206" s="2442"/>
      <c r="U206" s="2442"/>
      <c r="V206" s="2442"/>
      <c r="W206" s="2442"/>
      <c r="X206" s="2442"/>
      <c r="Y206" s="2442"/>
      <c r="Z206" s="2442"/>
      <c r="AA206" s="36"/>
      <c r="AB206" s="36"/>
      <c r="AC206" s="36"/>
      <c r="AD206" s="36"/>
      <c r="AE206" s="36"/>
      <c r="AF206" s="36"/>
      <c r="AG206" s="36"/>
      <c r="AH206" s="36"/>
      <c r="AI206" s="36"/>
      <c r="AJ206" s="36"/>
      <c r="AK206" s="242"/>
      <c r="AL206" s="36"/>
      <c r="AM206" s="36"/>
      <c r="AN206" s="36"/>
    </row>
    <row r="207" spans="6:40" ht="15" hidden="1" customHeight="1" outlineLevel="1">
      <c r="F207" s="884" t="s">
        <v>148</v>
      </c>
      <c r="G207" s="844"/>
      <c r="H207" s="2442"/>
      <c r="I207" s="2442"/>
      <c r="J207" s="2442"/>
      <c r="K207" s="2442"/>
      <c r="L207" s="2442"/>
      <c r="M207" s="2442"/>
      <c r="N207" s="2442"/>
      <c r="O207" s="2442"/>
      <c r="P207" s="2442"/>
      <c r="Q207" s="2442"/>
      <c r="R207" s="2442"/>
      <c r="S207" s="2442"/>
      <c r="T207" s="2442"/>
      <c r="U207" s="2442"/>
      <c r="V207" s="2442"/>
      <c r="W207" s="2442"/>
      <c r="X207" s="2442"/>
      <c r="Y207" s="2442"/>
      <c r="Z207" s="2442"/>
      <c r="AA207" s="36"/>
      <c r="AB207" s="36"/>
      <c r="AC207" s="36"/>
      <c r="AD207" s="36"/>
      <c r="AE207" s="36"/>
      <c r="AF207" s="36"/>
      <c r="AG207" s="36"/>
      <c r="AH207" s="36"/>
      <c r="AI207" s="36"/>
      <c r="AJ207" s="36"/>
      <c r="AK207" s="242"/>
      <c r="AL207" s="36"/>
      <c r="AM207" s="36"/>
      <c r="AN207" s="36"/>
    </row>
    <row r="208" spans="6:40" ht="15" hidden="1" customHeight="1" outlineLevel="1">
      <c r="F208" s="1"/>
      <c r="G208" s="6" t="s">
        <v>151</v>
      </c>
      <c r="H208" s="2442"/>
      <c r="I208" s="2442"/>
      <c r="J208" s="2442"/>
      <c r="K208" s="2442"/>
      <c r="L208" s="2442"/>
      <c r="M208" s="2442"/>
      <c r="N208" s="2442"/>
      <c r="O208" s="2442"/>
      <c r="P208" s="2442"/>
      <c r="Q208" s="2442"/>
      <c r="R208" s="2442"/>
      <c r="S208" s="2442"/>
      <c r="T208" s="2442"/>
      <c r="U208" s="2442"/>
      <c r="V208" s="2442"/>
      <c r="W208" s="2442"/>
      <c r="X208" s="2442"/>
      <c r="Y208" s="2442"/>
      <c r="Z208" s="2442"/>
      <c r="AA208" s="36"/>
      <c r="AB208" s="36"/>
      <c r="AC208" s="36"/>
      <c r="AD208" s="36"/>
      <c r="AE208" s="36"/>
      <c r="AF208" s="36"/>
      <c r="AG208" s="36"/>
      <c r="AH208" s="36"/>
      <c r="AI208" s="36"/>
      <c r="AJ208" s="36"/>
      <c r="AK208" s="242"/>
      <c r="AL208" s="36"/>
      <c r="AM208" s="36"/>
      <c r="AN208" s="36"/>
    </row>
    <row r="209" spans="7:40" ht="15" hidden="1" customHeight="1" outlineLevel="1">
      <c r="G209" s="6" t="s">
        <v>58</v>
      </c>
      <c r="H209" s="2442"/>
      <c r="I209" s="2442"/>
      <c r="J209" s="2442"/>
      <c r="K209" s="2442"/>
      <c r="L209" s="2442"/>
      <c r="M209" s="2442"/>
      <c r="N209" s="2442"/>
      <c r="O209" s="2442"/>
      <c r="P209" s="2442"/>
      <c r="Q209" s="2442"/>
      <c r="R209" s="2442"/>
      <c r="S209" s="2442"/>
      <c r="T209" s="2442"/>
      <c r="U209" s="2442"/>
      <c r="V209" s="2442"/>
      <c r="W209" s="2442"/>
      <c r="X209" s="2442"/>
      <c r="Y209" s="2442"/>
      <c r="Z209" s="2442"/>
      <c r="AA209" s="36"/>
      <c r="AB209" s="36"/>
      <c r="AC209" s="36"/>
      <c r="AD209" s="36"/>
      <c r="AE209" s="36"/>
      <c r="AF209" s="36"/>
      <c r="AG209" s="36"/>
      <c r="AH209" s="36"/>
      <c r="AI209" s="36"/>
      <c r="AJ209" s="36"/>
      <c r="AK209" s="242"/>
      <c r="AL209" s="36"/>
      <c r="AM209" s="36"/>
      <c r="AN209" s="36"/>
    </row>
    <row r="210" spans="7:40" ht="15" hidden="1" customHeight="1" outlineLevel="1">
      <c r="G210" s="6" t="s">
        <v>389</v>
      </c>
      <c r="H210" s="2442"/>
      <c r="I210" s="2442"/>
      <c r="J210" s="2442"/>
      <c r="K210" s="2442"/>
      <c r="L210" s="2442"/>
      <c r="M210" s="2442"/>
      <c r="N210" s="2442"/>
      <c r="O210" s="2442"/>
      <c r="P210" s="2442"/>
      <c r="Q210" s="2442"/>
      <c r="R210" s="2442"/>
      <c r="S210" s="2442"/>
      <c r="T210" s="2442"/>
      <c r="U210" s="2442"/>
      <c r="V210" s="2442"/>
      <c r="W210" s="2442"/>
      <c r="X210" s="2442"/>
      <c r="Y210" s="2442"/>
      <c r="Z210" s="2442"/>
      <c r="AA210" s="36"/>
      <c r="AB210" s="36"/>
      <c r="AC210" s="36"/>
      <c r="AD210" s="36"/>
      <c r="AE210" s="36"/>
      <c r="AF210" s="36"/>
      <c r="AG210" s="36"/>
      <c r="AH210" s="36"/>
      <c r="AI210" s="36"/>
      <c r="AJ210" s="36"/>
      <c r="AK210" s="242"/>
      <c r="AL210" s="36"/>
      <c r="AM210" s="36"/>
      <c r="AN210" s="36"/>
    </row>
    <row r="211" spans="7:40" ht="15" hidden="1" customHeight="1" outlineLevel="1">
      <c r="G211" s="6" t="s">
        <v>49</v>
      </c>
      <c r="H211" s="2442"/>
      <c r="I211" s="2442"/>
      <c r="J211" s="2442"/>
      <c r="K211" s="2442"/>
      <c r="L211" s="2442"/>
      <c r="M211" s="2442"/>
      <c r="N211" s="2442"/>
      <c r="O211" s="2442"/>
      <c r="P211" s="2442"/>
      <c r="Q211" s="2442"/>
      <c r="R211" s="2442"/>
      <c r="S211" s="2442"/>
      <c r="T211" s="2442"/>
      <c r="U211" s="2442"/>
      <c r="V211" s="2442"/>
      <c r="W211" s="2442"/>
      <c r="X211" s="2442"/>
      <c r="Y211" s="2442"/>
      <c r="Z211" s="2442"/>
      <c r="AA211" s="36"/>
      <c r="AB211" s="36"/>
      <c r="AC211" s="36"/>
      <c r="AD211" s="36"/>
      <c r="AE211" s="36"/>
      <c r="AF211" s="36"/>
      <c r="AG211" s="36"/>
      <c r="AH211" s="36"/>
      <c r="AI211" s="36"/>
      <c r="AJ211" s="36"/>
      <c r="AK211" s="36"/>
      <c r="AL211" s="36"/>
      <c r="AM211" s="36"/>
      <c r="AN211" s="36"/>
    </row>
    <row r="212" spans="7:40" ht="15" hidden="1" customHeight="1" outlineLevel="1">
      <c r="G212" s="6" t="s">
        <v>189</v>
      </c>
      <c r="H212" s="2442"/>
      <c r="I212" s="2442"/>
      <c r="J212" s="2442"/>
      <c r="K212" s="2442"/>
      <c r="L212" s="2442"/>
      <c r="M212" s="2442"/>
      <c r="N212" s="2442"/>
      <c r="O212" s="2442"/>
      <c r="P212" s="2442"/>
      <c r="Q212" s="2442"/>
      <c r="R212" s="2442"/>
      <c r="S212" s="2442"/>
      <c r="T212" s="2442"/>
      <c r="U212" s="2442"/>
      <c r="V212" s="2442"/>
      <c r="W212" s="2442"/>
      <c r="X212" s="2442"/>
      <c r="Y212" s="2442"/>
      <c r="Z212" s="2442"/>
      <c r="AA212" s="36"/>
      <c r="AB212" s="36"/>
      <c r="AC212" s="36"/>
      <c r="AD212" s="36"/>
      <c r="AE212" s="36"/>
      <c r="AF212" s="36"/>
      <c r="AG212" s="36"/>
      <c r="AH212" s="36"/>
      <c r="AI212" s="36"/>
      <c r="AJ212" s="36"/>
      <c r="AK212" s="36" t="s">
        <v>191</v>
      </c>
      <c r="AL212" s="36"/>
      <c r="AM212" s="36"/>
      <c r="AN212" s="36"/>
    </row>
    <row r="213" spans="7:40" ht="15" hidden="1" customHeight="1" outlineLevel="1">
      <c r="G213" s="6" t="s">
        <v>201</v>
      </c>
      <c r="H213" s="2442"/>
      <c r="I213" s="2442"/>
      <c r="J213" s="2442"/>
      <c r="K213" s="2442"/>
      <c r="L213" s="2442"/>
      <c r="M213" s="2442"/>
      <c r="N213" s="2442"/>
      <c r="O213" s="2442"/>
      <c r="P213" s="2442"/>
      <c r="Q213" s="2442"/>
      <c r="R213" s="2442"/>
      <c r="S213" s="2442"/>
      <c r="T213" s="2442"/>
      <c r="U213" s="2442"/>
      <c r="V213" s="2442"/>
      <c r="W213" s="2442"/>
      <c r="X213" s="2442"/>
      <c r="Y213" s="2442"/>
      <c r="Z213" s="2442"/>
      <c r="AA213" s="36"/>
      <c r="AB213" s="36"/>
      <c r="AC213" s="36"/>
      <c r="AD213" s="36"/>
      <c r="AE213" s="36"/>
      <c r="AF213" s="36"/>
      <c r="AG213" s="36"/>
      <c r="AH213" s="36"/>
      <c r="AI213" s="36"/>
      <c r="AJ213" s="36"/>
      <c r="AK213" s="36"/>
      <c r="AL213" s="36"/>
      <c r="AM213" s="36"/>
      <c r="AN213" s="36"/>
    </row>
    <row r="214" spans="7:40" ht="15" hidden="1" customHeight="1" outlineLevel="1">
      <c r="G214" s="241" t="s">
        <v>133</v>
      </c>
      <c r="H214" s="2442"/>
      <c r="I214" s="2442"/>
      <c r="J214" s="2442"/>
      <c r="K214" s="2442"/>
      <c r="L214" s="2442"/>
      <c r="M214" s="2442"/>
      <c r="N214" s="2442"/>
      <c r="O214" s="2442"/>
      <c r="P214" s="2442"/>
      <c r="Q214" s="2442"/>
      <c r="R214" s="2442"/>
      <c r="S214" s="2442"/>
      <c r="T214" s="2442"/>
      <c r="U214" s="2442"/>
      <c r="V214" s="2442"/>
      <c r="W214" s="2442"/>
      <c r="X214" s="2442"/>
      <c r="Y214" s="2442"/>
      <c r="Z214" s="2442"/>
      <c r="AA214" s="36"/>
      <c r="AB214" s="36"/>
      <c r="AC214" s="36"/>
      <c r="AD214" s="36"/>
      <c r="AE214" s="36"/>
      <c r="AF214" s="36"/>
      <c r="AG214" s="36"/>
      <c r="AH214" s="36"/>
      <c r="AI214" s="36"/>
      <c r="AJ214" s="36"/>
      <c r="AK214" s="36"/>
      <c r="AL214" s="36"/>
      <c r="AM214" s="36"/>
      <c r="AN214" s="36"/>
    </row>
    <row r="215" spans="7:40" ht="15" hidden="1" customHeight="1" outlineLevel="1">
      <c r="G215" s="6" t="s">
        <v>127</v>
      </c>
      <c r="H215" s="2442"/>
      <c r="I215" s="2442"/>
      <c r="J215" s="2442"/>
      <c r="K215" s="2442"/>
      <c r="L215" s="2442"/>
      <c r="M215" s="2442"/>
      <c r="N215" s="2442"/>
      <c r="O215" s="2442"/>
      <c r="P215" s="2442"/>
      <c r="Q215" s="2442"/>
      <c r="R215" s="2442"/>
      <c r="S215" s="2442"/>
      <c r="T215" s="2442"/>
      <c r="U215" s="2442"/>
      <c r="V215" s="2442"/>
      <c r="W215" s="2442"/>
      <c r="X215" s="2442"/>
      <c r="Y215" s="2442"/>
      <c r="Z215" s="2442"/>
      <c r="AA215" s="36"/>
      <c r="AB215" s="36"/>
      <c r="AC215" s="36"/>
      <c r="AD215" s="36"/>
      <c r="AE215" s="36"/>
      <c r="AF215" s="36"/>
      <c r="AG215" s="36"/>
      <c r="AH215" s="36"/>
      <c r="AI215" s="36"/>
      <c r="AJ215" s="36"/>
      <c r="AK215" s="36"/>
      <c r="AL215" s="36"/>
      <c r="AM215" s="36"/>
      <c r="AN215" s="36"/>
    </row>
    <row r="216" spans="7:40" ht="15" hidden="1" customHeight="1" outlineLevel="1" collapsed="1">
      <c r="G216" s="6" t="s">
        <v>128</v>
      </c>
      <c r="H216" s="2442"/>
      <c r="I216" s="2442"/>
      <c r="J216" s="2442"/>
      <c r="K216" s="2442"/>
      <c r="L216" s="2442"/>
      <c r="M216" s="2442"/>
      <c r="N216" s="2442"/>
      <c r="O216" s="2442"/>
      <c r="P216" s="2442"/>
      <c r="Q216" s="2442"/>
      <c r="R216" s="2442"/>
      <c r="S216" s="2442"/>
      <c r="T216" s="2442"/>
      <c r="U216" s="2442"/>
      <c r="V216" s="2442"/>
      <c r="W216" s="2442"/>
      <c r="X216" s="2442"/>
      <c r="Y216" s="2442"/>
      <c r="Z216" s="2442"/>
      <c r="AA216" s="36"/>
      <c r="AB216" s="36"/>
      <c r="AC216" s="36"/>
      <c r="AD216" s="36"/>
      <c r="AE216" s="36"/>
      <c r="AF216" s="36"/>
      <c r="AG216" s="36"/>
      <c r="AH216" s="36"/>
      <c r="AI216" s="36"/>
      <c r="AJ216" s="36"/>
      <c r="AK216" s="242"/>
      <c r="AL216" s="36"/>
      <c r="AM216" s="36"/>
      <c r="AN216" s="36"/>
    </row>
    <row r="217" spans="7:40" ht="15" hidden="1" customHeight="1" outlineLevel="1">
      <c r="G217" s="6" t="s">
        <v>129</v>
      </c>
      <c r="H217" s="2442"/>
      <c r="I217" s="2442"/>
      <c r="J217" s="2442"/>
      <c r="K217" s="2442"/>
      <c r="L217" s="2442"/>
      <c r="M217" s="2442"/>
      <c r="N217" s="2442"/>
      <c r="O217" s="2442"/>
      <c r="P217" s="2442"/>
      <c r="Q217" s="2442"/>
      <c r="R217" s="2442"/>
      <c r="S217" s="2442"/>
      <c r="T217" s="2442"/>
      <c r="U217" s="2442"/>
      <c r="V217" s="2442"/>
      <c r="W217" s="2442"/>
      <c r="X217" s="2442"/>
      <c r="Y217" s="2442"/>
      <c r="Z217" s="2442"/>
      <c r="AA217" s="36"/>
      <c r="AB217" s="36"/>
      <c r="AC217" s="36"/>
      <c r="AD217" s="36"/>
      <c r="AE217" s="36"/>
      <c r="AF217" s="36"/>
      <c r="AG217" s="36"/>
      <c r="AH217" s="36"/>
      <c r="AI217" s="36"/>
      <c r="AJ217" s="36"/>
      <c r="AK217" s="242"/>
      <c r="AL217" s="36"/>
      <c r="AM217" s="36"/>
      <c r="AN217" s="36"/>
    </row>
    <row r="218" spans="7:40" ht="15" hidden="1" customHeight="1" outlineLevel="1">
      <c r="G218" s="6" t="s">
        <v>188</v>
      </c>
      <c r="H218" s="2442"/>
      <c r="I218" s="2442"/>
      <c r="J218" s="2442"/>
      <c r="K218" s="2442"/>
      <c r="L218" s="2442"/>
      <c r="M218" s="2442"/>
      <c r="N218" s="2442"/>
      <c r="O218" s="2442"/>
      <c r="P218" s="2442"/>
      <c r="Q218" s="2442"/>
      <c r="R218" s="2442"/>
      <c r="S218" s="2442"/>
      <c r="T218" s="2442"/>
      <c r="U218" s="2442"/>
      <c r="V218" s="2442"/>
      <c r="W218" s="2442"/>
      <c r="X218" s="2442"/>
      <c r="Y218" s="2442"/>
      <c r="Z218" s="2442"/>
      <c r="AA218" s="36"/>
      <c r="AB218" s="36"/>
      <c r="AC218" s="36"/>
      <c r="AD218" s="36"/>
      <c r="AE218" s="36"/>
      <c r="AF218" s="36"/>
      <c r="AG218" s="36"/>
      <c r="AH218" s="36"/>
      <c r="AI218" s="36"/>
      <c r="AJ218" s="36"/>
      <c r="AK218" s="242"/>
      <c r="AL218" s="36"/>
      <c r="AM218" s="36"/>
      <c r="AN218" s="36"/>
    </row>
    <row r="219" spans="7:40" ht="15" hidden="1" customHeight="1" outlineLevel="1">
      <c r="G219" s="6" t="s">
        <v>88</v>
      </c>
      <c r="H219" s="2442"/>
      <c r="I219" s="2442"/>
      <c r="J219" s="2442"/>
      <c r="K219" s="2442"/>
      <c r="L219" s="2442"/>
      <c r="M219" s="2442"/>
      <c r="N219" s="2442"/>
      <c r="O219" s="2442"/>
      <c r="P219" s="2442"/>
      <c r="Q219" s="2442"/>
      <c r="R219" s="2442"/>
      <c r="S219" s="2442"/>
      <c r="T219" s="2442"/>
      <c r="U219" s="2442"/>
      <c r="V219" s="2442"/>
      <c r="W219" s="2442"/>
      <c r="X219" s="2442"/>
      <c r="Y219" s="2442"/>
      <c r="Z219" s="2442"/>
      <c r="AA219" s="36"/>
      <c r="AB219" s="36"/>
      <c r="AC219" s="36"/>
      <c r="AD219" s="36"/>
      <c r="AE219" s="36"/>
      <c r="AF219" s="36"/>
      <c r="AG219" s="36"/>
      <c r="AH219" s="36"/>
      <c r="AI219" s="36"/>
      <c r="AJ219" s="36"/>
      <c r="AK219" s="242"/>
      <c r="AL219" s="36"/>
      <c r="AM219" s="36"/>
      <c r="AN219" s="36"/>
    </row>
    <row r="220" spans="7:40" ht="15" hidden="1" customHeight="1" outlineLevel="1">
      <c r="G220" s="6" t="s">
        <v>199</v>
      </c>
      <c r="H220" s="2442"/>
      <c r="I220" s="2442"/>
      <c r="J220" s="2442"/>
      <c r="K220" s="2442"/>
      <c r="L220" s="2442"/>
      <c r="M220" s="2442"/>
      <c r="N220" s="2442"/>
      <c r="O220" s="2442"/>
      <c r="P220" s="2442"/>
      <c r="Q220" s="2442"/>
      <c r="R220" s="2442"/>
      <c r="S220" s="2442"/>
      <c r="T220" s="2442"/>
      <c r="U220" s="2442"/>
      <c r="V220" s="2442"/>
      <c r="W220" s="2442"/>
      <c r="X220" s="2442"/>
      <c r="Y220" s="2442"/>
      <c r="Z220" s="2442"/>
      <c r="AA220" s="36"/>
      <c r="AB220" s="36"/>
      <c r="AC220" s="36"/>
      <c r="AD220" s="36"/>
      <c r="AE220" s="36"/>
      <c r="AF220" s="36"/>
      <c r="AG220" s="36"/>
      <c r="AH220" s="36"/>
      <c r="AI220" s="36"/>
      <c r="AJ220" s="36"/>
      <c r="AK220" s="242"/>
      <c r="AL220" s="36"/>
      <c r="AM220" s="36"/>
      <c r="AN220" s="36"/>
    </row>
    <row r="221" spans="7:40" ht="15" hidden="1" customHeight="1" outlineLevel="1">
      <c r="G221" s="6" t="s">
        <v>200</v>
      </c>
      <c r="H221" s="2442"/>
      <c r="I221" s="2442"/>
      <c r="J221" s="2442"/>
      <c r="K221" s="2442"/>
      <c r="L221" s="2442"/>
      <c r="M221" s="2442"/>
      <c r="N221" s="2442"/>
      <c r="O221" s="2442"/>
      <c r="P221" s="2442"/>
      <c r="Q221" s="2442"/>
      <c r="R221" s="2442"/>
      <c r="S221" s="2442"/>
      <c r="T221" s="2442"/>
      <c r="U221" s="2442"/>
      <c r="V221" s="2442"/>
      <c r="W221" s="2442"/>
      <c r="X221" s="2442"/>
      <c r="Y221" s="2442"/>
      <c r="Z221" s="2442"/>
      <c r="AA221" s="36"/>
      <c r="AB221" s="36"/>
      <c r="AC221" s="36"/>
      <c r="AD221" s="36"/>
      <c r="AE221" s="36"/>
      <c r="AF221" s="36"/>
      <c r="AG221" s="36"/>
      <c r="AH221" s="36"/>
      <c r="AI221" s="36"/>
      <c r="AJ221" s="36"/>
      <c r="AK221" s="242"/>
      <c r="AL221" s="36"/>
      <c r="AM221" s="36"/>
      <c r="AN221" s="36"/>
    </row>
    <row r="222" spans="7:40" ht="15" hidden="1" customHeight="1" outlineLevel="1">
      <c r="G222" s="241" t="s">
        <v>134</v>
      </c>
      <c r="H222" s="2442"/>
      <c r="I222" s="2442"/>
      <c r="J222" s="2442"/>
      <c r="K222" s="2442"/>
      <c r="L222" s="2442"/>
      <c r="M222" s="2442"/>
      <c r="N222" s="2442"/>
      <c r="O222" s="2442"/>
      <c r="P222" s="2442"/>
      <c r="Q222" s="2442"/>
      <c r="R222" s="2442"/>
      <c r="S222" s="2442"/>
      <c r="T222" s="2442"/>
      <c r="U222" s="2442"/>
      <c r="V222" s="2442"/>
      <c r="W222" s="2442"/>
      <c r="X222" s="2442"/>
      <c r="Y222" s="2442"/>
      <c r="Z222" s="2442"/>
      <c r="AA222" s="36"/>
      <c r="AB222" s="36"/>
      <c r="AC222" s="36"/>
      <c r="AD222" s="36"/>
      <c r="AE222" s="36"/>
      <c r="AF222" s="36"/>
      <c r="AG222" s="36"/>
      <c r="AH222" s="36"/>
      <c r="AI222" s="36"/>
      <c r="AJ222" s="36"/>
      <c r="AK222" s="36"/>
      <c r="AL222" s="36"/>
      <c r="AM222" s="36"/>
      <c r="AN222" s="36"/>
    </row>
    <row r="223" spans="7:40" ht="15" hidden="1" customHeight="1" outlineLevel="1">
      <c r="G223" s="6" t="s">
        <v>188</v>
      </c>
      <c r="H223" s="2442"/>
      <c r="I223" s="2442"/>
      <c r="J223" s="2442"/>
      <c r="K223" s="2442"/>
      <c r="L223" s="2442"/>
      <c r="M223" s="2442"/>
      <c r="N223" s="2442"/>
      <c r="O223" s="2442"/>
      <c r="P223" s="2442"/>
      <c r="Q223" s="2442"/>
      <c r="R223" s="2442"/>
      <c r="S223" s="2442"/>
      <c r="T223" s="2442"/>
      <c r="U223" s="2442"/>
      <c r="V223" s="2442"/>
      <c r="W223" s="2442"/>
      <c r="X223" s="2442"/>
      <c r="Y223" s="2442"/>
      <c r="Z223" s="2442"/>
      <c r="AA223" s="36"/>
      <c r="AB223" s="36" t="s">
        <v>192</v>
      </c>
      <c r="AC223" s="36"/>
      <c r="AD223" s="36" t="s">
        <v>193</v>
      </c>
      <c r="AE223" s="36"/>
      <c r="AF223" s="36"/>
      <c r="AG223" s="36"/>
      <c r="AH223" s="36"/>
      <c r="AI223" s="36"/>
      <c r="AJ223" s="36"/>
      <c r="AK223" s="36"/>
      <c r="AL223" s="36"/>
      <c r="AM223" s="36"/>
      <c r="AN223" s="36"/>
    </row>
    <row r="224" spans="7:40" ht="15" hidden="1" customHeight="1" outlineLevel="1">
      <c r="G224" s="6" t="s">
        <v>88</v>
      </c>
      <c r="H224" s="2442"/>
      <c r="I224" s="2442"/>
      <c r="J224" s="2442"/>
      <c r="K224" s="2442"/>
      <c r="L224" s="2442"/>
      <c r="M224" s="2442"/>
      <c r="N224" s="2442"/>
      <c r="O224" s="2442"/>
      <c r="P224" s="2442"/>
      <c r="Q224" s="2442"/>
      <c r="R224" s="2442"/>
      <c r="S224" s="2442"/>
      <c r="T224" s="2442"/>
      <c r="U224" s="2442"/>
      <c r="V224" s="2442"/>
      <c r="W224" s="2442"/>
      <c r="X224" s="2442"/>
      <c r="Y224" s="2442"/>
      <c r="Z224" s="2442"/>
      <c r="AA224" s="36"/>
      <c r="AB224" s="36" t="s">
        <v>194</v>
      </c>
      <c r="AC224" s="36"/>
      <c r="AD224" s="36" t="s">
        <v>195</v>
      </c>
      <c r="AE224" s="36"/>
      <c r="AF224" s="36"/>
      <c r="AG224" s="36"/>
      <c r="AH224" s="36"/>
      <c r="AI224" s="36"/>
      <c r="AJ224" s="36"/>
      <c r="AK224" s="36"/>
      <c r="AL224" s="36"/>
      <c r="AM224" s="36"/>
      <c r="AN224" s="36"/>
    </row>
    <row r="225" spans="6:40" ht="15" hidden="1" customHeight="1" outlineLevel="1">
      <c r="G225" s="6" t="s">
        <v>200</v>
      </c>
      <c r="H225" s="2442"/>
      <c r="I225" s="2442"/>
      <c r="J225" s="2442"/>
      <c r="K225" s="2442"/>
      <c r="L225" s="2442"/>
      <c r="M225" s="2442"/>
      <c r="N225" s="2442"/>
      <c r="O225" s="2442"/>
      <c r="P225" s="2442"/>
      <c r="Q225" s="2442"/>
      <c r="R225" s="2442"/>
      <c r="S225" s="2442"/>
      <c r="T225" s="2442"/>
      <c r="U225" s="2442"/>
      <c r="V225" s="2442"/>
      <c r="W225" s="2442"/>
      <c r="X225" s="2442"/>
      <c r="Y225" s="2442"/>
      <c r="Z225" s="2442"/>
      <c r="AA225" s="36"/>
      <c r="AB225" s="36"/>
      <c r="AC225" s="36"/>
      <c r="AD225" s="36"/>
      <c r="AE225" s="36"/>
      <c r="AF225" s="36"/>
      <c r="AG225" s="36"/>
      <c r="AH225" s="36"/>
      <c r="AI225" s="36"/>
      <c r="AJ225" s="36"/>
      <c r="AK225" s="36"/>
      <c r="AL225" s="36"/>
      <c r="AM225" s="36"/>
      <c r="AN225" s="36"/>
    </row>
    <row r="226" spans="6:40" ht="30" customHeight="1" collapsed="1">
      <c r="F226" s="867" t="s">
        <v>2494</v>
      </c>
      <c r="G226" s="868"/>
      <c r="H226" s="2442"/>
      <c r="I226" s="2442"/>
      <c r="J226" s="2442"/>
      <c r="K226" s="2442"/>
      <c r="L226" s="2442"/>
      <c r="M226" s="2442"/>
      <c r="N226" s="2442"/>
      <c r="O226" s="2442"/>
      <c r="P226" s="2442"/>
      <c r="Q226" s="2442"/>
      <c r="R226" s="2442"/>
      <c r="S226" s="2442"/>
      <c r="T226" s="2442"/>
      <c r="U226" s="2442"/>
      <c r="V226" s="2442"/>
      <c r="W226" s="2442"/>
      <c r="X226" s="2442"/>
      <c r="Y226" s="2442"/>
      <c r="Z226" s="2442"/>
      <c r="AA226" s="36"/>
      <c r="AB226" s="36"/>
      <c r="AC226" s="36"/>
      <c r="AD226" s="36"/>
      <c r="AE226" s="36"/>
      <c r="AF226" s="36"/>
      <c r="AG226" s="36"/>
      <c r="AH226" s="36"/>
      <c r="AI226" s="36"/>
      <c r="AJ226" s="36"/>
      <c r="AK226" s="242"/>
      <c r="AL226" s="36"/>
      <c r="AM226" s="36"/>
      <c r="AN226" s="36"/>
    </row>
    <row r="227" spans="6:40" ht="15" hidden="1" customHeight="1" outlineLevel="1">
      <c r="F227" s="36"/>
      <c r="G227" s="6" t="s">
        <v>414</v>
      </c>
      <c r="H227" s="2442"/>
      <c r="I227" s="2442"/>
      <c r="J227" s="2442"/>
      <c r="K227" s="2442"/>
      <c r="L227" s="2442"/>
      <c r="M227" s="2442"/>
      <c r="N227" s="2442"/>
      <c r="O227" s="2442"/>
      <c r="P227" s="2442"/>
      <c r="Q227" s="2442"/>
      <c r="R227" s="2442"/>
      <c r="S227" s="2442"/>
      <c r="T227" s="2442"/>
      <c r="U227" s="2442"/>
      <c r="V227" s="2442"/>
      <c r="W227" s="2442"/>
      <c r="X227" s="2442"/>
      <c r="Y227" s="2442"/>
      <c r="Z227" s="2442"/>
      <c r="AK227" s="1"/>
    </row>
    <row r="228" spans="6:40" ht="15" hidden="1" customHeight="1" outlineLevel="1">
      <c r="F228" s="844" t="s">
        <v>387</v>
      </c>
      <c r="G228" s="844"/>
      <c r="H228" s="2442"/>
      <c r="I228" s="2442"/>
      <c r="J228" s="2442"/>
      <c r="K228" s="2442"/>
      <c r="L228" s="2442"/>
      <c r="M228" s="2442"/>
      <c r="N228" s="2442"/>
      <c r="O228" s="2442"/>
      <c r="P228" s="2442"/>
      <c r="Q228" s="2442"/>
      <c r="R228" s="2442"/>
      <c r="S228" s="2442"/>
      <c r="T228" s="2442"/>
      <c r="U228" s="2442"/>
      <c r="V228" s="2442"/>
      <c r="W228" s="2442"/>
      <c r="X228" s="2442"/>
      <c r="Y228" s="2442"/>
      <c r="Z228" s="2442"/>
      <c r="AK228" s="1"/>
    </row>
    <row r="229" spans="6:40" ht="15" hidden="1" customHeight="1" outlineLevel="1">
      <c r="G229" s="6" t="s">
        <v>390</v>
      </c>
      <c r="H229" s="2442"/>
      <c r="I229" s="2442"/>
      <c r="J229" s="2442"/>
      <c r="K229" s="2442"/>
      <c r="L229" s="2442"/>
      <c r="M229" s="2442"/>
      <c r="N229" s="2442"/>
      <c r="O229" s="2442"/>
      <c r="P229" s="2442"/>
      <c r="Q229" s="2442"/>
      <c r="R229" s="2442"/>
      <c r="S229" s="2442"/>
      <c r="T229" s="2442"/>
      <c r="U229" s="2442"/>
      <c r="V229" s="2442"/>
      <c r="W229" s="2442"/>
      <c r="X229" s="2442"/>
      <c r="Y229" s="2442"/>
      <c r="Z229" s="2442"/>
      <c r="AA229" s="36"/>
      <c r="AB229" s="36"/>
      <c r="AC229" s="36"/>
      <c r="AD229" s="36"/>
      <c r="AE229" s="36"/>
      <c r="AF229" s="36"/>
      <c r="AG229" s="36"/>
      <c r="AH229" s="36"/>
      <c r="AI229" s="36"/>
      <c r="AJ229" s="36"/>
      <c r="AK229" s="242"/>
      <c r="AL229" s="36"/>
      <c r="AM229" s="36"/>
      <c r="AN229" s="36"/>
    </row>
    <row r="230" spans="6:40" ht="15" hidden="1" customHeight="1" outlineLevel="1">
      <c r="G230" s="6" t="s">
        <v>391</v>
      </c>
      <c r="H230" s="2442"/>
      <c r="I230" s="2442"/>
      <c r="J230" s="2442"/>
      <c r="K230" s="2442"/>
      <c r="L230" s="2442"/>
      <c r="M230" s="2442"/>
      <c r="N230" s="2442"/>
      <c r="O230" s="2442"/>
      <c r="P230" s="2442"/>
      <c r="Q230" s="2442"/>
      <c r="R230" s="2442"/>
      <c r="S230" s="2442"/>
      <c r="T230" s="2442"/>
      <c r="U230" s="2442"/>
      <c r="V230" s="2442"/>
      <c r="W230" s="2442"/>
      <c r="X230" s="2442"/>
      <c r="Y230" s="2442"/>
      <c r="Z230" s="2442"/>
      <c r="AA230" s="36"/>
      <c r="AB230" s="36"/>
      <c r="AC230" s="36"/>
      <c r="AD230" s="36"/>
      <c r="AE230" s="36"/>
      <c r="AF230" s="36"/>
      <c r="AG230" s="36"/>
      <c r="AH230" s="36"/>
      <c r="AI230" s="36"/>
      <c r="AJ230" s="36"/>
      <c r="AK230" s="242"/>
      <c r="AL230" s="36"/>
      <c r="AM230" s="36"/>
      <c r="AN230" s="36"/>
    </row>
    <row r="231" spans="6:40" ht="15" hidden="1" customHeight="1" outlineLevel="1">
      <c r="F231" s="76" t="s">
        <v>149</v>
      </c>
      <c r="G231" s="844"/>
      <c r="H231" s="2442"/>
      <c r="I231" s="2442"/>
      <c r="J231" s="2442"/>
      <c r="K231" s="2442"/>
      <c r="L231" s="2442"/>
      <c r="M231" s="2442"/>
      <c r="N231" s="2442"/>
      <c r="O231" s="2442"/>
      <c r="P231" s="2442"/>
      <c r="Q231" s="2442"/>
      <c r="R231" s="2442"/>
      <c r="S231" s="2442"/>
      <c r="T231" s="2442"/>
      <c r="U231" s="2442"/>
      <c r="V231" s="2442"/>
      <c r="W231" s="2442"/>
      <c r="X231" s="2442"/>
      <c r="Y231" s="2442"/>
      <c r="Z231" s="2442"/>
      <c r="AA231" s="36"/>
      <c r="AB231" s="36"/>
      <c r="AC231" s="36"/>
      <c r="AD231" s="36"/>
      <c r="AE231" s="36"/>
      <c r="AF231" s="36"/>
      <c r="AG231" s="36"/>
      <c r="AH231" s="36"/>
      <c r="AI231" s="36"/>
      <c r="AJ231" s="36"/>
      <c r="AK231" s="242"/>
      <c r="AL231" s="36"/>
      <c r="AM231" s="36"/>
      <c r="AN231" s="36"/>
    </row>
    <row r="232" spans="6:40" ht="15" hidden="1" customHeight="1" outlineLevel="1">
      <c r="G232" s="6" t="s">
        <v>146</v>
      </c>
      <c r="H232" s="2442"/>
      <c r="I232" s="2442"/>
      <c r="J232" s="2442"/>
      <c r="K232" s="2442"/>
      <c r="L232" s="2442"/>
      <c r="M232" s="2442"/>
      <c r="N232" s="2442"/>
      <c r="O232" s="2442"/>
      <c r="P232" s="2442"/>
      <c r="Q232" s="2442"/>
      <c r="R232" s="2442"/>
      <c r="S232" s="2442"/>
      <c r="T232" s="2442"/>
      <c r="U232" s="2442"/>
      <c r="V232" s="2442"/>
      <c r="W232" s="2442"/>
      <c r="X232" s="2442"/>
      <c r="Y232" s="2442"/>
      <c r="Z232" s="2442"/>
      <c r="AA232" s="36"/>
      <c r="AB232" s="36"/>
      <c r="AC232" s="36"/>
      <c r="AD232" s="36"/>
      <c r="AE232" s="36"/>
      <c r="AF232" s="36"/>
      <c r="AG232" s="36"/>
      <c r="AH232" s="36"/>
      <c r="AI232" s="36"/>
      <c r="AJ232" s="36"/>
      <c r="AK232" s="242"/>
      <c r="AL232" s="36"/>
      <c r="AM232" s="36"/>
      <c r="AN232" s="36"/>
    </row>
    <row r="233" spans="6:40" ht="15" hidden="1" customHeight="1" outlineLevel="1">
      <c r="G233" s="6" t="s">
        <v>147</v>
      </c>
      <c r="H233" s="2442"/>
      <c r="I233" s="2442"/>
      <c r="J233" s="2442"/>
      <c r="K233" s="2442"/>
      <c r="L233" s="2442"/>
      <c r="M233" s="2442"/>
      <c r="N233" s="2442"/>
      <c r="O233" s="2442"/>
      <c r="P233" s="2442"/>
      <c r="Q233" s="2442"/>
      <c r="R233" s="2442"/>
      <c r="S233" s="2442"/>
      <c r="T233" s="2442"/>
      <c r="U233" s="2442"/>
      <c r="V233" s="2442"/>
      <c r="W233" s="2442"/>
      <c r="X233" s="2442"/>
      <c r="Y233" s="2442"/>
      <c r="Z233" s="2442"/>
      <c r="AA233" s="36"/>
      <c r="AB233" s="36"/>
      <c r="AC233" s="36"/>
      <c r="AD233" s="36"/>
      <c r="AE233" s="36"/>
      <c r="AF233" s="36"/>
      <c r="AG233" s="36"/>
      <c r="AH233" s="36"/>
      <c r="AI233" s="36"/>
      <c r="AJ233" s="36"/>
      <c r="AK233" s="36"/>
      <c r="AL233" s="36"/>
      <c r="AM233" s="36"/>
      <c r="AN233" s="36"/>
    </row>
    <row r="234" spans="6:40" ht="15" hidden="1" customHeight="1" outlineLevel="1">
      <c r="G234" s="6" t="s">
        <v>142</v>
      </c>
      <c r="H234" s="2442"/>
      <c r="I234" s="2442"/>
      <c r="J234" s="2442"/>
      <c r="K234" s="2442"/>
      <c r="L234" s="2442"/>
      <c r="M234" s="2442"/>
      <c r="N234" s="2442"/>
      <c r="O234" s="2442"/>
      <c r="P234" s="2442"/>
      <c r="Q234" s="2442"/>
      <c r="R234" s="2442"/>
      <c r="S234" s="2442"/>
      <c r="T234" s="2442"/>
      <c r="U234" s="2442"/>
      <c r="V234" s="2442"/>
      <c r="W234" s="2442"/>
      <c r="X234" s="2442"/>
      <c r="Y234" s="2442"/>
      <c r="Z234" s="2442"/>
      <c r="AA234" s="36"/>
      <c r="AB234" s="36"/>
      <c r="AC234" s="36"/>
      <c r="AD234" s="36"/>
      <c r="AE234" s="36"/>
      <c r="AF234" s="36"/>
      <c r="AG234" s="36"/>
      <c r="AH234" s="36"/>
      <c r="AI234" s="36"/>
      <c r="AJ234" s="36"/>
      <c r="AK234" s="36"/>
      <c r="AL234" s="36"/>
      <c r="AM234" s="36"/>
      <c r="AN234" s="36" t="s">
        <v>190</v>
      </c>
    </row>
    <row r="235" spans="6:40" ht="15" hidden="1" customHeight="1" outlineLevel="1">
      <c r="G235" s="6" t="s">
        <v>158</v>
      </c>
      <c r="H235" s="2442"/>
      <c r="I235" s="2442"/>
      <c r="J235" s="2442"/>
      <c r="K235" s="2442"/>
      <c r="L235" s="2442"/>
      <c r="M235" s="2442"/>
      <c r="N235" s="2442"/>
      <c r="O235" s="2442"/>
      <c r="P235" s="2442"/>
      <c r="Q235" s="2442"/>
      <c r="R235" s="2442"/>
      <c r="S235" s="2442"/>
      <c r="T235" s="2442"/>
      <c r="U235" s="2442"/>
      <c r="V235" s="2442"/>
      <c r="W235" s="2442"/>
      <c r="X235" s="2442"/>
      <c r="Y235" s="2442"/>
      <c r="Z235" s="2442"/>
      <c r="AA235" s="36"/>
      <c r="AB235" s="36"/>
      <c r="AC235" s="36"/>
      <c r="AD235" s="36"/>
      <c r="AE235" s="36"/>
      <c r="AF235" s="36"/>
      <c r="AG235" s="36"/>
      <c r="AH235" s="36"/>
      <c r="AI235" s="36"/>
      <c r="AJ235" s="36"/>
      <c r="AK235" s="36"/>
      <c r="AL235" s="36"/>
      <c r="AM235" s="36"/>
      <c r="AN235" s="36"/>
    </row>
    <row r="236" spans="6:40" ht="15" hidden="1" customHeight="1" outlineLevel="1">
      <c r="G236" s="241" t="s">
        <v>150</v>
      </c>
      <c r="H236" s="2442"/>
      <c r="I236" s="2442"/>
      <c r="J236" s="2442"/>
      <c r="K236" s="2442"/>
      <c r="L236" s="2442"/>
      <c r="M236" s="2442"/>
      <c r="N236" s="2442"/>
      <c r="O236" s="2442"/>
      <c r="P236" s="2442"/>
      <c r="Q236" s="2442"/>
      <c r="R236" s="2442"/>
      <c r="S236" s="2442"/>
      <c r="T236" s="2442"/>
      <c r="U236" s="2442"/>
      <c r="V236" s="2442"/>
      <c r="W236" s="2442"/>
      <c r="X236" s="2442"/>
      <c r="Y236" s="2442"/>
      <c r="Z236" s="2442"/>
      <c r="AA236" s="36"/>
      <c r="AB236" s="36"/>
      <c r="AC236" s="36"/>
      <c r="AD236" s="36"/>
      <c r="AE236" s="36"/>
      <c r="AF236" s="36"/>
      <c r="AG236" s="36"/>
      <c r="AH236" s="36"/>
      <c r="AI236" s="36"/>
      <c r="AJ236" s="36"/>
      <c r="AK236" s="36"/>
      <c r="AL236" s="36"/>
      <c r="AM236" s="36"/>
      <c r="AN236" s="36"/>
    </row>
    <row r="237" spans="6:40" ht="15" hidden="1" customHeight="1" outlineLevel="1">
      <c r="G237" s="6" t="s">
        <v>140</v>
      </c>
      <c r="H237" s="2442"/>
      <c r="I237" s="2442"/>
      <c r="J237" s="2442"/>
      <c r="K237" s="2442"/>
      <c r="L237" s="2442"/>
      <c r="M237" s="2442"/>
      <c r="N237" s="2442"/>
      <c r="O237" s="2442"/>
      <c r="P237" s="2442"/>
      <c r="Q237" s="2442"/>
      <c r="R237" s="2442"/>
      <c r="S237" s="2442"/>
      <c r="T237" s="2442"/>
      <c r="U237" s="2442"/>
      <c r="V237" s="2442"/>
      <c r="W237" s="2442"/>
      <c r="X237" s="2442"/>
      <c r="Y237" s="2442"/>
      <c r="Z237" s="2442"/>
      <c r="AA237" s="36"/>
      <c r="AB237" s="36"/>
      <c r="AC237" s="36"/>
      <c r="AD237" s="36"/>
      <c r="AE237" s="36"/>
      <c r="AF237" s="36"/>
      <c r="AG237" s="36"/>
      <c r="AH237" s="36"/>
      <c r="AI237" s="36"/>
      <c r="AJ237" s="36"/>
      <c r="AK237" s="36"/>
      <c r="AL237" s="36"/>
      <c r="AM237" s="36"/>
      <c r="AN237" s="36"/>
    </row>
    <row r="238" spans="6:40" ht="15" hidden="1" customHeight="1" outlineLevel="1">
      <c r="G238" s="6" t="s">
        <v>141</v>
      </c>
      <c r="H238" s="2442"/>
      <c r="I238" s="2442"/>
      <c r="J238" s="2442"/>
      <c r="K238" s="2442"/>
      <c r="L238" s="2442"/>
      <c r="M238" s="2442"/>
      <c r="N238" s="2442"/>
      <c r="O238" s="2442"/>
      <c r="P238" s="2442"/>
      <c r="Q238" s="2442"/>
      <c r="R238" s="2442"/>
      <c r="S238" s="2442"/>
      <c r="T238" s="2442"/>
      <c r="U238" s="2442"/>
      <c r="V238" s="2442"/>
      <c r="W238" s="2442"/>
      <c r="X238" s="2442"/>
      <c r="Y238" s="2442"/>
      <c r="Z238" s="2442"/>
      <c r="AA238" s="36"/>
      <c r="AB238" s="36"/>
      <c r="AC238" s="36"/>
      <c r="AD238" s="36"/>
      <c r="AE238" s="36"/>
      <c r="AF238" s="36"/>
      <c r="AG238" s="36"/>
      <c r="AH238" s="36"/>
      <c r="AI238" s="36"/>
      <c r="AJ238" s="36"/>
      <c r="AK238" s="36"/>
      <c r="AL238" s="36"/>
      <c r="AM238" s="36"/>
      <c r="AN238" s="36"/>
    </row>
    <row r="239" spans="6:40" ht="15" hidden="1" customHeight="1" outlineLevel="1">
      <c r="G239" s="6" t="s">
        <v>143</v>
      </c>
      <c r="H239" s="2442"/>
      <c r="I239" s="2442"/>
      <c r="J239" s="2442"/>
      <c r="K239" s="2442"/>
      <c r="L239" s="2442"/>
      <c r="M239" s="2442"/>
      <c r="N239" s="2442"/>
      <c r="O239" s="2442"/>
      <c r="P239" s="2442"/>
      <c r="Q239" s="2442"/>
      <c r="R239" s="2442"/>
      <c r="S239" s="2442"/>
      <c r="T239" s="2442"/>
      <c r="U239" s="2442"/>
      <c r="V239" s="2442"/>
      <c r="W239" s="2442"/>
      <c r="X239" s="2442"/>
      <c r="Y239" s="2442"/>
      <c r="Z239" s="2442"/>
      <c r="AA239" s="36"/>
      <c r="AB239" s="36"/>
      <c r="AC239" s="36"/>
      <c r="AD239" s="36"/>
      <c r="AE239" s="36"/>
      <c r="AF239" s="36"/>
      <c r="AG239" s="36"/>
      <c r="AH239" s="36"/>
      <c r="AI239" s="36"/>
      <c r="AJ239" s="36"/>
      <c r="AK239" s="242"/>
      <c r="AL239" s="36"/>
      <c r="AM239" s="36"/>
      <c r="AN239" s="36"/>
    </row>
    <row r="240" spans="6:40" ht="15" hidden="1" customHeight="1" outlineLevel="1">
      <c r="G240" s="6" t="s">
        <v>144</v>
      </c>
      <c r="H240" s="2442"/>
      <c r="I240" s="2442"/>
      <c r="J240" s="2442"/>
      <c r="K240" s="2442"/>
      <c r="L240" s="2442"/>
      <c r="M240" s="2442"/>
      <c r="N240" s="2442"/>
      <c r="O240" s="2442"/>
      <c r="P240" s="2442"/>
      <c r="Q240" s="2442"/>
      <c r="R240" s="2442"/>
      <c r="S240" s="2442"/>
      <c r="T240" s="2442"/>
      <c r="U240" s="2442"/>
      <c r="V240" s="2442"/>
      <c r="W240" s="2442"/>
      <c r="X240" s="2442"/>
      <c r="Y240" s="2442"/>
      <c r="Z240" s="2442"/>
      <c r="AA240" s="36"/>
      <c r="AB240" s="36"/>
      <c r="AC240" s="36"/>
      <c r="AD240" s="36"/>
      <c r="AE240" s="36"/>
      <c r="AF240" s="36"/>
      <c r="AG240" s="36"/>
      <c r="AH240" s="36"/>
      <c r="AI240" s="36"/>
      <c r="AJ240" s="36"/>
      <c r="AK240" s="242"/>
      <c r="AL240" s="36"/>
      <c r="AM240" s="36"/>
      <c r="AN240" s="36"/>
    </row>
    <row r="241" spans="6:40" ht="15" hidden="1" customHeight="1" outlineLevel="1">
      <c r="G241" s="6" t="s">
        <v>145</v>
      </c>
      <c r="H241" s="2442"/>
      <c r="I241" s="2442"/>
      <c r="J241" s="2442"/>
      <c r="K241" s="2442"/>
      <c r="L241" s="2442"/>
      <c r="M241" s="2442"/>
      <c r="N241" s="2442"/>
      <c r="O241" s="2442"/>
      <c r="P241" s="2442"/>
      <c r="Q241" s="2442"/>
      <c r="R241" s="2442"/>
      <c r="S241" s="2442"/>
      <c r="T241" s="2442"/>
      <c r="U241" s="2442"/>
      <c r="V241" s="2442"/>
      <c r="W241" s="2442"/>
      <c r="X241" s="2442"/>
      <c r="Y241" s="2442"/>
      <c r="Z241" s="2442"/>
      <c r="AA241" s="36"/>
      <c r="AB241" s="36"/>
      <c r="AC241" s="36"/>
      <c r="AD241" s="36"/>
      <c r="AE241" s="36"/>
      <c r="AF241" s="36"/>
      <c r="AG241" s="36"/>
      <c r="AH241" s="36"/>
      <c r="AI241" s="36"/>
      <c r="AJ241" s="36"/>
      <c r="AK241" s="242"/>
      <c r="AL241" s="36"/>
      <c r="AM241" s="36"/>
      <c r="AN241" s="36"/>
    </row>
    <row r="242" spans="6:40" ht="15" hidden="1" customHeight="1" outlineLevel="1">
      <c r="G242" s="241" t="s">
        <v>841</v>
      </c>
      <c r="H242" s="2442"/>
      <c r="I242" s="2442"/>
      <c r="J242" s="2442"/>
      <c r="K242" s="2442"/>
      <c r="L242" s="2442"/>
      <c r="M242" s="2442"/>
      <c r="N242" s="2442"/>
      <c r="O242" s="2442"/>
      <c r="P242" s="2442"/>
      <c r="Q242" s="2442"/>
      <c r="R242" s="2442"/>
      <c r="S242" s="2442"/>
      <c r="T242" s="2442"/>
      <c r="U242" s="2442"/>
      <c r="V242" s="2442"/>
      <c r="W242" s="2442"/>
      <c r="X242" s="2442"/>
      <c r="Y242" s="2442"/>
      <c r="Z242" s="2442"/>
      <c r="AA242" s="36"/>
      <c r="AB242" s="36"/>
      <c r="AC242" s="36"/>
      <c r="AD242" s="36"/>
      <c r="AE242" s="36"/>
      <c r="AF242" s="36"/>
      <c r="AG242" s="36"/>
      <c r="AH242" s="36"/>
      <c r="AI242" s="36"/>
      <c r="AJ242" s="36"/>
      <c r="AK242" s="36"/>
      <c r="AL242" s="36"/>
      <c r="AM242" s="36"/>
      <c r="AN242" s="36"/>
    </row>
    <row r="243" spans="6:40" ht="15" hidden="1" customHeight="1" outlineLevel="1">
      <c r="G243" s="6" t="s">
        <v>144</v>
      </c>
      <c r="H243" s="2442"/>
      <c r="I243" s="2442"/>
      <c r="J243" s="2442"/>
      <c r="K243" s="2442"/>
      <c r="L243" s="2442"/>
      <c r="M243" s="2442"/>
      <c r="N243" s="2442"/>
      <c r="O243" s="2442"/>
      <c r="P243" s="2442"/>
      <c r="Q243" s="2442"/>
      <c r="R243" s="2442"/>
      <c r="S243" s="2442"/>
      <c r="T243" s="2442"/>
      <c r="U243" s="2442"/>
      <c r="V243" s="2442"/>
      <c r="W243" s="2442"/>
      <c r="X243" s="2442"/>
      <c r="Y243" s="2442"/>
      <c r="Z243" s="2442"/>
      <c r="AA243" s="36"/>
      <c r="AB243" s="36"/>
      <c r="AC243" s="36"/>
      <c r="AD243" s="36"/>
      <c r="AE243" s="36"/>
      <c r="AF243" s="36"/>
      <c r="AG243" s="36"/>
      <c r="AH243" s="36"/>
      <c r="AI243" s="36"/>
      <c r="AJ243" s="36"/>
      <c r="AK243" s="36"/>
      <c r="AL243" s="36"/>
      <c r="AM243" s="36"/>
      <c r="AN243" s="36"/>
    </row>
    <row r="244" spans="6:40" ht="15" hidden="1" customHeight="1" outlineLevel="1">
      <c r="G244" s="6" t="s">
        <v>145</v>
      </c>
      <c r="H244" s="2442"/>
      <c r="I244" s="2442"/>
      <c r="J244" s="2442"/>
      <c r="K244" s="2442"/>
      <c r="L244" s="2442"/>
      <c r="M244" s="2442"/>
      <c r="N244" s="2442"/>
      <c r="O244" s="2442"/>
      <c r="P244" s="2442"/>
      <c r="Q244" s="2442"/>
      <c r="R244" s="2442"/>
      <c r="S244" s="2442"/>
      <c r="T244" s="2442"/>
      <c r="U244" s="2442"/>
      <c r="V244" s="2442"/>
      <c r="W244" s="2442"/>
      <c r="X244" s="2442"/>
      <c r="Y244" s="2442"/>
      <c r="Z244" s="2442"/>
      <c r="AA244" s="36"/>
      <c r="AB244" s="36"/>
      <c r="AC244" s="36"/>
      <c r="AD244" s="36"/>
      <c r="AE244" s="36"/>
      <c r="AF244" s="36"/>
      <c r="AG244" s="36"/>
      <c r="AH244" s="36"/>
      <c r="AI244" s="36"/>
      <c r="AJ244" s="36"/>
      <c r="AK244" s="242"/>
      <c r="AL244" s="36"/>
      <c r="AM244" s="36"/>
      <c r="AN244" s="36"/>
    </row>
    <row r="245" spans="6:40" ht="15" hidden="1" customHeight="1" outlineLevel="1">
      <c r="F245" s="76" t="s">
        <v>148</v>
      </c>
      <c r="G245" s="844"/>
      <c r="H245" s="2442"/>
      <c r="I245" s="2442"/>
      <c r="J245" s="2442"/>
      <c r="K245" s="2442"/>
      <c r="L245" s="2442"/>
      <c r="M245" s="2442"/>
      <c r="N245" s="2442"/>
      <c r="O245" s="2442"/>
      <c r="P245" s="2442"/>
      <c r="Q245" s="2442"/>
      <c r="R245" s="2442"/>
      <c r="S245" s="2442"/>
      <c r="T245" s="2442"/>
      <c r="U245" s="2442"/>
      <c r="V245" s="2442"/>
      <c r="W245" s="2442"/>
      <c r="X245" s="2442"/>
      <c r="Y245" s="2442"/>
      <c r="Z245" s="2442"/>
      <c r="AA245" s="36"/>
      <c r="AB245" s="36"/>
      <c r="AC245" s="36"/>
      <c r="AD245" s="36"/>
      <c r="AE245" s="36"/>
      <c r="AF245" s="36"/>
      <c r="AG245" s="36"/>
      <c r="AH245" s="36"/>
      <c r="AI245" s="36"/>
      <c r="AJ245" s="36"/>
      <c r="AK245" s="242"/>
      <c r="AL245" s="36"/>
      <c r="AM245" s="36"/>
      <c r="AN245" s="36"/>
    </row>
    <row r="246" spans="6:40" ht="15" hidden="1" customHeight="1" outlineLevel="1">
      <c r="F246" s="1"/>
      <c r="G246" s="6" t="s">
        <v>151</v>
      </c>
      <c r="H246" s="2442"/>
      <c r="I246" s="2442"/>
      <c r="J246" s="2442"/>
      <c r="K246" s="2442"/>
      <c r="L246" s="2442"/>
      <c r="M246" s="2442"/>
      <c r="N246" s="2442"/>
      <c r="O246" s="2442"/>
      <c r="P246" s="2442"/>
      <c r="Q246" s="2442"/>
      <c r="R246" s="2442"/>
      <c r="S246" s="2442"/>
      <c r="T246" s="2442"/>
      <c r="U246" s="2442"/>
      <c r="V246" s="2442"/>
      <c r="W246" s="2442"/>
      <c r="X246" s="2442"/>
      <c r="Y246" s="2442"/>
      <c r="Z246" s="2442"/>
      <c r="AA246" s="36"/>
      <c r="AB246" s="36"/>
      <c r="AC246" s="36"/>
      <c r="AD246" s="36"/>
      <c r="AE246" s="36"/>
      <c r="AF246" s="36"/>
      <c r="AG246" s="36"/>
      <c r="AH246" s="36"/>
      <c r="AI246" s="36"/>
      <c r="AJ246" s="36"/>
      <c r="AK246" s="242"/>
      <c r="AL246" s="36"/>
      <c r="AM246" s="36"/>
      <c r="AN246" s="36"/>
    </row>
    <row r="247" spans="6:40" ht="15" hidden="1" customHeight="1" outlineLevel="1">
      <c r="G247" s="6" t="s">
        <v>58</v>
      </c>
      <c r="H247" s="2442"/>
      <c r="I247" s="2442"/>
      <c r="J247" s="2442"/>
      <c r="K247" s="2442"/>
      <c r="L247" s="2442"/>
      <c r="M247" s="2442"/>
      <c r="N247" s="2442"/>
      <c r="O247" s="2442"/>
      <c r="P247" s="2442"/>
      <c r="Q247" s="2442"/>
      <c r="R247" s="2442"/>
      <c r="S247" s="2442"/>
      <c r="T247" s="2442"/>
      <c r="U247" s="2442"/>
      <c r="V247" s="2442"/>
      <c r="W247" s="2442"/>
      <c r="X247" s="2442"/>
      <c r="Y247" s="2442"/>
      <c r="Z247" s="2442"/>
      <c r="AA247" s="36"/>
      <c r="AB247" s="36"/>
      <c r="AC247" s="36"/>
      <c r="AD247" s="36"/>
      <c r="AE247" s="36"/>
      <c r="AF247" s="36"/>
      <c r="AG247" s="36"/>
      <c r="AH247" s="36"/>
      <c r="AI247" s="36"/>
      <c r="AJ247" s="36"/>
      <c r="AK247" s="242"/>
      <c r="AL247" s="36"/>
      <c r="AM247" s="36"/>
      <c r="AN247" s="36"/>
    </row>
    <row r="248" spans="6:40" ht="15" hidden="1" customHeight="1" outlineLevel="1">
      <c r="G248" s="6" t="s">
        <v>389</v>
      </c>
      <c r="H248" s="2442"/>
      <c r="I248" s="2442"/>
      <c r="J248" s="2442"/>
      <c r="K248" s="2442"/>
      <c r="L248" s="2442"/>
      <c r="M248" s="2442"/>
      <c r="N248" s="2442"/>
      <c r="O248" s="2442"/>
      <c r="P248" s="2442"/>
      <c r="Q248" s="2442"/>
      <c r="R248" s="2442"/>
      <c r="S248" s="2442"/>
      <c r="T248" s="2442"/>
      <c r="U248" s="2442"/>
      <c r="V248" s="2442"/>
      <c r="W248" s="2442"/>
      <c r="X248" s="2442"/>
      <c r="Y248" s="2442"/>
      <c r="Z248" s="2442"/>
      <c r="AA248" s="36"/>
      <c r="AB248" s="36"/>
      <c r="AC248" s="36"/>
      <c r="AD248" s="36"/>
      <c r="AE248" s="36"/>
      <c r="AF248" s="36"/>
      <c r="AG248" s="36"/>
      <c r="AH248" s="36"/>
      <c r="AI248" s="36"/>
      <c r="AJ248" s="36"/>
      <c r="AK248" s="242"/>
      <c r="AL248" s="36"/>
      <c r="AM248" s="36"/>
      <c r="AN248" s="36"/>
    </row>
    <row r="249" spans="6:40" ht="15" hidden="1" customHeight="1" outlineLevel="1">
      <c r="G249" s="6" t="s">
        <v>49</v>
      </c>
      <c r="H249" s="2442"/>
      <c r="I249" s="2442"/>
      <c r="J249" s="2442"/>
      <c r="K249" s="2442"/>
      <c r="L249" s="2442"/>
      <c r="M249" s="2442"/>
      <c r="N249" s="2442"/>
      <c r="O249" s="2442"/>
      <c r="P249" s="2442"/>
      <c r="Q249" s="2442"/>
      <c r="R249" s="2442"/>
      <c r="S249" s="2442"/>
      <c r="T249" s="2442"/>
      <c r="U249" s="2442"/>
      <c r="V249" s="2442"/>
      <c r="W249" s="2442"/>
      <c r="X249" s="2442"/>
      <c r="Y249" s="2442"/>
      <c r="Z249" s="2442"/>
      <c r="AA249" s="36"/>
      <c r="AB249" s="36"/>
      <c r="AC249" s="36"/>
      <c r="AD249" s="36"/>
      <c r="AE249" s="36"/>
      <c r="AF249" s="36"/>
      <c r="AG249" s="36"/>
      <c r="AH249" s="36"/>
      <c r="AI249" s="36"/>
      <c r="AJ249" s="36"/>
      <c r="AK249" s="36"/>
      <c r="AL249" s="36"/>
      <c r="AM249" s="36"/>
      <c r="AN249" s="36"/>
    </row>
    <row r="250" spans="6:40" ht="15" hidden="1" customHeight="1" outlineLevel="1">
      <c r="G250" s="6" t="s">
        <v>189</v>
      </c>
      <c r="H250" s="2442"/>
      <c r="I250" s="2442"/>
      <c r="J250" s="2442"/>
      <c r="K250" s="2442"/>
      <c r="L250" s="2442"/>
      <c r="M250" s="2442"/>
      <c r="N250" s="2442"/>
      <c r="O250" s="2442"/>
      <c r="P250" s="2442"/>
      <c r="Q250" s="2442"/>
      <c r="R250" s="2442"/>
      <c r="S250" s="2442"/>
      <c r="T250" s="2442"/>
      <c r="U250" s="2442"/>
      <c r="V250" s="2442"/>
      <c r="W250" s="2442"/>
      <c r="X250" s="2442"/>
      <c r="Y250" s="2442"/>
      <c r="Z250" s="2442"/>
      <c r="AA250" s="36"/>
      <c r="AB250" s="36"/>
      <c r="AC250" s="36"/>
      <c r="AD250" s="36"/>
      <c r="AE250" s="36"/>
      <c r="AF250" s="36"/>
      <c r="AG250" s="36"/>
      <c r="AH250" s="36"/>
      <c r="AI250" s="36"/>
      <c r="AJ250" s="36"/>
      <c r="AK250" s="36" t="s">
        <v>191</v>
      </c>
      <c r="AL250" s="36"/>
      <c r="AM250" s="36"/>
      <c r="AN250" s="36"/>
    </row>
    <row r="251" spans="6:40" ht="15" hidden="1" customHeight="1" outlineLevel="1">
      <c r="G251" s="6" t="s">
        <v>201</v>
      </c>
      <c r="H251" s="2442"/>
      <c r="I251" s="2442"/>
      <c r="J251" s="2442"/>
      <c r="K251" s="2442"/>
      <c r="L251" s="2442"/>
      <c r="M251" s="2442"/>
      <c r="N251" s="2442"/>
      <c r="O251" s="2442"/>
      <c r="P251" s="2442"/>
      <c r="Q251" s="2442"/>
      <c r="R251" s="2442"/>
      <c r="S251" s="2442"/>
      <c r="T251" s="2442"/>
      <c r="U251" s="2442"/>
      <c r="V251" s="2442"/>
      <c r="W251" s="2442"/>
      <c r="X251" s="2442"/>
      <c r="Y251" s="2442"/>
      <c r="Z251" s="2442"/>
      <c r="AA251" s="36"/>
      <c r="AB251" s="36"/>
      <c r="AC251" s="36"/>
      <c r="AD251" s="36"/>
      <c r="AE251" s="36"/>
      <c r="AF251" s="36"/>
      <c r="AG251" s="36"/>
      <c r="AH251" s="36"/>
      <c r="AI251" s="36"/>
      <c r="AJ251" s="36"/>
      <c r="AK251" s="36"/>
      <c r="AL251" s="36"/>
      <c r="AM251" s="36"/>
      <c r="AN251" s="36"/>
    </row>
    <row r="252" spans="6:40" ht="15" hidden="1" customHeight="1" outlineLevel="1">
      <c r="G252" s="241" t="s">
        <v>133</v>
      </c>
      <c r="H252" s="2442"/>
      <c r="I252" s="2442"/>
      <c r="J252" s="2442"/>
      <c r="K252" s="2442"/>
      <c r="L252" s="2442"/>
      <c r="M252" s="2442"/>
      <c r="N252" s="2442"/>
      <c r="O252" s="2442"/>
      <c r="P252" s="2442"/>
      <c r="Q252" s="2442"/>
      <c r="R252" s="2442"/>
      <c r="S252" s="2442"/>
      <c r="T252" s="2442"/>
      <c r="U252" s="2442"/>
      <c r="V252" s="2442"/>
      <c r="W252" s="2442"/>
      <c r="X252" s="2442"/>
      <c r="Y252" s="2442"/>
      <c r="Z252" s="2442"/>
      <c r="AA252" s="36"/>
      <c r="AB252" s="36"/>
      <c r="AC252" s="36"/>
      <c r="AD252" s="36"/>
      <c r="AE252" s="36"/>
      <c r="AF252" s="36"/>
      <c r="AG252" s="36"/>
      <c r="AH252" s="36"/>
      <c r="AI252" s="36"/>
      <c r="AJ252" s="36"/>
      <c r="AK252" s="36"/>
      <c r="AL252" s="36"/>
      <c r="AM252" s="36"/>
      <c r="AN252" s="36"/>
    </row>
    <row r="253" spans="6:40" ht="15" hidden="1" customHeight="1" outlineLevel="1">
      <c r="G253" s="6" t="s">
        <v>127</v>
      </c>
      <c r="H253" s="2442"/>
      <c r="I253" s="2442"/>
      <c r="J253" s="2442"/>
      <c r="K253" s="2442"/>
      <c r="L253" s="2442"/>
      <c r="M253" s="2442"/>
      <c r="N253" s="2442"/>
      <c r="O253" s="2442"/>
      <c r="P253" s="2442"/>
      <c r="Q253" s="2442"/>
      <c r="R253" s="2442"/>
      <c r="S253" s="2442"/>
      <c r="T253" s="2442"/>
      <c r="U253" s="2442"/>
      <c r="V253" s="2442"/>
      <c r="W253" s="2442"/>
      <c r="X253" s="2442"/>
      <c r="Y253" s="2442"/>
      <c r="Z253" s="2442"/>
      <c r="AA253" s="36"/>
      <c r="AB253" s="36"/>
      <c r="AC253" s="36"/>
      <c r="AD253" s="36"/>
      <c r="AE253" s="36"/>
      <c r="AF253" s="36"/>
      <c r="AG253" s="36"/>
      <c r="AH253" s="36"/>
      <c r="AI253" s="36"/>
      <c r="AJ253" s="36"/>
      <c r="AK253" s="36"/>
      <c r="AL253" s="36"/>
      <c r="AM253" s="36"/>
      <c r="AN253" s="36"/>
    </row>
    <row r="254" spans="6:40" ht="15" hidden="1" customHeight="1" outlineLevel="1" collapsed="1">
      <c r="G254" s="6" t="s">
        <v>128</v>
      </c>
      <c r="H254" s="2442"/>
      <c r="I254" s="2442"/>
      <c r="J254" s="2442"/>
      <c r="K254" s="2442"/>
      <c r="L254" s="2442"/>
      <c r="M254" s="2442"/>
      <c r="N254" s="2442"/>
      <c r="O254" s="2442"/>
      <c r="P254" s="2442"/>
      <c r="Q254" s="2442"/>
      <c r="R254" s="2442"/>
      <c r="S254" s="2442"/>
      <c r="T254" s="2442"/>
      <c r="U254" s="2442"/>
      <c r="V254" s="2442"/>
      <c r="W254" s="2442"/>
      <c r="X254" s="2442"/>
      <c r="Y254" s="2442"/>
      <c r="Z254" s="2442"/>
      <c r="AA254" s="36"/>
      <c r="AB254" s="36"/>
      <c r="AC254" s="36"/>
      <c r="AD254" s="36"/>
      <c r="AE254" s="36"/>
      <c r="AF254" s="36"/>
      <c r="AG254" s="36"/>
      <c r="AH254" s="36"/>
      <c r="AI254" s="36"/>
      <c r="AJ254" s="36"/>
      <c r="AK254" s="242"/>
      <c r="AL254" s="36"/>
      <c r="AM254" s="36"/>
      <c r="AN254" s="36"/>
    </row>
    <row r="255" spans="6:40" ht="15" hidden="1" customHeight="1" outlineLevel="1">
      <c r="G255" s="6" t="s">
        <v>129</v>
      </c>
      <c r="H255" s="2442"/>
      <c r="I255" s="2442"/>
      <c r="J255" s="2442"/>
      <c r="K255" s="2442"/>
      <c r="L255" s="2442"/>
      <c r="M255" s="2442"/>
      <c r="N255" s="2442"/>
      <c r="O255" s="2442"/>
      <c r="P255" s="2442"/>
      <c r="Q255" s="2442"/>
      <c r="R255" s="2442"/>
      <c r="S255" s="2442"/>
      <c r="T255" s="2442"/>
      <c r="U255" s="2442"/>
      <c r="V255" s="2442"/>
      <c r="W255" s="2442"/>
      <c r="X255" s="2442"/>
      <c r="Y255" s="2442"/>
      <c r="Z255" s="2442"/>
      <c r="AA255" s="36"/>
      <c r="AB255" s="36"/>
      <c r="AC255" s="36"/>
      <c r="AD255" s="36"/>
      <c r="AE255" s="36"/>
      <c r="AF255" s="36"/>
      <c r="AG255" s="36"/>
      <c r="AH255" s="36"/>
      <c r="AI255" s="36"/>
      <c r="AJ255" s="36"/>
      <c r="AK255" s="242"/>
      <c r="AL255" s="36"/>
      <c r="AM255" s="36"/>
      <c r="AN255" s="36"/>
    </row>
    <row r="256" spans="6:40" ht="15" hidden="1" customHeight="1" outlineLevel="1">
      <c r="G256" s="6" t="s">
        <v>188</v>
      </c>
      <c r="H256" s="2442"/>
      <c r="I256" s="2442"/>
      <c r="J256" s="2442"/>
      <c r="K256" s="2442"/>
      <c r="L256" s="2442"/>
      <c r="M256" s="2442"/>
      <c r="N256" s="2442"/>
      <c r="O256" s="2442"/>
      <c r="P256" s="2442"/>
      <c r="Q256" s="2442"/>
      <c r="R256" s="2442"/>
      <c r="S256" s="2442"/>
      <c r="T256" s="2442"/>
      <c r="U256" s="2442"/>
      <c r="V256" s="2442"/>
      <c r="W256" s="2442"/>
      <c r="X256" s="2442"/>
      <c r="Y256" s="2442"/>
      <c r="Z256" s="2442"/>
      <c r="AA256" s="36"/>
      <c r="AB256" s="36"/>
      <c r="AC256" s="36"/>
      <c r="AD256" s="36"/>
      <c r="AE256" s="36"/>
      <c r="AF256" s="36"/>
      <c r="AG256" s="36"/>
      <c r="AH256" s="36"/>
      <c r="AI256" s="36"/>
      <c r="AJ256" s="36"/>
      <c r="AK256" s="242"/>
      <c r="AL256" s="36"/>
      <c r="AM256" s="36"/>
      <c r="AN256" s="36"/>
    </row>
    <row r="257" spans="6:40" ht="15" hidden="1" customHeight="1" outlineLevel="1">
      <c r="G257" s="6" t="s">
        <v>88</v>
      </c>
      <c r="H257" s="2442"/>
      <c r="I257" s="2442"/>
      <c r="J257" s="2442"/>
      <c r="K257" s="2442"/>
      <c r="L257" s="2442"/>
      <c r="M257" s="2442"/>
      <c r="N257" s="2442"/>
      <c r="O257" s="2442"/>
      <c r="P257" s="2442"/>
      <c r="Q257" s="2442"/>
      <c r="R257" s="2442"/>
      <c r="S257" s="2442"/>
      <c r="T257" s="2442"/>
      <c r="U257" s="2442"/>
      <c r="V257" s="2442"/>
      <c r="W257" s="2442"/>
      <c r="X257" s="2442"/>
      <c r="Y257" s="2442"/>
      <c r="Z257" s="2442"/>
      <c r="AA257" s="36"/>
      <c r="AB257" s="36"/>
      <c r="AC257" s="36"/>
      <c r="AD257" s="36"/>
      <c r="AE257" s="36"/>
      <c r="AF257" s="36"/>
      <c r="AG257" s="36"/>
      <c r="AH257" s="36"/>
      <c r="AI257" s="36"/>
      <c r="AJ257" s="36"/>
      <c r="AK257" s="242"/>
      <c r="AL257" s="36"/>
      <c r="AM257" s="36"/>
      <c r="AN257" s="36"/>
    </row>
    <row r="258" spans="6:40" ht="15" hidden="1" customHeight="1" outlineLevel="1">
      <c r="G258" s="6" t="s">
        <v>199</v>
      </c>
      <c r="H258" s="2442"/>
      <c r="I258" s="2442"/>
      <c r="J258" s="2442"/>
      <c r="K258" s="2442"/>
      <c r="L258" s="2442"/>
      <c r="M258" s="2442"/>
      <c r="N258" s="2442"/>
      <c r="O258" s="2442"/>
      <c r="P258" s="2442"/>
      <c r="Q258" s="2442"/>
      <c r="R258" s="2442"/>
      <c r="S258" s="2442"/>
      <c r="T258" s="2442"/>
      <c r="U258" s="2442"/>
      <c r="V258" s="2442"/>
      <c r="W258" s="2442"/>
      <c r="X258" s="2442"/>
      <c r="Y258" s="2442"/>
      <c r="Z258" s="2442"/>
      <c r="AA258" s="36"/>
      <c r="AB258" s="36"/>
      <c r="AC258" s="36"/>
      <c r="AD258" s="36"/>
      <c r="AE258" s="36"/>
      <c r="AF258" s="36"/>
      <c r="AG258" s="36"/>
      <c r="AH258" s="36"/>
      <c r="AI258" s="36"/>
      <c r="AJ258" s="36"/>
      <c r="AK258" s="242"/>
      <c r="AL258" s="36"/>
      <c r="AM258" s="36"/>
      <c r="AN258" s="36"/>
    </row>
    <row r="259" spans="6:40" ht="15" hidden="1" customHeight="1" outlineLevel="1">
      <c r="G259" s="6" t="s">
        <v>200</v>
      </c>
      <c r="H259" s="2442"/>
      <c r="I259" s="2442"/>
      <c r="J259" s="2442"/>
      <c r="K259" s="2442"/>
      <c r="L259" s="2442"/>
      <c r="M259" s="2442"/>
      <c r="N259" s="2442"/>
      <c r="O259" s="2442"/>
      <c r="P259" s="2442"/>
      <c r="Q259" s="2442"/>
      <c r="R259" s="2442"/>
      <c r="S259" s="2442"/>
      <c r="T259" s="2442"/>
      <c r="U259" s="2442"/>
      <c r="V259" s="2442"/>
      <c r="W259" s="2442"/>
      <c r="X259" s="2442"/>
      <c r="Y259" s="2442"/>
      <c r="Z259" s="2442"/>
      <c r="AA259" s="36"/>
      <c r="AB259" s="36"/>
      <c r="AC259" s="36"/>
      <c r="AD259" s="36"/>
      <c r="AE259" s="36"/>
      <c r="AF259" s="36"/>
      <c r="AG259" s="36"/>
      <c r="AH259" s="36"/>
      <c r="AI259" s="36"/>
      <c r="AJ259" s="36"/>
      <c r="AK259" s="242"/>
      <c r="AL259" s="36"/>
      <c r="AM259" s="36"/>
      <c r="AN259" s="36"/>
    </row>
    <row r="260" spans="6:40" ht="15" hidden="1" customHeight="1" outlineLevel="1">
      <c r="G260" s="241" t="s">
        <v>134</v>
      </c>
      <c r="H260" s="2442"/>
      <c r="I260" s="2442"/>
      <c r="J260" s="2442"/>
      <c r="K260" s="2442"/>
      <c r="L260" s="2442"/>
      <c r="M260" s="2442"/>
      <c r="N260" s="2442"/>
      <c r="O260" s="2442"/>
      <c r="P260" s="2442"/>
      <c r="Q260" s="2442"/>
      <c r="R260" s="2442"/>
      <c r="S260" s="2442"/>
      <c r="T260" s="2442"/>
      <c r="U260" s="2442"/>
      <c r="V260" s="2442"/>
      <c r="W260" s="2442"/>
      <c r="X260" s="2442"/>
      <c r="Y260" s="2442"/>
      <c r="Z260" s="2442"/>
      <c r="AA260" s="36"/>
      <c r="AB260" s="36"/>
      <c r="AC260" s="36"/>
      <c r="AD260" s="36"/>
      <c r="AE260" s="36"/>
      <c r="AF260" s="36"/>
      <c r="AG260" s="36"/>
      <c r="AH260" s="36"/>
      <c r="AI260" s="36"/>
      <c r="AJ260" s="36"/>
      <c r="AK260" s="36"/>
      <c r="AL260" s="36"/>
      <c r="AM260" s="36"/>
      <c r="AN260" s="36"/>
    </row>
    <row r="261" spans="6:40" ht="15" hidden="1" customHeight="1" outlineLevel="1">
      <c r="G261" s="6" t="s">
        <v>188</v>
      </c>
      <c r="H261" s="2442"/>
      <c r="I261" s="2442"/>
      <c r="J261" s="2442"/>
      <c r="K261" s="2442"/>
      <c r="L261" s="2442"/>
      <c r="M261" s="2442"/>
      <c r="N261" s="2442"/>
      <c r="O261" s="2442"/>
      <c r="P261" s="2442"/>
      <c r="Q261" s="2442"/>
      <c r="R261" s="2442"/>
      <c r="S261" s="2442"/>
      <c r="T261" s="2442"/>
      <c r="U261" s="2442"/>
      <c r="V261" s="2442"/>
      <c r="W261" s="2442"/>
      <c r="X261" s="2442"/>
      <c r="Y261" s="2442"/>
      <c r="Z261" s="2442"/>
      <c r="AA261" s="36"/>
      <c r="AB261" s="36" t="s">
        <v>192</v>
      </c>
      <c r="AC261" s="36"/>
      <c r="AD261" s="36" t="s">
        <v>193</v>
      </c>
      <c r="AE261" s="36"/>
      <c r="AF261" s="36"/>
      <c r="AG261" s="36"/>
      <c r="AH261" s="36"/>
      <c r="AI261" s="36"/>
      <c r="AJ261" s="36"/>
      <c r="AK261" s="36"/>
      <c r="AL261" s="36"/>
      <c r="AM261" s="36"/>
      <c r="AN261" s="36"/>
    </row>
    <row r="262" spans="6:40" ht="15" hidden="1" customHeight="1" outlineLevel="1">
      <c r="G262" s="6" t="s">
        <v>88</v>
      </c>
      <c r="H262" s="2442"/>
      <c r="I262" s="2442"/>
      <c r="J262" s="2442"/>
      <c r="K262" s="2442"/>
      <c r="L262" s="2442"/>
      <c r="M262" s="2442"/>
      <c r="N262" s="2442"/>
      <c r="O262" s="2442"/>
      <c r="P262" s="2442"/>
      <c r="Q262" s="2442"/>
      <c r="R262" s="2442"/>
      <c r="S262" s="2442"/>
      <c r="T262" s="2442"/>
      <c r="U262" s="2442"/>
      <c r="V262" s="2442"/>
      <c r="W262" s="2442"/>
      <c r="X262" s="2442"/>
      <c r="Y262" s="2442"/>
      <c r="Z262" s="2442"/>
      <c r="AA262" s="36"/>
      <c r="AB262" s="36" t="s">
        <v>194</v>
      </c>
      <c r="AC262" s="36"/>
      <c r="AD262" s="36" t="s">
        <v>195</v>
      </c>
      <c r="AE262" s="36"/>
      <c r="AF262" s="36"/>
      <c r="AG262" s="36"/>
      <c r="AH262" s="36"/>
      <c r="AI262" s="36"/>
      <c r="AJ262" s="36"/>
      <c r="AK262" s="36"/>
      <c r="AL262" s="36"/>
      <c r="AM262" s="36"/>
      <c r="AN262" s="36"/>
    </row>
    <row r="263" spans="6:40" ht="15" hidden="1" customHeight="1" outlineLevel="1">
      <c r="G263" s="6" t="s">
        <v>200</v>
      </c>
      <c r="H263" s="2442"/>
      <c r="I263" s="2442"/>
      <c r="J263" s="2442"/>
      <c r="K263" s="2442"/>
      <c r="L263" s="2442"/>
      <c r="M263" s="2442"/>
      <c r="N263" s="2442"/>
      <c r="O263" s="2442"/>
      <c r="P263" s="2442"/>
      <c r="Q263" s="2442"/>
      <c r="R263" s="2442"/>
      <c r="S263" s="2442"/>
      <c r="T263" s="2442"/>
      <c r="U263" s="2442"/>
      <c r="V263" s="2442"/>
      <c r="W263" s="2442"/>
      <c r="X263" s="2442"/>
      <c r="Y263" s="2442"/>
      <c r="Z263" s="2442"/>
      <c r="AA263" s="36"/>
      <c r="AB263" s="36"/>
      <c r="AC263" s="36"/>
      <c r="AD263" s="36"/>
      <c r="AE263" s="36"/>
      <c r="AF263" s="36"/>
      <c r="AG263" s="36"/>
      <c r="AH263" s="36"/>
      <c r="AI263" s="36"/>
      <c r="AJ263" s="36"/>
      <c r="AK263" s="36"/>
      <c r="AL263" s="36"/>
      <c r="AM263" s="36"/>
      <c r="AN263" s="36"/>
    </row>
    <row r="264" spans="6:40" ht="15" customHeight="1" collapsed="1">
      <c r="H264" s="2442"/>
      <c r="I264" s="2442"/>
      <c r="J264" s="2442"/>
      <c r="K264" s="2442"/>
      <c r="L264" s="2442"/>
      <c r="M264" s="2442"/>
      <c r="N264" s="2442"/>
      <c r="O264" s="2442"/>
      <c r="P264" s="2442"/>
      <c r="Q264" s="2442"/>
      <c r="R264" s="2442"/>
      <c r="S264" s="2442"/>
      <c r="T264" s="2442"/>
      <c r="U264" s="2442"/>
      <c r="V264" s="2442"/>
      <c r="W264" s="2442"/>
      <c r="X264" s="2442"/>
      <c r="Y264" s="2442"/>
      <c r="Z264" s="2442"/>
      <c r="AA264" s="36"/>
      <c r="AB264" s="36"/>
      <c r="AC264" s="36"/>
      <c r="AD264" s="36"/>
      <c r="AE264" s="36"/>
      <c r="AF264" s="36"/>
      <c r="AG264" s="36"/>
      <c r="AH264" s="36"/>
      <c r="AI264" s="36"/>
      <c r="AJ264" s="36"/>
      <c r="AK264" s="36"/>
      <c r="AL264" s="36"/>
      <c r="AM264" s="36"/>
      <c r="AN264" s="36"/>
    </row>
    <row r="265" spans="6:40" ht="15" customHeight="1">
      <c r="H265" s="2442"/>
      <c r="I265" s="2442"/>
      <c r="J265" s="2442"/>
      <c r="K265" s="2442"/>
      <c r="L265" s="2442"/>
      <c r="M265" s="2442"/>
      <c r="N265" s="2442"/>
      <c r="O265" s="2442"/>
      <c r="P265" s="2442"/>
      <c r="Q265" s="2442"/>
      <c r="R265" s="2442"/>
      <c r="S265" s="2442"/>
      <c r="T265" s="2442"/>
      <c r="U265" s="2442"/>
      <c r="V265" s="2442"/>
      <c r="W265" s="2442"/>
      <c r="X265" s="2442"/>
      <c r="Y265" s="2442"/>
      <c r="Z265" s="2442"/>
      <c r="AA265" s="36"/>
      <c r="AB265" s="36"/>
      <c r="AC265" s="36"/>
      <c r="AD265" s="36"/>
      <c r="AE265" s="36"/>
      <c r="AF265" s="36"/>
      <c r="AG265" s="36"/>
      <c r="AH265" s="36"/>
      <c r="AI265" s="36"/>
      <c r="AJ265" s="36"/>
      <c r="AK265" s="36"/>
      <c r="AL265" s="36"/>
      <c r="AM265" s="36"/>
      <c r="AN265" s="36"/>
    </row>
    <row r="266" spans="6:40" ht="30.75" customHeight="1">
      <c r="F266" s="858" t="s">
        <v>2491</v>
      </c>
      <c r="G266" s="859"/>
      <c r="H266" s="2442"/>
      <c r="I266" s="2442"/>
      <c r="J266" s="2442"/>
      <c r="K266" s="2442"/>
      <c r="L266" s="2442"/>
      <c r="M266" s="2442"/>
      <c r="N266" s="2442"/>
      <c r="O266" s="2442"/>
      <c r="P266" s="2442"/>
      <c r="Q266" s="2442"/>
      <c r="R266" s="2442"/>
      <c r="S266" s="2442"/>
      <c r="T266" s="2442"/>
      <c r="U266" s="2442"/>
      <c r="V266" s="2442"/>
      <c r="W266" s="2442"/>
      <c r="X266" s="2442"/>
      <c r="Y266" s="2442"/>
      <c r="Z266" s="2442"/>
      <c r="AA266" s="264"/>
      <c r="AB266" s="36"/>
      <c r="AC266" s="36"/>
      <c r="AD266" s="36"/>
      <c r="AE266" s="36"/>
      <c r="AF266" s="36"/>
      <c r="AG266" s="36"/>
      <c r="AH266" s="36"/>
      <c r="AI266" s="36"/>
      <c r="AJ266" s="36"/>
      <c r="AK266" s="36"/>
      <c r="AL266" s="36"/>
      <c r="AM266" s="36"/>
      <c r="AN266" s="36"/>
    </row>
    <row r="267" spans="6:40" ht="15" hidden="1" customHeight="1" outlineLevel="1">
      <c r="F267" s="71" t="s">
        <v>149</v>
      </c>
      <c r="G267" s="71"/>
      <c r="H267" s="2442"/>
      <c r="I267" s="2442"/>
      <c r="J267" s="2442"/>
      <c r="K267" s="2442"/>
      <c r="L267" s="2442"/>
      <c r="M267" s="2442"/>
      <c r="N267" s="2442"/>
      <c r="O267" s="2442"/>
      <c r="P267" s="2442"/>
      <c r="Q267" s="2442"/>
      <c r="R267" s="2442"/>
      <c r="S267" s="2442"/>
      <c r="T267" s="2442"/>
      <c r="U267" s="2442"/>
      <c r="V267" s="2442"/>
      <c r="W267" s="2442"/>
      <c r="X267" s="2442"/>
      <c r="Y267" s="2442"/>
      <c r="Z267" s="2442"/>
      <c r="AA267" s="36"/>
      <c r="AB267" s="36"/>
      <c r="AC267" s="36"/>
      <c r="AD267" s="36"/>
      <c r="AE267" s="36"/>
      <c r="AF267" s="36"/>
      <c r="AG267" s="36"/>
      <c r="AH267" s="36"/>
      <c r="AI267" s="36"/>
      <c r="AJ267" s="36"/>
      <c r="AK267" s="36"/>
      <c r="AL267" s="36"/>
      <c r="AM267" s="36"/>
      <c r="AN267" s="36"/>
    </row>
    <row r="268" spans="6:40" ht="15" hidden="1" customHeight="1" outlineLevel="1">
      <c r="G268" t="s">
        <v>146</v>
      </c>
      <c r="H268" s="2442"/>
      <c r="I268" s="2442"/>
      <c r="J268" s="2442"/>
      <c r="K268" s="2442"/>
      <c r="L268" s="2442"/>
      <c r="M268" s="2442"/>
      <c r="N268" s="2442"/>
      <c r="O268" s="2442"/>
      <c r="P268" s="2442"/>
      <c r="Q268" s="2442"/>
      <c r="R268" s="2442"/>
      <c r="S268" s="2442"/>
      <c r="T268" s="2442"/>
      <c r="U268" s="2442"/>
      <c r="V268" s="2442"/>
      <c r="W268" s="2442"/>
      <c r="X268" s="2442"/>
      <c r="Y268" s="2442"/>
      <c r="Z268" s="2442"/>
      <c r="AA268" s="36"/>
      <c r="AB268" s="36"/>
      <c r="AC268" s="36"/>
      <c r="AD268" s="36"/>
      <c r="AE268" s="36"/>
      <c r="AF268" s="36"/>
      <c r="AG268" s="36"/>
      <c r="AH268" s="36"/>
      <c r="AI268" s="36"/>
      <c r="AJ268" s="36"/>
      <c r="AK268" s="36"/>
      <c r="AL268" s="36"/>
      <c r="AM268" s="36"/>
      <c r="AN268" s="36"/>
    </row>
    <row r="269" spans="6:40" ht="15" hidden="1" customHeight="1" outlineLevel="1">
      <c r="G269" t="s">
        <v>147</v>
      </c>
      <c r="H269" s="2442"/>
      <c r="I269" s="2442"/>
      <c r="J269" s="2442"/>
      <c r="K269" s="2442"/>
      <c r="L269" s="2442"/>
      <c r="M269" s="2442"/>
      <c r="N269" s="2442"/>
      <c r="O269" s="2442"/>
      <c r="P269" s="2442"/>
      <c r="Q269" s="2442"/>
      <c r="R269" s="2442"/>
      <c r="S269" s="2442"/>
      <c r="T269" s="2442"/>
      <c r="U269" s="2442"/>
      <c r="V269" s="2442"/>
      <c r="W269" s="2442"/>
      <c r="X269" s="2442"/>
      <c r="Y269" s="2442"/>
      <c r="Z269" s="2442"/>
      <c r="AA269" s="36"/>
      <c r="AB269" s="36"/>
      <c r="AC269" s="36"/>
      <c r="AD269" s="36"/>
      <c r="AE269" s="36"/>
      <c r="AF269" s="36"/>
      <c r="AG269" s="36"/>
      <c r="AH269" s="36"/>
      <c r="AI269" s="36"/>
      <c r="AJ269" s="36"/>
      <c r="AK269" s="36"/>
      <c r="AL269" s="36"/>
      <c r="AM269" s="36"/>
      <c r="AN269" s="36"/>
    </row>
    <row r="270" spans="6:40" ht="15" hidden="1" customHeight="1" outlineLevel="1">
      <c r="G270" t="s">
        <v>142</v>
      </c>
      <c r="H270" s="2442"/>
      <c r="I270" s="2442"/>
      <c r="J270" s="2442"/>
      <c r="K270" s="2442"/>
      <c r="L270" s="2442"/>
      <c r="M270" s="2442"/>
      <c r="N270" s="2442"/>
      <c r="O270" s="2442"/>
      <c r="P270" s="2442"/>
      <c r="Q270" s="2442"/>
      <c r="R270" s="2442"/>
      <c r="S270" s="2442"/>
      <c r="T270" s="2442"/>
      <c r="U270" s="2442"/>
      <c r="V270" s="2442"/>
      <c r="W270" s="2442"/>
      <c r="X270" s="2442"/>
      <c r="Y270" s="2442"/>
      <c r="Z270" s="2442"/>
      <c r="AA270" s="36"/>
      <c r="AB270" s="36"/>
      <c r="AC270" s="36"/>
      <c r="AD270" s="36"/>
      <c r="AE270" s="36"/>
      <c r="AF270" s="36"/>
      <c r="AG270" s="36"/>
      <c r="AH270" s="36"/>
      <c r="AI270" s="36"/>
      <c r="AJ270" s="36"/>
      <c r="AK270" s="36"/>
      <c r="AL270" s="36"/>
      <c r="AM270" s="36"/>
      <c r="AN270" s="36"/>
    </row>
    <row r="271" spans="6:40" ht="15" hidden="1" customHeight="1" outlineLevel="1">
      <c r="G271" s="70" t="s">
        <v>150</v>
      </c>
      <c r="H271" s="2442"/>
      <c r="I271" s="2442"/>
      <c r="J271" s="2442"/>
      <c r="K271" s="2442"/>
      <c r="L271" s="2442"/>
      <c r="M271" s="2442"/>
      <c r="N271" s="2442"/>
      <c r="O271" s="2442"/>
      <c r="P271" s="2442"/>
      <c r="Q271" s="2442"/>
      <c r="R271" s="2442"/>
      <c r="S271" s="2442"/>
      <c r="T271" s="2442"/>
      <c r="U271" s="2442"/>
      <c r="V271" s="2442"/>
      <c r="W271" s="2442"/>
      <c r="X271" s="2442"/>
      <c r="Y271" s="2442"/>
      <c r="Z271" s="2442"/>
      <c r="AA271" s="36"/>
      <c r="AB271" s="36"/>
      <c r="AC271" s="36"/>
      <c r="AD271" s="36"/>
      <c r="AE271" s="36"/>
      <c r="AF271" s="36"/>
      <c r="AG271" s="36"/>
      <c r="AH271" s="36"/>
      <c r="AI271" s="36"/>
      <c r="AJ271" s="36"/>
      <c r="AK271" s="36"/>
      <c r="AL271" s="36"/>
      <c r="AM271" s="36"/>
      <c r="AN271" s="36"/>
    </row>
    <row r="272" spans="6:40" ht="15" hidden="1" customHeight="1" outlineLevel="1">
      <c r="G272" t="s">
        <v>140</v>
      </c>
      <c r="H272" s="2442"/>
      <c r="I272" s="2442"/>
      <c r="J272" s="2442"/>
      <c r="K272" s="2442"/>
      <c r="L272" s="2442"/>
      <c r="M272" s="2442"/>
      <c r="N272" s="2442"/>
      <c r="O272" s="2442"/>
      <c r="P272" s="2442"/>
      <c r="Q272" s="2442"/>
      <c r="R272" s="2442"/>
      <c r="S272" s="2442"/>
      <c r="T272" s="2442"/>
      <c r="U272" s="2442"/>
      <c r="V272" s="2442"/>
      <c r="W272" s="2442"/>
      <c r="X272" s="2442"/>
      <c r="Y272" s="2442"/>
      <c r="Z272" s="2442"/>
      <c r="AA272" s="36"/>
      <c r="AB272" s="36"/>
      <c r="AC272" s="36"/>
      <c r="AD272" s="36"/>
      <c r="AE272" s="36"/>
      <c r="AF272" s="36"/>
      <c r="AG272" s="36"/>
      <c r="AH272" s="36"/>
      <c r="AI272" s="36"/>
      <c r="AJ272" s="36"/>
      <c r="AK272" s="36"/>
      <c r="AL272" s="36"/>
      <c r="AM272" s="36"/>
      <c r="AN272" s="36"/>
    </row>
    <row r="273" spans="6:40" ht="15" hidden="1" customHeight="1" outlineLevel="1">
      <c r="G273" t="s">
        <v>141</v>
      </c>
      <c r="H273" s="2442"/>
      <c r="I273" s="2442"/>
      <c r="J273" s="2442"/>
      <c r="K273" s="2442"/>
      <c r="L273" s="2442"/>
      <c r="M273" s="2442"/>
      <c r="N273" s="2442"/>
      <c r="O273" s="2442"/>
      <c r="P273" s="2442"/>
      <c r="Q273" s="2442"/>
      <c r="R273" s="2442"/>
      <c r="S273" s="2442"/>
      <c r="T273" s="2442"/>
      <c r="U273" s="2442"/>
      <c r="V273" s="2442"/>
      <c r="W273" s="2442"/>
      <c r="X273" s="2442"/>
      <c r="Y273" s="2442"/>
      <c r="Z273" s="2442"/>
      <c r="AA273" s="36"/>
      <c r="AB273" s="36"/>
      <c r="AC273" s="36"/>
      <c r="AD273" s="36"/>
      <c r="AE273" s="36"/>
      <c r="AF273" s="36"/>
      <c r="AG273" s="36"/>
      <c r="AH273" s="36"/>
      <c r="AI273" s="36"/>
      <c r="AJ273" s="36"/>
      <c r="AK273" s="36"/>
      <c r="AL273" s="36"/>
      <c r="AM273" s="36"/>
      <c r="AN273" s="36"/>
    </row>
    <row r="274" spans="6:40" ht="15" hidden="1" customHeight="1" outlineLevel="1">
      <c r="G274" t="s">
        <v>143</v>
      </c>
      <c r="H274" s="2442"/>
      <c r="I274" s="2442"/>
      <c r="J274" s="2442"/>
      <c r="K274" s="2442"/>
      <c r="L274" s="2442"/>
      <c r="M274" s="2442"/>
      <c r="N274" s="2442"/>
      <c r="O274" s="2442"/>
      <c r="P274" s="2442"/>
      <c r="Q274" s="2442"/>
      <c r="R274" s="2442"/>
      <c r="S274" s="2442"/>
      <c r="T274" s="2442"/>
      <c r="U274" s="2442"/>
      <c r="V274" s="2442"/>
      <c r="W274" s="2442"/>
      <c r="X274" s="2442"/>
      <c r="Y274" s="2442"/>
      <c r="Z274" s="2442"/>
      <c r="AA274" s="36"/>
      <c r="AB274" s="36"/>
      <c r="AC274" s="36"/>
      <c r="AD274" s="36"/>
      <c r="AE274" s="36"/>
      <c r="AF274" s="36"/>
      <c r="AG274" s="36"/>
      <c r="AH274" s="36"/>
      <c r="AI274" s="36"/>
      <c r="AJ274" s="36"/>
      <c r="AK274" s="36"/>
      <c r="AL274" s="36"/>
      <c r="AM274" s="36"/>
      <c r="AN274" s="36"/>
    </row>
    <row r="275" spans="6:40" ht="15" hidden="1" customHeight="1" outlineLevel="1">
      <c r="G275" t="s">
        <v>144</v>
      </c>
      <c r="H275" s="2442"/>
      <c r="I275" s="2442"/>
      <c r="J275" s="2442"/>
      <c r="K275" s="2442"/>
      <c r="L275" s="2442"/>
      <c r="M275" s="2442"/>
      <c r="N275" s="2442"/>
      <c r="O275" s="2442"/>
      <c r="P275" s="2442"/>
      <c r="Q275" s="2442"/>
      <c r="R275" s="2442"/>
      <c r="S275" s="2442"/>
      <c r="T275" s="2442"/>
      <c r="U275" s="2442"/>
      <c r="V275" s="2442"/>
      <c r="W275" s="2442"/>
      <c r="X275" s="2442"/>
      <c r="Y275" s="2442"/>
      <c r="Z275" s="2442"/>
      <c r="AA275" s="36"/>
      <c r="AB275" s="36"/>
      <c r="AC275" s="36"/>
      <c r="AD275" s="36"/>
      <c r="AE275" s="36"/>
      <c r="AF275" s="36"/>
      <c r="AG275" s="36"/>
      <c r="AH275" s="36"/>
      <c r="AI275" s="36"/>
      <c r="AJ275" s="36"/>
      <c r="AK275" s="36"/>
      <c r="AL275" s="242"/>
      <c r="AM275" s="36"/>
      <c r="AN275" s="36"/>
    </row>
    <row r="276" spans="6:40" ht="15" hidden="1" customHeight="1" outlineLevel="1">
      <c r="G276" t="s">
        <v>145</v>
      </c>
      <c r="H276" s="2442"/>
      <c r="I276" s="2442"/>
      <c r="J276" s="2442"/>
      <c r="K276" s="2442"/>
      <c r="L276" s="2442"/>
      <c r="M276" s="2442"/>
      <c r="N276" s="2442"/>
      <c r="O276" s="2442"/>
      <c r="P276" s="2442"/>
      <c r="Q276" s="2442"/>
      <c r="R276" s="2442"/>
      <c r="S276" s="2442"/>
      <c r="T276" s="2442"/>
      <c r="U276" s="2442"/>
      <c r="V276" s="2442"/>
      <c r="W276" s="2442"/>
      <c r="X276" s="2442"/>
      <c r="Y276" s="2442"/>
      <c r="Z276" s="2442"/>
      <c r="AA276" s="36"/>
      <c r="AB276" s="36"/>
      <c r="AC276" s="36"/>
      <c r="AD276" s="36"/>
      <c r="AE276" s="36"/>
      <c r="AF276" s="36"/>
      <c r="AG276" s="36"/>
      <c r="AH276" s="36"/>
      <c r="AI276" s="36"/>
      <c r="AJ276" s="36"/>
      <c r="AK276" s="36"/>
      <c r="AL276" s="242"/>
      <c r="AM276" s="36"/>
      <c r="AN276" s="36"/>
    </row>
    <row r="277" spans="6:40" ht="15" hidden="1" customHeight="1" outlineLevel="1">
      <c r="G277" s="70" t="s">
        <v>840</v>
      </c>
      <c r="H277" s="2442"/>
      <c r="I277" s="2442"/>
      <c r="J277" s="2442"/>
      <c r="K277" s="2442"/>
      <c r="L277" s="2442"/>
      <c r="M277" s="2442"/>
      <c r="N277" s="2442"/>
      <c r="O277" s="2442"/>
      <c r="P277" s="2442"/>
      <c r="Q277" s="2442"/>
      <c r="R277" s="2442"/>
      <c r="S277" s="2442"/>
      <c r="T277" s="2442"/>
      <c r="U277" s="2442"/>
      <c r="V277" s="2442"/>
      <c r="W277" s="2442"/>
      <c r="X277" s="2442"/>
      <c r="Y277" s="2442"/>
      <c r="Z277" s="2442"/>
      <c r="AA277" s="36"/>
      <c r="AB277" s="36"/>
      <c r="AC277" s="36"/>
      <c r="AD277" s="36"/>
      <c r="AE277" s="36"/>
      <c r="AF277" s="36"/>
      <c r="AG277" s="36"/>
      <c r="AH277" s="36"/>
      <c r="AI277" s="36"/>
      <c r="AJ277" s="36"/>
      <c r="AK277" s="36"/>
      <c r="AL277" s="242"/>
      <c r="AM277" s="36"/>
      <c r="AN277" s="36"/>
    </row>
    <row r="278" spans="6:40" ht="15" hidden="1" customHeight="1" outlineLevel="1">
      <c r="G278" t="s">
        <v>144</v>
      </c>
      <c r="H278" s="2442"/>
      <c r="I278" s="2442"/>
      <c r="J278" s="2442"/>
      <c r="K278" s="2442"/>
      <c r="L278" s="2442"/>
      <c r="M278" s="2442"/>
      <c r="N278" s="2442"/>
      <c r="O278" s="2442"/>
      <c r="P278" s="2442"/>
      <c r="Q278" s="2442"/>
      <c r="R278" s="2442"/>
      <c r="S278" s="2442"/>
      <c r="T278" s="2442"/>
      <c r="U278" s="2442"/>
      <c r="V278" s="2442"/>
      <c r="W278" s="2442"/>
      <c r="X278" s="2442"/>
      <c r="Y278" s="2442"/>
      <c r="Z278" s="2442"/>
      <c r="AA278" s="36"/>
      <c r="AB278" s="36"/>
      <c r="AC278" s="36"/>
      <c r="AD278" s="36"/>
      <c r="AE278" s="36"/>
      <c r="AF278" s="36"/>
      <c r="AG278" s="36"/>
      <c r="AH278" s="36"/>
      <c r="AI278" s="36"/>
      <c r="AJ278" s="36"/>
      <c r="AK278" s="36"/>
      <c r="AL278" s="36"/>
      <c r="AM278" s="36"/>
      <c r="AN278" s="36"/>
    </row>
    <row r="279" spans="6:40" ht="15" hidden="1" customHeight="1" outlineLevel="1">
      <c r="G279" t="s">
        <v>145</v>
      </c>
      <c r="H279" s="2442"/>
      <c r="I279" s="2442"/>
      <c r="J279" s="2442"/>
      <c r="K279" s="2442"/>
      <c r="L279" s="2442"/>
      <c r="M279" s="2442"/>
      <c r="N279" s="2442"/>
      <c r="O279" s="2442"/>
      <c r="P279" s="2442"/>
      <c r="Q279" s="2442"/>
      <c r="R279" s="2442"/>
      <c r="S279" s="2442"/>
      <c r="T279" s="2442"/>
      <c r="U279" s="2442"/>
      <c r="V279" s="2442"/>
      <c r="W279" s="2442"/>
      <c r="X279" s="2442"/>
      <c r="Y279" s="2442"/>
      <c r="Z279" s="2442"/>
      <c r="AA279" s="36"/>
      <c r="AB279" s="36"/>
      <c r="AC279" s="36"/>
      <c r="AD279" s="36"/>
      <c r="AE279" s="36"/>
      <c r="AF279" s="36"/>
      <c r="AG279" s="36"/>
      <c r="AH279" s="36"/>
      <c r="AI279" s="36"/>
      <c r="AJ279" s="36"/>
      <c r="AK279" s="36"/>
      <c r="AL279" s="36"/>
      <c r="AM279" s="36"/>
      <c r="AN279" s="36"/>
    </row>
    <row r="280" spans="6:40" ht="15" hidden="1" customHeight="1" outlineLevel="1">
      <c r="F280" s="71" t="s">
        <v>148</v>
      </c>
      <c r="G280" s="71"/>
      <c r="H280" s="2442"/>
      <c r="I280" s="2442"/>
      <c r="J280" s="2442"/>
      <c r="K280" s="2442"/>
      <c r="L280" s="2442"/>
      <c r="M280" s="2442"/>
      <c r="N280" s="2442"/>
      <c r="O280" s="2442"/>
      <c r="P280" s="2442"/>
      <c r="Q280" s="2442"/>
      <c r="R280" s="2442"/>
      <c r="S280" s="2442"/>
      <c r="T280" s="2442"/>
      <c r="U280" s="2442"/>
      <c r="V280" s="2442"/>
      <c r="W280" s="2442"/>
      <c r="X280" s="2442"/>
      <c r="Y280" s="2442"/>
      <c r="Z280" s="2442"/>
      <c r="AA280" s="36"/>
      <c r="AB280" s="36"/>
      <c r="AC280" s="36"/>
      <c r="AD280" s="36"/>
      <c r="AE280" s="36"/>
      <c r="AF280" s="36"/>
      <c r="AG280" s="36"/>
      <c r="AH280" s="36"/>
      <c r="AI280" s="36"/>
      <c r="AJ280" s="36"/>
      <c r="AK280" s="242"/>
      <c r="AL280" s="36"/>
      <c r="AM280" s="36"/>
      <c r="AN280" s="36"/>
    </row>
    <row r="281" spans="6:40" ht="15" hidden="1" customHeight="1" outlineLevel="1">
      <c r="F281" s="1"/>
      <c r="G281" s="6" t="s">
        <v>151</v>
      </c>
      <c r="H281" s="2442"/>
      <c r="I281" s="2442"/>
      <c r="J281" s="2442"/>
      <c r="K281" s="2442"/>
      <c r="L281" s="2442"/>
      <c r="M281" s="2442"/>
      <c r="N281" s="2442"/>
      <c r="O281" s="2442"/>
      <c r="P281" s="2442"/>
      <c r="Q281" s="2442"/>
      <c r="R281" s="2442"/>
      <c r="S281" s="2442"/>
      <c r="T281" s="2442"/>
      <c r="U281" s="2442"/>
      <c r="V281" s="2442"/>
      <c r="W281" s="2442"/>
      <c r="X281" s="2442"/>
      <c r="Y281" s="2442"/>
      <c r="Z281" s="2442"/>
      <c r="AA281" s="36"/>
      <c r="AB281" s="36"/>
      <c r="AC281" s="36"/>
      <c r="AD281" s="36"/>
      <c r="AE281" s="36"/>
      <c r="AF281" s="36"/>
      <c r="AG281" s="36"/>
      <c r="AH281" s="36"/>
      <c r="AI281" s="36"/>
      <c r="AJ281" s="36"/>
      <c r="AK281" s="242"/>
      <c r="AL281" s="36"/>
      <c r="AM281" s="36"/>
      <c r="AN281" s="36"/>
    </row>
    <row r="282" spans="6:40" ht="15" hidden="1" customHeight="1" outlineLevel="1">
      <c r="G282" s="6" t="s">
        <v>85</v>
      </c>
      <c r="H282" s="2442"/>
      <c r="I282" s="2442"/>
      <c r="J282" s="2442"/>
      <c r="K282" s="2442"/>
      <c r="L282" s="2442"/>
      <c r="M282" s="2442"/>
      <c r="N282" s="2442"/>
      <c r="O282" s="2442"/>
      <c r="P282" s="2442"/>
      <c r="Q282" s="2442"/>
      <c r="R282" s="2442"/>
      <c r="S282" s="2442"/>
      <c r="T282" s="2442"/>
      <c r="U282" s="2442"/>
      <c r="V282" s="2442"/>
      <c r="W282" s="2442"/>
      <c r="X282" s="2442"/>
      <c r="Y282" s="2442"/>
      <c r="Z282" s="2442"/>
      <c r="AA282" s="36"/>
      <c r="AB282" s="36"/>
      <c r="AC282" s="36"/>
      <c r="AD282" s="36"/>
      <c r="AE282" s="36" t="s">
        <v>202</v>
      </c>
      <c r="AF282" s="36"/>
      <c r="AG282" s="36"/>
      <c r="AH282" s="36"/>
      <c r="AI282" s="36"/>
      <c r="AJ282" s="36"/>
      <c r="AK282" s="242"/>
      <c r="AL282" s="36"/>
      <c r="AM282" s="36"/>
      <c r="AN282" s="36"/>
    </row>
    <row r="283" spans="6:40" ht="15" hidden="1" customHeight="1" outlineLevel="1">
      <c r="G283" s="6" t="s">
        <v>59</v>
      </c>
      <c r="H283" s="2442"/>
      <c r="I283" s="2442"/>
      <c r="J283" s="2442"/>
      <c r="K283" s="2442"/>
      <c r="L283" s="2442"/>
      <c r="M283" s="2442"/>
      <c r="N283" s="2442"/>
      <c r="O283" s="2442"/>
      <c r="P283" s="2442"/>
      <c r="Q283" s="2442"/>
      <c r="R283" s="2442"/>
      <c r="S283" s="2442"/>
      <c r="T283" s="2442"/>
      <c r="U283" s="2442"/>
      <c r="V283" s="2442"/>
      <c r="W283" s="2442"/>
      <c r="X283" s="2442"/>
      <c r="Y283" s="2442"/>
      <c r="Z283" s="2442"/>
      <c r="AA283" s="36"/>
      <c r="AB283" s="36"/>
      <c r="AC283" s="36"/>
      <c r="AD283" s="36"/>
      <c r="AE283" s="36" t="s">
        <v>202</v>
      </c>
      <c r="AF283" s="36"/>
      <c r="AG283" s="36"/>
      <c r="AH283" s="36"/>
      <c r="AI283" s="36"/>
      <c r="AJ283" s="36"/>
      <c r="AK283" s="242"/>
      <c r="AL283" s="36"/>
      <c r="AM283" s="36"/>
      <c r="AN283" s="36"/>
    </row>
    <row r="284" spans="6:40" ht="15" hidden="1" customHeight="1" outlineLevel="1">
      <c r="G284" s="6" t="s">
        <v>86</v>
      </c>
      <c r="H284" s="2442"/>
      <c r="I284" s="2442"/>
      <c r="J284" s="2442"/>
      <c r="K284" s="2442"/>
      <c r="L284" s="2442"/>
      <c r="M284" s="2442"/>
      <c r="N284" s="2442"/>
      <c r="O284" s="2442"/>
      <c r="P284" s="2442"/>
      <c r="Q284" s="2442"/>
      <c r="R284" s="2442"/>
      <c r="S284" s="2442"/>
      <c r="T284" s="2442"/>
      <c r="U284" s="2442"/>
      <c r="V284" s="2442"/>
      <c r="W284" s="2442"/>
      <c r="X284" s="2442"/>
      <c r="Y284" s="2442"/>
      <c r="Z284" s="2442"/>
      <c r="AA284" s="36"/>
      <c r="AB284" s="36"/>
      <c r="AC284" s="36"/>
      <c r="AD284" s="36"/>
      <c r="AE284" s="36" t="s">
        <v>202</v>
      </c>
      <c r="AF284" s="36"/>
      <c r="AG284" s="36"/>
      <c r="AH284" s="36"/>
      <c r="AI284" s="36"/>
      <c r="AJ284" s="36"/>
      <c r="AK284" s="36" t="s">
        <v>191</v>
      </c>
      <c r="AL284" s="36"/>
      <c r="AM284" s="36"/>
      <c r="AN284" s="36"/>
    </row>
    <row r="285" spans="6:40" ht="15" hidden="1" customHeight="1" outlineLevel="1" collapsed="1">
      <c r="G285" s="70" t="s">
        <v>133</v>
      </c>
      <c r="H285" s="2442"/>
      <c r="I285" s="2442"/>
      <c r="J285" s="2442"/>
      <c r="K285" s="2442"/>
      <c r="L285" s="2442"/>
      <c r="M285" s="2442"/>
      <c r="N285" s="2442"/>
      <c r="O285" s="2442"/>
      <c r="P285" s="2442"/>
      <c r="Q285" s="2442"/>
      <c r="R285" s="2442"/>
      <c r="S285" s="2442"/>
      <c r="T285" s="2442"/>
      <c r="U285" s="2442"/>
      <c r="V285" s="2442"/>
      <c r="W285" s="2442"/>
      <c r="X285" s="2442"/>
      <c r="Y285" s="2442"/>
      <c r="Z285" s="2442"/>
      <c r="AA285" s="36"/>
      <c r="AB285" s="36"/>
      <c r="AC285" s="36"/>
      <c r="AD285" s="36"/>
      <c r="AE285" s="36"/>
      <c r="AF285" s="36"/>
      <c r="AG285" s="36"/>
      <c r="AH285" s="36"/>
      <c r="AI285" s="36"/>
      <c r="AJ285" s="36"/>
      <c r="AK285" s="36"/>
      <c r="AL285" s="36"/>
      <c r="AM285" s="36"/>
      <c r="AN285" s="36"/>
    </row>
    <row r="286" spans="6:40" ht="15" hidden="1" customHeight="1" outlineLevel="1">
      <c r="G286" t="s">
        <v>129</v>
      </c>
      <c r="H286" s="2442"/>
      <c r="I286" s="2442"/>
      <c r="J286" s="2442"/>
      <c r="K286" s="2442"/>
      <c r="L286" s="2442"/>
      <c r="M286" s="2442"/>
      <c r="N286" s="2442"/>
      <c r="O286" s="2442"/>
      <c r="P286" s="2442"/>
      <c r="Q286" s="2442"/>
      <c r="R286" s="2442"/>
      <c r="S286" s="2442"/>
      <c r="T286" s="2442"/>
      <c r="U286" s="2442"/>
      <c r="V286" s="2442"/>
      <c r="W286" s="2442"/>
      <c r="X286" s="2442"/>
      <c r="Y286" s="2442"/>
      <c r="Z286" s="2442"/>
      <c r="AA286" s="36"/>
      <c r="AB286" s="36"/>
      <c r="AC286" s="36"/>
      <c r="AD286" s="36"/>
      <c r="AE286" s="36"/>
      <c r="AF286" s="36"/>
      <c r="AG286" s="36"/>
      <c r="AH286" s="36"/>
      <c r="AI286" s="36"/>
      <c r="AJ286" s="36"/>
      <c r="AK286" s="36"/>
      <c r="AL286" s="36"/>
      <c r="AM286" s="36"/>
      <c r="AN286" s="36"/>
    </row>
    <row r="287" spans="6:40" ht="15" hidden="1" customHeight="1" outlineLevel="1">
      <c r="G287" t="s">
        <v>206</v>
      </c>
      <c r="H287" s="2442"/>
      <c r="I287" s="2442"/>
      <c r="J287" s="2442"/>
      <c r="K287" s="2442"/>
      <c r="L287" s="2442"/>
      <c r="M287" s="2442"/>
      <c r="N287" s="2442"/>
      <c r="O287" s="2442"/>
      <c r="P287" s="2442"/>
      <c r="Q287" s="2442"/>
      <c r="R287" s="2442"/>
      <c r="S287" s="2442"/>
      <c r="T287" s="2442"/>
      <c r="U287" s="2442"/>
      <c r="V287" s="2442"/>
      <c r="W287" s="2442"/>
      <c r="X287" s="2442"/>
      <c r="Y287" s="2442"/>
      <c r="Z287" s="2442"/>
      <c r="AA287" s="36"/>
      <c r="AB287" s="36"/>
      <c r="AC287" s="36"/>
      <c r="AD287" s="36"/>
      <c r="AE287" s="36"/>
      <c r="AF287" s="36"/>
      <c r="AG287" s="36"/>
      <c r="AH287" s="36"/>
      <c r="AI287" s="36"/>
      <c r="AJ287" s="36"/>
      <c r="AK287" s="242"/>
      <c r="AL287" s="36"/>
      <c r="AM287" s="36"/>
      <c r="AN287" s="36"/>
    </row>
    <row r="288" spans="6:40" ht="15" hidden="1" customHeight="1" outlineLevel="1">
      <c r="G288" t="s">
        <v>87</v>
      </c>
      <c r="H288" s="2442"/>
      <c r="I288" s="2442"/>
      <c r="J288" s="2442"/>
      <c r="K288" s="2442"/>
      <c r="L288" s="2442"/>
      <c r="M288" s="2442"/>
      <c r="N288" s="2442"/>
      <c r="O288" s="2442"/>
      <c r="P288" s="2442"/>
      <c r="Q288" s="2442"/>
      <c r="R288" s="2442"/>
      <c r="S288" s="2442"/>
      <c r="T288" s="2442"/>
      <c r="U288" s="2442"/>
      <c r="V288" s="2442"/>
      <c r="W288" s="2442"/>
      <c r="X288" s="2442"/>
      <c r="Y288" s="2442"/>
      <c r="Z288" s="2442"/>
      <c r="AA288" s="36"/>
      <c r="AB288" s="36"/>
      <c r="AC288" s="36"/>
      <c r="AD288" s="36"/>
      <c r="AE288" s="36"/>
      <c r="AF288" s="36"/>
      <c r="AG288" s="36"/>
      <c r="AH288" s="36"/>
      <c r="AI288" s="36"/>
      <c r="AJ288" s="36"/>
      <c r="AK288" s="242"/>
      <c r="AL288" s="36"/>
      <c r="AM288" s="36"/>
      <c r="AN288" s="36"/>
    </row>
    <row r="289" spans="6:40" ht="15" hidden="1" customHeight="1" outlineLevel="1">
      <c r="G289" s="6" t="s">
        <v>203</v>
      </c>
      <c r="H289" s="2442"/>
      <c r="I289" s="2442"/>
      <c r="J289" s="2442"/>
      <c r="K289" s="2442"/>
      <c r="L289" s="2442"/>
      <c r="M289" s="2442"/>
      <c r="N289" s="2442"/>
      <c r="O289" s="2442"/>
      <c r="P289" s="2442"/>
      <c r="Q289" s="2442"/>
      <c r="R289" s="2442"/>
      <c r="S289" s="2442"/>
      <c r="T289" s="2442"/>
      <c r="U289" s="2442"/>
      <c r="V289" s="2442"/>
      <c r="W289" s="2442"/>
      <c r="X289" s="2442"/>
      <c r="Y289" s="2442"/>
      <c r="Z289" s="2442"/>
      <c r="AA289" s="36"/>
      <c r="AB289" s="36"/>
      <c r="AC289" s="36"/>
      <c r="AD289" s="36"/>
      <c r="AE289" s="36" t="s">
        <v>205</v>
      </c>
      <c r="AF289" s="36"/>
      <c r="AG289" s="36"/>
      <c r="AH289" s="36"/>
      <c r="AI289" s="36"/>
      <c r="AJ289" s="36"/>
      <c r="AK289" s="242"/>
      <c r="AL289" s="36"/>
      <c r="AM289" s="36"/>
      <c r="AN289" s="36"/>
    </row>
    <row r="290" spans="6:40" ht="15" hidden="1" customHeight="1" outlineLevel="1">
      <c r="G290" s="6" t="s">
        <v>204</v>
      </c>
      <c r="H290" s="2442"/>
      <c r="I290" s="2442"/>
      <c r="J290" s="2442"/>
      <c r="K290" s="2442"/>
      <c r="L290" s="2442"/>
      <c r="M290" s="2442"/>
      <c r="N290" s="2442"/>
      <c r="O290" s="2442"/>
      <c r="P290" s="2442"/>
      <c r="Q290" s="2442"/>
      <c r="R290" s="2442"/>
      <c r="S290" s="2442"/>
      <c r="T290" s="2442"/>
      <c r="U290" s="2442"/>
      <c r="V290" s="2442"/>
      <c r="W290" s="2442"/>
      <c r="X290" s="2442"/>
      <c r="Y290" s="2442"/>
      <c r="Z290" s="2442"/>
      <c r="AA290" s="36"/>
      <c r="AB290" s="36"/>
      <c r="AC290" s="36"/>
      <c r="AD290" s="36"/>
      <c r="AE290" s="36"/>
      <c r="AF290" s="36"/>
      <c r="AG290" s="36"/>
      <c r="AH290" s="36"/>
      <c r="AI290" s="36"/>
      <c r="AJ290" s="36"/>
      <c r="AK290" s="242"/>
      <c r="AL290" s="36"/>
      <c r="AM290" s="36"/>
      <c r="AN290" s="36"/>
    </row>
    <row r="291" spans="6:40" ht="15" hidden="1" customHeight="1" outlineLevel="1">
      <c r="G291" s="70" t="s">
        <v>134</v>
      </c>
      <c r="H291" s="2442"/>
      <c r="I291" s="2442"/>
      <c r="J291" s="2442"/>
      <c r="K291" s="2442"/>
      <c r="L291" s="2442"/>
      <c r="M291" s="2442"/>
      <c r="N291" s="2442"/>
      <c r="O291" s="2442"/>
      <c r="P291" s="2442"/>
      <c r="Q291" s="2442"/>
      <c r="R291" s="2442"/>
      <c r="S291" s="2442"/>
      <c r="T291" s="2442"/>
      <c r="U291" s="2442"/>
      <c r="V291" s="2442"/>
      <c r="W291" s="2442"/>
      <c r="X291" s="2442"/>
      <c r="Y291" s="2442"/>
      <c r="Z291" s="2442"/>
      <c r="AA291" s="36"/>
      <c r="AB291" s="36"/>
      <c r="AC291" s="36"/>
      <c r="AD291" s="36"/>
      <c r="AE291" s="36"/>
      <c r="AF291" s="36"/>
      <c r="AG291" s="36"/>
      <c r="AH291" s="36"/>
      <c r="AI291" s="36"/>
      <c r="AJ291" s="36"/>
      <c r="AK291" s="242"/>
      <c r="AL291" s="36"/>
      <c r="AM291" s="36"/>
      <c r="AN291" s="36"/>
    </row>
    <row r="292" spans="6:40" ht="15" hidden="1" customHeight="1" outlineLevel="1">
      <c r="G292" t="s">
        <v>206</v>
      </c>
      <c r="H292" s="2442"/>
      <c r="I292" s="2442"/>
      <c r="J292" s="2442"/>
      <c r="K292" s="2442"/>
      <c r="L292" s="2442"/>
      <c r="M292" s="2442"/>
      <c r="N292" s="2442"/>
      <c r="O292" s="2442"/>
      <c r="P292" s="2442"/>
      <c r="Q292" s="2442"/>
      <c r="R292" s="2442"/>
      <c r="S292" s="2442"/>
      <c r="T292" s="2442"/>
      <c r="U292" s="2442"/>
      <c r="V292" s="2442"/>
      <c r="W292" s="2442"/>
      <c r="X292" s="2442"/>
      <c r="Y292" s="2442"/>
      <c r="Z292" s="2442"/>
      <c r="AA292" s="36"/>
      <c r="AB292" s="36" t="s">
        <v>192</v>
      </c>
      <c r="AC292" s="36"/>
      <c r="AD292" s="36" t="s">
        <v>193</v>
      </c>
      <c r="AE292" s="36"/>
      <c r="AF292" s="36"/>
      <c r="AG292" s="36"/>
      <c r="AH292" s="36"/>
      <c r="AI292" s="36"/>
      <c r="AJ292" s="36"/>
      <c r="AK292" s="36"/>
      <c r="AL292" s="36"/>
      <c r="AM292" s="36"/>
      <c r="AN292" s="36"/>
    </row>
    <row r="293" spans="6:40" ht="15" hidden="1" customHeight="1" outlineLevel="1">
      <c r="G293" t="s">
        <v>87</v>
      </c>
      <c r="H293" s="2442"/>
      <c r="I293" s="2442"/>
      <c r="J293" s="2442"/>
      <c r="K293" s="2442"/>
      <c r="L293" s="2442"/>
      <c r="M293" s="2442"/>
      <c r="N293" s="2442"/>
      <c r="O293" s="2442"/>
      <c r="P293" s="2442"/>
      <c r="Q293" s="2442"/>
      <c r="R293" s="2442"/>
      <c r="S293" s="2442"/>
      <c r="T293" s="2442"/>
      <c r="U293" s="2442"/>
      <c r="V293" s="2442"/>
      <c r="W293" s="2442"/>
      <c r="X293" s="2442"/>
      <c r="Y293" s="2442"/>
      <c r="Z293" s="2442"/>
      <c r="AA293" s="36"/>
      <c r="AB293" s="36" t="s">
        <v>194</v>
      </c>
      <c r="AC293" s="36"/>
      <c r="AD293" s="36" t="s">
        <v>195</v>
      </c>
      <c r="AE293" s="36"/>
      <c r="AF293" s="36"/>
      <c r="AG293" s="36"/>
      <c r="AH293" s="36"/>
      <c r="AI293" s="36"/>
      <c r="AJ293" s="36"/>
      <c r="AK293" s="36"/>
      <c r="AL293" s="36"/>
      <c r="AM293" s="36"/>
      <c r="AN293" s="36"/>
    </row>
    <row r="294" spans="6:40" ht="15" hidden="1" customHeight="1" outlineLevel="1">
      <c r="G294" s="6" t="s">
        <v>204</v>
      </c>
      <c r="H294" s="2442"/>
      <c r="I294" s="2442"/>
      <c r="J294" s="2442"/>
      <c r="K294" s="2442"/>
      <c r="L294" s="2442"/>
      <c r="M294" s="2442"/>
      <c r="N294" s="2442"/>
      <c r="O294" s="2442"/>
      <c r="P294" s="2442"/>
      <c r="Q294" s="2442"/>
      <c r="R294" s="2442"/>
      <c r="S294" s="2442"/>
      <c r="T294" s="2442"/>
      <c r="U294" s="2442"/>
      <c r="V294" s="2442"/>
      <c r="W294" s="2442"/>
      <c r="X294" s="2442"/>
      <c r="Y294" s="2442"/>
      <c r="Z294" s="2442"/>
      <c r="AA294" s="36"/>
      <c r="AB294" s="36" t="s">
        <v>196</v>
      </c>
      <c r="AC294" s="36"/>
      <c r="AD294" s="36" t="s">
        <v>197</v>
      </c>
      <c r="AE294" s="36"/>
      <c r="AF294" s="36"/>
      <c r="AG294" s="36"/>
      <c r="AH294" s="36"/>
      <c r="AI294" s="36"/>
      <c r="AJ294" s="36"/>
      <c r="AK294" s="36"/>
      <c r="AL294" s="36"/>
      <c r="AM294" s="36"/>
      <c r="AN294" s="36"/>
    </row>
    <row r="295" spans="6:40" ht="31.5" customHeight="1" collapsed="1">
      <c r="F295" s="858" t="s">
        <v>2492</v>
      </c>
      <c r="G295" s="859"/>
      <c r="H295" s="2442"/>
      <c r="I295" s="2442"/>
      <c r="J295" s="2442"/>
      <c r="K295" s="2442"/>
      <c r="L295" s="2442"/>
      <c r="M295" s="2442"/>
      <c r="N295" s="2442"/>
      <c r="O295" s="2442"/>
      <c r="P295" s="2442"/>
      <c r="Q295" s="2442"/>
      <c r="R295" s="2442"/>
      <c r="S295" s="2442"/>
      <c r="T295" s="2442"/>
      <c r="U295" s="2442"/>
      <c r="V295" s="2442"/>
      <c r="W295" s="2442"/>
      <c r="X295" s="2442"/>
      <c r="Y295" s="2442"/>
      <c r="Z295" s="2442"/>
      <c r="AA295" s="36"/>
      <c r="AB295" s="36" t="s">
        <v>230</v>
      </c>
      <c r="AC295" s="36"/>
      <c r="AD295" s="36" t="s">
        <v>229</v>
      </c>
      <c r="AE295" s="36"/>
      <c r="AF295" s="36"/>
      <c r="AG295" s="36"/>
      <c r="AH295" s="36"/>
      <c r="AI295" s="36"/>
      <c r="AJ295" s="36"/>
      <c r="AK295" s="36"/>
      <c r="AL295" s="36"/>
      <c r="AM295" s="36"/>
      <c r="AN295" s="36"/>
    </row>
    <row r="296" spans="6:40" ht="15" hidden="1" customHeight="1" outlineLevel="1">
      <c r="F296" s="71" t="s">
        <v>149</v>
      </c>
      <c r="G296" s="71"/>
      <c r="H296" s="2442"/>
      <c r="I296" s="2442"/>
      <c r="J296" s="2442"/>
      <c r="K296" s="2442"/>
      <c r="L296" s="2442"/>
      <c r="M296" s="2442"/>
      <c r="N296" s="2442"/>
      <c r="O296" s="2442"/>
      <c r="P296" s="2442"/>
      <c r="Q296" s="2442"/>
      <c r="R296" s="2442"/>
      <c r="S296" s="2442"/>
      <c r="T296" s="2442"/>
      <c r="U296" s="2442"/>
      <c r="V296" s="2442"/>
      <c r="W296" s="2442"/>
      <c r="X296" s="2442"/>
      <c r="Y296" s="2442"/>
      <c r="Z296" s="2442"/>
      <c r="AA296" s="36"/>
      <c r="AB296" s="36"/>
      <c r="AC296" s="36"/>
      <c r="AD296" s="36"/>
      <c r="AE296" s="36"/>
      <c r="AF296" s="36"/>
      <c r="AG296" s="36"/>
      <c r="AH296" s="36"/>
      <c r="AI296" s="36"/>
      <c r="AJ296" s="36"/>
      <c r="AK296" s="242"/>
      <c r="AL296" s="36"/>
      <c r="AM296" s="36"/>
      <c r="AN296" s="36"/>
    </row>
    <row r="297" spans="6:40" ht="15" hidden="1" customHeight="1" outlineLevel="1">
      <c r="G297" s="6" t="s">
        <v>146</v>
      </c>
      <c r="H297" s="2442"/>
      <c r="I297" s="2442"/>
      <c r="J297" s="2442"/>
      <c r="K297" s="2442"/>
      <c r="L297" s="2442"/>
      <c r="M297" s="2442"/>
      <c r="N297" s="2442"/>
      <c r="O297" s="2442"/>
      <c r="P297" s="2442"/>
      <c r="Q297" s="2442"/>
      <c r="R297" s="2442"/>
      <c r="S297" s="2442"/>
      <c r="T297" s="2442"/>
      <c r="U297" s="2442"/>
      <c r="V297" s="2442"/>
      <c r="W297" s="2442"/>
      <c r="X297" s="2442"/>
      <c r="Y297" s="2442"/>
      <c r="Z297" s="2442"/>
      <c r="AA297" s="36"/>
      <c r="AB297" s="36"/>
      <c r="AC297" s="36"/>
      <c r="AD297" s="36"/>
      <c r="AE297" s="36"/>
      <c r="AF297" s="36"/>
      <c r="AG297" s="36"/>
      <c r="AH297" s="36"/>
      <c r="AI297" s="36"/>
      <c r="AJ297" s="36"/>
      <c r="AK297" s="242"/>
      <c r="AL297" s="36"/>
      <c r="AM297" s="36"/>
      <c r="AN297" s="36"/>
    </row>
    <row r="298" spans="6:40" ht="15" hidden="1" customHeight="1" outlineLevel="1">
      <c r="G298" s="6" t="s">
        <v>147</v>
      </c>
      <c r="H298" s="2442"/>
      <c r="I298" s="2442"/>
      <c r="J298" s="2442"/>
      <c r="K298" s="2442"/>
      <c r="L298" s="2442"/>
      <c r="M298" s="2442"/>
      <c r="N298" s="2442"/>
      <c r="O298" s="2442"/>
      <c r="P298" s="2442"/>
      <c r="Q298" s="2442"/>
      <c r="R298" s="2442"/>
      <c r="S298" s="2442"/>
      <c r="T298" s="2442"/>
      <c r="U298" s="2442"/>
      <c r="V298" s="2442"/>
      <c r="W298" s="2442"/>
      <c r="X298" s="2442"/>
      <c r="Y298" s="2442"/>
      <c r="Z298" s="2442"/>
      <c r="AA298" s="36"/>
      <c r="AB298" s="36"/>
      <c r="AC298" s="36"/>
      <c r="AD298" s="36"/>
      <c r="AE298" s="36"/>
      <c r="AF298" s="36"/>
      <c r="AG298" s="36"/>
      <c r="AH298" s="36"/>
      <c r="AI298" s="36"/>
      <c r="AJ298" s="36"/>
      <c r="AK298" s="242"/>
      <c r="AL298" s="36"/>
      <c r="AM298" s="36"/>
      <c r="AN298" s="36"/>
    </row>
    <row r="299" spans="6:40" ht="15" hidden="1" customHeight="1" outlineLevel="1">
      <c r="G299" s="6" t="s">
        <v>142</v>
      </c>
      <c r="H299" s="2442"/>
      <c r="I299" s="2442"/>
      <c r="J299" s="2442"/>
      <c r="K299" s="2442"/>
      <c r="L299" s="2442"/>
      <c r="M299" s="2442"/>
      <c r="N299" s="2442"/>
      <c r="O299" s="2442"/>
      <c r="P299" s="2442"/>
      <c r="Q299" s="2442"/>
      <c r="R299" s="2442"/>
      <c r="S299" s="2442"/>
      <c r="T299" s="2442"/>
      <c r="U299" s="2442"/>
      <c r="V299" s="2442"/>
      <c r="W299" s="2442"/>
      <c r="X299" s="2442"/>
      <c r="Y299" s="2442"/>
      <c r="Z299" s="2442"/>
      <c r="AA299" s="36"/>
      <c r="AB299" s="36"/>
      <c r="AC299" s="36"/>
      <c r="AD299" s="36"/>
      <c r="AE299" s="36"/>
      <c r="AF299" s="36"/>
      <c r="AG299" s="36"/>
      <c r="AH299" s="36"/>
      <c r="AI299" s="36"/>
      <c r="AJ299" s="36"/>
      <c r="AK299" s="36"/>
      <c r="AL299" s="36"/>
      <c r="AM299" s="36"/>
      <c r="AN299" s="36"/>
    </row>
    <row r="300" spans="6:40" ht="15" hidden="1" customHeight="1" outlineLevel="1">
      <c r="G300" s="241" t="s">
        <v>150</v>
      </c>
      <c r="H300" s="2442"/>
      <c r="I300" s="2442"/>
      <c r="J300" s="2442"/>
      <c r="K300" s="2442"/>
      <c r="L300" s="2442"/>
      <c r="M300" s="2442"/>
      <c r="N300" s="2442"/>
      <c r="O300" s="2442"/>
      <c r="P300" s="2442"/>
      <c r="Q300" s="2442"/>
      <c r="R300" s="2442"/>
      <c r="S300" s="2442"/>
      <c r="T300" s="2442"/>
      <c r="U300" s="2442"/>
      <c r="V300" s="2442"/>
      <c r="W300" s="2442"/>
      <c r="X300" s="2442"/>
      <c r="Y300" s="2442"/>
      <c r="Z300" s="2442"/>
      <c r="AA300" s="36"/>
      <c r="AB300" s="36"/>
      <c r="AC300" s="36"/>
      <c r="AD300" s="36"/>
      <c r="AE300" s="36"/>
      <c r="AF300" s="36"/>
      <c r="AG300" s="36"/>
      <c r="AH300" s="36"/>
      <c r="AI300" s="36"/>
      <c r="AJ300" s="36"/>
      <c r="AK300" s="36"/>
      <c r="AL300" s="36"/>
      <c r="AM300" s="36"/>
      <c r="AN300" s="36"/>
    </row>
    <row r="301" spans="6:40" ht="15" hidden="1" customHeight="1" outlineLevel="1">
      <c r="G301" s="6" t="s">
        <v>140</v>
      </c>
      <c r="H301" s="2442"/>
      <c r="I301" s="2442"/>
      <c r="J301" s="2442"/>
      <c r="K301" s="2442"/>
      <c r="L301" s="2442"/>
      <c r="M301" s="2442"/>
      <c r="N301" s="2442"/>
      <c r="O301" s="2442"/>
      <c r="P301" s="2442"/>
      <c r="Q301" s="2442"/>
      <c r="R301" s="2442"/>
      <c r="S301" s="2442"/>
      <c r="T301" s="2442"/>
      <c r="U301" s="2442"/>
      <c r="V301" s="2442"/>
      <c r="W301" s="2442"/>
      <c r="X301" s="2442"/>
      <c r="Y301" s="2442"/>
      <c r="Z301" s="2442"/>
      <c r="AA301" s="36"/>
      <c r="AB301" s="36"/>
      <c r="AC301" s="36"/>
      <c r="AD301" s="36"/>
      <c r="AE301" s="36"/>
      <c r="AF301" s="36"/>
      <c r="AG301" s="36"/>
      <c r="AH301" s="36"/>
      <c r="AI301" s="36"/>
      <c r="AJ301" s="36"/>
      <c r="AK301" s="36"/>
      <c r="AL301" s="36"/>
      <c r="AM301" s="36"/>
      <c r="AN301" s="36"/>
    </row>
    <row r="302" spans="6:40" ht="15" hidden="1" customHeight="1" outlineLevel="1">
      <c r="G302" s="6" t="s">
        <v>141</v>
      </c>
      <c r="H302" s="2442"/>
      <c r="I302" s="2442"/>
      <c r="J302" s="2442"/>
      <c r="K302" s="2442"/>
      <c r="L302" s="2442"/>
      <c r="M302" s="2442"/>
      <c r="N302" s="2442"/>
      <c r="O302" s="2442"/>
      <c r="P302" s="2442"/>
      <c r="Q302" s="2442"/>
      <c r="R302" s="2442"/>
      <c r="S302" s="2442"/>
      <c r="T302" s="2442"/>
      <c r="U302" s="2442"/>
      <c r="V302" s="2442"/>
      <c r="W302" s="2442"/>
      <c r="X302" s="2442"/>
      <c r="Y302" s="2442"/>
      <c r="Z302" s="2442"/>
      <c r="AA302" s="36"/>
      <c r="AB302" s="36"/>
      <c r="AC302" s="36"/>
      <c r="AD302" s="36"/>
      <c r="AE302" s="36"/>
      <c r="AF302" s="36"/>
      <c r="AG302" s="36"/>
      <c r="AH302" s="36"/>
      <c r="AI302" s="36"/>
      <c r="AJ302" s="36"/>
      <c r="AK302" s="36"/>
      <c r="AL302" s="36"/>
      <c r="AM302" s="36"/>
      <c r="AN302" s="36"/>
    </row>
    <row r="303" spans="6:40" ht="15" hidden="1" customHeight="1" outlineLevel="1">
      <c r="G303" s="6" t="s">
        <v>143</v>
      </c>
      <c r="H303" s="2442"/>
      <c r="I303" s="2442"/>
      <c r="J303" s="2442"/>
      <c r="K303" s="2442"/>
      <c r="L303" s="2442"/>
      <c r="M303" s="2442"/>
      <c r="N303" s="2442"/>
      <c r="O303" s="2442"/>
      <c r="P303" s="2442"/>
      <c r="Q303" s="2442"/>
      <c r="R303" s="2442"/>
      <c r="S303" s="2442"/>
      <c r="T303" s="2442"/>
      <c r="U303" s="2442"/>
      <c r="V303" s="2442"/>
      <c r="W303" s="2442"/>
      <c r="X303" s="2442"/>
      <c r="Y303" s="2442"/>
      <c r="Z303" s="2442"/>
      <c r="AA303" s="36"/>
      <c r="AB303" s="36"/>
      <c r="AC303" s="36"/>
      <c r="AD303" s="36"/>
      <c r="AE303" s="36"/>
      <c r="AF303" s="36"/>
      <c r="AG303" s="36"/>
      <c r="AH303" s="36"/>
      <c r="AI303" s="36"/>
      <c r="AJ303" s="36"/>
      <c r="AK303" s="36"/>
      <c r="AL303" s="36"/>
      <c r="AM303" s="36"/>
      <c r="AN303" s="36"/>
    </row>
    <row r="304" spans="6:40" ht="15" hidden="1" customHeight="1" outlineLevel="1">
      <c r="G304" s="6" t="s">
        <v>144</v>
      </c>
      <c r="H304" s="2442"/>
      <c r="I304" s="2442"/>
      <c r="J304" s="2442"/>
      <c r="K304" s="2442"/>
      <c r="L304" s="2442"/>
      <c r="M304" s="2442"/>
      <c r="N304" s="2442"/>
      <c r="O304" s="2442"/>
      <c r="P304" s="2442"/>
      <c r="Q304" s="2442"/>
      <c r="R304" s="2442"/>
      <c r="S304" s="2442"/>
      <c r="T304" s="2442"/>
      <c r="U304" s="2442"/>
      <c r="V304" s="2442"/>
      <c r="W304" s="2442"/>
      <c r="X304" s="2442"/>
      <c r="Y304" s="2442"/>
      <c r="Z304" s="2442"/>
      <c r="AA304" s="36"/>
      <c r="AB304" s="36"/>
      <c r="AC304" s="36"/>
      <c r="AD304" s="36"/>
      <c r="AE304" s="36"/>
      <c r="AF304" s="36"/>
      <c r="AG304" s="36"/>
      <c r="AH304" s="36"/>
      <c r="AI304" s="36"/>
      <c r="AJ304" s="36"/>
      <c r="AK304" s="242"/>
      <c r="AL304" s="36"/>
      <c r="AM304" s="36"/>
      <c r="AN304" s="36"/>
    </row>
    <row r="305" spans="6:40" ht="15" hidden="1" customHeight="1" outlineLevel="1">
      <c r="G305" s="6" t="s">
        <v>145</v>
      </c>
      <c r="H305" s="2442"/>
      <c r="I305" s="2442"/>
      <c r="J305" s="2442"/>
      <c r="K305" s="2442"/>
      <c r="L305" s="2442"/>
      <c r="M305" s="2442"/>
      <c r="N305" s="2442"/>
      <c r="O305" s="2442"/>
      <c r="P305" s="2442"/>
      <c r="Q305" s="2442"/>
      <c r="R305" s="2442"/>
      <c r="S305" s="2442"/>
      <c r="T305" s="2442"/>
      <c r="U305" s="2442"/>
      <c r="V305" s="2442"/>
      <c r="W305" s="2442"/>
      <c r="X305" s="2442"/>
      <c r="Y305" s="2442"/>
      <c r="Z305" s="2442"/>
      <c r="AA305" s="36"/>
      <c r="AB305" s="36"/>
      <c r="AC305" s="36"/>
      <c r="AD305" s="36"/>
      <c r="AE305" s="36"/>
      <c r="AF305" s="36"/>
      <c r="AG305" s="36"/>
      <c r="AH305" s="36"/>
      <c r="AI305" s="36"/>
      <c r="AJ305" s="36"/>
      <c r="AK305" s="242"/>
      <c r="AL305" s="36"/>
      <c r="AM305" s="36"/>
      <c r="AN305" s="36"/>
    </row>
    <row r="306" spans="6:40" ht="15" hidden="1" customHeight="1" outlineLevel="1">
      <c r="G306" s="241" t="s">
        <v>841</v>
      </c>
      <c r="H306" s="2442"/>
      <c r="I306" s="2442"/>
      <c r="J306" s="2442"/>
      <c r="K306" s="2442"/>
      <c r="L306" s="2442"/>
      <c r="M306" s="2442"/>
      <c r="N306" s="2442"/>
      <c r="O306" s="2442"/>
      <c r="P306" s="2442"/>
      <c r="Q306" s="2442"/>
      <c r="R306" s="2442"/>
      <c r="S306" s="2442"/>
      <c r="T306" s="2442"/>
      <c r="U306" s="2442"/>
      <c r="V306" s="2442"/>
      <c r="W306" s="2442"/>
      <c r="X306" s="2442"/>
      <c r="Y306" s="2442"/>
      <c r="Z306" s="2442"/>
      <c r="AA306" s="36"/>
      <c r="AB306" s="36"/>
      <c r="AC306" s="36"/>
      <c r="AD306" s="36"/>
      <c r="AE306" s="36"/>
      <c r="AF306" s="36"/>
      <c r="AG306" s="36"/>
      <c r="AH306" s="36"/>
      <c r="AI306" s="36"/>
      <c r="AJ306" s="36"/>
      <c r="AK306" s="242"/>
      <c r="AL306" s="36"/>
      <c r="AM306" s="36"/>
      <c r="AN306" s="36"/>
    </row>
    <row r="307" spans="6:40" ht="15" hidden="1" customHeight="1" outlineLevel="1">
      <c r="G307" s="6" t="s">
        <v>144</v>
      </c>
      <c r="H307" s="2442"/>
      <c r="I307" s="2442"/>
      <c r="J307" s="2442"/>
      <c r="K307" s="2442"/>
      <c r="L307" s="2442"/>
      <c r="M307" s="2442"/>
      <c r="N307" s="2442"/>
      <c r="O307" s="2442"/>
      <c r="P307" s="2442"/>
      <c r="Q307" s="2442"/>
      <c r="R307" s="2442"/>
      <c r="S307" s="2442"/>
      <c r="T307" s="2442"/>
      <c r="U307" s="2442"/>
      <c r="V307" s="2442"/>
      <c r="W307" s="2442"/>
      <c r="X307" s="2442"/>
      <c r="Y307" s="2442"/>
      <c r="Z307" s="2442"/>
      <c r="AA307" s="36"/>
      <c r="AB307" s="36"/>
      <c r="AC307" s="36"/>
      <c r="AD307" s="36"/>
      <c r="AE307" s="36"/>
      <c r="AF307" s="36"/>
      <c r="AG307" s="36"/>
      <c r="AH307" s="36"/>
      <c r="AI307" s="36"/>
      <c r="AJ307" s="36"/>
      <c r="AK307" s="36"/>
      <c r="AL307" s="36"/>
      <c r="AM307" s="36"/>
      <c r="AN307" s="36"/>
    </row>
    <row r="308" spans="6:40" ht="15" hidden="1" customHeight="1" outlineLevel="1">
      <c r="G308" s="6" t="s">
        <v>145</v>
      </c>
      <c r="H308" s="2442"/>
      <c r="I308" s="2442"/>
      <c r="J308" s="2442"/>
      <c r="K308" s="2442"/>
      <c r="L308" s="2442"/>
      <c r="M308" s="2442"/>
      <c r="N308" s="2442"/>
      <c r="O308" s="2442"/>
      <c r="P308" s="2442"/>
      <c r="Q308" s="2442"/>
      <c r="R308" s="2442"/>
      <c r="S308" s="2442"/>
      <c r="T308" s="2442"/>
      <c r="U308" s="2442"/>
      <c r="V308" s="2442"/>
      <c r="W308" s="2442"/>
      <c r="X308" s="2442"/>
      <c r="Y308" s="2442"/>
      <c r="Z308" s="2442"/>
      <c r="AA308" s="36"/>
      <c r="AB308" s="36"/>
      <c r="AC308" s="36"/>
      <c r="AD308" s="36"/>
      <c r="AE308" s="36"/>
      <c r="AF308" s="36"/>
      <c r="AG308" s="36"/>
      <c r="AH308" s="36"/>
      <c r="AI308" s="36"/>
      <c r="AJ308" s="36"/>
      <c r="AK308" s="36"/>
      <c r="AL308" s="36"/>
      <c r="AM308" s="36"/>
      <c r="AN308" s="36"/>
    </row>
    <row r="309" spans="6:40" ht="15" hidden="1" customHeight="1" outlineLevel="1">
      <c r="F309" s="71" t="s">
        <v>148</v>
      </c>
      <c r="G309" s="840"/>
      <c r="H309" s="2442"/>
      <c r="I309" s="2442"/>
      <c r="J309" s="2442"/>
      <c r="K309" s="2442"/>
      <c r="L309" s="2442"/>
      <c r="M309" s="2442"/>
      <c r="N309" s="2442"/>
      <c r="O309" s="2442"/>
      <c r="P309" s="2442"/>
      <c r="Q309" s="2442"/>
      <c r="R309" s="2442"/>
      <c r="S309" s="2442"/>
      <c r="T309" s="2442"/>
      <c r="U309" s="2442"/>
      <c r="V309" s="2442"/>
      <c r="W309" s="2442"/>
      <c r="X309" s="2442"/>
      <c r="Y309" s="2442"/>
      <c r="Z309" s="2442"/>
      <c r="AA309" s="36"/>
      <c r="AB309" s="36"/>
      <c r="AC309" s="36"/>
      <c r="AD309" s="36"/>
      <c r="AE309" s="36"/>
      <c r="AF309" s="36"/>
      <c r="AG309" s="36"/>
      <c r="AH309" s="36"/>
      <c r="AI309" s="36"/>
      <c r="AJ309" s="36"/>
      <c r="AK309" s="242"/>
      <c r="AL309" s="36"/>
      <c r="AM309" s="36"/>
      <c r="AN309" s="36"/>
    </row>
    <row r="310" spans="6:40" ht="15" hidden="1" customHeight="1" outlineLevel="1">
      <c r="F310" s="1"/>
      <c r="G310" s="6" t="s">
        <v>151</v>
      </c>
      <c r="H310" s="2442"/>
      <c r="I310" s="2442"/>
      <c r="J310" s="2442"/>
      <c r="K310" s="2442"/>
      <c r="L310" s="2442"/>
      <c r="M310" s="2442"/>
      <c r="N310" s="2442"/>
      <c r="O310" s="2442"/>
      <c r="P310" s="2442"/>
      <c r="Q310" s="2442"/>
      <c r="R310" s="2442"/>
      <c r="S310" s="2442"/>
      <c r="T310" s="2442"/>
      <c r="U310" s="2442"/>
      <c r="V310" s="2442"/>
      <c r="W310" s="2442"/>
      <c r="X310" s="2442"/>
      <c r="Y310" s="2442"/>
      <c r="Z310" s="2442"/>
      <c r="AA310" s="36"/>
      <c r="AB310" s="36"/>
      <c r="AC310" s="36"/>
      <c r="AD310" s="36"/>
      <c r="AE310" s="36"/>
      <c r="AF310" s="36"/>
      <c r="AG310" s="36"/>
      <c r="AH310" s="36"/>
      <c r="AI310" s="36"/>
      <c r="AJ310" s="36"/>
      <c r="AK310" s="242"/>
      <c r="AL310" s="36"/>
      <c r="AM310" s="36"/>
      <c r="AN310" s="36"/>
    </row>
    <row r="311" spans="6:40" ht="15" hidden="1" customHeight="1" outlineLevel="1">
      <c r="G311" s="6" t="s">
        <v>85</v>
      </c>
      <c r="H311" s="2442"/>
      <c r="I311" s="2442"/>
      <c r="J311" s="2442"/>
      <c r="K311" s="2442"/>
      <c r="L311" s="2442"/>
      <c r="M311" s="2442"/>
      <c r="N311" s="2442"/>
      <c r="O311" s="2442"/>
      <c r="P311" s="2442"/>
      <c r="Q311" s="2442"/>
      <c r="R311" s="2442"/>
      <c r="S311" s="2442"/>
      <c r="T311" s="2442"/>
      <c r="U311" s="2442"/>
      <c r="V311" s="2442"/>
      <c r="W311" s="2442"/>
      <c r="X311" s="2442"/>
      <c r="Y311" s="2442"/>
      <c r="Z311" s="2442"/>
      <c r="AA311" s="36"/>
      <c r="AB311" s="36"/>
      <c r="AC311" s="36"/>
      <c r="AD311" s="36"/>
      <c r="AE311" s="36"/>
      <c r="AF311" s="36"/>
      <c r="AG311" s="36"/>
      <c r="AH311" s="36"/>
      <c r="AI311" s="36"/>
      <c r="AJ311" s="36"/>
      <c r="AK311" s="242"/>
      <c r="AL311" s="36"/>
      <c r="AM311" s="36"/>
      <c r="AN311" s="36"/>
    </row>
    <row r="312" spans="6:40" ht="15" hidden="1" customHeight="1" outlineLevel="1">
      <c r="G312" s="6" t="s">
        <v>59</v>
      </c>
      <c r="H312" s="2442"/>
      <c r="I312" s="2442"/>
      <c r="J312" s="2442"/>
      <c r="K312" s="2442"/>
      <c r="L312" s="2442"/>
      <c r="M312" s="2442"/>
      <c r="N312" s="2442"/>
      <c r="O312" s="2442"/>
      <c r="P312" s="2442"/>
      <c r="Q312" s="2442"/>
      <c r="R312" s="2442"/>
      <c r="S312" s="2442"/>
      <c r="T312" s="2442"/>
      <c r="U312" s="2442"/>
      <c r="V312" s="2442"/>
      <c r="W312" s="2442"/>
      <c r="X312" s="2442"/>
      <c r="Y312" s="2442"/>
      <c r="Z312" s="2442"/>
      <c r="AA312" s="36"/>
      <c r="AB312" s="36"/>
      <c r="AC312" s="36"/>
      <c r="AD312" s="36"/>
      <c r="AE312" s="36"/>
      <c r="AF312" s="36"/>
      <c r="AG312" s="36"/>
      <c r="AH312" s="36"/>
      <c r="AI312" s="36"/>
      <c r="AJ312" s="36"/>
      <c r="AK312" s="242"/>
      <c r="AL312" s="36"/>
      <c r="AM312" s="36"/>
      <c r="AN312" s="36"/>
    </row>
    <row r="313" spans="6:40" ht="15" hidden="1" customHeight="1" outlineLevel="1">
      <c r="G313" s="6" t="s">
        <v>86</v>
      </c>
      <c r="H313" s="2442"/>
      <c r="I313" s="2442"/>
      <c r="J313" s="2442"/>
      <c r="K313" s="2442"/>
      <c r="L313" s="2442"/>
      <c r="M313" s="2442"/>
      <c r="N313" s="2442"/>
      <c r="O313" s="2442"/>
      <c r="P313" s="2442"/>
      <c r="Q313" s="2442"/>
      <c r="R313" s="2442"/>
      <c r="S313" s="2442"/>
      <c r="T313" s="2442"/>
      <c r="U313" s="2442"/>
      <c r="V313" s="2442"/>
      <c r="W313" s="2442"/>
      <c r="X313" s="2442"/>
      <c r="Y313" s="2442"/>
      <c r="Z313" s="2442"/>
      <c r="AA313" s="36"/>
      <c r="AB313" s="36"/>
      <c r="AC313" s="36"/>
      <c r="AD313" s="36"/>
      <c r="AE313" s="36"/>
      <c r="AF313" s="36"/>
      <c r="AG313" s="36"/>
      <c r="AH313" s="36"/>
      <c r="AI313" s="36"/>
      <c r="AJ313" s="36"/>
      <c r="AK313" s="36" t="s">
        <v>191</v>
      </c>
      <c r="AL313" s="36"/>
      <c r="AM313" s="36"/>
      <c r="AN313" s="36"/>
    </row>
    <row r="314" spans="6:40" ht="15" hidden="1" customHeight="1" outlineLevel="1" collapsed="1">
      <c r="G314" s="241" t="s">
        <v>133</v>
      </c>
      <c r="H314" s="2442"/>
      <c r="I314" s="2442"/>
      <c r="J314" s="2442"/>
      <c r="K314" s="2442"/>
      <c r="L314" s="2442"/>
      <c r="M314" s="2442"/>
      <c r="N314" s="2442"/>
      <c r="O314" s="2442"/>
      <c r="P314" s="2442"/>
      <c r="Q314" s="2442"/>
      <c r="R314" s="2442"/>
      <c r="S314" s="2442"/>
      <c r="T314" s="2442"/>
      <c r="U314" s="2442"/>
      <c r="V314" s="2442"/>
      <c r="W314" s="2442"/>
      <c r="X314" s="2442"/>
      <c r="Y314" s="2442"/>
      <c r="Z314" s="2442"/>
      <c r="AA314" s="36"/>
      <c r="AB314" s="36"/>
      <c r="AC314" s="36"/>
      <c r="AD314" s="36"/>
      <c r="AE314" s="36"/>
      <c r="AF314" s="36"/>
      <c r="AG314" s="36"/>
      <c r="AH314" s="36"/>
      <c r="AI314" s="36"/>
      <c r="AJ314" s="36"/>
      <c r="AK314" s="36"/>
      <c r="AL314" s="36"/>
      <c r="AM314" s="36"/>
      <c r="AN314" s="36"/>
    </row>
    <row r="315" spans="6:40" ht="15" hidden="1" customHeight="1" outlineLevel="1">
      <c r="G315" s="6" t="s">
        <v>129</v>
      </c>
      <c r="H315" s="2442"/>
      <c r="I315" s="2442"/>
      <c r="J315" s="2442"/>
      <c r="K315" s="2442"/>
      <c r="L315" s="2442"/>
      <c r="M315" s="2442"/>
      <c r="N315" s="2442"/>
      <c r="O315" s="2442"/>
      <c r="P315" s="2442"/>
      <c r="Q315" s="2442"/>
      <c r="R315" s="2442"/>
      <c r="S315" s="2442"/>
      <c r="T315" s="2442"/>
      <c r="U315" s="2442"/>
      <c r="V315" s="2442"/>
      <c r="W315" s="2442"/>
      <c r="X315" s="2442"/>
      <c r="Y315" s="2442"/>
      <c r="Z315" s="2442"/>
      <c r="AA315" s="36"/>
      <c r="AB315" s="36"/>
      <c r="AC315" s="36"/>
      <c r="AD315" s="36"/>
      <c r="AE315" s="36"/>
      <c r="AF315" s="36"/>
      <c r="AG315" s="36"/>
      <c r="AH315" s="36"/>
      <c r="AI315" s="36"/>
      <c r="AJ315" s="36"/>
      <c r="AK315" s="36"/>
      <c r="AL315" s="36"/>
      <c r="AM315" s="36"/>
      <c r="AN315" s="36"/>
    </row>
    <row r="316" spans="6:40" ht="15" hidden="1" customHeight="1" outlineLevel="1">
      <c r="G316" s="6" t="s">
        <v>206</v>
      </c>
      <c r="H316" s="2442"/>
      <c r="I316" s="2442"/>
      <c r="J316" s="2442"/>
      <c r="K316" s="2442"/>
      <c r="L316" s="2442"/>
      <c r="M316" s="2442"/>
      <c r="N316" s="2442"/>
      <c r="O316" s="2442"/>
      <c r="P316" s="2442"/>
      <c r="Q316" s="2442"/>
      <c r="R316" s="2442"/>
      <c r="S316" s="2442"/>
      <c r="T316" s="2442"/>
      <c r="U316" s="2442"/>
      <c r="V316" s="2442"/>
      <c r="W316" s="2442"/>
      <c r="X316" s="2442"/>
      <c r="Y316" s="2442"/>
      <c r="Z316" s="2442"/>
      <c r="AA316" s="36"/>
      <c r="AB316" s="36"/>
      <c r="AC316" s="36"/>
      <c r="AD316" s="36"/>
      <c r="AE316" s="36"/>
      <c r="AF316" s="36"/>
      <c r="AG316" s="36"/>
      <c r="AH316" s="36"/>
      <c r="AI316" s="36"/>
      <c r="AJ316" s="36"/>
      <c r="AK316" s="36"/>
      <c r="AL316" s="36"/>
      <c r="AM316" s="36"/>
      <c r="AN316" s="36"/>
    </row>
    <row r="317" spans="6:40" ht="15" hidden="1" customHeight="1" outlineLevel="1">
      <c r="G317" s="6" t="s">
        <v>87</v>
      </c>
      <c r="H317" s="2442"/>
      <c r="I317" s="2442"/>
      <c r="J317" s="2442"/>
      <c r="K317" s="2442"/>
      <c r="L317" s="2442"/>
      <c r="M317" s="2442"/>
      <c r="N317" s="2442"/>
      <c r="O317" s="2442"/>
      <c r="P317" s="2442"/>
      <c r="Q317" s="2442"/>
      <c r="R317" s="2442"/>
      <c r="S317" s="2442"/>
      <c r="T317" s="2442"/>
      <c r="U317" s="2442"/>
      <c r="V317" s="2442"/>
      <c r="W317" s="2442"/>
      <c r="X317" s="2442"/>
      <c r="Y317" s="2442"/>
      <c r="Z317" s="2442"/>
      <c r="AA317" s="36"/>
      <c r="AB317" s="36"/>
      <c r="AC317" s="36"/>
      <c r="AD317" s="36"/>
      <c r="AE317" s="36"/>
      <c r="AF317" s="36"/>
      <c r="AG317" s="36"/>
      <c r="AH317" s="36"/>
      <c r="AI317" s="36"/>
      <c r="AJ317" s="36"/>
      <c r="AK317" s="36"/>
      <c r="AL317" s="36"/>
      <c r="AM317" s="36"/>
      <c r="AN317" s="36"/>
    </row>
    <row r="318" spans="6:40" ht="15" hidden="1" customHeight="1" outlineLevel="1">
      <c r="G318" s="6" t="s">
        <v>203</v>
      </c>
      <c r="H318" s="2442"/>
      <c r="I318" s="2442"/>
      <c r="J318" s="2442"/>
      <c r="K318" s="2442"/>
      <c r="L318" s="2442"/>
      <c r="M318" s="2442"/>
      <c r="N318" s="2442"/>
      <c r="O318" s="2442"/>
      <c r="P318" s="2442"/>
      <c r="Q318" s="2442"/>
      <c r="R318" s="2442"/>
      <c r="S318" s="2442"/>
      <c r="T318" s="2442"/>
      <c r="U318" s="2442"/>
      <c r="V318" s="2442"/>
      <c r="W318" s="2442"/>
      <c r="X318" s="2442"/>
      <c r="Y318" s="2442"/>
      <c r="Z318" s="2442"/>
      <c r="AA318" s="36"/>
      <c r="AB318" s="36"/>
      <c r="AC318" s="36"/>
      <c r="AD318" s="36"/>
      <c r="AE318" s="36"/>
      <c r="AF318" s="36"/>
      <c r="AG318" s="36"/>
      <c r="AH318" s="36"/>
      <c r="AI318" s="36"/>
      <c r="AJ318" s="36"/>
      <c r="AK318" s="36"/>
      <c r="AL318" s="36"/>
      <c r="AM318" s="36"/>
      <c r="AN318" s="36"/>
    </row>
    <row r="319" spans="6:40" ht="15" hidden="1" customHeight="1" outlineLevel="1">
      <c r="G319" s="6" t="s">
        <v>204</v>
      </c>
      <c r="H319" s="2442"/>
      <c r="I319" s="2442"/>
      <c r="J319" s="2442"/>
      <c r="K319" s="2442"/>
      <c r="L319" s="2442"/>
      <c r="M319" s="2442"/>
      <c r="N319" s="2442"/>
      <c r="O319" s="2442"/>
      <c r="P319" s="2442"/>
      <c r="Q319" s="2442"/>
      <c r="R319" s="2442"/>
      <c r="S319" s="2442"/>
      <c r="T319" s="2442"/>
      <c r="U319" s="2442"/>
      <c r="V319" s="2442"/>
      <c r="W319" s="2442"/>
      <c r="X319" s="2442"/>
      <c r="Y319" s="2442"/>
      <c r="Z319" s="2442"/>
      <c r="AA319" s="36"/>
      <c r="AB319" s="36"/>
      <c r="AC319" s="36"/>
      <c r="AD319" s="36"/>
      <c r="AE319" s="36"/>
      <c r="AF319" s="36"/>
      <c r="AG319" s="36"/>
      <c r="AH319" s="36"/>
      <c r="AI319" s="36"/>
      <c r="AJ319" s="36"/>
      <c r="AK319" s="242"/>
      <c r="AL319" s="36"/>
      <c r="AM319" s="36"/>
      <c r="AN319" s="36"/>
    </row>
    <row r="320" spans="6:40" ht="15" hidden="1" customHeight="1" outlineLevel="1">
      <c r="G320" s="241" t="s">
        <v>134</v>
      </c>
      <c r="H320" s="2442"/>
      <c r="I320" s="2442"/>
      <c r="J320" s="2442"/>
      <c r="K320" s="2442"/>
      <c r="L320" s="2442"/>
      <c r="M320" s="2442"/>
      <c r="N320" s="2442"/>
      <c r="O320" s="2442"/>
      <c r="P320" s="2442"/>
      <c r="Q320" s="2442"/>
      <c r="R320" s="2442"/>
      <c r="S320" s="2442"/>
      <c r="T320" s="2442"/>
      <c r="U320" s="2442"/>
      <c r="V320" s="2442"/>
      <c r="W320" s="2442"/>
      <c r="X320" s="2442"/>
      <c r="Y320" s="2442"/>
      <c r="Z320" s="2442"/>
      <c r="AA320" s="36"/>
      <c r="AB320" s="36"/>
      <c r="AC320" s="36"/>
      <c r="AD320" s="36"/>
      <c r="AE320" s="36"/>
      <c r="AF320" s="36"/>
      <c r="AG320" s="36"/>
      <c r="AH320" s="36"/>
      <c r="AI320" s="36"/>
      <c r="AJ320" s="36"/>
      <c r="AK320" s="242"/>
      <c r="AL320" s="36"/>
      <c r="AM320" s="36"/>
      <c r="AN320" s="36"/>
    </row>
    <row r="321" spans="6:40" ht="15" hidden="1" customHeight="1" outlineLevel="1">
      <c r="G321" s="6" t="s">
        <v>206</v>
      </c>
      <c r="H321" s="2442"/>
      <c r="I321" s="2442"/>
      <c r="J321" s="2442"/>
      <c r="K321" s="2442"/>
      <c r="L321" s="2442"/>
      <c r="M321" s="2442"/>
      <c r="N321" s="2442"/>
      <c r="O321" s="2442"/>
      <c r="P321" s="2442"/>
      <c r="Q321" s="2442"/>
      <c r="R321" s="2442"/>
      <c r="S321" s="2442"/>
      <c r="T321" s="2442"/>
      <c r="U321" s="2442"/>
      <c r="V321" s="2442"/>
      <c r="W321" s="2442"/>
      <c r="X321" s="2442"/>
      <c r="Y321" s="2442"/>
      <c r="Z321" s="2442"/>
      <c r="AA321" s="36"/>
      <c r="AB321" s="36" t="s">
        <v>192</v>
      </c>
      <c r="AC321" s="36"/>
      <c r="AD321" s="36" t="s">
        <v>193</v>
      </c>
      <c r="AE321" s="36"/>
      <c r="AF321" s="36"/>
      <c r="AG321" s="36"/>
      <c r="AH321" s="36"/>
      <c r="AI321" s="36"/>
      <c r="AJ321" s="36"/>
      <c r="AK321" s="36"/>
      <c r="AL321" s="36"/>
      <c r="AM321" s="36"/>
      <c r="AN321" s="36"/>
    </row>
    <row r="322" spans="6:40" ht="15" hidden="1" customHeight="1" outlineLevel="1">
      <c r="G322" s="6" t="s">
        <v>87</v>
      </c>
      <c r="H322" s="2442"/>
      <c r="I322" s="2442"/>
      <c r="J322" s="2442"/>
      <c r="K322" s="2442"/>
      <c r="L322" s="2442"/>
      <c r="M322" s="2442"/>
      <c r="N322" s="2442"/>
      <c r="O322" s="2442"/>
      <c r="P322" s="2442"/>
      <c r="Q322" s="2442"/>
      <c r="R322" s="2442"/>
      <c r="S322" s="2442"/>
      <c r="T322" s="2442"/>
      <c r="U322" s="2442"/>
      <c r="V322" s="2442"/>
      <c r="W322" s="2442"/>
      <c r="X322" s="2442"/>
      <c r="Y322" s="2442"/>
      <c r="Z322" s="2442"/>
      <c r="AA322" s="36"/>
      <c r="AB322" s="36" t="s">
        <v>194</v>
      </c>
      <c r="AC322" s="36"/>
      <c r="AD322" s="36" t="s">
        <v>195</v>
      </c>
      <c r="AE322" s="36"/>
      <c r="AF322" s="36"/>
      <c r="AG322" s="36"/>
      <c r="AH322" s="36"/>
      <c r="AI322" s="36"/>
      <c r="AJ322" s="36"/>
      <c r="AK322" s="36"/>
      <c r="AL322" s="36"/>
      <c r="AM322" s="36"/>
      <c r="AN322" s="36"/>
    </row>
    <row r="323" spans="6:40" ht="15" hidden="1" customHeight="1" outlineLevel="1">
      <c r="G323" s="6" t="s">
        <v>204</v>
      </c>
      <c r="H323" s="2442"/>
      <c r="I323" s="2442"/>
      <c r="J323" s="2442"/>
      <c r="K323" s="2442"/>
      <c r="L323" s="2442"/>
      <c r="M323" s="2442"/>
      <c r="N323" s="2442"/>
      <c r="O323" s="2442"/>
      <c r="P323" s="2442"/>
      <c r="Q323" s="2442"/>
      <c r="R323" s="2442"/>
      <c r="S323" s="2442"/>
      <c r="T323" s="2442"/>
      <c r="U323" s="2442"/>
      <c r="V323" s="2442"/>
      <c r="W323" s="2442"/>
      <c r="X323" s="2442"/>
      <c r="Y323" s="2442"/>
      <c r="Z323" s="2442"/>
      <c r="AA323" s="36"/>
      <c r="AB323" s="36" t="s">
        <v>196</v>
      </c>
      <c r="AC323" s="36"/>
      <c r="AD323" s="36" t="s">
        <v>197</v>
      </c>
      <c r="AE323" s="36"/>
      <c r="AF323" s="36"/>
      <c r="AG323" s="36"/>
      <c r="AH323" s="36"/>
      <c r="AI323" s="36"/>
      <c r="AJ323" s="36"/>
      <c r="AK323" s="36"/>
      <c r="AL323" s="36"/>
      <c r="AM323" s="36"/>
      <c r="AN323" s="36"/>
    </row>
    <row r="324" spans="6:40" ht="31.5" customHeight="1" collapsed="1">
      <c r="F324" s="858" t="s">
        <v>2493</v>
      </c>
      <c r="G324" s="859"/>
      <c r="H324" s="2442"/>
      <c r="I324" s="2442"/>
      <c r="J324" s="2442"/>
      <c r="K324" s="2442"/>
      <c r="L324" s="2442"/>
      <c r="M324" s="2442"/>
      <c r="N324" s="2442"/>
      <c r="O324" s="2442"/>
      <c r="P324" s="2442"/>
      <c r="Q324" s="2442"/>
      <c r="R324" s="2442"/>
      <c r="S324" s="2442"/>
      <c r="T324" s="2442"/>
      <c r="U324" s="2442"/>
      <c r="V324" s="2442"/>
      <c r="W324" s="2442"/>
      <c r="X324" s="2442"/>
      <c r="Y324" s="2442"/>
      <c r="Z324" s="2442"/>
      <c r="AA324" s="36"/>
      <c r="AB324" s="36"/>
      <c r="AC324" s="36"/>
      <c r="AD324" s="36"/>
      <c r="AE324" s="36"/>
      <c r="AF324" s="36"/>
      <c r="AG324" s="36"/>
      <c r="AH324" s="36"/>
      <c r="AI324" s="36"/>
      <c r="AJ324" s="36"/>
      <c r="AK324" s="36"/>
      <c r="AL324" s="36"/>
      <c r="AM324" s="36"/>
      <c r="AN324" s="36"/>
    </row>
    <row r="325" spans="6:40" ht="15" hidden="1" customHeight="1" outlineLevel="1">
      <c r="F325" s="71" t="s">
        <v>149</v>
      </c>
      <c r="G325" s="71"/>
      <c r="H325" s="2442"/>
      <c r="I325" s="2442"/>
      <c r="J325" s="2442"/>
      <c r="K325" s="2442"/>
      <c r="L325" s="2442"/>
      <c r="M325" s="2442"/>
      <c r="N325" s="2442"/>
      <c r="O325" s="2442"/>
      <c r="P325" s="2442"/>
      <c r="Q325" s="2442"/>
      <c r="R325" s="2442"/>
      <c r="S325" s="2442"/>
      <c r="T325" s="2442"/>
      <c r="U325" s="2442"/>
      <c r="V325" s="2442"/>
      <c r="W325" s="2442"/>
      <c r="X325" s="2442"/>
      <c r="Y325" s="2442"/>
      <c r="Z325" s="2442"/>
      <c r="AA325" s="36"/>
      <c r="AB325" s="36"/>
      <c r="AC325" s="36"/>
      <c r="AD325" s="36"/>
      <c r="AE325" s="36"/>
      <c r="AF325" s="36"/>
      <c r="AG325" s="36"/>
      <c r="AH325" s="36"/>
      <c r="AI325" s="36"/>
      <c r="AJ325" s="36"/>
      <c r="AK325" s="242"/>
      <c r="AL325" s="36"/>
      <c r="AM325" s="36"/>
      <c r="AN325" s="36"/>
    </row>
    <row r="326" spans="6:40" ht="15" hidden="1" customHeight="1" outlineLevel="1">
      <c r="G326" s="6" t="s">
        <v>146</v>
      </c>
      <c r="H326" s="2442"/>
      <c r="I326" s="2442"/>
      <c r="J326" s="2442"/>
      <c r="K326" s="2442"/>
      <c r="L326" s="2442"/>
      <c r="M326" s="2442"/>
      <c r="N326" s="2442"/>
      <c r="O326" s="2442"/>
      <c r="P326" s="2442"/>
      <c r="Q326" s="2442"/>
      <c r="R326" s="2442"/>
      <c r="S326" s="2442"/>
      <c r="T326" s="2442"/>
      <c r="U326" s="2442"/>
      <c r="V326" s="2442"/>
      <c r="W326" s="2442"/>
      <c r="X326" s="2442"/>
      <c r="Y326" s="2442"/>
      <c r="Z326" s="2442"/>
      <c r="AA326" s="36"/>
      <c r="AB326" s="36"/>
      <c r="AC326" s="36"/>
      <c r="AD326" s="36"/>
      <c r="AE326" s="36"/>
      <c r="AF326" s="36"/>
      <c r="AG326" s="36"/>
      <c r="AH326" s="36"/>
      <c r="AI326" s="36"/>
      <c r="AJ326" s="36"/>
      <c r="AK326" s="242"/>
      <c r="AL326" s="36"/>
      <c r="AM326" s="36"/>
      <c r="AN326" s="36"/>
    </row>
    <row r="327" spans="6:40" ht="15" hidden="1" customHeight="1" outlineLevel="1">
      <c r="G327" s="6" t="s">
        <v>147</v>
      </c>
      <c r="H327" s="2442"/>
      <c r="I327" s="2442"/>
      <c r="J327" s="2442"/>
      <c r="K327" s="2442"/>
      <c r="L327" s="2442"/>
      <c r="M327" s="2442"/>
      <c r="N327" s="2442"/>
      <c r="O327" s="2442"/>
      <c r="P327" s="2442"/>
      <c r="Q327" s="2442"/>
      <c r="R327" s="2442"/>
      <c r="S327" s="2442"/>
      <c r="T327" s="2442"/>
      <c r="U327" s="2442"/>
      <c r="V327" s="2442"/>
      <c r="W327" s="2442"/>
      <c r="X327" s="2442"/>
      <c r="Y327" s="2442"/>
      <c r="Z327" s="2442"/>
      <c r="AA327" s="36"/>
      <c r="AB327" s="36"/>
      <c r="AC327" s="36"/>
      <c r="AD327" s="36"/>
      <c r="AE327" s="36"/>
      <c r="AF327" s="36"/>
      <c r="AG327" s="36"/>
      <c r="AH327" s="36"/>
      <c r="AI327" s="36"/>
      <c r="AJ327" s="36"/>
      <c r="AK327" s="242"/>
      <c r="AL327" s="36"/>
      <c r="AM327" s="36"/>
      <c r="AN327" s="36"/>
    </row>
    <row r="328" spans="6:40" ht="15" hidden="1" customHeight="1" outlineLevel="1">
      <c r="G328" s="6" t="s">
        <v>142</v>
      </c>
      <c r="H328" s="2442"/>
      <c r="I328" s="2442"/>
      <c r="J328" s="2442"/>
      <c r="K328" s="2442"/>
      <c r="L328" s="2442"/>
      <c r="M328" s="2442"/>
      <c r="N328" s="2442"/>
      <c r="O328" s="2442"/>
      <c r="P328" s="2442"/>
      <c r="Q328" s="2442"/>
      <c r="R328" s="2442"/>
      <c r="S328" s="2442"/>
      <c r="T328" s="2442"/>
      <c r="U328" s="2442"/>
      <c r="V328" s="2442"/>
      <c r="W328" s="2442"/>
      <c r="X328" s="2442"/>
      <c r="Y328" s="2442"/>
      <c r="Z328" s="2442"/>
      <c r="AA328" s="36"/>
      <c r="AB328" s="36"/>
      <c r="AC328" s="36"/>
      <c r="AD328" s="36"/>
      <c r="AE328" s="36"/>
      <c r="AF328" s="36"/>
      <c r="AG328" s="36"/>
      <c r="AH328" s="36"/>
      <c r="AI328" s="36"/>
      <c r="AJ328" s="36"/>
      <c r="AK328" s="36"/>
      <c r="AL328" s="36"/>
      <c r="AM328" s="36"/>
      <c r="AN328" s="36"/>
    </row>
    <row r="329" spans="6:40" ht="15" hidden="1" customHeight="1" outlineLevel="1">
      <c r="G329" s="241" t="s">
        <v>150</v>
      </c>
      <c r="H329" s="2442"/>
      <c r="I329" s="2442"/>
      <c r="J329" s="2442"/>
      <c r="K329" s="2442"/>
      <c r="L329" s="2442"/>
      <c r="M329" s="2442"/>
      <c r="N329" s="2442"/>
      <c r="O329" s="2442"/>
      <c r="P329" s="2442"/>
      <c r="Q329" s="2442"/>
      <c r="R329" s="2442"/>
      <c r="S329" s="2442"/>
      <c r="T329" s="2442"/>
      <c r="U329" s="2442"/>
      <c r="V329" s="2442"/>
      <c r="W329" s="2442"/>
      <c r="X329" s="2442"/>
      <c r="Y329" s="2442"/>
      <c r="Z329" s="2442"/>
      <c r="AA329" s="36"/>
      <c r="AB329" s="36"/>
      <c r="AC329" s="36"/>
      <c r="AD329" s="36"/>
      <c r="AE329" s="36"/>
      <c r="AF329" s="36"/>
      <c r="AG329" s="36"/>
      <c r="AH329" s="36"/>
      <c r="AI329" s="36"/>
      <c r="AJ329" s="36"/>
      <c r="AK329" s="36"/>
      <c r="AL329" s="36"/>
      <c r="AM329" s="36"/>
      <c r="AN329" s="36"/>
    </row>
    <row r="330" spans="6:40" ht="15" hidden="1" customHeight="1" outlineLevel="1">
      <c r="G330" s="6" t="s">
        <v>140</v>
      </c>
      <c r="H330" s="2442"/>
      <c r="I330" s="2442"/>
      <c r="J330" s="2442"/>
      <c r="K330" s="2442"/>
      <c r="L330" s="2442"/>
      <c r="M330" s="2442"/>
      <c r="N330" s="2442"/>
      <c r="O330" s="2442"/>
      <c r="P330" s="2442"/>
      <c r="Q330" s="2442"/>
      <c r="R330" s="2442"/>
      <c r="S330" s="2442"/>
      <c r="T330" s="2442"/>
      <c r="U330" s="2442"/>
      <c r="V330" s="2442"/>
      <c r="W330" s="2442"/>
      <c r="X330" s="2442"/>
      <c r="Y330" s="2442"/>
      <c r="Z330" s="2442"/>
      <c r="AA330" s="36"/>
      <c r="AB330" s="36"/>
      <c r="AC330" s="36"/>
      <c r="AD330" s="36"/>
      <c r="AE330" s="36"/>
      <c r="AF330" s="36"/>
      <c r="AG330" s="36"/>
      <c r="AH330" s="36"/>
      <c r="AI330" s="36"/>
      <c r="AJ330" s="36"/>
      <c r="AK330" s="36"/>
      <c r="AL330" s="36"/>
      <c r="AM330" s="36"/>
      <c r="AN330" s="36"/>
    </row>
    <row r="331" spans="6:40" ht="15" hidden="1" customHeight="1" outlineLevel="1">
      <c r="G331" s="6" t="s">
        <v>141</v>
      </c>
      <c r="H331" s="2442"/>
      <c r="I331" s="2442"/>
      <c r="J331" s="2442"/>
      <c r="K331" s="2442"/>
      <c r="L331" s="2442"/>
      <c r="M331" s="2442"/>
      <c r="N331" s="2442"/>
      <c r="O331" s="2442"/>
      <c r="P331" s="2442"/>
      <c r="Q331" s="2442"/>
      <c r="R331" s="2442"/>
      <c r="S331" s="2442"/>
      <c r="T331" s="2442"/>
      <c r="U331" s="2442"/>
      <c r="V331" s="2442"/>
      <c r="W331" s="2442"/>
      <c r="X331" s="2442"/>
      <c r="Y331" s="2442"/>
      <c r="Z331" s="2442"/>
      <c r="AA331" s="36"/>
      <c r="AB331" s="36"/>
      <c r="AC331" s="36"/>
      <c r="AD331" s="36"/>
      <c r="AE331" s="36"/>
      <c r="AF331" s="36"/>
      <c r="AG331" s="36"/>
      <c r="AH331" s="36"/>
      <c r="AI331" s="36"/>
      <c r="AJ331" s="36"/>
      <c r="AK331" s="36"/>
      <c r="AL331" s="36"/>
      <c r="AM331" s="36"/>
      <c r="AN331" s="36"/>
    </row>
    <row r="332" spans="6:40" ht="15" hidden="1" customHeight="1" outlineLevel="1">
      <c r="G332" s="6" t="s">
        <v>143</v>
      </c>
      <c r="H332" s="2442"/>
      <c r="I332" s="2442"/>
      <c r="J332" s="2442"/>
      <c r="K332" s="2442"/>
      <c r="L332" s="2442"/>
      <c r="M332" s="2442"/>
      <c r="N332" s="2442"/>
      <c r="O332" s="2442"/>
      <c r="P332" s="2442"/>
      <c r="Q332" s="2442"/>
      <c r="R332" s="2442"/>
      <c r="S332" s="2442"/>
      <c r="T332" s="2442"/>
      <c r="U332" s="2442"/>
      <c r="V332" s="2442"/>
      <c r="W332" s="2442"/>
      <c r="X332" s="2442"/>
      <c r="Y332" s="2442"/>
      <c r="Z332" s="2442"/>
      <c r="AA332" s="36"/>
      <c r="AB332" s="36"/>
      <c r="AC332" s="36"/>
      <c r="AD332" s="36"/>
      <c r="AE332" s="36"/>
      <c r="AF332" s="36"/>
      <c r="AG332" s="36"/>
      <c r="AH332" s="36"/>
      <c r="AI332" s="36"/>
      <c r="AJ332" s="36"/>
      <c r="AK332" s="36"/>
      <c r="AL332" s="36"/>
      <c r="AM332" s="36"/>
      <c r="AN332" s="36"/>
    </row>
    <row r="333" spans="6:40" ht="15" hidden="1" customHeight="1" outlineLevel="1">
      <c r="G333" s="6" t="s">
        <v>144</v>
      </c>
      <c r="H333" s="2442"/>
      <c r="I333" s="2442"/>
      <c r="J333" s="2442"/>
      <c r="K333" s="2442"/>
      <c r="L333" s="2442"/>
      <c r="M333" s="2442"/>
      <c r="N333" s="2442"/>
      <c r="O333" s="2442"/>
      <c r="P333" s="2442"/>
      <c r="Q333" s="2442"/>
      <c r="R333" s="2442"/>
      <c r="S333" s="2442"/>
      <c r="T333" s="2442"/>
      <c r="U333" s="2442"/>
      <c r="V333" s="2442"/>
      <c r="W333" s="2442"/>
      <c r="X333" s="2442"/>
      <c r="Y333" s="2442"/>
      <c r="Z333" s="2442"/>
      <c r="AA333" s="36"/>
      <c r="AB333" s="36"/>
      <c r="AC333" s="36"/>
      <c r="AD333" s="36"/>
      <c r="AE333" s="36"/>
      <c r="AF333" s="36"/>
      <c r="AG333" s="36"/>
      <c r="AH333" s="36"/>
      <c r="AI333" s="36"/>
      <c r="AJ333" s="36"/>
      <c r="AK333" s="242"/>
      <c r="AL333" s="36"/>
      <c r="AM333" s="36"/>
      <c r="AN333" s="36"/>
    </row>
    <row r="334" spans="6:40" ht="15" hidden="1" customHeight="1" outlineLevel="1">
      <c r="G334" s="6" t="s">
        <v>145</v>
      </c>
      <c r="H334" s="2442"/>
      <c r="I334" s="2442"/>
      <c r="J334" s="2442"/>
      <c r="K334" s="2442"/>
      <c r="L334" s="2442"/>
      <c r="M334" s="2442"/>
      <c r="N334" s="2442"/>
      <c r="O334" s="2442"/>
      <c r="P334" s="2442"/>
      <c r="Q334" s="2442"/>
      <c r="R334" s="2442"/>
      <c r="S334" s="2442"/>
      <c r="T334" s="2442"/>
      <c r="U334" s="2442"/>
      <c r="V334" s="2442"/>
      <c r="W334" s="2442"/>
      <c r="X334" s="2442"/>
      <c r="Y334" s="2442"/>
      <c r="Z334" s="2442"/>
      <c r="AA334" s="36"/>
      <c r="AB334" s="36"/>
      <c r="AC334" s="36"/>
      <c r="AD334" s="36"/>
      <c r="AE334" s="36"/>
      <c r="AF334" s="36"/>
      <c r="AG334" s="36"/>
      <c r="AH334" s="36"/>
      <c r="AI334" s="36"/>
      <c r="AJ334" s="36"/>
      <c r="AK334" s="242"/>
      <c r="AL334" s="36"/>
      <c r="AM334" s="36"/>
      <c r="AN334" s="36"/>
    </row>
    <row r="335" spans="6:40" ht="15" hidden="1" customHeight="1" outlineLevel="1">
      <c r="G335" s="241" t="s">
        <v>841</v>
      </c>
      <c r="H335" s="2442"/>
      <c r="I335" s="2442"/>
      <c r="J335" s="2442"/>
      <c r="K335" s="2442"/>
      <c r="L335" s="2442"/>
      <c r="M335" s="2442"/>
      <c r="N335" s="2442"/>
      <c r="O335" s="2442"/>
      <c r="P335" s="2442"/>
      <c r="Q335" s="2442"/>
      <c r="R335" s="2442"/>
      <c r="S335" s="2442"/>
      <c r="T335" s="2442"/>
      <c r="U335" s="2442"/>
      <c r="V335" s="2442"/>
      <c r="W335" s="2442"/>
      <c r="X335" s="2442"/>
      <c r="Y335" s="2442"/>
      <c r="Z335" s="2442"/>
      <c r="AA335" s="36"/>
      <c r="AB335" s="36"/>
      <c r="AC335" s="36"/>
      <c r="AD335" s="36"/>
      <c r="AE335" s="36"/>
      <c r="AF335" s="36"/>
      <c r="AG335" s="36"/>
      <c r="AH335" s="36"/>
      <c r="AI335" s="36"/>
      <c r="AJ335" s="36"/>
      <c r="AK335" s="242"/>
      <c r="AL335" s="36"/>
      <c r="AM335" s="36"/>
      <c r="AN335" s="36"/>
    </row>
    <row r="336" spans="6:40" ht="15" hidden="1" customHeight="1" outlineLevel="1">
      <c r="G336" s="6" t="s">
        <v>144</v>
      </c>
      <c r="H336" s="2442"/>
      <c r="I336" s="2442"/>
      <c r="J336" s="2442"/>
      <c r="K336" s="2442"/>
      <c r="L336" s="2442"/>
      <c r="M336" s="2442"/>
      <c r="N336" s="2442"/>
      <c r="O336" s="2442"/>
      <c r="P336" s="2442"/>
      <c r="Q336" s="2442"/>
      <c r="R336" s="2442"/>
      <c r="S336" s="2442"/>
      <c r="T336" s="2442"/>
      <c r="U336" s="2442"/>
      <c r="V336" s="2442"/>
      <c r="W336" s="2442"/>
      <c r="X336" s="2442"/>
      <c r="Y336" s="2442"/>
      <c r="Z336" s="2442"/>
      <c r="AA336" s="36"/>
      <c r="AB336" s="36"/>
      <c r="AC336" s="36"/>
      <c r="AD336" s="36"/>
      <c r="AE336" s="36"/>
      <c r="AF336" s="36"/>
      <c r="AG336" s="36"/>
      <c r="AH336" s="36"/>
      <c r="AI336" s="36"/>
      <c r="AJ336" s="36"/>
      <c r="AK336" s="36"/>
      <c r="AL336" s="36"/>
      <c r="AM336" s="36"/>
      <c r="AN336" s="36"/>
    </row>
    <row r="337" spans="6:40" ht="15" hidden="1" customHeight="1" outlineLevel="1">
      <c r="G337" s="6" t="s">
        <v>145</v>
      </c>
      <c r="H337" s="2442"/>
      <c r="I337" s="2442"/>
      <c r="J337" s="2442"/>
      <c r="K337" s="2442"/>
      <c r="L337" s="2442"/>
      <c r="M337" s="2442"/>
      <c r="N337" s="2442"/>
      <c r="O337" s="2442"/>
      <c r="P337" s="2442"/>
      <c r="Q337" s="2442"/>
      <c r="R337" s="2442"/>
      <c r="S337" s="2442"/>
      <c r="T337" s="2442"/>
      <c r="U337" s="2442"/>
      <c r="V337" s="2442"/>
      <c r="W337" s="2442"/>
      <c r="X337" s="2442"/>
      <c r="Y337" s="2442"/>
      <c r="Z337" s="2442"/>
      <c r="AA337" s="36"/>
      <c r="AB337" s="36"/>
      <c r="AC337" s="36"/>
      <c r="AD337" s="36"/>
      <c r="AE337" s="36"/>
      <c r="AF337" s="36"/>
      <c r="AG337" s="36"/>
      <c r="AH337" s="36"/>
      <c r="AI337" s="36"/>
      <c r="AJ337" s="36"/>
      <c r="AK337" s="36"/>
      <c r="AL337" s="36"/>
      <c r="AM337" s="36"/>
      <c r="AN337" s="36"/>
    </row>
    <row r="338" spans="6:40" ht="15" hidden="1" customHeight="1" outlineLevel="1">
      <c r="F338" s="71" t="s">
        <v>148</v>
      </c>
      <c r="G338" s="840"/>
      <c r="H338" s="2442"/>
      <c r="I338" s="2442"/>
      <c r="J338" s="2442"/>
      <c r="K338" s="2442"/>
      <c r="L338" s="2442"/>
      <c r="M338" s="2442"/>
      <c r="N338" s="2442"/>
      <c r="O338" s="2442"/>
      <c r="P338" s="2442"/>
      <c r="Q338" s="2442"/>
      <c r="R338" s="2442"/>
      <c r="S338" s="2442"/>
      <c r="T338" s="2442"/>
      <c r="U338" s="2442"/>
      <c r="V338" s="2442"/>
      <c r="W338" s="2442"/>
      <c r="X338" s="2442"/>
      <c r="Y338" s="2442"/>
      <c r="Z338" s="2442"/>
      <c r="AA338" s="36"/>
      <c r="AB338" s="36"/>
      <c r="AC338" s="36"/>
      <c r="AD338" s="36"/>
      <c r="AE338" s="36"/>
      <c r="AF338" s="36"/>
      <c r="AG338" s="36"/>
      <c r="AH338" s="36"/>
      <c r="AI338" s="36"/>
      <c r="AJ338" s="36"/>
      <c r="AK338" s="242"/>
      <c r="AL338" s="36"/>
      <c r="AM338" s="36"/>
      <c r="AN338" s="36"/>
    </row>
    <row r="339" spans="6:40" ht="15" hidden="1" customHeight="1" outlineLevel="1">
      <c r="F339" s="1"/>
      <c r="G339" s="6" t="s">
        <v>151</v>
      </c>
      <c r="H339" s="2442"/>
      <c r="I339" s="2442"/>
      <c r="J339" s="2442"/>
      <c r="K339" s="2442"/>
      <c r="L339" s="2442"/>
      <c r="M339" s="2442"/>
      <c r="N339" s="2442"/>
      <c r="O339" s="2442"/>
      <c r="P339" s="2442"/>
      <c r="Q339" s="2442"/>
      <c r="R339" s="2442"/>
      <c r="S339" s="2442"/>
      <c r="T339" s="2442"/>
      <c r="U339" s="2442"/>
      <c r="V339" s="2442"/>
      <c r="W339" s="2442"/>
      <c r="X339" s="2442"/>
      <c r="Y339" s="2442"/>
      <c r="Z339" s="2442"/>
      <c r="AA339" s="36"/>
      <c r="AB339" s="36"/>
      <c r="AC339" s="36"/>
      <c r="AD339" s="36"/>
      <c r="AE339" s="36"/>
      <c r="AF339" s="36"/>
      <c r="AG339" s="36"/>
      <c r="AH339" s="36"/>
      <c r="AI339" s="36"/>
      <c r="AJ339" s="36"/>
      <c r="AK339" s="242"/>
      <c r="AL339" s="36"/>
      <c r="AM339" s="36"/>
      <c r="AN339" s="36"/>
    </row>
    <row r="340" spans="6:40" ht="15" hidden="1" customHeight="1" outlineLevel="1">
      <c r="G340" s="6" t="s">
        <v>85</v>
      </c>
      <c r="H340" s="2442"/>
      <c r="I340" s="2442"/>
      <c r="J340" s="2442"/>
      <c r="K340" s="2442"/>
      <c r="L340" s="2442"/>
      <c r="M340" s="2442"/>
      <c r="N340" s="2442"/>
      <c r="O340" s="2442"/>
      <c r="P340" s="2442"/>
      <c r="Q340" s="2442"/>
      <c r="R340" s="2442"/>
      <c r="S340" s="2442"/>
      <c r="T340" s="2442"/>
      <c r="U340" s="2442"/>
      <c r="V340" s="2442"/>
      <c r="W340" s="2442"/>
      <c r="X340" s="2442"/>
      <c r="Y340" s="2442"/>
      <c r="Z340" s="2442"/>
      <c r="AA340" s="36"/>
      <c r="AB340" s="36"/>
      <c r="AC340" s="36"/>
      <c r="AD340" s="36"/>
      <c r="AE340" s="36"/>
      <c r="AF340" s="36"/>
      <c r="AG340" s="36"/>
      <c r="AH340" s="36"/>
      <c r="AI340" s="36"/>
      <c r="AJ340" s="36"/>
      <c r="AK340" s="242"/>
      <c r="AL340" s="36"/>
      <c r="AM340" s="36"/>
      <c r="AN340" s="36"/>
    </row>
    <row r="341" spans="6:40" ht="15" hidden="1" customHeight="1" outlineLevel="1">
      <c r="G341" s="6" t="s">
        <v>59</v>
      </c>
      <c r="H341" s="2442"/>
      <c r="I341" s="2442"/>
      <c r="J341" s="2442"/>
      <c r="K341" s="2442"/>
      <c r="L341" s="2442"/>
      <c r="M341" s="2442"/>
      <c r="N341" s="2442"/>
      <c r="O341" s="2442"/>
      <c r="P341" s="2442"/>
      <c r="Q341" s="2442"/>
      <c r="R341" s="2442"/>
      <c r="S341" s="2442"/>
      <c r="T341" s="2442"/>
      <c r="U341" s="2442"/>
      <c r="V341" s="2442"/>
      <c r="W341" s="2442"/>
      <c r="X341" s="2442"/>
      <c r="Y341" s="2442"/>
      <c r="Z341" s="2442"/>
      <c r="AA341" s="36"/>
      <c r="AB341" s="36"/>
      <c r="AC341" s="36"/>
      <c r="AD341" s="36"/>
      <c r="AE341" s="36"/>
      <c r="AF341" s="36"/>
      <c r="AG341" s="36"/>
      <c r="AH341" s="36"/>
      <c r="AI341" s="36"/>
      <c r="AJ341" s="36"/>
      <c r="AK341" s="242"/>
      <c r="AL341" s="36"/>
      <c r="AM341" s="36"/>
      <c r="AN341" s="36"/>
    </row>
    <row r="342" spans="6:40" ht="15" hidden="1" customHeight="1" outlineLevel="1">
      <c r="G342" s="6" t="s">
        <v>86</v>
      </c>
      <c r="H342" s="2442"/>
      <c r="I342" s="2442"/>
      <c r="J342" s="2442"/>
      <c r="K342" s="2442"/>
      <c r="L342" s="2442"/>
      <c r="M342" s="2442"/>
      <c r="N342" s="2442"/>
      <c r="O342" s="2442"/>
      <c r="P342" s="2442"/>
      <c r="Q342" s="2442"/>
      <c r="R342" s="2442"/>
      <c r="S342" s="2442"/>
      <c r="T342" s="2442"/>
      <c r="U342" s="2442"/>
      <c r="V342" s="2442"/>
      <c r="W342" s="2442"/>
      <c r="X342" s="2442"/>
      <c r="Y342" s="2442"/>
      <c r="Z342" s="2442"/>
      <c r="AA342" s="36"/>
      <c r="AB342" s="36"/>
      <c r="AC342" s="36"/>
      <c r="AD342" s="36"/>
      <c r="AE342" s="36"/>
      <c r="AF342" s="36"/>
      <c r="AG342" s="36"/>
      <c r="AH342" s="36"/>
      <c r="AI342" s="36"/>
      <c r="AJ342" s="36"/>
      <c r="AK342" s="36" t="s">
        <v>191</v>
      </c>
      <c r="AL342" s="36"/>
      <c r="AM342" s="36"/>
      <c r="AN342" s="36"/>
    </row>
    <row r="343" spans="6:40" ht="15" hidden="1" customHeight="1" outlineLevel="1" collapsed="1">
      <c r="G343" s="241" t="s">
        <v>133</v>
      </c>
      <c r="H343" s="2442"/>
      <c r="I343" s="2442"/>
      <c r="J343" s="2442"/>
      <c r="K343" s="2442"/>
      <c r="L343" s="2442"/>
      <c r="M343" s="2442"/>
      <c r="N343" s="2442"/>
      <c r="O343" s="2442"/>
      <c r="P343" s="2442"/>
      <c r="Q343" s="2442"/>
      <c r="R343" s="2442"/>
      <c r="S343" s="2442"/>
      <c r="T343" s="2442"/>
      <c r="U343" s="2442"/>
      <c r="V343" s="2442"/>
      <c r="W343" s="2442"/>
      <c r="X343" s="2442"/>
      <c r="Y343" s="2442"/>
      <c r="Z343" s="2442"/>
      <c r="AA343" s="36"/>
      <c r="AB343" s="36"/>
      <c r="AC343" s="36"/>
      <c r="AD343" s="36"/>
      <c r="AE343" s="36"/>
      <c r="AF343" s="36"/>
      <c r="AG343" s="36"/>
      <c r="AH343" s="36"/>
      <c r="AI343" s="36"/>
      <c r="AJ343" s="36"/>
      <c r="AK343" s="36"/>
      <c r="AL343" s="36"/>
      <c r="AM343" s="36"/>
      <c r="AN343" s="36"/>
    </row>
    <row r="344" spans="6:40" ht="15" hidden="1" customHeight="1" outlineLevel="1">
      <c r="G344" s="6" t="s">
        <v>129</v>
      </c>
      <c r="H344" s="2442"/>
      <c r="I344" s="2442"/>
      <c r="J344" s="2442"/>
      <c r="K344" s="2442"/>
      <c r="L344" s="2442"/>
      <c r="M344" s="2442"/>
      <c r="N344" s="2442"/>
      <c r="O344" s="2442"/>
      <c r="P344" s="2442"/>
      <c r="Q344" s="2442"/>
      <c r="R344" s="2442"/>
      <c r="S344" s="2442"/>
      <c r="T344" s="2442"/>
      <c r="U344" s="2442"/>
      <c r="V344" s="2442"/>
      <c r="W344" s="2442"/>
      <c r="X344" s="2442"/>
      <c r="Y344" s="2442"/>
      <c r="Z344" s="2442"/>
      <c r="AA344" s="36"/>
      <c r="AB344" s="36"/>
      <c r="AC344" s="36"/>
      <c r="AD344" s="36"/>
      <c r="AE344" s="36"/>
      <c r="AF344" s="36"/>
      <c r="AG344" s="36"/>
      <c r="AH344" s="36"/>
      <c r="AI344" s="36"/>
      <c r="AJ344" s="36"/>
      <c r="AK344" s="36"/>
      <c r="AL344" s="36"/>
      <c r="AM344" s="36"/>
      <c r="AN344" s="36"/>
    </row>
    <row r="345" spans="6:40" ht="15" hidden="1" customHeight="1" outlineLevel="1">
      <c r="G345" s="6" t="s">
        <v>206</v>
      </c>
      <c r="H345" s="2442"/>
      <c r="I345" s="2442"/>
      <c r="J345" s="2442"/>
      <c r="K345" s="2442"/>
      <c r="L345" s="2442"/>
      <c r="M345" s="2442"/>
      <c r="N345" s="2442"/>
      <c r="O345" s="2442"/>
      <c r="P345" s="2442"/>
      <c r="Q345" s="2442"/>
      <c r="R345" s="2442"/>
      <c r="S345" s="2442"/>
      <c r="T345" s="2442"/>
      <c r="U345" s="2442"/>
      <c r="V345" s="2442"/>
      <c r="W345" s="2442"/>
      <c r="X345" s="2442"/>
      <c r="Y345" s="2442"/>
      <c r="Z345" s="2442"/>
      <c r="AA345" s="36"/>
      <c r="AB345" s="36"/>
      <c r="AC345" s="36"/>
      <c r="AD345" s="36"/>
      <c r="AE345" s="36"/>
      <c r="AF345" s="36"/>
      <c r="AG345" s="36"/>
      <c r="AH345" s="36"/>
      <c r="AI345" s="36"/>
      <c r="AJ345" s="36"/>
      <c r="AK345" s="36"/>
      <c r="AL345" s="36"/>
      <c r="AM345" s="36"/>
      <c r="AN345" s="36"/>
    </row>
    <row r="346" spans="6:40" ht="15" hidden="1" customHeight="1" outlineLevel="1">
      <c r="G346" s="6" t="s">
        <v>87</v>
      </c>
      <c r="H346" s="2442"/>
      <c r="I346" s="2442"/>
      <c r="J346" s="2442"/>
      <c r="K346" s="2442"/>
      <c r="L346" s="2442"/>
      <c r="M346" s="2442"/>
      <c r="N346" s="2442"/>
      <c r="O346" s="2442"/>
      <c r="P346" s="2442"/>
      <c r="Q346" s="2442"/>
      <c r="R346" s="2442"/>
      <c r="S346" s="2442"/>
      <c r="T346" s="2442"/>
      <c r="U346" s="2442"/>
      <c r="V346" s="2442"/>
      <c r="W346" s="2442"/>
      <c r="X346" s="2442"/>
      <c r="Y346" s="2442"/>
      <c r="Z346" s="2442"/>
      <c r="AA346" s="36"/>
      <c r="AB346" s="36"/>
      <c r="AC346" s="36"/>
      <c r="AD346" s="36"/>
      <c r="AE346" s="36"/>
      <c r="AF346" s="36"/>
      <c r="AG346" s="36"/>
      <c r="AH346" s="36"/>
      <c r="AI346" s="36"/>
      <c r="AJ346" s="36"/>
      <c r="AK346" s="36"/>
      <c r="AL346" s="36"/>
      <c r="AM346" s="36"/>
      <c r="AN346" s="36"/>
    </row>
    <row r="347" spans="6:40" ht="15" hidden="1" customHeight="1" outlineLevel="1">
      <c r="G347" s="6" t="s">
        <v>203</v>
      </c>
      <c r="H347" s="2442"/>
      <c r="I347" s="2442"/>
      <c r="J347" s="2442"/>
      <c r="K347" s="2442"/>
      <c r="L347" s="2442"/>
      <c r="M347" s="2442"/>
      <c r="N347" s="2442"/>
      <c r="O347" s="2442"/>
      <c r="P347" s="2442"/>
      <c r="Q347" s="2442"/>
      <c r="R347" s="2442"/>
      <c r="S347" s="2442"/>
      <c r="T347" s="2442"/>
      <c r="U347" s="2442"/>
      <c r="V347" s="2442"/>
      <c r="W347" s="2442"/>
      <c r="X347" s="2442"/>
      <c r="Y347" s="2442"/>
      <c r="Z347" s="2442"/>
      <c r="AA347" s="36"/>
      <c r="AB347" s="36"/>
      <c r="AC347" s="36"/>
      <c r="AD347" s="36"/>
      <c r="AE347" s="36"/>
      <c r="AF347" s="36"/>
      <c r="AG347" s="36"/>
      <c r="AH347" s="36"/>
      <c r="AI347" s="36"/>
      <c r="AJ347" s="36"/>
      <c r="AK347" s="36"/>
      <c r="AL347" s="36"/>
      <c r="AM347" s="36"/>
      <c r="AN347" s="36"/>
    </row>
    <row r="348" spans="6:40" ht="15" hidden="1" customHeight="1" outlineLevel="1">
      <c r="G348" s="6" t="s">
        <v>204</v>
      </c>
      <c r="H348" s="2442"/>
      <c r="I348" s="2442"/>
      <c r="J348" s="2442"/>
      <c r="K348" s="2442"/>
      <c r="L348" s="2442"/>
      <c r="M348" s="2442"/>
      <c r="N348" s="2442"/>
      <c r="O348" s="2442"/>
      <c r="P348" s="2442"/>
      <c r="Q348" s="2442"/>
      <c r="R348" s="2442"/>
      <c r="S348" s="2442"/>
      <c r="T348" s="2442"/>
      <c r="U348" s="2442"/>
      <c r="V348" s="2442"/>
      <c r="W348" s="2442"/>
      <c r="X348" s="2442"/>
      <c r="Y348" s="2442"/>
      <c r="Z348" s="2442"/>
      <c r="AA348" s="36"/>
      <c r="AB348" s="36"/>
      <c r="AC348" s="36"/>
      <c r="AD348" s="36"/>
      <c r="AE348" s="36"/>
      <c r="AF348" s="36"/>
      <c r="AG348" s="36"/>
      <c r="AH348" s="36"/>
      <c r="AI348" s="36"/>
      <c r="AJ348" s="36"/>
      <c r="AK348" s="242"/>
      <c r="AL348" s="36"/>
      <c r="AM348" s="36"/>
      <c r="AN348" s="36"/>
    </row>
    <row r="349" spans="6:40" ht="15" hidden="1" customHeight="1" outlineLevel="1">
      <c r="G349" s="241" t="s">
        <v>134</v>
      </c>
      <c r="H349" s="2442"/>
      <c r="I349" s="2442"/>
      <c r="J349" s="2442"/>
      <c r="K349" s="2442"/>
      <c r="L349" s="2442"/>
      <c r="M349" s="2442"/>
      <c r="N349" s="2442"/>
      <c r="O349" s="2442"/>
      <c r="P349" s="2442"/>
      <c r="Q349" s="2442"/>
      <c r="R349" s="2442"/>
      <c r="S349" s="2442"/>
      <c r="T349" s="2442"/>
      <c r="U349" s="2442"/>
      <c r="V349" s="2442"/>
      <c r="W349" s="2442"/>
      <c r="X349" s="2442"/>
      <c r="Y349" s="2442"/>
      <c r="Z349" s="2442"/>
      <c r="AA349" s="36"/>
      <c r="AB349" s="36"/>
      <c r="AC349" s="36"/>
      <c r="AD349" s="36"/>
      <c r="AE349" s="36"/>
      <c r="AF349" s="36"/>
      <c r="AG349" s="36"/>
      <c r="AH349" s="36"/>
      <c r="AI349" s="36"/>
      <c r="AJ349" s="36"/>
      <c r="AK349" s="242"/>
      <c r="AL349" s="36"/>
      <c r="AM349" s="36"/>
      <c r="AN349" s="36"/>
    </row>
    <row r="350" spans="6:40" ht="15" hidden="1" customHeight="1" outlineLevel="1">
      <c r="G350" s="6" t="s">
        <v>206</v>
      </c>
      <c r="H350" s="2442"/>
      <c r="I350" s="2442"/>
      <c r="J350" s="2442"/>
      <c r="K350" s="2442"/>
      <c r="L350" s="2442"/>
      <c r="M350" s="2442"/>
      <c r="N350" s="2442"/>
      <c r="O350" s="2442"/>
      <c r="P350" s="2442"/>
      <c r="Q350" s="2442"/>
      <c r="R350" s="2442"/>
      <c r="S350" s="2442"/>
      <c r="T350" s="2442"/>
      <c r="U350" s="2442"/>
      <c r="V350" s="2442"/>
      <c r="W350" s="2442"/>
      <c r="X350" s="2442"/>
      <c r="Y350" s="2442"/>
      <c r="Z350" s="2442"/>
      <c r="AA350" s="36"/>
      <c r="AB350" s="36" t="s">
        <v>192</v>
      </c>
      <c r="AC350" s="36"/>
      <c r="AD350" s="36" t="s">
        <v>193</v>
      </c>
      <c r="AE350" s="36"/>
      <c r="AF350" s="36"/>
      <c r="AG350" s="36"/>
      <c r="AH350" s="36"/>
      <c r="AI350" s="36"/>
      <c r="AJ350" s="36"/>
      <c r="AK350" s="36"/>
      <c r="AL350" s="36"/>
      <c r="AM350" s="36"/>
      <c r="AN350" s="36"/>
    </row>
    <row r="351" spans="6:40" ht="15" hidden="1" customHeight="1" outlineLevel="1">
      <c r="G351" s="6" t="s">
        <v>87</v>
      </c>
      <c r="H351" s="2442"/>
      <c r="I351" s="2442"/>
      <c r="J351" s="2442"/>
      <c r="K351" s="2442"/>
      <c r="L351" s="2442"/>
      <c r="M351" s="2442"/>
      <c r="N351" s="2442"/>
      <c r="O351" s="2442"/>
      <c r="P351" s="2442"/>
      <c r="Q351" s="2442"/>
      <c r="R351" s="2442"/>
      <c r="S351" s="2442"/>
      <c r="T351" s="2442"/>
      <c r="U351" s="2442"/>
      <c r="V351" s="2442"/>
      <c r="W351" s="2442"/>
      <c r="X351" s="2442"/>
      <c r="Y351" s="2442"/>
      <c r="Z351" s="2442"/>
      <c r="AA351" s="36"/>
      <c r="AB351" s="36" t="s">
        <v>194</v>
      </c>
      <c r="AC351" s="36"/>
      <c r="AD351" s="36" t="s">
        <v>195</v>
      </c>
      <c r="AE351" s="36"/>
      <c r="AF351" s="36"/>
      <c r="AG351" s="36"/>
      <c r="AH351" s="36"/>
      <c r="AI351" s="36"/>
      <c r="AJ351" s="36"/>
      <c r="AK351" s="36"/>
      <c r="AL351" s="36"/>
      <c r="AM351" s="36"/>
      <c r="AN351" s="36"/>
    </row>
    <row r="352" spans="6:40" ht="15" hidden="1" customHeight="1" outlineLevel="1">
      <c r="G352" s="6" t="s">
        <v>204</v>
      </c>
      <c r="H352" s="2442"/>
      <c r="I352" s="2442"/>
      <c r="J352" s="2442"/>
      <c r="K352" s="2442"/>
      <c r="L352" s="2442"/>
      <c r="M352" s="2442"/>
      <c r="N352" s="2442"/>
      <c r="O352" s="2442"/>
      <c r="P352" s="2442"/>
      <c r="Q352" s="2442"/>
      <c r="R352" s="2442"/>
      <c r="S352" s="2442"/>
      <c r="T352" s="2442"/>
      <c r="U352" s="2442"/>
      <c r="V352" s="2442"/>
      <c r="W352" s="2442"/>
      <c r="X352" s="2442"/>
      <c r="Y352" s="2442"/>
      <c r="Z352" s="2442"/>
      <c r="AA352" s="36"/>
      <c r="AB352" s="36" t="s">
        <v>196</v>
      </c>
      <c r="AC352" s="36"/>
      <c r="AD352" s="36" t="s">
        <v>197</v>
      </c>
      <c r="AE352" s="36"/>
      <c r="AF352" s="36"/>
      <c r="AG352" s="36"/>
      <c r="AH352" s="36"/>
      <c r="AI352" s="36"/>
      <c r="AJ352" s="36"/>
      <c r="AK352" s="36"/>
      <c r="AL352" s="36"/>
      <c r="AM352" s="36"/>
      <c r="AN352" s="36"/>
    </row>
    <row r="353" spans="6:40" ht="15" customHeight="1" collapsed="1">
      <c r="H353" s="2442"/>
      <c r="I353" s="2442"/>
      <c r="J353" s="2442"/>
      <c r="K353" s="2442"/>
      <c r="L353" s="2442"/>
      <c r="M353" s="2442"/>
      <c r="N353" s="2442"/>
      <c r="O353" s="2442"/>
      <c r="P353" s="2442"/>
      <c r="Q353" s="2442"/>
      <c r="R353" s="2442"/>
      <c r="S353" s="2442"/>
      <c r="T353" s="2442"/>
      <c r="U353" s="2442"/>
      <c r="V353" s="2442"/>
      <c r="W353" s="2442"/>
      <c r="X353" s="2442"/>
      <c r="Y353" s="2442"/>
      <c r="Z353" s="2442"/>
      <c r="AA353" s="36"/>
      <c r="AB353" s="36"/>
      <c r="AC353" s="36"/>
      <c r="AD353" s="36"/>
      <c r="AE353" s="36"/>
      <c r="AF353" s="36"/>
      <c r="AG353" s="36"/>
      <c r="AH353" s="36"/>
      <c r="AI353" s="36"/>
      <c r="AJ353" s="36"/>
      <c r="AK353" s="36"/>
      <c r="AL353" s="36"/>
      <c r="AM353" s="36"/>
      <c r="AN353" s="36"/>
    </row>
    <row r="354" spans="6:40" ht="15" customHeight="1">
      <c r="H354" s="2442"/>
      <c r="I354" s="2442"/>
      <c r="J354" s="2442"/>
      <c r="K354" s="2442"/>
      <c r="L354" s="2442"/>
      <c r="M354" s="2442"/>
      <c r="N354" s="2442"/>
      <c r="O354" s="2442"/>
      <c r="P354" s="2442"/>
      <c r="Q354" s="2442"/>
      <c r="R354" s="2442"/>
      <c r="S354" s="2442"/>
      <c r="T354" s="2442"/>
      <c r="U354" s="2442"/>
      <c r="V354" s="2442"/>
      <c r="W354" s="2442"/>
      <c r="X354" s="2442"/>
      <c r="Y354" s="2442"/>
      <c r="Z354" s="2442"/>
      <c r="AA354" s="36"/>
      <c r="AB354" s="36"/>
      <c r="AC354" s="36"/>
      <c r="AD354" s="36"/>
      <c r="AE354" s="36"/>
      <c r="AF354" s="36"/>
      <c r="AG354" s="36"/>
      <c r="AH354" s="36"/>
      <c r="AI354" s="36"/>
      <c r="AJ354" s="36"/>
      <c r="AK354" s="36"/>
      <c r="AL354" s="36"/>
      <c r="AM354" s="36"/>
      <c r="AN354" s="36"/>
    </row>
    <row r="355" spans="6:40" ht="30.75" customHeight="1">
      <c r="F355" s="854" t="s">
        <v>156</v>
      </c>
      <c r="G355" s="855"/>
      <c r="H355" s="2442"/>
      <c r="I355" s="2442"/>
      <c r="J355" s="2442"/>
      <c r="K355" s="2442"/>
      <c r="L355" s="2442"/>
      <c r="M355" s="2442"/>
      <c r="N355" s="2442"/>
      <c r="O355" s="2442"/>
      <c r="P355" s="2442"/>
      <c r="Q355" s="2442"/>
      <c r="R355" s="2442"/>
      <c r="S355" s="2442"/>
      <c r="T355" s="2442"/>
      <c r="U355" s="2442"/>
      <c r="V355" s="2442"/>
      <c r="W355" s="2442"/>
      <c r="X355" s="2442"/>
      <c r="Y355" s="2442"/>
      <c r="Z355" s="2442"/>
      <c r="AA355" s="36"/>
      <c r="AB355" s="36"/>
      <c r="AC355" s="36"/>
      <c r="AD355" s="36"/>
      <c r="AE355" s="36"/>
      <c r="AF355" s="36"/>
      <c r="AG355" s="36"/>
      <c r="AH355" s="36"/>
      <c r="AI355" s="36"/>
      <c r="AJ355" s="36"/>
      <c r="AK355" s="242"/>
      <c r="AL355" s="36"/>
      <c r="AM355" s="36"/>
      <c r="AN355" s="36"/>
    </row>
    <row r="356" spans="6:40" ht="15" hidden="1" customHeight="1" outlineLevel="1">
      <c r="F356" s="77" t="s">
        <v>149</v>
      </c>
      <c r="G356" s="77"/>
      <c r="H356" s="2442"/>
      <c r="I356" s="2442"/>
      <c r="J356" s="2442"/>
      <c r="K356" s="2442"/>
      <c r="L356" s="2442"/>
      <c r="M356" s="2442"/>
      <c r="N356" s="2442"/>
      <c r="O356" s="2442"/>
      <c r="P356" s="2442"/>
      <c r="Q356" s="2442"/>
      <c r="R356" s="2442"/>
      <c r="S356" s="2442"/>
      <c r="T356" s="2442"/>
      <c r="U356" s="2442"/>
      <c r="V356" s="2442"/>
      <c r="W356" s="2442"/>
      <c r="X356" s="2442"/>
      <c r="Y356" s="2442"/>
      <c r="Z356" s="2442"/>
      <c r="AA356" s="36"/>
      <c r="AB356" s="36"/>
      <c r="AC356" s="36"/>
      <c r="AD356" s="36"/>
      <c r="AE356" s="36"/>
      <c r="AF356" s="36"/>
      <c r="AG356" s="36"/>
      <c r="AH356" s="36"/>
      <c r="AI356" s="36"/>
      <c r="AJ356" s="36"/>
      <c r="AK356" s="242"/>
      <c r="AL356" s="36"/>
      <c r="AM356" s="36"/>
      <c r="AN356" s="36"/>
    </row>
    <row r="357" spans="6:40" ht="15" hidden="1" customHeight="1" outlineLevel="1">
      <c r="G357" s="6" t="s">
        <v>146</v>
      </c>
      <c r="H357" s="2442"/>
      <c r="I357" s="2442"/>
      <c r="J357" s="2442"/>
      <c r="K357" s="2442"/>
      <c r="L357" s="2442"/>
      <c r="M357" s="2442"/>
      <c r="N357" s="2442"/>
      <c r="O357" s="2442"/>
      <c r="P357" s="2442"/>
      <c r="Q357" s="2442"/>
      <c r="R357" s="2442"/>
      <c r="S357" s="2442"/>
      <c r="T357" s="2442"/>
      <c r="U357" s="2442"/>
      <c r="V357" s="2442"/>
      <c r="W357" s="2442"/>
      <c r="X357" s="2442"/>
      <c r="Y357" s="2442"/>
      <c r="Z357" s="2442"/>
      <c r="AA357" s="36"/>
      <c r="AB357" s="36"/>
      <c r="AC357" s="36"/>
      <c r="AD357" s="36"/>
      <c r="AE357" s="36"/>
      <c r="AF357" s="36"/>
      <c r="AG357" s="36"/>
      <c r="AH357" s="36"/>
      <c r="AI357" s="36"/>
      <c r="AJ357" s="36"/>
      <c r="AK357" s="242"/>
      <c r="AL357" s="36"/>
      <c r="AM357" s="36"/>
      <c r="AN357" s="36"/>
    </row>
    <row r="358" spans="6:40" ht="15" hidden="1" customHeight="1" outlineLevel="1">
      <c r="G358" s="6" t="s">
        <v>147</v>
      </c>
      <c r="H358" s="2442"/>
      <c r="I358" s="2442"/>
      <c r="J358" s="2442"/>
      <c r="K358" s="2442"/>
      <c r="L358" s="2442"/>
      <c r="M358" s="2442"/>
      <c r="N358" s="2442"/>
      <c r="O358" s="2442"/>
      <c r="P358" s="2442"/>
      <c r="Q358" s="2442"/>
      <c r="R358" s="2442"/>
      <c r="S358" s="2442"/>
      <c r="T358" s="2442"/>
      <c r="U358" s="2442"/>
      <c r="V358" s="2442"/>
      <c r="W358" s="2442"/>
      <c r="X358" s="2442"/>
      <c r="Y358" s="2442"/>
      <c r="Z358" s="2442"/>
      <c r="AA358" s="36"/>
      <c r="AB358" s="36"/>
      <c r="AC358" s="36"/>
      <c r="AD358" s="36"/>
      <c r="AE358" s="36"/>
      <c r="AF358" s="36"/>
      <c r="AG358" s="36"/>
      <c r="AH358" s="36"/>
      <c r="AI358" s="36"/>
      <c r="AJ358" s="36"/>
      <c r="AK358" s="36"/>
      <c r="AL358" s="36"/>
      <c r="AM358" s="36"/>
      <c r="AN358" s="36"/>
    </row>
    <row r="359" spans="6:40" ht="15" hidden="1" customHeight="1" outlineLevel="1">
      <c r="G359" s="6" t="s">
        <v>142</v>
      </c>
      <c r="H359" s="2442"/>
      <c r="I359" s="2442"/>
      <c r="J359" s="2442"/>
      <c r="K359" s="2442"/>
      <c r="L359" s="2442"/>
      <c r="M359" s="2442"/>
      <c r="N359" s="2442"/>
      <c r="O359" s="2442"/>
      <c r="P359" s="2442"/>
      <c r="Q359" s="2442"/>
      <c r="R359" s="2442"/>
      <c r="S359" s="2442"/>
      <c r="T359" s="2442"/>
      <c r="U359" s="2442"/>
      <c r="V359" s="2442"/>
      <c r="W359" s="2442"/>
      <c r="X359" s="2442"/>
      <c r="Y359" s="2442"/>
      <c r="Z359" s="2442"/>
      <c r="AA359" s="36"/>
      <c r="AB359" s="36"/>
      <c r="AC359" s="36"/>
      <c r="AD359" s="36"/>
      <c r="AE359" s="36"/>
      <c r="AF359" s="36"/>
      <c r="AG359" s="36"/>
      <c r="AH359" s="36"/>
      <c r="AI359" s="36"/>
      <c r="AJ359" s="36"/>
      <c r="AK359" s="36"/>
      <c r="AL359" s="36"/>
      <c r="AM359" s="36"/>
      <c r="AN359" s="36"/>
    </row>
    <row r="360" spans="6:40" ht="15" hidden="1" customHeight="1" outlineLevel="1">
      <c r="G360" s="241" t="s">
        <v>150</v>
      </c>
      <c r="H360" s="2442"/>
      <c r="I360" s="2442"/>
      <c r="J360" s="2442"/>
      <c r="K360" s="2442"/>
      <c r="L360" s="2442"/>
      <c r="M360" s="2442"/>
      <c r="N360" s="2442"/>
      <c r="O360" s="2442"/>
      <c r="P360" s="2442"/>
      <c r="Q360" s="2442"/>
      <c r="R360" s="2442"/>
      <c r="S360" s="2442"/>
      <c r="T360" s="2442"/>
      <c r="U360" s="2442"/>
      <c r="V360" s="2442"/>
      <c r="W360" s="2442"/>
      <c r="X360" s="2442"/>
      <c r="Y360" s="2442"/>
      <c r="Z360" s="2442"/>
      <c r="AA360" s="36"/>
      <c r="AB360" s="36"/>
      <c r="AC360" s="36"/>
      <c r="AD360" s="36"/>
      <c r="AE360" s="36"/>
      <c r="AF360" s="36"/>
      <c r="AG360" s="36"/>
      <c r="AH360" s="36"/>
      <c r="AI360" s="36"/>
      <c r="AJ360" s="36"/>
      <c r="AK360" s="36"/>
      <c r="AL360" s="36"/>
      <c r="AM360" s="36"/>
      <c r="AN360" s="36"/>
    </row>
    <row r="361" spans="6:40" ht="15" hidden="1" customHeight="1" outlineLevel="1">
      <c r="G361" s="6" t="s">
        <v>140</v>
      </c>
      <c r="H361" s="2442"/>
      <c r="I361" s="2442"/>
      <c r="J361" s="2442"/>
      <c r="K361" s="2442"/>
      <c r="L361" s="2442"/>
      <c r="M361" s="2442"/>
      <c r="N361" s="2442"/>
      <c r="O361" s="2442"/>
      <c r="P361" s="2442"/>
      <c r="Q361" s="2442"/>
      <c r="R361" s="2442"/>
      <c r="S361" s="2442"/>
      <c r="T361" s="2442"/>
      <c r="U361" s="2442"/>
      <c r="V361" s="2442"/>
      <c r="W361" s="2442"/>
      <c r="X361" s="2442"/>
      <c r="Y361" s="2442"/>
      <c r="Z361" s="2442"/>
      <c r="AA361" s="36"/>
      <c r="AB361" s="36"/>
      <c r="AC361" s="36"/>
      <c r="AD361" s="36"/>
      <c r="AE361" s="36"/>
      <c r="AF361" s="36"/>
      <c r="AG361" s="36"/>
      <c r="AH361" s="36"/>
      <c r="AI361" s="36"/>
      <c r="AJ361" s="36"/>
      <c r="AK361" s="36"/>
      <c r="AL361" s="36"/>
      <c r="AM361" s="36"/>
      <c r="AN361" s="36"/>
    </row>
    <row r="362" spans="6:40" ht="15" hidden="1" customHeight="1" outlineLevel="1">
      <c r="G362" s="6" t="s">
        <v>141</v>
      </c>
      <c r="H362" s="2442"/>
      <c r="I362" s="2442"/>
      <c r="J362" s="2442"/>
      <c r="K362" s="2442"/>
      <c r="L362" s="2442"/>
      <c r="M362" s="2442"/>
      <c r="N362" s="2442"/>
      <c r="O362" s="2442"/>
      <c r="P362" s="2442"/>
      <c r="Q362" s="2442"/>
      <c r="R362" s="2442"/>
      <c r="S362" s="2442"/>
      <c r="T362" s="2442"/>
      <c r="U362" s="2442"/>
      <c r="V362" s="2442"/>
      <c r="W362" s="2442"/>
      <c r="X362" s="2442"/>
      <c r="Y362" s="2442"/>
      <c r="Z362" s="2442"/>
      <c r="AA362" s="36"/>
      <c r="AB362" s="36"/>
      <c r="AC362" s="36"/>
      <c r="AD362" s="36"/>
      <c r="AE362" s="36"/>
      <c r="AF362" s="36"/>
      <c r="AG362" s="36"/>
      <c r="AH362" s="36"/>
      <c r="AI362" s="36"/>
      <c r="AJ362" s="36"/>
      <c r="AK362" s="36"/>
      <c r="AL362" s="36"/>
      <c r="AM362" s="36"/>
      <c r="AN362" s="36"/>
    </row>
    <row r="363" spans="6:40" ht="15" hidden="1" customHeight="1" outlineLevel="1">
      <c r="G363" s="6" t="s">
        <v>143</v>
      </c>
      <c r="H363" s="2442"/>
      <c r="I363" s="2442"/>
      <c r="J363" s="2442"/>
      <c r="K363" s="2442"/>
      <c r="L363" s="2442"/>
      <c r="M363" s="2442"/>
      <c r="N363" s="2442"/>
      <c r="O363" s="2442"/>
      <c r="P363" s="2442"/>
      <c r="Q363" s="2442"/>
      <c r="R363" s="2442"/>
      <c r="S363" s="2442"/>
      <c r="T363" s="2442"/>
      <c r="U363" s="2442"/>
      <c r="V363" s="2442"/>
      <c r="W363" s="2442"/>
      <c r="X363" s="2442"/>
      <c r="Y363" s="2442"/>
      <c r="Z363" s="2442"/>
      <c r="AA363" s="36"/>
      <c r="AB363" s="36"/>
      <c r="AC363" s="36"/>
      <c r="AD363" s="36"/>
      <c r="AE363" s="36"/>
      <c r="AF363" s="36"/>
      <c r="AG363" s="36"/>
      <c r="AH363" s="36"/>
      <c r="AI363" s="36"/>
      <c r="AJ363" s="36"/>
      <c r="AK363" s="242"/>
      <c r="AL363" s="36"/>
      <c r="AM363" s="36"/>
      <c r="AN363" s="36"/>
    </row>
    <row r="364" spans="6:40" ht="15" hidden="1" customHeight="1" outlineLevel="1">
      <c r="G364" s="6" t="s">
        <v>144</v>
      </c>
      <c r="H364" s="2442"/>
      <c r="I364" s="2442"/>
      <c r="J364" s="2442"/>
      <c r="K364" s="2442"/>
      <c r="L364" s="2442"/>
      <c r="M364" s="2442"/>
      <c r="N364" s="2442"/>
      <c r="O364" s="2442"/>
      <c r="P364" s="2442"/>
      <c r="Q364" s="2442"/>
      <c r="R364" s="2442"/>
      <c r="S364" s="2442"/>
      <c r="T364" s="2442"/>
      <c r="U364" s="2442"/>
      <c r="V364" s="2442"/>
      <c r="W364" s="2442"/>
      <c r="X364" s="2442"/>
      <c r="Y364" s="2442"/>
      <c r="Z364" s="2442"/>
      <c r="AA364" s="36"/>
      <c r="AB364" s="36"/>
      <c r="AC364" s="36"/>
      <c r="AD364" s="36"/>
      <c r="AE364" s="36"/>
      <c r="AF364" s="36"/>
      <c r="AG364" s="36"/>
      <c r="AH364" s="36"/>
      <c r="AI364" s="36"/>
      <c r="AJ364" s="36"/>
      <c r="AK364" s="242"/>
      <c r="AL364" s="36"/>
      <c r="AM364" s="36"/>
      <c r="AN364" s="36"/>
    </row>
    <row r="365" spans="6:40" ht="15" hidden="1" customHeight="1" outlineLevel="1">
      <c r="G365" s="6" t="s">
        <v>145</v>
      </c>
      <c r="H365" s="2442"/>
      <c r="I365" s="2442"/>
      <c r="J365" s="2442"/>
      <c r="K365" s="2442"/>
      <c r="L365" s="2442"/>
      <c r="M365" s="2442"/>
      <c r="N365" s="2442"/>
      <c r="O365" s="2442"/>
      <c r="P365" s="2442"/>
      <c r="Q365" s="2442"/>
      <c r="R365" s="2442"/>
      <c r="S365" s="2442"/>
      <c r="T365" s="2442"/>
      <c r="U365" s="2442"/>
      <c r="V365" s="2442"/>
      <c r="W365" s="2442"/>
      <c r="X365" s="2442"/>
      <c r="Y365" s="2442"/>
      <c r="Z365" s="2442"/>
      <c r="AA365" s="36"/>
      <c r="AB365" s="36"/>
      <c r="AC365" s="36"/>
      <c r="AD365" s="36"/>
      <c r="AE365" s="36"/>
      <c r="AF365" s="36"/>
      <c r="AG365" s="36"/>
      <c r="AH365" s="36"/>
      <c r="AI365" s="36"/>
      <c r="AJ365" s="36"/>
      <c r="AK365" s="242"/>
      <c r="AL365" s="36"/>
      <c r="AM365" s="36"/>
      <c r="AN365" s="36"/>
    </row>
    <row r="366" spans="6:40" ht="15" hidden="1" customHeight="1" outlineLevel="1">
      <c r="G366" s="241" t="s">
        <v>841</v>
      </c>
      <c r="H366" s="2442"/>
      <c r="I366" s="2442"/>
      <c r="J366" s="2442"/>
      <c r="K366" s="2442"/>
      <c r="L366" s="2442"/>
      <c r="M366" s="2442"/>
      <c r="N366" s="2442"/>
      <c r="O366" s="2442"/>
      <c r="P366" s="2442"/>
      <c r="Q366" s="2442"/>
      <c r="R366" s="2442"/>
      <c r="S366" s="2442"/>
      <c r="T366" s="2442"/>
      <c r="U366" s="2442"/>
      <c r="V366" s="2442"/>
      <c r="W366" s="2442"/>
      <c r="X366" s="2442"/>
      <c r="Y366" s="2442"/>
      <c r="Z366" s="2442"/>
      <c r="AA366" s="36"/>
      <c r="AB366" s="36"/>
      <c r="AC366" s="36"/>
      <c r="AD366" s="36"/>
      <c r="AE366" s="36"/>
      <c r="AF366" s="36"/>
      <c r="AG366" s="36"/>
      <c r="AH366" s="36"/>
      <c r="AI366" s="36"/>
      <c r="AJ366" s="36"/>
      <c r="AK366" s="36"/>
      <c r="AL366" s="36"/>
      <c r="AM366" s="36"/>
      <c r="AN366" s="36"/>
    </row>
    <row r="367" spans="6:40" ht="15" hidden="1" customHeight="1" outlineLevel="1">
      <c r="G367" s="6" t="s">
        <v>144</v>
      </c>
      <c r="H367" s="2442"/>
      <c r="I367" s="2442"/>
      <c r="J367" s="2442"/>
      <c r="K367" s="2442"/>
      <c r="L367" s="2442"/>
      <c r="M367" s="2442"/>
      <c r="N367" s="2442"/>
      <c r="O367" s="2442"/>
      <c r="P367" s="2442"/>
      <c r="Q367" s="2442"/>
      <c r="R367" s="2442"/>
      <c r="S367" s="2442"/>
      <c r="T367" s="2442"/>
      <c r="U367" s="2442"/>
      <c r="V367" s="2442"/>
      <c r="W367" s="2442"/>
      <c r="X367" s="2442"/>
      <c r="Y367" s="2442"/>
      <c r="Z367" s="2442"/>
      <c r="AA367" s="36"/>
      <c r="AB367" s="36"/>
      <c r="AC367" s="36"/>
      <c r="AD367" s="36"/>
      <c r="AE367" s="36"/>
      <c r="AF367" s="36"/>
      <c r="AG367" s="36"/>
      <c r="AH367" s="36"/>
      <c r="AI367" s="36"/>
      <c r="AJ367" s="36"/>
      <c r="AK367" s="36"/>
      <c r="AL367" s="36"/>
      <c r="AM367" s="36"/>
      <c r="AN367" s="36"/>
    </row>
    <row r="368" spans="6:40" ht="15" hidden="1" customHeight="1" outlineLevel="1">
      <c r="G368" s="6" t="s">
        <v>145</v>
      </c>
      <c r="H368" s="2442"/>
      <c r="I368" s="2442"/>
      <c r="J368" s="2442"/>
      <c r="K368" s="2442"/>
      <c r="L368" s="2442"/>
      <c r="M368" s="2442"/>
      <c r="N368" s="2442"/>
      <c r="O368" s="2442"/>
      <c r="P368" s="2442"/>
      <c r="Q368" s="2442"/>
      <c r="R368" s="2442"/>
      <c r="S368" s="2442"/>
      <c r="T368" s="2442"/>
      <c r="U368" s="2442"/>
      <c r="V368" s="2442"/>
      <c r="W368" s="2442"/>
      <c r="X368" s="2442"/>
      <c r="Y368" s="2442"/>
      <c r="Z368" s="2442"/>
      <c r="AA368" s="36"/>
      <c r="AB368" s="36"/>
      <c r="AC368" s="36"/>
      <c r="AD368" s="36"/>
      <c r="AE368" s="36"/>
      <c r="AF368" s="36"/>
      <c r="AG368" s="36"/>
      <c r="AH368" s="36"/>
      <c r="AI368" s="36"/>
      <c r="AJ368" s="36"/>
      <c r="AK368" s="36"/>
      <c r="AL368" s="36"/>
      <c r="AM368" s="36"/>
      <c r="AN368" s="36"/>
    </row>
    <row r="369" spans="6:40" ht="15" hidden="1" customHeight="1" outlineLevel="1">
      <c r="F369" s="77" t="s">
        <v>148</v>
      </c>
      <c r="G369" s="845"/>
      <c r="H369" s="2442"/>
      <c r="I369" s="2442"/>
      <c r="J369" s="2442"/>
      <c r="K369" s="2442"/>
      <c r="L369" s="2442"/>
      <c r="M369" s="2442"/>
      <c r="N369" s="2442"/>
      <c r="O369" s="2442"/>
      <c r="P369" s="2442"/>
      <c r="Q369" s="2442"/>
      <c r="R369" s="2442"/>
      <c r="S369" s="2442"/>
      <c r="T369" s="2442"/>
      <c r="U369" s="2442"/>
      <c r="V369" s="2442"/>
      <c r="W369" s="2442"/>
      <c r="X369" s="2442"/>
      <c r="Y369" s="2442"/>
      <c r="Z369" s="2442"/>
      <c r="AA369" s="36"/>
      <c r="AB369" s="36"/>
      <c r="AC369" s="36"/>
      <c r="AD369" s="36"/>
      <c r="AE369" s="36"/>
      <c r="AF369" s="36"/>
      <c r="AG369" s="36"/>
      <c r="AH369" s="36"/>
      <c r="AI369" s="36"/>
      <c r="AJ369" s="36"/>
      <c r="AK369" s="242"/>
      <c r="AL369" s="36"/>
      <c r="AM369" s="36"/>
      <c r="AN369" s="36"/>
    </row>
    <row r="370" spans="6:40" ht="15" hidden="1" customHeight="1" outlineLevel="1">
      <c r="F370" s="1"/>
      <c r="G370" s="6" t="s">
        <v>151</v>
      </c>
      <c r="H370" s="2442"/>
      <c r="I370" s="2442"/>
      <c r="J370" s="2442"/>
      <c r="K370" s="2442"/>
      <c r="L370" s="2442"/>
      <c r="M370" s="2442"/>
      <c r="N370" s="2442"/>
      <c r="O370" s="2442"/>
      <c r="P370" s="2442"/>
      <c r="Q370" s="2442"/>
      <c r="R370" s="2442"/>
      <c r="S370" s="2442"/>
      <c r="T370" s="2442"/>
      <c r="U370" s="2442"/>
      <c r="V370" s="2442"/>
      <c r="W370" s="2442"/>
      <c r="X370" s="2442"/>
      <c r="Y370" s="2442"/>
      <c r="Z370" s="2442"/>
      <c r="AA370" s="36"/>
      <c r="AB370" s="36"/>
      <c r="AC370" s="36"/>
      <c r="AD370" s="36"/>
      <c r="AE370" s="36"/>
      <c r="AF370" s="36"/>
      <c r="AG370" s="36"/>
      <c r="AH370" s="36"/>
      <c r="AI370" s="36"/>
      <c r="AJ370" s="36"/>
      <c r="AK370" s="242"/>
      <c r="AL370" s="36"/>
      <c r="AM370" s="36"/>
      <c r="AN370" s="36"/>
    </row>
    <row r="371" spans="6:40" ht="15" hidden="1" customHeight="1" outlineLevel="1">
      <c r="G371" s="6" t="s">
        <v>85</v>
      </c>
      <c r="H371" s="2442"/>
      <c r="I371" s="2442"/>
      <c r="J371" s="2442"/>
      <c r="K371" s="2442"/>
      <c r="L371" s="2442"/>
      <c r="M371" s="2442"/>
      <c r="N371" s="2442"/>
      <c r="O371" s="2442"/>
      <c r="P371" s="2442"/>
      <c r="Q371" s="2442"/>
      <c r="R371" s="2442"/>
      <c r="S371" s="2442"/>
      <c r="T371" s="2442"/>
      <c r="U371" s="2442"/>
      <c r="V371" s="2442"/>
      <c r="W371" s="2442"/>
      <c r="X371" s="2442"/>
      <c r="Y371" s="2442"/>
      <c r="Z371" s="2442"/>
      <c r="AA371" s="36"/>
      <c r="AB371" s="36"/>
      <c r="AC371" s="36"/>
      <c r="AD371" s="36"/>
      <c r="AE371" s="36"/>
      <c r="AF371" s="36"/>
      <c r="AG371" s="36"/>
      <c r="AH371" s="36"/>
      <c r="AI371" s="36"/>
      <c r="AJ371" s="36"/>
      <c r="AK371" s="242"/>
      <c r="AL371" s="36"/>
      <c r="AM371" s="36"/>
      <c r="AN371" s="36"/>
    </row>
    <row r="372" spans="6:40" ht="15" hidden="1" customHeight="1" outlineLevel="1">
      <c r="G372" s="6" t="s">
        <v>59</v>
      </c>
      <c r="H372" s="2442"/>
      <c r="I372" s="2442"/>
      <c r="J372" s="2442"/>
      <c r="K372" s="2442"/>
      <c r="L372" s="2442"/>
      <c r="M372" s="2442"/>
      <c r="N372" s="2442"/>
      <c r="O372" s="2442"/>
      <c r="P372" s="2442"/>
      <c r="Q372" s="2442"/>
      <c r="R372" s="2442"/>
      <c r="S372" s="2442"/>
      <c r="T372" s="2442"/>
      <c r="U372" s="2442"/>
      <c r="V372" s="2442"/>
      <c r="W372" s="2442"/>
      <c r="X372" s="2442"/>
      <c r="Y372" s="2442"/>
      <c r="Z372" s="2442"/>
      <c r="AA372" s="36"/>
      <c r="AB372" s="36"/>
      <c r="AC372" s="36"/>
      <c r="AD372" s="36"/>
      <c r="AE372" s="36"/>
      <c r="AF372" s="36"/>
      <c r="AG372" s="36"/>
      <c r="AH372" s="36"/>
      <c r="AI372" s="36"/>
      <c r="AJ372" s="36"/>
      <c r="AK372" s="242"/>
      <c r="AL372" s="36"/>
      <c r="AM372" s="36"/>
      <c r="AN372" s="36"/>
    </row>
    <row r="373" spans="6:40" ht="15" hidden="1" customHeight="1" outlineLevel="1">
      <c r="G373" s="6" t="s">
        <v>86</v>
      </c>
      <c r="H373" s="2442"/>
      <c r="I373" s="2442"/>
      <c r="J373" s="2442"/>
      <c r="K373" s="2442"/>
      <c r="L373" s="2442"/>
      <c r="M373" s="2442"/>
      <c r="N373" s="2442"/>
      <c r="O373" s="2442"/>
      <c r="P373" s="2442"/>
      <c r="Q373" s="2442"/>
      <c r="R373" s="2442"/>
      <c r="S373" s="2442"/>
      <c r="T373" s="2442"/>
      <c r="U373" s="2442"/>
      <c r="V373" s="2442"/>
      <c r="W373" s="2442"/>
      <c r="X373" s="2442"/>
      <c r="Y373" s="2442"/>
      <c r="Z373" s="2442"/>
      <c r="AA373" s="36"/>
      <c r="AB373" s="36"/>
      <c r="AC373" s="36"/>
      <c r="AD373" s="36"/>
      <c r="AE373" s="36"/>
      <c r="AF373" s="36"/>
      <c r="AG373" s="36"/>
      <c r="AH373" s="36"/>
      <c r="AI373" s="36"/>
      <c r="AJ373" s="36"/>
      <c r="AK373" s="36" t="s">
        <v>191</v>
      </c>
      <c r="AL373" s="36"/>
      <c r="AM373" s="36"/>
      <c r="AN373" s="36"/>
    </row>
    <row r="374" spans="6:40" ht="15" hidden="1" customHeight="1" outlineLevel="1" collapsed="1">
      <c r="G374" s="241" t="s">
        <v>133</v>
      </c>
      <c r="H374" s="2442"/>
      <c r="I374" s="2442"/>
      <c r="J374" s="2442"/>
      <c r="K374" s="2442"/>
      <c r="L374" s="2442"/>
      <c r="M374" s="2442"/>
      <c r="N374" s="2442"/>
      <c r="O374" s="2442"/>
      <c r="P374" s="2442"/>
      <c r="Q374" s="2442"/>
      <c r="R374" s="2442"/>
      <c r="S374" s="2442"/>
      <c r="T374" s="2442"/>
      <c r="U374" s="2442"/>
      <c r="V374" s="2442"/>
      <c r="W374" s="2442"/>
      <c r="X374" s="2442"/>
      <c r="Y374" s="2442"/>
      <c r="Z374" s="2442"/>
      <c r="AA374" s="36"/>
      <c r="AB374" s="36"/>
      <c r="AC374" s="36"/>
      <c r="AD374" s="36"/>
      <c r="AE374" s="36"/>
      <c r="AF374" s="36"/>
      <c r="AG374" s="36"/>
      <c r="AH374" s="36"/>
      <c r="AI374" s="36"/>
      <c r="AJ374" s="36"/>
      <c r="AK374" s="36"/>
      <c r="AL374" s="36"/>
      <c r="AM374" s="36"/>
      <c r="AN374" s="36"/>
    </row>
    <row r="375" spans="6:40" ht="15" hidden="1" customHeight="1" outlineLevel="1">
      <c r="G375" s="6" t="s">
        <v>129</v>
      </c>
      <c r="H375" s="2442"/>
      <c r="I375" s="2442"/>
      <c r="J375" s="2442"/>
      <c r="K375" s="2442"/>
      <c r="L375" s="2442"/>
      <c r="M375" s="2442"/>
      <c r="N375" s="2442"/>
      <c r="O375" s="2442"/>
      <c r="P375" s="2442"/>
      <c r="Q375" s="2442"/>
      <c r="R375" s="2442"/>
      <c r="S375" s="2442"/>
      <c r="T375" s="2442"/>
      <c r="U375" s="2442"/>
      <c r="V375" s="2442"/>
      <c r="W375" s="2442"/>
      <c r="X375" s="2442"/>
      <c r="Y375" s="2442"/>
      <c r="Z375" s="2442"/>
      <c r="AA375" s="36"/>
      <c r="AB375" s="36"/>
      <c r="AC375" s="36"/>
      <c r="AD375" s="36"/>
      <c r="AE375" s="36"/>
      <c r="AF375" s="36"/>
      <c r="AG375" s="36"/>
      <c r="AH375" s="36"/>
      <c r="AI375" s="36"/>
      <c r="AJ375" s="36"/>
      <c r="AK375" s="36"/>
      <c r="AL375" s="36"/>
      <c r="AM375" s="36"/>
      <c r="AN375" s="36"/>
    </row>
    <row r="376" spans="6:40" ht="15" hidden="1" customHeight="1" outlineLevel="1">
      <c r="G376" s="6" t="s">
        <v>206</v>
      </c>
      <c r="H376" s="2442"/>
      <c r="I376" s="2442"/>
      <c r="J376" s="2442"/>
      <c r="K376" s="2442"/>
      <c r="L376" s="2442"/>
      <c r="M376" s="2442"/>
      <c r="N376" s="2442"/>
      <c r="O376" s="2442"/>
      <c r="P376" s="2442"/>
      <c r="Q376" s="2442"/>
      <c r="R376" s="2442"/>
      <c r="S376" s="2442"/>
      <c r="T376" s="2442"/>
      <c r="U376" s="2442"/>
      <c r="V376" s="2442"/>
      <c r="W376" s="2442"/>
      <c r="X376" s="2442"/>
      <c r="Y376" s="2442"/>
      <c r="Z376" s="2442"/>
      <c r="AA376" s="36"/>
      <c r="AB376" s="36"/>
      <c r="AC376" s="36"/>
      <c r="AD376" s="36"/>
      <c r="AE376" s="36"/>
      <c r="AF376" s="36"/>
      <c r="AG376" s="36"/>
      <c r="AH376" s="36"/>
      <c r="AI376" s="36"/>
      <c r="AJ376" s="36"/>
      <c r="AK376" s="36"/>
      <c r="AL376" s="36"/>
      <c r="AM376" s="36"/>
      <c r="AN376" s="36"/>
    </row>
    <row r="377" spans="6:40" ht="15" hidden="1" customHeight="1" outlineLevel="1">
      <c r="G377" s="6" t="s">
        <v>87</v>
      </c>
      <c r="H377" s="2442"/>
      <c r="I377" s="2442"/>
      <c r="J377" s="2442"/>
      <c r="K377" s="2442"/>
      <c r="L377" s="2442"/>
      <c r="M377" s="2442"/>
      <c r="N377" s="2442"/>
      <c r="O377" s="2442"/>
      <c r="P377" s="2442"/>
      <c r="Q377" s="2442"/>
      <c r="R377" s="2442"/>
      <c r="S377" s="2442"/>
      <c r="T377" s="2442"/>
      <c r="U377" s="2442"/>
      <c r="V377" s="2442"/>
      <c r="W377" s="2442"/>
      <c r="X377" s="2442"/>
      <c r="Y377" s="2442"/>
      <c r="Z377" s="2442"/>
      <c r="AA377" s="36"/>
      <c r="AB377" s="36"/>
      <c r="AC377" s="36"/>
      <c r="AD377" s="36"/>
      <c r="AE377" s="36"/>
      <c r="AF377" s="36"/>
      <c r="AG377" s="36"/>
      <c r="AH377" s="36"/>
      <c r="AI377" s="36"/>
      <c r="AJ377" s="36"/>
      <c r="AK377" s="36"/>
      <c r="AL377" s="36"/>
      <c r="AM377" s="36"/>
      <c r="AN377" s="36"/>
    </row>
    <row r="378" spans="6:40" ht="15" hidden="1" customHeight="1" outlineLevel="1">
      <c r="G378" s="6" t="s">
        <v>203</v>
      </c>
      <c r="H378" s="2442"/>
      <c r="I378" s="2442"/>
      <c r="J378" s="2442"/>
      <c r="K378" s="2442"/>
      <c r="L378" s="2442"/>
      <c r="M378" s="2442"/>
      <c r="N378" s="2442"/>
      <c r="O378" s="2442"/>
      <c r="P378" s="2442"/>
      <c r="Q378" s="2442"/>
      <c r="R378" s="2442"/>
      <c r="S378" s="2442"/>
      <c r="T378" s="2442"/>
      <c r="U378" s="2442"/>
      <c r="V378" s="2442"/>
      <c r="W378" s="2442"/>
      <c r="X378" s="2442"/>
      <c r="Y378" s="2442"/>
      <c r="Z378" s="2442"/>
      <c r="AA378" s="36"/>
      <c r="AB378" s="36"/>
      <c r="AC378" s="36"/>
      <c r="AD378" s="36"/>
      <c r="AE378" s="36"/>
      <c r="AF378" s="36"/>
      <c r="AG378" s="36"/>
      <c r="AH378" s="36"/>
      <c r="AI378" s="36"/>
      <c r="AJ378" s="36"/>
      <c r="AK378" s="36"/>
      <c r="AL378" s="36"/>
      <c r="AM378" s="36"/>
      <c r="AN378" s="36"/>
    </row>
    <row r="379" spans="6:40" ht="15" hidden="1" customHeight="1" outlineLevel="1">
      <c r="G379" s="6" t="s">
        <v>204</v>
      </c>
      <c r="H379" s="2442"/>
      <c r="I379" s="2442"/>
      <c r="J379" s="2442"/>
      <c r="K379" s="2442"/>
      <c r="L379" s="2442"/>
      <c r="M379" s="2442"/>
      <c r="N379" s="2442"/>
      <c r="O379" s="2442"/>
      <c r="P379" s="2442"/>
      <c r="Q379" s="2442"/>
      <c r="R379" s="2442"/>
      <c r="S379" s="2442"/>
      <c r="T379" s="2442"/>
      <c r="U379" s="2442"/>
      <c r="V379" s="2442"/>
      <c r="W379" s="2442"/>
      <c r="X379" s="2442"/>
      <c r="Y379" s="2442"/>
      <c r="Z379" s="2442"/>
      <c r="AA379" s="36"/>
      <c r="AB379" s="36"/>
      <c r="AC379" s="36"/>
      <c r="AD379" s="36"/>
      <c r="AE379" s="36"/>
      <c r="AF379" s="36"/>
      <c r="AG379" s="36"/>
      <c r="AH379" s="36"/>
      <c r="AI379" s="36"/>
      <c r="AJ379" s="36"/>
      <c r="AK379" s="242"/>
      <c r="AL379" s="36"/>
      <c r="AM379" s="36"/>
      <c r="AN379" s="36"/>
    </row>
    <row r="380" spans="6:40" ht="15" hidden="1" customHeight="1" outlineLevel="1">
      <c r="G380" s="241" t="s">
        <v>134</v>
      </c>
      <c r="H380" s="2442"/>
      <c r="I380" s="2442"/>
      <c r="J380" s="2442"/>
      <c r="K380" s="2442"/>
      <c r="L380" s="2442"/>
      <c r="M380" s="2442"/>
      <c r="N380" s="2442"/>
      <c r="O380" s="2442"/>
      <c r="P380" s="2442"/>
      <c r="Q380" s="2442"/>
      <c r="R380" s="2442"/>
      <c r="S380" s="2442"/>
      <c r="T380" s="2442"/>
      <c r="U380" s="2442"/>
      <c r="V380" s="2442"/>
      <c r="W380" s="2442"/>
      <c r="X380" s="2442"/>
      <c r="Y380" s="2442"/>
      <c r="Z380" s="2442"/>
      <c r="AA380" s="36"/>
      <c r="AB380" s="36"/>
      <c r="AC380" s="36"/>
      <c r="AD380" s="36"/>
      <c r="AE380" s="36"/>
      <c r="AF380" s="36"/>
      <c r="AG380" s="36"/>
      <c r="AH380" s="36"/>
      <c r="AI380" s="36"/>
      <c r="AJ380" s="36"/>
      <c r="AK380" s="242"/>
      <c r="AL380" s="36"/>
      <c r="AM380" s="36"/>
      <c r="AN380" s="36"/>
    </row>
    <row r="381" spans="6:40" ht="15" hidden="1" customHeight="1" outlineLevel="1">
      <c r="G381" s="6" t="s">
        <v>206</v>
      </c>
      <c r="H381" s="2442"/>
      <c r="I381" s="2442"/>
      <c r="J381" s="2442"/>
      <c r="K381" s="2442"/>
      <c r="L381" s="2442"/>
      <c r="M381" s="2442"/>
      <c r="N381" s="2442"/>
      <c r="O381" s="2442"/>
      <c r="P381" s="2442"/>
      <c r="Q381" s="2442"/>
      <c r="R381" s="2442"/>
      <c r="S381" s="2442"/>
      <c r="T381" s="2442"/>
      <c r="U381" s="2442"/>
      <c r="V381" s="2442"/>
      <c r="W381" s="2442"/>
      <c r="X381" s="2442"/>
      <c r="Y381" s="2442"/>
      <c r="Z381" s="2442"/>
      <c r="AA381" s="36"/>
      <c r="AB381" s="36" t="s">
        <v>192</v>
      </c>
      <c r="AC381" s="36"/>
      <c r="AD381" s="36" t="s">
        <v>193</v>
      </c>
      <c r="AE381" s="36"/>
      <c r="AF381" s="36"/>
      <c r="AG381" s="36"/>
      <c r="AH381" s="36"/>
      <c r="AI381" s="36"/>
      <c r="AJ381" s="36"/>
      <c r="AK381" s="36"/>
      <c r="AL381" s="36"/>
      <c r="AM381" s="36"/>
      <c r="AN381" s="36"/>
    </row>
    <row r="382" spans="6:40" ht="15" hidden="1" customHeight="1" outlineLevel="1">
      <c r="G382" s="6" t="s">
        <v>87</v>
      </c>
      <c r="H382" s="2442"/>
      <c r="I382" s="2442"/>
      <c r="J382" s="2442"/>
      <c r="K382" s="2442"/>
      <c r="L382" s="2442"/>
      <c r="M382" s="2442"/>
      <c r="N382" s="2442"/>
      <c r="O382" s="2442"/>
      <c r="P382" s="2442"/>
      <c r="Q382" s="2442"/>
      <c r="R382" s="2442"/>
      <c r="S382" s="2442"/>
      <c r="T382" s="2442"/>
      <c r="U382" s="2442"/>
      <c r="V382" s="2442"/>
      <c r="W382" s="2442"/>
      <c r="X382" s="2442"/>
      <c r="Y382" s="2442"/>
      <c r="Z382" s="2442"/>
      <c r="AA382" s="36"/>
      <c r="AB382" s="36" t="s">
        <v>194</v>
      </c>
      <c r="AC382" s="36"/>
      <c r="AD382" s="36" t="s">
        <v>195</v>
      </c>
      <c r="AE382" s="36"/>
      <c r="AF382" s="36"/>
      <c r="AG382" s="36"/>
      <c r="AH382" s="36"/>
      <c r="AI382" s="36"/>
      <c r="AJ382" s="36"/>
      <c r="AK382" s="36"/>
      <c r="AL382" s="36"/>
      <c r="AM382" s="36"/>
      <c r="AN382" s="36"/>
    </row>
    <row r="383" spans="6:40" ht="15" hidden="1" customHeight="1" outlineLevel="1">
      <c r="G383" s="6" t="s">
        <v>204</v>
      </c>
      <c r="H383" s="2442"/>
      <c r="I383" s="2442"/>
      <c r="J383" s="2442"/>
      <c r="K383" s="2442"/>
      <c r="L383" s="2442"/>
      <c r="M383" s="2442"/>
      <c r="N383" s="2442"/>
      <c r="O383" s="2442"/>
      <c r="P383" s="2442"/>
      <c r="Q383" s="2442"/>
      <c r="R383" s="2442"/>
      <c r="S383" s="2442"/>
      <c r="T383" s="2442"/>
      <c r="U383" s="2442"/>
      <c r="V383" s="2442"/>
      <c r="W383" s="2442"/>
      <c r="X383" s="2442"/>
      <c r="Y383" s="2442"/>
      <c r="Z383" s="2442"/>
      <c r="AA383" s="36"/>
      <c r="AB383" s="36" t="s">
        <v>196</v>
      </c>
      <c r="AC383" s="36"/>
      <c r="AD383" s="36" t="s">
        <v>197</v>
      </c>
      <c r="AE383" s="36"/>
      <c r="AF383" s="36"/>
      <c r="AG383" s="36"/>
      <c r="AH383" s="36"/>
      <c r="AI383" s="36"/>
      <c r="AJ383" s="36"/>
      <c r="AK383" s="36"/>
      <c r="AL383" s="36"/>
      <c r="AM383" s="36"/>
      <c r="AN383" s="36"/>
    </row>
    <row r="384" spans="6:40" ht="31.5" customHeight="1" collapsed="1">
      <c r="F384" s="854" t="s">
        <v>157</v>
      </c>
      <c r="G384" s="855"/>
      <c r="H384" s="2442"/>
      <c r="I384" s="2442"/>
      <c r="J384" s="2442"/>
      <c r="K384" s="2442"/>
      <c r="L384" s="2442"/>
      <c r="M384" s="2442"/>
      <c r="N384" s="2442"/>
      <c r="O384" s="2442"/>
      <c r="P384" s="2442"/>
      <c r="Q384" s="2442"/>
      <c r="R384" s="2442"/>
      <c r="S384" s="2442"/>
      <c r="T384" s="2442"/>
      <c r="U384" s="2442"/>
      <c r="V384" s="2442"/>
      <c r="W384" s="2442"/>
      <c r="X384" s="2442"/>
      <c r="Y384" s="2442"/>
      <c r="Z384" s="2442"/>
      <c r="AA384" s="36"/>
      <c r="AB384" s="36"/>
      <c r="AC384" s="36"/>
      <c r="AD384" s="36"/>
      <c r="AE384" s="36"/>
      <c r="AF384" s="36"/>
      <c r="AG384" s="36"/>
      <c r="AH384" s="36"/>
      <c r="AI384" s="36"/>
      <c r="AJ384" s="36"/>
      <c r="AK384" s="36"/>
      <c r="AL384" s="36"/>
      <c r="AM384" s="36"/>
      <c r="AN384" s="36"/>
    </row>
    <row r="385" spans="6:40" ht="15" hidden="1" customHeight="1" outlineLevel="1">
      <c r="F385" s="77" t="s">
        <v>149</v>
      </c>
      <c r="G385" s="77"/>
      <c r="H385" s="2442"/>
      <c r="I385" s="2442"/>
      <c r="J385" s="2442"/>
      <c r="K385" s="2442"/>
      <c r="L385" s="2442"/>
      <c r="M385" s="2442"/>
      <c r="N385" s="2442"/>
      <c r="O385" s="2442"/>
      <c r="P385" s="2442"/>
      <c r="Q385" s="2442"/>
      <c r="R385" s="2442"/>
      <c r="S385" s="2442"/>
      <c r="T385" s="2442"/>
      <c r="U385" s="2442"/>
      <c r="V385" s="2442"/>
      <c r="W385" s="2442"/>
      <c r="X385" s="2442"/>
      <c r="Y385" s="2442"/>
      <c r="Z385" s="2442"/>
      <c r="AA385" s="36"/>
      <c r="AB385" s="36"/>
      <c r="AC385" s="36"/>
      <c r="AD385" s="36"/>
      <c r="AE385" s="36"/>
      <c r="AF385" s="36"/>
      <c r="AG385" s="36"/>
      <c r="AH385" s="36"/>
      <c r="AI385" s="36"/>
      <c r="AJ385" s="36"/>
      <c r="AK385" s="242"/>
      <c r="AL385" s="36"/>
      <c r="AM385" s="36"/>
      <c r="AN385" s="36"/>
    </row>
    <row r="386" spans="6:40" ht="15" hidden="1" customHeight="1" outlineLevel="1">
      <c r="G386" s="6" t="s">
        <v>146</v>
      </c>
      <c r="H386" s="2442"/>
      <c r="I386" s="2442"/>
      <c r="J386" s="2442"/>
      <c r="K386" s="2442"/>
      <c r="L386" s="2442"/>
      <c r="M386" s="2442"/>
      <c r="N386" s="2442"/>
      <c r="O386" s="2442"/>
      <c r="P386" s="2442"/>
      <c r="Q386" s="2442"/>
      <c r="R386" s="2442"/>
      <c r="S386" s="2442"/>
      <c r="T386" s="2442"/>
      <c r="U386" s="2442"/>
      <c r="V386" s="2442"/>
      <c r="W386" s="2442"/>
      <c r="X386" s="2442"/>
      <c r="Y386" s="2442"/>
      <c r="Z386" s="2442"/>
      <c r="AA386" s="36"/>
      <c r="AB386" s="36"/>
      <c r="AC386" s="36"/>
      <c r="AD386" s="36"/>
      <c r="AE386" s="36"/>
      <c r="AF386" s="36"/>
      <c r="AG386" s="36"/>
      <c r="AH386" s="36"/>
      <c r="AI386" s="36"/>
      <c r="AJ386" s="36"/>
      <c r="AK386" s="242"/>
      <c r="AL386" s="36"/>
      <c r="AM386" s="36"/>
      <c r="AN386" s="36"/>
    </row>
    <row r="387" spans="6:40" ht="15" hidden="1" customHeight="1" outlineLevel="1">
      <c r="G387" s="6" t="s">
        <v>147</v>
      </c>
      <c r="H387" s="2442"/>
      <c r="I387" s="2442"/>
      <c r="J387" s="2442"/>
      <c r="K387" s="2442"/>
      <c r="L387" s="2442"/>
      <c r="M387" s="2442"/>
      <c r="N387" s="2442"/>
      <c r="O387" s="2442"/>
      <c r="P387" s="2442"/>
      <c r="Q387" s="2442"/>
      <c r="R387" s="2442"/>
      <c r="S387" s="2442"/>
      <c r="T387" s="2442"/>
      <c r="U387" s="2442"/>
      <c r="V387" s="2442"/>
      <c r="W387" s="2442"/>
      <c r="X387" s="2442"/>
      <c r="Y387" s="2442"/>
      <c r="Z387" s="2442"/>
      <c r="AA387" s="36"/>
      <c r="AB387" s="36"/>
      <c r="AC387" s="36"/>
      <c r="AD387" s="36"/>
      <c r="AE387" s="36"/>
      <c r="AF387" s="36"/>
      <c r="AG387" s="36"/>
      <c r="AH387" s="36"/>
      <c r="AI387" s="36"/>
      <c r="AJ387" s="36"/>
      <c r="AK387" s="242"/>
      <c r="AL387" s="36"/>
      <c r="AM387" s="36"/>
      <c r="AN387" s="36"/>
    </row>
    <row r="388" spans="6:40" ht="15" hidden="1" customHeight="1" outlineLevel="1">
      <c r="G388" s="6" t="s">
        <v>142</v>
      </c>
      <c r="H388" s="2442"/>
      <c r="I388" s="2442"/>
      <c r="J388" s="2442"/>
      <c r="K388" s="2442"/>
      <c r="L388" s="2442"/>
      <c r="M388" s="2442"/>
      <c r="N388" s="2442"/>
      <c r="O388" s="2442"/>
      <c r="P388" s="2442"/>
      <c r="Q388" s="2442"/>
      <c r="R388" s="2442"/>
      <c r="S388" s="2442"/>
      <c r="T388" s="2442"/>
      <c r="U388" s="2442"/>
      <c r="V388" s="2442"/>
      <c r="W388" s="2442"/>
      <c r="X388" s="2442"/>
      <c r="Y388" s="2442"/>
      <c r="Z388" s="2442"/>
      <c r="AA388" s="36"/>
      <c r="AB388" s="36"/>
      <c r="AC388" s="36"/>
      <c r="AD388" s="36"/>
      <c r="AE388" s="36"/>
      <c r="AF388" s="36"/>
      <c r="AG388" s="36"/>
      <c r="AH388" s="36"/>
      <c r="AI388" s="36"/>
      <c r="AJ388" s="36"/>
      <c r="AK388" s="36"/>
      <c r="AL388" s="36"/>
      <c r="AM388" s="36"/>
      <c r="AN388" s="36"/>
    </row>
    <row r="389" spans="6:40" ht="15" hidden="1" customHeight="1" outlineLevel="1">
      <c r="G389" s="241" t="s">
        <v>150</v>
      </c>
      <c r="H389" s="2442"/>
      <c r="I389" s="2442"/>
      <c r="J389" s="2442"/>
      <c r="K389" s="2442"/>
      <c r="L389" s="2442"/>
      <c r="M389" s="2442"/>
      <c r="N389" s="2442"/>
      <c r="O389" s="2442"/>
      <c r="P389" s="2442"/>
      <c r="Q389" s="2442"/>
      <c r="R389" s="2442"/>
      <c r="S389" s="2442"/>
      <c r="T389" s="2442"/>
      <c r="U389" s="2442"/>
      <c r="V389" s="2442"/>
      <c r="W389" s="2442"/>
      <c r="X389" s="2442"/>
      <c r="Y389" s="2442"/>
      <c r="Z389" s="2442"/>
      <c r="AA389" s="36"/>
      <c r="AB389" s="36"/>
      <c r="AC389" s="36"/>
      <c r="AD389" s="36"/>
      <c r="AE389" s="36"/>
      <c r="AF389" s="36"/>
      <c r="AG389" s="36"/>
      <c r="AH389" s="36"/>
      <c r="AI389" s="36"/>
      <c r="AJ389" s="36"/>
      <c r="AK389" s="36"/>
      <c r="AL389" s="36"/>
      <c r="AM389" s="36"/>
      <c r="AN389" s="36"/>
    </row>
    <row r="390" spans="6:40" ht="15" hidden="1" customHeight="1" outlineLevel="1">
      <c r="G390" s="6" t="s">
        <v>140</v>
      </c>
      <c r="H390" s="2442"/>
      <c r="I390" s="2442"/>
      <c r="J390" s="2442"/>
      <c r="K390" s="2442"/>
      <c r="L390" s="2442"/>
      <c r="M390" s="2442"/>
      <c r="N390" s="2442"/>
      <c r="O390" s="2442"/>
      <c r="P390" s="2442"/>
      <c r="Q390" s="2442"/>
      <c r="R390" s="2442"/>
      <c r="S390" s="2442"/>
      <c r="T390" s="2442"/>
      <c r="U390" s="2442"/>
      <c r="V390" s="2442"/>
      <c r="W390" s="2442"/>
      <c r="X390" s="2442"/>
      <c r="Y390" s="2442"/>
      <c r="Z390" s="2442"/>
      <c r="AA390" s="36"/>
      <c r="AB390" s="36"/>
      <c r="AC390" s="36"/>
      <c r="AD390" s="36"/>
      <c r="AE390" s="36"/>
      <c r="AF390" s="36"/>
      <c r="AG390" s="36"/>
      <c r="AH390" s="36"/>
      <c r="AI390" s="36"/>
      <c r="AJ390" s="36"/>
      <c r="AK390" s="36"/>
      <c r="AL390" s="36"/>
      <c r="AM390" s="36"/>
      <c r="AN390" s="36"/>
    </row>
    <row r="391" spans="6:40" ht="15" hidden="1" customHeight="1" outlineLevel="1">
      <c r="G391" s="6" t="s">
        <v>141</v>
      </c>
      <c r="H391" s="2442"/>
      <c r="I391" s="2442"/>
      <c r="J391" s="2442"/>
      <c r="K391" s="2442"/>
      <c r="L391" s="2442"/>
      <c r="M391" s="2442"/>
      <c r="N391" s="2442"/>
      <c r="O391" s="2442"/>
      <c r="P391" s="2442"/>
      <c r="Q391" s="2442"/>
      <c r="R391" s="2442"/>
      <c r="S391" s="2442"/>
      <c r="T391" s="2442"/>
      <c r="U391" s="2442"/>
      <c r="V391" s="2442"/>
      <c r="W391" s="2442"/>
      <c r="X391" s="2442"/>
      <c r="Y391" s="2442"/>
      <c r="Z391" s="2442"/>
      <c r="AA391" s="36"/>
      <c r="AB391" s="36"/>
      <c r="AC391" s="36"/>
      <c r="AD391" s="36"/>
      <c r="AE391" s="36"/>
      <c r="AF391" s="36"/>
      <c r="AG391" s="36"/>
      <c r="AH391" s="36"/>
      <c r="AI391" s="36"/>
      <c r="AJ391" s="36"/>
      <c r="AK391" s="36"/>
      <c r="AL391" s="36"/>
      <c r="AM391" s="36"/>
      <c r="AN391" s="36"/>
    </row>
    <row r="392" spans="6:40" ht="15" hidden="1" customHeight="1" outlineLevel="1">
      <c r="G392" s="6" t="s">
        <v>143</v>
      </c>
      <c r="H392" s="2442"/>
      <c r="I392" s="2442"/>
      <c r="J392" s="2442"/>
      <c r="K392" s="2442"/>
      <c r="L392" s="2442"/>
      <c r="M392" s="2442"/>
      <c r="N392" s="2442"/>
      <c r="O392" s="2442"/>
      <c r="P392" s="2442"/>
      <c r="Q392" s="2442"/>
      <c r="R392" s="2442"/>
      <c r="S392" s="2442"/>
      <c r="T392" s="2442"/>
      <c r="U392" s="2442"/>
      <c r="V392" s="2442"/>
      <c r="W392" s="2442"/>
      <c r="X392" s="2442"/>
      <c r="Y392" s="2442"/>
      <c r="Z392" s="2442"/>
      <c r="AA392" s="36"/>
      <c r="AB392" s="36"/>
      <c r="AC392" s="36"/>
      <c r="AD392" s="36"/>
      <c r="AE392" s="36"/>
      <c r="AF392" s="36"/>
      <c r="AG392" s="36"/>
      <c r="AH392" s="36"/>
      <c r="AI392" s="36"/>
      <c r="AJ392" s="36"/>
      <c r="AK392" s="36"/>
      <c r="AL392" s="36"/>
      <c r="AM392" s="36"/>
      <c r="AN392" s="36"/>
    </row>
    <row r="393" spans="6:40" ht="15" hidden="1" customHeight="1" outlineLevel="1">
      <c r="G393" s="6" t="s">
        <v>144</v>
      </c>
      <c r="H393" s="2442"/>
      <c r="I393" s="2442"/>
      <c r="J393" s="2442"/>
      <c r="K393" s="2442"/>
      <c r="L393" s="2442"/>
      <c r="M393" s="2442"/>
      <c r="N393" s="2442"/>
      <c r="O393" s="2442"/>
      <c r="P393" s="2442"/>
      <c r="Q393" s="2442"/>
      <c r="R393" s="2442"/>
      <c r="S393" s="2442"/>
      <c r="T393" s="2442"/>
      <c r="U393" s="2442"/>
      <c r="V393" s="2442"/>
      <c r="W393" s="2442"/>
      <c r="X393" s="2442"/>
      <c r="Y393" s="2442"/>
      <c r="Z393" s="2442"/>
      <c r="AA393" s="36"/>
      <c r="AB393" s="36"/>
      <c r="AC393" s="36"/>
      <c r="AD393" s="36"/>
      <c r="AE393" s="36"/>
      <c r="AF393" s="36"/>
      <c r="AG393" s="36"/>
      <c r="AH393" s="36"/>
      <c r="AI393" s="36"/>
      <c r="AJ393" s="36"/>
      <c r="AK393" s="242"/>
      <c r="AL393" s="36"/>
      <c r="AM393" s="36"/>
      <c r="AN393" s="36"/>
    </row>
    <row r="394" spans="6:40" ht="15" hidden="1" customHeight="1" outlineLevel="1">
      <c r="G394" s="6" t="s">
        <v>145</v>
      </c>
      <c r="H394" s="2442"/>
      <c r="I394" s="2442"/>
      <c r="J394" s="2442"/>
      <c r="K394" s="2442"/>
      <c r="L394" s="2442"/>
      <c r="M394" s="2442"/>
      <c r="N394" s="2442"/>
      <c r="O394" s="2442"/>
      <c r="P394" s="2442"/>
      <c r="Q394" s="2442"/>
      <c r="R394" s="2442"/>
      <c r="S394" s="2442"/>
      <c r="T394" s="2442"/>
      <c r="U394" s="2442"/>
      <c r="V394" s="2442"/>
      <c r="W394" s="2442"/>
      <c r="X394" s="2442"/>
      <c r="Y394" s="2442"/>
      <c r="Z394" s="2442"/>
      <c r="AA394" s="36"/>
      <c r="AB394" s="36"/>
      <c r="AC394" s="36"/>
      <c r="AD394" s="36"/>
      <c r="AE394" s="36"/>
      <c r="AF394" s="36"/>
      <c r="AG394" s="36"/>
      <c r="AH394" s="36"/>
      <c r="AI394" s="36"/>
      <c r="AJ394" s="36"/>
      <c r="AK394" s="242"/>
      <c r="AL394" s="36"/>
      <c r="AM394" s="36"/>
      <c r="AN394" s="36"/>
    </row>
    <row r="395" spans="6:40" ht="15" hidden="1" customHeight="1" outlineLevel="1">
      <c r="G395" s="241" t="s">
        <v>841</v>
      </c>
      <c r="H395" s="2442"/>
      <c r="I395" s="2442"/>
      <c r="J395" s="2442"/>
      <c r="K395" s="2442"/>
      <c r="L395" s="2442"/>
      <c r="M395" s="2442"/>
      <c r="N395" s="2442"/>
      <c r="O395" s="2442"/>
      <c r="P395" s="2442"/>
      <c r="Q395" s="2442"/>
      <c r="R395" s="2442"/>
      <c r="S395" s="2442"/>
      <c r="T395" s="2442"/>
      <c r="U395" s="2442"/>
      <c r="V395" s="2442"/>
      <c r="W395" s="2442"/>
      <c r="X395" s="2442"/>
      <c r="Y395" s="2442"/>
      <c r="Z395" s="2442"/>
      <c r="AA395" s="36"/>
      <c r="AB395" s="36"/>
      <c r="AC395" s="36"/>
      <c r="AD395" s="36"/>
      <c r="AE395" s="36"/>
      <c r="AF395" s="36"/>
      <c r="AG395" s="36"/>
      <c r="AH395" s="36"/>
      <c r="AI395" s="36"/>
      <c r="AJ395" s="36"/>
      <c r="AK395" s="242"/>
      <c r="AL395" s="36"/>
      <c r="AM395" s="36"/>
      <c r="AN395" s="36"/>
    </row>
    <row r="396" spans="6:40" ht="15" hidden="1" customHeight="1" outlineLevel="1">
      <c r="G396" s="6" t="s">
        <v>144</v>
      </c>
      <c r="H396" s="2442"/>
      <c r="I396" s="2442"/>
      <c r="J396" s="2442"/>
      <c r="K396" s="2442"/>
      <c r="L396" s="2442"/>
      <c r="M396" s="2442"/>
      <c r="N396" s="2442"/>
      <c r="O396" s="2442"/>
      <c r="P396" s="2442"/>
      <c r="Q396" s="2442"/>
      <c r="R396" s="2442"/>
      <c r="S396" s="2442"/>
      <c r="T396" s="2442"/>
      <c r="U396" s="2442"/>
      <c r="V396" s="2442"/>
      <c r="W396" s="2442"/>
      <c r="X396" s="2442"/>
      <c r="Y396" s="2442"/>
      <c r="Z396" s="2442"/>
      <c r="AA396" s="36"/>
      <c r="AB396" s="36"/>
      <c r="AC396" s="36"/>
      <c r="AD396" s="36"/>
      <c r="AE396" s="36"/>
      <c r="AF396" s="36"/>
      <c r="AG396" s="36"/>
      <c r="AH396" s="36"/>
      <c r="AI396" s="36"/>
      <c r="AJ396" s="36"/>
      <c r="AK396" s="36"/>
      <c r="AL396" s="36"/>
      <c r="AM396" s="36"/>
      <c r="AN396" s="36"/>
    </row>
    <row r="397" spans="6:40" ht="15" hidden="1" customHeight="1" outlineLevel="1">
      <c r="G397" s="6" t="s">
        <v>145</v>
      </c>
      <c r="H397" s="2442"/>
      <c r="I397" s="2442"/>
      <c r="J397" s="2442"/>
      <c r="K397" s="2442"/>
      <c r="L397" s="2442"/>
      <c r="M397" s="2442"/>
      <c r="N397" s="2442"/>
      <c r="O397" s="2442"/>
      <c r="P397" s="2442"/>
      <c r="Q397" s="2442"/>
      <c r="R397" s="2442"/>
      <c r="S397" s="2442"/>
      <c r="T397" s="2442"/>
      <c r="U397" s="2442"/>
      <c r="V397" s="2442"/>
      <c r="W397" s="2442"/>
      <c r="X397" s="2442"/>
      <c r="Y397" s="2442"/>
      <c r="Z397" s="2442"/>
      <c r="AA397" s="36"/>
      <c r="AB397" s="36"/>
      <c r="AC397" s="36"/>
      <c r="AD397" s="36"/>
      <c r="AE397" s="36"/>
      <c r="AF397" s="36"/>
      <c r="AG397" s="36"/>
      <c r="AH397" s="36"/>
      <c r="AI397" s="36"/>
      <c r="AJ397" s="36"/>
      <c r="AK397" s="36"/>
      <c r="AL397" s="36"/>
      <c r="AM397" s="36"/>
      <c r="AN397" s="36"/>
    </row>
    <row r="398" spans="6:40" ht="15" hidden="1" customHeight="1" outlineLevel="1">
      <c r="F398" s="77" t="s">
        <v>148</v>
      </c>
      <c r="G398" s="845"/>
      <c r="H398" s="2442"/>
      <c r="I398" s="2442"/>
      <c r="J398" s="2442"/>
      <c r="K398" s="2442"/>
      <c r="L398" s="2442"/>
      <c r="M398" s="2442"/>
      <c r="N398" s="2442"/>
      <c r="O398" s="2442"/>
      <c r="P398" s="2442"/>
      <c r="Q398" s="2442"/>
      <c r="R398" s="2442"/>
      <c r="S398" s="2442"/>
      <c r="T398" s="2442"/>
      <c r="U398" s="2442"/>
      <c r="V398" s="2442"/>
      <c r="W398" s="2442"/>
      <c r="X398" s="2442"/>
      <c r="Y398" s="2442"/>
      <c r="Z398" s="2442"/>
      <c r="AA398" s="36"/>
      <c r="AB398" s="36"/>
      <c r="AC398" s="36"/>
      <c r="AD398" s="36"/>
      <c r="AE398" s="36"/>
      <c r="AF398" s="36"/>
      <c r="AG398" s="36"/>
      <c r="AH398" s="36"/>
      <c r="AI398" s="36"/>
      <c r="AJ398" s="36"/>
      <c r="AK398" s="242"/>
      <c r="AL398" s="36"/>
      <c r="AM398" s="36"/>
      <c r="AN398" s="36"/>
    </row>
    <row r="399" spans="6:40" ht="15" hidden="1" customHeight="1" outlineLevel="1">
      <c r="F399" s="1"/>
      <c r="G399" s="6" t="s">
        <v>151</v>
      </c>
      <c r="H399" s="2442"/>
      <c r="I399" s="2442"/>
      <c r="J399" s="2442"/>
      <c r="K399" s="2442"/>
      <c r="L399" s="2442"/>
      <c r="M399" s="2442"/>
      <c r="N399" s="2442"/>
      <c r="O399" s="2442"/>
      <c r="P399" s="2442"/>
      <c r="Q399" s="2442"/>
      <c r="R399" s="2442"/>
      <c r="S399" s="2442"/>
      <c r="T399" s="2442"/>
      <c r="U399" s="2442"/>
      <c r="V399" s="2442"/>
      <c r="W399" s="2442"/>
      <c r="X399" s="2442"/>
      <c r="Y399" s="2442"/>
      <c r="Z399" s="2442"/>
      <c r="AA399" s="36"/>
      <c r="AB399" s="36"/>
      <c r="AC399" s="36"/>
      <c r="AD399" s="36"/>
      <c r="AE399" s="36"/>
      <c r="AF399" s="36"/>
      <c r="AG399" s="36"/>
      <c r="AH399" s="36"/>
      <c r="AI399" s="36"/>
      <c r="AJ399" s="36"/>
      <c r="AK399" s="242"/>
      <c r="AL399" s="36"/>
      <c r="AM399" s="36"/>
      <c r="AN399" s="36"/>
    </row>
    <row r="400" spans="6:40" ht="15" hidden="1" customHeight="1" outlineLevel="1">
      <c r="G400" s="6" t="s">
        <v>85</v>
      </c>
      <c r="H400" s="2442"/>
      <c r="I400" s="2442"/>
      <c r="J400" s="2442"/>
      <c r="K400" s="2442"/>
      <c r="L400" s="2442"/>
      <c r="M400" s="2442"/>
      <c r="N400" s="2442"/>
      <c r="O400" s="2442"/>
      <c r="P400" s="2442"/>
      <c r="Q400" s="2442"/>
      <c r="R400" s="2442"/>
      <c r="S400" s="2442"/>
      <c r="T400" s="2442"/>
      <c r="U400" s="2442"/>
      <c r="V400" s="2442"/>
      <c r="W400" s="2442"/>
      <c r="X400" s="2442"/>
      <c r="Y400" s="2442"/>
      <c r="Z400" s="2442"/>
      <c r="AA400" s="36"/>
      <c r="AB400" s="36"/>
      <c r="AC400" s="36"/>
      <c r="AD400" s="36"/>
      <c r="AE400" s="36"/>
      <c r="AF400" s="36"/>
      <c r="AG400" s="36"/>
      <c r="AH400" s="36"/>
      <c r="AI400" s="36"/>
      <c r="AJ400" s="36"/>
      <c r="AK400" s="242"/>
      <c r="AL400" s="36"/>
      <c r="AM400" s="36"/>
      <c r="AN400" s="36"/>
    </row>
    <row r="401" spans="6:40" ht="15" hidden="1" customHeight="1" outlineLevel="1">
      <c r="G401" s="6" t="s">
        <v>59</v>
      </c>
      <c r="H401" s="2442"/>
      <c r="I401" s="2442"/>
      <c r="J401" s="2442"/>
      <c r="K401" s="2442"/>
      <c r="L401" s="2442"/>
      <c r="M401" s="2442"/>
      <c r="N401" s="2442"/>
      <c r="O401" s="2442"/>
      <c r="P401" s="2442"/>
      <c r="Q401" s="2442"/>
      <c r="R401" s="2442"/>
      <c r="S401" s="2442"/>
      <c r="T401" s="2442"/>
      <c r="U401" s="2442"/>
      <c r="V401" s="2442"/>
      <c r="W401" s="2442"/>
      <c r="X401" s="2442"/>
      <c r="Y401" s="2442"/>
      <c r="Z401" s="2442"/>
      <c r="AA401" s="36"/>
      <c r="AB401" s="36"/>
      <c r="AC401" s="36"/>
      <c r="AD401" s="36"/>
      <c r="AE401" s="36"/>
      <c r="AF401" s="36"/>
      <c r="AG401" s="36"/>
      <c r="AH401" s="36"/>
      <c r="AI401" s="36"/>
      <c r="AJ401" s="36"/>
      <c r="AK401" s="242"/>
      <c r="AL401" s="36"/>
      <c r="AM401" s="36"/>
      <c r="AN401" s="36"/>
    </row>
    <row r="402" spans="6:40" ht="15" hidden="1" customHeight="1" outlineLevel="1">
      <c r="G402" s="6" t="s">
        <v>86</v>
      </c>
      <c r="H402" s="2442"/>
      <c r="I402" s="2442"/>
      <c r="J402" s="2442"/>
      <c r="K402" s="2442"/>
      <c r="L402" s="2442"/>
      <c r="M402" s="2442"/>
      <c r="N402" s="2442"/>
      <c r="O402" s="2442"/>
      <c r="P402" s="2442"/>
      <c r="Q402" s="2442"/>
      <c r="R402" s="2442"/>
      <c r="S402" s="2442"/>
      <c r="T402" s="2442"/>
      <c r="U402" s="2442"/>
      <c r="V402" s="2442"/>
      <c r="W402" s="2442"/>
      <c r="X402" s="2442"/>
      <c r="Y402" s="2442"/>
      <c r="Z402" s="2442"/>
      <c r="AA402" s="36"/>
      <c r="AB402" s="36"/>
      <c r="AC402" s="36"/>
      <c r="AD402" s="36"/>
      <c r="AE402" s="36"/>
      <c r="AF402" s="36"/>
      <c r="AG402" s="36"/>
      <c r="AH402" s="36"/>
      <c r="AI402" s="36"/>
      <c r="AJ402" s="36"/>
      <c r="AK402" s="36" t="s">
        <v>191</v>
      </c>
      <c r="AL402" s="36"/>
      <c r="AM402" s="36"/>
      <c r="AN402" s="36"/>
    </row>
    <row r="403" spans="6:40" ht="15" hidden="1" customHeight="1" outlineLevel="1" collapsed="1">
      <c r="G403" s="241" t="s">
        <v>133</v>
      </c>
      <c r="H403" s="2442"/>
      <c r="I403" s="2442"/>
      <c r="J403" s="2442"/>
      <c r="K403" s="2442"/>
      <c r="L403" s="2442"/>
      <c r="M403" s="2442"/>
      <c r="N403" s="2442"/>
      <c r="O403" s="2442"/>
      <c r="P403" s="2442"/>
      <c r="Q403" s="2442"/>
      <c r="R403" s="2442"/>
      <c r="S403" s="2442"/>
      <c r="T403" s="2442"/>
      <c r="U403" s="2442"/>
      <c r="V403" s="2442"/>
      <c r="W403" s="2442"/>
      <c r="X403" s="2442"/>
      <c r="Y403" s="2442"/>
      <c r="Z403" s="2442"/>
      <c r="AA403" s="36"/>
      <c r="AB403" s="36"/>
      <c r="AC403" s="36"/>
      <c r="AD403" s="36"/>
      <c r="AE403" s="36"/>
      <c r="AF403" s="36"/>
      <c r="AG403" s="36"/>
      <c r="AH403" s="36"/>
      <c r="AI403" s="36"/>
      <c r="AJ403" s="36"/>
      <c r="AK403" s="36"/>
      <c r="AL403" s="36"/>
      <c r="AM403" s="36"/>
      <c r="AN403" s="36"/>
    </row>
    <row r="404" spans="6:40" ht="15" hidden="1" customHeight="1" outlineLevel="1">
      <c r="G404" s="6" t="s">
        <v>129</v>
      </c>
      <c r="H404" s="2442"/>
      <c r="I404" s="2442"/>
      <c r="J404" s="2442"/>
      <c r="K404" s="2442"/>
      <c r="L404" s="2442"/>
      <c r="M404" s="2442"/>
      <c r="N404" s="2442"/>
      <c r="O404" s="2442"/>
      <c r="P404" s="2442"/>
      <c r="Q404" s="2442"/>
      <c r="R404" s="2442"/>
      <c r="S404" s="2442"/>
      <c r="T404" s="2442"/>
      <c r="U404" s="2442"/>
      <c r="V404" s="2442"/>
      <c r="W404" s="2442"/>
      <c r="X404" s="2442"/>
      <c r="Y404" s="2442"/>
      <c r="Z404" s="2442"/>
      <c r="AA404" s="36"/>
      <c r="AB404" s="36"/>
      <c r="AC404" s="36"/>
      <c r="AD404" s="36"/>
      <c r="AE404" s="36"/>
      <c r="AF404" s="36"/>
      <c r="AG404" s="36"/>
      <c r="AH404" s="36"/>
      <c r="AI404" s="36"/>
      <c r="AJ404" s="36"/>
      <c r="AK404" s="36"/>
      <c r="AL404" s="36"/>
      <c r="AM404" s="36"/>
      <c r="AN404" s="36"/>
    </row>
    <row r="405" spans="6:40" ht="15" hidden="1" customHeight="1" outlineLevel="1">
      <c r="G405" s="6" t="s">
        <v>206</v>
      </c>
      <c r="H405" s="2442"/>
      <c r="I405" s="2442"/>
      <c r="J405" s="2442"/>
      <c r="K405" s="2442"/>
      <c r="L405" s="2442"/>
      <c r="M405" s="2442"/>
      <c r="N405" s="2442"/>
      <c r="O405" s="2442"/>
      <c r="P405" s="2442"/>
      <c r="Q405" s="2442"/>
      <c r="R405" s="2442"/>
      <c r="S405" s="2442"/>
      <c r="T405" s="2442"/>
      <c r="U405" s="2442"/>
      <c r="V405" s="2442"/>
      <c r="W405" s="2442"/>
      <c r="X405" s="2442"/>
      <c r="Y405" s="2442"/>
      <c r="Z405" s="2442"/>
      <c r="AA405" s="36"/>
      <c r="AB405" s="36"/>
      <c r="AC405" s="36"/>
      <c r="AD405" s="36"/>
      <c r="AE405" s="36"/>
      <c r="AF405" s="36"/>
      <c r="AG405" s="36"/>
      <c r="AH405" s="36"/>
      <c r="AI405" s="36"/>
      <c r="AJ405" s="36"/>
      <c r="AK405" s="36"/>
      <c r="AL405" s="36"/>
      <c r="AM405" s="36"/>
      <c r="AN405" s="36"/>
    </row>
    <row r="406" spans="6:40" ht="15" hidden="1" customHeight="1" outlineLevel="1">
      <c r="G406" s="6" t="s">
        <v>87</v>
      </c>
      <c r="H406" s="2442"/>
      <c r="I406" s="2442"/>
      <c r="J406" s="2442"/>
      <c r="K406" s="2442"/>
      <c r="L406" s="2442"/>
      <c r="M406" s="2442"/>
      <c r="N406" s="2442"/>
      <c r="O406" s="2442"/>
      <c r="P406" s="2442"/>
      <c r="Q406" s="2442"/>
      <c r="R406" s="2442"/>
      <c r="S406" s="2442"/>
      <c r="T406" s="2442"/>
      <c r="U406" s="2442"/>
      <c r="V406" s="2442"/>
      <c r="W406" s="2442"/>
      <c r="X406" s="2442"/>
      <c r="Y406" s="2442"/>
      <c r="Z406" s="2442"/>
      <c r="AA406" s="36"/>
      <c r="AB406" s="36"/>
      <c r="AC406" s="36"/>
      <c r="AD406" s="36"/>
      <c r="AE406" s="36"/>
      <c r="AF406" s="36"/>
      <c r="AG406" s="36"/>
      <c r="AH406" s="36"/>
      <c r="AI406" s="36"/>
      <c r="AJ406" s="36"/>
      <c r="AK406" s="36"/>
      <c r="AL406" s="36"/>
      <c r="AM406" s="36"/>
      <c r="AN406" s="36"/>
    </row>
    <row r="407" spans="6:40" ht="15" hidden="1" customHeight="1" outlineLevel="1">
      <c r="G407" s="6" t="s">
        <v>203</v>
      </c>
      <c r="H407" s="2442"/>
      <c r="I407" s="2442"/>
      <c r="J407" s="2442"/>
      <c r="K407" s="2442"/>
      <c r="L407" s="2442"/>
      <c r="M407" s="2442"/>
      <c r="N407" s="2442"/>
      <c r="O407" s="2442"/>
      <c r="P407" s="2442"/>
      <c r="Q407" s="2442"/>
      <c r="R407" s="2442"/>
      <c r="S407" s="2442"/>
      <c r="T407" s="2442"/>
      <c r="U407" s="2442"/>
      <c r="V407" s="2442"/>
      <c r="W407" s="2442"/>
      <c r="X407" s="2442"/>
      <c r="Y407" s="2442"/>
      <c r="Z407" s="2442"/>
      <c r="AA407" s="36"/>
      <c r="AB407" s="36"/>
      <c r="AC407" s="36"/>
      <c r="AD407" s="36"/>
      <c r="AE407" s="36"/>
      <c r="AF407" s="36"/>
      <c r="AG407" s="36"/>
      <c r="AH407" s="36"/>
      <c r="AI407" s="36"/>
      <c r="AJ407" s="36"/>
      <c r="AK407" s="36"/>
      <c r="AL407" s="36"/>
      <c r="AM407" s="36"/>
      <c r="AN407" s="36"/>
    </row>
    <row r="408" spans="6:40" ht="15" hidden="1" customHeight="1" outlineLevel="1">
      <c r="G408" s="6" t="s">
        <v>204</v>
      </c>
      <c r="H408" s="2442"/>
      <c r="I408" s="2442"/>
      <c r="J408" s="2442"/>
      <c r="K408" s="2442"/>
      <c r="L408" s="2442"/>
      <c r="M408" s="2442"/>
      <c r="N408" s="2442"/>
      <c r="O408" s="2442"/>
      <c r="P408" s="2442"/>
      <c r="Q408" s="2442"/>
      <c r="R408" s="2442"/>
      <c r="S408" s="2442"/>
      <c r="T408" s="2442"/>
      <c r="U408" s="2442"/>
      <c r="V408" s="2442"/>
      <c r="W408" s="2442"/>
      <c r="X408" s="2442"/>
      <c r="Y408" s="2442"/>
      <c r="Z408" s="2442"/>
      <c r="AA408" s="36"/>
      <c r="AB408" s="36"/>
      <c r="AC408" s="36"/>
      <c r="AD408" s="36"/>
      <c r="AE408" s="36"/>
      <c r="AF408" s="36"/>
      <c r="AG408" s="36"/>
      <c r="AH408" s="36"/>
      <c r="AI408" s="36"/>
      <c r="AJ408" s="36"/>
      <c r="AK408" s="242"/>
      <c r="AL408" s="36"/>
      <c r="AM408" s="36"/>
      <c r="AN408" s="36"/>
    </row>
    <row r="409" spans="6:40" ht="15" hidden="1" customHeight="1" outlineLevel="1">
      <c r="G409" s="241" t="s">
        <v>134</v>
      </c>
      <c r="H409" s="2442"/>
      <c r="I409" s="2442"/>
      <c r="J409" s="2442"/>
      <c r="K409" s="2442"/>
      <c r="L409" s="2442"/>
      <c r="M409" s="2442"/>
      <c r="N409" s="2442"/>
      <c r="O409" s="2442"/>
      <c r="P409" s="2442"/>
      <c r="Q409" s="2442"/>
      <c r="R409" s="2442"/>
      <c r="S409" s="2442"/>
      <c r="T409" s="2442"/>
      <c r="U409" s="2442"/>
      <c r="V409" s="2442"/>
      <c r="W409" s="2442"/>
      <c r="X409" s="2442"/>
      <c r="Y409" s="2442"/>
      <c r="Z409" s="2442"/>
      <c r="AA409" s="36"/>
      <c r="AB409" s="36"/>
      <c r="AC409" s="36"/>
      <c r="AD409" s="36"/>
      <c r="AE409" s="36"/>
      <c r="AF409" s="36"/>
      <c r="AG409" s="36"/>
      <c r="AH409" s="36"/>
      <c r="AI409" s="36"/>
      <c r="AJ409" s="36"/>
      <c r="AK409" s="242"/>
      <c r="AL409" s="36"/>
      <c r="AM409" s="36"/>
      <c r="AN409" s="36"/>
    </row>
    <row r="410" spans="6:40" ht="15" hidden="1" customHeight="1" outlineLevel="1">
      <c r="G410" s="6" t="s">
        <v>206</v>
      </c>
      <c r="H410" s="2442"/>
      <c r="I410" s="2442"/>
      <c r="J410" s="2442"/>
      <c r="K410" s="2442"/>
      <c r="L410" s="2442"/>
      <c r="M410" s="2442"/>
      <c r="N410" s="2442"/>
      <c r="O410" s="2442"/>
      <c r="P410" s="2442"/>
      <c r="Q410" s="2442"/>
      <c r="R410" s="2442"/>
      <c r="S410" s="2442"/>
      <c r="T410" s="2442"/>
      <c r="U410" s="2442"/>
      <c r="V410" s="2442"/>
      <c r="W410" s="2442"/>
      <c r="X410" s="2442"/>
      <c r="Y410" s="2442"/>
      <c r="Z410" s="2442"/>
      <c r="AA410" s="36"/>
      <c r="AB410" s="36" t="s">
        <v>192</v>
      </c>
      <c r="AC410" s="36"/>
      <c r="AD410" s="36" t="s">
        <v>193</v>
      </c>
      <c r="AE410" s="36"/>
      <c r="AF410" s="36"/>
      <c r="AG410" s="36"/>
      <c r="AH410" s="36"/>
      <c r="AI410" s="36"/>
      <c r="AJ410" s="36"/>
      <c r="AK410" s="36"/>
      <c r="AL410" s="36"/>
      <c r="AM410" s="36"/>
      <c r="AN410" s="36"/>
    </row>
    <row r="411" spans="6:40" ht="15" hidden="1" customHeight="1" outlineLevel="1">
      <c r="G411" s="6" t="s">
        <v>87</v>
      </c>
      <c r="H411" s="2442"/>
      <c r="I411" s="2442"/>
      <c r="J411" s="2442"/>
      <c r="K411" s="2442"/>
      <c r="L411" s="2442"/>
      <c r="M411" s="2442"/>
      <c r="N411" s="2442"/>
      <c r="O411" s="2442"/>
      <c r="P411" s="2442"/>
      <c r="Q411" s="2442"/>
      <c r="R411" s="2442"/>
      <c r="S411" s="2442"/>
      <c r="T411" s="2442"/>
      <c r="U411" s="2442"/>
      <c r="V411" s="2442"/>
      <c r="W411" s="2442"/>
      <c r="X411" s="2442"/>
      <c r="Y411" s="2442"/>
      <c r="Z411" s="2442"/>
      <c r="AA411" s="36"/>
      <c r="AB411" s="36" t="s">
        <v>194</v>
      </c>
      <c r="AC411" s="36"/>
      <c r="AD411" s="36" t="s">
        <v>195</v>
      </c>
      <c r="AE411" s="36"/>
      <c r="AF411" s="36"/>
      <c r="AG411" s="36"/>
      <c r="AH411" s="36"/>
      <c r="AI411" s="36"/>
      <c r="AJ411" s="36"/>
      <c r="AK411" s="36"/>
      <c r="AL411" s="36"/>
      <c r="AM411" s="36"/>
      <c r="AN411" s="36"/>
    </row>
    <row r="412" spans="6:40" ht="15" hidden="1" customHeight="1" outlineLevel="1">
      <c r="G412" s="6" t="s">
        <v>204</v>
      </c>
      <c r="H412" s="2442"/>
      <c r="I412" s="2442"/>
      <c r="J412" s="2442"/>
      <c r="K412" s="2442"/>
      <c r="L412" s="2442"/>
      <c r="M412" s="2442"/>
      <c r="N412" s="2442"/>
      <c r="O412" s="2442"/>
      <c r="P412" s="2442"/>
      <c r="Q412" s="2442"/>
      <c r="R412" s="2442"/>
      <c r="S412" s="2442"/>
      <c r="T412" s="2442"/>
      <c r="U412" s="2442"/>
      <c r="V412" s="2442"/>
      <c r="W412" s="2442"/>
      <c r="X412" s="2442"/>
      <c r="Y412" s="2442"/>
      <c r="Z412" s="2442"/>
      <c r="AA412" s="36"/>
      <c r="AB412" s="36" t="s">
        <v>196</v>
      </c>
      <c r="AC412" s="36"/>
      <c r="AD412" s="36" t="s">
        <v>197</v>
      </c>
      <c r="AE412" s="36"/>
      <c r="AF412" s="36"/>
      <c r="AG412" s="36"/>
      <c r="AH412" s="36"/>
      <c r="AI412" s="36"/>
      <c r="AJ412" s="36"/>
      <c r="AK412" s="36"/>
      <c r="AL412" s="36"/>
      <c r="AM412" s="36"/>
      <c r="AN412" s="36"/>
    </row>
    <row r="413" spans="6:40" ht="33" customHeight="1" collapsed="1">
      <c r="F413" s="854" t="s">
        <v>214</v>
      </c>
      <c r="G413" s="855"/>
      <c r="H413" s="2443"/>
      <c r="I413" s="2443"/>
      <c r="J413" s="2443"/>
      <c r="K413" s="2443"/>
      <c r="L413" s="2443"/>
      <c r="M413" s="2443"/>
      <c r="N413" s="2443"/>
      <c r="O413" s="2443"/>
      <c r="P413" s="2443"/>
      <c r="Q413" s="2443"/>
      <c r="R413" s="2443"/>
      <c r="S413" s="2443"/>
      <c r="T413" s="2443"/>
      <c r="U413" s="2443"/>
      <c r="V413" s="2443"/>
      <c r="W413" s="2443"/>
      <c r="X413" s="2443"/>
      <c r="Y413" s="2443"/>
      <c r="Z413" s="2443"/>
      <c r="AA413" s="36"/>
      <c r="AB413" s="36"/>
      <c r="AC413" s="36"/>
      <c r="AD413" s="36"/>
      <c r="AE413" s="36"/>
      <c r="AF413" s="36"/>
      <c r="AG413" s="36"/>
      <c r="AH413" s="36"/>
      <c r="AI413" s="36"/>
      <c r="AJ413" s="36"/>
      <c r="AK413" s="36"/>
      <c r="AL413" s="36"/>
      <c r="AM413" s="36"/>
      <c r="AN413" s="36"/>
    </row>
    <row r="414" spans="6:40" ht="15" hidden="1" customHeight="1" outlineLevel="1">
      <c r="F414" s="77" t="s">
        <v>149</v>
      </c>
      <c r="G414" s="77"/>
      <c r="H414" s="1560"/>
      <c r="I414" s="1560"/>
      <c r="J414" s="1560"/>
      <c r="K414" s="1560"/>
      <c r="L414" s="1560"/>
      <c r="M414" s="1560"/>
      <c r="N414" s="1560"/>
      <c r="O414" s="1561"/>
      <c r="P414" s="1561"/>
      <c r="Q414" s="1479"/>
      <c r="R414" s="1559"/>
      <c r="S414" s="1559"/>
      <c r="T414" s="1479"/>
      <c r="U414" s="1559"/>
      <c r="V414" s="1559"/>
      <c r="W414" s="1479"/>
      <c r="X414" s="1479"/>
      <c r="Y414" s="1397"/>
      <c r="Z414" s="1397"/>
      <c r="AA414" s="36"/>
      <c r="AB414" s="36"/>
      <c r="AC414" s="36"/>
      <c r="AD414" s="36"/>
      <c r="AE414" s="36"/>
      <c r="AF414" s="36"/>
      <c r="AG414" s="36"/>
      <c r="AH414" s="36"/>
      <c r="AI414" s="36"/>
      <c r="AJ414" s="36"/>
      <c r="AK414" s="242"/>
      <c r="AL414" s="36"/>
      <c r="AM414" s="36"/>
      <c r="AN414" s="36"/>
    </row>
    <row r="415" spans="6:40" ht="15" hidden="1" customHeight="1" outlineLevel="1">
      <c r="G415" s="6" t="s">
        <v>146</v>
      </c>
      <c r="H415" s="1468"/>
      <c r="I415" s="1468"/>
      <c r="J415" s="1468"/>
      <c r="K415" s="1468"/>
      <c r="L415" s="1468"/>
      <c r="M415" s="1468"/>
      <c r="N415" s="1468"/>
      <c r="O415" s="1468"/>
      <c r="P415" s="1468"/>
      <c r="Q415" s="1468"/>
      <c r="R415" s="1468"/>
      <c r="S415" s="1468"/>
      <c r="T415" s="1468"/>
      <c r="U415" s="1468"/>
      <c r="V415" s="1468"/>
      <c r="W415" s="1468"/>
      <c r="X415" s="1468"/>
      <c r="Y415" s="1397"/>
      <c r="Z415" s="1397"/>
      <c r="AA415" s="36"/>
      <c r="AB415" s="36"/>
      <c r="AC415" s="36"/>
      <c r="AD415" s="36"/>
      <c r="AE415" s="36"/>
      <c r="AF415" s="36"/>
      <c r="AG415" s="36"/>
      <c r="AH415" s="36"/>
      <c r="AI415" s="36"/>
      <c r="AJ415" s="36"/>
      <c r="AK415" s="242"/>
      <c r="AL415" s="36"/>
      <c r="AM415" s="36"/>
      <c r="AN415" s="36"/>
    </row>
    <row r="416" spans="6:40" ht="15" hidden="1" customHeight="1" outlineLevel="1">
      <c r="G416" s="6" t="s">
        <v>147</v>
      </c>
      <c r="H416" s="1468"/>
      <c r="I416" s="1468"/>
      <c r="J416" s="1468"/>
      <c r="K416" s="1468"/>
      <c r="L416" s="1468"/>
      <c r="M416" s="1468"/>
      <c r="N416" s="1468"/>
      <c r="O416" s="1468"/>
      <c r="P416" s="1468"/>
      <c r="Q416" s="1468"/>
      <c r="R416" s="1468"/>
      <c r="S416" s="1468"/>
      <c r="T416" s="1468"/>
      <c r="U416" s="1468"/>
      <c r="V416" s="1468"/>
      <c r="W416" s="1468"/>
      <c r="X416" s="1468"/>
      <c r="Y416" s="1397"/>
      <c r="Z416" s="1397"/>
      <c r="AA416" s="36"/>
      <c r="AB416" s="36"/>
      <c r="AC416" s="36"/>
      <c r="AD416" s="36"/>
      <c r="AE416" s="36"/>
      <c r="AF416" s="36"/>
      <c r="AG416" s="36"/>
      <c r="AH416" s="36"/>
      <c r="AI416" s="36"/>
      <c r="AJ416" s="36"/>
      <c r="AK416" s="242"/>
      <c r="AL416" s="36"/>
      <c r="AM416" s="36"/>
      <c r="AN416" s="36"/>
    </row>
    <row r="417" spans="6:40" ht="15" hidden="1" customHeight="1" outlineLevel="1">
      <c r="G417" s="6" t="s">
        <v>142</v>
      </c>
      <c r="H417" s="1466"/>
      <c r="I417" s="1466"/>
      <c r="J417" s="1466"/>
      <c r="K417" s="1466"/>
      <c r="L417" s="1466"/>
      <c r="M417" s="1466"/>
      <c r="N417" s="1466"/>
      <c r="O417" s="1466"/>
      <c r="P417" s="1466"/>
      <c r="Q417" s="1466"/>
      <c r="R417" s="1466"/>
      <c r="S417" s="1466"/>
      <c r="T417" s="1466"/>
      <c r="U417" s="1466"/>
      <c r="V417" s="1466"/>
      <c r="W417" s="1466"/>
      <c r="X417" s="1466"/>
      <c r="Y417" s="1397"/>
      <c r="Z417" s="1397"/>
      <c r="AA417" s="36"/>
      <c r="AB417" s="36"/>
      <c r="AC417" s="36"/>
      <c r="AD417" s="36"/>
      <c r="AE417" s="36"/>
      <c r="AF417" s="36"/>
      <c r="AG417" s="36"/>
      <c r="AH417" s="36"/>
      <c r="AI417" s="36"/>
      <c r="AJ417" s="36"/>
      <c r="AK417" s="36"/>
      <c r="AL417" s="36"/>
      <c r="AM417" s="36"/>
      <c r="AN417" s="36"/>
    </row>
    <row r="418" spans="6:40" ht="15" hidden="1" customHeight="1" outlineLevel="1">
      <c r="G418" s="241" t="s">
        <v>150</v>
      </c>
      <c r="H418" s="1470"/>
      <c r="I418" s="1470"/>
      <c r="J418" s="1470"/>
      <c r="K418" s="1470"/>
      <c r="L418" s="1470"/>
      <c r="M418" s="1470"/>
      <c r="N418" s="1470"/>
      <c r="O418" s="1470"/>
      <c r="P418" s="1470"/>
      <c r="Q418" s="1470"/>
      <c r="R418" s="1558"/>
      <c r="S418" s="1558"/>
      <c r="T418" s="1470"/>
      <c r="U418" s="1558"/>
      <c r="V418" s="1558"/>
      <c r="W418" s="1470"/>
      <c r="X418" s="1470"/>
      <c r="Y418" s="1397"/>
      <c r="Z418" s="1397"/>
      <c r="AA418" s="36"/>
      <c r="AB418" s="36"/>
      <c r="AC418" s="36"/>
      <c r="AD418" s="36"/>
      <c r="AE418" s="36"/>
      <c r="AF418" s="36"/>
      <c r="AG418" s="36"/>
      <c r="AH418" s="36"/>
      <c r="AI418" s="36"/>
      <c r="AJ418" s="36"/>
      <c r="AK418" s="36"/>
      <c r="AL418" s="36"/>
      <c r="AM418" s="36"/>
      <c r="AN418" s="36"/>
    </row>
    <row r="419" spans="6:40" ht="15" hidden="1" customHeight="1" outlineLevel="1">
      <c r="G419" s="6" t="s">
        <v>140</v>
      </c>
      <c r="H419" s="1469"/>
      <c r="I419" s="1469"/>
      <c r="J419" s="1469"/>
      <c r="K419" s="1469"/>
      <c r="L419" s="1469"/>
      <c r="M419" s="1469"/>
      <c r="N419" s="1469"/>
      <c r="O419" s="1469"/>
      <c r="P419" s="1469"/>
      <c r="Q419" s="1469"/>
      <c r="R419" s="1469"/>
      <c r="S419" s="1469"/>
      <c r="T419" s="1469"/>
      <c r="U419" s="1469"/>
      <c r="V419" s="1469"/>
      <c r="W419" s="1469"/>
      <c r="X419" s="1469"/>
      <c r="Y419" s="1397"/>
      <c r="Z419" s="1397"/>
      <c r="AA419" s="36"/>
      <c r="AB419" s="36"/>
      <c r="AC419" s="36"/>
      <c r="AD419" s="36"/>
      <c r="AE419" s="36"/>
      <c r="AF419" s="36"/>
      <c r="AG419" s="36"/>
      <c r="AH419" s="36"/>
      <c r="AI419" s="36"/>
      <c r="AJ419" s="36"/>
      <c r="AK419" s="36"/>
      <c r="AL419" s="36"/>
      <c r="AM419" s="36"/>
      <c r="AN419" s="36"/>
    </row>
    <row r="420" spans="6:40" ht="15" hidden="1" customHeight="1" outlineLevel="1">
      <c r="G420" s="6" t="s">
        <v>141</v>
      </c>
      <c r="H420" s="1469"/>
      <c r="I420" s="1469"/>
      <c r="J420" s="1469"/>
      <c r="K420" s="1469"/>
      <c r="L420" s="1469"/>
      <c r="M420" s="1469"/>
      <c r="N420" s="1469"/>
      <c r="O420" s="1469"/>
      <c r="P420" s="1469"/>
      <c r="Q420" s="1469"/>
      <c r="R420" s="1469"/>
      <c r="S420" s="1469"/>
      <c r="T420" s="1469"/>
      <c r="U420" s="1469"/>
      <c r="V420" s="1469"/>
      <c r="W420" s="1469"/>
      <c r="X420" s="1469"/>
      <c r="Y420" s="1397"/>
      <c r="Z420" s="1397"/>
      <c r="AA420" s="36"/>
      <c r="AB420" s="36"/>
      <c r="AC420" s="36"/>
      <c r="AD420" s="36"/>
      <c r="AE420" s="36"/>
      <c r="AF420" s="36"/>
      <c r="AG420" s="36"/>
      <c r="AH420" s="36"/>
      <c r="AI420" s="36"/>
      <c r="AJ420" s="36"/>
      <c r="AK420" s="36"/>
      <c r="AL420" s="36"/>
      <c r="AM420" s="36"/>
      <c r="AN420" s="36"/>
    </row>
    <row r="421" spans="6:40" ht="15" hidden="1" customHeight="1" outlineLevel="1">
      <c r="G421" s="6" t="s">
        <v>143</v>
      </c>
      <c r="H421" s="1469"/>
      <c r="I421" s="1469"/>
      <c r="J421" s="1469"/>
      <c r="K421" s="1469"/>
      <c r="L421" s="1469"/>
      <c r="M421" s="1469"/>
      <c r="N421" s="1469"/>
      <c r="O421" s="1469"/>
      <c r="P421" s="1469"/>
      <c r="Q421" s="1469"/>
      <c r="R421" s="1469"/>
      <c r="S421" s="1469"/>
      <c r="T421" s="1469"/>
      <c r="U421" s="1469"/>
      <c r="V421" s="1469"/>
      <c r="W421" s="1469"/>
      <c r="X421" s="1469"/>
      <c r="Y421" s="1397"/>
      <c r="Z421" s="1397"/>
      <c r="AA421" s="36"/>
      <c r="AB421" s="36"/>
      <c r="AC421" s="36"/>
      <c r="AD421" s="36"/>
      <c r="AE421" s="36"/>
      <c r="AF421" s="36"/>
      <c r="AG421" s="36"/>
      <c r="AH421" s="36"/>
      <c r="AI421" s="36"/>
      <c r="AJ421" s="36"/>
      <c r="AK421" s="36"/>
      <c r="AL421" s="36"/>
      <c r="AM421" s="36"/>
      <c r="AN421" s="36"/>
    </row>
    <row r="422" spans="6:40" ht="15" hidden="1" customHeight="1" outlineLevel="1">
      <c r="G422" s="6" t="s">
        <v>144</v>
      </c>
      <c r="H422" s="1469"/>
      <c r="I422" s="1469"/>
      <c r="J422" s="1469"/>
      <c r="K422" s="1469"/>
      <c r="L422" s="1469"/>
      <c r="M422" s="1469"/>
      <c r="N422" s="1469"/>
      <c r="O422" s="1469"/>
      <c r="P422" s="1469"/>
      <c r="Q422" s="1469"/>
      <c r="R422" s="1469"/>
      <c r="S422" s="1469"/>
      <c r="T422" s="1469"/>
      <c r="U422" s="1469"/>
      <c r="V422" s="1469"/>
      <c r="W422" s="1469"/>
      <c r="X422" s="1469"/>
      <c r="Y422" s="1397"/>
      <c r="Z422" s="1397"/>
      <c r="AA422" s="36"/>
      <c r="AB422" s="36"/>
      <c r="AC422" s="36"/>
      <c r="AD422" s="36"/>
      <c r="AE422" s="36"/>
      <c r="AF422" s="36"/>
      <c r="AG422" s="36"/>
      <c r="AH422" s="36"/>
      <c r="AI422" s="36"/>
      <c r="AJ422" s="36"/>
      <c r="AK422" s="242"/>
      <c r="AL422" s="36"/>
      <c r="AM422" s="36"/>
      <c r="AN422" s="36"/>
    </row>
    <row r="423" spans="6:40" ht="15" hidden="1" customHeight="1" outlineLevel="1">
      <c r="G423" s="6" t="s">
        <v>145</v>
      </c>
      <c r="H423" s="1469"/>
      <c r="I423" s="1469"/>
      <c r="J423" s="1469"/>
      <c r="K423" s="1469"/>
      <c r="L423" s="1469"/>
      <c r="M423" s="1469"/>
      <c r="N423" s="1469"/>
      <c r="O423" s="1469"/>
      <c r="P423" s="1469"/>
      <c r="Q423" s="1469"/>
      <c r="R423" s="1469"/>
      <c r="S423" s="1469"/>
      <c r="T423" s="1469"/>
      <c r="U423" s="1469"/>
      <c r="V423" s="1469"/>
      <c r="W423" s="1469"/>
      <c r="X423" s="1469"/>
      <c r="Y423" s="1397"/>
      <c r="Z423" s="1397"/>
      <c r="AA423" s="36"/>
      <c r="AB423" s="36"/>
      <c r="AC423" s="36"/>
      <c r="AD423" s="36"/>
      <c r="AE423" s="36"/>
      <c r="AF423" s="36"/>
      <c r="AG423" s="36"/>
      <c r="AH423" s="36"/>
      <c r="AI423" s="36"/>
      <c r="AJ423" s="36"/>
      <c r="AK423" s="242"/>
      <c r="AL423" s="36"/>
      <c r="AM423" s="36"/>
      <c r="AN423" s="36"/>
    </row>
    <row r="424" spans="6:40" ht="15" hidden="1" customHeight="1" outlineLevel="1">
      <c r="G424" s="241" t="s">
        <v>841</v>
      </c>
      <c r="H424" s="1470"/>
      <c r="I424" s="1470"/>
      <c r="J424" s="1470"/>
      <c r="K424" s="1470"/>
      <c r="L424" s="1470"/>
      <c r="M424" s="1470"/>
      <c r="N424" s="1470"/>
      <c r="O424" s="1470"/>
      <c r="P424" s="1470"/>
      <c r="Q424" s="1470"/>
      <c r="R424" s="1558"/>
      <c r="S424" s="1558"/>
      <c r="T424" s="1470"/>
      <c r="U424" s="1558"/>
      <c r="V424" s="1558"/>
      <c r="W424" s="1470"/>
      <c r="X424" s="1470"/>
      <c r="Y424" s="1397"/>
      <c r="Z424" s="1397"/>
      <c r="AA424" s="36"/>
      <c r="AB424" s="36"/>
      <c r="AC424" s="36"/>
      <c r="AD424" s="36"/>
      <c r="AE424" s="36"/>
      <c r="AF424" s="36"/>
      <c r="AG424" s="36"/>
      <c r="AH424" s="36"/>
      <c r="AI424" s="36"/>
      <c r="AJ424" s="36"/>
      <c r="AK424" s="242"/>
      <c r="AL424" s="36"/>
      <c r="AM424" s="36"/>
      <c r="AN424" s="36"/>
    </row>
    <row r="425" spans="6:40" ht="15" hidden="1" customHeight="1" outlineLevel="1">
      <c r="G425" s="6" t="s">
        <v>144</v>
      </c>
      <c r="H425" s="1469"/>
      <c r="I425" s="1469"/>
      <c r="J425" s="1469"/>
      <c r="K425" s="1469"/>
      <c r="L425" s="1469"/>
      <c r="M425" s="1469"/>
      <c r="N425" s="1469"/>
      <c r="O425" s="1469"/>
      <c r="P425" s="1469"/>
      <c r="Q425" s="1469"/>
      <c r="R425" s="1469"/>
      <c r="S425" s="1469"/>
      <c r="T425" s="1469"/>
      <c r="U425" s="1469"/>
      <c r="V425" s="1469"/>
      <c r="W425" s="1469"/>
      <c r="X425" s="1469"/>
      <c r="Y425" s="1397"/>
      <c r="Z425" s="1397"/>
      <c r="AA425" s="36"/>
      <c r="AB425" s="36"/>
      <c r="AC425" s="36"/>
      <c r="AD425" s="36"/>
      <c r="AE425" s="36"/>
      <c r="AF425" s="36"/>
      <c r="AG425" s="36"/>
      <c r="AH425" s="36"/>
      <c r="AI425" s="36"/>
      <c r="AJ425" s="36"/>
      <c r="AK425" s="36"/>
      <c r="AL425" s="36"/>
      <c r="AM425" s="36"/>
      <c r="AN425" s="36"/>
    </row>
    <row r="426" spans="6:40" ht="15" hidden="1" customHeight="1" outlineLevel="1">
      <c r="G426" s="6" t="s">
        <v>145</v>
      </c>
      <c r="H426" s="1468"/>
      <c r="I426" s="1468"/>
      <c r="J426" s="1468"/>
      <c r="K426" s="1468"/>
      <c r="L426" s="1468"/>
      <c r="M426" s="1468"/>
      <c r="N426" s="1468"/>
      <c r="O426" s="1468"/>
      <c r="P426" s="1468"/>
      <c r="Q426" s="1468"/>
      <c r="R426" s="1468"/>
      <c r="S426" s="1468"/>
      <c r="T426" s="1468"/>
      <c r="U426" s="1468"/>
      <c r="V426" s="1468"/>
      <c r="W426" s="1468"/>
      <c r="X426" s="1468"/>
      <c r="Y426" s="1397"/>
      <c r="Z426" s="1397"/>
      <c r="AA426" s="36"/>
      <c r="AB426" s="36"/>
      <c r="AC426" s="36"/>
      <c r="AD426" s="36"/>
      <c r="AE426" s="36"/>
      <c r="AF426" s="36"/>
      <c r="AG426" s="36"/>
      <c r="AH426" s="36"/>
      <c r="AI426" s="36"/>
      <c r="AJ426" s="36"/>
      <c r="AK426" s="36"/>
      <c r="AL426" s="36"/>
      <c r="AM426" s="36"/>
      <c r="AN426" s="36"/>
    </row>
    <row r="427" spans="6:40" ht="15" hidden="1" customHeight="1" outlineLevel="1">
      <c r="F427" s="77" t="s">
        <v>148</v>
      </c>
      <c r="G427" s="845"/>
      <c r="H427" s="1471"/>
      <c r="I427" s="1471"/>
      <c r="J427" s="1471"/>
      <c r="K427" s="1471"/>
      <c r="L427" s="1471"/>
      <c r="M427" s="1471"/>
      <c r="N427" s="1471"/>
      <c r="O427" s="1471"/>
      <c r="P427" s="1471"/>
      <c r="Q427" s="1471"/>
      <c r="R427" s="1557"/>
      <c r="S427" s="1557"/>
      <c r="T427" s="1471"/>
      <c r="U427" s="1557"/>
      <c r="V427" s="1557"/>
      <c r="W427" s="1471"/>
      <c r="X427" s="1471"/>
      <c r="Y427" s="1397"/>
      <c r="Z427" s="1397"/>
      <c r="AA427" s="36"/>
      <c r="AB427" s="36"/>
      <c r="AC427" s="36"/>
      <c r="AD427" s="36"/>
      <c r="AE427" s="36"/>
      <c r="AF427" s="36"/>
      <c r="AG427" s="36"/>
      <c r="AH427" s="36"/>
      <c r="AI427" s="36"/>
      <c r="AJ427" s="36"/>
      <c r="AK427" s="242"/>
      <c r="AL427" s="36"/>
      <c r="AM427" s="36"/>
      <c r="AN427" s="36"/>
    </row>
    <row r="428" spans="6:40" ht="15" hidden="1" customHeight="1" outlineLevel="1">
      <c r="F428" s="1"/>
      <c r="G428" s="6" t="s">
        <v>151</v>
      </c>
      <c r="H428" s="1469"/>
      <c r="I428" s="1469"/>
      <c r="J428" s="1469"/>
      <c r="K428" s="1469"/>
      <c r="L428" s="1469"/>
      <c r="M428" s="1469"/>
      <c r="N428" s="1469"/>
      <c r="O428" s="1469"/>
      <c r="P428" s="1469"/>
      <c r="Q428" s="1469"/>
      <c r="R428" s="1469"/>
      <c r="S428" s="1469"/>
      <c r="T428" s="1469"/>
      <c r="U428" s="1469"/>
      <c r="V428" s="1469"/>
      <c r="W428" s="1469"/>
      <c r="X428" s="1469"/>
      <c r="Y428" s="1397"/>
      <c r="Z428" s="1397"/>
      <c r="AA428" s="36"/>
      <c r="AB428" s="36"/>
      <c r="AC428" s="36"/>
      <c r="AD428" s="36"/>
      <c r="AE428" s="36"/>
      <c r="AF428" s="36"/>
      <c r="AG428" s="36"/>
      <c r="AH428" s="36"/>
      <c r="AI428" s="36"/>
      <c r="AJ428" s="36"/>
      <c r="AK428" s="242"/>
      <c r="AL428" s="36"/>
      <c r="AM428" s="36"/>
      <c r="AN428" s="36"/>
    </row>
    <row r="429" spans="6:40" ht="15" hidden="1" customHeight="1" outlineLevel="1">
      <c r="G429" s="6" t="s">
        <v>85</v>
      </c>
      <c r="H429" s="1468"/>
      <c r="I429" s="1468"/>
      <c r="J429" s="1468"/>
      <c r="K429" s="1468"/>
      <c r="L429" s="1468"/>
      <c r="M429" s="1468"/>
      <c r="N429" s="1468"/>
      <c r="O429" s="1468"/>
      <c r="P429" s="1468"/>
      <c r="Q429" s="1468"/>
      <c r="R429" s="1468"/>
      <c r="S429" s="1468"/>
      <c r="T429" s="1468"/>
      <c r="U429" s="1468"/>
      <c r="V429" s="1468"/>
      <c r="W429" s="1468"/>
      <c r="X429" s="1468"/>
      <c r="Y429" s="1397"/>
      <c r="Z429" s="1397"/>
      <c r="AA429" s="36"/>
      <c r="AB429" s="36"/>
      <c r="AC429" s="36"/>
      <c r="AD429" s="36"/>
      <c r="AE429" s="36"/>
      <c r="AF429" s="36"/>
      <c r="AG429" s="36"/>
      <c r="AH429" s="36"/>
      <c r="AI429" s="36"/>
      <c r="AJ429" s="36"/>
      <c r="AK429" s="242"/>
      <c r="AL429" s="36"/>
      <c r="AM429" s="36"/>
      <c r="AN429" s="36"/>
    </row>
    <row r="430" spans="6:40" ht="15" hidden="1" customHeight="1" outlineLevel="1">
      <c r="G430" s="6" t="s">
        <v>59</v>
      </c>
      <c r="H430" s="1468"/>
      <c r="I430" s="1468"/>
      <c r="J430" s="1468"/>
      <c r="K430" s="1468"/>
      <c r="L430" s="1468"/>
      <c r="M430" s="1468"/>
      <c r="N430" s="1468"/>
      <c r="O430" s="1468"/>
      <c r="P430" s="1468"/>
      <c r="Q430" s="1468"/>
      <c r="R430" s="1468"/>
      <c r="S430" s="1468"/>
      <c r="T430" s="1468"/>
      <c r="U430" s="1468"/>
      <c r="V430" s="1468"/>
      <c r="W430" s="1468"/>
      <c r="X430" s="1468"/>
      <c r="Y430" s="1397"/>
      <c r="Z430" s="1397"/>
      <c r="AA430" s="36"/>
      <c r="AB430" s="36"/>
      <c r="AC430" s="36"/>
      <c r="AD430" s="36"/>
      <c r="AE430" s="36"/>
      <c r="AF430" s="36"/>
      <c r="AG430" s="36"/>
      <c r="AH430" s="36"/>
      <c r="AI430" s="36"/>
      <c r="AJ430" s="36"/>
      <c r="AK430" s="242"/>
      <c r="AL430" s="36"/>
      <c r="AM430" s="36"/>
      <c r="AN430" s="36"/>
    </row>
    <row r="431" spans="6:40" ht="15" hidden="1" customHeight="1" outlineLevel="1">
      <c r="G431" s="6" t="s">
        <v>86</v>
      </c>
      <c r="H431" s="1470"/>
      <c r="I431" s="1470"/>
      <c r="J431" s="1470"/>
      <c r="K431" s="1470"/>
      <c r="L431" s="1470"/>
      <c r="M431" s="1470"/>
      <c r="N431" s="1470"/>
      <c r="O431" s="1470"/>
      <c r="P431" s="1470"/>
      <c r="Q431" s="1470"/>
      <c r="R431" s="1470"/>
      <c r="S431" s="1470"/>
      <c r="T431" s="1470"/>
      <c r="U431" s="1470"/>
      <c r="V431" s="1470"/>
      <c r="W431" s="1470"/>
      <c r="X431" s="1470"/>
      <c r="Y431" s="1397"/>
      <c r="Z431" s="1397"/>
      <c r="AA431" s="36"/>
      <c r="AB431" s="36"/>
      <c r="AC431" s="36"/>
      <c r="AD431" s="36"/>
      <c r="AE431" s="36"/>
      <c r="AF431" s="36"/>
      <c r="AG431" s="36"/>
      <c r="AH431" s="36"/>
      <c r="AI431" s="36"/>
      <c r="AJ431" s="36"/>
      <c r="AK431" s="36" t="s">
        <v>191</v>
      </c>
      <c r="AL431" s="36"/>
      <c r="AM431" s="36"/>
      <c r="AN431" s="36"/>
    </row>
    <row r="432" spans="6:40" ht="15" hidden="1" customHeight="1" outlineLevel="1" collapsed="1">
      <c r="G432" s="241" t="s">
        <v>133</v>
      </c>
      <c r="H432" s="1470"/>
      <c r="I432" s="1470"/>
      <c r="J432" s="1470"/>
      <c r="K432" s="1470"/>
      <c r="L432" s="1470"/>
      <c r="M432" s="1470"/>
      <c r="N432" s="1470"/>
      <c r="O432" s="1470"/>
      <c r="P432" s="1470"/>
      <c r="Q432" s="1470"/>
      <c r="R432" s="1558"/>
      <c r="S432" s="1558"/>
      <c r="T432" s="1470"/>
      <c r="U432" s="1558"/>
      <c r="V432" s="1558"/>
      <c r="W432" s="1470"/>
      <c r="X432" s="1470"/>
      <c r="Y432" s="1397"/>
      <c r="Z432" s="1397"/>
      <c r="AA432" s="36"/>
      <c r="AB432" s="36"/>
      <c r="AC432" s="36"/>
      <c r="AD432" s="36"/>
      <c r="AE432" s="36"/>
      <c r="AF432" s="36"/>
      <c r="AG432" s="36"/>
      <c r="AH432" s="36"/>
      <c r="AI432" s="36"/>
      <c r="AJ432" s="36"/>
      <c r="AK432" s="36"/>
      <c r="AL432" s="36"/>
      <c r="AM432" s="36"/>
      <c r="AN432" s="36"/>
    </row>
    <row r="433" spans="7:40" hidden="1" outlineLevel="1">
      <c r="G433" s="6" t="s">
        <v>129</v>
      </c>
      <c r="H433" s="1469"/>
      <c r="I433" s="1469"/>
      <c r="J433" s="1469"/>
      <c r="K433" s="1469"/>
      <c r="L433" s="1469"/>
      <c r="M433" s="1469"/>
      <c r="N433" s="1469"/>
      <c r="O433" s="1469"/>
      <c r="P433" s="1469"/>
      <c r="Q433" s="1469"/>
      <c r="R433" s="1469"/>
      <c r="S433" s="1469"/>
      <c r="T433" s="1469"/>
      <c r="U433" s="1469"/>
      <c r="V433" s="1469"/>
      <c r="W433" s="1469"/>
      <c r="X433" s="1469"/>
      <c r="Y433" s="1397"/>
      <c r="Z433" s="1397"/>
      <c r="AA433" s="36"/>
      <c r="AB433" s="36"/>
      <c r="AC433" s="36"/>
      <c r="AD433" s="36"/>
      <c r="AE433" s="36"/>
      <c r="AF433" s="36"/>
      <c r="AG433" s="36"/>
      <c r="AH433" s="36"/>
      <c r="AI433" s="36"/>
      <c r="AJ433" s="36"/>
      <c r="AK433" s="36"/>
      <c r="AL433" s="36"/>
      <c r="AM433" s="36"/>
      <c r="AN433" s="36"/>
    </row>
    <row r="434" spans="7:40" hidden="1" outlineLevel="1">
      <c r="G434" s="6" t="s">
        <v>206</v>
      </c>
      <c r="H434" s="1469"/>
      <c r="I434" s="1469"/>
      <c r="J434" s="1469"/>
      <c r="K434" s="1469"/>
      <c r="L434" s="1469"/>
      <c r="M434" s="1469"/>
      <c r="N434" s="1469"/>
      <c r="O434" s="1469"/>
      <c r="P434" s="1469"/>
      <c r="Q434" s="1469"/>
      <c r="R434" s="1469"/>
      <c r="S434" s="1469"/>
      <c r="T434" s="1469"/>
      <c r="U434" s="1469"/>
      <c r="V434" s="1469"/>
      <c r="W434" s="1469"/>
      <c r="X434" s="1469"/>
      <c r="Y434" s="1397"/>
      <c r="Z434" s="1397"/>
      <c r="AA434" s="36"/>
      <c r="AB434" s="36"/>
      <c r="AC434" s="36"/>
      <c r="AD434" s="36"/>
      <c r="AE434" s="36"/>
      <c r="AF434" s="36"/>
      <c r="AG434" s="36"/>
      <c r="AH434" s="36"/>
      <c r="AI434" s="36"/>
      <c r="AJ434" s="36"/>
      <c r="AK434" s="36"/>
      <c r="AL434" s="36"/>
      <c r="AM434" s="36"/>
      <c r="AN434" s="36"/>
    </row>
    <row r="435" spans="7:40" hidden="1" outlineLevel="1">
      <c r="G435" s="6" t="s">
        <v>87</v>
      </c>
      <c r="H435" s="1469"/>
      <c r="I435" s="1469"/>
      <c r="J435" s="1469"/>
      <c r="K435" s="1469"/>
      <c r="L435" s="1469"/>
      <c r="M435" s="1469"/>
      <c r="N435" s="1469"/>
      <c r="O435" s="1469"/>
      <c r="P435" s="1469"/>
      <c r="Q435" s="1469"/>
      <c r="R435" s="1469"/>
      <c r="S435" s="1469"/>
      <c r="T435" s="1469"/>
      <c r="U435" s="1469"/>
      <c r="V435" s="1469"/>
      <c r="W435" s="1469"/>
      <c r="X435" s="1469"/>
      <c r="Y435" s="1397"/>
      <c r="Z435" s="1397"/>
      <c r="AA435" s="36"/>
      <c r="AB435" s="36"/>
      <c r="AC435" s="36"/>
      <c r="AD435" s="36"/>
      <c r="AE435" s="36"/>
      <c r="AF435" s="36"/>
      <c r="AG435" s="36"/>
      <c r="AH435" s="36"/>
      <c r="AI435" s="36"/>
      <c r="AJ435" s="36"/>
      <c r="AK435" s="36"/>
      <c r="AL435" s="36"/>
      <c r="AM435" s="36"/>
      <c r="AN435" s="36"/>
    </row>
    <row r="436" spans="7:40" hidden="1" outlineLevel="1">
      <c r="G436" s="6" t="s">
        <v>203</v>
      </c>
      <c r="H436" s="1465"/>
      <c r="I436" s="1465"/>
      <c r="J436" s="1465"/>
      <c r="K436" s="1465"/>
      <c r="L436" s="1465"/>
      <c r="M436" s="1465"/>
      <c r="N436" s="1465"/>
      <c r="O436" s="1465"/>
      <c r="P436" s="1465"/>
      <c r="Q436" s="1465"/>
      <c r="R436" s="1465"/>
      <c r="S436" s="1465"/>
      <c r="T436" s="1465"/>
      <c r="U436" s="1465"/>
      <c r="V436" s="1465"/>
      <c r="W436" s="1465"/>
      <c r="X436" s="1465"/>
      <c r="Y436" s="1397"/>
      <c r="Z436" s="1397"/>
      <c r="AA436" s="36"/>
      <c r="AB436" s="36"/>
      <c r="AC436" s="36"/>
      <c r="AD436" s="36"/>
      <c r="AE436" s="36"/>
      <c r="AF436" s="36"/>
      <c r="AG436" s="36"/>
      <c r="AH436" s="36"/>
      <c r="AI436" s="36"/>
      <c r="AJ436" s="36"/>
      <c r="AK436" s="36"/>
      <c r="AL436" s="36"/>
      <c r="AM436" s="36"/>
      <c r="AN436" s="36"/>
    </row>
    <row r="437" spans="7:40" hidden="1" outlineLevel="1">
      <c r="G437" s="6" t="s">
        <v>204</v>
      </c>
      <c r="H437" s="1465"/>
      <c r="I437" s="1465"/>
      <c r="J437" s="1465"/>
      <c r="K437" s="1465"/>
      <c r="L437" s="1465"/>
      <c r="M437" s="1465"/>
      <c r="N437" s="1465"/>
      <c r="O437" s="1465"/>
      <c r="P437" s="1465"/>
      <c r="Q437" s="1465"/>
      <c r="R437" s="1465"/>
      <c r="S437" s="1465"/>
      <c r="T437" s="1465"/>
      <c r="U437" s="1465"/>
      <c r="V437" s="1465"/>
      <c r="W437" s="1465"/>
      <c r="X437" s="1465"/>
      <c r="Y437" s="1397"/>
      <c r="Z437" s="1397"/>
      <c r="AA437" s="36"/>
      <c r="AB437" s="36"/>
      <c r="AC437" s="36"/>
      <c r="AD437" s="36"/>
      <c r="AE437" s="36"/>
      <c r="AF437" s="36"/>
      <c r="AG437" s="36"/>
      <c r="AH437" s="36"/>
      <c r="AI437" s="36"/>
      <c r="AJ437" s="36"/>
      <c r="AK437" s="242"/>
      <c r="AL437" s="36"/>
      <c r="AM437" s="36"/>
      <c r="AN437" s="36"/>
    </row>
    <row r="438" spans="7:40" hidden="1" outlineLevel="1">
      <c r="G438" s="241" t="s">
        <v>134</v>
      </c>
      <c r="H438" s="1470"/>
      <c r="I438" s="1470"/>
      <c r="J438" s="1470"/>
      <c r="K438" s="1470"/>
      <c r="L438" s="1470"/>
      <c r="M438" s="1470"/>
      <c r="N438" s="1470"/>
      <c r="O438" s="1470"/>
      <c r="P438" s="1470"/>
      <c r="Q438" s="1470"/>
      <c r="R438" s="1558"/>
      <c r="S438" s="1558"/>
      <c r="T438" s="1470"/>
      <c r="U438" s="1558"/>
      <c r="V438" s="1558"/>
      <c r="W438" s="1470"/>
      <c r="X438" s="1470"/>
      <c r="Y438" s="1397"/>
      <c r="Z438" s="1397"/>
      <c r="AA438" s="36"/>
      <c r="AB438" s="36"/>
      <c r="AC438" s="36"/>
      <c r="AD438" s="36"/>
      <c r="AE438" s="36"/>
      <c r="AF438" s="36"/>
      <c r="AG438" s="36"/>
      <c r="AH438" s="36"/>
      <c r="AI438" s="36"/>
      <c r="AJ438" s="36"/>
      <c r="AK438" s="242"/>
      <c r="AL438" s="36"/>
      <c r="AM438" s="36"/>
      <c r="AN438" s="36"/>
    </row>
    <row r="439" spans="7:40" hidden="1" outlineLevel="1">
      <c r="G439" s="6" t="s">
        <v>206</v>
      </c>
      <c r="H439" s="1469"/>
      <c r="I439" s="1469"/>
      <c r="J439" s="1469"/>
      <c r="K439" s="1469"/>
      <c r="L439" s="1469"/>
      <c r="M439" s="1469"/>
      <c r="N439" s="1469"/>
      <c r="O439" s="1469"/>
      <c r="P439" s="1469"/>
      <c r="Q439" s="1469"/>
      <c r="R439" s="1469"/>
      <c r="S439" s="1469"/>
      <c r="T439" s="1469"/>
      <c r="U439" s="1469"/>
      <c r="V439" s="1469"/>
      <c r="W439" s="1469"/>
      <c r="X439" s="1469"/>
      <c r="Y439" s="1397"/>
      <c r="Z439" s="1397"/>
      <c r="AA439" s="36"/>
      <c r="AB439" s="36" t="s">
        <v>192</v>
      </c>
      <c r="AC439" s="36"/>
      <c r="AD439" s="36" t="s">
        <v>193</v>
      </c>
      <c r="AE439" s="36"/>
      <c r="AF439" s="36"/>
      <c r="AG439" s="36"/>
      <c r="AH439" s="36"/>
      <c r="AI439" s="36"/>
      <c r="AJ439" s="36"/>
      <c r="AK439" s="36"/>
      <c r="AL439" s="36"/>
      <c r="AM439" s="36"/>
      <c r="AN439" s="36"/>
    </row>
    <row r="440" spans="7:40" hidden="1" outlineLevel="1">
      <c r="G440" s="6" t="s">
        <v>87</v>
      </c>
      <c r="H440" s="1469"/>
      <c r="I440" s="1469"/>
      <c r="J440" s="1469"/>
      <c r="K440" s="1469"/>
      <c r="L440" s="1469"/>
      <c r="M440" s="1469"/>
      <c r="N440" s="1469"/>
      <c r="O440" s="1469"/>
      <c r="P440" s="1469"/>
      <c r="Q440" s="1469"/>
      <c r="R440" s="1469"/>
      <c r="S440" s="1469"/>
      <c r="T440" s="1469"/>
      <c r="U440" s="1469"/>
      <c r="V440" s="1469"/>
      <c r="W440" s="1469"/>
      <c r="X440" s="1469"/>
      <c r="Y440" s="1397"/>
      <c r="Z440" s="1397"/>
      <c r="AA440" s="36"/>
      <c r="AB440" s="36" t="s">
        <v>194</v>
      </c>
      <c r="AC440" s="36"/>
      <c r="AD440" s="36" t="s">
        <v>195</v>
      </c>
      <c r="AE440" s="36"/>
      <c r="AF440" s="36"/>
      <c r="AG440" s="36"/>
      <c r="AH440" s="36"/>
      <c r="AI440" s="36"/>
      <c r="AJ440" s="36"/>
      <c r="AK440" s="36"/>
      <c r="AL440" s="36"/>
      <c r="AM440" s="36"/>
      <c r="AN440" s="36"/>
    </row>
    <row r="441" spans="7:40" hidden="1" outlineLevel="1">
      <c r="G441" s="6" t="s">
        <v>204</v>
      </c>
      <c r="H441" s="1468"/>
      <c r="I441" s="1468"/>
      <c r="J441" s="1468"/>
      <c r="K441" s="1468"/>
      <c r="L441" s="1468"/>
      <c r="M441" s="1468"/>
      <c r="N441" s="1468"/>
      <c r="O441" s="1468"/>
      <c r="P441" s="1468"/>
      <c r="Q441" s="1468"/>
      <c r="R441" s="1468"/>
      <c r="S441" s="1468"/>
      <c r="T441" s="1468"/>
      <c r="U441" s="1468"/>
      <c r="V441" s="1468"/>
      <c r="W441" s="1468"/>
      <c r="X441" s="1468"/>
      <c r="Y441" s="1397"/>
      <c r="Z441" s="1397"/>
      <c r="AA441" s="36"/>
      <c r="AB441" s="36" t="s">
        <v>196</v>
      </c>
      <c r="AC441" s="36"/>
      <c r="AD441" s="36" t="s">
        <v>197</v>
      </c>
      <c r="AE441" s="36"/>
      <c r="AF441" s="36"/>
      <c r="AG441" s="36"/>
      <c r="AH441" s="36"/>
      <c r="AI441" s="36"/>
      <c r="AJ441" s="36"/>
      <c r="AK441" s="36"/>
      <c r="AL441" s="36"/>
      <c r="AM441" s="36"/>
      <c r="AN441" s="36"/>
    </row>
    <row r="442" spans="7:40" hidden="1" outlineLevel="1">
      <c r="R442" s="1397"/>
      <c r="S442" s="1397"/>
      <c r="T442" s="1397"/>
      <c r="U442" s="1397"/>
      <c r="V442" s="1397"/>
      <c r="W442" s="1397"/>
      <c r="X442" s="1397"/>
      <c r="Y442" s="1397"/>
      <c r="Z442" s="1397"/>
      <c r="AA442" s="36"/>
      <c r="AB442" s="36"/>
      <c r="AC442" s="36"/>
      <c r="AD442" s="36"/>
      <c r="AE442" s="36"/>
      <c r="AF442" s="36"/>
      <c r="AG442" s="36"/>
      <c r="AH442" s="36"/>
      <c r="AI442" s="36"/>
      <c r="AJ442" s="36"/>
      <c r="AK442" s="36"/>
      <c r="AL442" s="36"/>
      <c r="AM442" s="36"/>
      <c r="AN442" s="36"/>
    </row>
    <row r="443" spans="7:40" hidden="1" outlineLevel="1">
      <c r="R443" s="1397"/>
      <c r="S443" s="1397"/>
      <c r="T443" s="1397"/>
      <c r="U443" s="1397"/>
      <c r="V443" s="1397"/>
      <c r="W443" s="1397"/>
      <c r="X443" s="1397"/>
      <c r="Y443" s="1397"/>
      <c r="Z443" s="1397"/>
      <c r="AA443" s="36"/>
      <c r="AB443" s="36"/>
      <c r="AC443" s="36"/>
      <c r="AD443" s="36"/>
      <c r="AE443" s="36"/>
      <c r="AF443" s="36"/>
      <c r="AG443" s="36"/>
      <c r="AH443" s="36"/>
      <c r="AI443" s="36"/>
      <c r="AJ443" s="36"/>
      <c r="AK443" s="36"/>
      <c r="AL443" s="36"/>
      <c r="AM443" s="36"/>
      <c r="AN443" s="36"/>
    </row>
    <row r="444" spans="7:40" collapsed="1">
      <c r="H444" s="1562"/>
      <c r="I444" s="1562"/>
      <c r="J444" s="1562"/>
      <c r="K444" s="1562"/>
      <c r="L444" s="1562"/>
      <c r="M444" s="1562"/>
      <c r="N444" s="1562"/>
      <c r="O444" s="1562"/>
      <c r="P444" s="1562"/>
      <c r="R444" s="1457"/>
      <c r="S444" s="1457"/>
      <c r="T444" s="1457"/>
      <c r="U444" s="1457"/>
      <c r="V444" s="1457"/>
      <c r="W444" s="1457"/>
      <c r="X444" s="1457"/>
      <c r="Y444" s="1397"/>
      <c r="Z444" s="1397"/>
      <c r="AA444" s="36"/>
      <c r="AB444" s="36"/>
      <c r="AC444" s="36"/>
      <c r="AD444" s="36"/>
      <c r="AE444" s="36"/>
      <c r="AF444" s="36"/>
      <c r="AG444" s="36"/>
      <c r="AH444" s="36"/>
      <c r="AI444" s="36"/>
      <c r="AJ444" s="36"/>
      <c r="AK444" s="36"/>
      <c r="AL444" s="36"/>
      <c r="AM444" s="36"/>
      <c r="AN444" s="36"/>
    </row>
    <row r="445" spans="7:40">
      <c r="H445" s="1562"/>
      <c r="I445" s="1562"/>
      <c r="J445" s="1562"/>
      <c r="K445" s="1562"/>
      <c r="L445" s="1562"/>
      <c r="M445" s="1562"/>
      <c r="N445" s="1562"/>
      <c r="O445" s="1562"/>
      <c r="P445" s="1562"/>
      <c r="R445" s="1457"/>
      <c r="S445" s="1457"/>
      <c r="T445" s="1457"/>
      <c r="U445" s="1457"/>
      <c r="V445" s="1457"/>
      <c r="W445" s="1457"/>
      <c r="X445" s="1457"/>
      <c r="Y445" s="1397"/>
      <c r="Z445" s="1397"/>
      <c r="AA445" s="36"/>
      <c r="AB445" s="36"/>
      <c r="AC445" s="36"/>
      <c r="AD445" s="36"/>
      <c r="AE445" s="36"/>
      <c r="AF445" s="36"/>
      <c r="AG445" s="36"/>
      <c r="AH445" s="36"/>
      <c r="AI445" s="36"/>
      <c r="AJ445" s="36"/>
      <c r="AK445" s="242"/>
      <c r="AL445" s="36"/>
      <c r="AM445" s="36"/>
      <c r="AN445" s="36"/>
    </row>
    <row r="446" spans="7:40">
      <c r="R446" s="1457"/>
      <c r="S446" s="1457"/>
      <c r="T446" s="1457"/>
      <c r="U446" s="1457"/>
      <c r="V446" s="1457"/>
      <c r="W446" s="1457"/>
      <c r="X446" s="1457"/>
      <c r="Y446" s="1397"/>
      <c r="Z446" s="1397"/>
      <c r="AA446" s="36"/>
      <c r="AB446" s="36"/>
      <c r="AC446" s="36"/>
      <c r="AD446" s="36"/>
      <c r="AE446" s="36"/>
      <c r="AF446" s="36"/>
      <c r="AG446" s="36"/>
      <c r="AH446" s="36"/>
      <c r="AI446" s="36"/>
      <c r="AJ446" s="36"/>
      <c r="AK446" s="36"/>
      <c r="AL446" s="36"/>
      <c r="AM446" s="36"/>
      <c r="AN446" s="36"/>
    </row>
    <row r="447" spans="7:40">
      <c r="R447" s="1457"/>
      <c r="S447" s="1457"/>
      <c r="T447" s="1457"/>
      <c r="U447" s="1457"/>
      <c r="V447" s="1457"/>
      <c r="W447" s="1457"/>
      <c r="X447" s="1457"/>
      <c r="Y447" s="1397"/>
      <c r="Z447" s="1397"/>
      <c r="AA447" s="36"/>
      <c r="AB447" s="36"/>
      <c r="AC447" s="36"/>
      <c r="AD447" s="36"/>
      <c r="AE447" s="36"/>
      <c r="AF447" s="36"/>
      <c r="AG447" s="36"/>
      <c r="AH447" s="36"/>
      <c r="AI447" s="36"/>
      <c r="AJ447" s="36"/>
      <c r="AK447" s="36"/>
      <c r="AL447" s="36"/>
      <c r="AM447" s="36"/>
      <c r="AN447" s="36"/>
    </row>
    <row r="448" spans="7:40">
      <c r="R448" s="1457"/>
      <c r="S448" s="1457"/>
      <c r="T448" s="1457"/>
      <c r="U448" s="1457"/>
      <c r="V448" s="1457"/>
      <c r="W448" s="1457"/>
      <c r="X448" s="1457"/>
      <c r="Y448" s="1397"/>
      <c r="Z448" s="1397"/>
      <c r="AA448" s="36"/>
      <c r="AB448" s="36"/>
      <c r="AC448" s="36"/>
      <c r="AD448" s="36"/>
      <c r="AE448" s="36"/>
      <c r="AF448" s="36"/>
      <c r="AG448" s="36"/>
      <c r="AH448" s="36"/>
      <c r="AI448" s="36"/>
      <c r="AJ448" s="36"/>
      <c r="AK448" s="36"/>
      <c r="AL448" s="36"/>
      <c r="AM448" s="36"/>
      <c r="AN448" s="36"/>
    </row>
    <row r="449" spans="18:40">
      <c r="R449" s="1457"/>
      <c r="S449" s="1457"/>
      <c r="T449" s="1457"/>
      <c r="U449" s="1457"/>
      <c r="V449" s="1457"/>
      <c r="W449" s="1457"/>
      <c r="X449" s="1457"/>
      <c r="Y449" s="1397"/>
      <c r="Z449" s="1397"/>
      <c r="AA449" s="36"/>
      <c r="AB449" s="36"/>
      <c r="AC449" s="36"/>
      <c r="AD449" s="36"/>
      <c r="AE449" s="36"/>
      <c r="AF449" s="36"/>
      <c r="AG449" s="36"/>
      <c r="AH449" s="36"/>
      <c r="AI449" s="36"/>
      <c r="AJ449" s="36"/>
      <c r="AK449" s="36"/>
      <c r="AL449" s="36"/>
      <c r="AM449" s="36"/>
      <c r="AN449" s="36"/>
    </row>
  </sheetData>
  <sheetProtection algorithmName="SHA-512" hashValue="FDlulh9pr+OGt/jSiiVlJSgIPHv9Mlz0Pa1YItjZ3JlZvpH+lbfJaxyvumwfYPyFUaPjdD5lBsTfBjY4eWr4XQ==" saltValue="hyHNxsreXUuefmVjihpKig==" spinCount="100000" sheet="1" objects="1" scenarios="1" formatColumns="0" formatRows="0"/>
  <mergeCells count="120">
    <mergeCell ref="AP49:AU49"/>
    <mergeCell ref="AP51:AS52"/>
    <mergeCell ref="AT51:AT52"/>
    <mergeCell ref="AU51:AU52"/>
    <mergeCell ref="AP53:AS54"/>
    <mergeCell ref="AT53:AT54"/>
    <mergeCell ref="AU53:AU54"/>
    <mergeCell ref="H24:Z25"/>
    <mergeCell ref="H4:K4"/>
    <mergeCell ref="H5:K5"/>
    <mergeCell ref="H9:Z9"/>
    <mergeCell ref="H12:Z12"/>
    <mergeCell ref="H11:Z11"/>
    <mergeCell ref="H13:Z13"/>
    <mergeCell ref="H10:Z10"/>
    <mergeCell ref="H54:Z54"/>
    <mergeCell ref="F15:G15"/>
    <mergeCell ref="H19:Z19"/>
    <mergeCell ref="H14:Z14"/>
    <mergeCell ref="H15:Z15"/>
    <mergeCell ref="H16:Z16"/>
    <mergeCell ref="H17:Z17"/>
    <mergeCell ref="F26:G26"/>
    <mergeCell ref="F27:G27"/>
    <mergeCell ref="F28:G28"/>
    <mergeCell ref="F29:G29"/>
    <mergeCell ref="H26:Z26"/>
    <mergeCell ref="H27:Z27"/>
    <mergeCell ref="H28:Z28"/>
    <mergeCell ref="F32:F34"/>
    <mergeCell ref="F35:F38"/>
    <mergeCell ref="H35:Z47"/>
    <mergeCell ref="H32:Z34"/>
    <mergeCell ref="F39:F42"/>
    <mergeCell ref="F43:F46"/>
    <mergeCell ref="H55:Z55"/>
    <mergeCell ref="H56:Z56"/>
    <mergeCell ref="H51:Z52"/>
    <mergeCell ref="H58:Z58"/>
    <mergeCell ref="H57:Z57"/>
    <mergeCell ref="H31:Z31"/>
    <mergeCell ref="H53:Z53"/>
    <mergeCell ref="H29:Z29"/>
    <mergeCell ref="H80:Z80"/>
    <mergeCell ref="H76:Z76"/>
    <mergeCell ref="H79:Z79"/>
    <mergeCell ref="H78:Z78"/>
    <mergeCell ref="H72:Z72"/>
    <mergeCell ref="H71:Z71"/>
    <mergeCell ref="H65:Z70"/>
    <mergeCell ref="H59:Z59"/>
    <mergeCell ref="H61:Z61"/>
    <mergeCell ref="H62:Z62"/>
    <mergeCell ref="H63:Z63"/>
    <mergeCell ref="H60:Z60"/>
    <mergeCell ref="H89:Z89"/>
    <mergeCell ref="H90:Z90"/>
    <mergeCell ref="H91:Z91"/>
    <mergeCell ref="H92:Z92"/>
    <mergeCell ref="H88:Z88"/>
    <mergeCell ref="H81:Z81"/>
    <mergeCell ref="H85:Z85"/>
    <mergeCell ref="H86:Z86"/>
    <mergeCell ref="H87:Z87"/>
    <mergeCell ref="H84:Z84"/>
    <mergeCell ref="H82:Z82"/>
    <mergeCell ref="H83:Z83"/>
    <mergeCell ref="H105:Z105"/>
    <mergeCell ref="H106:Z106"/>
    <mergeCell ref="H107:Z107"/>
    <mergeCell ref="H108:Z108"/>
    <mergeCell ref="H99:Z99"/>
    <mergeCell ref="H102:Z102"/>
    <mergeCell ref="H100:Z100"/>
    <mergeCell ref="H101:Z101"/>
    <mergeCell ref="H103:Z103"/>
    <mergeCell ref="H104:Z104"/>
    <mergeCell ref="H140:Z140"/>
    <mergeCell ref="H110:Z118"/>
    <mergeCell ref="H120:Z128"/>
    <mergeCell ref="H133:Z133"/>
    <mergeCell ref="H135:Z135"/>
    <mergeCell ref="H134:Z134"/>
    <mergeCell ref="H136:Z136"/>
    <mergeCell ref="H137:Z137"/>
    <mergeCell ref="H138:Z138"/>
    <mergeCell ref="H164:Z164"/>
    <mergeCell ref="H165:Z165"/>
    <mergeCell ref="H154:Z154"/>
    <mergeCell ref="H156:Z156"/>
    <mergeCell ref="H157:Z157"/>
    <mergeCell ref="H158:Z158"/>
    <mergeCell ref="H159:Z159"/>
    <mergeCell ref="H146:Z146"/>
    <mergeCell ref="H151:Z151"/>
    <mergeCell ref="H153:Z153"/>
    <mergeCell ref="F2:L2"/>
    <mergeCell ref="H185:Z185"/>
    <mergeCell ref="H186:Z186"/>
    <mergeCell ref="H187:Z187"/>
    <mergeCell ref="H188:Z413"/>
    <mergeCell ref="H149:Z149"/>
    <mergeCell ref="H179:Z179"/>
    <mergeCell ref="H180:Z180"/>
    <mergeCell ref="H181:Z181"/>
    <mergeCell ref="H182:Z182"/>
    <mergeCell ref="H183:Z183"/>
    <mergeCell ref="H173:Z173"/>
    <mergeCell ref="H174:Z174"/>
    <mergeCell ref="H175:Z175"/>
    <mergeCell ref="H177:Z177"/>
    <mergeCell ref="H178:Z178"/>
    <mergeCell ref="H167:Z167"/>
    <mergeCell ref="H168:Z168"/>
    <mergeCell ref="H170:Z170"/>
    <mergeCell ref="H171:Z171"/>
    <mergeCell ref="H172:Z172"/>
    <mergeCell ref="H161:Z161"/>
    <mergeCell ref="H162:Z162"/>
    <mergeCell ref="H163:Z163"/>
  </mergeCells>
  <dataValidations count="3">
    <dataValidation type="decimal" allowBlank="1" showInputMessage="1" showErrorMessage="1" sqref="AT53:AU53" xr:uid="{00000000-0002-0000-0600-000000000000}">
      <formula1>0</formula1>
      <formula2>AT51</formula2>
    </dataValidation>
    <dataValidation type="decimal" allowBlank="1" showInputMessage="1" showErrorMessage="1" sqref="AT51:AU51" xr:uid="{00000000-0002-0000-0600-000001000000}">
      <formula1>0</formula1>
      <formula2>1</formula2>
    </dataValidation>
    <dataValidation type="list" allowBlank="1" showInputMessage="1" showErrorMessage="1" sqref="H4:K4" xr:uid="{00000000-0002-0000-0600-000002000000}">
      <formula1>#REF!</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4" tint="-0.499984740745262"/>
  </sheetPr>
  <dimension ref="A1"/>
  <sheetViews>
    <sheetView showGridLines="0" workbookViewId="0">
      <selection activeCell="M28" sqref="M28"/>
    </sheetView>
  </sheetViews>
  <sheetFormatPr defaultColWidth="8.84375" defaultRowHeight="14.6"/>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V123"/>
  <sheetViews>
    <sheetView showGridLines="0" zoomScale="90" zoomScaleNormal="90" workbookViewId="0">
      <pane ySplit="1" topLeftCell="A5" activePane="bottomLeft" state="frozen"/>
      <selection pane="bottomLeft" activeCell="B11" sqref="B11"/>
    </sheetView>
  </sheetViews>
  <sheetFormatPr defaultColWidth="8.84375" defaultRowHeight="14.6"/>
  <cols>
    <col min="2" max="2" width="26.3046875" customWidth="1"/>
    <col min="3" max="3" width="25.15234375" customWidth="1"/>
    <col min="4" max="4" width="23.3046875" customWidth="1"/>
    <col min="5" max="5" width="20.53515625" customWidth="1"/>
    <col min="6" max="6" width="18.53515625" customWidth="1"/>
    <col min="7" max="7" width="19.84375" customWidth="1"/>
    <col min="8" max="8" width="19.3046875" customWidth="1"/>
    <col min="9" max="9" width="20.3828125" customWidth="1"/>
    <col min="10" max="10" width="17.84375" customWidth="1"/>
    <col min="11" max="11" width="7.53515625" customWidth="1"/>
    <col min="12" max="12" width="9.53515625" customWidth="1"/>
    <col min="13" max="13" width="4.84375" customWidth="1"/>
    <col min="14" max="14" width="9" customWidth="1"/>
    <col min="15" max="15" width="13.84375" customWidth="1"/>
    <col min="16" max="16" width="18.15234375" customWidth="1"/>
    <col min="22" max="22" width="38" customWidth="1"/>
  </cols>
  <sheetData>
    <row r="1" spans="1:21" ht="19.399999999999999" customHeight="1">
      <c r="A1" s="2016" t="s">
        <v>5798</v>
      </c>
    </row>
    <row r="2" spans="1:21" ht="49" customHeight="1">
      <c r="A2" s="1038" t="s">
        <v>5420</v>
      </c>
      <c r="B2" s="149"/>
      <c r="C2" s="149"/>
      <c r="D2" s="149"/>
      <c r="E2" s="149"/>
      <c r="F2" s="149"/>
      <c r="G2" s="149"/>
      <c r="H2" s="149"/>
      <c r="I2" s="149"/>
      <c r="J2" s="149"/>
      <c r="K2" s="149"/>
      <c r="L2" s="149"/>
      <c r="M2" s="149"/>
      <c r="N2" s="149"/>
      <c r="O2" s="149"/>
      <c r="P2" s="149"/>
      <c r="Q2" s="149"/>
    </row>
    <row r="3" spans="1:21" ht="15" customHeight="1">
      <c r="A3" s="149"/>
      <c r="B3" s="1089"/>
      <c r="C3" s="149"/>
      <c r="D3" s="149"/>
      <c r="E3" s="149"/>
      <c r="F3" s="149"/>
      <c r="G3" s="149"/>
      <c r="H3" s="149"/>
      <c r="I3" s="149"/>
      <c r="J3" s="149"/>
      <c r="K3" s="149"/>
      <c r="L3" s="149"/>
      <c r="M3" s="149"/>
      <c r="N3" s="149"/>
      <c r="O3" s="149"/>
      <c r="P3" s="149"/>
      <c r="Q3" s="149"/>
    </row>
    <row r="4" spans="1:21" ht="15" customHeight="1">
      <c r="A4" s="149"/>
      <c r="B4" s="1695">
        <v>4</v>
      </c>
      <c r="C4" s="1344" t="s">
        <v>486</v>
      </c>
      <c r="D4" s="149"/>
      <c r="E4" s="149"/>
      <c r="F4" s="149"/>
      <c r="G4" s="149"/>
      <c r="H4" s="149"/>
      <c r="I4" s="149"/>
      <c r="J4" s="149"/>
      <c r="K4" s="149"/>
      <c r="L4" s="149"/>
      <c r="M4" s="149"/>
      <c r="N4" s="149"/>
      <c r="O4" s="149"/>
      <c r="P4" s="149"/>
      <c r="Q4" s="149"/>
    </row>
    <row r="5" spans="1:21" ht="15" customHeight="1">
      <c r="A5" s="149"/>
      <c r="B5" s="1089"/>
      <c r="C5" s="149"/>
      <c r="D5" s="149"/>
      <c r="E5" s="149"/>
      <c r="F5" s="149"/>
      <c r="G5" s="149"/>
      <c r="H5" s="149"/>
      <c r="I5" s="149"/>
      <c r="J5" s="149"/>
      <c r="K5" s="149"/>
      <c r="L5" s="149"/>
      <c r="M5" s="149"/>
      <c r="N5" s="149"/>
      <c r="O5" s="2535" t="s">
        <v>5548</v>
      </c>
      <c r="P5" s="2536"/>
      <c r="Q5" s="149"/>
    </row>
    <row r="6" spans="1:21" ht="33.65" customHeight="1">
      <c r="A6" s="149"/>
      <c r="B6" s="1090" t="s">
        <v>5421</v>
      </c>
      <c r="C6" s="1091" t="s">
        <v>487</v>
      </c>
      <c r="D6" s="1091" t="s">
        <v>488</v>
      </c>
      <c r="E6" s="2539" t="s">
        <v>5422</v>
      </c>
      <c r="F6" s="2540"/>
      <c r="G6" s="2541"/>
      <c r="H6" s="149"/>
      <c r="I6" s="149"/>
      <c r="J6" s="149"/>
      <c r="K6" s="149"/>
      <c r="L6" s="149"/>
      <c r="M6" s="149"/>
      <c r="N6" s="149"/>
      <c r="O6" s="2537"/>
      <c r="P6" s="2538"/>
      <c r="Q6" s="149"/>
    </row>
    <row r="7" spans="1:21" ht="33" customHeight="1">
      <c r="A7" s="1088">
        <v>1</v>
      </c>
      <c r="B7" s="1765" t="s">
        <v>2320</v>
      </c>
      <c r="C7" s="1766" t="s">
        <v>5812</v>
      </c>
      <c r="D7" s="1766" t="s">
        <v>5834</v>
      </c>
      <c r="E7" s="2542"/>
      <c r="F7" s="2542"/>
      <c r="G7" s="2543"/>
      <c r="H7" s="149"/>
      <c r="I7" s="2535" t="s">
        <v>585</v>
      </c>
      <c r="J7" s="2544"/>
      <c r="K7" s="2544"/>
      <c r="L7" s="2536"/>
      <c r="M7" s="149"/>
      <c r="N7" s="149"/>
      <c r="O7" s="2545" t="s">
        <v>5547</v>
      </c>
      <c r="P7" s="2546"/>
      <c r="Q7" s="149"/>
      <c r="S7" s="2522" t="s">
        <v>5423</v>
      </c>
      <c r="T7" s="2522"/>
      <c r="U7" s="2522"/>
    </row>
    <row r="8" spans="1:21" ht="33" customHeight="1">
      <c r="A8" s="1088">
        <v>2</v>
      </c>
      <c r="B8" s="1767" t="s">
        <v>5841</v>
      </c>
      <c r="C8" s="1768" t="s">
        <v>5835</v>
      </c>
      <c r="D8" s="1768" t="s">
        <v>5838</v>
      </c>
      <c r="E8" s="2523"/>
      <c r="F8" s="2523"/>
      <c r="G8" s="2524"/>
      <c r="H8" s="149"/>
      <c r="I8" s="1694"/>
      <c r="J8" s="1347"/>
      <c r="K8" s="1348" t="s">
        <v>479</v>
      </c>
      <c r="L8" s="1349" t="s">
        <v>480</v>
      </c>
      <c r="M8" s="149"/>
      <c r="N8" s="149"/>
      <c r="O8" s="2525"/>
      <c r="P8" s="2526"/>
      <c r="Q8" s="149"/>
      <c r="S8" s="2522" t="s">
        <v>5424</v>
      </c>
      <c r="T8" s="2522"/>
      <c r="U8" s="2522"/>
    </row>
    <row r="9" spans="1:21" ht="33" customHeight="1">
      <c r="A9" s="1088">
        <v>3</v>
      </c>
      <c r="B9" s="1767" t="s">
        <v>5842</v>
      </c>
      <c r="C9" s="1768" t="s">
        <v>5836</v>
      </c>
      <c r="D9" s="1768" t="s">
        <v>5839</v>
      </c>
      <c r="E9" s="2523"/>
      <c r="F9" s="2523"/>
      <c r="G9" s="2524"/>
      <c r="H9" s="149"/>
      <c r="I9" s="2527" t="s">
        <v>489</v>
      </c>
      <c r="J9" s="2528"/>
      <c r="K9" s="2529">
        <v>0.9</v>
      </c>
      <c r="L9" s="2531">
        <v>0.9</v>
      </c>
      <c r="M9" s="149"/>
      <c r="N9" s="149"/>
      <c r="O9" s="2533"/>
      <c r="P9" s="2534"/>
      <c r="Q9" s="149"/>
      <c r="S9" s="2522" t="s">
        <v>5425</v>
      </c>
      <c r="T9" s="2522"/>
      <c r="U9" s="2522"/>
    </row>
    <row r="10" spans="1:21" ht="33" customHeight="1">
      <c r="A10" s="1088">
        <v>4</v>
      </c>
      <c r="B10" s="1767" t="s">
        <v>5843</v>
      </c>
      <c r="C10" s="1768" t="s">
        <v>5837</v>
      </c>
      <c r="D10" s="1768" t="s">
        <v>5840</v>
      </c>
      <c r="E10" s="2523"/>
      <c r="F10" s="2523"/>
      <c r="G10" s="2524"/>
      <c r="H10" s="149"/>
      <c r="I10" s="2511"/>
      <c r="J10" s="2512"/>
      <c r="K10" s="2530"/>
      <c r="L10" s="2532"/>
      <c r="M10" s="149"/>
      <c r="N10" s="149"/>
      <c r="O10" s="2525"/>
      <c r="P10" s="2526"/>
      <c r="Q10" s="149"/>
      <c r="S10" s="2522" t="s">
        <v>5426</v>
      </c>
      <c r="T10" s="2522"/>
      <c r="U10" s="2522"/>
    </row>
    <row r="11" spans="1:21" ht="33" customHeight="1">
      <c r="A11" s="1088">
        <v>5</v>
      </c>
      <c r="B11" s="1345"/>
      <c r="C11" s="1346"/>
      <c r="D11" s="1346"/>
      <c r="E11" s="2523"/>
      <c r="F11" s="2523"/>
      <c r="G11" s="2524"/>
      <c r="H11" s="149"/>
      <c r="I11" s="2527" t="s">
        <v>490</v>
      </c>
      <c r="J11" s="2528"/>
      <c r="K11" s="2529">
        <v>0.5</v>
      </c>
      <c r="L11" s="2547">
        <v>0.5</v>
      </c>
      <c r="M11" s="149"/>
      <c r="N11" s="149"/>
      <c r="O11" s="2525"/>
      <c r="P11" s="2526"/>
      <c r="Q11" s="149"/>
    </row>
    <row r="12" spans="1:21" ht="33" customHeight="1">
      <c r="A12" s="1088">
        <v>6</v>
      </c>
      <c r="B12" s="1769"/>
      <c r="C12" s="1770"/>
      <c r="D12" s="1770"/>
      <c r="E12" s="2548"/>
      <c r="F12" s="2548"/>
      <c r="G12" s="2549"/>
      <c r="H12" s="149"/>
      <c r="I12" s="2511"/>
      <c r="J12" s="2512"/>
      <c r="K12" s="2530"/>
      <c r="L12" s="2532"/>
      <c r="M12" s="149"/>
      <c r="N12" s="149"/>
      <c r="O12" s="2550"/>
      <c r="P12" s="2551"/>
      <c r="Q12" s="149"/>
    </row>
    <row r="13" spans="1:21">
      <c r="A13" s="149"/>
      <c r="B13" s="149"/>
      <c r="C13" s="149"/>
      <c r="D13" s="149"/>
      <c r="E13" s="149"/>
      <c r="F13" s="149"/>
      <c r="G13" s="149"/>
      <c r="H13" s="149"/>
      <c r="I13" s="149"/>
      <c r="J13" s="149"/>
      <c r="K13" s="149"/>
      <c r="L13" s="149"/>
      <c r="M13" s="149"/>
      <c r="N13" s="149"/>
      <c r="O13" s="149"/>
      <c r="P13" s="149"/>
      <c r="Q13" s="149"/>
    </row>
    <row r="14" spans="1:21" ht="83.25" customHeight="1"/>
    <row r="16" spans="1:21" ht="14.25" hidden="1" customHeight="1">
      <c r="E16" s="464">
        <v>1</v>
      </c>
      <c r="F16" s="464">
        <v>2</v>
      </c>
      <c r="G16" s="464">
        <v>3</v>
      </c>
      <c r="H16" s="464">
        <v>4</v>
      </c>
      <c r="I16" s="464">
        <v>5</v>
      </c>
      <c r="J16" s="464">
        <v>6</v>
      </c>
    </row>
    <row r="17" spans="1:20" ht="20.6">
      <c r="A17" s="461" t="s">
        <v>586</v>
      </c>
      <c r="E17" s="465" t="s">
        <v>491</v>
      </c>
      <c r="F17" s="465" t="s">
        <v>492</v>
      </c>
      <c r="G17" s="465" t="s">
        <v>493</v>
      </c>
      <c r="H17" s="465" t="s">
        <v>494</v>
      </c>
      <c r="I17" s="465" t="s">
        <v>495</v>
      </c>
      <c r="J17" s="465" t="s">
        <v>496</v>
      </c>
    </row>
    <row r="18" spans="1:20" ht="34.5" customHeight="1">
      <c r="A18" s="236"/>
      <c r="B18" s="236"/>
      <c r="C18" s="236"/>
      <c r="D18" s="236"/>
      <c r="E18" s="1350" t="str">
        <f>IF($B7&lt;&gt;"",$B7,"")</f>
        <v>Baseline</v>
      </c>
      <c r="F18" s="1350" t="str">
        <f>IF($B8&lt;&gt;"",$B8,"")</f>
        <v>Baseline + High Demand</v>
      </c>
      <c r="G18" s="1350" t="str">
        <f>IF($B9&lt;&gt;"",$B9,"")</f>
        <v>Monthly Ordering + High Demand</v>
      </c>
      <c r="H18" s="1350" t="str">
        <f>IF($B10&lt;&gt;"",$B10,"")</f>
        <v>More Storage + High Demand</v>
      </c>
      <c r="I18" s="1350" t="str">
        <f>IF($B11&lt;&gt;"",$B11,"")</f>
        <v/>
      </c>
      <c r="J18" s="1350" t="str">
        <f>IF($B12&lt;&gt;"",$B12,"")</f>
        <v/>
      </c>
    </row>
    <row r="19" spans="1:20">
      <c r="A19" s="70" t="s">
        <v>497</v>
      </c>
      <c r="B19" s="466"/>
      <c r="C19" s="70"/>
      <c r="D19" s="467" t="s">
        <v>498</v>
      </c>
      <c r="E19" s="466"/>
      <c r="F19" s="466"/>
      <c r="G19" s="466"/>
      <c r="H19" s="466"/>
      <c r="I19" s="466"/>
      <c r="J19" s="466"/>
    </row>
    <row r="20" spans="1:20">
      <c r="B20" s="2552" t="s">
        <v>500</v>
      </c>
      <c r="C20" s="2552"/>
      <c r="D20" s="468" t="s">
        <v>5427</v>
      </c>
      <c r="E20" s="1692">
        <f ca="1">IFERROR(INDIRECT(INDEX("'"&amp;$D$7:$D$12,MATCH(E$18,$B$7:$B$12,0))&amp;"'!"&amp;$D20),"")</f>
        <v>3</v>
      </c>
      <c r="F20" s="1692">
        <f t="shared" ref="F20:J24" ca="1" si="0">IFERROR(INDIRECT(INDEX("'"&amp;$D$7:$D$12,MATCH(F$18,$B$7:$B$12,0))&amp;"'!"&amp;$D20),"")</f>
        <v>3</v>
      </c>
      <c r="G20" s="1692">
        <f t="shared" ca="1" si="0"/>
        <v>3</v>
      </c>
      <c r="H20" s="1692">
        <f t="shared" ca="1" si="0"/>
        <v>3</v>
      </c>
      <c r="I20" s="1692" t="str">
        <f t="shared" ca="1" si="0"/>
        <v/>
      </c>
      <c r="J20" s="1692" t="str">
        <f t="shared" ca="1" si="0"/>
        <v/>
      </c>
      <c r="O20" t="str">
        <f xml:space="preserve"> "Comparison: "&amp;B24</f>
        <v>Comparison: Total annual operating cost</v>
      </c>
    </row>
    <row r="21" spans="1:20">
      <c r="B21" s="2552" t="s">
        <v>502</v>
      </c>
      <c r="C21" s="2552"/>
      <c r="D21" s="468" t="s">
        <v>504</v>
      </c>
      <c r="E21" s="1692">
        <f t="shared" ref="E21:E24" ca="1" si="1">IFERROR(INDIRECT(INDEX("'"&amp;$D$7:$D$12,MATCH(E$18,$B$7:$B$12,0))&amp;"'!"&amp;$D21),"")</f>
        <v>345</v>
      </c>
      <c r="F21" s="1692">
        <f t="shared" ca="1" si="0"/>
        <v>345</v>
      </c>
      <c r="G21" s="1692">
        <f t="shared" ca="1" si="0"/>
        <v>345</v>
      </c>
      <c r="H21" s="1692">
        <f t="shared" ca="1" si="0"/>
        <v>345</v>
      </c>
      <c r="I21" s="1692" t="str">
        <f t="shared" ca="1" si="0"/>
        <v/>
      </c>
      <c r="J21" s="1692" t="str">
        <f t="shared" ca="1" si="0"/>
        <v/>
      </c>
      <c r="M21" s="462"/>
    </row>
    <row r="22" spans="1:20">
      <c r="B22" s="2552" t="s">
        <v>503</v>
      </c>
      <c r="C22" s="2552"/>
      <c r="D22" s="468" t="s">
        <v>554</v>
      </c>
      <c r="E22" s="1692">
        <f t="shared" ca="1" si="1"/>
        <v>1955</v>
      </c>
      <c r="F22" s="1692">
        <f t="shared" ca="1" si="0"/>
        <v>2932.5</v>
      </c>
      <c r="G22" s="1692">
        <f t="shared" ca="1" si="0"/>
        <v>2932.5</v>
      </c>
      <c r="H22" s="1692">
        <f t="shared" ca="1" si="0"/>
        <v>2932.5</v>
      </c>
      <c r="I22" s="1692" t="str">
        <f t="shared" ca="1" si="0"/>
        <v/>
      </c>
      <c r="J22" s="1692" t="str">
        <f t="shared" ca="1" si="0"/>
        <v/>
      </c>
      <c r="M22" s="462"/>
      <c r="T22" s="36" t="str">
        <f>B24</f>
        <v>Total annual operating cost</v>
      </c>
    </row>
    <row r="23" spans="1:20">
      <c r="B23" t="s">
        <v>505</v>
      </c>
      <c r="D23" s="468" t="s">
        <v>556</v>
      </c>
      <c r="E23" s="1692">
        <f t="shared" ca="1" si="1"/>
        <v>0</v>
      </c>
      <c r="F23" s="1692">
        <f t="shared" ca="1" si="0"/>
        <v>0</v>
      </c>
      <c r="G23" s="1692">
        <f t="shared" ca="1" si="0"/>
        <v>0</v>
      </c>
      <c r="H23" s="1692">
        <f t="shared" ca="1" si="0"/>
        <v>0</v>
      </c>
      <c r="I23" s="1692" t="str">
        <f t="shared" ca="1" si="0"/>
        <v/>
      </c>
      <c r="J23" s="1692" t="str">
        <f t="shared" ca="1" si="0"/>
        <v/>
      </c>
      <c r="M23" s="462"/>
      <c r="T23" s="463" t="str">
        <f>B29</f>
        <v>Annual cost per m^3 delivered</v>
      </c>
    </row>
    <row r="24" spans="1:20" ht="20.6">
      <c r="B24" s="461" t="s">
        <v>506</v>
      </c>
      <c r="C24" s="461"/>
      <c r="D24" s="1093" t="s">
        <v>557</v>
      </c>
      <c r="E24" s="1092">
        <f t="shared" ca="1" si="1"/>
        <v>1429944.3733770894</v>
      </c>
      <c r="F24" s="1092">
        <f t="shared" ca="1" si="0"/>
        <v>1485836.1094793708</v>
      </c>
      <c r="G24" s="1092">
        <f t="shared" ca="1" si="0"/>
        <v>1977415.5188014384</v>
      </c>
      <c r="H24" s="1092">
        <f t="shared" ca="1" si="0"/>
        <v>1978930.1468091803</v>
      </c>
      <c r="I24" s="1092" t="str">
        <f t="shared" ca="1" si="0"/>
        <v/>
      </c>
      <c r="J24" s="1092" t="str">
        <f t="shared" ca="1" si="0"/>
        <v/>
      </c>
      <c r="M24" s="462"/>
      <c r="T24" s="36" t="str">
        <f>B27</f>
        <v>Annual cost as percentage of commodity value</v>
      </c>
    </row>
    <row r="25" spans="1:20">
      <c r="B25" s="1693"/>
      <c r="C25" s="470"/>
      <c r="D25" s="462"/>
      <c r="M25" s="462"/>
    </row>
    <row r="26" spans="1:20">
      <c r="A26" s="70" t="s">
        <v>507</v>
      </c>
      <c r="B26" s="471"/>
      <c r="C26" s="472"/>
      <c r="D26" s="473"/>
      <c r="E26" s="466"/>
      <c r="F26" s="466"/>
      <c r="G26" s="466"/>
      <c r="H26" s="466"/>
      <c r="I26" s="466"/>
      <c r="J26" s="466"/>
      <c r="M26" s="462"/>
    </row>
    <row r="27" spans="1:20">
      <c r="B27" t="s">
        <v>501</v>
      </c>
      <c r="D27" s="468" t="s">
        <v>5428</v>
      </c>
      <c r="E27" s="474">
        <f t="shared" ref="E27:J30" ca="1" si="2">IFERROR(INDIRECT(INDEX("'"&amp;$D$7:$D$12,MATCH(E$18,$B$7:$B$12,0))&amp;"'!"&amp;$D27),"")</f>
        <v>0.11625564011195849</v>
      </c>
      <c r="F27" s="474">
        <f t="shared" ca="1" si="2"/>
        <v>8.0533122465006546E-2</v>
      </c>
      <c r="G27" s="474">
        <f t="shared" ca="1" si="2"/>
        <v>0.10717699288896686</v>
      </c>
      <c r="H27" s="474">
        <f t="shared" ca="1" si="2"/>
        <v>0.10725908654792304</v>
      </c>
      <c r="I27" s="245" t="str">
        <f t="shared" ca="1" si="2"/>
        <v/>
      </c>
      <c r="J27" t="str">
        <f t="shared" ca="1" si="2"/>
        <v/>
      </c>
      <c r="M27" s="462"/>
    </row>
    <row r="28" spans="1:20">
      <c r="B28" t="s">
        <v>5429</v>
      </c>
      <c r="D28" s="468" t="s">
        <v>5430</v>
      </c>
      <c r="E28" s="469">
        <f t="shared" ca="1" si="2"/>
        <v>14540906.25</v>
      </c>
      <c r="F28" s="469">
        <f t="shared" ca="1" si="2"/>
        <v>21811359.375000004</v>
      </c>
      <c r="G28" s="2031">
        <f t="shared" ca="1" si="2"/>
        <v>7270453.125</v>
      </c>
      <c r="H28" s="469">
        <f t="shared" ca="1" si="2"/>
        <v>21811359.375000004</v>
      </c>
      <c r="I28" s="1771" t="str">
        <f t="shared" ca="1" si="2"/>
        <v/>
      </c>
      <c r="J28" s="1771" t="str">
        <f t="shared" ca="1" si="2"/>
        <v/>
      </c>
      <c r="M28" s="462"/>
    </row>
    <row r="29" spans="1:20">
      <c r="B29" t="s">
        <v>508</v>
      </c>
      <c r="D29" s="468" t="s">
        <v>5431</v>
      </c>
      <c r="E29" s="469">
        <f t="shared" ca="1" si="2"/>
        <v>731.42934699595367</v>
      </c>
      <c r="F29" s="469">
        <f t="shared" ca="1" si="2"/>
        <v>506.67898021461917</v>
      </c>
      <c r="G29" s="469">
        <f t="shared" ca="1" si="2"/>
        <v>674.31049234490649</v>
      </c>
      <c r="H29" s="469">
        <f t="shared" ca="1" si="2"/>
        <v>674.82698953424733</v>
      </c>
      <c r="I29" s="469" t="str">
        <f t="shared" ca="1" si="2"/>
        <v/>
      </c>
      <c r="J29" t="str">
        <f t="shared" ca="1" si="2"/>
        <v/>
      </c>
      <c r="M29" s="462"/>
    </row>
    <row r="30" spans="1:20">
      <c r="B30" t="s">
        <v>509</v>
      </c>
      <c r="D30" s="468" t="s">
        <v>5432</v>
      </c>
      <c r="E30" s="484">
        <f t="shared" ca="1" si="2"/>
        <v>205.64697115851101</v>
      </c>
      <c r="F30" s="484">
        <f t="shared" ca="1" si="2"/>
        <v>159.12383728475243</v>
      </c>
      <c r="G30" s="484">
        <f t="shared" ca="1" si="2"/>
        <v>293.86117517971724</v>
      </c>
      <c r="H30" s="484">
        <f t="shared" ca="1" si="2"/>
        <v>156.95671047273922</v>
      </c>
      <c r="I30" s="484" t="str">
        <f t="shared" ca="1" si="2"/>
        <v/>
      </c>
      <c r="J30" s="485" t="str">
        <f t="shared" ca="1" si="2"/>
        <v/>
      </c>
      <c r="M30" s="462"/>
    </row>
    <row r="31" spans="1:20">
      <c r="D31" s="462"/>
      <c r="M31" s="462"/>
    </row>
    <row r="32" spans="1:20">
      <c r="A32" s="70" t="s">
        <v>510</v>
      </c>
      <c r="B32" s="471"/>
      <c r="C32" s="472"/>
      <c r="D32" s="473"/>
      <c r="E32" s="466"/>
      <c r="F32" s="466"/>
      <c r="G32" s="466"/>
      <c r="H32" s="466"/>
      <c r="I32" s="466"/>
      <c r="J32" s="466"/>
      <c r="M32" s="462"/>
    </row>
    <row r="33" spans="1:22">
      <c r="A33" s="476">
        <v>1</v>
      </c>
      <c r="B33" t="s">
        <v>511</v>
      </c>
      <c r="D33" s="468" t="s">
        <v>655</v>
      </c>
      <c r="E33" s="146">
        <f ca="1">IFERROR(IF($A33&gt;E$20,"",INDIRECT(INDEX("'"&amp;$D$7:$D$12,MATCH(E$18,$B$7:$B$12,0))&amp;"'!"&amp;$D33)),"")</f>
        <v>0.8819999999999999</v>
      </c>
      <c r="F33" s="146">
        <f t="shared" ref="F33:J38" ca="1" si="3">IFERROR(IF($A33&gt;F$20,"",INDIRECT(INDEX("'"&amp;$D$7:$D$12,MATCH(F$18,$B$7:$B$12,0))&amp;"'!"&amp;$D33)),"")</f>
        <v>1.3230000000000002</v>
      </c>
      <c r="G33" s="146">
        <f t="shared" ca="1" si="3"/>
        <v>0.80827031250000003</v>
      </c>
      <c r="H33" s="146">
        <f t="shared" ca="1" si="3"/>
        <v>0.88200601538629442</v>
      </c>
      <c r="I33" s="146" t="str">
        <f t="shared" ca="1" si="3"/>
        <v/>
      </c>
      <c r="J33" s="146" t="str">
        <f t="shared" ca="1" si="3"/>
        <v/>
      </c>
      <c r="M33" s="462"/>
      <c r="N33" s="2553" t="s">
        <v>499</v>
      </c>
      <c r="O33" s="2553"/>
      <c r="P33" s="2553"/>
      <c r="Q33" s="2553"/>
      <c r="R33" s="2553"/>
    </row>
    <row r="34" spans="1:22">
      <c r="A34" s="476">
        <v>2</v>
      </c>
      <c r="B34" t="s">
        <v>512</v>
      </c>
      <c r="D34" s="468" t="s">
        <v>656</v>
      </c>
      <c r="E34" s="254">
        <f t="shared" ref="E34:E38" ca="1" si="4">IFERROR(IF($A34&gt;E$20,"",INDIRECT(INDEX("'"&amp;$D$7:$D$12,MATCH(E$18,$B$7:$B$12,0))&amp;"'!"&amp;$D34)),"")</f>
        <v>0.84</v>
      </c>
      <c r="F34" s="146">
        <f t="shared" ca="1" si="3"/>
        <v>1.26</v>
      </c>
      <c r="G34" s="146">
        <f t="shared" ca="1" si="3"/>
        <v>0.76978124999999997</v>
      </c>
      <c r="H34" s="146">
        <f t="shared" ca="1" si="3"/>
        <v>0.8400057289393279</v>
      </c>
      <c r="I34" s="146" t="str">
        <f t="shared" ca="1" si="3"/>
        <v/>
      </c>
      <c r="J34" s="146" t="str">
        <f t="shared" ca="1" si="3"/>
        <v/>
      </c>
      <c r="M34" s="462"/>
      <c r="N34" s="2554" t="s">
        <v>508</v>
      </c>
      <c r="O34" s="2554"/>
      <c r="P34" s="2554"/>
      <c r="Q34" s="2554"/>
      <c r="R34" s="2554"/>
    </row>
    <row r="35" spans="1:22">
      <c r="A35" s="476">
        <v>3</v>
      </c>
      <c r="B35" t="s">
        <v>513</v>
      </c>
      <c r="D35" s="468" t="s">
        <v>657</v>
      </c>
      <c r="E35" s="146">
        <f t="shared" ca="1" si="4"/>
        <v>0.79887218045112773</v>
      </c>
      <c r="F35" s="146">
        <f t="shared" ca="1" si="3"/>
        <v>1.1983082706766917</v>
      </c>
      <c r="G35" s="1928">
        <f t="shared" ca="1" si="3"/>
        <v>0.39943609022556387</v>
      </c>
      <c r="H35" s="146">
        <f t="shared" ca="1" si="3"/>
        <v>0.77743902439024393</v>
      </c>
      <c r="I35" s="146" t="str">
        <f t="shared" ca="1" si="3"/>
        <v/>
      </c>
      <c r="J35" s="146" t="str">
        <f t="shared" ca="1" si="3"/>
        <v/>
      </c>
      <c r="M35" s="462"/>
      <c r="N35" s="462"/>
      <c r="O35" s="462"/>
      <c r="P35" s="462"/>
      <c r="Q35" s="462"/>
      <c r="R35" s="462"/>
      <c r="S35" s="462"/>
      <c r="T35" s="462"/>
      <c r="U35" s="462"/>
      <c r="V35" s="462"/>
    </row>
    <row r="36" spans="1:22">
      <c r="A36" s="476">
        <v>4</v>
      </c>
      <c r="B36" t="s">
        <v>514</v>
      </c>
      <c r="D36" s="468" t="s">
        <v>658</v>
      </c>
      <c r="E36" s="146" t="str">
        <f t="shared" ca="1" si="4"/>
        <v/>
      </c>
      <c r="F36" s="146" t="str">
        <f t="shared" ca="1" si="3"/>
        <v/>
      </c>
      <c r="G36" s="146" t="str">
        <f t="shared" ca="1" si="3"/>
        <v/>
      </c>
      <c r="H36" s="146" t="str">
        <f t="shared" ca="1" si="3"/>
        <v/>
      </c>
      <c r="I36" s="146" t="str">
        <f t="shared" ca="1" si="3"/>
        <v/>
      </c>
      <c r="J36" s="146" t="str">
        <f t="shared" ca="1" si="3"/>
        <v/>
      </c>
      <c r="M36" s="462"/>
      <c r="N36" s="462"/>
      <c r="O36" s="462"/>
      <c r="P36" s="462"/>
      <c r="Q36" s="462"/>
      <c r="R36" s="462"/>
      <c r="S36" s="462"/>
      <c r="T36" s="462"/>
      <c r="U36" s="462"/>
      <c r="V36" s="462"/>
    </row>
    <row r="37" spans="1:22">
      <c r="A37" s="476">
        <v>5</v>
      </c>
      <c r="B37" t="s">
        <v>515</v>
      </c>
      <c r="D37" s="468" t="s">
        <v>659</v>
      </c>
      <c r="E37" s="146" t="str">
        <f t="shared" ca="1" si="4"/>
        <v/>
      </c>
      <c r="F37" s="146" t="str">
        <f t="shared" ca="1" si="3"/>
        <v/>
      </c>
      <c r="G37" s="146" t="str">
        <f t="shared" ca="1" si="3"/>
        <v/>
      </c>
      <c r="H37" s="146" t="str">
        <f t="shared" ca="1" si="3"/>
        <v/>
      </c>
      <c r="I37" s="146" t="str">
        <f t="shared" ca="1" si="3"/>
        <v/>
      </c>
      <c r="J37" s="146" t="str">
        <f t="shared" ca="1" si="3"/>
        <v/>
      </c>
      <c r="M37" s="462"/>
      <c r="N37" s="462" t="str">
        <f xml:space="preserve"> "Efficiency Comparison: "&amp;N34</f>
        <v>Efficiency Comparison: Annual cost per m^3 delivered</v>
      </c>
      <c r="O37" s="462"/>
      <c r="P37" s="462"/>
      <c r="Q37" s="462"/>
      <c r="R37" s="462"/>
      <c r="S37" s="462"/>
      <c r="T37" s="462"/>
      <c r="U37" s="462"/>
      <c r="V37" s="462"/>
    </row>
    <row r="38" spans="1:22">
      <c r="A38" s="476">
        <v>6</v>
      </c>
      <c r="B38" t="s">
        <v>516</v>
      </c>
      <c r="D38" s="468" t="s">
        <v>660</v>
      </c>
      <c r="E38" s="146" t="str">
        <f t="shared" ca="1" si="4"/>
        <v/>
      </c>
      <c r="F38" s="146" t="str">
        <f t="shared" ca="1" si="3"/>
        <v/>
      </c>
      <c r="G38" s="146" t="str">
        <f t="shared" ca="1" si="3"/>
        <v/>
      </c>
      <c r="H38" s="146" t="str">
        <f t="shared" ca="1" si="3"/>
        <v/>
      </c>
      <c r="I38" s="146" t="str">
        <f t="shared" ca="1" si="3"/>
        <v/>
      </c>
      <c r="J38" s="146" t="str">
        <f t="shared" ca="1" si="3"/>
        <v/>
      </c>
      <c r="M38" s="462"/>
      <c r="N38" s="462"/>
      <c r="O38" s="462"/>
      <c r="P38" s="462"/>
      <c r="Q38" s="462"/>
      <c r="R38" s="462"/>
      <c r="S38" s="462"/>
      <c r="T38" s="462"/>
      <c r="U38" s="462"/>
      <c r="V38" s="462"/>
    </row>
    <row r="39" spans="1:22">
      <c r="D39" s="462"/>
      <c r="M39" s="462"/>
      <c r="N39" s="462"/>
      <c r="O39" s="462"/>
      <c r="P39" s="462"/>
      <c r="Q39" s="462"/>
      <c r="R39" s="462"/>
      <c r="S39" s="462"/>
      <c r="T39" s="462"/>
      <c r="U39" s="462"/>
      <c r="V39" s="462"/>
    </row>
    <row r="40" spans="1:22">
      <c r="A40" s="70" t="s">
        <v>517</v>
      </c>
      <c r="B40" s="471"/>
      <c r="C40" s="472"/>
      <c r="D40" s="473"/>
      <c r="E40" s="466"/>
      <c r="F40" s="466"/>
      <c r="G40" s="466"/>
      <c r="H40" s="466"/>
      <c r="I40" s="466"/>
      <c r="J40" s="466"/>
      <c r="M40" s="462"/>
      <c r="N40" s="462"/>
      <c r="O40" s="462"/>
      <c r="P40" s="462"/>
      <c r="Q40" s="462"/>
      <c r="R40" s="462"/>
      <c r="S40" s="462"/>
      <c r="T40" s="462"/>
      <c r="U40" s="462"/>
      <c r="V40" s="462"/>
    </row>
    <row r="41" spans="1:22">
      <c r="A41" s="476">
        <v>1</v>
      </c>
      <c r="B41" t="s">
        <v>518</v>
      </c>
      <c r="D41" s="468" t="s">
        <v>661</v>
      </c>
      <c r="E41" s="146" t="str">
        <f t="shared" ref="E41:J46" ca="1" si="5">IFERROR(IF($A41&gt;E$20,"",INDIRECT(INDEX("'"&amp;$D$7:$D$12,MATCH(E$18,$B$7:$B$12,0))&amp;"'!"&amp;$D41)),"")</f>
        <v/>
      </c>
      <c r="F41" s="146" t="str">
        <f t="shared" ca="1" si="5"/>
        <v/>
      </c>
      <c r="G41" s="146" t="str">
        <f t="shared" ca="1" si="5"/>
        <v/>
      </c>
      <c r="H41" s="146" t="str">
        <f t="shared" ca="1" si="5"/>
        <v/>
      </c>
      <c r="I41" s="146" t="str">
        <f t="shared" ca="1" si="5"/>
        <v/>
      </c>
      <c r="J41" s="146" t="str">
        <f t="shared" ca="1" si="5"/>
        <v/>
      </c>
      <c r="M41" s="462"/>
      <c r="N41" s="462"/>
      <c r="O41" s="462"/>
      <c r="P41" s="462"/>
      <c r="Q41" s="462"/>
      <c r="R41" s="462"/>
      <c r="S41" s="462"/>
      <c r="T41" s="462"/>
      <c r="U41" s="462"/>
      <c r="V41" s="462"/>
    </row>
    <row r="42" spans="1:22">
      <c r="A42" s="476">
        <v>2</v>
      </c>
      <c r="B42" t="s">
        <v>519</v>
      </c>
      <c r="D42" s="468" t="s">
        <v>662</v>
      </c>
      <c r="E42" s="146" t="str">
        <f t="shared" ca="1" si="5"/>
        <v/>
      </c>
      <c r="F42" s="146" t="str">
        <f t="shared" ca="1" si="5"/>
        <v/>
      </c>
      <c r="G42" s="146" t="str">
        <f t="shared" ca="1" si="5"/>
        <v/>
      </c>
      <c r="H42" s="146" t="str">
        <f t="shared" ca="1" si="5"/>
        <v/>
      </c>
      <c r="I42" s="146" t="str">
        <f t="shared" ca="1" si="5"/>
        <v/>
      </c>
      <c r="J42" s="146" t="str">
        <f t="shared" ca="1" si="5"/>
        <v/>
      </c>
      <c r="M42" s="462"/>
      <c r="N42" s="462"/>
      <c r="O42" s="462"/>
      <c r="P42" s="462"/>
      <c r="Q42" s="462"/>
      <c r="R42" s="462"/>
      <c r="S42" s="462"/>
      <c r="T42" s="462"/>
      <c r="U42" s="462"/>
      <c r="V42" s="462"/>
    </row>
    <row r="43" spans="1:22">
      <c r="A43" s="476">
        <v>3</v>
      </c>
      <c r="B43" t="s">
        <v>520</v>
      </c>
      <c r="D43" s="468" t="s">
        <v>663</v>
      </c>
      <c r="E43" s="146" t="str">
        <f t="shared" ca="1" si="5"/>
        <v/>
      </c>
      <c r="F43" s="146" t="str">
        <f t="shared" ca="1" si="5"/>
        <v/>
      </c>
      <c r="G43" s="146" t="str">
        <f t="shared" ca="1" si="5"/>
        <v/>
      </c>
      <c r="H43" s="146" t="str">
        <f t="shared" ca="1" si="5"/>
        <v/>
      </c>
      <c r="I43" s="146" t="str">
        <f t="shared" ca="1" si="5"/>
        <v/>
      </c>
      <c r="J43" s="146" t="str">
        <f t="shared" ca="1" si="5"/>
        <v/>
      </c>
      <c r="M43" s="462"/>
      <c r="N43" s="475" t="s">
        <v>491</v>
      </c>
      <c r="O43" s="475" t="s">
        <v>492</v>
      </c>
      <c r="P43" s="475" t="s">
        <v>493</v>
      </c>
      <c r="Q43" s="475" t="s">
        <v>494</v>
      </c>
      <c r="R43" s="475" t="s">
        <v>495</v>
      </c>
      <c r="S43" s="475" t="s">
        <v>496</v>
      </c>
      <c r="T43" s="462"/>
      <c r="U43" s="462"/>
      <c r="V43" s="462"/>
    </row>
    <row r="44" spans="1:22">
      <c r="A44" s="476">
        <v>4</v>
      </c>
      <c r="B44" t="s">
        <v>521</v>
      </c>
      <c r="D44" s="468" t="s">
        <v>664</v>
      </c>
      <c r="E44" s="146" t="str">
        <f t="shared" ca="1" si="5"/>
        <v/>
      </c>
      <c r="F44" s="146" t="str">
        <f t="shared" ca="1" si="5"/>
        <v/>
      </c>
      <c r="G44" s="146" t="str">
        <f t="shared" ca="1" si="5"/>
        <v/>
      </c>
      <c r="H44" s="146" t="str">
        <f t="shared" ca="1" si="5"/>
        <v/>
      </c>
      <c r="I44" s="146" t="str">
        <f t="shared" ca="1" si="5"/>
        <v/>
      </c>
      <c r="J44" s="146" t="str">
        <f t="shared" ca="1" si="5"/>
        <v/>
      </c>
      <c r="M44" s="462"/>
      <c r="N44" s="462">
        <f t="shared" ref="N44:S44" ca="1" si="6">INDEX($E$27:$J$30,MATCH($N$34,$B$27:$B$30,0),MATCH(N$43,$E$17:$J$17,0))</f>
        <v>731.42934699595367</v>
      </c>
      <c r="O44" s="462">
        <f t="shared" ca="1" si="6"/>
        <v>506.67898021461917</v>
      </c>
      <c r="P44" s="462">
        <f t="shared" ca="1" si="6"/>
        <v>674.31049234490649</v>
      </c>
      <c r="Q44" s="462">
        <f t="shared" ca="1" si="6"/>
        <v>674.82698953424733</v>
      </c>
      <c r="R44" s="462" t="str">
        <f t="shared" ca="1" si="6"/>
        <v/>
      </c>
      <c r="S44" s="462" t="str">
        <f t="shared" ca="1" si="6"/>
        <v/>
      </c>
      <c r="T44" s="462"/>
      <c r="U44" s="462"/>
      <c r="V44" s="462"/>
    </row>
    <row r="45" spans="1:22">
      <c r="A45" s="476">
        <v>5</v>
      </c>
      <c r="B45" t="s">
        <v>522</v>
      </c>
      <c r="D45" s="468" t="s">
        <v>665</v>
      </c>
      <c r="E45" s="146" t="str">
        <f t="shared" ca="1" si="5"/>
        <v/>
      </c>
      <c r="F45" s="146" t="str">
        <f t="shared" ca="1" si="5"/>
        <v/>
      </c>
      <c r="G45" s="146" t="str">
        <f t="shared" ca="1" si="5"/>
        <v/>
      </c>
      <c r="H45" s="146" t="str">
        <f t="shared" ca="1" si="5"/>
        <v/>
      </c>
      <c r="I45" s="146" t="str">
        <f t="shared" ca="1" si="5"/>
        <v/>
      </c>
      <c r="J45" s="146" t="str">
        <f t="shared" ca="1" si="5"/>
        <v/>
      </c>
      <c r="M45" s="462"/>
      <c r="N45" s="462"/>
      <c r="O45" s="462"/>
      <c r="P45" s="462"/>
      <c r="Q45" s="462"/>
      <c r="R45" s="462"/>
      <c r="S45" s="462"/>
      <c r="T45" s="462"/>
      <c r="U45" s="462"/>
      <c r="V45" s="462"/>
    </row>
    <row r="46" spans="1:22">
      <c r="A46" s="476">
        <v>6</v>
      </c>
      <c r="B46" t="s">
        <v>523</v>
      </c>
      <c r="D46" s="468" t="s">
        <v>666</v>
      </c>
      <c r="E46" s="146" t="str">
        <f t="shared" ca="1" si="5"/>
        <v/>
      </c>
      <c r="F46" s="146" t="str">
        <f t="shared" ca="1" si="5"/>
        <v/>
      </c>
      <c r="G46" s="146" t="str">
        <f t="shared" ca="1" si="5"/>
        <v/>
      </c>
      <c r="H46" s="146" t="str">
        <f t="shared" ca="1" si="5"/>
        <v/>
      </c>
      <c r="I46" s="146" t="str">
        <f t="shared" ca="1" si="5"/>
        <v/>
      </c>
      <c r="J46" s="146" t="str">
        <f t="shared" ca="1" si="5"/>
        <v/>
      </c>
      <c r="M46" s="462"/>
      <c r="N46" s="462"/>
      <c r="O46" s="462"/>
      <c r="P46" s="462"/>
      <c r="Q46" s="462"/>
      <c r="R46" s="462"/>
      <c r="S46" s="462"/>
      <c r="T46" s="462"/>
      <c r="U46" s="462"/>
      <c r="V46" s="462"/>
    </row>
    <row r="47" spans="1:22">
      <c r="D47" s="462"/>
      <c r="M47" s="462"/>
      <c r="N47" s="462"/>
      <c r="O47" s="462"/>
      <c r="P47" s="462"/>
      <c r="Q47" s="462"/>
      <c r="R47" s="462"/>
      <c r="S47" s="462"/>
      <c r="T47" s="462"/>
      <c r="U47" s="462"/>
      <c r="V47" s="462"/>
    </row>
    <row r="48" spans="1:22">
      <c r="A48" s="70" t="s">
        <v>5449</v>
      </c>
      <c r="B48" s="471"/>
      <c r="C48" s="472"/>
      <c r="D48" s="473"/>
      <c r="E48" s="466"/>
      <c r="F48" s="466"/>
      <c r="G48" s="466"/>
      <c r="H48" s="466"/>
      <c r="I48" s="466"/>
      <c r="J48" s="466"/>
      <c r="M48" s="462"/>
      <c r="N48" s="462"/>
      <c r="O48" s="462"/>
      <c r="P48" s="462"/>
      <c r="Q48" s="462"/>
      <c r="R48" s="462"/>
      <c r="S48" s="462"/>
      <c r="T48" s="462"/>
      <c r="U48" s="462"/>
      <c r="V48" s="462"/>
    </row>
    <row r="49" spans="1:22">
      <c r="A49" s="476">
        <v>1</v>
      </c>
      <c r="B49" t="s">
        <v>5450</v>
      </c>
      <c r="D49" s="468" t="s">
        <v>5456</v>
      </c>
      <c r="E49" s="146">
        <f t="shared" ref="E49:J54" ca="1" si="7">IFERROR(IF($A49&gt;E$20,"",INDIRECT(INDEX("'"&amp;$D$7:$D$12,MATCH(E$18,$B$7:$B$12,0))&amp;"'!"&amp;$D49)),"")</f>
        <v>0.88200000000000023</v>
      </c>
      <c r="F49" s="146">
        <f t="shared" ca="1" si="7"/>
        <v>1.3230000000000004</v>
      </c>
      <c r="G49" s="146">
        <f t="shared" ca="1" si="7"/>
        <v>0.86426146255263381</v>
      </c>
      <c r="H49" s="146">
        <f t="shared" ca="1" si="7"/>
        <v>0.74079553933082898</v>
      </c>
      <c r="I49" s="146" t="str">
        <f t="shared" ca="1" si="7"/>
        <v/>
      </c>
      <c r="J49" s="146" t="str">
        <f t="shared" ca="1" si="7"/>
        <v/>
      </c>
      <c r="M49" s="462"/>
      <c r="N49" s="462"/>
      <c r="O49" s="462"/>
      <c r="P49" s="462"/>
      <c r="Q49" s="462"/>
      <c r="R49" s="462"/>
      <c r="S49" s="462"/>
      <c r="T49" s="462"/>
      <c r="U49" s="462"/>
      <c r="V49" s="462"/>
    </row>
    <row r="50" spans="1:22">
      <c r="A50" s="476">
        <v>2</v>
      </c>
      <c r="B50" t="s">
        <v>5451</v>
      </c>
      <c r="D50" s="468" t="s">
        <v>5457</v>
      </c>
      <c r="E50" s="146">
        <f t="shared" ca="1" si="7"/>
        <v>0.84</v>
      </c>
      <c r="F50" s="146">
        <f t="shared" ca="1" si="7"/>
        <v>1.26</v>
      </c>
      <c r="G50" s="146">
        <f t="shared" ca="1" si="7"/>
        <v>0.83371170804240347</v>
      </c>
      <c r="H50" s="146">
        <f t="shared" ca="1" si="7"/>
        <v>0.83371170804240347</v>
      </c>
      <c r="I50" s="146" t="str">
        <f t="shared" ca="1" si="7"/>
        <v/>
      </c>
      <c r="J50" s="146" t="str">
        <f t="shared" ca="1" si="7"/>
        <v/>
      </c>
      <c r="M50" s="462"/>
      <c r="N50" s="462"/>
      <c r="O50" s="462"/>
      <c r="P50" s="462"/>
      <c r="Q50" s="462"/>
      <c r="R50" s="462"/>
      <c r="S50" s="462"/>
      <c r="T50" s="462"/>
      <c r="U50" s="462"/>
      <c r="V50" s="462"/>
    </row>
    <row r="51" spans="1:22">
      <c r="A51" s="476">
        <v>3</v>
      </c>
      <c r="B51" t="s">
        <v>5452</v>
      </c>
      <c r="D51" s="468" t="s">
        <v>5458</v>
      </c>
      <c r="E51" s="146">
        <f t="shared" ca="1" si="7"/>
        <v>0.79999999999999993</v>
      </c>
      <c r="F51" s="146">
        <f t="shared" ca="1" si="7"/>
        <v>1.2</v>
      </c>
      <c r="G51" s="146">
        <f t="shared" ca="1" si="7"/>
        <v>0.79893574455307281</v>
      </c>
      <c r="H51" s="146">
        <f t="shared" ca="1" si="7"/>
        <v>0.79893574455307281</v>
      </c>
      <c r="I51" s="146" t="str">
        <f t="shared" ca="1" si="7"/>
        <v/>
      </c>
      <c r="J51" s="146" t="str">
        <f t="shared" ca="1" si="7"/>
        <v/>
      </c>
      <c r="M51" s="462"/>
      <c r="N51" s="462"/>
      <c r="O51" s="462"/>
      <c r="P51" s="462"/>
      <c r="Q51" s="462"/>
      <c r="R51" s="462"/>
      <c r="S51" s="462"/>
      <c r="T51" s="462"/>
      <c r="U51" s="462"/>
      <c r="V51" s="462"/>
    </row>
    <row r="52" spans="1:22">
      <c r="A52" s="476">
        <v>4</v>
      </c>
      <c r="B52" t="s">
        <v>5453</v>
      </c>
      <c r="D52" s="468" t="s">
        <v>5459</v>
      </c>
      <c r="E52" s="146" t="str">
        <f t="shared" ca="1" si="7"/>
        <v/>
      </c>
      <c r="F52" s="146" t="str">
        <f t="shared" ca="1" si="7"/>
        <v/>
      </c>
      <c r="G52" s="146" t="str">
        <f t="shared" ca="1" si="7"/>
        <v/>
      </c>
      <c r="H52" s="146" t="str">
        <f t="shared" ca="1" si="7"/>
        <v/>
      </c>
      <c r="I52" s="146" t="str">
        <f t="shared" ca="1" si="7"/>
        <v/>
      </c>
      <c r="J52" s="146" t="str">
        <f t="shared" ca="1" si="7"/>
        <v/>
      </c>
      <c r="M52" s="462"/>
      <c r="N52" s="462"/>
      <c r="O52" s="462"/>
      <c r="P52" s="462"/>
      <c r="Q52" s="462"/>
      <c r="R52" s="462"/>
      <c r="S52" s="462"/>
      <c r="T52" s="462"/>
      <c r="U52" s="462"/>
      <c r="V52" s="462"/>
    </row>
    <row r="53" spans="1:22">
      <c r="A53" s="476">
        <v>5</v>
      </c>
      <c r="B53" t="s">
        <v>5454</v>
      </c>
      <c r="D53" s="468" t="s">
        <v>5460</v>
      </c>
      <c r="E53" s="146" t="str">
        <f t="shared" ca="1" si="7"/>
        <v/>
      </c>
      <c r="F53" s="146" t="str">
        <f t="shared" ca="1" si="7"/>
        <v/>
      </c>
      <c r="G53" s="146" t="str">
        <f t="shared" ca="1" si="7"/>
        <v/>
      </c>
      <c r="H53" s="146" t="str">
        <f t="shared" ca="1" si="7"/>
        <v/>
      </c>
      <c r="I53" s="146" t="str">
        <f t="shared" ca="1" si="7"/>
        <v/>
      </c>
      <c r="J53" s="146" t="str">
        <f t="shared" ca="1" si="7"/>
        <v/>
      </c>
      <c r="M53" s="462"/>
      <c r="N53" s="462"/>
      <c r="O53" s="462"/>
      <c r="P53" s="462"/>
      <c r="Q53" s="462"/>
      <c r="R53" s="462"/>
      <c r="S53" s="462"/>
      <c r="T53" s="462"/>
      <c r="U53" s="462"/>
      <c r="V53" s="462"/>
    </row>
    <row r="54" spans="1:22">
      <c r="A54" s="476">
        <v>6</v>
      </c>
      <c r="B54" t="s">
        <v>5455</v>
      </c>
      <c r="D54" s="468" t="s">
        <v>5461</v>
      </c>
      <c r="E54" s="146" t="str">
        <f t="shared" ca="1" si="7"/>
        <v/>
      </c>
      <c r="F54" s="146" t="str">
        <f t="shared" ca="1" si="7"/>
        <v/>
      </c>
      <c r="G54" s="146" t="str">
        <f t="shared" ca="1" si="7"/>
        <v/>
      </c>
      <c r="H54" s="146" t="str">
        <f t="shared" ca="1" si="7"/>
        <v/>
      </c>
      <c r="I54" s="146" t="str">
        <f t="shared" ca="1" si="7"/>
        <v/>
      </c>
      <c r="J54" s="146" t="str">
        <f t="shared" ca="1" si="7"/>
        <v/>
      </c>
      <c r="M54" s="462"/>
      <c r="N54" s="462"/>
      <c r="O54" s="462"/>
      <c r="P54" s="462"/>
      <c r="Q54" s="462"/>
      <c r="R54" s="462"/>
      <c r="S54" s="462"/>
      <c r="T54" s="462"/>
      <c r="U54" s="462"/>
      <c r="V54" s="462"/>
    </row>
    <row r="55" spans="1:22">
      <c r="D55" s="462"/>
      <c r="M55" s="462"/>
      <c r="N55" s="462"/>
      <c r="O55" s="462"/>
      <c r="P55" s="462"/>
      <c r="Q55" s="462"/>
      <c r="R55" s="462"/>
      <c r="S55" s="462"/>
      <c r="T55" s="462"/>
      <c r="U55" s="462"/>
      <c r="V55" s="462"/>
    </row>
    <row r="56" spans="1:22">
      <c r="A56" s="70" t="s">
        <v>524</v>
      </c>
      <c r="B56" s="471"/>
      <c r="C56" s="472"/>
      <c r="D56" s="473"/>
      <c r="E56" s="466"/>
      <c r="F56" s="466"/>
      <c r="G56" s="466"/>
      <c r="H56" s="466"/>
      <c r="I56" s="466"/>
      <c r="J56" s="466"/>
      <c r="M56" s="462"/>
      <c r="N56" s="462"/>
      <c r="O56" s="462"/>
      <c r="P56" s="462"/>
      <c r="Q56" s="462"/>
      <c r="R56" s="462"/>
      <c r="S56" s="462"/>
      <c r="T56" s="462"/>
      <c r="U56" s="462"/>
      <c r="V56" s="462"/>
    </row>
    <row r="57" spans="1:22">
      <c r="A57" s="476">
        <v>1</v>
      </c>
      <c r="B57" t="s">
        <v>525</v>
      </c>
      <c r="D57" s="468" t="s">
        <v>558</v>
      </c>
      <c r="E57" s="146" t="str">
        <f t="shared" ref="E57:J62" ca="1" si="8">IFERROR(IF($A57&gt;E$20,"",INDIRECT(INDEX("'"&amp;$D$7:$D$12,MATCH(E$18,$B$7:$B$12,0))&amp;"'!"&amp;$D57)),"")</f>
        <v/>
      </c>
      <c r="F57" s="146" t="str">
        <f t="shared" ca="1" si="8"/>
        <v/>
      </c>
      <c r="G57" s="146" t="str">
        <f t="shared" ca="1" si="8"/>
        <v/>
      </c>
      <c r="H57" s="146" t="str">
        <f t="shared" ca="1" si="8"/>
        <v/>
      </c>
      <c r="I57" s="146" t="str">
        <f t="shared" ca="1" si="8"/>
        <v/>
      </c>
      <c r="J57" s="146" t="str">
        <f t="shared" ca="1" si="8"/>
        <v/>
      </c>
      <c r="M57" s="462"/>
      <c r="N57" s="462"/>
      <c r="O57" s="462"/>
      <c r="P57" s="462"/>
      <c r="Q57" s="462"/>
      <c r="R57" s="462"/>
      <c r="S57" s="462"/>
      <c r="T57" s="462"/>
      <c r="U57" s="462"/>
      <c r="V57" s="462"/>
    </row>
    <row r="58" spans="1:22">
      <c r="A58" s="476">
        <v>2</v>
      </c>
      <c r="B58" t="s">
        <v>526</v>
      </c>
      <c r="D58" s="468" t="s">
        <v>560</v>
      </c>
      <c r="E58" s="146">
        <f t="shared" ca="1" si="8"/>
        <v>0.60833333333333328</v>
      </c>
      <c r="F58" s="146">
        <f t="shared" ca="1" si="8"/>
        <v>0.90416666666666667</v>
      </c>
      <c r="G58" s="146">
        <f t="shared" ca="1" si="8"/>
        <v>0.89166666666666672</v>
      </c>
      <c r="H58" s="146">
        <f t="shared" ca="1" si="8"/>
        <v>0.875</v>
      </c>
      <c r="I58" s="146" t="str">
        <f t="shared" ca="1" si="8"/>
        <v/>
      </c>
      <c r="J58" s="146" t="str">
        <f t="shared" ca="1" si="8"/>
        <v/>
      </c>
      <c r="M58" s="462"/>
      <c r="N58" s="462"/>
      <c r="O58" s="462"/>
      <c r="P58" s="462"/>
      <c r="Q58" s="462"/>
      <c r="R58" s="462"/>
      <c r="S58" s="462"/>
      <c r="T58" s="462"/>
      <c r="U58" s="462"/>
      <c r="V58" s="462"/>
    </row>
    <row r="59" spans="1:22">
      <c r="A59" s="476">
        <v>3</v>
      </c>
      <c r="B59" t="s">
        <v>527</v>
      </c>
      <c r="D59" s="468" t="s">
        <v>559</v>
      </c>
      <c r="E59" s="146">
        <f t="shared" ca="1" si="8"/>
        <v>0.7254166666666666</v>
      </c>
      <c r="F59" s="146">
        <f t="shared" ca="1" si="8"/>
        <v>0.74763888888888896</v>
      </c>
      <c r="G59" s="146">
        <f t="shared" ca="1" si="8"/>
        <v>0.79135416666666658</v>
      </c>
      <c r="H59" s="146">
        <f t="shared" ca="1" si="8"/>
        <v>0.7434722222222222</v>
      </c>
      <c r="I59" s="146" t="str">
        <f t="shared" ca="1" si="8"/>
        <v/>
      </c>
      <c r="J59" s="146" t="str">
        <f t="shared" ca="1" si="8"/>
        <v/>
      </c>
      <c r="M59" s="462"/>
      <c r="N59" s="462"/>
      <c r="O59" s="462"/>
      <c r="P59" s="462"/>
      <c r="Q59" s="462"/>
      <c r="R59" s="462"/>
      <c r="S59" s="462"/>
      <c r="T59" s="462"/>
      <c r="U59" s="462"/>
      <c r="V59" s="462"/>
    </row>
    <row r="60" spans="1:22">
      <c r="A60" s="476">
        <v>4</v>
      </c>
      <c r="B60" t="s">
        <v>528</v>
      </c>
      <c r="D60" s="468" t="s">
        <v>561</v>
      </c>
      <c r="E60" s="146" t="str">
        <f t="shared" ca="1" si="8"/>
        <v/>
      </c>
      <c r="F60" s="146" t="str">
        <f t="shared" ca="1" si="8"/>
        <v/>
      </c>
      <c r="G60" s="146" t="str">
        <f t="shared" ca="1" si="8"/>
        <v/>
      </c>
      <c r="H60" s="146" t="str">
        <f t="shared" ca="1" si="8"/>
        <v/>
      </c>
      <c r="I60" s="146" t="str">
        <f t="shared" ca="1" si="8"/>
        <v/>
      </c>
      <c r="J60" s="146" t="str">
        <f t="shared" ca="1" si="8"/>
        <v/>
      </c>
      <c r="M60" s="462"/>
      <c r="N60" s="462"/>
      <c r="O60" s="462"/>
      <c r="P60" s="462"/>
      <c r="Q60" s="462"/>
      <c r="R60" s="462"/>
      <c r="S60" s="462"/>
      <c r="T60" s="462"/>
      <c r="U60" s="462"/>
      <c r="V60" s="462"/>
    </row>
    <row r="61" spans="1:22">
      <c r="A61" s="476">
        <v>5</v>
      </c>
      <c r="B61" t="s">
        <v>529</v>
      </c>
      <c r="D61" s="468" t="s">
        <v>562</v>
      </c>
      <c r="E61" s="146" t="str">
        <f t="shared" ca="1" si="8"/>
        <v/>
      </c>
      <c r="F61" s="146" t="str">
        <f t="shared" ca="1" si="8"/>
        <v/>
      </c>
      <c r="G61" s="146" t="str">
        <f t="shared" ca="1" si="8"/>
        <v/>
      </c>
      <c r="H61" s="146" t="str">
        <f t="shared" ca="1" si="8"/>
        <v/>
      </c>
      <c r="I61" s="146" t="str">
        <f t="shared" ca="1" si="8"/>
        <v/>
      </c>
      <c r="J61" s="146" t="str">
        <f t="shared" ca="1" si="8"/>
        <v/>
      </c>
      <c r="M61" s="462"/>
      <c r="N61" s="462"/>
      <c r="O61" s="462"/>
      <c r="P61" s="462"/>
      <c r="Q61" s="462"/>
      <c r="R61" s="462"/>
      <c r="S61" s="462"/>
      <c r="T61" s="462"/>
      <c r="U61" s="462"/>
      <c r="V61" s="462"/>
    </row>
    <row r="62" spans="1:22">
      <c r="A62" s="476">
        <v>6</v>
      </c>
      <c r="B62" t="s">
        <v>530</v>
      </c>
      <c r="D62" s="468" t="s">
        <v>563</v>
      </c>
      <c r="E62" s="146" t="str">
        <f t="shared" ca="1" si="8"/>
        <v/>
      </c>
      <c r="F62" s="146" t="str">
        <f t="shared" ca="1" si="8"/>
        <v/>
      </c>
      <c r="G62" s="146" t="str">
        <f t="shared" ca="1" si="8"/>
        <v/>
      </c>
      <c r="H62" s="146" t="str">
        <f t="shared" ca="1" si="8"/>
        <v/>
      </c>
      <c r="I62" s="146" t="str">
        <f t="shared" ca="1" si="8"/>
        <v/>
      </c>
      <c r="J62" s="146" t="str">
        <f t="shared" ca="1" si="8"/>
        <v/>
      </c>
      <c r="M62" s="462"/>
      <c r="N62" s="477">
        <f t="shared" ref="N62:T62" si="9">$K$9-$K$11</f>
        <v>0.4</v>
      </c>
      <c r="O62" s="477">
        <f t="shared" si="9"/>
        <v>0.4</v>
      </c>
      <c r="P62" s="477">
        <f t="shared" si="9"/>
        <v>0.4</v>
      </c>
      <c r="Q62" s="477">
        <f t="shared" si="9"/>
        <v>0.4</v>
      </c>
      <c r="R62" s="477">
        <f t="shared" si="9"/>
        <v>0.4</v>
      </c>
      <c r="S62" s="477">
        <f t="shared" si="9"/>
        <v>0.4</v>
      </c>
      <c r="T62" s="477">
        <f t="shared" si="9"/>
        <v>0.4</v>
      </c>
      <c r="U62" s="462"/>
      <c r="V62" s="462"/>
    </row>
    <row r="63" spans="1:22">
      <c r="D63" s="462"/>
      <c r="M63" s="462"/>
      <c r="N63" s="477">
        <f t="shared" ref="N63:T63" si="10">$K$11</f>
        <v>0.5</v>
      </c>
      <c r="O63" s="477">
        <f t="shared" si="10"/>
        <v>0.5</v>
      </c>
      <c r="P63" s="477">
        <f t="shared" si="10"/>
        <v>0.5</v>
      </c>
      <c r="Q63" s="477">
        <f t="shared" si="10"/>
        <v>0.5</v>
      </c>
      <c r="R63" s="477">
        <f t="shared" si="10"/>
        <v>0.5</v>
      </c>
      <c r="S63" s="477">
        <f t="shared" si="10"/>
        <v>0.5</v>
      </c>
      <c r="T63" s="477">
        <f t="shared" si="10"/>
        <v>0.5</v>
      </c>
      <c r="U63" s="462"/>
      <c r="V63" s="462"/>
    </row>
    <row r="64" spans="1:22">
      <c r="A64" s="70" t="s">
        <v>531</v>
      </c>
      <c r="B64" s="471"/>
      <c r="C64" s="472"/>
      <c r="D64" s="473"/>
      <c r="E64" s="466"/>
      <c r="F64" s="466"/>
      <c r="G64" s="466"/>
      <c r="H64" s="466"/>
      <c r="I64" s="466"/>
      <c r="J64" s="466"/>
      <c r="M64" s="462"/>
      <c r="N64" s="462"/>
      <c r="O64" s="477">
        <f t="shared" ref="O64:T69" ca="1" si="11">E33</f>
        <v>0.8819999999999999</v>
      </c>
      <c r="P64" s="477">
        <f t="shared" ca="1" si="11"/>
        <v>1.3230000000000002</v>
      </c>
      <c r="Q64" s="477">
        <f t="shared" ca="1" si="11"/>
        <v>0.80827031250000003</v>
      </c>
      <c r="R64" s="477">
        <f t="shared" ca="1" si="11"/>
        <v>0.88200601538629442</v>
      </c>
      <c r="S64" s="477" t="str">
        <f t="shared" ca="1" si="11"/>
        <v/>
      </c>
      <c r="T64" s="477" t="str">
        <f t="shared" ca="1" si="11"/>
        <v/>
      </c>
      <c r="U64" s="462"/>
      <c r="V64" s="462"/>
    </row>
    <row r="65" spans="1:22">
      <c r="A65" s="476"/>
      <c r="B65" t="s">
        <v>564</v>
      </c>
      <c r="D65" s="468" t="s">
        <v>5433</v>
      </c>
      <c r="E65" s="1692">
        <f t="shared" ref="E65:J67" ca="1" si="12">IFERROR(INDIRECT(INDEX("'"&amp;$D$7:$D$12,MATCH(E$18,$B$7:$B$12,0))&amp;"'!"&amp;$D65),"")</f>
        <v>0</v>
      </c>
      <c r="F65" s="1692">
        <f t="shared" ca="1" si="12"/>
        <v>1</v>
      </c>
      <c r="G65" s="1692">
        <f t="shared" ca="1" si="12"/>
        <v>0</v>
      </c>
      <c r="H65" s="1692">
        <f t="shared" ca="1" si="12"/>
        <v>0</v>
      </c>
      <c r="I65" s="1692" t="str">
        <f t="shared" ca="1" si="12"/>
        <v/>
      </c>
      <c r="J65" s="1692" t="str">
        <f t="shared" ca="1" si="12"/>
        <v/>
      </c>
      <c r="M65" s="462"/>
      <c r="N65" s="462"/>
      <c r="O65" s="477">
        <f t="shared" ca="1" si="11"/>
        <v>0.84</v>
      </c>
      <c r="P65" s="477">
        <f t="shared" ca="1" si="11"/>
        <v>1.26</v>
      </c>
      <c r="Q65" s="477">
        <f t="shared" ca="1" si="11"/>
        <v>0.76978124999999997</v>
      </c>
      <c r="R65" s="477">
        <f t="shared" ca="1" si="11"/>
        <v>0.8400057289393279</v>
      </c>
      <c r="S65" s="477" t="str">
        <f t="shared" ca="1" si="11"/>
        <v/>
      </c>
      <c r="T65" s="477" t="str">
        <f t="shared" ca="1" si="11"/>
        <v/>
      </c>
      <c r="U65" s="462"/>
      <c r="V65" s="462"/>
    </row>
    <row r="66" spans="1:22">
      <c r="A66" s="476"/>
      <c r="B66" t="s">
        <v>565</v>
      </c>
      <c r="D66" s="468" t="s">
        <v>5434</v>
      </c>
      <c r="E66" s="1692">
        <f t="shared" ca="1" si="12"/>
        <v>0</v>
      </c>
      <c r="F66" s="1692">
        <f t="shared" ca="1" si="12"/>
        <v>0</v>
      </c>
      <c r="G66" s="1692">
        <f t="shared" ca="1" si="12"/>
        <v>0</v>
      </c>
      <c r="H66" s="1692">
        <f t="shared" ca="1" si="12"/>
        <v>0</v>
      </c>
      <c r="I66" s="1692" t="str">
        <f t="shared" ca="1" si="12"/>
        <v/>
      </c>
      <c r="J66" s="1692" t="str">
        <f t="shared" ca="1" si="12"/>
        <v/>
      </c>
      <c r="M66" s="462"/>
      <c r="N66" s="462"/>
      <c r="O66" s="477">
        <f t="shared" ca="1" si="11"/>
        <v>0.79887218045112773</v>
      </c>
      <c r="P66" s="477">
        <f t="shared" ca="1" si="11"/>
        <v>1.1983082706766917</v>
      </c>
      <c r="Q66" s="477">
        <f t="shared" ca="1" si="11"/>
        <v>0.39943609022556387</v>
      </c>
      <c r="R66" s="477">
        <f t="shared" ca="1" si="11"/>
        <v>0.77743902439024393</v>
      </c>
      <c r="S66" s="477" t="str">
        <f t="shared" ca="1" si="11"/>
        <v/>
      </c>
      <c r="T66" s="477" t="str">
        <f t="shared" ca="1" si="11"/>
        <v/>
      </c>
      <c r="U66" s="462"/>
      <c r="V66" s="462"/>
    </row>
    <row r="67" spans="1:22">
      <c r="A67" s="476"/>
      <c r="B67" t="s">
        <v>566</v>
      </c>
      <c r="D67" s="468" t="s">
        <v>5435</v>
      </c>
      <c r="E67" s="1692">
        <f t="shared" ca="1" si="12"/>
        <v>0</v>
      </c>
      <c r="F67" s="1692">
        <f t="shared" ca="1" si="12"/>
        <v>0</v>
      </c>
      <c r="G67" s="1692">
        <f t="shared" ca="1" si="12"/>
        <v>0</v>
      </c>
      <c r="H67" s="1692">
        <f t="shared" ca="1" si="12"/>
        <v>0</v>
      </c>
      <c r="I67" s="1692" t="str">
        <f t="shared" ca="1" si="12"/>
        <v/>
      </c>
      <c r="J67" s="1692" t="str">
        <f t="shared" ca="1" si="12"/>
        <v/>
      </c>
      <c r="M67" s="462"/>
      <c r="N67" s="462"/>
      <c r="O67" s="477" t="str">
        <f t="shared" ca="1" si="11"/>
        <v/>
      </c>
      <c r="P67" s="477" t="str">
        <f t="shared" ca="1" si="11"/>
        <v/>
      </c>
      <c r="Q67" s="477" t="str">
        <f t="shared" ca="1" si="11"/>
        <v/>
      </c>
      <c r="R67" s="477" t="str">
        <f t="shared" ca="1" si="11"/>
        <v/>
      </c>
      <c r="S67" s="477" t="str">
        <f t="shared" ca="1" si="11"/>
        <v/>
      </c>
      <c r="T67" s="477" t="str">
        <f t="shared" ca="1" si="11"/>
        <v/>
      </c>
      <c r="U67" s="462"/>
      <c r="V67" s="462"/>
    </row>
    <row r="68" spans="1:22">
      <c r="A68" s="476"/>
      <c r="D68" s="462"/>
      <c r="M68" s="462"/>
      <c r="N68" s="462"/>
      <c r="O68" s="477" t="str">
        <f t="shared" ca="1" si="11"/>
        <v/>
      </c>
      <c r="P68" s="477" t="str">
        <f t="shared" ca="1" si="11"/>
        <v/>
      </c>
      <c r="Q68" s="477" t="str">
        <f t="shared" ca="1" si="11"/>
        <v/>
      </c>
      <c r="R68" s="477" t="str">
        <f t="shared" ca="1" si="11"/>
        <v/>
      </c>
      <c r="S68" s="477" t="str">
        <f t="shared" ca="1" si="11"/>
        <v/>
      </c>
      <c r="T68" s="477" t="str">
        <f t="shared" ca="1" si="11"/>
        <v/>
      </c>
      <c r="U68" s="462"/>
      <c r="V68" s="462"/>
    </row>
    <row r="69" spans="1:22">
      <c r="A69" s="70" t="s">
        <v>532</v>
      </c>
      <c r="B69" s="70"/>
      <c r="C69" s="70"/>
      <c r="D69" s="478"/>
      <c r="E69" s="70"/>
      <c r="F69" s="70"/>
      <c r="G69" s="70"/>
      <c r="H69" s="70"/>
      <c r="I69" s="70"/>
      <c r="J69" s="70"/>
      <c r="M69" s="462"/>
      <c r="N69" s="462"/>
      <c r="O69" s="477" t="str">
        <f t="shared" ca="1" si="11"/>
        <v/>
      </c>
      <c r="P69" s="477" t="str">
        <f t="shared" ca="1" si="11"/>
        <v/>
      </c>
      <c r="Q69" s="477" t="str">
        <f t="shared" ca="1" si="11"/>
        <v/>
      </c>
      <c r="R69" s="477" t="str">
        <f t="shared" ca="1" si="11"/>
        <v/>
      </c>
      <c r="S69" s="477" t="str">
        <f t="shared" ca="1" si="11"/>
        <v/>
      </c>
      <c r="T69" s="477" t="str">
        <f t="shared" ca="1" si="11"/>
        <v/>
      </c>
      <c r="U69" s="462"/>
      <c r="V69" s="462"/>
    </row>
    <row r="70" spans="1:22">
      <c r="B70" t="s">
        <v>568</v>
      </c>
      <c r="D70" s="468" t="s">
        <v>5436</v>
      </c>
      <c r="E70" s="469">
        <f t="shared" ref="E70:J72" ca="1" si="13">IFERROR(INDIRECT(INDEX("'"&amp;$D$7:$D$12,MATCH(E$18,$B$7:$B$12,0))&amp;"'!"&amp;$D70),"")</f>
        <v>882570.39741899888</v>
      </c>
      <c r="F70" s="469">
        <f t="shared" ca="1" si="13"/>
        <v>882570.39741899888</v>
      </c>
      <c r="G70" s="469">
        <f t="shared" ca="1" si="13"/>
        <v>980904.49355169514</v>
      </c>
      <c r="H70" s="469">
        <f t="shared" ca="1" si="13"/>
        <v>1381269.5617574465</v>
      </c>
      <c r="I70" s="469" t="str">
        <f t="shared" ca="1" si="13"/>
        <v/>
      </c>
      <c r="J70" s="469" t="str">
        <f t="shared" ca="1" si="13"/>
        <v/>
      </c>
      <c r="M70" s="462"/>
      <c r="N70" s="462"/>
      <c r="O70" s="1351" t="str">
        <f t="shared" ref="O70:T70" ca="1" si="14">IF(O64&gt;1,O64,"")</f>
        <v/>
      </c>
      <c r="P70" s="1351">
        <f t="shared" ca="1" si="14"/>
        <v>1.3230000000000002</v>
      </c>
      <c r="Q70" s="1351" t="str">
        <f t="shared" ca="1" si="14"/>
        <v/>
      </c>
      <c r="R70" s="1351" t="str">
        <f t="shared" ca="1" si="14"/>
        <v/>
      </c>
      <c r="S70" s="1351" t="str">
        <f t="shared" ca="1" si="14"/>
        <v/>
      </c>
      <c r="T70" s="1351" t="str">
        <f t="shared" ca="1" si="14"/>
        <v/>
      </c>
      <c r="U70" s="36"/>
      <c r="V70" s="462"/>
    </row>
    <row r="71" spans="1:22">
      <c r="B71" t="s">
        <v>567</v>
      </c>
      <c r="D71" s="468" t="s">
        <v>5437</v>
      </c>
      <c r="E71" s="469">
        <f t="shared" ca="1" si="13"/>
        <v>415299.2924570163</v>
      </c>
      <c r="F71" s="469">
        <f t="shared" ca="1" si="13"/>
        <v>471191.02855929779</v>
      </c>
      <c r="G71" s="469">
        <f t="shared" ca="1" si="13"/>
        <v>864436.34174866916</v>
      </c>
      <c r="H71" s="469">
        <f t="shared" ca="1" si="13"/>
        <v>465585.90155065962</v>
      </c>
      <c r="I71" s="469" t="str">
        <f t="shared" ca="1" si="13"/>
        <v/>
      </c>
      <c r="J71" s="469" t="str">
        <f t="shared" ca="1" si="13"/>
        <v/>
      </c>
      <c r="M71" s="462"/>
      <c r="N71" s="462"/>
      <c r="O71" s="1351" t="str">
        <f t="shared" ref="O71:T75" ca="1" si="15">IF(O65&gt;1,O65,"")</f>
        <v/>
      </c>
      <c r="P71" s="1351">
        <f t="shared" ca="1" si="15"/>
        <v>1.26</v>
      </c>
      <c r="Q71" s="1351" t="str">
        <f t="shared" ca="1" si="15"/>
        <v/>
      </c>
      <c r="R71" s="1351" t="str">
        <f t="shared" ca="1" si="15"/>
        <v/>
      </c>
      <c r="S71" s="1351" t="str">
        <f t="shared" ca="1" si="15"/>
        <v/>
      </c>
      <c r="T71" s="1351" t="str">
        <f t="shared" ca="1" si="15"/>
        <v/>
      </c>
      <c r="U71" s="36"/>
      <c r="V71" s="462"/>
    </row>
    <row r="72" spans="1:22">
      <c r="B72" t="s">
        <v>569</v>
      </c>
      <c r="D72" s="468" t="s">
        <v>5438</v>
      </c>
      <c r="E72" s="469">
        <f t="shared" ca="1" si="13"/>
        <v>132074.68350107403</v>
      </c>
      <c r="F72" s="469">
        <f t="shared" ca="1" si="13"/>
        <v>132074.68350107403</v>
      </c>
      <c r="G72" s="469">
        <f t="shared" ca="1" si="13"/>
        <v>132074.68350107403</v>
      </c>
      <c r="H72" s="469">
        <f t="shared" ca="1" si="13"/>
        <v>132074.68350107403</v>
      </c>
      <c r="I72" s="469" t="str">
        <f t="shared" ca="1" si="13"/>
        <v/>
      </c>
      <c r="J72" s="469" t="str">
        <f t="shared" ca="1" si="13"/>
        <v/>
      </c>
      <c r="M72" s="462"/>
      <c r="N72" s="462"/>
      <c r="O72" s="1351" t="str">
        <f t="shared" ca="1" si="15"/>
        <v/>
      </c>
      <c r="P72" s="1351">
        <f t="shared" ca="1" si="15"/>
        <v>1.1983082706766917</v>
      </c>
      <c r="Q72" s="1351" t="str">
        <f t="shared" ca="1" si="15"/>
        <v/>
      </c>
      <c r="R72" s="1351" t="str">
        <f t="shared" ca="1" si="15"/>
        <v/>
      </c>
      <c r="S72" s="1351" t="str">
        <f t="shared" ca="1" si="15"/>
        <v/>
      </c>
      <c r="T72" s="1351" t="str">
        <f t="shared" ca="1" si="15"/>
        <v/>
      </c>
      <c r="U72" s="36"/>
      <c r="V72" s="462"/>
    </row>
    <row r="73" spans="1:22">
      <c r="D73" s="468"/>
      <c r="M73" s="462"/>
      <c r="N73" s="462"/>
      <c r="O73" s="1351" t="str">
        <f t="shared" ca="1" si="15"/>
        <v/>
      </c>
      <c r="P73" s="1351" t="str">
        <f t="shared" ca="1" si="15"/>
        <v/>
      </c>
      <c r="Q73" s="1351" t="str">
        <f t="shared" ca="1" si="15"/>
        <v/>
      </c>
      <c r="R73" s="1351" t="str">
        <f t="shared" ca="1" si="15"/>
        <v/>
      </c>
      <c r="S73" s="1351" t="str">
        <f t="shared" ca="1" si="15"/>
        <v/>
      </c>
      <c r="T73" s="1351" t="str">
        <f t="shared" ca="1" si="15"/>
        <v/>
      </c>
      <c r="U73" s="36"/>
      <c r="V73" s="462"/>
    </row>
    <row r="74" spans="1:22">
      <c r="A74" s="70" t="s">
        <v>533</v>
      </c>
      <c r="B74" s="70"/>
      <c r="C74" s="70"/>
      <c r="D74" s="478"/>
      <c r="E74" s="70"/>
      <c r="F74" s="70"/>
      <c r="G74" s="70"/>
      <c r="H74" s="70"/>
      <c r="I74" s="70"/>
      <c r="J74" s="70"/>
      <c r="M74" s="462"/>
      <c r="N74" s="462"/>
      <c r="O74" s="1351" t="str">
        <f t="shared" ca="1" si="15"/>
        <v/>
      </c>
      <c r="P74" s="1351" t="str">
        <f t="shared" ca="1" si="15"/>
        <v/>
      </c>
      <c r="Q74" s="1351" t="str">
        <f t="shared" ca="1" si="15"/>
        <v/>
      </c>
      <c r="R74" s="1351" t="str">
        <f t="shared" ca="1" si="15"/>
        <v/>
      </c>
      <c r="S74" s="1351" t="str">
        <f t="shared" ca="1" si="15"/>
        <v/>
      </c>
      <c r="T74" s="1351" t="str">
        <f t="shared" ca="1" si="15"/>
        <v/>
      </c>
      <c r="U74" s="36"/>
      <c r="V74" s="462"/>
    </row>
    <row r="75" spans="1:22">
      <c r="A75" s="476">
        <v>1</v>
      </c>
      <c r="B75" t="s">
        <v>534</v>
      </c>
      <c r="D75" s="468" t="s">
        <v>570</v>
      </c>
      <c r="E75" s="469">
        <f t="shared" ref="E75:J80" ca="1" si="16">IFERROR(IF($A75&gt;E$20,"",INDIRECT(INDEX("'"&amp;$D$7:$D$12,MATCH(E$18,$B$7:$B$12,0))&amp;"'!"&amp;$D75)),"")</f>
        <v>356937.61504037399</v>
      </c>
      <c r="F75" s="469">
        <f t="shared" ca="1" si="16"/>
        <v>356937.61504037399</v>
      </c>
      <c r="G75" s="469">
        <f t="shared" ca="1" si="16"/>
        <v>380371.01605813601</v>
      </c>
      <c r="H75" s="469">
        <f t="shared" ca="1" si="16"/>
        <v>588896.87734702753</v>
      </c>
      <c r="I75" s="469" t="str">
        <f t="shared" ca="1" si="16"/>
        <v/>
      </c>
      <c r="J75" s="469" t="str">
        <f t="shared" ca="1" si="16"/>
        <v/>
      </c>
      <c r="M75" s="462"/>
      <c r="N75" s="462"/>
      <c r="O75" s="1351" t="str">
        <f t="shared" ca="1" si="15"/>
        <v/>
      </c>
      <c r="P75" s="1351" t="str">
        <f t="shared" ca="1" si="15"/>
        <v/>
      </c>
      <c r="Q75" s="1351" t="str">
        <f t="shared" ca="1" si="15"/>
        <v/>
      </c>
      <c r="R75" s="1351" t="str">
        <f t="shared" ca="1" si="15"/>
        <v/>
      </c>
      <c r="S75" s="1351" t="str">
        <f t="shared" ca="1" si="15"/>
        <v/>
      </c>
      <c r="T75" s="1351" t="str">
        <f t="shared" ca="1" si="15"/>
        <v/>
      </c>
      <c r="U75" s="36"/>
      <c r="V75" s="462"/>
    </row>
    <row r="76" spans="1:22">
      <c r="A76" s="476">
        <v>2</v>
      </c>
      <c r="B76" t="s">
        <v>535</v>
      </c>
      <c r="D76" s="468" t="s">
        <v>571</v>
      </c>
      <c r="E76" s="469">
        <f t="shared" ca="1" si="16"/>
        <v>281586.00040215149</v>
      </c>
      <c r="F76" s="469">
        <f t="shared" ca="1" si="16"/>
        <v>281586.00040215149</v>
      </c>
      <c r="G76" s="469">
        <f t="shared" ca="1" si="16"/>
        <v>325531.03300879861</v>
      </c>
      <c r="H76" s="469">
        <f t="shared" ca="1" si="16"/>
        <v>424240.19594778924</v>
      </c>
      <c r="I76" s="469" t="str">
        <f t="shared" ca="1" si="16"/>
        <v/>
      </c>
      <c r="J76" s="469" t="str">
        <f t="shared" ca="1" si="16"/>
        <v/>
      </c>
      <c r="M76" s="462"/>
      <c r="N76" s="462"/>
      <c r="O76" s="462"/>
      <c r="P76" s="462"/>
      <c r="Q76" s="462"/>
      <c r="R76" s="462"/>
      <c r="S76" s="462"/>
      <c r="T76" s="462"/>
      <c r="U76" s="462"/>
      <c r="V76" s="462"/>
    </row>
    <row r="77" spans="1:22">
      <c r="A77" s="476">
        <v>3</v>
      </c>
      <c r="B77" t="s">
        <v>536</v>
      </c>
      <c r="D77" s="468" t="s">
        <v>572</v>
      </c>
      <c r="E77" s="469">
        <f t="shared" ca="1" si="16"/>
        <v>244046.7819764734</v>
      </c>
      <c r="F77" s="469">
        <f t="shared" ca="1" si="16"/>
        <v>244046.7819764734</v>
      </c>
      <c r="G77" s="469">
        <f t="shared" ca="1" si="16"/>
        <v>275002.44448476052</v>
      </c>
      <c r="H77" s="469">
        <f t="shared" ca="1" si="16"/>
        <v>368132.48846262967</v>
      </c>
      <c r="I77" s="469" t="str">
        <f t="shared" ca="1" si="16"/>
        <v/>
      </c>
      <c r="J77" s="469" t="str">
        <f t="shared" ca="1" si="16"/>
        <v/>
      </c>
      <c r="M77" s="462"/>
      <c r="N77" s="462"/>
      <c r="O77" s="462"/>
      <c r="P77" s="462"/>
      <c r="Q77" s="462"/>
      <c r="R77" s="462"/>
      <c r="S77" s="462"/>
      <c r="T77" s="462"/>
      <c r="U77" s="462"/>
      <c r="V77" s="462"/>
    </row>
    <row r="78" spans="1:22">
      <c r="A78" s="476">
        <v>4</v>
      </c>
      <c r="B78" t="s">
        <v>537</v>
      </c>
      <c r="D78" s="468" t="s">
        <v>573</v>
      </c>
      <c r="E78" s="469" t="str">
        <f t="shared" ca="1" si="16"/>
        <v/>
      </c>
      <c r="F78" s="469" t="str">
        <f t="shared" ca="1" si="16"/>
        <v/>
      </c>
      <c r="G78" s="469" t="str">
        <f t="shared" ca="1" si="16"/>
        <v/>
      </c>
      <c r="H78" s="469" t="str">
        <f t="shared" ca="1" si="16"/>
        <v/>
      </c>
      <c r="I78" s="469" t="str">
        <f t="shared" ca="1" si="16"/>
        <v/>
      </c>
      <c r="J78" s="469" t="str">
        <f t="shared" ca="1" si="16"/>
        <v/>
      </c>
      <c r="M78" s="462"/>
      <c r="N78" s="462"/>
      <c r="O78" s="462"/>
      <c r="P78" s="462"/>
      <c r="Q78" s="462"/>
      <c r="R78" s="462"/>
      <c r="S78" s="462"/>
      <c r="T78" s="462"/>
      <c r="U78" s="462"/>
      <c r="V78" s="462"/>
    </row>
    <row r="79" spans="1:22">
      <c r="A79" s="476">
        <v>5</v>
      </c>
      <c r="B79" t="s">
        <v>538</v>
      </c>
      <c r="D79" s="468" t="s">
        <v>574</v>
      </c>
      <c r="E79" s="469" t="str">
        <f t="shared" ca="1" si="16"/>
        <v/>
      </c>
      <c r="F79" s="469" t="str">
        <f t="shared" ca="1" si="16"/>
        <v/>
      </c>
      <c r="G79" s="469" t="str">
        <f t="shared" ca="1" si="16"/>
        <v/>
      </c>
      <c r="H79" s="469" t="str">
        <f t="shared" ca="1" si="16"/>
        <v/>
      </c>
      <c r="I79" s="469" t="str">
        <f t="shared" ca="1" si="16"/>
        <v/>
      </c>
      <c r="J79" s="469" t="str">
        <f t="shared" ca="1" si="16"/>
        <v/>
      </c>
      <c r="M79" s="462"/>
      <c r="N79" s="462"/>
      <c r="O79" s="462"/>
      <c r="P79" s="462"/>
      <c r="Q79" s="462"/>
      <c r="R79" s="462"/>
      <c r="S79" s="462"/>
      <c r="T79" s="462"/>
      <c r="U79" s="462"/>
      <c r="V79" s="462"/>
    </row>
    <row r="80" spans="1:22">
      <c r="A80" s="476">
        <v>6</v>
      </c>
      <c r="B80" t="s">
        <v>539</v>
      </c>
      <c r="D80" s="468" t="s">
        <v>575</v>
      </c>
      <c r="E80" s="469" t="str">
        <f t="shared" ca="1" si="16"/>
        <v/>
      </c>
      <c r="F80" s="469" t="str">
        <f t="shared" ca="1" si="16"/>
        <v/>
      </c>
      <c r="G80" s="469" t="str">
        <f t="shared" ca="1" si="16"/>
        <v/>
      </c>
      <c r="H80" s="469" t="str">
        <f t="shared" ca="1" si="16"/>
        <v/>
      </c>
      <c r="I80" s="469" t="str">
        <f t="shared" ca="1" si="16"/>
        <v/>
      </c>
      <c r="J80" s="469" t="str">
        <f t="shared" ca="1" si="16"/>
        <v/>
      </c>
      <c r="M80" s="462"/>
      <c r="N80" s="462"/>
      <c r="O80" s="462"/>
      <c r="P80" s="462"/>
      <c r="Q80" s="462"/>
      <c r="R80" s="462"/>
      <c r="S80" s="462"/>
      <c r="T80" s="462"/>
      <c r="U80" s="462"/>
      <c r="V80" s="462"/>
    </row>
    <row r="81" spans="1:22">
      <c r="M81" s="462"/>
      <c r="N81" s="462"/>
      <c r="O81" s="462"/>
      <c r="P81" s="462"/>
      <c r="Q81" s="462"/>
      <c r="R81" s="462"/>
      <c r="S81" s="462"/>
      <c r="T81" s="462"/>
      <c r="U81" s="462"/>
      <c r="V81" s="462"/>
    </row>
    <row r="82" spans="1:22">
      <c r="A82" s="70" t="s">
        <v>540</v>
      </c>
      <c r="B82" s="70"/>
      <c r="C82" s="70"/>
      <c r="D82" s="478"/>
      <c r="E82" s="70"/>
      <c r="F82" s="70"/>
      <c r="G82" s="70"/>
      <c r="H82" s="70"/>
      <c r="I82" s="70"/>
      <c r="J82" s="70"/>
      <c r="M82" s="462"/>
      <c r="N82" s="477">
        <f t="shared" ref="N82:T82" si="17">$K$9-$K$11</f>
        <v>0.4</v>
      </c>
      <c r="O82" s="477">
        <f t="shared" si="17"/>
        <v>0.4</v>
      </c>
      <c r="P82" s="477">
        <f t="shared" si="17"/>
        <v>0.4</v>
      </c>
      <c r="Q82" s="477">
        <f t="shared" si="17"/>
        <v>0.4</v>
      </c>
      <c r="R82" s="477">
        <f t="shared" si="17"/>
        <v>0.4</v>
      </c>
      <c r="S82" s="477">
        <f t="shared" si="17"/>
        <v>0.4</v>
      </c>
      <c r="T82" s="477">
        <f t="shared" si="17"/>
        <v>0.4</v>
      </c>
      <c r="U82" s="462"/>
      <c r="V82" s="462"/>
    </row>
    <row r="83" spans="1:22">
      <c r="A83" s="476">
        <v>1</v>
      </c>
      <c r="B83" t="s">
        <v>541</v>
      </c>
      <c r="D83" s="468" t="s">
        <v>576</v>
      </c>
      <c r="E83" s="469">
        <f t="shared" ref="E83:J88" ca="1" si="18">IFERROR(IF($A83&gt;E$20,"",INDIRECT(INDEX("'"&amp;$D$7:$D$12,MATCH(E$18,$B$7:$B$12,0))&amp;"'!"&amp;$D83)),"")</f>
        <v>0</v>
      </c>
      <c r="F83" s="469">
        <f t="shared" ca="1" si="18"/>
        <v>0</v>
      </c>
      <c r="G83" s="469">
        <f t="shared" ca="1" si="18"/>
        <v>0</v>
      </c>
      <c r="H83" s="469">
        <f t="shared" ca="1" si="18"/>
        <v>0</v>
      </c>
      <c r="I83" s="469" t="str">
        <f t="shared" ca="1" si="18"/>
        <v/>
      </c>
      <c r="J83" s="469" t="str">
        <f t="shared" ca="1" si="18"/>
        <v/>
      </c>
      <c r="M83" s="462"/>
      <c r="N83" s="477">
        <f t="shared" ref="N83:T83" si="19">$K$11</f>
        <v>0.5</v>
      </c>
      <c r="O83" s="477">
        <f t="shared" si="19"/>
        <v>0.5</v>
      </c>
      <c r="P83" s="477">
        <f t="shared" si="19"/>
        <v>0.5</v>
      </c>
      <c r="Q83" s="477">
        <f t="shared" si="19"/>
        <v>0.5</v>
      </c>
      <c r="R83" s="477">
        <f t="shared" si="19"/>
        <v>0.5</v>
      </c>
      <c r="S83" s="477">
        <f t="shared" si="19"/>
        <v>0.5</v>
      </c>
      <c r="T83" s="477">
        <f t="shared" si="19"/>
        <v>0.5</v>
      </c>
      <c r="U83" s="462"/>
      <c r="V83" s="462"/>
    </row>
    <row r="84" spans="1:22">
      <c r="A84" s="476">
        <v>2</v>
      </c>
      <c r="B84" t="s">
        <v>542</v>
      </c>
      <c r="D84" s="468" t="s">
        <v>577</v>
      </c>
      <c r="E84" s="469">
        <f t="shared" ca="1" si="18"/>
        <v>101011.57136787566</v>
      </c>
      <c r="F84" s="469">
        <f t="shared" ca="1" si="18"/>
        <v>142180.39789637309</v>
      </c>
      <c r="G84" s="469">
        <f t="shared" ca="1" si="18"/>
        <v>140249.41758549225</v>
      </c>
      <c r="H84" s="469">
        <f t="shared" ca="1" si="18"/>
        <v>138241.15727461141</v>
      </c>
      <c r="I84" s="469" t="str">
        <f t="shared" ca="1" si="18"/>
        <v/>
      </c>
      <c r="J84" s="469" t="str">
        <f t="shared" ca="1" si="18"/>
        <v/>
      </c>
      <c r="M84" s="462"/>
      <c r="N84" s="462"/>
      <c r="O84" s="477" t="str">
        <f t="shared" ref="O84:T89" ca="1" si="20">E41</f>
        <v/>
      </c>
      <c r="P84" s="477" t="str">
        <f t="shared" ca="1" si="20"/>
        <v/>
      </c>
      <c r="Q84" s="477" t="str">
        <f t="shared" ca="1" si="20"/>
        <v/>
      </c>
      <c r="R84" s="477" t="str">
        <f t="shared" ca="1" si="20"/>
        <v/>
      </c>
      <c r="S84" s="477" t="str">
        <f t="shared" ca="1" si="20"/>
        <v/>
      </c>
      <c r="T84" s="477" t="str">
        <f t="shared" ca="1" si="20"/>
        <v/>
      </c>
      <c r="U84" s="462"/>
      <c r="V84" s="462"/>
    </row>
    <row r="85" spans="1:22">
      <c r="A85" s="476">
        <v>3</v>
      </c>
      <c r="B85" t="s">
        <v>543</v>
      </c>
      <c r="D85" s="468" t="s">
        <v>578</v>
      </c>
      <c r="E85" s="469">
        <f t="shared" ca="1" si="18"/>
        <v>314287.72108914063</v>
      </c>
      <c r="F85" s="469">
        <f t="shared" ca="1" si="18"/>
        <v>329010.63066292467</v>
      </c>
      <c r="G85" s="469">
        <f t="shared" ca="1" si="18"/>
        <v>724186.92416317691</v>
      </c>
      <c r="H85" s="469">
        <f t="shared" ca="1" si="18"/>
        <v>327344.74427604821</v>
      </c>
      <c r="I85" s="469" t="str">
        <f t="shared" ca="1" si="18"/>
        <v/>
      </c>
      <c r="J85" s="469" t="str">
        <f t="shared" ca="1" si="18"/>
        <v/>
      </c>
      <c r="M85" s="462"/>
      <c r="N85" s="462"/>
      <c r="O85" s="477" t="str">
        <f t="shared" ca="1" si="20"/>
        <v/>
      </c>
      <c r="P85" s="477" t="str">
        <f t="shared" ca="1" si="20"/>
        <v/>
      </c>
      <c r="Q85" s="477" t="str">
        <f t="shared" ca="1" si="20"/>
        <v/>
      </c>
      <c r="R85" s="477" t="str">
        <f t="shared" ca="1" si="20"/>
        <v/>
      </c>
      <c r="S85" s="477" t="str">
        <f t="shared" ca="1" si="20"/>
        <v/>
      </c>
      <c r="T85" s="477" t="str">
        <f t="shared" ca="1" si="20"/>
        <v/>
      </c>
      <c r="U85" s="462"/>
      <c r="V85" s="462"/>
    </row>
    <row r="86" spans="1:22">
      <c r="A86" s="476">
        <v>4</v>
      </c>
      <c r="B86" t="s">
        <v>544</v>
      </c>
      <c r="D86" s="468" t="s">
        <v>579</v>
      </c>
      <c r="E86" s="469" t="str">
        <f t="shared" ca="1" si="18"/>
        <v/>
      </c>
      <c r="F86" s="469" t="str">
        <f t="shared" ca="1" si="18"/>
        <v/>
      </c>
      <c r="G86" s="469" t="str">
        <f t="shared" ca="1" si="18"/>
        <v/>
      </c>
      <c r="H86" s="469" t="str">
        <f t="shared" ca="1" si="18"/>
        <v/>
      </c>
      <c r="I86" s="469" t="str">
        <f t="shared" ca="1" si="18"/>
        <v/>
      </c>
      <c r="J86" s="469" t="str">
        <f t="shared" ca="1" si="18"/>
        <v/>
      </c>
      <c r="M86" s="462"/>
      <c r="N86" s="462"/>
      <c r="O86" s="477" t="str">
        <f t="shared" ca="1" si="20"/>
        <v/>
      </c>
      <c r="P86" s="477" t="str">
        <f t="shared" ca="1" si="20"/>
        <v/>
      </c>
      <c r="Q86" s="477" t="str">
        <f t="shared" ca="1" si="20"/>
        <v/>
      </c>
      <c r="R86" s="477" t="str">
        <f t="shared" ca="1" si="20"/>
        <v/>
      </c>
      <c r="S86" s="477" t="str">
        <f t="shared" ca="1" si="20"/>
        <v/>
      </c>
      <c r="T86" s="477" t="str">
        <f t="shared" ca="1" si="20"/>
        <v/>
      </c>
      <c r="U86" s="462"/>
      <c r="V86" s="462"/>
    </row>
    <row r="87" spans="1:22">
      <c r="A87" s="476">
        <v>5</v>
      </c>
      <c r="B87" t="s">
        <v>545</v>
      </c>
      <c r="D87" s="468" t="s">
        <v>580</v>
      </c>
      <c r="E87" s="469" t="str">
        <f t="shared" ca="1" si="18"/>
        <v/>
      </c>
      <c r="F87" s="469" t="str">
        <f t="shared" ca="1" si="18"/>
        <v/>
      </c>
      <c r="G87" s="469" t="str">
        <f t="shared" ca="1" si="18"/>
        <v/>
      </c>
      <c r="H87" s="469" t="str">
        <f t="shared" ca="1" si="18"/>
        <v/>
      </c>
      <c r="I87" s="469" t="str">
        <f t="shared" ca="1" si="18"/>
        <v/>
      </c>
      <c r="J87" s="469" t="str">
        <f t="shared" ca="1" si="18"/>
        <v/>
      </c>
      <c r="M87" s="462"/>
      <c r="N87" s="462"/>
      <c r="O87" s="477" t="str">
        <f t="shared" ca="1" si="20"/>
        <v/>
      </c>
      <c r="P87" s="477" t="str">
        <f t="shared" ca="1" si="20"/>
        <v/>
      </c>
      <c r="Q87" s="477" t="str">
        <f t="shared" ca="1" si="20"/>
        <v/>
      </c>
      <c r="R87" s="477" t="str">
        <f t="shared" ca="1" si="20"/>
        <v/>
      </c>
      <c r="S87" s="477" t="str">
        <f t="shared" ca="1" si="20"/>
        <v/>
      </c>
      <c r="T87" s="477" t="str">
        <f t="shared" ca="1" si="20"/>
        <v/>
      </c>
      <c r="U87" s="462"/>
      <c r="V87" s="462"/>
    </row>
    <row r="88" spans="1:22">
      <c r="A88" s="476">
        <v>6</v>
      </c>
      <c r="B88" t="s">
        <v>546</v>
      </c>
      <c r="D88" s="468" t="s">
        <v>581</v>
      </c>
      <c r="E88" s="469" t="str">
        <f t="shared" ca="1" si="18"/>
        <v/>
      </c>
      <c r="F88" s="469" t="str">
        <f t="shared" ca="1" si="18"/>
        <v/>
      </c>
      <c r="G88" s="469" t="str">
        <f t="shared" ca="1" si="18"/>
        <v/>
      </c>
      <c r="H88" s="469" t="str">
        <f t="shared" ca="1" si="18"/>
        <v/>
      </c>
      <c r="I88" s="469" t="str">
        <f t="shared" ca="1" si="18"/>
        <v/>
      </c>
      <c r="J88" s="469" t="str">
        <f t="shared" ca="1" si="18"/>
        <v/>
      </c>
      <c r="M88" s="462"/>
      <c r="N88" s="462"/>
      <c r="O88" s="477" t="str">
        <f t="shared" ca="1" si="20"/>
        <v/>
      </c>
      <c r="P88" s="477" t="str">
        <f t="shared" ca="1" si="20"/>
        <v/>
      </c>
      <c r="Q88" s="477" t="str">
        <f t="shared" ca="1" si="20"/>
        <v/>
      </c>
      <c r="R88" s="477" t="str">
        <f t="shared" ca="1" si="20"/>
        <v/>
      </c>
      <c r="S88" s="477" t="str">
        <f t="shared" ca="1" si="20"/>
        <v/>
      </c>
      <c r="T88" s="477" t="str">
        <f t="shared" ca="1" si="20"/>
        <v/>
      </c>
      <c r="U88" s="462"/>
      <c r="V88" s="462"/>
    </row>
    <row r="89" spans="1:22">
      <c r="M89" s="462"/>
      <c r="N89" s="462"/>
      <c r="O89" s="477" t="str">
        <f t="shared" ca="1" si="20"/>
        <v/>
      </c>
      <c r="P89" s="477" t="str">
        <f t="shared" ca="1" si="20"/>
        <v/>
      </c>
      <c r="Q89" s="477" t="str">
        <f t="shared" ca="1" si="20"/>
        <v/>
      </c>
      <c r="R89" s="477" t="str">
        <f t="shared" ca="1" si="20"/>
        <v/>
      </c>
      <c r="S89" s="477" t="str">
        <f t="shared" ca="1" si="20"/>
        <v/>
      </c>
      <c r="T89" s="477" t="str">
        <f t="shared" ca="1" si="20"/>
        <v/>
      </c>
      <c r="U89" s="462"/>
      <c r="V89" s="462"/>
    </row>
    <row r="90" spans="1:22">
      <c r="A90" s="70" t="s">
        <v>547</v>
      </c>
      <c r="B90" s="70"/>
      <c r="C90" s="70"/>
      <c r="D90" s="478"/>
      <c r="E90" s="70"/>
      <c r="F90" s="70"/>
      <c r="G90" s="70"/>
      <c r="H90" s="70"/>
      <c r="I90" s="70"/>
      <c r="J90" s="70"/>
      <c r="M90" s="462"/>
      <c r="N90" s="36"/>
      <c r="O90" s="1351" t="str">
        <f t="shared" ref="O90:T90" ca="1" si="21">IF(O84&gt;1,O84,"")</f>
        <v/>
      </c>
      <c r="P90" s="1351" t="str">
        <f t="shared" ca="1" si="21"/>
        <v/>
      </c>
      <c r="Q90" s="1351" t="str">
        <f t="shared" ca="1" si="21"/>
        <v/>
      </c>
      <c r="R90" s="1351" t="str">
        <f t="shared" ca="1" si="21"/>
        <v/>
      </c>
      <c r="S90" s="1351" t="str">
        <f t="shared" ca="1" si="21"/>
        <v/>
      </c>
      <c r="T90" s="1351" t="str">
        <f t="shared" ca="1" si="21"/>
        <v/>
      </c>
      <c r="U90" s="36"/>
      <c r="V90" s="462"/>
    </row>
    <row r="91" spans="1:22">
      <c r="A91" s="476">
        <v>1</v>
      </c>
      <c r="B91" t="s">
        <v>548</v>
      </c>
      <c r="D91" s="468" t="s">
        <v>667</v>
      </c>
      <c r="E91" s="469">
        <f t="shared" ref="E91:J96" ca="1" si="22">IFERROR(IF($A91&gt;E$20,"",INDIRECT(INDEX("'"&amp;$D$7:$D$12,MATCH(E$18,$B$7:$B$12,0))&amp;"'!"&amp;$D91)),"")</f>
        <v>68518.335535384278</v>
      </c>
      <c r="F91" s="469">
        <f t="shared" ca="1" si="22"/>
        <v>68518.335535384278</v>
      </c>
      <c r="G91" s="469">
        <f t="shared" ca="1" si="22"/>
        <v>68518.335535384278</v>
      </c>
      <c r="H91" s="469">
        <f t="shared" ca="1" si="22"/>
        <v>68518.335535384278</v>
      </c>
      <c r="I91" s="469" t="str">
        <f t="shared" ca="1" si="22"/>
        <v/>
      </c>
      <c r="J91" s="469" t="str">
        <f t="shared" ca="1" si="22"/>
        <v/>
      </c>
      <c r="M91" s="462"/>
      <c r="N91" s="36"/>
      <c r="O91" s="1351" t="str">
        <f t="shared" ref="O91:T95" ca="1" si="23">IF(O85&gt;1,O85,"")</f>
        <v/>
      </c>
      <c r="P91" s="1351" t="str">
        <f t="shared" ca="1" si="23"/>
        <v/>
      </c>
      <c r="Q91" s="1351" t="str">
        <f t="shared" ca="1" si="23"/>
        <v/>
      </c>
      <c r="R91" s="1351" t="str">
        <f t="shared" ca="1" si="23"/>
        <v/>
      </c>
      <c r="S91" s="1351" t="str">
        <f t="shared" ca="1" si="23"/>
        <v/>
      </c>
      <c r="T91" s="1351" t="str">
        <f t="shared" ca="1" si="23"/>
        <v/>
      </c>
      <c r="U91" s="36"/>
      <c r="V91" s="462"/>
    </row>
    <row r="92" spans="1:22">
      <c r="A92" s="476">
        <v>2</v>
      </c>
      <c r="B92" t="s">
        <v>549</v>
      </c>
      <c r="D92" s="468" t="s">
        <v>668</v>
      </c>
      <c r="E92" s="469">
        <f t="shared" ca="1" si="22"/>
        <v>13104</v>
      </c>
      <c r="F92" s="469">
        <f t="shared" ca="1" si="22"/>
        <v>13104</v>
      </c>
      <c r="G92" s="469">
        <f t="shared" ca="1" si="22"/>
        <v>13104</v>
      </c>
      <c r="H92" s="469">
        <f t="shared" ca="1" si="22"/>
        <v>13104</v>
      </c>
      <c r="I92" s="469" t="str">
        <f t="shared" ca="1" si="22"/>
        <v/>
      </c>
      <c r="J92" s="469" t="str">
        <f t="shared" ca="1" si="22"/>
        <v/>
      </c>
      <c r="M92" s="462"/>
      <c r="N92" s="36"/>
      <c r="O92" s="1351" t="str">
        <f t="shared" ca="1" si="23"/>
        <v/>
      </c>
      <c r="P92" s="1351" t="str">
        <f t="shared" ca="1" si="23"/>
        <v/>
      </c>
      <c r="Q92" s="1351" t="str">
        <f t="shared" ca="1" si="23"/>
        <v/>
      </c>
      <c r="R92" s="1351" t="str">
        <f t="shared" ca="1" si="23"/>
        <v/>
      </c>
      <c r="S92" s="1351" t="str">
        <f t="shared" ca="1" si="23"/>
        <v/>
      </c>
      <c r="T92" s="1351" t="str">
        <f t="shared" ca="1" si="23"/>
        <v/>
      </c>
      <c r="U92" s="36"/>
      <c r="V92" s="462"/>
    </row>
    <row r="93" spans="1:22">
      <c r="A93" s="476">
        <v>3</v>
      </c>
      <c r="B93" t="s">
        <v>550</v>
      </c>
      <c r="D93" s="468" t="s">
        <v>669</v>
      </c>
      <c r="E93" s="469">
        <f t="shared" ca="1" si="22"/>
        <v>50452.347965689762</v>
      </c>
      <c r="F93" s="469">
        <f t="shared" ca="1" si="22"/>
        <v>50452.347965689762</v>
      </c>
      <c r="G93" s="469">
        <f t="shared" ca="1" si="22"/>
        <v>50452.347965689762</v>
      </c>
      <c r="H93" s="469">
        <f t="shared" ca="1" si="22"/>
        <v>50452.347965689762</v>
      </c>
      <c r="I93" s="469" t="str">
        <f t="shared" ca="1" si="22"/>
        <v/>
      </c>
      <c r="J93" s="469" t="str">
        <f t="shared" ca="1" si="22"/>
        <v/>
      </c>
      <c r="M93" s="462"/>
      <c r="N93" s="36"/>
      <c r="O93" s="1351" t="str">
        <f t="shared" ca="1" si="23"/>
        <v/>
      </c>
      <c r="P93" s="1351" t="str">
        <f t="shared" ca="1" si="23"/>
        <v/>
      </c>
      <c r="Q93" s="1351" t="str">
        <f t="shared" ca="1" si="23"/>
        <v/>
      </c>
      <c r="R93" s="1351" t="str">
        <f t="shared" ca="1" si="23"/>
        <v/>
      </c>
      <c r="S93" s="1351" t="str">
        <f t="shared" ca="1" si="23"/>
        <v/>
      </c>
      <c r="T93" s="1351" t="str">
        <f t="shared" ca="1" si="23"/>
        <v/>
      </c>
      <c r="U93" s="36"/>
      <c r="V93" s="462"/>
    </row>
    <row r="94" spans="1:22">
      <c r="A94" s="476">
        <v>4</v>
      </c>
      <c r="B94" t="s">
        <v>551</v>
      </c>
      <c r="D94" s="468" t="s">
        <v>670</v>
      </c>
      <c r="E94" s="469" t="str">
        <f t="shared" ca="1" si="22"/>
        <v/>
      </c>
      <c r="F94" s="469" t="str">
        <f t="shared" ca="1" si="22"/>
        <v/>
      </c>
      <c r="G94" s="469" t="str">
        <f t="shared" ca="1" si="22"/>
        <v/>
      </c>
      <c r="H94" s="469" t="str">
        <f t="shared" ca="1" si="22"/>
        <v/>
      </c>
      <c r="I94" s="469" t="str">
        <f t="shared" ca="1" si="22"/>
        <v/>
      </c>
      <c r="J94" s="469" t="str">
        <f t="shared" ca="1" si="22"/>
        <v/>
      </c>
      <c r="M94" s="462"/>
      <c r="N94" s="36"/>
      <c r="O94" s="1351" t="str">
        <f t="shared" ca="1" si="23"/>
        <v/>
      </c>
      <c r="P94" s="1351" t="str">
        <f t="shared" ca="1" si="23"/>
        <v/>
      </c>
      <c r="Q94" s="1351" t="str">
        <f t="shared" ca="1" si="23"/>
        <v/>
      </c>
      <c r="R94" s="1351" t="str">
        <f t="shared" ca="1" si="23"/>
        <v/>
      </c>
      <c r="S94" s="1351" t="str">
        <f t="shared" ca="1" si="23"/>
        <v/>
      </c>
      <c r="T94" s="1351" t="str">
        <f t="shared" ca="1" si="23"/>
        <v/>
      </c>
      <c r="U94" s="36"/>
      <c r="V94" s="462"/>
    </row>
    <row r="95" spans="1:22">
      <c r="A95" s="476">
        <v>5</v>
      </c>
      <c r="B95" t="s">
        <v>552</v>
      </c>
      <c r="D95" s="468" t="s">
        <v>671</v>
      </c>
      <c r="E95" s="469" t="str">
        <f t="shared" ca="1" si="22"/>
        <v/>
      </c>
      <c r="F95" s="469" t="str">
        <f t="shared" ca="1" si="22"/>
        <v/>
      </c>
      <c r="G95" s="469" t="str">
        <f t="shared" ca="1" si="22"/>
        <v/>
      </c>
      <c r="H95" s="469" t="str">
        <f t="shared" ca="1" si="22"/>
        <v/>
      </c>
      <c r="I95" s="469" t="str">
        <f t="shared" ca="1" si="22"/>
        <v/>
      </c>
      <c r="J95" s="469" t="str">
        <f t="shared" ca="1" si="22"/>
        <v/>
      </c>
      <c r="M95" s="462"/>
      <c r="N95" s="36"/>
      <c r="O95" s="1351" t="str">
        <f t="shared" ca="1" si="23"/>
        <v/>
      </c>
      <c r="P95" s="1351" t="str">
        <f t="shared" ca="1" si="23"/>
        <v/>
      </c>
      <c r="Q95" s="1351" t="str">
        <f t="shared" ca="1" si="23"/>
        <v/>
      </c>
      <c r="R95" s="1351" t="str">
        <f t="shared" ca="1" si="23"/>
        <v/>
      </c>
      <c r="S95" s="1351" t="str">
        <f t="shared" ca="1" si="23"/>
        <v/>
      </c>
      <c r="T95" s="1351" t="str">
        <f t="shared" ca="1" si="23"/>
        <v/>
      </c>
      <c r="U95" s="36"/>
      <c r="V95" s="462"/>
    </row>
    <row r="96" spans="1:22">
      <c r="A96" s="476">
        <v>6</v>
      </c>
      <c r="B96" t="s">
        <v>553</v>
      </c>
      <c r="D96" s="468" t="s">
        <v>672</v>
      </c>
      <c r="E96" s="469" t="str">
        <f t="shared" ca="1" si="22"/>
        <v/>
      </c>
      <c r="F96" s="469" t="str">
        <f t="shared" ca="1" si="22"/>
        <v/>
      </c>
      <c r="G96" s="469" t="str">
        <f t="shared" ca="1" si="22"/>
        <v/>
      </c>
      <c r="H96" s="469" t="str">
        <f t="shared" ca="1" si="22"/>
        <v/>
      </c>
      <c r="I96" s="469" t="str">
        <f t="shared" ca="1" si="22"/>
        <v/>
      </c>
      <c r="J96" s="469" t="str">
        <f t="shared" ca="1" si="22"/>
        <v/>
      </c>
      <c r="M96" s="462"/>
      <c r="N96" s="36"/>
      <c r="O96" s="36"/>
      <c r="P96" s="36"/>
      <c r="Q96" s="36"/>
      <c r="R96" s="36"/>
      <c r="S96" s="36"/>
      <c r="T96" s="36"/>
      <c r="U96" s="36"/>
      <c r="V96" s="462"/>
    </row>
    <row r="97" spans="13:22">
      <c r="M97" s="462"/>
      <c r="N97" s="462"/>
      <c r="O97" s="462"/>
      <c r="P97" s="462"/>
      <c r="Q97" s="462"/>
      <c r="R97" s="462"/>
      <c r="S97" s="462"/>
      <c r="T97" s="462"/>
      <c r="U97" s="462"/>
      <c r="V97" s="462"/>
    </row>
    <row r="98" spans="13:22">
      <c r="M98" s="462"/>
      <c r="N98" s="462"/>
      <c r="O98" s="462"/>
      <c r="P98" s="462"/>
      <c r="Q98" s="462"/>
      <c r="R98" s="462"/>
      <c r="S98" s="462"/>
      <c r="T98" s="462"/>
      <c r="U98" s="462"/>
      <c r="V98" s="462"/>
    </row>
    <row r="99" spans="13:22">
      <c r="M99" s="462"/>
      <c r="N99" s="462"/>
      <c r="O99" s="462"/>
      <c r="P99" s="462"/>
      <c r="Q99" s="462"/>
      <c r="R99" s="462"/>
      <c r="S99" s="462"/>
      <c r="T99" s="462"/>
      <c r="U99" s="462"/>
      <c r="V99" s="462"/>
    </row>
    <row r="100" spans="13:22">
      <c r="M100" s="462"/>
      <c r="N100" s="462"/>
      <c r="O100" s="462"/>
      <c r="P100" s="462"/>
      <c r="Q100" s="462"/>
      <c r="R100" s="462"/>
      <c r="S100" s="462"/>
      <c r="T100" s="462"/>
      <c r="U100" s="462"/>
      <c r="V100" s="462"/>
    </row>
    <row r="101" spans="13:22">
      <c r="M101" s="462"/>
      <c r="N101" s="462"/>
      <c r="O101" s="462"/>
      <c r="P101" s="462"/>
      <c r="Q101" s="462"/>
      <c r="R101" s="462"/>
      <c r="S101" s="462"/>
      <c r="T101" s="462"/>
      <c r="U101" s="462"/>
      <c r="V101" s="462"/>
    </row>
    <row r="102" spans="13:22">
      <c r="M102" s="462"/>
      <c r="N102" s="462"/>
      <c r="O102" s="462"/>
      <c r="P102" s="462"/>
      <c r="Q102" s="462"/>
      <c r="R102" s="462"/>
      <c r="S102" s="462"/>
      <c r="T102" s="462"/>
      <c r="U102" s="462"/>
      <c r="V102" s="462"/>
    </row>
    <row r="103" spans="13:22">
      <c r="M103" s="462"/>
      <c r="N103" s="477">
        <f t="shared" ref="N103:T103" si="24">$L$9-$L$11</f>
        <v>0.4</v>
      </c>
      <c r="O103" s="477">
        <f t="shared" si="24"/>
        <v>0.4</v>
      </c>
      <c r="P103" s="477">
        <f t="shared" si="24"/>
        <v>0.4</v>
      </c>
      <c r="Q103" s="477">
        <f t="shared" si="24"/>
        <v>0.4</v>
      </c>
      <c r="R103" s="477">
        <f t="shared" si="24"/>
        <v>0.4</v>
      </c>
      <c r="S103" s="477">
        <f t="shared" si="24"/>
        <v>0.4</v>
      </c>
      <c r="T103" s="477">
        <f t="shared" si="24"/>
        <v>0.4</v>
      </c>
      <c r="U103" s="462"/>
      <c r="V103" s="462"/>
    </row>
    <row r="104" spans="13:22">
      <c r="M104" s="462"/>
      <c r="N104" s="477">
        <f t="shared" ref="N104:T104" si="25">$L$11</f>
        <v>0.5</v>
      </c>
      <c r="O104" s="477">
        <f t="shared" si="25"/>
        <v>0.5</v>
      </c>
      <c r="P104" s="477">
        <f t="shared" si="25"/>
        <v>0.5</v>
      </c>
      <c r="Q104" s="477">
        <f t="shared" si="25"/>
        <v>0.5</v>
      </c>
      <c r="R104" s="477">
        <f t="shared" si="25"/>
        <v>0.5</v>
      </c>
      <c r="S104" s="477">
        <f t="shared" si="25"/>
        <v>0.5</v>
      </c>
      <c r="T104" s="477">
        <f t="shared" si="25"/>
        <v>0.5</v>
      </c>
      <c r="U104" s="462"/>
      <c r="V104" s="462"/>
    </row>
    <row r="105" spans="13:22">
      <c r="M105" s="462"/>
      <c r="N105" s="462"/>
      <c r="O105" s="477" t="str">
        <f t="shared" ref="O105:T110" ca="1" si="26">E57</f>
        <v/>
      </c>
      <c r="P105" s="477" t="str">
        <f t="shared" ca="1" si="26"/>
        <v/>
      </c>
      <c r="Q105" s="477" t="str">
        <f t="shared" ca="1" si="26"/>
        <v/>
      </c>
      <c r="R105" s="477" t="str">
        <f t="shared" ca="1" si="26"/>
        <v/>
      </c>
      <c r="S105" s="477" t="str">
        <f t="shared" ca="1" si="26"/>
        <v/>
      </c>
      <c r="T105" s="477" t="str">
        <f t="shared" ca="1" si="26"/>
        <v/>
      </c>
      <c r="U105" s="462"/>
      <c r="V105" s="462"/>
    </row>
    <row r="106" spans="13:22">
      <c r="M106" s="462"/>
      <c r="N106" s="462"/>
      <c r="O106" s="477">
        <f t="shared" ca="1" si="26"/>
        <v>0.60833333333333328</v>
      </c>
      <c r="P106" s="477">
        <f t="shared" ca="1" si="26"/>
        <v>0.90416666666666667</v>
      </c>
      <c r="Q106" s="477">
        <f t="shared" ca="1" si="26"/>
        <v>0.89166666666666672</v>
      </c>
      <c r="R106" s="477">
        <f t="shared" ca="1" si="26"/>
        <v>0.875</v>
      </c>
      <c r="S106" s="477" t="str">
        <f t="shared" ca="1" si="26"/>
        <v/>
      </c>
      <c r="T106" s="477" t="str">
        <f t="shared" ca="1" si="26"/>
        <v/>
      </c>
      <c r="U106" s="462"/>
      <c r="V106" s="462"/>
    </row>
    <row r="107" spans="13:22">
      <c r="M107" s="462"/>
      <c r="N107" s="462"/>
      <c r="O107" s="477">
        <f t="shared" ca="1" si="26"/>
        <v>0.7254166666666666</v>
      </c>
      <c r="P107" s="477">
        <f t="shared" ca="1" si="26"/>
        <v>0.74763888888888896</v>
      </c>
      <c r="Q107" s="477">
        <f t="shared" ca="1" si="26"/>
        <v>0.79135416666666658</v>
      </c>
      <c r="R107" s="477">
        <f t="shared" ca="1" si="26"/>
        <v>0.7434722222222222</v>
      </c>
      <c r="S107" s="477" t="str">
        <f t="shared" ca="1" si="26"/>
        <v/>
      </c>
      <c r="T107" s="477" t="str">
        <f t="shared" ca="1" si="26"/>
        <v/>
      </c>
      <c r="U107" s="462"/>
      <c r="V107" s="462"/>
    </row>
    <row r="108" spans="13:22">
      <c r="M108" s="462"/>
      <c r="N108" s="462"/>
      <c r="O108" s="477" t="str">
        <f t="shared" ca="1" si="26"/>
        <v/>
      </c>
      <c r="P108" s="477" t="str">
        <f t="shared" ca="1" si="26"/>
        <v/>
      </c>
      <c r="Q108" s="477" t="str">
        <f t="shared" ca="1" si="26"/>
        <v/>
      </c>
      <c r="R108" s="477" t="str">
        <f t="shared" ca="1" si="26"/>
        <v/>
      </c>
      <c r="S108" s="477" t="str">
        <f t="shared" ca="1" si="26"/>
        <v/>
      </c>
      <c r="T108" s="477" t="str">
        <f t="shared" ca="1" si="26"/>
        <v/>
      </c>
      <c r="U108" s="462"/>
      <c r="V108" s="462"/>
    </row>
    <row r="109" spans="13:22">
      <c r="M109" s="462"/>
      <c r="N109" s="462"/>
      <c r="O109" s="477" t="str">
        <f t="shared" ca="1" si="26"/>
        <v/>
      </c>
      <c r="P109" s="477" t="str">
        <f t="shared" ca="1" si="26"/>
        <v/>
      </c>
      <c r="Q109" s="477" t="str">
        <f t="shared" ca="1" si="26"/>
        <v/>
      </c>
      <c r="R109" s="477" t="str">
        <f t="shared" ca="1" si="26"/>
        <v/>
      </c>
      <c r="S109" s="477" t="str">
        <f t="shared" ca="1" si="26"/>
        <v/>
      </c>
      <c r="T109" s="477" t="str">
        <f t="shared" ca="1" si="26"/>
        <v/>
      </c>
      <c r="U109" s="462"/>
      <c r="V109" s="462"/>
    </row>
    <row r="110" spans="13:22">
      <c r="M110" s="462"/>
      <c r="N110" s="462"/>
      <c r="O110" s="477" t="str">
        <f t="shared" ca="1" si="26"/>
        <v/>
      </c>
      <c r="P110" s="477" t="str">
        <f t="shared" ca="1" si="26"/>
        <v/>
      </c>
      <c r="Q110" s="477" t="str">
        <f t="shared" ca="1" si="26"/>
        <v/>
      </c>
      <c r="R110" s="477" t="str">
        <f t="shared" ca="1" si="26"/>
        <v/>
      </c>
      <c r="S110" s="477" t="str">
        <f t="shared" ca="1" si="26"/>
        <v/>
      </c>
      <c r="T110" s="477" t="str">
        <f t="shared" ca="1" si="26"/>
        <v/>
      </c>
      <c r="U110" s="462"/>
      <c r="V110" s="462"/>
    </row>
    <row r="111" spans="13:22">
      <c r="N111" s="462"/>
      <c r="O111" s="462"/>
      <c r="P111" s="462"/>
      <c r="Q111" s="462"/>
      <c r="R111" s="462"/>
      <c r="S111" s="462"/>
      <c r="T111" s="462"/>
      <c r="U111" s="462"/>
      <c r="V111" s="462"/>
    </row>
    <row r="112" spans="13:22">
      <c r="N112" s="462"/>
      <c r="O112" s="1352" t="str">
        <f t="shared" ref="O112:T116" ca="1" si="27">IF(O106&gt;1,O106,"")</f>
        <v/>
      </c>
      <c r="P112" s="1352" t="str">
        <f t="shared" ca="1" si="27"/>
        <v/>
      </c>
      <c r="Q112" s="1352" t="str">
        <f t="shared" ca="1" si="27"/>
        <v/>
      </c>
      <c r="R112" s="1352" t="str">
        <f t="shared" ca="1" si="27"/>
        <v/>
      </c>
      <c r="S112" s="1352" t="str">
        <f t="shared" ca="1" si="27"/>
        <v/>
      </c>
      <c r="T112" s="1352" t="str">
        <f t="shared" ca="1" si="27"/>
        <v/>
      </c>
      <c r="U112" s="462"/>
      <c r="V112" s="462"/>
    </row>
    <row r="113" spans="14:22">
      <c r="N113" s="462"/>
      <c r="O113" s="1352" t="str">
        <f t="shared" ca="1" si="27"/>
        <v/>
      </c>
      <c r="P113" s="1352" t="str">
        <f t="shared" ca="1" si="27"/>
        <v/>
      </c>
      <c r="Q113" s="1352" t="str">
        <f t="shared" ca="1" si="27"/>
        <v/>
      </c>
      <c r="R113" s="1352" t="str">
        <f t="shared" ca="1" si="27"/>
        <v/>
      </c>
      <c r="S113" s="1352" t="str">
        <f t="shared" ca="1" si="27"/>
        <v/>
      </c>
      <c r="T113" s="1352" t="str">
        <f t="shared" ca="1" si="27"/>
        <v/>
      </c>
      <c r="U113" s="462"/>
      <c r="V113" s="462"/>
    </row>
    <row r="114" spans="14:22">
      <c r="N114" s="462"/>
      <c r="O114" s="1352" t="str">
        <f t="shared" ca="1" si="27"/>
        <v/>
      </c>
      <c r="P114" s="1352" t="str">
        <f t="shared" ca="1" si="27"/>
        <v/>
      </c>
      <c r="Q114" s="1352" t="str">
        <f t="shared" ca="1" si="27"/>
        <v/>
      </c>
      <c r="R114" s="1352" t="str">
        <f t="shared" ca="1" si="27"/>
        <v/>
      </c>
      <c r="S114" s="1352" t="str">
        <f t="shared" ca="1" si="27"/>
        <v/>
      </c>
      <c r="T114" s="1352" t="str">
        <f t="shared" ca="1" si="27"/>
        <v/>
      </c>
      <c r="U114" s="462"/>
      <c r="V114" s="462"/>
    </row>
    <row r="115" spans="14:22">
      <c r="N115" s="462"/>
      <c r="O115" s="1352" t="str">
        <f t="shared" ca="1" si="27"/>
        <v/>
      </c>
      <c r="P115" s="1352" t="str">
        <f t="shared" ca="1" si="27"/>
        <v/>
      </c>
      <c r="Q115" s="1352" t="str">
        <f t="shared" ca="1" si="27"/>
        <v/>
      </c>
      <c r="R115" s="1352" t="str">
        <f t="shared" ca="1" si="27"/>
        <v/>
      </c>
      <c r="S115" s="1352" t="str">
        <f t="shared" ca="1" si="27"/>
        <v/>
      </c>
      <c r="T115" s="1352" t="str">
        <f t="shared" ca="1" si="27"/>
        <v/>
      </c>
      <c r="U115" s="462"/>
      <c r="V115" s="462"/>
    </row>
    <row r="116" spans="14:22">
      <c r="N116" s="462"/>
      <c r="O116" s="1352" t="str">
        <f t="shared" ca="1" si="27"/>
        <v/>
      </c>
      <c r="P116" s="1352" t="str">
        <f t="shared" ca="1" si="27"/>
        <v/>
      </c>
      <c r="Q116" s="1352" t="str">
        <f t="shared" ca="1" si="27"/>
        <v/>
      </c>
      <c r="R116" s="1352" t="str">
        <f t="shared" ca="1" si="27"/>
        <v/>
      </c>
      <c r="S116" s="1352" t="str">
        <f t="shared" ca="1" si="27"/>
        <v/>
      </c>
      <c r="T116" s="1352" t="str">
        <f t="shared" ca="1" si="27"/>
        <v/>
      </c>
      <c r="U116" s="462"/>
      <c r="V116" s="462"/>
    </row>
    <row r="117" spans="14:22">
      <c r="N117" s="462"/>
      <c r="O117" s="462"/>
      <c r="P117" s="462"/>
      <c r="Q117" s="462"/>
      <c r="R117" s="462"/>
      <c r="S117" s="462"/>
      <c r="T117" s="462"/>
      <c r="U117" s="462"/>
      <c r="V117" s="462"/>
    </row>
    <row r="118" spans="14:22">
      <c r="N118" s="462"/>
      <c r="O118" s="462"/>
      <c r="P118" s="462"/>
      <c r="Q118" s="462"/>
      <c r="R118" s="462"/>
      <c r="S118" s="462"/>
      <c r="T118" s="462"/>
      <c r="U118" s="462"/>
      <c r="V118" s="462"/>
    </row>
    <row r="119" spans="14:22">
      <c r="N119" s="462"/>
      <c r="O119" s="462"/>
      <c r="P119" s="462"/>
      <c r="Q119" s="462"/>
      <c r="R119" s="462"/>
      <c r="S119" s="462"/>
      <c r="T119" s="462"/>
      <c r="U119" s="462"/>
      <c r="V119" s="462"/>
    </row>
    <row r="120" spans="14:22">
      <c r="N120" s="462"/>
      <c r="O120" s="462"/>
      <c r="P120" s="462"/>
      <c r="Q120" s="462"/>
      <c r="R120" s="462"/>
      <c r="S120" s="462"/>
      <c r="T120" s="462"/>
      <c r="U120" s="462"/>
      <c r="V120" s="462"/>
    </row>
    <row r="121" spans="14:22">
      <c r="N121" s="462"/>
      <c r="O121" s="462"/>
      <c r="P121" s="462"/>
      <c r="Q121" s="462"/>
      <c r="R121" s="462"/>
      <c r="S121" s="462"/>
      <c r="T121" s="462"/>
      <c r="U121" s="462"/>
      <c r="V121" s="462"/>
    </row>
    <row r="122" spans="14:22">
      <c r="N122" s="462"/>
      <c r="O122" s="462"/>
      <c r="P122" s="462"/>
      <c r="Q122" s="462"/>
      <c r="R122" s="462"/>
      <c r="S122" s="462"/>
      <c r="T122" s="462"/>
      <c r="U122" s="462"/>
      <c r="V122" s="462"/>
    </row>
    <row r="123" spans="14:22">
      <c r="N123" s="462"/>
      <c r="O123" s="462"/>
      <c r="P123" s="462"/>
      <c r="Q123" s="462"/>
      <c r="R123" s="462"/>
      <c r="S123" s="462"/>
      <c r="T123" s="462"/>
      <c r="U123" s="462"/>
      <c r="V123" s="462"/>
    </row>
  </sheetData>
  <sheetProtection algorithmName="SHA-512" hashValue="Tl+2sXIJiVsbsW2LJEKzjDrOgMGWnMu9nQnPbMuOIQl90cO2/UqpRhjHs+W2sLhjALwwigM565XonSoBYzA9wg==" saltValue="9Gn9x67GN5tu3NExfKN25g==" spinCount="100000" sheet="1" formatColumns="0" formatRows="0"/>
  <protectedRanges>
    <protectedRange sqref="B4 B7:G12 K9:L12 O7:P12" name="Range1"/>
  </protectedRanges>
  <mergeCells count="30">
    <mergeCell ref="B20:C20"/>
    <mergeCell ref="B21:C21"/>
    <mergeCell ref="B22:C22"/>
    <mergeCell ref="N33:R33"/>
    <mergeCell ref="N34:R34"/>
    <mergeCell ref="E11:G11"/>
    <mergeCell ref="I11:J12"/>
    <mergeCell ref="K11:K12"/>
    <mergeCell ref="L11:L12"/>
    <mergeCell ref="O11:P11"/>
    <mergeCell ref="E12:G12"/>
    <mergeCell ref="O12:P12"/>
    <mergeCell ref="O5:P6"/>
    <mergeCell ref="E6:G6"/>
    <mergeCell ref="E7:G7"/>
    <mergeCell ref="I7:L7"/>
    <mergeCell ref="O7:P7"/>
    <mergeCell ref="S7:U7"/>
    <mergeCell ref="S8:U8"/>
    <mergeCell ref="S9:U9"/>
    <mergeCell ref="S10:U10"/>
    <mergeCell ref="E8:G8"/>
    <mergeCell ref="O8:P8"/>
    <mergeCell ref="E9:G9"/>
    <mergeCell ref="I9:J10"/>
    <mergeCell ref="K9:K10"/>
    <mergeCell ref="L9:L10"/>
    <mergeCell ref="O9:P9"/>
    <mergeCell ref="E10:G10"/>
    <mergeCell ref="O10:P10"/>
  </mergeCells>
  <conditionalFormatting sqref="E24:J24 E27:J30">
    <cfRule type="expression" dxfId="2632" priority="9">
      <formula>E24=MIN($E24:$J24)</formula>
    </cfRule>
  </conditionalFormatting>
  <conditionalFormatting sqref="E21:J22">
    <cfRule type="expression" dxfId="2631" priority="8">
      <formula>AND(E21=MAX($E21:$J21), MAX($E21:$J21)-MIN($E21:$J21)&lt;&gt;0)</formula>
    </cfRule>
  </conditionalFormatting>
  <conditionalFormatting sqref="E82:J88 E90:J96 E17:J47 E55:J80">
    <cfRule type="expression" dxfId="2630" priority="7">
      <formula>E$16&gt;$B$4</formula>
    </cfRule>
  </conditionalFormatting>
  <conditionalFormatting sqref="B7:G12">
    <cfRule type="expression" dxfId="2629" priority="6">
      <formula>$A7&gt;$B$4</formula>
    </cfRule>
  </conditionalFormatting>
  <conditionalFormatting sqref="T23">
    <cfRule type="expression" dxfId="2628" priority="11">
      <formula>$N$34=$B$27</formula>
    </cfRule>
    <cfRule type="expression" dxfId="2627" priority="12">
      <formula>OR($N$34=$B$24,$N$34=$B$29)</formula>
    </cfRule>
  </conditionalFormatting>
  <conditionalFormatting sqref="E33:J38 E41:J46">
    <cfRule type="expression" dxfId="2626" priority="5">
      <formula>E33&gt;$K$9</formula>
    </cfRule>
  </conditionalFormatting>
  <conditionalFormatting sqref="E57:J62">
    <cfRule type="expression" dxfId="2625" priority="4">
      <formula>E57&gt;$L$9</formula>
    </cfRule>
  </conditionalFormatting>
  <conditionalFormatting sqref="E65:J67">
    <cfRule type="expression" dxfId="2624" priority="3">
      <formula>E65&gt;=1</formula>
    </cfRule>
  </conditionalFormatting>
  <conditionalFormatting sqref="E48:J54">
    <cfRule type="expression" dxfId="2623" priority="2">
      <formula>E$16&gt;$B$4</formula>
    </cfRule>
  </conditionalFormatting>
  <conditionalFormatting sqref="E49:J54">
    <cfRule type="expression" dxfId="2622" priority="1">
      <formula>E49&gt;$K$9</formula>
    </cfRule>
  </conditionalFormatting>
  <dataValidations count="4">
    <dataValidation type="decimal" allowBlank="1" showInputMessage="1" showErrorMessage="1" sqref="K9:L9" xr:uid="{00000000-0002-0000-0800-000000000000}">
      <formula1>0</formula1>
      <formula2>1</formula2>
    </dataValidation>
    <dataValidation type="decimal" allowBlank="1" showInputMessage="1" showErrorMessage="1" sqref="K11:L11" xr:uid="{00000000-0002-0000-0800-000001000000}">
      <formula1>0</formula1>
      <formula2>K9</formula2>
    </dataValidation>
    <dataValidation type="list" allowBlank="1" showInputMessage="1" showErrorMessage="1" sqref="B4" xr:uid="{00000000-0002-0000-0800-000002000000}">
      <formula1>"1,2,3,4,5,6"</formula1>
    </dataValidation>
    <dataValidation type="list" allowBlank="1" showInputMessage="1" showErrorMessage="1" sqref="N34:R34" xr:uid="{00000000-0002-0000-0800-000003000000}">
      <formula1>$B$27:$B$30</formula1>
    </dataValidation>
  </dataValidations>
  <pageMargins left="0.7" right="0.7" top="0.75" bottom="0.75" header="0.3" footer="0.3"/>
  <pageSetup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Cover</vt:lpstr>
      <vt:lpstr>User Guide--&gt;</vt:lpstr>
      <vt:lpstr>Table of Contents</vt:lpstr>
      <vt:lpstr>Introduction</vt:lpstr>
      <vt:lpstr>Instructions &amp; Workflow</vt:lpstr>
      <vt:lpstr>Details - Inputs</vt:lpstr>
      <vt:lpstr>Details - Outputs</vt:lpstr>
      <vt:lpstr>Main Tool Worksheets--&gt;</vt:lpstr>
      <vt:lpstr>Scenario Manager</vt:lpstr>
      <vt:lpstr>1_Inputs</vt:lpstr>
      <vt:lpstr>2_Inputs</vt:lpstr>
      <vt:lpstr>3_Inputs</vt:lpstr>
      <vt:lpstr>4_Inputs</vt:lpstr>
      <vt:lpstr>1_Outputs</vt:lpstr>
      <vt:lpstr>Baseline_Results_NOINDIRECT</vt:lpstr>
      <vt:lpstr>MacroText</vt:lpstr>
      <vt:lpstr>Supporting Worksheets --&gt;</vt:lpstr>
      <vt:lpstr>Example Inputs</vt:lpstr>
      <vt:lpstr>2_Outputs</vt:lpstr>
      <vt:lpstr>3_Outputs</vt:lpstr>
      <vt:lpstr>4_Outputs</vt:lpstr>
      <vt:lpstr>Vaccine Demand Volume &amp; Value</vt:lpstr>
      <vt:lpstr>RH Demand Volume &amp; Value</vt:lpstr>
      <vt:lpstr>General Demand Volume</vt:lpstr>
      <vt:lpstr>Storage Capacity Estimator</vt:lpstr>
      <vt:lpstr>Circuity Factor Benchmarks</vt:lpstr>
      <vt:lpstr>Warehouse-Vehicle-CCE Costs</vt:lpstr>
      <vt:lpstr>Data Templates --&gt; </vt:lpstr>
      <vt:lpstr>Blank Data Template</vt:lpstr>
      <vt:lpstr>Guatemala_Quiche</vt:lpstr>
      <vt:lpstr>Guatemala_AltaVerapaz</vt:lpstr>
      <vt:lpstr>Bolivia_Tarija</vt:lpstr>
      <vt:lpstr>DRC_EquateurS1</vt:lpstr>
      <vt:lpstr>DRC_EquateurS2</vt:lpstr>
      <vt:lpstr>Mozambique_ManicaS1</vt:lpstr>
      <vt:lpstr>Mozambique_ManicaS2</vt:lpstr>
      <vt:lpstr>WestAfricaCountry_TransportONLY</vt:lpstr>
      <vt:lpstr>SouthernAfricaProvince1</vt:lpstr>
      <vt:lpstr>DRC_Scratch</vt:lpstr>
      <vt:lpstr>Other Parameters --&gt;</vt:lpstr>
      <vt:lpstr>List Values</vt:lpstr>
    </vt:vector>
  </TitlesOfParts>
  <Company>Michigan Ross School of Business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School of Business</dc:creator>
  <cp:lastModifiedBy>Michael Krautmann</cp:lastModifiedBy>
  <cp:lastPrinted>2018-11-08T17:22:02Z</cp:lastPrinted>
  <dcterms:created xsi:type="dcterms:W3CDTF">2017-04-05T23:32:10Z</dcterms:created>
  <dcterms:modified xsi:type="dcterms:W3CDTF">2020-08-06T20:29:33Z</dcterms:modified>
</cp:coreProperties>
</file>